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Historical Financials" sheetId="3" state="visible" r:id="rId5"/>
    <sheet name="Operating Model" sheetId="4" state="visible" r:id="rId6"/>
    <sheet name="Debt Schedule" sheetId="5" state="visible" r:id="rId7"/>
    <sheet name="Cash Flow" sheetId="6" state="visible" r:id="rId8"/>
    <sheet name="Credit Metrics" sheetId="7" state="visible" r:id="rId9"/>
    <sheet name="Scenarios" sheetId="8" state="visible" r:id="rId10"/>
    <sheet name="Capital Structure" sheetId="9" state="visible" r:id="rId11"/>
    <sheet name="Recovery" sheetId="10" state="visible" r:id="rId12"/>
    <sheet name="Returns" sheetId="11" state="visible" r:id="rId13"/>
    <sheet name="Sensitivities" sheetId="12" state="visible" r:id="rId14"/>
    <sheet name="Investment Summary" sheetId="13" state="visible" r:id="rId15"/>
    <sheet name="Sources" sheetId="14" state="visible" r:id="rId16"/>
    <sheet name="Calc Engine" sheetId="15" state="visible" r:id="rId17"/>
  </sheets>
  <definedNames>
    <definedName function="false" hidden="false" name="ActiveScenario" vbProcedure="false">Assumptions!$C$10</definedName>
    <definedName function="false" hidden="false" name="FaceValue" vbProcedure="false">Assumptions!$C$35</definedName>
    <definedName function="false" hidden="false" name="HoldPeriods" vbProcedure="false">Assumptions!$C$38</definedName>
    <definedName function="false" hidden="false" name="HurdleIRR" vbProcedure="false">Assumptions!$C$41</definedName>
    <definedName function="false" hidden="false" name="MinOperatingCash" vbProcedure="false">Assumptions!$C$12</definedName>
    <definedName function="false" hidden="false" name="PurchasePrice" vbProcedure="false">Assumptions!$C$36</definedName>
    <definedName function="false" hidden="false" name="RecoveryOverride" vbProcedure="false">Assumptions!$C$14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<sst xmlns="http://schemas.openxmlformats.org/spreadsheetml/2006/main" count="42796" uniqueCount="1193">
  <si>
    <t xml:space="preserve">CreditIQ — Brandywine Realty Trust credit underwriting model</t>
  </si>
  <si>
    <t xml:space="preserve">PUBLIC DATA CASE  ·  HYPOTHETICAL INVESTMENT TERMS  ·  $ in millions  ·  as of 2026-06-30</t>
  </si>
  <si>
    <t xml:space="preserve">Real estate credit — first-lien secured loan to an office REIT with a 2027–29 maturity wall</t>
  </si>
  <si>
    <t xml:space="preserve">Model status</t>
  </si>
  <si>
    <t xml:space="preserve">Active scenario</t>
  </si>
  <si>
    <t xml:space="preserve">Recommendation (rule-based; see Investment Summary)</t>
  </si>
  <si>
    <t xml:space="preserve">Colour conventions</t>
  </si>
  <si>
    <t xml:space="preserve">Blue on pale yellow</t>
  </si>
  <si>
    <t xml:space="preserve">Hardcoded input: sourced historical data, explicit assumption, scenario / transaction / macro input, covenant threshold, sensitivity axis, structural block parameter.</t>
  </si>
  <si>
    <t xml:space="preserve">Black</t>
  </si>
  <si>
    <t xml:space="preserve">Formula or calculation. No outputs, subtotals or metrics are hardcoded anywhere in this workbook.</t>
  </si>
  <si>
    <t xml:space="preserve">Green</t>
  </si>
  <si>
    <t xml:space="preserve">Direct link to a cell on another worksheet.</t>
  </si>
  <si>
    <t xml:space="preserve">Grey fill</t>
  </si>
  <si>
    <t xml:space="preserve">Labels and headers.</t>
  </si>
  <si>
    <t xml:space="preserve">Flow of logic</t>
  </si>
  <si>
    <t xml:space="preserve">Assumptions + Historical → Operating Model → Debt Schedule ↔ Cash Flow → Credit Metrics &amp; Covenants → Recovery → Returns → Sensitivities → Investment Summary</t>
  </si>
  <si>
    <t xml:space="preserve">Data classes</t>
  </si>
  <si>
    <t xml:space="preserve">PUBLIC FILING = reported inputs · ANALYST PROJECTION = scenario drivers · UNDERWRITING ASSUMPTION = hypothetical purchase price / terms · DEMO = fictional</t>
  </si>
  <si>
    <t xml:space="preserve">Tabs</t>
  </si>
  <si>
    <t xml:space="preserve">Assumptions</t>
  </si>
  <si>
    <t xml:space="preserve">All inputs, scenario drivers, covenants, selector</t>
  </si>
  <si>
    <t xml:space="preserve">Historical Financials</t>
  </si>
  <si>
    <t xml:space="preserve">Sourced statements; derived lines and LTM calculated</t>
  </si>
  <si>
    <t xml:space="preserve">Operating Model</t>
  </si>
  <si>
    <t xml:space="preserve">Income statement and FCF, history + projection</t>
  </si>
  <si>
    <t xml:space="preserve">Debt Schedule</t>
  </si>
  <si>
    <t xml:space="preserve">Per-tranche roll-forward, floors, PIK, refinancing test, sweep</t>
  </si>
  <si>
    <t xml:space="preserve">Cash Flow</t>
  </si>
  <si>
    <t xml:space="preserve">Cash waterfall, funding gap, default test</t>
  </si>
  <si>
    <t xml:space="preserve">Credit Metrics</t>
  </si>
  <si>
    <t xml:space="preserve">Ratios, covenant compliance, transparent credit score</t>
  </si>
  <si>
    <t xml:space="preserve">Scenarios</t>
  </si>
  <si>
    <t xml:space="preserve">Base / Downside / Severe side by side + reconciliation</t>
  </si>
  <si>
    <t xml:space="preserve">Capital Structure</t>
  </si>
  <si>
    <t xml:space="preserve">Tranches, leverage through the stack, maturity wall &amp; refinancing requirement</t>
  </si>
  <si>
    <t xml:space="preserve">Recovery</t>
  </si>
  <si>
    <t xml:space="preserve">Seniority waterfall with collateral pools and deficiency claims</t>
  </si>
  <si>
    <t xml:space="preserve">Returns</t>
  </si>
  <si>
    <t xml:space="preserve">Face, price, coupon, yield, recovery; IRR, XIRR, MOIC</t>
  </si>
  <si>
    <t xml:space="preserve">Sensitivities</t>
  </si>
  <si>
    <t xml:space="preserve">Seven formula-driven tables</t>
  </si>
  <si>
    <t xml:space="preserve">Investment Summary</t>
  </si>
  <si>
    <t xml:space="preserve">Live outputs, recommendation evidence, integrity checks</t>
  </si>
  <si>
    <t xml:space="preserve">Sources</t>
  </si>
  <si>
    <t xml:space="preserve">Datapoint register: filing, page, URL, model cell</t>
  </si>
  <si>
    <t xml:space="preserve">Calc Engine</t>
  </si>
  <si>
    <t xml:space="preserve">Supporting: 63 simultaneous model runs</t>
  </si>
  <si>
    <t xml:space="preserve">Validation: docs/MODEL_VALIDATION.md · Audit: scripts/audit_model.py · Change-impact harness: scripts/model_harness.py</t>
  </si>
  <si>
    <t xml:space="preserve">Assumptions — Brandywine Realty Trust: all explicit inputs live on this tab</t>
  </si>
  <si>
    <t xml:space="preserve">PUBLIC DATA CASE · HYPOTHETICAL INVESTMENT TERMS · Blue on pale yellow = hardcoded input · Black = formula · Green = link to another sheet · $ in millions</t>
  </si>
  <si>
    <t xml:space="preserve">1. General &amp; model settings</t>
  </si>
  <si>
    <t xml:space="preserve">Company</t>
  </si>
  <si>
    <t xml:space="preserve">Brandywine Realty Trust</t>
  </si>
  <si>
    <t xml:space="preserve">Base period label (year in which the base / LTM period ends)</t>
  </si>
  <si>
    <t xml:space="preserve">Fiscal-period end month (12 = calendar FY; 6 = LTM June periods)</t>
  </si>
  <si>
    <t xml:space="preserve">As-of / entry date</t>
  </si>
  <si>
    <t xml:space="preserve">Cash tax rate on positive EBT</t>
  </si>
  <si>
    <t xml:space="preserve">% of EBT</t>
  </si>
  <si>
    <t xml:space="preserve">ACTIVE SCENARIO selector (1=Base, 2=Downside, 3=Severe)</t>
  </si>
  <si>
    <t xml:space="preserve">select 1 / 2 / 3</t>
  </si>
  <si>
    <t xml:space="preserve">Cash &amp; equivalents at base date (balance sheet)</t>
  </si>
  <si>
    <t xml:space="preserve">$M</t>
  </si>
  <si>
    <t xml:space="preserve">Minimum operating cash</t>
  </si>
  <si>
    <t xml:space="preserve">Cash sweep (% of excess cash applied to prepayable debt)</t>
  </si>
  <si>
    <t xml:space="preserve">%</t>
  </si>
  <si>
    <t xml:space="preserve">Recovery value override (leave blank = model-derived)</t>
  </si>
  <si>
    <t xml:space="preserve">$M, optional</t>
  </si>
  <si>
    <t xml:space="preserve">Administrative / DIP costs</t>
  </si>
  <si>
    <t xml:space="preserve">% of recovery value</t>
  </si>
  <si>
    <t xml:space="preserve">Accrued unpaid interest included in claims</t>
  </si>
  <si>
    <t xml:space="preserve">months</t>
  </si>
  <si>
    <t xml:space="preserve">Rank at which secured deficiency claims join general creditors</t>
  </si>
  <si>
    <t xml:space="preserve">Maturity alert window</t>
  </si>
  <si>
    <t xml:space="preserve">periods from base</t>
  </si>
  <si>
    <t xml:space="preserve">Materiality threshold for maturity alert</t>
  </si>
  <si>
    <t xml:space="preserve">% of total debt</t>
  </si>
  <si>
    <t xml:space="preserve">Concentration threshold (single-period maturities)</t>
  </si>
  <si>
    <t xml:space="preserve">Market-implied EV / EBITDA (analyst assumption)</t>
  </si>
  <si>
    <t xml:space="preserve">x</t>
  </si>
  <si>
    <t xml:space="preserve">Credit score: maturity-risk window</t>
  </si>
  <si>
    <t xml:space="preserve">periods</t>
  </si>
  <si>
    <t xml:space="preserve">2. Collateral / asset base (recovery &amp; LTV)</t>
  </si>
  <si>
    <t xml:space="preserve">LTM NOI ÷ 7.5% analyst cap rate + construction-in-progress + land held for development + unconsolidated JV book value (6/30/2026). Property values are NOT disclosed in the filings.</t>
  </si>
  <si>
    <t xml:space="preserve">Analyst cap rate on LTM NOI</t>
  </si>
  <si>
    <t xml:space="preserve">% (assumption)</t>
  </si>
  <si>
    <t xml:space="preserve">Operating-property value = LTM NOI ÷ cap rate</t>
  </si>
  <si>
    <t xml:space="preserve">Construction-in-progress</t>
  </si>
  <si>
    <t xml:space="preserve">bdn.cip.2026-06-30</t>
  </si>
  <si>
    <t xml:space="preserve">Land held for development</t>
  </si>
  <si>
    <t xml:space="preserve">bdn.land.2026-06-30</t>
  </si>
  <si>
    <t xml:space="preserve">Investment in unconsolidated real estate ventures (book)</t>
  </si>
  <si>
    <t xml:space="preserve">bdn.jv_investment.2026-06-30</t>
  </si>
  <si>
    <t xml:space="preserve">Total asset base</t>
  </si>
  <si>
    <t xml:space="preserve">3. Transaction / position being underwritten  —  HYPOTHETICAL INVESTMENT TERMS</t>
  </si>
  <si>
    <t xml:space="preserve">Target tranche # (row in the debt table below)</t>
  </si>
  <si>
    <t xml:space="preserve">Face value held (legal claim)</t>
  </si>
  <si>
    <t xml:space="preserve">Purchase price / OID (UNDERWRITING ASSUMPTION)</t>
  </si>
  <si>
    <t xml:space="preserve">% of face</t>
  </si>
  <si>
    <t xml:space="preserve">Transaction fees</t>
  </si>
  <si>
    <t xml:space="preserve">% of cost</t>
  </si>
  <si>
    <t xml:space="preserve">Hold period (whole years, 1-5)</t>
  </si>
  <si>
    <t xml:space="preserve">Coupon payments per year on target tranche (contractual-timing cross-check only)</t>
  </si>
  <si>
    <t xml:space="preserve">per year</t>
  </si>
  <si>
    <t xml:space="preserve">Default → recovery cash receipt lag</t>
  </si>
  <si>
    <t xml:space="preserve">Required IRR (hurdle)</t>
  </si>
  <si>
    <t xml:space="preserve">Minimum acceptable downside IRR</t>
  </si>
  <si>
    <t xml:space="preserve">Minimum yield to maturity</t>
  </si>
  <si>
    <t xml:space="preserve">Maximum net leverage (net debt / EBITDA)</t>
  </si>
  <si>
    <t xml:space="preserve">Minimum downside recovery</t>
  </si>
  <si>
    <t xml:space="preserve">Minimum covenant headroom (base case)</t>
  </si>
  <si>
    <t xml:space="preserve">Decision rule: secondary test failures tolerated for PROCEED</t>
  </si>
  <si>
    <t xml:space="preserve">count</t>
  </si>
  <si>
    <t xml:space="preserve">Decision rule: core test failures that force PASS</t>
  </si>
  <si>
    <t xml:space="preserve">Unresolved high-priority diligence items (from the CreditIQ diligence tracker)</t>
  </si>
  <si>
    <t xml:space="preserve">4. Macro assumptions</t>
  </si>
  <si>
    <t xml:space="preserve">Model period</t>
  </si>
  <si>
    <t xml:space="preserve">Base rate (SOFR) curve — FRED SOFR 3.90% on 2026-10-06; path is an assumption</t>
  </si>
  <si>
    <t xml:space="preserve">% p.a.</t>
  </si>
  <si>
    <t xml:space="preserve">5. Debt tranches (list in order of cash-repayment priority; rank 1 = most senior, equal rank = pari passu)</t>
  </si>
  <si>
    <t xml:space="preserve">Facility</t>
  </si>
  <si>
    <t xml:space="preserve">Type</t>
  </si>
  <si>
    <t xml:space="preserve">Face / principal $M</t>
  </si>
  <si>
    <t xml:space="preserve">Commit. $M</t>
  </si>
  <si>
    <t xml:space="preserve">Fixed coupon</t>
  </si>
  <si>
    <t xml:space="preserve">Spread (floating)</t>
  </si>
  <si>
    <t xml:space="preserve">SOFR floor</t>
  </si>
  <si>
    <t xml:space="preserve">PIK rate</t>
  </si>
  <si>
    <t xml:space="preserve">Floating (1/0)</t>
  </si>
  <si>
    <t xml:space="preserve">Maturity date</t>
  </si>
  <si>
    <t xml:space="preserve">Maturity period</t>
  </si>
  <si>
    <t xml:space="preserve">Amort. % orig</t>
  </si>
  <si>
    <t xml:space="preserve">Rank</t>
  </si>
  <si>
    <t xml:space="preserve">Prepay (1/0)</t>
  </si>
  <si>
    <t xml:space="preserve">Secured (1/0)</t>
  </si>
  <si>
    <t xml:space="preserve">Revolver (1/0)</t>
  </si>
  <si>
    <t xml:space="preserve">Collateral share</t>
  </si>
  <si>
    <t xml:space="preserve">Mark / price</t>
  </si>
  <si>
    <t xml:space="preserve">Call protection / collateral</t>
  </si>
  <si>
    <t xml:space="preserve">Hypothetical Senior Secured Term Loan (S+525, 1% floor)</t>
  </si>
  <si>
    <t xml:space="preserve">term_loan</t>
  </si>
  <si>
    <t xml:space="preserve">102 / 101 / par (hypothetical) | First-lien mortgages on a pledged pool of unencumbered properties (assumed 30% of asset value)</t>
  </si>
  <si>
    <t xml:space="preserve">Avira Secured Term Loan (swapped to 5.81%)</t>
  </si>
  <si>
    <t xml:space="preserve">3025 JFK residential component (assumed collateral value = loan ÷ 60% LTV)</t>
  </si>
  <si>
    <t xml:space="preserve">3151 Market C-PACE Loan</t>
  </si>
  <si>
    <t xml:space="preserve">mortgage</t>
  </si>
  <si>
    <t xml:space="preserve">3151 Market Street (assumed collateral value = loan ÷ 60% LTV)</t>
  </si>
  <si>
    <t xml:space="preserve">Unsecured Revolver ($600M less LCs; hypothetically undrawn pro forma)</t>
  </si>
  <si>
    <t xml:space="preserve">revolver</t>
  </si>
  <si>
    <t xml:space="preserve">Unsecured</t>
  </si>
  <si>
    <t xml:space="preserve">3.95% Guaranteed Notes due Nov-2027</t>
  </si>
  <si>
    <t xml:space="preserve">senior_notes</t>
  </si>
  <si>
    <t xml:space="preserve">Unsecured (guaranteed by Brandywine Realty Trust)</t>
  </si>
  <si>
    <t xml:space="preserve">8.30% Guaranteed Notes due Mar-2028</t>
  </si>
  <si>
    <t xml:space="preserve">8.875% Guaranteed Notes due Apr-2029</t>
  </si>
  <si>
    <t xml:space="preserve">4.55% Guaranteed Notes due Oct-2029</t>
  </si>
  <si>
    <t xml:space="preserve">6.125% Guaranteed Notes due Jan-2031</t>
  </si>
  <si>
    <t xml:space="preserve">Junior subordinated trust-preferred indentures</t>
  </si>
  <si>
    <t xml:space="preserve">subordinated</t>
  </si>
  <si>
    <t xml:space="preserve">Unsecured, junior subordinated</t>
  </si>
  <si>
    <t xml:space="preserve">Floating tranches: all-in rate = MAX(SOFR, floor) + spread + scenario shock. Fixed: coupon. Interest accrues on beginning balances (no circularity). Maturity period = YEAR(date) + 1 if month &gt; period-end month.</t>
  </si>
  <si>
    <t xml:space="preserve">6. Covenants (thresholds per model period). Disclosed = in issuer documents; Hypothetical = UNDERWRITING ASSUMPTION; inactive covenants are shown for reference only</t>
  </si>
  <si>
    <t xml:space="preserve">Covenant</t>
  </si>
  <si>
    <t xml:space="preserve">Basis</t>
  </si>
  <si>
    <t xml:space="preserve">Active (1/0)</t>
  </si>
  <si>
    <t xml:space="preserve">Reported ratio</t>
  </si>
  <si>
    <t xml:space="preserve">Credit agreement: leverage ratio ≤ 0.60 (debt ÷ total asset value) — PROXY at analyst cap rate</t>
  </si>
  <si>
    <t xml:space="preserve">maxLTV</t>
  </si>
  <si>
    <t xml:space="preserve">disclosed</t>
  </si>
  <si>
    <t xml:space="preserve">Credit agreement: fixed-charge coverage ≥ 1.5x — PROXY (EBITDA ÷ cash interest)</t>
  </si>
  <si>
    <t xml:space="preserve">minInterestCoverage</t>
  </si>
  <si>
    <t xml:space="preserve">Credit agreement: secured debt ÷ total asset value ≤ 0.40 — PROXY</t>
  </si>
  <si>
    <t xml:space="preserve">maxSecuredLTV</t>
  </si>
  <si>
    <t xml:space="preserve">Hypothetical maintenance covenant on the new loan: min liquidity ($M)</t>
  </si>
  <si>
    <t xml:space="preserve">minLiquidity</t>
  </si>
  <si>
    <t xml:space="preserve">hypothetical</t>
  </si>
  <si>
    <t xml:space="preserve">Hypothetical maintenance covenant on the new loan: max net debt / EBITDA</t>
  </si>
  <si>
    <t xml:space="preserve">maxNetLeverage</t>
  </si>
  <si>
    <t xml:space="preserve">7. Scenario assumptions (selected via ACTIVE SCENARIO; all three run simultaneously on Calc Engine)</t>
  </si>
  <si>
    <t xml:space="preserve">Base Case</t>
  </si>
  <si>
    <t xml:space="preserve">Revenue growth</t>
  </si>
  <si>
    <t xml:space="preserve">Gross margin</t>
  </si>
  <si>
    <t xml:space="preserve">EBITDA margin</t>
  </si>
  <si>
    <t xml:space="preserve">Net asset-sale proceeds ($M)</t>
  </si>
  <si>
    <t xml:space="preserve">Capex</t>
  </si>
  <si>
    <t xml:space="preserve">% of revenue</t>
  </si>
  <si>
    <t xml:space="preserve">Working-capital investment</t>
  </si>
  <si>
    <t xml:space="preserve">% of Δ revenue</t>
  </si>
  <si>
    <t xml:space="preserve">Other cash items (+ outflow; incl. distributions, programming timing)</t>
  </si>
  <si>
    <t xml:space="preserve">Floating-rate shock</t>
  </si>
  <si>
    <t xml:space="preserve">% added to floating rates</t>
  </si>
  <si>
    <t xml:space="preserve">Refinancing rate (post-maturity)</t>
  </si>
  <si>
    <t xml:space="preserve">Market access: max net leverage to refinance</t>
  </si>
  <si>
    <t xml:space="preserve">Market access: min EBITDA / pro-forma interest</t>
  </si>
  <si>
    <t xml:space="preserve">Exit EV / EBITDA multiple</t>
  </si>
  <si>
    <t xml:space="preserve">Exit price if no default (cap, % of face)</t>
  </si>
  <si>
    <t xml:space="preserve">Distressed EV / EBITDA multiple (going concern)</t>
  </si>
  <si>
    <t xml:space="preserve">Asset value decline</t>
  </si>
  <si>
    <t xml:space="preserve">Liquidation recovery on asset base</t>
  </si>
  <si>
    <t xml:space="preserve">Scenario probability</t>
  </si>
  <si>
    <t xml:space="preserve">Downside</t>
  </si>
  <si>
    <t xml:space="preserve">Severe Downside</t>
  </si>
  <si>
    <t xml:space="preserve">Probabilities sum to</t>
  </si>
  <si>
    <t xml:space="preserve">8. Credit score methodology (transparent, linear between thresholds)</t>
  </si>
  <si>
    <t xml:space="preserve">Factor</t>
  </si>
  <si>
    <t xml:space="preserve">Unit</t>
  </si>
  <si>
    <t xml:space="preserve">Weight</t>
  </si>
  <si>
    <t xml:space="preserve">Best (full pts)</t>
  </si>
  <si>
    <t xml:space="preserve">Worst (0 pts)</t>
  </si>
  <si>
    <t xml:space="preserve">Net leverage</t>
  </si>
  <si>
    <t xml:space="preserve">Interest coverage</t>
  </si>
  <si>
    <t xml:space="preserve">x EBITDA/int</t>
  </si>
  <si>
    <t xml:space="preserve">Liquidity / next-period obligations</t>
  </si>
  <si>
    <t xml:space="preserve">FCF / debt</t>
  </si>
  <si>
    <t xml:space="preserve">Debt maturing within window</t>
  </si>
  <si>
    <t xml:space="preserve">% of debt</t>
  </si>
  <si>
    <t xml:space="preserve">Margin stability (σ)</t>
  </si>
  <si>
    <t xml:space="preserve">pts</t>
  </si>
  <si>
    <t xml:space="preserve">Revenue stability (σ)</t>
  </si>
  <si>
    <t xml:space="preserve">Asset coverage</t>
  </si>
  <si>
    <t xml:space="preserve">x debt</t>
  </si>
  <si>
    <t xml:space="preserve">Industry risk factor (0-1; analyst input)</t>
  </si>
  <si>
    <t xml:space="preserve">0-1</t>
  </si>
  <si>
    <t xml:space="preserve">Industry risk factor for this company (analyst input)</t>
  </si>
  <si>
    <t xml:space="preserve">Weights sum to</t>
  </si>
  <si>
    <t xml:space="preserve">9. Risk bands</t>
  </si>
  <si>
    <t xml:space="preserve">Low risk if score ≥</t>
  </si>
  <si>
    <t xml:space="preserve">Moderate if ≥</t>
  </si>
  <si>
    <t xml:space="preserve">Elevated if ≥ (else High)</t>
  </si>
  <si>
    <t xml:space="preserve">Historical Financials — Brandywine Realty Trust</t>
  </si>
  <si>
    <t xml:space="preserve">PUBLIC FILING data (blue = reported inputs, each traced to a datapoint on the Sources tab). All subtotals, EBITDA, EBIT, net income, FCF and LTM columns are formulas.</t>
  </si>
  <si>
    <t xml:space="preserve">US$ millions</t>
  </si>
  <si>
    <t xml:space="preserve">FY2023A</t>
  </si>
  <si>
    <t xml:space="preserve">FY2024A</t>
  </si>
  <si>
    <t xml:space="preserve">FY2025A</t>
  </si>
  <si>
    <t xml:space="preserve">H1-25A</t>
  </si>
  <si>
    <t xml:space="preserve">H1-26A</t>
  </si>
  <si>
    <t xml:space="preserve">LTM Jun-26</t>
  </si>
  <si>
    <t xml:space="preserve">Source datapoint IDs (see Sources tab)</t>
  </si>
  <si>
    <t xml:space="preserve">A. Reported inputs</t>
  </si>
  <si>
    <t xml:space="preserve">Total revenue</t>
  </si>
  <si>
    <t xml:space="preserve">bdn.revenue.* (5 datapoints)</t>
  </si>
  <si>
    <t xml:space="preserve">Property operating expenses</t>
  </si>
  <si>
    <t xml:space="preserve">bdn.prop_opex.* (5 datapoints)</t>
  </si>
  <si>
    <t xml:space="preserve">Real estate taxes</t>
  </si>
  <si>
    <t xml:space="preserve">bdn.re_taxes.* (5 datapoints)</t>
  </si>
  <si>
    <t xml:space="preserve">Third-party management expenses</t>
  </si>
  <si>
    <t xml:space="preserve">bdn.mgmt_exp.* (5 datapoints)</t>
  </si>
  <si>
    <t xml:space="preserve">General and administrative expenses</t>
  </si>
  <si>
    <t xml:space="preserve">bdn.ga.* (5 datapoints)</t>
  </si>
  <si>
    <t xml:space="preserve">Depreciation and amortization</t>
  </si>
  <si>
    <t xml:space="preserve">bdn.da.* (5 datapoints)</t>
  </si>
  <si>
    <t xml:space="preserve">Interest expense (excl. financing-cost amortization)</t>
  </si>
  <si>
    <t xml:space="preserve">bdn.interest_expense.* (5 datapoints)</t>
  </si>
  <si>
    <t xml:space="preserve">Income tax provision</t>
  </si>
  <si>
    <t xml:space="preserve">bdn.taxes.* (5 datapoints)</t>
  </si>
  <si>
    <t xml:space="preserve">Net cash provided by operating activities</t>
  </si>
  <si>
    <t xml:space="preserve">bdn.cfo.* (5 datapoints)</t>
  </si>
  <si>
    <t xml:space="preserve">Capex: tenant improvements</t>
  </si>
  <si>
    <t xml:space="preserve">bdn.capex_ti.* (5 datapoints)</t>
  </si>
  <si>
    <t xml:space="preserve">Capex: redevelopments</t>
  </si>
  <si>
    <t xml:space="preserve">bdn.capex_redev.* (5 datapoints)</t>
  </si>
  <si>
    <t xml:space="preserve">Capex: developments</t>
  </si>
  <si>
    <t xml:space="preserve">bdn.capex_dev.* (5 datapoints)</t>
  </si>
  <si>
    <t xml:space="preserve">Leasing costs paid</t>
  </si>
  <si>
    <t xml:space="preserve">bdn.leasing_costs.* (5 datapoints)</t>
  </si>
  <si>
    <t xml:space="preserve">Provision for impairment (memo, excluded from EBITDA)</t>
  </si>
  <si>
    <t xml:space="preserve">bdn.impairment.* (5 datapoints)</t>
  </si>
  <si>
    <t xml:space="preserve">Cash paid for interest (memo)</t>
  </si>
  <si>
    <t xml:space="preserve">bdn.cash_interest.* (5 datapoints)</t>
  </si>
  <si>
    <t xml:space="preserve">Net operating income — company reported (check)</t>
  </si>
  <si>
    <t xml:space="preserve">bdn.noi_reported.* (3 datapoints)</t>
  </si>
  <si>
    <t xml:space="preserve">Share-based compensation add-back (none applied for this company)</t>
  </si>
  <si>
    <t xml:space="preserve">none reported</t>
  </si>
  <si>
    <t xml:space="preserve">B. Standardized statements (calculated)</t>
  </si>
  <si>
    <t xml:space="preserve">Revenue</t>
  </si>
  <si>
    <t xml:space="preserve">Direct costs / COGS</t>
  </si>
  <si>
    <t xml:space="preserve">Gross profit (NOI for real estate)</t>
  </si>
  <si>
    <t xml:space="preserve">Operating expenses, cash &amp; adjusted (excl. D&amp;A and non-cash add-backs)</t>
  </si>
  <si>
    <t xml:space="preserve">EBITDA (company-adjusted basis)</t>
  </si>
  <si>
    <t xml:space="preserve">Depreciation &amp; amortization</t>
  </si>
  <si>
    <t xml:space="preserve">Share-based compensation (non-cash add-back)</t>
  </si>
  <si>
    <t xml:space="preserve">EBIT (EBITDA − D&amp;A − SBC)</t>
  </si>
  <si>
    <t xml:space="preserve">Interest expense</t>
  </si>
  <si>
    <t xml:space="preserve">EBT</t>
  </si>
  <si>
    <t xml:space="preserve">Income taxes</t>
  </si>
  <si>
    <t xml:space="preserve">Net income (model basis; excludes impairments and one-offs)</t>
  </si>
  <si>
    <t xml:space="preserve">Capex (incl. leasing costs where applicable)</t>
  </si>
  <si>
    <t xml:space="preserve">Net cash provided by operating activities (reported)</t>
  </si>
  <si>
    <t xml:space="preserve">Free cash flow (CFO − capex)</t>
  </si>
  <si>
    <t xml:space="preserve">Δ working capital &amp; other (derived plug: NI + D&amp;A + SBC − capex − FCF)</t>
  </si>
  <si>
    <t xml:space="preserve">C. Ratios &amp; checks (calculated)</t>
  </si>
  <si>
    <t xml:space="preserve">Revenue growth (YoY)</t>
  </si>
  <si>
    <t xml:space="preserve">EBITDA growth (YoY)</t>
  </si>
  <si>
    <t xml:space="preserve">Check: Calculated NOI (revenue − direct costs) vs company-reported NOI (should be 0.000)</t>
  </si>
  <si>
    <t xml:space="preserve">Operating Model — selected scenario (assumptions → statements)</t>
  </si>
  <si>
    <t xml:space="preserve">LTM Jun-27E</t>
  </si>
  <si>
    <t xml:space="preserve">LTM Jun-28E</t>
  </si>
  <si>
    <t xml:space="preserve">LTM Jun-29E</t>
  </si>
  <si>
    <t xml:space="preserve">LTM Jun-30E</t>
  </si>
  <si>
    <t xml:space="preserve">LTM Jun-31E</t>
  </si>
  <si>
    <t xml:space="preserve">Operating drivers (selected scenario → Assumptions)</t>
  </si>
  <si>
    <t xml:space="preserve">Model period (year in which the period ends)</t>
  </si>
  <si>
    <t xml:space="preserve">Projection period #</t>
  </si>
  <si>
    <t xml:space="preserve">Income statement ($M)</t>
  </si>
  <si>
    <t xml:space="preserve">Operating expenses (implied: gross profit − EBITDA)</t>
  </si>
  <si>
    <t xml:space="preserve">EBITDA</t>
  </si>
  <si>
    <t xml:space="preserve">D&amp;A</t>
  </si>
  <si>
    <t xml:space="preserve">Share-based compensation (non-cash)</t>
  </si>
  <si>
    <t xml:space="preserve">EBIT</t>
  </si>
  <si>
    <t xml:space="preserve">  Cash interest expense (Debt Schedule)</t>
  </si>
  <si>
    <t xml:space="preserve">  PIK interest (non-cash)</t>
  </si>
  <si>
    <t xml:space="preserve">Taxes</t>
  </si>
  <si>
    <t xml:space="preserve">Net income (model basis)</t>
  </si>
  <si>
    <t xml:space="preserve">Free cash flow build ($M)</t>
  </si>
  <si>
    <t xml:space="preserve">Working capital &amp; other cash items (+ = outflow)</t>
  </si>
  <si>
    <t xml:space="preserve">Free cash flow (NI + D&amp;A + SBC + PIK − capex − ΔNWC/other)</t>
  </si>
  <si>
    <t xml:space="preserve">Debt Schedule — tranche roll-forward, rates, PIK, refinancing test, cash sweep</t>
  </si>
  <si>
    <t xml:space="preserve">Rates &amp; market-access (refinancing) test</t>
  </si>
  <si>
    <t xml:space="preserve">Base rate (SOFR)</t>
  </si>
  <si>
    <t xml:space="preserve">Floating-rate shock (selected scenario)</t>
  </si>
  <si>
    <t xml:space="preserve">Refinancing rate (selected scenario)</t>
  </si>
  <si>
    <t xml:space="preserve">Max net leverage to refinance</t>
  </si>
  <si>
    <t xml:space="preserve">Min pro-forma coverage to refinance</t>
  </si>
  <si>
    <t xml:space="preserve">Beginning total debt</t>
  </si>
  <si>
    <t xml:space="preserve">Beginning cash</t>
  </si>
  <si>
    <t xml:space="preserve">Pro-forma interest for refinancing test</t>
  </si>
  <si>
    <t xml:space="preserve">Market access to refinance? (1 = yes)</t>
  </si>
  <si>
    <t xml:space="preserve">Tranche 1: Hypothetical Senior Secured Term Loan (S+525, 1% floor)</t>
  </si>
  <si>
    <t xml:space="preserve">  Beginning balance</t>
  </si>
  <si>
    <t xml:space="preserve">  Maturing this period? (1 = yes)</t>
  </si>
  <si>
    <t xml:space="preserve">  All-in interest rate applied</t>
  </si>
  <si>
    <t xml:space="preserve">  Cash interest expense</t>
  </si>
  <si>
    <t xml:space="preserve">  PIK interest</t>
  </si>
  <si>
    <t xml:space="preserve">  Mandatory amortization</t>
  </si>
  <si>
    <t xml:space="preserve">  New borrowing (revolver draw)</t>
  </si>
  <si>
    <t xml:space="preserve">  Repayment at maturity (from available cash)</t>
  </si>
  <si>
    <t xml:space="preserve">  Optional repayment (cash sweep)</t>
  </si>
  <si>
    <t xml:space="preserve">  Unpaid at maturity (no refinancing, insufficient cash)</t>
  </si>
  <si>
    <t xml:space="preserve">  Ending balance</t>
  </si>
  <si>
    <t xml:space="preserve">Tranche 2: Avira Secured Term Loan (swapped to 5.81%)</t>
  </si>
  <si>
    <t xml:space="preserve">Tranche 3: 3151 Market C-PACE Loan</t>
  </si>
  <si>
    <t xml:space="preserve">Tranche 4: Unsecured Revolver ($600M less LCs; hypothetically undrawn pro forma)</t>
  </si>
  <si>
    <t xml:space="preserve">Tranche 5: 3.95% Guaranteed Notes due Nov-2027</t>
  </si>
  <si>
    <t xml:space="preserve">Tranche 6: 8.30% Guaranteed Notes due Mar-2028</t>
  </si>
  <si>
    <t xml:space="preserve">Tranche 7: 8.875% Guaranteed Notes due Apr-2029</t>
  </si>
  <si>
    <t xml:space="preserve">Tranche 8: 4.55% Guaranteed Notes due Oct-2029</t>
  </si>
  <si>
    <t xml:space="preserve">Tranche 9: 6.125% Guaranteed Notes due Jan-2031</t>
  </si>
  <si>
    <t xml:space="preserve">Tranche 10: Junior subordinated trust-preferred indentures</t>
  </si>
  <si>
    <t xml:space="preserve">Totals</t>
  </si>
  <si>
    <t xml:space="preserve">Total debt — ending</t>
  </si>
  <si>
    <t xml:space="preserve">Contractual maturities by period (from maturity flags)</t>
  </si>
  <si>
    <t xml:space="preserve">Refinancing risk engine — result per maturing tranche</t>
  </si>
  <si>
    <t xml:space="preserve">  Tranche 1: balance at maturity</t>
  </si>
  <si>
    <t xml:space="preserve">  Tranche 1: repaid from cash at maturity</t>
  </si>
  <si>
    <t xml:space="preserve">  Tranche 1: refinancing test</t>
  </si>
  <si>
    <t xml:space="preserve">  Tranche 1: resolution</t>
  </si>
  <si>
    <t xml:space="preserve">  Tranche 2: balance at maturity</t>
  </si>
  <si>
    <t xml:space="preserve">  Tranche 2: repaid from cash at maturity</t>
  </si>
  <si>
    <t xml:space="preserve">  Tranche 2: refinancing test</t>
  </si>
  <si>
    <t xml:space="preserve">  Tranche 2: resolution</t>
  </si>
  <si>
    <t xml:space="preserve">  Tranche 3: balance at maturity</t>
  </si>
  <si>
    <t xml:space="preserve">  Tranche 3: repaid from cash at maturity</t>
  </si>
  <si>
    <t xml:space="preserve">  Tranche 3: refinancing test</t>
  </si>
  <si>
    <t xml:space="preserve">  Tranche 3: resolution</t>
  </si>
  <si>
    <t xml:space="preserve">  Tranche 4: balance at maturity</t>
  </si>
  <si>
    <t xml:space="preserve">  Tranche 4: repaid from cash at maturity</t>
  </si>
  <si>
    <t xml:space="preserve">  Tranche 4: refinancing test</t>
  </si>
  <si>
    <t xml:space="preserve">  Tranche 4: resolution</t>
  </si>
  <si>
    <t xml:space="preserve">  Tranche 5: balance at maturity</t>
  </si>
  <si>
    <t xml:space="preserve">  Tranche 5: repaid from cash at maturity</t>
  </si>
  <si>
    <t xml:space="preserve">  Tranche 5: refinancing test</t>
  </si>
  <si>
    <t xml:space="preserve">  Tranche 5: resolution</t>
  </si>
  <si>
    <t xml:space="preserve">  Tranche 6: balance at maturity</t>
  </si>
  <si>
    <t xml:space="preserve">  Tranche 6: repaid from cash at maturity</t>
  </si>
  <si>
    <t xml:space="preserve">  Tranche 6: refinancing test</t>
  </si>
  <si>
    <t xml:space="preserve">  Tranche 6: resolution</t>
  </si>
  <si>
    <t xml:space="preserve">  Tranche 7: balance at maturity</t>
  </si>
  <si>
    <t xml:space="preserve">  Tranche 7: repaid from cash at maturity</t>
  </si>
  <si>
    <t xml:space="preserve">  Tranche 7: refinancing test</t>
  </si>
  <si>
    <t xml:space="preserve">  Tranche 7: resolution</t>
  </si>
  <si>
    <t xml:space="preserve">  Tranche 8: balance at maturity</t>
  </si>
  <si>
    <t xml:space="preserve">  Tranche 8: repaid from cash at maturity</t>
  </si>
  <si>
    <t xml:space="preserve">  Tranche 8: refinancing test</t>
  </si>
  <si>
    <t xml:space="preserve">  Tranche 8: resolution</t>
  </si>
  <si>
    <t xml:space="preserve">  Tranche 9: balance at maturity</t>
  </si>
  <si>
    <t xml:space="preserve">  Tranche 9: repaid from cash at maturity</t>
  </si>
  <si>
    <t xml:space="preserve">  Tranche 9: refinancing test</t>
  </si>
  <si>
    <t xml:space="preserve">  Tranche 9: resolution</t>
  </si>
  <si>
    <t xml:space="preserve">  Tranche 10: balance at maturity</t>
  </si>
  <si>
    <t xml:space="preserve">  Tranche 10: repaid from cash at maturity</t>
  </si>
  <si>
    <t xml:space="preserve">  Tranche 10: refinancing test</t>
  </si>
  <si>
    <t xml:space="preserve">  Tranche 10: resolution</t>
  </si>
  <si>
    <t xml:space="preserve">Refinancing failures (count of maturing tranches)</t>
  </si>
  <si>
    <t xml:space="preserve">Cash Flow &amp; Liquidity — cash waterfall and default test</t>
  </si>
  <si>
    <t xml:space="preserve">Cash flow &amp; liquidity waterfall ($M)</t>
  </si>
  <si>
    <t xml:space="preserve">Free cash flow (from Operating Model)</t>
  </si>
  <si>
    <t xml:space="preserve">Plus: net asset-sale proceeds</t>
  </si>
  <si>
    <t xml:space="preserve">Less: mandatory amortization</t>
  </si>
  <si>
    <t xml:space="preserve">Cash after mandatory debt service</t>
  </si>
  <si>
    <t xml:space="preserve">Plus: revolver draw</t>
  </si>
  <si>
    <t xml:space="preserve">Cash available for maturities</t>
  </si>
  <si>
    <t xml:space="preserve">Less: repayment of maturing debt</t>
  </si>
  <si>
    <t xml:space="preserve">Cash before sweep</t>
  </si>
  <si>
    <t xml:space="preserve">Funding gap (shortfall after cash &amp; revolver)</t>
  </si>
  <si>
    <t xml:space="preserve">Excess cash available for sweep</t>
  </si>
  <si>
    <t xml:space="preserve">Less: optional repayment (cash sweep)</t>
  </si>
  <si>
    <t xml:space="preserve">Ending cash</t>
  </si>
  <si>
    <t xml:space="preserve">Unpaid maturities (balance left outstanding)</t>
  </si>
  <si>
    <t xml:space="preserve">Payment default? (1 = yes)</t>
  </si>
  <si>
    <t xml:space="preserve">First default period flag</t>
  </si>
  <si>
    <t xml:space="preserve">Check: Δ debt = draws + PIK − repayments</t>
  </si>
  <si>
    <t xml:space="preserve">Credit Metrics, Covenants &amp; Credit Score</t>
  </si>
  <si>
    <t xml:space="preserve">Credit metrics (selected scenario)</t>
  </si>
  <si>
    <t xml:space="preserve">Total debt (face value)</t>
  </si>
  <si>
    <t xml:space="preserve">Secured debt</t>
  </si>
  <si>
    <t xml:space="preserve">Net debt</t>
  </si>
  <si>
    <t xml:space="preserve">Gross debt / EBITDA</t>
  </si>
  <si>
    <t xml:space="preserve">Net debt / EBITDA</t>
  </si>
  <si>
    <t xml:space="preserve">Interest coverage (EBITDA / cash interest)</t>
  </si>
  <si>
    <t xml:space="preserve">EBIT / interest</t>
  </si>
  <si>
    <t xml:space="preserve">Debt service coverage ((EBITDA − capex − tax) / (cash interest + amortization))</t>
  </si>
  <si>
    <t xml:space="preserve">Liquidity (cash + undrawn revolver)</t>
  </si>
  <si>
    <t xml:space="preserve">Debt / capital (debt + implied equity)</t>
  </si>
  <si>
    <t xml:space="preserve">Cash / debt</t>
  </si>
  <si>
    <t xml:space="preserve">Asset value after scenario decline</t>
  </si>
  <si>
    <t xml:space="preserve">Covenant compliance (active covenants; tests use model-basis metrics)</t>
  </si>
  <si>
    <t xml:space="preserve">  Credit agreement: leverage ratio ≤ 0.60 (debt ÷ total asset value) — PROXY at analyst cap rate  [DISCLOSED]</t>
  </si>
  <si>
    <t xml:space="preserve">    Metric</t>
  </si>
  <si>
    <t xml:space="preserve">    Covenant threshold</t>
  </si>
  <si>
    <t xml:space="preserve">    Headroom</t>
  </si>
  <si>
    <t xml:space="preserve">    Headroom % of threshold</t>
  </si>
  <si>
    <t xml:space="preserve">    BREACH? (1 = yes)</t>
  </si>
  <si>
    <t xml:space="preserve">    First breach period (0 = none)</t>
  </si>
  <si>
    <t xml:space="preserve">    Minimum headroom %</t>
  </si>
  <si>
    <t xml:space="preserve">  Credit agreement: fixed-charge coverage ≥ 1.5x — PROXY (EBITDA ÷ cash interest)  [DISCLOSED]</t>
  </si>
  <si>
    <t xml:space="preserve">  Credit agreement: secured debt ÷ total asset value ≤ 0.40 — PROXY  [DISCLOSED]</t>
  </si>
  <si>
    <t xml:space="preserve">  Hypothetical maintenance covenant on the new loan: min liquidity ($M)  [HYPOTHETICAL]</t>
  </si>
  <si>
    <t xml:space="preserve">  Hypothetical maintenance covenant on the new loan: max net debt / EBITDA  [HYPOTHETICAL]</t>
  </si>
  <si>
    <t xml:space="preserve">Covenant breaches (count, all active covenants)</t>
  </si>
  <si>
    <t xml:space="preserve">Total breaches across projection</t>
  </si>
  <si>
    <t xml:space="preserve">Minimum covenant headroom % (all active covenants)</t>
  </si>
  <si>
    <t xml:space="preserve">Credit score — transparent, formula-driven (base period; weights &amp; thresholds on Assumptions §8)</t>
  </si>
  <si>
    <t xml:space="preserve">Value</t>
  </si>
  <si>
    <t xml:space="preserve">Best</t>
  </si>
  <si>
    <t xml:space="preserve">Worst</t>
  </si>
  <si>
    <t xml:space="preserve">Points</t>
  </si>
  <si>
    <t xml:space="preserve">Score %</t>
  </si>
  <si>
    <t xml:space="preserve">Projected value (period 1, selected scenario)</t>
  </si>
  <si>
    <t xml:space="preserve">Projected points</t>
  </si>
  <si>
    <t xml:space="preserve">Net leverage (net debt / EBITDA)</t>
  </si>
  <si>
    <t xml:space="preserve">Interest coverage (EBITDA / interest)</t>
  </si>
  <si>
    <t xml:space="preserve">Liquidity ratio (liquidity / next-period obligations)</t>
  </si>
  <si>
    <t xml:space="preserve">FCF / total debt</t>
  </si>
  <si>
    <t xml:space="preserve">Share of debt maturing within window</t>
  </si>
  <si>
    <t xml:space="preserve">Margin stability (σ of annual EBITDA margin)</t>
  </si>
  <si>
    <t xml:space="preserve">Revenue stability (σ of annual growth)</t>
  </si>
  <si>
    <t xml:space="preserve">Asset coverage (asset base / debt)</t>
  </si>
  <si>
    <t xml:space="preserve">Industry risk factor (analyst input, 0-1)</t>
  </si>
  <si>
    <t xml:space="preserve">Credit score (0-100)</t>
  </si>
  <si>
    <t xml:space="preserve">Risk band</t>
  </si>
  <si>
    <t xml:space="preserve">Each factor earns its weight linearly between the 'worst' threshold (0 pts) and the 'best' threshold (full pts).</t>
  </si>
  <si>
    <t xml:space="preserve">Scenarios — side-by-side (all three run simultaneously on Calc Engine)</t>
  </si>
  <si>
    <t xml:space="preserve">Assumptions (links to Assumptions tab)</t>
  </si>
  <si>
    <t xml:space="preserve">Selected</t>
  </si>
  <si>
    <t xml:space="preserve">Average revenue growth (5 periods)</t>
  </si>
  <si>
    <t xml:space="preserve">Average EBITDA margin (5 periods)</t>
  </si>
  <si>
    <t xml:space="preserve">Refinancing rate</t>
  </si>
  <si>
    <t xml:space="preserve">Market access: max net leverage / min coverage</t>
  </si>
  <si>
    <t xml:space="preserve">Exit multiple / distressed multiple</t>
  </si>
  <si>
    <t xml:space="preserve">Outputs (from Calc Engine)</t>
  </si>
  <si>
    <t xml:space="preserve">LTM Jun-31E revenue ($M)</t>
  </si>
  <si>
    <t xml:space="preserve">Trough EBITDA ($M)</t>
  </si>
  <si>
    <t xml:space="preserve">Cumulative FCF, 5 periods ($M)</t>
  </si>
  <si>
    <t xml:space="preserve">Peak net debt / EBITDA</t>
  </si>
  <si>
    <t xml:space="preserve">Minimum EBITDA / cash interest</t>
  </si>
  <si>
    <t xml:space="preserve">Covenant breaches (count of tests failed)</t>
  </si>
  <si>
    <t xml:space="preserve">Refinancing failures (maturing tranches)</t>
  </si>
  <si>
    <t xml:space="preserve">Payment default modelled? (1 = yes)</t>
  </si>
  <si>
    <t xml:space="preserve">Valuation period (default or trough)</t>
  </si>
  <si>
    <t xml:space="preserve">Recovery value used ($M)</t>
  </si>
  <si>
    <t xml:space="preserve">Target-tranche recovery % (valuation waterfall)</t>
  </si>
  <si>
    <t xml:space="preserve">Exit price used (% of face)</t>
  </si>
  <si>
    <t xml:space="preserve">IRR</t>
  </si>
  <si>
    <t xml:space="preserve">MOIC</t>
  </si>
  <si>
    <t xml:space="preserve">Absolute profit ($M)</t>
  </si>
  <si>
    <t xml:space="preserve">Probability-weighted IRR (IRR of expected cash flows)</t>
  </si>
  <si>
    <t xml:space="preserve">Memo: probability-weighted AVERAGE of scenario IRRs (IRR is non-linear, so this is not an IRR)</t>
  </si>
  <si>
    <t xml:space="preserve">Probability-weighted MOIC</t>
  </si>
  <si>
    <t xml:space="preserve">Probability of payment default</t>
  </si>
  <si>
    <t xml:space="preserve">Expected (probability-weighted) position cash flows by period — basis of the probability-weighted IRR</t>
  </si>
  <si>
    <t xml:space="preserve">t=0</t>
  </si>
  <si>
    <t xml:space="preserve">t=1</t>
  </si>
  <si>
    <t xml:space="preserve">t=2</t>
  </si>
  <si>
    <t xml:space="preserve">t=3</t>
  </si>
  <si>
    <t xml:space="preserve">t=4</t>
  </si>
  <si>
    <t xml:space="preserve">t=5</t>
  </si>
  <si>
    <t xml:space="preserve">t=6</t>
  </si>
  <si>
    <t xml:space="preserve">Expected net cash flow ($M)</t>
  </si>
  <si>
    <t xml:space="preserve">Reconciliation: detailed tabs vs Calc Engine (selected scenario)</t>
  </si>
  <si>
    <t xml:space="preserve">Detailed</t>
  </si>
  <si>
    <t xml:space="preserve">Difference</t>
  </si>
  <si>
    <t xml:space="preserve">LTM Jun-31E EBITDA</t>
  </si>
  <si>
    <t xml:space="preserve">LTM Jun-31E total debt</t>
  </si>
  <si>
    <t xml:space="preserve">LTM Jun-31E ending cash</t>
  </si>
  <si>
    <t xml:space="preserve">Cumulative FCF</t>
  </si>
  <si>
    <t xml:space="preserve">Recovery value used</t>
  </si>
  <si>
    <t xml:space="preserve">Covenant breaches</t>
  </si>
  <si>
    <t xml:space="preserve">Capital Structure — tranches, leverage through the stack, maturity wall and refinancing requirement</t>
  </si>
  <si>
    <t xml:space="preserve">Secured?</t>
  </si>
  <si>
    <t xml:space="preserve">Face value</t>
  </si>
  <si>
    <t xml:space="preserve">All-in rate</t>
  </si>
  <si>
    <t xml:space="preserve">Annual interest</t>
  </si>
  <si>
    <t xml:space="preserve">Cum. leverage</t>
  </si>
  <si>
    <t xml:space="preserve">% of capitalization</t>
  </si>
  <si>
    <t xml:space="preserve">Mkt value</t>
  </si>
  <si>
    <t xml:space="preserve">Total debt</t>
  </si>
  <si>
    <t xml:space="preserve">Less: cash</t>
  </si>
  <si>
    <t xml:space="preserve">Enterprise value (base EBITDA × market-implied multiple — analyst assumption)</t>
  </si>
  <si>
    <t xml:space="preserve">Equity (residual: max(0, EV − net debt))</t>
  </si>
  <si>
    <t xml:space="preserve">Asset base (collateral / recovery basis)</t>
  </si>
  <si>
    <t xml:space="preserve">Loan-to-value through target tranche (cumulative debt ÷ asset base)</t>
  </si>
  <si>
    <t xml:space="preserve">Maturity wall (from Debt Schedule maturity flags) — selected scenario liquidity</t>
  </si>
  <si>
    <t xml:space="preserve">Period</t>
  </si>
  <si>
    <t xml:space="preserve">Debt due</t>
  </si>
  <si>
    <t xml:space="preserve">Cumulative %</t>
  </si>
  <si>
    <t xml:space="preserve">Projected liquidity</t>
  </si>
  <si>
    <t xml:space="preserve">Refinancing requirement</t>
  </si>
  <si>
    <t xml:space="preserve">Liquidity ÷ maturity</t>
  </si>
  <si>
    <t xml:space="preserve">Risk</t>
  </si>
  <si>
    <t xml:space="preserve">Flag</t>
  </si>
  <si>
    <t xml:space="preserve">Maturing within horizon / thereafter</t>
  </si>
  <si>
    <t xml:space="preserve">Thereafter (beyond the 5-period horizon)</t>
  </si>
  <si>
    <t xml:space="preserve">Maturity concentration</t>
  </si>
  <si>
    <t xml:space="preserve">Debt due within alert window</t>
  </si>
  <si>
    <t xml:space="preserve">Maturity alert</t>
  </si>
  <si>
    <t xml:space="preserve">Refinancing risk engine — per tranche, selected scenario (see Debt Schedule for the period-by-period test)</t>
  </si>
  <si>
    <t xml:space="preserve">Tranche</t>
  </si>
  <si>
    <t xml:space="preserve">Balance at maturity</t>
  </si>
  <si>
    <t xml:space="preserve">Repaid from cash</t>
  </si>
  <si>
    <t xml:space="preserve">Test</t>
  </si>
  <si>
    <t xml:space="preserve">Resolution</t>
  </si>
  <si>
    <t xml:space="preserve">Recovery — waterfall by seniority (collateral pools, deficiency claims) at the valuation event</t>
  </si>
  <si>
    <t xml:space="preserve">Valuation event (default period, or trough-EBITDA period if no default is modelled)</t>
  </si>
  <si>
    <t xml:space="preserve">Valuation event period flag</t>
  </si>
  <si>
    <t xml:space="preserve">Default modelled? (1 = yes)</t>
  </si>
  <si>
    <t xml:space="preserve">Valuation period</t>
  </si>
  <si>
    <t xml:space="preserve">EBITDA at valuation event</t>
  </si>
  <si>
    <t xml:space="preserve">Cash at valuation event</t>
  </si>
  <si>
    <t xml:space="preserve">Going-concern value (distressed multiple × EBITDA)</t>
  </si>
  <si>
    <t xml:space="preserve">Liquidation value (asset base × (1 − decline) × recovery)</t>
  </si>
  <si>
    <t xml:space="preserve">Model recovery value (greater of the two + cash)</t>
  </si>
  <si>
    <t xml:space="preserve">Recovery value used (override if provided)</t>
  </si>
  <si>
    <t xml:space="preserve">Less: administrative / DIP costs</t>
  </si>
  <si>
    <t xml:space="preserve">Net value distributable to creditors</t>
  </si>
  <si>
    <t xml:space="preserve">Claim at valuation event (balance + accrued interest)</t>
  </si>
  <si>
    <t xml:space="preserve">  Tranche 1: Hypothetical Senior Secured Term Loan (S+525, 1%</t>
  </si>
  <si>
    <t xml:space="preserve">  Tranche 2: Avira Secured Term Loan (swapped to 5.81%)</t>
  </si>
  <si>
    <t xml:space="preserve">  Tranche 3: 3151 Market C-PACE Loan</t>
  </si>
  <si>
    <t xml:space="preserve">  Tranche 4: Unsecured Revolver ($600M less LCs; hypothetical</t>
  </si>
  <si>
    <t xml:space="preserve">  Tranche 5: 3.95% Guaranteed Notes due Nov-2027</t>
  </si>
  <si>
    <t xml:space="preserve">  Tranche 6: 8.30% Guaranteed Notes due Mar-2028</t>
  </si>
  <si>
    <t xml:space="preserve">  Tranche 7: 8.875% Guaranteed Notes due Apr-2029</t>
  </si>
  <si>
    <t xml:space="preserve">  Tranche 8: 4.55% Guaranteed Notes due Oct-2029</t>
  </si>
  <si>
    <t xml:space="preserve">  Tranche 9: 6.125% Guaranteed Notes due Jan-2031</t>
  </si>
  <si>
    <t xml:space="preserve">  Tranche 10: Junior subordinated trust-preferred indentures</t>
  </si>
  <si>
    <t xml:space="preserve">Seniority rank</t>
  </si>
  <si>
    <t xml:space="preserve">Collateral share (specific lien; 0 = all-asset / pari)</t>
  </si>
  <si>
    <t xml:space="preserve">Paid from own collateral pool</t>
  </si>
  <si>
    <t xml:space="preserve">Deficiency claim (joins general creditors)</t>
  </si>
  <si>
    <t xml:space="preserve">General claim</t>
  </si>
  <si>
    <t xml:space="preserve">General rank</t>
  </si>
  <si>
    <t xml:space="preserve">General claims ahead</t>
  </si>
  <si>
    <t xml:space="preserve">General claims of same rank (pari passu)</t>
  </si>
  <si>
    <t xml:space="preserve">Recovery from general pool</t>
  </si>
  <si>
    <t xml:space="preserve">TOTAL RECOVERY</t>
  </si>
  <si>
    <t xml:space="preserve">Recovery %</t>
  </si>
  <si>
    <t xml:space="preserve">Loss amount</t>
  </si>
  <si>
    <t xml:space="preserve">Loss %</t>
  </si>
  <si>
    <t xml:space="preserve">Equity (residual after all claims)</t>
  </si>
  <si>
    <t xml:space="preserve">Check: recoveries + equity + costs − value (should be 0)</t>
  </si>
  <si>
    <t xml:space="preserve">Returns — face, purchase price, coupon, yield, recovery, IRR and MOIC (selected scenario)</t>
  </si>
  <si>
    <t xml:space="preserve">Value / t=0</t>
  </si>
  <si>
    <t xml:space="preserve">Position &amp; valuation inputs (links) — face value, purchase price, coupon, yield and recovery are distinct</t>
  </si>
  <si>
    <t xml:space="preserve">Target tranche #</t>
  </si>
  <si>
    <t xml:space="preserve">Face value (legal claim)</t>
  </si>
  <si>
    <t xml:space="preserve">Purchase price / OID (% of face)</t>
  </si>
  <si>
    <t xml:space="preserve">Cash investment (face × price × (1 + fees))</t>
  </si>
  <si>
    <t xml:space="preserve">Hold period (periods)</t>
  </si>
  <si>
    <t xml:space="preserve">Default period # (0 = no default)</t>
  </si>
  <si>
    <t xml:space="preserve">Our share of the tranche at the valuation event</t>
  </si>
  <si>
    <t xml:space="preserve">Recovery proceeds to our position if default</t>
  </si>
  <si>
    <t xml:space="preserve">Tranche recovery % at valuation event (waterfall)</t>
  </si>
  <si>
    <t xml:space="preserve">Last coupon period #</t>
  </si>
  <si>
    <t xml:space="preserve">Exit price assumption (no default)</t>
  </si>
  <si>
    <t xml:space="preserve">Exit EV (exit multiple × EBITDA + cash at hold period)</t>
  </si>
  <si>
    <t xml:space="preserve">Claim at exit (balance at hold period)</t>
  </si>
  <si>
    <t xml:space="preserve">Exit price used (lesser of assumption and valuation coverage)</t>
  </si>
  <si>
    <t xml:space="preserve">Principal proceeds received in period #</t>
  </si>
  <si>
    <t xml:space="preserve">Cash flows to the position ($M) — period # 0 … 6</t>
  </si>
  <si>
    <t xml:space="preserve">Period #</t>
  </si>
  <si>
    <t xml:space="preserve">Cash coupon rate on target tranche</t>
  </si>
  <si>
    <t xml:space="preserve">Cash interest received</t>
  </si>
  <si>
    <t xml:space="preserve">Exit proceeds / recovery</t>
  </si>
  <si>
    <t xml:space="preserve">Net cash flow</t>
  </si>
  <si>
    <t xml:space="preserve">Cash interest received (total)</t>
  </si>
  <si>
    <t xml:space="preserve">Exit / recovery proceeds (total)</t>
  </si>
  <si>
    <t xml:space="preserve">Total cash received</t>
  </si>
  <si>
    <t xml:space="preserve">Capital gain / (loss) vs purchase price (proceeds − face × price)</t>
  </si>
  <si>
    <t xml:space="preserve">Absolute profit</t>
  </si>
  <si>
    <t xml:space="preserve">Peak net leverage (projection)</t>
  </si>
  <si>
    <t xml:space="preserve">Minimum interest coverage (projection)</t>
  </si>
  <si>
    <t xml:space="preserve">Cumulative FCF (projection)</t>
  </si>
  <si>
    <t xml:space="preserve">Yield &amp; cross-checks (selected scenario)</t>
  </si>
  <si>
    <t xml:space="preserve">Current yield (year-1 cash coupon ÷ purchase price)</t>
  </si>
  <si>
    <t xml:space="preserve">Yield to maturity (annual coupons to final maturity at par; Excel RATE)</t>
  </si>
  <si>
    <t xml:space="preserve">Dates for XIRR (entry date, then each model-period end)</t>
  </si>
  <si>
    <t xml:space="preserve">XIRR (date-weighted cross-check; Excel XIRR)</t>
  </si>
  <si>
    <t xml:space="preserve">Summary by scenario (from Calc Engine)</t>
  </si>
  <si>
    <t xml:space="preserve">Default modelled?</t>
  </si>
  <si>
    <t xml:space="preserve">Cash investment</t>
  </si>
  <si>
    <t xml:space="preserve">Exit / recovery proceeds</t>
  </si>
  <si>
    <t xml:space="preserve">Capital gain / (loss) vs purchase price</t>
  </si>
  <si>
    <t xml:space="preserve">Recovery % of target tranche (valuation waterfall)</t>
  </si>
  <si>
    <t xml:space="preserve">Contractual-timing cross-check — coupons re-timed to the payment frequency (annual model flows otherwise unchanged)</t>
  </si>
  <si>
    <t xml:space="preserve">Convention: settlement on a coupon date (no accrued interest); coupon = annual coupon cash ÷ payments per year, paid at the end of each sub-period; exit / recovery proceeds on the annual dates. With 1 payment per year this reproduces the annual IRR exactly.</t>
  </si>
  <si>
    <t xml:space="preserve">Sub-periods per annual period (grid columns ÷ annual columns)</t>
  </si>
  <si>
    <t xml:space="preserve">Last sub-period carrying a coupon (5 coupon periods)</t>
  </si>
  <si>
    <t xml:space="preserve">Sub-period #</t>
  </si>
  <si>
    <t xml:space="preserve">Base Case · flows on contractual dates</t>
  </si>
  <si>
    <t xml:space="preserve">Downside · flows on contractual dates</t>
  </si>
  <si>
    <t xml:space="preserve">Severe Downside · flows on contractual dates</t>
  </si>
  <si>
    <t xml:space="preserve">Contractual-timing IRR (annualised effective)</t>
  </si>
  <si>
    <t xml:space="preserve">Expected (probability-weighted) flows on contractual dates</t>
  </si>
  <si>
    <t xml:space="preserve">Probability-weighted IRR on contractual timing (IRR of expected flows)</t>
  </si>
  <si>
    <t xml:space="preserve">(columns C, D, E = Base, Downside, Severe)</t>
  </si>
  <si>
    <t xml:space="preserve">Sensitivities — position IRR / MOIC under Base, Downside and Severe</t>
  </si>
  <si>
    <t xml:space="preserve">Axis values (blue) are inputs. Every cell is a formula: IRR over a cash-flow row, or an IRR / recovery from a full Calc Engine case. No data tables → recalculates in Excel and LibreOffice.</t>
  </si>
  <si>
    <t xml:space="preserve">Table 1 — Purchase price vs IRR</t>
  </si>
  <si>
    <t xml:space="preserve">Purchase price (% of face)</t>
  </si>
  <si>
    <t xml:space="preserve">Offset</t>
  </si>
  <si>
    <t xml:space="preserve">Table 2 — Exit / recovery value (% of face, received at exit or after default) vs IRR</t>
  </si>
  <si>
    <t xml:space="preserve">Proceeds (% of face)</t>
  </si>
  <si>
    <t xml:space="preserve">Table 3 — EBITDA margin shift (all periods) vs IRR — full model re-run</t>
  </si>
  <si>
    <t xml:space="preserve">EBITDA margin shift (pts)</t>
  </si>
  <si>
    <t xml:space="preserve">Table 4 — Revenue growth shift (all periods) vs IRR — full model re-run</t>
  </si>
  <si>
    <t xml:space="preserve">Revenue growth shift (pts)</t>
  </si>
  <si>
    <t xml:space="preserve">Table 5 — Interest rate (SOFR) shift vs IRR — full model re-run (floating coupons and interest burden both move)</t>
  </si>
  <si>
    <t xml:space="preserve">SOFR shift (pts)</t>
  </si>
  <si>
    <t xml:space="preserve">Table 6 — Distressed valuation multiple shift (x) vs target-tranche recovery % (valuation waterfall)</t>
  </si>
  <si>
    <t xml:space="preserve">Multiple shift (x EBITDA)</t>
  </si>
  <si>
    <t xml:space="preserve">Table 7 — Recovery / exit value (% of face) vs MOIC</t>
  </si>
  <si>
    <t xml:space="preserve">Tables 3-6 re-run the operating model, debt schedule, default test and recovery waterfall for every point (Calc Engine cases 4-63).</t>
  </si>
  <si>
    <t xml:space="preserve">Supporting cash flows for Tables 1-2 (period 0 → 6) and resulting IRR</t>
  </si>
  <si>
    <t xml:space="preserve">Case</t>
  </si>
  <si>
    <t xml:space="preserve">Collateral coverage stress — recovery of the target tranche from its pledged pool (asset-based floor; ignores going-concern value, cash and deficiency recovery)</t>
  </si>
  <si>
    <t xml:space="preserve">Recovery = MIN(100%, pool share × asset value × (1 − realization cost) × (1 − admin costs) ÷ claim). Claim = target-tranche principal at close. Pool share is an analyst assumption, not a verified allocation.</t>
  </si>
  <si>
    <t xml:space="preserve">Pool share of asset value pledged to the target tranche (assumption)</t>
  </si>
  <si>
    <t xml:space="preserve">Claim: target-tranche principal at close ($M)</t>
  </si>
  <si>
    <t xml:space="preserve">Liquidation recovery factor (Severe scenario)</t>
  </si>
  <si>
    <t xml:space="preserve">LTM NOI ($M)</t>
  </si>
  <si>
    <t xml:space="preserve">Analyst cap rate (base)</t>
  </si>
  <si>
    <t xml:space="preserve">Total asset base ($M)</t>
  </si>
  <si>
    <t xml:space="preserve">Non-operating asset components, book ($M)</t>
  </si>
  <si>
    <t xml:space="preserve">Table C1 — recovery % vs cap rate (rows) and NOI change (columns), pledged pool at the stated share</t>
  </si>
  <si>
    <t xml:space="preserve">Cap rate</t>
  </si>
  <si>
    <t xml:space="preserve">Table C2 — recovery % vs pledged share of asset value (rows) and realization factor (columns: 100% = full value, lower = higher sale / enforcement costs)</t>
  </si>
  <si>
    <t xml:space="preserve">Pool share</t>
  </si>
  <si>
    <t xml:space="preserve">Table C3 — recovery % vs loan balance (rows, multiple of the hypothetical claim) and asset-value decline (columns)</t>
  </si>
  <si>
    <t xml:space="preserve">Claim multiple</t>
  </si>
  <si>
    <t xml:space="preserve">Break-even: the point at which recovery of the target tranche falls below 100% (Severe realization factor)</t>
  </si>
  <si>
    <t xml:space="preserve">Total asset value needed for 100% recovery of the target tranche ($M)</t>
  </si>
  <si>
    <t xml:space="preserve">Equivalent decline in total asset value from the base</t>
  </si>
  <si>
    <t xml:space="preserve">Break-even cap rate at unchanged NOI (n/a if non-operating assets alone cover it)</t>
  </si>
  <si>
    <t xml:space="preserve">Break-even NOI change at the base cap rate</t>
  </si>
  <si>
    <t xml:space="preserve">Investment Summary — every figure is a live link to the model</t>
  </si>
  <si>
    <t xml:space="preserve">Investment recommendation</t>
  </si>
  <si>
    <t xml:space="preserve">Instrument</t>
  </si>
  <si>
    <t xml:space="preserve">Face value / purchase price / cash investment ($M)</t>
  </si>
  <si>
    <t xml:space="preserve">Base-case IRR</t>
  </si>
  <si>
    <t xml:space="preserve">Downside IRR</t>
  </si>
  <si>
    <t xml:space="preserve">Severe downside IRR</t>
  </si>
  <si>
    <t xml:space="preserve">Base / Downside / Severe MOIC</t>
  </si>
  <si>
    <t xml:space="preserve">Probability-weighted IRR</t>
  </si>
  <si>
    <t xml:space="preserve">Target-tranche recovery — Downside (valuation waterfall)</t>
  </si>
  <si>
    <t xml:space="preserve">Target-tranche recovery — Severe (valuation waterfall)</t>
  </si>
  <si>
    <t xml:space="preserve">Recovery (selected scenario, from Recovery tab)</t>
  </si>
  <si>
    <t xml:space="preserve">Net leverage — base period (LTM Jun-26)</t>
  </si>
  <si>
    <t xml:space="preserve">Interest coverage — base period</t>
  </si>
  <si>
    <t xml:space="preserve">Net leverage — LTM Jun-27E (selected scenario)</t>
  </si>
  <si>
    <t xml:space="preserve">Interest coverage — LTM Jun-27E (selected scenario)</t>
  </si>
  <si>
    <t xml:space="preserve">Liquidity — LTM Jun-27E (selected scenario, $M)</t>
  </si>
  <si>
    <t xml:space="preserve">Covenant breaches (selected scenario, count of failed tests)</t>
  </si>
  <si>
    <t xml:space="preserve">Recommendation evidence (thresholds on Assumptions §3)</t>
  </si>
  <si>
    <t xml:space="preserve">Actual</t>
  </si>
  <si>
    <t xml:space="preserve">Required</t>
  </si>
  <si>
    <t xml:space="preserve">Result</t>
  </si>
  <si>
    <t xml:space="preserve">Core?</t>
  </si>
  <si>
    <t xml:space="preserve">Base-case IRR clears hurdle</t>
  </si>
  <si>
    <t xml:space="preserve">core</t>
  </si>
  <si>
    <t xml:space="preserve">Probability-weighted IRR clears hurdle</t>
  </si>
  <si>
    <t xml:space="preserve">Downside IRR stays above floor</t>
  </si>
  <si>
    <t xml:space="preserve">Downside recovery meets minimum (valuation waterfall)</t>
  </si>
  <si>
    <t xml:space="preserve">Base-case refinancing succeeds (failures = 0)</t>
  </si>
  <si>
    <t xml:space="preserve">Yield to maturity meets minimum</t>
  </si>
  <si>
    <t xml:space="preserve">Net leverage within maximum</t>
  </si>
  <si>
    <t xml:space="preserve">Covenant headroom (base case, minimum)</t>
  </si>
  <si>
    <t xml:space="preserve">Principal protected in severe case (recovery % × 100 ≥ price)</t>
  </si>
  <si>
    <t xml:space="preserve">No unresolved high-priority diligence</t>
  </si>
  <si>
    <t xml:space="preserve">Core test failures</t>
  </si>
  <si>
    <t xml:space="preserve">Secondary test failures</t>
  </si>
  <si>
    <t xml:space="preserve">DECISION (PROCEED / HOLD / PASS)</t>
  </si>
  <si>
    <t xml:space="preserve">Model integrity checks</t>
  </si>
  <si>
    <t xml:space="preserve">Check</t>
  </si>
  <si>
    <t xml:space="preserve">Status</t>
  </si>
  <si>
    <t xml:space="preserve">Scenario probabilities sum to 100%</t>
  </si>
  <si>
    <t xml:space="preserve">Credit score weights sum to 100</t>
  </si>
  <si>
    <t xml:space="preserve">Debt roll-forward bridge (sum of abs. differences)</t>
  </si>
  <si>
    <t xml:space="preserve">Recovery waterfall: recoveries + equity + costs = value</t>
  </si>
  <si>
    <t xml:space="preserve">Detailed tabs reconcile to Calc Engine (sum of abs. diffs)</t>
  </si>
  <si>
    <t xml:space="preserve">Model-calculated EBITDA / NOI equals company-reported figure (sum of abs. differences)</t>
  </si>
  <si>
    <t xml:space="preserve">Formula errors across model tabs (count)</t>
  </si>
  <si>
    <t xml:space="preserve">OVERALL MODEL STATUS</t>
  </si>
  <si>
    <t xml:space="preserve">Sources — which model input came from which source</t>
  </si>
  <si>
    <t xml:space="preserve">PUBLIC FILING datapoints: every reported historical number below is a blue input on the Historical Financials tab; the Value column here is a live LINK to that cell. Page = footer page of the cited filing where recoverable. Derived values are formulas, never hardcodes.</t>
  </si>
  <si>
    <t xml:space="preserve">Source document</t>
  </si>
  <si>
    <t xml:space="preserve">Form</t>
  </si>
  <si>
    <t xml:space="preserve">Accession</t>
  </si>
  <si>
    <t xml:space="preserve">Filed</t>
  </si>
  <si>
    <t xml:space="preserve">URL</t>
  </si>
  <si>
    <t xml:space="preserve">Retrieved</t>
  </si>
  <si>
    <t xml:space="preserve">Data type</t>
  </si>
  <si>
    <t xml:space="preserve">Brandywine Realty Trust — Form 10-K, period ended 2025-12-31</t>
  </si>
  <si>
    <t xml:space="preserve">Annual report</t>
  </si>
  <si>
    <t xml:space="preserve">2025-12-31</t>
  </si>
  <si>
    <t xml:space="preserve">0000790816-26-000008</t>
  </si>
  <si>
    <t xml:space="preserve">2026-02-23</t>
  </si>
  <si>
    <t xml:space="preserve">https://www.sec.gov/Archives/edgar/data/790816/000079081626000008/bdn-20251231.htm</t>
  </si>
  <si>
    <t xml:space="preserve">2026-10-07</t>
  </si>
  <si>
    <t xml:space="preserve">PUBLIC FILING</t>
  </si>
  <si>
    <t xml:space="preserve">Brandywine Realty Trust — Form 10-Q, period ended 2026-06-30</t>
  </si>
  <si>
    <t xml:space="preserve">Quarterly report</t>
  </si>
  <si>
    <t xml:space="preserve">2026-06-30</t>
  </si>
  <si>
    <t xml:space="preserve">0000790816-26-000029</t>
  </si>
  <si>
    <t xml:space="preserve">2026-07-28</t>
  </si>
  <si>
    <t xml:space="preserve">https://www.sec.gov/Archives/edgar/data/790816/000079081626000029/bdn-20260630.htm</t>
  </si>
  <si>
    <t xml:space="preserve">SOFR — Secured Overnight Financing Rate (3.90% on 2026-10-06)</t>
  </si>
  <si>
    <t xml:space="preserve">Macro rate</t>
  </si>
  <si>
    <t xml:space="preserve">2026-10-06</t>
  </si>
  <si>
    <t xml:space="preserve">https://fred.stlouisfed.org/series/SOFR</t>
  </si>
  <si>
    <t xml:space="preserve">Datapoint register (each row: one reported figure or disclosure, with filing, page/section and the model cell it feeds)</t>
  </si>
  <si>
    <t xml:space="preserve">Datapoint ID</t>
  </si>
  <si>
    <t xml:space="preserve">Metric</t>
  </si>
  <si>
    <t xml:space="preserve">Value (US$M) — link to model cell</t>
  </si>
  <si>
    <t xml:space="preserve">Filing</t>
  </si>
  <si>
    <t xml:space="preserve">Filing date</t>
  </si>
  <si>
    <t xml:space="preserve">Page</t>
  </si>
  <si>
    <t xml:space="preserve">Section</t>
  </si>
  <si>
    <t xml:space="preserve">Source URL</t>
  </si>
  <si>
    <t xml:space="preserve">Kind</t>
  </si>
  <si>
    <t xml:space="preserve">Model cell</t>
  </si>
  <si>
    <t xml:space="preserve">Raw text in filing / note</t>
  </si>
  <si>
    <t xml:space="preserve">bdn.q2_available_revolver</t>
  </si>
  <si>
    <t xml:space="preserve">q2_available_revolver</t>
  </si>
  <si>
    <t xml:space="preserve">n/a (text disclosure)</t>
  </si>
  <si>
    <t xml:space="preserve">text disclosure</t>
  </si>
  <si>
    <t xml:space="preserve">Form 10-Q for period ended 2026-06-30</t>
  </si>
  <si>
    <t xml:space="preserve">44</t>
  </si>
  <si>
    <t xml:space="preserve">Liquidity: availability at 2026-06-30 (600.0 commitment − 149.0 drawn − 25.5 letters of credit)</t>
  </si>
  <si>
    <t xml:space="preserve">reported</t>
  </si>
  <si>
    <t xml:space="preserve">$425.5 million of available borrowings under our Unsecured Credit Facility, net of $25.5 million in letters of credit outstanding — Liquidity: availability at 2026-06-30 (600.0 commitment − 149.0 drawn − 25.5 letters of credit)</t>
  </si>
  <si>
    <t xml:space="preserve">bdn.revenue.FY2023</t>
  </si>
  <si>
    <t xml:space="preserve">revenue</t>
  </si>
  <si>
    <t xml:space="preserve">FY2023</t>
  </si>
  <si>
    <t xml:space="preserve">US$M</t>
  </si>
  <si>
    <t xml:space="preserve">Form 10-K for period ended 2025-12-31</t>
  </si>
  <si>
    <t xml:space="preserve">F-9</t>
  </si>
  <si>
    <t xml:space="preserve">Consolidated Statements of Operations</t>
  </si>
  <si>
    <t xml:space="preserve">Historical Financials!B6</t>
  </si>
  <si>
    <t xml:space="preserve">as printed: 514,651 ($ thousands)</t>
  </si>
  <si>
    <t xml:space="preserve">bdn.prop_opex.FY2023</t>
  </si>
  <si>
    <t xml:space="preserve">prop_opex</t>
  </si>
  <si>
    <t xml:space="preserve">Historical Financials!B7</t>
  </si>
  <si>
    <t xml:space="preserve">as printed: 129,885 ($ thousands)</t>
  </si>
  <si>
    <t xml:space="preserve">bdn.re_taxes.FY2023</t>
  </si>
  <si>
    <t xml:space="preserve">re_taxes</t>
  </si>
  <si>
    <t xml:space="preserve">Historical Financials!B8</t>
  </si>
  <si>
    <t xml:space="preserve">as printed: 49,974 ($ thousands)</t>
  </si>
  <si>
    <t xml:space="preserve">bdn.mgmt_exp.FY2023</t>
  </si>
  <si>
    <t xml:space="preserve">mgmt_exp</t>
  </si>
  <si>
    <t xml:space="preserve">Historical Financials!B9</t>
  </si>
  <si>
    <t xml:space="preserve">as printed: 10,088 ($ thousands)</t>
  </si>
  <si>
    <t xml:space="preserve">bdn.ga.FY2023</t>
  </si>
  <si>
    <t xml:space="preserve">ga</t>
  </si>
  <si>
    <t xml:space="preserve">Historical Financials!B10</t>
  </si>
  <si>
    <t xml:space="preserve">as printed: 34,862 ($ thousands)</t>
  </si>
  <si>
    <t xml:space="preserve">bdn.da.FY2023</t>
  </si>
  <si>
    <t xml:space="preserve">da</t>
  </si>
  <si>
    <t xml:space="preserve">Historical Financials!B11</t>
  </si>
  <si>
    <t xml:space="preserve">as printed: 188,797 ($ thousands)</t>
  </si>
  <si>
    <t xml:space="preserve">bdn.interest_expense.FY2023</t>
  </si>
  <si>
    <t xml:space="preserve">interest_expense</t>
  </si>
  <si>
    <t xml:space="preserve">Historical Financials!B12</t>
  </si>
  <si>
    <t xml:space="preserve">as printed: 95,456 ($ thousands) — Excludes amortization of deferred financing costs; net of capitalized interest</t>
  </si>
  <si>
    <t xml:space="preserve">bdn.taxes.FY2023</t>
  </si>
  <si>
    <t xml:space="preserve">taxes</t>
  </si>
  <si>
    <t xml:space="preserve">Historical Financials!B13</t>
  </si>
  <si>
    <t xml:space="preserve">as printed: 72 ($ thousands)</t>
  </si>
  <si>
    <t xml:space="preserve">bdn.capex_ti.FY2023</t>
  </si>
  <si>
    <t xml:space="preserve">capex_ti</t>
  </si>
  <si>
    <t xml:space="preserve">F-12</t>
  </si>
  <si>
    <t xml:space="preserve">Consolidated Statements of Cash Flows</t>
  </si>
  <si>
    <t xml:space="preserve">Historical Financials!B15</t>
  </si>
  <si>
    <t xml:space="preserve">as printed: 48,939 ($ thousands)</t>
  </si>
  <si>
    <t xml:space="preserve">bdn.capex_redev.FY2023</t>
  </si>
  <si>
    <t xml:space="preserve">capex_redev</t>
  </si>
  <si>
    <t xml:space="preserve">Historical Financials!B16</t>
  </si>
  <si>
    <t xml:space="preserve">as printed: 59,984 ($ thousands)</t>
  </si>
  <si>
    <t xml:space="preserve">bdn.capex_dev.FY2023</t>
  </si>
  <si>
    <t xml:space="preserve">capex_dev</t>
  </si>
  <si>
    <t xml:space="preserve">Historical Financials!B17</t>
  </si>
  <si>
    <t xml:space="preserve">as printed: 47,537 ($ thousands)</t>
  </si>
  <si>
    <t xml:space="preserve">bdn.leasing_costs.FY2023</t>
  </si>
  <si>
    <t xml:space="preserve">leasing_costs</t>
  </si>
  <si>
    <t xml:space="preserve">Historical Financials!B18</t>
  </si>
  <si>
    <t xml:space="preserve">as printed: 7,879 ($ thousands)</t>
  </si>
  <si>
    <t xml:space="preserve">bdn.cfo.FY2023</t>
  </si>
  <si>
    <t xml:space="preserve">cfo</t>
  </si>
  <si>
    <t xml:space="preserve">Historical Financials!B14</t>
  </si>
  <si>
    <t xml:space="preserve">as printed: 177,273 ($ thousands)</t>
  </si>
  <si>
    <t xml:space="preserve">bdn.revenue.FY2024</t>
  </si>
  <si>
    <t xml:space="preserve">FY2024</t>
  </si>
  <si>
    <t xml:space="preserve">Historical Financials!C6</t>
  </si>
  <si>
    <t xml:space="preserve">as printed: 505,517 ($ thousands)</t>
  </si>
  <si>
    <t xml:space="preserve">bdn.prop_opex.FY2024</t>
  </si>
  <si>
    <t xml:space="preserve">Historical Financials!C7</t>
  </si>
  <si>
    <t xml:space="preserve">as printed: 129,890 ($ thousands)</t>
  </si>
  <si>
    <t xml:space="preserve">bdn.re_taxes.FY2024</t>
  </si>
  <si>
    <t xml:space="preserve">Historical Financials!C8</t>
  </si>
  <si>
    <t xml:space="preserve">as printed: 47,726 ($ thousands)</t>
  </si>
  <si>
    <t xml:space="preserve">bdn.mgmt_exp.FY2024</t>
  </si>
  <si>
    <t xml:space="preserve">Historical Financials!C9</t>
  </si>
  <si>
    <t xml:space="preserve">as printed: 9,714 ($ thousands)</t>
  </si>
  <si>
    <t xml:space="preserve">bdn.ga.FY2024</t>
  </si>
  <si>
    <t xml:space="preserve">Historical Financials!C10</t>
  </si>
  <si>
    <t xml:space="preserve">as printed: 42,781 ($ thousands)</t>
  </si>
  <si>
    <t xml:space="preserve">bdn.da.FY2024</t>
  </si>
  <si>
    <t xml:space="preserve">Historical Financials!C11</t>
  </si>
  <si>
    <t xml:space="preserve">as printed: 178,168 ($ thousands)</t>
  </si>
  <si>
    <t xml:space="preserve">bdn.interest_expense.FY2024</t>
  </si>
  <si>
    <t xml:space="preserve">Historical Financials!C12</t>
  </si>
  <si>
    <t xml:space="preserve">as printed: 116,306 ($ thousands) — Excludes amortization of deferred financing costs; net of capitalized interest</t>
  </si>
  <si>
    <t xml:space="preserve">bdn.taxes.FY2024</t>
  </si>
  <si>
    <t xml:space="preserve">Historical Financials!C13</t>
  </si>
  <si>
    <t xml:space="preserve">as printed: 14 ($ thousands)</t>
  </si>
  <si>
    <t xml:space="preserve">bdn.capex_ti.FY2024</t>
  </si>
  <si>
    <t xml:space="preserve">Historical Financials!C15</t>
  </si>
  <si>
    <t xml:space="preserve">as printed: 72,792 ($ thousands)</t>
  </si>
  <si>
    <t xml:space="preserve">bdn.capex_redev.FY2024</t>
  </si>
  <si>
    <t xml:space="preserve">Historical Financials!C16</t>
  </si>
  <si>
    <t xml:space="preserve">as printed: 18,398 ($ thousands)</t>
  </si>
  <si>
    <t xml:space="preserve">bdn.capex_dev.FY2024</t>
  </si>
  <si>
    <t xml:space="preserve">Historical Financials!C17</t>
  </si>
  <si>
    <t xml:space="preserve">as printed: 38,570 ($ thousands)</t>
  </si>
  <si>
    <t xml:space="preserve">bdn.leasing_costs.FY2024</t>
  </si>
  <si>
    <t xml:space="preserve">Historical Financials!C18</t>
  </si>
  <si>
    <t xml:space="preserve">as printed: 10,557 ($ thousands)</t>
  </si>
  <si>
    <t xml:space="preserve">bdn.cfo.FY2024</t>
  </si>
  <si>
    <t xml:space="preserve">Historical Financials!C14</t>
  </si>
  <si>
    <t xml:space="preserve">as printed: 181,125 ($ thousands)</t>
  </si>
  <si>
    <t xml:space="preserve">bdn.revenue.FY2025</t>
  </si>
  <si>
    <t xml:space="preserve">FY2025</t>
  </si>
  <si>
    <t xml:space="preserve">Historical Financials!D6</t>
  </si>
  <si>
    <t xml:space="preserve">as printed: 484,454 ($ thousands)</t>
  </si>
  <si>
    <t xml:space="preserve">bdn.prop_opex.FY2025</t>
  </si>
  <si>
    <t xml:space="preserve">Historical Financials!D7</t>
  </si>
  <si>
    <t xml:space="preserve">as printed: 131,347 ($ thousands)</t>
  </si>
  <si>
    <t xml:space="preserve">bdn.re_taxes.FY2025</t>
  </si>
  <si>
    <t xml:space="preserve">Historical Financials!D8</t>
  </si>
  <si>
    <t xml:space="preserve">as printed: 43,602 ($ thousands)</t>
  </si>
  <si>
    <t xml:space="preserve">bdn.mgmt_exp.FY2025</t>
  </si>
  <si>
    <t xml:space="preserve">Historical Financials!D9</t>
  </si>
  <si>
    <t xml:space="preserve">as printed: 10,245 ($ thousands)</t>
  </si>
  <si>
    <t xml:space="preserve">bdn.ga.FY2025</t>
  </si>
  <si>
    <t xml:space="preserve">Historical Financials!D10</t>
  </si>
  <si>
    <t xml:space="preserve">as printed: 42,031 ($ thousands)</t>
  </si>
  <si>
    <t xml:space="preserve">bdn.da.FY2025</t>
  </si>
  <si>
    <t xml:space="preserve">Historical Financials!D11</t>
  </si>
  <si>
    <t xml:space="preserve">as printed: 176,428 ($ thousands)</t>
  </si>
  <si>
    <t xml:space="preserve">bdn.interest_expense.FY2025</t>
  </si>
  <si>
    <t xml:space="preserve">Historical Financials!D12</t>
  </si>
  <si>
    <t xml:space="preserve">as printed: 134,955 ($ thousands) — Excludes amortization of deferred financing costs; net of capitalized interest</t>
  </si>
  <si>
    <t xml:space="preserve">bdn.taxes.FY2025</t>
  </si>
  <si>
    <t xml:space="preserve">Historical Financials!D13</t>
  </si>
  <si>
    <t xml:space="preserve">as printed: 112 ($ thousands)</t>
  </si>
  <si>
    <t xml:space="preserve">bdn.capex_ti.FY2025</t>
  </si>
  <si>
    <t xml:space="preserve">Historical Financials!D15</t>
  </si>
  <si>
    <t xml:space="preserve">as printed: 74,005 ($ thousands)</t>
  </si>
  <si>
    <t xml:space="preserve">bdn.capex_redev.FY2025</t>
  </si>
  <si>
    <t xml:space="preserve">Historical Financials!D16</t>
  </si>
  <si>
    <t xml:space="preserve">as printed: 6,168 ($ thousands)</t>
  </si>
  <si>
    <t xml:space="preserve">bdn.capex_dev.FY2025</t>
  </si>
  <si>
    <t xml:space="preserve">Historical Financials!D17</t>
  </si>
  <si>
    <t xml:space="preserve">as printed: 33,223 ($ thousands)</t>
  </si>
  <si>
    <t xml:space="preserve">bdn.leasing_costs.FY2025</t>
  </si>
  <si>
    <t xml:space="preserve">Historical Financials!D18</t>
  </si>
  <si>
    <t xml:space="preserve">as printed: 12,749 ($ thousands)</t>
  </si>
  <si>
    <t xml:space="preserve">bdn.cfo.FY2025</t>
  </si>
  <si>
    <t xml:space="preserve">Historical Financials!D14</t>
  </si>
  <si>
    <t xml:space="preserve">as printed: 116,701 ($ thousands)</t>
  </si>
  <si>
    <t xml:space="preserve">bdn.revenue.H1-2025</t>
  </si>
  <si>
    <t xml:space="preserve">H1-2025</t>
  </si>
  <si>
    <t xml:space="preserve">7</t>
  </si>
  <si>
    <t xml:space="preserve">Consolidated Statements of Operations (six months)</t>
  </si>
  <si>
    <t xml:space="preserve">Historical Financials!E6</t>
  </si>
  <si>
    <t xml:space="preserve">as printed: 242,087 ($ thousands)</t>
  </si>
  <si>
    <t xml:space="preserve">bdn.prop_opex.H1-2025</t>
  </si>
  <si>
    <t xml:space="preserve">Historical Financials!E7</t>
  </si>
  <si>
    <t xml:space="preserve">as printed: 64,891 ($ thousands)</t>
  </si>
  <si>
    <t xml:space="preserve">bdn.re_taxes.H1-2025</t>
  </si>
  <si>
    <t xml:space="preserve">Historical Financials!E8</t>
  </si>
  <si>
    <t xml:space="preserve">as printed: 22,939 ($ thousands)</t>
  </si>
  <si>
    <t xml:space="preserve">bdn.mgmt_exp.H1-2025</t>
  </si>
  <si>
    <t xml:space="preserve">Historical Financials!E9</t>
  </si>
  <si>
    <t xml:space="preserve">as printed: 5,117 ($ thousands)</t>
  </si>
  <si>
    <t xml:space="preserve">bdn.ga.H1-2025</t>
  </si>
  <si>
    <t xml:space="preserve">Historical Financials!E10</t>
  </si>
  <si>
    <t xml:space="preserve">as printed: 26,795 ($ thousands)</t>
  </si>
  <si>
    <t xml:space="preserve">bdn.da.H1-2025</t>
  </si>
  <si>
    <t xml:space="preserve">Historical Financials!E11</t>
  </si>
  <si>
    <t xml:space="preserve">as printed: 88,115 ($ thousands)</t>
  </si>
  <si>
    <t xml:space="preserve">bdn.interest_expense.H1-2025</t>
  </si>
  <si>
    <t xml:space="preserve">Historical Financials!E12</t>
  </si>
  <si>
    <t xml:space="preserve">as printed: 64,190 ($ thousands)</t>
  </si>
  <si>
    <t xml:space="preserve">bdn.taxes.H1-2025</t>
  </si>
  <si>
    <t xml:space="preserve">Historical Financials!E13</t>
  </si>
  <si>
    <t xml:space="preserve">as printed: 85 ($ thousands)</t>
  </si>
  <si>
    <t xml:space="preserve">bdn.capex_ti.H1-2025</t>
  </si>
  <si>
    <t xml:space="preserve">11</t>
  </si>
  <si>
    <t xml:space="preserve">Consolidated Statements of Cash Flows (six months)</t>
  </si>
  <si>
    <t xml:space="preserve">Historical Financials!E15</t>
  </si>
  <si>
    <t xml:space="preserve">as printed: 39,524 ($ thousands)</t>
  </si>
  <si>
    <t xml:space="preserve">bdn.capex_redev.H1-2025</t>
  </si>
  <si>
    <t xml:space="preserve">Historical Financials!E16</t>
  </si>
  <si>
    <t xml:space="preserve">as printed: 4,766 ($ thousands)</t>
  </si>
  <si>
    <t xml:space="preserve">bdn.capex_dev.H1-2025</t>
  </si>
  <si>
    <t xml:space="preserve">Historical Financials!E17</t>
  </si>
  <si>
    <t xml:space="preserve">as printed: 17,656 ($ thousands)</t>
  </si>
  <si>
    <t xml:space="preserve">bdn.leasing_costs.H1-2025</t>
  </si>
  <si>
    <t xml:space="preserve">Historical Financials!E18</t>
  </si>
  <si>
    <t xml:space="preserve">as printed: 6,726 ($ thousands)</t>
  </si>
  <si>
    <t xml:space="preserve">bdn.cfo.H1-2025</t>
  </si>
  <si>
    <t xml:space="preserve">Historical Financials!E14</t>
  </si>
  <si>
    <t xml:space="preserve">as printed: 40,704 ($ thousands)</t>
  </si>
  <si>
    <t xml:space="preserve">bdn.revenue.H1-2026</t>
  </si>
  <si>
    <t xml:space="preserve">H1-2026</t>
  </si>
  <si>
    <t xml:space="preserve">Historical Financials!F6</t>
  </si>
  <si>
    <t xml:space="preserve">as printed: 255,924 ($ thousands)</t>
  </si>
  <si>
    <t xml:space="preserve">bdn.prop_opex.H1-2026</t>
  </si>
  <si>
    <t xml:space="preserve">Historical Financials!F7</t>
  </si>
  <si>
    <t xml:space="preserve">as printed: 77,094 ($ thousands)</t>
  </si>
  <si>
    <t xml:space="preserve">bdn.re_taxes.H1-2026</t>
  </si>
  <si>
    <t xml:space="preserve">Historical Financials!F8</t>
  </si>
  <si>
    <t xml:space="preserve">as printed: 23,006 ($ thousands)</t>
  </si>
  <si>
    <t xml:space="preserve">bdn.mgmt_exp.H1-2026</t>
  </si>
  <si>
    <t xml:space="preserve">Historical Financials!F9</t>
  </si>
  <si>
    <t xml:space="preserve">as printed: 4,433 ($ thousands)</t>
  </si>
  <si>
    <t xml:space="preserve">bdn.ga.H1-2026</t>
  </si>
  <si>
    <t xml:space="preserve">Historical Financials!F10</t>
  </si>
  <si>
    <t xml:space="preserve">as printed: 21,598 ($ thousands)</t>
  </si>
  <si>
    <t xml:space="preserve">bdn.da.H1-2026</t>
  </si>
  <si>
    <t xml:space="preserve">Historical Financials!F11</t>
  </si>
  <si>
    <t xml:space="preserve">as printed: 96,980 ($ thousands)</t>
  </si>
  <si>
    <t xml:space="preserve">bdn.interest_expense.H1-2026</t>
  </si>
  <si>
    <t xml:space="preserve">Historical Financials!F12</t>
  </si>
  <si>
    <t xml:space="preserve">as printed: 82,820 ($ thousands)</t>
  </si>
  <si>
    <t xml:space="preserve">bdn.taxes.H1-2026</t>
  </si>
  <si>
    <t xml:space="preserve">Historical Financials!F13</t>
  </si>
  <si>
    <t xml:space="preserve">as printed: 24 ($ thousands)</t>
  </si>
  <si>
    <t xml:space="preserve">bdn.capex_ti.H1-2026</t>
  </si>
  <si>
    <t xml:space="preserve">Historical Financials!F15</t>
  </si>
  <si>
    <t xml:space="preserve">as printed: 33,162 ($ thousands)</t>
  </si>
  <si>
    <t xml:space="preserve">bdn.capex_redev.H1-2026</t>
  </si>
  <si>
    <t xml:space="preserve">Historical Financials!F16</t>
  </si>
  <si>
    <t xml:space="preserve">as printed: 1,872 ($ thousands)</t>
  </si>
  <si>
    <t xml:space="preserve">bdn.capex_dev.H1-2026</t>
  </si>
  <si>
    <t xml:space="preserve">Historical Financials!F17</t>
  </si>
  <si>
    <t xml:space="preserve">as printed: 26,632 ($ thousands)</t>
  </si>
  <si>
    <t xml:space="preserve">bdn.leasing_costs.H1-2026</t>
  </si>
  <si>
    <t xml:space="preserve">Historical Financials!F18</t>
  </si>
  <si>
    <t xml:space="preserve">as printed: 9,886 ($ thousands)</t>
  </si>
  <si>
    <t xml:space="preserve">bdn.cfo.H1-2026</t>
  </si>
  <si>
    <t xml:space="preserve">Historical Financials!F14</t>
  </si>
  <si>
    <t xml:space="preserve">as printed: 45,821 ($ thousands)</t>
  </si>
  <si>
    <t xml:space="preserve">cip</t>
  </si>
  <si>
    <t xml:space="preserve">not a direct model input</t>
  </si>
  <si>
    <t xml:space="preserve">6</t>
  </si>
  <si>
    <t xml:space="preserve">Consolidated Balance Sheets</t>
  </si>
  <si>
    <t xml:space="preserve">as printed: 85,569 ($ thousands)</t>
  </si>
  <si>
    <t xml:space="preserve">land</t>
  </si>
  <si>
    <t xml:space="preserve">as printed: 75,134 ($ thousands)</t>
  </si>
  <si>
    <t xml:space="preserve">jv_investment</t>
  </si>
  <si>
    <t xml:space="preserve">as printed: 336,851 ($ thousands) — Equity-method book value; not included in collateral or recovery value</t>
  </si>
  <si>
    <t xml:space="preserve">bdn.debt_revolver.2026-06-30</t>
  </si>
  <si>
    <t xml:space="preserve">debt_revolver</t>
  </si>
  <si>
    <t xml:space="preserve">23</t>
  </si>
  <si>
    <t xml:space="preserve">Note 7 Debt Obligations</t>
  </si>
  <si>
    <t xml:space="preserve">as printed: 149,000 ($ thousands)</t>
  </si>
  <si>
    <t xml:space="preserve">bdn.debt_term_loan.2026-06-30</t>
  </si>
  <si>
    <t xml:space="preserve">debt_term_loan</t>
  </si>
  <si>
    <t xml:space="preserve">as printed: 250,000 ($ thousands)</t>
  </si>
  <si>
    <t xml:space="preserve">bdn.debt_avira.2026-06-30</t>
  </si>
  <si>
    <t xml:space="preserve">debt_avira</t>
  </si>
  <si>
    <t xml:space="preserve">Assumptions!$C$58</t>
  </si>
  <si>
    <t xml:space="preserve">as printed: 90,000 ($ thousands)</t>
  </si>
  <si>
    <t xml:space="preserve">bdn.debt_cpace.2026-06-30</t>
  </si>
  <si>
    <t xml:space="preserve">debt_cpace</t>
  </si>
  <si>
    <t xml:space="preserve">Assumptions!$C$59</t>
  </si>
  <si>
    <t xml:space="preserve">as printed: 57,324 ($ thousands)</t>
  </si>
  <si>
    <t xml:space="preserve">bdn.debt_n2027.2026-06-30</t>
  </si>
  <si>
    <t xml:space="preserve">debt_n2027</t>
  </si>
  <si>
    <t xml:space="preserve">Assumptions!$C$61</t>
  </si>
  <si>
    <t xml:space="preserve">as printed: 450,000 ($ thousands)</t>
  </si>
  <si>
    <t xml:space="preserve">bdn.debt_n2028.2026-06-30</t>
  </si>
  <si>
    <t xml:space="preserve">debt_n2028</t>
  </si>
  <si>
    <t xml:space="preserve">Assumptions!$C$62</t>
  </si>
  <si>
    <t xml:space="preserve">as printed: 350,000 ($ thousands)</t>
  </si>
  <si>
    <t xml:space="preserve">bdn.debt_n2029a.2026-06-30</t>
  </si>
  <si>
    <t xml:space="preserve">debt_n2029a</t>
  </si>
  <si>
    <t xml:space="preserve">Assumptions!$C$63</t>
  </si>
  <si>
    <t xml:space="preserve">as printed: 550,000 ($ thousands)</t>
  </si>
  <si>
    <t xml:space="preserve">bdn.debt_n2029b.2026-06-30</t>
  </si>
  <si>
    <t xml:space="preserve">debt_n2029b</t>
  </si>
  <si>
    <t xml:space="preserve">bdn.debt_n2031.2026-06-30</t>
  </si>
  <si>
    <t xml:space="preserve">debt_n2031</t>
  </si>
  <si>
    <t xml:space="preserve">Assumptions!$C$65</t>
  </si>
  <si>
    <t xml:space="preserve">as printed: 300,000 ($ thousands)</t>
  </si>
  <si>
    <t xml:space="preserve">bdn.debt_trups.2026-06-30</t>
  </si>
  <si>
    <t xml:space="preserve">debt_trups</t>
  </si>
  <si>
    <t xml:space="preserve">as printed: 27,062 ($ thousands) — Plus Indenture IB 25,774 and Indenture II 25,774 (total $78.6M)</t>
  </si>
  <si>
    <t xml:space="preserve">bdn.debt_trups_ib.2026-06-30</t>
  </si>
  <si>
    <t xml:space="preserve">debt_trups_ib</t>
  </si>
  <si>
    <t xml:space="preserve">as printed: 25,774 ($ thousands)</t>
  </si>
  <si>
    <t xml:space="preserve">bdn.debt_trups_ii.2026-06-30</t>
  </si>
  <si>
    <t xml:space="preserve">debt_trups_ii</t>
  </si>
  <si>
    <t xml:space="preserve">bdn.debt_total_principal_all.2026-06-30</t>
  </si>
  <si>
    <t xml:space="preserve">debt_total_principal_all</t>
  </si>
  <si>
    <t xml:space="preserve">24</t>
  </si>
  <si>
    <t xml:space="preserve">as printed: 2,624,934 ($ thousands) — Secured 147,324 + unsecured 2,477,610; reconciles the tranche inputs</t>
  </si>
  <si>
    <t xml:space="preserve">bdn.cash.2026-06-30</t>
  </si>
  <si>
    <t xml:space="preserve">cash</t>
  </si>
  <si>
    <t xml:space="preserve">Assumptions!$C$11</t>
  </si>
  <si>
    <t xml:space="preserve">as printed: 37,870 ($ thousands)</t>
  </si>
  <si>
    <t xml:space="preserve">bdn.fy25_available_revolver</t>
  </si>
  <si>
    <t xml:space="preserve">fy25_available_revolver</t>
  </si>
  <si>
    <t xml:space="preserve">45</t>
  </si>
  <si>
    <t xml:space="preserve">Liquidity: availability at 2025-12-31 (net of letters of credit)</t>
  </si>
  <si>
    <t xml:space="preserve">$564.5 million of available borrowings under our unsecured credit facility — Liquidity: availability at 2025-12-31 (net of letters of credit)</t>
  </si>
  <si>
    <t xml:space="preserve">bdn.compliance</t>
  </si>
  <si>
    <t xml:space="preserve">compliance</t>
  </si>
  <si>
    <t xml:space="preserve">Note 7: company states it is in compliance at 2026-06-30</t>
  </si>
  <si>
    <t xml:space="preserve">was in compliance with all financial covenants as of June 30, 2026 — Note 7: company states it is in compliance at 2026-06-30</t>
  </si>
  <si>
    <t xml:space="preserve">bdn.debt_total_principal_all.FY2025</t>
  </si>
  <si>
    <t xml:space="preserve">F-46</t>
  </si>
  <si>
    <t xml:space="preserve">as printed: 2,563,948 ($ thousands)</t>
  </si>
  <si>
    <t xml:space="preserve">bdn.impairment.FY2023</t>
  </si>
  <si>
    <t xml:space="preserve">impairment</t>
  </si>
  <si>
    <t xml:space="preserve">Historical Financials!B19</t>
  </si>
  <si>
    <t xml:space="preserve">as printed: 131,573 ($ thousands)</t>
  </si>
  <si>
    <t xml:space="preserve">bdn.impairment.FY2024</t>
  </si>
  <si>
    <t xml:space="preserve">Historical Financials!C19</t>
  </si>
  <si>
    <t xml:space="preserve">as printed: 44,655 ($ thousands)</t>
  </si>
  <si>
    <t xml:space="preserve">bdn.impairment.FY2025</t>
  </si>
  <si>
    <t xml:space="preserve">Historical Financials!D19</t>
  </si>
  <si>
    <t xml:space="preserve">as printed: 63,392 ($ thousands)</t>
  </si>
  <si>
    <t xml:space="preserve">bdn.impairment.H1-2025</t>
  </si>
  <si>
    <t xml:space="preserve">Historical Financials!E19</t>
  </si>
  <si>
    <t xml:space="preserve">as printed: 63,369 ($ thousands)</t>
  </si>
  <si>
    <t xml:space="preserve">bdn.impairment.H1-2026</t>
  </si>
  <si>
    <t xml:space="preserve">Historical Financials!F19</t>
  </si>
  <si>
    <t xml:space="preserve">as printed: 11,909 ($ thousands)</t>
  </si>
  <si>
    <t xml:space="preserve">bdn.cash_interest.FY2023</t>
  </si>
  <si>
    <t xml:space="preserve">cash_interest</t>
  </si>
  <si>
    <t xml:space="preserve">F-13</t>
  </si>
  <si>
    <t xml:space="preserve">Consolidated Statements of Cash Flows (supplemental)</t>
  </si>
  <si>
    <t xml:space="preserve">Historical Financials!B20</t>
  </si>
  <si>
    <t xml:space="preserve">as printed: 107,838 ($ thousands)</t>
  </si>
  <si>
    <t xml:space="preserve">bdn.cash_interest.FY2024</t>
  </si>
  <si>
    <t xml:space="preserve">Historical Financials!C20</t>
  </si>
  <si>
    <t xml:space="preserve">as printed: 132,253 ($ thousands)</t>
  </si>
  <si>
    <t xml:space="preserve">bdn.cash_interest.FY2025</t>
  </si>
  <si>
    <t xml:space="preserve">Historical Financials!D20</t>
  </si>
  <si>
    <t xml:space="preserve">as printed: 132,043 ($ thousands)</t>
  </si>
  <si>
    <t xml:space="preserve">bdn.cash_interest.H1-2025</t>
  </si>
  <si>
    <t xml:space="preserve">Historical Financials!E20</t>
  </si>
  <si>
    <t xml:space="preserve">as printed: 58,031 ($ thousands)</t>
  </si>
  <si>
    <t xml:space="preserve">bdn.cash_interest.H1-2026</t>
  </si>
  <si>
    <t xml:space="preserve">Historical Financials!F20</t>
  </si>
  <si>
    <t xml:space="preserve">as printed: 81,874 ($ thousands)</t>
  </si>
  <si>
    <t xml:space="preserve">bdn.noi_reported.FY2023</t>
  </si>
  <si>
    <t xml:space="preserve">noi_reported</t>
  </si>
  <si>
    <t xml:space="preserve">F-57</t>
  </si>
  <si>
    <t xml:space="preserve">Note 18 Segment Information</t>
  </si>
  <si>
    <t xml:space="preserve">Historical Financials!B21</t>
  </si>
  <si>
    <t xml:space="preserve">as printed: 324,704 ($ thousands) — Company-reported NOI; used only to check the model's calculated NOI</t>
  </si>
  <si>
    <t xml:space="preserve">bdn.noi_reported.FY2024</t>
  </si>
  <si>
    <t xml:space="preserve">Historical Financials!C21</t>
  </si>
  <si>
    <t xml:space="preserve">as printed: 318,187 ($ thousands) — Company-reported NOI; used only to check the model's calculated NOI</t>
  </si>
  <si>
    <t xml:space="preserve">bdn.noi_reported.FY2025</t>
  </si>
  <si>
    <t xml:space="preserve">Historical Financials!D21</t>
  </si>
  <si>
    <t xml:space="preserve">as printed: 299,260 ($ thousands) — Company-reported NOI; used only to check the model's calculated NOI</t>
  </si>
  <si>
    <t xml:space="preserve">bdn.cash.FY2025</t>
  </si>
  <si>
    <t xml:space="preserve">Consolidated Statements of Cash Flows (reconciliation)</t>
  </si>
  <si>
    <t xml:space="preserve">as printed: 32,284 ($ thousands)</t>
  </si>
  <si>
    <t xml:space="preserve">Analyst notes, derivations and data-quality caveats</t>
  </si>
  <si>
    <t xml:space="preserve">• EBITDA = NOI − G&amp;A, where NOI = total revenue − property operating expenses − real estate taxes − third-party management expenses (the company's definition; calculated NOI equals reported NOI FY2023–FY2025).</t>
  </si>
  <si>
    <t xml:space="preserve">• LTM Jun-26 = FY2025 + H1-2026 − H1-2025 for every flow line (formula in Excel). Capex = tenant-improvement + redevelopment + development spend + leasing costs.</t>
  </si>
  <si>
    <t xml:space="preserve">• Capital structure is pro forma for a HYPOTHETICAL $400M senior secured term loan whose proceeds repay the $149M revolver drawing and the $250M term loan (reported debt $2624.9M → pro forma $2625.9M).</t>
  </si>
  <si>
    <t xml:space="preserve">• Property values are not disclosed; asset value uses an analyst cap rate (7.5%). Pledged-pool share (30%) and the property-level collateral shares are assumptions.</t>
  </si>
  <si>
    <t xml:space="preserve">• Equity distributions are discretionary; the model carries them in 'other cash items' (11% of revenue in the base case, cut to 5% / 0% in the downside / severe cases).</t>
  </si>
  <si>
    <t xml:space="preserve">• Disclosed covenants (leverage 0.60, FCCR 1.5x, secured debt 0.40) are tested on a proxy basis; the company states it was in compliance at 2026-06-30.</t>
  </si>
  <si>
    <t xml:space="preserve">• Tax rate 0%: REIT; reported provisions are immaterial.</t>
  </si>
  <si>
    <t xml:space="preserve">Macro: base rate (SOFR) path is an analyst assumption anchored on FRED SOFR; scenario drivers are ANALYST PROJECTIONS; purchase price, fees, hold and covenant thresholds marked hypothetical are UNDERWRITING ASSUMPTIONS.</t>
  </si>
  <si>
    <t xml:space="preserve">Calc Engine — supporting tab: identical model logic run for all scenarios and sensitivity cases</t>
  </si>
  <si>
    <t xml:space="preserve">Cases 1-3 run Base / Downside / Severe simultaneously. Cases 4-63 flex EBITDA margin, revenue growth, SOFR and the distressed multiple (axes on Sensitivities). Same row logic as the detailed tabs; Scenarios › Reconciliation proves the engine ties to them.</t>
  </si>
  <si>
    <t xml:space="preserve">CASE 1: Base Case</t>
  </si>
  <si>
    <t xml:space="preserve">Scenario index (structural input)</t>
  </si>
  <si>
    <t xml:space="preserve">Revenue growth adjustment</t>
  </si>
  <si>
    <t xml:space="preserve">EBITDA margin adjustment</t>
  </si>
  <si>
    <t xml:space="preserve">SOFR shift</t>
  </si>
  <si>
    <t xml:space="preserve">Distressed-multiple shift (x)</t>
  </si>
  <si>
    <t xml:space="preserve">CASE 2: Downside</t>
  </si>
  <si>
    <t xml:space="preserve">CASE 3: Severe Downside</t>
  </si>
  <si>
    <t xml:space="preserve">CASE 4: Base Case · EBITDA margin shift point 1</t>
  </si>
  <si>
    <t xml:space="preserve">CASE 5: Base Case · EBITDA margin shift point 2</t>
  </si>
  <si>
    <t xml:space="preserve">CASE 6: Base Case · EBITDA margin shift point 3</t>
  </si>
  <si>
    <t xml:space="preserve">CASE 7: Base Case · EBITDA margin shift point 4</t>
  </si>
  <si>
    <t xml:space="preserve">CASE 8: Base Case · EBITDA margin shift point 5</t>
  </si>
  <si>
    <t xml:space="preserve">CASE 9: Downside · EBITDA margin shift point 1</t>
  </si>
  <si>
    <t xml:space="preserve">CASE 10: Downside · EBITDA margin shift point 2</t>
  </si>
  <si>
    <t xml:space="preserve">CASE 11: Downside · EBITDA margin shift point 3</t>
  </si>
  <si>
    <t xml:space="preserve">CASE 12: Downside · EBITDA margin shift point 4</t>
  </si>
  <si>
    <t xml:space="preserve">CASE 13: Downside · EBITDA margin shift point 5</t>
  </si>
  <si>
    <t xml:space="preserve">CASE 14: Severe Downside · EBITDA margin shift point 1</t>
  </si>
  <si>
    <t xml:space="preserve">CASE 15: Severe Downside · EBITDA margin shift point 2</t>
  </si>
  <si>
    <t xml:space="preserve">CASE 16: Severe Downside · EBITDA margin shift point 3</t>
  </si>
  <si>
    <t xml:space="preserve">CASE 17: Severe Downside · EBITDA margin shift point 4</t>
  </si>
  <si>
    <t xml:space="preserve">CASE 18: Severe Downside · EBITDA margin shift point 5</t>
  </si>
  <si>
    <t xml:space="preserve">CASE 19: Base Case · revenue growth shift point 1</t>
  </si>
  <si>
    <t xml:space="preserve">CASE 20: Base Case · revenue growth shift point 2</t>
  </si>
  <si>
    <t xml:space="preserve">CASE 21: Base Case · revenue growth shift point 3</t>
  </si>
  <si>
    <t xml:space="preserve">CASE 22: Base Case · revenue growth shift point 4</t>
  </si>
  <si>
    <t xml:space="preserve">CASE 23: Base Case · revenue growth shift point 5</t>
  </si>
  <si>
    <t xml:space="preserve">CASE 24: Downside · revenue growth shift point 1</t>
  </si>
  <si>
    <t xml:space="preserve">CASE 25: Downside · revenue growth shift point 2</t>
  </si>
  <si>
    <t xml:space="preserve">CASE 26: Downside · revenue growth shift point 3</t>
  </si>
  <si>
    <t xml:space="preserve">CASE 27: Downside · revenue growth shift point 4</t>
  </si>
  <si>
    <t xml:space="preserve">CASE 28: Downside · revenue growth shift point 5</t>
  </si>
  <si>
    <t xml:space="preserve">CASE 29: Severe Downside · revenue growth shift point 1</t>
  </si>
  <si>
    <t xml:space="preserve">CASE 30: Severe Downside · revenue growth shift point 2</t>
  </si>
  <si>
    <t xml:space="preserve">CASE 31: Severe Downside · revenue growth shift point 3</t>
  </si>
  <si>
    <t xml:space="preserve">CASE 32: Severe Downside · revenue growth shift point 4</t>
  </si>
  <si>
    <t xml:space="preserve">CASE 33: Severe Downside · revenue growth shift point 5</t>
  </si>
  <si>
    <t xml:space="preserve">CASE 34: Base Case · SOFR shift point 1</t>
  </si>
  <si>
    <t xml:space="preserve">CASE 35: Base Case · SOFR shift point 2</t>
  </si>
  <si>
    <t xml:space="preserve">CASE 36: Base Case · SOFR shift point 3</t>
  </si>
  <si>
    <t xml:space="preserve">CASE 37: Base Case · SOFR shift point 4</t>
  </si>
  <si>
    <t xml:space="preserve">CASE 38: Base Case · SOFR shift point 5</t>
  </si>
  <si>
    <t xml:space="preserve">CASE 39: Downside · SOFR shift point 1</t>
  </si>
  <si>
    <t xml:space="preserve">CASE 40: Downside · SOFR shift point 2</t>
  </si>
  <si>
    <t xml:space="preserve">CASE 41: Downside · SOFR shift point 3</t>
  </si>
  <si>
    <t xml:space="preserve">CASE 42: Downside · SOFR shift point 4</t>
  </si>
  <si>
    <t xml:space="preserve">CASE 43: Downside · SOFR shift point 5</t>
  </si>
  <si>
    <t xml:space="preserve">CASE 44: Severe Downside · SOFR shift point 1</t>
  </si>
  <si>
    <t xml:space="preserve">CASE 45: Severe Downside · SOFR shift point 2</t>
  </si>
  <si>
    <t xml:space="preserve">CASE 46: Severe Downside · SOFR shift point 3</t>
  </si>
  <si>
    <t xml:space="preserve">CASE 47: Severe Downside · SOFR shift point 4</t>
  </si>
  <si>
    <t xml:space="preserve">CASE 48: Severe Downside · SOFR shift point 5</t>
  </si>
  <si>
    <t xml:space="preserve">CASE 49: Base Case · distressed-multiple shift point 1</t>
  </si>
  <si>
    <t xml:space="preserve">CASE 50: Base Case · distressed-multiple shift point 2</t>
  </si>
  <si>
    <t xml:space="preserve">CASE 51: Base Case · distressed-multiple shift point 3</t>
  </si>
  <si>
    <t xml:space="preserve">CASE 52: Base Case · distressed-multiple shift point 4</t>
  </si>
  <si>
    <t xml:space="preserve">CASE 53: Base Case · distressed-multiple shift point 5</t>
  </si>
  <si>
    <t xml:space="preserve">CASE 54: Downside · distressed-multiple shift point 1</t>
  </si>
  <si>
    <t xml:space="preserve">CASE 55: Downside · distressed-multiple shift point 2</t>
  </si>
  <si>
    <t xml:space="preserve">CASE 56: Downside · distressed-multiple shift point 3</t>
  </si>
  <si>
    <t xml:space="preserve">CASE 57: Downside · distressed-multiple shift point 4</t>
  </si>
  <si>
    <t xml:space="preserve">CASE 58: Downside · distressed-multiple shift point 5</t>
  </si>
  <si>
    <t xml:space="preserve">CASE 59: Severe Downside · distressed-multiple shift point 1</t>
  </si>
  <si>
    <t xml:space="preserve">CASE 60: Severe Downside · distressed-multiple shift point 2</t>
  </si>
  <si>
    <t xml:space="preserve">CASE 61: Severe Downside · distressed-multiple shift point 3</t>
  </si>
  <si>
    <t xml:space="preserve">CASE 62: Severe Downside · distressed-multiple shift point 4</t>
  </si>
  <si>
    <t xml:space="preserve">CASE 63: Severe Downside · distressed-multiple shift point 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</si>
</sst>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yyyy\-mm\-dd"/>
    <numFmt numFmtId="167" formatCode="0.0%;\(0.0%\);\–"/>
    <numFmt numFmtId="168" formatCode="#,##0.0;\(#,##0.0\);\–"/>
    <numFmt numFmtId="169" formatCode="0.00\x"/>
    <numFmt numFmtId="170" formatCode="0.0"/>
    <numFmt numFmtId="171" formatCode="0.00%"/>
    <numFmt numFmtId="172" formatCode="0.00"/>
    <numFmt numFmtId="173" formatCode="0.000"/>
    <numFmt numFmtId="174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7A33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7A33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8D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cripts/../models/_raw_bdn.xlsx" TargetMode="External"/><Relationship Id="rId2" Type="http://schemas.openxmlformats.org/officeDocument/2006/relationships/hyperlink" Target="../../scripts/../models/_raw_bdn.xlsx" TargetMode="External"/><Relationship Id="rId3" Type="http://schemas.openxmlformats.org/officeDocument/2006/relationships/hyperlink" Target="../../scripts/../models/_raw_bdn.xlsx" TargetMode="External"/><Relationship Id="rId4" Type="http://schemas.openxmlformats.org/officeDocument/2006/relationships/hyperlink" Target="../../scripts/../models/_raw_bdn.xlsx" TargetMode="External"/><Relationship Id="rId5" Type="http://schemas.openxmlformats.org/officeDocument/2006/relationships/hyperlink" Target="../../scripts/../models/_raw_bdn.xlsx" TargetMode="External"/><Relationship Id="rId6" Type="http://schemas.openxmlformats.org/officeDocument/2006/relationships/hyperlink" Target="../../scripts/../models/_raw_bdn.xlsx" TargetMode="External"/><Relationship Id="rId7" Type="http://schemas.openxmlformats.org/officeDocument/2006/relationships/hyperlink" Target="../../scripts/../models/_raw_bdn.xlsx" TargetMode="External"/><Relationship Id="rId8" Type="http://schemas.openxmlformats.org/officeDocument/2006/relationships/hyperlink" Target="../../scripts/../models/_raw_bdn.xlsx" TargetMode="External"/><Relationship Id="rId9" Type="http://schemas.openxmlformats.org/officeDocument/2006/relationships/hyperlink" Target="../../scripts/../models/_raw_bdn.xlsx" TargetMode="External"/><Relationship Id="rId10" Type="http://schemas.openxmlformats.org/officeDocument/2006/relationships/hyperlink" Target="../../scripts/../models/_raw_bdn.xlsx" TargetMode="External"/><Relationship Id="rId11" Type="http://schemas.openxmlformats.org/officeDocument/2006/relationships/hyperlink" Target="../../scripts/../models/_raw_bdn.xlsx" TargetMode="External"/><Relationship Id="rId12" Type="http://schemas.openxmlformats.org/officeDocument/2006/relationships/hyperlink" Target="../../scripts/../models/_raw_bdn.xlsx" TargetMode="External"/><Relationship Id="rId13" Type="http://schemas.openxmlformats.org/officeDocument/2006/relationships/hyperlink" Target="../../scripts/../models/_raw_bdn.xlsx" TargetMode="External"/><Relationship Id="rId14" Type="http://schemas.openxmlformats.org/officeDocument/2006/relationships/hyperlink" Target="../../scripts/../models/_raw_bd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  <c r="B4" s="4" t="str">
        <f aca="false">'Investment Summary'!$D$53</f>
        <v>ALL CHECKS PASS</v>
      </c>
    </row>
    <row r="5" customFormat="false" ht="15" hidden="false" customHeight="false" outlineLevel="0" collapsed="false">
      <c r="A5" s="2" t="s">
        <v>4</v>
      </c>
      <c r="B5" s="4" t="str">
        <f aca="false">Assumptions!$D$10</f>
        <v>Downside</v>
      </c>
    </row>
    <row r="6" customFormat="false" ht="15" hidden="false" customHeight="false" outlineLevel="0" collapsed="false">
      <c r="A6" s="2" t="s">
        <v>5</v>
      </c>
      <c r="B6" s="4" t="str">
        <f aca="false">'Investment Summary'!$C$4</f>
        <v>HOLD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5" t="s">
        <v>7</v>
      </c>
      <c r="B9" s="3" t="s">
        <v>8</v>
      </c>
    </row>
    <row r="10" customFormat="false" ht="15" hidden="false" customHeight="false" outlineLevel="0" collapsed="false">
      <c r="A10" s="3" t="s">
        <v>9</v>
      </c>
      <c r="B10" s="3" t="s">
        <v>10</v>
      </c>
    </row>
    <row r="11" customFormat="false" ht="15" hidden="false" customHeight="false" outlineLevel="0" collapsed="false">
      <c r="A11" s="6" t="s">
        <v>11</v>
      </c>
      <c r="B11" s="3" t="s">
        <v>12</v>
      </c>
    </row>
    <row r="12" customFormat="false" ht="15" hidden="false" customHeight="false" outlineLevel="0" collapsed="false">
      <c r="A12" s="7" t="s">
        <v>13</v>
      </c>
      <c r="B12" s="3" t="s">
        <v>14</v>
      </c>
    </row>
    <row r="14" customFormat="false" ht="15" hidden="false" customHeight="false" outlineLevel="0" collapsed="false">
      <c r="A14" s="2" t="s">
        <v>15</v>
      </c>
      <c r="B14" s="3" t="s">
        <v>16</v>
      </c>
    </row>
    <row r="15" customFormat="false" ht="15" hidden="false" customHeight="false" outlineLevel="0" collapsed="false">
      <c r="A15" s="2" t="s">
        <v>17</v>
      </c>
      <c r="B15" s="3" t="s">
        <v>18</v>
      </c>
    </row>
    <row r="17" customFormat="false" ht="15" hidden="false" customHeight="false" outlineLevel="0" collapsed="false">
      <c r="A17" s="2" t="s">
        <v>19</v>
      </c>
    </row>
    <row r="18" customFormat="false" ht="15" hidden="false" customHeight="false" outlineLevel="0" collapsed="false">
      <c r="A18" s="8" t="s">
        <v>20</v>
      </c>
      <c r="B18" s="3" t="s">
        <v>21</v>
      </c>
    </row>
    <row r="19" customFormat="false" ht="15" hidden="false" customHeight="false" outlineLevel="0" collapsed="false">
      <c r="A19" s="8" t="s">
        <v>22</v>
      </c>
      <c r="B19" s="3" t="s">
        <v>23</v>
      </c>
    </row>
    <row r="20" customFormat="false" ht="15" hidden="false" customHeight="false" outlineLevel="0" collapsed="false">
      <c r="A20" s="8" t="s">
        <v>24</v>
      </c>
      <c r="B20" s="3" t="s">
        <v>25</v>
      </c>
    </row>
    <row r="21" customFormat="false" ht="15" hidden="false" customHeight="false" outlineLevel="0" collapsed="false">
      <c r="A21" s="8" t="s">
        <v>26</v>
      </c>
      <c r="B21" s="3" t="s">
        <v>27</v>
      </c>
    </row>
    <row r="22" customFormat="false" ht="15" hidden="false" customHeight="false" outlineLevel="0" collapsed="false">
      <c r="A22" s="8" t="s">
        <v>28</v>
      </c>
      <c r="B22" s="3" t="s">
        <v>29</v>
      </c>
    </row>
    <row r="23" customFormat="false" ht="15" hidden="false" customHeight="false" outlineLevel="0" collapsed="false">
      <c r="A23" s="8" t="s">
        <v>30</v>
      </c>
      <c r="B23" s="3" t="s">
        <v>31</v>
      </c>
    </row>
    <row r="24" customFormat="false" ht="15" hidden="false" customHeight="false" outlineLevel="0" collapsed="false">
      <c r="A24" s="8" t="s">
        <v>32</v>
      </c>
      <c r="B24" s="3" t="s">
        <v>33</v>
      </c>
    </row>
    <row r="25" customFormat="false" ht="15" hidden="false" customHeight="false" outlineLevel="0" collapsed="false">
      <c r="A25" s="8" t="s">
        <v>34</v>
      </c>
      <c r="B25" s="3" t="s">
        <v>35</v>
      </c>
    </row>
    <row r="26" customFormat="false" ht="15" hidden="false" customHeight="false" outlineLevel="0" collapsed="false">
      <c r="A26" s="8" t="s">
        <v>36</v>
      </c>
      <c r="B26" s="3" t="s">
        <v>37</v>
      </c>
    </row>
    <row r="27" customFormat="false" ht="15" hidden="false" customHeight="false" outlineLevel="0" collapsed="false">
      <c r="A27" s="8" t="s">
        <v>38</v>
      </c>
      <c r="B27" s="3" t="s">
        <v>39</v>
      </c>
    </row>
    <row r="28" customFormat="false" ht="15" hidden="false" customHeight="false" outlineLevel="0" collapsed="false">
      <c r="A28" s="8" t="s">
        <v>40</v>
      </c>
      <c r="B28" s="3" t="s">
        <v>41</v>
      </c>
    </row>
    <row r="29" customFormat="false" ht="15" hidden="false" customHeight="false" outlineLevel="0" collapsed="false">
      <c r="A29" s="8" t="s">
        <v>42</v>
      </c>
      <c r="B29" s="3" t="s">
        <v>43</v>
      </c>
    </row>
    <row r="30" customFormat="false" ht="15" hidden="false" customHeight="false" outlineLevel="0" collapsed="false">
      <c r="A30" s="8" t="s">
        <v>44</v>
      </c>
      <c r="B30" s="3" t="s">
        <v>45</v>
      </c>
    </row>
    <row r="31" customFormat="false" ht="15" hidden="false" customHeight="false" outlineLevel="0" collapsed="false">
      <c r="A31" s="8" t="s">
        <v>46</v>
      </c>
      <c r="B31" s="3" t="s">
        <v>47</v>
      </c>
    </row>
    <row r="33" customFormat="false" ht="15" hidden="false" customHeight="false" outlineLevel="0" collapsed="false">
      <c r="A33" s="3" t="s">
        <v>48</v>
      </c>
    </row>
  </sheetData>
  <hyperlinks>
    <hyperlink ref="A18" r:id="rId1" location="'Assumptions'!A1" display="Assumptions"/>
    <hyperlink ref="A19" r:id="rId2" location="'Historical%20Financials'!A1" display="Historical Financials"/>
    <hyperlink ref="A20" r:id="rId3" location="'Operating%20Model'!A1" display="Operating Model"/>
    <hyperlink ref="A21" r:id="rId4" location="'Debt%20Schedule'!A1" display="Debt Schedule"/>
    <hyperlink ref="A22" r:id="rId5" location="'Cash%20Flow'!A1" display="Cash Flow"/>
    <hyperlink ref="A23" r:id="rId6" location="'Credit%20Metrics'!A1" display="Credit Metrics"/>
    <hyperlink ref="A24" r:id="rId7" location="'Scenarios'!A1" display="Scenarios"/>
    <hyperlink ref="A25" r:id="rId8" location="'Capital%20Structure'!A1" display="Capital Structure"/>
    <hyperlink ref="A26" r:id="rId9" location="'Recovery'!A1" display="Recovery"/>
    <hyperlink ref="A27" r:id="rId10" location="'Returns'!A1" display="Returns"/>
    <hyperlink ref="A28" r:id="rId11" location="'Sensitivities'!A1" display="Sensitivities"/>
    <hyperlink ref="A29" r:id="rId12" location="'Investment%20Summary'!A1" display="Investment Summary"/>
    <hyperlink ref="A30" r:id="rId13" location="'Sources'!A1" display="Sources"/>
    <hyperlink ref="A31" r:id="rId14" location="'Calc%20Engine'!A1" display="Calc Engi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T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18" min="3" style="0" width="12"/>
    <col collapsed="false" customWidth="true" hidden="false" outlineLevel="0" max="19" min="19" style="0" width="3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3" t="s">
        <v>50</v>
      </c>
    </row>
    <row r="4" customFormat="false" ht="15" hidden="false" customHeight="false" outlineLevel="0" collapsed="false">
      <c r="A4" s="9" t="s">
        <v>51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customFormat="false" ht="15" hidden="false" customHeight="false" outlineLevel="0" collapsed="false">
      <c r="A5" s="3" t="s">
        <v>52</v>
      </c>
      <c r="B5" s="3"/>
      <c r="C5" s="5" t="s">
        <v>53</v>
      </c>
    </row>
    <row r="6" customFormat="false" ht="15" hidden="false" customHeight="false" outlineLevel="0" collapsed="false">
      <c r="A6" s="3" t="s">
        <v>54</v>
      </c>
      <c r="B6" s="3"/>
      <c r="C6" s="11" t="n">
        <v>2026</v>
      </c>
    </row>
    <row r="7" customFormat="false" ht="15" hidden="false" customHeight="false" outlineLevel="0" collapsed="false">
      <c r="A7" s="3" t="s">
        <v>55</v>
      </c>
      <c r="B7" s="3"/>
      <c r="C7" s="11" t="n">
        <v>6</v>
      </c>
    </row>
    <row r="8" customFormat="false" ht="15" hidden="false" customHeight="false" outlineLevel="0" collapsed="false">
      <c r="A8" s="3" t="s">
        <v>56</v>
      </c>
      <c r="B8" s="3"/>
      <c r="C8" s="12" t="n">
        <v>46203</v>
      </c>
    </row>
    <row r="9" customFormat="false" ht="15" hidden="false" customHeight="false" outlineLevel="0" collapsed="false">
      <c r="A9" s="3" t="s">
        <v>57</v>
      </c>
      <c r="B9" s="3" t="s">
        <v>58</v>
      </c>
      <c r="C9" s="13" t="n">
        <v>0</v>
      </c>
    </row>
    <row r="10" customFormat="false" ht="15" hidden="false" customHeight="false" outlineLevel="0" collapsed="false">
      <c r="A10" s="3" t="s">
        <v>59</v>
      </c>
      <c r="B10" s="3" t="s">
        <v>60</v>
      </c>
      <c r="C10" s="11" t="n">
        <v>2</v>
      </c>
      <c r="D10" s="3" t="str">
        <f aca="false">CHOOSE(C10,"Base Case","Downside","Severe Downside")</f>
        <v>Downside</v>
      </c>
    </row>
    <row r="11" customFormat="false" ht="15" hidden="false" customHeight="false" outlineLevel="0" collapsed="false">
      <c r="A11" s="3" t="s">
        <v>61</v>
      </c>
      <c r="B11" s="3" t="s">
        <v>62</v>
      </c>
      <c r="C11" s="14" t="n">
        <v>37.87</v>
      </c>
    </row>
    <row r="12" customFormat="false" ht="15" hidden="false" customHeight="false" outlineLevel="0" collapsed="false">
      <c r="A12" s="3" t="s">
        <v>63</v>
      </c>
      <c r="B12" s="3" t="s">
        <v>62</v>
      </c>
      <c r="C12" s="14" t="n">
        <v>25</v>
      </c>
    </row>
    <row r="13" customFormat="false" ht="15" hidden="false" customHeight="false" outlineLevel="0" collapsed="false">
      <c r="A13" s="3" t="s">
        <v>64</v>
      </c>
      <c r="B13" s="3" t="s">
        <v>65</v>
      </c>
      <c r="C13" s="13" t="n">
        <v>0</v>
      </c>
    </row>
    <row r="14" customFormat="false" ht="15" hidden="false" customHeight="false" outlineLevel="0" collapsed="false">
      <c r="A14" s="3" t="s">
        <v>66</v>
      </c>
      <c r="B14" s="3" t="s">
        <v>67</v>
      </c>
      <c r="C14" s="14"/>
    </row>
    <row r="15" customFormat="false" ht="15" hidden="false" customHeight="false" outlineLevel="0" collapsed="false">
      <c r="A15" s="3" t="s">
        <v>68</v>
      </c>
      <c r="B15" s="3" t="s">
        <v>69</v>
      </c>
      <c r="C15" s="13" t="n">
        <v>0.04</v>
      </c>
    </row>
    <row r="16" customFormat="false" ht="15" hidden="false" customHeight="false" outlineLevel="0" collapsed="false">
      <c r="A16" s="3" t="s">
        <v>70</v>
      </c>
      <c r="B16" s="3" t="s">
        <v>71</v>
      </c>
      <c r="C16" s="11" t="n">
        <v>3</v>
      </c>
    </row>
    <row r="17" customFormat="false" ht="15" hidden="false" customHeight="false" outlineLevel="0" collapsed="false">
      <c r="A17" s="3" t="s">
        <v>72</v>
      </c>
      <c r="B17" s="3"/>
      <c r="C17" s="11" t="n">
        <v>99</v>
      </c>
    </row>
    <row r="18" customFormat="false" ht="15" hidden="false" customHeight="false" outlineLevel="0" collapsed="false">
      <c r="A18" s="3" t="s">
        <v>73</v>
      </c>
      <c r="B18" s="3" t="s">
        <v>74</v>
      </c>
      <c r="C18" s="11" t="n">
        <v>2</v>
      </c>
    </row>
    <row r="19" customFormat="false" ht="15" hidden="false" customHeight="false" outlineLevel="0" collapsed="false">
      <c r="A19" s="3" t="s">
        <v>75</v>
      </c>
      <c r="B19" s="3" t="s">
        <v>76</v>
      </c>
      <c r="C19" s="13" t="n">
        <v>0.25</v>
      </c>
    </row>
    <row r="20" customFormat="false" ht="15" hidden="false" customHeight="false" outlineLevel="0" collapsed="false">
      <c r="A20" s="3" t="s">
        <v>77</v>
      </c>
      <c r="B20" s="3" t="s">
        <v>76</v>
      </c>
      <c r="C20" s="13" t="n">
        <v>0.3</v>
      </c>
    </row>
    <row r="21" customFormat="false" ht="15" hidden="false" customHeight="false" outlineLevel="0" collapsed="false">
      <c r="A21" s="3" t="s">
        <v>78</v>
      </c>
      <c r="B21" s="3" t="s">
        <v>79</v>
      </c>
      <c r="C21" s="15" t="n">
        <v>12.5</v>
      </c>
    </row>
    <row r="22" customFormat="false" ht="15" hidden="false" customHeight="false" outlineLevel="0" collapsed="false">
      <c r="A22" s="3" t="s">
        <v>80</v>
      </c>
      <c r="B22" s="3" t="s">
        <v>81</v>
      </c>
      <c r="C22" s="11" t="n">
        <v>3</v>
      </c>
    </row>
    <row r="24" customFormat="false" ht="15" hidden="false" customHeight="false" outlineLevel="0" collapsed="false">
      <c r="A24" s="9" t="s">
        <v>82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customFormat="false" ht="15" hidden="false" customHeight="false" outlineLevel="0" collapsed="false">
      <c r="A25" s="3" t="s">
        <v>83</v>
      </c>
    </row>
    <row r="26" customFormat="false" ht="15" hidden="false" customHeight="false" outlineLevel="0" collapsed="false">
      <c r="A26" s="3" t="s">
        <v>84</v>
      </c>
      <c r="B26" s="3" t="s">
        <v>85</v>
      </c>
      <c r="C26" s="13" t="n">
        <v>0.075</v>
      </c>
    </row>
    <row r="27" customFormat="false" ht="15" hidden="false" customHeight="false" outlineLevel="0" collapsed="false">
      <c r="A27" s="3" t="s">
        <v>86</v>
      </c>
      <c r="C27" s="16" t="n">
        <f aca="false">'Historical Financials'!G27/Assumptions!$C$26</f>
        <v>4020.14666666667</v>
      </c>
    </row>
    <row r="28" customFormat="false" ht="15" hidden="false" customHeight="false" outlineLevel="0" collapsed="false">
      <c r="A28" s="3" t="s">
        <v>87</v>
      </c>
      <c r="C28" s="14" t="n">
        <v>85.569</v>
      </c>
      <c r="D28" s="3" t="s">
        <v>88</v>
      </c>
    </row>
    <row r="29" customFormat="false" ht="15" hidden="false" customHeight="false" outlineLevel="0" collapsed="false">
      <c r="A29" s="3" t="s">
        <v>89</v>
      </c>
      <c r="C29" s="14" t="n">
        <v>75.134</v>
      </c>
      <c r="D29" s="3" t="s">
        <v>90</v>
      </c>
    </row>
    <row r="30" customFormat="false" ht="15" hidden="false" customHeight="false" outlineLevel="0" collapsed="false">
      <c r="A30" s="3" t="s">
        <v>91</v>
      </c>
      <c r="C30" s="14" t="n">
        <v>336.851</v>
      </c>
      <c r="D30" s="3" t="s">
        <v>92</v>
      </c>
    </row>
    <row r="31" customFormat="false" ht="15" hidden="false" customHeight="false" outlineLevel="0" collapsed="false">
      <c r="A31" s="2" t="s">
        <v>93</v>
      </c>
      <c r="C31" s="17" t="n">
        <f aca="false">SUM(C27:C30)</f>
        <v>4517.70066666667</v>
      </c>
    </row>
    <row r="33" customFormat="false" ht="15" hidden="false" customHeight="false" outlineLevel="0" collapsed="false">
      <c r="A33" s="9" t="s">
        <v>94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customFormat="false" ht="15" hidden="false" customHeight="false" outlineLevel="0" collapsed="false">
      <c r="A34" s="3" t="s">
        <v>95</v>
      </c>
      <c r="B34" s="3"/>
      <c r="C34" s="11" t="n">
        <v>1</v>
      </c>
    </row>
    <row r="35" customFormat="false" ht="15" hidden="false" customHeight="false" outlineLevel="0" collapsed="false">
      <c r="A35" s="3" t="s">
        <v>96</v>
      </c>
      <c r="B35" s="3" t="s">
        <v>62</v>
      </c>
      <c r="C35" s="14" t="n">
        <v>100</v>
      </c>
    </row>
    <row r="36" customFormat="false" ht="15" hidden="false" customHeight="false" outlineLevel="0" collapsed="false">
      <c r="A36" s="3" t="s">
        <v>97</v>
      </c>
      <c r="B36" s="3" t="s">
        <v>98</v>
      </c>
      <c r="C36" s="18" t="n">
        <v>98</v>
      </c>
    </row>
    <row r="37" customFormat="false" ht="15" hidden="false" customHeight="false" outlineLevel="0" collapsed="false">
      <c r="A37" s="3" t="s">
        <v>99</v>
      </c>
      <c r="B37" s="3" t="s">
        <v>100</v>
      </c>
      <c r="C37" s="19" t="n">
        <v>0.005</v>
      </c>
    </row>
    <row r="38" customFormat="false" ht="15" hidden="false" customHeight="false" outlineLevel="0" collapsed="false">
      <c r="A38" s="3" t="s">
        <v>101</v>
      </c>
      <c r="B38" s="3" t="s">
        <v>81</v>
      </c>
      <c r="C38" s="11" t="n">
        <v>3</v>
      </c>
    </row>
    <row r="39" customFormat="false" ht="15" hidden="false" customHeight="false" outlineLevel="0" collapsed="false">
      <c r="A39" s="3" t="s">
        <v>102</v>
      </c>
      <c r="B39" s="3" t="s">
        <v>103</v>
      </c>
      <c r="C39" s="11" t="n">
        <v>4</v>
      </c>
    </row>
    <row r="40" customFormat="false" ht="15" hidden="false" customHeight="false" outlineLevel="0" collapsed="false">
      <c r="A40" s="3" t="s">
        <v>104</v>
      </c>
      <c r="B40" s="3" t="s">
        <v>81</v>
      </c>
      <c r="C40" s="11" t="n">
        <v>1</v>
      </c>
    </row>
    <row r="41" customFormat="false" ht="15" hidden="false" customHeight="false" outlineLevel="0" collapsed="false">
      <c r="A41" s="3" t="s">
        <v>105</v>
      </c>
      <c r="B41" s="3"/>
      <c r="C41" s="13" t="n">
        <v>0.1</v>
      </c>
    </row>
    <row r="42" customFormat="false" ht="15" hidden="false" customHeight="false" outlineLevel="0" collapsed="false">
      <c r="A42" s="3" t="s">
        <v>106</v>
      </c>
      <c r="B42" s="3"/>
      <c r="C42" s="13" t="n">
        <v>0</v>
      </c>
    </row>
    <row r="43" customFormat="false" ht="15" hidden="false" customHeight="false" outlineLevel="0" collapsed="false">
      <c r="A43" s="3" t="s">
        <v>107</v>
      </c>
      <c r="B43" s="3"/>
      <c r="C43" s="13" t="n">
        <v>0.085</v>
      </c>
    </row>
    <row r="44" customFormat="false" ht="15" hidden="false" customHeight="false" outlineLevel="0" collapsed="false">
      <c r="A44" s="3" t="s">
        <v>108</v>
      </c>
      <c r="B44" s="3"/>
      <c r="C44" s="15" t="n">
        <v>10.5</v>
      </c>
    </row>
    <row r="45" customFormat="false" ht="15" hidden="false" customHeight="false" outlineLevel="0" collapsed="false">
      <c r="A45" s="3" t="s">
        <v>109</v>
      </c>
      <c r="B45" s="3"/>
      <c r="C45" s="13" t="n">
        <v>0.9</v>
      </c>
    </row>
    <row r="46" customFormat="false" ht="15" hidden="false" customHeight="false" outlineLevel="0" collapsed="false">
      <c r="A46" s="3" t="s">
        <v>110</v>
      </c>
      <c r="B46" s="3"/>
      <c r="C46" s="13" t="n">
        <v>0.15</v>
      </c>
    </row>
    <row r="47" customFormat="false" ht="15" hidden="false" customHeight="false" outlineLevel="0" collapsed="false">
      <c r="A47" s="3" t="s">
        <v>111</v>
      </c>
      <c r="B47" s="3" t="s">
        <v>112</v>
      </c>
      <c r="C47" s="11" t="n">
        <v>2</v>
      </c>
    </row>
    <row r="48" customFormat="false" ht="15" hidden="false" customHeight="false" outlineLevel="0" collapsed="false">
      <c r="A48" s="3" t="s">
        <v>113</v>
      </c>
      <c r="B48" s="3" t="s">
        <v>112</v>
      </c>
      <c r="C48" s="11" t="n">
        <v>3</v>
      </c>
    </row>
    <row r="49" customFormat="false" ht="15" hidden="false" customHeight="false" outlineLevel="0" collapsed="false">
      <c r="A49" s="3" t="s">
        <v>114</v>
      </c>
      <c r="B49" s="3" t="s">
        <v>112</v>
      </c>
      <c r="C49" s="11" t="n">
        <v>6</v>
      </c>
    </row>
    <row r="51" customFormat="false" ht="15" hidden="false" customHeight="false" outlineLevel="0" collapsed="false">
      <c r="A51" s="9" t="s">
        <v>115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customFormat="false" ht="15" hidden="false" customHeight="false" outlineLevel="0" collapsed="false">
      <c r="A52" s="7" t="s">
        <v>116</v>
      </c>
      <c r="G52" s="20" t="n">
        <f aca="false">Assumptions!$C$6+1</f>
        <v>2027</v>
      </c>
      <c r="H52" s="20" t="n">
        <f aca="false">G52+1</f>
        <v>2028</v>
      </c>
      <c r="I52" s="20" t="n">
        <f aca="false">H52+1</f>
        <v>2029</v>
      </c>
      <c r="J52" s="20" t="n">
        <f aca="false">I52+1</f>
        <v>2030</v>
      </c>
      <c r="K52" s="20" t="n">
        <f aca="false">J52+1</f>
        <v>2031</v>
      </c>
    </row>
    <row r="53" customFormat="false" ht="15" hidden="false" customHeight="false" outlineLevel="0" collapsed="false">
      <c r="A53" s="3" t="s">
        <v>117</v>
      </c>
      <c r="B53" s="3" t="s">
        <v>118</v>
      </c>
      <c r="G53" s="19" t="n">
        <v>0.039</v>
      </c>
      <c r="H53" s="19" t="n">
        <v>0.0375</v>
      </c>
      <c r="I53" s="19" t="n">
        <v>0.035</v>
      </c>
      <c r="J53" s="19" t="n">
        <v>0.035</v>
      </c>
      <c r="K53" s="19" t="n">
        <v>0.035</v>
      </c>
    </row>
    <row r="55" customFormat="false" ht="15" hidden="false" customHeight="false" outlineLevel="0" collapsed="false">
      <c r="A55" s="9" t="s">
        <v>119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customFormat="false" ht="15" hidden="false" customHeight="false" outlineLevel="0" collapsed="false">
      <c r="A56" s="7" t="s">
        <v>120</v>
      </c>
      <c r="B56" s="7" t="s">
        <v>121</v>
      </c>
      <c r="C56" s="7" t="s">
        <v>122</v>
      </c>
      <c r="D56" s="7" t="s">
        <v>123</v>
      </c>
      <c r="E56" s="7" t="s">
        <v>124</v>
      </c>
      <c r="F56" s="7" t="s">
        <v>125</v>
      </c>
      <c r="G56" s="7" t="s">
        <v>126</v>
      </c>
      <c r="H56" s="7" t="s">
        <v>127</v>
      </c>
      <c r="I56" s="7" t="s">
        <v>128</v>
      </c>
      <c r="J56" s="7" t="s">
        <v>129</v>
      </c>
      <c r="K56" s="7" t="s">
        <v>130</v>
      </c>
      <c r="L56" s="7" t="s">
        <v>131</v>
      </c>
      <c r="M56" s="7" t="s">
        <v>132</v>
      </c>
      <c r="N56" s="7" t="s">
        <v>133</v>
      </c>
      <c r="O56" s="7" t="s">
        <v>134</v>
      </c>
      <c r="P56" s="7" t="s">
        <v>135</v>
      </c>
      <c r="Q56" s="7" t="s">
        <v>136</v>
      </c>
      <c r="R56" s="7" t="s">
        <v>137</v>
      </c>
      <c r="S56" s="7" t="s">
        <v>138</v>
      </c>
    </row>
    <row r="57" customFormat="false" ht="15" hidden="false" customHeight="false" outlineLevel="0" collapsed="false">
      <c r="A57" s="5" t="s">
        <v>139</v>
      </c>
      <c r="B57" s="5" t="s">
        <v>140</v>
      </c>
      <c r="C57" s="14" t="n">
        <v>400</v>
      </c>
      <c r="D57" s="14" t="n">
        <v>0</v>
      </c>
      <c r="E57" s="19" t="n">
        <v>0</v>
      </c>
      <c r="F57" s="19" t="n">
        <v>0.0525</v>
      </c>
      <c r="G57" s="19" t="n">
        <v>0.01</v>
      </c>
      <c r="H57" s="19" t="n">
        <v>0</v>
      </c>
      <c r="I57" s="11" t="n">
        <v>1</v>
      </c>
      <c r="J57" s="12" t="n">
        <v>48029</v>
      </c>
      <c r="K57" s="21" t="n">
        <f aca="false">YEAR(J57)+IF(MONTH(J57)&gt;Assumptions!$C$7,1,0)</f>
        <v>2031</v>
      </c>
      <c r="L57" s="13" t="n">
        <v>0.01</v>
      </c>
      <c r="M57" s="11" t="n">
        <v>1</v>
      </c>
      <c r="N57" s="11" t="n">
        <v>0</v>
      </c>
      <c r="O57" s="11" t="n">
        <v>1</v>
      </c>
      <c r="P57" s="11" t="n">
        <v>0</v>
      </c>
      <c r="Q57" s="13" t="n">
        <v>0.3</v>
      </c>
      <c r="R57" s="18" t="n">
        <v>98</v>
      </c>
      <c r="S57" s="3" t="s">
        <v>141</v>
      </c>
    </row>
    <row r="58" customFormat="false" ht="15" hidden="false" customHeight="false" outlineLevel="0" collapsed="false">
      <c r="A58" s="5" t="s">
        <v>142</v>
      </c>
      <c r="B58" s="5" t="s">
        <v>140</v>
      </c>
      <c r="C58" s="14" t="n">
        <v>90</v>
      </c>
      <c r="D58" s="14" t="n">
        <v>0</v>
      </c>
      <c r="E58" s="19" t="n">
        <v>0.0581</v>
      </c>
      <c r="F58" s="19" t="n">
        <v>0</v>
      </c>
      <c r="G58" s="19" t="n">
        <v>0</v>
      </c>
      <c r="H58" s="19" t="n">
        <v>0</v>
      </c>
      <c r="I58" s="11" t="n">
        <v>0</v>
      </c>
      <c r="J58" s="12" t="n">
        <v>48760</v>
      </c>
      <c r="K58" s="21" t="n">
        <f aca="false">YEAR(J58)+IF(MONTH(J58)&gt;Assumptions!$C$7,1,0)</f>
        <v>2033</v>
      </c>
      <c r="L58" s="13" t="n">
        <v>0</v>
      </c>
      <c r="M58" s="11" t="n">
        <v>1</v>
      </c>
      <c r="N58" s="11" t="n">
        <v>0</v>
      </c>
      <c r="O58" s="11" t="n">
        <v>1</v>
      </c>
      <c r="P58" s="11" t="n">
        <v>0</v>
      </c>
      <c r="Q58" s="13" t="n">
        <v>0.033</v>
      </c>
      <c r="R58" s="18" t="n">
        <v>100</v>
      </c>
      <c r="S58" s="3" t="s">
        <v>143</v>
      </c>
    </row>
    <row r="59" customFormat="false" ht="15" hidden="false" customHeight="false" outlineLevel="0" collapsed="false">
      <c r="A59" s="5" t="s">
        <v>144</v>
      </c>
      <c r="B59" s="5" t="s">
        <v>145</v>
      </c>
      <c r="C59" s="14" t="n">
        <v>57.324</v>
      </c>
      <c r="D59" s="14" t="n">
        <v>0</v>
      </c>
      <c r="E59" s="19" t="n">
        <v>0.0731</v>
      </c>
      <c r="F59" s="19" t="n">
        <v>0</v>
      </c>
      <c r="G59" s="19" t="n">
        <v>0</v>
      </c>
      <c r="H59" s="19" t="n">
        <v>0</v>
      </c>
      <c r="I59" s="11" t="n">
        <v>0</v>
      </c>
      <c r="J59" s="12" t="n">
        <v>56339</v>
      </c>
      <c r="K59" s="21" t="n">
        <f aca="false">YEAR(J59)+IF(MONTH(J59)&gt;Assumptions!$C$7,1,0)</f>
        <v>2054</v>
      </c>
      <c r="L59" s="13" t="n">
        <v>0</v>
      </c>
      <c r="M59" s="11" t="n">
        <v>1</v>
      </c>
      <c r="N59" s="11" t="n">
        <v>0</v>
      </c>
      <c r="O59" s="11" t="n">
        <v>1</v>
      </c>
      <c r="P59" s="11" t="n">
        <v>0</v>
      </c>
      <c r="Q59" s="13" t="n">
        <v>0.021</v>
      </c>
      <c r="R59" s="18" t="n">
        <v>100</v>
      </c>
      <c r="S59" s="3" t="s">
        <v>146</v>
      </c>
    </row>
    <row r="60" customFormat="false" ht="15" hidden="false" customHeight="false" outlineLevel="0" collapsed="false">
      <c r="A60" s="5" t="s">
        <v>147</v>
      </c>
      <c r="B60" s="5" t="s">
        <v>148</v>
      </c>
      <c r="C60" s="14" t="n">
        <v>0</v>
      </c>
      <c r="D60" s="14" t="n">
        <v>574.5</v>
      </c>
      <c r="E60" s="19" t="n">
        <v>0</v>
      </c>
      <c r="F60" s="19" t="n">
        <v>0.015</v>
      </c>
      <c r="G60" s="19" t="n">
        <v>0</v>
      </c>
      <c r="H60" s="19" t="n">
        <v>0</v>
      </c>
      <c r="I60" s="11" t="n">
        <v>1</v>
      </c>
      <c r="J60" s="12" t="n">
        <v>46568</v>
      </c>
      <c r="K60" s="21" t="n">
        <f aca="false">YEAR(J60)+IF(MONTH(J60)&gt;Assumptions!$C$7,1,0)</f>
        <v>2027</v>
      </c>
      <c r="L60" s="13" t="n">
        <v>0</v>
      </c>
      <c r="M60" s="11" t="n">
        <v>2</v>
      </c>
      <c r="N60" s="11" t="n">
        <v>1</v>
      </c>
      <c r="O60" s="11" t="n">
        <v>0</v>
      </c>
      <c r="P60" s="11" t="n">
        <v>1</v>
      </c>
      <c r="Q60" s="13" t="n">
        <v>0</v>
      </c>
      <c r="R60" s="18" t="n">
        <v>100</v>
      </c>
      <c r="S60" s="3" t="s">
        <v>149</v>
      </c>
    </row>
    <row r="61" customFormat="false" ht="15" hidden="false" customHeight="false" outlineLevel="0" collapsed="false">
      <c r="A61" s="5" t="s">
        <v>150</v>
      </c>
      <c r="B61" s="5" t="s">
        <v>151</v>
      </c>
      <c r="C61" s="14" t="n">
        <v>450</v>
      </c>
      <c r="D61" s="14" t="n">
        <v>0</v>
      </c>
      <c r="E61" s="19" t="n">
        <v>0.0395</v>
      </c>
      <c r="F61" s="19" t="n">
        <v>0</v>
      </c>
      <c r="G61" s="19" t="n">
        <v>0</v>
      </c>
      <c r="H61" s="19" t="n">
        <v>0</v>
      </c>
      <c r="I61" s="11" t="n">
        <v>0</v>
      </c>
      <c r="J61" s="12" t="n">
        <v>46706</v>
      </c>
      <c r="K61" s="21" t="n">
        <f aca="false">YEAR(J61)+IF(MONTH(J61)&gt;Assumptions!$C$7,1,0)</f>
        <v>2028</v>
      </c>
      <c r="L61" s="13" t="n">
        <v>0</v>
      </c>
      <c r="M61" s="11" t="n">
        <v>2</v>
      </c>
      <c r="N61" s="11" t="n">
        <v>0</v>
      </c>
      <c r="O61" s="11" t="n">
        <v>0</v>
      </c>
      <c r="P61" s="11" t="n">
        <v>0</v>
      </c>
      <c r="Q61" s="13" t="n">
        <v>0</v>
      </c>
      <c r="R61" s="18" t="n">
        <v>100</v>
      </c>
      <c r="S61" s="3" t="s">
        <v>152</v>
      </c>
    </row>
    <row r="62" customFormat="false" ht="15" hidden="false" customHeight="false" outlineLevel="0" collapsed="false">
      <c r="A62" s="5" t="s">
        <v>153</v>
      </c>
      <c r="B62" s="5" t="s">
        <v>151</v>
      </c>
      <c r="C62" s="14" t="n">
        <v>350</v>
      </c>
      <c r="D62" s="14" t="n">
        <v>0</v>
      </c>
      <c r="E62" s="19" t="n">
        <v>0.083</v>
      </c>
      <c r="F62" s="19" t="n">
        <v>0</v>
      </c>
      <c r="G62" s="19" t="n">
        <v>0</v>
      </c>
      <c r="H62" s="19" t="n">
        <v>0</v>
      </c>
      <c r="I62" s="11" t="n">
        <v>0</v>
      </c>
      <c r="J62" s="12" t="n">
        <v>46827</v>
      </c>
      <c r="K62" s="21" t="n">
        <f aca="false">YEAR(J62)+IF(MONTH(J62)&gt;Assumptions!$C$7,1,0)</f>
        <v>2028</v>
      </c>
      <c r="L62" s="13" t="n">
        <v>0</v>
      </c>
      <c r="M62" s="11" t="n">
        <v>2</v>
      </c>
      <c r="N62" s="11" t="n">
        <v>0</v>
      </c>
      <c r="O62" s="11" t="n">
        <v>0</v>
      </c>
      <c r="P62" s="11" t="n">
        <v>0</v>
      </c>
      <c r="Q62" s="13" t="n">
        <v>0</v>
      </c>
      <c r="R62" s="18" t="n">
        <v>100</v>
      </c>
      <c r="S62" s="3" t="s">
        <v>152</v>
      </c>
    </row>
    <row r="63" customFormat="false" ht="15" hidden="false" customHeight="false" outlineLevel="0" collapsed="false">
      <c r="A63" s="5" t="s">
        <v>154</v>
      </c>
      <c r="B63" s="5" t="s">
        <v>151</v>
      </c>
      <c r="C63" s="14" t="n">
        <v>550</v>
      </c>
      <c r="D63" s="14" t="n">
        <v>0</v>
      </c>
      <c r="E63" s="19" t="n">
        <v>0.08875</v>
      </c>
      <c r="F63" s="19" t="n">
        <v>0</v>
      </c>
      <c r="G63" s="19" t="n">
        <v>0</v>
      </c>
      <c r="H63" s="19" t="n">
        <v>0</v>
      </c>
      <c r="I63" s="11" t="n">
        <v>0</v>
      </c>
      <c r="J63" s="12" t="n">
        <v>47223</v>
      </c>
      <c r="K63" s="21" t="n">
        <f aca="false">YEAR(J63)+IF(MONTH(J63)&gt;Assumptions!$C$7,1,0)</f>
        <v>2029</v>
      </c>
      <c r="L63" s="13" t="n">
        <v>0</v>
      </c>
      <c r="M63" s="11" t="n">
        <v>2</v>
      </c>
      <c r="N63" s="11" t="n">
        <v>0</v>
      </c>
      <c r="O63" s="11" t="n">
        <v>0</v>
      </c>
      <c r="P63" s="11" t="n">
        <v>0</v>
      </c>
      <c r="Q63" s="13" t="n">
        <v>0</v>
      </c>
      <c r="R63" s="18" t="n">
        <v>100</v>
      </c>
      <c r="S63" s="3" t="s">
        <v>152</v>
      </c>
    </row>
    <row r="64" customFormat="false" ht="15" hidden="false" customHeight="false" outlineLevel="0" collapsed="false">
      <c r="A64" s="5" t="s">
        <v>155</v>
      </c>
      <c r="B64" s="5" t="s">
        <v>151</v>
      </c>
      <c r="C64" s="14" t="n">
        <v>350</v>
      </c>
      <c r="D64" s="14" t="n">
        <v>0</v>
      </c>
      <c r="E64" s="19" t="n">
        <v>0.0455</v>
      </c>
      <c r="F64" s="19" t="n">
        <v>0</v>
      </c>
      <c r="G64" s="19" t="n">
        <v>0</v>
      </c>
      <c r="H64" s="19" t="n">
        <v>0</v>
      </c>
      <c r="I64" s="11" t="n">
        <v>0</v>
      </c>
      <c r="J64" s="12" t="n">
        <v>47392</v>
      </c>
      <c r="K64" s="21" t="n">
        <f aca="false">YEAR(J64)+IF(MONTH(J64)&gt;Assumptions!$C$7,1,0)</f>
        <v>2030</v>
      </c>
      <c r="L64" s="13" t="n">
        <v>0</v>
      </c>
      <c r="M64" s="11" t="n">
        <v>2</v>
      </c>
      <c r="N64" s="11" t="n">
        <v>0</v>
      </c>
      <c r="O64" s="11" t="n">
        <v>0</v>
      </c>
      <c r="P64" s="11" t="n">
        <v>0</v>
      </c>
      <c r="Q64" s="13" t="n">
        <v>0</v>
      </c>
      <c r="R64" s="18" t="n">
        <v>100</v>
      </c>
      <c r="S64" s="3" t="s">
        <v>152</v>
      </c>
    </row>
    <row r="65" customFormat="false" ht="15" hidden="false" customHeight="false" outlineLevel="0" collapsed="false">
      <c r="A65" s="5" t="s">
        <v>156</v>
      </c>
      <c r="B65" s="5" t="s">
        <v>151</v>
      </c>
      <c r="C65" s="14" t="n">
        <v>300</v>
      </c>
      <c r="D65" s="14" t="n">
        <v>0</v>
      </c>
      <c r="E65" s="19" t="n">
        <v>0.06125</v>
      </c>
      <c r="F65" s="19" t="n">
        <v>0</v>
      </c>
      <c r="G65" s="19" t="n">
        <v>0</v>
      </c>
      <c r="H65" s="19" t="n">
        <v>0</v>
      </c>
      <c r="I65" s="11" t="n">
        <v>0</v>
      </c>
      <c r="J65" s="12" t="n">
        <v>47863</v>
      </c>
      <c r="K65" s="21" t="n">
        <f aca="false">YEAR(J65)+IF(MONTH(J65)&gt;Assumptions!$C$7,1,0)</f>
        <v>2031</v>
      </c>
      <c r="L65" s="13" t="n">
        <v>0</v>
      </c>
      <c r="M65" s="11" t="n">
        <v>2</v>
      </c>
      <c r="N65" s="11" t="n">
        <v>0</v>
      </c>
      <c r="O65" s="11" t="n">
        <v>0</v>
      </c>
      <c r="P65" s="11" t="n">
        <v>0</v>
      </c>
      <c r="Q65" s="13" t="n">
        <v>0</v>
      </c>
      <c r="R65" s="18" t="n">
        <v>100</v>
      </c>
      <c r="S65" s="3" t="s">
        <v>152</v>
      </c>
    </row>
    <row r="66" customFormat="false" ht="15" hidden="false" customHeight="false" outlineLevel="0" collapsed="false">
      <c r="A66" s="5" t="s">
        <v>157</v>
      </c>
      <c r="B66" s="5" t="s">
        <v>158</v>
      </c>
      <c r="C66" s="14" t="n">
        <v>78.61</v>
      </c>
      <c r="D66" s="14" t="n">
        <v>0</v>
      </c>
      <c r="E66" s="19" t="n">
        <v>0</v>
      </c>
      <c r="F66" s="19" t="n">
        <v>0.0151</v>
      </c>
      <c r="G66" s="19" t="n">
        <v>0</v>
      </c>
      <c r="H66" s="19" t="n">
        <v>0</v>
      </c>
      <c r="I66" s="11" t="n">
        <v>1</v>
      </c>
      <c r="J66" s="12" t="n">
        <v>49398</v>
      </c>
      <c r="K66" s="21" t="n">
        <f aca="false">YEAR(J66)+IF(MONTH(J66)&gt;Assumptions!$C$7,1,0)</f>
        <v>2035</v>
      </c>
      <c r="L66" s="13" t="n">
        <v>0</v>
      </c>
      <c r="M66" s="11" t="n">
        <v>3</v>
      </c>
      <c r="N66" s="11" t="n">
        <v>0</v>
      </c>
      <c r="O66" s="11" t="n">
        <v>0</v>
      </c>
      <c r="P66" s="11" t="n">
        <v>0</v>
      </c>
      <c r="Q66" s="13" t="n">
        <v>0</v>
      </c>
      <c r="R66" s="18" t="n">
        <v>100</v>
      </c>
      <c r="S66" s="3" t="s">
        <v>159</v>
      </c>
    </row>
    <row r="67" customFormat="false" ht="15" hidden="false" customHeight="false" outlineLevel="0" collapsed="false">
      <c r="A67" s="3" t="s">
        <v>160</v>
      </c>
    </row>
    <row r="69" customFormat="false" ht="15" hidden="false" customHeight="false" outlineLevel="0" collapsed="false">
      <c r="A69" s="9" t="s">
        <v>161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customFormat="false" ht="15" hidden="false" customHeight="false" outlineLevel="0" collapsed="false">
      <c r="A70" s="7" t="s">
        <v>162</v>
      </c>
      <c r="B70" s="7" t="s">
        <v>121</v>
      </c>
      <c r="C70" s="7" t="s">
        <v>163</v>
      </c>
      <c r="D70" s="7" t="s">
        <v>164</v>
      </c>
      <c r="E70" s="7" t="s">
        <v>165</v>
      </c>
      <c r="G70" s="20" t="n">
        <f aca="false">Assumptions!$C$6+1</f>
        <v>2027</v>
      </c>
      <c r="H70" s="20" t="n">
        <f aca="false">G70+1</f>
        <v>2028</v>
      </c>
      <c r="I70" s="20" t="n">
        <f aca="false">H70+1</f>
        <v>2029</v>
      </c>
      <c r="J70" s="20" t="n">
        <f aca="false">I70+1</f>
        <v>2030</v>
      </c>
      <c r="K70" s="20" t="n">
        <f aca="false">J70+1</f>
        <v>2031</v>
      </c>
    </row>
    <row r="71" customFormat="false" ht="15" hidden="false" customHeight="false" outlineLevel="0" collapsed="false">
      <c r="A71" s="3" t="s">
        <v>166</v>
      </c>
      <c r="B71" s="3" t="s">
        <v>167</v>
      </c>
      <c r="C71" s="3" t="s">
        <v>168</v>
      </c>
      <c r="D71" s="11" t="n">
        <v>1</v>
      </c>
      <c r="G71" s="13" t="n">
        <v>0.6</v>
      </c>
      <c r="H71" s="13" t="n">
        <v>0.6</v>
      </c>
      <c r="I71" s="13" t="n">
        <v>0.6</v>
      </c>
      <c r="J71" s="13" t="n">
        <v>0.6</v>
      </c>
      <c r="K71" s="13" t="n">
        <v>0.6</v>
      </c>
    </row>
    <row r="72" customFormat="false" ht="15" hidden="false" customHeight="false" outlineLevel="0" collapsed="false">
      <c r="A72" s="3" t="s">
        <v>169</v>
      </c>
      <c r="B72" s="3" t="s">
        <v>170</v>
      </c>
      <c r="C72" s="3" t="s">
        <v>168</v>
      </c>
      <c r="D72" s="11" t="n">
        <v>1</v>
      </c>
      <c r="G72" s="15" t="n">
        <v>1.5</v>
      </c>
      <c r="H72" s="15" t="n">
        <v>1.5</v>
      </c>
      <c r="I72" s="15" t="n">
        <v>1.5</v>
      </c>
      <c r="J72" s="15" t="n">
        <v>1.5</v>
      </c>
      <c r="K72" s="15" t="n">
        <v>1.5</v>
      </c>
    </row>
    <row r="73" customFormat="false" ht="15" hidden="false" customHeight="false" outlineLevel="0" collapsed="false">
      <c r="A73" s="3" t="s">
        <v>171</v>
      </c>
      <c r="B73" s="3" t="s">
        <v>172</v>
      </c>
      <c r="C73" s="3" t="s">
        <v>168</v>
      </c>
      <c r="D73" s="11" t="n">
        <v>1</v>
      </c>
      <c r="G73" s="13" t="n">
        <v>0.4</v>
      </c>
      <c r="H73" s="13" t="n">
        <v>0.4</v>
      </c>
      <c r="I73" s="13" t="n">
        <v>0.4</v>
      </c>
      <c r="J73" s="13" t="n">
        <v>0.4</v>
      </c>
      <c r="K73" s="13" t="n">
        <v>0.4</v>
      </c>
    </row>
    <row r="74" customFormat="false" ht="15" hidden="false" customHeight="false" outlineLevel="0" collapsed="false">
      <c r="A74" s="3" t="s">
        <v>173</v>
      </c>
      <c r="B74" s="3" t="s">
        <v>174</v>
      </c>
      <c r="C74" s="3" t="s">
        <v>175</v>
      </c>
      <c r="D74" s="11" t="n">
        <v>1</v>
      </c>
      <c r="G74" s="15" t="n">
        <v>100</v>
      </c>
      <c r="H74" s="15" t="n">
        <v>100</v>
      </c>
      <c r="I74" s="15" t="n">
        <v>100</v>
      </c>
      <c r="J74" s="15" t="n">
        <v>100</v>
      </c>
      <c r="K74" s="15" t="n">
        <v>100</v>
      </c>
    </row>
    <row r="75" customFormat="false" ht="15" hidden="false" customHeight="false" outlineLevel="0" collapsed="false">
      <c r="A75" s="3" t="s">
        <v>176</v>
      </c>
      <c r="B75" s="3" t="s">
        <v>177</v>
      </c>
      <c r="C75" s="3" t="s">
        <v>175</v>
      </c>
      <c r="D75" s="11" t="n">
        <v>1</v>
      </c>
      <c r="G75" s="15" t="n">
        <v>10.5</v>
      </c>
      <c r="H75" s="15" t="n">
        <v>10.5</v>
      </c>
      <c r="I75" s="15" t="n">
        <v>10</v>
      </c>
      <c r="J75" s="15" t="n">
        <v>10</v>
      </c>
      <c r="K75" s="15" t="n">
        <v>9.5</v>
      </c>
    </row>
    <row r="77" customFormat="false" ht="15" hidden="false" customHeight="false" outlineLevel="0" collapsed="false">
      <c r="A77" s="9" t="s">
        <v>178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customFormat="false" ht="15" hidden="false" customHeight="false" outlineLevel="0" collapsed="false">
      <c r="A78" s="7" t="s">
        <v>179</v>
      </c>
      <c r="B78" s="7"/>
      <c r="C78" s="7"/>
      <c r="D78" s="7"/>
      <c r="E78" s="7"/>
      <c r="F78" s="7"/>
      <c r="G78" s="20" t="n">
        <f aca="false">Assumptions!$C$6+1</f>
        <v>2027</v>
      </c>
      <c r="H78" s="20" t="n">
        <f aca="false">G78+1</f>
        <v>2028</v>
      </c>
      <c r="I78" s="20" t="n">
        <f aca="false">H78+1</f>
        <v>2029</v>
      </c>
      <c r="J78" s="20" t="n">
        <f aca="false">I78+1</f>
        <v>2030</v>
      </c>
      <c r="K78" s="20" t="n">
        <f aca="false">J78+1</f>
        <v>2031</v>
      </c>
    </row>
    <row r="79" customFormat="false" ht="15" hidden="false" customHeight="false" outlineLevel="0" collapsed="false">
      <c r="A79" s="3" t="s">
        <v>180</v>
      </c>
      <c r="G79" s="13" t="n">
        <v>-0.03</v>
      </c>
      <c r="H79" s="13" t="n">
        <v>0.02</v>
      </c>
      <c r="I79" s="13" t="n">
        <v>0.02</v>
      </c>
      <c r="J79" s="13" t="n">
        <v>0.02</v>
      </c>
      <c r="K79" s="13" t="n">
        <v>0.02</v>
      </c>
    </row>
    <row r="80" customFormat="false" ht="15" hidden="false" customHeight="false" outlineLevel="0" collapsed="false">
      <c r="A80" s="3" t="s">
        <v>181</v>
      </c>
      <c r="G80" s="13" t="n">
        <v>0.603920660818678</v>
      </c>
      <c r="H80" s="13" t="n">
        <v>0.606920660818678</v>
      </c>
      <c r="I80" s="13" t="n">
        <v>0.609920660818678</v>
      </c>
      <c r="J80" s="13" t="n">
        <v>0.611920660818678</v>
      </c>
      <c r="K80" s="13" t="n">
        <v>0.613920660818678</v>
      </c>
    </row>
    <row r="81" customFormat="false" ht="15" hidden="false" customHeight="false" outlineLevel="0" collapsed="false">
      <c r="A81" s="3" t="s">
        <v>182</v>
      </c>
      <c r="G81" s="13" t="n">
        <v>0.53</v>
      </c>
      <c r="H81" s="13" t="n">
        <v>0.533</v>
      </c>
      <c r="I81" s="13" t="n">
        <v>0.536</v>
      </c>
      <c r="J81" s="13" t="n">
        <v>0.538</v>
      </c>
      <c r="K81" s="13" t="n">
        <v>0.54</v>
      </c>
    </row>
    <row r="82" customFormat="false" ht="15" hidden="false" customHeight="false" outlineLevel="0" collapsed="false">
      <c r="A82" s="3" t="s">
        <v>183</v>
      </c>
      <c r="G82" s="14" t="n">
        <v>200</v>
      </c>
      <c r="H82" s="14" t="n">
        <v>0</v>
      </c>
      <c r="I82" s="14" t="n">
        <v>0</v>
      </c>
      <c r="J82" s="14" t="n">
        <v>0</v>
      </c>
      <c r="K82" s="14" t="n">
        <v>0</v>
      </c>
    </row>
    <row r="83" customFormat="false" ht="15" hidden="false" customHeight="false" outlineLevel="0" collapsed="false">
      <c r="A83" s="3" t="s">
        <v>184</v>
      </c>
      <c r="B83" s="3" t="s">
        <v>185</v>
      </c>
      <c r="C83" s="13" t="n">
        <v>0.22</v>
      </c>
    </row>
    <row r="84" customFormat="false" ht="15" hidden="false" customHeight="false" outlineLevel="0" collapsed="false">
      <c r="A84" s="3" t="s">
        <v>186</v>
      </c>
      <c r="B84" s="3" t="s">
        <v>187</v>
      </c>
      <c r="C84" s="13" t="n">
        <v>0</v>
      </c>
    </row>
    <row r="85" customFormat="false" ht="15" hidden="false" customHeight="false" outlineLevel="0" collapsed="false">
      <c r="A85" s="3" t="s">
        <v>188</v>
      </c>
      <c r="B85" s="3" t="s">
        <v>185</v>
      </c>
      <c r="C85" s="13" t="n">
        <v>0.11</v>
      </c>
    </row>
    <row r="86" customFormat="false" ht="15" hidden="false" customHeight="false" outlineLevel="0" collapsed="false">
      <c r="A86" s="3" t="s">
        <v>189</v>
      </c>
      <c r="B86" s="3" t="s">
        <v>190</v>
      </c>
      <c r="C86" s="19" t="n">
        <v>0</v>
      </c>
    </row>
    <row r="87" customFormat="false" ht="15" hidden="false" customHeight="false" outlineLevel="0" collapsed="false">
      <c r="A87" s="3" t="s">
        <v>191</v>
      </c>
      <c r="B87" s="3" t="s">
        <v>65</v>
      </c>
      <c r="C87" s="19" t="n">
        <v>0.08</v>
      </c>
    </row>
    <row r="88" customFormat="false" ht="15" hidden="false" customHeight="false" outlineLevel="0" collapsed="false">
      <c r="A88" s="3" t="s">
        <v>192</v>
      </c>
      <c r="B88" s="3" t="s">
        <v>79</v>
      </c>
      <c r="C88" s="15" t="n">
        <v>11</v>
      </c>
    </row>
    <row r="89" customFormat="false" ht="15" hidden="false" customHeight="false" outlineLevel="0" collapsed="false">
      <c r="A89" s="3" t="s">
        <v>193</v>
      </c>
      <c r="B89" s="3" t="s">
        <v>79</v>
      </c>
      <c r="C89" s="15" t="n">
        <v>1.2</v>
      </c>
    </row>
    <row r="90" customFormat="false" ht="15" hidden="false" customHeight="false" outlineLevel="0" collapsed="false">
      <c r="A90" s="3" t="s">
        <v>194</v>
      </c>
      <c r="B90" s="3" t="s">
        <v>79</v>
      </c>
      <c r="C90" s="15" t="n">
        <v>12.5</v>
      </c>
    </row>
    <row r="91" customFormat="false" ht="15" hidden="false" customHeight="false" outlineLevel="0" collapsed="false">
      <c r="A91" s="3" t="s">
        <v>195</v>
      </c>
      <c r="B91" s="3" t="s">
        <v>98</v>
      </c>
      <c r="C91" s="18" t="n">
        <v>100</v>
      </c>
    </row>
    <row r="92" customFormat="false" ht="15" hidden="false" customHeight="false" outlineLevel="0" collapsed="false">
      <c r="A92" s="3" t="s">
        <v>196</v>
      </c>
      <c r="B92" s="3" t="s">
        <v>79</v>
      </c>
      <c r="C92" s="15" t="n">
        <v>10</v>
      </c>
    </row>
    <row r="93" customFormat="false" ht="15" hidden="false" customHeight="false" outlineLevel="0" collapsed="false">
      <c r="A93" s="3" t="s">
        <v>197</v>
      </c>
      <c r="B93" s="3" t="s">
        <v>65</v>
      </c>
      <c r="C93" s="13" t="n">
        <v>0</v>
      </c>
    </row>
    <row r="94" customFormat="false" ht="15" hidden="false" customHeight="false" outlineLevel="0" collapsed="false">
      <c r="A94" s="3" t="s">
        <v>198</v>
      </c>
      <c r="B94" s="3" t="s">
        <v>65</v>
      </c>
      <c r="C94" s="13" t="n">
        <v>0.85</v>
      </c>
    </row>
    <row r="95" customFormat="false" ht="15" hidden="false" customHeight="false" outlineLevel="0" collapsed="false">
      <c r="A95" s="3" t="s">
        <v>199</v>
      </c>
      <c r="C95" s="13" t="n">
        <v>0.5</v>
      </c>
    </row>
    <row r="97" customFormat="false" ht="15" hidden="false" customHeight="false" outlineLevel="0" collapsed="false">
      <c r="A97" s="7" t="s">
        <v>200</v>
      </c>
      <c r="B97" s="7"/>
      <c r="C97" s="7"/>
      <c r="D97" s="7"/>
      <c r="E97" s="7"/>
      <c r="F97" s="7"/>
      <c r="G97" s="20" t="n">
        <f aca="false">Assumptions!$C$6+1</f>
        <v>2027</v>
      </c>
      <c r="H97" s="20" t="n">
        <f aca="false">G97+1</f>
        <v>2028</v>
      </c>
      <c r="I97" s="20" t="n">
        <f aca="false">H97+1</f>
        <v>2029</v>
      </c>
      <c r="J97" s="20" t="n">
        <f aca="false">I97+1</f>
        <v>2030</v>
      </c>
      <c r="K97" s="20" t="n">
        <f aca="false">J97+1</f>
        <v>2031</v>
      </c>
    </row>
    <row r="98" customFormat="false" ht="15" hidden="false" customHeight="false" outlineLevel="0" collapsed="false">
      <c r="A98" s="3" t="s">
        <v>180</v>
      </c>
      <c r="G98" s="13" t="n">
        <v>-0.06</v>
      </c>
      <c r="H98" s="13" t="n">
        <v>-0.03</v>
      </c>
      <c r="I98" s="13" t="n">
        <v>0</v>
      </c>
      <c r="J98" s="13" t="n">
        <v>0.01</v>
      </c>
      <c r="K98" s="13" t="n">
        <v>0.01</v>
      </c>
    </row>
    <row r="99" customFormat="false" ht="15" hidden="false" customHeight="false" outlineLevel="0" collapsed="false">
      <c r="A99" s="3" t="s">
        <v>181</v>
      </c>
      <c r="G99" s="13" t="n">
        <v>0.573920660818678</v>
      </c>
      <c r="H99" s="13" t="n">
        <v>0.558920660818678</v>
      </c>
      <c r="I99" s="13" t="n">
        <v>0.558920660818678</v>
      </c>
      <c r="J99" s="13" t="n">
        <v>0.563920660818678</v>
      </c>
      <c r="K99" s="13" t="n">
        <v>0.568920660818678</v>
      </c>
    </row>
    <row r="100" customFormat="false" ht="15" hidden="false" customHeight="false" outlineLevel="0" collapsed="false">
      <c r="A100" s="3" t="s">
        <v>182</v>
      </c>
      <c r="G100" s="13" t="n">
        <v>0.5</v>
      </c>
      <c r="H100" s="13" t="n">
        <v>0.485</v>
      </c>
      <c r="I100" s="13" t="n">
        <v>0.485</v>
      </c>
      <c r="J100" s="13" t="n">
        <v>0.49</v>
      </c>
      <c r="K100" s="13" t="n">
        <v>0.495</v>
      </c>
    </row>
    <row r="101" customFormat="false" ht="15" hidden="false" customHeight="false" outlineLevel="0" collapsed="false">
      <c r="A101" s="3" t="s">
        <v>183</v>
      </c>
      <c r="G101" s="14" t="n">
        <v>150</v>
      </c>
      <c r="H101" s="14" t="n">
        <v>0</v>
      </c>
      <c r="I101" s="14" t="n">
        <v>0</v>
      </c>
      <c r="J101" s="14" t="n">
        <v>0</v>
      </c>
      <c r="K101" s="14" t="n">
        <v>0</v>
      </c>
    </row>
    <row r="102" customFormat="false" ht="15" hidden="false" customHeight="false" outlineLevel="0" collapsed="false">
      <c r="A102" s="3" t="s">
        <v>184</v>
      </c>
      <c r="B102" s="3" t="s">
        <v>185</v>
      </c>
      <c r="C102" s="13" t="n">
        <v>0.18</v>
      </c>
    </row>
    <row r="103" customFormat="false" ht="15" hidden="false" customHeight="false" outlineLevel="0" collapsed="false">
      <c r="A103" s="3" t="s">
        <v>186</v>
      </c>
      <c r="B103" s="3" t="s">
        <v>187</v>
      </c>
      <c r="C103" s="13" t="n">
        <v>0</v>
      </c>
    </row>
    <row r="104" customFormat="false" ht="15" hidden="false" customHeight="false" outlineLevel="0" collapsed="false">
      <c r="A104" s="3" t="s">
        <v>188</v>
      </c>
      <c r="B104" s="3" t="s">
        <v>185</v>
      </c>
      <c r="C104" s="13" t="n">
        <v>0.05</v>
      </c>
    </row>
    <row r="105" customFormat="false" ht="15" hidden="false" customHeight="false" outlineLevel="0" collapsed="false">
      <c r="A105" s="3" t="s">
        <v>189</v>
      </c>
      <c r="B105" s="3" t="s">
        <v>190</v>
      </c>
      <c r="C105" s="19" t="n">
        <v>0.015</v>
      </c>
    </row>
    <row r="106" customFormat="false" ht="15" hidden="false" customHeight="false" outlineLevel="0" collapsed="false">
      <c r="A106" s="3" t="s">
        <v>191</v>
      </c>
      <c r="B106" s="3" t="s">
        <v>65</v>
      </c>
      <c r="C106" s="19" t="n">
        <v>0.1</v>
      </c>
    </row>
    <row r="107" customFormat="false" ht="15" hidden="false" customHeight="false" outlineLevel="0" collapsed="false">
      <c r="A107" s="3" t="s">
        <v>192</v>
      </c>
      <c r="B107" s="3" t="s">
        <v>79</v>
      </c>
      <c r="C107" s="15" t="n">
        <v>9.5</v>
      </c>
    </row>
    <row r="108" customFormat="false" ht="15" hidden="false" customHeight="false" outlineLevel="0" collapsed="false">
      <c r="A108" s="3" t="s">
        <v>193</v>
      </c>
      <c r="B108" s="3" t="s">
        <v>79</v>
      </c>
      <c r="C108" s="15" t="n">
        <v>1.5</v>
      </c>
    </row>
    <row r="109" customFormat="false" ht="15" hidden="false" customHeight="false" outlineLevel="0" collapsed="false">
      <c r="A109" s="3" t="s">
        <v>194</v>
      </c>
      <c r="B109" s="3" t="s">
        <v>79</v>
      </c>
      <c r="C109" s="15" t="n">
        <v>11</v>
      </c>
    </row>
    <row r="110" customFormat="false" ht="15" hidden="false" customHeight="false" outlineLevel="0" collapsed="false">
      <c r="A110" s="3" t="s">
        <v>195</v>
      </c>
      <c r="B110" s="3" t="s">
        <v>98</v>
      </c>
      <c r="C110" s="18" t="n">
        <v>95</v>
      </c>
    </row>
    <row r="111" customFormat="false" ht="15" hidden="false" customHeight="false" outlineLevel="0" collapsed="false">
      <c r="A111" s="3" t="s">
        <v>196</v>
      </c>
      <c r="B111" s="3" t="s">
        <v>79</v>
      </c>
      <c r="C111" s="15" t="n">
        <v>9</v>
      </c>
    </row>
    <row r="112" customFormat="false" ht="15" hidden="false" customHeight="false" outlineLevel="0" collapsed="false">
      <c r="A112" s="3" t="s">
        <v>197</v>
      </c>
      <c r="B112" s="3" t="s">
        <v>65</v>
      </c>
      <c r="C112" s="13" t="n">
        <v>0.15</v>
      </c>
    </row>
    <row r="113" customFormat="false" ht="15" hidden="false" customHeight="false" outlineLevel="0" collapsed="false">
      <c r="A113" s="3" t="s">
        <v>198</v>
      </c>
      <c r="B113" s="3" t="s">
        <v>65</v>
      </c>
      <c r="C113" s="13" t="n">
        <v>0.85</v>
      </c>
    </row>
    <row r="114" customFormat="false" ht="15" hidden="false" customHeight="false" outlineLevel="0" collapsed="false">
      <c r="A114" s="3" t="s">
        <v>199</v>
      </c>
      <c r="C114" s="13" t="n">
        <v>0.35</v>
      </c>
    </row>
    <row r="116" customFormat="false" ht="15" hidden="false" customHeight="false" outlineLevel="0" collapsed="false">
      <c r="A116" s="7" t="s">
        <v>201</v>
      </c>
      <c r="B116" s="7"/>
      <c r="C116" s="7"/>
      <c r="D116" s="7"/>
      <c r="E116" s="7"/>
      <c r="F116" s="7"/>
      <c r="G116" s="20" t="n">
        <f aca="false">Assumptions!$C$6+1</f>
        <v>2027</v>
      </c>
      <c r="H116" s="20" t="n">
        <f aca="false">G116+1</f>
        <v>2028</v>
      </c>
      <c r="I116" s="20" t="n">
        <f aca="false">H116+1</f>
        <v>2029</v>
      </c>
      <c r="J116" s="20" t="n">
        <f aca="false">I116+1</f>
        <v>2030</v>
      </c>
      <c r="K116" s="20" t="n">
        <f aca="false">J116+1</f>
        <v>2031</v>
      </c>
    </row>
    <row r="117" customFormat="false" ht="15" hidden="false" customHeight="false" outlineLevel="0" collapsed="false">
      <c r="A117" s="3" t="s">
        <v>180</v>
      </c>
      <c r="G117" s="13" t="n">
        <v>-0.1</v>
      </c>
      <c r="H117" s="13" t="n">
        <v>-0.07</v>
      </c>
      <c r="I117" s="13" t="n">
        <v>-0.03</v>
      </c>
      <c r="J117" s="13" t="n">
        <v>0</v>
      </c>
      <c r="K117" s="13" t="n">
        <v>0.01</v>
      </c>
    </row>
    <row r="118" customFormat="false" ht="15" hidden="false" customHeight="false" outlineLevel="0" collapsed="false">
      <c r="A118" s="3" t="s">
        <v>181</v>
      </c>
      <c r="G118" s="13" t="n">
        <v>0.533920660818678</v>
      </c>
      <c r="H118" s="13" t="n">
        <v>0.503920660818678</v>
      </c>
      <c r="I118" s="13" t="n">
        <v>0.498920660818678</v>
      </c>
      <c r="J118" s="13" t="n">
        <v>0.503920660818678</v>
      </c>
      <c r="K118" s="13" t="n">
        <v>0.513920660818678</v>
      </c>
    </row>
    <row r="119" customFormat="false" ht="15" hidden="false" customHeight="false" outlineLevel="0" collapsed="false">
      <c r="A119" s="3" t="s">
        <v>182</v>
      </c>
      <c r="G119" s="13" t="n">
        <v>0.46</v>
      </c>
      <c r="H119" s="13" t="n">
        <v>0.43</v>
      </c>
      <c r="I119" s="13" t="n">
        <v>0.425</v>
      </c>
      <c r="J119" s="13" t="n">
        <v>0.43</v>
      </c>
      <c r="K119" s="13" t="n">
        <v>0.44</v>
      </c>
    </row>
    <row r="120" customFormat="false" ht="15" hidden="false" customHeight="false" outlineLevel="0" collapsed="false">
      <c r="A120" s="3" t="s">
        <v>183</v>
      </c>
      <c r="G120" s="14" t="n">
        <v>100</v>
      </c>
      <c r="H120" s="14" t="n">
        <v>0</v>
      </c>
      <c r="I120" s="14" t="n">
        <v>0</v>
      </c>
      <c r="J120" s="14" t="n">
        <v>0</v>
      </c>
      <c r="K120" s="14" t="n">
        <v>0</v>
      </c>
    </row>
    <row r="121" customFormat="false" ht="15" hidden="false" customHeight="false" outlineLevel="0" collapsed="false">
      <c r="A121" s="3" t="s">
        <v>184</v>
      </c>
      <c r="B121" s="3" t="s">
        <v>185</v>
      </c>
      <c r="C121" s="13" t="n">
        <v>0.13</v>
      </c>
    </row>
    <row r="122" customFormat="false" ht="15" hidden="false" customHeight="false" outlineLevel="0" collapsed="false">
      <c r="A122" s="3" t="s">
        <v>186</v>
      </c>
      <c r="B122" s="3" t="s">
        <v>187</v>
      </c>
      <c r="C122" s="13" t="n">
        <v>0</v>
      </c>
    </row>
    <row r="123" customFormat="false" ht="15" hidden="false" customHeight="false" outlineLevel="0" collapsed="false">
      <c r="A123" s="3" t="s">
        <v>188</v>
      </c>
      <c r="B123" s="3" t="s">
        <v>185</v>
      </c>
      <c r="C123" s="13" t="n">
        <v>0</v>
      </c>
    </row>
    <row r="124" customFormat="false" ht="15" hidden="false" customHeight="false" outlineLevel="0" collapsed="false">
      <c r="A124" s="3" t="s">
        <v>189</v>
      </c>
      <c r="B124" s="3" t="s">
        <v>190</v>
      </c>
      <c r="C124" s="19" t="n">
        <v>0.03</v>
      </c>
    </row>
    <row r="125" customFormat="false" ht="15" hidden="false" customHeight="false" outlineLevel="0" collapsed="false">
      <c r="A125" s="3" t="s">
        <v>191</v>
      </c>
      <c r="B125" s="3" t="s">
        <v>65</v>
      </c>
      <c r="C125" s="19" t="n">
        <v>0.12</v>
      </c>
    </row>
    <row r="126" customFormat="false" ht="15" hidden="false" customHeight="false" outlineLevel="0" collapsed="false">
      <c r="A126" s="3" t="s">
        <v>192</v>
      </c>
      <c r="B126" s="3" t="s">
        <v>79</v>
      </c>
      <c r="C126" s="15" t="n">
        <v>9</v>
      </c>
    </row>
    <row r="127" customFormat="false" ht="15" hidden="false" customHeight="false" outlineLevel="0" collapsed="false">
      <c r="A127" s="3" t="s">
        <v>193</v>
      </c>
      <c r="B127" s="3" t="s">
        <v>79</v>
      </c>
      <c r="C127" s="15" t="n">
        <v>1.75</v>
      </c>
    </row>
    <row r="128" customFormat="false" ht="15" hidden="false" customHeight="false" outlineLevel="0" collapsed="false">
      <c r="A128" s="3" t="s">
        <v>194</v>
      </c>
      <c r="B128" s="3" t="s">
        <v>79</v>
      </c>
      <c r="C128" s="15" t="n">
        <v>9.5</v>
      </c>
    </row>
    <row r="129" customFormat="false" ht="15" hidden="false" customHeight="false" outlineLevel="0" collapsed="false">
      <c r="A129" s="3" t="s">
        <v>195</v>
      </c>
      <c r="B129" s="3" t="s">
        <v>98</v>
      </c>
      <c r="C129" s="18" t="n">
        <v>85</v>
      </c>
    </row>
    <row r="130" customFormat="false" ht="15" hidden="false" customHeight="false" outlineLevel="0" collapsed="false">
      <c r="A130" s="3" t="s">
        <v>196</v>
      </c>
      <c r="B130" s="3" t="s">
        <v>79</v>
      </c>
      <c r="C130" s="15" t="n">
        <v>8</v>
      </c>
    </row>
    <row r="131" customFormat="false" ht="15" hidden="false" customHeight="false" outlineLevel="0" collapsed="false">
      <c r="A131" s="3" t="s">
        <v>197</v>
      </c>
      <c r="B131" s="3" t="s">
        <v>65</v>
      </c>
      <c r="C131" s="13" t="n">
        <v>0.3</v>
      </c>
    </row>
    <row r="132" customFormat="false" ht="15" hidden="false" customHeight="false" outlineLevel="0" collapsed="false">
      <c r="A132" s="3" t="s">
        <v>198</v>
      </c>
      <c r="B132" s="3" t="s">
        <v>65</v>
      </c>
      <c r="C132" s="13" t="n">
        <v>0.85</v>
      </c>
    </row>
    <row r="133" customFormat="false" ht="15" hidden="false" customHeight="false" outlineLevel="0" collapsed="false">
      <c r="A133" s="3" t="s">
        <v>199</v>
      </c>
      <c r="C133" s="13" t="n">
        <v>0.15</v>
      </c>
    </row>
    <row r="135" customFormat="false" ht="15" hidden="false" customHeight="false" outlineLevel="0" collapsed="false">
      <c r="A135" s="3" t="s">
        <v>202</v>
      </c>
      <c r="C135" s="22" t="n">
        <f aca="false">Assumptions!$C$95+Assumptions!$C$114+Assumptions!$C$133</f>
        <v>1</v>
      </c>
    </row>
    <row r="137" customFormat="false" ht="15" hidden="false" customHeight="false" outlineLevel="0" collapsed="false">
      <c r="A137" s="9" t="s">
        <v>203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customFormat="false" ht="15" hidden="false" customHeight="false" outlineLevel="0" collapsed="false">
      <c r="A138" s="7" t="s">
        <v>204</v>
      </c>
      <c r="B138" s="7" t="s">
        <v>205</v>
      </c>
      <c r="C138" s="7" t="s">
        <v>206</v>
      </c>
      <c r="D138" s="7" t="s">
        <v>207</v>
      </c>
      <c r="E138" s="7" t="s">
        <v>208</v>
      </c>
    </row>
    <row r="139" customFormat="false" ht="15" hidden="false" customHeight="false" outlineLevel="0" collapsed="false">
      <c r="A139" s="3" t="s">
        <v>209</v>
      </c>
      <c r="B139" s="3" t="s">
        <v>79</v>
      </c>
      <c r="C139" s="11" t="n">
        <v>15</v>
      </c>
      <c r="D139" s="5" t="n">
        <v>2</v>
      </c>
      <c r="E139" s="5" t="n">
        <v>7</v>
      </c>
    </row>
    <row r="140" customFormat="false" ht="15" hidden="false" customHeight="false" outlineLevel="0" collapsed="false">
      <c r="A140" s="3" t="s">
        <v>210</v>
      </c>
      <c r="B140" s="3" t="s">
        <v>211</v>
      </c>
      <c r="C140" s="11" t="n">
        <v>15</v>
      </c>
      <c r="D140" s="5" t="n">
        <v>5</v>
      </c>
      <c r="E140" s="5" t="n">
        <v>1</v>
      </c>
    </row>
    <row r="141" customFormat="false" ht="15" hidden="false" customHeight="false" outlineLevel="0" collapsed="false">
      <c r="A141" s="3" t="s">
        <v>212</v>
      </c>
      <c r="B141" s="3" t="s">
        <v>79</v>
      </c>
      <c r="C141" s="11" t="n">
        <v>10</v>
      </c>
      <c r="D141" s="5" t="n">
        <v>2</v>
      </c>
      <c r="E141" s="5" t="n">
        <v>0.5</v>
      </c>
    </row>
    <row r="142" customFormat="false" ht="15" hidden="false" customHeight="false" outlineLevel="0" collapsed="false">
      <c r="A142" s="3" t="s">
        <v>213</v>
      </c>
      <c r="B142" s="3" t="s">
        <v>65</v>
      </c>
      <c r="C142" s="11" t="n">
        <v>10</v>
      </c>
      <c r="D142" s="5" t="n">
        <v>0.12</v>
      </c>
      <c r="E142" s="5" t="n">
        <v>-0.02</v>
      </c>
    </row>
    <row r="143" customFormat="false" ht="15" hidden="false" customHeight="false" outlineLevel="0" collapsed="false">
      <c r="A143" s="3" t="s">
        <v>214</v>
      </c>
      <c r="B143" s="3" t="s">
        <v>215</v>
      </c>
      <c r="C143" s="11" t="n">
        <v>10</v>
      </c>
      <c r="D143" s="5" t="n">
        <v>0</v>
      </c>
      <c r="E143" s="5" t="n">
        <v>0.5</v>
      </c>
    </row>
    <row r="144" customFormat="false" ht="15" hidden="false" customHeight="false" outlineLevel="0" collapsed="false">
      <c r="A144" s="3" t="s">
        <v>216</v>
      </c>
      <c r="B144" s="3" t="s">
        <v>217</v>
      </c>
      <c r="C144" s="11" t="n">
        <v>10</v>
      </c>
      <c r="D144" s="5" t="n">
        <v>0.01</v>
      </c>
      <c r="E144" s="5" t="n">
        <v>0.05</v>
      </c>
    </row>
    <row r="145" customFormat="false" ht="15" hidden="false" customHeight="false" outlineLevel="0" collapsed="false">
      <c r="A145" s="3" t="s">
        <v>218</v>
      </c>
      <c r="B145" s="3" t="s">
        <v>217</v>
      </c>
      <c r="C145" s="11" t="n">
        <v>8</v>
      </c>
      <c r="D145" s="5" t="n">
        <v>0.03</v>
      </c>
      <c r="E145" s="5" t="n">
        <v>0.15</v>
      </c>
    </row>
    <row r="146" customFormat="false" ht="15" hidden="false" customHeight="false" outlineLevel="0" collapsed="false">
      <c r="A146" s="3" t="s">
        <v>219</v>
      </c>
      <c r="B146" s="3" t="s">
        <v>220</v>
      </c>
      <c r="C146" s="11" t="n">
        <v>12</v>
      </c>
      <c r="D146" s="5" t="n">
        <v>2</v>
      </c>
      <c r="E146" s="5" t="n">
        <v>0.6</v>
      </c>
    </row>
    <row r="147" customFormat="false" ht="15" hidden="false" customHeight="false" outlineLevel="0" collapsed="false">
      <c r="A147" s="3" t="s">
        <v>221</v>
      </c>
      <c r="B147" s="3" t="s">
        <v>222</v>
      </c>
      <c r="C147" s="11" t="n">
        <v>10</v>
      </c>
      <c r="D147" s="5" t="n">
        <v>1</v>
      </c>
      <c r="E147" s="5" t="n">
        <v>0</v>
      </c>
    </row>
    <row r="148" customFormat="false" ht="15" hidden="false" customHeight="false" outlineLevel="0" collapsed="false">
      <c r="A148" s="3" t="s">
        <v>223</v>
      </c>
      <c r="B148" s="3" t="s">
        <v>222</v>
      </c>
      <c r="C148" s="23" t="n">
        <v>0.5</v>
      </c>
    </row>
    <row r="149" customFormat="false" ht="15" hidden="false" customHeight="false" outlineLevel="0" collapsed="false">
      <c r="A149" s="3" t="s">
        <v>224</v>
      </c>
      <c r="C149" s="21" t="n">
        <f aca="false">SUM(C139:C147)</f>
        <v>100</v>
      </c>
    </row>
    <row r="151" customFormat="false" ht="15" hidden="false" customHeight="false" outlineLevel="0" collapsed="false">
      <c r="A151" s="9" t="s">
        <v>225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customFormat="false" ht="15" hidden="false" customHeight="false" outlineLevel="0" collapsed="false">
      <c r="A152" s="3" t="s">
        <v>226</v>
      </c>
      <c r="B152" s="3"/>
      <c r="C152" s="11" t="n">
        <v>75</v>
      </c>
    </row>
    <row r="153" customFormat="false" ht="15" hidden="false" customHeight="false" outlineLevel="0" collapsed="false">
      <c r="A153" s="3" t="s">
        <v>227</v>
      </c>
      <c r="B153" s="3"/>
      <c r="C153" s="11" t="n">
        <v>60</v>
      </c>
    </row>
    <row r="154" customFormat="false" ht="15" hidden="false" customHeight="false" outlineLevel="0" collapsed="false">
      <c r="A154" s="3" t="s">
        <v>228</v>
      </c>
      <c r="B154" s="3"/>
      <c r="C154" s="11" t="n">
        <v>45</v>
      </c>
    </row>
  </sheetData>
  <dataValidations count="1">
    <dataValidation allowBlank="false" errorStyle="stop" operator="between" showDropDown="false" showErrorMessage="false" showInputMessage="false" sqref="C10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3" t="s">
        <v>230</v>
      </c>
    </row>
    <row r="4" customFormat="false" ht="15" hidden="false" customHeight="false" outlineLevel="0" collapsed="false">
      <c r="A4" s="7" t="s">
        <v>231</v>
      </c>
      <c r="B4" s="7" t="s">
        <v>232</v>
      </c>
      <c r="C4" s="7" t="s">
        <v>233</v>
      </c>
      <c r="D4" s="7" t="s">
        <v>234</v>
      </c>
      <c r="E4" s="7" t="s">
        <v>235</v>
      </c>
      <c r="F4" s="7" t="s">
        <v>236</v>
      </c>
      <c r="G4" s="7" t="s">
        <v>237</v>
      </c>
      <c r="H4" s="7" t="s">
        <v>238</v>
      </c>
    </row>
    <row r="5" customFormat="false" ht="15" hidden="false" customHeight="false" outlineLevel="0" collapsed="false">
      <c r="A5" s="24" t="s">
        <v>239</v>
      </c>
      <c r="B5" s="25"/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3" t="s">
        <v>240</v>
      </c>
      <c r="B6" s="14" t="n">
        <v>514.651</v>
      </c>
      <c r="C6" s="14" t="n">
        <v>505.517</v>
      </c>
      <c r="D6" s="14" t="n">
        <v>484.454</v>
      </c>
      <c r="E6" s="14" t="n">
        <v>242.087</v>
      </c>
      <c r="F6" s="14" t="n">
        <v>255.924</v>
      </c>
      <c r="G6" s="16" t="n">
        <f aca="false">D6+F6-E6</f>
        <v>498.291</v>
      </c>
      <c r="H6" s="3" t="s">
        <v>241</v>
      </c>
    </row>
    <row r="7" customFormat="false" ht="15" hidden="false" customHeight="false" outlineLevel="0" collapsed="false">
      <c r="A7" s="3" t="s">
        <v>242</v>
      </c>
      <c r="B7" s="14" t="n">
        <v>129.885</v>
      </c>
      <c r="C7" s="14" t="n">
        <v>129.89</v>
      </c>
      <c r="D7" s="14" t="n">
        <v>131.347</v>
      </c>
      <c r="E7" s="14" t="n">
        <v>64.891</v>
      </c>
      <c r="F7" s="14" t="n">
        <v>77.094</v>
      </c>
      <c r="G7" s="16" t="n">
        <f aca="false">D7+F7-E7</f>
        <v>143.55</v>
      </c>
      <c r="H7" s="3" t="s">
        <v>243</v>
      </c>
    </row>
    <row r="8" customFormat="false" ht="15" hidden="false" customHeight="false" outlineLevel="0" collapsed="false">
      <c r="A8" s="3" t="s">
        <v>244</v>
      </c>
      <c r="B8" s="14" t="n">
        <v>49.974</v>
      </c>
      <c r="C8" s="14" t="n">
        <v>47.726</v>
      </c>
      <c r="D8" s="14" t="n">
        <v>43.602</v>
      </c>
      <c r="E8" s="14" t="n">
        <v>22.939</v>
      </c>
      <c r="F8" s="14" t="n">
        <v>23.006</v>
      </c>
      <c r="G8" s="16" t="n">
        <f aca="false">D8+F8-E8</f>
        <v>43.669</v>
      </c>
      <c r="H8" s="3" t="s">
        <v>245</v>
      </c>
    </row>
    <row r="9" customFormat="false" ht="15" hidden="false" customHeight="false" outlineLevel="0" collapsed="false">
      <c r="A9" s="3" t="s">
        <v>246</v>
      </c>
      <c r="B9" s="14" t="n">
        <v>10.088</v>
      </c>
      <c r="C9" s="14" t="n">
        <v>9.714</v>
      </c>
      <c r="D9" s="14" t="n">
        <v>10.245</v>
      </c>
      <c r="E9" s="14" t="n">
        <v>5.117</v>
      </c>
      <c r="F9" s="14" t="n">
        <v>4.433</v>
      </c>
      <c r="G9" s="16" t="n">
        <f aca="false">D9+F9-E9</f>
        <v>9.561</v>
      </c>
      <c r="H9" s="3" t="s">
        <v>247</v>
      </c>
    </row>
    <row r="10" customFormat="false" ht="15" hidden="false" customHeight="false" outlineLevel="0" collapsed="false">
      <c r="A10" s="3" t="s">
        <v>248</v>
      </c>
      <c r="B10" s="14" t="n">
        <v>34.862</v>
      </c>
      <c r="C10" s="14" t="n">
        <v>42.781</v>
      </c>
      <c r="D10" s="14" t="n">
        <v>42.031</v>
      </c>
      <c r="E10" s="14" t="n">
        <v>26.795</v>
      </c>
      <c r="F10" s="14" t="n">
        <v>21.598</v>
      </c>
      <c r="G10" s="16" t="n">
        <f aca="false">D10+F10-E10</f>
        <v>36.834</v>
      </c>
      <c r="H10" s="3" t="s">
        <v>249</v>
      </c>
    </row>
    <row r="11" customFormat="false" ht="15" hidden="false" customHeight="false" outlineLevel="0" collapsed="false">
      <c r="A11" s="3" t="s">
        <v>250</v>
      </c>
      <c r="B11" s="14" t="n">
        <v>188.797</v>
      </c>
      <c r="C11" s="14" t="n">
        <v>178.168</v>
      </c>
      <c r="D11" s="14" t="n">
        <v>176.428</v>
      </c>
      <c r="E11" s="14" t="n">
        <v>88.115</v>
      </c>
      <c r="F11" s="14" t="n">
        <v>96.98</v>
      </c>
      <c r="G11" s="16" t="n">
        <f aca="false">D11+F11-E11</f>
        <v>185.293</v>
      </c>
      <c r="H11" s="3" t="s">
        <v>251</v>
      </c>
    </row>
    <row r="12" customFormat="false" ht="15" hidden="false" customHeight="false" outlineLevel="0" collapsed="false">
      <c r="A12" s="3" t="s">
        <v>252</v>
      </c>
      <c r="B12" s="14" t="n">
        <v>95.456</v>
      </c>
      <c r="C12" s="14" t="n">
        <v>116.306</v>
      </c>
      <c r="D12" s="14" t="n">
        <v>134.955</v>
      </c>
      <c r="E12" s="14" t="n">
        <v>64.19</v>
      </c>
      <c r="F12" s="14" t="n">
        <v>82.82</v>
      </c>
      <c r="G12" s="16" t="n">
        <f aca="false">D12+F12-E12</f>
        <v>153.585</v>
      </c>
      <c r="H12" s="3" t="s">
        <v>253</v>
      </c>
    </row>
    <row r="13" customFormat="false" ht="15" hidden="false" customHeight="false" outlineLevel="0" collapsed="false">
      <c r="A13" s="3" t="s">
        <v>254</v>
      </c>
      <c r="B13" s="14" t="n">
        <v>0.072</v>
      </c>
      <c r="C13" s="14" t="n">
        <v>0.014</v>
      </c>
      <c r="D13" s="14" t="n">
        <v>0.112</v>
      </c>
      <c r="E13" s="14" t="n">
        <v>0.085</v>
      </c>
      <c r="F13" s="14" t="n">
        <v>0.024</v>
      </c>
      <c r="G13" s="16" t="n">
        <f aca="false">D13+F13-E13</f>
        <v>0.051</v>
      </c>
      <c r="H13" s="3" t="s">
        <v>255</v>
      </c>
    </row>
    <row r="14" customFormat="false" ht="15" hidden="false" customHeight="false" outlineLevel="0" collapsed="false">
      <c r="A14" s="3" t="s">
        <v>256</v>
      </c>
      <c r="B14" s="14" t="n">
        <v>177.273</v>
      </c>
      <c r="C14" s="14" t="n">
        <v>181.125</v>
      </c>
      <c r="D14" s="14" t="n">
        <v>116.701</v>
      </c>
      <c r="E14" s="14" t="n">
        <v>40.704</v>
      </c>
      <c r="F14" s="14" t="n">
        <v>45.821</v>
      </c>
      <c r="G14" s="16" t="n">
        <f aca="false">D14+F14-E14</f>
        <v>121.818</v>
      </c>
      <c r="H14" s="3" t="s">
        <v>257</v>
      </c>
    </row>
    <row r="15" customFormat="false" ht="15" hidden="false" customHeight="false" outlineLevel="0" collapsed="false">
      <c r="A15" s="3" t="s">
        <v>258</v>
      </c>
      <c r="B15" s="14" t="n">
        <v>48.939</v>
      </c>
      <c r="C15" s="14" t="n">
        <v>72.792</v>
      </c>
      <c r="D15" s="14" t="n">
        <v>74.005</v>
      </c>
      <c r="E15" s="14" t="n">
        <v>39.524</v>
      </c>
      <c r="F15" s="14" t="n">
        <v>33.162</v>
      </c>
      <c r="G15" s="16" t="n">
        <f aca="false">D15+F15-E15</f>
        <v>67.643</v>
      </c>
      <c r="H15" s="3" t="s">
        <v>259</v>
      </c>
    </row>
    <row r="16" customFormat="false" ht="15" hidden="false" customHeight="false" outlineLevel="0" collapsed="false">
      <c r="A16" s="3" t="s">
        <v>260</v>
      </c>
      <c r="B16" s="14" t="n">
        <v>59.984</v>
      </c>
      <c r="C16" s="14" t="n">
        <v>18.398</v>
      </c>
      <c r="D16" s="14" t="n">
        <v>6.168</v>
      </c>
      <c r="E16" s="14" t="n">
        <v>4.766</v>
      </c>
      <c r="F16" s="14" t="n">
        <v>1.872</v>
      </c>
      <c r="G16" s="16" t="n">
        <f aca="false">D16+F16-E16</f>
        <v>3.274</v>
      </c>
      <c r="H16" s="3" t="s">
        <v>261</v>
      </c>
    </row>
    <row r="17" customFormat="false" ht="15" hidden="false" customHeight="false" outlineLevel="0" collapsed="false">
      <c r="A17" s="3" t="s">
        <v>262</v>
      </c>
      <c r="B17" s="14" t="n">
        <v>47.537</v>
      </c>
      <c r="C17" s="14" t="n">
        <v>38.57</v>
      </c>
      <c r="D17" s="14" t="n">
        <v>33.223</v>
      </c>
      <c r="E17" s="14" t="n">
        <v>17.656</v>
      </c>
      <c r="F17" s="14" t="n">
        <v>26.632</v>
      </c>
      <c r="G17" s="16" t="n">
        <f aca="false">D17+F17-E17</f>
        <v>42.199</v>
      </c>
      <c r="H17" s="3" t="s">
        <v>263</v>
      </c>
    </row>
    <row r="18" customFormat="false" ht="15" hidden="false" customHeight="false" outlineLevel="0" collapsed="false">
      <c r="A18" s="3" t="s">
        <v>264</v>
      </c>
      <c r="B18" s="14" t="n">
        <v>7.879</v>
      </c>
      <c r="C18" s="14" t="n">
        <v>10.557</v>
      </c>
      <c r="D18" s="14" t="n">
        <v>12.749</v>
      </c>
      <c r="E18" s="14" t="n">
        <v>6.726</v>
      </c>
      <c r="F18" s="14" t="n">
        <v>9.886</v>
      </c>
      <c r="G18" s="16" t="n">
        <f aca="false">D18+F18-E18</f>
        <v>15.909</v>
      </c>
      <c r="H18" s="3" t="s">
        <v>265</v>
      </c>
    </row>
    <row r="19" customFormat="false" ht="15" hidden="false" customHeight="false" outlineLevel="0" collapsed="false">
      <c r="A19" s="3" t="s">
        <v>266</v>
      </c>
      <c r="B19" s="14" t="n">
        <v>131.573</v>
      </c>
      <c r="C19" s="14" t="n">
        <v>44.655</v>
      </c>
      <c r="D19" s="14" t="n">
        <v>63.392</v>
      </c>
      <c r="E19" s="14" t="n">
        <v>63.369</v>
      </c>
      <c r="F19" s="14" t="n">
        <v>11.909</v>
      </c>
      <c r="G19" s="16" t="n">
        <f aca="false">D19+F19-E19</f>
        <v>11.932</v>
      </c>
      <c r="H19" s="3" t="s">
        <v>267</v>
      </c>
    </row>
    <row r="20" customFormat="false" ht="15" hidden="false" customHeight="false" outlineLevel="0" collapsed="false">
      <c r="A20" s="3" t="s">
        <v>268</v>
      </c>
      <c r="B20" s="14" t="n">
        <v>107.838</v>
      </c>
      <c r="C20" s="14" t="n">
        <v>132.253</v>
      </c>
      <c r="D20" s="14" t="n">
        <v>132.043</v>
      </c>
      <c r="E20" s="14" t="n">
        <v>58.031</v>
      </c>
      <c r="F20" s="14" t="n">
        <v>81.874</v>
      </c>
      <c r="G20" s="16" t="n">
        <f aca="false">D20+F20-E20</f>
        <v>155.886</v>
      </c>
      <c r="H20" s="3" t="s">
        <v>269</v>
      </c>
    </row>
    <row r="21" customFormat="false" ht="15" hidden="false" customHeight="false" outlineLevel="0" collapsed="false">
      <c r="A21" s="3" t="s">
        <v>270</v>
      </c>
      <c r="B21" s="14" t="n">
        <v>324.704</v>
      </c>
      <c r="C21" s="14" t="n">
        <v>318.187</v>
      </c>
      <c r="D21" s="14" t="n">
        <v>299.26</v>
      </c>
      <c r="E21" s="14" t="n">
        <v>0</v>
      </c>
      <c r="F21" s="14" t="n">
        <v>0</v>
      </c>
      <c r="G21" s="16" t="n">
        <f aca="false">D21+F21-E21</f>
        <v>299.26</v>
      </c>
      <c r="H21" s="3" t="s">
        <v>271</v>
      </c>
    </row>
    <row r="22" customFormat="false" ht="15" hidden="false" customHeight="false" outlineLevel="0" collapsed="false">
      <c r="A22" s="3" t="s">
        <v>272</v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6" t="n">
        <f aca="false">D22+F22-E22</f>
        <v>0</v>
      </c>
      <c r="H22" s="3" t="s">
        <v>273</v>
      </c>
    </row>
    <row r="24" customFormat="false" ht="15" hidden="false" customHeight="false" outlineLevel="0" collapsed="false">
      <c r="A24" s="24" t="s">
        <v>274</v>
      </c>
      <c r="B24" s="25"/>
      <c r="C24" s="25"/>
      <c r="D24" s="25"/>
      <c r="E24" s="25"/>
      <c r="F24" s="25"/>
      <c r="G24" s="25"/>
      <c r="H24" s="25"/>
    </row>
    <row r="25" customFormat="false" ht="15" hidden="false" customHeight="false" outlineLevel="0" collapsed="false">
      <c r="A25" s="2" t="s">
        <v>275</v>
      </c>
      <c r="B25" s="17" t="n">
        <f aca="false">B6</f>
        <v>514.651</v>
      </c>
      <c r="C25" s="17" t="n">
        <f aca="false">C6</f>
        <v>505.517</v>
      </c>
      <c r="D25" s="17" t="n">
        <f aca="false">D6</f>
        <v>484.454</v>
      </c>
      <c r="E25" s="17" t="n">
        <f aca="false">E6</f>
        <v>242.087</v>
      </c>
      <c r="F25" s="17" t="n">
        <f aca="false">F6</f>
        <v>255.924</v>
      </c>
      <c r="G25" s="17" t="n">
        <f aca="false">G6</f>
        <v>498.291</v>
      </c>
    </row>
    <row r="26" customFormat="false" ht="15" hidden="false" customHeight="false" outlineLevel="0" collapsed="false">
      <c r="A26" s="3" t="s">
        <v>276</v>
      </c>
      <c r="B26" s="16" t="n">
        <f aca="false">B7+B8+B9</f>
        <v>189.947</v>
      </c>
      <c r="C26" s="16" t="n">
        <f aca="false">C7+C8+C9</f>
        <v>187.33</v>
      </c>
      <c r="D26" s="16" t="n">
        <f aca="false">D7+D8+D9</f>
        <v>185.194</v>
      </c>
      <c r="E26" s="16" t="n">
        <f aca="false">E7+E8+E9</f>
        <v>92.947</v>
      </c>
      <c r="F26" s="16" t="n">
        <f aca="false">F7+F8+F9</f>
        <v>104.533</v>
      </c>
      <c r="G26" s="16" t="n">
        <f aca="false">G7+G8+G9</f>
        <v>196.78</v>
      </c>
    </row>
    <row r="27" customFormat="false" ht="15" hidden="false" customHeight="false" outlineLevel="0" collapsed="false">
      <c r="A27" s="2" t="s">
        <v>277</v>
      </c>
      <c r="B27" s="17" t="n">
        <f aca="false">B25-B26</f>
        <v>324.704</v>
      </c>
      <c r="C27" s="17" t="n">
        <f aca="false">C25-C26</f>
        <v>318.187</v>
      </c>
      <c r="D27" s="17" t="n">
        <f aca="false">D25-D26</f>
        <v>299.26</v>
      </c>
      <c r="E27" s="17" t="n">
        <f aca="false">E25-E26</f>
        <v>149.14</v>
      </c>
      <c r="F27" s="17" t="n">
        <f aca="false">F25-F26</f>
        <v>151.391</v>
      </c>
      <c r="G27" s="17" t="n">
        <f aca="false">G25-G26</f>
        <v>301.511</v>
      </c>
    </row>
    <row r="28" customFormat="false" ht="15" hidden="false" customHeight="false" outlineLevel="0" collapsed="false">
      <c r="A28" s="3" t="s">
        <v>278</v>
      </c>
      <c r="B28" s="16" t="n">
        <f aca="false">B10</f>
        <v>34.862</v>
      </c>
      <c r="C28" s="16" t="n">
        <f aca="false">C10</f>
        <v>42.781</v>
      </c>
      <c r="D28" s="16" t="n">
        <f aca="false">D10</f>
        <v>42.031</v>
      </c>
      <c r="E28" s="16" t="n">
        <f aca="false">E10</f>
        <v>26.795</v>
      </c>
      <c r="F28" s="16" t="n">
        <f aca="false">F10</f>
        <v>21.598</v>
      </c>
      <c r="G28" s="16" t="n">
        <f aca="false">G10</f>
        <v>36.834</v>
      </c>
    </row>
    <row r="29" customFormat="false" ht="15" hidden="false" customHeight="false" outlineLevel="0" collapsed="false">
      <c r="A29" s="2" t="s">
        <v>279</v>
      </c>
      <c r="B29" s="17" t="n">
        <f aca="false">B27-B28</f>
        <v>289.842</v>
      </c>
      <c r="C29" s="17" t="n">
        <f aca="false">C27-C28</f>
        <v>275.406</v>
      </c>
      <c r="D29" s="17" t="n">
        <f aca="false">D27-D28</f>
        <v>257.229</v>
      </c>
      <c r="E29" s="17" t="n">
        <f aca="false">E27-E28</f>
        <v>122.345</v>
      </c>
      <c r="F29" s="17" t="n">
        <f aca="false">F27-F28</f>
        <v>129.793</v>
      </c>
      <c r="G29" s="17" t="n">
        <f aca="false">G27-G28</f>
        <v>264.677</v>
      </c>
    </row>
    <row r="30" customFormat="false" ht="15" hidden="false" customHeight="false" outlineLevel="0" collapsed="false">
      <c r="A30" s="3" t="s">
        <v>280</v>
      </c>
      <c r="B30" s="16" t="n">
        <f aca="false">B11</f>
        <v>188.797</v>
      </c>
      <c r="C30" s="16" t="n">
        <f aca="false">C11</f>
        <v>178.168</v>
      </c>
      <c r="D30" s="16" t="n">
        <f aca="false">D11</f>
        <v>176.428</v>
      </c>
      <c r="E30" s="16" t="n">
        <f aca="false">E11</f>
        <v>88.115</v>
      </c>
      <c r="F30" s="16" t="n">
        <f aca="false">F11</f>
        <v>96.98</v>
      </c>
      <c r="G30" s="16" t="n">
        <f aca="false">G11</f>
        <v>185.293</v>
      </c>
    </row>
    <row r="31" customFormat="false" ht="15" hidden="false" customHeight="false" outlineLevel="0" collapsed="false">
      <c r="A31" s="3" t="s">
        <v>281</v>
      </c>
      <c r="B31" s="16" t="n">
        <f aca="false">B22</f>
        <v>0</v>
      </c>
      <c r="C31" s="16" t="n">
        <f aca="false">C22</f>
        <v>0</v>
      </c>
      <c r="D31" s="16" t="n">
        <f aca="false">D22</f>
        <v>0</v>
      </c>
      <c r="E31" s="16" t="n">
        <f aca="false">E22</f>
        <v>0</v>
      </c>
      <c r="F31" s="16" t="n">
        <f aca="false">F22</f>
        <v>0</v>
      </c>
      <c r="G31" s="16" t="n">
        <f aca="false">G22</f>
        <v>0</v>
      </c>
    </row>
    <row r="32" customFormat="false" ht="15" hidden="false" customHeight="false" outlineLevel="0" collapsed="false">
      <c r="A32" s="2" t="s">
        <v>282</v>
      </c>
      <c r="B32" s="17" t="n">
        <f aca="false">B29-B30-B31</f>
        <v>101.045</v>
      </c>
      <c r="C32" s="17" t="n">
        <f aca="false">C29-C30-C31</f>
        <v>97.238</v>
      </c>
      <c r="D32" s="17" t="n">
        <f aca="false">D29-D30-D31</f>
        <v>80.801</v>
      </c>
      <c r="E32" s="17" t="n">
        <f aca="false">E29-E30-E31</f>
        <v>34.23</v>
      </c>
      <c r="F32" s="17" t="n">
        <f aca="false">F29-F30-F31</f>
        <v>32.813</v>
      </c>
      <c r="G32" s="17" t="n">
        <f aca="false">G29-G30-G31</f>
        <v>79.384</v>
      </c>
    </row>
    <row r="33" customFormat="false" ht="15" hidden="false" customHeight="false" outlineLevel="0" collapsed="false">
      <c r="A33" s="3" t="s">
        <v>283</v>
      </c>
      <c r="B33" s="16" t="n">
        <f aca="false">B12</f>
        <v>95.456</v>
      </c>
      <c r="C33" s="16" t="n">
        <f aca="false">C12</f>
        <v>116.306</v>
      </c>
      <c r="D33" s="16" t="n">
        <f aca="false">D12</f>
        <v>134.955</v>
      </c>
      <c r="E33" s="16" t="n">
        <f aca="false">E12</f>
        <v>64.19</v>
      </c>
      <c r="F33" s="16" t="n">
        <f aca="false">F12</f>
        <v>82.82</v>
      </c>
      <c r="G33" s="16" t="n">
        <f aca="false">G12</f>
        <v>153.585</v>
      </c>
    </row>
    <row r="34" customFormat="false" ht="15" hidden="false" customHeight="false" outlineLevel="0" collapsed="false">
      <c r="A34" s="2" t="s">
        <v>284</v>
      </c>
      <c r="B34" s="17" t="n">
        <f aca="false">B32-B33</f>
        <v>5.58899999999993</v>
      </c>
      <c r="C34" s="17" t="n">
        <f aca="false">C32-C33</f>
        <v>-19.068</v>
      </c>
      <c r="D34" s="17" t="n">
        <f aca="false">D32-D33</f>
        <v>-54.154</v>
      </c>
      <c r="E34" s="17" t="n">
        <f aca="false">E32-E33</f>
        <v>-29.96</v>
      </c>
      <c r="F34" s="17" t="n">
        <f aca="false">F32-F33</f>
        <v>-50.007</v>
      </c>
      <c r="G34" s="17" t="n">
        <f aca="false">G32-G33</f>
        <v>-74.201</v>
      </c>
    </row>
    <row r="35" customFormat="false" ht="15" hidden="false" customHeight="false" outlineLevel="0" collapsed="false">
      <c r="A35" s="3" t="s">
        <v>285</v>
      </c>
      <c r="B35" s="16" t="n">
        <f aca="false">B13</f>
        <v>0.072</v>
      </c>
      <c r="C35" s="16" t="n">
        <f aca="false">C13</f>
        <v>0.014</v>
      </c>
      <c r="D35" s="16" t="n">
        <f aca="false">D13</f>
        <v>0.112</v>
      </c>
      <c r="E35" s="16" t="n">
        <f aca="false">E13</f>
        <v>0.085</v>
      </c>
      <c r="F35" s="16" t="n">
        <f aca="false">F13</f>
        <v>0.024</v>
      </c>
      <c r="G35" s="16" t="n">
        <f aca="false">G13</f>
        <v>0.051</v>
      </c>
    </row>
    <row r="36" customFormat="false" ht="15" hidden="false" customHeight="false" outlineLevel="0" collapsed="false">
      <c r="A36" s="2" t="s">
        <v>286</v>
      </c>
      <c r="B36" s="17" t="n">
        <f aca="false">B34-B35</f>
        <v>5.51699999999993</v>
      </c>
      <c r="C36" s="17" t="n">
        <f aca="false">C34-C35</f>
        <v>-19.082</v>
      </c>
      <c r="D36" s="17" t="n">
        <f aca="false">D34-D35</f>
        <v>-54.266</v>
      </c>
      <c r="E36" s="17" t="n">
        <f aca="false">E34-E35</f>
        <v>-30.045</v>
      </c>
      <c r="F36" s="17" t="n">
        <f aca="false">F34-F35</f>
        <v>-50.031</v>
      </c>
      <c r="G36" s="17" t="n">
        <f aca="false">G34-G35</f>
        <v>-74.252</v>
      </c>
    </row>
    <row r="37" customFormat="false" ht="15" hidden="false" customHeight="false" outlineLevel="0" collapsed="false">
      <c r="A37" s="3" t="s">
        <v>287</v>
      </c>
      <c r="B37" s="16" t="n">
        <f aca="false">B15+B16+B17+B18</f>
        <v>164.339</v>
      </c>
      <c r="C37" s="16" t="n">
        <f aca="false">C15+C16+C17+C18</f>
        <v>140.317</v>
      </c>
      <c r="D37" s="16" t="n">
        <f aca="false">D15+D16+D17+D18</f>
        <v>126.145</v>
      </c>
      <c r="E37" s="16" t="n">
        <f aca="false">E15+E16+E17+E18</f>
        <v>68.672</v>
      </c>
      <c r="F37" s="16" t="n">
        <f aca="false">F15+F16+F17+F18</f>
        <v>71.552</v>
      </c>
      <c r="G37" s="16" t="n">
        <f aca="false">G15+G16+G17+G18</f>
        <v>129.025</v>
      </c>
    </row>
    <row r="38" customFormat="false" ht="15" hidden="false" customHeight="false" outlineLevel="0" collapsed="false">
      <c r="A38" s="3" t="s">
        <v>288</v>
      </c>
      <c r="B38" s="16" t="n">
        <f aca="false">B14</f>
        <v>177.273</v>
      </c>
      <c r="C38" s="16" t="n">
        <f aca="false">C14</f>
        <v>181.125</v>
      </c>
      <c r="D38" s="16" t="n">
        <f aca="false">D14</f>
        <v>116.701</v>
      </c>
      <c r="E38" s="16" t="n">
        <f aca="false">E14</f>
        <v>40.704</v>
      </c>
      <c r="F38" s="16" t="n">
        <f aca="false">F14</f>
        <v>45.821</v>
      </c>
      <c r="G38" s="16" t="n">
        <f aca="false">G14</f>
        <v>121.818</v>
      </c>
    </row>
    <row r="39" customFormat="false" ht="15" hidden="false" customHeight="false" outlineLevel="0" collapsed="false">
      <c r="A39" s="2" t="s">
        <v>289</v>
      </c>
      <c r="B39" s="17" t="n">
        <f aca="false">B38-B37</f>
        <v>12.934</v>
      </c>
      <c r="C39" s="17" t="n">
        <f aca="false">C38-C37</f>
        <v>40.808</v>
      </c>
      <c r="D39" s="17" t="n">
        <f aca="false">D38-D37</f>
        <v>-9.444</v>
      </c>
      <c r="E39" s="17" t="n">
        <f aca="false">E38-E37</f>
        <v>-27.968</v>
      </c>
      <c r="F39" s="17" t="n">
        <f aca="false">F38-F37</f>
        <v>-25.731</v>
      </c>
      <c r="G39" s="17" t="n">
        <f aca="false">G38-G37</f>
        <v>-7.20700000000002</v>
      </c>
    </row>
    <row r="40" customFormat="false" ht="15" hidden="false" customHeight="false" outlineLevel="0" collapsed="false">
      <c r="A40" s="3" t="s">
        <v>290</v>
      </c>
      <c r="B40" s="16" t="n">
        <f aca="false">B36+B30+B31-B37-B39</f>
        <v>17.0409999999999</v>
      </c>
      <c r="C40" s="16" t="n">
        <f aca="false">C36+C30+C31-C37-C39</f>
        <v>-22.039</v>
      </c>
      <c r="D40" s="16" t="n">
        <f aca="false">D36+D30+D31-D37-D39</f>
        <v>5.46099999999998</v>
      </c>
      <c r="E40" s="16" t="n">
        <f aca="false">E36+E30+E31-E37-E39</f>
        <v>17.366</v>
      </c>
      <c r="F40" s="16" t="n">
        <f aca="false">F36+F30+F31-F37-F39</f>
        <v>1.12800000000001</v>
      </c>
      <c r="G40" s="16" t="n">
        <f aca="false">G36+G30+G31-G37-G39</f>
        <v>-10.777</v>
      </c>
    </row>
    <row r="42" customFormat="false" ht="15" hidden="false" customHeight="false" outlineLevel="0" collapsed="false">
      <c r="A42" s="24" t="s">
        <v>291</v>
      </c>
      <c r="B42" s="25"/>
      <c r="C42" s="25"/>
      <c r="D42" s="25"/>
      <c r="E42" s="25"/>
      <c r="F42" s="25"/>
      <c r="G42" s="25"/>
      <c r="H42" s="25"/>
    </row>
    <row r="43" customFormat="false" ht="15" hidden="false" customHeight="false" outlineLevel="0" collapsed="false">
      <c r="A43" s="3" t="s">
        <v>181</v>
      </c>
      <c r="B43" s="22" t="n">
        <f aca="false">B27/B25</f>
        <v>0.630920759893598</v>
      </c>
      <c r="C43" s="22" t="n">
        <f aca="false">C27/C25</f>
        <v>0.629428881719111</v>
      </c>
      <c r="D43" s="22" t="n">
        <f aca="false">D27/D25</f>
        <v>0.617726347599566</v>
      </c>
      <c r="E43" s="22" t="n">
        <f aca="false">E27/E25</f>
        <v>0.616059515793909</v>
      </c>
      <c r="F43" s="22" t="n">
        <f aca="false">F27/F25</f>
        <v>0.591546709179288</v>
      </c>
      <c r="G43" s="22" t="n">
        <f aca="false">G27/G25</f>
        <v>0.605090198297782</v>
      </c>
    </row>
    <row r="44" customFormat="false" ht="15" hidden="false" customHeight="false" outlineLevel="0" collapsed="false">
      <c r="A44" s="3" t="s">
        <v>182</v>
      </c>
      <c r="B44" s="22" t="n">
        <f aca="false">B29/B25</f>
        <v>0.563181651254928</v>
      </c>
      <c r="C44" s="22" t="n">
        <f aca="false">C29/C25</f>
        <v>0.544800669413689</v>
      </c>
      <c r="D44" s="22" t="n">
        <f aca="false">D29/D25</f>
        <v>0.530966820379231</v>
      </c>
      <c r="E44" s="22" t="n">
        <f aca="false">E29/E25</f>
        <v>0.50537616641951</v>
      </c>
      <c r="F44" s="22" t="n">
        <f aca="false">F29/F25</f>
        <v>0.507154467732608</v>
      </c>
      <c r="G44" s="22" t="n">
        <f aca="false">G29/G25</f>
        <v>0.531169537479104</v>
      </c>
    </row>
    <row r="45" customFormat="false" ht="15" hidden="false" customHeight="false" outlineLevel="0" collapsed="false">
      <c r="A45" s="3" t="s">
        <v>292</v>
      </c>
      <c r="C45" s="22" t="n">
        <f aca="false">C25/B25-1</f>
        <v>-0.0177479495813667</v>
      </c>
      <c r="D45" s="22" t="n">
        <f aca="false">D25/C25-1</f>
        <v>-0.0416662545473248</v>
      </c>
      <c r="F45" s="22" t="n">
        <f aca="false">F25/E25-1</f>
        <v>0.0571571377232152</v>
      </c>
    </row>
    <row r="46" customFormat="false" ht="15" hidden="false" customHeight="false" outlineLevel="0" collapsed="false">
      <c r="A46" s="3" t="s">
        <v>293</v>
      </c>
      <c r="C46" s="22" t="n">
        <f aca="false">C29/B29-1</f>
        <v>-0.0498064462707265</v>
      </c>
      <c r="D46" s="22" t="n">
        <f aca="false">D29/C29-1</f>
        <v>-0.0660007407246031</v>
      </c>
      <c r="F46" s="22" t="n">
        <f aca="false">F29/E29-1</f>
        <v>0.0608770280763418</v>
      </c>
    </row>
    <row r="47" customFormat="false" ht="15" hidden="false" customHeight="false" outlineLevel="0" collapsed="false">
      <c r="A47" s="3" t="s">
        <v>294</v>
      </c>
      <c r="B47" s="26" t="n">
        <f aca="false">B27-B21</f>
        <v>0</v>
      </c>
      <c r="C47" s="26" t="n">
        <f aca="false">C27-C21</f>
        <v>0</v>
      </c>
      <c r="D47" s="26" t="n">
        <f aca="false">D27-D21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3" t="str">
        <f aca="false">"Brandywine Realty Trust · PUBLIC DATA CASE · HYPOTHETICAL INVESTMENT TERMS · Active scenario: "&amp;Assumptions!$D$10</f>
        <v>Brandywine Realty Trust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232</v>
      </c>
      <c r="D4" s="7" t="s">
        <v>233</v>
      </c>
      <c r="E4" s="7" t="s">
        <v>234</v>
      </c>
      <c r="F4" s="7" t="s">
        <v>237</v>
      </c>
      <c r="G4" s="7" t="s">
        <v>296</v>
      </c>
      <c r="H4" s="7" t="s">
        <v>297</v>
      </c>
      <c r="I4" s="7" t="s">
        <v>298</v>
      </c>
      <c r="J4" s="7" t="s">
        <v>299</v>
      </c>
      <c r="K4" s="7" t="s">
        <v>300</v>
      </c>
    </row>
    <row r="6" customFormat="false" ht="15" hidden="false" customHeight="false" outlineLevel="0" collapsed="false">
      <c r="A6" s="24" t="s">
        <v>301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customFormat="false" ht="15" hidden="false" customHeight="false" outlineLevel="0" collapsed="false">
      <c r="A7" s="3" t="s">
        <v>302</v>
      </c>
      <c r="C7" s="21" t="n">
        <f aca="false">D7-1</f>
        <v>2023</v>
      </c>
      <c r="D7" s="21" t="n">
        <f aca="false">E7-1</f>
        <v>2024</v>
      </c>
      <c r="E7" s="21" t="n">
        <f aca="false">F7-1</f>
        <v>2025</v>
      </c>
      <c r="F7" s="27" t="n">
        <f aca="false">Assumptions!$C$6</f>
        <v>2026</v>
      </c>
      <c r="G7" s="21" t="n">
        <f aca="false">F7+1</f>
        <v>2027</v>
      </c>
      <c r="H7" s="21" t="n">
        <f aca="false">G7+1</f>
        <v>2028</v>
      </c>
      <c r="I7" s="21" t="n">
        <f aca="false">H7+1</f>
        <v>2029</v>
      </c>
      <c r="J7" s="21" t="n">
        <f aca="false">I7+1</f>
        <v>2030</v>
      </c>
      <c r="K7" s="21" t="n">
        <f aca="false">J7+1</f>
        <v>2031</v>
      </c>
    </row>
    <row r="8" customFormat="false" ht="15" hidden="false" customHeight="false" outlineLevel="0" collapsed="false">
      <c r="A8" s="3" t="s">
        <v>303</v>
      </c>
      <c r="G8" s="21" t="n">
        <f aca="false">G7-Assumptions!$C$6</f>
        <v>1</v>
      </c>
      <c r="H8" s="21" t="n">
        <f aca="false">H7-Assumptions!$C$6</f>
        <v>2</v>
      </c>
      <c r="I8" s="21" t="n">
        <f aca="false">I7-Assumptions!$C$6</f>
        <v>3</v>
      </c>
      <c r="J8" s="21" t="n">
        <f aca="false">J7-Assumptions!$C$6</f>
        <v>4</v>
      </c>
      <c r="K8" s="21" t="n">
        <f aca="false">K7-Assumptions!$C$6</f>
        <v>5</v>
      </c>
    </row>
    <row r="9" customFormat="false" ht="15" hidden="false" customHeight="false" outlineLevel="0" collapsed="false">
      <c r="A9" s="3" t="s">
        <v>180</v>
      </c>
      <c r="G9" s="22" t="n">
        <f aca="false">CHOOSE(Assumptions!$C$10,Assumptions!$G$79,Assumptions!$G$98,Assumptions!$G$117)</f>
        <v>-0.06</v>
      </c>
      <c r="H9" s="22" t="n">
        <f aca="false">CHOOSE(Assumptions!$C$10,Assumptions!$H$79,Assumptions!$H$98,Assumptions!$H$117)</f>
        <v>-0.03</v>
      </c>
      <c r="I9" s="22" t="n">
        <f aca="false">CHOOSE(Assumptions!$C$10,Assumptions!$I$79,Assumptions!$I$98,Assumptions!$I$117)</f>
        <v>0</v>
      </c>
      <c r="J9" s="22" t="n">
        <f aca="false">CHOOSE(Assumptions!$C$10,Assumptions!$J$79,Assumptions!$J$98,Assumptions!$J$117)</f>
        <v>0.01</v>
      </c>
      <c r="K9" s="22" t="n">
        <f aca="false">CHOOSE(Assumptions!$C$10,Assumptions!$K$79,Assumptions!$K$98,Assumptions!$K$117)</f>
        <v>0.01</v>
      </c>
    </row>
    <row r="10" customFormat="false" ht="15" hidden="false" customHeight="false" outlineLevel="0" collapsed="false">
      <c r="A10" s="3" t="s">
        <v>181</v>
      </c>
      <c r="G10" s="22" t="n">
        <f aca="false">CHOOSE(Assumptions!$C$10,Assumptions!$G$80,Assumptions!$G$99,Assumptions!$G$118)</f>
        <v>0.573920660818678</v>
      </c>
      <c r="H10" s="22" t="n">
        <f aca="false">CHOOSE(Assumptions!$C$10,Assumptions!$H$80,Assumptions!$H$99,Assumptions!$H$118)</f>
        <v>0.558920660818678</v>
      </c>
      <c r="I10" s="22" t="n">
        <f aca="false">CHOOSE(Assumptions!$C$10,Assumptions!$I$80,Assumptions!$I$99,Assumptions!$I$118)</f>
        <v>0.558920660818678</v>
      </c>
      <c r="J10" s="22" t="n">
        <f aca="false">CHOOSE(Assumptions!$C$10,Assumptions!$J$80,Assumptions!$J$99,Assumptions!$J$118)</f>
        <v>0.563920660818678</v>
      </c>
      <c r="K10" s="22" t="n">
        <f aca="false">CHOOSE(Assumptions!$C$10,Assumptions!$K$80,Assumptions!$K$99,Assumptions!$K$118)</f>
        <v>0.568920660818678</v>
      </c>
    </row>
    <row r="11" customFormat="false" ht="15" hidden="false" customHeight="false" outlineLevel="0" collapsed="false">
      <c r="A11" s="3" t="s">
        <v>182</v>
      </c>
      <c r="G11" s="22" t="n">
        <f aca="false">CHOOSE(Assumptions!$C$10,Assumptions!$G$81,Assumptions!$G$100,Assumptions!$G$119)</f>
        <v>0.5</v>
      </c>
      <c r="H11" s="22" t="n">
        <f aca="false">CHOOSE(Assumptions!$C$10,Assumptions!$H$81,Assumptions!$H$100,Assumptions!$H$119)</f>
        <v>0.485</v>
      </c>
      <c r="I11" s="22" t="n">
        <f aca="false">CHOOSE(Assumptions!$C$10,Assumptions!$I$81,Assumptions!$I$100,Assumptions!$I$119)</f>
        <v>0.485</v>
      </c>
      <c r="J11" s="22" t="n">
        <f aca="false">CHOOSE(Assumptions!$C$10,Assumptions!$J$81,Assumptions!$J$100,Assumptions!$J$119)</f>
        <v>0.49</v>
      </c>
      <c r="K11" s="22" t="n">
        <f aca="false">CHOOSE(Assumptions!$C$10,Assumptions!$K$81,Assumptions!$K$100,Assumptions!$K$119)</f>
        <v>0.495</v>
      </c>
    </row>
    <row r="12" customFormat="false" ht="15" hidden="false" customHeight="false" outlineLevel="0" collapsed="false">
      <c r="A12" s="24" t="s">
        <v>304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customFormat="false" ht="15" hidden="false" customHeight="false" outlineLevel="0" collapsed="false">
      <c r="A13" s="2" t="s">
        <v>275</v>
      </c>
      <c r="C13" s="28" t="n">
        <f aca="false">'Historical Financials'!B25</f>
        <v>514.651</v>
      </c>
      <c r="D13" s="28" t="n">
        <f aca="false">'Historical Financials'!C25</f>
        <v>505.517</v>
      </c>
      <c r="E13" s="28" t="n">
        <f aca="false">'Historical Financials'!D25</f>
        <v>484.454</v>
      </c>
      <c r="F13" s="28" t="n">
        <f aca="false">'Historical Financials'!G25</f>
        <v>498.291</v>
      </c>
      <c r="G13" s="17" t="n">
        <f aca="false">F13*(1+G9)</f>
        <v>468.39354</v>
      </c>
      <c r="H13" s="17" t="n">
        <f aca="false">G13*(1+H9)</f>
        <v>454.3417338</v>
      </c>
      <c r="I13" s="17" t="n">
        <f aca="false">H13*(1+I9)</f>
        <v>454.3417338</v>
      </c>
      <c r="J13" s="17" t="n">
        <f aca="false">I13*(1+J9)</f>
        <v>458.885151138</v>
      </c>
      <c r="K13" s="17" t="n">
        <f aca="false">J13*(1+K9)</f>
        <v>463.47400264938</v>
      </c>
    </row>
    <row r="14" customFormat="false" ht="15" hidden="false" customHeight="false" outlineLevel="0" collapsed="false">
      <c r="A14" s="3" t="s">
        <v>276</v>
      </c>
      <c r="C14" s="29" t="n">
        <f aca="false">'Historical Financials'!B26</f>
        <v>189.947</v>
      </c>
      <c r="D14" s="29" t="n">
        <f aca="false">'Historical Financials'!C26</f>
        <v>187.33</v>
      </c>
      <c r="E14" s="29" t="n">
        <f aca="false">'Historical Financials'!D26</f>
        <v>185.194</v>
      </c>
      <c r="F14" s="29" t="n">
        <f aca="false">'Historical Financials'!G26</f>
        <v>196.78</v>
      </c>
      <c r="G14" s="16" t="n">
        <f aca="false">G13*(1-G10)</f>
        <v>199.57281</v>
      </c>
      <c r="H14" s="16" t="n">
        <f aca="false">H13*(1-H10)</f>
        <v>200.400751707</v>
      </c>
      <c r="I14" s="16" t="n">
        <f aca="false">I13*(1-I10)</f>
        <v>200.400751707</v>
      </c>
      <c r="J14" s="16" t="n">
        <f aca="false">J13*(1-J10)</f>
        <v>200.11033346838</v>
      </c>
      <c r="K14" s="16" t="n">
        <f aca="false">K13*(1-K10)</f>
        <v>199.794066789817</v>
      </c>
    </row>
    <row r="15" customFormat="false" ht="15" hidden="false" customHeight="false" outlineLevel="0" collapsed="false">
      <c r="A15" s="2" t="s">
        <v>277</v>
      </c>
      <c r="C15" s="17" t="n">
        <f aca="false">C13-C14</f>
        <v>324.704</v>
      </c>
      <c r="D15" s="17" t="n">
        <f aca="false">D13-D14</f>
        <v>318.187</v>
      </c>
      <c r="E15" s="17" t="n">
        <f aca="false">E13-E14</f>
        <v>299.26</v>
      </c>
      <c r="F15" s="17" t="n">
        <f aca="false">F13-F14</f>
        <v>301.511</v>
      </c>
      <c r="G15" s="17" t="n">
        <f aca="false">G13-G14</f>
        <v>268.82073</v>
      </c>
      <c r="H15" s="17" t="n">
        <f aca="false">H13-H14</f>
        <v>253.940982093</v>
      </c>
      <c r="I15" s="17" t="n">
        <f aca="false">I13-I14</f>
        <v>253.940982093</v>
      </c>
      <c r="J15" s="17" t="n">
        <f aca="false">J13-J14</f>
        <v>258.77481766962</v>
      </c>
      <c r="K15" s="17" t="n">
        <f aca="false">K13-K14</f>
        <v>263.679935859563</v>
      </c>
    </row>
    <row r="16" customFormat="false" ht="15" hidden="false" customHeight="false" outlineLevel="0" collapsed="false">
      <c r="A16" s="3" t="s">
        <v>305</v>
      </c>
      <c r="C16" s="29" t="n">
        <f aca="false">'Historical Financials'!B28</f>
        <v>34.862</v>
      </c>
      <c r="D16" s="29" t="n">
        <f aca="false">'Historical Financials'!C28</f>
        <v>42.781</v>
      </c>
      <c r="E16" s="29" t="n">
        <f aca="false">'Historical Financials'!D28</f>
        <v>42.031</v>
      </c>
      <c r="F16" s="29" t="n">
        <f aca="false">'Historical Financials'!G28</f>
        <v>36.834</v>
      </c>
      <c r="G16" s="16" t="n">
        <f aca="false">G15-G17</f>
        <v>34.62396</v>
      </c>
      <c r="H16" s="16" t="n">
        <f aca="false">H15-H17</f>
        <v>33.5852412</v>
      </c>
      <c r="I16" s="16" t="n">
        <f aca="false">I15-I17</f>
        <v>33.5852412</v>
      </c>
      <c r="J16" s="16" t="n">
        <f aca="false">J15-J17</f>
        <v>33.921093612</v>
      </c>
      <c r="K16" s="16" t="n">
        <f aca="false">K15-K17</f>
        <v>34.26030454812</v>
      </c>
    </row>
    <row r="17" customFormat="false" ht="15" hidden="false" customHeight="false" outlineLevel="0" collapsed="false">
      <c r="A17" s="2" t="s">
        <v>306</v>
      </c>
      <c r="C17" s="17" t="n">
        <f aca="false">C15-C16</f>
        <v>289.842</v>
      </c>
      <c r="D17" s="17" t="n">
        <f aca="false">D15-D16</f>
        <v>275.406</v>
      </c>
      <c r="E17" s="17" t="n">
        <f aca="false">E15-E16</f>
        <v>257.229</v>
      </c>
      <c r="F17" s="17" t="n">
        <f aca="false">F15-F16</f>
        <v>264.677</v>
      </c>
      <c r="G17" s="17" t="n">
        <f aca="false">G13*G11</f>
        <v>234.19677</v>
      </c>
      <c r="H17" s="17" t="n">
        <f aca="false">H13*H11</f>
        <v>220.355740893</v>
      </c>
      <c r="I17" s="17" t="n">
        <f aca="false">I13*I11</f>
        <v>220.355740893</v>
      </c>
      <c r="J17" s="17" t="n">
        <f aca="false">J13*J11</f>
        <v>224.85372405762</v>
      </c>
      <c r="K17" s="17" t="n">
        <f aca="false">K13*K11</f>
        <v>229.419631311443</v>
      </c>
    </row>
    <row r="18" customFormat="false" ht="15" hidden="false" customHeight="false" outlineLevel="0" collapsed="false">
      <c r="A18" s="3" t="s">
        <v>307</v>
      </c>
      <c r="C18" s="29" t="n">
        <f aca="false">'Historical Financials'!B30</f>
        <v>188.797</v>
      </c>
      <c r="D18" s="29" t="n">
        <f aca="false">'Historical Financials'!C30</f>
        <v>178.168</v>
      </c>
      <c r="E18" s="29" t="n">
        <f aca="false">'Historical Financials'!D30</f>
        <v>176.428</v>
      </c>
      <c r="F18" s="29" t="n">
        <f aca="false">'Historical Financials'!G30</f>
        <v>185.293</v>
      </c>
      <c r="G18" s="16" t="n">
        <f aca="false">G13*'Historical Financials'!G30/'Historical Financials'!G25</f>
        <v>174.17542</v>
      </c>
      <c r="H18" s="16" t="n">
        <f aca="false">H13*'Historical Financials'!G30/'Historical Financials'!G25</f>
        <v>168.9501574</v>
      </c>
      <c r="I18" s="16" t="n">
        <f aca="false">I13*'Historical Financials'!G30/'Historical Financials'!G25</f>
        <v>168.9501574</v>
      </c>
      <c r="J18" s="16" t="n">
        <f aca="false">J13*'Historical Financials'!G30/'Historical Financials'!G25</f>
        <v>170.639658974</v>
      </c>
      <c r="K18" s="16" t="n">
        <f aca="false">K13*'Historical Financials'!G30/'Historical Financials'!G25</f>
        <v>172.34605556374</v>
      </c>
    </row>
    <row r="19" customFormat="false" ht="15" hidden="false" customHeight="false" outlineLevel="0" collapsed="false">
      <c r="A19" s="3" t="s">
        <v>308</v>
      </c>
      <c r="C19" s="29" t="n">
        <f aca="false">'Historical Financials'!B31</f>
        <v>0</v>
      </c>
      <c r="D19" s="29" t="n">
        <f aca="false">'Historical Financials'!C31</f>
        <v>0</v>
      </c>
      <c r="E19" s="29" t="n">
        <f aca="false">'Historical Financials'!D31</f>
        <v>0</v>
      </c>
      <c r="F19" s="29" t="n">
        <f aca="false">'Historical Financials'!G31</f>
        <v>0</v>
      </c>
      <c r="G19" s="16" t="n">
        <f aca="false">G13*'Historical Financials'!G31/'Historical Financials'!G25</f>
        <v>0</v>
      </c>
      <c r="H19" s="16" t="n">
        <f aca="false">H13*'Historical Financials'!G31/'Historical Financials'!G25</f>
        <v>0</v>
      </c>
      <c r="I19" s="16" t="n">
        <f aca="false">I13*'Historical Financials'!G31/'Historical Financials'!G25</f>
        <v>0</v>
      </c>
      <c r="J19" s="16" t="n">
        <f aca="false">J13*'Historical Financials'!G31/'Historical Financials'!G25</f>
        <v>0</v>
      </c>
      <c r="K19" s="16" t="n">
        <f aca="false">K13*'Historical Financials'!G31/'Historical Financials'!G25</f>
        <v>0</v>
      </c>
    </row>
    <row r="20" customFormat="false" ht="15" hidden="false" customHeight="false" outlineLevel="0" collapsed="false">
      <c r="A20" s="2" t="s">
        <v>309</v>
      </c>
      <c r="C20" s="17" t="n">
        <f aca="false">C17-C18-C19</f>
        <v>101.045</v>
      </c>
      <c r="D20" s="17" t="n">
        <f aca="false">D17-D18-D19</f>
        <v>97.238</v>
      </c>
      <c r="E20" s="17" t="n">
        <f aca="false">E17-E18-E19</f>
        <v>80.801</v>
      </c>
      <c r="F20" s="17" t="n">
        <f aca="false">F17-F18-F19</f>
        <v>79.384</v>
      </c>
      <c r="G20" s="17" t="n">
        <f aca="false">G17-G18-G19</f>
        <v>60.02135</v>
      </c>
      <c r="H20" s="17" t="n">
        <f aca="false">H17-H18-H19</f>
        <v>51.405583493</v>
      </c>
      <c r="I20" s="17" t="n">
        <f aca="false">I17-I18-I19</f>
        <v>51.405583493</v>
      </c>
      <c r="J20" s="17" t="n">
        <f aca="false">J17-J18-J19</f>
        <v>54.21406508362</v>
      </c>
      <c r="K20" s="17" t="n">
        <f aca="false">K17-K18-K19</f>
        <v>57.0735757477031</v>
      </c>
    </row>
    <row r="21" customFormat="false" ht="15" hidden="false" customHeight="false" outlineLevel="0" collapsed="false">
      <c r="A21" s="3" t="s">
        <v>310</v>
      </c>
      <c r="G21" s="16" t="n">
        <f aca="false">'Debt Schedule'!G21+'Debt Schedule'!G34+'Debt Schedule'!G47+'Debt Schedule'!G60+'Debt Schedule'!G73+'Debt Schedule'!G86+'Debt Schedule'!G99+'Debt Schedule'!G112+'Debt Schedule'!G125+'Debt Schedule'!G138</f>
        <v>187.3888354</v>
      </c>
      <c r="H21" s="16" t="n">
        <f aca="false">'Debt Schedule'!H21+'Debt Schedule'!H34+'Debt Schedule'!H47+'Debt Schedule'!H60+'Debt Schedule'!H73+'Debt Schedule'!H86+'Debt Schedule'!H99+'Debt Schedule'!H112+'Debt Schedule'!H125+'Debt Schedule'!H138</f>
        <v>186.2509204</v>
      </c>
      <c r="I21" s="16" t="n">
        <f aca="false">'Debt Schedule'!I21+'Debt Schedule'!I34+'Debt Schedule'!I47+'Debt Schedule'!I60+'Debt Schedule'!I73+'Debt Schedule'!I86+'Debt Schedule'!I99+'Debt Schedule'!I112+'Debt Schedule'!I125+'Debt Schedule'!I138</f>
        <v>182.7365265363</v>
      </c>
      <c r="J21" s="16" t="n">
        <f aca="false">'Debt Schedule'!J21+'Debt Schedule'!J34+'Debt Schedule'!J47+'Debt Schedule'!J60+'Debt Schedule'!J73+'Debt Schedule'!J86+'Debt Schedule'!J99+'Debt Schedule'!J112+'Debt Schedule'!J125+'Debt Schedule'!J138</f>
        <v>182.3265265363</v>
      </c>
      <c r="K21" s="16" t="n">
        <f aca="false">'Debt Schedule'!K21+'Debt Schedule'!K34+'Debt Schedule'!K47+'Debt Schedule'!K60+'Debt Schedule'!K73+'Debt Schedule'!K86+'Debt Schedule'!K99+'Debt Schedule'!K112+'Debt Schedule'!K125+'Debt Schedule'!K138</f>
        <v>181.9165265363</v>
      </c>
    </row>
    <row r="22" customFormat="false" ht="15" hidden="false" customHeight="false" outlineLevel="0" collapsed="false">
      <c r="A22" s="3" t="s">
        <v>311</v>
      </c>
      <c r="G22" s="16" t="n">
        <f aca="false">'Debt Schedule'!G22+'Debt Schedule'!G35+'Debt Schedule'!G48+'Debt Schedule'!G61+'Debt Schedule'!G74+'Debt Schedule'!G87+'Debt Schedule'!G100+'Debt Schedule'!G113+'Debt Schedule'!G126+'Debt Schedule'!G139</f>
        <v>0</v>
      </c>
      <c r="H22" s="16" t="n">
        <f aca="false">'Debt Schedule'!H22+'Debt Schedule'!H35+'Debt Schedule'!H48+'Debt Schedule'!H61+'Debt Schedule'!H74+'Debt Schedule'!H87+'Debt Schedule'!H100+'Debt Schedule'!H113+'Debt Schedule'!H126+'Debt Schedule'!H139</f>
        <v>0</v>
      </c>
      <c r="I22" s="16" t="n">
        <f aca="false">'Debt Schedule'!I22+'Debt Schedule'!I35+'Debt Schedule'!I48+'Debt Schedule'!I61+'Debt Schedule'!I74+'Debt Schedule'!I87+'Debt Schedule'!I100+'Debt Schedule'!I113+'Debt Schedule'!I126+'Debt Schedule'!I139</f>
        <v>0</v>
      </c>
      <c r="J22" s="16" t="n">
        <f aca="false">'Debt Schedule'!J22+'Debt Schedule'!J35+'Debt Schedule'!J48+'Debt Schedule'!J61+'Debt Schedule'!J74+'Debt Schedule'!J87+'Debt Schedule'!J100+'Debt Schedule'!J113+'Debt Schedule'!J126+'Debt Schedule'!J139</f>
        <v>0</v>
      </c>
      <c r="K22" s="16" t="n">
        <f aca="false">'Debt Schedule'!K22+'Debt Schedule'!K35+'Debt Schedule'!K48+'Debt Schedule'!K61+'Debt Schedule'!K74+'Debt Schedule'!K87+'Debt Schedule'!K100+'Debt Schedule'!K113+'Debt Schedule'!K126+'Debt Schedule'!K139</f>
        <v>0</v>
      </c>
    </row>
    <row r="23" customFormat="false" ht="15" hidden="false" customHeight="false" outlineLevel="0" collapsed="false">
      <c r="A23" s="3" t="s">
        <v>283</v>
      </c>
      <c r="C23" s="29" t="n">
        <f aca="false">'Historical Financials'!B33</f>
        <v>95.456</v>
      </c>
      <c r="D23" s="29" t="n">
        <f aca="false">'Historical Financials'!C33</f>
        <v>116.306</v>
      </c>
      <c r="E23" s="29" t="n">
        <f aca="false">'Historical Financials'!D33</f>
        <v>134.955</v>
      </c>
      <c r="F23" s="29" t="n">
        <f aca="false">'Historical Financials'!G33</f>
        <v>153.585</v>
      </c>
      <c r="G23" s="16" t="n">
        <f aca="false">G21+G22</f>
        <v>187.3888354</v>
      </c>
      <c r="H23" s="16" t="n">
        <f aca="false">H21+H22</f>
        <v>186.2509204</v>
      </c>
      <c r="I23" s="16" t="n">
        <f aca="false">I21+I22</f>
        <v>182.7365265363</v>
      </c>
      <c r="J23" s="16" t="n">
        <f aca="false">J21+J22</f>
        <v>182.3265265363</v>
      </c>
      <c r="K23" s="16" t="n">
        <f aca="false">K21+K22</f>
        <v>181.9165265363</v>
      </c>
    </row>
    <row r="24" customFormat="false" ht="15" hidden="false" customHeight="false" outlineLevel="0" collapsed="false">
      <c r="A24" s="2" t="s">
        <v>284</v>
      </c>
      <c r="C24" s="17" t="n">
        <f aca="false">C20-C23</f>
        <v>5.58899999999993</v>
      </c>
      <c r="D24" s="17" t="n">
        <f aca="false">D20-D23</f>
        <v>-19.068</v>
      </c>
      <c r="E24" s="17" t="n">
        <f aca="false">E20-E23</f>
        <v>-54.154</v>
      </c>
      <c r="F24" s="17" t="n">
        <f aca="false">F20-F23</f>
        <v>-74.201</v>
      </c>
      <c r="G24" s="17" t="n">
        <f aca="false">G20-G23</f>
        <v>-127.3674854</v>
      </c>
      <c r="H24" s="17" t="n">
        <f aca="false">H20-H23</f>
        <v>-134.845336907</v>
      </c>
      <c r="I24" s="17" t="n">
        <f aca="false">I20-I23</f>
        <v>-131.3309430433</v>
      </c>
      <c r="J24" s="17" t="n">
        <f aca="false">J20-J23</f>
        <v>-128.112461452679</v>
      </c>
      <c r="K24" s="17" t="n">
        <f aca="false">K20-K23</f>
        <v>-124.842950788596</v>
      </c>
    </row>
    <row r="25" customFormat="false" ht="15" hidden="false" customHeight="false" outlineLevel="0" collapsed="false">
      <c r="A25" s="3" t="s">
        <v>312</v>
      </c>
      <c r="C25" s="29" t="n">
        <f aca="false">'Historical Financials'!B35</f>
        <v>0.072</v>
      </c>
      <c r="D25" s="29" t="n">
        <f aca="false">'Historical Financials'!C35</f>
        <v>0.014</v>
      </c>
      <c r="E25" s="29" t="n">
        <f aca="false">'Historical Financials'!D35</f>
        <v>0.112</v>
      </c>
      <c r="F25" s="29" t="n">
        <f aca="false">'Historical Financials'!G35</f>
        <v>0.051</v>
      </c>
      <c r="G25" s="16" t="n">
        <f aca="false">MAX(0,G24)*Assumptions!$C$9</f>
        <v>0</v>
      </c>
      <c r="H25" s="16" t="n">
        <f aca="false">MAX(0,H24)*Assumptions!$C$9</f>
        <v>0</v>
      </c>
      <c r="I25" s="16" t="n">
        <f aca="false">MAX(0,I24)*Assumptions!$C$9</f>
        <v>0</v>
      </c>
      <c r="J25" s="16" t="n">
        <f aca="false">MAX(0,J24)*Assumptions!$C$9</f>
        <v>0</v>
      </c>
      <c r="K25" s="16" t="n">
        <f aca="false">MAX(0,K24)*Assumptions!$C$9</f>
        <v>0</v>
      </c>
    </row>
    <row r="26" customFormat="false" ht="15" hidden="false" customHeight="false" outlineLevel="0" collapsed="false">
      <c r="A26" s="2" t="s">
        <v>313</v>
      </c>
      <c r="C26" s="17" t="n">
        <f aca="false">C24-C25</f>
        <v>5.51699999999993</v>
      </c>
      <c r="D26" s="17" t="n">
        <f aca="false">D24-D25</f>
        <v>-19.082</v>
      </c>
      <c r="E26" s="17" t="n">
        <f aca="false">E24-E25</f>
        <v>-54.266</v>
      </c>
      <c r="F26" s="17" t="n">
        <f aca="false">F24-F25</f>
        <v>-74.252</v>
      </c>
      <c r="G26" s="17" t="n">
        <f aca="false">G24-G25</f>
        <v>-127.3674854</v>
      </c>
      <c r="H26" s="17" t="n">
        <f aca="false">H24-H25</f>
        <v>-134.845336907</v>
      </c>
      <c r="I26" s="17" t="n">
        <f aca="false">I24-I25</f>
        <v>-131.3309430433</v>
      </c>
      <c r="J26" s="17" t="n">
        <f aca="false">J24-J25</f>
        <v>-128.112461452679</v>
      </c>
      <c r="K26" s="17" t="n">
        <f aca="false">K24-K25</f>
        <v>-124.842950788596</v>
      </c>
    </row>
    <row r="27" customFormat="false" ht="15" hidden="false" customHeight="false" outlineLevel="0" collapsed="false">
      <c r="A27" s="24" t="s">
        <v>314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customFormat="false" ht="15" hidden="false" customHeight="false" outlineLevel="0" collapsed="false">
      <c r="A28" s="3" t="s">
        <v>184</v>
      </c>
      <c r="C28" s="29" t="n">
        <f aca="false">'Historical Financials'!B37</f>
        <v>164.339</v>
      </c>
      <c r="D28" s="29" t="n">
        <f aca="false">'Historical Financials'!C37</f>
        <v>140.317</v>
      </c>
      <c r="E28" s="29" t="n">
        <f aca="false">'Historical Financials'!D37</f>
        <v>126.145</v>
      </c>
      <c r="F28" s="29" t="n">
        <f aca="false">'Historical Financials'!G37</f>
        <v>129.025</v>
      </c>
      <c r="G28" s="16" t="n">
        <f aca="false">G13*CHOOSE(Assumptions!$C$10,Assumptions!$C$83,Assumptions!$C$102,Assumptions!$C$121)</f>
        <v>84.3108372</v>
      </c>
      <c r="H28" s="16" t="n">
        <f aca="false">H13*CHOOSE(Assumptions!$C$10,Assumptions!$C$83,Assumptions!$C$102,Assumptions!$C$121)</f>
        <v>81.781512084</v>
      </c>
      <c r="I28" s="16" t="n">
        <f aca="false">I13*CHOOSE(Assumptions!$C$10,Assumptions!$C$83,Assumptions!$C$102,Assumptions!$C$121)</f>
        <v>81.781512084</v>
      </c>
      <c r="J28" s="16" t="n">
        <f aca="false">J13*CHOOSE(Assumptions!$C$10,Assumptions!$C$83,Assumptions!$C$102,Assumptions!$C$121)</f>
        <v>82.59932720484</v>
      </c>
      <c r="K28" s="16" t="n">
        <f aca="false">K13*CHOOSE(Assumptions!$C$10,Assumptions!$C$83,Assumptions!$C$102,Assumptions!$C$121)</f>
        <v>83.4253204768884</v>
      </c>
    </row>
    <row r="29" customFormat="false" ht="15" hidden="false" customHeight="false" outlineLevel="0" collapsed="false">
      <c r="A29" s="3" t="s">
        <v>315</v>
      </c>
      <c r="C29" s="29" t="n">
        <f aca="false">'Historical Financials'!B40</f>
        <v>17.0409999999999</v>
      </c>
      <c r="D29" s="29" t="n">
        <f aca="false">'Historical Financials'!C40</f>
        <v>-22.039</v>
      </c>
      <c r="E29" s="29" t="n">
        <f aca="false">'Historical Financials'!D40</f>
        <v>5.46099999999998</v>
      </c>
      <c r="F29" s="29" t="n">
        <f aca="false">'Historical Financials'!G40</f>
        <v>-10.777</v>
      </c>
      <c r="G29" s="16" t="n">
        <f aca="false">CHOOSE(Assumptions!$C$10,Assumptions!$C$84,Assumptions!$C$103,Assumptions!$C$122)*(G13-F13)+CHOOSE(Assumptions!$C$10,Assumptions!$C$85,Assumptions!$C$104,Assumptions!$C$123)*G13</f>
        <v>23.419677</v>
      </c>
      <c r="H29" s="16" t="n">
        <f aca="false">CHOOSE(Assumptions!$C$10,Assumptions!$C$84,Assumptions!$C$103,Assumptions!$C$122)*(H13-G13)+CHOOSE(Assumptions!$C$10,Assumptions!$C$85,Assumptions!$C$104,Assumptions!$C$123)*H13</f>
        <v>22.71708669</v>
      </c>
      <c r="I29" s="16" t="n">
        <f aca="false">CHOOSE(Assumptions!$C$10,Assumptions!$C$84,Assumptions!$C$103,Assumptions!$C$122)*(I13-H13)+CHOOSE(Assumptions!$C$10,Assumptions!$C$85,Assumptions!$C$104,Assumptions!$C$123)*I13</f>
        <v>22.71708669</v>
      </c>
      <c r="J29" s="16" t="n">
        <f aca="false">CHOOSE(Assumptions!$C$10,Assumptions!$C$84,Assumptions!$C$103,Assumptions!$C$122)*(J13-I13)+CHOOSE(Assumptions!$C$10,Assumptions!$C$85,Assumptions!$C$104,Assumptions!$C$123)*J13</f>
        <v>22.9442575569</v>
      </c>
      <c r="K29" s="16" t="n">
        <f aca="false">CHOOSE(Assumptions!$C$10,Assumptions!$C$84,Assumptions!$C$103,Assumptions!$C$122)*(K13-J13)+CHOOSE(Assumptions!$C$10,Assumptions!$C$85,Assumptions!$C$104,Assumptions!$C$123)*K13</f>
        <v>23.173700132469</v>
      </c>
    </row>
    <row r="30" customFormat="false" ht="15" hidden="false" customHeight="false" outlineLevel="0" collapsed="false">
      <c r="A30" s="2" t="s">
        <v>316</v>
      </c>
      <c r="C30" s="28" t="n">
        <f aca="false">'Historical Financials'!B39</f>
        <v>12.934</v>
      </c>
      <c r="D30" s="28" t="n">
        <f aca="false">'Historical Financials'!C39</f>
        <v>40.808</v>
      </c>
      <c r="E30" s="28" t="n">
        <f aca="false">'Historical Financials'!D39</f>
        <v>-9.444</v>
      </c>
      <c r="F30" s="28" t="n">
        <f aca="false">'Historical Financials'!G39</f>
        <v>-7.20700000000002</v>
      </c>
      <c r="G30" s="17" t="n">
        <f aca="false">G26+G18+G19+G22-G28-G29</f>
        <v>-60.9225796</v>
      </c>
      <c r="H30" s="17" t="n">
        <f aca="false">H26+H18+H19+H22-H28-H29</f>
        <v>-70.393778281</v>
      </c>
      <c r="I30" s="17" t="n">
        <f aca="false">I26+I18+I19+I22-I28-I29</f>
        <v>-66.8793844172995</v>
      </c>
      <c r="J30" s="17" t="n">
        <f aca="false">J26+J18+J19+J22-J28-J29</f>
        <v>-63.0163872404195</v>
      </c>
      <c r="K30" s="17" t="n">
        <f aca="false">K26+K18+K19+K22-K28-K29</f>
        <v>-59.0959158342138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3" t="str">
        <f aca="false">"Brandywine Realty Trust · PUBLIC DATA CASE · HYPOTHETICAL INVESTMENT TERMS · Active scenario: "&amp;Assumptions!$D$10</f>
        <v>Brandywine Realty Trust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232</v>
      </c>
      <c r="D4" s="7" t="s">
        <v>233</v>
      </c>
      <c r="E4" s="7" t="s">
        <v>234</v>
      </c>
      <c r="F4" s="7" t="s">
        <v>237</v>
      </c>
      <c r="G4" s="7" t="s">
        <v>296</v>
      </c>
      <c r="H4" s="7" t="s">
        <v>297</v>
      </c>
      <c r="I4" s="7" t="s">
        <v>298</v>
      </c>
      <c r="J4" s="7" t="s">
        <v>299</v>
      </c>
      <c r="K4" s="7" t="s">
        <v>300</v>
      </c>
    </row>
    <row r="6" customFormat="false" ht="15" hidden="false" customHeight="false" outlineLevel="0" collapsed="false">
      <c r="A6" s="24" t="s">
        <v>318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customFormat="false" ht="15" hidden="false" customHeight="false" outlineLevel="0" collapsed="false">
      <c r="A7" s="3" t="s">
        <v>319</v>
      </c>
      <c r="G7" s="30" t="n">
        <f aca="false">Assumptions!$G$53</f>
        <v>0.039</v>
      </c>
      <c r="H7" s="30" t="n">
        <f aca="false">Assumptions!$H$53</f>
        <v>0.0375</v>
      </c>
      <c r="I7" s="30" t="n">
        <f aca="false">Assumptions!$I$53</f>
        <v>0.035</v>
      </c>
      <c r="J7" s="30" t="n">
        <f aca="false">Assumptions!$J$53</f>
        <v>0.035</v>
      </c>
      <c r="K7" s="30" t="n">
        <f aca="false">Assumptions!$K$53</f>
        <v>0.035</v>
      </c>
    </row>
    <row r="8" customFormat="false" ht="15" hidden="false" customHeight="false" outlineLevel="0" collapsed="false">
      <c r="A8" s="3" t="s">
        <v>320</v>
      </c>
      <c r="C8" s="31" t="n">
        <f aca="false">CHOOSE(Assumptions!$C$10,Assumptions!$C$86,Assumptions!$C$105,Assumptions!$C$124)</f>
        <v>0.015</v>
      </c>
    </row>
    <row r="9" customFormat="false" ht="15" hidden="false" customHeight="false" outlineLevel="0" collapsed="false">
      <c r="A9" s="3" t="s">
        <v>321</v>
      </c>
      <c r="C9" s="31" t="n">
        <f aca="false">CHOOSE(Assumptions!$C$10,Assumptions!$C$87,Assumptions!$C$106,Assumptions!$C$125)</f>
        <v>0.1</v>
      </c>
    </row>
    <row r="10" customFormat="false" ht="15" hidden="false" customHeight="false" outlineLevel="0" collapsed="false">
      <c r="A10" s="3" t="s">
        <v>322</v>
      </c>
      <c r="C10" s="32" t="n">
        <f aca="false">CHOOSE(Assumptions!$C$10,Assumptions!$C$88,Assumptions!$C$107,Assumptions!$C$126)</f>
        <v>9.5</v>
      </c>
    </row>
    <row r="11" customFormat="false" ht="15" hidden="false" customHeight="false" outlineLevel="0" collapsed="false">
      <c r="A11" s="3" t="s">
        <v>323</v>
      </c>
      <c r="C11" s="32" t="n">
        <f aca="false">CHOOSE(Assumptions!$C$10,Assumptions!$C$89,Assumptions!$C$108,Assumptions!$C$127)</f>
        <v>1.5</v>
      </c>
    </row>
    <row r="12" customFormat="false" ht="15" hidden="false" customHeight="false" outlineLevel="0" collapsed="false">
      <c r="A12" s="3" t="s">
        <v>324</v>
      </c>
      <c r="G12" s="16" t="n">
        <f aca="false">G17+G30+G43+G56+G69+G82+G95+G108+G121+G134</f>
        <v>2625.934</v>
      </c>
      <c r="H12" s="16" t="n">
        <f aca="false">H17+H30+H43+H56+H69+H82+H95+H108+H121+H134</f>
        <v>2621.934</v>
      </c>
      <c r="I12" s="16" t="n">
        <f aca="false">I17+I30+I43+I56+I69+I82+I95+I108+I121+I134</f>
        <v>2569.380357881</v>
      </c>
      <c r="J12" s="16" t="n">
        <f aca="false">J17+J30+J43+J56+J69+J82+J95+J108+J121+J134</f>
        <v>2565.380357881</v>
      </c>
      <c r="K12" s="16" t="n">
        <f aca="false">K17+K30+K43+K56+K69+K82+K95+K108+K121+K134</f>
        <v>2561.380357881</v>
      </c>
    </row>
    <row r="13" customFormat="false" ht="15" hidden="false" customHeight="false" outlineLevel="0" collapsed="false">
      <c r="A13" s="3" t="s">
        <v>325</v>
      </c>
      <c r="G13" s="29" t="n">
        <f aca="false">'Cash Flow'!F19</f>
        <v>37.87</v>
      </c>
      <c r="H13" s="29" t="n">
        <f aca="false">'Cash Flow'!G19</f>
        <v>122.9474204</v>
      </c>
      <c r="I13" s="29" t="n">
        <f aca="false">'Cash Flow'!H19</f>
        <v>0</v>
      </c>
      <c r="J13" s="29" t="n">
        <f aca="false">'Cash Flow'!I19</f>
        <v>-70.8793844172995</v>
      </c>
      <c r="K13" s="29" t="n">
        <f aca="false">'Cash Flow'!J19</f>
        <v>-137.895771657719</v>
      </c>
    </row>
    <row r="14" customFormat="false" ht="15" hidden="false" customHeight="false" outlineLevel="0" collapsed="false">
      <c r="A14" s="3" t="s">
        <v>326</v>
      </c>
      <c r="G14" s="16" t="n">
        <f aca="false">G17*IF(G18=1,$C$9,IF(Assumptions!$I$57=1,MAX(G7,Assumptions!$G$57)+Assumptions!$F$57+$C$8,Assumptions!$E$57))+G30*IF(G31=1,$C$9,IF(Assumptions!$I$58=1,MAX(G7,Assumptions!$G$58)+Assumptions!$F$58+$C$8,Assumptions!$E$58))+G43*IF(G44=1,$C$9,IF(Assumptions!$I$59=1,MAX(G7,Assumptions!$G$59)+Assumptions!$F$59+$C$8,Assumptions!$E$59))+G56*IF(G57=1,$C$9,IF(Assumptions!$I$60=1,MAX(G7,Assumptions!$G$60)+Assumptions!$F$60+$C$8,Assumptions!$E$60))+G69*IF(G70=1,$C$9,IF(Assumptions!$I$61=1,MAX(G7,Assumptions!$G$61)+Assumptions!$F$61+$C$8,Assumptions!$E$61))+G82*IF(G83=1,$C$9,IF(Assumptions!$I$62=1,MAX(G7,Assumptions!$G$62)+Assumptions!$F$62+$C$8,Assumptions!$E$62))+G95*IF(G96=1,$C$9,IF(Assumptions!$I$63=1,MAX(G7,Assumptions!$G$63)+Assumptions!$F$63+$C$8,Assumptions!$E$63))+G108*IF(G109=1,$C$9,IF(Assumptions!$I$64=1,MAX(G7,Assumptions!$G$64)+Assumptions!$F$64+$C$8,Assumptions!$E$64))+G121*IF(G122=1,$C$9,IF(Assumptions!$I$65=1,MAX(G7,Assumptions!$G$65)+Assumptions!$F$65+$C$8,Assumptions!$E$65))+G134*IF(G135=1,$C$9,IF(Assumptions!$I$66=1,MAX(G7,Assumptions!$G$66)+Assumptions!$F$66+$C$8,Assumptions!$E$66))</f>
        <v>187.3888354</v>
      </c>
      <c r="H14" s="16" t="n">
        <f aca="false">H17*IF(OR(H18=1,Recovery!G63=1),$C$9,IF(Assumptions!$I$57=1,MAX(H7,Assumptions!$G$57)+Assumptions!$F$57+$C$8,Assumptions!$E$57))+H30*IF(OR(H31=1,Recovery!G64=1),$C$9,IF(Assumptions!$I$58=1,MAX(H7,Assumptions!$G$58)+Assumptions!$F$58+$C$8,Assumptions!$E$58))+H43*IF(OR(H44=1,Recovery!G65=1),$C$9,IF(Assumptions!$I$59=1,MAX(H7,Assumptions!$G$59)+Assumptions!$F$59+$C$8,Assumptions!$E$59))+H56*IF(OR(H57=1,Recovery!G66=1),$C$9,IF(Assumptions!$I$60=1,MAX(H7,Assumptions!$G$60)+Assumptions!$F$60+$C$8,Assumptions!$E$60))+H69*IF(OR(H70=1,Recovery!G67=1),$C$9,IF(Assumptions!$I$61=1,MAX(H7,Assumptions!$G$61)+Assumptions!$F$61+$C$8,Assumptions!$E$61))+H82*IF(OR(H83=1,Recovery!G68=1),$C$9,IF(Assumptions!$I$62=1,MAX(H7,Assumptions!$G$62)+Assumptions!$F$62+$C$8,Assumptions!$E$62))+H95*IF(OR(H96=1,Recovery!G69=1),$C$9,IF(Assumptions!$I$63=1,MAX(H7,Assumptions!$G$63)+Assumptions!$F$63+$C$8,Assumptions!$E$63))+H108*IF(OR(H109=1,Recovery!G70=1),$C$9,IF(Assumptions!$I$64=1,MAX(H7,Assumptions!$G$64)+Assumptions!$F$64+$C$8,Assumptions!$E$64))+H121*IF(OR(H122=1,Recovery!G71=1),$C$9,IF(Assumptions!$I$65=1,MAX(H7,Assumptions!$G$65)+Assumptions!$F$65+$C$8,Assumptions!$E$65))+H134*IF(OR(H135=1,Recovery!G72=1),$C$9,IF(Assumptions!$I$66=1,MAX(H7,Assumptions!$G$66)+Assumptions!$F$66+$C$8,Assumptions!$E$66))</f>
        <v>219.4259204</v>
      </c>
      <c r="I14" s="16" t="n">
        <f aca="false">I17*IF(OR(I18=1,Recovery!H63=1),$C$9,IF(Assumptions!$I$57=1,MAX(I7,Assumptions!$G$57)+Assumptions!$F$57+$C$8,Assumptions!$E$57))+I30*IF(OR(I31=1,Recovery!H64=1),$C$9,IF(Assumptions!$I$58=1,MAX(I7,Assumptions!$G$58)+Assumptions!$F$58+$C$8,Assumptions!$E$58))+I43*IF(OR(I44=1,Recovery!H65=1),$C$9,IF(Assumptions!$I$59=1,MAX(I7,Assumptions!$G$59)+Assumptions!$F$59+$C$8,Assumptions!$E$59))+I56*IF(OR(I57=1,Recovery!H66=1),$C$9,IF(Assumptions!$I$60=1,MAX(I7,Assumptions!$G$60)+Assumptions!$F$60+$C$8,Assumptions!$E$60))+I69*IF(OR(I70=1,Recovery!H67=1),$C$9,IF(Assumptions!$I$61=1,MAX(I7,Assumptions!$G$61)+Assumptions!$F$61+$C$8,Assumptions!$E$61))+I82*IF(OR(I83=1,Recovery!H68=1),$C$9,IF(Assumptions!$I$62=1,MAX(I7,Assumptions!$G$62)+Assumptions!$F$62+$C$8,Assumptions!$E$62))+I95*IF(OR(I96=1,Recovery!H69=1),$C$9,IF(Assumptions!$I$63=1,MAX(I7,Assumptions!$G$63)+Assumptions!$F$63+$C$8,Assumptions!$E$63))+I108*IF(OR(I109=1,Recovery!H70=1),$C$9,IF(Assumptions!$I$64=1,MAX(I7,Assumptions!$G$64)+Assumptions!$F$64+$C$8,Assumptions!$E$64))+I121*IF(OR(I122=1,Recovery!H71=1),$C$9,IF(Assumptions!$I$65=1,MAX(I7,Assumptions!$G$65)+Assumptions!$F$65+$C$8,Assumptions!$E$65))+I134*IF(OR(I135=1,Recovery!H72=1),$C$9,IF(Assumptions!$I$66=1,MAX(I7,Assumptions!$G$66)+Assumptions!$F$66+$C$8,Assumptions!$E$66))</f>
        <v>188.9240265363</v>
      </c>
      <c r="J14" s="16" t="n">
        <f aca="false">J17*IF(OR(J18=1,Recovery!I63=1),$C$9,IF(Assumptions!$I$57=1,MAX(J7,Assumptions!$G$57)+Assumptions!$F$57+$C$8,Assumptions!$E$57))+J30*IF(OR(J31=1,Recovery!I64=1),$C$9,IF(Assumptions!$I$58=1,MAX(J7,Assumptions!$G$58)+Assumptions!$F$58+$C$8,Assumptions!$E$58))+J43*IF(OR(J44=1,Recovery!I65=1),$C$9,IF(Assumptions!$I$59=1,MAX(J7,Assumptions!$G$59)+Assumptions!$F$59+$C$8,Assumptions!$E$59))+J56*IF(OR(J57=1,Recovery!I66=1),$C$9,IF(Assumptions!$I$60=1,MAX(J7,Assumptions!$G$60)+Assumptions!$F$60+$C$8,Assumptions!$E$60))+J69*IF(OR(J70=1,Recovery!I67=1),$C$9,IF(Assumptions!$I$61=1,MAX(J7,Assumptions!$G$61)+Assumptions!$F$61+$C$8,Assumptions!$E$61))+J82*IF(OR(J83=1,Recovery!I68=1),$C$9,IF(Assumptions!$I$62=1,MAX(J7,Assumptions!$G$62)+Assumptions!$F$62+$C$8,Assumptions!$E$62))+J95*IF(OR(J96=1,Recovery!I69=1),$C$9,IF(Assumptions!$I$63=1,MAX(J7,Assumptions!$G$63)+Assumptions!$F$63+$C$8,Assumptions!$E$63))+J108*IF(OR(J109=1,Recovery!I70=1),$C$9,IF(Assumptions!$I$64=1,MAX(J7,Assumptions!$G$64)+Assumptions!$F$64+$C$8,Assumptions!$E$64))+J121*IF(OR(J122=1,Recovery!I71=1),$C$9,IF(Assumptions!$I$65=1,MAX(J7,Assumptions!$G$65)+Assumptions!$F$65+$C$8,Assumptions!$E$65))+J134*IF(OR(J135=1,Recovery!I72=1),$C$9,IF(Assumptions!$I$66=1,MAX(J7,Assumptions!$G$66)+Assumptions!$F$66+$C$8,Assumptions!$E$66))</f>
        <v>201.401526536299</v>
      </c>
      <c r="K14" s="16" t="n">
        <f aca="false">K17*IF(OR(K18=1,Recovery!J63=1),$C$9,IF(Assumptions!$I$57=1,MAX(K7,Assumptions!$G$57)+Assumptions!$F$57+$C$8,Assumptions!$E$57))+K30*IF(OR(K31=1,Recovery!J64=1),$C$9,IF(Assumptions!$I$58=1,MAX(K7,Assumptions!$G$58)+Assumptions!$F$58+$C$8,Assumptions!$E$58))+K43*IF(OR(K44=1,Recovery!J65=1),$C$9,IF(Assumptions!$I$59=1,MAX(K7,Assumptions!$G$59)+Assumptions!$F$59+$C$8,Assumptions!$E$59))+K56*IF(OR(K57=1,Recovery!J66=1),$C$9,IF(Assumptions!$I$60=1,MAX(K7,Assumptions!$G$60)+Assumptions!$F$60+$C$8,Assumptions!$E$60))+K69*IF(OR(K70=1,Recovery!J67=1),$C$9,IF(Assumptions!$I$61=1,MAX(K7,Assumptions!$G$61)+Assumptions!$F$61+$C$8,Assumptions!$E$61))+K82*IF(OR(K83=1,Recovery!J68=1),$C$9,IF(Assumptions!$I$62=1,MAX(K7,Assumptions!$G$62)+Assumptions!$F$62+$C$8,Assumptions!$E$62))+K95*IF(OR(K96=1,Recovery!J69=1),$C$9,IF(Assumptions!$I$63=1,MAX(K7,Assumptions!$G$63)+Assumptions!$F$63+$C$8,Assumptions!$E$63))+K108*IF(OR(K109=1,Recovery!J70=1),$C$9,IF(Assumptions!$I$64=1,MAX(K7,Assumptions!$G$64)+Assumptions!$F$64+$C$8,Assumptions!$E$64))+K121*IF(OR(K122=1,Recovery!J71=1),$C$9,IF(Assumptions!$I$65=1,MAX(K7,Assumptions!$G$65)+Assumptions!$F$65+$C$8,Assumptions!$E$65))+K134*IF(OR(K135=1,Recovery!J72=1),$C$9,IF(Assumptions!$I$66=1,MAX(K7,Assumptions!$G$66)+Assumptions!$F$66+$C$8,Assumptions!$E$66))</f>
        <v>192.5815265363</v>
      </c>
    </row>
    <row r="15" customFormat="false" ht="15" hidden="false" customHeight="false" outlineLevel="0" collapsed="false">
      <c r="A15" s="3" t="s">
        <v>327</v>
      </c>
      <c r="G15" s="21" t="n">
        <f aca="false">IF('Operating Model'!G17&lt;=0,0,IF(AND((G12-G13)/'Operating Model'!G17&lt;=$C$10,'Operating Model'!G17/G14&gt;=$C$11),1,0))</f>
        <v>0</v>
      </c>
      <c r="H15" s="21" t="n">
        <f aca="false">IF('Operating Model'!H17&lt;=0,0,IF(AND((H12-H13)/'Operating Model'!H17&lt;=$C$10,'Operating Model'!H17/H14&gt;=$C$11),1,0))</f>
        <v>0</v>
      </c>
      <c r="I15" s="21" t="n">
        <f aca="false">IF('Operating Model'!I17&lt;=0,0,IF(AND((I12-I13)/'Operating Model'!I17&lt;=$C$10,'Operating Model'!I17/I14&gt;=$C$11),1,0))</f>
        <v>0</v>
      </c>
      <c r="J15" s="21" t="n">
        <f aca="false">IF('Operating Model'!J17&lt;=0,0,IF(AND((J12-J13)/'Operating Model'!J17&lt;=$C$10,'Operating Model'!J17/J14&gt;=$C$11),1,0))</f>
        <v>0</v>
      </c>
      <c r="K15" s="21" t="n">
        <f aca="false">IF('Operating Model'!K17&lt;=0,0,IF(AND((K12-K13)/'Operating Model'!K17&lt;=$C$10,'Operating Model'!K17/K14&gt;=$C$11),1,0))</f>
        <v>0</v>
      </c>
    </row>
    <row r="16" customFormat="false" ht="15" hidden="false" customHeight="false" outlineLevel="0" collapsed="false">
      <c r="A16" s="24" t="s">
        <v>328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15" hidden="false" customHeight="false" outlineLevel="0" collapsed="false">
      <c r="A17" s="3" t="s">
        <v>329</v>
      </c>
      <c r="G17" s="16" t="n">
        <f aca="false">F28</f>
        <v>400</v>
      </c>
      <c r="H17" s="16" t="n">
        <f aca="false">G28</f>
        <v>396</v>
      </c>
      <c r="I17" s="16" t="n">
        <f aca="false">H28</f>
        <v>392</v>
      </c>
      <c r="J17" s="16" t="n">
        <f aca="false">I28</f>
        <v>388</v>
      </c>
      <c r="K17" s="16" t="n">
        <f aca="false">J28</f>
        <v>384</v>
      </c>
    </row>
    <row r="18" customFormat="false" ht="15" hidden="false" customHeight="false" outlineLevel="0" collapsed="false">
      <c r="A18" s="3" t="s">
        <v>330</v>
      </c>
      <c r="G18" s="21" t="n">
        <f aca="false">IF('Operating Model'!G7=Assumptions!$K$57,1,0)</f>
        <v>0</v>
      </c>
      <c r="H18" s="21" t="n">
        <f aca="false">IF('Operating Model'!H7=Assumptions!$K$57,1,0)</f>
        <v>0</v>
      </c>
      <c r="I18" s="21" t="n">
        <f aca="false">IF('Operating Model'!I7=Assumptions!$K$57,1,0)</f>
        <v>0</v>
      </c>
      <c r="J18" s="21" t="n">
        <f aca="false">IF('Operating Model'!J7=Assumptions!$K$57,1,0)</f>
        <v>0</v>
      </c>
      <c r="K18" s="21" t="n">
        <f aca="false">IF('Operating Model'!K7=Assumptions!$K$57,1,0)</f>
        <v>1</v>
      </c>
    </row>
    <row r="20" customFormat="false" ht="15" hidden="false" customHeight="false" outlineLevel="0" collapsed="false">
      <c r="A20" s="3" t="s">
        <v>331</v>
      </c>
      <c r="G20" s="31" t="n">
        <f aca="false">IF(Assumptions!$I$57=1,MAX(G7,Assumptions!$G$57)+Assumptions!$F$57+$C$8,Assumptions!$E$57)</f>
        <v>0.1065</v>
      </c>
      <c r="H20" s="31" t="n">
        <f aca="false">IF(Recovery!G63=1,$C$9,IF(Assumptions!$I$57=1,MAX(H7,Assumptions!$G$57)+Assumptions!$F$57+$C$8,Assumptions!$E$57))</f>
        <v>0.105</v>
      </c>
      <c r="I20" s="31" t="n">
        <f aca="false">IF(Recovery!H63=1,$C$9,IF(Assumptions!$I$57=1,MAX(I7,Assumptions!$G$57)+Assumptions!$F$57+$C$8,Assumptions!$E$57))</f>
        <v>0.1025</v>
      </c>
      <c r="J20" s="31" t="n">
        <f aca="false">IF(Recovery!I63=1,$C$9,IF(Assumptions!$I$57=1,MAX(J7,Assumptions!$G$57)+Assumptions!$F$57+$C$8,Assumptions!$E$57))</f>
        <v>0.1025</v>
      </c>
      <c r="K20" s="31" t="n">
        <f aca="false">IF(Recovery!J63=1,$C$9,IF(Assumptions!$I$57=1,MAX(K7,Assumptions!$G$57)+Assumptions!$F$57+$C$8,Assumptions!$E$57))</f>
        <v>0.1025</v>
      </c>
    </row>
    <row r="21" customFormat="false" ht="15" hidden="false" customHeight="false" outlineLevel="0" collapsed="false">
      <c r="A21" s="3" t="s">
        <v>332</v>
      </c>
      <c r="G21" s="16" t="n">
        <f aca="false">G17*G20</f>
        <v>42.6</v>
      </c>
      <c r="H21" s="16" t="n">
        <f aca="false">H17*H20</f>
        <v>41.58</v>
      </c>
      <c r="I21" s="16" t="n">
        <f aca="false">I17*I20</f>
        <v>40.18</v>
      </c>
      <c r="J21" s="16" t="n">
        <f aca="false">J17*J20</f>
        <v>39.77</v>
      </c>
      <c r="K21" s="16" t="n">
        <f aca="false">K17*K20</f>
        <v>39.36</v>
      </c>
    </row>
    <row r="22" customFormat="false" ht="15" hidden="false" customHeight="false" outlineLevel="0" collapsed="false">
      <c r="A22" s="3" t="s">
        <v>333</v>
      </c>
      <c r="G22" s="16" t="n">
        <f aca="false">G17*Assumptions!$H$57</f>
        <v>0</v>
      </c>
      <c r="H22" s="16" t="n">
        <f aca="false">H17*Assumptions!$H$57</f>
        <v>0</v>
      </c>
      <c r="I22" s="16" t="n">
        <f aca="false">I17*Assumptions!$H$57</f>
        <v>0</v>
      </c>
      <c r="J22" s="16" t="n">
        <f aca="false">J17*Assumptions!$H$57</f>
        <v>0</v>
      </c>
      <c r="K22" s="16" t="n">
        <f aca="false">K17*Assumptions!$H$57</f>
        <v>0</v>
      </c>
    </row>
    <row r="23" customFormat="false" ht="15" hidden="false" customHeight="false" outlineLevel="0" collapsed="false">
      <c r="A23" s="3" t="s">
        <v>334</v>
      </c>
      <c r="G23" s="16" t="n">
        <f aca="false">MIN(G17,Assumptions!$L$57*Assumptions!$C$57)</f>
        <v>4</v>
      </c>
      <c r="H23" s="16" t="n">
        <f aca="false">MIN(H17,Assumptions!$L$57*Assumptions!$C$57)</f>
        <v>4</v>
      </c>
      <c r="I23" s="16" t="n">
        <f aca="false">MIN(I17,Assumptions!$L$57*Assumptions!$C$57)</f>
        <v>4</v>
      </c>
      <c r="J23" s="16" t="n">
        <f aca="false">MIN(J17,Assumptions!$L$57*Assumptions!$C$57)</f>
        <v>4</v>
      </c>
      <c r="K23" s="16" t="n">
        <f aca="false">MIN(K17,Assumptions!$L$57*Assumptions!$C$57)</f>
        <v>4</v>
      </c>
    </row>
    <row r="24" customFormat="false" ht="15" hidden="false" customHeight="false" outlineLevel="0" collapsed="false">
      <c r="A24" s="3" t="s">
        <v>335</v>
      </c>
      <c r="G24" s="16" t="n">
        <f aca="false">IF(AND(Assumptions!$P$57=1,'Operating Model'!G7&lt;Assumptions!$K$57),MIN(MAX(0,-'Cash Flow'!G11),MAX(0,Assumptions!$D$57-G17)),0)</f>
        <v>0</v>
      </c>
      <c r="H24" s="16" t="n">
        <f aca="false">IF(AND(Assumptions!$P$57=1,OR('Operating Model'!H7&lt;Assumptions!$K$57,Recovery!G63=1)),MIN(MAX(0,-'Cash Flow'!H11),MAX(0,Assumptions!$D$57-H17)),0)</f>
        <v>0</v>
      </c>
      <c r="I24" s="16" t="n">
        <f aca="false">IF(AND(Assumptions!$P$57=1,OR('Operating Model'!I7&lt;Assumptions!$K$57,Recovery!H63=1)),MIN(MAX(0,-'Cash Flow'!I11),MAX(0,Assumptions!$D$57-I17)),0)</f>
        <v>0</v>
      </c>
      <c r="J24" s="16" t="n">
        <f aca="false">IF(AND(Assumptions!$P$57=1,OR('Operating Model'!J7&lt;Assumptions!$K$57,Recovery!I63=1)),MIN(MAX(0,-'Cash Flow'!J11),MAX(0,Assumptions!$D$57-J17)),0)</f>
        <v>0</v>
      </c>
      <c r="K24" s="16" t="n">
        <f aca="false">IF(AND(Assumptions!$P$57=1,OR('Operating Model'!K7&lt;Assumptions!$K$57,Recovery!J63=1)),MIN(MAX(0,-'Cash Flow'!K11),MAX(0,Assumptions!$D$57-K17)),0)</f>
        <v>0</v>
      </c>
    </row>
    <row r="25" customFormat="false" ht="15" hidden="false" customHeight="false" outlineLevel="0" collapsed="false">
      <c r="A25" s="3" t="s">
        <v>336</v>
      </c>
      <c r="G25" s="16" t="n">
        <f aca="false">G18*MIN(G17-G23+G22,MAX(0,'Cash Flow'!G13-Assumptions!$C$12*G15))</f>
        <v>0</v>
      </c>
      <c r="H25" s="16" t="n">
        <f aca="false">H18*MIN(H17-H23+H22,MAX(0,'Cash Flow'!H13-Assumptions!$C$12*H15))</f>
        <v>0</v>
      </c>
      <c r="I25" s="16" t="n">
        <f aca="false">I18*MIN(I17-I23+I22,MAX(0,'Cash Flow'!I13-Assumptions!$C$12*I15))</f>
        <v>0</v>
      </c>
      <c r="J25" s="16" t="n">
        <f aca="false">J18*MIN(J17-J23+J22,MAX(0,'Cash Flow'!J13-Assumptions!$C$12*J15))</f>
        <v>0</v>
      </c>
      <c r="K25" s="16" t="n">
        <f aca="false">K18*MIN(K17-K23+K22,MAX(0,'Cash Flow'!K13-Assumptions!$C$12*K15))</f>
        <v>0</v>
      </c>
    </row>
    <row r="26" customFormat="false" ht="15" hidden="false" customHeight="false" outlineLevel="0" collapsed="false">
      <c r="A26" s="3" t="s">
        <v>337</v>
      </c>
      <c r="G26" s="16" t="n">
        <f aca="false">Assumptions!$N$57*MIN(G17+G24+G22-G23-G25,MAX(0,'Cash Flow'!G17))</f>
        <v>0</v>
      </c>
      <c r="H26" s="16" t="n">
        <f aca="false">Assumptions!$N$57*MIN(H17+H24+H22-H23-H25,MAX(0,'Cash Flow'!H17))</f>
        <v>0</v>
      </c>
      <c r="I26" s="16" t="n">
        <f aca="false">Assumptions!$N$57*MIN(I17+I24+I22-I23-I25,MAX(0,'Cash Flow'!I17))</f>
        <v>0</v>
      </c>
      <c r="J26" s="16" t="n">
        <f aca="false">Assumptions!$N$57*MIN(J17+J24+J22-J23-J25,MAX(0,'Cash Flow'!J17))</f>
        <v>0</v>
      </c>
      <c r="K26" s="16" t="n">
        <f aca="false">Assumptions!$N$57*MIN(K17+K24+K22-K23-K25,MAX(0,'Cash Flow'!K17))</f>
        <v>0</v>
      </c>
    </row>
    <row r="27" customFormat="false" ht="15" hidden="false" customHeight="false" outlineLevel="0" collapsed="false">
      <c r="A27" s="3" t="s">
        <v>338</v>
      </c>
      <c r="G27" s="16" t="n">
        <f aca="false">G18*(1-G15)*(G17-G23+G22-G25)</f>
        <v>0</v>
      </c>
      <c r="H27" s="16" t="n">
        <f aca="false">H18*(1-H15)*(H17-H23+H22-H25)</f>
        <v>0</v>
      </c>
      <c r="I27" s="16" t="n">
        <f aca="false">I18*(1-I15)*(I17-I23+I22-I25)</f>
        <v>0</v>
      </c>
      <c r="J27" s="16" t="n">
        <f aca="false">J18*(1-J15)*(J17-J23+J22-J25)</f>
        <v>0</v>
      </c>
      <c r="K27" s="16" t="n">
        <f aca="false">K18*(1-K15)*(K17-K23+K22-K25)</f>
        <v>380</v>
      </c>
    </row>
    <row r="28" customFormat="false" ht="15" hidden="false" customHeight="false" outlineLevel="0" collapsed="false">
      <c r="A28" s="2" t="s">
        <v>339</v>
      </c>
      <c r="F28" s="28" t="n">
        <f aca="false">Assumptions!$C$57</f>
        <v>400</v>
      </c>
      <c r="G28" s="17" t="n">
        <f aca="false">G17+G24+G22-G23-G25-G26</f>
        <v>396</v>
      </c>
      <c r="H28" s="17" t="n">
        <f aca="false">H17+H24+H22-H23-H25-H26</f>
        <v>392</v>
      </c>
      <c r="I28" s="17" t="n">
        <f aca="false">I17+I24+I22-I23-I25-I26</f>
        <v>388</v>
      </c>
      <c r="J28" s="17" t="n">
        <f aca="false">J17+J24+J22-J23-J25-J26</f>
        <v>384</v>
      </c>
      <c r="K28" s="17" t="n">
        <f aca="false">K17+K24+K22-K23-K25-K26</f>
        <v>380</v>
      </c>
    </row>
    <row r="29" customFormat="false" ht="15" hidden="false" customHeight="false" outlineLevel="0" collapsed="false">
      <c r="A29" s="24" t="s">
        <v>340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customFormat="false" ht="15" hidden="false" customHeight="false" outlineLevel="0" collapsed="false">
      <c r="A30" s="3" t="s">
        <v>329</v>
      </c>
      <c r="G30" s="16" t="n">
        <f aca="false">F41</f>
        <v>90</v>
      </c>
      <c r="H30" s="16" t="n">
        <f aca="false">G41</f>
        <v>90</v>
      </c>
      <c r="I30" s="16" t="n">
        <f aca="false">H41</f>
        <v>90</v>
      </c>
      <c r="J30" s="16" t="n">
        <f aca="false">I41</f>
        <v>90</v>
      </c>
      <c r="K30" s="16" t="n">
        <f aca="false">J41</f>
        <v>90</v>
      </c>
    </row>
    <row r="31" customFormat="false" ht="15" hidden="false" customHeight="false" outlineLevel="0" collapsed="false">
      <c r="A31" s="3" t="s">
        <v>330</v>
      </c>
      <c r="G31" s="21" t="n">
        <f aca="false">IF('Operating Model'!G7=Assumptions!$K$58,1,0)</f>
        <v>0</v>
      </c>
      <c r="H31" s="21" t="n">
        <f aca="false">IF('Operating Model'!H7=Assumptions!$K$58,1,0)</f>
        <v>0</v>
      </c>
      <c r="I31" s="21" t="n">
        <f aca="false">IF('Operating Model'!I7=Assumptions!$K$58,1,0)</f>
        <v>0</v>
      </c>
      <c r="J31" s="21" t="n">
        <f aca="false">IF('Operating Model'!J7=Assumptions!$K$58,1,0)</f>
        <v>0</v>
      </c>
      <c r="K31" s="21" t="n">
        <f aca="false">IF('Operating Model'!K7=Assumptions!$K$58,1,0)</f>
        <v>0</v>
      </c>
    </row>
    <row r="33" customFormat="false" ht="15" hidden="false" customHeight="false" outlineLevel="0" collapsed="false">
      <c r="A33" s="3" t="s">
        <v>331</v>
      </c>
      <c r="G33" s="31" t="n">
        <f aca="false">IF(Assumptions!$I$58=1,MAX(G7,Assumptions!$G$58)+Assumptions!$F$58+$C$8,Assumptions!$E$58)</f>
        <v>0.0581</v>
      </c>
      <c r="H33" s="31" t="n">
        <f aca="false">IF(Recovery!G64=1,$C$9,IF(Assumptions!$I$58=1,MAX(H7,Assumptions!$G$58)+Assumptions!$F$58+$C$8,Assumptions!$E$58))</f>
        <v>0.0581</v>
      </c>
      <c r="I33" s="31" t="n">
        <f aca="false">IF(Recovery!H64=1,$C$9,IF(Assumptions!$I$58=1,MAX(I7,Assumptions!$G$58)+Assumptions!$F$58+$C$8,Assumptions!$E$58))</f>
        <v>0.0581</v>
      </c>
      <c r="J33" s="31" t="n">
        <f aca="false">IF(Recovery!I64=1,$C$9,IF(Assumptions!$I$58=1,MAX(J7,Assumptions!$G$58)+Assumptions!$F$58+$C$8,Assumptions!$E$58))</f>
        <v>0.0581</v>
      </c>
      <c r="K33" s="31" t="n">
        <f aca="false">IF(Recovery!J64=1,$C$9,IF(Assumptions!$I$58=1,MAX(K7,Assumptions!$G$58)+Assumptions!$F$58+$C$8,Assumptions!$E$58))</f>
        <v>0.0581</v>
      </c>
    </row>
    <row r="34" customFormat="false" ht="15" hidden="false" customHeight="false" outlineLevel="0" collapsed="false">
      <c r="A34" s="3" t="s">
        <v>332</v>
      </c>
      <c r="G34" s="16" t="n">
        <f aca="false">G30*G33</f>
        <v>5.229</v>
      </c>
      <c r="H34" s="16" t="n">
        <f aca="false">H30*H33</f>
        <v>5.229</v>
      </c>
      <c r="I34" s="16" t="n">
        <f aca="false">I30*I33</f>
        <v>5.229</v>
      </c>
      <c r="J34" s="16" t="n">
        <f aca="false">J30*J33</f>
        <v>5.229</v>
      </c>
      <c r="K34" s="16" t="n">
        <f aca="false">K30*K33</f>
        <v>5.229</v>
      </c>
    </row>
    <row r="35" customFormat="false" ht="15" hidden="false" customHeight="false" outlineLevel="0" collapsed="false">
      <c r="A35" s="3" t="s">
        <v>333</v>
      </c>
      <c r="G35" s="16" t="n">
        <f aca="false">G30*Assumptions!$H$58</f>
        <v>0</v>
      </c>
      <c r="H35" s="16" t="n">
        <f aca="false">H30*Assumptions!$H$58</f>
        <v>0</v>
      </c>
      <c r="I35" s="16" t="n">
        <f aca="false">I30*Assumptions!$H$58</f>
        <v>0</v>
      </c>
      <c r="J35" s="16" t="n">
        <f aca="false">J30*Assumptions!$H$58</f>
        <v>0</v>
      </c>
      <c r="K35" s="16" t="n">
        <f aca="false">K30*Assumptions!$H$58</f>
        <v>0</v>
      </c>
    </row>
    <row r="36" customFormat="false" ht="15" hidden="false" customHeight="false" outlineLevel="0" collapsed="false">
      <c r="A36" s="3" t="s">
        <v>334</v>
      </c>
      <c r="G36" s="16" t="n">
        <f aca="false">MIN(G30,Assumptions!$L$58*Assumptions!$C$58)</f>
        <v>0</v>
      </c>
      <c r="H36" s="16" t="n">
        <f aca="false">MIN(H30,Assumptions!$L$58*Assumptions!$C$58)</f>
        <v>0</v>
      </c>
      <c r="I36" s="16" t="n">
        <f aca="false">MIN(I30,Assumptions!$L$58*Assumptions!$C$58)</f>
        <v>0</v>
      </c>
      <c r="J36" s="16" t="n">
        <f aca="false">MIN(J30,Assumptions!$L$58*Assumptions!$C$58)</f>
        <v>0</v>
      </c>
      <c r="K36" s="16" t="n">
        <f aca="false">MIN(K30,Assumptions!$L$58*Assumptions!$C$58)</f>
        <v>0</v>
      </c>
    </row>
    <row r="37" customFormat="false" ht="15" hidden="false" customHeight="false" outlineLevel="0" collapsed="false">
      <c r="A37" s="3" t="s">
        <v>335</v>
      </c>
      <c r="G37" s="16" t="n">
        <f aca="false">IF(AND(Assumptions!$P$58=1,'Operating Model'!G7&lt;Assumptions!$K$58),MIN(MAX(0,-'Cash Flow'!G11),MAX(0,Assumptions!$D$58-G30)),0)</f>
        <v>0</v>
      </c>
      <c r="H37" s="16" t="n">
        <f aca="false">IF(AND(Assumptions!$P$58=1,OR('Operating Model'!H7&lt;Assumptions!$K$58,Recovery!G64=1)),MIN(MAX(0,-'Cash Flow'!H11),MAX(0,Assumptions!$D$58-H30)),0)</f>
        <v>0</v>
      </c>
      <c r="I37" s="16" t="n">
        <f aca="false">IF(AND(Assumptions!$P$58=1,OR('Operating Model'!I7&lt;Assumptions!$K$58,Recovery!H64=1)),MIN(MAX(0,-'Cash Flow'!I11),MAX(0,Assumptions!$D$58-I30)),0)</f>
        <v>0</v>
      </c>
      <c r="J37" s="16" t="n">
        <f aca="false">IF(AND(Assumptions!$P$58=1,OR('Operating Model'!J7&lt;Assumptions!$K$58,Recovery!I64=1)),MIN(MAX(0,-'Cash Flow'!J11),MAX(0,Assumptions!$D$58-J30)),0)</f>
        <v>0</v>
      </c>
      <c r="K37" s="16" t="n">
        <f aca="false">IF(AND(Assumptions!$P$58=1,OR('Operating Model'!K7&lt;Assumptions!$K$58,Recovery!J64=1)),MIN(MAX(0,-'Cash Flow'!K11),MAX(0,Assumptions!$D$58-K30)),0)</f>
        <v>0</v>
      </c>
    </row>
    <row r="38" customFormat="false" ht="15" hidden="false" customHeight="false" outlineLevel="0" collapsed="false">
      <c r="A38" s="3" t="s">
        <v>336</v>
      </c>
      <c r="G38" s="16" t="n">
        <f aca="false">G31*MIN(G30-G36+G35,MAX(0,'Cash Flow'!G13-Assumptions!$C$12*G15-G25))</f>
        <v>0</v>
      </c>
      <c r="H38" s="16" t="n">
        <f aca="false">H31*MIN(H30-H36+H35,MAX(0,'Cash Flow'!H13-Assumptions!$C$12*H15-H25))</f>
        <v>0</v>
      </c>
      <c r="I38" s="16" t="n">
        <f aca="false">I31*MIN(I30-I36+I35,MAX(0,'Cash Flow'!I13-Assumptions!$C$12*I15-I25))</f>
        <v>0</v>
      </c>
      <c r="J38" s="16" t="n">
        <f aca="false">J31*MIN(J30-J36+J35,MAX(0,'Cash Flow'!J13-Assumptions!$C$12*J15-J25))</f>
        <v>0</v>
      </c>
      <c r="K38" s="16" t="n">
        <f aca="false">K31*MIN(K30-K36+K35,MAX(0,'Cash Flow'!K13-Assumptions!$C$12*K15-K25))</f>
        <v>0</v>
      </c>
    </row>
    <row r="39" customFormat="false" ht="15" hidden="false" customHeight="false" outlineLevel="0" collapsed="false">
      <c r="A39" s="3" t="s">
        <v>337</v>
      </c>
      <c r="G39" s="16" t="n">
        <f aca="false">Assumptions!$N$58*MIN(G30+G37+G35-G36-G38,MAX(0,'Cash Flow'!G17-G26))</f>
        <v>0</v>
      </c>
      <c r="H39" s="16" t="n">
        <f aca="false">Assumptions!$N$58*MIN(H30+H37+H35-H36-H38,MAX(0,'Cash Flow'!H17-H26))</f>
        <v>0</v>
      </c>
      <c r="I39" s="16" t="n">
        <f aca="false">Assumptions!$N$58*MIN(I30+I37+I35-I36-I38,MAX(0,'Cash Flow'!I17-I26))</f>
        <v>0</v>
      </c>
      <c r="J39" s="16" t="n">
        <f aca="false">Assumptions!$N$58*MIN(J30+J37+J35-J36-J38,MAX(0,'Cash Flow'!J17-J26))</f>
        <v>0</v>
      </c>
      <c r="K39" s="16" t="n">
        <f aca="false">Assumptions!$N$58*MIN(K30+K37+K35-K36-K38,MAX(0,'Cash Flow'!K17-K26))</f>
        <v>0</v>
      </c>
    </row>
    <row r="40" customFormat="false" ht="15" hidden="false" customHeight="false" outlineLevel="0" collapsed="false">
      <c r="A40" s="3" t="s">
        <v>338</v>
      </c>
      <c r="G40" s="16" t="n">
        <f aca="false">G31*(1-G15)*(G30-G36+G35-G38)</f>
        <v>0</v>
      </c>
      <c r="H40" s="16" t="n">
        <f aca="false">H31*(1-H15)*(H30-H36+H35-H38)</f>
        <v>0</v>
      </c>
      <c r="I40" s="16" t="n">
        <f aca="false">I31*(1-I15)*(I30-I36+I35-I38)</f>
        <v>0</v>
      </c>
      <c r="J40" s="16" t="n">
        <f aca="false">J31*(1-J15)*(J30-J36+J35-J38)</f>
        <v>0</v>
      </c>
      <c r="K40" s="16" t="n">
        <f aca="false">K31*(1-K15)*(K30-K36+K35-K38)</f>
        <v>0</v>
      </c>
    </row>
    <row r="41" customFormat="false" ht="15" hidden="false" customHeight="false" outlineLevel="0" collapsed="false">
      <c r="A41" s="2" t="s">
        <v>339</v>
      </c>
      <c r="F41" s="28" t="n">
        <f aca="false">Assumptions!$C$58</f>
        <v>90</v>
      </c>
      <c r="G41" s="17" t="n">
        <f aca="false">G30+G37+G35-G36-G38-G39</f>
        <v>90</v>
      </c>
      <c r="H41" s="17" t="n">
        <f aca="false">H30+H37+H35-H36-H38-H39</f>
        <v>90</v>
      </c>
      <c r="I41" s="17" t="n">
        <f aca="false">I30+I37+I35-I36-I38-I39</f>
        <v>90</v>
      </c>
      <c r="J41" s="17" t="n">
        <f aca="false">J30+J37+J35-J36-J38-J39</f>
        <v>90</v>
      </c>
      <c r="K41" s="17" t="n">
        <f aca="false">K30+K37+K35-K36-K38-K39</f>
        <v>90</v>
      </c>
    </row>
    <row r="42" customFormat="false" ht="15" hidden="false" customHeight="false" outlineLevel="0" collapsed="false">
      <c r="A42" s="24" t="s">
        <v>341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customFormat="false" ht="15" hidden="false" customHeight="false" outlineLevel="0" collapsed="false">
      <c r="A43" s="3" t="s">
        <v>329</v>
      </c>
      <c r="G43" s="16" t="n">
        <f aca="false">F54</f>
        <v>57.324</v>
      </c>
      <c r="H43" s="16" t="n">
        <f aca="false">G54</f>
        <v>57.324</v>
      </c>
      <c r="I43" s="16" t="n">
        <f aca="false">H54</f>
        <v>57.324</v>
      </c>
      <c r="J43" s="16" t="n">
        <f aca="false">I54</f>
        <v>57.324</v>
      </c>
      <c r="K43" s="16" t="n">
        <f aca="false">J54</f>
        <v>57.324</v>
      </c>
    </row>
    <row r="44" customFormat="false" ht="15" hidden="false" customHeight="false" outlineLevel="0" collapsed="false">
      <c r="A44" s="3" t="s">
        <v>330</v>
      </c>
      <c r="G44" s="21" t="n">
        <f aca="false">IF('Operating Model'!G7=Assumptions!$K$59,1,0)</f>
        <v>0</v>
      </c>
      <c r="H44" s="21" t="n">
        <f aca="false">IF('Operating Model'!H7=Assumptions!$K$59,1,0)</f>
        <v>0</v>
      </c>
      <c r="I44" s="21" t="n">
        <f aca="false">IF('Operating Model'!I7=Assumptions!$K$59,1,0)</f>
        <v>0</v>
      </c>
      <c r="J44" s="21" t="n">
        <f aca="false">IF('Operating Model'!J7=Assumptions!$K$59,1,0)</f>
        <v>0</v>
      </c>
      <c r="K44" s="21" t="n">
        <f aca="false">IF('Operating Model'!K7=Assumptions!$K$59,1,0)</f>
        <v>0</v>
      </c>
    </row>
    <row r="46" customFormat="false" ht="15" hidden="false" customHeight="false" outlineLevel="0" collapsed="false">
      <c r="A46" s="3" t="s">
        <v>331</v>
      </c>
      <c r="G46" s="31" t="n">
        <f aca="false">IF(Assumptions!$I$59=1,MAX(G7,Assumptions!$G$59)+Assumptions!$F$59+$C$8,Assumptions!$E$59)</f>
        <v>0.0731</v>
      </c>
      <c r="H46" s="31" t="n">
        <f aca="false">IF(Recovery!G65=1,$C$9,IF(Assumptions!$I$59=1,MAX(H7,Assumptions!$G$59)+Assumptions!$F$59+$C$8,Assumptions!$E$59))</f>
        <v>0.0731</v>
      </c>
      <c r="I46" s="31" t="n">
        <f aca="false">IF(Recovery!H65=1,$C$9,IF(Assumptions!$I$59=1,MAX(I7,Assumptions!$G$59)+Assumptions!$F$59+$C$8,Assumptions!$E$59))</f>
        <v>0.0731</v>
      </c>
      <c r="J46" s="31" t="n">
        <f aca="false">IF(Recovery!I65=1,$C$9,IF(Assumptions!$I$59=1,MAX(J7,Assumptions!$G$59)+Assumptions!$F$59+$C$8,Assumptions!$E$59))</f>
        <v>0.0731</v>
      </c>
      <c r="K46" s="31" t="n">
        <f aca="false">IF(Recovery!J65=1,$C$9,IF(Assumptions!$I$59=1,MAX(K7,Assumptions!$G$59)+Assumptions!$F$59+$C$8,Assumptions!$E$59))</f>
        <v>0.0731</v>
      </c>
    </row>
    <row r="47" customFormat="false" ht="15" hidden="false" customHeight="false" outlineLevel="0" collapsed="false">
      <c r="A47" s="3" t="s">
        <v>332</v>
      </c>
      <c r="G47" s="16" t="n">
        <f aca="false">G43*G46</f>
        <v>4.1903844</v>
      </c>
      <c r="H47" s="16" t="n">
        <f aca="false">H43*H46</f>
        <v>4.1903844</v>
      </c>
      <c r="I47" s="16" t="n">
        <f aca="false">I43*I46</f>
        <v>4.1903844</v>
      </c>
      <c r="J47" s="16" t="n">
        <f aca="false">J43*J46</f>
        <v>4.1903844</v>
      </c>
      <c r="K47" s="16" t="n">
        <f aca="false">K43*K46</f>
        <v>4.1903844</v>
      </c>
    </row>
    <row r="48" customFormat="false" ht="15" hidden="false" customHeight="false" outlineLevel="0" collapsed="false">
      <c r="A48" s="3" t="s">
        <v>333</v>
      </c>
      <c r="G48" s="16" t="n">
        <f aca="false">G43*Assumptions!$H$59</f>
        <v>0</v>
      </c>
      <c r="H48" s="16" t="n">
        <f aca="false">H43*Assumptions!$H$59</f>
        <v>0</v>
      </c>
      <c r="I48" s="16" t="n">
        <f aca="false">I43*Assumptions!$H$59</f>
        <v>0</v>
      </c>
      <c r="J48" s="16" t="n">
        <f aca="false">J43*Assumptions!$H$59</f>
        <v>0</v>
      </c>
      <c r="K48" s="16" t="n">
        <f aca="false">K43*Assumptions!$H$59</f>
        <v>0</v>
      </c>
    </row>
    <row r="49" customFormat="false" ht="15" hidden="false" customHeight="false" outlineLevel="0" collapsed="false">
      <c r="A49" s="3" t="s">
        <v>334</v>
      </c>
      <c r="G49" s="16" t="n">
        <f aca="false">MIN(G43,Assumptions!$L$59*Assumptions!$C$59)</f>
        <v>0</v>
      </c>
      <c r="H49" s="16" t="n">
        <f aca="false">MIN(H43,Assumptions!$L$59*Assumptions!$C$59)</f>
        <v>0</v>
      </c>
      <c r="I49" s="16" t="n">
        <f aca="false">MIN(I43,Assumptions!$L$59*Assumptions!$C$59)</f>
        <v>0</v>
      </c>
      <c r="J49" s="16" t="n">
        <f aca="false">MIN(J43,Assumptions!$L$59*Assumptions!$C$59)</f>
        <v>0</v>
      </c>
      <c r="K49" s="16" t="n">
        <f aca="false">MIN(K43,Assumptions!$L$59*Assumptions!$C$59)</f>
        <v>0</v>
      </c>
    </row>
    <row r="50" customFormat="false" ht="15" hidden="false" customHeight="false" outlineLevel="0" collapsed="false">
      <c r="A50" s="3" t="s">
        <v>335</v>
      </c>
      <c r="G50" s="16" t="n">
        <f aca="false">IF(AND(Assumptions!$P$59=1,'Operating Model'!G7&lt;Assumptions!$K$59),MIN(MAX(0,-'Cash Flow'!G11),MAX(0,Assumptions!$D$59-G43)),0)</f>
        <v>0</v>
      </c>
      <c r="H50" s="16" t="n">
        <f aca="false">IF(AND(Assumptions!$P$59=1,OR('Operating Model'!H7&lt;Assumptions!$K$59,Recovery!G65=1)),MIN(MAX(0,-'Cash Flow'!H11),MAX(0,Assumptions!$D$59-H43)),0)</f>
        <v>0</v>
      </c>
      <c r="I50" s="16" t="n">
        <f aca="false">IF(AND(Assumptions!$P$59=1,OR('Operating Model'!I7&lt;Assumptions!$K$59,Recovery!H65=1)),MIN(MAX(0,-'Cash Flow'!I11),MAX(0,Assumptions!$D$59-I43)),0)</f>
        <v>0</v>
      </c>
      <c r="J50" s="16" t="n">
        <f aca="false">IF(AND(Assumptions!$P$59=1,OR('Operating Model'!J7&lt;Assumptions!$K$59,Recovery!I65=1)),MIN(MAX(0,-'Cash Flow'!J11),MAX(0,Assumptions!$D$59-J43)),0)</f>
        <v>0</v>
      </c>
      <c r="K50" s="16" t="n">
        <f aca="false">IF(AND(Assumptions!$P$59=1,OR('Operating Model'!K7&lt;Assumptions!$K$59,Recovery!J65=1)),MIN(MAX(0,-'Cash Flow'!K11),MAX(0,Assumptions!$D$59-K43)),0)</f>
        <v>0</v>
      </c>
    </row>
    <row r="51" customFormat="false" ht="15" hidden="false" customHeight="false" outlineLevel="0" collapsed="false">
      <c r="A51" s="3" t="s">
        <v>336</v>
      </c>
      <c r="G51" s="16" t="n">
        <f aca="false">G44*MIN(G43-G49+G48,MAX(0,'Cash Flow'!G13-Assumptions!$C$12*G15-G25-G38))</f>
        <v>0</v>
      </c>
      <c r="H51" s="16" t="n">
        <f aca="false">H44*MIN(H43-H49+H48,MAX(0,'Cash Flow'!H13-Assumptions!$C$12*H15-H25-H38))</f>
        <v>0</v>
      </c>
      <c r="I51" s="16" t="n">
        <f aca="false">I44*MIN(I43-I49+I48,MAX(0,'Cash Flow'!I13-Assumptions!$C$12*I15-I25-I38))</f>
        <v>0</v>
      </c>
      <c r="J51" s="16" t="n">
        <f aca="false">J44*MIN(J43-J49+J48,MAX(0,'Cash Flow'!J13-Assumptions!$C$12*J15-J25-J38))</f>
        <v>0</v>
      </c>
      <c r="K51" s="16" t="n">
        <f aca="false">K44*MIN(K43-K49+K48,MAX(0,'Cash Flow'!K13-Assumptions!$C$12*K15-K25-K38))</f>
        <v>0</v>
      </c>
    </row>
    <row r="52" customFormat="false" ht="15" hidden="false" customHeight="false" outlineLevel="0" collapsed="false">
      <c r="A52" s="3" t="s">
        <v>337</v>
      </c>
      <c r="G52" s="16" t="n">
        <f aca="false">Assumptions!$N$59*MIN(G43+G50+G48-G49-G51,MAX(0,'Cash Flow'!G17-G26-G39))</f>
        <v>0</v>
      </c>
      <c r="H52" s="16" t="n">
        <f aca="false">Assumptions!$N$59*MIN(H43+H50+H48-H49-H51,MAX(0,'Cash Flow'!H17-H26-H39))</f>
        <v>0</v>
      </c>
      <c r="I52" s="16" t="n">
        <f aca="false">Assumptions!$N$59*MIN(I43+I50+I48-I49-I51,MAX(0,'Cash Flow'!I17-I26-I39))</f>
        <v>0</v>
      </c>
      <c r="J52" s="16" t="n">
        <f aca="false">Assumptions!$N$59*MIN(J43+J50+J48-J49-J51,MAX(0,'Cash Flow'!J17-J26-J39))</f>
        <v>0</v>
      </c>
      <c r="K52" s="16" t="n">
        <f aca="false">Assumptions!$N$59*MIN(K43+K50+K48-K49-K51,MAX(0,'Cash Flow'!K17-K26-K39))</f>
        <v>0</v>
      </c>
    </row>
    <row r="53" customFormat="false" ht="15" hidden="false" customHeight="false" outlineLevel="0" collapsed="false">
      <c r="A53" s="3" t="s">
        <v>338</v>
      </c>
      <c r="G53" s="16" t="n">
        <f aca="false">G44*(1-G15)*(G43-G49+G48-G51)</f>
        <v>0</v>
      </c>
      <c r="H53" s="16" t="n">
        <f aca="false">H44*(1-H15)*(H43-H49+H48-H51)</f>
        <v>0</v>
      </c>
      <c r="I53" s="16" t="n">
        <f aca="false">I44*(1-I15)*(I43-I49+I48-I51)</f>
        <v>0</v>
      </c>
      <c r="J53" s="16" t="n">
        <f aca="false">J44*(1-J15)*(J43-J49+J48-J51)</f>
        <v>0</v>
      </c>
      <c r="K53" s="16" t="n">
        <f aca="false">K44*(1-K15)*(K43-K49+K48-K51)</f>
        <v>0</v>
      </c>
    </row>
    <row r="54" customFormat="false" ht="15" hidden="false" customHeight="false" outlineLevel="0" collapsed="false">
      <c r="A54" s="2" t="s">
        <v>339</v>
      </c>
      <c r="F54" s="28" t="n">
        <f aca="false">Assumptions!$C$59</f>
        <v>57.324</v>
      </c>
      <c r="G54" s="17" t="n">
        <f aca="false">G43+G50+G48-G49-G51-G52</f>
        <v>57.324</v>
      </c>
      <c r="H54" s="17" t="n">
        <f aca="false">H43+H50+H48-H49-H51-H52</f>
        <v>57.324</v>
      </c>
      <c r="I54" s="17" t="n">
        <f aca="false">I43+I50+I48-I49-I51-I52</f>
        <v>57.324</v>
      </c>
      <c r="J54" s="17" t="n">
        <f aca="false">J43+J50+J48-J49-J51-J52</f>
        <v>57.324</v>
      </c>
      <c r="K54" s="17" t="n">
        <f aca="false">K43+K50+K48-K49-K51-K52</f>
        <v>57.324</v>
      </c>
    </row>
    <row r="55" customFormat="false" ht="15" hidden="false" customHeight="false" outlineLevel="0" collapsed="false">
      <c r="A55" s="24" t="s">
        <v>342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customFormat="false" ht="15" hidden="false" customHeight="false" outlineLevel="0" collapsed="false">
      <c r="A56" s="3" t="s">
        <v>329</v>
      </c>
      <c r="G56" s="16" t="n">
        <f aca="false">F67</f>
        <v>0</v>
      </c>
      <c r="H56" s="16" t="n">
        <f aca="false">G67</f>
        <v>0</v>
      </c>
      <c r="I56" s="16" t="n">
        <f aca="false">H67</f>
        <v>0</v>
      </c>
      <c r="J56" s="16" t="n">
        <f aca="false">I67</f>
        <v>0</v>
      </c>
      <c r="K56" s="16" t="n">
        <f aca="false">J67</f>
        <v>0</v>
      </c>
    </row>
    <row r="57" customFormat="false" ht="15" hidden="false" customHeight="false" outlineLevel="0" collapsed="false">
      <c r="A57" s="3" t="s">
        <v>330</v>
      </c>
      <c r="G57" s="21" t="n">
        <f aca="false">IF('Operating Model'!G7=Assumptions!$K$60,1,0)</f>
        <v>1</v>
      </c>
      <c r="H57" s="21" t="n">
        <f aca="false">IF('Operating Model'!H7=Assumptions!$K$60,1,0)</f>
        <v>0</v>
      </c>
      <c r="I57" s="21" t="n">
        <f aca="false">IF('Operating Model'!I7=Assumptions!$K$60,1,0)</f>
        <v>0</v>
      </c>
      <c r="J57" s="21" t="n">
        <f aca="false">IF('Operating Model'!J7=Assumptions!$K$60,1,0)</f>
        <v>0</v>
      </c>
      <c r="K57" s="21" t="n">
        <f aca="false">IF('Operating Model'!K7=Assumptions!$K$60,1,0)</f>
        <v>0</v>
      </c>
    </row>
    <row r="59" customFormat="false" ht="15" hidden="false" customHeight="false" outlineLevel="0" collapsed="false">
      <c r="A59" s="3" t="s">
        <v>331</v>
      </c>
      <c r="G59" s="31" t="n">
        <f aca="false">IF(Assumptions!$I$60=1,MAX(G7,Assumptions!$G$60)+Assumptions!$F$60+$C$8,Assumptions!$E$60)</f>
        <v>0.069</v>
      </c>
      <c r="H59" s="31" t="n">
        <f aca="false">IF(Recovery!G66=1,$C$9,IF(Assumptions!$I$60=1,MAX(H7,Assumptions!$G$60)+Assumptions!$F$60+$C$8,Assumptions!$E$60))</f>
        <v>0.0675</v>
      </c>
      <c r="I59" s="31" t="n">
        <f aca="false">IF(Recovery!H66=1,$C$9,IF(Assumptions!$I$60=1,MAX(I7,Assumptions!$G$60)+Assumptions!$F$60+$C$8,Assumptions!$E$60))</f>
        <v>0.065</v>
      </c>
      <c r="J59" s="31" t="n">
        <f aca="false">IF(Recovery!I66=1,$C$9,IF(Assumptions!$I$60=1,MAX(J7,Assumptions!$G$60)+Assumptions!$F$60+$C$8,Assumptions!$E$60))</f>
        <v>0.065</v>
      </c>
      <c r="K59" s="31" t="n">
        <f aca="false">IF(Recovery!J66=1,$C$9,IF(Assumptions!$I$60=1,MAX(K7,Assumptions!$G$60)+Assumptions!$F$60+$C$8,Assumptions!$E$60))</f>
        <v>0.065</v>
      </c>
    </row>
    <row r="60" customFormat="false" ht="15" hidden="false" customHeight="false" outlineLevel="0" collapsed="false">
      <c r="A60" s="3" t="s">
        <v>332</v>
      </c>
      <c r="G60" s="16" t="n">
        <f aca="false">G56*G59</f>
        <v>0</v>
      </c>
      <c r="H60" s="16" t="n">
        <f aca="false">H56*H59</f>
        <v>0</v>
      </c>
      <c r="I60" s="16" t="n">
        <f aca="false">I56*I59</f>
        <v>0</v>
      </c>
      <c r="J60" s="16" t="n">
        <f aca="false">J56*J59</f>
        <v>0</v>
      </c>
      <c r="K60" s="16" t="n">
        <f aca="false">K56*K59</f>
        <v>0</v>
      </c>
    </row>
    <row r="61" customFormat="false" ht="15" hidden="false" customHeight="false" outlineLevel="0" collapsed="false">
      <c r="A61" s="3" t="s">
        <v>333</v>
      </c>
      <c r="G61" s="16" t="n">
        <f aca="false">G56*Assumptions!$H$60</f>
        <v>0</v>
      </c>
      <c r="H61" s="16" t="n">
        <f aca="false">H56*Assumptions!$H$60</f>
        <v>0</v>
      </c>
      <c r="I61" s="16" t="n">
        <f aca="false">I56*Assumptions!$H$60</f>
        <v>0</v>
      </c>
      <c r="J61" s="16" t="n">
        <f aca="false">J56*Assumptions!$H$60</f>
        <v>0</v>
      </c>
      <c r="K61" s="16" t="n">
        <f aca="false">K56*Assumptions!$H$60</f>
        <v>0</v>
      </c>
    </row>
    <row r="62" customFormat="false" ht="15" hidden="false" customHeight="false" outlineLevel="0" collapsed="false">
      <c r="A62" s="3" t="s">
        <v>334</v>
      </c>
      <c r="G62" s="16" t="n">
        <f aca="false">MIN(G56,Assumptions!$L$60*Assumptions!$C$60)</f>
        <v>0</v>
      </c>
      <c r="H62" s="16" t="n">
        <f aca="false">MIN(H56,Assumptions!$L$60*Assumptions!$C$60)</f>
        <v>0</v>
      </c>
      <c r="I62" s="16" t="n">
        <f aca="false">MIN(I56,Assumptions!$L$60*Assumptions!$C$60)</f>
        <v>0</v>
      </c>
      <c r="J62" s="16" t="n">
        <f aca="false">MIN(J56,Assumptions!$L$60*Assumptions!$C$60)</f>
        <v>0</v>
      </c>
      <c r="K62" s="16" t="n">
        <f aca="false">MIN(K56,Assumptions!$L$60*Assumptions!$C$60)</f>
        <v>0</v>
      </c>
    </row>
    <row r="63" customFormat="false" ht="15" hidden="false" customHeight="false" outlineLevel="0" collapsed="false">
      <c r="A63" s="3" t="s">
        <v>335</v>
      </c>
      <c r="G63" s="16" t="n">
        <f aca="false">IF(AND(Assumptions!$P$60=1,'Operating Model'!G7&lt;Assumptions!$K$60),MIN(MAX(0,-'Cash Flow'!G11),MAX(0,Assumptions!$D$60-G56)),0)</f>
        <v>0</v>
      </c>
      <c r="H63" s="16" t="n">
        <f aca="false">IF(AND(Assumptions!$P$60=1,OR('Operating Model'!H7&lt;Assumptions!$K$60,Recovery!G66=1)),MIN(MAX(0,-'Cash Flow'!H11),MAX(0,Assumptions!$D$60-H56)),0)</f>
        <v>0</v>
      </c>
      <c r="I63" s="16" t="n">
        <f aca="false">IF(AND(Assumptions!$P$60=1,OR('Operating Model'!I7&lt;Assumptions!$K$60,Recovery!H66=1)),MIN(MAX(0,-'Cash Flow'!I11),MAX(0,Assumptions!$D$60-I56)),0)</f>
        <v>0</v>
      </c>
      <c r="J63" s="16" t="n">
        <f aca="false">IF(AND(Assumptions!$P$60=1,OR('Operating Model'!J7&lt;Assumptions!$K$60,Recovery!I66=1)),MIN(MAX(0,-'Cash Flow'!J11),MAX(0,Assumptions!$D$60-J56)),0)</f>
        <v>0</v>
      </c>
      <c r="K63" s="16" t="n">
        <f aca="false">IF(AND(Assumptions!$P$60=1,OR('Operating Model'!K7&lt;Assumptions!$K$60,Recovery!J66=1)),MIN(MAX(0,-'Cash Flow'!K11),MAX(0,Assumptions!$D$60-K56)),0)</f>
        <v>0</v>
      </c>
    </row>
    <row r="64" customFormat="false" ht="15" hidden="false" customHeight="false" outlineLevel="0" collapsed="false">
      <c r="A64" s="3" t="s">
        <v>336</v>
      </c>
      <c r="G64" s="16" t="n">
        <f aca="false">G57*MIN(G56-G62+G61,MAX(0,'Cash Flow'!G13-Assumptions!$C$12*G15-G25-G38-G51))</f>
        <v>0</v>
      </c>
      <c r="H64" s="16" t="n">
        <f aca="false">H57*MIN(H56-H62+H61,MAX(0,'Cash Flow'!H13-Assumptions!$C$12*H15-H25-H38-H51))</f>
        <v>0</v>
      </c>
      <c r="I64" s="16" t="n">
        <f aca="false">I57*MIN(I56-I62+I61,MAX(0,'Cash Flow'!I13-Assumptions!$C$12*I15-I25-I38-I51))</f>
        <v>0</v>
      </c>
      <c r="J64" s="16" t="n">
        <f aca="false">J57*MIN(J56-J62+J61,MAX(0,'Cash Flow'!J13-Assumptions!$C$12*J15-J25-J38-J51))</f>
        <v>0</v>
      </c>
      <c r="K64" s="16" t="n">
        <f aca="false">K57*MIN(K56-K62+K61,MAX(0,'Cash Flow'!K13-Assumptions!$C$12*K15-K25-K38-K51))</f>
        <v>0</v>
      </c>
    </row>
    <row r="65" customFormat="false" ht="15" hidden="false" customHeight="false" outlineLevel="0" collapsed="false">
      <c r="A65" s="3" t="s">
        <v>337</v>
      </c>
      <c r="G65" s="16" t="n">
        <f aca="false">Assumptions!$N$60*MIN(G56+G63+G61-G62-G64,MAX(0,'Cash Flow'!G17-G26-G39-G52))</f>
        <v>0</v>
      </c>
      <c r="H65" s="16" t="n">
        <f aca="false">Assumptions!$N$60*MIN(H56+H63+H61-H62-H64,MAX(0,'Cash Flow'!H17-H26-H39-H52))</f>
        <v>0</v>
      </c>
      <c r="I65" s="16" t="n">
        <f aca="false">Assumptions!$N$60*MIN(I56+I63+I61-I62-I64,MAX(0,'Cash Flow'!I17-I26-I39-I52))</f>
        <v>0</v>
      </c>
      <c r="J65" s="16" t="n">
        <f aca="false">Assumptions!$N$60*MIN(J56+J63+J61-J62-J64,MAX(0,'Cash Flow'!J17-J26-J39-J52))</f>
        <v>0</v>
      </c>
      <c r="K65" s="16" t="n">
        <f aca="false">Assumptions!$N$60*MIN(K56+K63+K61-K62-K64,MAX(0,'Cash Flow'!K17-K26-K39-K52))</f>
        <v>0</v>
      </c>
    </row>
    <row r="66" customFormat="false" ht="15" hidden="false" customHeight="false" outlineLevel="0" collapsed="false">
      <c r="A66" s="3" t="s">
        <v>338</v>
      </c>
      <c r="G66" s="16" t="n">
        <f aca="false">G57*(1-G15)*(G56-G62+G61-G64)</f>
        <v>0</v>
      </c>
      <c r="H66" s="16" t="n">
        <f aca="false">H57*(1-H15)*(H56-H62+H61-H64)</f>
        <v>0</v>
      </c>
      <c r="I66" s="16" t="n">
        <f aca="false">I57*(1-I15)*(I56-I62+I61-I64)</f>
        <v>0</v>
      </c>
      <c r="J66" s="16" t="n">
        <f aca="false">J57*(1-J15)*(J56-J62+J61-J64)</f>
        <v>0</v>
      </c>
      <c r="K66" s="16" t="n">
        <f aca="false">K57*(1-K15)*(K56-K62+K61-K64)</f>
        <v>0</v>
      </c>
    </row>
    <row r="67" customFormat="false" ht="15" hidden="false" customHeight="false" outlineLevel="0" collapsed="false">
      <c r="A67" s="2" t="s">
        <v>339</v>
      </c>
      <c r="F67" s="28" t="n">
        <f aca="false">Assumptions!$C$60</f>
        <v>0</v>
      </c>
      <c r="G67" s="17" t="n">
        <f aca="false">G56+G63+G61-G62-G64-G65</f>
        <v>0</v>
      </c>
      <c r="H67" s="17" t="n">
        <f aca="false">H56+H63+H61-H62-H64-H65</f>
        <v>0</v>
      </c>
      <c r="I67" s="17" t="n">
        <f aca="false">I56+I63+I61-I62-I64-I65</f>
        <v>0</v>
      </c>
      <c r="J67" s="17" t="n">
        <f aca="false">J56+J63+J61-J62-J64-J65</f>
        <v>0</v>
      </c>
      <c r="K67" s="17" t="n">
        <f aca="false">K56+K63+K61-K62-K64-K65</f>
        <v>0</v>
      </c>
    </row>
    <row r="68" customFormat="false" ht="15" hidden="false" customHeight="false" outlineLevel="0" collapsed="false">
      <c r="A68" s="24" t="s">
        <v>343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customFormat="false" ht="15" hidden="false" customHeight="false" outlineLevel="0" collapsed="false">
      <c r="A69" s="3" t="s">
        <v>329</v>
      </c>
      <c r="G69" s="16" t="n">
        <f aca="false">F80</f>
        <v>450</v>
      </c>
      <c r="H69" s="16" t="n">
        <f aca="false">G80</f>
        <v>450</v>
      </c>
      <c r="I69" s="16" t="n">
        <f aca="false">H80</f>
        <v>401.446357881</v>
      </c>
      <c r="J69" s="16" t="n">
        <f aca="false">I80</f>
        <v>401.446357881</v>
      </c>
      <c r="K69" s="16" t="n">
        <f aca="false">J80</f>
        <v>401.446357881</v>
      </c>
    </row>
    <row r="70" customFormat="false" ht="15" hidden="false" customHeight="false" outlineLevel="0" collapsed="false">
      <c r="A70" s="3" t="s">
        <v>330</v>
      </c>
      <c r="G70" s="21" t="n">
        <f aca="false">IF('Operating Model'!G7=Assumptions!$K$61,1,0)</f>
        <v>0</v>
      </c>
      <c r="H70" s="21" t="n">
        <f aca="false">IF('Operating Model'!H7=Assumptions!$K$61,1,0)</f>
        <v>1</v>
      </c>
      <c r="I70" s="21" t="n">
        <f aca="false">IF('Operating Model'!I7=Assumptions!$K$61,1,0)</f>
        <v>0</v>
      </c>
      <c r="J70" s="21" t="n">
        <f aca="false">IF('Operating Model'!J7=Assumptions!$K$61,1,0)</f>
        <v>0</v>
      </c>
      <c r="K70" s="21" t="n">
        <f aca="false">IF('Operating Model'!K7=Assumptions!$K$61,1,0)</f>
        <v>0</v>
      </c>
    </row>
    <row r="72" customFormat="false" ht="15" hidden="false" customHeight="false" outlineLevel="0" collapsed="false">
      <c r="A72" s="3" t="s">
        <v>331</v>
      </c>
      <c r="G72" s="31" t="n">
        <f aca="false">IF(Assumptions!$I$61=1,MAX(G7,Assumptions!$G$61)+Assumptions!$F$61+$C$8,Assumptions!$E$61)</f>
        <v>0.0395</v>
      </c>
      <c r="H72" s="31" t="n">
        <f aca="false">IF(Recovery!G67=1,$C$9,IF(Assumptions!$I$61=1,MAX(H7,Assumptions!$G$61)+Assumptions!$F$61+$C$8,Assumptions!$E$61))</f>
        <v>0.0395</v>
      </c>
      <c r="I72" s="31" t="n">
        <f aca="false">IF(Recovery!H67=1,$C$9,IF(Assumptions!$I$61=1,MAX(I7,Assumptions!$G$61)+Assumptions!$F$61+$C$8,Assumptions!$E$61))</f>
        <v>0.0395</v>
      </c>
      <c r="J72" s="31" t="n">
        <f aca="false">IF(Recovery!I67=1,$C$9,IF(Assumptions!$I$61=1,MAX(J7,Assumptions!$G$61)+Assumptions!$F$61+$C$8,Assumptions!$E$61))</f>
        <v>0.0395</v>
      </c>
      <c r="K72" s="31" t="n">
        <f aca="false">IF(Recovery!J67=1,$C$9,IF(Assumptions!$I$61=1,MAX(K7,Assumptions!$G$61)+Assumptions!$F$61+$C$8,Assumptions!$E$61))</f>
        <v>0.0395</v>
      </c>
    </row>
    <row r="73" customFormat="false" ht="15" hidden="false" customHeight="false" outlineLevel="0" collapsed="false">
      <c r="A73" s="3" t="s">
        <v>332</v>
      </c>
      <c r="G73" s="16" t="n">
        <f aca="false">G69*G72</f>
        <v>17.775</v>
      </c>
      <c r="H73" s="16" t="n">
        <f aca="false">H69*H72</f>
        <v>17.775</v>
      </c>
      <c r="I73" s="16" t="n">
        <f aca="false">I69*I72</f>
        <v>15.8571311362995</v>
      </c>
      <c r="J73" s="16" t="n">
        <f aca="false">J69*J72</f>
        <v>15.8571311362995</v>
      </c>
      <c r="K73" s="16" t="n">
        <f aca="false">K69*K72</f>
        <v>15.8571311362995</v>
      </c>
    </row>
    <row r="74" customFormat="false" ht="15" hidden="false" customHeight="false" outlineLevel="0" collapsed="false">
      <c r="A74" s="3" t="s">
        <v>333</v>
      </c>
      <c r="G74" s="16" t="n">
        <f aca="false">G69*Assumptions!$H$61</f>
        <v>0</v>
      </c>
      <c r="H74" s="16" t="n">
        <f aca="false">H69*Assumptions!$H$61</f>
        <v>0</v>
      </c>
      <c r="I74" s="16" t="n">
        <f aca="false">I69*Assumptions!$H$61</f>
        <v>0</v>
      </c>
      <c r="J74" s="16" t="n">
        <f aca="false">J69*Assumptions!$H$61</f>
        <v>0</v>
      </c>
      <c r="K74" s="16" t="n">
        <f aca="false">K69*Assumptions!$H$61</f>
        <v>0</v>
      </c>
    </row>
    <row r="75" customFormat="false" ht="15" hidden="false" customHeight="false" outlineLevel="0" collapsed="false">
      <c r="A75" s="3" t="s">
        <v>334</v>
      </c>
      <c r="G75" s="16" t="n">
        <f aca="false">MIN(G69,Assumptions!$L$61*Assumptions!$C$61)</f>
        <v>0</v>
      </c>
      <c r="H75" s="16" t="n">
        <f aca="false">MIN(H69,Assumptions!$L$61*Assumptions!$C$61)</f>
        <v>0</v>
      </c>
      <c r="I75" s="16" t="n">
        <f aca="false">MIN(I69,Assumptions!$L$61*Assumptions!$C$61)</f>
        <v>0</v>
      </c>
      <c r="J75" s="16" t="n">
        <f aca="false">MIN(J69,Assumptions!$L$61*Assumptions!$C$61)</f>
        <v>0</v>
      </c>
      <c r="K75" s="16" t="n">
        <f aca="false">MIN(K69,Assumptions!$L$61*Assumptions!$C$61)</f>
        <v>0</v>
      </c>
    </row>
    <row r="76" customFormat="false" ht="15" hidden="false" customHeight="false" outlineLevel="0" collapsed="false">
      <c r="A76" s="3" t="s">
        <v>335</v>
      </c>
      <c r="G76" s="16" t="n">
        <f aca="false">IF(AND(Assumptions!$P$61=1,'Operating Model'!G7&lt;Assumptions!$K$61),MIN(MAX(0,-'Cash Flow'!G11),MAX(0,Assumptions!$D$61-G69)),0)</f>
        <v>0</v>
      </c>
      <c r="H76" s="16" t="n">
        <f aca="false">IF(AND(Assumptions!$P$61=1,OR('Operating Model'!H7&lt;Assumptions!$K$61,Recovery!G67=1)),MIN(MAX(0,-'Cash Flow'!H11),MAX(0,Assumptions!$D$61-H69)),0)</f>
        <v>0</v>
      </c>
      <c r="I76" s="16" t="n">
        <f aca="false">IF(AND(Assumptions!$P$61=1,OR('Operating Model'!I7&lt;Assumptions!$K$61,Recovery!H67=1)),MIN(MAX(0,-'Cash Flow'!I11),MAX(0,Assumptions!$D$61-I69)),0)</f>
        <v>0</v>
      </c>
      <c r="J76" s="16" t="n">
        <f aca="false">IF(AND(Assumptions!$P$61=1,OR('Operating Model'!J7&lt;Assumptions!$K$61,Recovery!I67=1)),MIN(MAX(0,-'Cash Flow'!J11),MAX(0,Assumptions!$D$61-J69)),0)</f>
        <v>0</v>
      </c>
      <c r="K76" s="16" t="n">
        <f aca="false">IF(AND(Assumptions!$P$61=1,OR('Operating Model'!K7&lt;Assumptions!$K$61,Recovery!J67=1)),MIN(MAX(0,-'Cash Flow'!K11),MAX(0,Assumptions!$D$61-K69)),0)</f>
        <v>0</v>
      </c>
    </row>
    <row r="77" customFormat="false" ht="15" hidden="false" customHeight="false" outlineLevel="0" collapsed="false">
      <c r="A77" s="3" t="s">
        <v>336</v>
      </c>
      <c r="G77" s="16" t="n">
        <f aca="false">G70*MIN(G69-G75+G74,MAX(0,'Cash Flow'!G13-Assumptions!$C$12*G15-G25-G38-G51-G64))</f>
        <v>0</v>
      </c>
      <c r="H77" s="16" t="n">
        <f aca="false">H70*MIN(H69-H75+H74,MAX(0,'Cash Flow'!H13-Assumptions!$C$12*H15-H25-H38-H51-H64))</f>
        <v>48.553642119</v>
      </c>
      <c r="I77" s="16" t="n">
        <f aca="false">I70*MIN(I69-I75+I74,MAX(0,'Cash Flow'!I13-Assumptions!$C$12*I15-I25-I38-I51-I64))</f>
        <v>0</v>
      </c>
      <c r="J77" s="16" t="n">
        <f aca="false">J70*MIN(J69-J75+J74,MAX(0,'Cash Flow'!J13-Assumptions!$C$12*J15-J25-J38-J51-J64))</f>
        <v>0</v>
      </c>
      <c r="K77" s="16" t="n">
        <f aca="false">K70*MIN(K69-K75+K74,MAX(0,'Cash Flow'!K13-Assumptions!$C$12*K15-K25-K38-K51-K64))</f>
        <v>0</v>
      </c>
    </row>
    <row r="78" customFormat="false" ht="15" hidden="false" customHeight="false" outlineLevel="0" collapsed="false">
      <c r="A78" s="3" t="s">
        <v>337</v>
      </c>
      <c r="G78" s="16" t="n">
        <f aca="false">Assumptions!$N$61*MIN(G69+G76+G74-G75-G77,MAX(0,'Cash Flow'!G17-G26-G39-G52-G65))</f>
        <v>0</v>
      </c>
      <c r="H78" s="16" t="n">
        <f aca="false">Assumptions!$N$61*MIN(H69+H76+H74-H75-H77,MAX(0,'Cash Flow'!H17-H26-H39-H52-H65))</f>
        <v>0</v>
      </c>
      <c r="I78" s="16" t="n">
        <f aca="false">Assumptions!$N$61*MIN(I69+I76+I74-I75-I77,MAX(0,'Cash Flow'!I17-I26-I39-I52-I65))</f>
        <v>0</v>
      </c>
      <c r="J78" s="16" t="n">
        <f aca="false">Assumptions!$N$61*MIN(J69+J76+J74-J75-J77,MAX(0,'Cash Flow'!J17-J26-J39-J52-J65))</f>
        <v>0</v>
      </c>
      <c r="K78" s="16" t="n">
        <f aca="false">Assumptions!$N$61*MIN(K69+K76+K74-K75-K77,MAX(0,'Cash Flow'!K17-K26-K39-K52-K65))</f>
        <v>0</v>
      </c>
    </row>
    <row r="79" customFormat="false" ht="15" hidden="false" customHeight="false" outlineLevel="0" collapsed="false">
      <c r="A79" s="3" t="s">
        <v>338</v>
      </c>
      <c r="G79" s="16" t="n">
        <f aca="false">G70*(1-G15)*(G69-G75+G74-G77)</f>
        <v>0</v>
      </c>
      <c r="H79" s="16" t="n">
        <f aca="false">H70*(1-H15)*(H69-H75+H74-H77)</f>
        <v>401.446357881</v>
      </c>
      <c r="I79" s="16" t="n">
        <f aca="false">I70*(1-I15)*(I69-I75+I74-I77)</f>
        <v>0</v>
      </c>
      <c r="J79" s="16" t="n">
        <f aca="false">J70*(1-J15)*(J69-J75+J74-J77)</f>
        <v>0</v>
      </c>
      <c r="K79" s="16" t="n">
        <f aca="false">K70*(1-K15)*(K69-K75+K74-K77)</f>
        <v>0</v>
      </c>
    </row>
    <row r="80" customFormat="false" ht="15" hidden="false" customHeight="false" outlineLevel="0" collapsed="false">
      <c r="A80" s="2" t="s">
        <v>339</v>
      </c>
      <c r="F80" s="28" t="n">
        <f aca="false">Assumptions!$C$61</f>
        <v>450</v>
      </c>
      <c r="G80" s="17" t="n">
        <f aca="false">G69+G76+G74-G75-G77-G78</f>
        <v>450</v>
      </c>
      <c r="H80" s="17" t="n">
        <f aca="false">H69+H76+H74-H75-H77-H78</f>
        <v>401.446357881</v>
      </c>
      <c r="I80" s="17" t="n">
        <f aca="false">I69+I76+I74-I75-I77-I78</f>
        <v>401.446357881</v>
      </c>
      <c r="J80" s="17" t="n">
        <f aca="false">J69+J76+J74-J75-J77-J78</f>
        <v>401.446357881</v>
      </c>
      <c r="K80" s="17" t="n">
        <f aca="false">K69+K76+K74-K75-K77-K78</f>
        <v>401.446357881</v>
      </c>
    </row>
    <row r="81" customFormat="false" ht="15" hidden="false" customHeight="false" outlineLevel="0" collapsed="false">
      <c r="A81" s="24" t="s">
        <v>344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customFormat="false" ht="15" hidden="false" customHeight="false" outlineLevel="0" collapsed="false">
      <c r="A82" s="3" t="s">
        <v>329</v>
      </c>
      <c r="G82" s="16" t="n">
        <f aca="false">F93</f>
        <v>350</v>
      </c>
      <c r="H82" s="16" t="n">
        <f aca="false">G93</f>
        <v>350</v>
      </c>
      <c r="I82" s="16" t="n">
        <f aca="false">H93</f>
        <v>350</v>
      </c>
      <c r="J82" s="16" t="n">
        <f aca="false">I93</f>
        <v>350</v>
      </c>
      <c r="K82" s="16" t="n">
        <f aca="false">J93</f>
        <v>350</v>
      </c>
    </row>
    <row r="83" customFormat="false" ht="15" hidden="false" customHeight="false" outlineLevel="0" collapsed="false">
      <c r="A83" s="3" t="s">
        <v>330</v>
      </c>
      <c r="G83" s="21" t="n">
        <f aca="false">IF('Operating Model'!G7=Assumptions!$K$62,1,0)</f>
        <v>0</v>
      </c>
      <c r="H83" s="21" t="n">
        <f aca="false">IF('Operating Model'!H7=Assumptions!$K$62,1,0)</f>
        <v>1</v>
      </c>
      <c r="I83" s="21" t="n">
        <f aca="false">IF('Operating Model'!I7=Assumptions!$K$62,1,0)</f>
        <v>0</v>
      </c>
      <c r="J83" s="21" t="n">
        <f aca="false">IF('Operating Model'!J7=Assumptions!$K$62,1,0)</f>
        <v>0</v>
      </c>
      <c r="K83" s="21" t="n">
        <f aca="false">IF('Operating Model'!K7=Assumptions!$K$62,1,0)</f>
        <v>0</v>
      </c>
    </row>
    <row r="85" customFormat="false" ht="15" hidden="false" customHeight="false" outlineLevel="0" collapsed="false">
      <c r="A85" s="3" t="s">
        <v>331</v>
      </c>
      <c r="G85" s="31" t="n">
        <f aca="false">IF(Assumptions!$I$62=1,MAX(G7,Assumptions!$G$62)+Assumptions!$F$62+$C$8,Assumptions!$E$62)</f>
        <v>0.083</v>
      </c>
      <c r="H85" s="31" t="n">
        <f aca="false">IF(Recovery!G68=1,$C$9,IF(Assumptions!$I$62=1,MAX(H7,Assumptions!$G$62)+Assumptions!$F$62+$C$8,Assumptions!$E$62))</f>
        <v>0.083</v>
      </c>
      <c r="I85" s="31" t="n">
        <f aca="false">IF(Recovery!H68=1,$C$9,IF(Assumptions!$I$62=1,MAX(I7,Assumptions!$G$62)+Assumptions!$F$62+$C$8,Assumptions!$E$62))</f>
        <v>0.083</v>
      </c>
      <c r="J85" s="31" t="n">
        <f aca="false">IF(Recovery!I68=1,$C$9,IF(Assumptions!$I$62=1,MAX(J7,Assumptions!$G$62)+Assumptions!$F$62+$C$8,Assumptions!$E$62))</f>
        <v>0.083</v>
      </c>
      <c r="K85" s="31" t="n">
        <f aca="false">IF(Recovery!J68=1,$C$9,IF(Assumptions!$I$62=1,MAX(K7,Assumptions!$G$62)+Assumptions!$F$62+$C$8,Assumptions!$E$62))</f>
        <v>0.083</v>
      </c>
    </row>
    <row r="86" customFormat="false" ht="15" hidden="false" customHeight="false" outlineLevel="0" collapsed="false">
      <c r="A86" s="3" t="s">
        <v>332</v>
      </c>
      <c r="G86" s="16" t="n">
        <f aca="false">G82*G85</f>
        <v>29.05</v>
      </c>
      <c r="H86" s="16" t="n">
        <f aca="false">H82*H85</f>
        <v>29.05</v>
      </c>
      <c r="I86" s="16" t="n">
        <f aca="false">I82*I85</f>
        <v>29.05</v>
      </c>
      <c r="J86" s="16" t="n">
        <f aca="false">J82*J85</f>
        <v>29.05</v>
      </c>
      <c r="K86" s="16" t="n">
        <f aca="false">K82*K85</f>
        <v>29.05</v>
      </c>
    </row>
    <row r="87" customFormat="false" ht="15" hidden="false" customHeight="false" outlineLevel="0" collapsed="false">
      <c r="A87" s="3" t="s">
        <v>333</v>
      </c>
      <c r="G87" s="16" t="n">
        <f aca="false">G82*Assumptions!$H$62</f>
        <v>0</v>
      </c>
      <c r="H87" s="16" t="n">
        <f aca="false">H82*Assumptions!$H$62</f>
        <v>0</v>
      </c>
      <c r="I87" s="16" t="n">
        <f aca="false">I82*Assumptions!$H$62</f>
        <v>0</v>
      </c>
      <c r="J87" s="16" t="n">
        <f aca="false">J82*Assumptions!$H$62</f>
        <v>0</v>
      </c>
      <c r="K87" s="16" t="n">
        <f aca="false">K82*Assumptions!$H$62</f>
        <v>0</v>
      </c>
    </row>
    <row r="88" customFormat="false" ht="15" hidden="false" customHeight="false" outlineLevel="0" collapsed="false">
      <c r="A88" s="3" t="s">
        <v>334</v>
      </c>
      <c r="G88" s="16" t="n">
        <f aca="false">MIN(G82,Assumptions!$L$62*Assumptions!$C$62)</f>
        <v>0</v>
      </c>
      <c r="H88" s="16" t="n">
        <f aca="false">MIN(H82,Assumptions!$L$62*Assumptions!$C$62)</f>
        <v>0</v>
      </c>
      <c r="I88" s="16" t="n">
        <f aca="false">MIN(I82,Assumptions!$L$62*Assumptions!$C$62)</f>
        <v>0</v>
      </c>
      <c r="J88" s="16" t="n">
        <f aca="false">MIN(J82,Assumptions!$L$62*Assumptions!$C$62)</f>
        <v>0</v>
      </c>
      <c r="K88" s="16" t="n">
        <f aca="false">MIN(K82,Assumptions!$L$62*Assumptions!$C$62)</f>
        <v>0</v>
      </c>
    </row>
    <row r="89" customFormat="false" ht="15" hidden="false" customHeight="false" outlineLevel="0" collapsed="false">
      <c r="A89" s="3" t="s">
        <v>335</v>
      </c>
      <c r="G89" s="16" t="n">
        <f aca="false">IF(AND(Assumptions!$P$62=1,'Operating Model'!G7&lt;Assumptions!$K$62),MIN(MAX(0,-'Cash Flow'!G11),MAX(0,Assumptions!$D$62-G82)),0)</f>
        <v>0</v>
      </c>
      <c r="H89" s="16" t="n">
        <f aca="false">IF(AND(Assumptions!$P$62=1,OR('Operating Model'!H7&lt;Assumptions!$K$62,Recovery!G68=1)),MIN(MAX(0,-'Cash Flow'!H11),MAX(0,Assumptions!$D$62-H82)),0)</f>
        <v>0</v>
      </c>
      <c r="I89" s="16" t="n">
        <f aca="false">IF(AND(Assumptions!$P$62=1,OR('Operating Model'!I7&lt;Assumptions!$K$62,Recovery!H68=1)),MIN(MAX(0,-'Cash Flow'!I11),MAX(0,Assumptions!$D$62-I82)),0)</f>
        <v>0</v>
      </c>
      <c r="J89" s="16" t="n">
        <f aca="false">IF(AND(Assumptions!$P$62=1,OR('Operating Model'!J7&lt;Assumptions!$K$62,Recovery!I68=1)),MIN(MAX(0,-'Cash Flow'!J11),MAX(0,Assumptions!$D$62-J82)),0)</f>
        <v>0</v>
      </c>
      <c r="K89" s="16" t="n">
        <f aca="false">IF(AND(Assumptions!$P$62=1,OR('Operating Model'!K7&lt;Assumptions!$K$62,Recovery!J68=1)),MIN(MAX(0,-'Cash Flow'!K11),MAX(0,Assumptions!$D$62-K82)),0)</f>
        <v>0</v>
      </c>
    </row>
    <row r="90" customFormat="false" ht="15" hidden="false" customHeight="false" outlineLevel="0" collapsed="false">
      <c r="A90" s="3" t="s">
        <v>336</v>
      </c>
      <c r="G90" s="16" t="n">
        <f aca="false">G83*MIN(G82-G88+G87,MAX(0,'Cash Flow'!G13-Assumptions!$C$12*G15-G25-G38-G51-G64-G77))</f>
        <v>0</v>
      </c>
      <c r="H90" s="16" t="n">
        <f aca="false">H83*MIN(H82-H88+H87,MAX(0,'Cash Flow'!H13-Assumptions!$C$12*H15-H25-H38-H51-H64-H77))</f>
        <v>0</v>
      </c>
      <c r="I90" s="16" t="n">
        <f aca="false">I83*MIN(I82-I88+I87,MAX(0,'Cash Flow'!I13-Assumptions!$C$12*I15-I25-I38-I51-I64-I77))</f>
        <v>0</v>
      </c>
      <c r="J90" s="16" t="n">
        <f aca="false">J83*MIN(J82-J88+J87,MAX(0,'Cash Flow'!J13-Assumptions!$C$12*J15-J25-J38-J51-J64-J77))</f>
        <v>0</v>
      </c>
      <c r="K90" s="16" t="n">
        <f aca="false">K83*MIN(K82-K88+K87,MAX(0,'Cash Flow'!K13-Assumptions!$C$12*K15-K25-K38-K51-K64-K77))</f>
        <v>0</v>
      </c>
    </row>
    <row r="91" customFormat="false" ht="15" hidden="false" customHeight="false" outlineLevel="0" collapsed="false">
      <c r="A91" s="3" t="s">
        <v>337</v>
      </c>
      <c r="G91" s="16" t="n">
        <f aca="false">Assumptions!$N$62*MIN(G82+G89+G87-G88-G90,MAX(0,'Cash Flow'!G17-G26-G39-G52-G65-G78))</f>
        <v>0</v>
      </c>
      <c r="H91" s="16" t="n">
        <f aca="false">Assumptions!$N$62*MIN(H82+H89+H87-H88-H90,MAX(0,'Cash Flow'!H17-H26-H39-H52-H65-H78))</f>
        <v>0</v>
      </c>
      <c r="I91" s="16" t="n">
        <f aca="false">Assumptions!$N$62*MIN(I82+I89+I87-I88-I90,MAX(0,'Cash Flow'!I17-I26-I39-I52-I65-I78))</f>
        <v>0</v>
      </c>
      <c r="J91" s="16" t="n">
        <f aca="false">Assumptions!$N$62*MIN(J82+J89+J87-J88-J90,MAX(0,'Cash Flow'!J17-J26-J39-J52-J65-J78))</f>
        <v>0</v>
      </c>
      <c r="K91" s="16" t="n">
        <f aca="false">Assumptions!$N$62*MIN(K82+K89+K87-K88-K90,MAX(0,'Cash Flow'!K17-K26-K39-K52-K65-K78))</f>
        <v>0</v>
      </c>
    </row>
    <row r="92" customFormat="false" ht="15" hidden="false" customHeight="false" outlineLevel="0" collapsed="false">
      <c r="A92" s="3" t="s">
        <v>338</v>
      </c>
      <c r="G92" s="16" t="n">
        <f aca="false">G83*(1-G15)*(G82-G88+G87-G90)</f>
        <v>0</v>
      </c>
      <c r="H92" s="16" t="n">
        <f aca="false">H83*(1-H15)*(H82-H88+H87-H90)</f>
        <v>350</v>
      </c>
      <c r="I92" s="16" t="n">
        <f aca="false">I83*(1-I15)*(I82-I88+I87-I90)</f>
        <v>0</v>
      </c>
      <c r="J92" s="16" t="n">
        <f aca="false">J83*(1-J15)*(J82-J88+J87-J90)</f>
        <v>0</v>
      </c>
      <c r="K92" s="16" t="n">
        <f aca="false">K83*(1-K15)*(K82-K88+K87-K90)</f>
        <v>0</v>
      </c>
    </row>
    <row r="93" customFormat="false" ht="15" hidden="false" customHeight="false" outlineLevel="0" collapsed="false">
      <c r="A93" s="2" t="s">
        <v>339</v>
      </c>
      <c r="F93" s="28" t="n">
        <f aca="false">Assumptions!$C$62</f>
        <v>350</v>
      </c>
      <c r="G93" s="17" t="n">
        <f aca="false">G82+G89+G87-G88-G90-G91</f>
        <v>350</v>
      </c>
      <c r="H93" s="17" t="n">
        <f aca="false">H82+H89+H87-H88-H90-H91</f>
        <v>350</v>
      </c>
      <c r="I93" s="17" t="n">
        <f aca="false">I82+I89+I87-I88-I90-I91</f>
        <v>350</v>
      </c>
      <c r="J93" s="17" t="n">
        <f aca="false">J82+J89+J87-J88-J90-J91</f>
        <v>350</v>
      </c>
      <c r="K93" s="17" t="n">
        <f aca="false">K82+K89+K87-K88-K90-K91</f>
        <v>350</v>
      </c>
    </row>
    <row r="94" customFormat="false" ht="15" hidden="false" customHeight="false" outlineLevel="0" collapsed="false">
      <c r="A94" s="24" t="s">
        <v>345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customFormat="false" ht="15" hidden="false" customHeight="false" outlineLevel="0" collapsed="false">
      <c r="A95" s="3" t="s">
        <v>329</v>
      </c>
      <c r="G95" s="16" t="n">
        <f aca="false">F106</f>
        <v>550</v>
      </c>
      <c r="H95" s="16" t="n">
        <f aca="false">G106</f>
        <v>550</v>
      </c>
      <c r="I95" s="16" t="n">
        <f aca="false">H106</f>
        <v>550</v>
      </c>
      <c r="J95" s="16" t="n">
        <f aca="false">I106</f>
        <v>550</v>
      </c>
      <c r="K95" s="16" t="n">
        <f aca="false">J106</f>
        <v>550</v>
      </c>
    </row>
    <row r="96" customFormat="false" ht="15" hidden="false" customHeight="false" outlineLevel="0" collapsed="false">
      <c r="A96" s="3" t="s">
        <v>330</v>
      </c>
      <c r="G96" s="21" t="n">
        <f aca="false">IF('Operating Model'!G7=Assumptions!$K$63,1,0)</f>
        <v>0</v>
      </c>
      <c r="H96" s="21" t="n">
        <f aca="false">IF('Operating Model'!H7=Assumptions!$K$63,1,0)</f>
        <v>0</v>
      </c>
      <c r="I96" s="21" t="n">
        <f aca="false">IF('Operating Model'!I7=Assumptions!$K$63,1,0)</f>
        <v>1</v>
      </c>
      <c r="J96" s="21" t="n">
        <f aca="false">IF('Operating Model'!J7=Assumptions!$K$63,1,0)</f>
        <v>0</v>
      </c>
      <c r="K96" s="21" t="n">
        <f aca="false">IF('Operating Model'!K7=Assumptions!$K$63,1,0)</f>
        <v>0</v>
      </c>
    </row>
    <row r="98" customFormat="false" ht="15" hidden="false" customHeight="false" outlineLevel="0" collapsed="false">
      <c r="A98" s="3" t="s">
        <v>331</v>
      </c>
      <c r="G98" s="31" t="n">
        <f aca="false">IF(Assumptions!$I$63=1,MAX(G7,Assumptions!$G$63)+Assumptions!$F$63+$C$8,Assumptions!$E$63)</f>
        <v>0.08875</v>
      </c>
      <c r="H98" s="31" t="n">
        <f aca="false">IF(Recovery!G69=1,$C$9,IF(Assumptions!$I$63=1,MAX(H7,Assumptions!$G$63)+Assumptions!$F$63+$C$8,Assumptions!$E$63))</f>
        <v>0.08875</v>
      </c>
      <c r="I98" s="31" t="n">
        <f aca="false">IF(Recovery!H69=1,$C$9,IF(Assumptions!$I$63=1,MAX(I7,Assumptions!$G$63)+Assumptions!$F$63+$C$8,Assumptions!$E$63))</f>
        <v>0.08875</v>
      </c>
      <c r="J98" s="31" t="n">
        <f aca="false">IF(Recovery!I69=1,$C$9,IF(Assumptions!$I$63=1,MAX(J7,Assumptions!$G$63)+Assumptions!$F$63+$C$8,Assumptions!$E$63))</f>
        <v>0.08875</v>
      </c>
      <c r="K98" s="31" t="n">
        <f aca="false">IF(Recovery!J69=1,$C$9,IF(Assumptions!$I$63=1,MAX(K7,Assumptions!$G$63)+Assumptions!$F$63+$C$8,Assumptions!$E$63))</f>
        <v>0.08875</v>
      </c>
    </row>
    <row r="99" customFormat="false" ht="15" hidden="false" customHeight="false" outlineLevel="0" collapsed="false">
      <c r="A99" s="3" t="s">
        <v>332</v>
      </c>
      <c r="G99" s="16" t="n">
        <f aca="false">G95*G98</f>
        <v>48.8125</v>
      </c>
      <c r="H99" s="16" t="n">
        <f aca="false">H95*H98</f>
        <v>48.8125</v>
      </c>
      <c r="I99" s="16" t="n">
        <f aca="false">I95*I98</f>
        <v>48.8125</v>
      </c>
      <c r="J99" s="16" t="n">
        <f aca="false">J95*J98</f>
        <v>48.8125</v>
      </c>
      <c r="K99" s="16" t="n">
        <f aca="false">K95*K98</f>
        <v>48.8125</v>
      </c>
    </row>
    <row r="100" customFormat="false" ht="15" hidden="false" customHeight="false" outlineLevel="0" collapsed="false">
      <c r="A100" s="3" t="s">
        <v>333</v>
      </c>
      <c r="G100" s="16" t="n">
        <f aca="false">G95*Assumptions!$H$63</f>
        <v>0</v>
      </c>
      <c r="H100" s="16" t="n">
        <f aca="false">H95*Assumptions!$H$63</f>
        <v>0</v>
      </c>
      <c r="I100" s="16" t="n">
        <f aca="false">I95*Assumptions!$H$63</f>
        <v>0</v>
      </c>
      <c r="J100" s="16" t="n">
        <f aca="false">J95*Assumptions!$H$63</f>
        <v>0</v>
      </c>
      <c r="K100" s="16" t="n">
        <f aca="false">K95*Assumptions!$H$63</f>
        <v>0</v>
      </c>
    </row>
    <row r="101" customFormat="false" ht="15" hidden="false" customHeight="false" outlineLevel="0" collapsed="false">
      <c r="A101" s="3" t="s">
        <v>334</v>
      </c>
      <c r="G101" s="16" t="n">
        <f aca="false">MIN(G95,Assumptions!$L$63*Assumptions!$C$63)</f>
        <v>0</v>
      </c>
      <c r="H101" s="16" t="n">
        <f aca="false">MIN(H95,Assumptions!$L$63*Assumptions!$C$63)</f>
        <v>0</v>
      </c>
      <c r="I101" s="16" t="n">
        <f aca="false">MIN(I95,Assumptions!$L$63*Assumptions!$C$63)</f>
        <v>0</v>
      </c>
      <c r="J101" s="16" t="n">
        <f aca="false">MIN(J95,Assumptions!$L$63*Assumptions!$C$63)</f>
        <v>0</v>
      </c>
      <c r="K101" s="16" t="n">
        <f aca="false">MIN(K95,Assumptions!$L$63*Assumptions!$C$63)</f>
        <v>0</v>
      </c>
    </row>
    <row r="102" customFormat="false" ht="15" hidden="false" customHeight="false" outlineLevel="0" collapsed="false">
      <c r="A102" s="3" t="s">
        <v>335</v>
      </c>
      <c r="G102" s="16" t="n">
        <f aca="false">IF(AND(Assumptions!$P$63=1,'Operating Model'!G7&lt;Assumptions!$K$63),MIN(MAX(0,-'Cash Flow'!G11),MAX(0,Assumptions!$D$63-G95)),0)</f>
        <v>0</v>
      </c>
      <c r="H102" s="16" t="n">
        <f aca="false">IF(AND(Assumptions!$P$63=1,OR('Operating Model'!H7&lt;Assumptions!$K$63,Recovery!G69=1)),MIN(MAX(0,-'Cash Flow'!H11),MAX(0,Assumptions!$D$63-H95)),0)</f>
        <v>0</v>
      </c>
      <c r="I102" s="16" t="n">
        <f aca="false">IF(AND(Assumptions!$P$63=1,OR('Operating Model'!I7&lt;Assumptions!$K$63,Recovery!H69=1)),MIN(MAX(0,-'Cash Flow'!I11),MAX(0,Assumptions!$D$63-I95)),0)</f>
        <v>0</v>
      </c>
      <c r="J102" s="16" t="n">
        <f aca="false">IF(AND(Assumptions!$P$63=1,OR('Operating Model'!J7&lt;Assumptions!$K$63,Recovery!I69=1)),MIN(MAX(0,-'Cash Flow'!J11),MAX(0,Assumptions!$D$63-J95)),0)</f>
        <v>0</v>
      </c>
      <c r="K102" s="16" t="n">
        <f aca="false">IF(AND(Assumptions!$P$63=1,OR('Operating Model'!K7&lt;Assumptions!$K$63,Recovery!J69=1)),MIN(MAX(0,-'Cash Flow'!K11),MAX(0,Assumptions!$D$63-K95)),0)</f>
        <v>0</v>
      </c>
    </row>
    <row r="103" customFormat="false" ht="15" hidden="false" customHeight="false" outlineLevel="0" collapsed="false">
      <c r="A103" s="3" t="s">
        <v>336</v>
      </c>
      <c r="G103" s="16" t="n">
        <f aca="false">G96*MIN(G95-G101+G100,MAX(0,'Cash Flow'!G13-Assumptions!$C$12*G15-G25-G38-G51-G64-G77-G90))</f>
        <v>0</v>
      </c>
      <c r="H103" s="16" t="n">
        <f aca="false">H96*MIN(H95-H101+H100,MAX(0,'Cash Flow'!H13-Assumptions!$C$12*H15-H25-H38-H51-H64-H77-H90))</f>
        <v>0</v>
      </c>
      <c r="I103" s="16" t="n">
        <f aca="false">I96*MIN(I95-I101+I100,MAX(0,'Cash Flow'!I13-Assumptions!$C$12*I15-I25-I38-I51-I64-I77-I90))</f>
        <v>0</v>
      </c>
      <c r="J103" s="16" t="n">
        <f aca="false">J96*MIN(J95-J101+J100,MAX(0,'Cash Flow'!J13-Assumptions!$C$12*J15-J25-J38-J51-J64-J77-J90))</f>
        <v>0</v>
      </c>
      <c r="K103" s="16" t="n">
        <f aca="false">K96*MIN(K95-K101+K100,MAX(0,'Cash Flow'!K13-Assumptions!$C$12*K15-K25-K38-K51-K64-K77-K90))</f>
        <v>0</v>
      </c>
    </row>
    <row r="104" customFormat="false" ht="15" hidden="false" customHeight="false" outlineLevel="0" collapsed="false">
      <c r="A104" s="3" t="s">
        <v>337</v>
      </c>
      <c r="G104" s="16" t="n">
        <f aca="false">Assumptions!$N$63*MIN(G95+G102+G100-G101-G103,MAX(0,'Cash Flow'!G17-G26-G39-G52-G65-G78-G91))</f>
        <v>0</v>
      </c>
      <c r="H104" s="16" t="n">
        <f aca="false">Assumptions!$N$63*MIN(H95+H102+H100-H101-H103,MAX(0,'Cash Flow'!H17-H26-H39-H52-H65-H78-H91))</f>
        <v>0</v>
      </c>
      <c r="I104" s="16" t="n">
        <f aca="false">Assumptions!$N$63*MIN(I95+I102+I100-I101-I103,MAX(0,'Cash Flow'!I17-I26-I39-I52-I65-I78-I91))</f>
        <v>0</v>
      </c>
      <c r="J104" s="16" t="n">
        <f aca="false">Assumptions!$N$63*MIN(J95+J102+J100-J101-J103,MAX(0,'Cash Flow'!J17-J26-J39-J52-J65-J78-J91))</f>
        <v>0</v>
      </c>
      <c r="K104" s="16" t="n">
        <f aca="false">Assumptions!$N$63*MIN(K95+K102+K100-K101-K103,MAX(0,'Cash Flow'!K17-K26-K39-K52-K65-K78-K91))</f>
        <v>0</v>
      </c>
    </row>
    <row r="105" customFormat="false" ht="15" hidden="false" customHeight="false" outlineLevel="0" collapsed="false">
      <c r="A105" s="3" t="s">
        <v>338</v>
      </c>
      <c r="G105" s="16" t="n">
        <f aca="false">G96*(1-G15)*(G95-G101+G100-G103)</f>
        <v>0</v>
      </c>
      <c r="H105" s="16" t="n">
        <f aca="false">H96*(1-H15)*(H95-H101+H100-H103)</f>
        <v>0</v>
      </c>
      <c r="I105" s="16" t="n">
        <f aca="false">I96*(1-I15)*(I95-I101+I100-I103)</f>
        <v>550</v>
      </c>
      <c r="J105" s="16" t="n">
        <f aca="false">J96*(1-J15)*(J95-J101+J100-J103)</f>
        <v>0</v>
      </c>
      <c r="K105" s="16" t="n">
        <f aca="false">K96*(1-K15)*(K95-K101+K100-K103)</f>
        <v>0</v>
      </c>
    </row>
    <row r="106" customFormat="false" ht="15" hidden="false" customHeight="false" outlineLevel="0" collapsed="false">
      <c r="A106" s="2" t="s">
        <v>339</v>
      </c>
      <c r="F106" s="28" t="n">
        <f aca="false">Assumptions!$C$63</f>
        <v>550</v>
      </c>
      <c r="G106" s="17" t="n">
        <f aca="false">G95+G102+G100-G101-G103-G104</f>
        <v>550</v>
      </c>
      <c r="H106" s="17" t="n">
        <f aca="false">H95+H102+H100-H101-H103-H104</f>
        <v>550</v>
      </c>
      <c r="I106" s="17" t="n">
        <f aca="false">I95+I102+I100-I101-I103-I104</f>
        <v>550</v>
      </c>
      <c r="J106" s="17" t="n">
        <f aca="false">J95+J102+J100-J101-J103-J104</f>
        <v>550</v>
      </c>
      <c r="K106" s="17" t="n">
        <f aca="false">K95+K102+K100-K101-K103-K104</f>
        <v>550</v>
      </c>
    </row>
    <row r="107" customFormat="false" ht="15" hidden="false" customHeight="false" outlineLevel="0" collapsed="false">
      <c r="A107" s="24" t="s">
        <v>346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customFormat="false" ht="15" hidden="false" customHeight="false" outlineLevel="0" collapsed="false">
      <c r="A108" s="3" t="s">
        <v>329</v>
      </c>
      <c r="G108" s="16" t="n">
        <f aca="false">F119</f>
        <v>350</v>
      </c>
      <c r="H108" s="16" t="n">
        <f aca="false">G119</f>
        <v>350</v>
      </c>
      <c r="I108" s="16" t="n">
        <f aca="false">H119</f>
        <v>350</v>
      </c>
      <c r="J108" s="16" t="n">
        <f aca="false">I119</f>
        <v>350</v>
      </c>
      <c r="K108" s="16" t="n">
        <f aca="false">J119</f>
        <v>350</v>
      </c>
    </row>
    <row r="109" customFormat="false" ht="15" hidden="false" customHeight="false" outlineLevel="0" collapsed="false">
      <c r="A109" s="3" t="s">
        <v>330</v>
      </c>
      <c r="G109" s="21" t="n">
        <f aca="false">IF('Operating Model'!G7=Assumptions!$K$64,1,0)</f>
        <v>0</v>
      </c>
      <c r="H109" s="21" t="n">
        <f aca="false">IF('Operating Model'!H7=Assumptions!$K$64,1,0)</f>
        <v>0</v>
      </c>
      <c r="I109" s="21" t="n">
        <f aca="false">IF('Operating Model'!I7=Assumptions!$K$64,1,0)</f>
        <v>0</v>
      </c>
      <c r="J109" s="21" t="n">
        <f aca="false">IF('Operating Model'!J7=Assumptions!$K$64,1,0)</f>
        <v>1</v>
      </c>
      <c r="K109" s="21" t="n">
        <f aca="false">IF('Operating Model'!K7=Assumptions!$K$64,1,0)</f>
        <v>0</v>
      </c>
    </row>
    <row r="111" customFormat="false" ht="15" hidden="false" customHeight="false" outlineLevel="0" collapsed="false">
      <c r="A111" s="3" t="s">
        <v>331</v>
      </c>
      <c r="G111" s="31" t="n">
        <f aca="false">IF(Assumptions!$I$64=1,MAX(G7,Assumptions!$G$64)+Assumptions!$F$64+$C$8,Assumptions!$E$64)</f>
        <v>0.0455</v>
      </c>
      <c r="H111" s="31" t="n">
        <f aca="false">IF(Recovery!G70=1,$C$9,IF(Assumptions!$I$64=1,MAX(H7,Assumptions!$G$64)+Assumptions!$F$64+$C$8,Assumptions!$E$64))</f>
        <v>0.0455</v>
      </c>
      <c r="I111" s="31" t="n">
        <f aca="false">IF(Recovery!H70=1,$C$9,IF(Assumptions!$I$64=1,MAX(I7,Assumptions!$G$64)+Assumptions!$F$64+$C$8,Assumptions!$E$64))</f>
        <v>0.0455</v>
      </c>
      <c r="J111" s="31" t="n">
        <f aca="false">IF(Recovery!I70=1,$C$9,IF(Assumptions!$I$64=1,MAX(J7,Assumptions!$G$64)+Assumptions!$F$64+$C$8,Assumptions!$E$64))</f>
        <v>0.0455</v>
      </c>
      <c r="K111" s="31" t="n">
        <f aca="false">IF(Recovery!J70=1,$C$9,IF(Assumptions!$I$64=1,MAX(K7,Assumptions!$G$64)+Assumptions!$F$64+$C$8,Assumptions!$E$64))</f>
        <v>0.0455</v>
      </c>
    </row>
    <row r="112" customFormat="false" ht="15" hidden="false" customHeight="false" outlineLevel="0" collapsed="false">
      <c r="A112" s="3" t="s">
        <v>332</v>
      </c>
      <c r="G112" s="16" t="n">
        <f aca="false">G108*G111</f>
        <v>15.925</v>
      </c>
      <c r="H112" s="16" t="n">
        <f aca="false">H108*H111</f>
        <v>15.925</v>
      </c>
      <c r="I112" s="16" t="n">
        <f aca="false">I108*I111</f>
        <v>15.925</v>
      </c>
      <c r="J112" s="16" t="n">
        <f aca="false">J108*J111</f>
        <v>15.925</v>
      </c>
      <c r="K112" s="16" t="n">
        <f aca="false">K108*K111</f>
        <v>15.925</v>
      </c>
    </row>
    <row r="113" customFormat="false" ht="15" hidden="false" customHeight="false" outlineLevel="0" collapsed="false">
      <c r="A113" s="3" t="s">
        <v>333</v>
      </c>
      <c r="G113" s="16" t="n">
        <f aca="false">G108*Assumptions!$H$64</f>
        <v>0</v>
      </c>
      <c r="H113" s="16" t="n">
        <f aca="false">H108*Assumptions!$H$64</f>
        <v>0</v>
      </c>
      <c r="I113" s="16" t="n">
        <f aca="false">I108*Assumptions!$H$64</f>
        <v>0</v>
      </c>
      <c r="J113" s="16" t="n">
        <f aca="false">J108*Assumptions!$H$64</f>
        <v>0</v>
      </c>
      <c r="K113" s="16" t="n">
        <f aca="false">K108*Assumptions!$H$64</f>
        <v>0</v>
      </c>
    </row>
    <row r="114" customFormat="false" ht="15" hidden="false" customHeight="false" outlineLevel="0" collapsed="false">
      <c r="A114" s="3" t="s">
        <v>334</v>
      </c>
      <c r="G114" s="16" t="n">
        <f aca="false">MIN(G108,Assumptions!$L$64*Assumptions!$C$64)</f>
        <v>0</v>
      </c>
      <c r="H114" s="16" t="n">
        <f aca="false">MIN(H108,Assumptions!$L$64*Assumptions!$C$64)</f>
        <v>0</v>
      </c>
      <c r="I114" s="16" t="n">
        <f aca="false">MIN(I108,Assumptions!$L$64*Assumptions!$C$64)</f>
        <v>0</v>
      </c>
      <c r="J114" s="16" t="n">
        <f aca="false">MIN(J108,Assumptions!$L$64*Assumptions!$C$64)</f>
        <v>0</v>
      </c>
      <c r="K114" s="16" t="n">
        <f aca="false">MIN(K108,Assumptions!$L$64*Assumptions!$C$64)</f>
        <v>0</v>
      </c>
    </row>
    <row r="115" customFormat="false" ht="15" hidden="false" customHeight="false" outlineLevel="0" collapsed="false">
      <c r="A115" s="3" t="s">
        <v>335</v>
      </c>
      <c r="G115" s="16" t="n">
        <f aca="false">IF(AND(Assumptions!$P$64=1,'Operating Model'!G7&lt;Assumptions!$K$64),MIN(MAX(0,-'Cash Flow'!G11),MAX(0,Assumptions!$D$64-G108)),0)</f>
        <v>0</v>
      </c>
      <c r="H115" s="16" t="n">
        <f aca="false">IF(AND(Assumptions!$P$64=1,OR('Operating Model'!H7&lt;Assumptions!$K$64,Recovery!G70=1)),MIN(MAX(0,-'Cash Flow'!H11),MAX(0,Assumptions!$D$64-H108)),0)</f>
        <v>0</v>
      </c>
      <c r="I115" s="16" t="n">
        <f aca="false">IF(AND(Assumptions!$P$64=1,OR('Operating Model'!I7&lt;Assumptions!$K$64,Recovery!H70=1)),MIN(MAX(0,-'Cash Flow'!I11),MAX(0,Assumptions!$D$64-I108)),0)</f>
        <v>0</v>
      </c>
      <c r="J115" s="16" t="n">
        <f aca="false">IF(AND(Assumptions!$P$64=1,OR('Operating Model'!J7&lt;Assumptions!$K$64,Recovery!I70=1)),MIN(MAX(0,-'Cash Flow'!J11),MAX(0,Assumptions!$D$64-J108)),0)</f>
        <v>0</v>
      </c>
      <c r="K115" s="16" t="n">
        <f aca="false">IF(AND(Assumptions!$P$64=1,OR('Operating Model'!K7&lt;Assumptions!$K$64,Recovery!J70=1)),MIN(MAX(0,-'Cash Flow'!K11),MAX(0,Assumptions!$D$64-K108)),0)</f>
        <v>0</v>
      </c>
    </row>
    <row r="116" customFormat="false" ht="15" hidden="false" customHeight="false" outlineLevel="0" collapsed="false">
      <c r="A116" s="3" t="s">
        <v>336</v>
      </c>
      <c r="G116" s="16" t="n">
        <f aca="false">G109*MIN(G108-G114+G113,MAX(0,'Cash Flow'!G13-Assumptions!$C$12*G15-G25-G38-G51-G64-G77-G90-G103))</f>
        <v>0</v>
      </c>
      <c r="H116" s="16" t="n">
        <f aca="false">H109*MIN(H108-H114+H113,MAX(0,'Cash Flow'!H13-Assumptions!$C$12*H15-H25-H38-H51-H64-H77-H90-H103))</f>
        <v>0</v>
      </c>
      <c r="I116" s="16" t="n">
        <f aca="false">I109*MIN(I108-I114+I113,MAX(0,'Cash Flow'!I13-Assumptions!$C$12*I15-I25-I38-I51-I64-I77-I90-I103))</f>
        <v>0</v>
      </c>
      <c r="J116" s="16" t="n">
        <f aca="false">J109*MIN(J108-J114+J113,MAX(0,'Cash Flow'!J13-Assumptions!$C$12*J15-J25-J38-J51-J64-J77-J90-J103))</f>
        <v>0</v>
      </c>
      <c r="K116" s="16" t="n">
        <f aca="false">K109*MIN(K108-K114+K113,MAX(0,'Cash Flow'!K13-Assumptions!$C$12*K15-K25-K38-K51-K64-K77-K90-K103))</f>
        <v>0</v>
      </c>
    </row>
    <row r="117" customFormat="false" ht="15" hidden="false" customHeight="false" outlineLevel="0" collapsed="false">
      <c r="A117" s="3" t="s">
        <v>337</v>
      </c>
      <c r="G117" s="16" t="n">
        <f aca="false">Assumptions!$N$64*MIN(G108+G115+G113-G114-G116,MAX(0,'Cash Flow'!G17-G26-G39-G52-G65-G78-G91-G104))</f>
        <v>0</v>
      </c>
      <c r="H117" s="16" t="n">
        <f aca="false">Assumptions!$N$64*MIN(H108+H115+H113-H114-H116,MAX(0,'Cash Flow'!H17-H26-H39-H52-H65-H78-H91-H104))</f>
        <v>0</v>
      </c>
      <c r="I117" s="16" t="n">
        <f aca="false">Assumptions!$N$64*MIN(I108+I115+I113-I114-I116,MAX(0,'Cash Flow'!I17-I26-I39-I52-I65-I78-I91-I104))</f>
        <v>0</v>
      </c>
      <c r="J117" s="16" t="n">
        <f aca="false">Assumptions!$N$64*MIN(J108+J115+J113-J114-J116,MAX(0,'Cash Flow'!J17-J26-J39-J52-J65-J78-J91-J104))</f>
        <v>0</v>
      </c>
      <c r="K117" s="16" t="n">
        <f aca="false">Assumptions!$N$64*MIN(K108+K115+K113-K114-K116,MAX(0,'Cash Flow'!K17-K26-K39-K52-K65-K78-K91-K104))</f>
        <v>0</v>
      </c>
    </row>
    <row r="118" customFormat="false" ht="15" hidden="false" customHeight="false" outlineLevel="0" collapsed="false">
      <c r="A118" s="3" t="s">
        <v>338</v>
      </c>
      <c r="G118" s="16" t="n">
        <f aca="false">G109*(1-G15)*(G108-G114+G113-G116)</f>
        <v>0</v>
      </c>
      <c r="H118" s="16" t="n">
        <f aca="false">H109*(1-H15)*(H108-H114+H113-H116)</f>
        <v>0</v>
      </c>
      <c r="I118" s="16" t="n">
        <f aca="false">I109*(1-I15)*(I108-I114+I113-I116)</f>
        <v>0</v>
      </c>
      <c r="J118" s="16" t="n">
        <f aca="false">J109*(1-J15)*(J108-J114+J113-J116)</f>
        <v>350</v>
      </c>
      <c r="K118" s="16" t="n">
        <f aca="false">K109*(1-K15)*(K108-K114+K113-K116)</f>
        <v>0</v>
      </c>
    </row>
    <row r="119" customFormat="false" ht="15" hidden="false" customHeight="false" outlineLevel="0" collapsed="false">
      <c r="A119" s="2" t="s">
        <v>339</v>
      </c>
      <c r="F119" s="28" t="n">
        <f aca="false">Assumptions!$C$64</f>
        <v>350</v>
      </c>
      <c r="G119" s="17" t="n">
        <f aca="false">G108+G115+G113-G114-G116-G117</f>
        <v>350</v>
      </c>
      <c r="H119" s="17" t="n">
        <f aca="false">H108+H115+H113-H114-H116-H117</f>
        <v>350</v>
      </c>
      <c r="I119" s="17" t="n">
        <f aca="false">I108+I115+I113-I114-I116-I117</f>
        <v>350</v>
      </c>
      <c r="J119" s="17" t="n">
        <f aca="false">J108+J115+J113-J114-J116-J117</f>
        <v>350</v>
      </c>
      <c r="K119" s="17" t="n">
        <f aca="false">K108+K115+K113-K114-K116-K117</f>
        <v>350</v>
      </c>
    </row>
    <row r="120" customFormat="false" ht="15" hidden="false" customHeight="false" outlineLevel="0" collapsed="false">
      <c r="A120" s="24" t="s">
        <v>347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customFormat="false" ht="15" hidden="false" customHeight="false" outlineLevel="0" collapsed="false">
      <c r="A121" s="3" t="s">
        <v>329</v>
      </c>
      <c r="G121" s="16" t="n">
        <f aca="false">F132</f>
        <v>300</v>
      </c>
      <c r="H121" s="16" t="n">
        <f aca="false">G132</f>
        <v>300</v>
      </c>
      <c r="I121" s="16" t="n">
        <f aca="false">H132</f>
        <v>300</v>
      </c>
      <c r="J121" s="16" t="n">
        <f aca="false">I132</f>
        <v>300</v>
      </c>
      <c r="K121" s="16" t="n">
        <f aca="false">J132</f>
        <v>300</v>
      </c>
    </row>
    <row r="122" customFormat="false" ht="15" hidden="false" customHeight="false" outlineLevel="0" collapsed="false">
      <c r="A122" s="3" t="s">
        <v>330</v>
      </c>
      <c r="G122" s="21" t="n">
        <f aca="false">IF('Operating Model'!G7=Assumptions!$K$65,1,0)</f>
        <v>0</v>
      </c>
      <c r="H122" s="21" t="n">
        <f aca="false">IF('Operating Model'!H7=Assumptions!$K$65,1,0)</f>
        <v>0</v>
      </c>
      <c r="I122" s="21" t="n">
        <f aca="false">IF('Operating Model'!I7=Assumptions!$K$65,1,0)</f>
        <v>0</v>
      </c>
      <c r="J122" s="21" t="n">
        <f aca="false">IF('Operating Model'!J7=Assumptions!$K$65,1,0)</f>
        <v>0</v>
      </c>
      <c r="K122" s="21" t="n">
        <f aca="false">IF('Operating Model'!K7=Assumptions!$K$65,1,0)</f>
        <v>1</v>
      </c>
    </row>
    <row r="124" customFormat="false" ht="15" hidden="false" customHeight="false" outlineLevel="0" collapsed="false">
      <c r="A124" s="3" t="s">
        <v>331</v>
      </c>
      <c r="G124" s="31" t="n">
        <f aca="false">IF(Assumptions!$I$65=1,MAX(G7,Assumptions!$G$65)+Assumptions!$F$65+$C$8,Assumptions!$E$65)</f>
        <v>0.06125</v>
      </c>
      <c r="H124" s="31" t="n">
        <f aca="false">IF(Recovery!G71=1,$C$9,IF(Assumptions!$I$65=1,MAX(H7,Assumptions!$G$65)+Assumptions!$F$65+$C$8,Assumptions!$E$65))</f>
        <v>0.06125</v>
      </c>
      <c r="I124" s="31" t="n">
        <f aca="false">IF(Recovery!H71=1,$C$9,IF(Assumptions!$I$65=1,MAX(I7,Assumptions!$G$65)+Assumptions!$F$65+$C$8,Assumptions!$E$65))</f>
        <v>0.06125</v>
      </c>
      <c r="J124" s="31" t="n">
        <f aca="false">IF(Recovery!I71=1,$C$9,IF(Assumptions!$I$65=1,MAX(J7,Assumptions!$G$65)+Assumptions!$F$65+$C$8,Assumptions!$E$65))</f>
        <v>0.06125</v>
      </c>
      <c r="K124" s="31" t="n">
        <f aca="false">IF(Recovery!J71=1,$C$9,IF(Assumptions!$I$65=1,MAX(K7,Assumptions!$G$65)+Assumptions!$F$65+$C$8,Assumptions!$E$65))</f>
        <v>0.06125</v>
      </c>
    </row>
    <row r="125" customFormat="false" ht="15" hidden="false" customHeight="false" outlineLevel="0" collapsed="false">
      <c r="A125" s="3" t="s">
        <v>332</v>
      </c>
      <c r="G125" s="16" t="n">
        <f aca="false">G121*G124</f>
        <v>18.375</v>
      </c>
      <c r="H125" s="16" t="n">
        <f aca="false">H121*H124</f>
        <v>18.375</v>
      </c>
      <c r="I125" s="16" t="n">
        <f aca="false">I121*I124</f>
        <v>18.375</v>
      </c>
      <c r="J125" s="16" t="n">
        <f aca="false">J121*J124</f>
        <v>18.375</v>
      </c>
      <c r="K125" s="16" t="n">
        <f aca="false">K121*K124</f>
        <v>18.375</v>
      </c>
    </row>
    <row r="126" customFormat="false" ht="15" hidden="false" customHeight="false" outlineLevel="0" collapsed="false">
      <c r="A126" s="3" t="s">
        <v>333</v>
      </c>
      <c r="G126" s="16" t="n">
        <f aca="false">G121*Assumptions!$H$65</f>
        <v>0</v>
      </c>
      <c r="H126" s="16" t="n">
        <f aca="false">H121*Assumptions!$H$65</f>
        <v>0</v>
      </c>
      <c r="I126" s="16" t="n">
        <f aca="false">I121*Assumptions!$H$65</f>
        <v>0</v>
      </c>
      <c r="J126" s="16" t="n">
        <f aca="false">J121*Assumptions!$H$65</f>
        <v>0</v>
      </c>
      <c r="K126" s="16" t="n">
        <f aca="false">K121*Assumptions!$H$65</f>
        <v>0</v>
      </c>
    </row>
    <row r="127" customFormat="false" ht="15" hidden="false" customHeight="false" outlineLevel="0" collapsed="false">
      <c r="A127" s="3" t="s">
        <v>334</v>
      </c>
      <c r="G127" s="16" t="n">
        <f aca="false">MIN(G121,Assumptions!$L$65*Assumptions!$C$65)</f>
        <v>0</v>
      </c>
      <c r="H127" s="16" t="n">
        <f aca="false">MIN(H121,Assumptions!$L$65*Assumptions!$C$65)</f>
        <v>0</v>
      </c>
      <c r="I127" s="16" t="n">
        <f aca="false">MIN(I121,Assumptions!$L$65*Assumptions!$C$65)</f>
        <v>0</v>
      </c>
      <c r="J127" s="16" t="n">
        <f aca="false">MIN(J121,Assumptions!$L$65*Assumptions!$C$65)</f>
        <v>0</v>
      </c>
      <c r="K127" s="16" t="n">
        <f aca="false">MIN(K121,Assumptions!$L$65*Assumptions!$C$65)</f>
        <v>0</v>
      </c>
    </row>
    <row r="128" customFormat="false" ht="15" hidden="false" customHeight="false" outlineLevel="0" collapsed="false">
      <c r="A128" s="3" t="s">
        <v>335</v>
      </c>
      <c r="G128" s="16" t="n">
        <f aca="false">IF(AND(Assumptions!$P$65=1,'Operating Model'!G7&lt;Assumptions!$K$65),MIN(MAX(0,-'Cash Flow'!G11),MAX(0,Assumptions!$D$65-G121)),0)</f>
        <v>0</v>
      </c>
      <c r="H128" s="16" t="n">
        <f aca="false">IF(AND(Assumptions!$P$65=1,OR('Operating Model'!H7&lt;Assumptions!$K$65,Recovery!G71=1)),MIN(MAX(0,-'Cash Flow'!H11),MAX(0,Assumptions!$D$65-H121)),0)</f>
        <v>0</v>
      </c>
      <c r="I128" s="16" t="n">
        <f aca="false">IF(AND(Assumptions!$P$65=1,OR('Operating Model'!I7&lt;Assumptions!$K$65,Recovery!H71=1)),MIN(MAX(0,-'Cash Flow'!I11),MAX(0,Assumptions!$D$65-I121)),0)</f>
        <v>0</v>
      </c>
      <c r="J128" s="16" t="n">
        <f aca="false">IF(AND(Assumptions!$P$65=1,OR('Operating Model'!J7&lt;Assumptions!$K$65,Recovery!I71=1)),MIN(MAX(0,-'Cash Flow'!J11),MAX(0,Assumptions!$D$65-J121)),0)</f>
        <v>0</v>
      </c>
      <c r="K128" s="16" t="n">
        <f aca="false">IF(AND(Assumptions!$P$65=1,OR('Operating Model'!K7&lt;Assumptions!$K$65,Recovery!J71=1)),MIN(MAX(0,-'Cash Flow'!K11),MAX(0,Assumptions!$D$65-K121)),0)</f>
        <v>0</v>
      </c>
    </row>
    <row r="129" customFormat="false" ht="15" hidden="false" customHeight="false" outlineLevel="0" collapsed="false">
      <c r="A129" s="3" t="s">
        <v>336</v>
      </c>
      <c r="G129" s="16" t="n">
        <f aca="false">G122*MIN(G121-G127+G126,MAX(0,'Cash Flow'!G13-Assumptions!$C$12*G15-G25-G38-G51-G64-G77-G90-G103-G116))</f>
        <v>0</v>
      </c>
      <c r="H129" s="16" t="n">
        <f aca="false">H122*MIN(H121-H127+H126,MAX(0,'Cash Flow'!H13-Assumptions!$C$12*H15-H25-H38-H51-H64-H77-H90-H103-H116))</f>
        <v>0</v>
      </c>
      <c r="I129" s="16" t="n">
        <f aca="false">I122*MIN(I121-I127+I126,MAX(0,'Cash Flow'!I13-Assumptions!$C$12*I15-I25-I38-I51-I64-I77-I90-I103-I116))</f>
        <v>0</v>
      </c>
      <c r="J129" s="16" t="n">
        <f aca="false">J122*MIN(J121-J127+J126,MAX(0,'Cash Flow'!J13-Assumptions!$C$12*J15-J25-J38-J51-J64-J77-J90-J103-J116))</f>
        <v>0</v>
      </c>
      <c r="K129" s="16" t="n">
        <f aca="false">K122*MIN(K121-K127+K126,MAX(0,'Cash Flow'!K13-Assumptions!$C$12*K15-K25-K38-K51-K64-K77-K90-K103-K116))</f>
        <v>0</v>
      </c>
    </row>
    <row r="130" customFormat="false" ht="15" hidden="false" customHeight="false" outlineLevel="0" collapsed="false">
      <c r="A130" s="3" t="s">
        <v>337</v>
      </c>
      <c r="G130" s="16" t="n">
        <f aca="false">Assumptions!$N$65*MIN(G121+G128+G126-G127-G129,MAX(0,'Cash Flow'!G17-G26-G39-G52-G65-G78-G91-G104-G117))</f>
        <v>0</v>
      </c>
      <c r="H130" s="16" t="n">
        <f aca="false">Assumptions!$N$65*MIN(H121+H128+H126-H127-H129,MAX(0,'Cash Flow'!H17-H26-H39-H52-H65-H78-H91-H104-H117))</f>
        <v>0</v>
      </c>
      <c r="I130" s="16" t="n">
        <f aca="false">Assumptions!$N$65*MIN(I121+I128+I126-I127-I129,MAX(0,'Cash Flow'!I17-I26-I39-I52-I65-I78-I91-I104-I117))</f>
        <v>0</v>
      </c>
      <c r="J130" s="16" t="n">
        <f aca="false">Assumptions!$N$65*MIN(J121+J128+J126-J127-J129,MAX(0,'Cash Flow'!J17-J26-J39-J52-J65-J78-J91-J104-J117))</f>
        <v>0</v>
      </c>
      <c r="K130" s="16" t="n">
        <f aca="false">Assumptions!$N$65*MIN(K121+K128+K126-K127-K129,MAX(0,'Cash Flow'!K17-K26-K39-K52-K65-K78-K91-K104-K117))</f>
        <v>0</v>
      </c>
    </row>
    <row r="131" customFormat="false" ht="15" hidden="false" customHeight="false" outlineLevel="0" collapsed="false">
      <c r="A131" s="3" t="s">
        <v>338</v>
      </c>
      <c r="G131" s="16" t="n">
        <f aca="false">G122*(1-G15)*(G121-G127+G126-G129)</f>
        <v>0</v>
      </c>
      <c r="H131" s="16" t="n">
        <f aca="false">H122*(1-H15)*(H121-H127+H126-H129)</f>
        <v>0</v>
      </c>
      <c r="I131" s="16" t="n">
        <f aca="false">I122*(1-I15)*(I121-I127+I126-I129)</f>
        <v>0</v>
      </c>
      <c r="J131" s="16" t="n">
        <f aca="false">J122*(1-J15)*(J121-J127+J126-J129)</f>
        <v>0</v>
      </c>
      <c r="K131" s="16" t="n">
        <f aca="false">K122*(1-K15)*(K121-K127+K126-K129)</f>
        <v>300</v>
      </c>
    </row>
    <row r="132" customFormat="false" ht="15" hidden="false" customHeight="false" outlineLevel="0" collapsed="false">
      <c r="A132" s="2" t="s">
        <v>339</v>
      </c>
      <c r="F132" s="28" t="n">
        <f aca="false">Assumptions!$C$65</f>
        <v>300</v>
      </c>
      <c r="G132" s="17" t="n">
        <f aca="false">G121+G128+G126-G127-G129-G130</f>
        <v>300</v>
      </c>
      <c r="H132" s="17" t="n">
        <f aca="false">H121+H128+H126-H127-H129-H130</f>
        <v>300</v>
      </c>
      <c r="I132" s="17" t="n">
        <f aca="false">I121+I128+I126-I127-I129-I130</f>
        <v>300</v>
      </c>
      <c r="J132" s="17" t="n">
        <f aca="false">J121+J128+J126-J127-J129-J130</f>
        <v>300</v>
      </c>
      <c r="K132" s="17" t="n">
        <f aca="false">K121+K128+K126-K127-K129-K130</f>
        <v>300</v>
      </c>
    </row>
    <row r="133" customFormat="false" ht="15" hidden="false" customHeight="false" outlineLevel="0" collapsed="false">
      <c r="A133" s="24" t="s">
        <v>348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customFormat="false" ht="15" hidden="false" customHeight="false" outlineLevel="0" collapsed="false">
      <c r="A134" s="3" t="s">
        <v>329</v>
      </c>
      <c r="G134" s="16" t="n">
        <f aca="false">F145</f>
        <v>78.61</v>
      </c>
      <c r="H134" s="16" t="n">
        <f aca="false">G145</f>
        <v>78.61</v>
      </c>
      <c r="I134" s="16" t="n">
        <f aca="false">H145</f>
        <v>78.61</v>
      </c>
      <c r="J134" s="16" t="n">
        <f aca="false">I145</f>
        <v>78.61</v>
      </c>
      <c r="K134" s="16" t="n">
        <f aca="false">J145</f>
        <v>78.61</v>
      </c>
    </row>
    <row r="135" customFormat="false" ht="15" hidden="false" customHeight="false" outlineLevel="0" collapsed="false">
      <c r="A135" s="3" t="s">
        <v>330</v>
      </c>
      <c r="G135" s="21" t="n">
        <f aca="false">IF('Operating Model'!G7=Assumptions!$K$66,1,0)</f>
        <v>0</v>
      </c>
      <c r="H135" s="21" t="n">
        <f aca="false">IF('Operating Model'!H7=Assumptions!$K$66,1,0)</f>
        <v>0</v>
      </c>
      <c r="I135" s="21" t="n">
        <f aca="false">IF('Operating Model'!I7=Assumptions!$K$66,1,0)</f>
        <v>0</v>
      </c>
      <c r="J135" s="21" t="n">
        <f aca="false">IF('Operating Model'!J7=Assumptions!$K$66,1,0)</f>
        <v>0</v>
      </c>
      <c r="K135" s="21" t="n">
        <f aca="false">IF('Operating Model'!K7=Assumptions!$K$66,1,0)</f>
        <v>0</v>
      </c>
    </row>
    <row r="137" customFormat="false" ht="15" hidden="false" customHeight="false" outlineLevel="0" collapsed="false">
      <c r="A137" s="3" t="s">
        <v>331</v>
      </c>
      <c r="G137" s="31" t="n">
        <f aca="false">IF(Assumptions!$I$66=1,MAX(G7,Assumptions!$G$66)+Assumptions!$F$66+$C$8,Assumptions!$E$66)</f>
        <v>0.0691</v>
      </c>
      <c r="H137" s="31" t="n">
        <f aca="false">IF(Recovery!G72=1,$C$9,IF(Assumptions!$I$66=1,MAX(H7,Assumptions!$G$66)+Assumptions!$F$66+$C$8,Assumptions!$E$66))</f>
        <v>0.0676</v>
      </c>
      <c r="I137" s="31" t="n">
        <f aca="false">IF(Recovery!H72=1,$C$9,IF(Assumptions!$I$66=1,MAX(I7,Assumptions!$G$66)+Assumptions!$F$66+$C$8,Assumptions!$E$66))</f>
        <v>0.0651</v>
      </c>
      <c r="J137" s="31" t="n">
        <f aca="false">IF(Recovery!I72=1,$C$9,IF(Assumptions!$I$66=1,MAX(J7,Assumptions!$G$66)+Assumptions!$F$66+$C$8,Assumptions!$E$66))</f>
        <v>0.0651</v>
      </c>
      <c r="K137" s="31" t="n">
        <f aca="false">IF(Recovery!J72=1,$C$9,IF(Assumptions!$I$66=1,MAX(K7,Assumptions!$G$66)+Assumptions!$F$66+$C$8,Assumptions!$E$66))</f>
        <v>0.0651</v>
      </c>
    </row>
    <row r="138" customFormat="false" ht="15" hidden="false" customHeight="false" outlineLevel="0" collapsed="false">
      <c r="A138" s="3" t="s">
        <v>332</v>
      </c>
      <c r="G138" s="16" t="n">
        <f aca="false">G134*G137</f>
        <v>5.431951</v>
      </c>
      <c r="H138" s="16" t="n">
        <f aca="false">H134*H137</f>
        <v>5.314036</v>
      </c>
      <c r="I138" s="16" t="n">
        <f aca="false">I134*I137</f>
        <v>5.117511</v>
      </c>
      <c r="J138" s="16" t="n">
        <f aca="false">J134*J137</f>
        <v>5.117511</v>
      </c>
      <c r="K138" s="16" t="n">
        <f aca="false">K134*K137</f>
        <v>5.117511</v>
      </c>
    </row>
    <row r="139" customFormat="false" ht="15" hidden="false" customHeight="false" outlineLevel="0" collapsed="false">
      <c r="A139" s="3" t="s">
        <v>333</v>
      </c>
      <c r="G139" s="16" t="n">
        <f aca="false">G134*Assumptions!$H$66</f>
        <v>0</v>
      </c>
      <c r="H139" s="16" t="n">
        <f aca="false">H134*Assumptions!$H$66</f>
        <v>0</v>
      </c>
      <c r="I139" s="16" t="n">
        <f aca="false">I134*Assumptions!$H$66</f>
        <v>0</v>
      </c>
      <c r="J139" s="16" t="n">
        <f aca="false">J134*Assumptions!$H$66</f>
        <v>0</v>
      </c>
      <c r="K139" s="16" t="n">
        <f aca="false">K134*Assumptions!$H$66</f>
        <v>0</v>
      </c>
    </row>
    <row r="140" customFormat="false" ht="15" hidden="false" customHeight="false" outlineLevel="0" collapsed="false">
      <c r="A140" s="3" t="s">
        <v>334</v>
      </c>
      <c r="G140" s="16" t="n">
        <f aca="false">MIN(G134,Assumptions!$L$66*Assumptions!$C$66)</f>
        <v>0</v>
      </c>
      <c r="H140" s="16" t="n">
        <f aca="false">MIN(H134,Assumptions!$L$66*Assumptions!$C$66)</f>
        <v>0</v>
      </c>
      <c r="I140" s="16" t="n">
        <f aca="false">MIN(I134,Assumptions!$L$66*Assumptions!$C$66)</f>
        <v>0</v>
      </c>
      <c r="J140" s="16" t="n">
        <f aca="false">MIN(J134,Assumptions!$L$66*Assumptions!$C$66)</f>
        <v>0</v>
      </c>
      <c r="K140" s="16" t="n">
        <f aca="false">MIN(K134,Assumptions!$L$66*Assumptions!$C$66)</f>
        <v>0</v>
      </c>
    </row>
    <row r="141" customFormat="false" ht="15" hidden="false" customHeight="false" outlineLevel="0" collapsed="false">
      <c r="A141" s="3" t="s">
        <v>335</v>
      </c>
      <c r="G141" s="16" t="n">
        <f aca="false">IF(AND(Assumptions!$P$66=1,'Operating Model'!G7&lt;Assumptions!$K$66),MIN(MAX(0,-'Cash Flow'!G11),MAX(0,Assumptions!$D$66-G134)),0)</f>
        <v>0</v>
      </c>
      <c r="H141" s="16" t="n">
        <f aca="false">IF(AND(Assumptions!$P$66=1,OR('Operating Model'!H7&lt;Assumptions!$K$66,Recovery!G72=1)),MIN(MAX(0,-'Cash Flow'!H11),MAX(0,Assumptions!$D$66-H134)),0)</f>
        <v>0</v>
      </c>
      <c r="I141" s="16" t="n">
        <f aca="false">IF(AND(Assumptions!$P$66=1,OR('Operating Model'!I7&lt;Assumptions!$K$66,Recovery!H72=1)),MIN(MAX(0,-'Cash Flow'!I11),MAX(0,Assumptions!$D$66-I134)),0)</f>
        <v>0</v>
      </c>
      <c r="J141" s="16" t="n">
        <f aca="false">IF(AND(Assumptions!$P$66=1,OR('Operating Model'!J7&lt;Assumptions!$K$66,Recovery!I72=1)),MIN(MAX(0,-'Cash Flow'!J11),MAX(0,Assumptions!$D$66-J134)),0)</f>
        <v>0</v>
      </c>
      <c r="K141" s="16" t="n">
        <f aca="false">IF(AND(Assumptions!$P$66=1,OR('Operating Model'!K7&lt;Assumptions!$K$66,Recovery!J72=1)),MIN(MAX(0,-'Cash Flow'!K11),MAX(0,Assumptions!$D$66-K134)),0)</f>
        <v>0</v>
      </c>
    </row>
    <row r="142" customFormat="false" ht="15" hidden="false" customHeight="false" outlineLevel="0" collapsed="false">
      <c r="A142" s="3" t="s">
        <v>336</v>
      </c>
      <c r="G142" s="16" t="n">
        <f aca="false">G135*MIN(G134-G140+G139,MAX(0,'Cash Flow'!G13-Assumptions!$C$12*G15-G25-G38-G51-G64-G77-G90-G103-G116-G129))</f>
        <v>0</v>
      </c>
      <c r="H142" s="16" t="n">
        <f aca="false">H135*MIN(H134-H140+H139,MAX(0,'Cash Flow'!H13-Assumptions!$C$12*H15-H25-H38-H51-H64-H77-H90-H103-H116-H129))</f>
        <v>0</v>
      </c>
      <c r="I142" s="16" t="n">
        <f aca="false">I135*MIN(I134-I140+I139,MAX(0,'Cash Flow'!I13-Assumptions!$C$12*I15-I25-I38-I51-I64-I77-I90-I103-I116-I129))</f>
        <v>0</v>
      </c>
      <c r="J142" s="16" t="n">
        <f aca="false">J135*MIN(J134-J140+J139,MAX(0,'Cash Flow'!J13-Assumptions!$C$12*J15-J25-J38-J51-J64-J77-J90-J103-J116-J129))</f>
        <v>0</v>
      </c>
      <c r="K142" s="16" t="n">
        <f aca="false">K135*MIN(K134-K140+K139,MAX(0,'Cash Flow'!K13-Assumptions!$C$12*K15-K25-K38-K51-K64-K77-K90-K103-K116-K129))</f>
        <v>0</v>
      </c>
    </row>
    <row r="143" customFormat="false" ht="15" hidden="false" customHeight="false" outlineLevel="0" collapsed="false">
      <c r="A143" s="3" t="s">
        <v>337</v>
      </c>
      <c r="G143" s="16" t="n">
        <f aca="false">Assumptions!$N$66*MIN(G134+G141+G139-G140-G142,MAX(0,'Cash Flow'!G17-G26-G39-G52-G65-G78-G91-G104-G117-G130))</f>
        <v>0</v>
      </c>
      <c r="H143" s="16" t="n">
        <f aca="false">Assumptions!$N$66*MIN(H134+H141+H139-H140-H142,MAX(0,'Cash Flow'!H17-H26-H39-H52-H65-H78-H91-H104-H117-H130))</f>
        <v>0</v>
      </c>
      <c r="I143" s="16" t="n">
        <f aca="false">Assumptions!$N$66*MIN(I134+I141+I139-I140-I142,MAX(0,'Cash Flow'!I17-I26-I39-I52-I65-I78-I91-I104-I117-I130))</f>
        <v>0</v>
      </c>
      <c r="J143" s="16" t="n">
        <f aca="false">Assumptions!$N$66*MIN(J134+J141+J139-J140-J142,MAX(0,'Cash Flow'!J17-J26-J39-J52-J65-J78-J91-J104-J117-J130))</f>
        <v>0</v>
      </c>
      <c r="K143" s="16" t="n">
        <f aca="false">Assumptions!$N$66*MIN(K134+K141+K139-K140-K142,MAX(0,'Cash Flow'!K17-K26-K39-K52-K65-K78-K91-K104-K117-K130))</f>
        <v>0</v>
      </c>
    </row>
    <row r="144" customFormat="false" ht="15" hidden="false" customHeight="false" outlineLevel="0" collapsed="false">
      <c r="A144" s="3" t="s">
        <v>338</v>
      </c>
      <c r="G144" s="16" t="n">
        <f aca="false">G135*(1-G15)*(G134-G140+G139-G142)</f>
        <v>0</v>
      </c>
      <c r="H144" s="16" t="n">
        <f aca="false">H135*(1-H15)*(H134-H140+H139-H142)</f>
        <v>0</v>
      </c>
      <c r="I144" s="16" t="n">
        <f aca="false">I135*(1-I15)*(I134-I140+I139-I142)</f>
        <v>0</v>
      </c>
      <c r="J144" s="16" t="n">
        <f aca="false">J135*(1-J15)*(J134-J140+J139-J142)</f>
        <v>0</v>
      </c>
      <c r="K144" s="16" t="n">
        <f aca="false">K135*(1-K15)*(K134-K140+K139-K142)</f>
        <v>0</v>
      </c>
    </row>
    <row r="145" customFormat="false" ht="15" hidden="false" customHeight="false" outlineLevel="0" collapsed="false">
      <c r="A145" s="2" t="s">
        <v>339</v>
      </c>
      <c r="F145" s="28" t="n">
        <f aca="false">Assumptions!$C$66</f>
        <v>78.61</v>
      </c>
      <c r="G145" s="17" t="n">
        <f aca="false">G134+G141+G139-G140-G142-G143</f>
        <v>78.61</v>
      </c>
      <c r="H145" s="17" t="n">
        <f aca="false">H134+H141+H139-H140-H142-H143</f>
        <v>78.61</v>
      </c>
      <c r="I145" s="17" t="n">
        <f aca="false">I134+I141+I139-I140-I142-I143</f>
        <v>78.61</v>
      </c>
      <c r="J145" s="17" t="n">
        <f aca="false">J134+J141+J139-J140-J142-J143</f>
        <v>78.61</v>
      </c>
      <c r="K145" s="17" t="n">
        <f aca="false">K134+K141+K139-K140-K142-K143</f>
        <v>78.61</v>
      </c>
    </row>
    <row r="146" customFormat="false" ht="15" hidden="false" customHeight="false" outlineLevel="0" collapsed="false">
      <c r="A146" s="24" t="s">
        <v>349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customFormat="false" ht="15" hidden="false" customHeight="false" outlineLevel="0" collapsed="false">
      <c r="A147" s="2" t="s">
        <v>350</v>
      </c>
      <c r="F147" s="17" t="n">
        <f aca="false">F28+F41+F54+F67+F80+F93+F106+F119+F132+F145</f>
        <v>2625.934</v>
      </c>
      <c r="G147" s="17" t="n">
        <f aca="false">G28+G41+G54+G67+G80+G93+G106+G119+G132+G145</f>
        <v>2621.934</v>
      </c>
      <c r="H147" s="17" t="n">
        <f aca="false">H28+H41+H54+H67+H80+H93+H106+H119+H132+H145</f>
        <v>2569.380357881</v>
      </c>
      <c r="I147" s="17" t="n">
        <f aca="false">I28+I41+I54+I67+I80+I93+I106+I119+I132+I145</f>
        <v>2565.380357881</v>
      </c>
      <c r="J147" s="17" t="n">
        <f aca="false">J28+J41+J54+J67+J80+J93+J106+J119+J132+J145</f>
        <v>2561.380357881</v>
      </c>
      <c r="K147" s="17" t="n">
        <f aca="false">K28+K41+K54+K67+K80+K93+K106+K119+K132+K145</f>
        <v>2557.380357881</v>
      </c>
    </row>
    <row r="148" customFormat="false" ht="15" hidden="false" customHeight="false" outlineLevel="0" collapsed="false">
      <c r="A148" s="3" t="s">
        <v>351</v>
      </c>
      <c r="G148" s="16" t="n">
        <f aca="false">G18*Assumptions!$C$57+G31*Assumptions!$C$58+G44*Assumptions!$C$59+G57*Assumptions!$C$60+G70*Assumptions!$C$61+G83*Assumptions!$C$62+G96*Assumptions!$C$63+G109*Assumptions!$C$64+G122*Assumptions!$C$65+G135*Assumptions!$C$66</f>
        <v>0</v>
      </c>
      <c r="H148" s="16" t="n">
        <f aca="false">H18*Assumptions!$C$57+H31*Assumptions!$C$58+H44*Assumptions!$C$59+H57*Assumptions!$C$60+H70*Assumptions!$C$61+H83*Assumptions!$C$62+H96*Assumptions!$C$63+H109*Assumptions!$C$64+H122*Assumptions!$C$65+H135*Assumptions!$C$66</f>
        <v>800</v>
      </c>
      <c r="I148" s="16" t="n">
        <f aca="false">I18*Assumptions!$C$57+I31*Assumptions!$C$58+I44*Assumptions!$C$59+I57*Assumptions!$C$60+I70*Assumptions!$C$61+I83*Assumptions!$C$62+I96*Assumptions!$C$63+I109*Assumptions!$C$64+I122*Assumptions!$C$65+I135*Assumptions!$C$66</f>
        <v>550</v>
      </c>
      <c r="J148" s="16" t="n">
        <f aca="false">J18*Assumptions!$C$57+J31*Assumptions!$C$58+J44*Assumptions!$C$59+J57*Assumptions!$C$60+J70*Assumptions!$C$61+J83*Assumptions!$C$62+J96*Assumptions!$C$63+J109*Assumptions!$C$64+J122*Assumptions!$C$65+J135*Assumptions!$C$66</f>
        <v>350</v>
      </c>
      <c r="K148" s="16" t="n">
        <f aca="false">K18*Assumptions!$C$57+K31*Assumptions!$C$58+K44*Assumptions!$C$59+K57*Assumptions!$C$60+K70*Assumptions!$C$61+K83*Assumptions!$C$62+K96*Assumptions!$C$63+K109*Assumptions!$C$64+K122*Assumptions!$C$65+K135*Assumptions!$C$66</f>
        <v>700</v>
      </c>
    </row>
    <row r="149" customFormat="false" ht="15" hidden="false" customHeight="false" outlineLevel="0" collapsed="false">
      <c r="A149" s="24" t="s">
        <v>352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customFormat="false" ht="15" hidden="false" customHeight="false" outlineLevel="0" collapsed="false">
      <c r="A150" s="3" t="s">
        <v>353</v>
      </c>
      <c r="C150" s="16" t="n">
        <f aca="false">SUMPRODUCT($G$18:$K$18,$G$17:$K$17-$G$23:$K$23+$G$22:$K$22)</f>
        <v>380</v>
      </c>
    </row>
    <row r="151" customFormat="false" ht="15" hidden="false" customHeight="false" outlineLevel="0" collapsed="false">
      <c r="A151" s="3" t="s">
        <v>354</v>
      </c>
      <c r="C151" s="16" t="n">
        <f aca="false">SUMPRODUCT($G$18:$K$18,$G$25:$K$25)</f>
        <v>0</v>
      </c>
    </row>
    <row r="152" customFormat="false" ht="15" hidden="false" customHeight="false" outlineLevel="0" collapsed="false">
      <c r="A152" s="3" t="s">
        <v>355</v>
      </c>
      <c r="C152" s="3" t="str">
        <f aca="false">IF(SUM($G$18:$K$18)=0,"n/a (beyond horizon)",IF(SUMPRODUCT($G$18:$K$18,$G$15:$K$15)&gt;0,"REFINANCING PASS","REFINANCING FAILURE"))</f>
        <v>REFINANCING FAILURE</v>
      </c>
    </row>
    <row r="153" customFormat="false" ht="15" hidden="false" customHeight="false" outlineLevel="0" collapsed="false">
      <c r="A153" s="3" t="s">
        <v>356</v>
      </c>
      <c r="C153" s="3" t="str">
        <f aca="false">IF(SUM($G$18:$K$18)=0,"n/a",IF(C151&gt;=C150-0.001,"Repaid from cash",IF(SUMPRODUCT($G$18:$K$18,$G$15:$K$15)&gt;0,IF(C151&gt;0,"Partly repaid; remainder refinanced","Refinanced"),IF(SUM($G$27:$K$27)&gt;0.001,IF(C151&gt;0,"Partial repayment; PAYMENT DEFAULT","PAYMENT DEFAULT"),"Repaid from cash"))))</f>
        <v>PAYMENT DEFAULT</v>
      </c>
    </row>
    <row r="154" customFormat="false" ht="15" hidden="false" customHeight="false" outlineLevel="0" collapsed="false">
      <c r="A154" s="3" t="s">
        <v>357</v>
      </c>
      <c r="C154" s="16" t="n">
        <f aca="false">SUMPRODUCT($G$31:$K$31,$G$30:$K$30-$G$36:$K$36+$G$35:$K$35)</f>
        <v>0</v>
      </c>
    </row>
    <row r="155" customFormat="false" ht="15" hidden="false" customHeight="false" outlineLevel="0" collapsed="false">
      <c r="A155" s="3" t="s">
        <v>358</v>
      </c>
      <c r="C155" s="16" t="n">
        <f aca="false">SUMPRODUCT($G$31:$K$31,$G$38:$K$38)</f>
        <v>0</v>
      </c>
    </row>
    <row r="156" customFormat="false" ht="15" hidden="false" customHeight="false" outlineLevel="0" collapsed="false">
      <c r="A156" s="3" t="s">
        <v>359</v>
      </c>
      <c r="C156" s="3" t="str">
        <f aca="false">IF(SUM($G$31:$K$31)=0,"n/a (beyond horizon)",IF(SUMPRODUCT($G$31:$K$31,$G$15:$K$15)&gt;0,"REFINANCING PASS","REFINANCING FAILURE"))</f>
        <v>n/a (beyond horizon)</v>
      </c>
    </row>
    <row r="157" customFormat="false" ht="15" hidden="false" customHeight="false" outlineLevel="0" collapsed="false">
      <c r="A157" s="3" t="s">
        <v>360</v>
      </c>
      <c r="C157" s="3" t="str">
        <f aca="false">IF(SUM($G$31:$K$31)=0,"n/a",IF(C155&gt;=C154-0.001,"Repaid from cash",IF(SUMPRODUCT($G$31:$K$31,$G$15:$K$15)&gt;0,IF(C155&gt;0,"Partly repaid; remainder refinanced","Refinanced"),IF(SUM($G$40:$K$40)&gt;0.001,IF(C155&gt;0,"Partial repayment; PAYMENT DEFAULT","PAYMENT DEFAULT"),"Repaid from cash"))))</f>
        <v>n/a</v>
      </c>
    </row>
    <row r="158" customFormat="false" ht="15" hidden="false" customHeight="false" outlineLevel="0" collapsed="false">
      <c r="A158" s="3" t="s">
        <v>361</v>
      </c>
      <c r="C158" s="16" t="n">
        <f aca="false">SUMPRODUCT($G$44:$K$44,$G$43:$K$43-$G$49:$K$49+$G$48:$K$48)</f>
        <v>0</v>
      </c>
    </row>
    <row r="159" customFormat="false" ht="15" hidden="false" customHeight="false" outlineLevel="0" collapsed="false">
      <c r="A159" s="3" t="s">
        <v>362</v>
      </c>
      <c r="C159" s="16" t="n">
        <f aca="false">SUMPRODUCT($G$44:$K$44,$G$51:$K$51)</f>
        <v>0</v>
      </c>
    </row>
    <row r="160" customFormat="false" ht="15" hidden="false" customHeight="false" outlineLevel="0" collapsed="false">
      <c r="A160" s="3" t="s">
        <v>363</v>
      </c>
      <c r="C160" s="3" t="str">
        <f aca="false">IF(SUM($G$44:$K$44)=0,"n/a (beyond horizon)",IF(SUMPRODUCT($G$44:$K$44,$G$15:$K$15)&gt;0,"REFINANCING PASS","REFINANCING FAILURE"))</f>
        <v>n/a (beyond horizon)</v>
      </c>
    </row>
    <row r="161" customFormat="false" ht="15" hidden="false" customHeight="false" outlineLevel="0" collapsed="false">
      <c r="A161" s="3" t="s">
        <v>364</v>
      </c>
      <c r="C161" s="3" t="str">
        <f aca="false">IF(SUM($G$44:$K$44)=0,"n/a",IF(C159&gt;=C158-0.001,"Repaid from cash",IF(SUMPRODUCT($G$44:$K$44,$G$15:$K$15)&gt;0,IF(C159&gt;0,"Partly repaid; remainder refinanced","Refinanced"),IF(SUM($G$53:$K$53)&gt;0.001,IF(C159&gt;0,"Partial repayment; PAYMENT DEFAULT","PAYMENT DEFAULT"),"Repaid from cash"))))</f>
        <v>n/a</v>
      </c>
    </row>
    <row r="162" customFormat="false" ht="15" hidden="false" customHeight="false" outlineLevel="0" collapsed="false">
      <c r="A162" s="3" t="s">
        <v>365</v>
      </c>
      <c r="C162" s="16" t="n">
        <f aca="false">SUMPRODUCT($G$57:$K$57,$G$56:$K$56-$G$62:$K$62+$G$61:$K$61)</f>
        <v>0</v>
      </c>
    </row>
    <row r="163" customFormat="false" ht="15" hidden="false" customHeight="false" outlineLevel="0" collapsed="false">
      <c r="A163" s="3" t="s">
        <v>366</v>
      </c>
      <c r="C163" s="16" t="n">
        <f aca="false">SUMPRODUCT($G$57:$K$57,$G$64:$K$64)</f>
        <v>0</v>
      </c>
    </row>
    <row r="164" customFormat="false" ht="15" hidden="false" customHeight="false" outlineLevel="0" collapsed="false">
      <c r="A164" s="3" t="s">
        <v>367</v>
      </c>
      <c r="C164" s="3" t="str">
        <f aca="false">IF(SUM($G$57:$K$57)=0,"n/a (beyond horizon)",IF(SUMPRODUCT($G$57:$K$57,$G$15:$K$15)&gt;0,"REFINANCING PASS","REFINANCING FAILURE"))</f>
        <v>REFINANCING FAILURE</v>
      </c>
    </row>
    <row r="165" customFormat="false" ht="15" hidden="false" customHeight="false" outlineLevel="0" collapsed="false">
      <c r="A165" s="3" t="s">
        <v>368</v>
      </c>
      <c r="C165" s="3" t="str">
        <f aca="false">IF(SUM($G$57:$K$57)=0,"n/a",IF(C163&gt;=C162-0.001,"Repaid from cash",IF(SUMPRODUCT($G$57:$K$57,$G$15:$K$15)&gt;0,IF(C163&gt;0,"Partly repaid; remainder refinanced","Refinanced"),IF(SUM($G$66:$K$66)&gt;0.001,IF(C163&gt;0,"Partial repayment; PAYMENT DEFAULT","PAYMENT DEFAULT"),"Repaid from cash"))))</f>
        <v>Repaid from cash</v>
      </c>
    </row>
    <row r="166" customFormat="false" ht="15" hidden="false" customHeight="false" outlineLevel="0" collapsed="false">
      <c r="A166" s="3" t="s">
        <v>369</v>
      </c>
      <c r="C166" s="16" t="n">
        <f aca="false">SUMPRODUCT($G$70:$K$70,$G$69:$K$69-$G$75:$K$75+$G$74:$K$74)</f>
        <v>450</v>
      </c>
    </row>
    <row r="167" customFormat="false" ht="15" hidden="false" customHeight="false" outlineLevel="0" collapsed="false">
      <c r="A167" s="3" t="s">
        <v>370</v>
      </c>
      <c r="C167" s="16" t="n">
        <f aca="false">SUMPRODUCT($G$70:$K$70,$G$77:$K$77)</f>
        <v>48.553642119</v>
      </c>
    </row>
    <row r="168" customFormat="false" ht="15" hidden="false" customHeight="false" outlineLevel="0" collapsed="false">
      <c r="A168" s="3" t="s">
        <v>371</v>
      </c>
      <c r="C168" s="3" t="str">
        <f aca="false">IF(SUM($G$70:$K$70)=0,"n/a (beyond horizon)",IF(SUMPRODUCT($G$70:$K$70,$G$15:$K$15)&gt;0,"REFINANCING PASS","REFINANCING FAILURE"))</f>
        <v>REFINANCING FAILURE</v>
      </c>
    </row>
    <row r="169" customFormat="false" ht="15" hidden="false" customHeight="false" outlineLevel="0" collapsed="false">
      <c r="A169" s="3" t="s">
        <v>372</v>
      </c>
      <c r="C169" s="3" t="str">
        <f aca="false">IF(SUM($G$70:$K$70)=0,"n/a",IF(C167&gt;=C166-0.001,"Repaid from cash",IF(SUMPRODUCT($G$70:$K$70,$G$15:$K$15)&gt;0,IF(C167&gt;0,"Partly repaid; remainder refinanced","Refinanced"),IF(SUM($G$79:$K$79)&gt;0.001,IF(C167&gt;0,"Partial repayment; PAYMENT DEFAULT","PAYMENT DEFAULT"),"Repaid from cash"))))</f>
        <v>Partial repayment; PAYMENT DEFAULT</v>
      </c>
    </row>
    <row r="170" customFormat="false" ht="15" hidden="false" customHeight="false" outlineLevel="0" collapsed="false">
      <c r="A170" s="3" t="s">
        <v>373</v>
      </c>
      <c r="C170" s="16" t="n">
        <f aca="false">SUMPRODUCT($G$83:$K$83,$G$82:$K$82-$G$88:$K$88+$G$87:$K$87)</f>
        <v>350</v>
      </c>
    </row>
    <row r="171" customFormat="false" ht="15" hidden="false" customHeight="false" outlineLevel="0" collapsed="false">
      <c r="A171" s="3" t="s">
        <v>374</v>
      </c>
      <c r="C171" s="16" t="n">
        <f aca="false">SUMPRODUCT($G$83:$K$83,$G$90:$K$90)</f>
        <v>0</v>
      </c>
    </row>
    <row r="172" customFormat="false" ht="15" hidden="false" customHeight="false" outlineLevel="0" collapsed="false">
      <c r="A172" s="3" t="s">
        <v>375</v>
      </c>
      <c r="C172" s="3" t="str">
        <f aca="false">IF(SUM($G$83:$K$83)=0,"n/a (beyond horizon)",IF(SUMPRODUCT($G$83:$K$83,$G$15:$K$15)&gt;0,"REFINANCING PASS","REFINANCING FAILURE"))</f>
        <v>REFINANCING FAILURE</v>
      </c>
    </row>
    <row r="173" customFormat="false" ht="15" hidden="false" customHeight="false" outlineLevel="0" collapsed="false">
      <c r="A173" s="3" t="s">
        <v>376</v>
      </c>
      <c r="C173" s="3" t="str">
        <f aca="false">IF(SUM($G$83:$K$83)=0,"n/a",IF(C171&gt;=C170-0.001,"Repaid from cash",IF(SUMPRODUCT($G$83:$K$83,$G$15:$K$15)&gt;0,IF(C171&gt;0,"Partly repaid; remainder refinanced","Refinanced"),IF(SUM($G$92:$K$92)&gt;0.001,IF(C171&gt;0,"Partial repayment; PAYMENT DEFAULT","PAYMENT DEFAULT"),"Repaid from cash"))))</f>
        <v>PAYMENT DEFAULT</v>
      </c>
    </row>
    <row r="174" customFormat="false" ht="15" hidden="false" customHeight="false" outlineLevel="0" collapsed="false">
      <c r="A174" s="3" t="s">
        <v>377</v>
      </c>
      <c r="C174" s="16" t="n">
        <f aca="false">SUMPRODUCT($G$96:$K$96,$G$95:$K$95-$G$101:$K$101+$G$100:$K$100)</f>
        <v>550</v>
      </c>
    </row>
    <row r="175" customFormat="false" ht="15" hidden="false" customHeight="false" outlineLevel="0" collapsed="false">
      <c r="A175" s="3" t="s">
        <v>378</v>
      </c>
      <c r="C175" s="16" t="n">
        <f aca="false">SUMPRODUCT($G$96:$K$96,$G$103:$K$103)</f>
        <v>0</v>
      </c>
    </row>
    <row r="176" customFormat="false" ht="15" hidden="false" customHeight="false" outlineLevel="0" collapsed="false">
      <c r="A176" s="3" t="s">
        <v>379</v>
      </c>
      <c r="C176" s="3" t="str">
        <f aca="false">IF(SUM($G$96:$K$96)=0,"n/a (beyond horizon)",IF(SUMPRODUCT($G$96:$K$96,$G$15:$K$15)&gt;0,"REFINANCING PASS","REFINANCING FAILURE"))</f>
        <v>REFINANCING FAILURE</v>
      </c>
    </row>
    <row r="177" customFormat="false" ht="15" hidden="false" customHeight="false" outlineLevel="0" collapsed="false">
      <c r="A177" s="3" t="s">
        <v>380</v>
      </c>
      <c r="C177" s="3" t="str">
        <f aca="false">IF(SUM($G$96:$K$96)=0,"n/a",IF(C175&gt;=C174-0.001,"Repaid from cash",IF(SUMPRODUCT($G$96:$K$96,$G$15:$K$15)&gt;0,IF(C175&gt;0,"Partly repaid; remainder refinanced","Refinanced"),IF(SUM($G$105:$K$105)&gt;0.001,IF(C175&gt;0,"Partial repayment; PAYMENT DEFAULT","PAYMENT DEFAULT"),"Repaid from cash"))))</f>
        <v>PAYMENT DEFAULT</v>
      </c>
    </row>
    <row r="178" customFormat="false" ht="15" hidden="false" customHeight="false" outlineLevel="0" collapsed="false">
      <c r="A178" s="3" t="s">
        <v>381</v>
      </c>
      <c r="C178" s="16" t="n">
        <f aca="false">SUMPRODUCT($G$109:$K$109,$G$108:$K$108-$G$114:$K$114+$G$113:$K$113)</f>
        <v>350</v>
      </c>
    </row>
    <row r="179" customFormat="false" ht="15" hidden="false" customHeight="false" outlineLevel="0" collapsed="false">
      <c r="A179" s="3" t="s">
        <v>382</v>
      </c>
      <c r="C179" s="16" t="n">
        <f aca="false">SUMPRODUCT($G$109:$K$109,$G$116:$K$116)</f>
        <v>0</v>
      </c>
    </row>
    <row r="180" customFormat="false" ht="15" hidden="false" customHeight="false" outlineLevel="0" collapsed="false">
      <c r="A180" s="3" t="s">
        <v>383</v>
      </c>
      <c r="C180" s="3" t="str">
        <f aca="false">IF(SUM($G$109:$K$109)=0,"n/a (beyond horizon)",IF(SUMPRODUCT($G$109:$K$109,$G$15:$K$15)&gt;0,"REFINANCING PASS","REFINANCING FAILURE"))</f>
        <v>REFINANCING FAILURE</v>
      </c>
    </row>
    <row r="181" customFormat="false" ht="15" hidden="false" customHeight="false" outlineLevel="0" collapsed="false">
      <c r="A181" s="3" t="s">
        <v>384</v>
      </c>
      <c r="C181" s="3" t="str">
        <f aca="false">IF(SUM($G$109:$K$109)=0,"n/a",IF(C179&gt;=C178-0.001,"Repaid from cash",IF(SUMPRODUCT($G$109:$K$109,$G$15:$K$15)&gt;0,IF(C179&gt;0,"Partly repaid; remainder refinanced","Refinanced"),IF(SUM($G$118:$K$118)&gt;0.001,IF(C179&gt;0,"Partial repayment; PAYMENT DEFAULT","PAYMENT DEFAULT"),"Repaid from cash"))))</f>
        <v>PAYMENT DEFAULT</v>
      </c>
    </row>
    <row r="182" customFormat="false" ht="15" hidden="false" customHeight="false" outlineLevel="0" collapsed="false">
      <c r="A182" s="3" t="s">
        <v>385</v>
      </c>
      <c r="C182" s="16" t="n">
        <f aca="false">SUMPRODUCT($G$122:$K$122,$G$121:$K$121-$G$127:$K$127+$G$126:$K$126)</f>
        <v>300</v>
      </c>
    </row>
    <row r="183" customFormat="false" ht="15" hidden="false" customHeight="false" outlineLevel="0" collapsed="false">
      <c r="A183" s="3" t="s">
        <v>386</v>
      </c>
      <c r="C183" s="16" t="n">
        <f aca="false">SUMPRODUCT($G$122:$K$122,$G$129:$K$129)</f>
        <v>0</v>
      </c>
    </row>
    <row r="184" customFormat="false" ht="15" hidden="false" customHeight="false" outlineLevel="0" collapsed="false">
      <c r="A184" s="3" t="s">
        <v>387</v>
      </c>
      <c r="C184" s="3" t="str">
        <f aca="false">IF(SUM($G$122:$K$122)=0,"n/a (beyond horizon)",IF(SUMPRODUCT($G$122:$K$122,$G$15:$K$15)&gt;0,"REFINANCING PASS","REFINANCING FAILURE"))</f>
        <v>REFINANCING FAILURE</v>
      </c>
    </row>
    <row r="185" customFormat="false" ht="15" hidden="false" customHeight="false" outlineLevel="0" collapsed="false">
      <c r="A185" s="3" t="s">
        <v>388</v>
      </c>
      <c r="C185" s="3" t="str">
        <f aca="false">IF(SUM($G$122:$K$122)=0,"n/a",IF(C183&gt;=C182-0.001,"Repaid from cash",IF(SUMPRODUCT($G$122:$K$122,$G$15:$K$15)&gt;0,IF(C183&gt;0,"Partly repaid; remainder refinanced","Refinanced"),IF(SUM($G$131:$K$131)&gt;0.001,IF(C183&gt;0,"Partial repayment; PAYMENT DEFAULT","PAYMENT DEFAULT"),"Repaid from cash"))))</f>
        <v>PAYMENT DEFAULT</v>
      </c>
    </row>
    <row r="186" customFormat="false" ht="15" hidden="false" customHeight="false" outlineLevel="0" collapsed="false">
      <c r="A186" s="3" t="s">
        <v>389</v>
      </c>
      <c r="C186" s="16" t="n">
        <f aca="false">SUMPRODUCT($G$135:$K$135,$G$134:$K$134-$G$140:$K$140+$G$139:$K$139)</f>
        <v>0</v>
      </c>
    </row>
    <row r="187" customFormat="false" ht="15" hidden="false" customHeight="false" outlineLevel="0" collapsed="false">
      <c r="A187" s="3" t="s">
        <v>390</v>
      </c>
      <c r="C187" s="16" t="n">
        <f aca="false">SUMPRODUCT($G$135:$K$135,$G$142:$K$142)</f>
        <v>0</v>
      </c>
    </row>
    <row r="188" customFormat="false" ht="15" hidden="false" customHeight="false" outlineLevel="0" collapsed="false">
      <c r="A188" s="3" t="s">
        <v>391</v>
      </c>
      <c r="C188" s="3" t="str">
        <f aca="false">IF(SUM($G$135:$K$135)=0,"n/a (beyond horizon)",IF(SUMPRODUCT($G$135:$K$135,$G$15:$K$15)&gt;0,"REFINANCING PASS","REFINANCING FAILURE"))</f>
        <v>n/a (beyond horizon)</v>
      </c>
    </row>
    <row r="189" customFormat="false" ht="15" hidden="false" customHeight="false" outlineLevel="0" collapsed="false">
      <c r="A189" s="3" t="s">
        <v>392</v>
      </c>
      <c r="C189" s="3" t="str">
        <f aca="false">IF(SUM($G$135:$K$135)=0,"n/a",IF(C187&gt;=C186-0.001,"Repaid from cash",IF(SUMPRODUCT($G$135:$K$135,$G$15:$K$15)&gt;0,IF(C187&gt;0,"Partly repaid; remainder refinanced","Refinanced"),IF(SUM($G$144:$K$144)&gt;0.001,IF(C187&gt;0,"Partial repayment; PAYMENT DEFAULT","PAYMENT DEFAULT"),"Repaid from cash"))))</f>
        <v>n/a</v>
      </c>
    </row>
    <row r="190" customFormat="false" ht="15" hidden="false" customHeight="false" outlineLevel="0" collapsed="false">
      <c r="A190" s="3" t="s">
        <v>393</v>
      </c>
      <c r="C190" s="21" t="n">
        <f aca="false">IF(C152="REFINANCING FAILURE",1,0)+IF(C156="REFINANCING FAILURE",1,0)+IF(C160="REFINANCING FAILURE",1,0)+IF(C164="REFINANCING FAILURE",1,0)+IF(C168="REFINANCING FAILURE",1,0)+IF(C172="REFINANCING FAILURE",1,0)+IF(C176="REFINANCING FAILURE",1,0)+IF(C180="REFINANCING FAILURE",1,0)+IF(C184="REFINANCING FAILURE",1,0)+IF(C188="REFINANCING FAILURE",1,0)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394</v>
      </c>
    </row>
    <row r="2" customFormat="false" ht="15" hidden="false" customHeight="false" outlineLevel="0" collapsed="false">
      <c r="A2" s="3" t="str">
        <f aca="false">"Brandywine Realty Trust · PUBLIC DATA CASE · HYPOTHETICAL INVESTMENT TERMS · Active scenario: "&amp;Assumptions!$D$10</f>
        <v>Brandywine Realty Trust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232</v>
      </c>
      <c r="D4" s="7" t="s">
        <v>233</v>
      </c>
      <c r="E4" s="7" t="s">
        <v>234</v>
      </c>
      <c r="F4" s="7" t="s">
        <v>237</v>
      </c>
      <c r="G4" s="7" t="s">
        <v>296</v>
      </c>
      <c r="H4" s="7" t="s">
        <v>297</v>
      </c>
      <c r="I4" s="7" t="s">
        <v>298</v>
      </c>
      <c r="J4" s="7" t="s">
        <v>299</v>
      </c>
      <c r="K4" s="7" t="s">
        <v>300</v>
      </c>
    </row>
    <row r="6" customFormat="false" ht="15" hidden="false" customHeight="false" outlineLevel="0" collapsed="false">
      <c r="A6" s="24" t="s">
        <v>395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customFormat="false" ht="15" hidden="false" customHeight="false" outlineLevel="0" collapsed="false">
      <c r="A7" s="3" t="s">
        <v>325</v>
      </c>
      <c r="G7" s="16" t="n">
        <f aca="false">F19</f>
        <v>37.87</v>
      </c>
      <c r="H7" s="16" t="n">
        <f aca="false">G19</f>
        <v>122.9474204</v>
      </c>
      <c r="I7" s="16" t="n">
        <f aca="false">H19</f>
        <v>0</v>
      </c>
      <c r="J7" s="16" t="n">
        <f aca="false">I19</f>
        <v>-70.8793844172995</v>
      </c>
      <c r="K7" s="16" t="n">
        <f aca="false">J19</f>
        <v>-137.895771657719</v>
      </c>
    </row>
    <row r="8" customFormat="false" ht="15" hidden="false" customHeight="false" outlineLevel="0" collapsed="false">
      <c r="A8" s="3" t="s">
        <v>396</v>
      </c>
      <c r="G8" s="29" t="n">
        <f aca="false">'Operating Model'!G30</f>
        <v>-60.9225796</v>
      </c>
      <c r="H8" s="29" t="n">
        <f aca="false">'Operating Model'!H30</f>
        <v>-70.393778281</v>
      </c>
      <c r="I8" s="29" t="n">
        <f aca="false">'Operating Model'!I30</f>
        <v>-66.8793844172995</v>
      </c>
      <c r="J8" s="29" t="n">
        <f aca="false">'Operating Model'!J30</f>
        <v>-63.0163872404195</v>
      </c>
      <c r="K8" s="29" t="n">
        <f aca="false">'Operating Model'!K30</f>
        <v>-59.0959158342138</v>
      </c>
    </row>
    <row r="9" customFormat="false" ht="15" hidden="false" customHeight="false" outlineLevel="0" collapsed="false">
      <c r="A9" s="3" t="s">
        <v>397</v>
      </c>
      <c r="G9" s="16" t="n">
        <f aca="false">CHOOSE(Assumptions!$C$10,Assumptions!$G$82,Assumptions!$G$101,Assumptions!$G$120)</f>
        <v>150</v>
      </c>
      <c r="H9" s="16" t="n">
        <f aca="false">CHOOSE(Assumptions!$C$10,Assumptions!$H$82,Assumptions!$H$101,Assumptions!$H$120)</f>
        <v>0</v>
      </c>
      <c r="I9" s="16" t="n">
        <f aca="false">CHOOSE(Assumptions!$C$10,Assumptions!$I$82,Assumptions!$I$101,Assumptions!$I$120)</f>
        <v>0</v>
      </c>
      <c r="J9" s="16" t="n">
        <f aca="false">CHOOSE(Assumptions!$C$10,Assumptions!$J$82,Assumptions!$J$101,Assumptions!$J$120)</f>
        <v>0</v>
      </c>
      <c r="K9" s="16" t="n">
        <f aca="false">CHOOSE(Assumptions!$C$10,Assumptions!$K$82,Assumptions!$K$101,Assumptions!$K$120)</f>
        <v>0</v>
      </c>
    </row>
    <row r="10" customFormat="false" ht="15" hidden="false" customHeight="false" outlineLevel="0" collapsed="false">
      <c r="A10" s="3" t="s">
        <v>398</v>
      </c>
      <c r="G10" s="16" t="n">
        <f aca="false">'Debt Schedule'!G23+'Debt Schedule'!G36+'Debt Schedule'!G49+'Debt Schedule'!G62+'Debt Schedule'!G75+'Debt Schedule'!G88+'Debt Schedule'!G101+'Debt Schedule'!G114+'Debt Schedule'!G127+'Debt Schedule'!G140</f>
        <v>4</v>
      </c>
      <c r="H10" s="16" t="n">
        <f aca="false">'Debt Schedule'!H23+'Debt Schedule'!H36+'Debt Schedule'!H49+'Debt Schedule'!H62+'Debt Schedule'!H75+'Debt Schedule'!H88+'Debt Schedule'!H101+'Debt Schedule'!H114+'Debt Schedule'!H127+'Debt Schedule'!H140</f>
        <v>4</v>
      </c>
      <c r="I10" s="16" t="n">
        <f aca="false">'Debt Schedule'!I23+'Debt Schedule'!I36+'Debt Schedule'!I49+'Debt Schedule'!I62+'Debt Schedule'!I75+'Debt Schedule'!I88+'Debt Schedule'!I101+'Debt Schedule'!I114+'Debt Schedule'!I127+'Debt Schedule'!I140</f>
        <v>4</v>
      </c>
      <c r="J10" s="16" t="n">
        <f aca="false">'Debt Schedule'!J23+'Debt Schedule'!J36+'Debt Schedule'!J49+'Debt Schedule'!J62+'Debt Schedule'!J75+'Debt Schedule'!J88+'Debt Schedule'!J101+'Debt Schedule'!J114+'Debt Schedule'!J127+'Debt Schedule'!J140</f>
        <v>4</v>
      </c>
      <c r="K10" s="16" t="n">
        <f aca="false">'Debt Schedule'!K23+'Debt Schedule'!K36+'Debt Schedule'!K49+'Debt Schedule'!K62+'Debt Schedule'!K75+'Debt Schedule'!K88+'Debt Schedule'!K101+'Debt Schedule'!K114+'Debt Schedule'!K127+'Debt Schedule'!K140</f>
        <v>4</v>
      </c>
    </row>
    <row r="11" customFormat="false" ht="15" hidden="false" customHeight="false" outlineLevel="0" collapsed="false">
      <c r="A11" s="2" t="s">
        <v>399</v>
      </c>
      <c r="G11" s="17" t="n">
        <f aca="false">G7+G8+G9-G10</f>
        <v>122.9474204</v>
      </c>
      <c r="H11" s="17" t="n">
        <f aca="false">H7+H8+H9-H10</f>
        <v>48.553642119</v>
      </c>
      <c r="I11" s="17" t="n">
        <f aca="false">I7+I8+I9-I10</f>
        <v>-70.8793844172995</v>
      </c>
      <c r="J11" s="17" t="n">
        <f aca="false">J7+J8+J9-J10</f>
        <v>-137.895771657719</v>
      </c>
      <c r="K11" s="17" t="n">
        <f aca="false">K7+K8+K9-K10</f>
        <v>-200.991687491933</v>
      </c>
    </row>
    <row r="12" customFormat="false" ht="15" hidden="false" customHeight="false" outlineLevel="0" collapsed="false">
      <c r="A12" s="3" t="s">
        <v>400</v>
      </c>
      <c r="G12" s="16" t="n">
        <f aca="false">'Debt Schedule'!G24+'Debt Schedule'!G37+'Debt Schedule'!G50+'Debt Schedule'!G63+'Debt Schedule'!G76+'Debt Schedule'!G89+'Debt Schedule'!G102+'Debt Schedule'!G115+'Debt Schedule'!G128+'Debt Schedule'!G141</f>
        <v>0</v>
      </c>
      <c r="H12" s="16" t="n">
        <f aca="false">'Debt Schedule'!H24+'Debt Schedule'!H37+'Debt Schedule'!H50+'Debt Schedule'!H63+'Debt Schedule'!H76+'Debt Schedule'!H89+'Debt Schedule'!H102+'Debt Schedule'!H115+'Debt Schedule'!H128+'Debt Schedule'!H141</f>
        <v>0</v>
      </c>
      <c r="I12" s="16" t="n">
        <f aca="false">'Debt Schedule'!I24+'Debt Schedule'!I37+'Debt Schedule'!I50+'Debt Schedule'!I63+'Debt Schedule'!I76+'Debt Schedule'!I89+'Debt Schedule'!I102+'Debt Schedule'!I115+'Debt Schedule'!I128+'Debt Schedule'!I141</f>
        <v>0</v>
      </c>
      <c r="J12" s="16" t="n">
        <f aca="false">'Debt Schedule'!J24+'Debt Schedule'!J37+'Debt Schedule'!J50+'Debt Schedule'!J63+'Debt Schedule'!J76+'Debt Schedule'!J89+'Debt Schedule'!J102+'Debt Schedule'!J115+'Debt Schedule'!J128+'Debt Schedule'!J141</f>
        <v>0</v>
      </c>
      <c r="K12" s="16" t="n">
        <f aca="false">'Debt Schedule'!K24+'Debt Schedule'!K37+'Debt Schedule'!K50+'Debt Schedule'!K63+'Debt Schedule'!K76+'Debt Schedule'!K89+'Debt Schedule'!K102+'Debt Schedule'!K115+'Debt Schedule'!K128+'Debt Schedule'!K141</f>
        <v>0</v>
      </c>
    </row>
    <row r="13" customFormat="false" ht="15" hidden="false" customHeight="false" outlineLevel="0" collapsed="false">
      <c r="A13" s="2" t="s">
        <v>401</v>
      </c>
      <c r="G13" s="17" t="n">
        <f aca="false">G11+G12</f>
        <v>122.9474204</v>
      </c>
      <c r="H13" s="17" t="n">
        <f aca="false">H11+H12</f>
        <v>48.553642119</v>
      </c>
      <c r="I13" s="17" t="n">
        <f aca="false">I11+I12</f>
        <v>-70.8793844172995</v>
      </c>
      <c r="J13" s="17" t="n">
        <f aca="false">J11+J12</f>
        <v>-137.895771657719</v>
      </c>
      <c r="K13" s="17" t="n">
        <f aca="false">K11+K12</f>
        <v>-200.991687491933</v>
      </c>
    </row>
    <row r="14" customFormat="false" ht="15" hidden="false" customHeight="false" outlineLevel="0" collapsed="false">
      <c r="A14" s="3" t="s">
        <v>402</v>
      </c>
      <c r="G14" s="16" t="n">
        <f aca="false">'Debt Schedule'!G25+'Debt Schedule'!G38+'Debt Schedule'!G51+'Debt Schedule'!G64+'Debt Schedule'!G77+'Debt Schedule'!G90+'Debt Schedule'!G103+'Debt Schedule'!G116+'Debt Schedule'!G129+'Debt Schedule'!G142</f>
        <v>0</v>
      </c>
      <c r="H14" s="16" t="n">
        <f aca="false">'Debt Schedule'!H25+'Debt Schedule'!H38+'Debt Schedule'!H51+'Debt Schedule'!H64+'Debt Schedule'!H77+'Debt Schedule'!H90+'Debt Schedule'!H103+'Debt Schedule'!H116+'Debt Schedule'!H129+'Debt Schedule'!H142</f>
        <v>48.553642119</v>
      </c>
      <c r="I14" s="16" t="n">
        <f aca="false">'Debt Schedule'!I25+'Debt Schedule'!I38+'Debt Schedule'!I51+'Debt Schedule'!I64+'Debt Schedule'!I77+'Debt Schedule'!I90+'Debt Schedule'!I103+'Debt Schedule'!I116+'Debt Schedule'!I129+'Debt Schedule'!I142</f>
        <v>0</v>
      </c>
      <c r="J14" s="16" t="n">
        <f aca="false">'Debt Schedule'!J25+'Debt Schedule'!J38+'Debt Schedule'!J51+'Debt Schedule'!J64+'Debt Schedule'!J77+'Debt Schedule'!J90+'Debt Schedule'!J103+'Debt Schedule'!J116+'Debt Schedule'!J129+'Debt Schedule'!J142</f>
        <v>0</v>
      </c>
      <c r="K14" s="16" t="n">
        <f aca="false">'Debt Schedule'!K25+'Debt Schedule'!K38+'Debt Schedule'!K51+'Debt Schedule'!K64+'Debt Schedule'!K77+'Debt Schedule'!K90+'Debt Schedule'!K103+'Debt Schedule'!K116+'Debt Schedule'!K129+'Debt Schedule'!K142</f>
        <v>0</v>
      </c>
    </row>
    <row r="15" customFormat="false" ht="15" hidden="false" customHeight="false" outlineLevel="0" collapsed="false">
      <c r="A15" s="2" t="s">
        <v>403</v>
      </c>
      <c r="G15" s="17" t="n">
        <f aca="false">G13-G14</f>
        <v>122.9474204</v>
      </c>
      <c r="H15" s="17" t="n">
        <f aca="false">H13-H14</f>
        <v>0</v>
      </c>
      <c r="I15" s="17" t="n">
        <f aca="false">I13-I14</f>
        <v>-70.8793844172995</v>
      </c>
      <c r="J15" s="17" t="n">
        <f aca="false">J13-J14</f>
        <v>-137.895771657719</v>
      </c>
      <c r="K15" s="17" t="n">
        <f aca="false">K13-K14</f>
        <v>-200.991687491933</v>
      </c>
    </row>
    <row r="16" customFormat="false" ht="15" hidden="false" customHeight="false" outlineLevel="0" collapsed="false">
      <c r="A16" s="3" t="s">
        <v>404</v>
      </c>
      <c r="G16" s="16" t="n">
        <f aca="false">MAX(0,-G15)</f>
        <v>0</v>
      </c>
      <c r="H16" s="16" t="n">
        <f aca="false">MAX(0,-H15)</f>
        <v>-0</v>
      </c>
      <c r="I16" s="16" t="n">
        <f aca="false">MAX(0,-I15)</f>
        <v>70.8793844172995</v>
      </c>
      <c r="J16" s="16" t="n">
        <f aca="false">MAX(0,-J15)</f>
        <v>137.895771657719</v>
      </c>
      <c r="K16" s="16" t="n">
        <f aca="false">MAX(0,-K15)</f>
        <v>200.991687491933</v>
      </c>
    </row>
    <row r="17" customFormat="false" ht="15" hidden="false" customHeight="false" outlineLevel="0" collapsed="false">
      <c r="A17" s="3" t="s">
        <v>405</v>
      </c>
      <c r="G17" s="16" t="n">
        <f aca="false">MAX(0,G15-Assumptions!$C$12)*Assumptions!$C$13</f>
        <v>0</v>
      </c>
      <c r="H17" s="16" t="n">
        <f aca="false">MAX(0,H15-Assumptions!$C$12)*Assumptions!$C$13</f>
        <v>0</v>
      </c>
      <c r="I17" s="16" t="n">
        <f aca="false">MAX(0,I15-Assumptions!$C$12)*Assumptions!$C$13</f>
        <v>0</v>
      </c>
      <c r="J17" s="16" t="n">
        <f aca="false">MAX(0,J15-Assumptions!$C$12)*Assumptions!$C$13</f>
        <v>0</v>
      </c>
      <c r="K17" s="16" t="n">
        <f aca="false">MAX(0,K15-Assumptions!$C$12)*Assumptions!$C$13</f>
        <v>0</v>
      </c>
    </row>
    <row r="18" customFormat="false" ht="15" hidden="false" customHeight="false" outlineLevel="0" collapsed="false">
      <c r="A18" s="3" t="s">
        <v>406</v>
      </c>
      <c r="G18" s="16" t="n">
        <f aca="false">'Debt Schedule'!G26+'Debt Schedule'!G39+'Debt Schedule'!G52+'Debt Schedule'!G65+'Debt Schedule'!G78+'Debt Schedule'!G91+'Debt Schedule'!G104+'Debt Schedule'!G117+'Debt Schedule'!G130+'Debt Schedule'!G143</f>
        <v>0</v>
      </c>
      <c r="H18" s="16" t="n">
        <f aca="false">'Debt Schedule'!H26+'Debt Schedule'!H39+'Debt Schedule'!H52+'Debt Schedule'!H65+'Debt Schedule'!H78+'Debt Schedule'!H91+'Debt Schedule'!H104+'Debt Schedule'!H117+'Debt Schedule'!H130+'Debt Schedule'!H143</f>
        <v>0</v>
      </c>
      <c r="I18" s="16" t="n">
        <f aca="false">'Debt Schedule'!I26+'Debt Schedule'!I39+'Debt Schedule'!I52+'Debt Schedule'!I65+'Debt Schedule'!I78+'Debt Schedule'!I91+'Debt Schedule'!I104+'Debt Schedule'!I117+'Debt Schedule'!I130+'Debt Schedule'!I143</f>
        <v>0</v>
      </c>
      <c r="J18" s="16" t="n">
        <f aca="false">'Debt Schedule'!J26+'Debt Schedule'!J39+'Debt Schedule'!J52+'Debt Schedule'!J65+'Debt Schedule'!J78+'Debt Schedule'!J91+'Debt Schedule'!J104+'Debt Schedule'!J117+'Debt Schedule'!J130+'Debt Schedule'!J143</f>
        <v>0</v>
      </c>
      <c r="K18" s="16" t="n">
        <f aca="false">'Debt Schedule'!K26+'Debt Schedule'!K39+'Debt Schedule'!K52+'Debt Schedule'!K65+'Debt Schedule'!K78+'Debt Schedule'!K91+'Debt Schedule'!K104+'Debt Schedule'!K117+'Debt Schedule'!K130+'Debt Schedule'!K143</f>
        <v>0</v>
      </c>
    </row>
    <row r="19" customFormat="false" ht="15" hidden="false" customHeight="false" outlineLevel="0" collapsed="false">
      <c r="A19" s="2" t="s">
        <v>407</v>
      </c>
      <c r="F19" s="28" t="n">
        <f aca="false">Assumptions!$C$11</f>
        <v>37.87</v>
      </c>
      <c r="G19" s="17" t="n">
        <f aca="false">G15-G18</f>
        <v>122.9474204</v>
      </c>
      <c r="H19" s="17" t="n">
        <f aca="false">H15-H18</f>
        <v>0</v>
      </c>
      <c r="I19" s="17" t="n">
        <f aca="false">I15-I18</f>
        <v>-70.8793844172995</v>
      </c>
      <c r="J19" s="17" t="n">
        <f aca="false">J15-J18</f>
        <v>-137.895771657719</v>
      </c>
      <c r="K19" s="17" t="n">
        <f aca="false">K15-K18</f>
        <v>-200.991687491933</v>
      </c>
    </row>
    <row r="20" customFormat="false" ht="15" hidden="false" customHeight="false" outlineLevel="0" collapsed="false">
      <c r="A20" s="3" t="s">
        <v>408</v>
      </c>
      <c r="G20" s="16" t="n">
        <f aca="false">'Debt Schedule'!G27+'Debt Schedule'!G40+'Debt Schedule'!G53+'Debt Schedule'!G66+'Debt Schedule'!G79+'Debt Schedule'!G92+'Debt Schedule'!G105+'Debt Schedule'!G118+'Debt Schedule'!G131+'Debt Schedule'!G144</f>
        <v>0</v>
      </c>
      <c r="H20" s="16" t="n">
        <f aca="false">'Debt Schedule'!H27+'Debt Schedule'!H40+'Debt Schedule'!H53+'Debt Schedule'!H66+'Debt Schedule'!H79+'Debt Schedule'!H92+'Debt Schedule'!H105+'Debt Schedule'!H118+'Debt Schedule'!H131+'Debt Schedule'!H144</f>
        <v>751.446357881</v>
      </c>
      <c r="I20" s="16" t="n">
        <f aca="false">'Debt Schedule'!I27+'Debt Schedule'!I40+'Debt Schedule'!I53+'Debt Schedule'!I66+'Debt Schedule'!I79+'Debt Schedule'!I92+'Debt Schedule'!I105+'Debt Schedule'!I118+'Debt Schedule'!I131+'Debt Schedule'!I144</f>
        <v>550</v>
      </c>
      <c r="J20" s="16" t="n">
        <f aca="false">'Debt Schedule'!J27+'Debt Schedule'!J40+'Debt Schedule'!J53+'Debt Schedule'!J66+'Debt Schedule'!J79+'Debt Schedule'!J92+'Debt Schedule'!J105+'Debt Schedule'!J118+'Debt Schedule'!J131+'Debt Schedule'!J144</f>
        <v>350</v>
      </c>
      <c r="K20" s="16" t="n">
        <f aca="false">'Debt Schedule'!K27+'Debt Schedule'!K40+'Debt Schedule'!K53+'Debt Schedule'!K66+'Debt Schedule'!K79+'Debt Schedule'!K92+'Debt Schedule'!K105+'Debt Schedule'!K118+'Debt Schedule'!K131+'Debt Schedule'!K144</f>
        <v>680</v>
      </c>
    </row>
    <row r="21" customFormat="false" ht="15" hidden="false" customHeight="false" outlineLevel="0" collapsed="false">
      <c r="A21" s="3" t="s">
        <v>409</v>
      </c>
      <c r="G21" s="21" t="n">
        <f aca="false">IF(OR(G16&gt;0.001,G20&gt;0.001),1,0)</f>
        <v>0</v>
      </c>
      <c r="H21" s="21" t="n">
        <f aca="false">IF(OR(H16&gt;0.001,H20&gt;0.001),1,0)</f>
        <v>1</v>
      </c>
      <c r="I21" s="21" t="n">
        <f aca="false">IF(OR(I16&gt;0.001,I20&gt;0.001),1,0)</f>
        <v>1</v>
      </c>
      <c r="J21" s="21" t="n">
        <f aca="false">IF(OR(J16&gt;0.001,J20&gt;0.001),1,0)</f>
        <v>1</v>
      </c>
      <c r="K21" s="21" t="n">
        <f aca="false">IF(OR(K16&gt;0.001,K20&gt;0.001),1,0)</f>
        <v>1</v>
      </c>
    </row>
    <row r="22" customFormat="false" ht="15" hidden="false" customHeight="false" outlineLevel="0" collapsed="false">
      <c r="A22" s="3" t="s">
        <v>410</v>
      </c>
      <c r="G22" s="21" t="n">
        <f aca="false">IF(G21=1,1,0)</f>
        <v>0</v>
      </c>
      <c r="H22" s="21" t="n">
        <f aca="false">IF(AND(H21=1,SUM($G$21:G21)=0),1,0)</f>
        <v>1</v>
      </c>
      <c r="I22" s="21" t="n">
        <f aca="false">IF(AND(I21=1,SUM($G$21:H21)=0),1,0)</f>
        <v>0</v>
      </c>
      <c r="J22" s="21" t="n">
        <f aca="false">IF(AND(J21=1,SUM($G$21:I21)=0),1,0)</f>
        <v>0</v>
      </c>
      <c r="K22" s="21" t="n">
        <f aca="false">IF(AND(K21=1,SUM($G$21:J21)=0),1,0)</f>
        <v>0</v>
      </c>
    </row>
    <row r="23" customFormat="false" ht="15" hidden="false" customHeight="false" outlineLevel="0" collapsed="false">
      <c r="A23" s="3" t="s">
        <v>411</v>
      </c>
      <c r="G23" s="16" t="n">
        <f aca="false">('Debt Schedule'!G147-'Debt Schedule'!F147)-(G12+'Operating Model'!G22-G10-G14-G18)</f>
        <v>0</v>
      </c>
      <c r="H23" s="16" t="n">
        <f aca="false">('Debt Schedule'!H147-'Debt Schedule'!G147)-(H12+'Operating Model'!H22-H10-H14-H18)</f>
        <v>-3.83693077310454E-013</v>
      </c>
      <c r="I23" s="16" t="n">
        <f aca="false">('Debt Schedule'!I147-'Debt Schedule'!H147)-(I12+'Operating Model'!I22-I10-I14-I18)</f>
        <v>0</v>
      </c>
      <c r="J23" s="16" t="n">
        <f aca="false">('Debt Schedule'!J147-'Debt Schedule'!I147)-(J12+'Operating Model'!J22-J10-J14-J18)</f>
        <v>0</v>
      </c>
      <c r="K23" s="16" t="n">
        <f aca="false">('Debt Schedule'!K147-'Debt Schedule'!J147)-(K12+'Operating Model'!K22-K10-K14-K18)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8" min="3" style="0" width="1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412</v>
      </c>
    </row>
    <row r="2" customFormat="false" ht="15" hidden="false" customHeight="false" outlineLevel="0" collapsed="false">
      <c r="A2" s="3" t="str">
        <f aca="false">"Brandywine Realty Trust · PUBLIC DATA CASE · HYPOTHETICAL INVESTMENT TERMS · Active scenario: "&amp;Assumptions!$D$10</f>
        <v>Brandywine Realty Trust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232</v>
      </c>
      <c r="D4" s="7" t="s">
        <v>233</v>
      </c>
      <c r="E4" s="7" t="s">
        <v>234</v>
      </c>
      <c r="F4" s="7" t="s">
        <v>237</v>
      </c>
      <c r="G4" s="7" t="s">
        <v>296</v>
      </c>
      <c r="H4" s="7" t="s">
        <v>297</v>
      </c>
      <c r="I4" s="7" t="s">
        <v>298</v>
      </c>
      <c r="J4" s="7" t="s">
        <v>299</v>
      </c>
      <c r="K4" s="7" t="s">
        <v>300</v>
      </c>
    </row>
    <row r="6" customFormat="false" ht="15" hidden="false" customHeight="false" outlineLevel="0" collapsed="false">
      <c r="A6" s="24" t="s">
        <v>413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customFormat="false" ht="15" hidden="false" customHeight="false" outlineLevel="0" collapsed="false">
      <c r="A7" s="3" t="s">
        <v>414</v>
      </c>
      <c r="F7" s="29" t="n">
        <f aca="false">'Debt Schedule'!F147</f>
        <v>2625.934</v>
      </c>
      <c r="G7" s="29" t="n">
        <f aca="false">'Debt Schedule'!G147</f>
        <v>2621.934</v>
      </c>
      <c r="H7" s="29" t="n">
        <f aca="false">'Debt Schedule'!H147</f>
        <v>2569.380357881</v>
      </c>
      <c r="I7" s="29" t="n">
        <f aca="false">'Debt Schedule'!I147</f>
        <v>2565.380357881</v>
      </c>
      <c r="J7" s="29" t="n">
        <f aca="false">'Debt Schedule'!J147</f>
        <v>2561.380357881</v>
      </c>
      <c r="K7" s="29" t="n">
        <f aca="false">'Debt Schedule'!K147</f>
        <v>2557.380357881</v>
      </c>
    </row>
    <row r="8" customFormat="false" ht="15" hidden="false" customHeight="false" outlineLevel="0" collapsed="false">
      <c r="A8" s="3" t="s">
        <v>415</v>
      </c>
      <c r="F8" s="16" t="n">
        <f aca="false">Assumptions!$O$57*'Debt Schedule'!F28+Assumptions!$O$58*'Debt Schedule'!F41+Assumptions!$O$59*'Debt Schedule'!F54+Assumptions!$O$60*'Debt Schedule'!F67+Assumptions!$O$61*'Debt Schedule'!F80+Assumptions!$O$62*'Debt Schedule'!F93+Assumptions!$O$63*'Debt Schedule'!F106+Assumptions!$O$64*'Debt Schedule'!F119+Assumptions!$O$65*'Debt Schedule'!F132+Assumptions!$O$66*'Debt Schedule'!F145</f>
        <v>547.324</v>
      </c>
      <c r="G8" s="16" t="n">
        <f aca="false">Assumptions!$O$57*'Debt Schedule'!G28+Assumptions!$O$58*'Debt Schedule'!G41+Assumptions!$O$59*'Debt Schedule'!G54+Assumptions!$O$60*'Debt Schedule'!G67+Assumptions!$O$61*'Debt Schedule'!G80+Assumptions!$O$62*'Debt Schedule'!G93+Assumptions!$O$63*'Debt Schedule'!G106+Assumptions!$O$64*'Debt Schedule'!G119+Assumptions!$O$65*'Debt Schedule'!G132+Assumptions!$O$66*'Debt Schedule'!G145</f>
        <v>543.324</v>
      </c>
      <c r="H8" s="16" t="n">
        <f aca="false">Assumptions!$O$57*'Debt Schedule'!H28+Assumptions!$O$58*'Debt Schedule'!H41+Assumptions!$O$59*'Debt Schedule'!H54+Assumptions!$O$60*'Debt Schedule'!H67+Assumptions!$O$61*'Debt Schedule'!H80+Assumptions!$O$62*'Debt Schedule'!H93+Assumptions!$O$63*'Debt Schedule'!H106+Assumptions!$O$64*'Debt Schedule'!H119+Assumptions!$O$65*'Debt Schedule'!H132+Assumptions!$O$66*'Debt Schedule'!H145</f>
        <v>539.324</v>
      </c>
      <c r="I8" s="16" t="n">
        <f aca="false">Assumptions!$O$57*'Debt Schedule'!I28+Assumptions!$O$58*'Debt Schedule'!I41+Assumptions!$O$59*'Debt Schedule'!I54+Assumptions!$O$60*'Debt Schedule'!I67+Assumptions!$O$61*'Debt Schedule'!I80+Assumptions!$O$62*'Debt Schedule'!I93+Assumptions!$O$63*'Debt Schedule'!I106+Assumptions!$O$64*'Debt Schedule'!I119+Assumptions!$O$65*'Debt Schedule'!I132+Assumptions!$O$66*'Debt Schedule'!I145</f>
        <v>535.324</v>
      </c>
      <c r="J8" s="16" t="n">
        <f aca="false">Assumptions!$O$57*'Debt Schedule'!J28+Assumptions!$O$58*'Debt Schedule'!J41+Assumptions!$O$59*'Debt Schedule'!J54+Assumptions!$O$60*'Debt Schedule'!J67+Assumptions!$O$61*'Debt Schedule'!J80+Assumptions!$O$62*'Debt Schedule'!J93+Assumptions!$O$63*'Debt Schedule'!J106+Assumptions!$O$64*'Debt Schedule'!J119+Assumptions!$O$65*'Debt Schedule'!J132+Assumptions!$O$66*'Debt Schedule'!J145</f>
        <v>531.324</v>
      </c>
      <c r="K8" s="16" t="n">
        <f aca="false">Assumptions!$O$57*'Debt Schedule'!K28+Assumptions!$O$58*'Debt Schedule'!K41+Assumptions!$O$59*'Debt Schedule'!K54+Assumptions!$O$60*'Debt Schedule'!K67+Assumptions!$O$61*'Debt Schedule'!K80+Assumptions!$O$62*'Debt Schedule'!K93+Assumptions!$O$63*'Debt Schedule'!K106+Assumptions!$O$64*'Debt Schedule'!K119+Assumptions!$O$65*'Debt Schedule'!K132+Assumptions!$O$66*'Debt Schedule'!K145</f>
        <v>527.324</v>
      </c>
    </row>
    <row r="9" customFormat="false" ht="15" hidden="false" customHeight="false" outlineLevel="0" collapsed="false">
      <c r="A9" s="3" t="s">
        <v>416</v>
      </c>
      <c r="F9" s="16" t="n">
        <f aca="false">F7-'Cash Flow'!F19</f>
        <v>2588.064</v>
      </c>
      <c r="G9" s="16" t="n">
        <f aca="false">G7-'Cash Flow'!G19</f>
        <v>2498.9865796</v>
      </c>
      <c r="H9" s="16" t="n">
        <f aca="false">H7-'Cash Flow'!H19</f>
        <v>2569.380357881</v>
      </c>
      <c r="I9" s="16" t="n">
        <f aca="false">I7-'Cash Flow'!I19</f>
        <v>2636.2597422983</v>
      </c>
      <c r="J9" s="16" t="n">
        <f aca="false">J7-'Cash Flow'!J19</f>
        <v>2699.27612953872</v>
      </c>
      <c r="K9" s="16" t="n">
        <f aca="false">K7-'Cash Flow'!K19</f>
        <v>2758.37204537293</v>
      </c>
    </row>
    <row r="10" customFormat="false" ht="15" hidden="false" customHeight="false" outlineLevel="0" collapsed="false">
      <c r="A10" s="3" t="s">
        <v>417</v>
      </c>
      <c r="F10" s="32" t="n">
        <f aca="false">IF('Operating Model'!F17&gt;0,F7/'Operating Model'!F17,0)</f>
        <v>9.92127763273726</v>
      </c>
      <c r="G10" s="32" t="n">
        <f aca="false">IF('Operating Model'!G17&gt;0,G7/'Operating Model'!G17,0)</f>
        <v>11.1954319438308</v>
      </c>
      <c r="H10" s="32" t="n">
        <f aca="false">IF('Operating Model'!H17&gt;0,H7/'Operating Model'!H17,0)</f>
        <v>11.6601471215067</v>
      </c>
      <c r="I10" s="32" t="n">
        <f aca="false">IF('Operating Model'!I17&gt;0,I7/'Operating Model'!I17,0)</f>
        <v>11.6419946559354</v>
      </c>
      <c r="J10" s="32" t="n">
        <f aca="false">IF('Operating Model'!J17&gt;0,J7/'Operating Model'!J17,0)</f>
        <v>11.3913183720481</v>
      </c>
      <c r="K10" s="32" t="n">
        <f aca="false">IF('Operating Model'!K17&gt;0,K7/'Operating Model'!K17,0)</f>
        <v>11.14717316588</v>
      </c>
    </row>
    <row r="11" customFormat="false" ht="15" hidden="false" customHeight="false" outlineLevel="0" collapsed="false">
      <c r="A11" s="3" t="s">
        <v>418</v>
      </c>
      <c r="F11" s="32" t="n">
        <f aca="false">IF('Operating Model'!F17&gt;0,F9/'Operating Model'!F17,0)</f>
        <v>9.77819757666892</v>
      </c>
      <c r="G11" s="32" t="n">
        <f aca="false">IF('Operating Model'!G17&gt;0,G9/'Operating Model'!G17,0)</f>
        <v>10.6704570673626</v>
      </c>
      <c r="H11" s="32" t="n">
        <f aca="false">IF('Operating Model'!H17&gt;0,H9/'Operating Model'!H17,0)</f>
        <v>11.6601471215067</v>
      </c>
      <c r="I11" s="32" t="n">
        <f aca="false">IF('Operating Model'!I17&gt;0,I9/'Operating Model'!I17,0)</f>
        <v>11.9636535522731</v>
      </c>
      <c r="J11" s="32" t="n">
        <f aca="false">IF('Operating Model'!J17&gt;0,J9/'Operating Model'!J17,0)</f>
        <v>12.0045871637288</v>
      </c>
      <c r="K11" s="32" t="n">
        <f aca="false">IF('Operating Model'!K17&gt;0,K9/'Operating Model'!K17,0)</f>
        <v>12.0232607366907</v>
      </c>
    </row>
    <row r="12" customFormat="false" ht="15" hidden="false" customHeight="false" outlineLevel="0" collapsed="false">
      <c r="A12" s="3" t="s">
        <v>419</v>
      </c>
      <c r="F12" s="32" t="n">
        <f aca="false">IF('Operating Model'!F23&gt;0,'Operating Model'!F17/'Operating Model'!F23,0)</f>
        <v>1.72332584562295</v>
      </c>
      <c r="G12" s="32" t="n">
        <f aca="false">IF('Operating Model'!G21&gt;0,'Operating Model'!G17/'Operating Model'!G21,0)</f>
        <v>1.24979041307388</v>
      </c>
      <c r="H12" s="32" t="n">
        <f aca="false">IF('Operating Model'!H21&gt;0,'Operating Model'!H17/'Operating Model'!H21,0)</f>
        <v>1.18311222526984</v>
      </c>
      <c r="I12" s="32" t="n">
        <f aca="false">IF('Operating Model'!I21&gt;0,'Operating Model'!I17/'Operating Model'!I21,0)</f>
        <v>1.20586587186349</v>
      </c>
      <c r="J12" s="32" t="n">
        <f aca="false">IF('Operating Model'!J21&gt;0,'Operating Model'!J17/'Operating Model'!J21,0)</f>
        <v>1.23324745076441</v>
      </c>
      <c r="K12" s="32" t="n">
        <f aca="false">IF('Operating Model'!K21&gt;0,'Operating Model'!K17/'Operating Model'!K21,0)</f>
        <v>1.26112583435714</v>
      </c>
    </row>
    <row r="13" customFormat="false" ht="15" hidden="false" customHeight="false" outlineLevel="0" collapsed="false">
      <c r="A13" s="3" t="s">
        <v>420</v>
      </c>
      <c r="F13" s="32" t="n">
        <f aca="false">IF('Operating Model'!F23&gt;0,'Operating Model'!F20/'Operating Model'!F23,0)</f>
        <v>0.516873392583911</v>
      </c>
      <c r="G13" s="32" t="n">
        <f aca="false">IF('Operating Model'!G21&gt;0,'Operating Model'!G20/'Operating Model'!G21,0)</f>
        <v>0.320303767681135</v>
      </c>
      <c r="H13" s="32" t="n">
        <f aca="false">IF('Operating Model'!H21&gt;0,'Operating Model'!H20/'Operating Model'!H21,0)</f>
        <v>0.27600176891797</v>
      </c>
      <c r="I13" s="32" t="n">
        <f aca="false">IF('Operating Model'!I21&gt;0,'Operating Model'!I20/'Operating Model'!I21,0)</f>
        <v>0.281309842467585</v>
      </c>
      <c r="J13" s="32" t="n">
        <f aca="false">IF('Operating Model'!J21&gt;0,'Operating Model'!J20/'Operating Model'!J21,0)</f>
        <v>0.297346009456427</v>
      </c>
      <c r="K13" s="32" t="n">
        <f aca="false">IF('Operating Model'!K21&gt;0,'Operating Model'!K20/'Operating Model'!K21,0)</f>
        <v>0.313734968638568</v>
      </c>
    </row>
    <row r="14" customFormat="false" ht="15" hidden="false" customHeight="false" outlineLevel="0" collapsed="false">
      <c r="A14" s="3" t="s">
        <v>213</v>
      </c>
      <c r="F14" s="22" t="n">
        <f aca="false">IF(F7&gt;0,'Operating Model'!F30/F7,0)</f>
        <v>-0.00274454727346537</v>
      </c>
      <c r="G14" s="22" t="n">
        <f aca="false">IF(G7&gt;0,'Operating Model'!G30/G7,0)</f>
        <v>-0.0232357410979834</v>
      </c>
      <c r="H14" s="22" t="n">
        <f aca="false">IF(H7&gt;0,'Operating Model'!H30/H7,0)</f>
        <v>-0.0273971808280867</v>
      </c>
      <c r="I14" s="22" t="n">
        <f aca="false">IF(I7&gt;0,'Operating Model'!I30/I7,0)</f>
        <v>-0.0260699682258976</v>
      </c>
      <c r="J14" s="22" t="n">
        <f aca="false">IF(J7&gt;0,'Operating Model'!J30/J7,0)</f>
        <v>-0.0246025105355896</v>
      </c>
      <c r="K14" s="22" t="n">
        <f aca="false">IF(K7&gt;0,'Operating Model'!K30/K7,0)</f>
        <v>-0.0231079884742603</v>
      </c>
    </row>
    <row r="15" customFormat="false" ht="15" hidden="false" customHeight="false" outlineLevel="0" collapsed="false">
      <c r="A15" s="3" t="s">
        <v>421</v>
      </c>
      <c r="G15" s="32" t="n">
        <f aca="false">IF('Operating Model'!G21+'Cash Flow'!G10&gt;0,('Operating Model'!G17-'Operating Model'!G28-'Operating Model'!G25)/('Operating Model'!G21+'Cash Flow'!G10),0)</f>
        <v>0.783148779220797</v>
      </c>
      <c r="H15" s="32" t="n">
        <f aca="false">IF('Operating Model'!H21+'Cash Flow'!H10&gt;0,('Operating Model'!H17-'Operating Model'!H28-'Operating Model'!H25)/('Operating Model'!H21+'Cash Flow'!H10),0)</f>
        <v>0.728376128313333</v>
      </c>
      <c r="I15" s="32" t="n">
        <f aca="false">IF('Operating Model'!I21+'Cash Flow'!I10&gt;0,('Operating Model'!I17-'Operating Model'!I28-'Operating Model'!I25)/('Operating Model'!I21+'Cash Flow'!I10),0)</f>
        <v>0.742084215548814</v>
      </c>
      <c r="J15" s="32" t="n">
        <f aca="false">IF('Operating Model'!J21+'Cash Flow'!J10&gt;0,('Operating Model'!J17-'Operating Model'!J28-'Operating Model'!J25)/('Operating Model'!J21+'Cash Flow'!J10),0)</f>
        <v>0.763468302110309</v>
      </c>
      <c r="K15" s="32" t="n">
        <f aca="false">IF('Operating Model'!K21+'Cash Flow'!K10&gt;0,('Operating Model'!K17-'Operating Model'!K28-'Operating Model'!K25)/('Operating Model'!K21+'Cash Flow'!K10),0)</f>
        <v>0.785268063869781</v>
      </c>
    </row>
    <row r="16" customFormat="false" ht="15" hidden="false" customHeight="false" outlineLevel="0" collapsed="false">
      <c r="A16" s="3" t="s">
        <v>422</v>
      </c>
      <c r="F16" s="16" t="n">
        <f aca="false">MAX(0,'Cash Flow'!F19)+Assumptions!$P$57*MAX(0,Assumptions!$D$57-'Debt Schedule'!F28)+Assumptions!$P$58*MAX(0,Assumptions!$D$58-'Debt Schedule'!F41)+Assumptions!$P$59*MAX(0,Assumptions!$D$59-'Debt Schedule'!F54)+Assumptions!$P$60*MAX(0,Assumptions!$D$60-'Debt Schedule'!F67)+Assumptions!$P$61*MAX(0,Assumptions!$D$61-'Debt Schedule'!F80)+Assumptions!$P$62*MAX(0,Assumptions!$D$62-'Debt Schedule'!F93)+Assumptions!$P$63*MAX(0,Assumptions!$D$63-'Debt Schedule'!F106)+Assumptions!$P$64*MAX(0,Assumptions!$D$64-'Debt Schedule'!F119)+Assumptions!$P$65*MAX(0,Assumptions!$D$65-'Debt Schedule'!F132)+Assumptions!$P$66*MAX(0,Assumptions!$D$66-'Debt Schedule'!F145)</f>
        <v>612.37</v>
      </c>
      <c r="G16" s="16" t="n">
        <f aca="false">MAX(0,'Cash Flow'!G19)+Assumptions!$P$57*MAX(0,Assumptions!$D$57-'Debt Schedule'!G28)+Assumptions!$P$58*MAX(0,Assumptions!$D$58-'Debt Schedule'!G41)+Assumptions!$P$59*MAX(0,Assumptions!$D$59-'Debt Schedule'!G54)+Assumptions!$P$60*MAX(0,Assumptions!$D$60-'Debt Schedule'!G67)+Assumptions!$P$61*MAX(0,Assumptions!$D$61-'Debt Schedule'!G80)+Assumptions!$P$62*MAX(0,Assumptions!$D$62-'Debt Schedule'!G93)+Assumptions!$P$63*MAX(0,Assumptions!$D$63-'Debt Schedule'!G106)+Assumptions!$P$64*MAX(0,Assumptions!$D$64-'Debt Schedule'!G119)+Assumptions!$P$65*MAX(0,Assumptions!$D$65-'Debt Schedule'!G132)+Assumptions!$P$66*MAX(0,Assumptions!$D$66-'Debt Schedule'!G145)</f>
        <v>697.4474204</v>
      </c>
      <c r="H16" s="16" t="n">
        <f aca="false">MAX(0,'Cash Flow'!H19)+Assumptions!$P$57*MAX(0,Assumptions!$D$57-'Debt Schedule'!H28)+Assumptions!$P$58*MAX(0,Assumptions!$D$58-'Debt Schedule'!H41)+Assumptions!$P$59*MAX(0,Assumptions!$D$59-'Debt Schedule'!H54)+Assumptions!$P$60*MAX(0,Assumptions!$D$60-'Debt Schedule'!H67)+Assumptions!$P$61*MAX(0,Assumptions!$D$61-'Debt Schedule'!H80)+Assumptions!$P$62*MAX(0,Assumptions!$D$62-'Debt Schedule'!H93)+Assumptions!$P$63*MAX(0,Assumptions!$D$63-'Debt Schedule'!H106)+Assumptions!$P$64*MAX(0,Assumptions!$D$64-'Debt Schedule'!H119)+Assumptions!$P$65*MAX(0,Assumptions!$D$65-'Debt Schedule'!H132)+Assumptions!$P$66*MAX(0,Assumptions!$D$66-'Debt Schedule'!H145)</f>
        <v>574.5</v>
      </c>
      <c r="I16" s="16" t="n">
        <f aca="false">MAX(0,'Cash Flow'!I19)+Assumptions!$P$57*MAX(0,Assumptions!$D$57-'Debt Schedule'!I28)+Assumptions!$P$58*MAX(0,Assumptions!$D$58-'Debt Schedule'!I41)+Assumptions!$P$59*MAX(0,Assumptions!$D$59-'Debt Schedule'!I54)+Assumptions!$P$60*MAX(0,Assumptions!$D$60-'Debt Schedule'!I67)+Assumptions!$P$61*MAX(0,Assumptions!$D$61-'Debt Schedule'!I80)+Assumptions!$P$62*MAX(0,Assumptions!$D$62-'Debt Schedule'!I93)+Assumptions!$P$63*MAX(0,Assumptions!$D$63-'Debt Schedule'!I106)+Assumptions!$P$64*MAX(0,Assumptions!$D$64-'Debt Schedule'!I119)+Assumptions!$P$65*MAX(0,Assumptions!$D$65-'Debt Schedule'!I132)+Assumptions!$P$66*MAX(0,Assumptions!$D$66-'Debt Schedule'!I145)</f>
        <v>574.5</v>
      </c>
      <c r="J16" s="16" t="n">
        <f aca="false">MAX(0,'Cash Flow'!J19)+Assumptions!$P$57*MAX(0,Assumptions!$D$57-'Debt Schedule'!J28)+Assumptions!$P$58*MAX(0,Assumptions!$D$58-'Debt Schedule'!J41)+Assumptions!$P$59*MAX(0,Assumptions!$D$59-'Debt Schedule'!J54)+Assumptions!$P$60*MAX(0,Assumptions!$D$60-'Debt Schedule'!J67)+Assumptions!$P$61*MAX(0,Assumptions!$D$61-'Debt Schedule'!J80)+Assumptions!$P$62*MAX(0,Assumptions!$D$62-'Debt Schedule'!J93)+Assumptions!$P$63*MAX(0,Assumptions!$D$63-'Debt Schedule'!J106)+Assumptions!$P$64*MAX(0,Assumptions!$D$64-'Debt Schedule'!J119)+Assumptions!$P$65*MAX(0,Assumptions!$D$65-'Debt Schedule'!J132)+Assumptions!$P$66*MAX(0,Assumptions!$D$66-'Debt Schedule'!J145)</f>
        <v>574.5</v>
      </c>
      <c r="K16" s="16" t="n">
        <f aca="false">MAX(0,'Cash Flow'!K19)+Assumptions!$P$57*MAX(0,Assumptions!$D$57-'Debt Schedule'!K28)+Assumptions!$P$58*MAX(0,Assumptions!$D$58-'Debt Schedule'!K41)+Assumptions!$P$59*MAX(0,Assumptions!$D$59-'Debt Schedule'!K54)+Assumptions!$P$60*MAX(0,Assumptions!$D$60-'Debt Schedule'!K67)+Assumptions!$P$61*MAX(0,Assumptions!$D$61-'Debt Schedule'!K80)+Assumptions!$P$62*MAX(0,Assumptions!$D$62-'Debt Schedule'!K93)+Assumptions!$P$63*MAX(0,Assumptions!$D$63-'Debt Schedule'!K106)+Assumptions!$P$64*MAX(0,Assumptions!$D$64-'Debt Schedule'!K119)+Assumptions!$P$65*MAX(0,Assumptions!$D$65-'Debt Schedule'!K132)+Assumptions!$P$66*MAX(0,Assumptions!$D$66-'Debt Schedule'!K145)</f>
        <v>574.5</v>
      </c>
    </row>
    <row r="17" customFormat="false" ht="15" hidden="false" customHeight="false" outlineLevel="0" collapsed="false">
      <c r="A17" s="3" t="s">
        <v>423</v>
      </c>
      <c r="G17" s="22" t="n">
        <f aca="false">IF(G7&gt;0,G7/(G7+MAX(0,'Operating Model'!G17*CHOOSE(Assumptions!$C$10,Assumptions!$C$90,Assumptions!$C$109,Assumptions!$C$128)-G9)),0)</f>
        <v>0.971406190801315</v>
      </c>
      <c r="H17" s="22" t="n">
        <f aca="false">IF(H7&gt;0,H7/(H7+MAX(0,'Operating Model'!H17*CHOOSE(Assumptions!$C$10,Assumptions!$C$90,Assumptions!$C$109,Assumptions!$C$128)-H9)),0)</f>
        <v>1</v>
      </c>
      <c r="I17" s="22" t="n">
        <f aca="false">IF(I7&gt;0,I7/(I7+MAX(0,'Operating Model'!I17*CHOOSE(Assumptions!$C$10,Assumptions!$C$90,Assumptions!$C$109,Assumptions!$C$128)-I9)),0)</f>
        <v>1</v>
      </c>
      <c r="J17" s="22" t="n">
        <f aca="false">IF(J7&gt;0,J7/(J7+MAX(0,'Operating Model'!J17*CHOOSE(Assumptions!$C$10,Assumptions!$C$90,Assumptions!$C$109,Assumptions!$C$128)-J9)),0)</f>
        <v>1</v>
      </c>
      <c r="K17" s="22" t="n">
        <f aca="false">IF(K7&gt;0,K7/(K7+MAX(0,'Operating Model'!K17*CHOOSE(Assumptions!$C$10,Assumptions!$C$90,Assumptions!$C$109,Assumptions!$C$128)-K9)),0)</f>
        <v>1</v>
      </c>
    </row>
    <row r="18" customFormat="false" ht="15" hidden="false" customHeight="false" outlineLevel="0" collapsed="false">
      <c r="A18" s="3" t="s">
        <v>424</v>
      </c>
      <c r="F18" s="22" t="n">
        <f aca="false">IF(F7&gt;0,MAX(0,'Cash Flow'!F19)/F7,0)</f>
        <v>0.0144215353470422</v>
      </c>
      <c r="G18" s="22" t="n">
        <f aca="false">IF(G7&gt;0,MAX(0,'Cash Flow'!G19)/G7,0)</f>
        <v>0.0468918822518034</v>
      </c>
      <c r="H18" s="22" t="n">
        <f aca="false">IF(H7&gt;0,MAX(0,'Cash Flow'!H19)/H7,0)</f>
        <v>0</v>
      </c>
      <c r="I18" s="22" t="n">
        <f aca="false">IF(I7&gt;0,MAX(0,'Cash Flow'!I19)/I7,0)</f>
        <v>0</v>
      </c>
      <c r="J18" s="22" t="n">
        <f aca="false">IF(J7&gt;0,MAX(0,'Cash Flow'!J19)/J7,0)</f>
        <v>0</v>
      </c>
      <c r="K18" s="22" t="n">
        <f aca="false">IF(K7&gt;0,MAX(0,'Cash Flow'!K19)/K7,0)</f>
        <v>0</v>
      </c>
    </row>
    <row r="19" customFormat="false" ht="15" hidden="false" customHeight="false" outlineLevel="0" collapsed="false">
      <c r="A19" s="3" t="s">
        <v>425</v>
      </c>
      <c r="G19" s="16" t="n">
        <f aca="false">Assumptions!$C$31*(1-CHOOSE(Assumptions!$C$10,Assumptions!$C$93,Assumptions!$C$112,Assumptions!$C$131))</f>
        <v>3840.04556666667</v>
      </c>
      <c r="H19" s="16" t="n">
        <f aca="false">Assumptions!$C$31*(1-CHOOSE(Assumptions!$C$10,Assumptions!$C$93,Assumptions!$C$112,Assumptions!$C$131))</f>
        <v>3840.04556666667</v>
      </c>
      <c r="I19" s="16" t="n">
        <f aca="false">Assumptions!$C$31*(1-CHOOSE(Assumptions!$C$10,Assumptions!$C$93,Assumptions!$C$112,Assumptions!$C$131))</f>
        <v>3840.04556666667</v>
      </c>
      <c r="J19" s="16" t="n">
        <f aca="false">Assumptions!$C$31*(1-CHOOSE(Assumptions!$C$10,Assumptions!$C$93,Assumptions!$C$112,Assumptions!$C$131))</f>
        <v>3840.04556666667</v>
      </c>
      <c r="K19" s="16" t="n">
        <f aca="false">Assumptions!$C$31*(1-CHOOSE(Assumptions!$C$10,Assumptions!$C$93,Assumptions!$C$112,Assumptions!$C$131))</f>
        <v>3840.04556666667</v>
      </c>
    </row>
    <row r="20" customFormat="false" ht="15" hidden="false" customHeight="false" outlineLevel="0" collapsed="false">
      <c r="A20" s="24" t="s">
        <v>426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customFormat="false" ht="15" hidden="false" customHeight="false" outlineLevel="0" collapsed="false">
      <c r="A21" s="24" t="s">
        <v>427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customFormat="false" ht="15" hidden="false" customHeight="false" outlineLevel="0" collapsed="false">
      <c r="A22" s="3" t="s">
        <v>428</v>
      </c>
      <c r="G22" s="22" t="n">
        <f aca="false">IF(G19&gt;0,G7/G19,99)</f>
        <v>0.68278721032885</v>
      </c>
      <c r="H22" s="22" t="n">
        <f aca="false">IF(H19&gt;0,H7/H19,99)</f>
        <v>0.6691015284257</v>
      </c>
      <c r="I22" s="22" t="n">
        <f aca="false">IF(I19&gt;0,I7/I19,99)</f>
        <v>0.668059874119636</v>
      </c>
      <c r="J22" s="22" t="n">
        <f aca="false">IF(J19&gt;0,J7/J19,99)</f>
        <v>0.667018219813572</v>
      </c>
      <c r="K22" s="22" t="n">
        <f aca="false">IF(K19&gt;0,K7/K19,99)</f>
        <v>0.665976565507508</v>
      </c>
    </row>
    <row r="23" customFormat="false" ht="15" hidden="false" customHeight="false" outlineLevel="0" collapsed="false">
      <c r="A23" s="3" t="s">
        <v>429</v>
      </c>
      <c r="G23" s="33" t="n">
        <f aca="false">Assumptions!$G$71</f>
        <v>0.6</v>
      </c>
      <c r="H23" s="33" t="n">
        <f aca="false">Assumptions!$H$71</f>
        <v>0.6</v>
      </c>
      <c r="I23" s="33" t="n">
        <f aca="false">Assumptions!$I$71</f>
        <v>0.6</v>
      </c>
      <c r="J23" s="33" t="n">
        <f aca="false">Assumptions!$J$71</f>
        <v>0.6</v>
      </c>
      <c r="K23" s="33" t="n">
        <f aca="false">Assumptions!$K$71</f>
        <v>0.6</v>
      </c>
    </row>
    <row r="24" customFormat="false" ht="15" hidden="false" customHeight="false" outlineLevel="0" collapsed="false">
      <c r="A24" s="3" t="s">
        <v>430</v>
      </c>
      <c r="G24" s="22" t="n">
        <f aca="false">G23-G22</f>
        <v>-0.0827872103288497</v>
      </c>
      <c r="H24" s="22" t="n">
        <f aca="false">H23-H22</f>
        <v>-0.0691015284256999</v>
      </c>
      <c r="I24" s="22" t="n">
        <f aca="false">I23-I22</f>
        <v>-0.0680598741196361</v>
      </c>
      <c r="J24" s="22" t="n">
        <f aca="false">J23-J22</f>
        <v>-0.0670182198135721</v>
      </c>
      <c r="K24" s="22" t="n">
        <f aca="false">K23-K22</f>
        <v>-0.0659765655075082</v>
      </c>
    </row>
    <row r="25" customFormat="false" ht="15" hidden="false" customHeight="false" outlineLevel="0" collapsed="false">
      <c r="A25" s="3" t="s">
        <v>431</v>
      </c>
      <c r="G25" s="22" t="n">
        <f aca="false">IF(G23=0,0,G24/ABS(G23))</f>
        <v>-0.137978683881416</v>
      </c>
      <c r="H25" s="22" t="n">
        <f aca="false">IF(H23=0,0,H24/ABS(H23))</f>
        <v>-0.115169214042833</v>
      </c>
      <c r="I25" s="22" t="n">
        <f aca="false">IF(I23=0,0,I24/ABS(I23))</f>
        <v>-0.113433123532727</v>
      </c>
      <c r="J25" s="22" t="n">
        <f aca="false">IF(J23=0,0,J24/ABS(J23))</f>
        <v>-0.11169703302262</v>
      </c>
      <c r="K25" s="22" t="n">
        <f aca="false">IF(K23=0,0,K24/ABS(K23))</f>
        <v>-0.109960942512514</v>
      </c>
    </row>
    <row r="26" customFormat="false" ht="15" hidden="false" customHeight="false" outlineLevel="0" collapsed="false">
      <c r="A26" s="3" t="s">
        <v>432</v>
      </c>
      <c r="G26" s="21" t="n">
        <f aca="false">IF(G24&lt;0,1,0)</f>
        <v>1</v>
      </c>
      <c r="H26" s="21" t="n">
        <f aca="false">IF(H24&lt;0,1,0)</f>
        <v>1</v>
      </c>
      <c r="I26" s="21" t="n">
        <f aca="false">IF(I24&lt;0,1,0)</f>
        <v>1</v>
      </c>
      <c r="J26" s="21" t="n">
        <f aca="false">IF(J24&lt;0,1,0)</f>
        <v>1</v>
      </c>
      <c r="K26" s="21" t="n">
        <f aca="false">IF(K24&lt;0,1,0)</f>
        <v>1</v>
      </c>
    </row>
    <row r="27" customFormat="false" ht="15" hidden="false" customHeight="false" outlineLevel="0" collapsed="false">
      <c r="A27" s="3" t="s">
        <v>433</v>
      </c>
      <c r="C27" s="21" t="n">
        <f aca="false">IFERROR(INDEX('Operating Model'!$G$7:$K$7,MATCH(1,$G$26:$K$26,0)),0)</f>
        <v>2027</v>
      </c>
    </row>
    <row r="28" customFormat="false" ht="15" hidden="false" customHeight="false" outlineLevel="0" collapsed="false">
      <c r="A28" s="3" t="s">
        <v>434</v>
      </c>
      <c r="C28" s="22" t="n">
        <f aca="false">MIN($G$25:$K$25)</f>
        <v>-0.137978683881416</v>
      </c>
    </row>
    <row r="29" customFormat="false" ht="15" hidden="false" customHeight="false" outlineLevel="0" collapsed="false">
      <c r="A29" s="24" t="s">
        <v>435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customFormat="false" ht="15" hidden="false" customHeight="false" outlineLevel="0" collapsed="false">
      <c r="A30" s="3" t="s">
        <v>428</v>
      </c>
      <c r="G30" s="32" t="n">
        <f aca="false">IF('Operating Model'!G21&gt;0,'Operating Model'!G17/'Operating Model'!G21,99)</f>
        <v>1.24979041307388</v>
      </c>
      <c r="H30" s="32" t="n">
        <f aca="false">IF('Operating Model'!H21&gt;0,'Operating Model'!H17/'Operating Model'!H21,99)</f>
        <v>1.18311222526984</v>
      </c>
      <c r="I30" s="32" t="n">
        <f aca="false">IF('Operating Model'!I21&gt;0,'Operating Model'!I17/'Operating Model'!I21,99)</f>
        <v>1.20586587186349</v>
      </c>
      <c r="J30" s="32" t="n">
        <f aca="false">IF('Operating Model'!J21&gt;0,'Operating Model'!J17/'Operating Model'!J21,99)</f>
        <v>1.23324745076441</v>
      </c>
      <c r="K30" s="32" t="n">
        <f aca="false">IF('Operating Model'!K21&gt;0,'Operating Model'!K17/'Operating Model'!K21,99)</f>
        <v>1.26112583435714</v>
      </c>
    </row>
    <row r="31" customFormat="false" ht="15" hidden="false" customHeight="false" outlineLevel="0" collapsed="false">
      <c r="A31" s="3" t="s">
        <v>429</v>
      </c>
      <c r="G31" s="34" t="n">
        <f aca="false">Assumptions!$G$72</f>
        <v>1.5</v>
      </c>
      <c r="H31" s="34" t="n">
        <f aca="false">Assumptions!$H$72</f>
        <v>1.5</v>
      </c>
      <c r="I31" s="34" t="n">
        <f aca="false">Assumptions!$I$72</f>
        <v>1.5</v>
      </c>
      <c r="J31" s="34" t="n">
        <f aca="false">Assumptions!$J$72</f>
        <v>1.5</v>
      </c>
      <c r="K31" s="34" t="n">
        <f aca="false">Assumptions!$K$72</f>
        <v>1.5</v>
      </c>
    </row>
    <row r="32" customFormat="false" ht="15" hidden="false" customHeight="false" outlineLevel="0" collapsed="false">
      <c r="A32" s="3" t="s">
        <v>430</v>
      </c>
      <c r="G32" s="32" t="n">
        <f aca="false">G30-G31</f>
        <v>-0.250209586926116</v>
      </c>
      <c r="H32" s="32" t="n">
        <f aca="false">H30-H31</f>
        <v>-0.316887774730159</v>
      </c>
      <c r="I32" s="32" t="n">
        <f aca="false">I30-I31</f>
        <v>-0.294134128136513</v>
      </c>
      <c r="J32" s="32" t="n">
        <f aca="false">J30-J31</f>
        <v>-0.266752549235595</v>
      </c>
      <c r="K32" s="32" t="n">
        <f aca="false">K30-K31</f>
        <v>-0.238874165642862</v>
      </c>
    </row>
    <row r="33" customFormat="false" ht="15" hidden="false" customHeight="false" outlineLevel="0" collapsed="false">
      <c r="A33" s="3" t="s">
        <v>431</v>
      </c>
      <c r="G33" s="22" t="n">
        <f aca="false">IF(G31=0,0,G32/ABS(G31))</f>
        <v>-0.166806391284078</v>
      </c>
      <c r="H33" s="22" t="n">
        <f aca="false">IF(H31=0,0,H32/ABS(H31))</f>
        <v>-0.211258516486773</v>
      </c>
      <c r="I33" s="22" t="n">
        <f aca="false">IF(I31=0,0,I32/ABS(I31))</f>
        <v>-0.196089418757675</v>
      </c>
      <c r="J33" s="22" t="n">
        <f aca="false">IF(J31=0,0,J32/ABS(J31))</f>
        <v>-0.17783503282373</v>
      </c>
      <c r="K33" s="22" t="n">
        <f aca="false">IF(K31=0,0,K32/ABS(K31))</f>
        <v>-0.159249443761908</v>
      </c>
    </row>
    <row r="34" customFormat="false" ht="15" hidden="false" customHeight="false" outlineLevel="0" collapsed="false">
      <c r="A34" s="3" t="s">
        <v>432</v>
      </c>
      <c r="G34" s="21" t="n">
        <f aca="false">IF(G32&lt;0,1,0)</f>
        <v>1</v>
      </c>
      <c r="H34" s="21" t="n">
        <f aca="false">IF(H32&lt;0,1,0)</f>
        <v>1</v>
      </c>
      <c r="I34" s="21" t="n">
        <f aca="false">IF(I32&lt;0,1,0)</f>
        <v>1</v>
      </c>
      <c r="J34" s="21" t="n">
        <f aca="false">IF(J32&lt;0,1,0)</f>
        <v>1</v>
      </c>
      <c r="K34" s="21" t="n">
        <f aca="false">IF(K32&lt;0,1,0)</f>
        <v>1</v>
      </c>
    </row>
    <row r="35" customFormat="false" ht="15" hidden="false" customHeight="false" outlineLevel="0" collapsed="false">
      <c r="A35" s="3" t="s">
        <v>433</v>
      </c>
      <c r="C35" s="21" t="n">
        <f aca="false">IFERROR(INDEX('Operating Model'!$G$7:$K$7,MATCH(1,$G$34:$K$34,0)),0)</f>
        <v>2027</v>
      </c>
    </row>
    <row r="36" customFormat="false" ht="15" hidden="false" customHeight="false" outlineLevel="0" collapsed="false">
      <c r="A36" s="3" t="s">
        <v>434</v>
      </c>
      <c r="C36" s="22" t="n">
        <f aca="false">MIN($G$33:$K$33)</f>
        <v>-0.211258516486773</v>
      </c>
    </row>
    <row r="37" customFormat="false" ht="15" hidden="false" customHeight="false" outlineLevel="0" collapsed="false">
      <c r="A37" s="24" t="s">
        <v>436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customFormat="false" ht="15" hidden="false" customHeight="false" outlineLevel="0" collapsed="false">
      <c r="A38" s="3" t="s">
        <v>428</v>
      </c>
      <c r="G38" s="22" t="n">
        <f aca="false">IF(G19&gt;0,G8/G19,99)</f>
        <v>0.141488946046968</v>
      </c>
      <c r="H38" s="22" t="n">
        <f aca="false">IF(H19&gt;0,H8/H19,99)</f>
        <v>0.140447291740904</v>
      </c>
      <c r="I38" s="22" t="n">
        <f aca="false">IF(I19&gt;0,I8/I19,99)</f>
        <v>0.139405637434841</v>
      </c>
      <c r="J38" s="22" t="n">
        <f aca="false">IF(J19&gt;0,J8/J19,99)</f>
        <v>0.138363983128777</v>
      </c>
      <c r="K38" s="22" t="n">
        <f aca="false">IF(K19&gt;0,K8/K19,99)</f>
        <v>0.137322328822713</v>
      </c>
    </row>
    <row r="39" customFormat="false" ht="15" hidden="false" customHeight="false" outlineLevel="0" collapsed="false">
      <c r="A39" s="3" t="s">
        <v>429</v>
      </c>
      <c r="G39" s="33" t="n">
        <f aca="false">Assumptions!$G$73</f>
        <v>0.4</v>
      </c>
      <c r="H39" s="33" t="n">
        <f aca="false">Assumptions!$H$73</f>
        <v>0.4</v>
      </c>
      <c r="I39" s="33" t="n">
        <f aca="false">Assumptions!$I$73</f>
        <v>0.4</v>
      </c>
      <c r="J39" s="33" t="n">
        <f aca="false">Assumptions!$J$73</f>
        <v>0.4</v>
      </c>
      <c r="K39" s="33" t="n">
        <f aca="false">Assumptions!$K$73</f>
        <v>0.4</v>
      </c>
    </row>
    <row r="40" customFormat="false" ht="15" hidden="false" customHeight="false" outlineLevel="0" collapsed="false">
      <c r="A40" s="3" t="s">
        <v>430</v>
      </c>
      <c r="G40" s="22" t="n">
        <f aca="false">G39-G38</f>
        <v>0.258511053953032</v>
      </c>
      <c r="H40" s="22" t="n">
        <f aca="false">H39-H38</f>
        <v>0.259552708259096</v>
      </c>
      <c r="I40" s="22" t="n">
        <f aca="false">I39-I38</f>
        <v>0.26059436256516</v>
      </c>
      <c r="J40" s="22" t="n">
        <f aca="false">J39-J38</f>
        <v>0.261636016871223</v>
      </c>
      <c r="K40" s="22" t="n">
        <f aca="false">K39-K38</f>
        <v>0.262677671177287</v>
      </c>
    </row>
    <row r="41" customFormat="false" ht="15" hidden="false" customHeight="false" outlineLevel="0" collapsed="false">
      <c r="A41" s="3" t="s">
        <v>431</v>
      </c>
      <c r="G41" s="22" t="n">
        <f aca="false">IF(G39=0,0,G40/ABS(G39))</f>
        <v>0.646277634882579</v>
      </c>
      <c r="H41" s="22" t="n">
        <f aca="false">IF(H39=0,0,H40/ABS(H39))</f>
        <v>0.648881770647739</v>
      </c>
      <c r="I41" s="22" t="n">
        <f aca="false">IF(I39=0,0,I40/ABS(I39))</f>
        <v>0.651485906412899</v>
      </c>
      <c r="J41" s="22" t="n">
        <f aca="false">IF(J39=0,0,J40/ABS(J39))</f>
        <v>0.654090042178059</v>
      </c>
      <c r="K41" s="22" t="n">
        <f aca="false">IF(K39=0,0,K40/ABS(K39))</f>
        <v>0.656694177943218</v>
      </c>
    </row>
    <row r="42" customFormat="false" ht="15" hidden="false" customHeight="false" outlineLevel="0" collapsed="false">
      <c r="A42" s="3" t="s">
        <v>432</v>
      </c>
      <c r="G42" s="21" t="n">
        <f aca="false">IF(G40&lt;0,1,0)</f>
        <v>0</v>
      </c>
      <c r="H42" s="21" t="n">
        <f aca="false">IF(H40&lt;0,1,0)</f>
        <v>0</v>
      </c>
      <c r="I42" s="21" t="n">
        <f aca="false">IF(I40&lt;0,1,0)</f>
        <v>0</v>
      </c>
      <c r="J42" s="21" t="n">
        <f aca="false">IF(J40&lt;0,1,0)</f>
        <v>0</v>
      </c>
      <c r="K42" s="21" t="n">
        <f aca="false">IF(K40&lt;0,1,0)</f>
        <v>0</v>
      </c>
    </row>
    <row r="43" customFormat="false" ht="15" hidden="false" customHeight="false" outlineLevel="0" collapsed="false">
      <c r="A43" s="3" t="s">
        <v>433</v>
      </c>
      <c r="C43" s="21" t="n">
        <f aca="false">IFERROR(INDEX('Operating Model'!$G$7:$K$7,MATCH(1,$G$42:$K$42,0)),0)</f>
        <v>0</v>
      </c>
    </row>
    <row r="44" customFormat="false" ht="15" hidden="false" customHeight="false" outlineLevel="0" collapsed="false">
      <c r="A44" s="3" t="s">
        <v>434</v>
      </c>
      <c r="C44" s="22" t="n">
        <f aca="false">MIN($G$41:$K$41)</f>
        <v>0.646277634882579</v>
      </c>
    </row>
    <row r="45" customFormat="false" ht="15" hidden="false" customHeight="false" outlineLevel="0" collapsed="false">
      <c r="A45" s="24" t="s">
        <v>437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customFormat="false" ht="15" hidden="false" customHeight="false" outlineLevel="0" collapsed="false">
      <c r="A46" s="3" t="s">
        <v>428</v>
      </c>
      <c r="G46" s="16" t="n">
        <f aca="false">G16</f>
        <v>697.4474204</v>
      </c>
      <c r="H46" s="16" t="n">
        <f aca="false">H16</f>
        <v>574.5</v>
      </c>
      <c r="I46" s="16" t="n">
        <f aca="false">I16</f>
        <v>574.5</v>
      </c>
      <c r="J46" s="16" t="n">
        <f aca="false">J16</f>
        <v>574.5</v>
      </c>
      <c r="K46" s="16" t="n">
        <f aca="false">K16</f>
        <v>574.5</v>
      </c>
    </row>
    <row r="47" customFormat="false" ht="15" hidden="false" customHeight="false" outlineLevel="0" collapsed="false">
      <c r="A47" s="3" t="s">
        <v>429</v>
      </c>
      <c r="G47" s="29" t="n">
        <f aca="false">Assumptions!$G$74</f>
        <v>100</v>
      </c>
      <c r="H47" s="29" t="n">
        <f aca="false">Assumptions!$H$74</f>
        <v>100</v>
      </c>
      <c r="I47" s="29" t="n">
        <f aca="false">Assumptions!$I$74</f>
        <v>100</v>
      </c>
      <c r="J47" s="29" t="n">
        <f aca="false">Assumptions!$J$74</f>
        <v>100</v>
      </c>
      <c r="K47" s="29" t="n">
        <f aca="false">Assumptions!$K$74</f>
        <v>100</v>
      </c>
    </row>
    <row r="48" customFormat="false" ht="15" hidden="false" customHeight="false" outlineLevel="0" collapsed="false">
      <c r="A48" s="3" t="s">
        <v>430</v>
      </c>
      <c r="G48" s="16" t="n">
        <f aca="false">G46-G47</f>
        <v>597.4474204</v>
      </c>
      <c r="H48" s="16" t="n">
        <f aca="false">H46-H47</f>
        <v>474.5</v>
      </c>
      <c r="I48" s="16" t="n">
        <f aca="false">I46-I47</f>
        <v>474.5</v>
      </c>
      <c r="J48" s="16" t="n">
        <f aca="false">J46-J47</f>
        <v>474.5</v>
      </c>
      <c r="K48" s="16" t="n">
        <f aca="false">K46-K47</f>
        <v>474.5</v>
      </c>
    </row>
    <row r="49" customFormat="false" ht="15" hidden="false" customHeight="false" outlineLevel="0" collapsed="false">
      <c r="A49" s="3" t="s">
        <v>431</v>
      </c>
      <c r="G49" s="22" t="n">
        <f aca="false">IF(G47=0,0,G48/ABS(G47))</f>
        <v>5.974474204</v>
      </c>
      <c r="H49" s="22" t="n">
        <f aca="false">IF(H47=0,0,H48/ABS(H47))</f>
        <v>4.745</v>
      </c>
      <c r="I49" s="22" t="n">
        <f aca="false">IF(I47=0,0,I48/ABS(I47))</f>
        <v>4.745</v>
      </c>
      <c r="J49" s="22" t="n">
        <f aca="false">IF(J47=0,0,J48/ABS(J47))</f>
        <v>4.745</v>
      </c>
      <c r="K49" s="22" t="n">
        <f aca="false">IF(K47=0,0,K48/ABS(K47))</f>
        <v>4.745</v>
      </c>
    </row>
    <row r="50" customFormat="false" ht="15" hidden="false" customHeight="false" outlineLevel="0" collapsed="false">
      <c r="A50" s="3" t="s">
        <v>432</v>
      </c>
      <c r="G50" s="21" t="n">
        <f aca="false">IF(G48&lt;0,1,0)</f>
        <v>0</v>
      </c>
      <c r="H50" s="21" t="n">
        <f aca="false">IF(H48&lt;0,1,0)</f>
        <v>0</v>
      </c>
      <c r="I50" s="21" t="n">
        <f aca="false">IF(I48&lt;0,1,0)</f>
        <v>0</v>
      </c>
      <c r="J50" s="21" t="n">
        <f aca="false">IF(J48&lt;0,1,0)</f>
        <v>0</v>
      </c>
      <c r="K50" s="21" t="n">
        <f aca="false">IF(K48&lt;0,1,0)</f>
        <v>0</v>
      </c>
    </row>
    <row r="51" customFormat="false" ht="15" hidden="false" customHeight="false" outlineLevel="0" collapsed="false">
      <c r="A51" s="3" t="s">
        <v>433</v>
      </c>
      <c r="C51" s="21" t="n">
        <f aca="false">IFERROR(INDEX('Operating Model'!$G$7:$K$7,MATCH(1,$G$50:$K$50,0)),0)</f>
        <v>0</v>
      </c>
    </row>
    <row r="52" customFormat="false" ht="15" hidden="false" customHeight="false" outlineLevel="0" collapsed="false">
      <c r="A52" s="3" t="s">
        <v>434</v>
      </c>
      <c r="C52" s="22" t="n">
        <f aca="false">MIN($G$49:$K$49)</f>
        <v>4.745</v>
      </c>
    </row>
    <row r="53" customFormat="false" ht="15" hidden="false" customHeight="false" outlineLevel="0" collapsed="false">
      <c r="A53" s="24" t="s">
        <v>438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customFormat="false" ht="15" hidden="false" customHeight="false" outlineLevel="0" collapsed="false">
      <c r="A54" s="3" t="s">
        <v>428</v>
      </c>
      <c r="G54" s="32" t="n">
        <f aca="false">IF('Operating Model'!G17&gt;0,G9/'Operating Model'!G17,99)</f>
        <v>10.6704570673626</v>
      </c>
      <c r="H54" s="32" t="n">
        <f aca="false">IF('Operating Model'!H17&gt;0,H9/'Operating Model'!H17,99)</f>
        <v>11.6601471215067</v>
      </c>
      <c r="I54" s="32" t="n">
        <f aca="false">IF('Operating Model'!I17&gt;0,I9/'Operating Model'!I17,99)</f>
        <v>11.9636535522731</v>
      </c>
      <c r="J54" s="32" t="n">
        <f aca="false">IF('Operating Model'!J17&gt;0,J9/'Operating Model'!J17,99)</f>
        <v>12.0045871637288</v>
      </c>
      <c r="K54" s="32" t="n">
        <f aca="false">IF('Operating Model'!K17&gt;0,K9/'Operating Model'!K17,99)</f>
        <v>12.0232607366907</v>
      </c>
    </row>
    <row r="55" customFormat="false" ht="15" hidden="false" customHeight="false" outlineLevel="0" collapsed="false">
      <c r="A55" s="3" t="s">
        <v>429</v>
      </c>
      <c r="G55" s="34" t="n">
        <f aca="false">Assumptions!$G$75</f>
        <v>10.5</v>
      </c>
      <c r="H55" s="34" t="n">
        <f aca="false">Assumptions!$H$75</f>
        <v>10.5</v>
      </c>
      <c r="I55" s="34" t="n">
        <f aca="false">Assumptions!$I$75</f>
        <v>10</v>
      </c>
      <c r="J55" s="34" t="n">
        <f aca="false">Assumptions!$J$75</f>
        <v>10</v>
      </c>
      <c r="K55" s="34" t="n">
        <f aca="false">Assumptions!$K$75</f>
        <v>9.5</v>
      </c>
    </row>
    <row r="56" customFormat="false" ht="15" hidden="false" customHeight="false" outlineLevel="0" collapsed="false">
      <c r="A56" s="3" t="s">
        <v>430</v>
      </c>
      <c r="G56" s="32" t="n">
        <f aca="false">G55-G54</f>
        <v>-0.17045706736263</v>
      </c>
      <c r="H56" s="32" t="n">
        <f aca="false">H55-H54</f>
        <v>-1.16014712150674</v>
      </c>
      <c r="I56" s="32" t="n">
        <f aca="false">I55-I54</f>
        <v>-1.96365355227305</v>
      </c>
      <c r="J56" s="32" t="n">
        <f aca="false">J55-J54</f>
        <v>-2.00458716372878</v>
      </c>
      <c r="K56" s="32" t="n">
        <f aca="false">K55-K54</f>
        <v>-2.52326073669071</v>
      </c>
    </row>
    <row r="57" customFormat="false" ht="15" hidden="false" customHeight="false" outlineLevel="0" collapsed="false">
      <c r="A57" s="3" t="s">
        <v>431</v>
      </c>
      <c r="G57" s="22" t="n">
        <f aca="false">IF(G55=0,0,G56/ABS(G55))</f>
        <v>-0.0162340064154886</v>
      </c>
      <c r="H57" s="22" t="n">
        <f aca="false">IF(H55=0,0,H56/ABS(H55))</f>
        <v>-0.110490202048261</v>
      </c>
      <c r="I57" s="22" t="n">
        <f aca="false">IF(I55=0,0,I56/ABS(I55))</f>
        <v>-0.196365355227305</v>
      </c>
      <c r="J57" s="22" t="n">
        <f aca="false">IF(J55=0,0,J56/ABS(J55))</f>
        <v>-0.200458716372878</v>
      </c>
      <c r="K57" s="22" t="n">
        <f aca="false">IF(K55=0,0,K56/ABS(K55))</f>
        <v>-0.265606393335864</v>
      </c>
    </row>
    <row r="58" customFormat="false" ht="15" hidden="false" customHeight="false" outlineLevel="0" collapsed="false">
      <c r="A58" s="3" t="s">
        <v>432</v>
      </c>
      <c r="G58" s="21" t="n">
        <f aca="false">IF(G56&lt;0,1,0)</f>
        <v>1</v>
      </c>
      <c r="H58" s="21" t="n">
        <f aca="false">IF(H56&lt;0,1,0)</f>
        <v>1</v>
      </c>
      <c r="I58" s="21" t="n">
        <f aca="false">IF(I56&lt;0,1,0)</f>
        <v>1</v>
      </c>
      <c r="J58" s="21" t="n">
        <f aca="false">IF(J56&lt;0,1,0)</f>
        <v>1</v>
      </c>
      <c r="K58" s="21" t="n">
        <f aca="false">IF(K56&lt;0,1,0)</f>
        <v>1</v>
      </c>
    </row>
    <row r="59" customFormat="false" ht="15" hidden="false" customHeight="false" outlineLevel="0" collapsed="false">
      <c r="A59" s="3" t="s">
        <v>433</v>
      </c>
      <c r="C59" s="21" t="n">
        <f aca="false">IFERROR(INDEX('Operating Model'!$G$7:$K$7,MATCH(1,$G$58:$K$58,0)),0)</f>
        <v>2027</v>
      </c>
    </row>
    <row r="60" customFormat="false" ht="15" hidden="false" customHeight="false" outlineLevel="0" collapsed="false">
      <c r="A60" s="3" t="s">
        <v>434</v>
      </c>
      <c r="C60" s="22" t="n">
        <f aca="false">MIN($G$57:$K$57)</f>
        <v>-0.265606393335864</v>
      </c>
    </row>
    <row r="61" customFormat="false" ht="15" hidden="false" customHeight="false" outlineLevel="0" collapsed="false">
      <c r="A61" s="3" t="s">
        <v>439</v>
      </c>
      <c r="G61" s="21" t="n">
        <f aca="false">G26+G34+G42+G50+G58</f>
        <v>3</v>
      </c>
      <c r="H61" s="21" t="n">
        <f aca="false">H26+H34+H42+H50+H58</f>
        <v>3</v>
      </c>
      <c r="I61" s="21" t="n">
        <f aca="false">I26+I34+I42+I50+I58</f>
        <v>3</v>
      </c>
      <c r="J61" s="21" t="n">
        <f aca="false">J26+J34+J42+J50+J58</f>
        <v>3</v>
      </c>
      <c r="K61" s="21" t="n">
        <f aca="false">K26+K34+K42+K50+K58</f>
        <v>3</v>
      </c>
    </row>
    <row r="62" customFormat="false" ht="15" hidden="false" customHeight="false" outlineLevel="0" collapsed="false">
      <c r="A62" s="3" t="s">
        <v>440</v>
      </c>
      <c r="C62" s="21" t="n">
        <f aca="false">SUM($G$61:$K$61)</f>
        <v>15</v>
      </c>
    </row>
    <row r="63" customFormat="false" ht="15" hidden="false" customHeight="false" outlineLevel="0" collapsed="false">
      <c r="A63" s="3" t="s">
        <v>441</v>
      </c>
      <c r="C63" s="22" t="n">
        <f aca="false">MIN(C28,C36,C44,C52,C60)</f>
        <v>-0.265606393335864</v>
      </c>
    </row>
    <row r="66" customFormat="false" ht="15" hidden="false" customHeight="false" outlineLevel="0" collapsed="false">
      <c r="A66" s="9" t="s">
        <v>442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customFormat="false" ht="15" hidden="false" customHeight="false" outlineLevel="0" collapsed="false">
      <c r="A67" s="7" t="s">
        <v>204</v>
      </c>
      <c r="B67" s="7"/>
      <c r="C67" s="7" t="s">
        <v>443</v>
      </c>
      <c r="D67" s="7" t="s">
        <v>444</v>
      </c>
      <c r="E67" s="7" t="s">
        <v>445</v>
      </c>
      <c r="F67" s="7" t="s">
        <v>206</v>
      </c>
      <c r="G67" s="7" t="s">
        <v>446</v>
      </c>
      <c r="H67" s="7" t="s">
        <v>447</v>
      </c>
      <c r="I67" s="7" t="s">
        <v>448</v>
      </c>
      <c r="J67" s="7" t="s">
        <v>449</v>
      </c>
    </row>
    <row r="68" customFormat="false" ht="15" hidden="false" customHeight="false" outlineLevel="0" collapsed="false">
      <c r="A68" s="3" t="s">
        <v>450</v>
      </c>
      <c r="C68" s="34" t="n">
        <f aca="false">'Credit Metrics'!F11</f>
        <v>9.77819757666892</v>
      </c>
      <c r="D68" s="6" t="n">
        <f aca="false">Assumptions!$D$139</f>
        <v>2</v>
      </c>
      <c r="E68" s="6" t="n">
        <f aca="false">Assumptions!$E$139</f>
        <v>7</v>
      </c>
      <c r="F68" s="27" t="n">
        <f aca="false">Assumptions!$C$139</f>
        <v>15</v>
      </c>
      <c r="G68" s="35" t="n">
        <f aca="false">F68*H68</f>
        <v>0</v>
      </c>
      <c r="H68" s="22" t="n">
        <f aca="false">MAX(0,MIN(1,(C68-E68)/(D68-E68)))</f>
        <v>0</v>
      </c>
      <c r="I68" s="34" t="n">
        <f aca="false">'Credit Metrics'!G11</f>
        <v>10.6704570673626</v>
      </c>
      <c r="J68" s="35" t="n">
        <f aca="false">F68*MAX(0,MIN(1,(I68-E68)/(D68-E68)))</f>
        <v>0</v>
      </c>
    </row>
    <row r="69" customFormat="false" ht="15" hidden="false" customHeight="false" outlineLevel="0" collapsed="false">
      <c r="A69" s="3" t="s">
        <v>451</v>
      </c>
      <c r="C69" s="34" t="n">
        <f aca="false">'Credit Metrics'!F12</f>
        <v>1.72332584562295</v>
      </c>
      <c r="D69" s="6" t="n">
        <f aca="false">Assumptions!$D$140</f>
        <v>5</v>
      </c>
      <c r="E69" s="6" t="n">
        <f aca="false">Assumptions!$E$140</f>
        <v>1</v>
      </c>
      <c r="F69" s="27" t="n">
        <f aca="false">Assumptions!$C$140</f>
        <v>15</v>
      </c>
      <c r="G69" s="35" t="n">
        <f aca="false">F69*H69</f>
        <v>2.71247192108604</v>
      </c>
      <c r="H69" s="22" t="n">
        <f aca="false">MAX(0,MIN(1,(C69-E69)/(D69-E69)))</f>
        <v>0.180831461405736</v>
      </c>
      <c r="I69" s="34" t="n">
        <f aca="false">'Credit Metrics'!G12</f>
        <v>1.24979041307388</v>
      </c>
      <c r="J69" s="35" t="n">
        <f aca="false">F69*MAX(0,MIN(1,(I69-E69)/(D69-E69)))</f>
        <v>0.936714049027064</v>
      </c>
    </row>
    <row r="70" customFormat="false" ht="15" hidden="false" customHeight="false" outlineLevel="0" collapsed="false">
      <c r="A70" s="3" t="s">
        <v>452</v>
      </c>
      <c r="C70" s="32" t="n">
        <f aca="false">'Credit Metrics'!F16/(SUMPRODUCT((Assumptions!$K$57:$K$66&lt;=Assumptions!$C$6+1)*Assumptions!$C$57:$C$66)+SUMPRODUCT(Assumptions!$L$57:$L$66*Assumptions!$C$57:$C$66)+'Operating Model'!F23)</f>
        <v>3.88596630389948</v>
      </c>
      <c r="D70" s="6" t="n">
        <f aca="false">Assumptions!$D$141</f>
        <v>2</v>
      </c>
      <c r="E70" s="6" t="n">
        <f aca="false">Assumptions!$E$141</f>
        <v>0.5</v>
      </c>
      <c r="F70" s="27" t="n">
        <f aca="false">Assumptions!$C$141</f>
        <v>10</v>
      </c>
      <c r="G70" s="35" t="n">
        <f aca="false">F70*H70</f>
        <v>10</v>
      </c>
      <c r="H70" s="22" t="n">
        <f aca="false">MAX(0,MIN(1,(C70-E70)/(D70-E70)))</f>
        <v>1</v>
      </c>
      <c r="I70" s="32" t="n">
        <f aca="false">'Credit Metrics'!G16/(SUMPRODUCT((Assumptions!$K$57:$K$66&lt;=Assumptions!$C$6+1)*Assumptions!$C$57:$C$66)+SUMPRODUCT(Assumptions!$L$57:$L$66*Assumptions!$C$57:$C$66)+'Operating Model'!F23)</f>
        <v>4.42584903639306</v>
      </c>
      <c r="J70" s="35" t="n">
        <f aca="false">F70*MAX(0,MIN(1,(I70-E70)/(D70-E70)))</f>
        <v>10</v>
      </c>
    </row>
    <row r="71" customFormat="false" ht="15" hidden="false" customHeight="false" outlineLevel="0" collapsed="false">
      <c r="A71" s="3" t="s">
        <v>453</v>
      </c>
      <c r="C71" s="33" t="n">
        <f aca="false">'Credit Metrics'!F14</f>
        <v>-0.00274454727346537</v>
      </c>
      <c r="D71" s="6" t="n">
        <f aca="false">Assumptions!$D$142</f>
        <v>0.12</v>
      </c>
      <c r="E71" s="6" t="n">
        <f aca="false">Assumptions!$E$142</f>
        <v>-0.02</v>
      </c>
      <c r="F71" s="27" t="n">
        <f aca="false">Assumptions!$C$142</f>
        <v>10</v>
      </c>
      <c r="G71" s="35" t="n">
        <f aca="false">F71*H71</f>
        <v>1.23253233760962</v>
      </c>
      <c r="H71" s="22" t="n">
        <f aca="false">MAX(0,MIN(1,(C71-E71)/(D71-E71)))</f>
        <v>0.123253233760962</v>
      </c>
      <c r="I71" s="33" t="n">
        <f aca="false">'Credit Metrics'!G14</f>
        <v>-0.0232357410979834</v>
      </c>
      <c r="J71" s="35" t="n">
        <f aca="false">F71*MAX(0,MIN(1,(I71-E71)/(D71-E71)))</f>
        <v>0</v>
      </c>
    </row>
    <row r="72" customFormat="false" ht="15" hidden="false" customHeight="false" outlineLevel="0" collapsed="false">
      <c r="A72" s="3" t="s">
        <v>454</v>
      </c>
      <c r="C72" s="22" t="n">
        <f aca="false">SUMPRODUCT((Assumptions!$K$57:$K$66&lt;=Assumptions!$C$6+Assumptions!$C$22)*Assumptions!$C$57:$C$66)/SUM(Assumptions!$C$57:$C$66)</f>
        <v>0.51410279161624</v>
      </c>
      <c r="D72" s="6" t="n">
        <f aca="false">Assumptions!$D$143</f>
        <v>0</v>
      </c>
      <c r="E72" s="6" t="n">
        <f aca="false">Assumptions!$E$143</f>
        <v>0.5</v>
      </c>
      <c r="F72" s="27" t="n">
        <f aca="false">Assumptions!$C$143</f>
        <v>10</v>
      </c>
      <c r="G72" s="35" t="n">
        <f aca="false">F72*H72</f>
        <v>0</v>
      </c>
      <c r="H72" s="22" t="n">
        <f aca="false">MAX(0,MIN(1,(C72-E72)/(D72-E72)))</f>
        <v>0</v>
      </c>
      <c r="I72" s="22" t="n">
        <f aca="false">C72</f>
        <v>0.51410279161624</v>
      </c>
      <c r="J72" s="35" t="n">
        <f aca="false">F72*MAX(0,MIN(1,(I72-E72)/(D72-E72)))</f>
        <v>0</v>
      </c>
    </row>
    <row r="73" customFormat="false" ht="15" hidden="false" customHeight="false" outlineLevel="0" collapsed="false">
      <c r="A73" s="3" t="s">
        <v>455</v>
      </c>
      <c r="C73" s="31" t="n">
        <f aca="false">STDEVP('Historical Financials'!B44:D44)</f>
        <v>0.0131952483068123</v>
      </c>
      <c r="D73" s="6" t="n">
        <f aca="false">Assumptions!$D$144</f>
        <v>0.01</v>
      </c>
      <c r="E73" s="6" t="n">
        <f aca="false">Assumptions!$E$144</f>
        <v>0.05</v>
      </c>
      <c r="F73" s="27" t="n">
        <f aca="false">Assumptions!$C$144</f>
        <v>10</v>
      </c>
      <c r="G73" s="35" t="n">
        <f aca="false">F73*H73</f>
        <v>9.20118792329693</v>
      </c>
      <c r="H73" s="22" t="n">
        <f aca="false">MAX(0,MIN(1,(C73-E73)/(D73-E73)))</f>
        <v>0.920118792329693</v>
      </c>
      <c r="I73" s="31" t="n">
        <f aca="false">C73</f>
        <v>0.0131952483068123</v>
      </c>
      <c r="J73" s="35" t="n">
        <f aca="false">F73*MAX(0,MIN(1,(I73-E73)/(D73-E73)))</f>
        <v>9.20118792329693</v>
      </c>
    </row>
    <row r="74" customFormat="false" ht="15" hidden="false" customHeight="false" outlineLevel="0" collapsed="false">
      <c r="A74" s="3" t="s">
        <v>456</v>
      </c>
      <c r="C74" s="31" t="n">
        <f aca="false">STDEVP('Historical Financials'!C45:D45)</f>
        <v>0.011959152482979</v>
      </c>
      <c r="D74" s="6" t="n">
        <f aca="false">Assumptions!$D$145</f>
        <v>0.03</v>
      </c>
      <c r="E74" s="6" t="n">
        <f aca="false">Assumptions!$E$145</f>
        <v>0.15</v>
      </c>
      <c r="F74" s="27" t="n">
        <f aca="false">Assumptions!$C$145</f>
        <v>8</v>
      </c>
      <c r="G74" s="35" t="n">
        <f aca="false">F74*H74</f>
        <v>8</v>
      </c>
      <c r="H74" s="22" t="n">
        <f aca="false">MAX(0,MIN(1,(C74-E74)/(D74-E74)))</f>
        <v>1</v>
      </c>
      <c r="I74" s="31" t="n">
        <f aca="false">C74</f>
        <v>0.011959152482979</v>
      </c>
      <c r="J74" s="35" t="n">
        <f aca="false">F74*MAX(0,MIN(1,(I74-E74)/(D74-E74)))</f>
        <v>8</v>
      </c>
    </row>
    <row r="75" customFormat="false" ht="15" hidden="false" customHeight="false" outlineLevel="0" collapsed="false">
      <c r="A75" s="3" t="s">
        <v>457</v>
      </c>
      <c r="C75" s="32" t="n">
        <f aca="false">Assumptions!$C$31/'Credit Metrics'!F7</f>
        <v>1.72041668475547</v>
      </c>
      <c r="D75" s="6" t="n">
        <f aca="false">Assumptions!$D$146</f>
        <v>2</v>
      </c>
      <c r="E75" s="6" t="n">
        <f aca="false">Assumptions!$E$146</f>
        <v>0.6</v>
      </c>
      <c r="F75" s="27" t="n">
        <f aca="false">Assumptions!$C$146</f>
        <v>12</v>
      </c>
      <c r="G75" s="35" t="n">
        <f aca="false">F75*H75</f>
        <v>9.6035715836183</v>
      </c>
      <c r="H75" s="22" t="n">
        <f aca="false">MAX(0,MIN(1,(C75-E75)/(D75-E75)))</f>
        <v>0.800297631968192</v>
      </c>
      <c r="I75" s="32" t="n">
        <f aca="false">C75</f>
        <v>1.72041668475547</v>
      </c>
      <c r="J75" s="35" t="n">
        <f aca="false">F75*MAX(0,MIN(1,(I75-E75)/(D75-E75)))</f>
        <v>9.6035715836183</v>
      </c>
    </row>
    <row r="76" customFormat="false" ht="15" hidden="false" customHeight="false" outlineLevel="0" collapsed="false">
      <c r="A76" s="3" t="s">
        <v>458</v>
      </c>
      <c r="C76" s="36" t="n">
        <f aca="false">Assumptions!$C$148</f>
        <v>0.5</v>
      </c>
      <c r="D76" s="6" t="n">
        <f aca="false">Assumptions!$D$147</f>
        <v>1</v>
      </c>
      <c r="E76" s="6" t="n">
        <f aca="false">Assumptions!$E$147</f>
        <v>0</v>
      </c>
      <c r="F76" s="27" t="n">
        <f aca="false">Assumptions!$C$147</f>
        <v>10</v>
      </c>
      <c r="G76" s="35" t="n">
        <f aca="false">F76*H76</f>
        <v>5</v>
      </c>
      <c r="H76" s="22" t="n">
        <f aca="false">MAX(0,MIN(1,(C76-E76)/(D76-E76)))</f>
        <v>0.5</v>
      </c>
      <c r="I76" s="37" t="n">
        <f aca="false">C76</f>
        <v>0.5</v>
      </c>
      <c r="J76" s="35" t="n">
        <f aca="false">F76*MAX(0,MIN(1,(I76-E76)/(D76-E76)))</f>
        <v>5</v>
      </c>
    </row>
    <row r="77" customFormat="false" ht="15" hidden="false" customHeight="false" outlineLevel="0" collapsed="false">
      <c r="A77" s="2" t="s">
        <v>459</v>
      </c>
      <c r="F77" s="20" t="n">
        <f aca="false">SUM(F68:F76)</f>
        <v>100</v>
      </c>
      <c r="G77" s="38" t="n">
        <f aca="false">SUM(G68:G76)</f>
        <v>45.7497637656109</v>
      </c>
      <c r="J77" s="38" t="n">
        <f aca="false">SUM(J68:J76)</f>
        <v>42.7414735559423</v>
      </c>
    </row>
    <row r="78" customFormat="false" ht="15" hidden="false" customHeight="false" outlineLevel="0" collapsed="false">
      <c r="A78" s="2" t="s">
        <v>460</v>
      </c>
      <c r="G78" s="2" t="str">
        <f aca="false">IF(G77&gt;=Assumptions!$C$152,"Low",IF(G77&gt;=Assumptions!$C$153,"Moderate",IF(G77&gt;=Assumptions!$C$154,"Elevated","High")))</f>
        <v>Elevated</v>
      </c>
    </row>
    <row r="79" customFormat="false" ht="15" hidden="false" customHeight="false" outlineLevel="0" collapsed="false">
      <c r="A79" s="3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12" min="2" style="0" width="16"/>
  </cols>
  <sheetData>
    <row r="1" customFormat="false" ht="17.3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3" t="str">
        <f aca="false">"Active scenario for the detailed tabs: "&amp;Assumptions!$D$10</f>
        <v>Active scenario for the detailed tabs: Downside</v>
      </c>
    </row>
    <row r="4" customFormat="false" ht="15" hidden="false" customHeight="false" outlineLevel="0" collapsed="false">
      <c r="A4" s="7" t="s">
        <v>463</v>
      </c>
      <c r="B4" s="7"/>
      <c r="C4" s="7" t="s">
        <v>179</v>
      </c>
      <c r="D4" s="7" t="s">
        <v>200</v>
      </c>
      <c r="E4" s="7" t="s">
        <v>201</v>
      </c>
      <c r="F4" s="7" t="s">
        <v>464</v>
      </c>
    </row>
    <row r="5" customFormat="false" ht="15" hidden="false" customHeight="false" outlineLevel="0" collapsed="false">
      <c r="A5" s="3" t="s">
        <v>465</v>
      </c>
      <c r="C5" s="22" t="n">
        <f aca="false">AVERAGE(Assumptions!$G$79:$K$79)</f>
        <v>0.01</v>
      </c>
      <c r="D5" s="22" t="n">
        <f aca="false">AVERAGE(Assumptions!$G$98:$K$98)</f>
        <v>-0.014</v>
      </c>
      <c r="E5" s="22" t="n">
        <f aca="false">AVERAGE(Assumptions!$G$117:$K$117)</f>
        <v>-0.038</v>
      </c>
      <c r="F5" s="22" t="n">
        <f aca="false">CHOOSE(Assumptions!$C$10,C5,D5,E5)</f>
        <v>-0.014</v>
      </c>
    </row>
    <row r="6" customFormat="false" ht="15" hidden="false" customHeight="false" outlineLevel="0" collapsed="false">
      <c r="A6" s="3" t="s">
        <v>466</v>
      </c>
      <c r="C6" s="22" t="n">
        <f aca="false">AVERAGE(Assumptions!$G$81:$K$81)</f>
        <v>0.5354</v>
      </c>
      <c r="D6" s="22" t="n">
        <f aca="false">AVERAGE(Assumptions!$G$100:$K$100)</f>
        <v>0.491</v>
      </c>
      <c r="E6" s="22" t="n">
        <f aca="false">AVERAGE(Assumptions!$G$119:$K$119)</f>
        <v>0.437</v>
      </c>
      <c r="F6" s="22" t="n">
        <f aca="false">CHOOSE(Assumptions!$C$10,C6,D6,E6)</f>
        <v>0.491</v>
      </c>
    </row>
    <row r="7" customFormat="false" ht="15" hidden="false" customHeight="false" outlineLevel="0" collapsed="false">
      <c r="A7" s="3" t="s">
        <v>189</v>
      </c>
      <c r="C7" s="30" t="n">
        <f aca="false">Assumptions!$C$86</f>
        <v>0</v>
      </c>
      <c r="D7" s="30" t="n">
        <f aca="false">Assumptions!$C$105</f>
        <v>0.015</v>
      </c>
      <c r="E7" s="30" t="n">
        <f aca="false">Assumptions!$C$124</f>
        <v>0.03</v>
      </c>
      <c r="F7" s="31" t="n">
        <f aca="false">CHOOSE(Assumptions!$C$10,C7,D7,E7)</f>
        <v>0.015</v>
      </c>
    </row>
    <row r="8" customFormat="false" ht="15" hidden="false" customHeight="false" outlineLevel="0" collapsed="false">
      <c r="A8" s="3" t="s">
        <v>467</v>
      </c>
      <c r="C8" s="30" t="n">
        <f aca="false">Assumptions!$C$87</f>
        <v>0.08</v>
      </c>
      <c r="D8" s="30" t="n">
        <f aca="false">Assumptions!$C$106</f>
        <v>0.1</v>
      </c>
      <c r="E8" s="30" t="n">
        <f aca="false">Assumptions!$C$125</f>
        <v>0.12</v>
      </c>
      <c r="F8" s="31" t="n">
        <f aca="false">CHOOSE(Assumptions!$C$10,C8,D8,E8)</f>
        <v>0.1</v>
      </c>
    </row>
    <row r="9" customFormat="false" ht="15" hidden="false" customHeight="false" outlineLevel="0" collapsed="false">
      <c r="A9" s="3" t="s">
        <v>468</v>
      </c>
      <c r="C9" s="3" t="str">
        <f aca="false">TEXT(Assumptions!$C$88,"0.0")&amp;"x / "&amp;TEXT(Assumptions!$C$89,"0.00")&amp;"x"</f>
        <v>11.0x / 1.20x</v>
      </c>
      <c r="D9" s="3" t="str">
        <f aca="false">TEXT(Assumptions!$C$107,"0.0")&amp;"x / "&amp;TEXT(Assumptions!$C$108,"0.00")&amp;"x"</f>
        <v>9.5x / 1.50x</v>
      </c>
      <c r="E9" s="3" t="str">
        <f aca="false">TEXT(Assumptions!$C$126,"0.0")&amp;"x / "&amp;TEXT(Assumptions!$C$127,"0.00")&amp;"x"</f>
        <v>9.0x / 1.75x</v>
      </c>
      <c r="F9" s="3" t="str">
        <f aca="false">CHOOSE(Assumptions!$C$10,C9,D9,E9)</f>
        <v>9.5x / 1.50x</v>
      </c>
    </row>
    <row r="10" customFormat="false" ht="15" hidden="false" customHeight="false" outlineLevel="0" collapsed="false">
      <c r="A10" s="3" t="s">
        <v>469</v>
      </c>
      <c r="C10" s="3" t="str">
        <f aca="false">TEXT(Assumptions!$C$90,"0.0")&amp;"x / "&amp;TEXT(Assumptions!$C$92,"0.0")&amp;"x"</f>
        <v>12.5x / 10.0x</v>
      </c>
      <c r="D10" s="3" t="str">
        <f aca="false">TEXT(Assumptions!$C$109,"0.0")&amp;"x / "&amp;TEXT(Assumptions!$C$111,"0.0")&amp;"x"</f>
        <v>11.0x / 9.0x</v>
      </c>
      <c r="E10" s="3" t="str">
        <f aca="false">TEXT(Assumptions!$C$128,"0.0")&amp;"x / "&amp;TEXT(Assumptions!$C$130,"0.0")&amp;"x"</f>
        <v>9.5x / 8.0x</v>
      </c>
      <c r="F10" s="3" t="str">
        <f aca="false">CHOOSE(Assumptions!$C$10,C10,D10,E10)</f>
        <v>11.0x / 9.0x</v>
      </c>
    </row>
    <row r="11" customFormat="false" ht="15" hidden="false" customHeight="false" outlineLevel="0" collapsed="false">
      <c r="A11" s="3" t="s">
        <v>197</v>
      </c>
      <c r="C11" s="33" t="n">
        <f aca="false">Assumptions!$C$93</f>
        <v>0</v>
      </c>
      <c r="D11" s="33" t="n">
        <f aca="false">Assumptions!$C$112</f>
        <v>0.15</v>
      </c>
      <c r="E11" s="33" t="n">
        <f aca="false">Assumptions!$C$131</f>
        <v>0.3</v>
      </c>
      <c r="F11" s="22" t="n">
        <f aca="false">CHOOSE(Assumptions!$C$10,C11,D11,E11)</f>
        <v>0.15</v>
      </c>
    </row>
    <row r="12" customFormat="false" ht="15" hidden="false" customHeight="false" outlineLevel="0" collapsed="false">
      <c r="A12" s="3" t="s">
        <v>199</v>
      </c>
      <c r="C12" s="33" t="n">
        <f aca="false">Assumptions!$C$95</f>
        <v>0.5</v>
      </c>
      <c r="D12" s="33" t="n">
        <f aca="false">Assumptions!$C$114</f>
        <v>0.35</v>
      </c>
      <c r="E12" s="33" t="n">
        <f aca="false">Assumptions!$C$133</f>
        <v>0.15</v>
      </c>
      <c r="F12" s="22" t="n">
        <f aca="false">CHOOSE(Assumptions!$C$10,C12,D12,E12)</f>
        <v>0.35</v>
      </c>
    </row>
    <row r="14" customFormat="false" ht="15" hidden="false" customHeight="false" outlineLevel="0" collapsed="false">
      <c r="A14" s="7" t="s">
        <v>470</v>
      </c>
      <c r="B14" s="7"/>
      <c r="C14" s="7" t="s">
        <v>179</v>
      </c>
      <c r="D14" s="7" t="s">
        <v>200</v>
      </c>
      <c r="E14" s="7" t="s">
        <v>201</v>
      </c>
      <c r="F14" s="7" t="s">
        <v>464</v>
      </c>
    </row>
    <row r="15" customFormat="false" ht="15" hidden="false" customHeight="false" outlineLevel="0" collapsed="false">
      <c r="A15" s="3" t="s">
        <v>471</v>
      </c>
      <c r="C15" s="29" t="n">
        <f aca="false">'Calc Engine'!K19</f>
        <v>523.185217335403</v>
      </c>
      <c r="D15" s="29" t="n">
        <f aca="false">'Calc Engine'!K674</f>
        <v>463.47400264938</v>
      </c>
      <c r="E15" s="29" t="n">
        <f aca="false">'Calc Engine'!K1329</f>
        <v>408.6030547899</v>
      </c>
      <c r="F15" s="16" t="n">
        <f aca="false">CHOOSE(Assumptions!$C$10,C15,D15,E15)</f>
        <v>463.47400264938</v>
      </c>
    </row>
    <row r="16" customFormat="false" ht="15" hidden="false" customHeight="false" outlineLevel="0" collapsed="false">
      <c r="A16" s="3" t="s">
        <v>472</v>
      </c>
      <c r="C16" s="16" t="n">
        <f aca="false">MIN('Calc Engine'!$G$23:$K$23)</f>
        <v>256.1714031</v>
      </c>
      <c r="D16" s="16" t="n">
        <f aca="false">MIN('Calc Engine'!$G$678:$K$678)</f>
        <v>220.355740893</v>
      </c>
      <c r="E16" s="16" t="n">
        <f aca="false">MIN('Calc Engine'!$G$1333:$K$1333)</f>
        <v>171.93692899575</v>
      </c>
      <c r="F16" s="16" t="n">
        <f aca="false">CHOOSE(Assumptions!$C$10,C16,D16,E16)</f>
        <v>220.355740893</v>
      </c>
    </row>
    <row r="17" customFormat="false" ht="15" hidden="false" customHeight="false" outlineLevel="0" collapsed="false">
      <c r="A17" s="3" t="s">
        <v>473</v>
      </c>
      <c r="C17" s="29" t="n">
        <f aca="false">'Calc Engine'!C656</f>
        <v>-435.805435297248</v>
      </c>
      <c r="D17" s="29" t="n">
        <f aca="false">'Calc Engine'!C1311</f>
        <v>-320.308045372933</v>
      </c>
      <c r="E17" s="29" t="n">
        <f aca="false">'Calc Engine'!C1966</f>
        <v>-319.393886227031</v>
      </c>
      <c r="F17" s="16" t="n">
        <f aca="false">CHOOSE(Assumptions!$C$10,C17,D17,E17)</f>
        <v>-320.308045372933</v>
      </c>
    </row>
    <row r="18" customFormat="false" ht="15" hidden="false" customHeight="false" outlineLevel="0" collapsed="false">
      <c r="A18" s="3" t="s">
        <v>474</v>
      </c>
      <c r="C18" s="34" t="n">
        <f aca="false">'Calc Engine'!C654</f>
        <v>9.99528975565569</v>
      </c>
      <c r="D18" s="34" t="n">
        <f aca="false">'Calc Engine'!C1309</f>
        <v>12.0232607366907</v>
      </c>
      <c r="E18" s="34" t="n">
        <f aca="false">'Calc Engine'!C1964</f>
        <v>15.7734539449449</v>
      </c>
      <c r="F18" s="32" t="n">
        <f aca="false">CHOOSE(Assumptions!$C$10,C18,D18,E18)</f>
        <v>12.0232607366907</v>
      </c>
    </row>
    <row r="19" customFormat="false" ht="15" hidden="false" customHeight="false" outlineLevel="0" collapsed="false">
      <c r="A19" s="3" t="s">
        <v>475</v>
      </c>
      <c r="C19" s="34" t="n">
        <f aca="false">'Calc Engine'!C655</f>
        <v>1.34274565931266</v>
      </c>
      <c r="D19" s="34" t="n">
        <f aca="false">'Calc Engine'!C1310</f>
        <v>1.18311222526984</v>
      </c>
      <c r="E19" s="34" t="n">
        <f aca="false">'Calc Engine'!C1965</f>
        <v>0.899631625108658</v>
      </c>
      <c r="F19" s="32" t="n">
        <f aca="false">CHOOSE(Assumptions!$C$10,C19,D19,E19)</f>
        <v>1.18311222526984</v>
      </c>
    </row>
    <row r="20" customFormat="false" ht="15" hidden="false" customHeight="false" outlineLevel="0" collapsed="false">
      <c r="A20" s="3" t="s">
        <v>476</v>
      </c>
      <c r="C20" s="27" t="n">
        <f aca="false">'Calc Engine'!C299</f>
        <v>8</v>
      </c>
      <c r="D20" s="27" t="n">
        <f aca="false">'Calc Engine'!C954</f>
        <v>15</v>
      </c>
      <c r="E20" s="27" t="n">
        <f aca="false">'Calc Engine'!C1609</f>
        <v>15</v>
      </c>
      <c r="F20" s="21" t="n">
        <f aca="false">CHOOSE(Assumptions!$C$10,C20,D20,E20)</f>
        <v>15</v>
      </c>
    </row>
    <row r="21" customFormat="false" ht="15" hidden="false" customHeight="false" outlineLevel="0" collapsed="false">
      <c r="A21" s="3" t="s">
        <v>477</v>
      </c>
      <c r="C21" s="27" t="n">
        <f aca="false">'Calc Engine'!C222</f>
        <v>0</v>
      </c>
      <c r="D21" s="27" t="n">
        <f aca="false">'Calc Engine'!C877</f>
        <v>7</v>
      </c>
      <c r="E21" s="27" t="n">
        <f aca="false">'Calc Engine'!C1532</f>
        <v>7</v>
      </c>
      <c r="F21" s="21" t="n">
        <f aca="false">CHOOSE(Assumptions!$C$10,C21,D21,E21)</f>
        <v>7</v>
      </c>
    </row>
    <row r="22" customFormat="false" ht="15" hidden="false" customHeight="false" outlineLevel="0" collapsed="false">
      <c r="A22" s="2" t="s">
        <v>478</v>
      </c>
      <c r="C22" s="39" t="n">
        <f aca="false">'Calc Engine'!C304</f>
        <v>0</v>
      </c>
      <c r="D22" s="39" t="n">
        <f aca="false">'Calc Engine'!C959</f>
        <v>1</v>
      </c>
      <c r="E22" s="39" t="n">
        <f aca="false">'Calc Engine'!C1614</f>
        <v>1</v>
      </c>
      <c r="F22" s="20" t="n">
        <f aca="false">CHOOSE(Assumptions!$C$10,C22,D22,E22)</f>
        <v>1</v>
      </c>
    </row>
    <row r="23" customFormat="false" ht="15" hidden="false" customHeight="false" outlineLevel="0" collapsed="false">
      <c r="A23" s="3" t="s">
        <v>479</v>
      </c>
      <c r="C23" s="27" t="n">
        <f aca="false">'Calc Engine'!C305</f>
        <v>2027</v>
      </c>
      <c r="D23" s="27" t="n">
        <f aca="false">'Calc Engine'!C960</f>
        <v>2028</v>
      </c>
      <c r="E23" s="27" t="n">
        <f aca="false">'Calc Engine'!C1615</f>
        <v>2028</v>
      </c>
      <c r="F23" s="21" t="n">
        <f aca="false">CHOOSE(Assumptions!$C$10,C23,D23,E23)</f>
        <v>2028</v>
      </c>
    </row>
    <row r="24" customFormat="false" ht="15" hidden="false" customHeight="false" outlineLevel="0" collapsed="false">
      <c r="A24" s="3" t="s">
        <v>480</v>
      </c>
      <c r="C24" s="29" t="n">
        <f aca="false">'Calc Engine'!C311</f>
        <v>3990.37433526667</v>
      </c>
      <c r="D24" s="29" t="n">
        <f aca="false">'Calc Engine'!C966</f>
        <v>3264.03873166667</v>
      </c>
      <c r="E24" s="29" t="n">
        <f aca="false">'Calc Engine'!C1621</f>
        <v>2688.03189666667</v>
      </c>
      <c r="F24" s="16" t="n">
        <f aca="false">CHOOSE(Assumptions!$C$10,C24,D24,E24)</f>
        <v>3264.03873166667</v>
      </c>
    </row>
    <row r="25" customFormat="false" ht="15" hidden="false" customHeight="false" outlineLevel="0" collapsed="false">
      <c r="A25" s="3" t="s">
        <v>481</v>
      </c>
      <c r="C25" s="33" t="n">
        <f aca="false">'Calc Engine'!C480</f>
        <v>1</v>
      </c>
      <c r="D25" s="33" t="n">
        <f aca="false">'Calc Engine'!C1135</f>
        <v>1</v>
      </c>
      <c r="E25" s="33" t="n">
        <f aca="false">'Calc Engine'!C1790</f>
        <v>1</v>
      </c>
      <c r="F25" s="22" t="n">
        <f aca="false">CHOOSE(Assumptions!$C$10,C25,D25,E25)</f>
        <v>1</v>
      </c>
    </row>
    <row r="26" customFormat="false" ht="15" hidden="false" customHeight="false" outlineLevel="0" collapsed="false">
      <c r="A26" s="3" t="s">
        <v>482</v>
      </c>
      <c r="C26" s="40" t="n">
        <f aca="false">'Calc Engine'!C639</f>
        <v>100</v>
      </c>
      <c r="D26" s="40" t="n">
        <f aca="false">'Calc Engine'!C1294</f>
        <v>95</v>
      </c>
      <c r="E26" s="40" t="n">
        <f aca="false">'Calc Engine'!C1949</f>
        <v>85</v>
      </c>
      <c r="F26" s="35" t="n">
        <f aca="false">CHOOSE(Assumptions!$C$10,C26,D26,E26)</f>
        <v>95</v>
      </c>
    </row>
    <row r="27" customFormat="false" ht="15" hidden="false" customHeight="false" outlineLevel="0" collapsed="false">
      <c r="A27" s="2" t="s">
        <v>483</v>
      </c>
      <c r="C27" s="41" t="n">
        <f aca="false">'Calc Engine'!C653</f>
        <v>0.0958152816969216</v>
      </c>
      <c r="D27" s="41" t="n">
        <f aca="false">'Calc Engine'!C1308</f>
        <v>0.0873962489027792</v>
      </c>
      <c r="E27" s="41" t="n">
        <f aca="false">'Calc Engine'!C1963</f>
        <v>0.0994077590660149</v>
      </c>
      <c r="F27" s="42" t="n">
        <f aca="false">CHOOSE(Assumptions!$C$10,C27,D27,E27)</f>
        <v>0.0873962489027792</v>
      </c>
    </row>
    <row r="28" customFormat="false" ht="15" hidden="false" customHeight="false" outlineLevel="0" collapsed="false">
      <c r="A28" s="2" t="s">
        <v>484</v>
      </c>
      <c r="C28" s="43" t="n">
        <f aca="false">'Calc Engine'!C652</f>
        <v>1.28845568077977</v>
      </c>
      <c r="D28" s="43" t="n">
        <f aca="false">'Calc Engine'!C1307</f>
        <v>1.25672657122551</v>
      </c>
      <c r="E28" s="43" t="n">
        <f aca="false">'Calc Engine'!C1962</f>
        <v>1.29099400954412</v>
      </c>
      <c r="F28" s="44" t="n">
        <f aca="false">CHOOSE(Assumptions!$C$10,C28,D28,E28)</f>
        <v>1.25672657122551</v>
      </c>
    </row>
    <row r="29" customFormat="false" ht="15" hidden="false" customHeight="false" outlineLevel="0" collapsed="false">
      <c r="A29" s="3" t="s">
        <v>485</v>
      </c>
      <c r="C29" s="29" t="n">
        <f aca="false">'Calc Engine'!C651</f>
        <v>28.41</v>
      </c>
      <c r="D29" s="29" t="n">
        <f aca="false">'Calc Engine'!C1306</f>
        <v>25.285</v>
      </c>
      <c r="E29" s="29" t="n">
        <f aca="false">'Calc Engine'!C1961</f>
        <v>28.66</v>
      </c>
      <c r="F29" s="16" t="n">
        <f aca="false">CHOOSE(Assumptions!$C$10,C29,D29,E29)</f>
        <v>25.285</v>
      </c>
    </row>
    <row r="31" customFormat="false" ht="15" hidden="false" customHeight="false" outlineLevel="0" collapsed="false">
      <c r="A31" s="2" t="s">
        <v>486</v>
      </c>
      <c r="C31" s="42" t="n">
        <f aca="false">IF(SUM(D38:I38)&lt;=0,-1,IFERROR(IRR(C38:I38,MAX(-0.9,(SUM(D38:I38)/-C38)^(1/(COLUMNS(C38:I38)-1))-1)),IRR(C38:I38,0.1)))</f>
        <v>0.0934323696759178</v>
      </c>
    </row>
    <row r="32" customFormat="false" ht="15" hidden="false" customHeight="false" outlineLevel="0" collapsed="false">
      <c r="A32" s="3" t="s">
        <v>487</v>
      </c>
      <c r="C32" s="22" t="n">
        <f aca="false">SUMPRODUCT(C12:E12,C27:E27)</f>
        <v>0.0934074918243357</v>
      </c>
    </row>
    <row r="33" customFormat="false" ht="15" hidden="false" customHeight="false" outlineLevel="0" collapsed="false">
      <c r="A33" s="2" t="s">
        <v>488</v>
      </c>
      <c r="C33" s="44" t="n">
        <f aca="false">SUMPRODUCT(C12:E12,C28:E28)</f>
        <v>1.27773124175043</v>
      </c>
    </row>
    <row r="34" customFormat="false" ht="15" hidden="false" customHeight="false" outlineLevel="0" collapsed="false">
      <c r="A34" s="2" t="s">
        <v>489</v>
      </c>
      <c r="C34" s="42" t="n">
        <f aca="false">SUMPRODUCT(C12:E12,C22:E22)</f>
        <v>0.5</v>
      </c>
    </row>
    <row r="36" customFormat="false" ht="15" hidden="false" customHeight="false" outlineLevel="0" collapsed="false">
      <c r="A36" s="9" t="s">
        <v>490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customFormat="false" ht="15" hidden="false" customHeight="false" outlineLevel="0" collapsed="false">
      <c r="A37" s="7"/>
      <c r="B37" s="7"/>
      <c r="C37" s="7" t="s">
        <v>491</v>
      </c>
      <c r="D37" s="7" t="s">
        <v>492</v>
      </c>
      <c r="E37" s="7" t="s">
        <v>493</v>
      </c>
      <c r="F37" s="7" t="s">
        <v>494</v>
      </c>
      <c r="G37" s="7" t="s">
        <v>495</v>
      </c>
      <c r="H37" s="7" t="s">
        <v>496</v>
      </c>
      <c r="I37" s="7" t="s">
        <v>497</v>
      </c>
    </row>
    <row r="38" customFormat="false" ht="15" hidden="false" customHeight="false" outlineLevel="0" collapsed="false">
      <c r="A38" s="3" t="s">
        <v>498</v>
      </c>
      <c r="C38" s="16" t="n">
        <f aca="false">C$12*'Calc Engine'!C646+D$12*'Calc Engine'!C1301+E$12*'Calc Engine'!C1956</f>
        <v>-98.49</v>
      </c>
      <c r="D38" s="16" t="n">
        <f aca="false">C$12*'Calc Engine'!D646+D$12*'Calc Engine'!D1301+E$12*'Calc Engine'!D1956</f>
        <v>10.125</v>
      </c>
      <c r="E38" s="16" t="n">
        <f aca="false">C$12*'Calc Engine'!E646+D$12*'Calc Engine'!E1301+E$12*'Calc Engine'!E1956</f>
        <v>9.975</v>
      </c>
      <c r="F38" s="16" t="n">
        <f aca="false">C$12*'Calc Engine'!F646+D$12*'Calc Engine'!F1301+E$12*'Calc Engine'!F1956</f>
        <v>105.74375</v>
      </c>
      <c r="G38" s="16" t="n">
        <f aca="false">C$12*'Calc Engine'!G646+D$12*'Calc Engine'!G1301+E$12*'Calc Engine'!G1956</f>
        <v>0</v>
      </c>
      <c r="H38" s="16" t="n">
        <f aca="false">C$12*'Calc Engine'!H646+D$12*'Calc Engine'!H1301+E$12*'Calc Engine'!H1956</f>
        <v>0</v>
      </c>
      <c r="I38" s="16" t="n">
        <f aca="false">C$12*'Calc Engine'!I646+D$12*'Calc Engine'!I1301+E$12*'Calc Engine'!I1956</f>
        <v>0</v>
      </c>
    </row>
    <row r="40" customFormat="false" ht="15" hidden="false" customHeight="false" outlineLevel="0" collapsed="false">
      <c r="A40" s="7" t="s">
        <v>499</v>
      </c>
      <c r="B40" s="7"/>
      <c r="C40" s="7" t="s">
        <v>500</v>
      </c>
      <c r="D40" s="7" t="s">
        <v>46</v>
      </c>
      <c r="E40" s="7" t="s">
        <v>501</v>
      </c>
    </row>
    <row r="41" customFormat="false" ht="15" hidden="false" customHeight="false" outlineLevel="0" collapsed="false">
      <c r="A41" s="3" t="s">
        <v>502</v>
      </c>
      <c r="C41" s="29" t="n">
        <f aca="false">'Operating Model'!K17</f>
        <v>229.419631311443</v>
      </c>
      <c r="D41" s="16" t="n">
        <f aca="false">CHOOSE(Assumptions!$C$10,'Calc Engine'!K23,'Calc Engine'!K678,'Calc Engine'!K1333)</f>
        <v>229.419631311443</v>
      </c>
      <c r="E41" s="16" t="n">
        <f aca="false">C41-D41</f>
        <v>0</v>
      </c>
    </row>
    <row r="42" customFormat="false" ht="15" hidden="false" customHeight="false" outlineLevel="0" collapsed="false">
      <c r="A42" s="3" t="s">
        <v>503</v>
      </c>
      <c r="C42" s="29" t="n">
        <f aca="false">'Debt Schedule'!K147</f>
        <v>2557.380357881</v>
      </c>
      <c r="D42" s="16" t="n">
        <f aca="false">CHOOSE(Assumptions!$C$10,'Calc Engine'!K179,'Calc Engine'!K834,'Calc Engine'!K1489)</f>
        <v>2557.380357881</v>
      </c>
      <c r="E42" s="16" t="n">
        <f aca="false">C42-D42</f>
        <v>0</v>
      </c>
    </row>
    <row r="43" customFormat="false" ht="15" hidden="false" customHeight="false" outlineLevel="0" collapsed="false">
      <c r="A43" s="3" t="s">
        <v>504</v>
      </c>
      <c r="C43" s="29" t="n">
        <f aca="false">'Cash Flow'!K19</f>
        <v>-200.991687491933</v>
      </c>
      <c r="D43" s="16" t="n">
        <f aca="false">CHOOSE(Assumptions!$C$10,'Calc Engine'!K237,'Calc Engine'!K892,'Calc Engine'!K1547)</f>
        <v>-200.991687491933</v>
      </c>
      <c r="E43" s="16" t="n">
        <f aca="false">C43-D43</f>
        <v>0</v>
      </c>
    </row>
    <row r="44" customFormat="false" ht="15" hidden="false" customHeight="false" outlineLevel="0" collapsed="false">
      <c r="A44" s="3" t="s">
        <v>505</v>
      </c>
      <c r="C44" s="29" t="n">
        <f aca="false">Returns!C191</f>
        <v>-320.308045372933</v>
      </c>
      <c r="D44" s="16" t="n">
        <f aca="false">CHOOSE(Assumptions!$C$10,'Calc Engine'!C656,'Calc Engine'!C1311,'Calc Engine'!C1966)</f>
        <v>-320.308045372933</v>
      </c>
      <c r="E44" s="16" t="n">
        <f aca="false">C44-D44</f>
        <v>0</v>
      </c>
    </row>
    <row r="45" customFormat="false" ht="15" hidden="false" customHeight="false" outlineLevel="0" collapsed="false">
      <c r="A45" s="3" t="s">
        <v>506</v>
      </c>
      <c r="C45" s="29" t="n">
        <f aca="false">Recovery!C15</f>
        <v>3264.03873166667</v>
      </c>
      <c r="D45" s="16" t="n">
        <f aca="false">CHOOSE(Assumptions!$C$10,'Calc Engine'!C311,'Calc Engine'!C966,'Calc Engine'!C1621)</f>
        <v>3264.03873166667</v>
      </c>
      <c r="E45" s="16" t="n">
        <f aca="false">C45-D45</f>
        <v>0</v>
      </c>
    </row>
    <row r="46" customFormat="false" ht="15" hidden="false" customHeight="false" outlineLevel="0" collapsed="false">
      <c r="A46" s="3" t="s">
        <v>507</v>
      </c>
      <c r="C46" s="27" t="n">
        <f aca="false">'Credit Metrics'!C62</f>
        <v>15</v>
      </c>
      <c r="D46" s="21" t="n">
        <f aca="false">CHOOSE(Assumptions!$C$10,'Calc Engine'!C299,'Calc Engine'!C954,'Calc Engine'!C1609)</f>
        <v>15</v>
      </c>
      <c r="E46" s="21" t="n">
        <f aca="false">C46-D46</f>
        <v>0</v>
      </c>
    </row>
    <row r="47" customFormat="false" ht="15" hidden="false" customHeight="false" outlineLevel="0" collapsed="false">
      <c r="A47" s="3" t="s">
        <v>483</v>
      </c>
      <c r="C47" s="30" t="n">
        <f aca="false">Returns!C188</f>
        <v>0.0873962489027792</v>
      </c>
      <c r="D47" s="31" t="n">
        <f aca="false">CHOOSE(Assumptions!$C$10,'Calc Engine'!C653,'Calc Engine'!C1308,'Calc Engine'!C1963)</f>
        <v>0.0873962489027792</v>
      </c>
      <c r="E47" s="31" t="n">
        <f aca="false">C47-D47</f>
        <v>0</v>
      </c>
    </row>
    <row r="48" customFormat="false" ht="15" hidden="false" customHeight="false" outlineLevel="0" collapsed="false">
      <c r="A48" s="3" t="s">
        <v>484</v>
      </c>
      <c r="C48" s="34" t="n">
        <f aca="false">Returns!C187</f>
        <v>1.25672657122551</v>
      </c>
      <c r="D48" s="32" t="n">
        <f aca="false">CHOOSE(Assumptions!$C$10,'Calc Engine'!C652,'Calc Engine'!C1307,'Calc Engine'!C1962)</f>
        <v>1.25672657122551</v>
      </c>
      <c r="E48" s="32" t="n">
        <f aca="false">C48-D48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508</v>
      </c>
    </row>
    <row r="2" customFormat="false" ht="15" hidden="false" customHeight="false" outlineLevel="0" collapsed="false">
      <c r="A2" s="3" t="str">
        <f aca="false">"Brandywine Realty Trust · PUBLIC DATA CASE · HYPOTHETICAL INVESTMENT TERMS · as of "&amp;TEXT(Assumptions!$C$8,"yyyy-mm-dd")&amp;" · $M"</f>
        <v>Brandywine Realty Trust · PUBLIC DATA CASE · HYPOTHETICAL INVESTMENT TERMS · as of 2026-06-30 · $M</v>
      </c>
    </row>
    <row r="4" customFormat="false" ht="15" hidden="false" customHeight="false" outlineLevel="0" collapsed="false">
      <c r="A4" s="7" t="s">
        <v>120</v>
      </c>
      <c r="B4" s="7" t="s">
        <v>121</v>
      </c>
      <c r="C4" s="7" t="s">
        <v>132</v>
      </c>
      <c r="D4" s="7" t="s">
        <v>509</v>
      </c>
      <c r="E4" s="7" t="s">
        <v>510</v>
      </c>
      <c r="F4" s="7" t="s">
        <v>511</v>
      </c>
      <c r="G4" s="7" t="s">
        <v>512</v>
      </c>
      <c r="H4" s="7" t="s">
        <v>129</v>
      </c>
      <c r="I4" s="7" t="s">
        <v>513</v>
      </c>
      <c r="J4" s="7" t="s">
        <v>514</v>
      </c>
      <c r="K4" s="7" t="s">
        <v>137</v>
      </c>
      <c r="L4" s="7" t="s">
        <v>515</v>
      </c>
    </row>
    <row r="5" customFormat="false" ht="15" hidden="false" customHeight="false" outlineLevel="0" collapsed="false">
      <c r="A5" s="6" t="str">
        <f aca="false">Assumptions!$A$57</f>
        <v>Hypothetical Senior Secured Term Loan (S+525, 1% floor)</v>
      </c>
      <c r="B5" s="6" t="str">
        <f aca="false">Assumptions!$B$57</f>
        <v>term_loan</v>
      </c>
      <c r="C5" s="27" t="n">
        <f aca="false">Assumptions!$M$57</f>
        <v>1</v>
      </c>
      <c r="D5" s="3" t="str">
        <f aca="false">IF(Assumptions!$O$57=1,"Secured","Unsecured")</f>
        <v>Secured</v>
      </c>
      <c r="E5" s="29" t="n">
        <f aca="false">Assumptions!$C$57</f>
        <v>400</v>
      </c>
      <c r="F5" s="30" t="n">
        <f aca="false">'Debt Schedule'!G20</f>
        <v>0.1065</v>
      </c>
      <c r="G5" s="16" t="n">
        <f aca="false">E5*F5</f>
        <v>42.6</v>
      </c>
      <c r="H5" s="45" t="n">
        <f aca="false">Assumptions!$J$57</f>
        <v>48029</v>
      </c>
      <c r="I5" s="32" t="n">
        <f aca="false">SUMIF($C$5:$C$14,"&lt;="&amp;C5,$E$5:$E$14)/'Operating Model'!F17</f>
        <v>2.06789407466459</v>
      </c>
      <c r="J5" s="22" t="n">
        <f aca="false">E5/($E$15+$E$19)</f>
        <v>0.119533847876743</v>
      </c>
      <c r="K5" s="40" t="n">
        <f aca="false">Assumptions!$R$57</f>
        <v>98</v>
      </c>
      <c r="L5" s="16" t="n">
        <f aca="false">E5*K5/100</f>
        <v>392</v>
      </c>
    </row>
    <row r="6" customFormat="false" ht="15" hidden="false" customHeight="false" outlineLevel="0" collapsed="false">
      <c r="A6" s="6" t="str">
        <f aca="false">Assumptions!$A$58</f>
        <v>Avira Secured Term Loan (swapped to 5.81%)</v>
      </c>
      <c r="B6" s="6" t="str">
        <f aca="false">Assumptions!$B$58</f>
        <v>term_loan</v>
      </c>
      <c r="C6" s="27" t="n">
        <f aca="false">Assumptions!$M$58</f>
        <v>1</v>
      </c>
      <c r="D6" s="3" t="str">
        <f aca="false">IF(Assumptions!$O$58=1,"Secured","Unsecured")</f>
        <v>Secured</v>
      </c>
      <c r="E6" s="29" t="n">
        <f aca="false">Assumptions!$C$58</f>
        <v>90</v>
      </c>
      <c r="F6" s="30" t="n">
        <f aca="false">'Debt Schedule'!G33</f>
        <v>0.0581</v>
      </c>
      <c r="G6" s="16" t="n">
        <f aca="false">E6*F6</f>
        <v>5.229</v>
      </c>
      <c r="H6" s="45" t="n">
        <f aca="false">Assumptions!$J$58</f>
        <v>48760</v>
      </c>
      <c r="I6" s="32" t="n">
        <f aca="false">SUMIF($C$5:$C$14,"&lt;="&amp;C6,$E$5:$E$14)/'Operating Model'!F17</f>
        <v>2.06789407466459</v>
      </c>
      <c r="J6" s="22" t="n">
        <f aca="false">E6/($E$15+$E$19)</f>
        <v>0.0268951157722671</v>
      </c>
      <c r="K6" s="40" t="n">
        <f aca="false">Assumptions!$R$58</f>
        <v>100</v>
      </c>
      <c r="L6" s="16" t="n">
        <f aca="false">E6*K6/100</f>
        <v>90</v>
      </c>
    </row>
    <row r="7" customFormat="false" ht="15" hidden="false" customHeight="false" outlineLevel="0" collapsed="false">
      <c r="A7" s="6" t="str">
        <f aca="false">Assumptions!$A$59</f>
        <v>3151 Market C-PACE Loan</v>
      </c>
      <c r="B7" s="6" t="str">
        <f aca="false">Assumptions!$B$59</f>
        <v>mortgage</v>
      </c>
      <c r="C7" s="27" t="n">
        <f aca="false">Assumptions!$M$59</f>
        <v>1</v>
      </c>
      <c r="D7" s="3" t="str">
        <f aca="false">IF(Assumptions!$O$59=1,"Secured","Unsecured")</f>
        <v>Secured</v>
      </c>
      <c r="E7" s="29" t="n">
        <f aca="false">Assumptions!$C$59</f>
        <v>57.324</v>
      </c>
      <c r="F7" s="30" t="n">
        <f aca="false">'Debt Schedule'!G46</f>
        <v>0.0731</v>
      </c>
      <c r="G7" s="16" t="n">
        <f aca="false">E7*F7</f>
        <v>4.1903844</v>
      </c>
      <c r="H7" s="45" t="n">
        <f aca="false">Assumptions!$J$59</f>
        <v>56339</v>
      </c>
      <c r="I7" s="32" t="n">
        <f aca="false">SUMIF($C$5:$C$14,"&lt;="&amp;C7,$E$5:$E$14)/'Operating Model'!F17</f>
        <v>2.06789407466459</v>
      </c>
      <c r="J7" s="22" t="n">
        <f aca="false">E7/($E$15+$E$19)</f>
        <v>0.017130395739216</v>
      </c>
      <c r="K7" s="40" t="n">
        <f aca="false">Assumptions!$R$59</f>
        <v>100</v>
      </c>
      <c r="L7" s="16" t="n">
        <f aca="false">E7*K7/100</f>
        <v>57.324</v>
      </c>
    </row>
    <row r="8" customFormat="false" ht="15" hidden="false" customHeight="false" outlineLevel="0" collapsed="false">
      <c r="A8" s="6" t="str">
        <f aca="false">Assumptions!$A$60</f>
        <v>Unsecured Revolver ($600M less LCs; hypothetically undrawn pro forma)</v>
      </c>
      <c r="B8" s="6" t="str">
        <f aca="false">Assumptions!$B$60</f>
        <v>revolver</v>
      </c>
      <c r="C8" s="27" t="n">
        <f aca="false">Assumptions!$M$60</f>
        <v>2</v>
      </c>
      <c r="D8" s="3" t="str">
        <f aca="false">IF(Assumptions!$O$60=1,"Secured","Unsecured")</f>
        <v>Unsecured</v>
      </c>
      <c r="E8" s="29" t="n">
        <f aca="false">Assumptions!$C$60</f>
        <v>0</v>
      </c>
      <c r="F8" s="30" t="n">
        <f aca="false">'Debt Schedule'!G59</f>
        <v>0.069</v>
      </c>
      <c r="G8" s="16" t="n">
        <f aca="false">E8*F8</f>
        <v>0</v>
      </c>
      <c r="H8" s="45" t="n">
        <f aca="false">Assumptions!$J$60</f>
        <v>46568</v>
      </c>
      <c r="I8" s="32" t="n">
        <f aca="false">SUMIF($C$5:$C$14,"&lt;="&amp;C8,$E$5:$E$14)/'Operating Model'!F17</f>
        <v>9.62427411524235</v>
      </c>
      <c r="J8" s="22" t="n">
        <f aca="false">E8/($E$15+$E$19)</f>
        <v>0</v>
      </c>
      <c r="K8" s="40" t="n">
        <f aca="false">Assumptions!$R$60</f>
        <v>100</v>
      </c>
      <c r="L8" s="16" t="n">
        <f aca="false">E8*K8/100</f>
        <v>0</v>
      </c>
    </row>
    <row r="9" customFormat="false" ht="15" hidden="false" customHeight="false" outlineLevel="0" collapsed="false">
      <c r="A9" s="6" t="str">
        <f aca="false">Assumptions!$A$61</f>
        <v>3.95% Guaranteed Notes due Nov-2027</v>
      </c>
      <c r="B9" s="6" t="str">
        <f aca="false">Assumptions!$B$61</f>
        <v>senior_notes</v>
      </c>
      <c r="C9" s="27" t="n">
        <f aca="false">Assumptions!$M$61</f>
        <v>2</v>
      </c>
      <c r="D9" s="3" t="str">
        <f aca="false">IF(Assumptions!$O$61=1,"Secured","Unsecured")</f>
        <v>Unsecured</v>
      </c>
      <c r="E9" s="29" t="n">
        <f aca="false">Assumptions!$C$61</f>
        <v>450</v>
      </c>
      <c r="F9" s="30" t="n">
        <f aca="false">'Debt Schedule'!G72</f>
        <v>0.0395</v>
      </c>
      <c r="G9" s="16" t="n">
        <f aca="false">E9*F9</f>
        <v>17.775</v>
      </c>
      <c r="H9" s="45" t="n">
        <f aca="false">Assumptions!$J$61</f>
        <v>46706</v>
      </c>
      <c r="I9" s="32" t="n">
        <f aca="false">SUMIF($C$5:$C$14,"&lt;="&amp;C9,$E$5:$E$14)/'Operating Model'!F17</f>
        <v>9.62427411524235</v>
      </c>
      <c r="J9" s="22" t="n">
        <f aca="false">E9/($E$15+$E$19)</f>
        <v>0.134475578861336</v>
      </c>
      <c r="K9" s="40" t="n">
        <f aca="false">Assumptions!$R$61</f>
        <v>100</v>
      </c>
      <c r="L9" s="16" t="n">
        <f aca="false">E9*K9/100</f>
        <v>450</v>
      </c>
    </row>
    <row r="10" customFormat="false" ht="15" hidden="false" customHeight="false" outlineLevel="0" collapsed="false">
      <c r="A10" s="6" t="str">
        <f aca="false">Assumptions!$A$62</f>
        <v>8.30% Guaranteed Notes due Mar-2028</v>
      </c>
      <c r="B10" s="6" t="str">
        <f aca="false">Assumptions!$B$62</f>
        <v>senior_notes</v>
      </c>
      <c r="C10" s="27" t="n">
        <f aca="false">Assumptions!$M$62</f>
        <v>2</v>
      </c>
      <c r="D10" s="3" t="str">
        <f aca="false">IF(Assumptions!$O$62=1,"Secured","Unsecured")</f>
        <v>Unsecured</v>
      </c>
      <c r="E10" s="29" t="n">
        <f aca="false">Assumptions!$C$62</f>
        <v>350</v>
      </c>
      <c r="F10" s="30" t="n">
        <f aca="false">'Debt Schedule'!G85</f>
        <v>0.083</v>
      </c>
      <c r="G10" s="16" t="n">
        <f aca="false">E10*F10</f>
        <v>29.05</v>
      </c>
      <c r="H10" s="45" t="n">
        <f aca="false">Assumptions!$J$62</f>
        <v>46827</v>
      </c>
      <c r="I10" s="32" t="n">
        <f aca="false">SUMIF($C$5:$C$14,"&lt;="&amp;C10,$E$5:$E$14)/'Operating Model'!F17</f>
        <v>9.62427411524235</v>
      </c>
      <c r="J10" s="22" t="n">
        <f aca="false">E10/($E$15+$E$19)</f>
        <v>0.10459211689215</v>
      </c>
      <c r="K10" s="40" t="n">
        <f aca="false">Assumptions!$R$62</f>
        <v>100</v>
      </c>
      <c r="L10" s="16" t="n">
        <f aca="false">E10*K10/100</f>
        <v>350</v>
      </c>
    </row>
    <row r="11" customFormat="false" ht="15" hidden="false" customHeight="false" outlineLevel="0" collapsed="false">
      <c r="A11" s="6" t="str">
        <f aca="false">Assumptions!$A$63</f>
        <v>8.875% Guaranteed Notes due Apr-2029</v>
      </c>
      <c r="B11" s="6" t="str">
        <f aca="false">Assumptions!$B$63</f>
        <v>senior_notes</v>
      </c>
      <c r="C11" s="27" t="n">
        <f aca="false">Assumptions!$M$63</f>
        <v>2</v>
      </c>
      <c r="D11" s="3" t="str">
        <f aca="false">IF(Assumptions!$O$63=1,"Secured","Unsecured")</f>
        <v>Unsecured</v>
      </c>
      <c r="E11" s="29" t="n">
        <f aca="false">Assumptions!$C$63</f>
        <v>550</v>
      </c>
      <c r="F11" s="30" t="n">
        <f aca="false">'Debt Schedule'!G98</f>
        <v>0.08875</v>
      </c>
      <c r="G11" s="16" t="n">
        <f aca="false">E11*F11</f>
        <v>48.8125</v>
      </c>
      <c r="H11" s="45" t="n">
        <f aca="false">Assumptions!$J$63</f>
        <v>47223</v>
      </c>
      <c r="I11" s="32" t="n">
        <f aca="false">SUMIF($C$5:$C$14,"&lt;="&amp;C11,$E$5:$E$14)/'Operating Model'!F17</f>
        <v>9.62427411524235</v>
      </c>
      <c r="J11" s="22" t="n">
        <f aca="false">E11/($E$15+$E$19)</f>
        <v>0.164359040830521</v>
      </c>
      <c r="K11" s="40" t="n">
        <f aca="false">Assumptions!$R$63</f>
        <v>100</v>
      </c>
      <c r="L11" s="16" t="n">
        <f aca="false">E11*K11/100</f>
        <v>550</v>
      </c>
    </row>
    <row r="12" customFormat="false" ht="15" hidden="false" customHeight="false" outlineLevel="0" collapsed="false">
      <c r="A12" s="6" t="str">
        <f aca="false">Assumptions!$A$64</f>
        <v>4.55% Guaranteed Notes due Oct-2029</v>
      </c>
      <c r="B12" s="6" t="str">
        <f aca="false">Assumptions!$B$64</f>
        <v>senior_notes</v>
      </c>
      <c r="C12" s="27" t="n">
        <f aca="false">Assumptions!$M$64</f>
        <v>2</v>
      </c>
      <c r="D12" s="3" t="str">
        <f aca="false">IF(Assumptions!$O$64=1,"Secured","Unsecured")</f>
        <v>Unsecured</v>
      </c>
      <c r="E12" s="29" t="n">
        <f aca="false">Assumptions!$C$64</f>
        <v>350</v>
      </c>
      <c r="F12" s="30" t="n">
        <f aca="false">'Debt Schedule'!G111</f>
        <v>0.0455</v>
      </c>
      <c r="G12" s="16" t="n">
        <f aca="false">E12*F12</f>
        <v>15.925</v>
      </c>
      <c r="H12" s="45" t="n">
        <f aca="false">Assumptions!$J$64</f>
        <v>47392</v>
      </c>
      <c r="I12" s="32" t="n">
        <f aca="false">SUMIF($C$5:$C$14,"&lt;="&amp;C12,$E$5:$E$14)/'Operating Model'!F17</f>
        <v>9.62427411524235</v>
      </c>
      <c r="J12" s="22" t="n">
        <f aca="false">E12/($E$15+$E$19)</f>
        <v>0.10459211689215</v>
      </c>
      <c r="K12" s="40" t="n">
        <f aca="false">Assumptions!$R$64</f>
        <v>100</v>
      </c>
      <c r="L12" s="16" t="n">
        <f aca="false">E12*K12/100</f>
        <v>350</v>
      </c>
    </row>
    <row r="13" customFormat="false" ht="15" hidden="false" customHeight="false" outlineLevel="0" collapsed="false">
      <c r="A13" s="6" t="str">
        <f aca="false">Assumptions!$A$65</f>
        <v>6.125% Guaranteed Notes due Jan-2031</v>
      </c>
      <c r="B13" s="6" t="str">
        <f aca="false">Assumptions!$B$65</f>
        <v>senior_notes</v>
      </c>
      <c r="C13" s="27" t="n">
        <f aca="false">Assumptions!$M$65</f>
        <v>2</v>
      </c>
      <c r="D13" s="3" t="str">
        <f aca="false">IF(Assumptions!$O$65=1,"Secured","Unsecured")</f>
        <v>Unsecured</v>
      </c>
      <c r="E13" s="29" t="n">
        <f aca="false">Assumptions!$C$65</f>
        <v>300</v>
      </c>
      <c r="F13" s="30" t="n">
        <f aca="false">'Debt Schedule'!G124</f>
        <v>0.06125</v>
      </c>
      <c r="G13" s="16" t="n">
        <f aca="false">E13*F13</f>
        <v>18.375</v>
      </c>
      <c r="H13" s="45" t="n">
        <f aca="false">Assumptions!$J$65</f>
        <v>47863</v>
      </c>
      <c r="I13" s="32" t="n">
        <f aca="false">SUMIF($C$5:$C$14,"&lt;="&amp;C13,$E$5:$E$14)/'Operating Model'!F17</f>
        <v>9.62427411524235</v>
      </c>
      <c r="J13" s="22" t="n">
        <f aca="false">E13/($E$15+$E$19)</f>
        <v>0.089650385907557</v>
      </c>
      <c r="K13" s="40" t="n">
        <f aca="false">Assumptions!$R$65</f>
        <v>100</v>
      </c>
      <c r="L13" s="16" t="n">
        <f aca="false">E13*K13/100</f>
        <v>300</v>
      </c>
    </row>
    <row r="14" customFormat="false" ht="15" hidden="false" customHeight="false" outlineLevel="0" collapsed="false">
      <c r="A14" s="6" t="str">
        <f aca="false">Assumptions!$A$66</f>
        <v>Junior subordinated trust-preferred indentures</v>
      </c>
      <c r="B14" s="6" t="str">
        <f aca="false">Assumptions!$B$66</f>
        <v>subordinated</v>
      </c>
      <c r="C14" s="27" t="n">
        <f aca="false">Assumptions!$M$66</f>
        <v>3</v>
      </c>
      <c r="D14" s="3" t="str">
        <f aca="false">IF(Assumptions!$O$66=1,"Secured","Unsecured")</f>
        <v>Unsecured</v>
      </c>
      <c r="E14" s="29" t="n">
        <f aca="false">Assumptions!$C$66</f>
        <v>78.61</v>
      </c>
      <c r="F14" s="30" t="n">
        <f aca="false">'Debt Schedule'!G137</f>
        <v>0.0691</v>
      </c>
      <c r="G14" s="16" t="n">
        <f aca="false">E14*F14</f>
        <v>5.431951</v>
      </c>
      <c r="H14" s="45" t="n">
        <f aca="false">Assumptions!$J$66</f>
        <v>49398</v>
      </c>
      <c r="I14" s="32" t="n">
        <f aca="false">SUMIF($C$5:$C$14,"&lt;="&amp;C14,$E$5:$E$14)/'Operating Model'!F17</f>
        <v>9.92127763273726</v>
      </c>
      <c r="J14" s="22" t="n">
        <f aca="false">E14/($E$15+$E$19)</f>
        <v>0.0234913894539769</v>
      </c>
      <c r="K14" s="40" t="n">
        <f aca="false">Assumptions!$R$66</f>
        <v>100</v>
      </c>
      <c r="L14" s="16" t="n">
        <f aca="false">E14*K14/100</f>
        <v>78.61</v>
      </c>
    </row>
    <row r="15" customFormat="false" ht="15" hidden="false" customHeight="false" outlineLevel="0" collapsed="false">
      <c r="A15" s="2" t="s">
        <v>516</v>
      </c>
      <c r="E15" s="17" t="n">
        <f aca="false">SUM(E5:E14)</f>
        <v>2625.934</v>
      </c>
      <c r="G15" s="17" t="n">
        <f aca="false">SUM(G5:G14)</f>
        <v>187.3888354</v>
      </c>
      <c r="I15" s="44" t="n">
        <f aca="false">E15/'Operating Model'!F17</f>
        <v>9.92127763273726</v>
      </c>
      <c r="L15" s="17" t="n">
        <f aca="false">SUM(L5:L14)</f>
        <v>2617.934</v>
      </c>
    </row>
    <row r="16" customFormat="false" ht="15" hidden="false" customHeight="false" outlineLevel="0" collapsed="false">
      <c r="A16" s="3" t="s">
        <v>517</v>
      </c>
      <c r="E16" s="29" t="n">
        <f aca="false">Assumptions!$C$11</f>
        <v>37.87</v>
      </c>
    </row>
    <row r="17" customFormat="false" ht="15" hidden="false" customHeight="false" outlineLevel="0" collapsed="false">
      <c r="A17" s="2" t="s">
        <v>416</v>
      </c>
      <c r="E17" s="17" t="n">
        <f aca="false">E15-E16</f>
        <v>2588.064</v>
      </c>
      <c r="I17" s="44" t="n">
        <f aca="false">E17/'Operating Model'!F17</f>
        <v>9.77819757666892</v>
      </c>
    </row>
    <row r="18" customFormat="false" ht="15" hidden="false" customHeight="false" outlineLevel="0" collapsed="false">
      <c r="A18" s="3" t="s">
        <v>518</v>
      </c>
      <c r="E18" s="16" t="n">
        <f aca="false">'Operating Model'!F17*Assumptions!$C$21</f>
        <v>3308.4625</v>
      </c>
    </row>
    <row r="19" customFormat="false" ht="15" hidden="false" customHeight="false" outlineLevel="0" collapsed="false">
      <c r="A19" s="2" t="s">
        <v>519</v>
      </c>
      <c r="E19" s="17" t="n">
        <f aca="false">MAX(0,E18-E17)</f>
        <v>720.3985</v>
      </c>
    </row>
    <row r="20" customFormat="false" ht="15" hidden="false" customHeight="false" outlineLevel="0" collapsed="false">
      <c r="A20" s="3" t="s">
        <v>422</v>
      </c>
      <c r="E20" s="29" t="n">
        <f aca="false">'Credit Metrics'!F16</f>
        <v>612.37</v>
      </c>
    </row>
    <row r="21" customFormat="false" ht="15" hidden="false" customHeight="false" outlineLevel="0" collapsed="false">
      <c r="A21" s="3" t="s">
        <v>520</v>
      </c>
      <c r="E21" s="29" t="n">
        <f aca="false">Assumptions!$C$31</f>
        <v>4517.70066666667</v>
      </c>
    </row>
    <row r="22" customFormat="false" ht="15" hidden="false" customHeight="false" outlineLevel="0" collapsed="false">
      <c r="A22" s="3" t="s">
        <v>521</v>
      </c>
      <c r="E22" s="22" t="n">
        <f aca="false">SUMIF($C$5:$C$14,"&lt;="&amp;INDEX($C$5:$C$14,Assumptions!$C$34),$E$5:$E$14)/E21</f>
        <v>0.121151010300077</v>
      </c>
    </row>
    <row r="25" customFormat="false" ht="15" hidden="false" customHeight="false" outlineLevel="0" collapsed="false">
      <c r="A25" s="9" t="s">
        <v>522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5" hidden="false" customHeight="false" outlineLevel="0" collapsed="false">
      <c r="A26" s="7" t="s">
        <v>523</v>
      </c>
      <c r="B26" s="7"/>
      <c r="C26" s="7" t="s">
        <v>524</v>
      </c>
      <c r="D26" s="7" t="s">
        <v>215</v>
      </c>
      <c r="E26" s="7" t="s">
        <v>525</v>
      </c>
      <c r="F26" s="7" t="s">
        <v>526</v>
      </c>
      <c r="G26" s="7" t="s">
        <v>527</v>
      </c>
      <c r="H26" s="7" t="s">
        <v>528</v>
      </c>
      <c r="I26" s="7" t="s">
        <v>529</v>
      </c>
      <c r="J26" s="7" t="s">
        <v>530</v>
      </c>
    </row>
    <row r="27" customFormat="false" ht="15" hidden="false" customHeight="false" outlineLevel="0" collapsed="false">
      <c r="A27" s="3" t="str">
        <f aca="false">"LTM Jun-27E"&amp;" (period ending "&amp;'Operating Model'!G7&amp;")"</f>
        <v>LTM Jun-27E (period ending 2027)</v>
      </c>
      <c r="C27" s="29" t="n">
        <f aca="false">'Debt Schedule'!G148</f>
        <v>0</v>
      </c>
      <c r="D27" s="22" t="n">
        <f aca="false">C27/$E$15</f>
        <v>0</v>
      </c>
      <c r="E27" s="22" t="n">
        <f aca="false">SUM($D$27:D27)</f>
        <v>0</v>
      </c>
      <c r="F27" s="16" t="n">
        <f aca="false">MAX(0,Assumptions!$C$11)+('Credit Metrics'!F16-MAX(0,Assumptions!$C$11))+MAX(0,'Operating Model'!G30)</f>
        <v>612.37</v>
      </c>
      <c r="G27" s="16" t="n">
        <f aca="false">MAX(0,C27-F27)</f>
        <v>0</v>
      </c>
      <c r="H27" s="32" t="n">
        <f aca="false">IF(C27&gt;0,F27/C27,0)</f>
        <v>0</v>
      </c>
      <c r="I27" s="3" t="str">
        <f aca="false">IF(AND(G27&gt;0,D27&gt;=Assumptions!$C$19),"High",IF(OR(G27&gt;0,D27&gt;=Assumptions!$C$20),"Medium","Low"))</f>
        <v>Low</v>
      </c>
      <c r="J27" s="3" t="str">
        <f aca="false">IF(I27="High","$"&amp;TEXT(C27,"#,##0")&amp;"M maturity; only $"&amp;TEXT(F27,"#,##0")&amp;"M projected liquidity; $"&amp;TEXT(G27,"#,##0")&amp;"M refinancing requirement","–")</f>
        <v>–</v>
      </c>
    </row>
    <row r="28" customFormat="false" ht="15" hidden="false" customHeight="false" outlineLevel="0" collapsed="false">
      <c r="A28" s="3" t="str">
        <f aca="false">"LTM Jun-28E"&amp;" (period ending "&amp;'Operating Model'!H7&amp;")"</f>
        <v>LTM Jun-28E (period ending 2028)</v>
      </c>
      <c r="C28" s="29" t="n">
        <f aca="false">'Debt Schedule'!H148</f>
        <v>800</v>
      </c>
      <c r="D28" s="22" t="n">
        <f aca="false">C28/$E$15</f>
        <v>0.304653506142957</v>
      </c>
      <c r="E28" s="22" t="n">
        <f aca="false">SUM($D$27:D28)</f>
        <v>0.304653506142957</v>
      </c>
      <c r="F28" s="16" t="n">
        <f aca="false">MAX(0,'Cash Flow'!G19)+('Credit Metrics'!G16-MAX(0,'Cash Flow'!G19))+MAX(0,'Operating Model'!H30)</f>
        <v>697.4474204</v>
      </c>
      <c r="G28" s="16" t="n">
        <f aca="false">MAX(0,C28-F28)</f>
        <v>102.5525796</v>
      </c>
      <c r="H28" s="32" t="n">
        <f aca="false">IF(C28&gt;0,F28/C28,0)</f>
        <v>0.8718092755</v>
      </c>
      <c r="I28" s="3" t="str">
        <f aca="false">IF(AND(G28&gt;0,D28&gt;=Assumptions!$C$19),"High",IF(OR(G28&gt;0,D28&gt;=Assumptions!$C$20),"Medium","Low"))</f>
        <v>High</v>
      </c>
      <c r="J28" s="3" t="str">
        <f aca="false">IF(I28="High","$"&amp;TEXT(C28,"#,##0")&amp;"M maturity; only $"&amp;TEXT(F28,"#,##0")&amp;"M projected liquidity; $"&amp;TEXT(G28,"#,##0")&amp;"M refinancing requirement","–")</f>
        <v>$800M maturity; only $697M projected liquidity; $103M refinancing requirement</v>
      </c>
    </row>
    <row r="29" customFormat="false" ht="15" hidden="false" customHeight="false" outlineLevel="0" collapsed="false">
      <c r="A29" s="3" t="str">
        <f aca="false">"LTM Jun-29E"&amp;" (period ending "&amp;'Operating Model'!I7&amp;")"</f>
        <v>LTM Jun-29E (period ending 2029)</v>
      </c>
      <c r="C29" s="29" t="n">
        <f aca="false">'Debt Schedule'!I148</f>
        <v>550</v>
      </c>
      <c r="D29" s="22" t="n">
        <f aca="false">C29/$E$15</f>
        <v>0.209449285473283</v>
      </c>
      <c r="E29" s="22" t="n">
        <f aca="false">SUM($D$27:D29)</f>
        <v>0.51410279161624</v>
      </c>
      <c r="F29" s="16" t="n">
        <f aca="false">MAX(0,'Cash Flow'!H19)+('Credit Metrics'!H16-MAX(0,'Cash Flow'!H19))+MAX(0,'Operating Model'!I30)</f>
        <v>574.5</v>
      </c>
      <c r="G29" s="16" t="n">
        <f aca="false">MAX(0,C29-F29)</f>
        <v>0</v>
      </c>
      <c r="H29" s="32" t="n">
        <f aca="false">IF(C29&gt;0,F29/C29,0)</f>
        <v>1.04454545454545</v>
      </c>
      <c r="I29" s="3" t="str">
        <f aca="false">IF(AND(G29&gt;0,D29&gt;=Assumptions!$C$19),"High",IF(OR(G29&gt;0,D29&gt;=Assumptions!$C$20),"Medium","Low"))</f>
        <v>Low</v>
      </c>
      <c r="J29" s="3" t="str">
        <f aca="false">IF(I29="High","$"&amp;TEXT(C29,"#,##0")&amp;"M maturity; only $"&amp;TEXT(F29,"#,##0")&amp;"M projected liquidity; $"&amp;TEXT(G29,"#,##0")&amp;"M refinancing requirement","–")</f>
        <v>–</v>
      </c>
    </row>
    <row r="30" customFormat="false" ht="15" hidden="false" customHeight="false" outlineLevel="0" collapsed="false">
      <c r="A30" s="3" t="str">
        <f aca="false">"LTM Jun-30E"&amp;" (period ending "&amp;'Operating Model'!J7&amp;")"</f>
        <v>LTM Jun-30E (period ending 2030)</v>
      </c>
      <c r="C30" s="29" t="n">
        <f aca="false">'Debt Schedule'!J148</f>
        <v>350</v>
      </c>
      <c r="D30" s="22" t="n">
        <f aca="false">C30/$E$15</f>
        <v>0.133285908937544</v>
      </c>
      <c r="E30" s="22" t="n">
        <f aca="false">SUM($D$27:D30)</f>
        <v>0.647388700553784</v>
      </c>
      <c r="F30" s="16" t="n">
        <f aca="false">MAX(0,'Cash Flow'!I19)+('Credit Metrics'!I16-MAX(0,'Cash Flow'!I19))+MAX(0,'Operating Model'!J30)</f>
        <v>574.5</v>
      </c>
      <c r="G30" s="16" t="n">
        <f aca="false">MAX(0,C30-F30)</f>
        <v>0</v>
      </c>
      <c r="H30" s="32" t="n">
        <f aca="false">IF(C30&gt;0,F30/C30,0)</f>
        <v>1.64142857142857</v>
      </c>
      <c r="I30" s="3" t="str">
        <f aca="false">IF(AND(G30&gt;0,D30&gt;=Assumptions!$C$19),"High",IF(OR(G30&gt;0,D30&gt;=Assumptions!$C$20),"Medium","Low"))</f>
        <v>Low</v>
      </c>
      <c r="J30" s="3" t="str">
        <f aca="false">IF(I30="High","$"&amp;TEXT(C30,"#,##0")&amp;"M maturity; only $"&amp;TEXT(F30,"#,##0")&amp;"M projected liquidity; $"&amp;TEXT(G30,"#,##0")&amp;"M refinancing requirement","–")</f>
        <v>–</v>
      </c>
    </row>
    <row r="31" customFormat="false" ht="15" hidden="false" customHeight="false" outlineLevel="0" collapsed="false">
      <c r="A31" s="3" t="str">
        <f aca="false">"LTM Jun-31E"&amp;" (period ending "&amp;'Operating Model'!K7&amp;")"</f>
        <v>LTM Jun-31E (period ending 2031)</v>
      </c>
      <c r="C31" s="29" t="n">
        <f aca="false">'Debt Schedule'!K148</f>
        <v>700</v>
      </c>
      <c r="D31" s="22" t="n">
        <f aca="false">C31/$E$15</f>
        <v>0.266571817875088</v>
      </c>
      <c r="E31" s="22" t="n">
        <f aca="false">SUM($D$27:D31)</f>
        <v>0.913960518428871</v>
      </c>
      <c r="F31" s="16" t="n">
        <f aca="false">MAX(0,'Cash Flow'!J19)+('Credit Metrics'!J16-MAX(0,'Cash Flow'!J19))+MAX(0,'Operating Model'!K30)</f>
        <v>574.5</v>
      </c>
      <c r="G31" s="16" t="n">
        <f aca="false">MAX(0,C31-F31)</f>
        <v>125.5</v>
      </c>
      <c r="H31" s="32" t="n">
        <f aca="false">IF(C31&gt;0,F31/C31,0)</f>
        <v>0.820714285714286</v>
      </c>
      <c r="I31" s="3" t="str">
        <f aca="false">IF(AND(G31&gt;0,D31&gt;=Assumptions!$C$19),"High",IF(OR(G31&gt;0,D31&gt;=Assumptions!$C$20),"Medium","Low"))</f>
        <v>High</v>
      </c>
      <c r="J31" s="3" t="str">
        <f aca="false">IF(I31="High","$"&amp;TEXT(C31,"#,##0")&amp;"M maturity; only $"&amp;TEXT(F31,"#,##0")&amp;"M projected liquidity; $"&amp;TEXT(G31,"#,##0")&amp;"M refinancing requirement","–")</f>
        <v>$700M maturity; only $575M projected liquidity; $126M refinancing requirement</v>
      </c>
    </row>
    <row r="32" customFormat="false" ht="15" hidden="false" customHeight="false" outlineLevel="0" collapsed="false">
      <c r="A32" s="2" t="s">
        <v>531</v>
      </c>
      <c r="C32" s="17" t="n">
        <f aca="false">SUM(C27:C31)</f>
        <v>2400</v>
      </c>
      <c r="D32" s="22" t="n">
        <f aca="false">C32/$E$15</f>
        <v>0.913960518428871</v>
      </c>
    </row>
    <row r="33" customFormat="false" ht="15" hidden="false" customHeight="false" outlineLevel="0" collapsed="false">
      <c r="A33" s="3" t="s">
        <v>532</v>
      </c>
      <c r="C33" s="16" t="n">
        <f aca="false">$E$15-C32</f>
        <v>225.934</v>
      </c>
    </row>
    <row r="35" customFormat="false" ht="15" hidden="false" customHeight="false" outlineLevel="0" collapsed="false">
      <c r="A35" s="2" t="s">
        <v>533</v>
      </c>
      <c r="C35" s="2" t="str">
        <f aca="false">IF(MAX(D27:D31)&gt;=Assumptions!$C$20,"CONCENTRATED: "&amp;TEXT(MAX(D27:D31),"0%")&amp;" of debt in "&amp;INDEX(A27:A31,MATCH(MAX(D27:D31),D27:D31,0)),"No single-period concentration")</f>
        <v>CONCENTRATED: 30% of debt in LTM Jun-28E (period ending 2028)</v>
      </c>
    </row>
    <row r="36" customFormat="false" ht="15" hidden="false" customHeight="false" outlineLevel="0" collapsed="false">
      <c r="A36" s="2" t="s">
        <v>534</v>
      </c>
      <c r="C36" s="16" t="n">
        <f aca="false">SUMPRODUCT((Assumptions!$K$57:$K$66&lt;=Assumptions!$C$6+Assumptions!$C$18)*Assumptions!$C$57:$C$66)</f>
        <v>800</v>
      </c>
      <c r="D36" s="22" t="n">
        <f aca="false">C36/E15</f>
        <v>0.304653506142957</v>
      </c>
    </row>
    <row r="37" customFormat="false" ht="15" hidden="false" customHeight="false" outlineLevel="0" collapsed="false">
      <c r="A37" s="2" t="s">
        <v>535</v>
      </c>
      <c r="C37" s="2" t="str">
        <f aca="false">IF(D36&gt;=Assumptions!$C$19,"ALERT: "&amp;TEXT(D36,"0%")&amp;" of debt ($"&amp;TEXT(C36,"#,##0")&amp;"M) due within "&amp;Assumptions!$C$18&amp;" period(s); liquidity covers "&amp;TEXT(E20/C36,"0%"),"OK: no material maturities within window")</f>
        <v>ALERT: 30% of debt ($800M) due within 2 period(s); liquidity covers 77%</v>
      </c>
    </row>
    <row r="39" customFormat="false" ht="15" hidden="false" customHeight="false" outlineLevel="0" collapsed="false">
      <c r="A39" s="9" t="s">
        <v>536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customFormat="false" ht="15" hidden="false" customHeight="false" outlineLevel="0" collapsed="false">
      <c r="A40" s="7" t="s">
        <v>537</v>
      </c>
      <c r="B40" s="7"/>
      <c r="C40" s="7" t="s">
        <v>538</v>
      </c>
      <c r="D40" s="7" t="s">
        <v>539</v>
      </c>
      <c r="E40" s="7" t="s">
        <v>540</v>
      </c>
      <c r="F40" s="7" t="s">
        <v>541</v>
      </c>
    </row>
    <row r="41" customFormat="false" ht="15" hidden="false" customHeight="false" outlineLevel="0" collapsed="false">
      <c r="A41" s="6" t="str">
        <f aca="false">Assumptions!$A$57</f>
        <v>Hypothetical Senior Secured Term Loan (S+525, 1% floor)</v>
      </c>
      <c r="C41" s="29" t="n">
        <f aca="false">'Debt Schedule'!C150</f>
        <v>380</v>
      </c>
      <c r="D41" s="29" t="n">
        <f aca="false">'Debt Schedule'!C151</f>
        <v>0</v>
      </c>
      <c r="E41" s="6" t="str">
        <f aca="false">'Debt Schedule'!C152</f>
        <v>REFINANCING FAILURE</v>
      </c>
      <c r="F41" s="6" t="str">
        <f aca="false">'Debt Schedule'!C153</f>
        <v>PAYMENT DEFAULT</v>
      </c>
    </row>
    <row r="42" customFormat="false" ht="15" hidden="false" customHeight="false" outlineLevel="0" collapsed="false">
      <c r="A42" s="6" t="str">
        <f aca="false">Assumptions!$A$58</f>
        <v>Avira Secured Term Loan (swapped to 5.81%)</v>
      </c>
      <c r="C42" s="29" t="n">
        <f aca="false">'Debt Schedule'!C154</f>
        <v>0</v>
      </c>
      <c r="D42" s="29" t="n">
        <f aca="false">'Debt Schedule'!C155</f>
        <v>0</v>
      </c>
      <c r="E42" s="6" t="str">
        <f aca="false">'Debt Schedule'!C156</f>
        <v>n/a (beyond horizon)</v>
      </c>
      <c r="F42" s="6" t="str">
        <f aca="false">'Debt Schedule'!C157</f>
        <v>n/a</v>
      </c>
    </row>
    <row r="43" customFormat="false" ht="15" hidden="false" customHeight="false" outlineLevel="0" collapsed="false">
      <c r="A43" s="6" t="str">
        <f aca="false">Assumptions!$A$59</f>
        <v>3151 Market C-PACE Loan</v>
      </c>
      <c r="C43" s="29" t="n">
        <f aca="false">'Debt Schedule'!C158</f>
        <v>0</v>
      </c>
      <c r="D43" s="29" t="n">
        <f aca="false">'Debt Schedule'!C159</f>
        <v>0</v>
      </c>
      <c r="E43" s="6" t="str">
        <f aca="false">'Debt Schedule'!C160</f>
        <v>n/a (beyond horizon)</v>
      </c>
      <c r="F43" s="6" t="str">
        <f aca="false">'Debt Schedule'!C161</f>
        <v>n/a</v>
      </c>
    </row>
    <row r="44" customFormat="false" ht="15" hidden="false" customHeight="false" outlineLevel="0" collapsed="false">
      <c r="A44" s="6" t="str">
        <f aca="false">Assumptions!$A$60</f>
        <v>Unsecured Revolver ($600M less LCs; hypothetically undrawn pro forma)</v>
      </c>
      <c r="C44" s="29" t="n">
        <f aca="false">'Debt Schedule'!C162</f>
        <v>0</v>
      </c>
      <c r="D44" s="29" t="n">
        <f aca="false">'Debt Schedule'!C163</f>
        <v>0</v>
      </c>
      <c r="E44" s="6" t="str">
        <f aca="false">'Debt Schedule'!C164</f>
        <v>REFINANCING FAILURE</v>
      </c>
      <c r="F44" s="6" t="str">
        <f aca="false">'Debt Schedule'!C165</f>
        <v>Repaid from cash</v>
      </c>
    </row>
    <row r="45" customFormat="false" ht="15" hidden="false" customHeight="false" outlineLevel="0" collapsed="false">
      <c r="A45" s="6" t="str">
        <f aca="false">Assumptions!$A$61</f>
        <v>3.95% Guaranteed Notes due Nov-2027</v>
      </c>
      <c r="C45" s="29" t="n">
        <f aca="false">'Debt Schedule'!C166</f>
        <v>450</v>
      </c>
      <c r="D45" s="29" t="n">
        <f aca="false">'Debt Schedule'!C167</f>
        <v>48.553642119</v>
      </c>
      <c r="E45" s="6" t="str">
        <f aca="false">'Debt Schedule'!C168</f>
        <v>REFINANCING FAILURE</v>
      </c>
      <c r="F45" s="6" t="str">
        <f aca="false">'Debt Schedule'!C169</f>
        <v>Partial repayment; PAYMENT DEFAULT</v>
      </c>
    </row>
    <row r="46" customFormat="false" ht="15" hidden="false" customHeight="false" outlineLevel="0" collapsed="false">
      <c r="A46" s="6" t="str">
        <f aca="false">Assumptions!$A$62</f>
        <v>8.30% Guaranteed Notes due Mar-2028</v>
      </c>
      <c r="C46" s="29" t="n">
        <f aca="false">'Debt Schedule'!C170</f>
        <v>350</v>
      </c>
      <c r="D46" s="29" t="n">
        <f aca="false">'Debt Schedule'!C171</f>
        <v>0</v>
      </c>
      <c r="E46" s="6" t="str">
        <f aca="false">'Debt Schedule'!C172</f>
        <v>REFINANCING FAILURE</v>
      </c>
      <c r="F46" s="6" t="str">
        <f aca="false">'Debt Schedule'!C173</f>
        <v>PAYMENT DEFAULT</v>
      </c>
    </row>
    <row r="47" customFormat="false" ht="15" hidden="false" customHeight="false" outlineLevel="0" collapsed="false">
      <c r="A47" s="6" t="str">
        <f aca="false">Assumptions!$A$63</f>
        <v>8.875% Guaranteed Notes due Apr-2029</v>
      </c>
      <c r="C47" s="29" t="n">
        <f aca="false">'Debt Schedule'!C174</f>
        <v>550</v>
      </c>
      <c r="D47" s="29" t="n">
        <f aca="false">'Debt Schedule'!C175</f>
        <v>0</v>
      </c>
      <c r="E47" s="6" t="str">
        <f aca="false">'Debt Schedule'!C176</f>
        <v>REFINANCING FAILURE</v>
      </c>
      <c r="F47" s="6" t="str">
        <f aca="false">'Debt Schedule'!C177</f>
        <v>PAYMENT DEFAULT</v>
      </c>
    </row>
    <row r="48" customFormat="false" ht="15" hidden="false" customHeight="false" outlineLevel="0" collapsed="false">
      <c r="A48" s="6" t="str">
        <f aca="false">Assumptions!$A$64</f>
        <v>4.55% Guaranteed Notes due Oct-2029</v>
      </c>
      <c r="C48" s="29" t="n">
        <f aca="false">'Debt Schedule'!C178</f>
        <v>350</v>
      </c>
      <c r="D48" s="29" t="n">
        <f aca="false">'Debt Schedule'!C179</f>
        <v>0</v>
      </c>
      <c r="E48" s="6" t="str">
        <f aca="false">'Debt Schedule'!C180</f>
        <v>REFINANCING FAILURE</v>
      </c>
      <c r="F48" s="6" t="str">
        <f aca="false">'Debt Schedule'!C181</f>
        <v>PAYMENT DEFAULT</v>
      </c>
    </row>
    <row r="49" customFormat="false" ht="15" hidden="false" customHeight="false" outlineLevel="0" collapsed="false">
      <c r="A49" s="6" t="str">
        <f aca="false">Assumptions!$A$65</f>
        <v>6.125% Guaranteed Notes due Jan-2031</v>
      </c>
      <c r="C49" s="29" t="n">
        <f aca="false">'Debt Schedule'!C182</f>
        <v>300</v>
      </c>
      <c r="D49" s="29" t="n">
        <f aca="false">'Debt Schedule'!C183</f>
        <v>0</v>
      </c>
      <c r="E49" s="6" t="str">
        <f aca="false">'Debt Schedule'!C184</f>
        <v>REFINANCING FAILURE</v>
      </c>
      <c r="F49" s="6" t="str">
        <f aca="false">'Debt Schedule'!C185</f>
        <v>PAYMENT DEFAULT</v>
      </c>
    </row>
    <row r="50" customFormat="false" ht="15" hidden="false" customHeight="false" outlineLevel="0" collapsed="false">
      <c r="A50" s="6" t="str">
        <f aca="false">Assumptions!$A$66</f>
        <v>Junior subordinated trust-preferred indentures</v>
      </c>
      <c r="C50" s="29" t="n">
        <f aca="false">'Debt Schedule'!C186</f>
        <v>0</v>
      </c>
      <c r="D50" s="29" t="n">
        <f aca="false">'Debt Schedule'!C187</f>
        <v>0</v>
      </c>
      <c r="E50" s="6" t="str">
        <f aca="false">'Debt Schedule'!C188</f>
        <v>n/a (beyond horizon)</v>
      </c>
      <c r="F50" s="6" t="str">
        <f aca="false">'Debt Schedule'!C189</f>
        <v>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542</v>
      </c>
    </row>
    <row r="2" customFormat="false" ht="15" hidden="false" customHeight="false" outlineLevel="0" collapsed="false">
      <c r="A2" s="3" t="str">
        <f aca="false">"Brandywine Realty Trust · PUBLIC DATA CASE · HYPOTHETICAL INVESTMENT TERMS · Active scenario: "&amp;Assumptions!$D$10</f>
        <v>Brandywine Realty Trust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443</v>
      </c>
      <c r="D4" s="7"/>
      <c r="E4" s="7"/>
      <c r="F4" s="7"/>
      <c r="G4" s="7"/>
      <c r="H4" s="7"/>
      <c r="I4" s="7"/>
      <c r="J4" s="7"/>
      <c r="K4" s="7"/>
    </row>
    <row r="6" customFormat="false" ht="15" hidden="false" customHeight="false" outlineLevel="0" collapsed="false">
      <c r="A6" s="24" t="s">
        <v>543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customFormat="false" ht="15" hidden="false" customHeight="false" outlineLevel="0" collapsed="false">
      <c r="A7" s="3" t="s">
        <v>544</v>
      </c>
      <c r="G7" s="21" t="n">
        <f aca="false">IF($C$8=1,'Cash Flow'!G22,IF('Operating Model'!G17=MIN('Operating Model'!$G$17:$K$17),1,0))</f>
        <v>0</v>
      </c>
      <c r="H7" s="21" t="n">
        <f aca="false">IF($C$8=1,'Cash Flow'!H22,IF(AND('Operating Model'!H17=MIN('Operating Model'!$G$17:$K$17),SUM($G$7:G7)=0),1,0))</f>
        <v>1</v>
      </c>
      <c r="I7" s="21" t="n">
        <f aca="false">IF($C$8=1,'Cash Flow'!I22,IF(AND('Operating Model'!I17=MIN('Operating Model'!$G$17:$K$17),SUM($G$7:H7)=0),1,0))</f>
        <v>0</v>
      </c>
      <c r="J7" s="21" t="n">
        <f aca="false">IF($C$8=1,'Cash Flow'!J22,IF(AND('Operating Model'!J17=MIN('Operating Model'!$G$17:$K$17),SUM($G$7:I7)=0),1,0))</f>
        <v>0</v>
      </c>
      <c r="K7" s="21" t="n">
        <f aca="false">IF($C$8=1,'Cash Flow'!K22,IF(AND('Operating Model'!K17=MIN('Operating Model'!$G$17:$K$17),SUM($G$7:J7)=0),1,0))</f>
        <v>0</v>
      </c>
    </row>
    <row r="8" customFormat="false" ht="15" hidden="false" customHeight="false" outlineLevel="0" collapsed="false">
      <c r="A8" s="3" t="s">
        <v>545</v>
      </c>
      <c r="C8" s="21" t="n">
        <f aca="false">IF(SUM('Cash Flow'!$G$22:$K$22)&gt;0,1,0)</f>
        <v>1</v>
      </c>
    </row>
    <row r="9" customFormat="false" ht="15" hidden="false" customHeight="false" outlineLevel="0" collapsed="false">
      <c r="A9" s="3" t="s">
        <v>546</v>
      </c>
      <c r="C9" s="21" t="n">
        <f aca="false">SUMPRODUCT($G$7:$K$7,'Operating Model'!$G$7:$K$7)</f>
        <v>2028</v>
      </c>
    </row>
    <row r="10" customFormat="false" ht="15" hidden="false" customHeight="false" outlineLevel="0" collapsed="false">
      <c r="A10" s="3" t="s">
        <v>547</v>
      </c>
      <c r="C10" s="16" t="n">
        <f aca="false">SUMPRODUCT($G$7:$K$7,'Operating Model'!$G$17:$K$17)</f>
        <v>220.355740893</v>
      </c>
    </row>
    <row r="11" customFormat="false" ht="15" hidden="false" customHeight="false" outlineLevel="0" collapsed="false">
      <c r="A11" s="3" t="s">
        <v>548</v>
      </c>
      <c r="C11" s="16" t="n">
        <f aca="false">MAX(0,SUMPRODUCT($G$7:$K$7,'Cash Flow'!$G$19:$K$19))</f>
        <v>0</v>
      </c>
    </row>
    <row r="12" customFormat="false" ht="15" hidden="false" customHeight="false" outlineLevel="0" collapsed="false">
      <c r="A12" s="3" t="s">
        <v>549</v>
      </c>
      <c r="C12" s="16" t="n">
        <f aca="false">(CHOOSE(Assumptions!$C$10,Assumptions!$C$92,Assumptions!$C$111,Assumptions!$C$130))*C10</f>
        <v>1983.201668037</v>
      </c>
    </row>
    <row r="13" customFormat="false" ht="15" hidden="false" customHeight="false" outlineLevel="0" collapsed="false">
      <c r="A13" s="3" t="s">
        <v>550</v>
      </c>
      <c r="C13" s="16" t="n">
        <f aca="false">Assumptions!$C$31*(1-CHOOSE(Assumptions!$C$10,Assumptions!$C$93,Assumptions!$C$112,Assumptions!$C$131))*CHOOSE(Assumptions!$C$10,Assumptions!$C$94,Assumptions!$C$113,Assumptions!$C$132)</f>
        <v>3264.03873166667</v>
      </c>
    </row>
    <row r="14" customFormat="false" ht="15" hidden="false" customHeight="false" outlineLevel="0" collapsed="false">
      <c r="A14" s="3" t="s">
        <v>551</v>
      </c>
      <c r="C14" s="16" t="n">
        <f aca="false">MAX(C12,C13)+C11</f>
        <v>3264.03873166667</v>
      </c>
    </row>
    <row r="15" customFormat="false" ht="15" hidden="false" customHeight="false" outlineLevel="0" collapsed="false">
      <c r="A15" s="2" t="s">
        <v>552</v>
      </c>
      <c r="C15" s="17" t="n">
        <f aca="false">IF(ISNUMBER(Assumptions!$C$14),Assumptions!$C$14,C14)</f>
        <v>3264.03873166667</v>
      </c>
    </row>
    <row r="16" customFormat="false" ht="15" hidden="false" customHeight="false" outlineLevel="0" collapsed="false">
      <c r="A16" s="3" t="s">
        <v>553</v>
      </c>
      <c r="C16" s="16" t="n">
        <f aca="false">C15*Assumptions!$C$15</f>
        <v>130.561549266667</v>
      </c>
    </row>
    <row r="17" customFormat="false" ht="15" hidden="false" customHeight="false" outlineLevel="0" collapsed="false">
      <c r="A17" s="2" t="s">
        <v>554</v>
      </c>
      <c r="C17" s="17" t="n">
        <f aca="false">C15-C16</f>
        <v>3133.4771824</v>
      </c>
    </row>
    <row r="18" customFormat="false" ht="15" hidden="false" customHeight="false" outlineLevel="0" collapsed="false">
      <c r="A18" s="24" t="s">
        <v>555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customFormat="false" ht="15" hidden="false" customHeight="false" outlineLevel="0" collapsed="false">
      <c r="A19" s="3" t="s">
        <v>556</v>
      </c>
      <c r="C19" s="16" t="n">
        <f aca="false">SUMPRODUCT($G$7:$K$7,'Debt Schedule'!$G$28:$K$28)*(1+SUMPRODUCT($G$7:$K$7,'Debt Schedule'!$G$20:$K$20)*Assumptions!$C$16/12)</f>
        <v>402.29</v>
      </c>
    </row>
    <row r="20" customFormat="false" ht="15" hidden="false" customHeight="false" outlineLevel="0" collapsed="false">
      <c r="A20" s="3" t="s">
        <v>557</v>
      </c>
      <c r="C20" s="16" t="n">
        <f aca="false">SUMPRODUCT($G$7:$K$7,'Debt Schedule'!$G$41:$K$41)*(1+SUMPRODUCT($G$7:$K$7,'Debt Schedule'!$G$33:$K$33)*Assumptions!$C$16/12)</f>
        <v>91.30725</v>
      </c>
    </row>
    <row r="21" customFormat="false" ht="15" hidden="false" customHeight="false" outlineLevel="0" collapsed="false">
      <c r="A21" s="3" t="s">
        <v>558</v>
      </c>
      <c r="C21" s="16" t="n">
        <f aca="false">SUMPRODUCT($G$7:$K$7,'Debt Schedule'!$G$54:$K$54)*(1+SUMPRODUCT($G$7:$K$7,'Debt Schedule'!$G$46:$K$46)*Assumptions!$C$16/12)</f>
        <v>58.3715961</v>
      </c>
    </row>
    <row r="22" customFormat="false" ht="15" hidden="false" customHeight="false" outlineLevel="0" collapsed="false">
      <c r="A22" s="3" t="s">
        <v>559</v>
      </c>
      <c r="C22" s="16" t="n">
        <f aca="false">SUMPRODUCT($G$7:$K$7,'Debt Schedule'!$G$67:$K$67)*(1+SUMPRODUCT($G$7:$K$7,'Debt Schedule'!$G$59:$K$59)*Assumptions!$C$16/12)</f>
        <v>0</v>
      </c>
    </row>
    <row r="23" customFormat="false" ht="15" hidden="false" customHeight="false" outlineLevel="0" collapsed="false">
      <c r="A23" s="3" t="s">
        <v>560</v>
      </c>
      <c r="C23" s="16" t="n">
        <f aca="false">SUMPRODUCT($G$7:$K$7,'Debt Schedule'!$G$80:$K$80)*(1+SUMPRODUCT($G$7:$K$7,'Debt Schedule'!$G$72:$K$72)*Assumptions!$C$16/12)</f>
        <v>405.410640665075</v>
      </c>
    </row>
    <row r="24" customFormat="false" ht="15" hidden="false" customHeight="false" outlineLevel="0" collapsed="false">
      <c r="A24" s="3" t="s">
        <v>561</v>
      </c>
      <c r="C24" s="16" t="n">
        <f aca="false">SUMPRODUCT($G$7:$K$7,'Debt Schedule'!$G$93:$K$93)*(1+SUMPRODUCT($G$7:$K$7,'Debt Schedule'!$G$85:$K$85)*Assumptions!$C$16/12)</f>
        <v>357.2625</v>
      </c>
    </row>
    <row r="25" customFormat="false" ht="15" hidden="false" customHeight="false" outlineLevel="0" collapsed="false">
      <c r="A25" s="3" t="s">
        <v>562</v>
      </c>
      <c r="C25" s="16" t="n">
        <f aca="false">SUMPRODUCT($G$7:$K$7,'Debt Schedule'!$G$106:$K$106)*(1+SUMPRODUCT($G$7:$K$7,'Debt Schedule'!$G$98:$K$98)*Assumptions!$C$16/12)</f>
        <v>562.203125</v>
      </c>
    </row>
    <row r="26" customFormat="false" ht="15" hidden="false" customHeight="false" outlineLevel="0" collapsed="false">
      <c r="A26" s="3" t="s">
        <v>563</v>
      </c>
      <c r="C26" s="16" t="n">
        <f aca="false">SUMPRODUCT($G$7:$K$7,'Debt Schedule'!$G$119:$K$119)*(1+SUMPRODUCT($G$7:$K$7,'Debt Schedule'!$G$111:$K$111)*Assumptions!$C$16/12)</f>
        <v>353.98125</v>
      </c>
    </row>
    <row r="27" customFormat="false" ht="15" hidden="false" customHeight="false" outlineLevel="0" collapsed="false">
      <c r="A27" s="3" t="s">
        <v>564</v>
      </c>
      <c r="C27" s="16" t="n">
        <f aca="false">SUMPRODUCT($G$7:$K$7,'Debt Schedule'!$G$132:$K$132)*(1+SUMPRODUCT($G$7:$K$7,'Debt Schedule'!$G$124:$K$124)*Assumptions!$C$16/12)</f>
        <v>304.59375</v>
      </c>
    </row>
    <row r="28" customFormat="false" ht="15" hidden="false" customHeight="false" outlineLevel="0" collapsed="false">
      <c r="A28" s="3" t="s">
        <v>565</v>
      </c>
      <c r="C28" s="16" t="n">
        <f aca="false">SUMPRODUCT($G$7:$K$7,'Debt Schedule'!$G$145:$K$145)*(1+SUMPRODUCT($G$7:$K$7,'Debt Schedule'!$G$137:$K$137)*Assumptions!$C$16/12)</f>
        <v>79.938509</v>
      </c>
    </row>
    <row r="29" customFormat="false" ht="15" hidden="false" customHeight="false" outlineLevel="0" collapsed="false">
      <c r="A29" s="24" t="s">
        <v>566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customFormat="false" ht="15" hidden="false" customHeight="false" outlineLevel="0" collapsed="false">
      <c r="A30" s="3" t="s">
        <v>556</v>
      </c>
      <c r="C30" s="27" t="n">
        <f aca="false">Assumptions!$M$57</f>
        <v>1</v>
      </c>
    </row>
    <row r="31" customFormat="false" ht="15" hidden="false" customHeight="false" outlineLevel="0" collapsed="false">
      <c r="A31" s="3" t="s">
        <v>557</v>
      </c>
      <c r="C31" s="27" t="n">
        <f aca="false">Assumptions!$M$58</f>
        <v>1</v>
      </c>
    </row>
    <row r="32" customFormat="false" ht="15" hidden="false" customHeight="false" outlineLevel="0" collapsed="false">
      <c r="A32" s="3" t="s">
        <v>558</v>
      </c>
      <c r="C32" s="27" t="n">
        <f aca="false">Assumptions!$M$59</f>
        <v>1</v>
      </c>
    </row>
    <row r="33" customFormat="false" ht="15" hidden="false" customHeight="false" outlineLevel="0" collapsed="false">
      <c r="A33" s="3" t="s">
        <v>559</v>
      </c>
      <c r="C33" s="27" t="n">
        <f aca="false">Assumptions!$M$60</f>
        <v>2</v>
      </c>
    </row>
    <row r="34" customFormat="false" ht="15" hidden="false" customHeight="false" outlineLevel="0" collapsed="false">
      <c r="A34" s="3" t="s">
        <v>560</v>
      </c>
      <c r="C34" s="27" t="n">
        <f aca="false">Assumptions!$M$61</f>
        <v>2</v>
      </c>
    </row>
    <row r="35" customFormat="false" ht="15" hidden="false" customHeight="false" outlineLevel="0" collapsed="false">
      <c r="A35" s="3" t="s">
        <v>561</v>
      </c>
      <c r="C35" s="27" t="n">
        <f aca="false">Assumptions!$M$62</f>
        <v>2</v>
      </c>
    </row>
    <row r="36" customFormat="false" ht="15" hidden="false" customHeight="false" outlineLevel="0" collapsed="false">
      <c r="A36" s="3" t="s">
        <v>562</v>
      </c>
      <c r="C36" s="27" t="n">
        <f aca="false">Assumptions!$M$63</f>
        <v>2</v>
      </c>
    </row>
    <row r="37" customFormat="false" ht="15" hidden="false" customHeight="false" outlineLevel="0" collapsed="false">
      <c r="A37" s="3" t="s">
        <v>563</v>
      </c>
      <c r="C37" s="27" t="n">
        <f aca="false">Assumptions!$M$64</f>
        <v>2</v>
      </c>
    </row>
    <row r="38" customFormat="false" ht="15" hidden="false" customHeight="false" outlineLevel="0" collapsed="false">
      <c r="A38" s="3" t="s">
        <v>564</v>
      </c>
      <c r="C38" s="27" t="n">
        <f aca="false">Assumptions!$M$65</f>
        <v>2</v>
      </c>
    </row>
    <row r="39" customFormat="false" ht="15" hidden="false" customHeight="false" outlineLevel="0" collapsed="false">
      <c r="A39" s="3" t="s">
        <v>565</v>
      </c>
      <c r="C39" s="27" t="n">
        <f aca="false">Assumptions!$M$66</f>
        <v>3</v>
      </c>
    </row>
    <row r="40" customFormat="false" ht="15" hidden="false" customHeight="false" outlineLevel="0" collapsed="false">
      <c r="A40" s="24" t="s">
        <v>567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customFormat="false" ht="15" hidden="false" customHeight="false" outlineLevel="0" collapsed="false">
      <c r="A41" s="3" t="s">
        <v>556</v>
      </c>
      <c r="C41" s="33" t="n">
        <f aca="false">Assumptions!$Q$57</f>
        <v>0.3</v>
      </c>
    </row>
    <row r="42" customFormat="false" ht="15" hidden="false" customHeight="false" outlineLevel="0" collapsed="false">
      <c r="A42" s="3" t="s">
        <v>557</v>
      </c>
      <c r="C42" s="33" t="n">
        <f aca="false">Assumptions!$Q$58</f>
        <v>0.033</v>
      </c>
    </row>
    <row r="43" customFormat="false" ht="15" hidden="false" customHeight="false" outlineLevel="0" collapsed="false">
      <c r="A43" s="3" t="s">
        <v>558</v>
      </c>
      <c r="C43" s="33" t="n">
        <f aca="false">Assumptions!$Q$59</f>
        <v>0.021</v>
      </c>
    </row>
    <row r="44" customFormat="false" ht="15" hidden="false" customHeight="false" outlineLevel="0" collapsed="false">
      <c r="A44" s="3" t="s">
        <v>559</v>
      </c>
      <c r="C44" s="33" t="n">
        <f aca="false">Assumptions!$Q$60</f>
        <v>0</v>
      </c>
    </row>
    <row r="45" customFormat="false" ht="15" hidden="false" customHeight="false" outlineLevel="0" collapsed="false">
      <c r="A45" s="3" t="s">
        <v>560</v>
      </c>
      <c r="C45" s="33" t="n">
        <f aca="false">Assumptions!$Q$61</f>
        <v>0</v>
      </c>
    </row>
    <row r="46" customFormat="false" ht="15" hidden="false" customHeight="false" outlineLevel="0" collapsed="false">
      <c r="A46" s="3" t="s">
        <v>561</v>
      </c>
      <c r="C46" s="33" t="n">
        <f aca="false">Assumptions!$Q$62</f>
        <v>0</v>
      </c>
    </row>
    <row r="47" customFormat="false" ht="15" hidden="false" customHeight="false" outlineLevel="0" collapsed="false">
      <c r="A47" s="3" t="s">
        <v>562</v>
      </c>
      <c r="C47" s="33" t="n">
        <f aca="false">Assumptions!$Q$63</f>
        <v>0</v>
      </c>
    </row>
    <row r="48" customFormat="false" ht="15" hidden="false" customHeight="false" outlineLevel="0" collapsed="false">
      <c r="A48" s="3" t="s">
        <v>563</v>
      </c>
      <c r="C48" s="33" t="n">
        <f aca="false">Assumptions!$Q$64</f>
        <v>0</v>
      </c>
    </row>
    <row r="49" customFormat="false" ht="15" hidden="false" customHeight="false" outlineLevel="0" collapsed="false">
      <c r="A49" s="3" t="s">
        <v>564</v>
      </c>
      <c r="C49" s="33" t="n">
        <f aca="false">Assumptions!$Q$65</f>
        <v>0</v>
      </c>
    </row>
    <row r="50" customFormat="false" ht="15" hidden="false" customHeight="false" outlineLevel="0" collapsed="false">
      <c r="A50" s="3" t="s">
        <v>565</v>
      </c>
      <c r="C50" s="33" t="n">
        <f aca="false">Assumptions!$Q$66</f>
        <v>0</v>
      </c>
    </row>
    <row r="51" customFormat="false" ht="15" hidden="false" customHeight="false" outlineLevel="0" collapsed="false">
      <c r="A51" s="24" t="s">
        <v>568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customFormat="false" ht="15" hidden="false" customHeight="false" outlineLevel="0" collapsed="false">
      <c r="A52" s="3" t="s">
        <v>556</v>
      </c>
      <c r="C52" s="16" t="n">
        <f aca="false">IF(C41&gt;0,MIN(C19,C41*$C$17),0)</f>
        <v>402.29</v>
      </c>
    </row>
    <row r="53" customFormat="false" ht="15" hidden="false" customHeight="false" outlineLevel="0" collapsed="false">
      <c r="A53" s="3" t="s">
        <v>557</v>
      </c>
      <c r="C53" s="16" t="n">
        <f aca="false">IF(C42&gt;0,MIN(C20,C42*$C$17),0)</f>
        <v>91.30725</v>
      </c>
    </row>
    <row r="54" customFormat="false" ht="15" hidden="false" customHeight="false" outlineLevel="0" collapsed="false">
      <c r="A54" s="3" t="s">
        <v>558</v>
      </c>
      <c r="C54" s="16" t="n">
        <f aca="false">IF(C43&gt;0,MIN(C21,C43*$C$17),0)</f>
        <v>58.3715961</v>
      </c>
    </row>
    <row r="55" customFormat="false" ht="15" hidden="false" customHeight="false" outlineLevel="0" collapsed="false">
      <c r="A55" s="3" t="s">
        <v>559</v>
      </c>
      <c r="C55" s="16" t="n">
        <f aca="false">IF(C44&gt;0,MIN(C22,C44*$C$17),0)</f>
        <v>0</v>
      </c>
    </row>
    <row r="56" customFormat="false" ht="15" hidden="false" customHeight="false" outlineLevel="0" collapsed="false">
      <c r="A56" s="3" t="s">
        <v>560</v>
      </c>
      <c r="C56" s="16" t="n">
        <f aca="false">IF(C45&gt;0,MIN(C23,C45*$C$17),0)</f>
        <v>0</v>
      </c>
    </row>
    <row r="57" customFormat="false" ht="15" hidden="false" customHeight="false" outlineLevel="0" collapsed="false">
      <c r="A57" s="3" t="s">
        <v>561</v>
      </c>
      <c r="C57" s="16" t="n">
        <f aca="false">IF(C46&gt;0,MIN(C24,C46*$C$17),0)</f>
        <v>0</v>
      </c>
    </row>
    <row r="58" customFormat="false" ht="15" hidden="false" customHeight="false" outlineLevel="0" collapsed="false">
      <c r="A58" s="3" t="s">
        <v>562</v>
      </c>
      <c r="C58" s="16" t="n">
        <f aca="false">IF(C47&gt;0,MIN(C25,C47*$C$17),0)</f>
        <v>0</v>
      </c>
    </row>
    <row r="59" customFormat="false" ht="15" hidden="false" customHeight="false" outlineLevel="0" collapsed="false">
      <c r="A59" s="3" t="s">
        <v>563</v>
      </c>
      <c r="C59" s="16" t="n">
        <f aca="false">IF(C48&gt;0,MIN(C26,C48*$C$17),0)</f>
        <v>0</v>
      </c>
    </row>
    <row r="60" customFormat="false" ht="15" hidden="false" customHeight="false" outlineLevel="0" collapsed="false">
      <c r="A60" s="3" t="s">
        <v>564</v>
      </c>
      <c r="C60" s="16" t="n">
        <f aca="false">IF(C49&gt;0,MIN(C27,C49*$C$17),0)</f>
        <v>0</v>
      </c>
    </row>
    <row r="61" customFormat="false" ht="15" hidden="false" customHeight="false" outlineLevel="0" collapsed="false">
      <c r="A61" s="3" t="s">
        <v>565</v>
      </c>
      <c r="C61" s="16" t="n">
        <f aca="false">IF(C50&gt;0,MIN(C28,C50*$C$17),0)</f>
        <v>0</v>
      </c>
    </row>
    <row r="62" customFormat="false" ht="15" hidden="false" customHeight="false" outlineLevel="0" collapsed="false">
      <c r="A62" s="24" t="s">
        <v>569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customFormat="false" ht="15" hidden="false" customHeight="false" outlineLevel="0" collapsed="false">
      <c r="A63" s="3" t="s">
        <v>556</v>
      </c>
      <c r="C63" s="16" t="n">
        <f aca="false">IF(C41&gt;0,C19-C52,0)</f>
        <v>0</v>
      </c>
      <c r="G63" s="21" t="n">
        <f aca="false">IF(AND('Debt Schedule'!G18=1,'Debt Schedule'!G15=1),1,0)</f>
        <v>0</v>
      </c>
      <c r="H63" s="21" t="n">
        <f aca="false">IF(G63=1,1,IF(AND('Debt Schedule'!H18=1,'Debt Schedule'!H15=1),1,0))</f>
        <v>0</v>
      </c>
      <c r="I63" s="21" t="n">
        <f aca="false">IF(H63=1,1,IF(AND('Debt Schedule'!I18=1,'Debt Schedule'!I15=1),1,0))</f>
        <v>0</v>
      </c>
      <c r="J63" s="21" t="n">
        <f aca="false">IF(I63=1,1,IF(AND('Debt Schedule'!J18=1,'Debt Schedule'!J15=1),1,0))</f>
        <v>0</v>
      </c>
      <c r="K63" s="21" t="n">
        <f aca="false">IF(J63=1,1,IF(AND('Debt Schedule'!K18=1,'Debt Schedule'!K15=1),1,0))</f>
        <v>0</v>
      </c>
    </row>
    <row r="64" customFormat="false" ht="15" hidden="false" customHeight="false" outlineLevel="0" collapsed="false">
      <c r="A64" s="3" t="s">
        <v>557</v>
      </c>
      <c r="C64" s="16" t="n">
        <f aca="false">IF(C42&gt;0,C20-C53,0)</f>
        <v>0</v>
      </c>
      <c r="G64" s="21" t="n">
        <f aca="false">IF(AND('Debt Schedule'!G31=1,'Debt Schedule'!G15=1),1,0)</f>
        <v>0</v>
      </c>
      <c r="H64" s="21" t="n">
        <f aca="false">IF(G64=1,1,IF(AND('Debt Schedule'!H31=1,'Debt Schedule'!H15=1),1,0))</f>
        <v>0</v>
      </c>
      <c r="I64" s="21" t="n">
        <f aca="false">IF(H64=1,1,IF(AND('Debt Schedule'!I31=1,'Debt Schedule'!I15=1),1,0))</f>
        <v>0</v>
      </c>
      <c r="J64" s="21" t="n">
        <f aca="false">IF(I64=1,1,IF(AND('Debt Schedule'!J31=1,'Debt Schedule'!J15=1),1,0))</f>
        <v>0</v>
      </c>
      <c r="K64" s="21" t="n">
        <f aca="false">IF(J64=1,1,IF(AND('Debt Schedule'!K31=1,'Debt Schedule'!K15=1),1,0))</f>
        <v>0</v>
      </c>
    </row>
    <row r="65" customFormat="false" ht="15" hidden="false" customHeight="false" outlineLevel="0" collapsed="false">
      <c r="A65" s="3" t="s">
        <v>558</v>
      </c>
      <c r="C65" s="16" t="n">
        <f aca="false">IF(C43&gt;0,C21-C54,0)</f>
        <v>0</v>
      </c>
      <c r="G65" s="21" t="n">
        <f aca="false">IF(AND('Debt Schedule'!G44=1,'Debt Schedule'!G15=1),1,0)</f>
        <v>0</v>
      </c>
      <c r="H65" s="21" t="n">
        <f aca="false">IF(G65=1,1,IF(AND('Debt Schedule'!H44=1,'Debt Schedule'!H15=1),1,0))</f>
        <v>0</v>
      </c>
      <c r="I65" s="21" t="n">
        <f aca="false">IF(H65=1,1,IF(AND('Debt Schedule'!I44=1,'Debt Schedule'!I15=1),1,0))</f>
        <v>0</v>
      </c>
      <c r="J65" s="21" t="n">
        <f aca="false">IF(I65=1,1,IF(AND('Debt Schedule'!J44=1,'Debt Schedule'!J15=1),1,0))</f>
        <v>0</v>
      </c>
      <c r="K65" s="21" t="n">
        <f aca="false">IF(J65=1,1,IF(AND('Debt Schedule'!K44=1,'Debt Schedule'!K15=1),1,0))</f>
        <v>0</v>
      </c>
    </row>
    <row r="66" customFormat="false" ht="15" hidden="false" customHeight="false" outlineLevel="0" collapsed="false">
      <c r="A66" s="3" t="s">
        <v>559</v>
      </c>
      <c r="C66" s="16" t="n">
        <f aca="false">IF(C44&gt;0,C22-C55,0)</f>
        <v>0</v>
      </c>
      <c r="G66" s="21" t="n">
        <f aca="false">IF(AND('Debt Schedule'!G57=1,'Debt Schedule'!G15=1),1,0)</f>
        <v>0</v>
      </c>
      <c r="H66" s="21" t="n">
        <f aca="false">IF(G66=1,1,IF(AND('Debt Schedule'!H57=1,'Debt Schedule'!H15=1),1,0))</f>
        <v>0</v>
      </c>
      <c r="I66" s="21" t="n">
        <f aca="false">IF(H66=1,1,IF(AND('Debt Schedule'!I57=1,'Debt Schedule'!I15=1),1,0))</f>
        <v>0</v>
      </c>
      <c r="J66" s="21" t="n">
        <f aca="false">IF(I66=1,1,IF(AND('Debt Schedule'!J57=1,'Debt Schedule'!J15=1),1,0))</f>
        <v>0</v>
      </c>
      <c r="K66" s="21" t="n">
        <f aca="false">IF(J66=1,1,IF(AND('Debt Schedule'!K57=1,'Debt Schedule'!K15=1),1,0))</f>
        <v>0</v>
      </c>
    </row>
    <row r="67" customFormat="false" ht="15" hidden="false" customHeight="false" outlineLevel="0" collapsed="false">
      <c r="A67" s="3" t="s">
        <v>560</v>
      </c>
      <c r="C67" s="16" t="n">
        <f aca="false">IF(C45&gt;0,C23-C56,0)</f>
        <v>0</v>
      </c>
      <c r="G67" s="21" t="n">
        <f aca="false">IF(AND('Debt Schedule'!G70=1,'Debt Schedule'!G15=1),1,0)</f>
        <v>0</v>
      </c>
      <c r="H67" s="21" t="n">
        <f aca="false">IF(G67=1,1,IF(AND('Debt Schedule'!H70=1,'Debt Schedule'!H15=1),1,0))</f>
        <v>0</v>
      </c>
      <c r="I67" s="21" t="n">
        <f aca="false">IF(H67=1,1,IF(AND('Debt Schedule'!I70=1,'Debt Schedule'!I15=1),1,0))</f>
        <v>0</v>
      </c>
      <c r="J67" s="21" t="n">
        <f aca="false">IF(I67=1,1,IF(AND('Debt Schedule'!J70=1,'Debt Schedule'!J15=1),1,0))</f>
        <v>0</v>
      </c>
      <c r="K67" s="21" t="n">
        <f aca="false">IF(J67=1,1,IF(AND('Debt Schedule'!K70=1,'Debt Schedule'!K15=1),1,0))</f>
        <v>0</v>
      </c>
    </row>
    <row r="68" customFormat="false" ht="15" hidden="false" customHeight="false" outlineLevel="0" collapsed="false">
      <c r="A68" s="3" t="s">
        <v>561</v>
      </c>
      <c r="C68" s="16" t="n">
        <f aca="false">IF(C46&gt;0,C24-C57,0)</f>
        <v>0</v>
      </c>
      <c r="G68" s="21" t="n">
        <f aca="false">IF(AND('Debt Schedule'!G83=1,'Debt Schedule'!G15=1),1,0)</f>
        <v>0</v>
      </c>
      <c r="H68" s="21" t="n">
        <f aca="false">IF(G68=1,1,IF(AND('Debt Schedule'!H83=1,'Debt Schedule'!H15=1),1,0))</f>
        <v>0</v>
      </c>
      <c r="I68" s="21" t="n">
        <f aca="false">IF(H68=1,1,IF(AND('Debt Schedule'!I83=1,'Debt Schedule'!I15=1),1,0))</f>
        <v>0</v>
      </c>
      <c r="J68" s="21" t="n">
        <f aca="false">IF(I68=1,1,IF(AND('Debt Schedule'!J83=1,'Debt Schedule'!J15=1),1,0))</f>
        <v>0</v>
      </c>
      <c r="K68" s="21" t="n">
        <f aca="false">IF(J68=1,1,IF(AND('Debt Schedule'!K83=1,'Debt Schedule'!K15=1),1,0))</f>
        <v>0</v>
      </c>
    </row>
    <row r="69" customFormat="false" ht="15" hidden="false" customHeight="false" outlineLevel="0" collapsed="false">
      <c r="A69" s="3" t="s">
        <v>562</v>
      </c>
      <c r="C69" s="16" t="n">
        <f aca="false">IF(C47&gt;0,C25-C58,0)</f>
        <v>0</v>
      </c>
      <c r="G69" s="21" t="n">
        <f aca="false">IF(AND('Debt Schedule'!G96=1,'Debt Schedule'!G15=1),1,0)</f>
        <v>0</v>
      </c>
      <c r="H69" s="21" t="n">
        <f aca="false">IF(G69=1,1,IF(AND('Debt Schedule'!H96=1,'Debt Schedule'!H15=1),1,0))</f>
        <v>0</v>
      </c>
      <c r="I69" s="21" t="n">
        <f aca="false">IF(H69=1,1,IF(AND('Debt Schedule'!I96=1,'Debt Schedule'!I15=1),1,0))</f>
        <v>0</v>
      </c>
      <c r="J69" s="21" t="n">
        <f aca="false">IF(I69=1,1,IF(AND('Debt Schedule'!J96=1,'Debt Schedule'!J15=1),1,0))</f>
        <v>0</v>
      </c>
      <c r="K69" s="21" t="n">
        <f aca="false">IF(J69=1,1,IF(AND('Debt Schedule'!K96=1,'Debt Schedule'!K15=1),1,0))</f>
        <v>0</v>
      </c>
    </row>
    <row r="70" customFormat="false" ht="15" hidden="false" customHeight="false" outlineLevel="0" collapsed="false">
      <c r="A70" s="3" t="s">
        <v>563</v>
      </c>
      <c r="C70" s="16" t="n">
        <f aca="false">IF(C48&gt;0,C26-C59,0)</f>
        <v>0</v>
      </c>
      <c r="G70" s="21" t="n">
        <f aca="false">IF(AND('Debt Schedule'!G109=1,'Debt Schedule'!G15=1),1,0)</f>
        <v>0</v>
      </c>
      <c r="H70" s="21" t="n">
        <f aca="false">IF(G70=1,1,IF(AND('Debt Schedule'!H109=1,'Debt Schedule'!H15=1),1,0))</f>
        <v>0</v>
      </c>
      <c r="I70" s="21" t="n">
        <f aca="false">IF(H70=1,1,IF(AND('Debt Schedule'!I109=1,'Debt Schedule'!I15=1),1,0))</f>
        <v>0</v>
      </c>
      <c r="J70" s="21" t="n">
        <f aca="false">IF(I70=1,1,IF(AND('Debt Schedule'!J109=1,'Debt Schedule'!J15=1),1,0))</f>
        <v>0</v>
      </c>
      <c r="K70" s="21" t="n">
        <f aca="false">IF(J70=1,1,IF(AND('Debt Schedule'!K109=1,'Debt Schedule'!K15=1),1,0))</f>
        <v>0</v>
      </c>
    </row>
    <row r="71" customFormat="false" ht="15" hidden="false" customHeight="false" outlineLevel="0" collapsed="false">
      <c r="A71" s="3" t="s">
        <v>564</v>
      </c>
      <c r="C71" s="16" t="n">
        <f aca="false">IF(C49&gt;0,C27-C60,0)</f>
        <v>0</v>
      </c>
      <c r="G71" s="21" t="n">
        <f aca="false">IF(AND('Debt Schedule'!G122=1,'Debt Schedule'!G15=1),1,0)</f>
        <v>0</v>
      </c>
      <c r="H71" s="21" t="n">
        <f aca="false">IF(G71=1,1,IF(AND('Debt Schedule'!H122=1,'Debt Schedule'!H15=1),1,0))</f>
        <v>0</v>
      </c>
      <c r="I71" s="21" t="n">
        <f aca="false">IF(H71=1,1,IF(AND('Debt Schedule'!I122=1,'Debt Schedule'!I15=1),1,0))</f>
        <v>0</v>
      </c>
      <c r="J71" s="21" t="n">
        <f aca="false">IF(I71=1,1,IF(AND('Debt Schedule'!J122=1,'Debt Schedule'!J15=1),1,0))</f>
        <v>0</v>
      </c>
      <c r="K71" s="21" t="n">
        <f aca="false">IF(J71=1,1,IF(AND('Debt Schedule'!K122=1,'Debt Schedule'!K15=1),1,0))</f>
        <v>0</v>
      </c>
    </row>
    <row r="72" customFormat="false" ht="15" hidden="false" customHeight="false" outlineLevel="0" collapsed="false">
      <c r="A72" s="3" t="s">
        <v>565</v>
      </c>
      <c r="C72" s="16" t="n">
        <f aca="false">IF(C50&gt;0,C28-C61,0)</f>
        <v>0</v>
      </c>
      <c r="G72" s="21" t="n">
        <f aca="false">IF(AND('Debt Schedule'!G135=1,'Debt Schedule'!G15=1),1,0)</f>
        <v>0</v>
      </c>
      <c r="H72" s="21" t="n">
        <f aca="false">IF(G72=1,1,IF(AND('Debt Schedule'!H135=1,'Debt Schedule'!H15=1),1,0))</f>
        <v>0</v>
      </c>
      <c r="I72" s="21" t="n">
        <f aca="false">IF(H72=1,1,IF(AND('Debt Schedule'!I135=1,'Debt Schedule'!I15=1),1,0))</f>
        <v>0</v>
      </c>
      <c r="J72" s="21" t="n">
        <f aca="false">IF(I72=1,1,IF(AND('Debt Schedule'!J135=1,'Debt Schedule'!J15=1),1,0))</f>
        <v>0</v>
      </c>
      <c r="K72" s="21" t="n">
        <f aca="false">IF(J72=1,1,IF(AND('Debt Schedule'!K135=1,'Debt Schedule'!K15=1),1,0))</f>
        <v>0</v>
      </c>
    </row>
    <row r="73" customFormat="false" ht="15" hidden="false" customHeight="false" outlineLevel="0" collapsed="false">
      <c r="A73" s="24" t="s">
        <v>570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customFormat="false" ht="15" hidden="false" customHeight="false" outlineLevel="0" collapsed="false">
      <c r="A74" s="3" t="s">
        <v>556</v>
      </c>
      <c r="C74" s="16" t="n">
        <f aca="false">IF(C41&gt;0,C63,C19)</f>
        <v>0</v>
      </c>
    </row>
    <row r="75" customFormat="false" ht="15" hidden="false" customHeight="false" outlineLevel="0" collapsed="false">
      <c r="A75" s="3" t="s">
        <v>557</v>
      </c>
      <c r="C75" s="16" t="n">
        <f aca="false">IF(C42&gt;0,C64,C20)</f>
        <v>0</v>
      </c>
    </row>
    <row r="76" customFormat="false" ht="15" hidden="false" customHeight="false" outlineLevel="0" collapsed="false">
      <c r="A76" s="3" t="s">
        <v>558</v>
      </c>
      <c r="C76" s="16" t="n">
        <f aca="false">IF(C43&gt;0,C65,C21)</f>
        <v>0</v>
      </c>
    </row>
    <row r="77" customFormat="false" ht="15" hidden="false" customHeight="false" outlineLevel="0" collapsed="false">
      <c r="A77" s="3" t="s">
        <v>559</v>
      </c>
      <c r="C77" s="16" t="n">
        <f aca="false">IF(C44&gt;0,C66,C22)</f>
        <v>0</v>
      </c>
    </row>
    <row r="78" customFormat="false" ht="15" hidden="false" customHeight="false" outlineLevel="0" collapsed="false">
      <c r="A78" s="3" t="s">
        <v>560</v>
      </c>
      <c r="C78" s="16" t="n">
        <f aca="false">IF(C45&gt;0,C67,C23)</f>
        <v>405.410640665075</v>
      </c>
    </row>
    <row r="79" customFormat="false" ht="15" hidden="false" customHeight="false" outlineLevel="0" collapsed="false">
      <c r="A79" s="3" t="s">
        <v>561</v>
      </c>
      <c r="C79" s="16" t="n">
        <f aca="false">IF(C46&gt;0,C68,C24)</f>
        <v>357.2625</v>
      </c>
    </row>
    <row r="80" customFormat="false" ht="15" hidden="false" customHeight="false" outlineLevel="0" collapsed="false">
      <c r="A80" s="3" t="s">
        <v>562</v>
      </c>
      <c r="C80" s="16" t="n">
        <f aca="false">IF(C47&gt;0,C69,C25)</f>
        <v>562.203125</v>
      </c>
    </row>
    <row r="81" customFormat="false" ht="15" hidden="false" customHeight="false" outlineLevel="0" collapsed="false">
      <c r="A81" s="3" t="s">
        <v>563</v>
      </c>
      <c r="C81" s="16" t="n">
        <f aca="false">IF(C48&gt;0,C70,C26)</f>
        <v>353.98125</v>
      </c>
    </row>
    <row r="82" customFormat="false" ht="15" hidden="false" customHeight="false" outlineLevel="0" collapsed="false">
      <c r="A82" s="3" t="s">
        <v>564</v>
      </c>
      <c r="C82" s="16" t="n">
        <f aca="false">IF(C49&gt;0,C71,C27)</f>
        <v>304.59375</v>
      </c>
    </row>
    <row r="83" customFormat="false" ht="15" hidden="false" customHeight="false" outlineLevel="0" collapsed="false">
      <c r="A83" s="3" t="s">
        <v>565</v>
      </c>
      <c r="C83" s="16" t="n">
        <f aca="false">IF(C50&gt;0,C72,C28)</f>
        <v>79.938509</v>
      </c>
    </row>
    <row r="84" customFormat="false" ht="15" hidden="false" customHeight="false" outlineLevel="0" collapsed="false">
      <c r="A84" s="24" t="s">
        <v>571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customFormat="false" ht="15" hidden="false" customHeight="false" outlineLevel="0" collapsed="false">
      <c r="A85" s="3" t="s">
        <v>556</v>
      </c>
      <c r="C85" s="21" t="n">
        <f aca="false">IF(C41&gt;0,Assumptions!$C$17,C30)</f>
        <v>99</v>
      </c>
    </row>
    <row r="86" customFormat="false" ht="15" hidden="false" customHeight="false" outlineLevel="0" collapsed="false">
      <c r="A86" s="3" t="s">
        <v>557</v>
      </c>
      <c r="C86" s="21" t="n">
        <f aca="false">IF(C42&gt;0,Assumptions!$C$17,C31)</f>
        <v>99</v>
      </c>
    </row>
    <row r="87" customFormat="false" ht="15" hidden="false" customHeight="false" outlineLevel="0" collapsed="false">
      <c r="A87" s="3" t="s">
        <v>558</v>
      </c>
      <c r="C87" s="21" t="n">
        <f aca="false">IF(C43&gt;0,Assumptions!$C$17,C32)</f>
        <v>99</v>
      </c>
    </row>
    <row r="88" customFormat="false" ht="15" hidden="false" customHeight="false" outlineLevel="0" collapsed="false">
      <c r="A88" s="3" t="s">
        <v>559</v>
      </c>
      <c r="C88" s="21" t="n">
        <f aca="false">IF(C44&gt;0,Assumptions!$C$17,C33)</f>
        <v>2</v>
      </c>
    </row>
    <row r="89" customFormat="false" ht="15" hidden="false" customHeight="false" outlineLevel="0" collapsed="false">
      <c r="A89" s="3" t="s">
        <v>560</v>
      </c>
      <c r="C89" s="21" t="n">
        <f aca="false">IF(C45&gt;0,Assumptions!$C$17,C34)</f>
        <v>2</v>
      </c>
    </row>
    <row r="90" customFormat="false" ht="15" hidden="false" customHeight="false" outlineLevel="0" collapsed="false">
      <c r="A90" s="3" t="s">
        <v>561</v>
      </c>
      <c r="C90" s="21" t="n">
        <f aca="false">IF(C46&gt;0,Assumptions!$C$17,C35)</f>
        <v>2</v>
      </c>
    </row>
    <row r="91" customFormat="false" ht="15" hidden="false" customHeight="false" outlineLevel="0" collapsed="false">
      <c r="A91" s="3" t="s">
        <v>562</v>
      </c>
      <c r="C91" s="21" t="n">
        <f aca="false">IF(C47&gt;0,Assumptions!$C$17,C36)</f>
        <v>2</v>
      </c>
    </row>
    <row r="92" customFormat="false" ht="15" hidden="false" customHeight="false" outlineLevel="0" collapsed="false">
      <c r="A92" s="3" t="s">
        <v>563</v>
      </c>
      <c r="C92" s="21" t="n">
        <f aca="false">IF(C48&gt;0,Assumptions!$C$17,C37)</f>
        <v>2</v>
      </c>
    </row>
    <row r="93" customFormat="false" ht="15" hidden="false" customHeight="false" outlineLevel="0" collapsed="false">
      <c r="A93" s="3" t="s">
        <v>564</v>
      </c>
      <c r="C93" s="21" t="n">
        <f aca="false">IF(C49&gt;0,Assumptions!$C$17,C38)</f>
        <v>2</v>
      </c>
    </row>
    <row r="94" customFormat="false" ht="15" hidden="false" customHeight="false" outlineLevel="0" collapsed="false">
      <c r="A94" s="3" t="s">
        <v>565</v>
      </c>
      <c r="C94" s="21" t="n">
        <f aca="false">IF(C50&gt;0,Assumptions!$C$17,C39)</f>
        <v>3</v>
      </c>
    </row>
    <row r="95" customFormat="false" ht="15" hidden="false" customHeight="false" outlineLevel="0" collapsed="false">
      <c r="A95" s="24" t="s">
        <v>572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customFormat="false" ht="15" hidden="false" customHeight="false" outlineLevel="0" collapsed="false">
      <c r="A96" s="3" t="s">
        <v>556</v>
      </c>
      <c r="C96" s="16" t="n">
        <f aca="false">SUMPRODUCT(($C$85:$C$94&lt;C85)*$C$74:$C$83)</f>
        <v>2063.38977466508</v>
      </c>
    </row>
    <row r="97" customFormat="false" ht="15" hidden="false" customHeight="false" outlineLevel="0" collapsed="false">
      <c r="A97" s="3" t="s">
        <v>557</v>
      </c>
      <c r="C97" s="16" t="n">
        <f aca="false">SUMPRODUCT(($C$85:$C$94&lt;C86)*$C$74:$C$83)</f>
        <v>2063.38977466508</v>
      </c>
    </row>
    <row r="98" customFormat="false" ht="15" hidden="false" customHeight="false" outlineLevel="0" collapsed="false">
      <c r="A98" s="3" t="s">
        <v>558</v>
      </c>
      <c r="C98" s="16" t="n">
        <f aca="false">SUMPRODUCT(($C$85:$C$94&lt;C87)*$C$74:$C$83)</f>
        <v>2063.38977466508</v>
      </c>
    </row>
    <row r="99" customFormat="false" ht="15" hidden="false" customHeight="false" outlineLevel="0" collapsed="false">
      <c r="A99" s="3" t="s">
        <v>559</v>
      </c>
      <c r="C99" s="16" t="n">
        <f aca="false">SUMPRODUCT(($C$85:$C$94&lt;C88)*$C$74:$C$83)</f>
        <v>0</v>
      </c>
    </row>
    <row r="100" customFormat="false" ht="15" hidden="false" customHeight="false" outlineLevel="0" collapsed="false">
      <c r="A100" s="3" t="s">
        <v>560</v>
      </c>
      <c r="C100" s="16" t="n">
        <f aca="false">SUMPRODUCT(($C$85:$C$94&lt;C89)*$C$74:$C$83)</f>
        <v>0</v>
      </c>
    </row>
    <row r="101" customFormat="false" ht="15" hidden="false" customHeight="false" outlineLevel="0" collapsed="false">
      <c r="A101" s="3" t="s">
        <v>561</v>
      </c>
      <c r="C101" s="16" t="n">
        <f aca="false">SUMPRODUCT(($C$85:$C$94&lt;C90)*$C$74:$C$83)</f>
        <v>0</v>
      </c>
    </row>
    <row r="102" customFormat="false" ht="15" hidden="false" customHeight="false" outlineLevel="0" collapsed="false">
      <c r="A102" s="3" t="s">
        <v>562</v>
      </c>
      <c r="C102" s="16" t="n">
        <f aca="false">SUMPRODUCT(($C$85:$C$94&lt;C91)*$C$74:$C$83)</f>
        <v>0</v>
      </c>
    </row>
    <row r="103" customFormat="false" ht="15" hidden="false" customHeight="false" outlineLevel="0" collapsed="false">
      <c r="A103" s="3" t="s">
        <v>563</v>
      </c>
      <c r="C103" s="16" t="n">
        <f aca="false">SUMPRODUCT(($C$85:$C$94&lt;C92)*$C$74:$C$83)</f>
        <v>0</v>
      </c>
    </row>
    <row r="104" customFormat="false" ht="15" hidden="false" customHeight="false" outlineLevel="0" collapsed="false">
      <c r="A104" s="3" t="s">
        <v>564</v>
      </c>
      <c r="C104" s="16" t="n">
        <f aca="false">SUMPRODUCT(($C$85:$C$94&lt;C93)*$C$74:$C$83)</f>
        <v>0</v>
      </c>
    </row>
    <row r="105" customFormat="false" ht="15" hidden="false" customHeight="false" outlineLevel="0" collapsed="false">
      <c r="A105" s="3" t="s">
        <v>565</v>
      </c>
      <c r="C105" s="16" t="n">
        <f aca="false">SUMPRODUCT(($C$85:$C$94&lt;C94)*$C$74:$C$83)</f>
        <v>1983.45126566508</v>
      </c>
    </row>
    <row r="106" customFormat="false" ht="15" hidden="false" customHeight="false" outlineLevel="0" collapsed="false">
      <c r="A106" s="24" t="s">
        <v>573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customFormat="false" ht="15" hidden="false" customHeight="false" outlineLevel="0" collapsed="false">
      <c r="A107" s="3" t="s">
        <v>556</v>
      </c>
      <c r="C107" s="16" t="n">
        <f aca="false">SUMPRODUCT(($C$85:$C$94=C85)*$C$74:$C$83)</f>
        <v>0</v>
      </c>
    </row>
    <row r="108" customFormat="false" ht="15" hidden="false" customHeight="false" outlineLevel="0" collapsed="false">
      <c r="A108" s="3" t="s">
        <v>557</v>
      </c>
      <c r="C108" s="16" t="n">
        <f aca="false">SUMPRODUCT(($C$85:$C$94=C86)*$C$74:$C$83)</f>
        <v>0</v>
      </c>
    </row>
    <row r="109" customFormat="false" ht="15" hidden="false" customHeight="false" outlineLevel="0" collapsed="false">
      <c r="A109" s="3" t="s">
        <v>558</v>
      </c>
      <c r="C109" s="16" t="n">
        <f aca="false">SUMPRODUCT(($C$85:$C$94=C87)*$C$74:$C$83)</f>
        <v>0</v>
      </c>
    </row>
    <row r="110" customFormat="false" ht="15" hidden="false" customHeight="false" outlineLevel="0" collapsed="false">
      <c r="A110" s="3" t="s">
        <v>559</v>
      </c>
      <c r="C110" s="16" t="n">
        <f aca="false">SUMPRODUCT(($C$85:$C$94=C88)*$C$74:$C$83)</f>
        <v>1983.45126566508</v>
      </c>
    </row>
    <row r="111" customFormat="false" ht="15" hidden="false" customHeight="false" outlineLevel="0" collapsed="false">
      <c r="A111" s="3" t="s">
        <v>560</v>
      </c>
      <c r="C111" s="16" t="n">
        <f aca="false">SUMPRODUCT(($C$85:$C$94=C89)*$C$74:$C$83)</f>
        <v>1983.45126566508</v>
      </c>
    </row>
    <row r="112" customFormat="false" ht="15" hidden="false" customHeight="false" outlineLevel="0" collapsed="false">
      <c r="A112" s="3" t="s">
        <v>561</v>
      </c>
      <c r="C112" s="16" t="n">
        <f aca="false">SUMPRODUCT(($C$85:$C$94=C90)*$C$74:$C$83)</f>
        <v>1983.45126566508</v>
      </c>
    </row>
    <row r="113" customFormat="false" ht="15" hidden="false" customHeight="false" outlineLevel="0" collapsed="false">
      <c r="A113" s="3" t="s">
        <v>562</v>
      </c>
      <c r="C113" s="16" t="n">
        <f aca="false">SUMPRODUCT(($C$85:$C$94=C91)*$C$74:$C$83)</f>
        <v>1983.45126566508</v>
      </c>
    </row>
    <row r="114" customFormat="false" ht="15" hidden="false" customHeight="false" outlineLevel="0" collapsed="false">
      <c r="A114" s="3" t="s">
        <v>563</v>
      </c>
      <c r="C114" s="16" t="n">
        <f aca="false">SUMPRODUCT(($C$85:$C$94=C92)*$C$74:$C$83)</f>
        <v>1983.45126566508</v>
      </c>
    </row>
    <row r="115" customFormat="false" ht="15" hidden="false" customHeight="false" outlineLevel="0" collapsed="false">
      <c r="A115" s="3" t="s">
        <v>564</v>
      </c>
      <c r="C115" s="16" t="n">
        <f aca="false">SUMPRODUCT(($C$85:$C$94=C93)*$C$74:$C$83)</f>
        <v>1983.45126566508</v>
      </c>
    </row>
    <row r="116" customFormat="false" ht="15" hidden="false" customHeight="false" outlineLevel="0" collapsed="false">
      <c r="A116" s="3" t="s">
        <v>565</v>
      </c>
      <c r="C116" s="16" t="n">
        <f aca="false">SUMPRODUCT(($C$85:$C$94=C94)*$C$74:$C$83)</f>
        <v>79.938509</v>
      </c>
    </row>
    <row r="117" customFormat="false" ht="15" hidden="false" customHeight="false" outlineLevel="0" collapsed="false">
      <c r="A117" s="24" t="s">
        <v>574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customFormat="false" ht="15" hidden="false" customHeight="false" outlineLevel="0" collapsed="false">
      <c r="A118" s="3" t="s">
        <v>556</v>
      </c>
      <c r="C118" s="16" t="n">
        <f aca="false">IF(C107=0,0,C74/C107*MAX(0,MIN(C107,$C$17-SUM($C$52:$C$61)-C96)))</f>
        <v>0</v>
      </c>
    </row>
    <row r="119" customFormat="false" ht="15" hidden="false" customHeight="false" outlineLevel="0" collapsed="false">
      <c r="A119" s="3" t="s">
        <v>557</v>
      </c>
      <c r="C119" s="16" t="n">
        <f aca="false">IF(C108=0,0,C75/C108*MAX(0,MIN(C108,$C$17-SUM($C$52:$C$61)-C97)))</f>
        <v>0</v>
      </c>
    </row>
    <row r="120" customFormat="false" ht="15" hidden="false" customHeight="false" outlineLevel="0" collapsed="false">
      <c r="A120" s="3" t="s">
        <v>558</v>
      </c>
      <c r="C120" s="16" t="n">
        <f aca="false">IF(C109=0,0,C76/C109*MAX(0,MIN(C109,$C$17-SUM($C$52:$C$61)-C98)))</f>
        <v>0</v>
      </c>
    </row>
    <row r="121" customFormat="false" ht="15" hidden="false" customHeight="false" outlineLevel="0" collapsed="false">
      <c r="A121" s="3" t="s">
        <v>559</v>
      </c>
      <c r="C121" s="16" t="n">
        <f aca="false">IF(C110=0,0,C77/C110*MAX(0,MIN(C110,$C$17-SUM($C$52:$C$61)-C99)))</f>
        <v>0</v>
      </c>
    </row>
    <row r="122" customFormat="false" ht="15" hidden="false" customHeight="false" outlineLevel="0" collapsed="false">
      <c r="A122" s="3" t="s">
        <v>560</v>
      </c>
      <c r="C122" s="16" t="n">
        <f aca="false">IF(C111=0,0,C78/C111*MAX(0,MIN(C111,$C$17-SUM($C$52:$C$61)-C100)))</f>
        <v>405.410640665075</v>
      </c>
    </row>
    <row r="123" customFormat="false" ht="15" hidden="false" customHeight="false" outlineLevel="0" collapsed="false">
      <c r="A123" s="3" t="s">
        <v>561</v>
      </c>
      <c r="C123" s="16" t="n">
        <f aca="false">IF(C112=0,0,C79/C112*MAX(0,MIN(C112,$C$17-SUM($C$52:$C$61)-C101)))</f>
        <v>357.2625</v>
      </c>
    </row>
    <row r="124" customFormat="false" ht="15" hidden="false" customHeight="false" outlineLevel="0" collapsed="false">
      <c r="A124" s="3" t="s">
        <v>562</v>
      </c>
      <c r="C124" s="16" t="n">
        <f aca="false">IF(C113=0,0,C80/C113*MAX(0,MIN(C113,$C$17-SUM($C$52:$C$61)-C102)))</f>
        <v>562.203125</v>
      </c>
    </row>
    <row r="125" customFormat="false" ht="15" hidden="false" customHeight="false" outlineLevel="0" collapsed="false">
      <c r="A125" s="3" t="s">
        <v>563</v>
      </c>
      <c r="C125" s="16" t="n">
        <f aca="false">IF(C114=0,0,C81/C114*MAX(0,MIN(C114,$C$17-SUM($C$52:$C$61)-C103)))</f>
        <v>353.98125</v>
      </c>
    </row>
    <row r="126" customFormat="false" ht="15" hidden="false" customHeight="false" outlineLevel="0" collapsed="false">
      <c r="A126" s="3" t="s">
        <v>564</v>
      </c>
      <c r="C126" s="16" t="n">
        <f aca="false">IF(C115=0,0,C82/C115*MAX(0,MIN(C115,$C$17-SUM($C$52:$C$61)-C104)))</f>
        <v>304.59375</v>
      </c>
    </row>
    <row r="127" customFormat="false" ht="15" hidden="false" customHeight="false" outlineLevel="0" collapsed="false">
      <c r="A127" s="3" t="s">
        <v>565</v>
      </c>
      <c r="C127" s="16" t="n">
        <f aca="false">IF(C116=0,0,C83/C116*MAX(0,MIN(C116,$C$17-SUM($C$52:$C$61)-C105)))</f>
        <v>79.938509</v>
      </c>
    </row>
    <row r="128" customFormat="false" ht="15" hidden="false" customHeight="false" outlineLevel="0" collapsed="false">
      <c r="A128" s="24" t="s">
        <v>575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customFormat="false" ht="15" hidden="false" customHeight="false" outlineLevel="0" collapsed="false">
      <c r="A129" s="2" t="s">
        <v>556</v>
      </c>
      <c r="C129" s="17" t="n">
        <f aca="false">C52+C118</f>
        <v>402.29</v>
      </c>
    </row>
    <row r="130" customFormat="false" ht="15" hidden="false" customHeight="false" outlineLevel="0" collapsed="false">
      <c r="A130" s="2" t="s">
        <v>557</v>
      </c>
      <c r="C130" s="17" t="n">
        <f aca="false">C53+C119</f>
        <v>91.30725</v>
      </c>
    </row>
    <row r="131" customFormat="false" ht="15" hidden="false" customHeight="false" outlineLevel="0" collapsed="false">
      <c r="A131" s="2" t="s">
        <v>558</v>
      </c>
      <c r="C131" s="17" t="n">
        <f aca="false">C54+C120</f>
        <v>58.3715961</v>
      </c>
    </row>
    <row r="132" customFormat="false" ht="15" hidden="false" customHeight="false" outlineLevel="0" collapsed="false">
      <c r="A132" s="2" t="s">
        <v>559</v>
      </c>
      <c r="C132" s="17" t="n">
        <f aca="false">C55+C121</f>
        <v>0</v>
      </c>
    </row>
    <row r="133" customFormat="false" ht="15" hidden="false" customHeight="false" outlineLevel="0" collapsed="false">
      <c r="A133" s="2" t="s">
        <v>560</v>
      </c>
      <c r="C133" s="17" t="n">
        <f aca="false">C56+C122</f>
        <v>405.410640665075</v>
      </c>
    </row>
    <row r="134" customFormat="false" ht="15" hidden="false" customHeight="false" outlineLevel="0" collapsed="false">
      <c r="A134" s="2" t="s">
        <v>561</v>
      </c>
      <c r="C134" s="17" t="n">
        <f aca="false">C57+C123</f>
        <v>357.2625</v>
      </c>
    </row>
    <row r="135" customFormat="false" ht="15" hidden="false" customHeight="false" outlineLevel="0" collapsed="false">
      <c r="A135" s="2" t="s">
        <v>562</v>
      </c>
      <c r="C135" s="17" t="n">
        <f aca="false">C58+C124</f>
        <v>562.203125</v>
      </c>
    </row>
    <row r="136" customFormat="false" ht="15" hidden="false" customHeight="false" outlineLevel="0" collapsed="false">
      <c r="A136" s="2" t="s">
        <v>563</v>
      </c>
      <c r="C136" s="17" t="n">
        <f aca="false">C59+C125</f>
        <v>353.98125</v>
      </c>
    </row>
    <row r="137" customFormat="false" ht="15" hidden="false" customHeight="false" outlineLevel="0" collapsed="false">
      <c r="A137" s="2" t="s">
        <v>564</v>
      </c>
      <c r="C137" s="17" t="n">
        <f aca="false">C60+C126</f>
        <v>304.59375</v>
      </c>
    </row>
    <row r="138" customFormat="false" ht="15" hidden="false" customHeight="false" outlineLevel="0" collapsed="false">
      <c r="A138" s="2" t="s">
        <v>565</v>
      </c>
      <c r="C138" s="17" t="n">
        <f aca="false">C61+C127</f>
        <v>79.938509</v>
      </c>
    </row>
    <row r="139" customFormat="false" ht="15" hidden="false" customHeight="false" outlineLevel="0" collapsed="false">
      <c r="A139" s="24" t="s">
        <v>576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customFormat="false" ht="15" hidden="false" customHeight="false" outlineLevel="0" collapsed="false">
      <c r="A140" s="3" t="s">
        <v>556</v>
      </c>
      <c r="C140" s="22" t="n">
        <f aca="false">IF(C19=0,1,C129/C19)</f>
        <v>1</v>
      </c>
    </row>
    <row r="141" customFormat="false" ht="15" hidden="false" customHeight="false" outlineLevel="0" collapsed="false">
      <c r="A141" s="3" t="s">
        <v>557</v>
      </c>
      <c r="C141" s="22" t="n">
        <f aca="false">IF(C20=0,1,C130/C20)</f>
        <v>1</v>
      </c>
    </row>
    <row r="142" customFormat="false" ht="15" hidden="false" customHeight="false" outlineLevel="0" collapsed="false">
      <c r="A142" s="3" t="s">
        <v>558</v>
      </c>
      <c r="C142" s="22" t="n">
        <f aca="false">IF(C21=0,1,C131/C21)</f>
        <v>1</v>
      </c>
    </row>
    <row r="143" customFormat="false" ht="15" hidden="false" customHeight="false" outlineLevel="0" collapsed="false">
      <c r="A143" s="3" t="s">
        <v>559</v>
      </c>
      <c r="C143" s="22" t="n">
        <f aca="false">IF(C22=0,1,C132/C22)</f>
        <v>1</v>
      </c>
    </row>
    <row r="144" customFormat="false" ht="15" hidden="false" customHeight="false" outlineLevel="0" collapsed="false">
      <c r="A144" s="3" t="s">
        <v>560</v>
      </c>
      <c r="C144" s="22" t="n">
        <f aca="false">IF(C23=0,1,C133/C23)</f>
        <v>1</v>
      </c>
    </row>
    <row r="145" customFormat="false" ht="15" hidden="false" customHeight="false" outlineLevel="0" collapsed="false">
      <c r="A145" s="3" t="s">
        <v>561</v>
      </c>
      <c r="C145" s="22" t="n">
        <f aca="false">IF(C24=0,1,C134/C24)</f>
        <v>1</v>
      </c>
    </row>
    <row r="146" customFormat="false" ht="15" hidden="false" customHeight="false" outlineLevel="0" collapsed="false">
      <c r="A146" s="3" t="s">
        <v>562</v>
      </c>
      <c r="C146" s="22" t="n">
        <f aca="false">IF(C25=0,1,C135/C25)</f>
        <v>1</v>
      </c>
    </row>
    <row r="147" customFormat="false" ht="15" hidden="false" customHeight="false" outlineLevel="0" collapsed="false">
      <c r="A147" s="3" t="s">
        <v>563</v>
      </c>
      <c r="C147" s="22" t="n">
        <f aca="false">IF(C26=0,1,C136/C26)</f>
        <v>1</v>
      </c>
    </row>
    <row r="148" customFormat="false" ht="15" hidden="false" customHeight="false" outlineLevel="0" collapsed="false">
      <c r="A148" s="3" t="s">
        <v>564</v>
      </c>
      <c r="C148" s="22" t="n">
        <f aca="false">IF(C27=0,1,C137/C27)</f>
        <v>1</v>
      </c>
    </row>
    <row r="149" customFormat="false" ht="15" hidden="false" customHeight="false" outlineLevel="0" collapsed="false">
      <c r="A149" s="3" t="s">
        <v>565</v>
      </c>
      <c r="C149" s="22" t="n">
        <f aca="false">IF(C28=0,1,C138/C28)</f>
        <v>1</v>
      </c>
    </row>
    <row r="150" customFormat="false" ht="15" hidden="false" customHeight="false" outlineLevel="0" collapsed="false">
      <c r="A150" s="24" t="s">
        <v>577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customFormat="false" ht="15" hidden="false" customHeight="false" outlineLevel="0" collapsed="false">
      <c r="A151" s="3" t="s">
        <v>556</v>
      </c>
      <c r="C151" s="16" t="n">
        <f aca="false">C19-C129</f>
        <v>0</v>
      </c>
    </row>
    <row r="152" customFormat="false" ht="15" hidden="false" customHeight="false" outlineLevel="0" collapsed="false">
      <c r="A152" s="3" t="s">
        <v>557</v>
      </c>
      <c r="C152" s="16" t="n">
        <f aca="false">C20-C130</f>
        <v>0</v>
      </c>
    </row>
    <row r="153" customFormat="false" ht="15" hidden="false" customHeight="false" outlineLevel="0" collapsed="false">
      <c r="A153" s="3" t="s">
        <v>558</v>
      </c>
      <c r="C153" s="16" t="n">
        <f aca="false">C21-C131</f>
        <v>0</v>
      </c>
    </row>
    <row r="154" customFormat="false" ht="15" hidden="false" customHeight="false" outlineLevel="0" collapsed="false">
      <c r="A154" s="3" t="s">
        <v>559</v>
      </c>
      <c r="C154" s="16" t="n">
        <f aca="false">C22-C132</f>
        <v>0</v>
      </c>
    </row>
    <row r="155" customFormat="false" ht="15" hidden="false" customHeight="false" outlineLevel="0" collapsed="false">
      <c r="A155" s="3" t="s">
        <v>560</v>
      </c>
      <c r="C155" s="16" t="n">
        <f aca="false">C23-C133</f>
        <v>0</v>
      </c>
    </row>
    <row r="156" customFormat="false" ht="15" hidden="false" customHeight="false" outlineLevel="0" collapsed="false">
      <c r="A156" s="3" t="s">
        <v>561</v>
      </c>
      <c r="C156" s="16" t="n">
        <f aca="false">C24-C134</f>
        <v>0</v>
      </c>
    </row>
    <row r="157" customFormat="false" ht="15" hidden="false" customHeight="false" outlineLevel="0" collapsed="false">
      <c r="A157" s="3" t="s">
        <v>562</v>
      </c>
      <c r="C157" s="16" t="n">
        <f aca="false">C25-C135</f>
        <v>0</v>
      </c>
    </row>
    <row r="158" customFormat="false" ht="15" hidden="false" customHeight="false" outlineLevel="0" collapsed="false">
      <c r="A158" s="3" t="s">
        <v>563</v>
      </c>
      <c r="C158" s="16" t="n">
        <f aca="false">C26-C136</f>
        <v>0</v>
      </c>
    </row>
    <row r="159" customFormat="false" ht="15" hidden="false" customHeight="false" outlineLevel="0" collapsed="false">
      <c r="A159" s="3" t="s">
        <v>564</v>
      </c>
      <c r="C159" s="16" t="n">
        <f aca="false">C27-C137</f>
        <v>0</v>
      </c>
    </row>
    <row r="160" customFormat="false" ht="15" hidden="false" customHeight="false" outlineLevel="0" collapsed="false">
      <c r="A160" s="3" t="s">
        <v>565</v>
      </c>
      <c r="C160" s="16" t="n">
        <f aca="false">C28-C138</f>
        <v>0</v>
      </c>
    </row>
    <row r="161" customFormat="false" ht="15" hidden="false" customHeight="false" outlineLevel="0" collapsed="false">
      <c r="A161" s="24" t="s">
        <v>578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customFormat="false" ht="15" hidden="false" customHeight="false" outlineLevel="0" collapsed="false">
      <c r="A162" s="3" t="s">
        <v>556</v>
      </c>
      <c r="C162" s="22" t="n">
        <f aca="false">IF(C19=0,0,C151/C19)</f>
        <v>0</v>
      </c>
    </row>
    <row r="163" customFormat="false" ht="15" hidden="false" customHeight="false" outlineLevel="0" collapsed="false">
      <c r="A163" s="3" t="s">
        <v>557</v>
      </c>
      <c r="C163" s="22" t="n">
        <f aca="false">IF(C20=0,0,C152/C20)</f>
        <v>0</v>
      </c>
    </row>
    <row r="164" customFormat="false" ht="15" hidden="false" customHeight="false" outlineLevel="0" collapsed="false">
      <c r="A164" s="3" t="s">
        <v>558</v>
      </c>
      <c r="C164" s="22" t="n">
        <f aca="false">IF(C21=0,0,C153/C21)</f>
        <v>0</v>
      </c>
    </row>
    <row r="165" customFormat="false" ht="15" hidden="false" customHeight="false" outlineLevel="0" collapsed="false">
      <c r="A165" s="3" t="s">
        <v>559</v>
      </c>
      <c r="C165" s="22" t="n">
        <f aca="false">IF(C22=0,0,C154/C22)</f>
        <v>0</v>
      </c>
    </row>
    <row r="166" customFormat="false" ht="15" hidden="false" customHeight="false" outlineLevel="0" collapsed="false">
      <c r="A166" s="3" t="s">
        <v>560</v>
      </c>
      <c r="C166" s="22" t="n">
        <f aca="false">IF(C23=0,0,C155/C23)</f>
        <v>0</v>
      </c>
    </row>
    <row r="167" customFormat="false" ht="15" hidden="false" customHeight="false" outlineLevel="0" collapsed="false">
      <c r="A167" s="3" t="s">
        <v>561</v>
      </c>
      <c r="C167" s="22" t="n">
        <f aca="false">IF(C24=0,0,C156/C24)</f>
        <v>0</v>
      </c>
    </row>
    <row r="168" customFormat="false" ht="15" hidden="false" customHeight="false" outlineLevel="0" collapsed="false">
      <c r="A168" s="3" t="s">
        <v>562</v>
      </c>
      <c r="C168" s="22" t="n">
        <f aca="false">IF(C25=0,0,C157/C25)</f>
        <v>0</v>
      </c>
    </row>
    <row r="169" customFormat="false" ht="15" hidden="false" customHeight="false" outlineLevel="0" collapsed="false">
      <c r="A169" s="3" t="s">
        <v>563</v>
      </c>
      <c r="C169" s="22" t="n">
        <f aca="false">IF(C26=0,0,C158/C26)</f>
        <v>0</v>
      </c>
    </row>
    <row r="170" customFormat="false" ht="15" hidden="false" customHeight="false" outlineLevel="0" collapsed="false">
      <c r="A170" s="3" t="s">
        <v>564</v>
      </c>
      <c r="C170" s="22" t="n">
        <f aca="false">IF(C27=0,0,C159/C27)</f>
        <v>0</v>
      </c>
    </row>
    <row r="171" customFormat="false" ht="15" hidden="false" customHeight="false" outlineLevel="0" collapsed="false">
      <c r="A171" s="3" t="s">
        <v>565</v>
      </c>
      <c r="C171" s="22" t="n">
        <f aca="false">IF(C28=0,0,C160/C28)</f>
        <v>0</v>
      </c>
    </row>
    <row r="172" customFormat="false" ht="15" hidden="false" customHeight="false" outlineLevel="0" collapsed="false">
      <c r="A172" s="2" t="s">
        <v>579</v>
      </c>
      <c r="C172" s="17" t="n">
        <f aca="false">MAX(0,$C$17-SUM($C$52:$C$61)-SUM($C$74:$C$83))</f>
        <v>518.118561634925</v>
      </c>
    </row>
    <row r="173" customFormat="false" ht="15" hidden="false" customHeight="false" outlineLevel="0" collapsed="false">
      <c r="A173" s="3" t="s">
        <v>580</v>
      </c>
      <c r="C173" s="16" t="n">
        <f aca="false">SUM($C$129:$C$138)+C172+C16-C15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A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581</v>
      </c>
    </row>
    <row r="2" customFormat="false" ht="15" hidden="false" customHeight="false" outlineLevel="0" collapsed="false">
      <c r="A2" s="3" t="str">
        <f aca="false">"Brandywine Realty Trust · PUBLIC DATA CASE · HYPOTHETICAL INVESTMENT TERMS · Active scenario: "&amp;Assumptions!$D$10</f>
        <v>Brandywine Realty Trust · PUBLIC DATA CASE · HYPOTHETICAL INVESTMENT TERMS · Active scenario: Downside</v>
      </c>
    </row>
    <row r="4" customFormat="false" ht="15" hidden="false" customHeight="false" outlineLevel="0" collapsed="false">
      <c r="A4" s="7" t="s">
        <v>62</v>
      </c>
      <c r="C4" s="7" t="s">
        <v>582</v>
      </c>
      <c r="D4" s="7" t="s">
        <v>492</v>
      </c>
      <c r="E4" s="7" t="s">
        <v>493</v>
      </c>
      <c r="F4" s="7" t="s">
        <v>494</v>
      </c>
      <c r="G4" s="7" t="s">
        <v>495</v>
      </c>
      <c r="H4" s="7" t="s">
        <v>496</v>
      </c>
      <c r="I4" s="7" t="s">
        <v>497</v>
      </c>
      <c r="J4" s="7"/>
      <c r="K4" s="7"/>
    </row>
    <row r="6" customFormat="false" ht="15" hidden="false" customHeight="false" outlineLevel="0" collapsed="false">
      <c r="A6" s="24" t="s">
        <v>583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customFormat="false" ht="15" hidden="false" customHeight="false" outlineLevel="0" collapsed="false">
      <c r="A7" s="3" t="s">
        <v>584</v>
      </c>
      <c r="C7" s="27" t="n">
        <f aca="false">Assumptions!$C$34</f>
        <v>1</v>
      </c>
    </row>
    <row r="8" customFormat="false" ht="15" hidden="false" customHeight="false" outlineLevel="0" collapsed="false">
      <c r="A8" s="3" t="s">
        <v>585</v>
      </c>
      <c r="C8" s="29" t="n">
        <f aca="false">Assumptions!$C$35</f>
        <v>100</v>
      </c>
    </row>
    <row r="9" customFormat="false" ht="15" hidden="false" customHeight="false" outlineLevel="0" collapsed="false">
      <c r="A9" s="3" t="s">
        <v>586</v>
      </c>
      <c r="C9" s="40" t="n">
        <f aca="false">Assumptions!$C$36</f>
        <v>98</v>
      </c>
    </row>
    <row r="10" customFormat="false" ht="15" hidden="false" customHeight="false" outlineLevel="0" collapsed="false">
      <c r="A10" s="3" t="s">
        <v>587</v>
      </c>
      <c r="C10" s="16" t="n">
        <f aca="false">C8*C9/100*(1+Assumptions!$C$37)</f>
        <v>98.49</v>
      </c>
    </row>
    <row r="11" customFormat="false" ht="15" hidden="false" customHeight="false" outlineLevel="0" collapsed="false">
      <c r="A11" s="3" t="s">
        <v>588</v>
      </c>
      <c r="C11" s="27" t="n">
        <f aca="false">Assumptions!$C$38</f>
        <v>3</v>
      </c>
    </row>
    <row r="12" customFormat="false" ht="15" hidden="false" customHeight="false" outlineLevel="0" collapsed="false">
      <c r="A12" s="3" t="s">
        <v>589</v>
      </c>
      <c r="C12" s="21" t="n">
        <f aca="false">IF(Recovery!C8=1,SUMPRODUCT('Cash Flow'!$G$22:$K$22,'Operating Model'!$G$8:$K$8),0)</f>
        <v>2</v>
      </c>
    </row>
    <row r="13" customFormat="false" ht="15" hidden="false" customHeight="false" outlineLevel="0" collapsed="false">
      <c r="A13" s="3" t="s">
        <v>590</v>
      </c>
      <c r="C13" s="22" t="n">
        <f aca="false">IFERROR(C8/CHOOSE(C7,SUMPRODUCT(Recovery!$G$7:$K$7,'Debt Schedule'!$G$28:$K$28),SUMPRODUCT(Recovery!$G$7:$K$7,'Debt Schedule'!$G$41:$K$41),SUMPRODUCT(Recovery!$G$7:$K$7,'Debt Schedule'!$G$54:$K$54),SUMPRODUCT(Recovery!$G$7:$K$7,'Debt Schedule'!$G$67:$K$67),SUMPRODUCT(Recovery!$G$7:$K$7,'Debt Schedule'!$G$80:$K$80),SUMPRODUCT(Recovery!$G$7:$K$7,'Debt Schedule'!$G$93:$K$93),SUMPRODUCT(Recovery!$G$7:$K$7,'Debt Schedule'!$G$106:$K$106),SUMPRODUCT(Recovery!$G$7:$K$7,'Debt Schedule'!$G$119:$K$119),SUMPRODUCT(Recovery!$G$7:$K$7,'Debt Schedule'!$G$132:$K$132),SUMPRODUCT(Recovery!$G$7:$K$7,'Debt Schedule'!$G$145:$K$145)),0)</f>
        <v>0.255102040816327</v>
      </c>
    </row>
    <row r="14" customFormat="false" ht="15" hidden="false" customHeight="false" outlineLevel="0" collapsed="false">
      <c r="A14" s="3" t="s">
        <v>591</v>
      </c>
      <c r="C14" s="16" t="n">
        <f aca="false">CHOOSE(C7,Recovery!C129,Recovery!C130,Recovery!C131,Recovery!C132,Recovery!C133,Recovery!C134,Recovery!C135,Recovery!C136,Recovery!C137,Recovery!C138)*C13</f>
        <v>102.625</v>
      </c>
    </row>
    <row r="15" customFormat="false" ht="15" hidden="false" customHeight="false" outlineLevel="0" collapsed="false">
      <c r="A15" s="3" t="s">
        <v>592</v>
      </c>
      <c r="C15" s="22" t="n">
        <f aca="false">CHOOSE(C7,Recovery!C140,Recovery!C141,Recovery!C142,Recovery!C143,Recovery!C144,Recovery!C145,Recovery!C146,Recovery!C147,Recovery!C148,Recovery!C149)</f>
        <v>1</v>
      </c>
    </row>
    <row r="16" customFormat="false" ht="15" hidden="false" customHeight="false" outlineLevel="0" collapsed="false">
      <c r="A16" s="3" t="s">
        <v>593</v>
      </c>
      <c r="C16" s="21" t="n">
        <f aca="false">IF(Recovery!C8=1,C12,C11)</f>
        <v>2</v>
      </c>
    </row>
    <row r="17" customFormat="false" ht="15" hidden="false" customHeight="false" outlineLevel="0" collapsed="false">
      <c r="A17" s="3" t="s">
        <v>594</v>
      </c>
      <c r="C17" s="35" t="n">
        <f aca="false">CHOOSE(Assumptions!$C$10,Assumptions!$C$91,Assumptions!$C$110,Assumptions!$C$129)</f>
        <v>95</v>
      </c>
    </row>
    <row r="18" customFormat="false" ht="15" hidden="false" customHeight="false" outlineLevel="0" collapsed="false">
      <c r="A18" s="3" t="s">
        <v>595</v>
      </c>
      <c r="C18" s="16" t="n">
        <f aca="false">INDEX('Operating Model'!$G$17:$K$17,C11)*CHOOSE(Assumptions!$C$10,Assumptions!$C$90,Assumptions!$C$109,Assumptions!$C$128)+MAX(0,INDEX('Cash Flow'!$G$19:$K$19,C11))</f>
        <v>2423.913149823</v>
      </c>
    </row>
    <row r="19" customFormat="false" ht="15" hidden="false" customHeight="false" outlineLevel="0" collapsed="false">
      <c r="A19" s="24" t="s">
        <v>596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15" hidden="false" customHeight="false" outlineLevel="0" collapsed="false">
      <c r="A20" s="3" t="s">
        <v>556</v>
      </c>
      <c r="C20" s="16" t="n">
        <f aca="false">INDEX('Debt Schedule'!$G$28:$K$28,C11)</f>
        <v>388</v>
      </c>
    </row>
    <row r="21" customFormat="false" ht="15" hidden="false" customHeight="false" outlineLevel="0" collapsed="false">
      <c r="A21" s="3" t="s">
        <v>557</v>
      </c>
      <c r="C21" s="16" t="n">
        <f aca="false">INDEX('Debt Schedule'!$G$41:$K$41,C11)</f>
        <v>90</v>
      </c>
    </row>
    <row r="22" customFormat="false" ht="15" hidden="false" customHeight="false" outlineLevel="0" collapsed="false">
      <c r="A22" s="3" t="s">
        <v>558</v>
      </c>
      <c r="C22" s="16" t="n">
        <f aca="false">INDEX('Debt Schedule'!$G$54:$K$54,C11)</f>
        <v>57.324</v>
      </c>
    </row>
    <row r="23" customFormat="false" ht="15" hidden="false" customHeight="false" outlineLevel="0" collapsed="false">
      <c r="A23" s="3" t="s">
        <v>559</v>
      </c>
      <c r="C23" s="16" t="n">
        <f aca="false">INDEX('Debt Schedule'!$G$67:$K$67,C11)</f>
        <v>0</v>
      </c>
    </row>
    <row r="24" customFormat="false" ht="15" hidden="false" customHeight="false" outlineLevel="0" collapsed="false">
      <c r="A24" s="3" t="s">
        <v>560</v>
      </c>
      <c r="C24" s="16" t="n">
        <f aca="false">INDEX('Debt Schedule'!$G$80:$K$80,C11)</f>
        <v>401.446357881</v>
      </c>
    </row>
    <row r="25" customFormat="false" ht="15" hidden="false" customHeight="false" outlineLevel="0" collapsed="false">
      <c r="A25" s="3" t="s">
        <v>561</v>
      </c>
      <c r="C25" s="16" t="n">
        <f aca="false">INDEX('Debt Schedule'!$G$93:$K$93,C11)</f>
        <v>350</v>
      </c>
    </row>
    <row r="26" customFormat="false" ht="15" hidden="false" customHeight="false" outlineLevel="0" collapsed="false">
      <c r="A26" s="3" t="s">
        <v>562</v>
      </c>
      <c r="C26" s="16" t="n">
        <f aca="false">INDEX('Debt Schedule'!$G$106:$K$106,C11)</f>
        <v>550</v>
      </c>
    </row>
    <row r="27" customFormat="false" ht="15" hidden="false" customHeight="false" outlineLevel="0" collapsed="false">
      <c r="A27" s="3" t="s">
        <v>563</v>
      </c>
      <c r="C27" s="16" t="n">
        <f aca="false">INDEX('Debt Schedule'!$G$119:$K$119,C11)</f>
        <v>350</v>
      </c>
    </row>
    <row r="28" customFormat="false" ht="15" hidden="false" customHeight="false" outlineLevel="0" collapsed="false">
      <c r="A28" s="3" t="s">
        <v>564</v>
      </c>
      <c r="C28" s="16" t="n">
        <f aca="false">INDEX('Debt Schedule'!$G$132:$K$132,C11)</f>
        <v>300</v>
      </c>
    </row>
    <row r="29" customFormat="false" ht="15" hidden="false" customHeight="false" outlineLevel="0" collapsed="false">
      <c r="A29" s="3" t="s">
        <v>565</v>
      </c>
      <c r="C29" s="16" t="n">
        <f aca="false">INDEX('Debt Schedule'!$G$145:$K$145,C11)</f>
        <v>78.61</v>
      </c>
    </row>
    <row r="30" customFormat="false" ht="15" hidden="false" customHeight="false" outlineLevel="0" collapsed="false">
      <c r="A30" s="24" t="s">
        <v>566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15" hidden="false" customHeight="false" outlineLevel="0" collapsed="false">
      <c r="A31" s="3" t="s">
        <v>556</v>
      </c>
      <c r="C31" s="27" t="n">
        <f aca="false">Assumptions!$M$57</f>
        <v>1</v>
      </c>
    </row>
    <row r="32" customFormat="false" ht="15" hidden="false" customHeight="false" outlineLevel="0" collapsed="false">
      <c r="A32" s="3" t="s">
        <v>557</v>
      </c>
      <c r="C32" s="27" t="n">
        <f aca="false">Assumptions!$M$58</f>
        <v>1</v>
      </c>
    </row>
    <row r="33" customFormat="false" ht="15" hidden="false" customHeight="false" outlineLevel="0" collapsed="false">
      <c r="A33" s="3" t="s">
        <v>558</v>
      </c>
      <c r="C33" s="27" t="n">
        <f aca="false">Assumptions!$M$59</f>
        <v>1</v>
      </c>
    </row>
    <row r="34" customFormat="false" ht="15" hidden="false" customHeight="false" outlineLevel="0" collapsed="false">
      <c r="A34" s="3" t="s">
        <v>559</v>
      </c>
      <c r="C34" s="27" t="n">
        <f aca="false">Assumptions!$M$60</f>
        <v>2</v>
      </c>
    </row>
    <row r="35" customFormat="false" ht="15" hidden="false" customHeight="false" outlineLevel="0" collapsed="false">
      <c r="A35" s="3" t="s">
        <v>560</v>
      </c>
      <c r="C35" s="27" t="n">
        <f aca="false">Assumptions!$M$61</f>
        <v>2</v>
      </c>
    </row>
    <row r="36" customFormat="false" ht="15" hidden="false" customHeight="false" outlineLevel="0" collapsed="false">
      <c r="A36" s="3" t="s">
        <v>561</v>
      </c>
      <c r="C36" s="27" t="n">
        <f aca="false">Assumptions!$M$62</f>
        <v>2</v>
      </c>
    </row>
    <row r="37" customFormat="false" ht="15" hidden="false" customHeight="false" outlineLevel="0" collapsed="false">
      <c r="A37" s="3" t="s">
        <v>562</v>
      </c>
      <c r="C37" s="27" t="n">
        <f aca="false">Assumptions!$M$63</f>
        <v>2</v>
      </c>
    </row>
    <row r="38" customFormat="false" ht="15" hidden="false" customHeight="false" outlineLevel="0" collapsed="false">
      <c r="A38" s="3" t="s">
        <v>563</v>
      </c>
      <c r="C38" s="27" t="n">
        <f aca="false">Assumptions!$M$64</f>
        <v>2</v>
      </c>
    </row>
    <row r="39" customFormat="false" ht="15" hidden="false" customHeight="false" outlineLevel="0" collapsed="false">
      <c r="A39" s="3" t="s">
        <v>564</v>
      </c>
      <c r="C39" s="27" t="n">
        <f aca="false">Assumptions!$M$65</f>
        <v>2</v>
      </c>
    </row>
    <row r="40" customFormat="false" ht="15" hidden="false" customHeight="false" outlineLevel="0" collapsed="false">
      <c r="A40" s="3" t="s">
        <v>565</v>
      </c>
      <c r="C40" s="27" t="n">
        <f aca="false">Assumptions!$M$66</f>
        <v>3</v>
      </c>
    </row>
    <row r="41" customFormat="false" ht="15" hidden="false" customHeight="false" outlineLevel="0" collapsed="false">
      <c r="A41" s="24" t="s">
        <v>567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customFormat="false" ht="15" hidden="false" customHeight="false" outlineLevel="0" collapsed="false">
      <c r="A42" s="3" t="s">
        <v>556</v>
      </c>
      <c r="C42" s="33" t="n">
        <f aca="false">Assumptions!$Q$57</f>
        <v>0.3</v>
      </c>
    </row>
    <row r="43" customFormat="false" ht="15" hidden="false" customHeight="false" outlineLevel="0" collapsed="false">
      <c r="A43" s="3" t="s">
        <v>557</v>
      </c>
      <c r="C43" s="33" t="n">
        <f aca="false">Assumptions!$Q$58</f>
        <v>0.033</v>
      </c>
    </row>
    <row r="44" customFormat="false" ht="15" hidden="false" customHeight="false" outlineLevel="0" collapsed="false">
      <c r="A44" s="3" t="s">
        <v>558</v>
      </c>
      <c r="C44" s="33" t="n">
        <f aca="false">Assumptions!$Q$59</f>
        <v>0.021</v>
      </c>
    </row>
    <row r="45" customFormat="false" ht="15" hidden="false" customHeight="false" outlineLevel="0" collapsed="false">
      <c r="A45" s="3" t="s">
        <v>559</v>
      </c>
      <c r="C45" s="33" t="n">
        <f aca="false">Assumptions!$Q$60</f>
        <v>0</v>
      </c>
    </row>
    <row r="46" customFormat="false" ht="15" hidden="false" customHeight="false" outlineLevel="0" collapsed="false">
      <c r="A46" s="3" t="s">
        <v>560</v>
      </c>
      <c r="C46" s="33" t="n">
        <f aca="false">Assumptions!$Q$61</f>
        <v>0</v>
      </c>
    </row>
    <row r="47" customFormat="false" ht="15" hidden="false" customHeight="false" outlineLevel="0" collapsed="false">
      <c r="A47" s="3" t="s">
        <v>561</v>
      </c>
      <c r="C47" s="33" t="n">
        <f aca="false">Assumptions!$Q$62</f>
        <v>0</v>
      </c>
    </row>
    <row r="48" customFormat="false" ht="15" hidden="false" customHeight="false" outlineLevel="0" collapsed="false">
      <c r="A48" s="3" t="s">
        <v>562</v>
      </c>
      <c r="C48" s="33" t="n">
        <f aca="false">Assumptions!$Q$63</f>
        <v>0</v>
      </c>
    </row>
    <row r="49" customFormat="false" ht="15" hidden="false" customHeight="false" outlineLevel="0" collapsed="false">
      <c r="A49" s="3" t="s">
        <v>563</v>
      </c>
      <c r="C49" s="33" t="n">
        <f aca="false">Assumptions!$Q$64</f>
        <v>0</v>
      </c>
    </row>
    <row r="50" customFormat="false" ht="15" hidden="false" customHeight="false" outlineLevel="0" collapsed="false">
      <c r="A50" s="3" t="s">
        <v>564</v>
      </c>
      <c r="C50" s="33" t="n">
        <f aca="false">Assumptions!$Q$65</f>
        <v>0</v>
      </c>
    </row>
    <row r="51" customFormat="false" ht="15" hidden="false" customHeight="false" outlineLevel="0" collapsed="false">
      <c r="A51" s="3" t="s">
        <v>565</v>
      </c>
      <c r="C51" s="33" t="n">
        <f aca="false">Assumptions!$Q$66</f>
        <v>0</v>
      </c>
    </row>
    <row r="52" customFormat="false" ht="15" hidden="false" customHeight="false" outlineLevel="0" collapsed="false">
      <c r="A52" s="24" t="s">
        <v>568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customFormat="false" ht="15" hidden="false" customHeight="false" outlineLevel="0" collapsed="false">
      <c r="A53" s="3" t="s">
        <v>556</v>
      </c>
      <c r="C53" s="16" t="n">
        <f aca="false">IF(C42&gt;0,MIN(C20,C42*$C$18),0)</f>
        <v>388</v>
      </c>
    </row>
    <row r="54" customFormat="false" ht="15" hidden="false" customHeight="false" outlineLevel="0" collapsed="false">
      <c r="A54" s="3" t="s">
        <v>557</v>
      </c>
      <c r="C54" s="16" t="n">
        <f aca="false">IF(C43&gt;0,MIN(C21,C43*$C$18),0)</f>
        <v>79.989133944159</v>
      </c>
    </row>
    <row r="55" customFormat="false" ht="15" hidden="false" customHeight="false" outlineLevel="0" collapsed="false">
      <c r="A55" s="3" t="s">
        <v>558</v>
      </c>
      <c r="C55" s="16" t="n">
        <f aca="false">IF(C44&gt;0,MIN(C22,C44*$C$18),0)</f>
        <v>50.902176146283</v>
      </c>
    </row>
    <row r="56" customFormat="false" ht="15" hidden="false" customHeight="false" outlineLevel="0" collapsed="false">
      <c r="A56" s="3" t="s">
        <v>559</v>
      </c>
      <c r="C56" s="16" t="n">
        <f aca="false">IF(C45&gt;0,MIN(C23,C45*$C$18),0)</f>
        <v>0</v>
      </c>
    </row>
    <row r="57" customFormat="false" ht="15" hidden="false" customHeight="false" outlineLevel="0" collapsed="false">
      <c r="A57" s="3" t="s">
        <v>560</v>
      </c>
      <c r="C57" s="16" t="n">
        <f aca="false">IF(C46&gt;0,MIN(C24,C46*$C$18),0)</f>
        <v>0</v>
      </c>
    </row>
    <row r="58" customFormat="false" ht="15" hidden="false" customHeight="false" outlineLevel="0" collapsed="false">
      <c r="A58" s="3" t="s">
        <v>561</v>
      </c>
      <c r="C58" s="16" t="n">
        <f aca="false">IF(C47&gt;0,MIN(C25,C47*$C$18),0)</f>
        <v>0</v>
      </c>
    </row>
    <row r="59" customFormat="false" ht="15" hidden="false" customHeight="false" outlineLevel="0" collapsed="false">
      <c r="A59" s="3" t="s">
        <v>562</v>
      </c>
      <c r="C59" s="16" t="n">
        <f aca="false">IF(C48&gt;0,MIN(C26,C48*$C$18),0)</f>
        <v>0</v>
      </c>
    </row>
    <row r="60" customFormat="false" ht="15" hidden="false" customHeight="false" outlineLevel="0" collapsed="false">
      <c r="A60" s="3" t="s">
        <v>563</v>
      </c>
      <c r="C60" s="16" t="n">
        <f aca="false">IF(C49&gt;0,MIN(C27,C49*$C$18),0)</f>
        <v>0</v>
      </c>
    </row>
    <row r="61" customFormat="false" ht="15" hidden="false" customHeight="false" outlineLevel="0" collapsed="false">
      <c r="A61" s="3" t="s">
        <v>564</v>
      </c>
      <c r="C61" s="16" t="n">
        <f aca="false">IF(C50&gt;0,MIN(C28,C50*$C$18),0)</f>
        <v>0</v>
      </c>
    </row>
    <row r="62" customFormat="false" ht="15" hidden="false" customHeight="false" outlineLevel="0" collapsed="false">
      <c r="A62" s="3" t="s">
        <v>565</v>
      </c>
      <c r="C62" s="16" t="n">
        <f aca="false">IF(C51&gt;0,MIN(C29,C51*$C$18),0)</f>
        <v>0</v>
      </c>
    </row>
    <row r="63" customFormat="false" ht="15" hidden="false" customHeight="false" outlineLevel="0" collapsed="false">
      <c r="A63" s="24" t="s">
        <v>569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customFormat="false" ht="15" hidden="false" customHeight="false" outlineLevel="0" collapsed="false">
      <c r="A64" s="3" t="s">
        <v>556</v>
      </c>
      <c r="C64" s="16" t="n">
        <f aca="false">IF(C42&gt;0,C20-C53,0)</f>
        <v>0</v>
      </c>
    </row>
    <row r="65" customFormat="false" ht="15" hidden="false" customHeight="false" outlineLevel="0" collapsed="false">
      <c r="A65" s="3" t="s">
        <v>557</v>
      </c>
      <c r="C65" s="16" t="n">
        <f aca="false">IF(C43&gt;0,C21-C54,0)</f>
        <v>10.010866055841</v>
      </c>
    </row>
    <row r="66" customFormat="false" ht="15" hidden="false" customHeight="false" outlineLevel="0" collapsed="false">
      <c r="A66" s="3" t="s">
        <v>558</v>
      </c>
      <c r="C66" s="16" t="n">
        <f aca="false">IF(C44&gt;0,C22-C55,0)</f>
        <v>6.42182385371699</v>
      </c>
    </row>
    <row r="67" customFormat="false" ht="15" hidden="false" customHeight="false" outlineLevel="0" collapsed="false">
      <c r="A67" s="3" t="s">
        <v>559</v>
      </c>
      <c r="C67" s="16" t="n">
        <f aca="false">IF(C45&gt;0,C23-C56,0)</f>
        <v>0</v>
      </c>
    </row>
    <row r="68" customFormat="false" ht="15" hidden="false" customHeight="false" outlineLevel="0" collapsed="false">
      <c r="A68" s="3" t="s">
        <v>560</v>
      </c>
      <c r="C68" s="16" t="n">
        <f aca="false">IF(C46&gt;0,C24-C57,0)</f>
        <v>0</v>
      </c>
    </row>
    <row r="69" customFormat="false" ht="15" hidden="false" customHeight="false" outlineLevel="0" collapsed="false">
      <c r="A69" s="3" t="s">
        <v>561</v>
      </c>
      <c r="C69" s="16" t="n">
        <f aca="false">IF(C47&gt;0,C25-C58,0)</f>
        <v>0</v>
      </c>
    </row>
    <row r="70" customFormat="false" ht="15" hidden="false" customHeight="false" outlineLevel="0" collapsed="false">
      <c r="A70" s="3" t="s">
        <v>562</v>
      </c>
      <c r="C70" s="16" t="n">
        <f aca="false">IF(C48&gt;0,C26-C59,0)</f>
        <v>0</v>
      </c>
    </row>
    <row r="71" customFormat="false" ht="15" hidden="false" customHeight="false" outlineLevel="0" collapsed="false">
      <c r="A71" s="3" t="s">
        <v>563</v>
      </c>
      <c r="C71" s="16" t="n">
        <f aca="false">IF(C49&gt;0,C27-C60,0)</f>
        <v>0</v>
      </c>
    </row>
    <row r="72" customFormat="false" ht="15" hidden="false" customHeight="false" outlineLevel="0" collapsed="false">
      <c r="A72" s="3" t="s">
        <v>564</v>
      </c>
      <c r="C72" s="16" t="n">
        <f aca="false">IF(C50&gt;0,C28-C61,0)</f>
        <v>0</v>
      </c>
    </row>
    <row r="73" customFormat="false" ht="15" hidden="false" customHeight="false" outlineLevel="0" collapsed="false">
      <c r="A73" s="3" t="s">
        <v>565</v>
      </c>
      <c r="C73" s="16" t="n">
        <f aca="false">IF(C51&gt;0,C29-C62,0)</f>
        <v>0</v>
      </c>
    </row>
    <row r="74" customFormat="false" ht="15" hidden="false" customHeight="false" outlineLevel="0" collapsed="false">
      <c r="A74" s="24" t="s">
        <v>570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customFormat="false" ht="15" hidden="false" customHeight="false" outlineLevel="0" collapsed="false">
      <c r="A75" s="3" t="s">
        <v>556</v>
      </c>
      <c r="C75" s="16" t="n">
        <f aca="false">IF(C42&gt;0,C64,C20)</f>
        <v>0</v>
      </c>
    </row>
    <row r="76" customFormat="false" ht="15" hidden="false" customHeight="false" outlineLevel="0" collapsed="false">
      <c r="A76" s="3" t="s">
        <v>557</v>
      </c>
      <c r="C76" s="16" t="n">
        <f aca="false">IF(C43&gt;0,C65,C21)</f>
        <v>10.010866055841</v>
      </c>
    </row>
    <row r="77" customFormat="false" ht="15" hidden="false" customHeight="false" outlineLevel="0" collapsed="false">
      <c r="A77" s="3" t="s">
        <v>558</v>
      </c>
      <c r="C77" s="16" t="n">
        <f aca="false">IF(C44&gt;0,C66,C22)</f>
        <v>6.42182385371699</v>
      </c>
    </row>
    <row r="78" customFormat="false" ht="15" hidden="false" customHeight="false" outlineLevel="0" collapsed="false">
      <c r="A78" s="3" t="s">
        <v>559</v>
      </c>
      <c r="C78" s="16" t="n">
        <f aca="false">IF(C45&gt;0,C67,C23)</f>
        <v>0</v>
      </c>
    </row>
    <row r="79" customFormat="false" ht="15" hidden="false" customHeight="false" outlineLevel="0" collapsed="false">
      <c r="A79" s="3" t="s">
        <v>560</v>
      </c>
      <c r="C79" s="16" t="n">
        <f aca="false">IF(C46&gt;0,C68,C24)</f>
        <v>401.446357881</v>
      </c>
    </row>
    <row r="80" customFormat="false" ht="15" hidden="false" customHeight="false" outlineLevel="0" collapsed="false">
      <c r="A80" s="3" t="s">
        <v>561</v>
      </c>
      <c r="C80" s="16" t="n">
        <f aca="false">IF(C47&gt;0,C69,C25)</f>
        <v>350</v>
      </c>
    </row>
    <row r="81" customFormat="false" ht="15" hidden="false" customHeight="false" outlineLevel="0" collapsed="false">
      <c r="A81" s="3" t="s">
        <v>562</v>
      </c>
      <c r="C81" s="16" t="n">
        <f aca="false">IF(C48&gt;0,C70,C26)</f>
        <v>550</v>
      </c>
    </row>
    <row r="82" customFormat="false" ht="15" hidden="false" customHeight="false" outlineLevel="0" collapsed="false">
      <c r="A82" s="3" t="s">
        <v>563</v>
      </c>
      <c r="C82" s="16" t="n">
        <f aca="false">IF(C49&gt;0,C71,C27)</f>
        <v>350</v>
      </c>
    </row>
    <row r="83" customFormat="false" ht="15" hidden="false" customHeight="false" outlineLevel="0" collapsed="false">
      <c r="A83" s="3" t="s">
        <v>564</v>
      </c>
      <c r="C83" s="16" t="n">
        <f aca="false">IF(C50&gt;0,C72,C28)</f>
        <v>300</v>
      </c>
    </row>
    <row r="84" customFormat="false" ht="15" hidden="false" customHeight="false" outlineLevel="0" collapsed="false">
      <c r="A84" s="3" t="s">
        <v>565</v>
      </c>
      <c r="C84" s="16" t="n">
        <f aca="false">IF(C51&gt;0,C73,C29)</f>
        <v>78.61</v>
      </c>
    </row>
    <row r="85" customFormat="false" ht="15" hidden="false" customHeight="false" outlineLevel="0" collapsed="false">
      <c r="A85" s="24" t="s">
        <v>571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customFormat="false" ht="15" hidden="false" customHeight="false" outlineLevel="0" collapsed="false">
      <c r="A86" s="3" t="s">
        <v>556</v>
      </c>
      <c r="C86" s="21" t="n">
        <f aca="false">IF(C42&gt;0,Assumptions!$C$17,C31)</f>
        <v>99</v>
      </c>
    </row>
    <row r="87" customFormat="false" ht="15" hidden="false" customHeight="false" outlineLevel="0" collapsed="false">
      <c r="A87" s="3" t="s">
        <v>557</v>
      </c>
      <c r="C87" s="21" t="n">
        <f aca="false">IF(C43&gt;0,Assumptions!$C$17,C32)</f>
        <v>99</v>
      </c>
    </row>
    <row r="88" customFormat="false" ht="15" hidden="false" customHeight="false" outlineLevel="0" collapsed="false">
      <c r="A88" s="3" t="s">
        <v>558</v>
      </c>
      <c r="C88" s="21" t="n">
        <f aca="false">IF(C44&gt;0,Assumptions!$C$17,C33)</f>
        <v>99</v>
      </c>
    </row>
    <row r="89" customFormat="false" ht="15" hidden="false" customHeight="false" outlineLevel="0" collapsed="false">
      <c r="A89" s="3" t="s">
        <v>559</v>
      </c>
      <c r="C89" s="21" t="n">
        <f aca="false">IF(C45&gt;0,Assumptions!$C$17,C34)</f>
        <v>2</v>
      </c>
    </row>
    <row r="90" customFormat="false" ht="15" hidden="false" customHeight="false" outlineLevel="0" collapsed="false">
      <c r="A90" s="3" t="s">
        <v>560</v>
      </c>
      <c r="C90" s="21" t="n">
        <f aca="false">IF(C46&gt;0,Assumptions!$C$17,C35)</f>
        <v>2</v>
      </c>
    </row>
    <row r="91" customFormat="false" ht="15" hidden="false" customHeight="false" outlineLevel="0" collapsed="false">
      <c r="A91" s="3" t="s">
        <v>561</v>
      </c>
      <c r="C91" s="21" t="n">
        <f aca="false">IF(C47&gt;0,Assumptions!$C$17,C36)</f>
        <v>2</v>
      </c>
    </row>
    <row r="92" customFormat="false" ht="15" hidden="false" customHeight="false" outlineLevel="0" collapsed="false">
      <c r="A92" s="3" t="s">
        <v>562</v>
      </c>
      <c r="C92" s="21" t="n">
        <f aca="false">IF(C48&gt;0,Assumptions!$C$17,C37)</f>
        <v>2</v>
      </c>
    </row>
    <row r="93" customFormat="false" ht="15" hidden="false" customHeight="false" outlineLevel="0" collapsed="false">
      <c r="A93" s="3" t="s">
        <v>563</v>
      </c>
      <c r="C93" s="21" t="n">
        <f aca="false">IF(C49&gt;0,Assumptions!$C$17,C38)</f>
        <v>2</v>
      </c>
    </row>
    <row r="94" customFormat="false" ht="15" hidden="false" customHeight="false" outlineLevel="0" collapsed="false">
      <c r="A94" s="3" t="s">
        <v>564</v>
      </c>
      <c r="C94" s="21" t="n">
        <f aca="false">IF(C50&gt;0,Assumptions!$C$17,C39)</f>
        <v>2</v>
      </c>
    </row>
    <row r="95" customFormat="false" ht="15" hidden="false" customHeight="false" outlineLevel="0" collapsed="false">
      <c r="A95" s="3" t="s">
        <v>565</v>
      </c>
      <c r="C95" s="21" t="n">
        <f aca="false">IF(C51&gt;0,Assumptions!$C$17,C40)</f>
        <v>3</v>
      </c>
    </row>
    <row r="96" customFormat="false" ht="15" hidden="false" customHeight="false" outlineLevel="0" collapsed="false">
      <c r="A96" s="24" t="s">
        <v>572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customFormat="false" ht="15" hidden="false" customHeight="false" outlineLevel="0" collapsed="false">
      <c r="A97" s="3" t="s">
        <v>556</v>
      </c>
      <c r="C97" s="16" t="n">
        <f aca="false">SUMPRODUCT(($C$86:$C$95&lt;C86)*$C$75:$C$84)</f>
        <v>2030.056357881</v>
      </c>
    </row>
    <row r="98" customFormat="false" ht="15" hidden="false" customHeight="false" outlineLevel="0" collapsed="false">
      <c r="A98" s="3" t="s">
        <v>557</v>
      </c>
      <c r="C98" s="16" t="n">
        <f aca="false">SUMPRODUCT(($C$86:$C$95&lt;C87)*$C$75:$C$84)</f>
        <v>2030.056357881</v>
      </c>
    </row>
    <row r="99" customFormat="false" ht="15" hidden="false" customHeight="false" outlineLevel="0" collapsed="false">
      <c r="A99" s="3" t="s">
        <v>558</v>
      </c>
      <c r="C99" s="16" t="n">
        <f aca="false">SUMPRODUCT(($C$86:$C$95&lt;C88)*$C$75:$C$84)</f>
        <v>2030.056357881</v>
      </c>
    </row>
    <row r="100" customFormat="false" ht="15" hidden="false" customHeight="false" outlineLevel="0" collapsed="false">
      <c r="A100" s="3" t="s">
        <v>559</v>
      </c>
      <c r="C100" s="16" t="n">
        <f aca="false">SUMPRODUCT(($C$86:$C$95&lt;C89)*$C$75:$C$84)</f>
        <v>0</v>
      </c>
    </row>
    <row r="101" customFormat="false" ht="15" hidden="false" customHeight="false" outlineLevel="0" collapsed="false">
      <c r="A101" s="3" t="s">
        <v>560</v>
      </c>
      <c r="C101" s="16" t="n">
        <f aca="false">SUMPRODUCT(($C$86:$C$95&lt;C90)*$C$75:$C$84)</f>
        <v>0</v>
      </c>
    </row>
    <row r="102" customFormat="false" ht="15" hidden="false" customHeight="false" outlineLevel="0" collapsed="false">
      <c r="A102" s="3" t="s">
        <v>561</v>
      </c>
      <c r="C102" s="16" t="n">
        <f aca="false">SUMPRODUCT(($C$86:$C$95&lt;C91)*$C$75:$C$84)</f>
        <v>0</v>
      </c>
    </row>
    <row r="103" customFormat="false" ht="15" hidden="false" customHeight="false" outlineLevel="0" collapsed="false">
      <c r="A103" s="3" t="s">
        <v>562</v>
      </c>
      <c r="C103" s="16" t="n">
        <f aca="false">SUMPRODUCT(($C$86:$C$95&lt;C92)*$C$75:$C$84)</f>
        <v>0</v>
      </c>
    </row>
    <row r="104" customFormat="false" ht="15" hidden="false" customHeight="false" outlineLevel="0" collapsed="false">
      <c r="A104" s="3" t="s">
        <v>563</v>
      </c>
      <c r="C104" s="16" t="n">
        <f aca="false">SUMPRODUCT(($C$86:$C$95&lt;C93)*$C$75:$C$84)</f>
        <v>0</v>
      </c>
    </row>
    <row r="105" customFormat="false" ht="15" hidden="false" customHeight="false" outlineLevel="0" collapsed="false">
      <c r="A105" s="3" t="s">
        <v>564</v>
      </c>
      <c r="C105" s="16" t="n">
        <f aca="false">SUMPRODUCT(($C$86:$C$95&lt;C94)*$C$75:$C$84)</f>
        <v>0</v>
      </c>
    </row>
    <row r="106" customFormat="false" ht="15" hidden="false" customHeight="false" outlineLevel="0" collapsed="false">
      <c r="A106" s="3" t="s">
        <v>565</v>
      </c>
      <c r="C106" s="16" t="n">
        <f aca="false">SUMPRODUCT(($C$86:$C$95&lt;C95)*$C$75:$C$84)</f>
        <v>1951.446357881</v>
      </c>
    </row>
    <row r="107" customFormat="false" ht="15" hidden="false" customHeight="false" outlineLevel="0" collapsed="false">
      <c r="A107" s="24" t="s">
        <v>573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customFormat="false" ht="15" hidden="false" customHeight="false" outlineLevel="0" collapsed="false">
      <c r="A108" s="3" t="s">
        <v>556</v>
      </c>
      <c r="C108" s="16" t="n">
        <f aca="false">SUMPRODUCT(($C$86:$C$95=C86)*$C$75:$C$84)</f>
        <v>16.432689909558</v>
      </c>
    </row>
    <row r="109" customFormat="false" ht="15" hidden="false" customHeight="false" outlineLevel="0" collapsed="false">
      <c r="A109" s="3" t="s">
        <v>557</v>
      </c>
      <c r="C109" s="16" t="n">
        <f aca="false">SUMPRODUCT(($C$86:$C$95=C87)*$C$75:$C$84)</f>
        <v>16.432689909558</v>
      </c>
    </row>
    <row r="110" customFormat="false" ht="15" hidden="false" customHeight="false" outlineLevel="0" collapsed="false">
      <c r="A110" s="3" t="s">
        <v>558</v>
      </c>
      <c r="C110" s="16" t="n">
        <f aca="false">SUMPRODUCT(($C$86:$C$95=C88)*$C$75:$C$84)</f>
        <v>16.432689909558</v>
      </c>
    </row>
    <row r="111" customFormat="false" ht="15" hidden="false" customHeight="false" outlineLevel="0" collapsed="false">
      <c r="A111" s="3" t="s">
        <v>559</v>
      </c>
      <c r="C111" s="16" t="n">
        <f aca="false">SUMPRODUCT(($C$86:$C$95=C89)*$C$75:$C$84)</f>
        <v>1951.446357881</v>
      </c>
    </row>
    <row r="112" customFormat="false" ht="15" hidden="false" customHeight="false" outlineLevel="0" collapsed="false">
      <c r="A112" s="3" t="s">
        <v>560</v>
      </c>
      <c r="C112" s="16" t="n">
        <f aca="false">SUMPRODUCT(($C$86:$C$95=C90)*$C$75:$C$84)</f>
        <v>1951.446357881</v>
      </c>
    </row>
    <row r="113" customFormat="false" ht="15" hidden="false" customHeight="false" outlineLevel="0" collapsed="false">
      <c r="A113" s="3" t="s">
        <v>561</v>
      </c>
      <c r="C113" s="16" t="n">
        <f aca="false">SUMPRODUCT(($C$86:$C$95=C91)*$C$75:$C$84)</f>
        <v>1951.446357881</v>
      </c>
    </row>
    <row r="114" customFormat="false" ht="15" hidden="false" customHeight="false" outlineLevel="0" collapsed="false">
      <c r="A114" s="3" t="s">
        <v>562</v>
      </c>
      <c r="C114" s="16" t="n">
        <f aca="false">SUMPRODUCT(($C$86:$C$95=C92)*$C$75:$C$84)</f>
        <v>1951.446357881</v>
      </c>
    </row>
    <row r="115" customFormat="false" ht="15" hidden="false" customHeight="false" outlineLevel="0" collapsed="false">
      <c r="A115" s="3" t="s">
        <v>563</v>
      </c>
      <c r="C115" s="16" t="n">
        <f aca="false">SUMPRODUCT(($C$86:$C$95=C93)*$C$75:$C$84)</f>
        <v>1951.446357881</v>
      </c>
    </row>
    <row r="116" customFormat="false" ht="15" hidden="false" customHeight="false" outlineLevel="0" collapsed="false">
      <c r="A116" s="3" t="s">
        <v>564</v>
      </c>
      <c r="C116" s="16" t="n">
        <f aca="false">SUMPRODUCT(($C$86:$C$95=C94)*$C$75:$C$84)</f>
        <v>1951.446357881</v>
      </c>
    </row>
    <row r="117" customFormat="false" ht="15" hidden="false" customHeight="false" outlineLevel="0" collapsed="false">
      <c r="A117" s="3" t="s">
        <v>565</v>
      </c>
      <c r="C117" s="16" t="n">
        <f aca="false">SUMPRODUCT(($C$86:$C$95=C95)*$C$75:$C$84)</f>
        <v>78.61</v>
      </c>
    </row>
    <row r="118" customFormat="false" ht="15" hidden="false" customHeight="false" outlineLevel="0" collapsed="false">
      <c r="A118" s="24" t="s">
        <v>574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customFormat="false" ht="15" hidden="false" customHeight="false" outlineLevel="0" collapsed="false">
      <c r="A119" s="3" t="s">
        <v>556</v>
      </c>
      <c r="C119" s="16" t="n">
        <f aca="false">IF(C108=0,0,C75/C108*MAX(0,MIN(C108,$C$18-SUM($C$53:$C$62)-C97)))</f>
        <v>0</v>
      </c>
    </row>
    <row r="120" customFormat="false" ht="15" hidden="false" customHeight="false" outlineLevel="0" collapsed="false">
      <c r="A120" s="3" t="s">
        <v>557</v>
      </c>
      <c r="C120" s="16" t="n">
        <f aca="false">IF(C109=0,0,C76/C109*MAX(0,MIN(C109,$C$18-SUM($C$53:$C$62)-C98)))</f>
        <v>0</v>
      </c>
    </row>
    <row r="121" customFormat="false" ht="15" hidden="false" customHeight="false" outlineLevel="0" collapsed="false">
      <c r="A121" s="3" t="s">
        <v>558</v>
      </c>
      <c r="C121" s="16" t="n">
        <f aca="false">IF(C110=0,0,C77/C110*MAX(0,MIN(C110,$C$18-SUM($C$53:$C$62)-C99)))</f>
        <v>0</v>
      </c>
    </row>
    <row r="122" customFormat="false" ht="15" hidden="false" customHeight="false" outlineLevel="0" collapsed="false">
      <c r="A122" s="3" t="s">
        <v>559</v>
      </c>
      <c r="C122" s="16" t="n">
        <f aca="false">IF(C111=0,0,C78/C111*MAX(0,MIN(C111,$C$18-SUM($C$53:$C$62)-C100)))</f>
        <v>0</v>
      </c>
    </row>
    <row r="123" customFormat="false" ht="15" hidden="false" customHeight="false" outlineLevel="0" collapsed="false">
      <c r="A123" s="3" t="s">
        <v>560</v>
      </c>
      <c r="C123" s="16" t="n">
        <f aca="false">IF(C112=0,0,C79/C112*MAX(0,MIN(C112,$C$18-SUM($C$53:$C$62)-C101)))</f>
        <v>391.896029401918</v>
      </c>
    </row>
    <row r="124" customFormat="false" ht="15" hidden="false" customHeight="false" outlineLevel="0" collapsed="false">
      <c r="A124" s="3" t="s">
        <v>561</v>
      </c>
      <c r="C124" s="16" t="n">
        <f aca="false">IF(C113=0,0,C80/C113*MAX(0,MIN(C113,$C$18-SUM($C$53:$C$62)-C102)))</f>
        <v>341.673570074661</v>
      </c>
    </row>
    <row r="125" customFormat="false" ht="15" hidden="false" customHeight="false" outlineLevel="0" collapsed="false">
      <c r="A125" s="3" t="s">
        <v>562</v>
      </c>
      <c r="C125" s="16" t="n">
        <f aca="false">IF(C114=0,0,C81/C114*MAX(0,MIN(C114,$C$18-SUM($C$53:$C$62)-C103)))</f>
        <v>536.915610117324</v>
      </c>
    </row>
    <row r="126" customFormat="false" ht="15" hidden="false" customHeight="false" outlineLevel="0" collapsed="false">
      <c r="A126" s="3" t="s">
        <v>563</v>
      </c>
      <c r="C126" s="16" t="n">
        <f aca="false">IF(C115=0,0,C82/C115*MAX(0,MIN(C115,$C$18-SUM($C$53:$C$62)-C104)))</f>
        <v>341.673570074661</v>
      </c>
    </row>
    <row r="127" customFormat="false" ht="15" hidden="false" customHeight="false" outlineLevel="0" collapsed="false">
      <c r="A127" s="3" t="s">
        <v>564</v>
      </c>
      <c r="C127" s="16" t="n">
        <f aca="false">IF(C116=0,0,C83/C116*MAX(0,MIN(C116,$C$18-SUM($C$53:$C$62)-C105)))</f>
        <v>292.863060063995</v>
      </c>
    </row>
    <row r="128" customFormat="false" ht="15" hidden="false" customHeight="false" outlineLevel="0" collapsed="false">
      <c r="A128" s="3" t="s">
        <v>565</v>
      </c>
      <c r="C128" s="16" t="n">
        <f aca="false">IF(C117=0,0,C84/C117*MAX(0,MIN(C117,$C$18-SUM($C$53:$C$62)-C106)))</f>
        <v>0</v>
      </c>
    </row>
    <row r="129" customFormat="false" ht="15" hidden="false" customHeight="false" outlineLevel="0" collapsed="false">
      <c r="A129" s="24" t="s">
        <v>575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customFormat="false" ht="15" hidden="false" customHeight="false" outlineLevel="0" collapsed="false">
      <c r="A130" s="2" t="s">
        <v>556</v>
      </c>
      <c r="C130" s="17" t="n">
        <f aca="false">C53+C119</f>
        <v>388</v>
      </c>
    </row>
    <row r="131" customFormat="false" ht="15" hidden="false" customHeight="false" outlineLevel="0" collapsed="false">
      <c r="A131" s="2" t="s">
        <v>557</v>
      </c>
      <c r="C131" s="17" t="n">
        <f aca="false">C54+C120</f>
        <v>79.989133944159</v>
      </c>
    </row>
    <row r="132" customFormat="false" ht="15" hidden="false" customHeight="false" outlineLevel="0" collapsed="false">
      <c r="A132" s="2" t="s">
        <v>558</v>
      </c>
      <c r="C132" s="17" t="n">
        <f aca="false">C55+C121</f>
        <v>50.902176146283</v>
      </c>
    </row>
    <row r="133" customFormat="false" ht="15" hidden="false" customHeight="false" outlineLevel="0" collapsed="false">
      <c r="A133" s="2" t="s">
        <v>559</v>
      </c>
      <c r="C133" s="17" t="n">
        <f aca="false">C56+C122</f>
        <v>0</v>
      </c>
    </row>
    <row r="134" customFormat="false" ht="15" hidden="false" customHeight="false" outlineLevel="0" collapsed="false">
      <c r="A134" s="2" t="s">
        <v>560</v>
      </c>
      <c r="C134" s="17" t="n">
        <f aca="false">C57+C123</f>
        <v>391.896029401918</v>
      </c>
    </row>
    <row r="135" customFormat="false" ht="15" hidden="false" customHeight="false" outlineLevel="0" collapsed="false">
      <c r="A135" s="2" t="s">
        <v>561</v>
      </c>
      <c r="C135" s="17" t="n">
        <f aca="false">C58+C124</f>
        <v>341.673570074661</v>
      </c>
    </row>
    <row r="136" customFormat="false" ht="15" hidden="false" customHeight="false" outlineLevel="0" collapsed="false">
      <c r="A136" s="2" t="s">
        <v>562</v>
      </c>
      <c r="C136" s="17" t="n">
        <f aca="false">C59+C125</f>
        <v>536.915610117324</v>
      </c>
    </row>
    <row r="137" customFormat="false" ht="15" hidden="false" customHeight="false" outlineLevel="0" collapsed="false">
      <c r="A137" s="2" t="s">
        <v>563</v>
      </c>
      <c r="C137" s="17" t="n">
        <f aca="false">C60+C126</f>
        <v>341.673570074661</v>
      </c>
    </row>
    <row r="138" customFormat="false" ht="15" hidden="false" customHeight="false" outlineLevel="0" collapsed="false">
      <c r="A138" s="2" t="s">
        <v>564</v>
      </c>
      <c r="C138" s="17" t="n">
        <f aca="false">C61+C127</f>
        <v>292.863060063995</v>
      </c>
    </row>
    <row r="139" customFormat="false" ht="15" hidden="false" customHeight="false" outlineLevel="0" collapsed="false">
      <c r="A139" s="2" t="s">
        <v>565</v>
      </c>
      <c r="C139" s="17" t="n">
        <f aca="false">C62+C128</f>
        <v>0</v>
      </c>
    </row>
    <row r="140" customFormat="false" ht="15" hidden="false" customHeight="false" outlineLevel="0" collapsed="false">
      <c r="A140" s="24" t="s">
        <v>576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customFormat="false" ht="15" hidden="false" customHeight="false" outlineLevel="0" collapsed="false">
      <c r="A141" s="3" t="s">
        <v>556</v>
      </c>
      <c r="C141" s="22" t="n">
        <f aca="false">IF(C20=0,1,C130/C20)</f>
        <v>1</v>
      </c>
    </row>
    <row r="142" customFormat="false" ht="15" hidden="false" customHeight="false" outlineLevel="0" collapsed="false">
      <c r="A142" s="3" t="s">
        <v>557</v>
      </c>
      <c r="C142" s="22" t="n">
        <f aca="false">IF(C21=0,1,C131/C21)</f>
        <v>0.8887681549351</v>
      </c>
    </row>
    <row r="143" customFormat="false" ht="15" hidden="false" customHeight="false" outlineLevel="0" collapsed="false">
      <c r="A143" s="3" t="s">
        <v>558</v>
      </c>
      <c r="C143" s="22" t="n">
        <f aca="false">IF(C22=0,1,C132/C22)</f>
        <v>0.887973207492202</v>
      </c>
    </row>
    <row r="144" customFormat="false" ht="15" hidden="false" customHeight="false" outlineLevel="0" collapsed="false">
      <c r="A144" s="3" t="s">
        <v>559</v>
      </c>
      <c r="C144" s="22" t="n">
        <f aca="false">IF(C23=0,1,C133/C23)</f>
        <v>1</v>
      </c>
    </row>
    <row r="145" customFormat="false" ht="15" hidden="false" customHeight="false" outlineLevel="0" collapsed="false">
      <c r="A145" s="3" t="s">
        <v>560</v>
      </c>
      <c r="C145" s="22" t="n">
        <f aca="false">IF(C24=0,1,C134/C24)</f>
        <v>0.976210200213317</v>
      </c>
    </row>
    <row r="146" customFormat="false" ht="15" hidden="false" customHeight="false" outlineLevel="0" collapsed="false">
      <c r="A146" s="3" t="s">
        <v>561</v>
      </c>
      <c r="C146" s="22" t="n">
        <f aca="false">IF(C25=0,1,C135/C25)</f>
        <v>0.976210200213316</v>
      </c>
    </row>
    <row r="147" customFormat="false" ht="15" hidden="false" customHeight="false" outlineLevel="0" collapsed="false">
      <c r="A147" s="3" t="s">
        <v>562</v>
      </c>
      <c r="C147" s="22" t="n">
        <f aca="false">IF(C26=0,1,C136/C26)</f>
        <v>0.976210200213317</v>
      </c>
    </row>
    <row r="148" customFormat="false" ht="15" hidden="false" customHeight="false" outlineLevel="0" collapsed="false">
      <c r="A148" s="3" t="s">
        <v>563</v>
      </c>
      <c r="C148" s="22" t="n">
        <f aca="false">IF(C27=0,1,C137/C27)</f>
        <v>0.976210200213316</v>
      </c>
    </row>
    <row r="149" customFormat="false" ht="15" hidden="false" customHeight="false" outlineLevel="0" collapsed="false">
      <c r="A149" s="3" t="s">
        <v>564</v>
      </c>
      <c r="C149" s="22" t="n">
        <f aca="false">IF(C28=0,1,C138/C28)</f>
        <v>0.976210200213317</v>
      </c>
    </row>
    <row r="150" customFormat="false" ht="15" hidden="false" customHeight="false" outlineLevel="0" collapsed="false">
      <c r="A150" s="3" t="s">
        <v>565</v>
      </c>
      <c r="C150" s="22" t="n">
        <f aca="false">IF(C29=0,1,C139/C29)</f>
        <v>0</v>
      </c>
    </row>
    <row r="151" customFormat="false" ht="15" hidden="false" customHeight="false" outlineLevel="0" collapsed="false">
      <c r="A151" s="24" t="s">
        <v>577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customFormat="false" ht="15" hidden="false" customHeight="false" outlineLevel="0" collapsed="false">
      <c r="A152" s="3" t="s">
        <v>556</v>
      </c>
      <c r="C152" s="16" t="n">
        <f aca="false">C20-C130</f>
        <v>0</v>
      </c>
    </row>
    <row r="153" customFormat="false" ht="15" hidden="false" customHeight="false" outlineLevel="0" collapsed="false">
      <c r="A153" s="3" t="s">
        <v>557</v>
      </c>
      <c r="C153" s="16" t="n">
        <f aca="false">C21-C131</f>
        <v>10.010866055841</v>
      </c>
    </row>
    <row r="154" customFormat="false" ht="15" hidden="false" customHeight="false" outlineLevel="0" collapsed="false">
      <c r="A154" s="3" t="s">
        <v>558</v>
      </c>
      <c r="C154" s="16" t="n">
        <f aca="false">C22-C132</f>
        <v>6.42182385371699</v>
      </c>
    </row>
    <row r="155" customFormat="false" ht="15" hidden="false" customHeight="false" outlineLevel="0" collapsed="false">
      <c r="A155" s="3" t="s">
        <v>559</v>
      </c>
      <c r="C155" s="16" t="n">
        <f aca="false">C23-C133</f>
        <v>0</v>
      </c>
    </row>
    <row r="156" customFormat="false" ht="15" hidden="false" customHeight="false" outlineLevel="0" collapsed="false">
      <c r="A156" s="3" t="s">
        <v>560</v>
      </c>
      <c r="C156" s="16" t="n">
        <f aca="false">C24-C134</f>
        <v>9.55032847908228</v>
      </c>
    </row>
    <row r="157" customFormat="false" ht="15" hidden="false" customHeight="false" outlineLevel="0" collapsed="false">
      <c r="A157" s="3" t="s">
        <v>561</v>
      </c>
      <c r="C157" s="16" t="n">
        <f aca="false">C25-C135</f>
        <v>8.32642992533926</v>
      </c>
    </row>
    <row r="158" customFormat="false" ht="15" hidden="false" customHeight="false" outlineLevel="0" collapsed="false">
      <c r="A158" s="3" t="s">
        <v>562</v>
      </c>
      <c r="C158" s="16" t="n">
        <f aca="false">C26-C136</f>
        <v>13.0843898826759</v>
      </c>
    </row>
    <row r="159" customFormat="false" ht="15" hidden="false" customHeight="false" outlineLevel="0" collapsed="false">
      <c r="A159" s="3" t="s">
        <v>563</v>
      </c>
      <c r="C159" s="16" t="n">
        <f aca="false">C27-C137</f>
        <v>8.32642992533926</v>
      </c>
    </row>
    <row r="160" customFormat="false" ht="15" hidden="false" customHeight="false" outlineLevel="0" collapsed="false">
      <c r="A160" s="3" t="s">
        <v>564</v>
      </c>
      <c r="C160" s="16" t="n">
        <f aca="false">C28-C138</f>
        <v>7.13693993600504</v>
      </c>
    </row>
    <row r="161" customFormat="false" ht="15" hidden="false" customHeight="false" outlineLevel="0" collapsed="false">
      <c r="A161" s="3" t="s">
        <v>565</v>
      </c>
      <c r="C161" s="16" t="n">
        <f aca="false">C29-C139</f>
        <v>78.61</v>
      </c>
    </row>
    <row r="162" customFormat="false" ht="15" hidden="false" customHeight="false" outlineLevel="0" collapsed="false">
      <c r="A162" s="24" t="s">
        <v>578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customFormat="false" ht="15" hidden="false" customHeight="false" outlineLevel="0" collapsed="false">
      <c r="A163" s="3" t="s">
        <v>556</v>
      </c>
      <c r="C163" s="22" t="n">
        <f aca="false">IF(C20=0,0,C152/C20)</f>
        <v>0</v>
      </c>
    </row>
    <row r="164" customFormat="false" ht="15" hidden="false" customHeight="false" outlineLevel="0" collapsed="false">
      <c r="A164" s="3" t="s">
        <v>557</v>
      </c>
      <c r="C164" s="22" t="n">
        <f aca="false">IF(C21=0,0,C153/C21)</f>
        <v>0.1112318450649</v>
      </c>
    </row>
    <row r="165" customFormat="false" ht="15" hidden="false" customHeight="false" outlineLevel="0" collapsed="false">
      <c r="A165" s="3" t="s">
        <v>558</v>
      </c>
      <c r="C165" s="22" t="n">
        <f aca="false">IF(C22=0,0,C154/C22)</f>
        <v>0.112026792507798</v>
      </c>
    </row>
    <row r="166" customFormat="false" ht="15" hidden="false" customHeight="false" outlineLevel="0" collapsed="false">
      <c r="A166" s="3" t="s">
        <v>559</v>
      </c>
      <c r="C166" s="22" t="n">
        <f aca="false">IF(C23=0,0,C155/C23)</f>
        <v>0</v>
      </c>
    </row>
    <row r="167" customFormat="false" ht="15" hidden="false" customHeight="false" outlineLevel="0" collapsed="false">
      <c r="A167" s="3" t="s">
        <v>560</v>
      </c>
      <c r="C167" s="22" t="n">
        <f aca="false">IF(C24=0,0,C156/C24)</f>
        <v>0.0237897997866835</v>
      </c>
    </row>
    <row r="168" customFormat="false" ht="15" hidden="false" customHeight="false" outlineLevel="0" collapsed="false">
      <c r="A168" s="3" t="s">
        <v>561</v>
      </c>
      <c r="C168" s="22" t="n">
        <f aca="false">IF(C25=0,0,C157/C25)</f>
        <v>0.0237897997866836</v>
      </c>
    </row>
    <row r="169" customFormat="false" ht="15" hidden="false" customHeight="false" outlineLevel="0" collapsed="false">
      <c r="A169" s="3" t="s">
        <v>562</v>
      </c>
      <c r="C169" s="22" t="n">
        <f aca="false">IF(C26=0,0,C158/C26)</f>
        <v>0.0237897997866834</v>
      </c>
    </row>
    <row r="170" customFormat="false" ht="15" hidden="false" customHeight="false" outlineLevel="0" collapsed="false">
      <c r="A170" s="3" t="s">
        <v>563</v>
      </c>
      <c r="C170" s="22" t="n">
        <f aca="false">IF(C27=0,0,C159/C27)</f>
        <v>0.0237897997866836</v>
      </c>
    </row>
    <row r="171" customFormat="false" ht="15" hidden="false" customHeight="false" outlineLevel="0" collapsed="false">
      <c r="A171" s="3" t="s">
        <v>564</v>
      </c>
      <c r="C171" s="22" t="n">
        <f aca="false">IF(C28=0,0,C160/C28)</f>
        <v>0.0237897997866835</v>
      </c>
    </row>
    <row r="172" customFormat="false" ht="15" hidden="false" customHeight="false" outlineLevel="0" collapsed="false">
      <c r="A172" s="3" t="s">
        <v>565</v>
      </c>
      <c r="C172" s="22" t="n">
        <f aca="false">IF(C29=0,0,C161/C29)</f>
        <v>1</v>
      </c>
    </row>
    <row r="173" customFormat="false" ht="15" hidden="false" customHeight="false" outlineLevel="0" collapsed="false">
      <c r="A173" s="2" t="s">
        <v>579</v>
      </c>
      <c r="C173" s="17" t="n">
        <f aca="false">MAX(0,$C$18-SUM($C$53:$C$62)-SUM($C$75:$C$84))</f>
        <v>0</v>
      </c>
    </row>
    <row r="174" customFormat="false" ht="15" hidden="false" customHeight="false" outlineLevel="0" collapsed="false">
      <c r="A174" s="3" t="s">
        <v>597</v>
      </c>
      <c r="C174" s="35" t="n">
        <f aca="false">MIN(C17,100*CHOOSE(C7,C141,C142,C143,C144,C145,C146,C147,C148,C149,C150))</f>
        <v>95</v>
      </c>
    </row>
    <row r="175" customFormat="false" ht="15" hidden="false" customHeight="false" outlineLevel="0" collapsed="false">
      <c r="A175" s="3" t="s">
        <v>598</v>
      </c>
      <c r="C175" s="21" t="n">
        <f aca="false">IF(Recovery!C8=1,C12+Assumptions!$C$40,C11)</f>
        <v>3</v>
      </c>
    </row>
    <row r="176" customFormat="false" ht="15" hidden="false" customHeight="false" outlineLevel="0" collapsed="false">
      <c r="A176" s="24" t="s">
        <v>599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customFormat="false" ht="15" hidden="false" customHeight="false" outlineLevel="0" collapsed="false">
      <c r="A177" s="3" t="s">
        <v>600</v>
      </c>
      <c r="C177" s="21" t="n">
        <f aca="false">COLUMN()-COLUMN($C$1)</f>
        <v>0</v>
      </c>
      <c r="D177" s="21" t="n">
        <f aca="false">COLUMN()-COLUMN($C$1)</f>
        <v>1</v>
      </c>
      <c r="E177" s="21" t="n">
        <f aca="false">COLUMN()-COLUMN($C$1)</f>
        <v>2</v>
      </c>
      <c r="F177" s="21" t="n">
        <f aca="false">COLUMN()-COLUMN($C$1)</f>
        <v>3</v>
      </c>
      <c r="G177" s="21" t="n">
        <f aca="false">COLUMN()-COLUMN($C$1)</f>
        <v>4</v>
      </c>
      <c r="H177" s="21" t="n">
        <f aca="false">COLUMN()-COLUMN($C$1)</f>
        <v>5</v>
      </c>
      <c r="I177" s="21" t="n">
        <f aca="false">COLUMN()-COLUMN($C$1)</f>
        <v>6</v>
      </c>
    </row>
    <row r="178" customFormat="false" ht="15" hidden="false" customHeight="false" outlineLevel="0" collapsed="false">
      <c r="A178" s="3" t="s">
        <v>601</v>
      </c>
      <c r="D178" s="31" t="n">
        <f aca="false">CHOOSE($C$7,'Debt Schedule'!G20,'Debt Schedule'!G33,'Debt Schedule'!G46,'Debt Schedule'!G59,'Debt Schedule'!G72,'Debt Schedule'!G85,'Debt Schedule'!G98,'Debt Schedule'!G111,'Debt Schedule'!G124,'Debt Schedule'!G137)</f>
        <v>0.1065</v>
      </c>
      <c r="E178" s="31" t="n">
        <f aca="false">CHOOSE($C$7,'Debt Schedule'!H20,'Debt Schedule'!H33,'Debt Schedule'!H46,'Debt Schedule'!H59,'Debt Schedule'!H72,'Debt Schedule'!H85,'Debt Schedule'!H98,'Debt Schedule'!H111,'Debt Schedule'!H124,'Debt Schedule'!H137)</f>
        <v>0.105</v>
      </c>
      <c r="F178" s="31" t="n">
        <f aca="false">CHOOSE($C$7,'Debt Schedule'!I20,'Debt Schedule'!I33,'Debt Schedule'!I46,'Debt Schedule'!I59,'Debt Schedule'!I72,'Debt Schedule'!I85,'Debt Schedule'!I98,'Debt Schedule'!I111,'Debt Schedule'!I124,'Debt Schedule'!I137)</f>
        <v>0.1025</v>
      </c>
      <c r="G178" s="31" t="n">
        <f aca="false">CHOOSE($C$7,'Debt Schedule'!J20,'Debt Schedule'!J33,'Debt Schedule'!J46,'Debt Schedule'!J59,'Debt Schedule'!J72,'Debt Schedule'!J85,'Debt Schedule'!J98,'Debt Schedule'!J111,'Debt Schedule'!J124,'Debt Schedule'!J137)</f>
        <v>0.1025</v>
      </c>
      <c r="H178" s="31" t="n">
        <f aca="false">CHOOSE($C$7,'Debt Schedule'!K20,'Debt Schedule'!K33,'Debt Schedule'!K46,'Debt Schedule'!K59,'Debt Schedule'!K72,'Debt Schedule'!K85,'Debt Schedule'!K98,'Debt Schedule'!K111,'Debt Schedule'!K124,'Debt Schedule'!K137)</f>
        <v>0.1025</v>
      </c>
    </row>
    <row r="179" customFormat="false" ht="15" hidden="false" customHeight="false" outlineLevel="0" collapsed="false">
      <c r="A179" s="3" t="s">
        <v>602</v>
      </c>
      <c r="D179" s="16" t="n">
        <f aca="false">IF(D177&lt;=$C$16,$C$8*D178,0)</f>
        <v>10.65</v>
      </c>
      <c r="E179" s="16" t="n">
        <f aca="false">IF(E177&lt;=$C$16,$C$8*E178,0)</f>
        <v>10.5</v>
      </c>
      <c r="F179" s="16" t="n">
        <f aca="false">IF(F177&lt;=$C$16,$C$8*F178,0)</f>
        <v>0</v>
      </c>
      <c r="G179" s="16" t="n">
        <f aca="false">IF(G177&lt;=$C$16,$C$8*G178,0)</f>
        <v>0</v>
      </c>
      <c r="H179" s="16" t="n">
        <f aca="false">IF(H177&lt;=$C$16,$C$8*H178,0)</f>
        <v>0</v>
      </c>
    </row>
    <row r="180" customFormat="false" ht="15" hidden="false" customHeight="false" outlineLevel="0" collapsed="false">
      <c r="A180" s="3" t="s">
        <v>603</v>
      </c>
      <c r="D180" s="16" t="n">
        <f aca="false">IF(AND(Recovery!$C$8=0,D177=$C$11),$C$8*$C$174/100,0)+IF(AND(Recovery!$C$8=1,D177=$C$175),$C$14,0)</f>
        <v>0</v>
      </c>
      <c r="E180" s="16" t="n">
        <f aca="false">IF(AND(Recovery!$C$8=0,E177=$C$11),$C$8*$C$174/100,0)+IF(AND(Recovery!$C$8=1,E177=$C$175),$C$14,0)</f>
        <v>0</v>
      </c>
      <c r="F180" s="16" t="n">
        <f aca="false">IF(AND(Recovery!$C$8=0,F177=$C$11),$C$8*$C$174/100,0)+IF(AND(Recovery!$C$8=1,F177=$C$175),$C$14,0)</f>
        <v>102.625</v>
      </c>
      <c r="G180" s="16" t="n">
        <f aca="false">IF(AND(Recovery!$C$8=0,G177=$C$11),$C$8*$C$174/100,0)+IF(AND(Recovery!$C$8=1,G177=$C$175),$C$14,0)</f>
        <v>0</v>
      </c>
      <c r="H180" s="16" t="n">
        <f aca="false">IF(AND(Recovery!$C$8=0,H177=$C$11),$C$8*$C$174/100,0)+IF(AND(Recovery!$C$8=1,H177=$C$175),$C$14,0)</f>
        <v>0</v>
      </c>
      <c r="I180" s="16" t="n">
        <f aca="false">IF(AND(Recovery!$C$8=0,I177=$C$11),$C$8*$C$174/100,0)+IF(AND(Recovery!$C$8=1,I177=$C$175),$C$14,0)</f>
        <v>0</v>
      </c>
    </row>
    <row r="181" customFormat="false" ht="15" hidden="false" customHeight="false" outlineLevel="0" collapsed="false">
      <c r="A181" s="2" t="s">
        <v>604</v>
      </c>
      <c r="C181" s="17" t="n">
        <f aca="false">-$C$10</f>
        <v>-98.49</v>
      </c>
      <c r="D181" s="17" t="n">
        <f aca="false">D179+D180</f>
        <v>10.65</v>
      </c>
      <c r="E181" s="17" t="n">
        <f aca="false">E179+E180</f>
        <v>10.5</v>
      </c>
      <c r="F181" s="17" t="n">
        <f aca="false">F179+F180</f>
        <v>102.625</v>
      </c>
      <c r="G181" s="17" t="n">
        <f aca="false">G179+G180</f>
        <v>0</v>
      </c>
      <c r="H181" s="17" t="n">
        <f aca="false">H179+H180</f>
        <v>0</v>
      </c>
      <c r="I181" s="17" t="n">
        <f aca="false">I179+I180</f>
        <v>0</v>
      </c>
    </row>
    <row r="182" customFormat="false" ht="15" hidden="false" customHeight="false" outlineLevel="0" collapsed="false">
      <c r="A182" s="3" t="s">
        <v>605</v>
      </c>
      <c r="C182" s="16" t="n">
        <f aca="false">SUM($C$179:$I$179)</f>
        <v>21.15</v>
      </c>
    </row>
    <row r="183" customFormat="false" ht="15" hidden="false" customHeight="false" outlineLevel="0" collapsed="false">
      <c r="A183" s="3" t="s">
        <v>606</v>
      </c>
      <c r="C183" s="16" t="n">
        <f aca="false">SUM($C$180:$I$180)</f>
        <v>102.625</v>
      </c>
    </row>
    <row r="184" customFormat="false" ht="15" hidden="false" customHeight="false" outlineLevel="0" collapsed="false">
      <c r="A184" s="3" t="s">
        <v>607</v>
      </c>
      <c r="C184" s="16" t="n">
        <f aca="false">C182+C183</f>
        <v>123.775</v>
      </c>
    </row>
    <row r="185" customFormat="false" ht="15" hidden="false" customHeight="false" outlineLevel="0" collapsed="false">
      <c r="A185" s="3" t="s">
        <v>608</v>
      </c>
      <c r="C185" s="16" t="n">
        <f aca="false">C183-C8*C9/100</f>
        <v>4.62500000000001</v>
      </c>
    </row>
    <row r="186" customFormat="false" ht="15" hidden="false" customHeight="false" outlineLevel="0" collapsed="false">
      <c r="A186" s="3" t="s">
        <v>609</v>
      </c>
      <c r="C186" s="16" t="n">
        <f aca="false">C184-C10</f>
        <v>25.285</v>
      </c>
    </row>
    <row r="187" customFormat="false" ht="15" hidden="false" customHeight="false" outlineLevel="0" collapsed="false">
      <c r="A187" s="2" t="s">
        <v>484</v>
      </c>
      <c r="C187" s="44" t="n">
        <f aca="false">C184/C10</f>
        <v>1.25672657122551</v>
      </c>
    </row>
    <row r="188" customFormat="false" ht="15" hidden="false" customHeight="false" outlineLevel="0" collapsed="false">
      <c r="A188" s="2" t="s">
        <v>483</v>
      </c>
      <c r="C188" s="42" t="n">
        <f aca="false">IF(C184&lt;=0,-1,IFERROR(IRR($C$181:$I$181,MAX(-0.9,C187^(1/C175)-1)),IRR($C$181:$I$181,0.1)))</f>
        <v>0.0873962489027792</v>
      </c>
    </row>
    <row r="189" customFormat="false" ht="15" hidden="false" customHeight="false" outlineLevel="0" collapsed="false">
      <c r="A189" s="3" t="s">
        <v>610</v>
      </c>
      <c r="C189" s="32" t="n">
        <f aca="false">MAX('Credit Metrics'!$G$11:$K$11)</f>
        <v>12.0232607366907</v>
      </c>
    </row>
    <row r="190" customFormat="false" ht="15" hidden="false" customHeight="false" outlineLevel="0" collapsed="false">
      <c r="A190" s="3" t="s">
        <v>611</v>
      </c>
      <c r="C190" s="32" t="n">
        <f aca="false">MIN('Credit Metrics'!$G$12:$K$12)</f>
        <v>1.18311222526984</v>
      </c>
    </row>
    <row r="191" customFormat="false" ht="15" hidden="false" customHeight="false" outlineLevel="0" collapsed="false">
      <c r="A191" s="3" t="s">
        <v>612</v>
      </c>
      <c r="C191" s="16" t="n">
        <f aca="false">SUM('Operating Model'!$G$30:$K$30)</f>
        <v>-320.308045372933</v>
      </c>
    </row>
    <row r="193" customFormat="false" ht="15" hidden="false" customHeight="false" outlineLevel="0" collapsed="false">
      <c r="A193" s="9" t="s">
        <v>613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customFormat="false" ht="15" hidden="false" customHeight="false" outlineLevel="0" collapsed="false">
      <c r="A194" s="3" t="s">
        <v>614</v>
      </c>
      <c r="C194" s="22" t="n">
        <f aca="false">CHOOSE(Returns!C7,'Debt Schedule'!G20,'Debt Schedule'!G33,'Debt Schedule'!G46,'Debt Schedule'!G59,'Debt Schedule'!G72,'Debt Schedule'!G85,'Debt Schedule'!G98,'Debt Schedule'!G111,'Debt Schedule'!G124,'Debt Schedule'!G137)/(Assumptions!$C$36/100)</f>
        <v>0.108673469387755</v>
      </c>
    </row>
    <row r="195" customFormat="false" ht="15" hidden="false" customHeight="false" outlineLevel="0" collapsed="false">
      <c r="A195" s="3" t="s">
        <v>615</v>
      </c>
      <c r="C195" s="22" t="n">
        <f aca="false">IFERROR(RATE(YEARFRAC(Assumptions!$C$8,CHOOSE(Returns!C7,Assumptions!$J$57,Assumptions!$J$58,Assumptions!$J$59,Assumptions!$J$60,Assumptions!$J$61,Assumptions!$J$62,Assumptions!$J$63,Assumptions!$J$64,Assumptions!$J$65,Assumptions!$J$66)),CHOOSE(Returns!C7,'Debt Schedule'!G20,'Debt Schedule'!G33,'Debt Schedule'!G46,'Debt Schedule'!G59,'Debt Schedule'!G72,'Debt Schedule'!G85,'Debt Schedule'!G98,'Debt Schedule'!G111,'Debt Schedule'!G124,'Debt Schedule'!G137)*100,-Assumptions!$C$36,100),0)</f>
        <v>0.111937809902908</v>
      </c>
    </row>
    <row r="196" customFormat="false" ht="15" hidden="false" customHeight="false" outlineLevel="0" collapsed="false">
      <c r="A196" s="3" t="s">
        <v>616</v>
      </c>
      <c r="C196" s="45" t="n">
        <f aca="false">Assumptions!$C$8</f>
        <v>46203</v>
      </c>
      <c r="D196" s="46" t="n">
        <f aca="false">EDATE(C196,12)</f>
        <v>46568</v>
      </c>
      <c r="E196" s="46" t="n">
        <f aca="false">EDATE(D196,12)</f>
        <v>46934</v>
      </c>
      <c r="F196" s="46" t="n">
        <f aca="false">EDATE(E196,12)</f>
        <v>47299</v>
      </c>
      <c r="G196" s="46" t="n">
        <f aca="false">EDATE(F196,12)</f>
        <v>47664</v>
      </c>
      <c r="H196" s="46" t="n">
        <f aca="false">EDATE(G196,12)</f>
        <v>48029</v>
      </c>
      <c r="I196" s="46" t="n">
        <f aca="false">EDATE(H196,12)</f>
        <v>48395</v>
      </c>
    </row>
    <row r="197" customFormat="false" ht="15" hidden="false" customHeight="false" outlineLevel="0" collapsed="false">
      <c r="A197" s="3" t="s">
        <v>617</v>
      </c>
      <c r="C197" s="22" t="n">
        <f aca="false">IFERROR(XIRR(C181:I181,C196:I196),0)</f>
        <v>0.0873134082507556</v>
      </c>
    </row>
    <row r="199" customFormat="false" ht="15" hidden="false" customHeight="false" outlineLevel="0" collapsed="false">
      <c r="A199" s="9" t="s">
        <v>618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customFormat="false" ht="15" hidden="false" customHeight="false" outlineLevel="0" collapsed="false">
      <c r="A200" s="7"/>
      <c r="B200" s="7"/>
      <c r="C200" s="7" t="s">
        <v>179</v>
      </c>
      <c r="D200" s="7" t="s">
        <v>200</v>
      </c>
      <c r="E200" s="7" t="s">
        <v>201</v>
      </c>
    </row>
    <row r="201" customFormat="false" ht="15" hidden="false" customHeight="false" outlineLevel="0" collapsed="false">
      <c r="A201" s="3" t="s">
        <v>619</v>
      </c>
      <c r="C201" s="27" t="n">
        <f aca="false">'Calc Engine'!C304</f>
        <v>0</v>
      </c>
      <c r="D201" s="27" t="n">
        <f aca="false">'Calc Engine'!C959</f>
        <v>1</v>
      </c>
      <c r="E201" s="27" t="n">
        <f aca="false">'Calc Engine'!C1614</f>
        <v>1</v>
      </c>
    </row>
    <row r="202" customFormat="false" ht="15" hidden="false" customHeight="false" outlineLevel="0" collapsed="false">
      <c r="A202" s="3" t="s">
        <v>620</v>
      </c>
      <c r="C202" s="29" t="n">
        <f aca="false">'Calc Engine'!C475</f>
        <v>98.49</v>
      </c>
      <c r="D202" s="29" t="n">
        <f aca="false">'Calc Engine'!C1130</f>
        <v>98.49</v>
      </c>
      <c r="E202" s="29" t="n">
        <f aca="false">'Calc Engine'!C1785</f>
        <v>98.49</v>
      </c>
    </row>
    <row r="203" customFormat="false" ht="15" hidden="false" customHeight="false" outlineLevel="0" collapsed="false">
      <c r="A203" s="3" t="s">
        <v>602</v>
      </c>
      <c r="C203" s="29" t="n">
        <f aca="false">'Calc Engine'!C647</f>
        <v>26.9</v>
      </c>
      <c r="D203" s="29" t="n">
        <f aca="false">'Calc Engine'!C1302</f>
        <v>21.15</v>
      </c>
      <c r="E203" s="29" t="n">
        <f aca="false">'Calc Engine'!C1957</f>
        <v>24.15</v>
      </c>
    </row>
    <row r="204" customFormat="false" ht="15" hidden="false" customHeight="false" outlineLevel="0" collapsed="false">
      <c r="A204" s="3" t="s">
        <v>621</v>
      </c>
      <c r="C204" s="29" t="n">
        <f aca="false">'Calc Engine'!C648</f>
        <v>100</v>
      </c>
      <c r="D204" s="29" t="n">
        <f aca="false">'Calc Engine'!C1303</f>
        <v>102.625</v>
      </c>
      <c r="E204" s="29" t="n">
        <f aca="false">'Calc Engine'!C1958</f>
        <v>103</v>
      </c>
    </row>
    <row r="205" customFormat="false" ht="15" hidden="false" customHeight="false" outlineLevel="0" collapsed="false">
      <c r="A205" s="3" t="s">
        <v>622</v>
      </c>
      <c r="C205" s="29" t="n">
        <f aca="false">'Calc Engine'!C650</f>
        <v>2</v>
      </c>
      <c r="D205" s="29" t="n">
        <f aca="false">'Calc Engine'!C1305</f>
        <v>4.62500000000001</v>
      </c>
      <c r="E205" s="29" t="n">
        <f aca="false">'Calc Engine'!C1960</f>
        <v>5</v>
      </c>
    </row>
    <row r="206" customFormat="false" ht="15" hidden="false" customHeight="false" outlineLevel="0" collapsed="false">
      <c r="A206" s="3" t="s">
        <v>607</v>
      </c>
      <c r="C206" s="29" t="n">
        <f aca="false">'Calc Engine'!C649</f>
        <v>126.9</v>
      </c>
      <c r="D206" s="29" t="n">
        <f aca="false">'Calc Engine'!C1304</f>
        <v>123.775</v>
      </c>
      <c r="E206" s="29" t="n">
        <f aca="false">'Calc Engine'!C1959</f>
        <v>127.15</v>
      </c>
    </row>
    <row r="207" customFormat="false" ht="15" hidden="false" customHeight="false" outlineLevel="0" collapsed="false">
      <c r="A207" s="3" t="s">
        <v>623</v>
      </c>
      <c r="C207" s="33" t="n">
        <f aca="false">'Calc Engine'!C480</f>
        <v>1</v>
      </c>
      <c r="D207" s="33" t="n">
        <f aca="false">'Calc Engine'!C1135</f>
        <v>1</v>
      </c>
      <c r="E207" s="33" t="n">
        <f aca="false">'Calc Engine'!C1790</f>
        <v>1</v>
      </c>
    </row>
    <row r="208" customFormat="false" ht="15" hidden="false" customHeight="false" outlineLevel="0" collapsed="false">
      <c r="A208" s="3" t="s">
        <v>609</v>
      </c>
      <c r="C208" s="29" t="n">
        <f aca="false">'Calc Engine'!C651</f>
        <v>28.41</v>
      </c>
      <c r="D208" s="29" t="n">
        <f aca="false">'Calc Engine'!C1306</f>
        <v>25.285</v>
      </c>
      <c r="E208" s="29" t="n">
        <f aca="false">'Calc Engine'!C1961</f>
        <v>28.66</v>
      </c>
    </row>
    <row r="209" customFormat="false" ht="15" hidden="false" customHeight="false" outlineLevel="0" collapsed="false">
      <c r="A209" s="3" t="s">
        <v>484</v>
      </c>
      <c r="C209" s="34" t="n">
        <f aca="false">'Calc Engine'!C652</f>
        <v>1.28845568077977</v>
      </c>
      <c r="D209" s="34" t="n">
        <f aca="false">'Calc Engine'!C1307</f>
        <v>1.25672657122551</v>
      </c>
      <c r="E209" s="34" t="n">
        <f aca="false">'Calc Engine'!C1962</f>
        <v>1.29099400954412</v>
      </c>
    </row>
    <row r="210" customFormat="false" ht="15" hidden="false" customHeight="false" outlineLevel="0" collapsed="false">
      <c r="A210" s="3" t="s">
        <v>483</v>
      </c>
      <c r="C210" s="33" t="n">
        <f aca="false">'Calc Engine'!C653</f>
        <v>0.0958152816969216</v>
      </c>
      <c r="D210" s="33" t="n">
        <f aca="false">'Calc Engine'!C1308</f>
        <v>0.0873962489027792</v>
      </c>
      <c r="E210" s="33" t="n">
        <f aca="false">'Calc Engine'!C1963</f>
        <v>0.0994077590660149</v>
      </c>
    </row>
    <row r="212" customFormat="false" ht="15" hidden="false" customHeight="false" outlineLevel="0" collapsed="false">
      <c r="A212" s="9" t="s">
        <v>624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customFormat="false" ht="15" hidden="false" customHeight="false" outlineLevel="0" collapsed="false">
      <c r="A213" s="3" t="s">
        <v>625</v>
      </c>
    </row>
    <row r="214" customFormat="false" ht="15" hidden="false" customHeight="false" outlineLevel="0" collapsed="false">
      <c r="A214" s="3" t="s">
        <v>626</v>
      </c>
      <c r="C214" s="21" t="n">
        <f aca="false">(COLUMNS($C$1:$AA$1)-1)/(COLUMNS($C$1:$I$1)-1)</f>
        <v>4</v>
      </c>
    </row>
    <row r="215" customFormat="false" ht="15" hidden="false" customHeight="false" outlineLevel="0" collapsed="false">
      <c r="A215" s="3" t="s">
        <v>627</v>
      </c>
      <c r="C215" s="21" t="n">
        <f aca="false">COLUMNS($D$1:$H$1)*$C$214</f>
        <v>20</v>
      </c>
    </row>
    <row r="216" customFormat="false" ht="15" hidden="false" customHeight="false" outlineLevel="0" collapsed="false">
      <c r="A216" s="3" t="s">
        <v>628</v>
      </c>
      <c r="C216" s="21" t="n">
        <f aca="false">COLUMN()-COLUMN($C$1)</f>
        <v>0</v>
      </c>
      <c r="D216" s="21" t="n">
        <f aca="false">COLUMN()-COLUMN($C$1)</f>
        <v>1</v>
      </c>
      <c r="E216" s="21" t="n">
        <f aca="false">COLUMN()-COLUMN($C$1)</f>
        <v>2</v>
      </c>
      <c r="F216" s="21" t="n">
        <f aca="false">COLUMN()-COLUMN($C$1)</f>
        <v>3</v>
      </c>
      <c r="G216" s="21" t="n">
        <f aca="false">COLUMN()-COLUMN($C$1)</f>
        <v>4</v>
      </c>
      <c r="H216" s="21" t="n">
        <f aca="false">COLUMN()-COLUMN($C$1)</f>
        <v>5</v>
      </c>
      <c r="I216" s="21" t="n">
        <f aca="false">COLUMN()-COLUMN($C$1)</f>
        <v>6</v>
      </c>
      <c r="J216" s="21" t="n">
        <f aca="false">COLUMN()-COLUMN($C$1)</f>
        <v>7</v>
      </c>
      <c r="K216" s="21" t="n">
        <f aca="false">COLUMN()-COLUMN($C$1)</f>
        <v>8</v>
      </c>
      <c r="L216" s="21" t="n">
        <f aca="false">COLUMN()-COLUMN($C$1)</f>
        <v>9</v>
      </c>
      <c r="M216" s="21" t="n">
        <f aca="false">COLUMN()-COLUMN($C$1)</f>
        <v>10</v>
      </c>
      <c r="N216" s="21" t="n">
        <f aca="false">COLUMN()-COLUMN($C$1)</f>
        <v>11</v>
      </c>
      <c r="O216" s="21" t="n">
        <f aca="false">COLUMN()-COLUMN($C$1)</f>
        <v>12</v>
      </c>
      <c r="P216" s="21" t="n">
        <f aca="false">COLUMN()-COLUMN($C$1)</f>
        <v>13</v>
      </c>
      <c r="Q216" s="21" t="n">
        <f aca="false">COLUMN()-COLUMN($C$1)</f>
        <v>14</v>
      </c>
      <c r="R216" s="21" t="n">
        <f aca="false">COLUMN()-COLUMN($C$1)</f>
        <v>15</v>
      </c>
      <c r="S216" s="21" t="n">
        <f aca="false">COLUMN()-COLUMN($C$1)</f>
        <v>16</v>
      </c>
      <c r="T216" s="21" t="n">
        <f aca="false">COLUMN()-COLUMN($C$1)</f>
        <v>17</v>
      </c>
      <c r="U216" s="21" t="n">
        <f aca="false">COLUMN()-COLUMN($C$1)</f>
        <v>18</v>
      </c>
      <c r="V216" s="21" t="n">
        <f aca="false">COLUMN()-COLUMN($C$1)</f>
        <v>19</v>
      </c>
      <c r="W216" s="21" t="n">
        <f aca="false">COLUMN()-COLUMN($C$1)</f>
        <v>20</v>
      </c>
      <c r="X216" s="21" t="n">
        <f aca="false">COLUMN()-COLUMN($C$1)</f>
        <v>21</v>
      </c>
      <c r="Y216" s="21" t="n">
        <f aca="false">COLUMN()-COLUMN($C$1)</f>
        <v>22</v>
      </c>
      <c r="Z216" s="21" t="n">
        <f aca="false">COLUMN()-COLUMN($C$1)</f>
        <v>23</v>
      </c>
      <c r="AA216" s="21" t="n">
        <f aca="false">COLUMN()-COLUMN($C$1)</f>
        <v>24</v>
      </c>
    </row>
    <row r="217" customFormat="false" ht="15" hidden="false" customHeight="false" outlineLevel="0" collapsed="false">
      <c r="A217" s="3" t="s">
        <v>629</v>
      </c>
      <c r="C217" s="29" t="n">
        <f aca="false">'Calc Engine'!C646</f>
        <v>-98.49</v>
      </c>
      <c r="D217" s="16" t="n">
        <f aca="false">IF(AND(D$216&lt;=$C$215,MOD(D$216,$C$214/Assumptions!$C$39)=0),INDEX('Calc Engine'!$D$644:$H$644,ROUNDUP(D$216/$C$214,0))/Assumptions!$C$39,0)+IF(MOD(D$216,$C$214)=0,INDEX('Calc Engine'!$D$645:$I$645,D$216/$C$214),0)</f>
        <v>2.2875</v>
      </c>
      <c r="E217" s="16" t="n">
        <f aca="false">IF(AND(E$216&lt;=$C$215,MOD(E$216,$C$214/Assumptions!$C$39)=0),INDEX('Calc Engine'!$D$644:$H$644,ROUNDUP(E$216/$C$214,0))/Assumptions!$C$39,0)+IF(MOD(E$216,$C$214)=0,INDEX('Calc Engine'!$D$645:$I$645,E$216/$C$214),0)</f>
        <v>2.2875</v>
      </c>
      <c r="F217" s="16" t="n">
        <f aca="false">IF(AND(F$216&lt;=$C$215,MOD(F$216,$C$214/Assumptions!$C$39)=0),INDEX('Calc Engine'!$D$644:$H$644,ROUNDUP(F$216/$C$214,0))/Assumptions!$C$39,0)+IF(MOD(F$216,$C$214)=0,INDEX('Calc Engine'!$D$645:$I$645,F$216/$C$214),0)</f>
        <v>2.2875</v>
      </c>
      <c r="G217" s="16" t="n">
        <f aca="false">IF(AND(G$216&lt;=$C$215,MOD(G$216,$C$214/Assumptions!$C$39)=0),INDEX('Calc Engine'!$D$644:$H$644,ROUNDUP(G$216/$C$214,0))/Assumptions!$C$39,0)+IF(MOD(G$216,$C$214)=0,INDEX('Calc Engine'!$D$645:$I$645,G$216/$C$214),0)</f>
        <v>2.2875</v>
      </c>
      <c r="H217" s="16" t="n">
        <f aca="false">IF(AND(H$216&lt;=$C$215,MOD(H$216,$C$214/Assumptions!$C$39)=0),INDEX('Calc Engine'!$D$644:$H$644,ROUNDUP(H$216/$C$214,0))/Assumptions!$C$39,0)+IF(MOD(H$216,$C$214)=0,INDEX('Calc Engine'!$D$645:$I$645,H$216/$C$214),0)</f>
        <v>2.25</v>
      </c>
      <c r="I217" s="16" t="n">
        <f aca="false">IF(AND(I$216&lt;=$C$215,MOD(I$216,$C$214/Assumptions!$C$39)=0),INDEX('Calc Engine'!$D$644:$H$644,ROUNDUP(I$216/$C$214,0))/Assumptions!$C$39,0)+IF(MOD(I$216,$C$214)=0,INDEX('Calc Engine'!$D$645:$I$645,I$216/$C$214),0)</f>
        <v>2.25</v>
      </c>
      <c r="J217" s="16" t="n">
        <f aca="false">IF(AND(J$216&lt;=$C$215,MOD(J$216,$C$214/Assumptions!$C$39)=0),INDEX('Calc Engine'!$D$644:$H$644,ROUNDUP(J$216/$C$214,0))/Assumptions!$C$39,0)+IF(MOD(J$216,$C$214)=0,INDEX('Calc Engine'!$D$645:$I$645,J$216/$C$214),0)</f>
        <v>2.25</v>
      </c>
      <c r="K217" s="16" t="n">
        <f aca="false">IF(AND(K$216&lt;=$C$215,MOD(K$216,$C$214/Assumptions!$C$39)=0),INDEX('Calc Engine'!$D$644:$H$644,ROUNDUP(K$216/$C$214,0))/Assumptions!$C$39,0)+IF(MOD(K$216,$C$214)=0,INDEX('Calc Engine'!$D$645:$I$645,K$216/$C$214),0)</f>
        <v>2.25</v>
      </c>
      <c r="L217" s="16" t="n">
        <f aca="false">IF(AND(L$216&lt;=$C$215,MOD(L$216,$C$214/Assumptions!$C$39)=0),INDEX('Calc Engine'!$D$644:$H$644,ROUNDUP(L$216/$C$214,0))/Assumptions!$C$39,0)+IF(MOD(L$216,$C$214)=0,INDEX('Calc Engine'!$D$645:$I$645,L$216/$C$214),0)</f>
        <v>2.1875</v>
      </c>
      <c r="M217" s="16" t="n">
        <f aca="false">IF(AND(M$216&lt;=$C$215,MOD(M$216,$C$214/Assumptions!$C$39)=0),INDEX('Calc Engine'!$D$644:$H$644,ROUNDUP(M$216/$C$214,0))/Assumptions!$C$39,0)+IF(MOD(M$216,$C$214)=0,INDEX('Calc Engine'!$D$645:$I$645,M$216/$C$214),0)</f>
        <v>2.1875</v>
      </c>
      <c r="N217" s="16" t="n">
        <f aca="false">IF(AND(N$216&lt;=$C$215,MOD(N$216,$C$214/Assumptions!$C$39)=0),INDEX('Calc Engine'!$D$644:$H$644,ROUNDUP(N$216/$C$214,0))/Assumptions!$C$39,0)+IF(MOD(N$216,$C$214)=0,INDEX('Calc Engine'!$D$645:$I$645,N$216/$C$214),0)</f>
        <v>2.1875</v>
      </c>
      <c r="O217" s="16" t="n">
        <f aca="false">IF(AND(O$216&lt;=$C$215,MOD(O$216,$C$214/Assumptions!$C$39)=0),INDEX('Calc Engine'!$D$644:$H$644,ROUNDUP(O$216/$C$214,0))/Assumptions!$C$39,0)+IF(MOD(O$216,$C$214)=0,INDEX('Calc Engine'!$D$645:$I$645,O$216/$C$214),0)</f>
        <v>102.1875</v>
      </c>
      <c r="P217" s="16" t="n">
        <f aca="false">IF(AND(P$216&lt;=$C$215,MOD(P$216,$C$214/Assumptions!$C$39)=0),INDEX('Calc Engine'!$D$644:$H$644,ROUNDUP(P$216/$C$214,0))/Assumptions!$C$39,0)+IF(MOD(P$216,$C$214)=0,INDEX('Calc Engine'!$D$645:$I$645,P$216/$C$214),0)</f>
        <v>0</v>
      </c>
      <c r="Q217" s="16" t="n">
        <f aca="false">IF(AND(Q$216&lt;=$C$215,MOD(Q$216,$C$214/Assumptions!$C$39)=0),INDEX('Calc Engine'!$D$644:$H$644,ROUNDUP(Q$216/$C$214,0))/Assumptions!$C$39,0)+IF(MOD(Q$216,$C$214)=0,INDEX('Calc Engine'!$D$645:$I$645,Q$216/$C$214),0)</f>
        <v>0</v>
      </c>
      <c r="R217" s="16" t="n">
        <f aca="false">IF(AND(R$216&lt;=$C$215,MOD(R$216,$C$214/Assumptions!$C$39)=0),INDEX('Calc Engine'!$D$644:$H$644,ROUNDUP(R$216/$C$214,0))/Assumptions!$C$39,0)+IF(MOD(R$216,$C$214)=0,INDEX('Calc Engine'!$D$645:$I$645,R$216/$C$214),0)</f>
        <v>0</v>
      </c>
      <c r="S217" s="16" t="n">
        <f aca="false">IF(AND(S$216&lt;=$C$215,MOD(S$216,$C$214/Assumptions!$C$39)=0),INDEX('Calc Engine'!$D$644:$H$644,ROUNDUP(S$216/$C$214,0))/Assumptions!$C$39,0)+IF(MOD(S$216,$C$214)=0,INDEX('Calc Engine'!$D$645:$I$645,S$216/$C$214),0)</f>
        <v>0</v>
      </c>
      <c r="T217" s="16" t="n">
        <f aca="false">IF(AND(T$216&lt;=$C$215,MOD(T$216,$C$214/Assumptions!$C$39)=0),INDEX('Calc Engine'!$D$644:$H$644,ROUNDUP(T$216/$C$214,0))/Assumptions!$C$39,0)+IF(MOD(T$216,$C$214)=0,INDEX('Calc Engine'!$D$645:$I$645,T$216/$C$214),0)</f>
        <v>0</v>
      </c>
      <c r="U217" s="16" t="n">
        <f aca="false">IF(AND(U$216&lt;=$C$215,MOD(U$216,$C$214/Assumptions!$C$39)=0),INDEX('Calc Engine'!$D$644:$H$644,ROUNDUP(U$216/$C$214,0))/Assumptions!$C$39,0)+IF(MOD(U$216,$C$214)=0,INDEX('Calc Engine'!$D$645:$I$645,U$216/$C$214),0)</f>
        <v>0</v>
      </c>
      <c r="V217" s="16" t="n">
        <f aca="false">IF(AND(V$216&lt;=$C$215,MOD(V$216,$C$214/Assumptions!$C$39)=0),INDEX('Calc Engine'!$D$644:$H$644,ROUNDUP(V$216/$C$214,0))/Assumptions!$C$39,0)+IF(MOD(V$216,$C$214)=0,INDEX('Calc Engine'!$D$645:$I$645,V$216/$C$214),0)</f>
        <v>0</v>
      </c>
      <c r="W217" s="16" t="n">
        <f aca="false">IF(AND(W$216&lt;=$C$215,MOD(W$216,$C$214/Assumptions!$C$39)=0),INDEX('Calc Engine'!$D$644:$H$644,ROUNDUP(W$216/$C$214,0))/Assumptions!$C$39,0)+IF(MOD(W$216,$C$214)=0,INDEX('Calc Engine'!$D$645:$I$645,W$216/$C$214),0)</f>
        <v>0</v>
      </c>
      <c r="X217" s="16" t="n">
        <f aca="false">IF(AND(X$216&lt;=$C$215,MOD(X$216,$C$214/Assumptions!$C$39)=0),INDEX('Calc Engine'!$D$644:$H$644,ROUNDUP(X$216/$C$214,0))/Assumptions!$C$39,0)+IF(MOD(X$216,$C$214)=0,INDEX('Calc Engine'!$D$645:$I$645,X$216/$C$214),0)</f>
        <v>0</v>
      </c>
      <c r="Y217" s="16" t="n">
        <f aca="false">IF(AND(Y$216&lt;=$C$215,MOD(Y$216,$C$214/Assumptions!$C$39)=0),INDEX('Calc Engine'!$D$644:$H$644,ROUNDUP(Y$216/$C$214,0))/Assumptions!$C$39,0)+IF(MOD(Y$216,$C$214)=0,INDEX('Calc Engine'!$D$645:$I$645,Y$216/$C$214),0)</f>
        <v>0</v>
      </c>
      <c r="Z217" s="16" t="n">
        <f aca="false">IF(AND(Z$216&lt;=$C$215,MOD(Z$216,$C$214/Assumptions!$C$39)=0),INDEX('Calc Engine'!$D$644:$H$644,ROUNDUP(Z$216/$C$214,0))/Assumptions!$C$39,0)+IF(MOD(Z$216,$C$214)=0,INDEX('Calc Engine'!$D$645:$I$645,Z$216/$C$214),0)</f>
        <v>0</v>
      </c>
      <c r="AA217" s="16" t="n">
        <f aca="false">IF(AND(AA$216&lt;=$C$215,MOD(AA$216,$C$214/Assumptions!$C$39)=0),INDEX('Calc Engine'!$D$644:$H$644,ROUNDUP(AA$216/$C$214,0))/Assumptions!$C$39,0)+IF(MOD(AA$216,$C$214)=0,INDEX('Calc Engine'!$D$645:$I$645,AA$216/$C$214),0)</f>
        <v>0</v>
      </c>
    </row>
    <row r="218" customFormat="false" ht="15" hidden="false" customHeight="false" outlineLevel="0" collapsed="false">
      <c r="A218" s="3" t="s">
        <v>630</v>
      </c>
      <c r="C218" s="29" t="n">
        <f aca="false">'Calc Engine'!C1301</f>
        <v>-98.49</v>
      </c>
      <c r="D218" s="16" t="n">
        <f aca="false">IF(AND(D$216&lt;=$C$215,MOD(D$216,$C$214/Assumptions!$C$39)=0),INDEX('Calc Engine'!$D$1299:$H$1299,ROUNDUP(D$216/$C$214,0))/Assumptions!$C$39,0)+IF(MOD(D$216,$C$214)=0,INDEX('Calc Engine'!$D$1300:$I$1300,D$216/$C$214),0)</f>
        <v>2.6625</v>
      </c>
      <c r="E218" s="16" t="n">
        <f aca="false">IF(AND(E$216&lt;=$C$215,MOD(E$216,$C$214/Assumptions!$C$39)=0),INDEX('Calc Engine'!$D$1299:$H$1299,ROUNDUP(E$216/$C$214,0))/Assumptions!$C$39,0)+IF(MOD(E$216,$C$214)=0,INDEX('Calc Engine'!$D$1300:$I$1300,E$216/$C$214),0)</f>
        <v>2.6625</v>
      </c>
      <c r="F218" s="16" t="n">
        <f aca="false">IF(AND(F$216&lt;=$C$215,MOD(F$216,$C$214/Assumptions!$C$39)=0),INDEX('Calc Engine'!$D$1299:$H$1299,ROUNDUP(F$216/$C$214,0))/Assumptions!$C$39,0)+IF(MOD(F$216,$C$214)=0,INDEX('Calc Engine'!$D$1300:$I$1300,F$216/$C$214),0)</f>
        <v>2.6625</v>
      </c>
      <c r="G218" s="16" t="n">
        <f aca="false">IF(AND(G$216&lt;=$C$215,MOD(G$216,$C$214/Assumptions!$C$39)=0),INDEX('Calc Engine'!$D$1299:$H$1299,ROUNDUP(G$216/$C$214,0))/Assumptions!$C$39,0)+IF(MOD(G$216,$C$214)=0,INDEX('Calc Engine'!$D$1300:$I$1300,G$216/$C$214),0)</f>
        <v>2.6625</v>
      </c>
      <c r="H218" s="16" t="n">
        <f aca="false">IF(AND(H$216&lt;=$C$215,MOD(H$216,$C$214/Assumptions!$C$39)=0),INDEX('Calc Engine'!$D$1299:$H$1299,ROUNDUP(H$216/$C$214,0))/Assumptions!$C$39,0)+IF(MOD(H$216,$C$214)=0,INDEX('Calc Engine'!$D$1300:$I$1300,H$216/$C$214),0)</f>
        <v>2.625</v>
      </c>
      <c r="I218" s="16" t="n">
        <f aca="false">IF(AND(I$216&lt;=$C$215,MOD(I$216,$C$214/Assumptions!$C$39)=0),INDEX('Calc Engine'!$D$1299:$H$1299,ROUNDUP(I$216/$C$214,0))/Assumptions!$C$39,0)+IF(MOD(I$216,$C$214)=0,INDEX('Calc Engine'!$D$1300:$I$1300,I$216/$C$214),0)</f>
        <v>2.625</v>
      </c>
      <c r="J218" s="16" t="n">
        <f aca="false">IF(AND(J$216&lt;=$C$215,MOD(J$216,$C$214/Assumptions!$C$39)=0),INDEX('Calc Engine'!$D$1299:$H$1299,ROUNDUP(J$216/$C$214,0))/Assumptions!$C$39,0)+IF(MOD(J$216,$C$214)=0,INDEX('Calc Engine'!$D$1300:$I$1300,J$216/$C$214),0)</f>
        <v>2.625</v>
      </c>
      <c r="K218" s="16" t="n">
        <f aca="false">IF(AND(K$216&lt;=$C$215,MOD(K$216,$C$214/Assumptions!$C$39)=0),INDEX('Calc Engine'!$D$1299:$H$1299,ROUNDUP(K$216/$C$214,0))/Assumptions!$C$39,0)+IF(MOD(K$216,$C$214)=0,INDEX('Calc Engine'!$D$1300:$I$1300,K$216/$C$214),0)</f>
        <v>2.625</v>
      </c>
      <c r="L218" s="16" t="n">
        <f aca="false">IF(AND(L$216&lt;=$C$215,MOD(L$216,$C$214/Assumptions!$C$39)=0),INDEX('Calc Engine'!$D$1299:$H$1299,ROUNDUP(L$216/$C$214,0))/Assumptions!$C$39,0)+IF(MOD(L$216,$C$214)=0,INDEX('Calc Engine'!$D$1300:$I$1300,L$216/$C$214),0)</f>
        <v>0</v>
      </c>
      <c r="M218" s="16" t="n">
        <f aca="false">IF(AND(M$216&lt;=$C$215,MOD(M$216,$C$214/Assumptions!$C$39)=0),INDEX('Calc Engine'!$D$1299:$H$1299,ROUNDUP(M$216/$C$214,0))/Assumptions!$C$39,0)+IF(MOD(M$216,$C$214)=0,INDEX('Calc Engine'!$D$1300:$I$1300,M$216/$C$214),0)</f>
        <v>0</v>
      </c>
      <c r="N218" s="16" t="n">
        <f aca="false">IF(AND(N$216&lt;=$C$215,MOD(N$216,$C$214/Assumptions!$C$39)=0),INDEX('Calc Engine'!$D$1299:$H$1299,ROUNDUP(N$216/$C$214,0))/Assumptions!$C$39,0)+IF(MOD(N$216,$C$214)=0,INDEX('Calc Engine'!$D$1300:$I$1300,N$216/$C$214),0)</f>
        <v>0</v>
      </c>
      <c r="O218" s="16" t="n">
        <f aca="false">IF(AND(O$216&lt;=$C$215,MOD(O$216,$C$214/Assumptions!$C$39)=0),INDEX('Calc Engine'!$D$1299:$H$1299,ROUNDUP(O$216/$C$214,0))/Assumptions!$C$39,0)+IF(MOD(O$216,$C$214)=0,INDEX('Calc Engine'!$D$1300:$I$1300,O$216/$C$214),0)</f>
        <v>102.625</v>
      </c>
      <c r="P218" s="16" t="n">
        <f aca="false">IF(AND(P$216&lt;=$C$215,MOD(P$216,$C$214/Assumptions!$C$39)=0),INDEX('Calc Engine'!$D$1299:$H$1299,ROUNDUP(P$216/$C$214,0))/Assumptions!$C$39,0)+IF(MOD(P$216,$C$214)=0,INDEX('Calc Engine'!$D$1300:$I$1300,P$216/$C$214),0)</f>
        <v>0</v>
      </c>
      <c r="Q218" s="16" t="n">
        <f aca="false">IF(AND(Q$216&lt;=$C$215,MOD(Q$216,$C$214/Assumptions!$C$39)=0),INDEX('Calc Engine'!$D$1299:$H$1299,ROUNDUP(Q$216/$C$214,0))/Assumptions!$C$39,0)+IF(MOD(Q$216,$C$214)=0,INDEX('Calc Engine'!$D$1300:$I$1300,Q$216/$C$214),0)</f>
        <v>0</v>
      </c>
      <c r="R218" s="16" t="n">
        <f aca="false">IF(AND(R$216&lt;=$C$215,MOD(R$216,$C$214/Assumptions!$C$39)=0),INDEX('Calc Engine'!$D$1299:$H$1299,ROUNDUP(R$216/$C$214,0))/Assumptions!$C$39,0)+IF(MOD(R$216,$C$214)=0,INDEX('Calc Engine'!$D$1300:$I$1300,R$216/$C$214),0)</f>
        <v>0</v>
      </c>
      <c r="S218" s="16" t="n">
        <f aca="false">IF(AND(S$216&lt;=$C$215,MOD(S$216,$C$214/Assumptions!$C$39)=0),INDEX('Calc Engine'!$D$1299:$H$1299,ROUNDUP(S$216/$C$214,0))/Assumptions!$C$39,0)+IF(MOD(S$216,$C$214)=0,INDEX('Calc Engine'!$D$1300:$I$1300,S$216/$C$214),0)</f>
        <v>0</v>
      </c>
      <c r="T218" s="16" t="n">
        <f aca="false">IF(AND(T$216&lt;=$C$215,MOD(T$216,$C$214/Assumptions!$C$39)=0),INDEX('Calc Engine'!$D$1299:$H$1299,ROUNDUP(T$216/$C$214,0))/Assumptions!$C$39,0)+IF(MOD(T$216,$C$214)=0,INDEX('Calc Engine'!$D$1300:$I$1300,T$216/$C$214),0)</f>
        <v>0</v>
      </c>
      <c r="U218" s="16" t="n">
        <f aca="false">IF(AND(U$216&lt;=$C$215,MOD(U$216,$C$214/Assumptions!$C$39)=0),INDEX('Calc Engine'!$D$1299:$H$1299,ROUNDUP(U$216/$C$214,0))/Assumptions!$C$39,0)+IF(MOD(U$216,$C$214)=0,INDEX('Calc Engine'!$D$1300:$I$1300,U$216/$C$214),0)</f>
        <v>0</v>
      </c>
      <c r="V218" s="16" t="n">
        <f aca="false">IF(AND(V$216&lt;=$C$215,MOD(V$216,$C$214/Assumptions!$C$39)=0),INDEX('Calc Engine'!$D$1299:$H$1299,ROUNDUP(V$216/$C$214,0))/Assumptions!$C$39,0)+IF(MOD(V$216,$C$214)=0,INDEX('Calc Engine'!$D$1300:$I$1300,V$216/$C$214),0)</f>
        <v>0</v>
      </c>
      <c r="W218" s="16" t="n">
        <f aca="false">IF(AND(W$216&lt;=$C$215,MOD(W$216,$C$214/Assumptions!$C$39)=0),INDEX('Calc Engine'!$D$1299:$H$1299,ROUNDUP(W$216/$C$214,0))/Assumptions!$C$39,0)+IF(MOD(W$216,$C$214)=0,INDEX('Calc Engine'!$D$1300:$I$1300,W$216/$C$214),0)</f>
        <v>0</v>
      </c>
      <c r="X218" s="16" t="n">
        <f aca="false">IF(AND(X$216&lt;=$C$215,MOD(X$216,$C$214/Assumptions!$C$39)=0),INDEX('Calc Engine'!$D$1299:$H$1299,ROUNDUP(X$216/$C$214,0))/Assumptions!$C$39,0)+IF(MOD(X$216,$C$214)=0,INDEX('Calc Engine'!$D$1300:$I$1300,X$216/$C$214),0)</f>
        <v>0</v>
      </c>
      <c r="Y218" s="16" t="n">
        <f aca="false">IF(AND(Y$216&lt;=$C$215,MOD(Y$216,$C$214/Assumptions!$C$39)=0),INDEX('Calc Engine'!$D$1299:$H$1299,ROUNDUP(Y$216/$C$214,0))/Assumptions!$C$39,0)+IF(MOD(Y$216,$C$214)=0,INDEX('Calc Engine'!$D$1300:$I$1300,Y$216/$C$214),0)</f>
        <v>0</v>
      </c>
      <c r="Z218" s="16" t="n">
        <f aca="false">IF(AND(Z$216&lt;=$C$215,MOD(Z$216,$C$214/Assumptions!$C$39)=0),INDEX('Calc Engine'!$D$1299:$H$1299,ROUNDUP(Z$216/$C$214,0))/Assumptions!$C$39,0)+IF(MOD(Z$216,$C$214)=0,INDEX('Calc Engine'!$D$1300:$I$1300,Z$216/$C$214),0)</f>
        <v>0</v>
      </c>
      <c r="AA218" s="16" t="n">
        <f aca="false">IF(AND(AA$216&lt;=$C$215,MOD(AA$216,$C$214/Assumptions!$C$39)=0),INDEX('Calc Engine'!$D$1299:$H$1299,ROUNDUP(AA$216/$C$214,0))/Assumptions!$C$39,0)+IF(MOD(AA$216,$C$214)=0,INDEX('Calc Engine'!$D$1300:$I$1300,AA$216/$C$214),0)</f>
        <v>0</v>
      </c>
    </row>
    <row r="219" customFormat="false" ht="15" hidden="false" customHeight="false" outlineLevel="0" collapsed="false">
      <c r="A219" s="3" t="s">
        <v>631</v>
      </c>
      <c r="C219" s="29" t="n">
        <f aca="false">'Calc Engine'!C1956</f>
        <v>-98.49</v>
      </c>
      <c r="D219" s="16" t="n">
        <f aca="false">IF(AND(D$216&lt;=$C$215,MOD(D$216,$C$214/Assumptions!$C$39)=0),INDEX('Calc Engine'!$D$1954:$H$1954,ROUNDUP(D$216/$C$214,0))/Assumptions!$C$39,0)+IF(MOD(D$216,$C$214)=0,INDEX('Calc Engine'!$D$1955:$I$1955,D$216/$C$214),0)</f>
        <v>3.0375</v>
      </c>
      <c r="E219" s="16" t="n">
        <f aca="false">IF(AND(E$216&lt;=$C$215,MOD(E$216,$C$214/Assumptions!$C$39)=0),INDEX('Calc Engine'!$D$1954:$H$1954,ROUNDUP(E$216/$C$214,0))/Assumptions!$C$39,0)+IF(MOD(E$216,$C$214)=0,INDEX('Calc Engine'!$D$1955:$I$1955,E$216/$C$214),0)</f>
        <v>3.0375</v>
      </c>
      <c r="F219" s="16" t="n">
        <f aca="false">IF(AND(F$216&lt;=$C$215,MOD(F$216,$C$214/Assumptions!$C$39)=0),INDEX('Calc Engine'!$D$1954:$H$1954,ROUNDUP(F$216/$C$214,0))/Assumptions!$C$39,0)+IF(MOD(F$216,$C$214)=0,INDEX('Calc Engine'!$D$1955:$I$1955,F$216/$C$214),0)</f>
        <v>3.0375</v>
      </c>
      <c r="G219" s="16" t="n">
        <f aca="false">IF(AND(G$216&lt;=$C$215,MOD(G$216,$C$214/Assumptions!$C$39)=0),INDEX('Calc Engine'!$D$1954:$H$1954,ROUNDUP(G$216/$C$214,0))/Assumptions!$C$39,0)+IF(MOD(G$216,$C$214)=0,INDEX('Calc Engine'!$D$1955:$I$1955,G$216/$C$214),0)</f>
        <v>3.0375</v>
      </c>
      <c r="H219" s="16" t="n">
        <f aca="false">IF(AND(H$216&lt;=$C$215,MOD(H$216,$C$214/Assumptions!$C$39)=0),INDEX('Calc Engine'!$D$1954:$H$1954,ROUNDUP(H$216/$C$214,0))/Assumptions!$C$39,0)+IF(MOD(H$216,$C$214)=0,INDEX('Calc Engine'!$D$1955:$I$1955,H$216/$C$214),0)</f>
        <v>3</v>
      </c>
      <c r="I219" s="16" t="n">
        <f aca="false">IF(AND(I$216&lt;=$C$215,MOD(I$216,$C$214/Assumptions!$C$39)=0),INDEX('Calc Engine'!$D$1954:$H$1954,ROUNDUP(I$216/$C$214,0))/Assumptions!$C$39,0)+IF(MOD(I$216,$C$214)=0,INDEX('Calc Engine'!$D$1955:$I$1955,I$216/$C$214),0)</f>
        <v>3</v>
      </c>
      <c r="J219" s="16" t="n">
        <f aca="false">IF(AND(J$216&lt;=$C$215,MOD(J$216,$C$214/Assumptions!$C$39)=0),INDEX('Calc Engine'!$D$1954:$H$1954,ROUNDUP(J$216/$C$214,0))/Assumptions!$C$39,0)+IF(MOD(J$216,$C$214)=0,INDEX('Calc Engine'!$D$1955:$I$1955,J$216/$C$214),0)</f>
        <v>3</v>
      </c>
      <c r="K219" s="16" t="n">
        <f aca="false">IF(AND(K$216&lt;=$C$215,MOD(K$216,$C$214/Assumptions!$C$39)=0),INDEX('Calc Engine'!$D$1954:$H$1954,ROUNDUP(K$216/$C$214,0))/Assumptions!$C$39,0)+IF(MOD(K$216,$C$214)=0,INDEX('Calc Engine'!$D$1955:$I$1955,K$216/$C$214),0)</f>
        <v>3</v>
      </c>
      <c r="L219" s="16" t="n">
        <f aca="false">IF(AND(L$216&lt;=$C$215,MOD(L$216,$C$214/Assumptions!$C$39)=0),INDEX('Calc Engine'!$D$1954:$H$1954,ROUNDUP(L$216/$C$214,0))/Assumptions!$C$39,0)+IF(MOD(L$216,$C$214)=0,INDEX('Calc Engine'!$D$1955:$I$1955,L$216/$C$214),0)</f>
        <v>0</v>
      </c>
      <c r="M219" s="16" t="n">
        <f aca="false">IF(AND(M$216&lt;=$C$215,MOD(M$216,$C$214/Assumptions!$C$39)=0),INDEX('Calc Engine'!$D$1954:$H$1954,ROUNDUP(M$216/$C$214,0))/Assumptions!$C$39,0)+IF(MOD(M$216,$C$214)=0,INDEX('Calc Engine'!$D$1955:$I$1955,M$216/$C$214),0)</f>
        <v>0</v>
      </c>
      <c r="N219" s="16" t="n">
        <f aca="false">IF(AND(N$216&lt;=$C$215,MOD(N$216,$C$214/Assumptions!$C$39)=0),INDEX('Calc Engine'!$D$1954:$H$1954,ROUNDUP(N$216/$C$214,0))/Assumptions!$C$39,0)+IF(MOD(N$216,$C$214)=0,INDEX('Calc Engine'!$D$1955:$I$1955,N$216/$C$214),0)</f>
        <v>0</v>
      </c>
      <c r="O219" s="16" t="n">
        <f aca="false">IF(AND(O$216&lt;=$C$215,MOD(O$216,$C$214/Assumptions!$C$39)=0),INDEX('Calc Engine'!$D$1954:$H$1954,ROUNDUP(O$216/$C$214,0))/Assumptions!$C$39,0)+IF(MOD(O$216,$C$214)=0,INDEX('Calc Engine'!$D$1955:$I$1955,O$216/$C$214),0)</f>
        <v>103</v>
      </c>
      <c r="P219" s="16" t="n">
        <f aca="false">IF(AND(P$216&lt;=$C$215,MOD(P$216,$C$214/Assumptions!$C$39)=0),INDEX('Calc Engine'!$D$1954:$H$1954,ROUNDUP(P$216/$C$214,0))/Assumptions!$C$39,0)+IF(MOD(P$216,$C$214)=0,INDEX('Calc Engine'!$D$1955:$I$1955,P$216/$C$214),0)</f>
        <v>0</v>
      </c>
      <c r="Q219" s="16" t="n">
        <f aca="false">IF(AND(Q$216&lt;=$C$215,MOD(Q$216,$C$214/Assumptions!$C$39)=0),INDEX('Calc Engine'!$D$1954:$H$1954,ROUNDUP(Q$216/$C$214,0))/Assumptions!$C$39,0)+IF(MOD(Q$216,$C$214)=0,INDEX('Calc Engine'!$D$1955:$I$1955,Q$216/$C$214),0)</f>
        <v>0</v>
      </c>
      <c r="R219" s="16" t="n">
        <f aca="false">IF(AND(R$216&lt;=$C$215,MOD(R$216,$C$214/Assumptions!$C$39)=0),INDEX('Calc Engine'!$D$1954:$H$1954,ROUNDUP(R$216/$C$214,0))/Assumptions!$C$39,0)+IF(MOD(R$216,$C$214)=0,INDEX('Calc Engine'!$D$1955:$I$1955,R$216/$C$214),0)</f>
        <v>0</v>
      </c>
      <c r="S219" s="16" t="n">
        <f aca="false">IF(AND(S$216&lt;=$C$215,MOD(S$216,$C$214/Assumptions!$C$39)=0),INDEX('Calc Engine'!$D$1954:$H$1954,ROUNDUP(S$216/$C$214,0))/Assumptions!$C$39,0)+IF(MOD(S$216,$C$214)=0,INDEX('Calc Engine'!$D$1955:$I$1955,S$216/$C$214),0)</f>
        <v>0</v>
      </c>
      <c r="T219" s="16" t="n">
        <f aca="false">IF(AND(T$216&lt;=$C$215,MOD(T$216,$C$214/Assumptions!$C$39)=0),INDEX('Calc Engine'!$D$1954:$H$1954,ROUNDUP(T$216/$C$214,0))/Assumptions!$C$39,0)+IF(MOD(T$216,$C$214)=0,INDEX('Calc Engine'!$D$1955:$I$1955,T$216/$C$214),0)</f>
        <v>0</v>
      </c>
      <c r="U219" s="16" t="n">
        <f aca="false">IF(AND(U$216&lt;=$C$215,MOD(U$216,$C$214/Assumptions!$C$39)=0),INDEX('Calc Engine'!$D$1954:$H$1954,ROUNDUP(U$216/$C$214,0))/Assumptions!$C$39,0)+IF(MOD(U$216,$C$214)=0,INDEX('Calc Engine'!$D$1955:$I$1955,U$216/$C$214),0)</f>
        <v>0</v>
      </c>
      <c r="V219" s="16" t="n">
        <f aca="false">IF(AND(V$216&lt;=$C$215,MOD(V$216,$C$214/Assumptions!$C$39)=0),INDEX('Calc Engine'!$D$1954:$H$1954,ROUNDUP(V$216/$C$214,0))/Assumptions!$C$39,0)+IF(MOD(V$216,$C$214)=0,INDEX('Calc Engine'!$D$1955:$I$1955,V$216/$C$214),0)</f>
        <v>0</v>
      </c>
      <c r="W219" s="16" t="n">
        <f aca="false">IF(AND(W$216&lt;=$C$215,MOD(W$216,$C$214/Assumptions!$C$39)=0),INDEX('Calc Engine'!$D$1954:$H$1954,ROUNDUP(W$216/$C$214,0))/Assumptions!$C$39,0)+IF(MOD(W$216,$C$214)=0,INDEX('Calc Engine'!$D$1955:$I$1955,W$216/$C$214),0)</f>
        <v>0</v>
      </c>
      <c r="X219" s="16" t="n">
        <f aca="false">IF(AND(X$216&lt;=$C$215,MOD(X$216,$C$214/Assumptions!$C$39)=0),INDEX('Calc Engine'!$D$1954:$H$1954,ROUNDUP(X$216/$C$214,0))/Assumptions!$C$39,0)+IF(MOD(X$216,$C$214)=0,INDEX('Calc Engine'!$D$1955:$I$1955,X$216/$C$214),0)</f>
        <v>0</v>
      </c>
      <c r="Y219" s="16" t="n">
        <f aca="false">IF(AND(Y$216&lt;=$C$215,MOD(Y$216,$C$214/Assumptions!$C$39)=0),INDEX('Calc Engine'!$D$1954:$H$1954,ROUNDUP(Y$216/$C$214,0))/Assumptions!$C$39,0)+IF(MOD(Y$216,$C$214)=0,INDEX('Calc Engine'!$D$1955:$I$1955,Y$216/$C$214),0)</f>
        <v>0</v>
      </c>
      <c r="Z219" s="16" t="n">
        <f aca="false">IF(AND(Z$216&lt;=$C$215,MOD(Z$216,$C$214/Assumptions!$C$39)=0),INDEX('Calc Engine'!$D$1954:$H$1954,ROUNDUP(Z$216/$C$214,0))/Assumptions!$C$39,0)+IF(MOD(Z$216,$C$214)=0,INDEX('Calc Engine'!$D$1955:$I$1955,Z$216/$C$214),0)</f>
        <v>0</v>
      </c>
      <c r="AA219" s="16" t="n">
        <f aca="false">IF(AND(AA$216&lt;=$C$215,MOD(AA$216,$C$214/Assumptions!$C$39)=0),INDEX('Calc Engine'!$D$1954:$H$1954,ROUNDUP(AA$216/$C$214,0))/Assumptions!$C$39,0)+IF(MOD(AA$216,$C$214)=0,INDEX('Calc Engine'!$D$1955:$I$1955,AA$216/$C$214),0)</f>
        <v>0</v>
      </c>
    </row>
    <row r="220" customFormat="false" ht="15" hidden="false" customHeight="false" outlineLevel="0" collapsed="false">
      <c r="A220" s="2" t="s">
        <v>632</v>
      </c>
      <c r="C220" s="42" t="n">
        <f aca="false">IF(SUM(D217:AA217)&lt;=0,-1,(1+IRR(C217:AA217,MAX(-0.9,(SUM(D217:AA217)/-C217)^(1/(COLUMNS(C217:AA217)-1))-1)))^$C$214-1)</f>
        <v>0.0991266862409894</v>
      </c>
      <c r="D220" s="42" t="n">
        <f aca="false">IF(SUM(D218:AA218)&lt;=0,-1,(1+IRR(C218:AA218,MAX(-0.9,(SUM(D218:AA218)/-C218)^(1/(COLUMNS(C218:AA218)-1))-1)))^$C$214-1)</f>
        <v>0.0899173092244467</v>
      </c>
      <c r="E220" s="42" t="n">
        <f aca="false">IF(SUM(D219:AA219)&lt;=0,-1,(1+IRR(C219:AA219,MAX(-0.9,(SUM(D219:AA219)/-C219)^(1/(COLUMNS(C219:AA219)-1))-1)))^$C$214-1)</f>
        <v>0.102715929142419</v>
      </c>
    </row>
    <row r="221" customFormat="false" ht="15" hidden="false" customHeight="false" outlineLevel="0" collapsed="false">
      <c r="A221" s="3" t="s">
        <v>633</v>
      </c>
      <c r="C221" s="16" t="n">
        <f aca="false">Scenarios!$C$12*C217+Scenarios!$D$12*C218+Scenarios!$E$12*C219</f>
        <v>-98.49</v>
      </c>
      <c r="D221" s="16" t="n">
        <f aca="false">Scenarios!$C$12*D217+Scenarios!$D$12*D218+Scenarios!$E$12*D219</f>
        <v>2.53125</v>
      </c>
      <c r="E221" s="16" t="n">
        <f aca="false">Scenarios!$C$12*E217+Scenarios!$D$12*E218+Scenarios!$E$12*E219</f>
        <v>2.53125</v>
      </c>
      <c r="F221" s="16" t="n">
        <f aca="false">Scenarios!$C$12*F217+Scenarios!$D$12*F218+Scenarios!$E$12*F219</f>
        <v>2.53125</v>
      </c>
      <c r="G221" s="16" t="n">
        <f aca="false">Scenarios!$C$12*G217+Scenarios!$D$12*G218+Scenarios!$E$12*G219</f>
        <v>2.53125</v>
      </c>
      <c r="H221" s="16" t="n">
        <f aca="false">Scenarios!$C$12*H217+Scenarios!$D$12*H218+Scenarios!$E$12*H219</f>
        <v>2.49375</v>
      </c>
      <c r="I221" s="16" t="n">
        <f aca="false">Scenarios!$C$12*I217+Scenarios!$D$12*I218+Scenarios!$E$12*I219</f>
        <v>2.49375</v>
      </c>
      <c r="J221" s="16" t="n">
        <f aca="false">Scenarios!$C$12*J217+Scenarios!$D$12*J218+Scenarios!$E$12*J219</f>
        <v>2.49375</v>
      </c>
      <c r="K221" s="16" t="n">
        <f aca="false">Scenarios!$C$12*K217+Scenarios!$D$12*K218+Scenarios!$E$12*K219</f>
        <v>2.49375</v>
      </c>
      <c r="L221" s="16" t="n">
        <f aca="false">Scenarios!$C$12*L217+Scenarios!$D$12*L218+Scenarios!$E$12*L219</f>
        <v>1.09375</v>
      </c>
      <c r="M221" s="16" t="n">
        <f aca="false">Scenarios!$C$12*M217+Scenarios!$D$12*M218+Scenarios!$E$12*M219</f>
        <v>1.09375</v>
      </c>
      <c r="N221" s="16" t="n">
        <f aca="false">Scenarios!$C$12*N217+Scenarios!$D$12*N218+Scenarios!$E$12*N219</f>
        <v>1.09375</v>
      </c>
      <c r="O221" s="16" t="n">
        <f aca="false">Scenarios!$C$12*O217+Scenarios!$D$12*O218+Scenarios!$E$12*O219</f>
        <v>102.4625</v>
      </c>
      <c r="P221" s="16" t="n">
        <f aca="false">Scenarios!$C$12*P217+Scenarios!$D$12*P218+Scenarios!$E$12*P219</f>
        <v>0</v>
      </c>
      <c r="Q221" s="16" t="n">
        <f aca="false">Scenarios!$C$12*Q217+Scenarios!$D$12*Q218+Scenarios!$E$12*Q219</f>
        <v>0</v>
      </c>
      <c r="R221" s="16" t="n">
        <f aca="false">Scenarios!$C$12*R217+Scenarios!$D$12*R218+Scenarios!$E$12*R219</f>
        <v>0</v>
      </c>
      <c r="S221" s="16" t="n">
        <f aca="false">Scenarios!$C$12*S217+Scenarios!$D$12*S218+Scenarios!$E$12*S219</f>
        <v>0</v>
      </c>
      <c r="T221" s="16" t="n">
        <f aca="false">Scenarios!$C$12*T217+Scenarios!$D$12*T218+Scenarios!$E$12*T219</f>
        <v>0</v>
      </c>
      <c r="U221" s="16" t="n">
        <f aca="false">Scenarios!$C$12*U217+Scenarios!$D$12*U218+Scenarios!$E$12*U219</f>
        <v>0</v>
      </c>
      <c r="V221" s="16" t="n">
        <f aca="false">Scenarios!$C$12*V217+Scenarios!$D$12*V218+Scenarios!$E$12*V219</f>
        <v>0</v>
      </c>
      <c r="W221" s="16" t="n">
        <f aca="false">Scenarios!$C$12*W217+Scenarios!$D$12*W218+Scenarios!$E$12*W219</f>
        <v>0</v>
      </c>
      <c r="X221" s="16" t="n">
        <f aca="false">Scenarios!$C$12*X217+Scenarios!$D$12*X218+Scenarios!$E$12*X219</f>
        <v>0</v>
      </c>
      <c r="Y221" s="16" t="n">
        <f aca="false">Scenarios!$C$12*Y217+Scenarios!$D$12*Y218+Scenarios!$E$12*Y219</f>
        <v>0</v>
      </c>
      <c r="Z221" s="16" t="n">
        <f aca="false">Scenarios!$C$12*Z217+Scenarios!$D$12*Z218+Scenarios!$E$12*Z219</f>
        <v>0</v>
      </c>
      <c r="AA221" s="16" t="n">
        <f aca="false">Scenarios!$C$12*AA217+Scenarios!$D$12*AA218+Scenarios!$E$12*AA219</f>
        <v>0</v>
      </c>
    </row>
    <row r="222" customFormat="false" ht="15" hidden="false" customHeight="false" outlineLevel="0" collapsed="false">
      <c r="A222" s="2" t="s">
        <v>634</v>
      </c>
      <c r="C222" s="42" t="n">
        <f aca="false">IF(SUM(D221:AA221)&lt;=0,-1,(1+IRR(C221:AA221,MAX(-0.9,(SUM(D221:AA221)/-C221)^(1/(COLUMNS(C221:AA221)-1))-1)))^$C$214-1)</f>
        <v>0.0964598069376039</v>
      </c>
    </row>
    <row r="223" customFormat="false" ht="15" hidden="false" customHeight="false" outlineLevel="0" collapsed="false">
      <c r="A223" s="3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636</v>
      </c>
    </row>
    <row r="2" customFormat="false" ht="15" hidden="false" customHeight="false" outlineLevel="0" collapsed="false">
      <c r="A2" s="3" t="s">
        <v>637</v>
      </c>
    </row>
    <row r="3" customFormat="false" ht="15" hidden="false" customHeight="false" outlineLevel="0" collapsed="false">
      <c r="A3" s="3" t="str">
        <f aca="false">"Position: "&amp;TEXT(Assumptions!$C$36,"0.0")&amp;" purchase price, hold "&amp;Assumptions!$C$38&amp;" periods  |  Selected scenario: "&amp;Assumptions!$D$10</f>
        <v>Position: 98.0 purchase price, hold 3 periods  |  Selected scenario: Downside</v>
      </c>
    </row>
    <row r="8" customFormat="false" ht="15" hidden="false" customHeight="false" outlineLevel="0" collapsed="false">
      <c r="A8" s="9" t="s">
        <v>638</v>
      </c>
      <c r="B8" s="10"/>
      <c r="C8" s="10"/>
      <c r="D8" s="10"/>
      <c r="E8" s="10"/>
      <c r="F8" s="10"/>
      <c r="G8" s="10"/>
      <c r="H8" s="10"/>
    </row>
    <row r="9" customFormat="false" ht="15" hidden="false" customHeight="false" outlineLevel="0" collapsed="false">
      <c r="A9" s="7" t="s">
        <v>639</v>
      </c>
      <c r="B9" s="7" t="s">
        <v>640</v>
      </c>
      <c r="C9" s="7" t="s">
        <v>179</v>
      </c>
      <c r="D9" s="7" t="s">
        <v>200</v>
      </c>
      <c r="E9" s="7" t="s">
        <v>201</v>
      </c>
      <c r="F9" s="7" t="s">
        <v>464</v>
      </c>
    </row>
    <row r="10" customFormat="false" ht="15" hidden="false" customHeight="false" outlineLevel="0" collapsed="false">
      <c r="A10" s="35" t="n">
        <f aca="false">Assumptions!$C$36+B10</f>
        <v>90</v>
      </c>
      <c r="B10" s="11" t="n">
        <v>-8</v>
      </c>
      <c r="C10" s="22" t="n">
        <f aca="false">J86</f>
        <v>0.130295369591667</v>
      </c>
      <c r="D10" s="22" t="n">
        <f aca="false">J91</f>
        <v>0.122180300370173</v>
      </c>
      <c r="E10" s="22" t="n">
        <f aca="false">J96</f>
        <v>0.135070287325438</v>
      </c>
      <c r="F10" s="22" t="n">
        <f aca="false">CHOOSE(Assumptions!$C$10,C10,D10,E10)</f>
        <v>0.122180300370173</v>
      </c>
    </row>
    <row r="11" customFormat="false" ht="15" hidden="false" customHeight="false" outlineLevel="0" collapsed="false">
      <c r="A11" s="35" t="n">
        <f aca="false">Assumptions!$C$36+B11</f>
        <v>94</v>
      </c>
      <c r="B11" s="11" t="n">
        <v>-4</v>
      </c>
      <c r="C11" s="22" t="n">
        <f aca="false">J87</f>
        <v>0.11253737461814</v>
      </c>
      <c r="D11" s="22" t="n">
        <f aca="false">J92</f>
        <v>0.104260433454882</v>
      </c>
      <c r="E11" s="22" t="n">
        <f aca="false">J97</f>
        <v>0.1166931889233</v>
      </c>
      <c r="F11" s="22" t="n">
        <f aca="false">CHOOSE(Assumptions!$C$10,C11,D11,E11)</f>
        <v>0.104260433454882</v>
      </c>
    </row>
    <row r="12" customFormat="false" ht="15" hidden="false" customHeight="false" outlineLevel="0" collapsed="false">
      <c r="A12" s="35" t="n">
        <f aca="false">Assumptions!$C$36+B12</f>
        <v>98</v>
      </c>
      <c r="B12" s="11" t="n">
        <v>0</v>
      </c>
      <c r="C12" s="22" t="n">
        <f aca="false">J88</f>
        <v>0.0958152816969216</v>
      </c>
      <c r="D12" s="22" t="n">
        <f aca="false">J93</f>
        <v>0.0873962489027792</v>
      </c>
      <c r="E12" s="22" t="n">
        <f aca="false">J98</f>
        <v>0.0994077590660149</v>
      </c>
      <c r="F12" s="22" t="n">
        <f aca="false">CHOOSE(Assumptions!$C$10,C12,D12,E12)</f>
        <v>0.0873962489027792</v>
      </c>
    </row>
    <row r="13" customFormat="false" ht="15" hidden="false" customHeight="false" outlineLevel="0" collapsed="false">
      <c r="A13" s="35" t="n">
        <f aca="false">Assumptions!$C$36+B13</f>
        <v>102</v>
      </c>
      <c r="B13" s="11" t="n">
        <v>4</v>
      </c>
      <c r="C13" s="22" t="n">
        <f aca="false">J89</f>
        <v>0.080028740504877</v>
      </c>
      <c r="D13" s="22" t="n">
        <f aca="false">J94</f>
        <v>0.0714847073647989</v>
      </c>
      <c r="E13" s="22" t="n">
        <f aca="false">J99</f>
        <v>0.0831067667344589</v>
      </c>
      <c r="F13" s="22" t="n">
        <f aca="false">CHOOSE(Assumptions!$C$10,C13,D13,E13)</f>
        <v>0.0714847073647989</v>
      </c>
    </row>
    <row r="14" customFormat="false" ht="15" hidden="false" customHeight="false" outlineLevel="0" collapsed="false">
      <c r="A14" s="35" t="n">
        <f aca="false">Assumptions!$C$36+B14</f>
        <v>106</v>
      </c>
      <c r="B14" s="11" t="n">
        <v>8</v>
      </c>
      <c r="C14" s="22" t="n">
        <f aca="false">J90</f>
        <v>0.0650906667830349</v>
      </c>
      <c r="D14" s="22" t="n">
        <f aca="false">J95</f>
        <v>0.0564364760154208</v>
      </c>
      <c r="E14" s="22" t="n">
        <f aca="false">J100</f>
        <v>0.0676973198942062</v>
      </c>
      <c r="F14" s="22" t="n">
        <f aca="false">CHOOSE(Assumptions!$C$10,C14,D14,E14)</f>
        <v>0.0564364760154208</v>
      </c>
    </row>
    <row r="18" customFormat="false" ht="15" hidden="false" customHeight="false" outlineLevel="0" collapsed="false">
      <c r="A18" s="9" t="s">
        <v>641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7" t="s">
        <v>642</v>
      </c>
      <c r="B19" s="7"/>
      <c r="C19" s="7" t="s">
        <v>179</v>
      </c>
      <c r="D19" s="7" t="s">
        <v>200</v>
      </c>
      <c r="E19" s="7" t="s">
        <v>201</v>
      </c>
      <c r="F19" s="7" t="s">
        <v>464</v>
      </c>
    </row>
    <row r="20" customFormat="false" ht="15" hidden="false" customHeight="false" outlineLevel="0" collapsed="false">
      <c r="A20" s="18" t="n">
        <v>20</v>
      </c>
      <c r="C20" s="22" t="n">
        <f aca="false">J101</f>
        <v>-0.256357507625347</v>
      </c>
      <c r="D20" s="22" t="n">
        <f aca="false">J106</f>
        <v>-0.310341272812061</v>
      </c>
      <c r="E20" s="22" t="n">
        <f aca="false">J111</f>
        <v>-0.29510450612145</v>
      </c>
      <c r="F20" s="22" t="n">
        <f aca="false">CHOOSE(Assumptions!$C$10,C20,D20,E20)</f>
        <v>-0.310341272812061</v>
      </c>
    </row>
    <row r="21" customFormat="false" ht="15" hidden="false" customHeight="false" outlineLevel="0" collapsed="false">
      <c r="A21" s="18" t="n">
        <v>40</v>
      </c>
      <c r="C21" s="22" t="n">
        <f aca="false">J102</f>
        <v>-0.136853545947026</v>
      </c>
      <c r="D21" s="22" t="n">
        <f aca="false">J107</f>
        <v>-0.171505660527283</v>
      </c>
      <c r="E21" s="22" t="n">
        <f aca="false">J112</f>
        <v>-0.158426559273778</v>
      </c>
      <c r="F21" s="22" t="n">
        <f aca="false">CHOOSE(Assumptions!$C$10,C21,D21,E21)</f>
        <v>-0.171505660527283</v>
      </c>
    </row>
    <row r="22" customFormat="false" ht="15" hidden="false" customHeight="false" outlineLevel="0" collapsed="false">
      <c r="A22" s="18" t="n">
        <v>60</v>
      </c>
      <c r="C22" s="22" t="n">
        <f aca="false">J103</f>
        <v>-0.0453835944392499</v>
      </c>
      <c r="D22" s="22" t="n">
        <f aca="false">J108</f>
        <v>-0.0710888193703201</v>
      </c>
      <c r="E22" s="22" t="n">
        <f aca="false">J113</f>
        <v>-0.0590660603955202</v>
      </c>
      <c r="F22" s="22" t="n">
        <f aca="false">CHOOSE(Assumptions!$C$10,C22,D22,E22)</f>
        <v>-0.0710888193703201</v>
      </c>
    </row>
    <row r="23" customFormat="false" ht="15" hidden="false" customHeight="false" outlineLevel="0" collapsed="false">
      <c r="A23" s="18" t="n">
        <v>80</v>
      </c>
      <c r="C23" s="22" t="n">
        <f aca="false">J104</f>
        <v>0.0303659233410246</v>
      </c>
      <c r="D23" s="22" t="n">
        <f aca="false">J109</f>
        <v>0.00998039836668664</v>
      </c>
      <c r="E23" s="22" t="n">
        <f aca="false">J114</f>
        <v>0.0213375400471884</v>
      </c>
      <c r="F23" s="22" t="n">
        <f aca="false">CHOOSE(Assumptions!$C$10,C23,D23,E23)</f>
        <v>0.00998039836668664</v>
      </c>
    </row>
    <row r="24" customFormat="false" ht="15" hidden="false" customHeight="false" outlineLevel="0" collapsed="false">
      <c r="A24" s="18" t="n">
        <v>100</v>
      </c>
      <c r="C24" s="22" t="n">
        <f aca="false">J105</f>
        <v>0.0958152816969216</v>
      </c>
      <c r="D24" s="22" t="n">
        <f aca="false">J110</f>
        <v>0.0790127172972946</v>
      </c>
      <c r="E24" s="22" t="n">
        <f aca="false">J115</f>
        <v>0.0898976376877164</v>
      </c>
      <c r="F24" s="22" t="n">
        <f aca="false">CHOOSE(Assumptions!$C$10,C24,D24,E24)</f>
        <v>0.0790127172972946</v>
      </c>
    </row>
    <row r="28" customFormat="false" ht="15" hidden="false" customHeight="false" outlineLevel="0" collapsed="false">
      <c r="A28" s="9" t="s">
        <v>643</v>
      </c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A29" s="7" t="s">
        <v>644</v>
      </c>
      <c r="B29" s="7"/>
      <c r="C29" s="7" t="s">
        <v>179</v>
      </c>
      <c r="D29" s="7" t="s">
        <v>200</v>
      </c>
      <c r="E29" s="7" t="s">
        <v>201</v>
      </c>
      <c r="F29" s="7" t="s">
        <v>464</v>
      </c>
    </row>
    <row r="30" customFormat="false" ht="15" hidden="false" customHeight="false" outlineLevel="0" collapsed="false">
      <c r="A30" s="13" t="n">
        <v>-0.04</v>
      </c>
      <c r="C30" s="33" t="n">
        <f aca="false">'Calc Engine'!C2618</f>
        <v>0.0831961742620141</v>
      </c>
      <c r="D30" s="33" t="n">
        <f aca="false">'Calc Engine'!C5893</f>
        <v>0.0873962489027792</v>
      </c>
      <c r="E30" s="33" t="n">
        <f aca="false">'Calc Engine'!C9168</f>
        <v>0.0994077590660149</v>
      </c>
      <c r="F30" s="22" t="n">
        <f aca="false">CHOOSE(Assumptions!$C$10,C30,D30,E30)</f>
        <v>0.0873962489027792</v>
      </c>
    </row>
    <row r="31" customFormat="false" ht="15" hidden="false" customHeight="false" outlineLevel="0" collapsed="false">
      <c r="A31" s="13" t="n">
        <v>-0.02</v>
      </c>
      <c r="C31" s="33" t="n">
        <f aca="false">'Calc Engine'!C3273</f>
        <v>0.0958152816969216</v>
      </c>
      <c r="D31" s="33" t="n">
        <f aca="false">'Calc Engine'!C6548</f>
        <v>0.0873962489027792</v>
      </c>
      <c r="E31" s="33" t="n">
        <f aca="false">'Calc Engine'!C9823</f>
        <v>0.0994077590660149</v>
      </c>
      <c r="F31" s="22" t="n">
        <f aca="false">CHOOSE(Assumptions!$C$10,C31,D31,E31)</f>
        <v>0.0873962489027792</v>
      </c>
    </row>
    <row r="32" customFormat="false" ht="15" hidden="false" customHeight="false" outlineLevel="0" collapsed="false">
      <c r="A32" s="13" t="n">
        <v>0</v>
      </c>
      <c r="C32" s="33" t="n">
        <f aca="false">'Calc Engine'!C3928</f>
        <v>0.0958152816969216</v>
      </c>
      <c r="D32" s="33" t="n">
        <f aca="false">'Calc Engine'!C7203</f>
        <v>0.0873962489027792</v>
      </c>
      <c r="E32" s="33" t="n">
        <f aca="false">'Calc Engine'!C10478</f>
        <v>0.0994077590660149</v>
      </c>
      <c r="F32" s="22" t="n">
        <f aca="false">CHOOSE(Assumptions!$C$10,C32,D32,E32)</f>
        <v>0.0873962489027792</v>
      </c>
    </row>
    <row r="33" customFormat="false" ht="15" hidden="false" customHeight="false" outlineLevel="0" collapsed="false">
      <c r="A33" s="13" t="n">
        <v>0.02</v>
      </c>
      <c r="C33" s="33" t="n">
        <f aca="false">'Calc Engine'!C4583</f>
        <v>0.0958152816969216</v>
      </c>
      <c r="D33" s="33" t="n">
        <f aca="false">'Calc Engine'!C7858</f>
        <v>0.0873962489027792</v>
      </c>
      <c r="E33" s="33" t="n">
        <f aca="false">'Calc Engine'!C11133</f>
        <v>0.0994077590660149</v>
      </c>
      <c r="F33" s="22" t="n">
        <f aca="false">CHOOSE(Assumptions!$C$10,C33,D33,E33)</f>
        <v>0.0873962489027792</v>
      </c>
    </row>
    <row r="34" customFormat="false" ht="15" hidden="false" customHeight="false" outlineLevel="0" collapsed="false">
      <c r="A34" s="13" t="n">
        <v>0.04</v>
      </c>
      <c r="C34" s="33" t="n">
        <f aca="false">'Calc Engine'!C5238</f>
        <v>0.0958152816969216</v>
      </c>
      <c r="D34" s="33" t="n">
        <f aca="false">'Calc Engine'!C8513</f>
        <v>0.0873962489027792</v>
      </c>
      <c r="E34" s="33" t="n">
        <f aca="false">'Calc Engine'!C11788</f>
        <v>0.0994077590660149</v>
      </c>
      <c r="F34" s="22" t="n">
        <f aca="false">CHOOSE(Assumptions!$C$10,C34,D34,E34)</f>
        <v>0.0873962489027792</v>
      </c>
    </row>
    <row r="38" customFormat="false" ht="15" hidden="false" customHeight="false" outlineLevel="0" collapsed="false">
      <c r="A38" s="9" t="s">
        <v>645</v>
      </c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7" t="s">
        <v>646</v>
      </c>
      <c r="B39" s="7"/>
      <c r="C39" s="7" t="s">
        <v>179</v>
      </c>
      <c r="D39" s="7" t="s">
        <v>200</v>
      </c>
      <c r="E39" s="7" t="s">
        <v>201</v>
      </c>
      <c r="F39" s="7" t="s">
        <v>464</v>
      </c>
    </row>
    <row r="40" customFormat="false" ht="15" hidden="false" customHeight="false" outlineLevel="0" collapsed="false">
      <c r="A40" s="13" t="n">
        <v>-0.1</v>
      </c>
      <c r="C40" s="33" t="n">
        <f aca="false">'Calc Engine'!C12443</f>
        <v>0.0754638504410984</v>
      </c>
      <c r="D40" s="33" t="n">
        <f aca="false">'Calc Engine'!C15718</f>
        <v>0.0873962489027792</v>
      </c>
      <c r="E40" s="33" t="n">
        <f aca="false">'Calc Engine'!C18993</f>
        <v>0.0994077590660149</v>
      </c>
      <c r="F40" s="22" t="n">
        <f aca="false">CHOOSE(Assumptions!$C$10,C40,D40,E40)</f>
        <v>0.0873962489027792</v>
      </c>
    </row>
    <row r="41" customFormat="false" ht="15" hidden="false" customHeight="false" outlineLevel="0" collapsed="false">
      <c r="A41" s="13" t="n">
        <v>-0.05</v>
      </c>
      <c r="C41" s="33" t="n">
        <f aca="false">'Calc Engine'!C13098</f>
        <v>0.0792352733435274</v>
      </c>
      <c r="D41" s="33" t="n">
        <f aca="false">'Calc Engine'!C16373</f>
        <v>0.0873962489027792</v>
      </c>
      <c r="E41" s="33" t="n">
        <f aca="false">'Calc Engine'!C19648</f>
        <v>0.0994077590660149</v>
      </c>
      <c r="F41" s="22" t="n">
        <f aca="false">CHOOSE(Assumptions!$C$10,C41,D41,E41)</f>
        <v>0.0873962489027792</v>
      </c>
    </row>
    <row r="42" customFormat="false" ht="15" hidden="false" customHeight="false" outlineLevel="0" collapsed="false">
      <c r="A42" s="13" t="n">
        <v>0</v>
      </c>
      <c r="C42" s="33" t="n">
        <f aca="false">'Calc Engine'!C13753</f>
        <v>0.0958152816969216</v>
      </c>
      <c r="D42" s="33" t="n">
        <f aca="false">'Calc Engine'!C17028</f>
        <v>0.0873962489027792</v>
      </c>
      <c r="E42" s="33" t="n">
        <f aca="false">'Calc Engine'!C20303</f>
        <v>0.0994077590660149</v>
      </c>
      <c r="F42" s="22" t="n">
        <f aca="false">CHOOSE(Assumptions!$C$10,C42,D42,E42)</f>
        <v>0.0873962489027792</v>
      </c>
    </row>
    <row r="43" customFormat="false" ht="15" hidden="false" customHeight="false" outlineLevel="0" collapsed="false">
      <c r="A43" s="13" t="n">
        <v>0.05</v>
      </c>
      <c r="C43" s="33" t="n">
        <f aca="false">'Calc Engine'!C14408</f>
        <v>0.0958152816969216</v>
      </c>
      <c r="D43" s="33" t="n">
        <f aca="false">'Calc Engine'!C17683</f>
        <v>0.0873962489027792</v>
      </c>
      <c r="E43" s="33" t="n">
        <f aca="false">'Calc Engine'!C20958</f>
        <v>0.0994077590660149</v>
      </c>
      <c r="F43" s="22" t="n">
        <f aca="false">CHOOSE(Assumptions!$C$10,C43,D43,E43)</f>
        <v>0.0873962489027792</v>
      </c>
    </row>
    <row r="44" customFormat="false" ht="15" hidden="false" customHeight="false" outlineLevel="0" collapsed="false">
      <c r="A44" s="13" t="n">
        <v>0.1</v>
      </c>
      <c r="C44" s="33" t="n">
        <f aca="false">'Calc Engine'!C15063</f>
        <v>0.0958152816969216</v>
      </c>
      <c r="D44" s="33" t="n">
        <f aca="false">'Calc Engine'!C18338</f>
        <v>0.0873962489027792</v>
      </c>
      <c r="E44" s="33" t="n">
        <f aca="false">'Calc Engine'!C21613</f>
        <v>0.0994077590660149</v>
      </c>
      <c r="F44" s="22" t="n">
        <f aca="false">CHOOSE(Assumptions!$C$10,C44,D44,E44)</f>
        <v>0.0873962489027792</v>
      </c>
    </row>
    <row r="48" customFormat="false" ht="15" hidden="false" customHeight="false" outlineLevel="0" collapsed="false">
      <c r="A48" s="9" t="s">
        <v>647</v>
      </c>
      <c r="B48" s="10"/>
      <c r="C48" s="10"/>
      <c r="D48" s="10"/>
      <c r="E48" s="10"/>
      <c r="F48" s="10"/>
      <c r="G48" s="10"/>
      <c r="H48" s="10"/>
    </row>
    <row r="49" customFormat="false" ht="15" hidden="false" customHeight="false" outlineLevel="0" collapsed="false">
      <c r="A49" s="7" t="s">
        <v>648</v>
      </c>
      <c r="B49" s="7"/>
      <c r="C49" s="7" t="s">
        <v>179</v>
      </c>
      <c r="D49" s="7" t="s">
        <v>200</v>
      </c>
      <c r="E49" s="7" t="s">
        <v>201</v>
      </c>
      <c r="F49" s="7" t="s">
        <v>464</v>
      </c>
    </row>
    <row r="50" customFormat="false" ht="15" hidden="false" customHeight="false" outlineLevel="0" collapsed="false">
      <c r="A50" s="19" t="n">
        <v>-0.01</v>
      </c>
      <c r="C50" s="33" t="n">
        <f aca="false">'Calc Engine'!C22268</f>
        <v>0.0856954129412381</v>
      </c>
      <c r="D50" s="33" t="n">
        <f aca="false">'Calc Engine'!C25543</f>
        <v>0.079432456371703</v>
      </c>
      <c r="E50" s="33" t="n">
        <f aca="false">'Calc Engine'!C28818</f>
        <v>0.0913913516825024</v>
      </c>
      <c r="F50" s="22" t="n">
        <f aca="false">CHOOSE(Assumptions!$C$10,C50,D50,E50)</f>
        <v>0.079432456371703</v>
      </c>
    </row>
    <row r="51" customFormat="false" ht="15" hidden="false" customHeight="false" outlineLevel="0" collapsed="false">
      <c r="A51" s="19" t="n">
        <v>-0.005</v>
      </c>
      <c r="C51" s="33" t="n">
        <f aca="false">'Calc Engine'!C22923</f>
        <v>0.0907552883104259</v>
      </c>
      <c r="D51" s="33" t="n">
        <f aca="false">'Calc Engine'!C26198</f>
        <v>0.0834099364580266</v>
      </c>
      <c r="E51" s="33" t="n">
        <f aca="false">'Calc Engine'!C29473</f>
        <v>0.0953952025548766</v>
      </c>
      <c r="F51" s="22" t="n">
        <f aca="false">CHOOSE(Assumptions!$C$10,C51,D51,E51)</f>
        <v>0.0834099364580266</v>
      </c>
    </row>
    <row r="52" customFormat="false" ht="15" hidden="false" customHeight="false" outlineLevel="0" collapsed="false">
      <c r="A52" s="19" t="n">
        <v>0</v>
      </c>
      <c r="C52" s="33" t="n">
        <f aca="false">'Calc Engine'!C23578</f>
        <v>0.0958152816969216</v>
      </c>
      <c r="D52" s="33" t="n">
        <f aca="false">'Calc Engine'!C26853</f>
        <v>0.0873962489027792</v>
      </c>
      <c r="E52" s="33" t="n">
        <f aca="false">'Calc Engine'!C30128</f>
        <v>0.0994077590660149</v>
      </c>
      <c r="F52" s="22" t="n">
        <f aca="false">CHOOSE(Assumptions!$C$10,C52,D52,E52)</f>
        <v>0.0873962489027792</v>
      </c>
    </row>
    <row r="53" customFormat="false" ht="15" hidden="false" customHeight="false" outlineLevel="0" collapsed="false">
      <c r="A53" s="19" t="n">
        <v>0.01</v>
      </c>
      <c r="C53" s="33" t="n">
        <f aca="false">'Calc Engine'!C24233</f>
        <v>0.105935618749736</v>
      </c>
      <c r="D53" s="33" t="n">
        <f aca="false">'Calc Engine'!C27508</f>
        <v>0.0953952025548766</v>
      </c>
      <c r="E53" s="33" t="n">
        <f aca="false">'Calc Engine'!C30783</f>
        <v>0.107458818174905</v>
      </c>
      <c r="F53" s="22" t="n">
        <f aca="false">CHOOSE(Assumptions!$C$10,C53,D53,E53)</f>
        <v>0.0953952025548766</v>
      </c>
    </row>
    <row r="54" customFormat="false" ht="15" hidden="false" customHeight="false" outlineLevel="0" collapsed="false">
      <c r="A54" s="19" t="n">
        <v>0.02</v>
      </c>
      <c r="C54" s="33" t="n">
        <f aca="false">'Calc Engine'!C24888</f>
        <v>0.116056416629975</v>
      </c>
      <c r="D54" s="33" t="n">
        <f aca="false">'Calc Engine'!C28163</f>
        <v>0.103428978557746</v>
      </c>
      <c r="E54" s="33" t="n">
        <f aca="false">'Calc Engine'!C31438</f>
        <v>0.115544185423054</v>
      </c>
      <c r="F54" s="22" t="n">
        <f aca="false">CHOOSE(Assumptions!$C$10,C54,D54,E54)</f>
        <v>0.103428978557746</v>
      </c>
    </row>
    <row r="58" customFormat="false" ht="15" hidden="false" customHeight="false" outlineLevel="0" collapsed="false">
      <c r="A58" s="9" t="s">
        <v>649</v>
      </c>
      <c r="B58" s="10"/>
      <c r="C58" s="10"/>
      <c r="D58" s="10"/>
      <c r="E58" s="10"/>
      <c r="F58" s="10"/>
      <c r="G58" s="10"/>
      <c r="H58" s="10"/>
    </row>
    <row r="59" customFormat="false" ht="15" hidden="false" customHeight="false" outlineLevel="0" collapsed="false">
      <c r="A59" s="7" t="s">
        <v>650</v>
      </c>
      <c r="B59" s="7"/>
      <c r="C59" s="7" t="s">
        <v>179</v>
      </c>
      <c r="D59" s="7" t="s">
        <v>200</v>
      </c>
      <c r="E59" s="7" t="s">
        <v>201</v>
      </c>
      <c r="F59" s="7" t="s">
        <v>464</v>
      </c>
    </row>
    <row r="60" customFormat="false" ht="15" hidden="false" customHeight="false" outlineLevel="0" collapsed="false">
      <c r="A60" s="15" t="n">
        <v>-2</v>
      </c>
      <c r="C60" s="33" t="n">
        <f aca="false">'Calc Engine'!C31920</f>
        <v>1</v>
      </c>
      <c r="D60" s="33" t="n">
        <f aca="false">'Calc Engine'!C35195</f>
        <v>1</v>
      </c>
      <c r="E60" s="33" t="n">
        <f aca="false">'Calc Engine'!C38470</f>
        <v>1</v>
      </c>
      <c r="F60" s="22" t="n">
        <f aca="false">CHOOSE(Assumptions!$C$10,C60,D60,E60)</f>
        <v>1</v>
      </c>
    </row>
    <row r="61" customFormat="false" ht="15" hidden="false" customHeight="false" outlineLevel="0" collapsed="false">
      <c r="A61" s="15" t="n">
        <v>-1</v>
      </c>
      <c r="C61" s="33" t="n">
        <f aca="false">'Calc Engine'!C32575</f>
        <v>1</v>
      </c>
      <c r="D61" s="33" t="n">
        <f aca="false">'Calc Engine'!C35850</f>
        <v>1</v>
      </c>
      <c r="E61" s="33" t="n">
        <f aca="false">'Calc Engine'!C39125</f>
        <v>1</v>
      </c>
      <c r="F61" s="22" t="n">
        <f aca="false">CHOOSE(Assumptions!$C$10,C61,D61,E61)</f>
        <v>1</v>
      </c>
    </row>
    <row r="62" customFormat="false" ht="15" hidden="false" customHeight="false" outlineLevel="0" collapsed="false">
      <c r="A62" s="15" t="n">
        <v>0</v>
      </c>
      <c r="C62" s="33" t="n">
        <f aca="false">'Calc Engine'!C33230</f>
        <v>1</v>
      </c>
      <c r="D62" s="33" t="n">
        <f aca="false">'Calc Engine'!C36505</f>
        <v>1</v>
      </c>
      <c r="E62" s="33" t="n">
        <f aca="false">'Calc Engine'!C39780</f>
        <v>1</v>
      </c>
      <c r="F62" s="22" t="n">
        <f aca="false">CHOOSE(Assumptions!$C$10,C62,D62,E62)</f>
        <v>1</v>
      </c>
    </row>
    <row r="63" customFormat="false" ht="15" hidden="false" customHeight="false" outlineLevel="0" collapsed="false">
      <c r="A63" s="15" t="n">
        <v>1</v>
      </c>
      <c r="C63" s="33" t="n">
        <f aca="false">'Calc Engine'!C33885</f>
        <v>1</v>
      </c>
      <c r="D63" s="33" t="n">
        <f aca="false">'Calc Engine'!C37160</f>
        <v>1</v>
      </c>
      <c r="E63" s="33" t="n">
        <f aca="false">'Calc Engine'!C40435</f>
        <v>1</v>
      </c>
      <c r="F63" s="22" t="n">
        <f aca="false">CHOOSE(Assumptions!$C$10,C63,D63,E63)</f>
        <v>1</v>
      </c>
    </row>
    <row r="64" customFormat="false" ht="15" hidden="false" customHeight="false" outlineLevel="0" collapsed="false">
      <c r="A64" s="15" t="n">
        <v>2</v>
      </c>
      <c r="C64" s="33" t="n">
        <f aca="false">'Calc Engine'!C34540</f>
        <v>1</v>
      </c>
      <c r="D64" s="33" t="n">
        <f aca="false">'Calc Engine'!C37815</f>
        <v>1</v>
      </c>
      <c r="E64" s="33" t="n">
        <f aca="false">'Calc Engine'!C41090</f>
        <v>1</v>
      </c>
      <c r="F64" s="22" t="n">
        <f aca="false">CHOOSE(Assumptions!$C$10,C64,D64,E64)</f>
        <v>1</v>
      </c>
    </row>
    <row r="68" customFormat="false" ht="15" hidden="false" customHeight="false" outlineLevel="0" collapsed="false">
      <c r="A68" s="9" t="s">
        <v>651</v>
      </c>
      <c r="B68" s="10"/>
      <c r="C68" s="10"/>
      <c r="D68" s="10"/>
      <c r="E68" s="10"/>
      <c r="F68" s="10"/>
      <c r="G68" s="10"/>
      <c r="H68" s="10"/>
    </row>
    <row r="69" customFormat="false" ht="15" hidden="false" customHeight="false" outlineLevel="0" collapsed="false">
      <c r="A69" s="7" t="s">
        <v>642</v>
      </c>
      <c r="B69" s="7"/>
      <c r="C69" s="7" t="s">
        <v>179</v>
      </c>
      <c r="D69" s="7" t="s">
        <v>200</v>
      </c>
      <c r="E69" s="7" t="s">
        <v>201</v>
      </c>
      <c r="F69" s="7" t="s">
        <v>464</v>
      </c>
    </row>
    <row r="70" customFormat="false" ht="15" hidden="false" customHeight="false" outlineLevel="0" collapsed="false">
      <c r="A70" s="47" t="n">
        <f aca="false">$A$20</f>
        <v>20</v>
      </c>
      <c r="C70" s="32" t="n">
        <f aca="false">(SUM('Calc Engine'!C644:I644)+Assumptions!$C$35*$A$70/100)/'Calc Engine'!C475</f>
        <v>0.476190476190476</v>
      </c>
      <c r="D70" s="32" t="n">
        <f aca="false">(SUM('Calc Engine'!C1299:I1299)+Assumptions!$C$35*$A$70/100)/'Calc Engine'!C1130</f>
        <v>0.41780891461062</v>
      </c>
      <c r="E70" s="32" t="n">
        <f aca="false">(SUM('Calc Engine'!C1954:I1954)+Assumptions!$C$35*$A$70/100)/'Calc Engine'!C1785</f>
        <v>0.448268859782719</v>
      </c>
      <c r="F70" s="32" t="n">
        <f aca="false">CHOOSE(Assumptions!$C$10,C70,D70,E70)</f>
        <v>0.41780891461062</v>
      </c>
    </row>
    <row r="71" customFormat="false" ht="15" hidden="false" customHeight="false" outlineLevel="0" collapsed="false">
      <c r="A71" s="47" t="n">
        <f aca="false">$A$21</f>
        <v>40</v>
      </c>
      <c r="C71" s="32" t="n">
        <f aca="false">(SUM('Calc Engine'!C644:I644)+Assumptions!$C$35*$A$71/100)/'Calc Engine'!C475</f>
        <v>0.679256777337801</v>
      </c>
      <c r="D71" s="32" t="n">
        <f aca="false">(SUM('Calc Engine'!C1299:I1299)+Assumptions!$C$35*$A$71/100)/'Calc Engine'!C1130</f>
        <v>0.620875215757945</v>
      </c>
      <c r="E71" s="32" t="n">
        <f aca="false">(SUM('Calc Engine'!C1954:I1954)+Assumptions!$C$35*$A$71/100)/'Calc Engine'!C1785</f>
        <v>0.651335160930044</v>
      </c>
      <c r="F71" s="32" t="n">
        <f aca="false">CHOOSE(Assumptions!$C$10,C71,D71,E71)</f>
        <v>0.620875215757945</v>
      </c>
    </row>
    <row r="72" customFormat="false" ht="15" hidden="false" customHeight="false" outlineLevel="0" collapsed="false">
      <c r="A72" s="47" t="n">
        <f aca="false">$A$22</f>
        <v>60</v>
      </c>
      <c r="C72" s="32" t="n">
        <f aca="false">(SUM('Calc Engine'!C644:I644)+Assumptions!$C$35*$A$72/100)/'Calc Engine'!C475</f>
        <v>0.882323078485126</v>
      </c>
      <c r="D72" s="32" t="n">
        <f aca="false">(SUM('Calc Engine'!C1299:I1299)+Assumptions!$C$35*$A$72/100)/'Calc Engine'!C1130</f>
        <v>0.82394151690527</v>
      </c>
      <c r="E72" s="32" t="n">
        <f aca="false">(SUM('Calc Engine'!C1954:I1954)+Assumptions!$C$35*$A$72/100)/'Calc Engine'!C1785</f>
        <v>0.854401462077368</v>
      </c>
      <c r="F72" s="32" t="n">
        <f aca="false">CHOOSE(Assumptions!$C$10,C72,D72,E72)</f>
        <v>0.82394151690527</v>
      </c>
    </row>
    <row r="73" customFormat="false" ht="15" hidden="false" customHeight="false" outlineLevel="0" collapsed="false">
      <c r="A73" s="47" t="n">
        <f aca="false">$A$23</f>
        <v>80</v>
      </c>
      <c r="C73" s="32" t="n">
        <f aca="false">(SUM('Calc Engine'!C644:I644)+Assumptions!$C$35*$A$73/100)/'Calc Engine'!C475</f>
        <v>1.08538937963245</v>
      </c>
      <c r="D73" s="32" t="n">
        <f aca="false">(SUM('Calc Engine'!C1299:I1299)+Assumptions!$C$35*$A$73/100)/'Calc Engine'!C1130</f>
        <v>1.02700781805259</v>
      </c>
      <c r="E73" s="32" t="n">
        <f aca="false">(SUM('Calc Engine'!C1954:I1954)+Assumptions!$C$35*$A$73/100)/'Calc Engine'!C1785</f>
        <v>1.05746776322469</v>
      </c>
      <c r="F73" s="32" t="n">
        <f aca="false">CHOOSE(Assumptions!$C$10,C73,D73,E73)</f>
        <v>1.02700781805259</v>
      </c>
    </row>
    <row r="74" customFormat="false" ht="15" hidden="false" customHeight="false" outlineLevel="0" collapsed="false">
      <c r="A74" s="47" t="n">
        <f aca="false">$A$24</f>
        <v>100</v>
      </c>
      <c r="C74" s="32" t="n">
        <f aca="false">(SUM('Calc Engine'!C644:I644)+Assumptions!$C$35*$A$74/100)/'Calc Engine'!C475</f>
        <v>1.28845568077977</v>
      </c>
      <c r="D74" s="32" t="n">
        <f aca="false">(SUM('Calc Engine'!C1299:I1299)+Assumptions!$C$35*$A$74/100)/'Calc Engine'!C1130</f>
        <v>1.23007411919992</v>
      </c>
      <c r="E74" s="32" t="n">
        <f aca="false">(SUM('Calc Engine'!C1954:I1954)+Assumptions!$C$35*$A$74/100)/'Calc Engine'!C1785</f>
        <v>1.26053406437202</v>
      </c>
      <c r="F74" s="32" t="n">
        <f aca="false">CHOOSE(Assumptions!$C$10,C74,D74,E74)</f>
        <v>1.23007411919992</v>
      </c>
    </row>
    <row r="82" customFormat="false" ht="15" hidden="false" customHeight="false" outlineLevel="0" collapsed="false">
      <c r="A82" s="3" t="s">
        <v>652</v>
      </c>
    </row>
    <row r="84" customFormat="false" ht="15" hidden="false" customHeight="false" outlineLevel="0" collapsed="false">
      <c r="A84" s="9" t="s">
        <v>653</v>
      </c>
      <c r="B84" s="10"/>
      <c r="C84" s="10"/>
      <c r="D84" s="10"/>
      <c r="E84" s="10"/>
      <c r="F84" s="10"/>
      <c r="G84" s="10"/>
      <c r="H84" s="10"/>
      <c r="I84" s="10"/>
      <c r="J84" s="10"/>
    </row>
    <row r="85" customFormat="false" ht="15" hidden="false" customHeight="false" outlineLevel="0" collapsed="false">
      <c r="A85" s="7" t="s">
        <v>654</v>
      </c>
      <c r="B85" s="7"/>
      <c r="C85" s="7" t="s">
        <v>491</v>
      </c>
      <c r="D85" s="7" t="s">
        <v>492</v>
      </c>
      <c r="E85" s="7" t="s">
        <v>493</v>
      </c>
      <c r="F85" s="7" t="s">
        <v>494</v>
      </c>
      <c r="G85" s="7" t="s">
        <v>495</v>
      </c>
      <c r="H85" s="7" t="s">
        <v>496</v>
      </c>
      <c r="I85" s="7" t="s">
        <v>497</v>
      </c>
      <c r="J85" s="7" t="s">
        <v>483</v>
      </c>
    </row>
    <row r="86" customFormat="false" ht="15" hidden="false" customHeight="false" outlineLevel="0" collapsed="false">
      <c r="A86" s="3" t="str">
        <f aca="false">"Base Case · price point 1"</f>
        <v>Base Case · price point 1</v>
      </c>
      <c r="C86" s="16" t="n">
        <f aca="false">-Assumptions!$C$35*$A$10/100*(1+Assumptions!$C$37)</f>
        <v>-90.45</v>
      </c>
      <c r="D86" s="16" t="n">
        <f aca="false">'Calc Engine'!D644+'Calc Engine'!D645</f>
        <v>9.15</v>
      </c>
      <c r="E86" s="16" t="n">
        <f aca="false">'Calc Engine'!E644+'Calc Engine'!E645</f>
        <v>9</v>
      </c>
      <c r="F86" s="16" t="n">
        <f aca="false">'Calc Engine'!F644+'Calc Engine'!F645</f>
        <v>108.75</v>
      </c>
      <c r="G86" s="16" t="n">
        <f aca="false">'Calc Engine'!G644+'Calc Engine'!G645</f>
        <v>0</v>
      </c>
      <c r="H86" s="16" t="n">
        <f aca="false">'Calc Engine'!H644+'Calc Engine'!H645</f>
        <v>0</v>
      </c>
      <c r="I86" s="16" t="n">
        <f aca="false">'Calc Engine'!I644+'Calc Engine'!I645</f>
        <v>0</v>
      </c>
      <c r="J86" s="22" t="n">
        <f aca="false">IF(SUM(D86:I86)&lt;=0,-1,IFERROR(IRR(C86:I86,MAX(-0.9,(SUM(D86:I86)/-C86)^(1/Assumptions!$C$38)-1)),IRR(C86:I86,0.1)))</f>
        <v>0.130295369591667</v>
      </c>
    </row>
    <row r="87" customFormat="false" ht="15" hidden="false" customHeight="false" outlineLevel="0" collapsed="false">
      <c r="A87" s="3" t="str">
        <f aca="false">"Base Case · price point 2"</f>
        <v>Base Case · price point 2</v>
      </c>
      <c r="C87" s="16" t="n">
        <f aca="false">-Assumptions!$C$35*$A$11/100*(1+Assumptions!$C$37)</f>
        <v>-94.47</v>
      </c>
      <c r="D87" s="16" t="n">
        <f aca="false">'Calc Engine'!D644+'Calc Engine'!D645</f>
        <v>9.15</v>
      </c>
      <c r="E87" s="16" t="n">
        <f aca="false">'Calc Engine'!E644+'Calc Engine'!E645</f>
        <v>9</v>
      </c>
      <c r="F87" s="16" t="n">
        <f aca="false">'Calc Engine'!F644+'Calc Engine'!F645</f>
        <v>108.75</v>
      </c>
      <c r="G87" s="16" t="n">
        <f aca="false">'Calc Engine'!G644+'Calc Engine'!G645</f>
        <v>0</v>
      </c>
      <c r="H87" s="16" t="n">
        <f aca="false">'Calc Engine'!H644+'Calc Engine'!H645</f>
        <v>0</v>
      </c>
      <c r="I87" s="16" t="n">
        <f aca="false">'Calc Engine'!I644+'Calc Engine'!I645</f>
        <v>0</v>
      </c>
      <c r="J87" s="22" t="n">
        <f aca="false">IF(SUM(D87:I87)&lt;=0,-1,IFERROR(IRR(C87:I87,MAX(-0.9,(SUM(D87:I87)/-C87)^(1/Assumptions!$C$38)-1)),IRR(C87:I87,0.1)))</f>
        <v>0.11253737461814</v>
      </c>
    </row>
    <row r="88" customFormat="false" ht="15" hidden="false" customHeight="false" outlineLevel="0" collapsed="false">
      <c r="A88" s="3" t="str">
        <f aca="false">"Base Case · price point 3"</f>
        <v>Base Case · price point 3</v>
      </c>
      <c r="C88" s="16" t="n">
        <f aca="false">-Assumptions!$C$35*$A$12/100*(1+Assumptions!$C$37)</f>
        <v>-98.49</v>
      </c>
      <c r="D88" s="16" t="n">
        <f aca="false">'Calc Engine'!D644+'Calc Engine'!D645</f>
        <v>9.15</v>
      </c>
      <c r="E88" s="16" t="n">
        <f aca="false">'Calc Engine'!E644+'Calc Engine'!E645</f>
        <v>9</v>
      </c>
      <c r="F88" s="16" t="n">
        <f aca="false">'Calc Engine'!F644+'Calc Engine'!F645</f>
        <v>108.75</v>
      </c>
      <c r="G88" s="16" t="n">
        <f aca="false">'Calc Engine'!G644+'Calc Engine'!G645</f>
        <v>0</v>
      </c>
      <c r="H88" s="16" t="n">
        <f aca="false">'Calc Engine'!H644+'Calc Engine'!H645</f>
        <v>0</v>
      </c>
      <c r="I88" s="16" t="n">
        <f aca="false">'Calc Engine'!I644+'Calc Engine'!I645</f>
        <v>0</v>
      </c>
      <c r="J88" s="22" t="n">
        <f aca="false">IF(SUM(D88:I88)&lt;=0,-1,IFERROR(IRR(C88:I88,MAX(-0.9,(SUM(D88:I88)/-C88)^(1/Assumptions!$C$38)-1)),IRR(C88:I88,0.1)))</f>
        <v>0.0958152816969216</v>
      </c>
    </row>
    <row r="89" customFormat="false" ht="15" hidden="false" customHeight="false" outlineLevel="0" collapsed="false">
      <c r="A89" s="3" t="str">
        <f aca="false">"Base Case · price point 4"</f>
        <v>Base Case · price point 4</v>
      </c>
      <c r="C89" s="16" t="n">
        <f aca="false">-Assumptions!$C$35*$A$13/100*(1+Assumptions!$C$37)</f>
        <v>-102.51</v>
      </c>
      <c r="D89" s="16" t="n">
        <f aca="false">'Calc Engine'!D644+'Calc Engine'!D645</f>
        <v>9.15</v>
      </c>
      <c r="E89" s="16" t="n">
        <f aca="false">'Calc Engine'!E644+'Calc Engine'!E645</f>
        <v>9</v>
      </c>
      <c r="F89" s="16" t="n">
        <f aca="false">'Calc Engine'!F644+'Calc Engine'!F645</f>
        <v>108.75</v>
      </c>
      <c r="G89" s="16" t="n">
        <f aca="false">'Calc Engine'!G644+'Calc Engine'!G645</f>
        <v>0</v>
      </c>
      <c r="H89" s="16" t="n">
        <f aca="false">'Calc Engine'!H644+'Calc Engine'!H645</f>
        <v>0</v>
      </c>
      <c r="I89" s="16" t="n">
        <f aca="false">'Calc Engine'!I644+'Calc Engine'!I645</f>
        <v>0</v>
      </c>
      <c r="J89" s="22" t="n">
        <f aca="false">IF(SUM(D89:I89)&lt;=0,-1,IFERROR(IRR(C89:I89,MAX(-0.9,(SUM(D89:I89)/-C89)^(1/Assumptions!$C$38)-1)),IRR(C89:I89,0.1)))</f>
        <v>0.080028740504877</v>
      </c>
    </row>
    <row r="90" customFormat="false" ht="15" hidden="false" customHeight="false" outlineLevel="0" collapsed="false">
      <c r="A90" s="3" t="str">
        <f aca="false">"Base Case · price point 5"</f>
        <v>Base Case · price point 5</v>
      </c>
      <c r="C90" s="16" t="n">
        <f aca="false">-Assumptions!$C$35*$A$14/100*(1+Assumptions!$C$37)</f>
        <v>-106.53</v>
      </c>
      <c r="D90" s="16" t="n">
        <f aca="false">'Calc Engine'!D644+'Calc Engine'!D645</f>
        <v>9.15</v>
      </c>
      <c r="E90" s="16" t="n">
        <f aca="false">'Calc Engine'!E644+'Calc Engine'!E645</f>
        <v>9</v>
      </c>
      <c r="F90" s="16" t="n">
        <f aca="false">'Calc Engine'!F644+'Calc Engine'!F645</f>
        <v>108.75</v>
      </c>
      <c r="G90" s="16" t="n">
        <f aca="false">'Calc Engine'!G644+'Calc Engine'!G645</f>
        <v>0</v>
      </c>
      <c r="H90" s="16" t="n">
        <f aca="false">'Calc Engine'!H644+'Calc Engine'!H645</f>
        <v>0</v>
      </c>
      <c r="I90" s="16" t="n">
        <f aca="false">'Calc Engine'!I644+'Calc Engine'!I645</f>
        <v>0</v>
      </c>
      <c r="J90" s="22" t="n">
        <f aca="false">IF(SUM(D90:I90)&lt;=0,-1,IFERROR(IRR(C90:I90,MAX(-0.9,(SUM(D90:I90)/-C90)^(1/Assumptions!$C$38)-1)),IRR(C90:I90,0.1)))</f>
        <v>0.0650906667830349</v>
      </c>
    </row>
    <row r="91" customFormat="false" ht="15" hidden="false" customHeight="false" outlineLevel="0" collapsed="false">
      <c r="A91" s="3" t="str">
        <f aca="false">"Downside · price point 1"</f>
        <v>Downside · price point 1</v>
      </c>
      <c r="C91" s="16" t="n">
        <f aca="false">-Assumptions!$C$35*$A$10/100*(1+Assumptions!$C$37)</f>
        <v>-90.45</v>
      </c>
      <c r="D91" s="16" t="n">
        <f aca="false">'Calc Engine'!D1299+'Calc Engine'!D1300</f>
        <v>10.65</v>
      </c>
      <c r="E91" s="16" t="n">
        <f aca="false">'Calc Engine'!E1299+'Calc Engine'!E1300</f>
        <v>10.5</v>
      </c>
      <c r="F91" s="16" t="n">
        <f aca="false">'Calc Engine'!F1299+'Calc Engine'!F1300</f>
        <v>102.625</v>
      </c>
      <c r="G91" s="16" t="n">
        <f aca="false">'Calc Engine'!G1299+'Calc Engine'!G1300</f>
        <v>0</v>
      </c>
      <c r="H91" s="16" t="n">
        <f aca="false">'Calc Engine'!H1299+'Calc Engine'!H1300</f>
        <v>0</v>
      </c>
      <c r="I91" s="16" t="n">
        <f aca="false">'Calc Engine'!I1299+'Calc Engine'!I1300</f>
        <v>0</v>
      </c>
      <c r="J91" s="22" t="n">
        <f aca="false">IF(SUM(D91:I91)&lt;=0,-1,IFERROR(IRR(C91:I91,MAX(-0.9,(SUM(D91:I91)/-C91)^(1/Assumptions!$C$38)-1)),IRR(C91:I91,0.1)))</f>
        <v>0.122180300370173</v>
      </c>
    </row>
    <row r="92" customFormat="false" ht="15" hidden="false" customHeight="false" outlineLevel="0" collapsed="false">
      <c r="A92" s="3" t="str">
        <f aca="false">"Downside · price point 2"</f>
        <v>Downside · price point 2</v>
      </c>
      <c r="C92" s="16" t="n">
        <f aca="false">-Assumptions!$C$35*$A$11/100*(1+Assumptions!$C$37)</f>
        <v>-94.47</v>
      </c>
      <c r="D92" s="16" t="n">
        <f aca="false">'Calc Engine'!D1299+'Calc Engine'!D1300</f>
        <v>10.65</v>
      </c>
      <c r="E92" s="16" t="n">
        <f aca="false">'Calc Engine'!E1299+'Calc Engine'!E1300</f>
        <v>10.5</v>
      </c>
      <c r="F92" s="16" t="n">
        <f aca="false">'Calc Engine'!F1299+'Calc Engine'!F1300</f>
        <v>102.625</v>
      </c>
      <c r="G92" s="16" t="n">
        <f aca="false">'Calc Engine'!G1299+'Calc Engine'!G1300</f>
        <v>0</v>
      </c>
      <c r="H92" s="16" t="n">
        <f aca="false">'Calc Engine'!H1299+'Calc Engine'!H1300</f>
        <v>0</v>
      </c>
      <c r="I92" s="16" t="n">
        <f aca="false">'Calc Engine'!I1299+'Calc Engine'!I1300</f>
        <v>0</v>
      </c>
      <c r="J92" s="22" t="n">
        <f aca="false">IF(SUM(D92:I92)&lt;=0,-1,IFERROR(IRR(C92:I92,MAX(-0.9,(SUM(D92:I92)/-C92)^(1/Assumptions!$C$38)-1)),IRR(C92:I92,0.1)))</f>
        <v>0.104260433454882</v>
      </c>
    </row>
    <row r="93" customFormat="false" ht="15" hidden="false" customHeight="false" outlineLevel="0" collapsed="false">
      <c r="A93" s="3" t="str">
        <f aca="false">"Downside · price point 3"</f>
        <v>Downside · price point 3</v>
      </c>
      <c r="C93" s="16" t="n">
        <f aca="false">-Assumptions!$C$35*$A$12/100*(1+Assumptions!$C$37)</f>
        <v>-98.49</v>
      </c>
      <c r="D93" s="16" t="n">
        <f aca="false">'Calc Engine'!D1299+'Calc Engine'!D1300</f>
        <v>10.65</v>
      </c>
      <c r="E93" s="16" t="n">
        <f aca="false">'Calc Engine'!E1299+'Calc Engine'!E1300</f>
        <v>10.5</v>
      </c>
      <c r="F93" s="16" t="n">
        <f aca="false">'Calc Engine'!F1299+'Calc Engine'!F1300</f>
        <v>102.625</v>
      </c>
      <c r="G93" s="16" t="n">
        <f aca="false">'Calc Engine'!G1299+'Calc Engine'!G1300</f>
        <v>0</v>
      </c>
      <c r="H93" s="16" t="n">
        <f aca="false">'Calc Engine'!H1299+'Calc Engine'!H1300</f>
        <v>0</v>
      </c>
      <c r="I93" s="16" t="n">
        <f aca="false">'Calc Engine'!I1299+'Calc Engine'!I1300</f>
        <v>0</v>
      </c>
      <c r="J93" s="22" t="n">
        <f aca="false">IF(SUM(D93:I93)&lt;=0,-1,IFERROR(IRR(C93:I93,MAX(-0.9,(SUM(D93:I93)/-C93)^(1/Assumptions!$C$38)-1)),IRR(C93:I93,0.1)))</f>
        <v>0.0873962489027792</v>
      </c>
    </row>
    <row r="94" customFormat="false" ht="15" hidden="false" customHeight="false" outlineLevel="0" collapsed="false">
      <c r="A94" s="3" t="str">
        <f aca="false">"Downside · price point 4"</f>
        <v>Downside · price point 4</v>
      </c>
      <c r="C94" s="16" t="n">
        <f aca="false">-Assumptions!$C$35*$A$13/100*(1+Assumptions!$C$37)</f>
        <v>-102.51</v>
      </c>
      <c r="D94" s="16" t="n">
        <f aca="false">'Calc Engine'!D1299+'Calc Engine'!D1300</f>
        <v>10.65</v>
      </c>
      <c r="E94" s="16" t="n">
        <f aca="false">'Calc Engine'!E1299+'Calc Engine'!E1300</f>
        <v>10.5</v>
      </c>
      <c r="F94" s="16" t="n">
        <f aca="false">'Calc Engine'!F1299+'Calc Engine'!F1300</f>
        <v>102.625</v>
      </c>
      <c r="G94" s="16" t="n">
        <f aca="false">'Calc Engine'!G1299+'Calc Engine'!G1300</f>
        <v>0</v>
      </c>
      <c r="H94" s="16" t="n">
        <f aca="false">'Calc Engine'!H1299+'Calc Engine'!H1300</f>
        <v>0</v>
      </c>
      <c r="I94" s="16" t="n">
        <f aca="false">'Calc Engine'!I1299+'Calc Engine'!I1300</f>
        <v>0</v>
      </c>
      <c r="J94" s="22" t="n">
        <f aca="false">IF(SUM(D94:I94)&lt;=0,-1,IFERROR(IRR(C94:I94,MAX(-0.9,(SUM(D94:I94)/-C94)^(1/Assumptions!$C$38)-1)),IRR(C94:I94,0.1)))</f>
        <v>0.0714847073647989</v>
      </c>
    </row>
    <row r="95" customFormat="false" ht="15" hidden="false" customHeight="false" outlineLevel="0" collapsed="false">
      <c r="A95" s="3" t="str">
        <f aca="false">"Downside · price point 5"</f>
        <v>Downside · price point 5</v>
      </c>
      <c r="C95" s="16" t="n">
        <f aca="false">-Assumptions!$C$35*$A$14/100*(1+Assumptions!$C$37)</f>
        <v>-106.53</v>
      </c>
      <c r="D95" s="16" t="n">
        <f aca="false">'Calc Engine'!D1299+'Calc Engine'!D1300</f>
        <v>10.65</v>
      </c>
      <c r="E95" s="16" t="n">
        <f aca="false">'Calc Engine'!E1299+'Calc Engine'!E1300</f>
        <v>10.5</v>
      </c>
      <c r="F95" s="16" t="n">
        <f aca="false">'Calc Engine'!F1299+'Calc Engine'!F1300</f>
        <v>102.625</v>
      </c>
      <c r="G95" s="16" t="n">
        <f aca="false">'Calc Engine'!G1299+'Calc Engine'!G1300</f>
        <v>0</v>
      </c>
      <c r="H95" s="16" t="n">
        <f aca="false">'Calc Engine'!H1299+'Calc Engine'!H1300</f>
        <v>0</v>
      </c>
      <c r="I95" s="16" t="n">
        <f aca="false">'Calc Engine'!I1299+'Calc Engine'!I1300</f>
        <v>0</v>
      </c>
      <c r="J95" s="22" t="n">
        <f aca="false">IF(SUM(D95:I95)&lt;=0,-1,IFERROR(IRR(C95:I95,MAX(-0.9,(SUM(D95:I95)/-C95)^(1/Assumptions!$C$38)-1)),IRR(C95:I95,0.1)))</f>
        <v>0.0564364760154208</v>
      </c>
    </row>
    <row r="96" customFormat="false" ht="15" hidden="false" customHeight="false" outlineLevel="0" collapsed="false">
      <c r="A96" s="3" t="str">
        <f aca="false">"Severe Downside · price point 1"</f>
        <v>Severe Downside · price point 1</v>
      </c>
      <c r="C96" s="16" t="n">
        <f aca="false">-Assumptions!$C$35*$A$10/100*(1+Assumptions!$C$37)</f>
        <v>-90.45</v>
      </c>
      <c r="D96" s="16" t="n">
        <f aca="false">'Calc Engine'!D1954+'Calc Engine'!D1955</f>
        <v>12.15</v>
      </c>
      <c r="E96" s="16" t="n">
        <f aca="false">'Calc Engine'!E1954+'Calc Engine'!E1955</f>
        <v>12</v>
      </c>
      <c r="F96" s="16" t="n">
        <f aca="false">'Calc Engine'!F1954+'Calc Engine'!F1955</f>
        <v>103</v>
      </c>
      <c r="G96" s="16" t="n">
        <f aca="false">'Calc Engine'!G1954+'Calc Engine'!G1955</f>
        <v>0</v>
      </c>
      <c r="H96" s="16" t="n">
        <f aca="false">'Calc Engine'!H1954+'Calc Engine'!H1955</f>
        <v>0</v>
      </c>
      <c r="I96" s="16" t="n">
        <f aca="false">'Calc Engine'!I1954+'Calc Engine'!I1955</f>
        <v>0</v>
      </c>
      <c r="J96" s="22" t="n">
        <f aca="false">IF(SUM(D96:I96)&lt;=0,-1,IFERROR(IRR(C96:I96,MAX(-0.9,(SUM(D96:I96)/-C96)^(1/Assumptions!$C$38)-1)),IRR(C96:I96,0.1)))</f>
        <v>0.135070287325438</v>
      </c>
    </row>
    <row r="97" customFormat="false" ht="15" hidden="false" customHeight="false" outlineLevel="0" collapsed="false">
      <c r="A97" s="3" t="str">
        <f aca="false">"Severe Downside · price point 2"</f>
        <v>Severe Downside · price point 2</v>
      </c>
      <c r="C97" s="16" t="n">
        <f aca="false">-Assumptions!$C$35*$A$11/100*(1+Assumptions!$C$37)</f>
        <v>-94.47</v>
      </c>
      <c r="D97" s="16" t="n">
        <f aca="false">'Calc Engine'!D1954+'Calc Engine'!D1955</f>
        <v>12.15</v>
      </c>
      <c r="E97" s="16" t="n">
        <f aca="false">'Calc Engine'!E1954+'Calc Engine'!E1955</f>
        <v>12</v>
      </c>
      <c r="F97" s="16" t="n">
        <f aca="false">'Calc Engine'!F1954+'Calc Engine'!F1955</f>
        <v>103</v>
      </c>
      <c r="G97" s="16" t="n">
        <f aca="false">'Calc Engine'!G1954+'Calc Engine'!G1955</f>
        <v>0</v>
      </c>
      <c r="H97" s="16" t="n">
        <f aca="false">'Calc Engine'!H1954+'Calc Engine'!H1955</f>
        <v>0</v>
      </c>
      <c r="I97" s="16" t="n">
        <f aca="false">'Calc Engine'!I1954+'Calc Engine'!I1955</f>
        <v>0</v>
      </c>
      <c r="J97" s="22" t="n">
        <f aca="false">IF(SUM(D97:I97)&lt;=0,-1,IFERROR(IRR(C97:I97,MAX(-0.9,(SUM(D97:I97)/-C97)^(1/Assumptions!$C$38)-1)),IRR(C97:I97,0.1)))</f>
        <v>0.1166931889233</v>
      </c>
    </row>
    <row r="98" customFormat="false" ht="15" hidden="false" customHeight="false" outlineLevel="0" collapsed="false">
      <c r="A98" s="3" t="str">
        <f aca="false">"Severe Downside · price point 3"</f>
        <v>Severe Downside · price point 3</v>
      </c>
      <c r="C98" s="16" t="n">
        <f aca="false">-Assumptions!$C$35*$A$12/100*(1+Assumptions!$C$37)</f>
        <v>-98.49</v>
      </c>
      <c r="D98" s="16" t="n">
        <f aca="false">'Calc Engine'!D1954+'Calc Engine'!D1955</f>
        <v>12.15</v>
      </c>
      <c r="E98" s="16" t="n">
        <f aca="false">'Calc Engine'!E1954+'Calc Engine'!E1955</f>
        <v>12</v>
      </c>
      <c r="F98" s="16" t="n">
        <f aca="false">'Calc Engine'!F1954+'Calc Engine'!F1955</f>
        <v>103</v>
      </c>
      <c r="G98" s="16" t="n">
        <f aca="false">'Calc Engine'!G1954+'Calc Engine'!G1955</f>
        <v>0</v>
      </c>
      <c r="H98" s="16" t="n">
        <f aca="false">'Calc Engine'!H1954+'Calc Engine'!H1955</f>
        <v>0</v>
      </c>
      <c r="I98" s="16" t="n">
        <f aca="false">'Calc Engine'!I1954+'Calc Engine'!I1955</f>
        <v>0</v>
      </c>
      <c r="J98" s="22" t="n">
        <f aca="false">IF(SUM(D98:I98)&lt;=0,-1,IFERROR(IRR(C98:I98,MAX(-0.9,(SUM(D98:I98)/-C98)^(1/Assumptions!$C$38)-1)),IRR(C98:I98,0.1)))</f>
        <v>0.0994077590660149</v>
      </c>
    </row>
    <row r="99" customFormat="false" ht="15" hidden="false" customHeight="false" outlineLevel="0" collapsed="false">
      <c r="A99" s="3" t="str">
        <f aca="false">"Severe Downside · price point 4"</f>
        <v>Severe Downside · price point 4</v>
      </c>
      <c r="C99" s="16" t="n">
        <f aca="false">-Assumptions!$C$35*$A$13/100*(1+Assumptions!$C$37)</f>
        <v>-102.51</v>
      </c>
      <c r="D99" s="16" t="n">
        <f aca="false">'Calc Engine'!D1954+'Calc Engine'!D1955</f>
        <v>12.15</v>
      </c>
      <c r="E99" s="16" t="n">
        <f aca="false">'Calc Engine'!E1954+'Calc Engine'!E1955</f>
        <v>12</v>
      </c>
      <c r="F99" s="16" t="n">
        <f aca="false">'Calc Engine'!F1954+'Calc Engine'!F1955</f>
        <v>103</v>
      </c>
      <c r="G99" s="16" t="n">
        <f aca="false">'Calc Engine'!G1954+'Calc Engine'!G1955</f>
        <v>0</v>
      </c>
      <c r="H99" s="16" t="n">
        <f aca="false">'Calc Engine'!H1954+'Calc Engine'!H1955</f>
        <v>0</v>
      </c>
      <c r="I99" s="16" t="n">
        <f aca="false">'Calc Engine'!I1954+'Calc Engine'!I1955</f>
        <v>0</v>
      </c>
      <c r="J99" s="22" t="n">
        <f aca="false">IF(SUM(D99:I99)&lt;=0,-1,IFERROR(IRR(C99:I99,MAX(-0.9,(SUM(D99:I99)/-C99)^(1/Assumptions!$C$38)-1)),IRR(C99:I99,0.1)))</f>
        <v>0.0831067667344589</v>
      </c>
    </row>
    <row r="100" customFormat="false" ht="15" hidden="false" customHeight="false" outlineLevel="0" collapsed="false">
      <c r="A100" s="3" t="str">
        <f aca="false">"Severe Downside · price point 5"</f>
        <v>Severe Downside · price point 5</v>
      </c>
      <c r="C100" s="16" t="n">
        <f aca="false">-Assumptions!$C$35*$A$14/100*(1+Assumptions!$C$37)</f>
        <v>-106.53</v>
      </c>
      <c r="D100" s="16" t="n">
        <f aca="false">'Calc Engine'!D1954+'Calc Engine'!D1955</f>
        <v>12.15</v>
      </c>
      <c r="E100" s="16" t="n">
        <f aca="false">'Calc Engine'!E1954+'Calc Engine'!E1955</f>
        <v>12</v>
      </c>
      <c r="F100" s="16" t="n">
        <f aca="false">'Calc Engine'!F1954+'Calc Engine'!F1955</f>
        <v>103</v>
      </c>
      <c r="G100" s="16" t="n">
        <f aca="false">'Calc Engine'!G1954+'Calc Engine'!G1955</f>
        <v>0</v>
      </c>
      <c r="H100" s="16" t="n">
        <f aca="false">'Calc Engine'!H1954+'Calc Engine'!H1955</f>
        <v>0</v>
      </c>
      <c r="I100" s="16" t="n">
        <f aca="false">'Calc Engine'!I1954+'Calc Engine'!I1955</f>
        <v>0</v>
      </c>
      <c r="J100" s="22" t="n">
        <f aca="false">IF(SUM(D100:I100)&lt;=0,-1,IFERROR(IRR(C100:I100,MAX(-0.9,(SUM(D100:I100)/-C100)^(1/Assumptions!$C$38)-1)),IRR(C100:I100,0.1)))</f>
        <v>0.0676973198942062</v>
      </c>
    </row>
    <row r="101" customFormat="false" ht="15" hidden="false" customHeight="false" outlineLevel="0" collapsed="false">
      <c r="A101" s="3" t="str">
        <f aca="false">"Base Case · rec point 1"</f>
        <v>Base Case · rec point 1</v>
      </c>
      <c r="C101" s="29" t="n">
        <f aca="false">'Calc Engine'!C646</f>
        <v>-98.49</v>
      </c>
      <c r="D101" s="16" t="n">
        <f aca="false">'Calc Engine'!D644+IF('Calc Engine'!D642='Calc Engine'!C640,Assumptions!$C$35*$A$20/100,0)</f>
        <v>9.15</v>
      </c>
      <c r="E101" s="16" t="n">
        <f aca="false">'Calc Engine'!E644+IF('Calc Engine'!E642='Calc Engine'!C640,Assumptions!$C$35*$A$20/100,0)</f>
        <v>9</v>
      </c>
      <c r="F101" s="16" t="n">
        <f aca="false">'Calc Engine'!F644+IF('Calc Engine'!F642='Calc Engine'!C640,Assumptions!$C$35*$A$20/100,0)</f>
        <v>28.75</v>
      </c>
      <c r="G101" s="16" t="n">
        <f aca="false">'Calc Engine'!G644+IF('Calc Engine'!G642='Calc Engine'!C640,Assumptions!$C$35*$A$20/100,0)</f>
        <v>0</v>
      </c>
      <c r="H101" s="16" t="n">
        <f aca="false">'Calc Engine'!H644+IF('Calc Engine'!H642='Calc Engine'!C640,Assumptions!$C$35*$A$20/100,0)</f>
        <v>0</v>
      </c>
      <c r="I101" s="16" t="n">
        <f aca="false">'Calc Engine'!I644+IF('Calc Engine'!I642='Calc Engine'!C640,Assumptions!$C$35*$A$20/100,0)</f>
        <v>0</v>
      </c>
      <c r="J101" s="22" t="n">
        <f aca="false">IF(SUM(D101:I101)&lt;=0,-1,IFERROR(IRR(C101:I101,MAX(-0.9,(SUM(D101:I101)/-C101)^(1/Assumptions!$C$38)-1)),IRR(C101:I101,0.1)))</f>
        <v>-0.256357507625347</v>
      </c>
    </row>
    <row r="102" customFormat="false" ht="15" hidden="false" customHeight="false" outlineLevel="0" collapsed="false">
      <c r="A102" s="3" t="str">
        <f aca="false">"Base Case · rec point 2"</f>
        <v>Base Case · rec point 2</v>
      </c>
      <c r="C102" s="29" t="n">
        <f aca="false">'Calc Engine'!C646</f>
        <v>-98.49</v>
      </c>
      <c r="D102" s="16" t="n">
        <f aca="false">'Calc Engine'!D644+IF('Calc Engine'!D642='Calc Engine'!C640,Assumptions!$C$35*$A$21/100,0)</f>
        <v>9.15</v>
      </c>
      <c r="E102" s="16" t="n">
        <f aca="false">'Calc Engine'!E644+IF('Calc Engine'!E642='Calc Engine'!C640,Assumptions!$C$35*$A$21/100,0)</f>
        <v>9</v>
      </c>
      <c r="F102" s="16" t="n">
        <f aca="false">'Calc Engine'!F644+IF('Calc Engine'!F642='Calc Engine'!C640,Assumptions!$C$35*$A$21/100,0)</f>
        <v>48.75</v>
      </c>
      <c r="G102" s="16" t="n">
        <f aca="false">'Calc Engine'!G644+IF('Calc Engine'!G642='Calc Engine'!C640,Assumptions!$C$35*$A$21/100,0)</f>
        <v>0</v>
      </c>
      <c r="H102" s="16" t="n">
        <f aca="false">'Calc Engine'!H644+IF('Calc Engine'!H642='Calc Engine'!C640,Assumptions!$C$35*$A$21/100,0)</f>
        <v>0</v>
      </c>
      <c r="I102" s="16" t="n">
        <f aca="false">'Calc Engine'!I644+IF('Calc Engine'!I642='Calc Engine'!C640,Assumptions!$C$35*$A$21/100,0)</f>
        <v>0</v>
      </c>
      <c r="J102" s="22" t="n">
        <f aca="false">IF(SUM(D102:I102)&lt;=0,-1,IFERROR(IRR(C102:I102,MAX(-0.9,(SUM(D102:I102)/-C102)^(1/Assumptions!$C$38)-1)),IRR(C102:I102,0.1)))</f>
        <v>-0.136853545947026</v>
      </c>
    </row>
    <row r="103" customFormat="false" ht="15" hidden="false" customHeight="false" outlineLevel="0" collapsed="false">
      <c r="A103" s="3" t="str">
        <f aca="false">"Base Case · rec point 3"</f>
        <v>Base Case · rec point 3</v>
      </c>
      <c r="C103" s="29" t="n">
        <f aca="false">'Calc Engine'!C646</f>
        <v>-98.49</v>
      </c>
      <c r="D103" s="16" t="n">
        <f aca="false">'Calc Engine'!D644+IF('Calc Engine'!D642='Calc Engine'!C640,Assumptions!$C$35*$A$22/100,0)</f>
        <v>9.15</v>
      </c>
      <c r="E103" s="16" t="n">
        <f aca="false">'Calc Engine'!E644+IF('Calc Engine'!E642='Calc Engine'!C640,Assumptions!$C$35*$A$22/100,0)</f>
        <v>9</v>
      </c>
      <c r="F103" s="16" t="n">
        <f aca="false">'Calc Engine'!F644+IF('Calc Engine'!F642='Calc Engine'!C640,Assumptions!$C$35*$A$22/100,0)</f>
        <v>68.75</v>
      </c>
      <c r="G103" s="16" t="n">
        <f aca="false">'Calc Engine'!G644+IF('Calc Engine'!G642='Calc Engine'!C640,Assumptions!$C$35*$A$22/100,0)</f>
        <v>0</v>
      </c>
      <c r="H103" s="16" t="n">
        <f aca="false">'Calc Engine'!H644+IF('Calc Engine'!H642='Calc Engine'!C640,Assumptions!$C$35*$A$22/100,0)</f>
        <v>0</v>
      </c>
      <c r="I103" s="16" t="n">
        <f aca="false">'Calc Engine'!I644+IF('Calc Engine'!I642='Calc Engine'!C640,Assumptions!$C$35*$A$22/100,0)</f>
        <v>0</v>
      </c>
      <c r="J103" s="22" t="n">
        <f aca="false">IF(SUM(D103:I103)&lt;=0,-1,IFERROR(IRR(C103:I103,MAX(-0.9,(SUM(D103:I103)/-C103)^(1/Assumptions!$C$38)-1)),IRR(C103:I103,0.1)))</f>
        <v>-0.0453835944392499</v>
      </c>
    </row>
    <row r="104" customFormat="false" ht="15" hidden="false" customHeight="false" outlineLevel="0" collapsed="false">
      <c r="A104" s="3" t="str">
        <f aca="false">"Base Case · rec point 4"</f>
        <v>Base Case · rec point 4</v>
      </c>
      <c r="C104" s="29" t="n">
        <f aca="false">'Calc Engine'!C646</f>
        <v>-98.49</v>
      </c>
      <c r="D104" s="16" t="n">
        <f aca="false">'Calc Engine'!D644+IF('Calc Engine'!D642='Calc Engine'!C640,Assumptions!$C$35*$A$23/100,0)</f>
        <v>9.15</v>
      </c>
      <c r="E104" s="16" t="n">
        <f aca="false">'Calc Engine'!E644+IF('Calc Engine'!E642='Calc Engine'!C640,Assumptions!$C$35*$A$23/100,0)</f>
        <v>9</v>
      </c>
      <c r="F104" s="16" t="n">
        <f aca="false">'Calc Engine'!F644+IF('Calc Engine'!F642='Calc Engine'!C640,Assumptions!$C$35*$A$23/100,0)</f>
        <v>88.75</v>
      </c>
      <c r="G104" s="16" t="n">
        <f aca="false">'Calc Engine'!G644+IF('Calc Engine'!G642='Calc Engine'!C640,Assumptions!$C$35*$A$23/100,0)</f>
        <v>0</v>
      </c>
      <c r="H104" s="16" t="n">
        <f aca="false">'Calc Engine'!H644+IF('Calc Engine'!H642='Calc Engine'!C640,Assumptions!$C$35*$A$23/100,0)</f>
        <v>0</v>
      </c>
      <c r="I104" s="16" t="n">
        <f aca="false">'Calc Engine'!I644+IF('Calc Engine'!I642='Calc Engine'!C640,Assumptions!$C$35*$A$23/100,0)</f>
        <v>0</v>
      </c>
      <c r="J104" s="22" t="n">
        <f aca="false">IF(SUM(D104:I104)&lt;=0,-1,IFERROR(IRR(C104:I104,MAX(-0.9,(SUM(D104:I104)/-C104)^(1/Assumptions!$C$38)-1)),IRR(C104:I104,0.1)))</f>
        <v>0.0303659233410246</v>
      </c>
    </row>
    <row r="105" customFormat="false" ht="15" hidden="false" customHeight="false" outlineLevel="0" collapsed="false">
      <c r="A105" s="3" t="str">
        <f aca="false">"Base Case · rec point 5"</f>
        <v>Base Case · rec point 5</v>
      </c>
      <c r="C105" s="29" t="n">
        <f aca="false">'Calc Engine'!C646</f>
        <v>-98.49</v>
      </c>
      <c r="D105" s="16" t="n">
        <f aca="false">'Calc Engine'!D644+IF('Calc Engine'!D642='Calc Engine'!C640,Assumptions!$C$35*$A$24/100,0)</f>
        <v>9.15</v>
      </c>
      <c r="E105" s="16" t="n">
        <f aca="false">'Calc Engine'!E644+IF('Calc Engine'!E642='Calc Engine'!C640,Assumptions!$C$35*$A$24/100,0)</f>
        <v>9</v>
      </c>
      <c r="F105" s="16" t="n">
        <f aca="false">'Calc Engine'!F644+IF('Calc Engine'!F642='Calc Engine'!C640,Assumptions!$C$35*$A$24/100,0)</f>
        <v>108.75</v>
      </c>
      <c r="G105" s="16" t="n">
        <f aca="false">'Calc Engine'!G644+IF('Calc Engine'!G642='Calc Engine'!C640,Assumptions!$C$35*$A$24/100,0)</f>
        <v>0</v>
      </c>
      <c r="H105" s="16" t="n">
        <f aca="false">'Calc Engine'!H644+IF('Calc Engine'!H642='Calc Engine'!C640,Assumptions!$C$35*$A$24/100,0)</f>
        <v>0</v>
      </c>
      <c r="I105" s="16" t="n">
        <f aca="false">'Calc Engine'!I644+IF('Calc Engine'!I642='Calc Engine'!C640,Assumptions!$C$35*$A$24/100,0)</f>
        <v>0</v>
      </c>
      <c r="J105" s="22" t="n">
        <f aca="false">IF(SUM(D105:I105)&lt;=0,-1,IFERROR(IRR(C105:I105,MAX(-0.9,(SUM(D105:I105)/-C105)^(1/Assumptions!$C$38)-1)),IRR(C105:I105,0.1)))</f>
        <v>0.0958152816969216</v>
      </c>
    </row>
    <row r="106" customFormat="false" ht="15" hidden="false" customHeight="false" outlineLevel="0" collapsed="false">
      <c r="A106" s="3" t="str">
        <f aca="false">"Downside · rec point 1"</f>
        <v>Downside · rec point 1</v>
      </c>
      <c r="C106" s="29" t="n">
        <f aca="false">'Calc Engine'!C1301</f>
        <v>-98.49</v>
      </c>
      <c r="D106" s="16" t="n">
        <f aca="false">'Calc Engine'!D1299+IF('Calc Engine'!D1297='Calc Engine'!C1295,Assumptions!$C$35*$A$20/100,0)</f>
        <v>10.65</v>
      </c>
      <c r="E106" s="16" t="n">
        <f aca="false">'Calc Engine'!E1299+IF('Calc Engine'!E1297='Calc Engine'!C1295,Assumptions!$C$35*$A$20/100,0)</f>
        <v>10.5</v>
      </c>
      <c r="F106" s="16" t="n">
        <f aca="false">'Calc Engine'!F1299+IF('Calc Engine'!F1297='Calc Engine'!C1295,Assumptions!$C$35*$A$20/100,0)</f>
        <v>20</v>
      </c>
      <c r="G106" s="16" t="n">
        <f aca="false">'Calc Engine'!G1299+IF('Calc Engine'!G1297='Calc Engine'!C1295,Assumptions!$C$35*$A$20/100,0)</f>
        <v>0</v>
      </c>
      <c r="H106" s="16" t="n">
        <f aca="false">'Calc Engine'!H1299+IF('Calc Engine'!H1297='Calc Engine'!C1295,Assumptions!$C$35*$A$20/100,0)</f>
        <v>0</v>
      </c>
      <c r="I106" s="16" t="n">
        <f aca="false">'Calc Engine'!I1299+IF('Calc Engine'!I1297='Calc Engine'!C1295,Assumptions!$C$35*$A$20/100,0)</f>
        <v>0</v>
      </c>
      <c r="J106" s="22" t="n">
        <f aca="false">IF(SUM(D106:I106)&lt;=0,-1,IFERROR(IRR(C106:I106,MAX(-0.9,(SUM(D106:I106)/-C106)^(1/Assumptions!$C$38)-1)),IRR(C106:I106,0.1)))</f>
        <v>-0.310341272812061</v>
      </c>
    </row>
    <row r="107" customFormat="false" ht="15" hidden="false" customHeight="false" outlineLevel="0" collapsed="false">
      <c r="A107" s="3" t="str">
        <f aca="false">"Downside · rec point 2"</f>
        <v>Downside · rec point 2</v>
      </c>
      <c r="C107" s="29" t="n">
        <f aca="false">'Calc Engine'!C1301</f>
        <v>-98.49</v>
      </c>
      <c r="D107" s="16" t="n">
        <f aca="false">'Calc Engine'!D1299+IF('Calc Engine'!D1297='Calc Engine'!C1295,Assumptions!$C$35*$A$21/100,0)</f>
        <v>10.65</v>
      </c>
      <c r="E107" s="16" t="n">
        <f aca="false">'Calc Engine'!E1299+IF('Calc Engine'!E1297='Calc Engine'!C1295,Assumptions!$C$35*$A$21/100,0)</f>
        <v>10.5</v>
      </c>
      <c r="F107" s="16" t="n">
        <f aca="false">'Calc Engine'!F1299+IF('Calc Engine'!F1297='Calc Engine'!C1295,Assumptions!$C$35*$A$21/100,0)</f>
        <v>40</v>
      </c>
      <c r="G107" s="16" t="n">
        <f aca="false">'Calc Engine'!G1299+IF('Calc Engine'!G1297='Calc Engine'!C1295,Assumptions!$C$35*$A$21/100,0)</f>
        <v>0</v>
      </c>
      <c r="H107" s="16" t="n">
        <f aca="false">'Calc Engine'!H1299+IF('Calc Engine'!H1297='Calc Engine'!C1295,Assumptions!$C$35*$A$21/100,0)</f>
        <v>0</v>
      </c>
      <c r="I107" s="16" t="n">
        <f aca="false">'Calc Engine'!I1299+IF('Calc Engine'!I1297='Calc Engine'!C1295,Assumptions!$C$35*$A$21/100,0)</f>
        <v>0</v>
      </c>
      <c r="J107" s="22" t="n">
        <f aca="false">IF(SUM(D107:I107)&lt;=0,-1,IFERROR(IRR(C107:I107,MAX(-0.9,(SUM(D107:I107)/-C107)^(1/Assumptions!$C$38)-1)),IRR(C107:I107,0.1)))</f>
        <v>-0.171505660527283</v>
      </c>
    </row>
    <row r="108" customFormat="false" ht="15" hidden="false" customHeight="false" outlineLevel="0" collapsed="false">
      <c r="A108" s="3" t="str">
        <f aca="false">"Downside · rec point 3"</f>
        <v>Downside · rec point 3</v>
      </c>
      <c r="C108" s="29" t="n">
        <f aca="false">'Calc Engine'!C1301</f>
        <v>-98.49</v>
      </c>
      <c r="D108" s="16" t="n">
        <f aca="false">'Calc Engine'!D1299+IF('Calc Engine'!D1297='Calc Engine'!C1295,Assumptions!$C$35*$A$22/100,0)</f>
        <v>10.65</v>
      </c>
      <c r="E108" s="16" t="n">
        <f aca="false">'Calc Engine'!E1299+IF('Calc Engine'!E1297='Calc Engine'!C1295,Assumptions!$C$35*$A$22/100,0)</f>
        <v>10.5</v>
      </c>
      <c r="F108" s="16" t="n">
        <f aca="false">'Calc Engine'!F1299+IF('Calc Engine'!F1297='Calc Engine'!C1295,Assumptions!$C$35*$A$22/100,0)</f>
        <v>60</v>
      </c>
      <c r="G108" s="16" t="n">
        <f aca="false">'Calc Engine'!G1299+IF('Calc Engine'!G1297='Calc Engine'!C1295,Assumptions!$C$35*$A$22/100,0)</f>
        <v>0</v>
      </c>
      <c r="H108" s="16" t="n">
        <f aca="false">'Calc Engine'!H1299+IF('Calc Engine'!H1297='Calc Engine'!C1295,Assumptions!$C$35*$A$22/100,0)</f>
        <v>0</v>
      </c>
      <c r="I108" s="16" t="n">
        <f aca="false">'Calc Engine'!I1299+IF('Calc Engine'!I1297='Calc Engine'!C1295,Assumptions!$C$35*$A$22/100,0)</f>
        <v>0</v>
      </c>
      <c r="J108" s="22" t="n">
        <f aca="false">IF(SUM(D108:I108)&lt;=0,-1,IFERROR(IRR(C108:I108,MAX(-0.9,(SUM(D108:I108)/-C108)^(1/Assumptions!$C$38)-1)),IRR(C108:I108,0.1)))</f>
        <v>-0.0710888193703201</v>
      </c>
    </row>
    <row r="109" customFormat="false" ht="15" hidden="false" customHeight="false" outlineLevel="0" collapsed="false">
      <c r="A109" s="3" t="str">
        <f aca="false">"Downside · rec point 4"</f>
        <v>Downside · rec point 4</v>
      </c>
      <c r="C109" s="29" t="n">
        <f aca="false">'Calc Engine'!C1301</f>
        <v>-98.49</v>
      </c>
      <c r="D109" s="16" t="n">
        <f aca="false">'Calc Engine'!D1299+IF('Calc Engine'!D1297='Calc Engine'!C1295,Assumptions!$C$35*$A$23/100,0)</f>
        <v>10.65</v>
      </c>
      <c r="E109" s="16" t="n">
        <f aca="false">'Calc Engine'!E1299+IF('Calc Engine'!E1297='Calc Engine'!C1295,Assumptions!$C$35*$A$23/100,0)</f>
        <v>10.5</v>
      </c>
      <c r="F109" s="16" t="n">
        <f aca="false">'Calc Engine'!F1299+IF('Calc Engine'!F1297='Calc Engine'!C1295,Assumptions!$C$35*$A$23/100,0)</f>
        <v>80</v>
      </c>
      <c r="G109" s="16" t="n">
        <f aca="false">'Calc Engine'!G1299+IF('Calc Engine'!G1297='Calc Engine'!C1295,Assumptions!$C$35*$A$23/100,0)</f>
        <v>0</v>
      </c>
      <c r="H109" s="16" t="n">
        <f aca="false">'Calc Engine'!H1299+IF('Calc Engine'!H1297='Calc Engine'!C1295,Assumptions!$C$35*$A$23/100,0)</f>
        <v>0</v>
      </c>
      <c r="I109" s="16" t="n">
        <f aca="false">'Calc Engine'!I1299+IF('Calc Engine'!I1297='Calc Engine'!C1295,Assumptions!$C$35*$A$23/100,0)</f>
        <v>0</v>
      </c>
      <c r="J109" s="22" t="n">
        <f aca="false">IF(SUM(D109:I109)&lt;=0,-1,IFERROR(IRR(C109:I109,MAX(-0.9,(SUM(D109:I109)/-C109)^(1/Assumptions!$C$38)-1)),IRR(C109:I109,0.1)))</f>
        <v>0.00998039836668664</v>
      </c>
    </row>
    <row r="110" customFormat="false" ht="15" hidden="false" customHeight="false" outlineLevel="0" collapsed="false">
      <c r="A110" s="3" t="str">
        <f aca="false">"Downside · rec point 5"</f>
        <v>Downside · rec point 5</v>
      </c>
      <c r="C110" s="29" t="n">
        <f aca="false">'Calc Engine'!C1301</f>
        <v>-98.49</v>
      </c>
      <c r="D110" s="16" t="n">
        <f aca="false">'Calc Engine'!D1299+IF('Calc Engine'!D1297='Calc Engine'!C1295,Assumptions!$C$35*$A$24/100,0)</f>
        <v>10.65</v>
      </c>
      <c r="E110" s="16" t="n">
        <f aca="false">'Calc Engine'!E1299+IF('Calc Engine'!E1297='Calc Engine'!C1295,Assumptions!$C$35*$A$24/100,0)</f>
        <v>10.5</v>
      </c>
      <c r="F110" s="16" t="n">
        <f aca="false">'Calc Engine'!F1299+IF('Calc Engine'!F1297='Calc Engine'!C1295,Assumptions!$C$35*$A$24/100,0)</f>
        <v>100</v>
      </c>
      <c r="G110" s="16" t="n">
        <f aca="false">'Calc Engine'!G1299+IF('Calc Engine'!G1297='Calc Engine'!C1295,Assumptions!$C$35*$A$24/100,0)</f>
        <v>0</v>
      </c>
      <c r="H110" s="16" t="n">
        <f aca="false">'Calc Engine'!H1299+IF('Calc Engine'!H1297='Calc Engine'!C1295,Assumptions!$C$35*$A$24/100,0)</f>
        <v>0</v>
      </c>
      <c r="I110" s="16" t="n">
        <f aca="false">'Calc Engine'!I1299+IF('Calc Engine'!I1297='Calc Engine'!C1295,Assumptions!$C$35*$A$24/100,0)</f>
        <v>0</v>
      </c>
      <c r="J110" s="22" t="n">
        <f aca="false">IF(SUM(D110:I110)&lt;=0,-1,IFERROR(IRR(C110:I110,MAX(-0.9,(SUM(D110:I110)/-C110)^(1/Assumptions!$C$38)-1)),IRR(C110:I110,0.1)))</f>
        <v>0.0790127172972946</v>
      </c>
    </row>
    <row r="111" customFormat="false" ht="15" hidden="false" customHeight="false" outlineLevel="0" collapsed="false">
      <c r="A111" s="3" t="str">
        <f aca="false">"Severe Downside · rec point 1"</f>
        <v>Severe Downside · rec point 1</v>
      </c>
      <c r="C111" s="29" t="n">
        <f aca="false">'Calc Engine'!C1956</f>
        <v>-98.49</v>
      </c>
      <c r="D111" s="16" t="n">
        <f aca="false">'Calc Engine'!D1954+IF('Calc Engine'!D1952='Calc Engine'!C1950,Assumptions!$C$35*$A$20/100,0)</f>
        <v>12.15</v>
      </c>
      <c r="E111" s="16" t="n">
        <f aca="false">'Calc Engine'!E1954+IF('Calc Engine'!E1952='Calc Engine'!C1950,Assumptions!$C$35*$A$20/100,0)</f>
        <v>12</v>
      </c>
      <c r="F111" s="16" t="n">
        <f aca="false">'Calc Engine'!F1954+IF('Calc Engine'!F1952='Calc Engine'!C1950,Assumptions!$C$35*$A$20/100,0)</f>
        <v>20</v>
      </c>
      <c r="G111" s="16" t="n">
        <f aca="false">'Calc Engine'!G1954+IF('Calc Engine'!G1952='Calc Engine'!C1950,Assumptions!$C$35*$A$20/100,0)</f>
        <v>0</v>
      </c>
      <c r="H111" s="16" t="n">
        <f aca="false">'Calc Engine'!H1954+IF('Calc Engine'!H1952='Calc Engine'!C1950,Assumptions!$C$35*$A$20/100,0)</f>
        <v>0</v>
      </c>
      <c r="I111" s="16" t="n">
        <f aca="false">'Calc Engine'!I1954+IF('Calc Engine'!I1952='Calc Engine'!C1950,Assumptions!$C$35*$A$20/100,0)</f>
        <v>0</v>
      </c>
      <c r="J111" s="22" t="n">
        <f aca="false">IF(SUM(D111:I111)&lt;=0,-1,IFERROR(IRR(C111:I111,MAX(-0.9,(SUM(D111:I111)/-C111)^(1/Assumptions!$C$38)-1)),IRR(C111:I111,0.1)))</f>
        <v>-0.29510450612145</v>
      </c>
    </row>
    <row r="112" customFormat="false" ht="15" hidden="false" customHeight="false" outlineLevel="0" collapsed="false">
      <c r="A112" s="3" t="str">
        <f aca="false">"Severe Downside · rec point 2"</f>
        <v>Severe Downside · rec point 2</v>
      </c>
      <c r="C112" s="29" t="n">
        <f aca="false">'Calc Engine'!C1956</f>
        <v>-98.49</v>
      </c>
      <c r="D112" s="16" t="n">
        <f aca="false">'Calc Engine'!D1954+IF('Calc Engine'!D1952='Calc Engine'!C1950,Assumptions!$C$35*$A$21/100,0)</f>
        <v>12.15</v>
      </c>
      <c r="E112" s="16" t="n">
        <f aca="false">'Calc Engine'!E1954+IF('Calc Engine'!E1952='Calc Engine'!C1950,Assumptions!$C$35*$A$21/100,0)</f>
        <v>12</v>
      </c>
      <c r="F112" s="16" t="n">
        <f aca="false">'Calc Engine'!F1954+IF('Calc Engine'!F1952='Calc Engine'!C1950,Assumptions!$C$35*$A$21/100,0)</f>
        <v>40</v>
      </c>
      <c r="G112" s="16" t="n">
        <f aca="false">'Calc Engine'!G1954+IF('Calc Engine'!G1952='Calc Engine'!C1950,Assumptions!$C$35*$A$21/100,0)</f>
        <v>0</v>
      </c>
      <c r="H112" s="16" t="n">
        <f aca="false">'Calc Engine'!H1954+IF('Calc Engine'!H1952='Calc Engine'!C1950,Assumptions!$C$35*$A$21/100,0)</f>
        <v>0</v>
      </c>
      <c r="I112" s="16" t="n">
        <f aca="false">'Calc Engine'!I1954+IF('Calc Engine'!I1952='Calc Engine'!C1950,Assumptions!$C$35*$A$21/100,0)</f>
        <v>0</v>
      </c>
      <c r="J112" s="22" t="n">
        <f aca="false">IF(SUM(D112:I112)&lt;=0,-1,IFERROR(IRR(C112:I112,MAX(-0.9,(SUM(D112:I112)/-C112)^(1/Assumptions!$C$38)-1)),IRR(C112:I112,0.1)))</f>
        <v>-0.158426559273778</v>
      </c>
    </row>
    <row r="113" customFormat="false" ht="15" hidden="false" customHeight="false" outlineLevel="0" collapsed="false">
      <c r="A113" s="3" t="str">
        <f aca="false">"Severe Downside · rec point 3"</f>
        <v>Severe Downside · rec point 3</v>
      </c>
      <c r="C113" s="29" t="n">
        <f aca="false">'Calc Engine'!C1956</f>
        <v>-98.49</v>
      </c>
      <c r="D113" s="16" t="n">
        <f aca="false">'Calc Engine'!D1954+IF('Calc Engine'!D1952='Calc Engine'!C1950,Assumptions!$C$35*$A$22/100,0)</f>
        <v>12.15</v>
      </c>
      <c r="E113" s="16" t="n">
        <f aca="false">'Calc Engine'!E1954+IF('Calc Engine'!E1952='Calc Engine'!C1950,Assumptions!$C$35*$A$22/100,0)</f>
        <v>12</v>
      </c>
      <c r="F113" s="16" t="n">
        <f aca="false">'Calc Engine'!F1954+IF('Calc Engine'!F1952='Calc Engine'!C1950,Assumptions!$C$35*$A$22/100,0)</f>
        <v>60</v>
      </c>
      <c r="G113" s="16" t="n">
        <f aca="false">'Calc Engine'!G1954+IF('Calc Engine'!G1952='Calc Engine'!C1950,Assumptions!$C$35*$A$22/100,0)</f>
        <v>0</v>
      </c>
      <c r="H113" s="16" t="n">
        <f aca="false">'Calc Engine'!H1954+IF('Calc Engine'!H1952='Calc Engine'!C1950,Assumptions!$C$35*$A$22/100,0)</f>
        <v>0</v>
      </c>
      <c r="I113" s="16" t="n">
        <f aca="false">'Calc Engine'!I1954+IF('Calc Engine'!I1952='Calc Engine'!C1950,Assumptions!$C$35*$A$22/100,0)</f>
        <v>0</v>
      </c>
      <c r="J113" s="22" t="n">
        <f aca="false">IF(SUM(D113:I113)&lt;=0,-1,IFERROR(IRR(C113:I113,MAX(-0.9,(SUM(D113:I113)/-C113)^(1/Assumptions!$C$38)-1)),IRR(C113:I113,0.1)))</f>
        <v>-0.0590660603955202</v>
      </c>
    </row>
    <row r="114" customFormat="false" ht="15" hidden="false" customHeight="false" outlineLevel="0" collapsed="false">
      <c r="A114" s="3" t="str">
        <f aca="false">"Severe Downside · rec point 4"</f>
        <v>Severe Downside · rec point 4</v>
      </c>
      <c r="C114" s="29" t="n">
        <f aca="false">'Calc Engine'!C1956</f>
        <v>-98.49</v>
      </c>
      <c r="D114" s="16" t="n">
        <f aca="false">'Calc Engine'!D1954+IF('Calc Engine'!D1952='Calc Engine'!C1950,Assumptions!$C$35*$A$23/100,0)</f>
        <v>12.15</v>
      </c>
      <c r="E114" s="16" t="n">
        <f aca="false">'Calc Engine'!E1954+IF('Calc Engine'!E1952='Calc Engine'!C1950,Assumptions!$C$35*$A$23/100,0)</f>
        <v>12</v>
      </c>
      <c r="F114" s="16" t="n">
        <f aca="false">'Calc Engine'!F1954+IF('Calc Engine'!F1952='Calc Engine'!C1950,Assumptions!$C$35*$A$23/100,0)</f>
        <v>80</v>
      </c>
      <c r="G114" s="16" t="n">
        <f aca="false">'Calc Engine'!G1954+IF('Calc Engine'!G1952='Calc Engine'!C1950,Assumptions!$C$35*$A$23/100,0)</f>
        <v>0</v>
      </c>
      <c r="H114" s="16" t="n">
        <f aca="false">'Calc Engine'!H1954+IF('Calc Engine'!H1952='Calc Engine'!C1950,Assumptions!$C$35*$A$23/100,0)</f>
        <v>0</v>
      </c>
      <c r="I114" s="16" t="n">
        <f aca="false">'Calc Engine'!I1954+IF('Calc Engine'!I1952='Calc Engine'!C1950,Assumptions!$C$35*$A$23/100,0)</f>
        <v>0</v>
      </c>
      <c r="J114" s="22" t="n">
        <f aca="false">IF(SUM(D114:I114)&lt;=0,-1,IFERROR(IRR(C114:I114,MAX(-0.9,(SUM(D114:I114)/-C114)^(1/Assumptions!$C$38)-1)),IRR(C114:I114,0.1)))</f>
        <v>0.0213375400471884</v>
      </c>
    </row>
    <row r="115" customFormat="false" ht="15" hidden="false" customHeight="false" outlineLevel="0" collapsed="false">
      <c r="A115" s="3" t="str">
        <f aca="false">"Severe Downside · rec point 5"</f>
        <v>Severe Downside · rec point 5</v>
      </c>
      <c r="C115" s="29" t="n">
        <f aca="false">'Calc Engine'!C1956</f>
        <v>-98.49</v>
      </c>
      <c r="D115" s="16" t="n">
        <f aca="false">'Calc Engine'!D1954+IF('Calc Engine'!D1952='Calc Engine'!C1950,Assumptions!$C$35*$A$24/100,0)</f>
        <v>12.15</v>
      </c>
      <c r="E115" s="16" t="n">
        <f aca="false">'Calc Engine'!E1954+IF('Calc Engine'!E1952='Calc Engine'!C1950,Assumptions!$C$35*$A$24/100,0)</f>
        <v>12</v>
      </c>
      <c r="F115" s="16" t="n">
        <f aca="false">'Calc Engine'!F1954+IF('Calc Engine'!F1952='Calc Engine'!C1950,Assumptions!$C$35*$A$24/100,0)</f>
        <v>100</v>
      </c>
      <c r="G115" s="16" t="n">
        <f aca="false">'Calc Engine'!G1954+IF('Calc Engine'!G1952='Calc Engine'!C1950,Assumptions!$C$35*$A$24/100,0)</f>
        <v>0</v>
      </c>
      <c r="H115" s="16" t="n">
        <f aca="false">'Calc Engine'!H1954+IF('Calc Engine'!H1952='Calc Engine'!C1950,Assumptions!$C$35*$A$24/100,0)</f>
        <v>0</v>
      </c>
      <c r="I115" s="16" t="n">
        <f aca="false">'Calc Engine'!I1954+IF('Calc Engine'!I1952='Calc Engine'!C1950,Assumptions!$C$35*$A$24/100,0)</f>
        <v>0</v>
      </c>
      <c r="J115" s="22" t="n">
        <f aca="false">IF(SUM(D115:I115)&lt;=0,-1,IFERROR(IRR(C115:I115,MAX(-0.9,(SUM(D115:I115)/-C115)^(1/Assumptions!$C$38)-1)),IRR(C115:I115,0.1)))</f>
        <v>0.0898976376877164</v>
      </c>
    </row>
    <row r="119" customFormat="false" ht="15" hidden="false" customHeight="false" outlineLevel="0" collapsed="false">
      <c r="A119" s="9" t="s">
        <v>655</v>
      </c>
      <c r="B119" s="10"/>
      <c r="C119" s="10"/>
      <c r="D119" s="10"/>
      <c r="E119" s="10"/>
      <c r="F119" s="10"/>
      <c r="G119" s="10"/>
      <c r="H119" s="10"/>
      <c r="I119" s="10"/>
      <c r="J119" s="10"/>
    </row>
    <row r="120" customFormat="false" ht="15" hidden="false" customHeight="false" outlineLevel="0" collapsed="false">
      <c r="A120" s="3" t="s">
        <v>656</v>
      </c>
    </row>
    <row r="122" customFormat="false" ht="15" hidden="false" customHeight="false" outlineLevel="0" collapsed="false">
      <c r="A122" s="3" t="s">
        <v>657</v>
      </c>
      <c r="C122" s="22" t="n">
        <f aca="false">CHOOSE(Assumptions!$C$34,Assumptions!$Q$57,Assumptions!$Q$58,Assumptions!$Q$59,Assumptions!$Q$60,Assumptions!$Q$61,Assumptions!$Q$62,Assumptions!$Q$63,Assumptions!$Q$64,Assumptions!$Q$65,Assumptions!$Q$66)</f>
        <v>0.3</v>
      </c>
    </row>
    <row r="123" customFormat="false" ht="15" hidden="false" customHeight="false" outlineLevel="0" collapsed="false">
      <c r="A123" s="3" t="s">
        <v>658</v>
      </c>
      <c r="C123" s="16" t="n">
        <f aca="false">CHOOSE(Assumptions!$C$34,Assumptions!$C$57,Assumptions!$C$58,Assumptions!$C$59,Assumptions!$C$60,Assumptions!$C$61,Assumptions!$C$62,Assumptions!$C$63,Assumptions!$C$64,Assumptions!$C$65,Assumptions!$C$66)</f>
        <v>400</v>
      </c>
    </row>
    <row r="124" customFormat="false" ht="15" hidden="false" customHeight="false" outlineLevel="0" collapsed="false">
      <c r="A124" s="3" t="s">
        <v>68</v>
      </c>
      <c r="C124" s="33" t="n">
        <f aca="false">Assumptions!$C$15</f>
        <v>0.04</v>
      </c>
    </row>
    <row r="125" customFormat="false" ht="15" hidden="false" customHeight="false" outlineLevel="0" collapsed="false">
      <c r="A125" s="3" t="s">
        <v>659</v>
      </c>
      <c r="C125" s="33" t="n">
        <f aca="false">Assumptions!$C$132</f>
        <v>0.85</v>
      </c>
    </row>
    <row r="126" customFormat="false" ht="15" hidden="false" customHeight="false" outlineLevel="0" collapsed="false">
      <c r="A126" s="3" t="s">
        <v>660</v>
      </c>
      <c r="C126" s="29" t="n">
        <f aca="false">'Historical Financials'!G27</f>
        <v>301.511</v>
      </c>
    </row>
    <row r="127" customFormat="false" ht="15" hidden="false" customHeight="false" outlineLevel="0" collapsed="false">
      <c r="A127" s="3" t="s">
        <v>661</v>
      </c>
      <c r="C127" s="33" t="n">
        <f aca="false">Assumptions!$C$26</f>
        <v>0.075</v>
      </c>
    </row>
    <row r="128" customFormat="false" ht="15" hidden="false" customHeight="false" outlineLevel="0" collapsed="false">
      <c r="A128" s="3" t="s">
        <v>662</v>
      </c>
      <c r="C128" s="29" t="n">
        <f aca="false">Assumptions!$C$31</f>
        <v>4517.70066666667</v>
      </c>
    </row>
    <row r="129" customFormat="false" ht="15" hidden="false" customHeight="false" outlineLevel="0" collapsed="false">
      <c r="A129" s="3" t="s">
        <v>663</v>
      </c>
      <c r="C129" s="16" t="n">
        <f aca="false">Assumptions!$C$31-Assumptions!C27</f>
        <v>497.554</v>
      </c>
    </row>
    <row r="131" customFormat="false" ht="15" hidden="false" customHeight="false" outlineLevel="0" collapsed="false">
      <c r="A131" s="9" t="s">
        <v>664</v>
      </c>
      <c r="B131" s="10"/>
      <c r="C131" s="10"/>
      <c r="D131" s="10"/>
      <c r="E131" s="10"/>
      <c r="F131" s="10"/>
      <c r="G131" s="10"/>
      <c r="H131" s="10"/>
    </row>
    <row r="132" customFormat="false" ht="15" hidden="false" customHeight="false" outlineLevel="0" collapsed="false">
      <c r="A132" s="7" t="s">
        <v>665</v>
      </c>
      <c r="B132" s="7"/>
      <c r="C132" s="48" t="n">
        <v>0</v>
      </c>
      <c r="D132" s="48" t="n">
        <v>-0.1</v>
      </c>
      <c r="E132" s="48" t="n">
        <v>-0.2</v>
      </c>
      <c r="F132" s="48" t="n">
        <v>-0.3</v>
      </c>
      <c r="G132" s="48" t="n">
        <v>-0.4</v>
      </c>
      <c r="H132" s="48" t="n">
        <v>-0.5</v>
      </c>
    </row>
    <row r="133" customFormat="false" ht="15" hidden="false" customHeight="false" outlineLevel="0" collapsed="false">
      <c r="A133" s="13" t="n">
        <v>0.065</v>
      </c>
      <c r="C133" s="22" t="n">
        <f aca="false">IF($C$123&lt;=0,1,MIN(1,$C$122*($C$126*(1+C$132)/$A133+$C$129)*$C$125*(1-$C$124)/($C$123)))</f>
        <v>1</v>
      </c>
      <c r="D133" s="22" t="n">
        <f aca="false">IF($C$123&lt;=0,1,MIN(1,$C$122*($C$126*(1+D$132)/$A133+$C$129)*$C$125*(1-$C$124)/($C$123)))</f>
        <v>1</v>
      </c>
      <c r="E133" s="22" t="n">
        <f aca="false">IF($C$123&lt;=0,1,MIN(1,$C$122*($C$126*(1+E$132)/$A133+$C$129)*$C$125*(1-$C$124)/($C$123)))</f>
        <v>1</v>
      </c>
      <c r="F133" s="22" t="n">
        <f aca="false">IF($C$123&lt;=0,1,MIN(1,$C$122*($C$126*(1+F$132)/$A133+$C$129)*$C$125*(1-$C$124)/($C$123)))</f>
        <v>1</v>
      </c>
      <c r="G133" s="22" t="n">
        <f aca="false">IF($C$123&lt;=0,1,MIN(1,$C$122*($C$126*(1+G$132)/$A133+$C$129)*$C$125*(1-$C$124)/($C$123)))</f>
        <v>1</v>
      </c>
      <c r="H133" s="22" t="n">
        <f aca="false">IF($C$123&lt;=0,1,MIN(1,$C$122*($C$126*(1+H$132)/$A133+$C$129)*$C$125*(1-$C$124)/($C$123)))</f>
        <v>1</v>
      </c>
    </row>
    <row r="134" customFormat="false" ht="15" hidden="false" customHeight="false" outlineLevel="0" collapsed="false">
      <c r="A134" s="13" t="n">
        <v>0.075</v>
      </c>
      <c r="C134" s="22" t="n">
        <f aca="false">IF($C$123&lt;=0,1,MIN(1,$C$122*($C$126*(1+C$132)/$A134+$C$129)*$C$125*(1-$C$124)/($C$123)))</f>
        <v>1</v>
      </c>
      <c r="D134" s="22" t="n">
        <f aca="false">IF($C$123&lt;=0,1,MIN(1,$C$122*($C$126*(1+D$132)/$A134+$C$129)*$C$125*(1-$C$124)/($C$123)))</f>
        <v>1</v>
      </c>
      <c r="E134" s="22" t="n">
        <f aca="false">IF($C$123&lt;=0,1,MIN(1,$C$122*($C$126*(1+E$132)/$A134+$C$129)*$C$125*(1-$C$124)/($C$123)))</f>
        <v>1</v>
      </c>
      <c r="F134" s="22" t="n">
        <f aca="false">IF($C$123&lt;=0,1,MIN(1,$C$122*($C$126*(1+F$132)/$A134+$C$129)*$C$125*(1-$C$124)/($C$123)))</f>
        <v>1</v>
      </c>
      <c r="G134" s="22" t="n">
        <f aca="false">IF($C$123&lt;=0,1,MIN(1,$C$122*($C$126*(1+G$132)/$A134+$C$129)*$C$125*(1-$C$124)/($C$123)))</f>
        <v>1</v>
      </c>
      <c r="H134" s="22" t="n">
        <f aca="false">IF($C$123&lt;=0,1,MIN(1,$C$122*($C$126*(1+H$132)/$A134+$C$129)*$C$125*(1-$C$124)/($C$123)))</f>
        <v>1</v>
      </c>
    </row>
    <row r="135" customFormat="false" ht="15" hidden="false" customHeight="false" outlineLevel="0" collapsed="false">
      <c r="A135" s="13" t="n">
        <v>0.09</v>
      </c>
      <c r="C135" s="22" t="n">
        <f aca="false">IF($C$123&lt;=0,1,MIN(1,$C$122*($C$126*(1+C$132)/$A135+$C$129)*$C$125*(1-$C$124)/($C$123)))</f>
        <v>1</v>
      </c>
      <c r="D135" s="22" t="n">
        <f aca="false">IF($C$123&lt;=0,1,MIN(1,$C$122*($C$126*(1+D$132)/$A135+$C$129)*$C$125*(1-$C$124)/($C$123)))</f>
        <v>1</v>
      </c>
      <c r="E135" s="22" t="n">
        <f aca="false">IF($C$123&lt;=0,1,MIN(1,$C$122*($C$126*(1+E$132)/$A135+$C$129)*$C$125*(1-$C$124)/($C$123)))</f>
        <v>1</v>
      </c>
      <c r="F135" s="22" t="n">
        <f aca="false">IF($C$123&lt;=0,1,MIN(1,$C$122*($C$126*(1+F$132)/$A135+$C$129)*$C$125*(1-$C$124)/($C$123)))</f>
        <v>1</v>
      </c>
      <c r="G135" s="22" t="n">
        <f aca="false">IF($C$123&lt;=0,1,MIN(1,$C$122*($C$126*(1+G$132)/$A135+$C$129)*$C$125*(1-$C$124)/($C$123)))</f>
        <v>1</v>
      </c>
      <c r="H135" s="22" t="n">
        <f aca="false">IF($C$123&lt;=0,1,MIN(1,$C$122*($C$126*(1+H$132)/$A135+$C$129)*$C$125*(1-$C$124)/($C$123)))</f>
        <v>1</v>
      </c>
    </row>
    <row r="136" customFormat="false" ht="15" hidden="false" customHeight="false" outlineLevel="0" collapsed="false">
      <c r="A136" s="13" t="n">
        <v>0.105</v>
      </c>
      <c r="C136" s="22" t="n">
        <f aca="false">IF($C$123&lt;=0,1,MIN(1,$C$122*($C$126*(1+C$132)/$A136+$C$129)*$C$125*(1-$C$124)/($C$123)))</f>
        <v>1</v>
      </c>
      <c r="D136" s="22" t="n">
        <f aca="false">IF($C$123&lt;=0,1,MIN(1,$C$122*($C$126*(1+D$132)/$A136+$C$129)*$C$125*(1-$C$124)/($C$123)))</f>
        <v>1</v>
      </c>
      <c r="E136" s="22" t="n">
        <f aca="false">IF($C$123&lt;=0,1,MIN(1,$C$122*($C$126*(1+E$132)/$A136+$C$129)*$C$125*(1-$C$124)/($C$123)))</f>
        <v>1</v>
      </c>
      <c r="F136" s="22" t="n">
        <f aca="false">IF($C$123&lt;=0,1,MIN(1,$C$122*($C$126*(1+F$132)/$A136+$C$129)*$C$125*(1-$C$124)/($C$123)))</f>
        <v>1</v>
      </c>
      <c r="G136" s="22" t="n">
        <f aca="false">IF($C$123&lt;=0,1,MIN(1,$C$122*($C$126*(1+G$132)/$A136+$C$129)*$C$125*(1-$C$124)/($C$123)))</f>
        <v>1</v>
      </c>
      <c r="H136" s="22" t="n">
        <f aca="false">IF($C$123&lt;=0,1,MIN(1,$C$122*($C$126*(1+H$132)/$A136+$C$129)*$C$125*(1-$C$124)/($C$123)))</f>
        <v>1</v>
      </c>
    </row>
    <row r="137" customFormat="false" ht="15" hidden="false" customHeight="false" outlineLevel="0" collapsed="false">
      <c r="A137" s="13" t="n">
        <v>0.12</v>
      </c>
      <c r="C137" s="22" t="n">
        <f aca="false">IF($C$123&lt;=0,1,MIN(1,$C$122*($C$126*(1+C$132)/$A137+$C$129)*$C$125*(1-$C$124)/($C$123)))</f>
        <v>1</v>
      </c>
      <c r="D137" s="22" t="n">
        <f aca="false">IF($C$123&lt;=0,1,MIN(1,$C$122*($C$126*(1+D$132)/$A137+$C$129)*$C$125*(1-$C$124)/($C$123)))</f>
        <v>1</v>
      </c>
      <c r="E137" s="22" t="n">
        <f aca="false">IF($C$123&lt;=0,1,MIN(1,$C$122*($C$126*(1+E$132)/$A137+$C$129)*$C$125*(1-$C$124)/($C$123)))</f>
        <v>1</v>
      </c>
      <c r="F137" s="22" t="n">
        <f aca="false">IF($C$123&lt;=0,1,MIN(1,$C$122*($C$126*(1+F$132)/$A137+$C$129)*$C$125*(1-$C$124)/($C$123)))</f>
        <v>1</v>
      </c>
      <c r="G137" s="22" t="n">
        <f aca="false">IF($C$123&lt;=0,1,MIN(1,$C$122*($C$126*(1+G$132)/$A137+$C$129)*$C$125*(1-$C$124)/($C$123)))</f>
        <v>1</v>
      </c>
      <c r="H137" s="22" t="n">
        <f aca="false">IF($C$123&lt;=0,1,MIN(1,$C$122*($C$126*(1+H$132)/$A137+$C$129)*$C$125*(1-$C$124)/($C$123)))</f>
        <v>1</v>
      </c>
    </row>
    <row r="138" customFormat="false" ht="15" hidden="false" customHeight="false" outlineLevel="0" collapsed="false">
      <c r="A138" s="13" t="n">
        <v>0.14</v>
      </c>
      <c r="C138" s="22" t="n">
        <f aca="false">IF($C$123&lt;=0,1,MIN(1,$C$122*($C$126*(1+C$132)/$A138+$C$129)*$C$125*(1-$C$124)/($C$123)))</f>
        <v>1</v>
      </c>
      <c r="D138" s="22" t="n">
        <f aca="false">IF($C$123&lt;=0,1,MIN(1,$C$122*($C$126*(1+D$132)/$A138+$C$129)*$C$125*(1-$C$124)/($C$123)))</f>
        <v>1</v>
      </c>
      <c r="E138" s="22" t="n">
        <f aca="false">IF($C$123&lt;=0,1,MIN(1,$C$122*($C$126*(1+E$132)/$A138+$C$129)*$C$125*(1-$C$124)/($C$123)))</f>
        <v>1</v>
      </c>
      <c r="F138" s="22" t="n">
        <f aca="false">IF($C$123&lt;=0,1,MIN(1,$C$122*($C$126*(1+F$132)/$A138+$C$129)*$C$125*(1-$C$124)/($C$123)))</f>
        <v>1</v>
      </c>
      <c r="G138" s="22" t="n">
        <f aca="false">IF($C$123&lt;=0,1,MIN(1,$C$122*($C$126*(1+G$132)/$A138+$C$129)*$C$125*(1-$C$124)/($C$123)))</f>
        <v>1</v>
      </c>
      <c r="H138" s="22" t="n">
        <f aca="false">IF($C$123&lt;=0,1,MIN(1,$C$122*($C$126*(1+H$132)/$A138+$C$129)*$C$125*(1-$C$124)/($C$123)))</f>
        <v>0.963519948</v>
      </c>
    </row>
    <row r="140" customFormat="false" ht="15" hidden="false" customHeight="false" outlineLevel="0" collapsed="false">
      <c r="A140" s="9" t="s">
        <v>666</v>
      </c>
      <c r="B140" s="10"/>
      <c r="C140" s="10"/>
      <c r="D140" s="10"/>
      <c r="E140" s="10"/>
      <c r="F140" s="10"/>
      <c r="G140" s="10"/>
      <c r="H140" s="10"/>
    </row>
    <row r="141" customFormat="false" ht="15" hidden="false" customHeight="false" outlineLevel="0" collapsed="false">
      <c r="A141" s="7" t="s">
        <v>667</v>
      </c>
      <c r="B141" s="7"/>
      <c r="C141" s="48" t="n">
        <v>1</v>
      </c>
      <c r="D141" s="48" t="n">
        <v>0.85</v>
      </c>
      <c r="E141" s="48" t="n">
        <v>0.7</v>
      </c>
      <c r="F141" s="48" t="n">
        <v>0.55</v>
      </c>
      <c r="G141" s="48" t="n">
        <v>0.4</v>
      </c>
      <c r="H141" s="48" t="n">
        <v>0.25</v>
      </c>
    </row>
    <row r="142" customFormat="false" ht="15" hidden="false" customHeight="false" outlineLevel="0" collapsed="false">
      <c r="A142" s="13" t="n">
        <v>0.1</v>
      </c>
      <c r="C142" s="22" t="n">
        <f aca="false">IF($C$123&lt;=0,1,MIN(1,$A142*($C$128)*C$141*(1-$C$124)/($C$123)))</f>
        <v>1</v>
      </c>
      <c r="D142" s="22" t="n">
        <f aca="false">IF($C$123&lt;=0,1,MIN(1,$A142*($C$128)*D$141*(1-$C$124)/($C$123)))</f>
        <v>0.921610936</v>
      </c>
      <c r="E142" s="22" t="n">
        <f aca="false">IF($C$123&lt;=0,1,MIN(1,$A142*($C$128)*E$141*(1-$C$124)/($C$123)))</f>
        <v>0.758973712</v>
      </c>
      <c r="F142" s="22" t="n">
        <f aca="false">IF($C$123&lt;=0,1,MIN(1,$A142*($C$128)*F$141*(1-$C$124)/($C$123)))</f>
        <v>0.596336488</v>
      </c>
      <c r="G142" s="22" t="n">
        <f aca="false">IF($C$123&lt;=0,1,MIN(1,$A142*($C$128)*G$141*(1-$C$124)/($C$123)))</f>
        <v>0.433699264</v>
      </c>
      <c r="H142" s="22" t="n">
        <f aca="false">IF($C$123&lt;=0,1,MIN(1,$A142*($C$128)*H$141*(1-$C$124)/($C$123)))</f>
        <v>0.27106204</v>
      </c>
    </row>
    <row r="143" customFormat="false" ht="15" hidden="false" customHeight="false" outlineLevel="0" collapsed="false">
      <c r="A143" s="13" t="n">
        <v>0.2</v>
      </c>
      <c r="C143" s="22" t="n">
        <f aca="false">IF($C$123&lt;=0,1,MIN(1,$A143*($C$128)*C$141*(1-$C$124)/($C$123)))</f>
        <v>1</v>
      </c>
      <c r="D143" s="22" t="n">
        <f aca="false">IF($C$123&lt;=0,1,MIN(1,$A143*($C$128)*D$141*(1-$C$124)/($C$123)))</f>
        <v>1</v>
      </c>
      <c r="E143" s="22" t="n">
        <f aca="false">IF($C$123&lt;=0,1,MIN(1,$A143*($C$128)*E$141*(1-$C$124)/($C$123)))</f>
        <v>1</v>
      </c>
      <c r="F143" s="22" t="n">
        <f aca="false">IF($C$123&lt;=0,1,MIN(1,$A143*($C$128)*F$141*(1-$C$124)/($C$123)))</f>
        <v>1</v>
      </c>
      <c r="G143" s="22" t="n">
        <f aca="false">IF($C$123&lt;=0,1,MIN(1,$A143*($C$128)*G$141*(1-$C$124)/($C$123)))</f>
        <v>0.867398528</v>
      </c>
      <c r="H143" s="22" t="n">
        <f aca="false">IF($C$123&lt;=0,1,MIN(1,$A143*($C$128)*H$141*(1-$C$124)/($C$123)))</f>
        <v>0.54212408</v>
      </c>
    </row>
    <row r="144" customFormat="false" ht="15" hidden="false" customHeight="false" outlineLevel="0" collapsed="false">
      <c r="A144" s="13" t="n">
        <v>0.3</v>
      </c>
      <c r="C144" s="22" t="n">
        <f aca="false">IF($C$123&lt;=0,1,MIN(1,$A144*($C$128)*C$141*(1-$C$124)/($C$123)))</f>
        <v>1</v>
      </c>
      <c r="D144" s="22" t="n">
        <f aca="false">IF($C$123&lt;=0,1,MIN(1,$A144*($C$128)*D$141*(1-$C$124)/($C$123)))</f>
        <v>1</v>
      </c>
      <c r="E144" s="22" t="n">
        <f aca="false">IF($C$123&lt;=0,1,MIN(1,$A144*($C$128)*E$141*(1-$C$124)/($C$123)))</f>
        <v>1</v>
      </c>
      <c r="F144" s="22" t="n">
        <f aca="false">IF($C$123&lt;=0,1,MIN(1,$A144*($C$128)*F$141*(1-$C$124)/($C$123)))</f>
        <v>1</v>
      </c>
      <c r="G144" s="22" t="n">
        <f aca="false">IF($C$123&lt;=0,1,MIN(1,$A144*($C$128)*G$141*(1-$C$124)/($C$123)))</f>
        <v>1</v>
      </c>
      <c r="H144" s="22" t="n">
        <f aca="false">IF($C$123&lt;=0,1,MIN(1,$A144*($C$128)*H$141*(1-$C$124)/($C$123)))</f>
        <v>0.81318612</v>
      </c>
    </row>
    <row r="145" customFormat="false" ht="15" hidden="false" customHeight="false" outlineLevel="0" collapsed="false">
      <c r="A145" s="13" t="n">
        <v>0.4</v>
      </c>
      <c r="C145" s="22" t="n">
        <f aca="false">IF($C$123&lt;=0,1,MIN(1,$A145*($C$128)*C$141*(1-$C$124)/($C$123)))</f>
        <v>1</v>
      </c>
      <c r="D145" s="22" t="n">
        <f aca="false">IF($C$123&lt;=0,1,MIN(1,$A145*($C$128)*D$141*(1-$C$124)/($C$123)))</f>
        <v>1</v>
      </c>
      <c r="E145" s="22" t="n">
        <f aca="false">IF($C$123&lt;=0,1,MIN(1,$A145*($C$128)*E$141*(1-$C$124)/($C$123)))</f>
        <v>1</v>
      </c>
      <c r="F145" s="22" t="n">
        <f aca="false">IF($C$123&lt;=0,1,MIN(1,$A145*($C$128)*F$141*(1-$C$124)/($C$123)))</f>
        <v>1</v>
      </c>
      <c r="G145" s="22" t="n">
        <f aca="false">IF($C$123&lt;=0,1,MIN(1,$A145*($C$128)*G$141*(1-$C$124)/($C$123)))</f>
        <v>1</v>
      </c>
      <c r="H145" s="22" t="n">
        <f aca="false">IF($C$123&lt;=0,1,MIN(1,$A145*($C$128)*H$141*(1-$C$124)/($C$123)))</f>
        <v>1</v>
      </c>
    </row>
    <row r="146" customFormat="false" ht="15" hidden="false" customHeight="false" outlineLevel="0" collapsed="false">
      <c r="A146" s="13" t="n">
        <v>0.6</v>
      </c>
      <c r="C146" s="22" t="n">
        <f aca="false">IF($C$123&lt;=0,1,MIN(1,$A146*($C$128)*C$141*(1-$C$124)/($C$123)))</f>
        <v>1</v>
      </c>
      <c r="D146" s="22" t="n">
        <f aca="false">IF($C$123&lt;=0,1,MIN(1,$A146*($C$128)*D$141*(1-$C$124)/($C$123)))</f>
        <v>1</v>
      </c>
      <c r="E146" s="22" t="n">
        <f aca="false">IF($C$123&lt;=0,1,MIN(1,$A146*($C$128)*E$141*(1-$C$124)/($C$123)))</f>
        <v>1</v>
      </c>
      <c r="F146" s="22" t="n">
        <f aca="false">IF($C$123&lt;=0,1,MIN(1,$A146*($C$128)*F$141*(1-$C$124)/($C$123)))</f>
        <v>1</v>
      </c>
      <c r="G146" s="22" t="n">
        <f aca="false">IF($C$123&lt;=0,1,MIN(1,$A146*($C$128)*G$141*(1-$C$124)/($C$123)))</f>
        <v>1</v>
      </c>
      <c r="H146" s="22" t="n">
        <f aca="false">IF($C$123&lt;=0,1,MIN(1,$A146*($C$128)*H$141*(1-$C$124)/($C$123)))</f>
        <v>1</v>
      </c>
    </row>
    <row r="147" customFormat="false" ht="15" hidden="false" customHeight="false" outlineLevel="0" collapsed="false">
      <c r="A147" s="13" t="n">
        <v>1</v>
      </c>
      <c r="C147" s="22" t="n">
        <f aca="false">IF($C$123&lt;=0,1,MIN(1,$A147*($C$128)*C$141*(1-$C$124)/($C$123)))</f>
        <v>1</v>
      </c>
      <c r="D147" s="22" t="n">
        <f aca="false">IF($C$123&lt;=0,1,MIN(1,$A147*($C$128)*D$141*(1-$C$124)/($C$123)))</f>
        <v>1</v>
      </c>
      <c r="E147" s="22" t="n">
        <f aca="false">IF($C$123&lt;=0,1,MIN(1,$A147*($C$128)*E$141*(1-$C$124)/($C$123)))</f>
        <v>1</v>
      </c>
      <c r="F147" s="22" t="n">
        <f aca="false">IF($C$123&lt;=0,1,MIN(1,$A147*($C$128)*F$141*(1-$C$124)/($C$123)))</f>
        <v>1</v>
      </c>
      <c r="G147" s="22" t="n">
        <f aca="false">IF($C$123&lt;=0,1,MIN(1,$A147*($C$128)*G$141*(1-$C$124)/($C$123)))</f>
        <v>1</v>
      </c>
      <c r="H147" s="22" t="n">
        <f aca="false">IF($C$123&lt;=0,1,MIN(1,$A147*($C$128)*H$141*(1-$C$124)/($C$123)))</f>
        <v>1</v>
      </c>
    </row>
    <row r="149" customFormat="false" ht="15" hidden="false" customHeight="false" outlineLevel="0" collapsed="false">
      <c r="A149" s="9" t="s">
        <v>668</v>
      </c>
      <c r="B149" s="10"/>
      <c r="C149" s="10"/>
      <c r="D149" s="10"/>
      <c r="E149" s="10"/>
      <c r="F149" s="10"/>
      <c r="G149" s="10"/>
      <c r="H149" s="10"/>
    </row>
    <row r="150" customFormat="false" ht="15" hidden="false" customHeight="false" outlineLevel="0" collapsed="false">
      <c r="A150" s="7" t="s">
        <v>669</v>
      </c>
      <c r="B150" s="7"/>
      <c r="C150" s="48" t="n">
        <v>0</v>
      </c>
      <c r="D150" s="48" t="n">
        <v>0.2</v>
      </c>
      <c r="E150" s="48" t="n">
        <v>0.4</v>
      </c>
      <c r="F150" s="48" t="n">
        <v>0.6</v>
      </c>
      <c r="G150" s="48" t="n">
        <v>0.7</v>
      </c>
      <c r="H150" s="48" t="n">
        <v>0.8</v>
      </c>
    </row>
    <row r="151" customFormat="false" ht="15" hidden="false" customHeight="false" outlineLevel="0" collapsed="false">
      <c r="A151" s="15" t="n">
        <v>1</v>
      </c>
      <c r="C151" s="22" t="n">
        <f aca="false">IF($C$123*$A151&lt;=0,1,MIN(1,$C$122*($C$128*(1-C$150))*$C$125*(1-$C$124)/($C$123*$A151)))</f>
        <v>1</v>
      </c>
      <c r="D151" s="22" t="n">
        <f aca="false">IF($C$123*$A151&lt;=0,1,MIN(1,$C$122*($C$128*(1-D$150))*$C$125*(1-$C$124)/($C$123*$A151)))</f>
        <v>1</v>
      </c>
      <c r="E151" s="22" t="n">
        <f aca="false">IF($C$123*$A151&lt;=0,1,MIN(1,$C$122*($C$128*(1-E$150))*$C$125*(1-$C$124)/($C$123*$A151)))</f>
        <v>1</v>
      </c>
      <c r="F151" s="22" t="n">
        <f aca="false">IF($C$123*$A151&lt;=0,1,MIN(1,$C$122*($C$128*(1-F$150))*$C$125*(1-$C$124)/($C$123*$A151)))</f>
        <v>1</v>
      </c>
      <c r="G151" s="22" t="n">
        <f aca="false">IF($C$123*$A151&lt;=0,1,MIN(1,$C$122*($C$128*(1-G$150))*$C$125*(1-$C$124)/($C$123*$A151)))</f>
        <v>0.8294498424</v>
      </c>
      <c r="H151" s="22" t="n">
        <f aca="false">IF($C$123*$A151&lt;=0,1,MIN(1,$C$122*($C$128*(1-H$150))*$C$125*(1-$C$124)/($C$123*$A151)))</f>
        <v>0.5529665616</v>
      </c>
    </row>
    <row r="152" customFormat="false" ht="15" hidden="false" customHeight="false" outlineLevel="0" collapsed="false">
      <c r="A152" s="15" t="n">
        <v>1.5</v>
      </c>
      <c r="C152" s="22" t="n">
        <f aca="false">IF($C$123*$A152&lt;=0,1,MIN(1,$C$122*($C$128*(1-C$150))*$C$125*(1-$C$124)/($C$123*$A152)))</f>
        <v>1</v>
      </c>
      <c r="D152" s="22" t="n">
        <f aca="false">IF($C$123*$A152&lt;=0,1,MIN(1,$C$122*($C$128*(1-D$150))*$C$125*(1-$C$124)/($C$123*$A152)))</f>
        <v>1</v>
      </c>
      <c r="E152" s="22" t="n">
        <f aca="false">IF($C$123*$A152&lt;=0,1,MIN(1,$C$122*($C$128*(1-E$150))*$C$125*(1-$C$124)/($C$123*$A152)))</f>
        <v>1</v>
      </c>
      <c r="F152" s="22" t="n">
        <f aca="false">IF($C$123*$A152&lt;=0,1,MIN(1,$C$122*($C$128*(1-F$150))*$C$125*(1-$C$124)/($C$123*$A152)))</f>
        <v>0.7372887488</v>
      </c>
      <c r="G152" s="22" t="n">
        <f aca="false">IF($C$123*$A152&lt;=0,1,MIN(1,$C$122*($C$128*(1-G$150))*$C$125*(1-$C$124)/($C$123*$A152)))</f>
        <v>0.5529665616</v>
      </c>
      <c r="H152" s="22" t="n">
        <f aca="false">IF($C$123*$A152&lt;=0,1,MIN(1,$C$122*($C$128*(1-H$150))*$C$125*(1-$C$124)/($C$123*$A152)))</f>
        <v>0.3686443744</v>
      </c>
    </row>
    <row r="153" customFormat="false" ht="15" hidden="false" customHeight="false" outlineLevel="0" collapsed="false">
      <c r="A153" s="15" t="n">
        <v>2</v>
      </c>
      <c r="C153" s="22" t="n">
        <f aca="false">IF($C$123*$A153&lt;=0,1,MIN(1,$C$122*($C$128*(1-C$150))*$C$125*(1-$C$124)/($C$123*$A153)))</f>
        <v>1</v>
      </c>
      <c r="D153" s="22" t="n">
        <f aca="false">IF($C$123*$A153&lt;=0,1,MIN(1,$C$122*($C$128*(1-D$150))*$C$125*(1-$C$124)/($C$123*$A153)))</f>
        <v>1</v>
      </c>
      <c r="E153" s="22" t="n">
        <f aca="false">IF($C$123*$A153&lt;=0,1,MIN(1,$C$122*($C$128*(1-E$150))*$C$125*(1-$C$124)/($C$123*$A153)))</f>
        <v>0.8294498424</v>
      </c>
      <c r="F153" s="22" t="n">
        <f aca="false">IF($C$123*$A153&lt;=0,1,MIN(1,$C$122*($C$128*(1-F$150))*$C$125*(1-$C$124)/($C$123*$A153)))</f>
        <v>0.5529665616</v>
      </c>
      <c r="G153" s="22" t="n">
        <f aca="false">IF($C$123*$A153&lt;=0,1,MIN(1,$C$122*($C$128*(1-G$150))*$C$125*(1-$C$124)/($C$123*$A153)))</f>
        <v>0.4147249212</v>
      </c>
      <c r="H153" s="22" t="n">
        <f aca="false">IF($C$123*$A153&lt;=0,1,MIN(1,$C$122*($C$128*(1-H$150))*$C$125*(1-$C$124)/($C$123*$A153)))</f>
        <v>0.2764832808</v>
      </c>
    </row>
    <row r="154" customFormat="false" ht="15" hidden="false" customHeight="false" outlineLevel="0" collapsed="false">
      <c r="A154" s="15" t="n">
        <v>3</v>
      </c>
      <c r="C154" s="22" t="n">
        <f aca="false">IF($C$123*$A154&lt;=0,1,MIN(1,$C$122*($C$128*(1-C$150))*$C$125*(1-$C$124)/($C$123*$A154)))</f>
        <v>0.921610936</v>
      </c>
      <c r="D154" s="22" t="n">
        <f aca="false">IF($C$123*$A154&lt;=0,1,MIN(1,$C$122*($C$128*(1-D$150))*$C$125*(1-$C$124)/($C$123*$A154)))</f>
        <v>0.7372887488</v>
      </c>
      <c r="E154" s="22" t="n">
        <f aca="false">IF($C$123*$A154&lt;=0,1,MIN(1,$C$122*($C$128*(1-E$150))*$C$125*(1-$C$124)/($C$123*$A154)))</f>
        <v>0.5529665616</v>
      </c>
      <c r="F154" s="22" t="n">
        <f aca="false">IF($C$123*$A154&lt;=0,1,MIN(1,$C$122*($C$128*(1-F$150))*$C$125*(1-$C$124)/($C$123*$A154)))</f>
        <v>0.3686443744</v>
      </c>
      <c r="G154" s="22" t="n">
        <f aca="false">IF($C$123*$A154&lt;=0,1,MIN(1,$C$122*($C$128*(1-G$150))*$C$125*(1-$C$124)/($C$123*$A154)))</f>
        <v>0.2764832808</v>
      </c>
      <c r="H154" s="22" t="n">
        <f aca="false">IF($C$123*$A154&lt;=0,1,MIN(1,$C$122*($C$128*(1-H$150))*$C$125*(1-$C$124)/($C$123*$A154)))</f>
        <v>0.1843221872</v>
      </c>
    </row>
    <row r="156" customFormat="false" ht="15" hidden="false" customHeight="false" outlineLevel="0" collapsed="false">
      <c r="A156" s="9" t="s">
        <v>670</v>
      </c>
      <c r="B156" s="10"/>
      <c r="C156" s="10"/>
      <c r="D156" s="10"/>
      <c r="E156" s="10"/>
      <c r="F156" s="10"/>
      <c r="G156" s="10"/>
      <c r="H156" s="10"/>
    </row>
    <row r="157" customFormat="false" ht="15" hidden="false" customHeight="false" outlineLevel="0" collapsed="false">
      <c r="A157" s="3" t="s">
        <v>671</v>
      </c>
      <c r="C157" s="16" t="n">
        <f aca="false">$C$123/($C$122*$C$125*(1-$C$124))</f>
        <v>1633.98692810458</v>
      </c>
    </row>
    <row r="158" customFormat="false" ht="15" hidden="false" customHeight="false" outlineLevel="0" collapsed="false">
      <c r="A158" s="3" t="s">
        <v>672</v>
      </c>
      <c r="C158" s="22" t="n">
        <f aca="false">1-C157/$C$128</f>
        <v>0.638314477061139</v>
      </c>
    </row>
    <row r="159" customFormat="false" ht="15" hidden="false" customHeight="false" outlineLevel="0" collapsed="false">
      <c r="A159" s="3" t="s">
        <v>673</v>
      </c>
      <c r="C159" s="22" t="n">
        <f aca="false">IF(C157&gt;$C$129,$C$126/(C157-$C$129),"n/a")</f>
        <v>0.265313502049683</v>
      </c>
    </row>
    <row r="160" customFormat="false" ht="15" hidden="false" customHeight="false" outlineLevel="0" collapsed="false">
      <c r="A160" s="3" t="s">
        <v>674</v>
      </c>
      <c r="C160" s="22" t="n">
        <f aca="false">MAX(-1,(C157-$C$129)*$C$127/$C$126-1)</f>
        <v>-0.717315555293694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675</v>
      </c>
    </row>
    <row r="2" customFormat="false" ht="15" hidden="false" customHeight="false" outlineLevel="0" collapsed="false">
      <c r="A2" s="3" t="str">
        <f aca="false">Assumptions!$C$5&amp;"  |  PUBLIC DATA CASE  |  HYPOTHETICAL INVESTMENT TERMS  |  Active scenario: "&amp;Assumptions!$D$10</f>
        <v>Brandywine Realty Trust  |  PUBLIC DATA CASE  |  HYPOTHETICAL INVESTMENT TERMS  |  Active scenario: Downside</v>
      </c>
    </row>
    <row r="4" customFormat="false" ht="15" hidden="false" customHeight="false" outlineLevel="0" collapsed="false">
      <c r="A4" s="2" t="s">
        <v>676</v>
      </c>
      <c r="C4" s="4" t="str">
        <f aca="false">'Investment Summary'!$C$41</f>
        <v>HOLD</v>
      </c>
    </row>
    <row r="5" customFormat="false" ht="15" hidden="false" customHeight="false" outlineLevel="0" collapsed="false">
      <c r="A5" s="3" t="s">
        <v>677</v>
      </c>
      <c r="C5" s="3" t="str">
        <f aca="false">CHOOSE(Assumptions!$C$34,Assumptions!$A$57,Assumptions!$A$58,Assumptions!$A$59,Assumptions!$A$60,Assumptions!$A$61,Assumptions!$A$62,Assumptions!$A$63,Assumptions!$A$64,Assumptions!$A$65,Assumptions!$A$66)&amp;" @ "&amp;TEXT(Assumptions!$C$36,"0.0")</f>
        <v>Hypothetical Senior Secured Term Loan (S+525, 1% floor) @ 98.0</v>
      </c>
    </row>
    <row r="6" customFormat="false" ht="15" hidden="false" customHeight="false" outlineLevel="0" collapsed="false">
      <c r="A6" s="3" t="s">
        <v>678</v>
      </c>
      <c r="C6" s="3" t="str">
        <f aca="false">TEXT(Assumptions!$C$35,"0.0")&amp;" / "&amp;TEXT(Assumptions!$C$36,"0.0")&amp;" / "&amp;TEXT(Returns!C10,"0.0")</f>
        <v>100.0 / 98.0 / 98.5</v>
      </c>
    </row>
    <row r="7" customFormat="false" ht="15" hidden="false" customHeight="false" outlineLevel="0" collapsed="false">
      <c r="A7" s="2" t="s">
        <v>459</v>
      </c>
      <c r="C7" s="49" t="n">
        <f aca="false">'Credit Metrics'!$G$77</f>
        <v>45.7497637656109</v>
      </c>
    </row>
    <row r="8" customFormat="false" ht="15" hidden="false" customHeight="false" outlineLevel="0" collapsed="false">
      <c r="A8" s="3" t="s">
        <v>460</v>
      </c>
      <c r="C8" s="6" t="str">
        <f aca="false">'Credit Metrics'!$G$78</f>
        <v>Elevated</v>
      </c>
    </row>
    <row r="9" customFormat="false" ht="15" hidden="false" customHeight="false" outlineLevel="0" collapsed="false">
      <c r="A9" s="2" t="s">
        <v>679</v>
      </c>
      <c r="C9" s="41" t="n">
        <f aca="false">Scenarios!C27</f>
        <v>0.0958152816969216</v>
      </c>
    </row>
    <row r="10" customFormat="false" ht="15" hidden="false" customHeight="false" outlineLevel="0" collapsed="false">
      <c r="A10" s="2" t="s">
        <v>680</v>
      </c>
      <c r="C10" s="41" t="n">
        <f aca="false">Scenarios!D27</f>
        <v>0.0873962489027792</v>
      </c>
    </row>
    <row r="11" customFormat="false" ht="15" hidden="false" customHeight="false" outlineLevel="0" collapsed="false">
      <c r="A11" s="2" t="s">
        <v>681</v>
      </c>
      <c r="C11" s="41" t="n">
        <f aca="false">Scenarios!E27</f>
        <v>0.0994077590660149</v>
      </c>
    </row>
    <row r="12" customFormat="false" ht="15" hidden="false" customHeight="false" outlineLevel="0" collapsed="false">
      <c r="A12" s="3" t="s">
        <v>682</v>
      </c>
      <c r="C12" s="3" t="str">
        <f aca="false">TEXT(Scenarios!C28,"0.00x")&amp;" / "&amp;TEXT(Scenarios!D28,"0.00x")&amp;" / "&amp;TEXT(Scenarios!E28,"0.00x")</f>
        <v>1.29x / 1.26x / 1.29x</v>
      </c>
    </row>
    <row r="13" customFormat="false" ht="15" hidden="false" customHeight="false" outlineLevel="0" collapsed="false">
      <c r="A13" s="2" t="s">
        <v>683</v>
      </c>
      <c r="C13" s="41" t="n">
        <f aca="false">Scenarios!$C$31</f>
        <v>0.0934323696759178</v>
      </c>
    </row>
    <row r="14" customFormat="false" ht="15" hidden="false" customHeight="false" outlineLevel="0" collapsed="false">
      <c r="A14" s="3" t="s">
        <v>488</v>
      </c>
      <c r="C14" s="34" t="n">
        <f aca="false">Scenarios!$C$33</f>
        <v>1.27773124175043</v>
      </c>
    </row>
    <row r="15" customFormat="false" ht="15" hidden="false" customHeight="false" outlineLevel="0" collapsed="false">
      <c r="A15" s="3" t="s">
        <v>489</v>
      </c>
      <c r="C15" s="33" t="n">
        <f aca="false">Scenarios!$C$34</f>
        <v>0.5</v>
      </c>
    </row>
    <row r="16" customFormat="false" ht="15" hidden="false" customHeight="false" outlineLevel="0" collapsed="false">
      <c r="A16" s="3" t="s">
        <v>684</v>
      </c>
      <c r="C16" s="33" t="n">
        <f aca="false">Scenarios!D25</f>
        <v>1</v>
      </c>
    </row>
    <row r="17" customFormat="false" ht="15" hidden="false" customHeight="false" outlineLevel="0" collapsed="false">
      <c r="A17" s="3" t="s">
        <v>685</v>
      </c>
      <c r="C17" s="33" t="n">
        <f aca="false">Scenarios!E25</f>
        <v>1</v>
      </c>
    </row>
    <row r="18" customFormat="false" ht="15" hidden="false" customHeight="false" outlineLevel="0" collapsed="false">
      <c r="A18" s="3" t="s">
        <v>686</v>
      </c>
      <c r="C18" s="33" t="n">
        <f aca="false">Returns!C15</f>
        <v>1</v>
      </c>
    </row>
    <row r="19" customFormat="false" ht="15" hidden="false" customHeight="false" outlineLevel="0" collapsed="false">
      <c r="A19" s="3" t="s">
        <v>687</v>
      </c>
      <c r="C19" s="34" t="n">
        <f aca="false">'Credit Metrics'!F11</f>
        <v>9.77819757666892</v>
      </c>
    </row>
    <row r="20" customFormat="false" ht="15" hidden="false" customHeight="false" outlineLevel="0" collapsed="false">
      <c r="A20" s="3" t="s">
        <v>688</v>
      </c>
      <c r="C20" s="34" t="n">
        <f aca="false">'Credit Metrics'!F12</f>
        <v>1.72332584562295</v>
      </c>
    </row>
    <row r="21" customFormat="false" ht="15" hidden="false" customHeight="false" outlineLevel="0" collapsed="false">
      <c r="A21" s="3" t="s">
        <v>689</v>
      </c>
      <c r="C21" s="34" t="n">
        <f aca="false">'Credit Metrics'!G11</f>
        <v>10.6704570673626</v>
      </c>
    </row>
    <row r="22" customFormat="false" ht="15" hidden="false" customHeight="false" outlineLevel="0" collapsed="false">
      <c r="A22" s="3" t="s">
        <v>690</v>
      </c>
      <c r="C22" s="34" t="n">
        <f aca="false">'Credit Metrics'!G12</f>
        <v>1.24979041307388</v>
      </c>
    </row>
    <row r="23" customFormat="false" ht="15" hidden="false" customHeight="false" outlineLevel="0" collapsed="false">
      <c r="A23" s="3" t="s">
        <v>691</v>
      </c>
      <c r="C23" s="29" t="n">
        <f aca="false">'Credit Metrics'!G16</f>
        <v>697.4474204</v>
      </c>
    </row>
    <row r="24" customFormat="false" ht="15" hidden="false" customHeight="false" outlineLevel="0" collapsed="false">
      <c r="A24" s="3" t="s">
        <v>692</v>
      </c>
      <c r="C24" s="27" t="n">
        <f aca="false">'Credit Metrics'!C62</f>
        <v>15</v>
      </c>
    </row>
    <row r="25" customFormat="false" ht="15" hidden="false" customHeight="false" outlineLevel="0" collapsed="false">
      <c r="A25" s="3" t="s">
        <v>535</v>
      </c>
      <c r="C25" s="6" t="str">
        <f aca="false">'Capital Structure'!$C$37</f>
        <v>ALERT: 30% of debt ($800M) due within 2 period(s); liquidity covers 77%</v>
      </c>
    </row>
    <row r="26" customFormat="false" ht="15" hidden="false" customHeight="false" outlineLevel="0" collapsed="false">
      <c r="A26" s="3" t="s">
        <v>533</v>
      </c>
      <c r="C26" s="6" t="str">
        <f aca="false">'Capital Structure'!$C$35</f>
        <v>CONCENTRATED: 30% of debt in LTM Jun-28E (period ending 2028)</v>
      </c>
    </row>
    <row r="27" customFormat="false" ht="15" hidden="false" customHeight="false" outlineLevel="0" collapsed="false">
      <c r="A27" s="9" t="s">
        <v>693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7" t="s">
        <v>540</v>
      </c>
      <c r="B28" s="7"/>
      <c r="C28" s="7" t="s">
        <v>694</v>
      </c>
      <c r="D28" s="7" t="s">
        <v>695</v>
      </c>
      <c r="E28" s="7" t="s">
        <v>696</v>
      </c>
      <c r="F28" s="7" t="s">
        <v>697</v>
      </c>
    </row>
    <row r="29" customFormat="false" ht="15" hidden="false" customHeight="false" outlineLevel="0" collapsed="false">
      <c r="A29" s="3" t="s">
        <v>698</v>
      </c>
      <c r="C29" s="33" t="n">
        <f aca="false">Scenarios!C27</f>
        <v>0.0958152816969216</v>
      </c>
      <c r="D29" s="33" t="n">
        <f aca="false">Assumptions!$C$41</f>
        <v>0.1</v>
      </c>
      <c r="E29" s="3" t="str">
        <f aca="false">IF(C29&gt;=D29,"PASS","FAIL")</f>
        <v>FAIL</v>
      </c>
      <c r="F29" s="3" t="s">
        <v>699</v>
      </c>
    </row>
    <row r="30" customFormat="false" ht="15" hidden="false" customHeight="false" outlineLevel="0" collapsed="false">
      <c r="A30" s="3" t="s">
        <v>700</v>
      </c>
      <c r="C30" s="33" t="n">
        <f aca="false">Scenarios!$C$31</f>
        <v>0.0934323696759178</v>
      </c>
      <c r="D30" s="33" t="n">
        <f aca="false">Assumptions!$C$41</f>
        <v>0.1</v>
      </c>
      <c r="E30" s="3" t="str">
        <f aca="false">IF(C30&gt;=D30,"PASS","FAIL")</f>
        <v>FAIL</v>
      </c>
      <c r="F30" s="3" t="s">
        <v>699</v>
      </c>
    </row>
    <row r="31" customFormat="false" ht="15" hidden="false" customHeight="false" outlineLevel="0" collapsed="false">
      <c r="A31" s="3" t="s">
        <v>701</v>
      </c>
      <c r="C31" s="33" t="n">
        <f aca="false">Scenarios!D27</f>
        <v>0.0873962489027792</v>
      </c>
      <c r="D31" s="33" t="n">
        <f aca="false">Assumptions!$C$42</f>
        <v>0</v>
      </c>
      <c r="E31" s="3" t="str">
        <f aca="false">IF(C31&gt;=D31,"PASS","FAIL")</f>
        <v>PASS</v>
      </c>
      <c r="F31" s="3" t="s">
        <v>699</v>
      </c>
    </row>
    <row r="32" customFormat="false" ht="15" hidden="false" customHeight="false" outlineLevel="0" collapsed="false">
      <c r="A32" s="3" t="s">
        <v>702</v>
      </c>
      <c r="C32" s="33" t="n">
        <f aca="false">Scenarios!D25</f>
        <v>1</v>
      </c>
      <c r="D32" s="33" t="n">
        <f aca="false">Assumptions!$C$45</f>
        <v>0.9</v>
      </c>
      <c r="E32" s="3" t="str">
        <f aca="false">IF(C32&gt;=D32,"PASS","FAIL")</f>
        <v>PASS</v>
      </c>
      <c r="F32" s="3" t="s">
        <v>699</v>
      </c>
    </row>
    <row r="33" customFormat="false" ht="15" hidden="false" customHeight="false" outlineLevel="0" collapsed="false">
      <c r="A33" s="3" t="s">
        <v>703</v>
      </c>
      <c r="C33" s="27" t="n">
        <f aca="false">Scenarios!C21</f>
        <v>0</v>
      </c>
      <c r="D33" s="21" t="n">
        <f aca="false">0</f>
        <v>0</v>
      </c>
      <c r="E33" s="3" t="str">
        <f aca="false">IF(C33&lt;=D33,"PASS","FAIL")</f>
        <v>PASS</v>
      </c>
      <c r="F33" s="3" t="s">
        <v>699</v>
      </c>
    </row>
    <row r="34" customFormat="false" ht="15" hidden="false" customHeight="false" outlineLevel="0" collapsed="false">
      <c r="A34" s="3" t="s">
        <v>704</v>
      </c>
      <c r="C34" s="22" t="n">
        <f aca="false">IFERROR(RATE(YEARFRAC(Assumptions!$C$8,CHOOSE(Assumptions!$C$34,Assumptions!$J$57,Assumptions!$J$58,Assumptions!$J$59,Assumptions!$J$60,Assumptions!$J$61,Assumptions!$J$62,Assumptions!$J$63,Assumptions!$J$64,Assumptions!$J$65,Assumptions!$J$66)),'Calc Engine'!D643*100,-Assumptions!$C$36,100),0)</f>
        <v>0.096731974889093</v>
      </c>
      <c r="D34" s="33" t="n">
        <f aca="false">Assumptions!$C$43</f>
        <v>0.085</v>
      </c>
      <c r="E34" s="3" t="str">
        <f aca="false">IF(C34&gt;=D34,"PASS","FAIL")</f>
        <v>PASS</v>
      </c>
      <c r="F34" s="3"/>
    </row>
    <row r="35" customFormat="false" ht="15" hidden="false" customHeight="false" outlineLevel="0" collapsed="false">
      <c r="A35" s="3" t="s">
        <v>705</v>
      </c>
      <c r="C35" s="34" t="n">
        <f aca="false">'Credit Metrics'!F11</f>
        <v>9.77819757666892</v>
      </c>
      <c r="D35" s="34" t="n">
        <f aca="false">Assumptions!$C$44</f>
        <v>10.5</v>
      </c>
      <c r="E35" s="3" t="str">
        <f aca="false">IF(C35&lt;=D35,"PASS","FAIL")</f>
        <v>PASS</v>
      </c>
      <c r="F35" s="3"/>
    </row>
    <row r="36" customFormat="false" ht="15" hidden="false" customHeight="false" outlineLevel="0" collapsed="false">
      <c r="A36" s="3" t="s">
        <v>706</v>
      </c>
      <c r="C36" s="33" t="n">
        <f aca="false">'Calc Engine'!C300</f>
        <v>-0.104836227124896</v>
      </c>
      <c r="D36" s="33" t="n">
        <f aca="false">Assumptions!$C$46</f>
        <v>0.15</v>
      </c>
      <c r="E36" s="3" t="str">
        <f aca="false">IF(C36&gt;=D36,"PASS","FAIL")</f>
        <v>FAIL</v>
      </c>
      <c r="F36" s="3"/>
    </row>
    <row r="37" customFormat="false" ht="15" hidden="false" customHeight="false" outlineLevel="0" collapsed="false">
      <c r="A37" s="3" t="s">
        <v>707</v>
      </c>
      <c r="C37" s="35" t="n">
        <f aca="false">Scenarios!E25*100</f>
        <v>100</v>
      </c>
      <c r="D37" s="40" t="n">
        <f aca="false">Assumptions!$C$36</f>
        <v>98</v>
      </c>
      <c r="E37" s="3" t="str">
        <f aca="false">IF(C37&gt;=D37,"PASS","FAIL")</f>
        <v>PASS</v>
      </c>
      <c r="F37" s="3"/>
    </row>
    <row r="38" customFormat="false" ht="15" hidden="false" customHeight="false" outlineLevel="0" collapsed="false">
      <c r="A38" s="3" t="s">
        <v>708</v>
      </c>
      <c r="C38" s="27" t="n">
        <f aca="false">Assumptions!$C$49</f>
        <v>6</v>
      </c>
      <c r="D38" s="21" t="n">
        <f aca="false">0</f>
        <v>0</v>
      </c>
      <c r="E38" s="3" t="str">
        <f aca="false">IF(C38&lt;=D38,"PASS","FAIL")</f>
        <v>FAIL</v>
      </c>
      <c r="F38" s="3"/>
    </row>
    <row r="39" customFormat="false" ht="15" hidden="false" customHeight="false" outlineLevel="0" collapsed="false">
      <c r="A39" s="2" t="s">
        <v>709</v>
      </c>
      <c r="C39" s="20" t="n">
        <f aca="false">COUNTIF(E29:E33,"FAIL")</f>
        <v>2</v>
      </c>
    </row>
    <row r="40" customFormat="false" ht="15" hidden="false" customHeight="false" outlineLevel="0" collapsed="false">
      <c r="A40" s="2" t="s">
        <v>710</v>
      </c>
      <c r="C40" s="20" t="n">
        <f aca="false">COUNTIF(E34:E38,"FAIL")</f>
        <v>2</v>
      </c>
    </row>
    <row r="41" customFormat="false" ht="15" hidden="false" customHeight="false" outlineLevel="0" collapsed="false">
      <c r="A41" s="2" t="s">
        <v>711</v>
      </c>
      <c r="C41" s="2" t="str">
        <f aca="false">IF(AND(C39=0,C40&lt;=Assumptions!$C$47),"PROCEED",IF(OR(AND(E29="FAIL",E31="FAIL"),C39&gt;=Assumptions!$C$48),"PASS","HOLD"))</f>
        <v>HOLD</v>
      </c>
    </row>
    <row r="44" customFormat="false" ht="15" hidden="false" customHeight="false" outlineLevel="0" collapsed="false">
      <c r="A44" s="9" t="s">
        <v>712</v>
      </c>
      <c r="B44" s="10"/>
      <c r="C44" s="10"/>
      <c r="D44" s="10"/>
      <c r="E44" s="10"/>
      <c r="F44" s="10"/>
    </row>
    <row r="45" customFormat="false" ht="15" hidden="false" customHeight="false" outlineLevel="0" collapsed="false">
      <c r="A45" s="7" t="s">
        <v>713</v>
      </c>
      <c r="B45" s="7"/>
      <c r="C45" s="7" t="s">
        <v>443</v>
      </c>
      <c r="D45" s="7" t="s">
        <v>714</v>
      </c>
    </row>
    <row r="46" customFormat="false" ht="15" hidden="false" customHeight="false" outlineLevel="0" collapsed="false">
      <c r="A46" s="3" t="s">
        <v>715</v>
      </c>
      <c r="C46" s="33" t="n">
        <f aca="false">Assumptions!$C$135</f>
        <v>1</v>
      </c>
      <c r="D46" s="3" t="str">
        <f aca="false">IF(ABS(C46-1)&lt;0.0001,"OK","ERROR")</f>
        <v>OK</v>
      </c>
    </row>
    <row r="47" customFormat="false" ht="15" hidden="false" customHeight="false" outlineLevel="0" collapsed="false">
      <c r="A47" s="3" t="s">
        <v>716</v>
      </c>
      <c r="C47" s="27" t="n">
        <f aca="false">Assumptions!$C$149</f>
        <v>100</v>
      </c>
      <c r="D47" s="3" t="str">
        <f aca="false">IF(ABS(C47-100)&lt;0.0001,"OK","ERROR")</f>
        <v>OK</v>
      </c>
    </row>
    <row r="48" customFormat="false" ht="15" hidden="false" customHeight="false" outlineLevel="0" collapsed="false">
      <c r="A48" s="3" t="s">
        <v>717</v>
      </c>
      <c r="C48" s="16" t="n">
        <f aca="false">SUMPRODUCT(ABS('Cash Flow'!$G$23:$K$23))</f>
        <v>3.83693077310454E-013</v>
      </c>
      <c r="D48" s="3" t="str">
        <f aca="false">IF(C48&lt;0.001,"OK","ERROR")</f>
        <v>OK</v>
      </c>
    </row>
    <row r="49" customFormat="false" ht="15" hidden="false" customHeight="false" outlineLevel="0" collapsed="false">
      <c r="A49" s="3" t="s">
        <v>718</v>
      </c>
      <c r="C49" s="29" t="n">
        <f aca="false">Recovery!C173</f>
        <v>0</v>
      </c>
      <c r="D49" s="3" t="str">
        <f aca="false">IF(ABS(C49)&lt;0.001,"OK","ERROR")</f>
        <v>OK</v>
      </c>
    </row>
    <row r="50" customFormat="false" ht="15" hidden="false" customHeight="false" outlineLevel="0" collapsed="false">
      <c r="A50" s="3" t="s">
        <v>719</v>
      </c>
      <c r="C50" s="16" t="n">
        <f aca="false">SUMPRODUCT(ABS(Scenarios!$E$41:$E$48))</f>
        <v>0</v>
      </c>
      <c r="D50" s="3" t="str">
        <f aca="false">IF(C50&lt;0.001,"OK","ERROR")</f>
        <v>OK</v>
      </c>
    </row>
    <row r="51" customFormat="false" ht="15" hidden="false" customHeight="false" outlineLevel="0" collapsed="false">
      <c r="A51" s="3" t="s">
        <v>720</v>
      </c>
      <c r="C51" s="26" t="n">
        <f aca="false">ABS('Historical Financials'!B47)+ABS('Historical Financials'!C47)+ABS('Historical Financials'!D47)</f>
        <v>0</v>
      </c>
      <c r="D51" s="3" t="str">
        <f aca="false">IF(C51&lt;0.001,"OK","ERROR")</f>
        <v>OK</v>
      </c>
    </row>
    <row r="52" customFormat="false" ht="15" hidden="false" customHeight="false" outlineLevel="0" collapsed="false">
      <c r="A52" s="3" t="s">
        <v>721</v>
      </c>
      <c r="C52" s="21" t="n">
        <f aca="false">SUMPRODUCT(--ISERROR('Operating Model'!$C$5:$K$60))+SUMPRODUCT(--ISERROR('Debt Schedule'!$C$5:$K$300))+SUMPRODUCT(--ISERROR('Cash Flow'!$C$5:$K$40))+SUMPRODUCT(--ISERROR('Credit Metrics'!$C$5:$K$120))+SUMPRODUCT(--ISERROR(Recovery!$C$5:$K$300))+SUMPRODUCT(--ISERROR(Returns!$C$5:$K$300))+SUMPRODUCT(--ISERROR(Scenarios!$C$4:$F$60))+SUMPRODUCT(--ISERROR('Capital Structure'!$A$4:$L$60))+SUMPRODUCT(--ISERROR(Sensitivities!$A$4:$J$200))+SUMPRODUCT(--ISERROR('Calc Engine'!$C$5:$K$41280))</f>
        <v>0</v>
      </c>
      <c r="D52" s="3" t="str">
        <f aca="false">IF(C52=0,"OK","ERROR")</f>
        <v>OK</v>
      </c>
    </row>
    <row r="53" customFormat="false" ht="15" hidden="false" customHeight="false" outlineLevel="0" collapsed="false">
      <c r="A53" s="2" t="s">
        <v>722</v>
      </c>
      <c r="D53" s="2" t="str">
        <f aca="false">IF(COUNTIF(D46:D52,"OK")=ROWS(D46:D52),"ALL CHECKS PASS","CHECK MODEL")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N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38"/>
    <col collapsed="false" customWidth="true" hidden="false" outlineLevel="0" max="11" min="11" style="0" width="54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50"/>
  </cols>
  <sheetData>
    <row r="1" customFormat="false" ht="17.35" hidden="false" customHeight="false" outlineLevel="0" collapsed="false">
      <c r="A1" s="1" t="s">
        <v>723</v>
      </c>
    </row>
    <row r="2" customFormat="false" ht="15" hidden="false" customHeight="false" outlineLevel="0" collapsed="false">
      <c r="A2" s="3" t="s">
        <v>724</v>
      </c>
    </row>
    <row r="4" customFormat="false" ht="15" hidden="false" customHeight="false" outlineLevel="0" collapsed="false">
      <c r="A4" s="7" t="s">
        <v>725</v>
      </c>
      <c r="B4" s="7" t="s">
        <v>726</v>
      </c>
      <c r="C4" s="7" t="s">
        <v>523</v>
      </c>
      <c r="D4" s="7" t="s">
        <v>727</v>
      </c>
      <c r="E4" s="7" t="s">
        <v>728</v>
      </c>
      <c r="F4" s="7" t="s">
        <v>729</v>
      </c>
      <c r="G4" s="7" t="s">
        <v>730</v>
      </c>
      <c r="H4" s="7" t="s">
        <v>731</v>
      </c>
      <c r="I4" s="7" t="s">
        <v>714</v>
      </c>
    </row>
    <row r="5" customFormat="false" ht="15" hidden="false" customHeight="false" outlineLevel="0" collapsed="false">
      <c r="A5" s="3" t="s">
        <v>732</v>
      </c>
      <c r="B5" s="3" t="s">
        <v>733</v>
      </c>
      <c r="C5" s="3" t="s">
        <v>734</v>
      </c>
      <c r="D5" s="3" t="s">
        <v>735</v>
      </c>
      <c r="E5" s="3" t="s">
        <v>736</v>
      </c>
      <c r="F5" s="3" t="s">
        <v>737</v>
      </c>
      <c r="G5" s="3" t="s">
        <v>738</v>
      </c>
      <c r="H5" s="3" t="s">
        <v>733</v>
      </c>
      <c r="I5" s="3" t="s">
        <v>739</v>
      </c>
    </row>
    <row r="6" customFormat="false" ht="15" hidden="false" customHeight="false" outlineLevel="0" collapsed="false">
      <c r="A6" s="3" t="s">
        <v>740</v>
      </c>
      <c r="B6" s="3" t="s">
        <v>741</v>
      </c>
      <c r="C6" s="3" t="s">
        <v>742</v>
      </c>
      <c r="D6" s="3" t="s">
        <v>743</v>
      </c>
      <c r="E6" s="3" t="s">
        <v>744</v>
      </c>
      <c r="F6" s="3" t="s">
        <v>745</v>
      </c>
      <c r="G6" s="3" t="s">
        <v>738</v>
      </c>
      <c r="H6" s="3" t="s">
        <v>741</v>
      </c>
      <c r="I6" s="3" t="s">
        <v>739</v>
      </c>
    </row>
    <row r="7" customFormat="false" ht="15" hidden="false" customHeight="false" outlineLevel="0" collapsed="false">
      <c r="A7" s="3" t="s">
        <v>746</v>
      </c>
      <c r="B7" s="3" t="s">
        <v>747</v>
      </c>
      <c r="C7" s="3"/>
      <c r="D7" s="3"/>
      <c r="E7" s="3" t="s">
        <v>748</v>
      </c>
      <c r="F7" s="3" t="s">
        <v>749</v>
      </c>
      <c r="G7" s="3" t="s">
        <v>738</v>
      </c>
      <c r="H7" s="3" t="s">
        <v>747</v>
      </c>
      <c r="I7" s="3" t="s">
        <v>739</v>
      </c>
    </row>
    <row r="9" customFormat="false" ht="15" hidden="false" customHeight="false" outlineLevel="0" collapsed="false">
      <c r="A9" s="2" t="s">
        <v>750</v>
      </c>
    </row>
    <row r="10" customFormat="false" ht="15" hidden="false" customHeight="false" outlineLevel="0" collapsed="false">
      <c r="A10" s="7" t="s">
        <v>751</v>
      </c>
      <c r="B10" s="7" t="s">
        <v>752</v>
      </c>
      <c r="C10" s="7" t="s">
        <v>523</v>
      </c>
      <c r="D10" s="7" t="s">
        <v>753</v>
      </c>
      <c r="E10" s="7" t="s">
        <v>205</v>
      </c>
      <c r="F10" s="7" t="s">
        <v>754</v>
      </c>
      <c r="G10" s="7" t="s">
        <v>727</v>
      </c>
      <c r="H10" s="7" t="s">
        <v>755</v>
      </c>
      <c r="I10" s="7" t="s">
        <v>756</v>
      </c>
      <c r="J10" s="7" t="s">
        <v>757</v>
      </c>
      <c r="K10" s="7" t="s">
        <v>758</v>
      </c>
      <c r="L10" s="7" t="s">
        <v>759</v>
      </c>
      <c r="M10" s="7" t="s">
        <v>760</v>
      </c>
      <c r="N10" s="7" t="s">
        <v>761</v>
      </c>
    </row>
    <row r="11" customFormat="false" ht="15" hidden="false" customHeight="false" outlineLevel="0" collapsed="false">
      <c r="A11" s="3" t="s">
        <v>762</v>
      </c>
      <c r="B11" s="3" t="s">
        <v>763</v>
      </c>
      <c r="C11" s="3" t="s">
        <v>742</v>
      </c>
      <c r="D11" s="3" t="s">
        <v>764</v>
      </c>
      <c r="E11" s="3" t="s">
        <v>765</v>
      </c>
      <c r="F11" s="3" t="s">
        <v>766</v>
      </c>
      <c r="G11" s="3" t="s">
        <v>743</v>
      </c>
      <c r="H11" s="3" t="s">
        <v>744</v>
      </c>
      <c r="I11" s="3" t="s">
        <v>767</v>
      </c>
      <c r="J11" s="3" t="s">
        <v>768</v>
      </c>
      <c r="K11" s="3" t="s">
        <v>745</v>
      </c>
      <c r="L11" s="3" t="s">
        <v>769</v>
      </c>
      <c r="M11" s="3"/>
      <c r="N11" s="3" t="s">
        <v>770</v>
      </c>
    </row>
    <row r="12" customFormat="false" ht="15" hidden="false" customHeight="false" outlineLevel="0" collapsed="false">
      <c r="A12" s="3" t="s">
        <v>771</v>
      </c>
      <c r="B12" s="3" t="s">
        <v>772</v>
      </c>
      <c r="C12" s="3" t="s">
        <v>773</v>
      </c>
      <c r="D12" s="50" t="n">
        <f aca="false">'Historical Financials'!B6</f>
        <v>514.651</v>
      </c>
      <c r="E12" s="3" t="s">
        <v>774</v>
      </c>
      <c r="F12" s="3" t="s">
        <v>775</v>
      </c>
      <c r="G12" s="3" t="s">
        <v>735</v>
      </c>
      <c r="H12" s="3" t="s">
        <v>736</v>
      </c>
      <c r="I12" s="3" t="s">
        <v>776</v>
      </c>
      <c r="J12" s="3" t="s">
        <v>777</v>
      </c>
      <c r="K12" s="3" t="s">
        <v>737</v>
      </c>
      <c r="L12" s="3" t="s">
        <v>769</v>
      </c>
      <c r="M12" s="3" t="s">
        <v>778</v>
      </c>
      <c r="N12" s="3" t="s">
        <v>779</v>
      </c>
    </row>
    <row r="13" customFormat="false" ht="15" hidden="false" customHeight="false" outlineLevel="0" collapsed="false">
      <c r="A13" s="3" t="s">
        <v>780</v>
      </c>
      <c r="B13" s="3" t="s">
        <v>781</v>
      </c>
      <c r="C13" s="3" t="s">
        <v>773</v>
      </c>
      <c r="D13" s="50" t="n">
        <f aca="false">'Historical Financials'!B7</f>
        <v>129.885</v>
      </c>
      <c r="E13" s="3" t="s">
        <v>774</v>
      </c>
      <c r="F13" s="3" t="s">
        <v>775</v>
      </c>
      <c r="G13" s="3" t="s">
        <v>735</v>
      </c>
      <c r="H13" s="3" t="s">
        <v>736</v>
      </c>
      <c r="I13" s="3" t="s">
        <v>776</v>
      </c>
      <c r="J13" s="3" t="s">
        <v>777</v>
      </c>
      <c r="K13" s="3" t="s">
        <v>737</v>
      </c>
      <c r="L13" s="3" t="s">
        <v>769</v>
      </c>
      <c r="M13" s="3" t="s">
        <v>782</v>
      </c>
      <c r="N13" s="3" t="s">
        <v>783</v>
      </c>
    </row>
    <row r="14" customFormat="false" ht="15" hidden="false" customHeight="false" outlineLevel="0" collapsed="false">
      <c r="A14" s="3" t="s">
        <v>784</v>
      </c>
      <c r="B14" s="3" t="s">
        <v>785</v>
      </c>
      <c r="C14" s="3" t="s">
        <v>773</v>
      </c>
      <c r="D14" s="50" t="n">
        <f aca="false">'Historical Financials'!B8</f>
        <v>49.974</v>
      </c>
      <c r="E14" s="3" t="s">
        <v>774</v>
      </c>
      <c r="F14" s="3" t="s">
        <v>775</v>
      </c>
      <c r="G14" s="3" t="s">
        <v>735</v>
      </c>
      <c r="H14" s="3" t="s">
        <v>736</v>
      </c>
      <c r="I14" s="3" t="s">
        <v>776</v>
      </c>
      <c r="J14" s="3" t="s">
        <v>777</v>
      </c>
      <c r="K14" s="3" t="s">
        <v>737</v>
      </c>
      <c r="L14" s="3" t="s">
        <v>769</v>
      </c>
      <c r="M14" s="3" t="s">
        <v>786</v>
      </c>
      <c r="N14" s="3" t="s">
        <v>787</v>
      </c>
    </row>
    <row r="15" customFormat="false" ht="15" hidden="false" customHeight="false" outlineLevel="0" collapsed="false">
      <c r="A15" s="3" t="s">
        <v>788</v>
      </c>
      <c r="B15" s="3" t="s">
        <v>789</v>
      </c>
      <c r="C15" s="3" t="s">
        <v>773</v>
      </c>
      <c r="D15" s="50" t="n">
        <f aca="false">'Historical Financials'!B9</f>
        <v>10.088</v>
      </c>
      <c r="E15" s="3" t="s">
        <v>774</v>
      </c>
      <c r="F15" s="3" t="s">
        <v>775</v>
      </c>
      <c r="G15" s="3" t="s">
        <v>735</v>
      </c>
      <c r="H15" s="3" t="s">
        <v>736</v>
      </c>
      <c r="I15" s="3" t="s">
        <v>776</v>
      </c>
      <c r="J15" s="3" t="s">
        <v>777</v>
      </c>
      <c r="K15" s="3" t="s">
        <v>737</v>
      </c>
      <c r="L15" s="3" t="s">
        <v>769</v>
      </c>
      <c r="M15" s="3" t="s">
        <v>790</v>
      </c>
      <c r="N15" s="3" t="s">
        <v>791</v>
      </c>
    </row>
    <row r="16" customFormat="false" ht="15" hidden="false" customHeight="false" outlineLevel="0" collapsed="false">
      <c r="A16" s="3" t="s">
        <v>792</v>
      </c>
      <c r="B16" s="3" t="s">
        <v>793</v>
      </c>
      <c r="C16" s="3" t="s">
        <v>773</v>
      </c>
      <c r="D16" s="50" t="n">
        <f aca="false">'Historical Financials'!B10</f>
        <v>34.862</v>
      </c>
      <c r="E16" s="3" t="s">
        <v>774</v>
      </c>
      <c r="F16" s="3" t="s">
        <v>775</v>
      </c>
      <c r="G16" s="3" t="s">
        <v>735</v>
      </c>
      <c r="H16" s="3" t="s">
        <v>736</v>
      </c>
      <c r="I16" s="3" t="s">
        <v>776</v>
      </c>
      <c r="J16" s="3" t="s">
        <v>777</v>
      </c>
      <c r="K16" s="3" t="s">
        <v>737</v>
      </c>
      <c r="L16" s="3" t="s">
        <v>769</v>
      </c>
      <c r="M16" s="3" t="s">
        <v>794</v>
      </c>
      <c r="N16" s="3" t="s">
        <v>795</v>
      </c>
    </row>
    <row r="17" customFormat="false" ht="15" hidden="false" customHeight="false" outlineLevel="0" collapsed="false">
      <c r="A17" s="3" t="s">
        <v>796</v>
      </c>
      <c r="B17" s="3" t="s">
        <v>797</v>
      </c>
      <c r="C17" s="3" t="s">
        <v>773</v>
      </c>
      <c r="D17" s="50" t="n">
        <f aca="false">'Historical Financials'!B11</f>
        <v>188.797</v>
      </c>
      <c r="E17" s="3" t="s">
        <v>774</v>
      </c>
      <c r="F17" s="3" t="s">
        <v>775</v>
      </c>
      <c r="G17" s="3" t="s">
        <v>735</v>
      </c>
      <c r="H17" s="3" t="s">
        <v>736</v>
      </c>
      <c r="I17" s="3" t="s">
        <v>776</v>
      </c>
      <c r="J17" s="3" t="s">
        <v>777</v>
      </c>
      <c r="K17" s="3" t="s">
        <v>737</v>
      </c>
      <c r="L17" s="3" t="s">
        <v>769</v>
      </c>
      <c r="M17" s="3" t="s">
        <v>798</v>
      </c>
      <c r="N17" s="3" t="s">
        <v>799</v>
      </c>
    </row>
    <row r="18" customFormat="false" ht="15" hidden="false" customHeight="false" outlineLevel="0" collapsed="false">
      <c r="A18" s="3" t="s">
        <v>800</v>
      </c>
      <c r="B18" s="3" t="s">
        <v>801</v>
      </c>
      <c r="C18" s="3" t="s">
        <v>773</v>
      </c>
      <c r="D18" s="50" t="n">
        <f aca="false">'Historical Financials'!B12</f>
        <v>95.456</v>
      </c>
      <c r="E18" s="3" t="s">
        <v>774</v>
      </c>
      <c r="F18" s="3" t="s">
        <v>775</v>
      </c>
      <c r="G18" s="3" t="s">
        <v>735</v>
      </c>
      <c r="H18" s="3" t="s">
        <v>736</v>
      </c>
      <c r="I18" s="3" t="s">
        <v>776</v>
      </c>
      <c r="J18" s="3" t="s">
        <v>777</v>
      </c>
      <c r="K18" s="3" t="s">
        <v>737</v>
      </c>
      <c r="L18" s="3" t="s">
        <v>769</v>
      </c>
      <c r="M18" s="3" t="s">
        <v>802</v>
      </c>
      <c r="N18" s="3" t="s">
        <v>803</v>
      </c>
    </row>
    <row r="19" customFormat="false" ht="15" hidden="false" customHeight="false" outlineLevel="0" collapsed="false">
      <c r="A19" s="3" t="s">
        <v>804</v>
      </c>
      <c r="B19" s="3" t="s">
        <v>805</v>
      </c>
      <c r="C19" s="3" t="s">
        <v>773</v>
      </c>
      <c r="D19" s="50" t="n">
        <f aca="false">'Historical Financials'!B13</f>
        <v>0.072</v>
      </c>
      <c r="E19" s="3" t="s">
        <v>774</v>
      </c>
      <c r="F19" s="3" t="s">
        <v>775</v>
      </c>
      <c r="G19" s="3" t="s">
        <v>735</v>
      </c>
      <c r="H19" s="3" t="s">
        <v>736</v>
      </c>
      <c r="I19" s="3" t="s">
        <v>776</v>
      </c>
      <c r="J19" s="3" t="s">
        <v>777</v>
      </c>
      <c r="K19" s="3" t="s">
        <v>737</v>
      </c>
      <c r="L19" s="3" t="s">
        <v>769</v>
      </c>
      <c r="M19" s="3" t="s">
        <v>806</v>
      </c>
      <c r="N19" s="3" t="s">
        <v>807</v>
      </c>
    </row>
    <row r="20" customFormat="false" ht="15" hidden="false" customHeight="false" outlineLevel="0" collapsed="false">
      <c r="A20" s="3" t="s">
        <v>808</v>
      </c>
      <c r="B20" s="3" t="s">
        <v>809</v>
      </c>
      <c r="C20" s="3" t="s">
        <v>773</v>
      </c>
      <c r="D20" s="50" t="n">
        <f aca="false">'Historical Financials'!B15</f>
        <v>48.939</v>
      </c>
      <c r="E20" s="3" t="s">
        <v>774</v>
      </c>
      <c r="F20" s="3" t="s">
        <v>775</v>
      </c>
      <c r="G20" s="3" t="s">
        <v>735</v>
      </c>
      <c r="H20" s="3" t="s">
        <v>736</v>
      </c>
      <c r="I20" s="3" t="s">
        <v>810</v>
      </c>
      <c r="J20" s="3" t="s">
        <v>811</v>
      </c>
      <c r="K20" s="3" t="s">
        <v>737</v>
      </c>
      <c r="L20" s="3" t="s">
        <v>769</v>
      </c>
      <c r="M20" s="3" t="s">
        <v>812</v>
      </c>
      <c r="N20" s="3" t="s">
        <v>813</v>
      </c>
    </row>
    <row r="21" customFormat="false" ht="15" hidden="false" customHeight="false" outlineLevel="0" collapsed="false">
      <c r="A21" s="3" t="s">
        <v>814</v>
      </c>
      <c r="B21" s="3" t="s">
        <v>815</v>
      </c>
      <c r="C21" s="3" t="s">
        <v>773</v>
      </c>
      <c r="D21" s="50" t="n">
        <f aca="false">'Historical Financials'!B16</f>
        <v>59.984</v>
      </c>
      <c r="E21" s="3" t="s">
        <v>774</v>
      </c>
      <c r="F21" s="3" t="s">
        <v>775</v>
      </c>
      <c r="G21" s="3" t="s">
        <v>735</v>
      </c>
      <c r="H21" s="3" t="s">
        <v>736</v>
      </c>
      <c r="I21" s="3" t="s">
        <v>810</v>
      </c>
      <c r="J21" s="3" t="s">
        <v>811</v>
      </c>
      <c r="K21" s="3" t="s">
        <v>737</v>
      </c>
      <c r="L21" s="3" t="s">
        <v>769</v>
      </c>
      <c r="M21" s="3" t="s">
        <v>816</v>
      </c>
      <c r="N21" s="3" t="s">
        <v>817</v>
      </c>
    </row>
    <row r="22" customFormat="false" ht="15" hidden="false" customHeight="false" outlineLevel="0" collapsed="false">
      <c r="A22" s="3" t="s">
        <v>818</v>
      </c>
      <c r="B22" s="3" t="s">
        <v>819</v>
      </c>
      <c r="C22" s="3" t="s">
        <v>773</v>
      </c>
      <c r="D22" s="50" t="n">
        <f aca="false">'Historical Financials'!B17</f>
        <v>47.537</v>
      </c>
      <c r="E22" s="3" t="s">
        <v>774</v>
      </c>
      <c r="F22" s="3" t="s">
        <v>775</v>
      </c>
      <c r="G22" s="3" t="s">
        <v>735</v>
      </c>
      <c r="H22" s="3" t="s">
        <v>736</v>
      </c>
      <c r="I22" s="3" t="s">
        <v>810</v>
      </c>
      <c r="J22" s="3" t="s">
        <v>811</v>
      </c>
      <c r="K22" s="3" t="s">
        <v>737</v>
      </c>
      <c r="L22" s="3" t="s">
        <v>769</v>
      </c>
      <c r="M22" s="3" t="s">
        <v>820</v>
      </c>
      <c r="N22" s="3" t="s">
        <v>821</v>
      </c>
    </row>
    <row r="23" customFormat="false" ht="15" hidden="false" customHeight="false" outlineLevel="0" collapsed="false">
      <c r="A23" s="3" t="s">
        <v>822</v>
      </c>
      <c r="B23" s="3" t="s">
        <v>823</v>
      </c>
      <c r="C23" s="3" t="s">
        <v>773</v>
      </c>
      <c r="D23" s="50" t="n">
        <f aca="false">'Historical Financials'!B18</f>
        <v>7.879</v>
      </c>
      <c r="E23" s="3" t="s">
        <v>774</v>
      </c>
      <c r="F23" s="3" t="s">
        <v>775</v>
      </c>
      <c r="G23" s="3" t="s">
        <v>735</v>
      </c>
      <c r="H23" s="3" t="s">
        <v>736</v>
      </c>
      <c r="I23" s="3" t="s">
        <v>810</v>
      </c>
      <c r="J23" s="3" t="s">
        <v>811</v>
      </c>
      <c r="K23" s="3" t="s">
        <v>737</v>
      </c>
      <c r="L23" s="3" t="s">
        <v>769</v>
      </c>
      <c r="M23" s="3" t="s">
        <v>824</v>
      </c>
      <c r="N23" s="3" t="s">
        <v>825</v>
      </c>
    </row>
    <row r="24" customFormat="false" ht="15" hidden="false" customHeight="false" outlineLevel="0" collapsed="false">
      <c r="A24" s="3" t="s">
        <v>826</v>
      </c>
      <c r="B24" s="3" t="s">
        <v>827</v>
      </c>
      <c r="C24" s="3" t="s">
        <v>773</v>
      </c>
      <c r="D24" s="50" t="n">
        <f aca="false">'Historical Financials'!B14</f>
        <v>177.273</v>
      </c>
      <c r="E24" s="3" t="s">
        <v>774</v>
      </c>
      <c r="F24" s="3" t="s">
        <v>775</v>
      </c>
      <c r="G24" s="3" t="s">
        <v>735</v>
      </c>
      <c r="H24" s="3" t="s">
        <v>736</v>
      </c>
      <c r="I24" s="3" t="s">
        <v>810</v>
      </c>
      <c r="J24" s="3" t="s">
        <v>811</v>
      </c>
      <c r="K24" s="3" t="s">
        <v>737</v>
      </c>
      <c r="L24" s="3" t="s">
        <v>769</v>
      </c>
      <c r="M24" s="3" t="s">
        <v>828</v>
      </c>
      <c r="N24" s="3" t="s">
        <v>829</v>
      </c>
    </row>
    <row r="25" customFormat="false" ht="15" hidden="false" customHeight="false" outlineLevel="0" collapsed="false">
      <c r="A25" s="3" t="s">
        <v>830</v>
      </c>
      <c r="B25" s="3" t="s">
        <v>772</v>
      </c>
      <c r="C25" s="3" t="s">
        <v>831</v>
      </c>
      <c r="D25" s="50" t="n">
        <f aca="false">'Historical Financials'!C6</f>
        <v>505.517</v>
      </c>
      <c r="E25" s="3" t="s">
        <v>774</v>
      </c>
      <c r="F25" s="3" t="s">
        <v>775</v>
      </c>
      <c r="G25" s="3" t="s">
        <v>735</v>
      </c>
      <c r="H25" s="3" t="s">
        <v>736</v>
      </c>
      <c r="I25" s="3" t="s">
        <v>776</v>
      </c>
      <c r="J25" s="3" t="s">
        <v>777</v>
      </c>
      <c r="K25" s="3" t="s">
        <v>737</v>
      </c>
      <c r="L25" s="3" t="s">
        <v>769</v>
      </c>
      <c r="M25" s="3" t="s">
        <v>832</v>
      </c>
      <c r="N25" s="3" t="s">
        <v>833</v>
      </c>
    </row>
    <row r="26" customFormat="false" ht="15" hidden="false" customHeight="false" outlineLevel="0" collapsed="false">
      <c r="A26" s="3" t="s">
        <v>834</v>
      </c>
      <c r="B26" s="3" t="s">
        <v>781</v>
      </c>
      <c r="C26" s="3" t="s">
        <v>831</v>
      </c>
      <c r="D26" s="50" t="n">
        <f aca="false">'Historical Financials'!C7</f>
        <v>129.89</v>
      </c>
      <c r="E26" s="3" t="s">
        <v>774</v>
      </c>
      <c r="F26" s="3" t="s">
        <v>775</v>
      </c>
      <c r="G26" s="3" t="s">
        <v>735</v>
      </c>
      <c r="H26" s="3" t="s">
        <v>736</v>
      </c>
      <c r="I26" s="3" t="s">
        <v>776</v>
      </c>
      <c r="J26" s="3" t="s">
        <v>777</v>
      </c>
      <c r="K26" s="3" t="s">
        <v>737</v>
      </c>
      <c r="L26" s="3" t="s">
        <v>769</v>
      </c>
      <c r="M26" s="3" t="s">
        <v>835</v>
      </c>
      <c r="N26" s="3" t="s">
        <v>836</v>
      </c>
    </row>
    <row r="27" customFormat="false" ht="15" hidden="false" customHeight="false" outlineLevel="0" collapsed="false">
      <c r="A27" s="3" t="s">
        <v>837</v>
      </c>
      <c r="B27" s="3" t="s">
        <v>785</v>
      </c>
      <c r="C27" s="3" t="s">
        <v>831</v>
      </c>
      <c r="D27" s="50" t="n">
        <f aca="false">'Historical Financials'!C8</f>
        <v>47.726</v>
      </c>
      <c r="E27" s="3" t="s">
        <v>774</v>
      </c>
      <c r="F27" s="3" t="s">
        <v>775</v>
      </c>
      <c r="G27" s="3" t="s">
        <v>735</v>
      </c>
      <c r="H27" s="3" t="s">
        <v>736</v>
      </c>
      <c r="I27" s="3" t="s">
        <v>776</v>
      </c>
      <c r="J27" s="3" t="s">
        <v>777</v>
      </c>
      <c r="K27" s="3" t="s">
        <v>737</v>
      </c>
      <c r="L27" s="3" t="s">
        <v>769</v>
      </c>
      <c r="M27" s="3" t="s">
        <v>838</v>
      </c>
      <c r="N27" s="3" t="s">
        <v>839</v>
      </c>
    </row>
    <row r="28" customFormat="false" ht="15" hidden="false" customHeight="false" outlineLevel="0" collapsed="false">
      <c r="A28" s="3" t="s">
        <v>840</v>
      </c>
      <c r="B28" s="3" t="s">
        <v>789</v>
      </c>
      <c r="C28" s="3" t="s">
        <v>831</v>
      </c>
      <c r="D28" s="50" t="n">
        <f aca="false">'Historical Financials'!C9</f>
        <v>9.714</v>
      </c>
      <c r="E28" s="3" t="s">
        <v>774</v>
      </c>
      <c r="F28" s="3" t="s">
        <v>775</v>
      </c>
      <c r="G28" s="3" t="s">
        <v>735</v>
      </c>
      <c r="H28" s="3" t="s">
        <v>736</v>
      </c>
      <c r="I28" s="3" t="s">
        <v>776</v>
      </c>
      <c r="J28" s="3" t="s">
        <v>777</v>
      </c>
      <c r="K28" s="3" t="s">
        <v>737</v>
      </c>
      <c r="L28" s="3" t="s">
        <v>769</v>
      </c>
      <c r="M28" s="3" t="s">
        <v>841</v>
      </c>
      <c r="N28" s="3" t="s">
        <v>842</v>
      </c>
    </row>
    <row r="29" customFormat="false" ht="15" hidden="false" customHeight="false" outlineLevel="0" collapsed="false">
      <c r="A29" s="3" t="s">
        <v>843</v>
      </c>
      <c r="B29" s="3" t="s">
        <v>793</v>
      </c>
      <c r="C29" s="3" t="s">
        <v>831</v>
      </c>
      <c r="D29" s="50" t="n">
        <f aca="false">'Historical Financials'!C10</f>
        <v>42.781</v>
      </c>
      <c r="E29" s="3" t="s">
        <v>774</v>
      </c>
      <c r="F29" s="3" t="s">
        <v>775</v>
      </c>
      <c r="G29" s="3" t="s">
        <v>735</v>
      </c>
      <c r="H29" s="3" t="s">
        <v>736</v>
      </c>
      <c r="I29" s="3" t="s">
        <v>776</v>
      </c>
      <c r="J29" s="3" t="s">
        <v>777</v>
      </c>
      <c r="K29" s="3" t="s">
        <v>737</v>
      </c>
      <c r="L29" s="3" t="s">
        <v>769</v>
      </c>
      <c r="M29" s="3" t="s">
        <v>844</v>
      </c>
      <c r="N29" s="3" t="s">
        <v>845</v>
      </c>
    </row>
    <row r="30" customFormat="false" ht="15" hidden="false" customHeight="false" outlineLevel="0" collapsed="false">
      <c r="A30" s="3" t="s">
        <v>846</v>
      </c>
      <c r="B30" s="3" t="s">
        <v>797</v>
      </c>
      <c r="C30" s="3" t="s">
        <v>831</v>
      </c>
      <c r="D30" s="50" t="n">
        <f aca="false">'Historical Financials'!C11</f>
        <v>178.168</v>
      </c>
      <c r="E30" s="3" t="s">
        <v>774</v>
      </c>
      <c r="F30" s="3" t="s">
        <v>775</v>
      </c>
      <c r="G30" s="3" t="s">
        <v>735</v>
      </c>
      <c r="H30" s="3" t="s">
        <v>736</v>
      </c>
      <c r="I30" s="3" t="s">
        <v>776</v>
      </c>
      <c r="J30" s="3" t="s">
        <v>777</v>
      </c>
      <c r="K30" s="3" t="s">
        <v>737</v>
      </c>
      <c r="L30" s="3" t="s">
        <v>769</v>
      </c>
      <c r="M30" s="3" t="s">
        <v>847</v>
      </c>
      <c r="N30" s="3" t="s">
        <v>848</v>
      </c>
    </row>
    <row r="31" customFormat="false" ht="15" hidden="false" customHeight="false" outlineLevel="0" collapsed="false">
      <c r="A31" s="3" t="s">
        <v>849</v>
      </c>
      <c r="B31" s="3" t="s">
        <v>801</v>
      </c>
      <c r="C31" s="3" t="s">
        <v>831</v>
      </c>
      <c r="D31" s="50" t="n">
        <f aca="false">'Historical Financials'!C12</f>
        <v>116.306</v>
      </c>
      <c r="E31" s="3" t="s">
        <v>774</v>
      </c>
      <c r="F31" s="3" t="s">
        <v>775</v>
      </c>
      <c r="G31" s="3" t="s">
        <v>735</v>
      </c>
      <c r="H31" s="3" t="s">
        <v>736</v>
      </c>
      <c r="I31" s="3" t="s">
        <v>776</v>
      </c>
      <c r="J31" s="3" t="s">
        <v>777</v>
      </c>
      <c r="K31" s="3" t="s">
        <v>737</v>
      </c>
      <c r="L31" s="3" t="s">
        <v>769</v>
      </c>
      <c r="M31" s="3" t="s">
        <v>850</v>
      </c>
      <c r="N31" s="3" t="s">
        <v>851</v>
      </c>
    </row>
    <row r="32" customFormat="false" ht="15" hidden="false" customHeight="false" outlineLevel="0" collapsed="false">
      <c r="A32" s="3" t="s">
        <v>852</v>
      </c>
      <c r="B32" s="3" t="s">
        <v>805</v>
      </c>
      <c r="C32" s="3" t="s">
        <v>831</v>
      </c>
      <c r="D32" s="50" t="n">
        <f aca="false">'Historical Financials'!C13</f>
        <v>0.014</v>
      </c>
      <c r="E32" s="3" t="s">
        <v>774</v>
      </c>
      <c r="F32" s="3" t="s">
        <v>775</v>
      </c>
      <c r="G32" s="3" t="s">
        <v>735</v>
      </c>
      <c r="H32" s="3" t="s">
        <v>736</v>
      </c>
      <c r="I32" s="3" t="s">
        <v>776</v>
      </c>
      <c r="J32" s="3" t="s">
        <v>777</v>
      </c>
      <c r="K32" s="3" t="s">
        <v>737</v>
      </c>
      <c r="L32" s="3" t="s">
        <v>769</v>
      </c>
      <c r="M32" s="3" t="s">
        <v>853</v>
      </c>
      <c r="N32" s="3" t="s">
        <v>854</v>
      </c>
    </row>
    <row r="33" customFormat="false" ht="15" hidden="false" customHeight="false" outlineLevel="0" collapsed="false">
      <c r="A33" s="3" t="s">
        <v>855</v>
      </c>
      <c r="B33" s="3" t="s">
        <v>809</v>
      </c>
      <c r="C33" s="3" t="s">
        <v>831</v>
      </c>
      <c r="D33" s="50" t="n">
        <f aca="false">'Historical Financials'!C15</f>
        <v>72.792</v>
      </c>
      <c r="E33" s="3" t="s">
        <v>774</v>
      </c>
      <c r="F33" s="3" t="s">
        <v>775</v>
      </c>
      <c r="G33" s="3" t="s">
        <v>735</v>
      </c>
      <c r="H33" s="3" t="s">
        <v>736</v>
      </c>
      <c r="I33" s="3" t="s">
        <v>810</v>
      </c>
      <c r="J33" s="3" t="s">
        <v>811</v>
      </c>
      <c r="K33" s="3" t="s">
        <v>737</v>
      </c>
      <c r="L33" s="3" t="s">
        <v>769</v>
      </c>
      <c r="M33" s="3" t="s">
        <v>856</v>
      </c>
      <c r="N33" s="3" t="s">
        <v>857</v>
      </c>
    </row>
    <row r="34" customFormat="false" ht="15" hidden="false" customHeight="false" outlineLevel="0" collapsed="false">
      <c r="A34" s="3" t="s">
        <v>858</v>
      </c>
      <c r="B34" s="3" t="s">
        <v>815</v>
      </c>
      <c r="C34" s="3" t="s">
        <v>831</v>
      </c>
      <c r="D34" s="50" t="n">
        <f aca="false">'Historical Financials'!C16</f>
        <v>18.398</v>
      </c>
      <c r="E34" s="3" t="s">
        <v>774</v>
      </c>
      <c r="F34" s="3" t="s">
        <v>775</v>
      </c>
      <c r="G34" s="3" t="s">
        <v>735</v>
      </c>
      <c r="H34" s="3" t="s">
        <v>736</v>
      </c>
      <c r="I34" s="3" t="s">
        <v>810</v>
      </c>
      <c r="J34" s="3" t="s">
        <v>811</v>
      </c>
      <c r="K34" s="3" t="s">
        <v>737</v>
      </c>
      <c r="L34" s="3" t="s">
        <v>769</v>
      </c>
      <c r="M34" s="3" t="s">
        <v>859</v>
      </c>
      <c r="N34" s="3" t="s">
        <v>860</v>
      </c>
    </row>
    <row r="35" customFormat="false" ht="15" hidden="false" customHeight="false" outlineLevel="0" collapsed="false">
      <c r="A35" s="3" t="s">
        <v>861</v>
      </c>
      <c r="B35" s="3" t="s">
        <v>819</v>
      </c>
      <c r="C35" s="3" t="s">
        <v>831</v>
      </c>
      <c r="D35" s="50" t="n">
        <f aca="false">'Historical Financials'!C17</f>
        <v>38.57</v>
      </c>
      <c r="E35" s="3" t="s">
        <v>774</v>
      </c>
      <c r="F35" s="3" t="s">
        <v>775</v>
      </c>
      <c r="G35" s="3" t="s">
        <v>735</v>
      </c>
      <c r="H35" s="3" t="s">
        <v>736</v>
      </c>
      <c r="I35" s="3" t="s">
        <v>810</v>
      </c>
      <c r="J35" s="3" t="s">
        <v>811</v>
      </c>
      <c r="K35" s="3" t="s">
        <v>737</v>
      </c>
      <c r="L35" s="3" t="s">
        <v>769</v>
      </c>
      <c r="M35" s="3" t="s">
        <v>862</v>
      </c>
      <c r="N35" s="3" t="s">
        <v>863</v>
      </c>
    </row>
    <row r="36" customFormat="false" ht="15" hidden="false" customHeight="false" outlineLevel="0" collapsed="false">
      <c r="A36" s="3" t="s">
        <v>864</v>
      </c>
      <c r="B36" s="3" t="s">
        <v>823</v>
      </c>
      <c r="C36" s="3" t="s">
        <v>831</v>
      </c>
      <c r="D36" s="50" t="n">
        <f aca="false">'Historical Financials'!C18</f>
        <v>10.557</v>
      </c>
      <c r="E36" s="3" t="s">
        <v>774</v>
      </c>
      <c r="F36" s="3" t="s">
        <v>775</v>
      </c>
      <c r="G36" s="3" t="s">
        <v>735</v>
      </c>
      <c r="H36" s="3" t="s">
        <v>736</v>
      </c>
      <c r="I36" s="3" t="s">
        <v>810</v>
      </c>
      <c r="J36" s="3" t="s">
        <v>811</v>
      </c>
      <c r="K36" s="3" t="s">
        <v>737</v>
      </c>
      <c r="L36" s="3" t="s">
        <v>769</v>
      </c>
      <c r="M36" s="3" t="s">
        <v>865</v>
      </c>
      <c r="N36" s="3" t="s">
        <v>866</v>
      </c>
    </row>
    <row r="37" customFormat="false" ht="15" hidden="false" customHeight="false" outlineLevel="0" collapsed="false">
      <c r="A37" s="3" t="s">
        <v>867</v>
      </c>
      <c r="B37" s="3" t="s">
        <v>827</v>
      </c>
      <c r="C37" s="3" t="s">
        <v>831</v>
      </c>
      <c r="D37" s="50" t="n">
        <f aca="false">'Historical Financials'!C14</f>
        <v>181.125</v>
      </c>
      <c r="E37" s="3" t="s">
        <v>774</v>
      </c>
      <c r="F37" s="3" t="s">
        <v>775</v>
      </c>
      <c r="G37" s="3" t="s">
        <v>735</v>
      </c>
      <c r="H37" s="3" t="s">
        <v>736</v>
      </c>
      <c r="I37" s="3" t="s">
        <v>810</v>
      </c>
      <c r="J37" s="3" t="s">
        <v>811</v>
      </c>
      <c r="K37" s="3" t="s">
        <v>737</v>
      </c>
      <c r="L37" s="3" t="s">
        <v>769</v>
      </c>
      <c r="M37" s="3" t="s">
        <v>868</v>
      </c>
      <c r="N37" s="3" t="s">
        <v>869</v>
      </c>
    </row>
    <row r="38" customFormat="false" ht="15" hidden="false" customHeight="false" outlineLevel="0" collapsed="false">
      <c r="A38" s="3" t="s">
        <v>870</v>
      </c>
      <c r="B38" s="3" t="s">
        <v>772</v>
      </c>
      <c r="C38" s="3" t="s">
        <v>871</v>
      </c>
      <c r="D38" s="50" t="n">
        <f aca="false">'Historical Financials'!D6</f>
        <v>484.454</v>
      </c>
      <c r="E38" s="3" t="s">
        <v>774</v>
      </c>
      <c r="F38" s="3" t="s">
        <v>775</v>
      </c>
      <c r="G38" s="3" t="s">
        <v>735</v>
      </c>
      <c r="H38" s="3" t="s">
        <v>736</v>
      </c>
      <c r="I38" s="3" t="s">
        <v>776</v>
      </c>
      <c r="J38" s="3" t="s">
        <v>777</v>
      </c>
      <c r="K38" s="3" t="s">
        <v>737</v>
      </c>
      <c r="L38" s="3" t="s">
        <v>769</v>
      </c>
      <c r="M38" s="3" t="s">
        <v>872</v>
      </c>
      <c r="N38" s="3" t="s">
        <v>873</v>
      </c>
    </row>
    <row r="39" customFormat="false" ht="15" hidden="false" customHeight="false" outlineLevel="0" collapsed="false">
      <c r="A39" s="3" t="s">
        <v>874</v>
      </c>
      <c r="B39" s="3" t="s">
        <v>781</v>
      </c>
      <c r="C39" s="3" t="s">
        <v>871</v>
      </c>
      <c r="D39" s="50" t="n">
        <f aca="false">'Historical Financials'!D7</f>
        <v>131.347</v>
      </c>
      <c r="E39" s="3" t="s">
        <v>774</v>
      </c>
      <c r="F39" s="3" t="s">
        <v>775</v>
      </c>
      <c r="G39" s="3" t="s">
        <v>735</v>
      </c>
      <c r="H39" s="3" t="s">
        <v>736</v>
      </c>
      <c r="I39" s="3" t="s">
        <v>776</v>
      </c>
      <c r="J39" s="3" t="s">
        <v>777</v>
      </c>
      <c r="K39" s="3" t="s">
        <v>737</v>
      </c>
      <c r="L39" s="3" t="s">
        <v>769</v>
      </c>
      <c r="M39" s="3" t="s">
        <v>875</v>
      </c>
      <c r="N39" s="3" t="s">
        <v>876</v>
      </c>
    </row>
    <row r="40" customFormat="false" ht="15" hidden="false" customHeight="false" outlineLevel="0" collapsed="false">
      <c r="A40" s="3" t="s">
        <v>877</v>
      </c>
      <c r="B40" s="3" t="s">
        <v>785</v>
      </c>
      <c r="C40" s="3" t="s">
        <v>871</v>
      </c>
      <c r="D40" s="50" t="n">
        <f aca="false">'Historical Financials'!D8</f>
        <v>43.602</v>
      </c>
      <c r="E40" s="3" t="s">
        <v>774</v>
      </c>
      <c r="F40" s="3" t="s">
        <v>775</v>
      </c>
      <c r="G40" s="3" t="s">
        <v>735</v>
      </c>
      <c r="H40" s="3" t="s">
        <v>736</v>
      </c>
      <c r="I40" s="3" t="s">
        <v>776</v>
      </c>
      <c r="J40" s="3" t="s">
        <v>777</v>
      </c>
      <c r="K40" s="3" t="s">
        <v>737</v>
      </c>
      <c r="L40" s="3" t="s">
        <v>769</v>
      </c>
      <c r="M40" s="3" t="s">
        <v>878</v>
      </c>
      <c r="N40" s="3" t="s">
        <v>879</v>
      </c>
    </row>
    <row r="41" customFormat="false" ht="15" hidden="false" customHeight="false" outlineLevel="0" collapsed="false">
      <c r="A41" s="3" t="s">
        <v>880</v>
      </c>
      <c r="B41" s="3" t="s">
        <v>789</v>
      </c>
      <c r="C41" s="3" t="s">
        <v>871</v>
      </c>
      <c r="D41" s="50" t="n">
        <f aca="false">'Historical Financials'!D9</f>
        <v>10.245</v>
      </c>
      <c r="E41" s="3" t="s">
        <v>774</v>
      </c>
      <c r="F41" s="3" t="s">
        <v>775</v>
      </c>
      <c r="G41" s="3" t="s">
        <v>735</v>
      </c>
      <c r="H41" s="3" t="s">
        <v>736</v>
      </c>
      <c r="I41" s="3" t="s">
        <v>776</v>
      </c>
      <c r="J41" s="3" t="s">
        <v>777</v>
      </c>
      <c r="K41" s="3" t="s">
        <v>737</v>
      </c>
      <c r="L41" s="3" t="s">
        <v>769</v>
      </c>
      <c r="M41" s="3" t="s">
        <v>881</v>
      </c>
      <c r="N41" s="3" t="s">
        <v>882</v>
      </c>
    </row>
    <row r="42" customFormat="false" ht="15" hidden="false" customHeight="false" outlineLevel="0" collapsed="false">
      <c r="A42" s="3" t="s">
        <v>883</v>
      </c>
      <c r="B42" s="3" t="s">
        <v>793</v>
      </c>
      <c r="C42" s="3" t="s">
        <v>871</v>
      </c>
      <c r="D42" s="50" t="n">
        <f aca="false">'Historical Financials'!D10</f>
        <v>42.031</v>
      </c>
      <c r="E42" s="3" t="s">
        <v>774</v>
      </c>
      <c r="F42" s="3" t="s">
        <v>775</v>
      </c>
      <c r="G42" s="3" t="s">
        <v>735</v>
      </c>
      <c r="H42" s="3" t="s">
        <v>736</v>
      </c>
      <c r="I42" s="3" t="s">
        <v>776</v>
      </c>
      <c r="J42" s="3" t="s">
        <v>777</v>
      </c>
      <c r="K42" s="3" t="s">
        <v>737</v>
      </c>
      <c r="L42" s="3" t="s">
        <v>769</v>
      </c>
      <c r="M42" s="3" t="s">
        <v>884</v>
      </c>
      <c r="N42" s="3" t="s">
        <v>885</v>
      </c>
    </row>
    <row r="43" customFormat="false" ht="15" hidden="false" customHeight="false" outlineLevel="0" collapsed="false">
      <c r="A43" s="3" t="s">
        <v>886</v>
      </c>
      <c r="B43" s="3" t="s">
        <v>797</v>
      </c>
      <c r="C43" s="3" t="s">
        <v>871</v>
      </c>
      <c r="D43" s="50" t="n">
        <f aca="false">'Historical Financials'!D11</f>
        <v>176.428</v>
      </c>
      <c r="E43" s="3" t="s">
        <v>774</v>
      </c>
      <c r="F43" s="3" t="s">
        <v>775</v>
      </c>
      <c r="G43" s="3" t="s">
        <v>735</v>
      </c>
      <c r="H43" s="3" t="s">
        <v>736</v>
      </c>
      <c r="I43" s="3" t="s">
        <v>776</v>
      </c>
      <c r="J43" s="3" t="s">
        <v>777</v>
      </c>
      <c r="K43" s="3" t="s">
        <v>737</v>
      </c>
      <c r="L43" s="3" t="s">
        <v>769</v>
      </c>
      <c r="M43" s="3" t="s">
        <v>887</v>
      </c>
      <c r="N43" s="3" t="s">
        <v>888</v>
      </c>
    </row>
    <row r="44" customFormat="false" ht="15" hidden="false" customHeight="false" outlineLevel="0" collapsed="false">
      <c r="A44" s="3" t="s">
        <v>889</v>
      </c>
      <c r="B44" s="3" t="s">
        <v>801</v>
      </c>
      <c r="C44" s="3" t="s">
        <v>871</v>
      </c>
      <c r="D44" s="50" t="n">
        <f aca="false">'Historical Financials'!D12</f>
        <v>134.955</v>
      </c>
      <c r="E44" s="3" t="s">
        <v>774</v>
      </c>
      <c r="F44" s="3" t="s">
        <v>775</v>
      </c>
      <c r="G44" s="3" t="s">
        <v>735</v>
      </c>
      <c r="H44" s="3" t="s">
        <v>736</v>
      </c>
      <c r="I44" s="3" t="s">
        <v>776</v>
      </c>
      <c r="J44" s="3" t="s">
        <v>777</v>
      </c>
      <c r="K44" s="3" t="s">
        <v>737</v>
      </c>
      <c r="L44" s="3" t="s">
        <v>769</v>
      </c>
      <c r="M44" s="3" t="s">
        <v>890</v>
      </c>
      <c r="N44" s="3" t="s">
        <v>891</v>
      </c>
    </row>
    <row r="45" customFormat="false" ht="15" hidden="false" customHeight="false" outlineLevel="0" collapsed="false">
      <c r="A45" s="3" t="s">
        <v>892</v>
      </c>
      <c r="B45" s="3" t="s">
        <v>805</v>
      </c>
      <c r="C45" s="3" t="s">
        <v>871</v>
      </c>
      <c r="D45" s="50" t="n">
        <f aca="false">'Historical Financials'!D13</f>
        <v>0.112</v>
      </c>
      <c r="E45" s="3" t="s">
        <v>774</v>
      </c>
      <c r="F45" s="3" t="s">
        <v>775</v>
      </c>
      <c r="G45" s="3" t="s">
        <v>735</v>
      </c>
      <c r="H45" s="3" t="s">
        <v>736</v>
      </c>
      <c r="I45" s="3" t="s">
        <v>776</v>
      </c>
      <c r="J45" s="3" t="s">
        <v>777</v>
      </c>
      <c r="K45" s="3" t="s">
        <v>737</v>
      </c>
      <c r="L45" s="3" t="s">
        <v>769</v>
      </c>
      <c r="M45" s="3" t="s">
        <v>893</v>
      </c>
      <c r="N45" s="3" t="s">
        <v>894</v>
      </c>
    </row>
    <row r="46" customFormat="false" ht="15" hidden="false" customHeight="false" outlineLevel="0" collapsed="false">
      <c r="A46" s="3" t="s">
        <v>895</v>
      </c>
      <c r="B46" s="3" t="s">
        <v>809</v>
      </c>
      <c r="C46" s="3" t="s">
        <v>871</v>
      </c>
      <c r="D46" s="50" t="n">
        <f aca="false">'Historical Financials'!D15</f>
        <v>74.005</v>
      </c>
      <c r="E46" s="3" t="s">
        <v>774</v>
      </c>
      <c r="F46" s="3" t="s">
        <v>775</v>
      </c>
      <c r="G46" s="3" t="s">
        <v>735</v>
      </c>
      <c r="H46" s="3" t="s">
        <v>736</v>
      </c>
      <c r="I46" s="3" t="s">
        <v>810</v>
      </c>
      <c r="J46" s="3" t="s">
        <v>811</v>
      </c>
      <c r="K46" s="3" t="s">
        <v>737</v>
      </c>
      <c r="L46" s="3" t="s">
        <v>769</v>
      </c>
      <c r="M46" s="3" t="s">
        <v>896</v>
      </c>
      <c r="N46" s="3" t="s">
        <v>897</v>
      </c>
    </row>
    <row r="47" customFormat="false" ht="15" hidden="false" customHeight="false" outlineLevel="0" collapsed="false">
      <c r="A47" s="3" t="s">
        <v>898</v>
      </c>
      <c r="B47" s="3" t="s">
        <v>815</v>
      </c>
      <c r="C47" s="3" t="s">
        <v>871</v>
      </c>
      <c r="D47" s="50" t="n">
        <f aca="false">'Historical Financials'!D16</f>
        <v>6.168</v>
      </c>
      <c r="E47" s="3" t="s">
        <v>774</v>
      </c>
      <c r="F47" s="3" t="s">
        <v>775</v>
      </c>
      <c r="G47" s="3" t="s">
        <v>735</v>
      </c>
      <c r="H47" s="3" t="s">
        <v>736</v>
      </c>
      <c r="I47" s="3" t="s">
        <v>810</v>
      </c>
      <c r="J47" s="3" t="s">
        <v>811</v>
      </c>
      <c r="K47" s="3" t="s">
        <v>737</v>
      </c>
      <c r="L47" s="3" t="s">
        <v>769</v>
      </c>
      <c r="M47" s="3" t="s">
        <v>899</v>
      </c>
      <c r="N47" s="3" t="s">
        <v>900</v>
      </c>
    </row>
    <row r="48" customFormat="false" ht="15" hidden="false" customHeight="false" outlineLevel="0" collapsed="false">
      <c r="A48" s="3" t="s">
        <v>901</v>
      </c>
      <c r="B48" s="3" t="s">
        <v>819</v>
      </c>
      <c r="C48" s="3" t="s">
        <v>871</v>
      </c>
      <c r="D48" s="50" t="n">
        <f aca="false">'Historical Financials'!D17</f>
        <v>33.223</v>
      </c>
      <c r="E48" s="3" t="s">
        <v>774</v>
      </c>
      <c r="F48" s="3" t="s">
        <v>775</v>
      </c>
      <c r="G48" s="3" t="s">
        <v>735</v>
      </c>
      <c r="H48" s="3" t="s">
        <v>736</v>
      </c>
      <c r="I48" s="3" t="s">
        <v>810</v>
      </c>
      <c r="J48" s="3" t="s">
        <v>811</v>
      </c>
      <c r="K48" s="3" t="s">
        <v>737</v>
      </c>
      <c r="L48" s="3" t="s">
        <v>769</v>
      </c>
      <c r="M48" s="3" t="s">
        <v>902</v>
      </c>
      <c r="N48" s="3" t="s">
        <v>903</v>
      </c>
    </row>
    <row r="49" customFormat="false" ht="15" hidden="false" customHeight="false" outlineLevel="0" collapsed="false">
      <c r="A49" s="3" t="s">
        <v>904</v>
      </c>
      <c r="B49" s="3" t="s">
        <v>823</v>
      </c>
      <c r="C49" s="3" t="s">
        <v>871</v>
      </c>
      <c r="D49" s="50" t="n">
        <f aca="false">'Historical Financials'!D18</f>
        <v>12.749</v>
      </c>
      <c r="E49" s="3" t="s">
        <v>774</v>
      </c>
      <c r="F49" s="3" t="s">
        <v>775</v>
      </c>
      <c r="G49" s="3" t="s">
        <v>735</v>
      </c>
      <c r="H49" s="3" t="s">
        <v>736</v>
      </c>
      <c r="I49" s="3" t="s">
        <v>810</v>
      </c>
      <c r="J49" s="3" t="s">
        <v>811</v>
      </c>
      <c r="K49" s="3" t="s">
        <v>737</v>
      </c>
      <c r="L49" s="3" t="s">
        <v>769</v>
      </c>
      <c r="M49" s="3" t="s">
        <v>905</v>
      </c>
      <c r="N49" s="3" t="s">
        <v>906</v>
      </c>
    </row>
    <row r="50" customFormat="false" ht="15" hidden="false" customHeight="false" outlineLevel="0" collapsed="false">
      <c r="A50" s="3" t="s">
        <v>907</v>
      </c>
      <c r="B50" s="3" t="s">
        <v>827</v>
      </c>
      <c r="C50" s="3" t="s">
        <v>871</v>
      </c>
      <c r="D50" s="50" t="n">
        <f aca="false">'Historical Financials'!D14</f>
        <v>116.701</v>
      </c>
      <c r="E50" s="3" t="s">
        <v>774</v>
      </c>
      <c r="F50" s="3" t="s">
        <v>775</v>
      </c>
      <c r="G50" s="3" t="s">
        <v>735</v>
      </c>
      <c r="H50" s="3" t="s">
        <v>736</v>
      </c>
      <c r="I50" s="3" t="s">
        <v>810</v>
      </c>
      <c r="J50" s="3" t="s">
        <v>811</v>
      </c>
      <c r="K50" s="3" t="s">
        <v>737</v>
      </c>
      <c r="L50" s="3" t="s">
        <v>769</v>
      </c>
      <c r="M50" s="3" t="s">
        <v>908</v>
      </c>
      <c r="N50" s="3" t="s">
        <v>909</v>
      </c>
    </row>
    <row r="51" customFormat="false" ht="15" hidden="false" customHeight="false" outlineLevel="0" collapsed="false">
      <c r="A51" s="3" t="s">
        <v>910</v>
      </c>
      <c r="B51" s="3" t="s">
        <v>772</v>
      </c>
      <c r="C51" s="3" t="s">
        <v>911</v>
      </c>
      <c r="D51" s="50" t="n">
        <f aca="false">'Historical Financials'!E6</f>
        <v>242.087</v>
      </c>
      <c r="E51" s="3" t="s">
        <v>774</v>
      </c>
      <c r="F51" s="3" t="s">
        <v>766</v>
      </c>
      <c r="G51" s="3" t="s">
        <v>743</v>
      </c>
      <c r="H51" s="3" t="s">
        <v>744</v>
      </c>
      <c r="I51" s="3" t="s">
        <v>912</v>
      </c>
      <c r="J51" s="3" t="s">
        <v>913</v>
      </c>
      <c r="K51" s="3" t="s">
        <v>745</v>
      </c>
      <c r="L51" s="3" t="s">
        <v>769</v>
      </c>
      <c r="M51" s="3" t="s">
        <v>914</v>
      </c>
      <c r="N51" s="3" t="s">
        <v>915</v>
      </c>
    </row>
    <row r="52" customFormat="false" ht="15" hidden="false" customHeight="false" outlineLevel="0" collapsed="false">
      <c r="A52" s="3" t="s">
        <v>916</v>
      </c>
      <c r="B52" s="3" t="s">
        <v>781</v>
      </c>
      <c r="C52" s="3" t="s">
        <v>911</v>
      </c>
      <c r="D52" s="50" t="n">
        <f aca="false">'Historical Financials'!E7</f>
        <v>64.891</v>
      </c>
      <c r="E52" s="3" t="s">
        <v>774</v>
      </c>
      <c r="F52" s="3" t="s">
        <v>766</v>
      </c>
      <c r="G52" s="3" t="s">
        <v>743</v>
      </c>
      <c r="H52" s="3" t="s">
        <v>744</v>
      </c>
      <c r="I52" s="3" t="s">
        <v>912</v>
      </c>
      <c r="J52" s="3" t="s">
        <v>913</v>
      </c>
      <c r="K52" s="3" t="s">
        <v>745</v>
      </c>
      <c r="L52" s="3" t="s">
        <v>769</v>
      </c>
      <c r="M52" s="3" t="s">
        <v>917</v>
      </c>
      <c r="N52" s="3" t="s">
        <v>918</v>
      </c>
    </row>
    <row r="53" customFormat="false" ht="15" hidden="false" customHeight="false" outlineLevel="0" collapsed="false">
      <c r="A53" s="3" t="s">
        <v>919</v>
      </c>
      <c r="B53" s="3" t="s">
        <v>785</v>
      </c>
      <c r="C53" s="3" t="s">
        <v>911</v>
      </c>
      <c r="D53" s="50" t="n">
        <f aca="false">'Historical Financials'!E8</f>
        <v>22.939</v>
      </c>
      <c r="E53" s="3" t="s">
        <v>774</v>
      </c>
      <c r="F53" s="3" t="s">
        <v>766</v>
      </c>
      <c r="G53" s="3" t="s">
        <v>743</v>
      </c>
      <c r="H53" s="3" t="s">
        <v>744</v>
      </c>
      <c r="I53" s="3" t="s">
        <v>912</v>
      </c>
      <c r="J53" s="3" t="s">
        <v>913</v>
      </c>
      <c r="K53" s="3" t="s">
        <v>745</v>
      </c>
      <c r="L53" s="3" t="s">
        <v>769</v>
      </c>
      <c r="M53" s="3" t="s">
        <v>920</v>
      </c>
      <c r="N53" s="3" t="s">
        <v>921</v>
      </c>
    </row>
    <row r="54" customFormat="false" ht="15" hidden="false" customHeight="false" outlineLevel="0" collapsed="false">
      <c r="A54" s="3" t="s">
        <v>922</v>
      </c>
      <c r="B54" s="3" t="s">
        <v>789</v>
      </c>
      <c r="C54" s="3" t="s">
        <v>911</v>
      </c>
      <c r="D54" s="50" t="n">
        <f aca="false">'Historical Financials'!E9</f>
        <v>5.117</v>
      </c>
      <c r="E54" s="3" t="s">
        <v>774</v>
      </c>
      <c r="F54" s="3" t="s">
        <v>766</v>
      </c>
      <c r="G54" s="3" t="s">
        <v>743</v>
      </c>
      <c r="H54" s="3" t="s">
        <v>744</v>
      </c>
      <c r="I54" s="3" t="s">
        <v>912</v>
      </c>
      <c r="J54" s="3" t="s">
        <v>913</v>
      </c>
      <c r="K54" s="3" t="s">
        <v>745</v>
      </c>
      <c r="L54" s="3" t="s">
        <v>769</v>
      </c>
      <c r="M54" s="3" t="s">
        <v>923</v>
      </c>
      <c r="N54" s="3" t="s">
        <v>924</v>
      </c>
    </row>
    <row r="55" customFormat="false" ht="15" hidden="false" customHeight="false" outlineLevel="0" collapsed="false">
      <c r="A55" s="3" t="s">
        <v>925</v>
      </c>
      <c r="B55" s="3" t="s">
        <v>793</v>
      </c>
      <c r="C55" s="3" t="s">
        <v>911</v>
      </c>
      <c r="D55" s="50" t="n">
        <f aca="false">'Historical Financials'!E10</f>
        <v>26.795</v>
      </c>
      <c r="E55" s="3" t="s">
        <v>774</v>
      </c>
      <c r="F55" s="3" t="s">
        <v>766</v>
      </c>
      <c r="G55" s="3" t="s">
        <v>743</v>
      </c>
      <c r="H55" s="3" t="s">
        <v>744</v>
      </c>
      <c r="I55" s="3" t="s">
        <v>912</v>
      </c>
      <c r="J55" s="3" t="s">
        <v>913</v>
      </c>
      <c r="K55" s="3" t="s">
        <v>745</v>
      </c>
      <c r="L55" s="3" t="s">
        <v>769</v>
      </c>
      <c r="M55" s="3" t="s">
        <v>926</v>
      </c>
      <c r="N55" s="3" t="s">
        <v>927</v>
      </c>
    </row>
    <row r="56" customFormat="false" ht="15" hidden="false" customHeight="false" outlineLevel="0" collapsed="false">
      <c r="A56" s="3" t="s">
        <v>928</v>
      </c>
      <c r="B56" s="3" t="s">
        <v>797</v>
      </c>
      <c r="C56" s="3" t="s">
        <v>911</v>
      </c>
      <c r="D56" s="50" t="n">
        <f aca="false">'Historical Financials'!E11</f>
        <v>88.115</v>
      </c>
      <c r="E56" s="3" t="s">
        <v>774</v>
      </c>
      <c r="F56" s="3" t="s">
        <v>766</v>
      </c>
      <c r="G56" s="3" t="s">
        <v>743</v>
      </c>
      <c r="H56" s="3" t="s">
        <v>744</v>
      </c>
      <c r="I56" s="3" t="s">
        <v>912</v>
      </c>
      <c r="J56" s="3" t="s">
        <v>913</v>
      </c>
      <c r="K56" s="3" t="s">
        <v>745</v>
      </c>
      <c r="L56" s="3" t="s">
        <v>769</v>
      </c>
      <c r="M56" s="3" t="s">
        <v>929</v>
      </c>
      <c r="N56" s="3" t="s">
        <v>930</v>
      </c>
    </row>
    <row r="57" customFormat="false" ht="15" hidden="false" customHeight="false" outlineLevel="0" collapsed="false">
      <c r="A57" s="3" t="s">
        <v>931</v>
      </c>
      <c r="B57" s="3" t="s">
        <v>801</v>
      </c>
      <c r="C57" s="3" t="s">
        <v>911</v>
      </c>
      <c r="D57" s="50" t="n">
        <f aca="false">'Historical Financials'!E12</f>
        <v>64.19</v>
      </c>
      <c r="E57" s="3" t="s">
        <v>774</v>
      </c>
      <c r="F57" s="3" t="s">
        <v>766</v>
      </c>
      <c r="G57" s="3" t="s">
        <v>743</v>
      </c>
      <c r="H57" s="3" t="s">
        <v>744</v>
      </c>
      <c r="I57" s="3" t="s">
        <v>912</v>
      </c>
      <c r="J57" s="3" t="s">
        <v>913</v>
      </c>
      <c r="K57" s="3" t="s">
        <v>745</v>
      </c>
      <c r="L57" s="3" t="s">
        <v>769</v>
      </c>
      <c r="M57" s="3" t="s">
        <v>932</v>
      </c>
      <c r="N57" s="3" t="s">
        <v>933</v>
      </c>
    </row>
    <row r="58" customFormat="false" ht="15" hidden="false" customHeight="false" outlineLevel="0" collapsed="false">
      <c r="A58" s="3" t="s">
        <v>934</v>
      </c>
      <c r="B58" s="3" t="s">
        <v>805</v>
      </c>
      <c r="C58" s="3" t="s">
        <v>911</v>
      </c>
      <c r="D58" s="50" t="n">
        <f aca="false">'Historical Financials'!E13</f>
        <v>0.085</v>
      </c>
      <c r="E58" s="3" t="s">
        <v>774</v>
      </c>
      <c r="F58" s="3" t="s">
        <v>766</v>
      </c>
      <c r="G58" s="3" t="s">
        <v>743</v>
      </c>
      <c r="H58" s="3" t="s">
        <v>744</v>
      </c>
      <c r="I58" s="3" t="s">
        <v>912</v>
      </c>
      <c r="J58" s="3" t="s">
        <v>913</v>
      </c>
      <c r="K58" s="3" t="s">
        <v>745</v>
      </c>
      <c r="L58" s="3" t="s">
        <v>769</v>
      </c>
      <c r="M58" s="3" t="s">
        <v>935</v>
      </c>
      <c r="N58" s="3" t="s">
        <v>936</v>
      </c>
    </row>
    <row r="59" customFormat="false" ht="15" hidden="false" customHeight="false" outlineLevel="0" collapsed="false">
      <c r="A59" s="3" t="s">
        <v>937</v>
      </c>
      <c r="B59" s="3" t="s">
        <v>809</v>
      </c>
      <c r="C59" s="3" t="s">
        <v>911</v>
      </c>
      <c r="D59" s="50" t="n">
        <f aca="false">'Historical Financials'!E15</f>
        <v>39.524</v>
      </c>
      <c r="E59" s="3" t="s">
        <v>774</v>
      </c>
      <c r="F59" s="3" t="s">
        <v>766</v>
      </c>
      <c r="G59" s="3" t="s">
        <v>743</v>
      </c>
      <c r="H59" s="3" t="s">
        <v>744</v>
      </c>
      <c r="I59" s="3" t="s">
        <v>938</v>
      </c>
      <c r="J59" s="3" t="s">
        <v>939</v>
      </c>
      <c r="K59" s="3" t="s">
        <v>745</v>
      </c>
      <c r="L59" s="3" t="s">
        <v>769</v>
      </c>
      <c r="M59" s="3" t="s">
        <v>940</v>
      </c>
      <c r="N59" s="3" t="s">
        <v>941</v>
      </c>
    </row>
    <row r="60" customFormat="false" ht="15" hidden="false" customHeight="false" outlineLevel="0" collapsed="false">
      <c r="A60" s="3" t="s">
        <v>942</v>
      </c>
      <c r="B60" s="3" t="s">
        <v>815</v>
      </c>
      <c r="C60" s="3" t="s">
        <v>911</v>
      </c>
      <c r="D60" s="50" t="n">
        <f aca="false">'Historical Financials'!E16</f>
        <v>4.766</v>
      </c>
      <c r="E60" s="3" t="s">
        <v>774</v>
      </c>
      <c r="F60" s="3" t="s">
        <v>766</v>
      </c>
      <c r="G60" s="3" t="s">
        <v>743</v>
      </c>
      <c r="H60" s="3" t="s">
        <v>744</v>
      </c>
      <c r="I60" s="3" t="s">
        <v>938</v>
      </c>
      <c r="J60" s="3" t="s">
        <v>939</v>
      </c>
      <c r="K60" s="3" t="s">
        <v>745</v>
      </c>
      <c r="L60" s="3" t="s">
        <v>769</v>
      </c>
      <c r="M60" s="3" t="s">
        <v>943</v>
      </c>
      <c r="N60" s="3" t="s">
        <v>944</v>
      </c>
    </row>
    <row r="61" customFormat="false" ht="15" hidden="false" customHeight="false" outlineLevel="0" collapsed="false">
      <c r="A61" s="3" t="s">
        <v>945</v>
      </c>
      <c r="B61" s="3" t="s">
        <v>819</v>
      </c>
      <c r="C61" s="3" t="s">
        <v>911</v>
      </c>
      <c r="D61" s="50" t="n">
        <f aca="false">'Historical Financials'!E17</f>
        <v>17.656</v>
      </c>
      <c r="E61" s="3" t="s">
        <v>774</v>
      </c>
      <c r="F61" s="3" t="s">
        <v>766</v>
      </c>
      <c r="G61" s="3" t="s">
        <v>743</v>
      </c>
      <c r="H61" s="3" t="s">
        <v>744</v>
      </c>
      <c r="I61" s="3" t="s">
        <v>938</v>
      </c>
      <c r="J61" s="3" t="s">
        <v>939</v>
      </c>
      <c r="K61" s="3" t="s">
        <v>745</v>
      </c>
      <c r="L61" s="3" t="s">
        <v>769</v>
      </c>
      <c r="M61" s="3" t="s">
        <v>946</v>
      </c>
      <c r="N61" s="3" t="s">
        <v>947</v>
      </c>
    </row>
    <row r="62" customFormat="false" ht="15" hidden="false" customHeight="false" outlineLevel="0" collapsed="false">
      <c r="A62" s="3" t="s">
        <v>948</v>
      </c>
      <c r="B62" s="3" t="s">
        <v>823</v>
      </c>
      <c r="C62" s="3" t="s">
        <v>911</v>
      </c>
      <c r="D62" s="50" t="n">
        <f aca="false">'Historical Financials'!E18</f>
        <v>6.726</v>
      </c>
      <c r="E62" s="3" t="s">
        <v>774</v>
      </c>
      <c r="F62" s="3" t="s">
        <v>766</v>
      </c>
      <c r="G62" s="3" t="s">
        <v>743</v>
      </c>
      <c r="H62" s="3" t="s">
        <v>744</v>
      </c>
      <c r="I62" s="3" t="s">
        <v>938</v>
      </c>
      <c r="J62" s="3" t="s">
        <v>939</v>
      </c>
      <c r="K62" s="3" t="s">
        <v>745</v>
      </c>
      <c r="L62" s="3" t="s">
        <v>769</v>
      </c>
      <c r="M62" s="3" t="s">
        <v>949</v>
      </c>
      <c r="N62" s="3" t="s">
        <v>950</v>
      </c>
    </row>
    <row r="63" customFormat="false" ht="15" hidden="false" customHeight="false" outlineLevel="0" collapsed="false">
      <c r="A63" s="3" t="s">
        <v>951</v>
      </c>
      <c r="B63" s="3" t="s">
        <v>827</v>
      </c>
      <c r="C63" s="3" t="s">
        <v>911</v>
      </c>
      <c r="D63" s="50" t="n">
        <f aca="false">'Historical Financials'!E14</f>
        <v>40.704</v>
      </c>
      <c r="E63" s="3" t="s">
        <v>774</v>
      </c>
      <c r="F63" s="3" t="s">
        <v>766</v>
      </c>
      <c r="G63" s="3" t="s">
        <v>743</v>
      </c>
      <c r="H63" s="3" t="s">
        <v>744</v>
      </c>
      <c r="I63" s="3" t="s">
        <v>938</v>
      </c>
      <c r="J63" s="3" t="s">
        <v>939</v>
      </c>
      <c r="K63" s="3" t="s">
        <v>745</v>
      </c>
      <c r="L63" s="3" t="s">
        <v>769</v>
      </c>
      <c r="M63" s="3" t="s">
        <v>952</v>
      </c>
      <c r="N63" s="3" t="s">
        <v>953</v>
      </c>
    </row>
    <row r="64" customFormat="false" ht="15" hidden="false" customHeight="false" outlineLevel="0" collapsed="false">
      <c r="A64" s="3" t="s">
        <v>954</v>
      </c>
      <c r="B64" s="3" t="s">
        <v>772</v>
      </c>
      <c r="C64" s="3" t="s">
        <v>955</v>
      </c>
      <c r="D64" s="50" t="n">
        <f aca="false">'Historical Financials'!F6</f>
        <v>255.924</v>
      </c>
      <c r="E64" s="3" t="s">
        <v>774</v>
      </c>
      <c r="F64" s="3" t="s">
        <v>766</v>
      </c>
      <c r="G64" s="3" t="s">
        <v>743</v>
      </c>
      <c r="H64" s="3" t="s">
        <v>744</v>
      </c>
      <c r="I64" s="3" t="s">
        <v>912</v>
      </c>
      <c r="J64" s="3" t="s">
        <v>913</v>
      </c>
      <c r="K64" s="3" t="s">
        <v>745</v>
      </c>
      <c r="L64" s="3" t="s">
        <v>769</v>
      </c>
      <c r="M64" s="3" t="s">
        <v>956</v>
      </c>
      <c r="N64" s="3" t="s">
        <v>957</v>
      </c>
    </row>
    <row r="65" customFormat="false" ht="15" hidden="false" customHeight="false" outlineLevel="0" collapsed="false">
      <c r="A65" s="3" t="s">
        <v>958</v>
      </c>
      <c r="B65" s="3" t="s">
        <v>781</v>
      </c>
      <c r="C65" s="3" t="s">
        <v>955</v>
      </c>
      <c r="D65" s="50" t="n">
        <f aca="false">'Historical Financials'!F7</f>
        <v>77.094</v>
      </c>
      <c r="E65" s="3" t="s">
        <v>774</v>
      </c>
      <c r="F65" s="3" t="s">
        <v>766</v>
      </c>
      <c r="G65" s="3" t="s">
        <v>743</v>
      </c>
      <c r="H65" s="3" t="s">
        <v>744</v>
      </c>
      <c r="I65" s="3" t="s">
        <v>912</v>
      </c>
      <c r="J65" s="3" t="s">
        <v>913</v>
      </c>
      <c r="K65" s="3" t="s">
        <v>745</v>
      </c>
      <c r="L65" s="3" t="s">
        <v>769</v>
      </c>
      <c r="M65" s="3" t="s">
        <v>959</v>
      </c>
      <c r="N65" s="3" t="s">
        <v>960</v>
      </c>
    </row>
    <row r="66" customFormat="false" ht="15" hidden="false" customHeight="false" outlineLevel="0" collapsed="false">
      <c r="A66" s="3" t="s">
        <v>961</v>
      </c>
      <c r="B66" s="3" t="s">
        <v>785</v>
      </c>
      <c r="C66" s="3" t="s">
        <v>955</v>
      </c>
      <c r="D66" s="50" t="n">
        <f aca="false">'Historical Financials'!F8</f>
        <v>23.006</v>
      </c>
      <c r="E66" s="3" t="s">
        <v>774</v>
      </c>
      <c r="F66" s="3" t="s">
        <v>766</v>
      </c>
      <c r="G66" s="3" t="s">
        <v>743</v>
      </c>
      <c r="H66" s="3" t="s">
        <v>744</v>
      </c>
      <c r="I66" s="3" t="s">
        <v>912</v>
      </c>
      <c r="J66" s="3" t="s">
        <v>913</v>
      </c>
      <c r="K66" s="3" t="s">
        <v>745</v>
      </c>
      <c r="L66" s="3" t="s">
        <v>769</v>
      </c>
      <c r="M66" s="3" t="s">
        <v>962</v>
      </c>
      <c r="N66" s="3" t="s">
        <v>963</v>
      </c>
    </row>
    <row r="67" customFormat="false" ht="15" hidden="false" customHeight="false" outlineLevel="0" collapsed="false">
      <c r="A67" s="3" t="s">
        <v>964</v>
      </c>
      <c r="B67" s="3" t="s">
        <v>789</v>
      </c>
      <c r="C67" s="3" t="s">
        <v>955</v>
      </c>
      <c r="D67" s="50" t="n">
        <f aca="false">'Historical Financials'!F9</f>
        <v>4.433</v>
      </c>
      <c r="E67" s="3" t="s">
        <v>774</v>
      </c>
      <c r="F67" s="3" t="s">
        <v>766</v>
      </c>
      <c r="G67" s="3" t="s">
        <v>743</v>
      </c>
      <c r="H67" s="3" t="s">
        <v>744</v>
      </c>
      <c r="I67" s="3" t="s">
        <v>912</v>
      </c>
      <c r="J67" s="3" t="s">
        <v>913</v>
      </c>
      <c r="K67" s="3" t="s">
        <v>745</v>
      </c>
      <c r="L67" s="3" t="s">
        <v>769</v>
      </c>
      <c r="M67" s="3" t="s">
        <v>965</v>
      </c>
      <c r="N67" s="3" t="s">
        <v>966</v>
      </c>
    </row>
    <row r="68" customFormat="false" ht="15" hidden="false" customHeight="false" outlineLevel="0" collapsed="false">
      <c r="A68" s="3" t="s">
        <v>967</v>
      </c>
      <c r="B68" s="3" t="s">
        <v>793</v>
      </c>
      <c r="C68" s="3" t="s">
        <v>955</v>
      </c>
      <c r="D68" s="50" t="n">
        <f aca="false">'Historical Financials'!F10</f>
        <v>21.598</v>
      </c>
      <c r="E68" s="3" t="s">
        <v>774</v>
      </c>
      <c r="F68" s="3" t="s">
        <v>766</v>
      </c>
      <c r="G68" s="3" t="s">
        <v>743</v>
      </c>
      <c r="H68" s="3" t="s">
        <v>744</v>
      </c>
      <c r="I68" s="3" t="s">
        <v>912</v>
      </c>
      <c r="J68" s="3" t="s">
        <v>913</v>
      </c>
      <c r="K68" s="3" t="s">
        <v>745</v>
      </c>
      <c r="L68" s="3" t="s">
        <v>769</v>
      </c>
      <c r="M68" s="3" t="s">
        <v>968</v>
      </c>
      <c r="N68" s="3" t="s">
        <v>969</v>
      </c>
    </row>
    <row r="69" customFormat="false" ht="15" hidden="false" customHeight="false" outlineLevel="0" collapsed="false">
      <c r="A69" s="3" t="s">
        <v>970</v>
      </c>
      <c r="B69" s="3" t="s">
        <v>797</v>
      </c>
      <c r="C69" s="3" t="s">
        <v>955</v>
      </c>
      <c r="D69" s="50" t="n">
        <f aca="false">'Historical Financials'!F11</f>
        <v>96.98</v>
      </c>
      <c r="E69" s="3" t="s">
        <v>774</v>
      </c>
      <c r="F69" s="3" t="s">
        <v>766</v>
      </c>
      <c r="G69" s="3" t="s">
        <v>743</v>
      </c>
      <c r="H69" s="3" t="s">
        <v>744</v>
      </c>
      <c r="I69" s="3" t="s">
        <v>912</v>
      </c>
      <c r="J69" s="3" t="s">
        <v>913</v>
      </c>
      <c r="K69" s="3" t="s">
        <v>745</v>
      </c>
      <c r="L69" s="3" t="s">
        <v>769</v>
      </c>
      <c r="M69" s="3" t="s">
        <v>971</v>
      </c>
      <c r="N69" s="3" t="s">
        <v>972</v>
      </c>
    </row>
    <row r="70" customFormat="false" ht="15" hidden="false" customHeight="false" outlineLevel="0" collapsed="false">
      <c r="A70" s="3" t="s">
        <v>973</v>
      </c>
      <c r="B70" s="3" t="s">
        <v>801</v>
      </c>
      <c r="C70" s="3" t="s">
        <v>955</v>
      </c>
      <c r="D70" s="50" t="n">
        <f aca="false">'Historical Financials'!F12</f>
        <v>82.82</v>
      </c>
      <c r="E70" s="3" t="s">
        <v>774</v>
      </c>
      <c r="F70" s="3" t="s">
        <v>766</v>
      </c>
      <c r="G70" s="3" t="s">
        <v>743</v>
      </c>
      <c r="H70" s="3" t="s">
        <v>744</v>
      </c>
      <c r="I70" s="3" t="s">
        <v>912</v>
      </c>
      <c r="J70" s="3" t="s">
        <v>913</v>
      </c>
      <c r="K70" s="3" t="s">
        <v>745</v>
      </c>
      <c r="L70" s="3" t="s">
        <v>769</v>
      </c>
      <c r="M70" s="3" t="s">
        <v>974</v>
      </c>
      <c r="N70" s="3" t="s">
        <v>975</v>
      </c>
    </row>
    <row r="71" customFormat="false" ht="15" hidden="false" customHeight="false" outlineLevel="0" collapsed="false">
      <c r="A71" s="3" t="s">
        <v>976</v>
      </c>
      <c r="B71" s="3" t="s">
        <v>805</v>
      </c>
      <c r="C71" s="3" t="s">
        <v>955</v>
      </c>
      <c r="D71" s="50" t="n">
        <f aca="false">'Historical Financials'!F13</f>
        <v>0.024</v>
      </c>
      <c r="E71" s="3" t="s">
        <v>774</v>
      </c>
      <c r="F71" s="3" t="s">
        <v>766</v>
      </c>
      <c r="G71" s="3" t="s">
        <v>743</v>
      </c>
      <c r="H71" s="3" t="s">
        <v>744</v>
      </c>
      <c r="I71" s="3" t="s">
        <v>912</v>
      </c>
      <c r="J71" s="3" t="s">
        <v>913</v>
      </c>
      <c r="K71" s="3" t="s">
        <v>745</v>
      </c>
      <c r="L71" s="3" t="s">
        <v>769</v>
      </c>
      <c r="M71" s="3" t="s">
        <v>977</v>
      </c>
      <c r="N71" s="3" t="s">
        <v>978</v>
      </c>
    </row>
    <row r="72" customFormat="false" ht="15" hidden="false" customHeight="false" outlineLevel="0" collapsed="false">
      <c r="A72" s="3" t="s">
        <v>979</v>
      </c>
      <c r="B72" s="3" t="s">
        <v>809</v>
      </c>
      <c r="C72" s="3" t="s">
        <v>955</v>
      </c>
      <c r="D72" s="50" t="n">
        <f aca="false">'Historical Financials'!F15</f>
        <v>33.162</v>
      </c>
      <c r="E72" s="3" t="s">
        <v>774</v>
      </c>
      <c r="F72" s="3" t="s">
        <v>766</v>
      </c>
      <c r="G72" s="3" t="s">
        <v>743</v>
      </c>
      <c r="H72" s="3" t="s">
        <v>744</v>
      </c>
      <c r="I72" s="3" t="s">
        <v>938</v>
      </c>
      <c r="J72" s="3" t="s">
        <v>939</v>
      </c>
      <c r="K72" s="3" t="s">
        <v>745</v>
      </c>
      <c r="L72" s="3" t="s">
        <v>769</v>
      </c>
      <c r="M72" s="3" t="s">
        <v>980</v>
      </c>
      <c r="N72" s="3" t="s">
        <v>981</v>
      </c>
    </row>
    <row r="73" customFormat="false" ht="15" hidden="false" customHeight="false" outlineLevel="0" collapsed="false">
      <c r="A73" s="3" t="s">
        <v>982</v>
      </c>
      <c r="B73" s="3" t="s">
        <v>815</v>
      </c>
      <c r="C73" s="3" t="s">
        <v>955</v>
      </c>
      <c r="D73" s="50" t="n">
        <f aca="false">'Historical Financials'!F16</f>
        <v>1.872</v>
      </c>
      <c r="E73" s="3" t="s">
        <v>774</v>
      </c>
      <c r="F73" s="3" t="s">
        <v>766</v>
      </c>
      <c r="G73" s="3" t="s">
        <v>743</v>
      </c>
      <c r="H73" s="3" t="s">
        <v>744</v>
      </c>
      <c r="I73" s="3" t="s">
        <v>938</v>
      </c>
      <c r="J73" s="3" t="s">
        <v>939</v>
      </c>
      <c r="K73" s="3" t="s">
        <v>745</v>
      </c>
      <c r="L73" s="3" t="s">
        <v>769</v>
      </c>
      <c r="M73" s="3" t="s">
        <v>983</v>
      </c>
      <c r="N73" s="3" t="s">
        <v>984</v>
      </c>
    </row>
    <row r="74" customFormat="false" ht="15" hidden="false" customHeight="false" outlineLevel="0" collapsed="false">
      <c r="A74" s="3" t="s">
        <v>985</v>
      </c>
      <c r="B74" s="3" t="s">
        <v>819</v>
      </c>
      <c r="C74" s="3" t="s">
        <v>955</v>
      </c>
      <c r="D74" s="50" t="n">
        <f aca="false">'Historical Financials'!F17</f>
        <v>26.632</v>
      </c>
      <c r="E74" s="3" t="s">
        <v>774</v>
      </c>
      <c r="F74" s="3" t="s">
        <v>766</v>
      </c>
      <c r="G74" s="3" t="s">
        <v>743</v>
      </c>
      <c r="H74" s="3" t="s">
        <v>744</v>
      </c>
      <c r="I74" s="3" t="s">
        <v>938</v>
      </c>
      <c r="J74" s="3" t="s">
        <v>939</v>
      </c>
      <c r="K74" s="3" t="s">
        <v>745</v>
      </c>
      <c r="L74" s="3" t="s">
        <v>769</v>
      </c>
      <c r="M74" s="3" t="s">
        <v>986</v>
      </c>
      <c r="N74" s="3" t="s">
        <v>987</v>
      </c>
    </row>
    <row r="75" customFormat="false" ht="15" hidden="false" customHeight="false" outlineLevel="0" collapsed="false">
      <c r="A75" s="3" t="s">
        <v>988</v>
      </c>
      <c r="B75" s="3" t="s">
        <v>823</v>
      </c>
      <c r="C75" s="3" t="s">
        <v>955</v>
      </c>
      <c r="D75" s="50" t="n">
        <f aca="false">'Historical Financials'!F18</f>
        <v>9.886</v>
      </c>
      <c r="E75" s="3" t="s">
        <v>774</v>
      </c>
      <c r="F75" s="3" t="s">
        <v>766</v>
      </c>
      <c r="G75" s="3" t="s">
        <v>743</v>
      </c>
      <c r="H75" s="3" t="s">
        <v>744</v>
      </c>
      <c r="I75" s="3" t="s">
        <v>938</v>
      </c>
      <c r="J75" s="3" t="s">
        <v>939</v>
      </c>
      <c r="K75" s="3" t="s">
        <v>745</v>
      </c>
      <c r="L75" s="3" t="s">
        <v>769</v>
      </c>
      <c r="M75" s="3" t="s">
        <v>989</v>
      </c>
      <c r="N75" s="3" t="s">
        <v>990</v>
      </c>
    </row>
    <row r="76" customFormat="false" ht="15" hidden="false" customHeight="false" outlineLevel="0" collapsed="false">
      <c r="A76" s="3" t="s">
        <v>991</v>
      </c>
      <c r="B76" s="3" t="s">
        <v>827</v>
      </c>
      <c r="C76" s="3" t="s">
        <v>955</v>
      </c>
      <c r="D76" s="50" t="n">
        <f aca="false">'Historical Financials'!F14</f>
        <v>45.821</v>
      </c>
      <c r="E76" s="3" t="s">
        <v>774</v>
      </c>
      <c r="F76" s="3" t="s">
        <v>766</v>
      </c>
      <c r="G76" s="3" t="s">
        <v>743</v>
      </c>
      <c r="H76" s="3" t="s">
        <v>744</v>
      </c>
      <c r="I76" s="3" t="s">
        <v>938</v>
      </c>
      <c r="J76" s="3" t="s">
        <v>939</v>
      </c>
      <c r="K76" s="3" t="s">
        <v>745</v>
      </c>
      <c r="L76" s="3" t="s">
        <v>769</v>
      </c>
      <c r="M76" s="3" t="s">
        <v>992</v>
      </c>
      <c r="N76" s="3" t="s">
        <v>993</v>
      </c>
    </row>
    <row r="77" customFormat="false" ht="15" hidden="false" customHeight="false" outlineLevel="0" collapsed="false">
      <c r="A77" s="3" t="s">
        <v>88</v>
      </c>
      <c r="B77" s="3" t="s">
        <v>994</v>
      </c>
      <c r="C77" s="3" t="s">
        <v>742</v>
      </c>
      <c r="D77" s="3" t="s">
        <v>995</v>
      </c>
      <c r="E77" s="3" t="s">
        <v>774</v>
      </c>
      <c r="F77" s="3" t="s">
        <v>766</v>
      </c>
      <c r="G77" s="3" t="s">
        <v>743</v>
      </c>
      <c r="H77" s="3" t="s">
        <v>744</v>
      </c>
      <c r="I77" s="3" t="s">
        <v>996</v>
      </c>
      <c r="J77" s="3" t="s">
        <v>997</v>
      </c>
      <c r="K77" s="3" t="s">
        <v>745</v>
      </c>
      <c r="L77" s="3" t="s">
        <v>769</v>
      </c>
      <c r="M77" s="3"/>
      <c r="N77" s="3" t="s">
        <v>998</v>
      </c>
    </row>
    <row r="78" customFormat="false" ht="15" hidden="false" customHeight="false" outlineLevel="0" collapsed="false">
      <c r="A78" s="3" t="s">
        <v>90</v>
      </c>
      <c r="B78" s="3" t="s">
        <v>999</v>
      </c>
      <c r="C78" s="3" t="s">
        <v>742</v>
      </c>
      <c r="D78" s="3" t="s">
        <v>995</v>
      </c>
      <c r="E78" s="3" t="s">
        <v>774</v>
      </c>
      <c r="F78" s="3" t="s">
        <v>766</v>
      </c>
      <c r="G78" s="3" t="s">
        <v>743</v>
      </c>
      <c r="H78" s="3" t="s">
        <v>744</v>
      </c>
      <c r="I78" s="3" t="s">
        <v>996</v>
      </c>
      <c r="J78" s="3" t="s">
        <v>997</v>
      </c>
      <c r="K78" s="3" t="s">
        <v>745</v>
      </c>
      <c r="L78" s="3" t="s">
        <v>769</v>
      </c>
      <c r="M78" s="3"/>
      <c r="N78" s="3" t="s">
        <v>1000</v>
      </c>
    </row>
    <row r="79" customFormat="false" ht="15" hidden="false" customHeight="false" outlineLevel="0" collapsed="false">
      <c r="A79" s="3" t="s">
        <v>92</v>
      </c>
      <c r="B79" s="3" t="s">
        <v>1001</v>
      </c>
      <c r="C79" s="3" t="s">
        <v>742</v>
      </c>
      <c r="D79" s="3" t="s">
        <v>995</v>
      </c>
      <c r="E79" s="3" t="s">
        <v>774</v>
      </c>
      <c r="F79" s="3" t="s">
        <v>766</v>
      </c>
      <c r="G79" s="3" t="s">
        <v>743</v>
      </c>
      <c r="H79" s="3" t="s">
        <v>744</v>
      </c>
      <c r="I79" s="3" t="s">
        <v>996</v>
      </c>
      <c r="J79" s="3" t="s">
        <v>997</v>
      </c>
      <c r="K79" s="3" t="s">
        <v>745</v>
      </c>
      <c r="L79" s="3" t="s">
        <v>769</v>
      </c>
      <c r="M79" s="3"/>
      <c r="N79" s="3" t="s">
        <v>1002</v>
      </c>
    </row>
    <row r="80" customFormat="false" ht="15" hidden="false" customHeight="false" outlineLevel="0" collapsed="false">
      <c r="A80" s="3" t="s">
        <v>1003</v>
      </c>
      <c r="B80" s="3" t="s">
        <v>1004</v>
      </c>
      <c r="C80" s="3" t="s">
        <v>742</v>
      </c>
      <c r="D80" s="3" t="s">
        <v>995</v>
      </c>
      <c r="E80" s="3" t="s">
        <v>774</v>
      </c>
      <c r="F80" s="3" t="s">
        <v>766</v>
      </c>
      <c r="G80" s="3" t="s">
        <v>743</v>
      </c>
      <c r="H80" s="3" t="s">
        <v>744</v>
      </c>
      <c r="I80" s="3" t="s">
        <v>1005</v>
      </c>
      <c r="J80" s="3" t="s">
        <v>1006</v>
      </c>
      <c r="K80" s="3" t="s">
        <v>745</v>
      </c>
      <c r="L80" s="3" t="s">
        <v>769</v>
      </c>
      <c r="M80" s="3"/>
      <c r="N80" s="3" t="s">
        <v>1007</v>
      </c>
    </row>
    <row r="81" customFormat="false" ht="15" hidden="false" customHeight="false" outlineLevel="0" collapsed="false">
      <c r="A81" s="3" t="s">
        <v>1008</v>
      </c>
      <c r="B81" s="3" t="s">
        <v>1009</v>
      </c>
      <c r="C81" s="3" t="s">
        <v>742</v>
      </c>
      <c r="D81" s="3" t="s">
        <v>995</v>
      </c>
      <c r="E81" s="3" t="s">
        <v>774</v>
      </c>
      <c r="F81" s="3" t="s">
        <v>766</v>
      </c>
      <c r="G81" s="3" t="s">
        <v>743</v>
      </c>
      <c r="H81" s="3" t="s">
        <v>744</v>
      </c>
      <c r="I81" s="3" t="s">
        <v>1005</v>
      </c>
      <c r="J81" s="3" t="s">
        <v>1006</v>
      </c>
      <c r="K81" s="3" t="s">
        <v>745</v>
      </c>
      <c r="L81" s="3" t="s">
        <v>769</v>
      </c>
      <c r="M81" s="3"/>
      <c r="N81" s="3" t="s">
        <v>1010</v>
      </c>
    </row>
    <row r="82" customFormat="false" ht="15" hidden="false" customHeight="false" outlineLevel="0" collapsed="false">
      <c r="A82" s="3" t="s">
        <v>1011</v>
      </c>
      <c r="B82" s="3" t="s">
        <v>1012</v>
      </c>
      <c r="C82" s="3" t="s">
        <v>742</v>
      </c>
      <c r="D82" s="50" t="n">
        <f aca="false">Assumptions!$C$58</f>
        <v>90</v>
      </c>
      <c r="E82" s="3" t="s">
        <v>774</v>
      </c>
      <c r="F82" s="3" t="s">
        <v>766</v>
      </c>
      <c r="G82" s="3" t="s">
        <v>743</v>
      </c>
      <c r="H82" s="3" t="s">
        <v>744</v>
      </c>
      <c r="I82" s="3" t="s">
        <v>1005</v>
      </c>
      <c r="J82" s="3" t="s">
        <v>1006</v>
      </c>
      <c r="K82" s="3" t="s">
        <v>745</v>
      </c>
      <c r="L82" s="3" t="s">
        <v>769</v>
      </c>
      <c r="M82" s="3" t="s">
        <v>1013</v>
      </c>
      <c r="N82" s="3" t="s">
        <v>1014</v>
      </c>
    </row>
    <row r="83" customFormat="false" ht="15" hidden="false" customHeight="false" outlineLevel="0" collapsed="false">
      <c r="A83" s="3" t="s">
        <v>1015</v>
      </c>
      <c r="B83" s="3" t="s">
        <v>1016</v>
      </c>
      <c r="C83" s="3" t="s">
        <v>742</v>
      </c>
      <c r="D83" s="50" t="n">
        <f aca="false">Assumptions!$C$59</f>
        <v>57.324</v>
      </c>
      <c r="E83" s="3" t="s">
        <v>774</v>
      </c>
      <c r="F83" s="3" t="s">
        <v>766</v>
      </c>
      <c r="G83" s="3" t="s">
        <v>743</v>
      </c>
      <c r="H83" s="3" t="s">
        <v>744</v>
      </c>
      <c r="I83" s="3" t="s">
        <v>1005</v>
      </c>
      <c r="J83" s="3" t="s">
        <v>1006</v>
      </c>
      <c r="K83" s="3" t="s">
        <v>745</v>
      </c>
      <c r="L83" s="3" t="s">
        <v>769</v>
      </c>
      <c r="M83" s="3" t="s">
        <v>1017</v>
      </c>
      <c r="N83" s="3" t="s">
        <v>1018</v>
      </c>
    </row>
    <row r="84" customFormat="false" ht="15" hidden="false" customHeight="false" outlineLevel="0" collapsed="false">
      <c r="A84" s="3" t="s">
        <v>1019</v>
      </c>
      <c r="B84" s="3" t="s">
        <v>1020</v>
      </c>
      <c r="C84" s="3" t="s">
        <v>742</v>
      </c>
      <c r="D84" s="50" t="n">
        <f aca="false">Assumptions!$C$61</f>
        <v>450</v>
      </c>
      <c r="E84" s="3" t="s">
        <v>774</v>
      </c>
      <c r="F84" s="3" t="s">
        <v>766</v>
      </c>
      <c r="G84" s="3" t="s">
        <v>743</v>
      </c>
      <c r="H84" s="3" t="s">
        <v>744</v>
      </c>
      <c r="I84" s="3" t="s">
        <v>1005</v>
      </c>
      <c r="J84" s="3" t="s">
        <v>1006</v>
      </c>
      <c r="K84" s="3" t="s">
        <v>745</v>
      </c>
      <c r="L84" s="3" t="s">
        <v>769</v>
      </c>
      <c r="M84" s="3" t="s">
        <v>1021</v>
      </c>
      <c r="N84" s="3" t="s">
        <v>1022</v>
      </c>
    </row>
    <row r="85" customFormat="false" ht="15" hidden="false" customHeight="false" outlineLevel="0" collapsed="false">
      <c r="A85" s="3" t="s">
        <v>1023</v>
      </c>
      <c r="B85" s="3" t="s">
        <v>1024</v>
      </c>
      <c r="C85" s="3" t="s">
        <v>742</v>
      </c>
      <c r="D85" s="50" t="n">
        <f aca="false">Assumptions!$C$62</f>
        <v>350</v>
      </c>
      <c r="E85" s="3" t="s">
        <v>774</v>
      </c>
      <c r="F85" s="3" t="s">
        <v>766</v>
      </c>
      <c r="G85" s="3" t="s">
        <v>743</v>
      </c>
      <c r="H85" s="3" t="s">
        <v>744</v>
      </c>
      <c r="I85" s="3" t="s">
        <v>1005</v>
      </c>
      <c r="J85" s="3" t="s">
        <v>1006</v>
      </c>
      <c r="K85" s="3" t="s">
        <v>745</v>
      </c>
      <c r="L85" s="3" t="s">
        <v>769</v>
      </c>
      <c r="M85" s="3" t="s">
        <v>1025</v>
      </c>
      <c r="N85" s="3" t="s">
        <v>1026</v>
      </c>
    </row>
    <row r="86" customFormat="false" ht="15" hidden="false" customHeight="false" outlineLevel="0" collapsed="false">
      <c r="A86" s="3" t="s">
        <v>1027</v>
      </c>
      <c r="B86" s="3" t="s">
        <v>1028</v>
      </c>
      <c r="C86" s="3" t="s">
        <v>742</v>
      </c>
      <c r="D86" s="50" t="n">
        <f aca="false">Assumptions!$C$63</f>
        <v>550</v>
      </c>
      <c r="E86" s="3" t="s">
        <v>774</v>
      </c>
      <c r="F86" s="3" t="s">
        <v>766</v>
      </c>
      <c r="G86" s="3" t="s">
        <v>743</v>
      </c>
      <c r="H86" s="3" t="s">
        <v>744</v>
      </c>
      <c r="I86" s="3" t="s">
        <v>1005</v>
      </c>
      <c r="J86" s="3" t="s">
        <v>1006</v>
      </c>
      <c r="K86" s="3" t="s">
        <v>745</v>
      </c>
      <c r="L86" s="3" t="s">
        <v>769</v>
      </c>
      <c r="M86" s="3" t="s">
        <v>1029</v>
      </c>
      <c r="N86" s="3" t="s">
        <v>1030</v>
      </c>
    </row>
    <row r="87" customFormat="false" ht="15" hidden="false" customHeight="false" outlineLevel="0" collapsed="false">
      <c r="A87" s="3" t="s">
        <v>1031</v>
      </c>
      <c r="B87" s="3" t="s">
        <v>1032</v>
      </c>
      <c r="C87" s="3" t="s">
        <v>742</v>
      </c>
      <c r="D87" s="50" t="n">
        <f aca="false">Assumptions!$C$62</f>
        <v>350</v>
      </c>
      <c r="E87" s="3" t="s">
        <v>774</v>
      </c>
      <c r="F87" s="3" t="s">
        <v>766</v>
      </c>
      <c r="G87" s="3" t="s">
        <v>743</v>
      </c>
      <c r="H87" s="3" t="s">
        <v>744</v>
      </c>
      <c r="I87" s="3" t="s">
        <v>1005</v>
      </c>
      <c r="J87" s="3" t="s">
        <v>1006</v>
      </c>
      <c r="K87" s="3" t="s">
        <v>745</v>
      </c>
      <c r="L87" s="3" t="s">
        <v>769</v>
      </c>
      <c r="M87" s="3" t="s">
        <v>1025</v>
      </c>
      <c r="N87" s="3" t="s">
        <v>1026</v>
      </c>
    </row>
    <row r="88" customFormat="false" ht="15" hidden="false" customHeight="false" outlineLevel="0" collapsed="false">
      <c r="A88" s="3" t="s">
        <v>1033</v>
      </c>
      <c r="B88" s="3" t="s">
        <v>1034</v>
      </c>
      <c r="C88" s="3" t="s">
        <v>742</v>
      </c>
      <c r="D88" s="50" t="n">
        <f aca="false">Assumptions!$C$65</f>
        <v>300</v>
      </c>
      <c r="E88" s="3" t="s">
        <v>774</v>
      </c>
      <c r="F88" s="3" t="s">
        <v>766</v>
      </c>
      <c r="G88" s="3" t="s">
        <v>743</v>
      </c>
      <c r="H88" s="3" t="s">
        <v>744</v>
      </c>
      <c r="I88" s="3" t="s">
        <v>1005</v>
      </c>
      <c r="J88" s="3" t="s">
        <v>1006</v>
      </c>
      <c r="K88" s="3" t="s">
        <v>745</v>
      </c>
      <c r="L88" s="3" t="s">
        <v>769</v>
      </c>
      <c r="M88" s="3" t="s">
        <v>1035</v>
      </c>
      <c r="N88" s="3" t="s">
        <v>1036</v>
      </c>
    </row>
    <row r="89" customFormat="false" ht="15" hidden="false" customHeight="false" outlineLevel="0" collapsed="false">
      <c r="A89" s="3" t="s">
        <v>1037</v>
      </c>
      <c r="B89" s="3" t="s">
        <v>1038</v>
      </c>
      <c r="C89" s="3" t="s">
        <v>742</v>
      </c>
      <c r="D89" s="3" t="s">
        <v>995</v>
      </c>
      <c r="E89" s="3" t="s">
        <v>774</v>
      </c>
      <c r="F89" s="3" t="s">
        <v>766</v>
      </c>
      <c r="G89" s="3" t="s">
        <v>743</v>
      </c>
      <c r="H89" s="3" t="s">
        <v>744</v>
      </c>
      <c r="I89" s="3" t="s">
        <v>1005</v>
      </c>
      <c r="J89" s="3" t="s">
        <v>1006</v>
      </c>
      <c r="K89" s="3" t="s">
        <v>745</v>
      </c>
      <c r="L89" s="3" t="s">
        <v>769</v>
      </c>
      <c r="M89" s="3"/>
      <c r="N89" s="3" t="s">
        <v>1039</v>
      </c>
    </row>
    <row r="90" customFormat="false" ht="15" hidden="false" customHeight="false" outlineLevel="0" collapsed="false">
      <c r="A90" s="3" t="s">
        <v>1040</v>
      </c>
      <c r="B90" s="3" t="s">
        <v>1041</v>
      </c>
      <c r="C90" s="3" t="s">
        <v>742</v>
      </c>
      <c r="D90" s="3" t="s">
        <v>995</v>
      </c>
      <c r="E90" s="3" t="s">
        <v>774</v>
      </c>
      <c r="F90" s="3" t="s">
        <v>766</v>
      </c>
      <c r="G90" s="3" t="s">
        <v>743</v>
      </c>
      <c r="H90" s="3" t="s">
        <v>744</v>
      </c>
      <c r="I90" s="3" t="s">
        <v>1005</v>
      </c>
      <c r="J90" s="3" t="s">
        <v>1006</v>
      </c>
      <c r="K90" s="3" t="s">
        <v>745</v>
      </c>
      <c r="L90" s="3" t="s">
        <v>769</v>
      </c>
      <c r="M90" s="3"/>
      <c r="N90" s="3" t="s">
        <v>1042</v>
      </c>
    </row>
    <row r="91" customFormat="false" ht="15" hidden="false" customHeight="false" outlineLevel="0" collapsed="false">
      <c r="A91" s="3" t="s">
        <v>1043</v>
      </c>
      <c r="B91" s="3" t="s">
        <v>1044</v>
      </c>
      <c r="C91" s="3" t="s">
        <v>742</v>
      </c>
      <c r="D91" s="3" t="s">
        <v>995</v>
      </c>
      <c r="E91" s="3" t="s">
        <v>774</v>
      </c>
      <c r="F91" s="3" t="s">
        <v>766</v>
      </c>
      <c r="G91" s="3" t="s">
        <v>743</v>
      </c>
      <c r="H91" s="3" t="s">
        <v>744</v>
      </c>
      <c r="I91" s="3" t="s">
        <v>1005</v>
      </c>
      <c r="J91" s="3" t="s">
        <v>1006</v>
      </c>
      <c r="K91" s="3" t="s">
        <v>745</v>
      </c>
      <c r="L91" s="3" t="s">
        <v>769</v>
      </c>
      <c r="M91" s="3"/>
      <c r="N91" s="3" t="s">
        <v>1042</v>
      </c>
    </row>
    <row r="92" customFormat="false" ht="15" hidden="false" customHeight="false" outlineLevel="0" collapsed="false">
      <c r="A92" s="3" t="s">
        <v>1045</v>
      </c>
      <c r="B92" s="3" t="s">
        <v>1046</v>
      </c>
      <c r="C92" s="3" t="s">
        <v>742</v>
      </c>
      <c r="D92" s="3" t="s">
        <v>995</v>
      </c>
      <c r="E92" s="3" t="s">
        <v>774</v>
      </c>
      <c r="F92" s="3" t="s">
        <v>766</v>
      </c>
      <c r="G92" s="3" t="s">
        <v>743</v>
      </c>
      <c r="H92" s="3" t="s">
        <v>744</v>
      </c>
      <c r="I92" s="3" t="s">
        <v>1047</v>
      </c>
      <c r="J92" s="3" t="s">
        <v>1006</v>
      </c>
      <c r="K92" s="3" t="s">
        <v>745</v>
      </c>
      <c r="L92" s="3" t="s">
        <v>769</v>
      </c>
      <c r="M92" s="3"/>
      <c r="N92" s="3" t="s">
        <v>1048</v>
      </c>
    </row>
    <row r="93" customFormat="false" ht="15" hidden="false" customHeight="false" outlineLevel="0" collapsed="false">
      <c r="A93" s="3" t="s">
        <v>1049</v>
      </c>
      <c r="B93" s="3" t="s">
        <v>1050</v>
      </c>
      <c r="C93" s="3" t="s">
        <v>742</v>
      </c>
      <c r="D93" s="50" t="n">
        <f aca="false">Assumptions!$C$11</f>
        <v>37.87</v>
      </c>
      <c r="E93" s="3" t="s">
        <v>774</v>
      </c>
      <c r="F93" s="3" t="s">
        <v>766</v>
      </c>
      <c r="G93" s="3" t="s">
        <v>743</v>
      </c>
      <c r="H93" s="3" t="s">
        <v>744</v>
      </c>
      <c r="I93" s="3" t="s">
        <v>996</v>
      </c>
      <c r="J93" s="3" t="s">
        <v>997</v>
      </c>
      <c r="K93" s="3" t="s">
        <v>745</v>
      </c>
      <c r="L93" s="3" t="s">
        <v>769</v>
      </c>
      <c r="M93" s="3" t="s">
        <v>1051</v>
      </c>
      <c r="N93" s="3" t="s">
        <v>1052</v>
      </c>
    </row>
    <row r="94" customFormat="false" ht="15" hidden="false" customHeight="false" outlineLevel="0" collapsed="false">
      <c r="A94" s="3" t="s">
        <v>1053</v>
      </c>
      <c r="B94" s="3" t="s">
        <v>1054</v>
      </c>
      <c r="C94" s="3" t="s">
        <v>734</v>
      </c>
      <c r="D94" s="3" t="s">
        <v>764</v>
      </c>
      <c r="E94" s="3" t="s">
        <v>765</v>
      </c>
      <c r="F94" s="3" t="s">
        <v>775</v>
      </c>
      <c r="G94" s="3" t="s">
        <v>735</v>
      </c>
      <c r="H94" s="3" t="s">
        <v>736</v>
      </c>
      <c r="I94" s="3" t="s">
        <v>1055</v>
      </c>
      <c r="J94" s="3" t="s">
        <v>1056</v>
      </c>
      <c r="K94" s="3" t="s">
        <v>737</v>
      </c>
      <c r="L94" s="3" t="s">
        <v>769</v>
      </c>
      <c r="M94" s="3"/>
      <c r="N94" s="3" t="s">
        <v>1057</v>
      </c>
    </row>
    <row r="95" customFormat="false" ht="15" hidden="false" customHeight="false" outlineLevel="0" collapsed="false">
      <c r="A95" s="3" t="s">
        <v>1058</v>
      </c>
      <c r="B95" s="3" t="s">
        <v>1059</v>
      </c>
      <c r="C95" s="3" t="s">
        <v>742</v>
      </c>
      <c r="D95" s="3" t="s">
        <v>764</v>
      </c>
      <c r="E95" s="3" t="s">
        <v>765</v>
      </c>
      <c r="F95" s="3" t="s">
        <v>766</v>
      </c>
      <c r="G95" s="3" t="s">
        <v>743</v>
      </c>
      <c r="H95" s="3" t="s">
        <v>744</v>
      </c>
      <c r="I95" s="3" t="s">
        <v>1047</v>
      </c>
      <c r="J95" s="3" t="s">
        <v>1060</v>
      </c>
      <c r="K95" s="3" t="s">
        <v>745</v>
      </c>
      <c r="L95" s="3" t="s">
        <v>769</v>
      </c>
      <c r="M95" s="3"/>
      <c r="N95" s="3" t="s">
        <v>1061</v>
      </c>
    </row>
    <row r="96" customFormat="false" ht="15" hidden="false" customHeight="false" outlineLevel="0" collapsed="false">
      <c r="A96" s="3" t="s">
        <v>1062</v>
      </c>
      <c r="B96" s="3" t="s">
        <v>1046</v>
      </c>
      <c r="C96" s="3" t="s">
        <v>871</v>
      </c>
      <c r="D96" s="3" t="s">
        <v>995</v>
      </c>
      <c r="E96" s="3" t="s">
        <v>774</v>
      </c>
      <c r="F96" s="3" t="s">
        <v>775</v>
      </c>
      <c r="G96" s="3" t="s">
        <v>735</v>
      </c>
      <c r="H96" s="3" t="s">
        <v>736</v>
      </c>
      <c r="I96" s="3" t="s">
        <v>1063</v>
      </c>
      <c r="J96" s="3" t="s">
        <v>1006</v>
      </c>
      <c r="K96" s="3" t="s">
        <v>737</v>
      </c>
      <c r="L96" s="3" t="s">
        <v>769</v>
      </c>
      <c r="M96" s="3"/>
      <c r="N96" s="3" t="s">
        <v>1064</v>
      </c>
    </row>
    <row r="97" customFormat="false" ht="15" hidden="false" customHeight="false" outlineLevel="0" collapsed="false">
      <c r="A97" s="3" t="s">
        <v>1065</v>
      </c>
      <c r="B97" s="3" t="s">
        <v>1066</v>
      </c>
      <c r="C97" s="3" t="s">
        <v>773</v>
      </c>
      <c r="D97" s="50" t="n">
        <f aca="false">'Historical Financials'!B19</f>
        <v>131.573</v>
      </c>
      <c r="E97" s="3" t="s">
        <v>774</v>
      </c>
      <c r="F97" s="3" t="s">
        <v>775</v>
      </c>
      <c r="G97" s="3" t="s">
        <v>735</v>
      </c>
      <c r="H97" s="3" t="s">
        <v>736</v>
      </c>
      <c r="I97" s="3" t="s">
        <v>776</v>
      </c>
      <c r="J97" s="3" t="s">
        <v>777</v>
      </c>
      <c r="K97" s="3" t="s">
        <v>737</v>
      </c>
      <c r="L97" s="3" t="s">
        <v>769</v>
      </c>
      <c r="M97" s="3" t="s">
        <v>1067</v>
      </c>
      <c r="N97" s="3" t="s">
        <v>1068</v>
      </c>
    </row>
    <row r="98" customFormat="false" ht="15" hidden="false" customHeight="false" outlineLevel="0" collapsed="false">
      <c r="A98" s="3" t="s">
        <v>1069</v>
      </c>
      <c r="B98" s="3" t="s">
        <v>1066</v>
      </c>
      <c r="C98" s="3" t="s">
        <v>831</v>
      </c>
      <c r="D98" s="50" t="n">
        <f aca="false">'Historical Financials'!C19</f>
        <v>44.655</v>
      </c>
      <c r="E98" s="3" t="s">
        <v>774</v>
      </c>
      <c r="F98" s="3" t="s">
        <v>775</v>
      </c>
      <c r="G98" s="3" t="s">
        <v>735</v>
      </c>
      <c r="H98" s="3" t="s">
        <v>736</v>
      </c>
      <c r="I98" s="3" t="s">
        <v>776</v>
      </c>
      <c r="J98" s="3" t="s">
        <v>777</v>
      </c>
      <c r="K98" s="3" t="s">
        <v>737</v>
      </c>
      <c r="L98" s="3" t="s">
        <v>769</v>
      </c>
      <c r="M98" s="3" t="s">
        <v>1070</v>
      </c>
      <c r="N98" s="3" t="s">
        <v>1071</v>
      </c>
    </row>
    <row r="99" customFormat="false" ht="15" hidden="false" customHeight="false" outlineLevel="0" collapsed="false">
      <c r="A99" s="3" t="s">
        <v>1072</v>
      </c>
      <c r="B99" s="3" t="s">
        <v>1066</v>
      </c>
      <c r="C99" s="3" t="s">
        <v>871</v>
      </c>
      <c r="D99" s="50" t="n">
        <f aca="false">'Historical Financials'!D19</f>
        <v>63.392</v>
      </c>
      <c r="E99" s="3" t="s">
        <v>774</v>
      </c>
      <c r="F99" s="3" t="s">
        <v>775</v>
      </c>
      <c r="G99" s="3" t="s">
        <v>735</v>
      </c>
      <c r="H99" s="3" t="s">
        <v>736</v>
      </c>
      <c r="I99" s="3" t="s">
        <v>776</v>
      </c>
      <c r="J99" s="3" t="s">
        <v>777</v>
      </c>
      <c r="K99" s="3" t="s">
        <v>737</v>
      </c>
      <c r="L99" s="3" t="s">
        <v>769</v>
      </c>
      <c r="M99" s="3" t="s">
        <v>1073</v>
      </c>
      <c r="N99" s="3" t="s">
        <v>1074</v>
      </c>
    </row>
    <row r="100" customFormat="false" ht="15" hidden="false" customHeight="false" outlineLevel="0" collapsed="false">
      <c r="A100" s="3" t="s">
        <v>1075</v>
      </c>
      <c r="B100" s="3" t="s">
        <v>1066</v>
      </c>
      <c r="C100" s="3" t="s">
        <v>911</v>
      </c>
      <c r="D100" s="50" t="n">
        <f aca="false">'Historical Financials'!E19</f>
        <v>63.369</v>
      </c>
      <c r="E100" s="3" t="s">
        <v>774</v>
      </c>
      <c r="F100" s="3" t="s">
        <v>766</v>
      </c>
      <c r="G100" s="3" t="s">
        <v>743</v>
      </c>
      <c r="H100" s="3" t="s">
        <v>744</v>
      </c>
      <c r="I100" s="3" t="s">
        <v>912</v>
      </c>
      <c r="J100" s="3" t="s">
        <v>913</v>
      </c>
      <c r="K100" s="3" t="s">
        <v>745</v>
      </c>
      <c r="L100" s="3" t="s">
        <v>769</v>
      </c>
      <c r="M100" s="3" t="s">
        <v>1076</v>
      </c>
      <c r="N100" s="3" t="s">
        <v>1077</v>
      </c>
    </row>
    <row r="101" customFormat="false" ht="15" hidden="false" customHeight="false" outlineLevel="0" collapsed="false">
      <c r="A101" s="3" t="s">
        <v>1078</v>
      </c>
      <c r="B101" s="3" t="s">
        <v>1066</v>
      </c>
      <c r="C101" s="3" t="s">
        <v>955</v>
      </c>
      <c r="D101" s="50" t="n">
        <f aca="false">'Historical Financials'!F19</f>
        <v>11.909</v>
      </c>
      <c r="E101" s="3" t="s">
        <v>774</v>
      </c>
      <c r="F101" s="3" t="s">
        <v>766</v>
      </c>
      <c r="G101" s="3" t="s">
        <v>743</v>
      </c>
      <c r="H101" s="3" t="s">
        <v>744</v>
      </c>
      <c r="I101" s="3" t="s">
        <v>912</v>
      </c>
      <c r="J101" s="3" t="s">
        <v>913</v>
      </c>
      <c r="K101" s="3" t="s">
        <v>745</v>
      </c>
      <c r="L101" s="3" t="s">
        <v>769</v>
      </c>
      <c r="M101" s="3" t="s">
        <v>1079</v>
      </c>
      <c r="N101" s="3" t="s">
        <v>1080</v>
      </c>
    </row>
    <row r="102" customFormat="false" ht="15" hidden="false" customHeight="false" outlineLevel="0" collapsed="false">
      <c r="A102" s="3" t="s">
        <v>1081</v>
      </c>
      <c r="B102" s="3" t="s">
        <v>1082</v>
      </c>
      <c r="C102" s="3" t="s">
        <v>773</v>
      </c>
      <c r="D102" s="50" t="n">
        <f aca="false">'Historical Financials'!B20</f>
        <v>107.838</v>
      </c>
      <c r="E102" s="3" t="s">
        <v>774</v>
      </c>
      <c r="F102" s="3" t="s">
        <v>775</v>
      </c>
      <c r="G102" s="3" t="s">
        <v>735</v>
      </c>
      <c r="H102" s="3" t="s">
        <v>736</v>
      </c>
      <c r="I102" s="3" t="s">
        <v>1083</v>
      </c>
      <c r="J102" s="3" t="s">
        <v>1084</v>
      </c>
      <c r="K102" s="3" t="s">
        <v>737</v>
      </c>
      <c r="L102" s="3" t="s">
        <v>769</v>
      </c>
      <c r="M102" s="3" t="s">
        <v>1085</v>
      </c>
      <c r="N102" s="3" t="s">
        <v>1086</v>
      </c>
    </row>
    <row r="103" customFormat="false" ht="15" hidden="false" customHeight="false" outlineLevel="0" collapsed="false">
      <c r="A103" s="3" t="s">
        <v>1087</v>
      </c>
      <c r="B103" s="3" t="s">
        <v>1082</v>
      </c>
      <c r="C103" s="3" t="s">
        <v>831</v>
      </c>
      <c r="D103" s="50" t="n">
        <f aca="false">'Historical Financials'!C20</f>
        <v>132.253</v>
      </c>
      <c r="E103" s="3" t="s">
        <v>774</v>
      </c>
      <c r="F103" s="3" t="s">
        <v>775</v>
      </c>
      <c r="G103" s="3" t="s">
        <v>735</v>
      </c>
      <c r="H103" s="3" t="s">
        <v>736</v>
      </c>
      <c r="I103" s="3" t="s">
        <v>1083</v>
      </c>
      <c r="J103" s="3" t="s">
        <v>1084</v>
      </c>
      <c r="K103" s="3" t="s">
        <v>737</v>
      </c>
      <c r="L103" s="3" t="s">
        <v>769</v>
      </c>
      <c r="M103" s="3" t="s">
        <v>1088</v>
      </c>
      <c r="N103" s="3" t="s">
        <v>1089</v>
      </c>
    </row>
    <row r="104" customFormat="false" ht="15" hidden="false" customHeight="false" outlineLevel="0" collapsed="false">
      <c r="A104" s="3" t="s">
        <v>1090</v>
      </c>
      <c r="B104" s="3" t="s">
        <v>1082</v>
      </c>
      <c r="C104" s="3" t="s">
        <v>871</v>
      </c>
      <c r="D104" s="50" t="n">
        <f aca="false">'Historical Financials'!D20</f>
        <v>132.043</v>
      </c>
      <c r="E104" s="3" t="s">
        <v>774</v>
      </c>
      <c r="F104" s="3" t="s">
        <v>775</v>
      </c>
      <c r="G104" s="3" t="s">
        <v>735</v>
      </c>
      <c r="H104" s="3" t="s">
        <v>736</v>
      </c>
      <c r="I104" s="3" t="s">
        <v>1083</v>
      </c>
      <c r="J104" s="3" t="s">
        <v>1084</v>
      </c>
      <c r="K104" s="3" t="s">
        <v>737</v>
      </c>
      <c r="L104" s="3" t="s">
        <v>769</v>
      </c>
      <c r="M104" s="3" t="s">
        <v>1091</v>
      </c>
      <c r="N104" s="3" t="s">
        <v>1092</v>
      </c>
    </row>
    <row r="105" customFormat="false" ht="15" hidden="false" customHeight="false" outlineLevel="0" collapsed="false">
      <c r="A105" s="3" t="s">
        <v>1093</v>
      </c>
      <c r="B105" s="3" t="s">
        <v>1082</v>
      </c>
      <c r="C105" s="3" t="s">
        <v>911</v>
      </c>
      <c r="D105" s="50" t="n">
        <f aca="false">'Historical Financials'!E20</f>
        <v>58.031</v>
      </c>
      <c r="E105" s="3" t="s">
        <v>774</v>
      </c>
      <c r="F105" s="3" t="s">
        <v>766</v>
      </c>
      <c r="G105" s="3" t="s">
        <v>743</v>
      </c>
      <c r="H105" s="3" t="s">
        <v>744</v>
      </c>
      <c r="I105" s="3" t="s">
        <v>938</v>
      </c>
      <c r="J105" s="3" t="s">
        <v>1084</v>
      </c>
      <c r="K105" s="3" t="s">
        <v>745</v>
      </c>
      <c r="L105" s="3" t="s">
        <v>769</v>
      </c>
      <c r="M105" s="3" t="s">
        <v>1094</v>
      </c>
      <c r="N105" s="3" t="s">
        <v>1095</v>
      </c>
    </row>
    <row r="106" customFormat="false" ht="15" hidden="false" customHeight="false" outlineLevel="0" collapsed="false">
      <c r="A106" s="3" t="s">
        <v>1096</v>
      </c>
      <c r="B106" s="3" t="s">
        <v>1082</v>
      </c>
      <c r="C106" s="3" t="s">
        <v>955</v>
      </c>
      <c r="D106" s="50" t="n">
        <f aca="false">'Historical Financials'!F20</f>
        <v>81.874</v>
      </c>
      <c r="E106" s="3" t="s">
        <v>774</v>
      </c>
      <c r="F106" s="3" t="s">
        <v>766</v>
      </c>
      <c r="G106" s="3" t="s">
        <v>743</v>
      </c>
      <c r="H106" s="3" t="s">
        <v>744</v>
      </c>
      <c r="I106" s="3" t="s">
        <v>938</v>
      </c>
      <c r="J106" s="3" t="s">
        <v>1084</v>
      </c>
      <c r="K106" s="3" t="s">
        <v>745</v>
      </c>
      <c r="L106" s="3" t="s">
        <v>769</v>
      </c>
      <c r="M106" s="3" t="s">
        <v>1097</v>
      </c>
      <c r="N106" s="3" t="s">
        <v>1098</v>
      </c>
    </row>
    <row r="107" customFormat="false" ht="15" hidden="false" customHeight="false" outlineLevel="0" collapsed="false">
      <c r="A107" s="3" t="s">
        <v>1099</v>
      </c>
      <c r="B107" s="3" t="s">
        <v>1100</v>
      </c>
      <c r="C107" s="3" t="s">
        <v>773</v>
      </c>
      <c r="D107" s="50" t="n">
        <f aca="false">'Historical Financials'!B21</f>
        <v>324.704</v>
      </c>
      <c r="E107" s="3" t="s">
        <v>774</v>
      </c>
      <c r="F107" s="3" t="s">
        <v>775</v>
      </c>
      <c r="G107" s="3" t="s">
        <v>735</v>
      </c>
      <c r="H107" s="3" t="s">
        <v>736</v>
      </c>
      <c r="I107" s="3" t="s">
        <v>1101</v>
      </c>
      <c r="J107" s="3" t="s">
        <v>1102</v>
      </c>
      <c r="K107" s="3" t="s">
        <v>737</v>
      </c>
      <c r="L107" s="3" t="s">
        <v>769</v>
      </c>
      <c r="M107" s="3" t="s">
        <v>1103</v>
      </c>
      <c r="N107" s="3" t="s">
        <v>1104</v>
      </c>
    </row>
    <row r="108" customFormat="false" ht="15" hidden="false" customHeight="false" outlineLevel="0" collapsed="false">
      <c r="A108" s="3" t="s">
        <v>1105</v>
      </c>
      <c r="B108" s="3" t="s">
        <v>1100</v>
      </c>
      <c r="C108" s="3" t="s">
        <v>831</v>
      </c>
      <c r="D108" s="50" t="n">
        <f aca="false">'Historical Financials'!C21</f>
        <v>318.187</v>
      </c>
      <c r="E108" s="3" t="s">
        <v>774</v>
      </c>
      <c r="F108" s="3" t="s">
        <v>775</v>
      </c>
      <c r="G108" s="3" t="s">
        <v>735</v>
      </c>
      <c r="H108" s="3" t="s">
        <v>736</v>
      </c>
      <c r="I108" s="3" t="s">
        <v>1101</v>
      </c>
      <c r="J108" s="3" t="s">
        <v>1102</v>
      </c>
      <c r="K108" s="3" t="s">
        <v>737</v>
      </c>
      <c r="L108" s="3" t="s">
        <v>769</v>
      </c>
      <c r="M108" s="3" t="s">
        <v>1106</v>
      </c>
      <c r="N108" s="3" t="s">
        <v>1107</v>
      </c>
    </row>
    <row r="109" customFormat="false" ht="15" hidden="false" customHeight="false" outlineLevel="0" collapsed="false">
      <c r="A109" s="3" t="s">
        <v>1108</v>
      </c>
      <c r="B109" s="3" t="s">
        <v>1100</v>
      </c>
      <c r="C109" s="3" t="s">
        <v>871</v>
      </c>
      <c r="D109" s="50" t="n">
        <f aca="false">'Historical Financials'!D21</f>
        <v>299.26</v>
      </c>
      <c r="E109" s="3" t="s">
        <v>774</v>
      </c>
      <c r="F109" s="3" t="s">
        <v>775</v>
      </c>
      <c r="G109" s="3" t="s">
        <v>735</v>
      </c>
      <c r="H109" s="3" t="s">
        <v>736</v>
      </c>
      <c r="I109" s="3" t="s">
        <v>1101</v>
      </c>
      <c r="J109" s="3" t="s">
        <v>1102</v>
      </c>
      <c r="K109" s="3" t="s">
        <v>737</v>
      </c>
      <c r="L109" s="3" t="s">
        <v>769</v>
      </c>
      <c r="M109" s="3" t="s">
        <v>1109</v>
      </c>
      <c r="N109" s="3" t="s">
        <v>1110</v>
      </c>
    </row>
    <row r="110" customFormat="false" ht="15" hidden="false" customHeight="false" outlineLevel="0" collapsed="false">
      <c r="A110" s="3" t="s">
        <v>1111</v>
      </c>
      <c r="B110" s="3" t="s">
        <v>1050</v>
      </c>
      <c r="C110" s="3" t="s">
        <v>871</v>
      </c>
      <c r="D110" s="3" t="s">
        <v>995</v>
      </c>
      <c r="E110" s="3" t="s">
        <v>774</v>
      </c>
      <c r="F110" s="3" t="s">
        <v>775</v>
      </c>
      <c r="G110" s="3" t="s">
        <v>735</v>
      </c>
      <c r="H110" s="3" t="s">
        <v>736</v>
      </c>
      <c r="I110" s="3" t="s">
        <v>1083</v>
      </c>
      <c r="J110" s="3" t="s">
        <v>1112</v>
      </c>
      <c r="K110" s="3" t="s">
        <v>737</v>
      </c>
      <c r="L110" s="3" t="s">
        <v>769</v>
      </c>
      <c r="M110" s="3"/>
      <c r="N110" s="3" t="s">
        <v>1113</v>
      </c>
    </row>
    <row r="112" customFormat="false" ht="15" hidden="false" customHeight="false" outlineLevel="0" collapsed="false">
      <c r="A112" s="2" t="s">
        <v>1114</v>
      </c>
    </row>
    <row r="113" customFormat="false" ht="15" hidden="false" customHeight="false" outlineLevel="0" collapsed="false">
      <c r="A113" s="3" t="s">
        <v>1115</v>
      </c>
    </row>
    <row r="114" customFormat="false" ht="15" hidden="false" customHeight="false" outlineLevel="0" collapsed="false">
      <c r="A114" s="3" t="s">
        <v>1116</v>
      </c>
    </row>
    <row r="115" customFormat="false" ht="15" hidden="false" customHeight="false" outlineLevel="0" collapsed="false">
      <c r="A115" s="3" t="s">
        <v>1117</v>
      </c>
    </row>
    <row r="116" customFormat="false" ht="15" hidden="false" customHeight="false" outlineLevel="0" collapsed="false">
      <c r="A116" s="3" t="s">
        <v>1118</v>
      </c>
    </row>
    <row r="117" customFormat="false" ht="15" hidden="false" customHeight="false" outlineLevel="0" collapsed="false">
      <c r="A117" s="3" t="s">
        <v>1119</v>
      </c>
    </row>
    <row r="118" customFormat="false" ht="15" hidden="false" customHeight="false" outlineLevel="0" collapsed="false">
      <c r="A118" s="3" t="s">
        <v>1120</v>
      </c>
    </row>
    <row r="119" customFormat="false" ht="15" hidden="false" customHeight="false" outlineLevel="0" collapsed="false">
      <c r="A119" s="3" t="s">
        <v>1121</v>
      </c>
    </row>
    <row r="120" customFormat="false" ht="15" hidden="false" customHeight="false" outlineLevel="0" collapsed="false">
      <c r="A120" s="3" t="s">
        <v>1122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41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1123</v>
      </c>
    </row>
    <row r="2" customFormat="false" ht="15" hidden="false" customHeight="false" outlineLevel="0" collapsed="false">
      <c r="A2" s="3" t="s">
        <v>1124</v>
      </c>
    </row>
    <row r="5" customFormat="false" ht="15" hidden="false" customHeight="false" outlineLevel="0" collapsed="false">
      <c r="A5" s="9" t="s">
        <v>1125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15" hidden="false" customHeight="false" outlineLevel="0" collapsed="false">
      <c r="A6" s="3" t="s">
        <v>1126</v>
      </c>
      <c r="C6" s="11" t="n">
        <v>1</v>
      </c>
    </row>
    <row r="7" customFormat="false" ht="15" hidden="false" customHeight="false" outlineLevel="0" collapsed="false">
      <c r="A7" s="3" t="s">
        <v>1127</v>
      </c>
      <c r="C7" s="19" t="n">
        <v>0</v>
      </c>
    </row>
    <row r="8" customFormat="false" ht="15" hidden="false" customHeight="false" outlineLevel="0" collapsed="false">
      <c r="A8" s="3" t="s">
        <v>1128</v>
      </c>
      <c r="C8" s="19" t="n">
        <v>0</v>
      </c>
    </row>
    <row r="9" customFormat="false" ht="15" hidden="false" customHeight="false" outlineLevel="0" collapsed="false">
      <c r="A9" s="3" t="s">
        <v>1129</v>
      </c>
      <c r="C9" s="19" t="n">
        <v>0</v>
      </c>
    </row>
    <row r="10" customFormat="false" ht="15" hidden="false" customHeight="false" outlineLevel="0" collapsed="false">
      <c r="A10" s="3" t="s">
        <v>1130</v>
      </c>
      <c r="C10" s="15" t="n">
        <v>0</v>
      </c>
    </row>
    <row r="12" customFormat="false" ht="15" hidden="false" customHeight="false" outlineLevel="0" collapsed="false">
      <c r="A12" s="24" t="s">
        <v>301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customFormat="false" ht="15" hidden="false" customHeight="false" outlineLevel="0" collapsed="false">
      <c r="A13" s="3" t="s">
        <v>302</v>
      </c>
      <c r="F13" s="27" t="n">
        <f aca="false">Assumptions!$C$6</f>
        <v>2026</v>
      </c>
      <c r="G13" s="21" t="n">
        <f aca="false">F13+1</f>
        <v>2027</v>
      </c>
      <c r="H13" s="21" t="n">
        <f aca="false">G13+1</f>
        <v>2028</v>
      </c>
      <c r="I13" s="21" t="n">
        <f aca="false">H13+1</f>
        <v>2029</v>
      </c>
      <c r="J13" s="21" t="n">
        <f aca="false">I13+1</f>
        <v>2030</v>
      </c>
      <c r="K13" s="21" t="n">
        <f aca="false">J13+1</f>
        <v>2031</v>
      </c>
    </row>
    <row r="14" customFormat="false" ht="15" hidden="false" customHeight="false" outlineLevel="0" collapsed="false">
      <c r="A14" s="3" t="s">
        <v>303</v>
      </c>
      <c r="G14" s="21" t="n">
        <f aca="false">G13-Assumptions!$C$6</f>
        <v>1</v>
      </c>
      <c r="H14" s="21" t="n">
        <f aca="false">H13-Assumptions!$C$6</f>
        <v>2</v>
      </c>
      <c r="I14" s="21" t="n">
        <f aca="false">I13-Assumptions!$C$6</f>
        <v>3</v>
      </c>
      <c r="J14" s="21" t="n">
        <f aca="false">J13-Assumptions!$C$6</f>
        <v>4</v>
      </c>
      <c r="K14" s="21" t="n">
        <f aca="false">K13-Assumptions!$C$6</f>
        <v>5</v>
      </c>
    </row>
    <row r="15" customFormat="false" ht="15" hidden="false" customHeight="false" outlineLevel="0" collapsed="false">
      <c r="A15" s="3" t="s">
        <v>180</v>
      </c>
      <c r="G15" s="22" t="n">
        <f aca="false">CHOOSE($C$6,Assumptions!$G$79,Assumptions!$G$98,Assumptions!$G$117)+$C$7</f>
        <v>-0.03</v>
      </c>
      <c r="H15" s="22" t="n">
        <f aca="false">CHOOSE($C$6,Assumptions!$H$79,Assumptions!$H$98,Assumptions!$H$117)+$C$7</f>
        <v>0.02</v>
      </c>
      <c r="I15" s="22" t="n">
        <f aca="false">CHOOSE($C$6,Assumptions!$I$79,Assumptions!$I$98,Assumptions!$I$117)+$C$7</f>
        <v>0.02</v>
      </c>
      <c r="J15" s="22" t="n">
        <f aca="false">CHOOSE($C$6,Assumptions!$J$79,Assumptions!$J$98,Assumptions!$J$117)+$C$7</f>
        <v>0.02</v>
      </c>
      <c r="K15" s="22" t="n">
        <f aca="false">CHOOSE($C$6,Assumptions!$K$79,Assumptions!$K$98,Assumptions!$K$117)+$C$7</f>
        <v>0.02</v>
      </c>
    </row>
    <row r="16" customFormat="false" ht="15" hidden="false" customHeight="false" outlineLevel="0" collapsed="false">
      <c r="A16" s="3" t="s">
        <v>181</v>
      </c>
      <c r="G16" s="22" t="n">
        <f aca="false">CHOOSE($C$6,Assumptions!$G$80,Assumptions!$G$99,Assumptions!$G$118)</f>
        <v>0.603920660818678</v>
      </c>
      <c r="H16" s="22" t="n">
        <f aca="false">CHOOSE($C$6,Assumptions!$H$80,Assumptions!$H$99,Assumptions!$H$118)</f>
        <v>0.606920660818678</v>
      </c>
      <c r="I16" s="22" t="n">
        <f aca="false">CHOOSE($C$6,Assumptions!$I$80,Assumptions!$I$99,Assumptions!$I$118)</f>
        <v>0.609920660818678</v>
      </c>
      <c r="J16" s="22" t="n">
        <f aca="false">CHOOSE($C$6,Assumptions!$J$80,Assumptions!$J$99,Assumptions!$J$118)</f>
        <v>0.611920660818678</v>
      </c>
      <c r="K16" s="22" t="n">
        <f aca="false">CHOOSE($C$6,Assumptions!$K$80,Assumptions!$K$99,Assumptions!$K$118)</f>
        <v>0.613920660818678</v>
      </c>
    </row>
    <row r="17" customFormat="false" ht="15" hidden="false" customHeight="false" outlineLevel="0" collapsed="false">
      <c r="A17" s="3" t="s">
        <v>182</v>
      </c>
      <c r="G17" s="22" t="n">
        <f aca="false">CHOOSE($C$6,Assumptions!$G$81,Assumptions!$G$100,Assumptions!$G$119)+$C$8</f>
        <v>0.53</v>
      </c>
      <c r="H17" s="22" t="n">
        <f aca="false">CHOOSE($C$6,Assumptions!$H$81,Assumptions!$H$100,Assumptions!$H$119)+$C$8</f>
        <v>0.533</v>
      </c>
      <c r="I17" s="22" t="n">
        <f aca="false">CHOOSE($C$6,Assumptions!$I$81,Assumptions!$I$100,Assumptions!$I$119)+$C$8</f>
        <v>0.536</v>
      </c>
      <c r="J17" s="22" t="n">
        <f aca="false">CHOOSE($C$6,Assumptions!$J$81,Assumptions!$J$100,Assumptions!$J$119)+$C$8</f>
        <v>0.538</v>
      </c>
      <c r="K17" s="22" t="n">
        <f aca="false">CHOOSE($C$6,Assumptions!$K$81,Assumptions!$K$100,Assumptions!$K$119)+$C$8</f>
        <v>0.54</v>
      </c>
    </row>
    <row r="18" customFormat="false" ht="15" hidden="false" customHeight="false" outlineLevel="0" collapsed="false">
      <c r="A18" s="24" t="s">
        <v>304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customFormat="false" ht="15" hidden="false" customHeight="false" outlineLevel="0" collapsed="false">
      <c r="A19" s="2" t="s">
        <v>275</v>
      </c>
      <c r="F19" s="28" t="n">
        <f aca="false">'Historical Financials'!G25</f>
        <v>498.291</v>
      </c>
      <c r="G19" s="17" t="n">
        <f aca="false">F19*(1+G15)</f>
        <v>483.34227</v>
      </c>
      <c r="H19" s="17" t="n">
        <f aca="false">G19*(1+H15)</f>
        <v>493.0091154</v>
      </c>
      <c r="I19" s="17" t="n">
        <f aca="false">H19*(1+I15)</f>
        <v>502.869297708</v>
      </c>
      <c r="J19" s="17" t="n">
        <f aca="false">I19*(1+J15)</f>
        <v>512.92668366216</v>
      </c>
      <c r="K19" s="17" t="n">
        <f aca="false">J19*(1+K15)</f>
        <v>523.185217335403</v>
      </c>
    </row>
    <row r="20" customFormat="false" ht="15" hidden="false" customHeight="false" outlineLevel="0" collapsed="false">
      <c r="A20" s="3" t="s">
        <v>276</v>
      </c>
      <c r="G20" s="16" t="n">
        <f aca="false">G19*(1-G16)</f>
        <v>191.4418869</v>
      </c>
      <c r="H20" s="16" t="n">
        <f aca="false">H19*(1-H16)</f>
        <v>193.7916972918</v>
      </c>
      <c r="I20" s="16" t="n">
        <f aca="false">I19*(1-I16)</f>
        <v>196.158923344512</v>
      </c>
      <c r="J20" s="16" t="n">
        <f aca="false">J19*(1-J16)</f>
        <v>199.056248444078</v>
      </c>
      <c r="K20" s="16" t="n">
        <f aca="false">K19*(1-K16)</f>
        <v>201.991002978289</v>
      </c>
    </row>
    <row r="21" customFormat="false" ht="15" hidden="false" customHeight="false" outlineLevel="0" collapsed="false">
      <c r="A21" s="2" t="s">
        <v>277</v>
      </c>
      <c r="G21" s="17" t="n">
        <f aca="false">G19-G20</f>
        <v>291.9003831</v>
      </c>
      <c r="H21" s="17" t="n">
        <f aca="false">H19-H20</f>
        <v>299.2174181082</v>
      </c>
      <c r="I21" s="17" t="n">
        <f aca="false">I19-I20</f>
        <v>306.710374363488</v>
      </c>
      <c r="J21" s="17" t="n">
        <f aca="false">J19-J20</f>
        <v>313.870435218082</v>
      </c>
      <c r="K21" s="17" t="n">
        <f aca="false">K19-K20</f>
        <v>321.194214357115</v>
      </c>
    </row>
    <row r="22" customFormat="false" ht="15" hidden="false" customHeight="false" outlineLevel="0" collapsed="false">
      <c r="A22" s="3" t="s">
        <v>305</v>
      </c>
      <c r="G22" s="16" t="n">
        <f aca="false">G21-G23</f>
        <v>35.72898</v>
      </c>
      <c r="H22" s="16" t="n">
        <f aca="false">H21-H23</f>
        <v>36.4435596</v>
      </c>
      <c r="I22" s="16" t="n">
        <f aca="false">I21-I23</f>
        <v>37.172430792</v>
      </c>
      <c r="J22" s="16" t="n">
        <f aca="false">J21-J23</f>
        <v>37.91587940784</v>
      </c>
      <c r="K22" s="16" t="n">
        <f aca="false">K21-K23</f>
        <v>38.6741969959968</v>
      </c>
    </row>
    <row r="23" customFormat="false" ht="15" hidden="false" customHeight="false" outlineLevel="0" collapsed="false">
      <c r="A23" s="2" t="s">
        <v>306</v>
      </c>
      <c r="G23" s="17" t="n">
        <f aca="false">G19*G17</f>
        <v>256.1714031</v>
      </c>
      <c r="H23" s="17" t="n">
        <f aca="false">H19*H17</f>
        <v>262.7738585082</v>
      </c>
      <c r="I23" s="17" t="n">
        <f aca="false">I19*I17</f>
        <v>269.537943571488</v>
      </c>
      <c r="J23" s="17" t="n">
        <f aca="false">J19*J17</f>
        <v>275.954555810242</v>
      </c>
      <c r="K23" s="17" t="n">
        <f aca="false">K19*K17</f>
        <v>282.520017361118</v>
      </c>
    </row>
    <row r="24" customFormat="false" ht="15" hidden="false" customHeight="false" outlineLevel="0" collapsed="false">
      <c r="A24" s="3" t="s">
        <v>307</v>
      </c>
      <c r="G24" s="16" t="n">
        <f aca="false">G19*'Historical Financials'!G30/'Historical Financials'!G25</f>
        <v>179.73421</v>
      </c>
      <c r="H24" s="16" t="n">
        <f aca="false">H19*'Historical Financials'!G30/'Historical Financials'!G25</f>
        <v>183.3288942</v>
      </c>
      <c r="I24" s="16" t="n">
        <f aca="false">I19*'Historical Financials'!G30/'Historical Financials'!G25</f>
        <v>186.995472084</v>
      </c>
      <c r="J24" s="16" t="n">
        <f aca="false">J19*'Historical Financials'!G30/'Historical Financials'!G25</f>
        <v>190.73538152568</v>
      </c>
      <c r="K24" s="16" t="n">
        <f aca="false">K19*'Historical Financials'!G30/'Historical Financials'!G25</f>
        <v>194.550089156194</v>
      </c>
    </row>
    <row r="25" customFormat="false" ht="15" hidden="false" customHeight="false" outlineLevel="0" collapsed="false">
      <c r="A25" s="3" t="s">
        <v>308</v>
      </c>
      <c r="G25" s="16" t="n">
        <f aca="false">G19*'Historical Financials'!G31/'Historical Financials'!G25</f>
        <v>0</v>
      </c>
      <c r="H25" s="16" t="n">
        <f aca="false">H19*'Historical Financials'!G31/'Historical Financials'!G25</f>
        <v>0</v>
      </c>
      <c r="I25" s="16" t="n">
        <f aca="false">I19*'Historical Financials'!G31/'Historical Financials'!G25</f>
        <v>0</v>
      </c>
      <c r="J25" s="16" t="n">
        <f aca="false">J19*'Historical Financials'!G31/'Historical Financials'!G25</f>
        <v>0</v>
      </c>
      <c r="K25" s="16" t="n">
        <f aca="false">K19*'Historical Financials'!G31/'Historical Financials'!G25</f>
        <v>0</v>
      </c>
    </row>
    <row r="26" customFormat="false" ht="15" hidden="false" customHeight="false" outlineLevel="0" collapsed="false">
      <c r="A26" s="2" t="s">
        <v>309</v>
      </c>
      <c r="G26" s="17" t="n">
        <f aca="false">G23-G24-G25</f>
        <v>76.4371931</v>
      </c>
      <c r="H26" s="17" t="n">
        <f aca="false">H23-H24-H25</f>
        <v>79.4449643082</v>
      </c>
      <c r="I26" s="17" t="n">
        <f aca="false">I23-I24-I25</f>
        <v>82.542471487488</v>
      </c>
      <c r="J26" s="17" t="n">
        <f aca="false">J23-J24-J25</f>
        <v>85.2191742845621</v>
      </c>
      <c r="K26" s="17" t="n">
        <f aca="false">K23-K24-K25</f>
        <v>87.9699282049242</v>
      </c>
    </row>
    <row r="27" customFormat="false" ht="15" hidden="false" customHeight="false" outlineLevel="0" collapsed="false">
      <c r="A27" s="3" t="s">
        <v>310</v>
      </c>
      <c r="G27" s="16" t="n">
        <f aca="false">G53+G66+G79+G92+G105+G118+G131+G144+G157+G170</f>
        <v>180.2096854</v>
      </c>
      <c r="H27" s="16" t="n">
        <f aca="false">H53+H66+H79+H92+H105+H118+H131+H144+H157+H170</f>
        <v>179.1317704</v>
      </c>
      <c r="I27" s="16" t="n">
        <f aca="false">I53+I66+I79+I92+I105+I118+I131+I144+I157+I170</f>
        <v>191.388017509904</v>
      </c>
      <c r="J27" s="16" t="n">
        <f aca="false">J53+J66+J79+J92+J105+J118+J131+J144+J157+J170</f>
        <v>191.569272884469</v>
      </c>
      <c r="K27" s="16" t="n">
        <f aca="false">K53+K66+K79+K92+K105+K118+K131+K144+K157+K170</f>
        <v>210.404714699088</v>
      </c>
    </row>
    <row r="28" customFormat="false" ht="15" hidden="false" customHeight="false" outlineLevel="0" collapsed="false">
      <c r="A28" s="3" t="s">
        <v>311</v>
      </c>
      <c r="G28" s="16" t="n">
        <f aca="false">G54+G67+G80+G93+G106+G119+G132+G145+G158+G171</f>
        <v>0</v>
      </c>
      <c r="H28" s="16" t="n">
        <f aca="false">H54+H67+H80+H93+H106+H119+H132+H145+H158+H171</f>
        <v>0</v>
      </c>
      <c r="I28" s="16" t="n">
        <f aca="false">I54+I67+I80+I93+I106+I119+I132+I145+I158+I171</f>
        <v>0</v>
      </c>
      <c r="J28" s="16" t="n">
        <f aca="false">J54+J67+J80+J93+J106+J119+J132+J145+J158+J171</f>
        <v>0</v>
      </c>
      <c r="K28" s="16" t="n">
        <f aca="false">K54+K67+K80+K93+K106+K119+K132+K145+K158+K171</f>
        <v>0</v>
      </c>
    </row>
    <row r="29" customFormat="false" ht="15" hidden="false" customHeight="false" outlineLevel="0" collapsed="false">
      <c r="A29" s="3" t="s">
        <v>283</v>
      </c>
      <c r="G29" s="16" t="n">
        <f aca="false">G27+G28</f>
        <v>180.2096854</v>
      </c>
      <c r="H29" s="16" t="n">
        <f aca="false">H27+H28</f>
        <v>179.1317704</v>
      </c>
      <c r="I29" s="16" t="n">
        <f aca="false">I27+I28</f>
        <v>191.388017509904</v>
      </c>
      <c r="J29" s="16" t="n">
        <f aca="false">J27+J28</f>
        <v>191.569272884469</v>
      </c>
      <c r="K29" s="16" t="n">
        <f aca="false">K27+K28</f>
        <v>210.404714699088</v>
      </c>
    </row>
    <row r="30" customFormat="false" ht="15" hidden="false" customHeight="false" outlineLevel="0" collapsed="false">
      <c r="A30" s="2" t="s">
        <v>284</v>
      </c>
      <c r="G30" s="17" t="n">
        <f aca="false">G26-G29</f>
        <v>-103.7724923</v>
      </c>
      <c r="H30" s="17" t="n">
        <f aca="false">H26-H29</f>
        <v>-99.6868060918</v>
      </c>
      <c r="I30" s="17" t="n">
        <f aca="false">I26-I29</f>
        <v>-108.845546022416</v>
      </c>
      <c r="J30" s="17" t="n">
        <f aca="false">J26-J29</f>
        <v>-106.350098599906</v>
      </c>
      <c r="K30" s="17" t="n">
        <f aca="false">K26-K29</f>
        <v>-122.434786494163</v>
      </c>
    </row>
    <row r="31" customFormat="false" ht="15" hidden="false" customHeight="false" outlineLevel="0" collapsed="false">
      <c r="A31" s="3" t="s">
        <v>312</v>
      </c>
      <c r="G31" s="16" t="n">
        <f aca="false">MAX(0,G30)*Assumptions!$C$9</f>
        <v>0</v>
      </c>
      <c r="H31" s="16" t="n">
        <f aca="false">MAX(0,H30)*Assumptions!$C$9</f>
        <v>0</v>
      </c>
      <c r="I31" s="16" t="n">
        <f aca="false">MAX(0,I30)*Assumptions!$C$9</f>
        <v>0</v>
      </c>
      <c r="J31" s="16" t="n">
        <f aca="false">MAX(0,J30)*Assumptions!$C$9</f>
        <v>0</v>
      </c>
      <c r="K31" s="16" t="n">
        <f aca="false">MAX(0,K30)*Assumptions!$C$9</f>
        <v>0</v>
      </c>
    </row>
    <row r="32" customFormat="false" ht="15" hidden="false" customHeight="false" outlineLevel="0" collapsed="false">
      <c r="A32" s="2" t="s">
        <v>313</v>
      </c>
      <c r="G32" s="17" t="n">
        <f aca="false">G30-G31</f>
        <v>-103.7724923</v>
      </c>
      <c r="H32" s="17" t="n">
        <f aca="false">H30-H31</f>
        <v>-99.6868060918</v>
      </c>
      <c r="I32" s="17" t="n">
        <f aca="false">I30-I31</f>
        <v>-108.845546022416</v>
      </c>
      <c r="J32" s="17" t="n">
        <f aca="false">J30-J31</f>
        <v>-106.350098599906</v>
      </c>
      <c r="K32" s="17" t="n">
        <f aca="false">K30-K31</f>
        <v>-122.434786494163</v>
      </c>
    </row>
    <row r="33" customFormat="false" ht="15" hidden="false" customHeight="false" outlineLevel="0" collapsed="false">
      <c r="A33" s="24" t="s">
        <v>314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customFormat="false" ht="15" hidden="false" customHeight="false" outlineLevel="0" collapsed="false">
      <c r="A34" s="3" t="s">
        <v>184</v>
      </c>
      <c r="G34" s="16" t="n">
        <f aca="false">G19*CHOOSE($C$6,Assumptions!$C$83,Assumptions!$C$102,Assumptions!$C$121)</f>
        <v>106.3352994</v>
      </c>
      <c r="H34" s="16" t="n">
        <f aca="false">H19*CHOOSE($C$6,Assumptions!$C$83,Assumptions!$C$102,Assumptions!$C$121)</f>
        <v>108.462005388</v>
      </c>
      <c r="I34" s="16" t="n">
        <f aca="false">I19*CHOOSE($C$6,Assumptions!$C$83,Assumptions!$C$102,Assumptions!$C$121)</f>
        <v>110.63124549576</v>
      </c>
      <c r="J34" s="16" t="n">
        <f aca="false">J19*CHOOSE($C$6,Assumptions!$C$83,Assumptions!$C$102,Assumptions!$C$121)</f>
        <v>112.843870405675</v>
      </c>
      <c r="K34" s="16" t="n">
        <f aca="false">K19*CHOOSE($C$6,Assumptions!$C$83,Assumptions!$C$102,Assumptions!$C$121)</f>
        <v>115.100747813789</v>
      </c>
    </row>
    <row r="35" customFormat="false" ht="15" hidden="false" customHeight="false" outlineLevel="0" collapsed="false">
      <c r="A35" s="3" t="s">
        <v>315</v>
      </c>
      <c r="G35" s="16" t="n">
        <f aca="false">CHOOSE($C$6,Assumptions!$C$84,Assumptions!$C$103,Assumptions!$C$122)*(G19-F19)+CHOOSE($C$6,Assumptions!$C$85,Assumptions!$C$104,Assumptions!$C$123)*G19</f>
        <v>53.1676497</v>
      </c>
      <c r="H35" s="16" t="n">
        <f aca="false">CHOOSE($C$6,Assumptions!$C$84,Assumptions!$C$103,Assumptions!$C$122)*(H19-G19)+CHOOSE($C$6,Assumptions!$C$85,Assumptions!$C$104,Assumptions!$C$123)*H19</f>
        <v>54.231002694</v>
      </c>
      <c r="I35" s="16" t="n">
        <f aca="false">CHOOSE($C$6,Assumptions!$C$84,Assumptions!$C$103,Assumptions!$C$122)*(I19-H19)+CHOOSE($C$6,Assumptions!$C$85,Assumptions!$C$104,Assumptions!$C$123)*I19</f>
        <v>55.31562274788</v>
      </c>
      <c r="J35" s="16" t="n">
        <f aca="false">CHOOSE($C$6,Assumptions!$C$84,Assumptions!$C$103,Assumptions!$C$122)*(J19-I19)+CHOOSE($C$6,Assumptions!$C$85,Assumptions!$C$104,Assumptions!$C$123)*J19</f>
        <v>56.4219352028376</v>
      </c>
      <c r="K35" s="16" t="n">
        <f aca="false">CHOOSE($C$6,Assumptions!$C$84,Assumptions!$C$103,Assumptions!$C$122)*(K19-J19)+CHOOSE($C$6,Assumptions!$C$85,Assumptions!$C$104,Assumptions!$C$123)*K19</f>
        <v>57.5503739068944</v>
      </c>
    </row>
    <row r="36" customFormat="false" ht="15" hidden="false" customHeight="false" outlineLevel="0" collapsed="false">
      <c r="A36" s="2" t="s">
        <v>316</v>
      </c>
      <c r="G36" s="17" t="n">
        <f aca="false">G32+G24+G25+G28-G34-G35</f>
        <v>-83.5412314</v>
      </c>
      <c r="H36" s="17" t="n">
        <f aca="false">H32+H24+H25+H28-H34-H35</f>
        <v>-79.0509199738</v>
      </c>
      <c r="I36" s="17" t="n">
        <f aca="false">I32+I24+I25+I28-I34-I35</f>
        <v>-87.796942182056</v>
      </c>
      <c r="J36" s="17" t="n">
        <f aca="false">J32+J24+J25+J28-J34-J35</f>
        <v>-84.8805226827392</v>
      </c>
      <c r="K36" s="17" t="n">
        <f aca="false">K32+K24+K25+K28-K34-K35</f>
        <v>-100.535819058653</v>
      </c>
    </row>
    <row r="38" customFormat="false" ht="15" hidden="false" customHeight="false" outlineLevel="0" collapsed="false">
      <c r="A38" s="24" t="s">
        <v>318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customFormat="false" ht="15" hidden="false" customHeight="false" outlineLevel="0" collapsed="false">
      <c r="A39" s="3" t="s">
        <v>319</v>
      </c>
      <c r="G39" s="30" t="n">
        <f aca="false">Assumptions!$G$53</f>
        <v>0.039</v>
      </c>
      <c r="H39" s="30" t="n">
        <f aca="false">Assumptions!$H$53</f>
        <v>0.0375</v>
      </c>
      <c r="I39" s="30" t="n">
        <f aca="false">Assumptions!$I$53</f>
        <v>0.035</v>
      </c>
      <c r="J39" s="30" t="n">
        <f aca="false">Assumptions!$J$53</f>
        <v>0.035</v>
      </c>
      <c r="K39" s="30" t="n">
        <f aca="false">Assumptions!$K$53</f>
        <v>0.035</v>
      </c>
    </row>
    <row r="40" customFormat="false" ht="15" hidden="false" customHeight="false" outlineLevel="0" collapsed="false">
      <c r="A40" s="3" t="s">
        <v>320</v>
      </c>
      <c r="C40" s="31" t="n">
        <f aca="false">CHOOSE($C$6,Assumptions!$C$86,Assumptions!$C$105,Assumptions!$C$124)+$C$9</f>
        <v>0</v>
      </c>
    </row>
    <row r="41" customFormat="false" ht="15" hidden="false" customHeight="false" outlineLevel="0" collapsed="false">
      <c r="A41" s="3" t="s">
        <v>321</v>
      </c>
      <c r="C41" s="31" t="n">
        <f aca="false">CHOOSE($C$6,Assumptions!$C$87,Assumptions!$C$106,Assumptions!$C$125)</f>
        <v>0.08</v>
      </c>
    </row>
    <row r="42" customFormat="false" ht="15" hidden="false" customHeight="false" outlineLevel="0" collapsed="false">
      <c r="A42" s="3" t="s">
        <v>322</v>
      </c>
      <c r="C42" s="32" t="n">
        <f aca="false">CHOOSE($C$6,Assumptions!$C$88,Assumptions!$C$107,Assumptions!$C$126)</f>
        <v>11</v>
      </c>
    </row>
    <row r="43" customFormat="false" ht="15" hidden="false" customHeight="false" outlineLevel="0" collapsed="false">
      <c r="A43" s="3" t="s">
        <v>323</v>
      </c>
      <c r="C43" s="32" t="n">
        <f aca="false">CHOOSE($C$6,Assumptions!$C$89,Assumptions!$C$108,Assumptions!$C$127)</f>
        <v>1.2</v>
      </c>
    </row>
    <row r="44" customFormat="false" ht="15" hidden="false" customHeight="false" outlineLevel="0" collapsed="false">
      <c r="A44" s="3" t="s">
        <v>324</v>
      </c>
      <c r="G44" s="16" t="n">
        <f aca="false">G49+G62+G75+G88+G101+G114+G127+G140+G153+G166</f>
        <v>2625.934</v>
      </c>
      <c r="H44" s="16" t="n">
        <f aca="false">H49+H62+H75+H88+H101+H114+H127+H140+H153+H166</f>
        <v>2621.934</v>
      </c>
      <c r="I44" s="16" t="n">
        <f aca="false">I49+I62+I75+I88+I101+I114+I127+I140+I153+I166</f>
        <v>2575.6561513738</v>
      </c>
      <c r="J44" s="16" t="n">
        <f aca="false">J49+J62+J75+J88+J101+J114+J127+J140+J153+J166</f>
        <v>2638.45309355586</v>
      </c>
      <c r="K44" s="16" t="n">
        <f aca="false">K49+K62+K75+K88+K101+K114+K127+K140+K153+K166</f>
        <v>2723.3336162386</v>
      </c>
    </row>
    <row r="45" customFormat="false" ht="15" hidden="false" customHeight="false" outlineLevel="0" collapsed="false">
      <c r="A45" s="3" t="s">
        <v>325</v>
      </c>
      <c r="G45" s="16" t="n">
        <f aca="false">F237</f>
        <v>37.87</v>
      </c>
      <c r="H45" s="16" t="n">
        <f aca="false">G237</f>
        <v>150.3287686</v>
      </c>
      <c r="I45" s="16" t="n">
        <f aca="false">H237</f>
        <v>25</v>
      </c>
      <c r="J45" s="16" t="n">
        <f aca="false">I237</f>
        <v>0</v>
      </c>
      <c r="K45" s="16" t="n">
        <f aca="false">J237</f>
        <v>0</v>
      </c>
    </row>
    <row r="46" customFormat="false" ht="15" hidden="false" customHeight="false" outlineLevel="0" collapsed="false">
      <c r="A46" s="3" t="s">
        <v>326</v>
      </c>
      <c r="G46" s="16" t="n">
        <f aca="false">G49*IF(G50=1,$C$41,IF(Assumptions!$I$57=1,MAX(G39,Assumptions!$G$57)+Assumptions!$F$57+$C$40,Assumptions!$E$57))+G62*IF(G63=1,$C$41,IF(Assumptions!$I$58=1,MAX(G39,Assumptions!$G$58)+Assumptions!$F$58+$C$40,Assumptions!$E$58))+G75*IF(G76=1,$C$41,IF(Assumptions!$I$59=1,MAX(G39,Assumptions!$G$59)+Assumptions!$F$59+$C$40,Assumptions!$E$59))+G88*IF(G89=1,$C$41,IF(Assumptions!$I$60=1,MAX(G39,Assumptions!$G$60)+Assumptions!$F$60+$C$40,Assumptions!$E$60))+G101*IF(G102=1,$C$41,IF(Assumptions!$I$61=1,MAX(G39,Assumptions!$G$61)+Assumptions!$F$61+$C$40,Assumptions!$E$61))+G114*IF(G115=1,$C$41,IF(Assumptions!$I$62=1,MAX(G39,Assumptions!$G$62)+Assumptions!$F$62+$C$40,Assumptions!$E$62))+G127*IF(G128=1,$C$41,IF(Assumptions!$I$63=1,MAX(G39,Assumptions!$G$63)+Assumptions!$F$63+$C$40,Assumptions!$E$63))+G140*IF(G141=1,$C$41,IF(Assumptions!$I$64=1,MAX(G39,Assumptions!$G$64)+Assumptions!$F$64+$C$40,Assumptions!$E$64))+G153*IF(G154=1,$C$41,IF(Assumptions!$I$65=1,MAX(G39,Assumptions!$G$65)+Assumptions!$F$65+$C$40,Assumptions!$E$65))+G166*IF(G167=1,$C$41,IF(Assumptions!$I$66=1,MAX(G39,Assumptions!$G$66)+Assumptions!$F$66+$C$40,Assumptions!$E$66))</f>
        <v>180.2096854</v>
      </c>
      <c r="H46" s="16" t="n">
        <f aca="false">H49*IF(OR(H50=1,G359=1),$C$41,IF(Assumptions!$I$57=1,MAX(H39,Assumptions!$G$57)+Assumptions!$F$57+$C$40,Assumptions!$E$57))+H62*IF(OR(H63=1,G360=1),$C$41,IF(Assumptions!$I$58=1,MAX(H39,Assumptions!$G$58)+Assumptions!$F$58+$C$40,Assumptions!$E$58))+H75*IF(OR(H76=1,G361=1),$C$41,IF(Assumptions!$I$59=1,MAX(H39,Assumptions!$G$59)+Assumptions!$F$59+$C$40,Assumptions!$E$59))+H88*IF(OR(H89=1,G362=1),$C$41,IF(Assumptions!$I$60=1,MAX(H39,Assumptions!$G$60)+Assumptions!$F$60+$C$40,Assumptions!$E$60))+H101*IF(OR(H102=1,G363=1),$C$41,IF(Assumptions!$I$61=1,MAX(H39,Assumptions!$G$61)+Assumptions!$F$61+$C$40,Assumptions!$E$61))+H114*IF(OR(H115=1,G364=1),$C$41,IF(Assumptions!$I$62=1,MAX(H39,Assumptions!$G$62)+Assumptions!$F$62+$C$40,Assumptions!$E$62))+H127*IF(OR(H128=1,G365=1),$C$41,IF(Assumptions!$I$63=1,MAX(H39,Assumptions!$G$63)+Assumptions!$F$63+$C$40,Assumptions!$E$63))+H140*IF(OR(H141=1,G366=1),$C$41,IF(Assumptions!$I$64=1,MAX(H39,Assumptions!$G$64)+Assumptions!$F$64+$C$40,Assumptions!$E$64))+H153*IF(OR(H154=1,G367=1),$C$41,IF(Assumptions!$I$65=1,MAX(H39,Assumptions!$G$65)+Assumptions!$F$65+$C$40,Assumptions!$E$65))+H166*IF(OR(H167=1,G368=1),$C$41,IF(Assumptions!$I$66=1,MAX(H39,Assumptions!$G$66)+Assumptions!$F$66+$C$40,Assumptions!$E$66))</f>
        <v>196.3067704</v>
      </c>
      <c r="I46" s="16" t="n">
        <f aca="false">I49*IF(OR(I50=1,H359=1),$C$41,IF(Assumptions!$I$57=1,MAX(I39,Assumptions!$G$57)+Assumptions!$F$57+$C$40,Assumptions!$E$57))+I62*IF(OR(I63=1,H360=1),$C$41,IF(Assumptions!$I$58=1,MAX(I39,Assumptions!$G$58)+Assumptions!$F$58+$C$40,Assumptions!$E$58))+I75*IF(OR(I76=1,H361=1),$C$41,IF(Assumptions!$I$59=1,MAX(I39,Assumptions!$G$59)+Assumptions!$F$59+$C$40,Assumptions!$E$59))+I88*IF(OR(I89=1,H362=1),$C$41,IF(Assumptions!$I$60=1,MAX(I39,Assumptions!$G$60)+Assumptions!$F$60+$C$40,Assumptions!$E$60))+I101*IF(OR(I102=1,H363=1),$C$41,IF(Assumptions!$I$61=1,MAX(I39,Assumptions!$G$61)+Assumptions!$F$61+$C$40,Assumptions!$E$61))+I114*IF(OR(I115=1,H364=1),$C$41,IF(Assumptions!$I$62=1,MAX(I39,Assumptions!$G$62)+Assumptions!$F$62+$C$40,Assumptions!$E$62))+I127*IF(OR(I128=1,H365=1),$C$41,IF(Assumptions!$I$63=1,MAX(I39,Assumptions!$G$63)+Assumptions!$F$63+$C$40,Assumptions!$E$63))+I140*IF(OR(I141=1,H366=1),$C$41,IF(Assumptions!$I$64=1,MAX(I39,Assumptions!$G$64)+Assumptions!$F$64+$C$40,Assumptions!$E$64))+I153*IF(OR(I154=1,H367=1),$C$41,IF(Assumptions!$I$65=1,MAX(I39,Assumptions!$G$65)+Assumptions!$F$65+$C$40,Assumptions!$E$65))+I166*IF(OR(I167=1,H368=1),$C$41,IF(Assumptions!$I$66=1,MAX(I39,Assumptions!$G$66)+Assumptions!$F$66+$C$40,Assumptions!$E$66))</f>
        <v>186.575517509904</v>
      </c>
      <c r="J46" s="16" t="n">
        <f aca="false">J49*IF(OR(J50=1,I359=1),$C$41,IF(Assumptions!$I$57=1,MAX(J39,Assumptions!$G$57)+Assumptions!$F$57+$C$40,Assumptions!$E$57))+J62*IF(OR(J63=1,I360=1),$C$41,IF(Assumptions!$I$58=1,MAX(J39,Assumptions!$G$58)+Assumptions!$F$58+$C$40,Assumptions!$E$58))+J75*IF(OR(J76=1,I361=1),$C$41,IF(Assumptions!$I$59=1,MAX(J39,Assumptions!$G$59)+Assumptions!$F$59+$C$40,Assumptions!$E$59))+J88*IF(OR(J89=1,I362=1),$C$41,IF(Assumptions!$I$60=1,MAX(J39,Assumptions!$G$60)+Assumptions!$F$60+$C$40,Assumptions!$E$60))+J101*IF(OR(J102=1,I363=1),$C$41,IF(Assumptions!$I$61=1,MAX(J39,Assumptions!$G$61)+Assumptions!$F$61+$C$40,Assumptions!$E$61))+J114*IF(OR(J115=1,I364=1),$C$41,IF(Assumptions!$I$62=1,MAX(J39,Assumptions!$G$62)+Assumptions!$F$62+$C$40,Assumptions!$E$62))+J127*IF(OR(J128=1,I365=1),$C$41,IF(Assumptions!$I$63=1,MAX(J39,Assumptions!$G$63)+Assumptions!$F$63+$C$40,Assumptions!$E$63))+J140*IF(OR(J141=1,I366=1),$C$41,IF(Assumptions!$I$64=1,MAX(J39,Assumptions!$G$64)+Assumptions!$F$64+$C$40,Assumptions!$E$64))+J153*IF(OR(J154=1,I367=1),$C$41,IF(Assumptions!$I$65=1,MAX(J39,Assumptions!$G$65)+Assumptions!$F$65+$C$40,Assumptions!$E$65))+J166*IF(OR(J167=1,I368=1),$C$41,IF(Assumptions!$I$66=1,MAX(J39,Assumptions!$G$66)+Assumptions!$F$66+$C$40,Assumptions!$E$66))</f>
        <v>203.644272884468</v>
      </c>
      <c r="K46" s="16" t="n">
        <f aca="false">K49*IF(OR(K50=1,J359=1),$C$41,IF(Assumptions!$I$57=1,MAX(K39,Assumptions!$G$57)+Assumptions!$F$57+$C$40,Assumptions!$E$57))+K62*IF(OR(K63=1,J360=1),$C$41,IF(Assumptions!$I$58=1,MAX(K39,Assumptions!$G$58)+Assumptions!$F$58+$C$40,Assumptions!$E$58))+K75*IF(OR(K76=1,J361=1),$C$41,IF(Assumptions!$I$59=1,MAX(K39,Assumptions!$G$59)+Assumptions!$F$59+$C$40,Assumptions!$E$59))+K88*IF(OR(K89=1,J362=1),$C$41,IF(Assumptions!$I$60=1,MAX(K39,Assumptions!$G$60)+Assumptions!$F$60+$C$40,Assumptions!$E$60))+K101*IF(OR(K102=1,J363=1),$C$41,IF(Assumptions!$I$61=1,MAX(K39,Assumptions!$G$61)+Assumptions!$F$61+$C$40,Assumptions!$E$61))+K114*IF(OR(K115=1,J364=1),$C$41,IF(Assumptions!$I$62=1,MAX(K39,Assumptions!$G$62)+Assumptions!$F$62+$C$40,Assumptions!$E$62))+K127*IF(OR(K128=1,J365=1),$C$41,IF(Assumptions!$I$63=1,MAX(K39,Assumptions!$G$63)+Assumptions!$F$63+$C$40,Assumptions!$E$63))+K140*IF(OR(K141=1,J366=1),$C$41,IF(Assumptions!$I$64=1,MAX(K39,Assumptions!$G$64)+Assumptions!$F$64+$C$40,Assumptions!$E$64))+K153*IF(OR(K154=1,J367=1),$C$41,IF(Assumptions!$I$65=1,MAX(K39,Assumptions!$G$65)+Assumptions!$F$65+$C$40,Assumptions!$E$65))+K166*IF(OR(K167=1,J368=1),$C$41,IF(Assumptions!$I$66=1,MAX(K39,Assumptions!$G$66)+Assumptions!$F$66+$C$40,Assumptions!$E$66))</f>
        <v>213.149714699088</v>
      </c>
    </row>
    <row r="47" customFormat="false" ht="15" hidden="false" customHeight="false" outlineLevel="0" collapsed="false">
      <c r="A47" s="3" t="s">
        <v>327</v>
      </c>
      <c r="G47" s="21" t="n">
        <f aca="false">IF(G23&lt;=0,0,IF(AND((G44-G45)/G23&lt;=$C$42,G23/G46&gt;=$C$43),1,0))</f>
        <v>1</v>
      </c>
      <c r="H47" s="21" t="n">
        <f aca="false">IF(H23&lt;=0,0,IF(AND((H44-H45)/H23&lt;=$C$42,H23/H46&gt;=$C$43),1,0))</f>
        <v>1</v>
      </c>
      <c r="I47" s="21" t="n">
        <f aca="false">IF(I23&lt;=0,0,IF(AND((I44-I45)/I23&lt;=$C$42,I23/I46&gt;=$C$43),1,0))</f>
        <v>1</v>
      </c>
      <c r="J47" s="21" t="n">
        <f aca="false">IF(J23&lt;=0,0,IF(AND((J44-J45)/J23&lt;=$C$42,J23/J46&gt;=$C$43),1,0))</f>
        <v>1</v>
      </c>
      <c r="K47" s="21" t="n">
        <f aca="false">IF(K23&lt;=0,0,IF(AND((K44-K45)/K23&lt;=$C$42,K23/K46&gt;=$C$43),1,0))</f>
        <v>1</v>
      </c>
    </row>
    <row r="48" customFormat="false" ht="15" hidden="false" customHeight="false" outlineLevel="0" collapsed="false">
      <c r="A48" s="24" t="s">
        <v>328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customFormat="false" ht="15" hidden="false" customHeight="false" outlineLevel="0" collapsed="false">
      <c r="A49" s="3" t="s">
        <v>329</v>
      </c>
      <c r="G49" s="16" t="n">
        <f aca="false">F60</f>
        <v>400</v>
      </c>
      <c r="H49" s="16" t="n">
        <f aca="false">G60</f>
        <v>396</v>
      </c>
      <c r="I49" s="16" t="n">
        <f aca="false">H60</f>
        <v>392</v>
      </c>
      <c r="J49" s="16" t="n">
        <f aca="false">I60</f>
        <v>388</v>
      </c>
      <c r="K49" s="16" t="n">
        <f aca="false">J60</f>
        <v>384</v>
      </c>
    </row>
    <row r="50" customFormat="false" ht="15" hidden="false" customHeight="false" outlineLevel="0" collapsed="false">
      <c r="A50" s="3" t="s">
        <v>330</v>
      </c>
      <c r="G50" s="21" t="n">
        <f aca="false">IF(G13=Assumptions!$K$57,1,0)</f>
        <v>0</v>
      </c>
      <c r="H50" s="21" t="n">
        <f aca="false">IF(H13=Assumptions!$K$57,1,0)</f>
        <v>0</v>
      </c>
      <c r="I50" s="21" t="n">
        <f aca="false">IF(I13=Assumptions!$K$57,1,0)</f>
        <v>0</v>
      </c>
      <c r="J50" s="21" t="n">
        <f aca="false">IF(J13=Assumptions!$K$57,1,0)</f>
        <v>0</v>
      </c>
      <c r="K50" s="21" t="n">
        <f aca="false">IF(K13=Assumptions!$K$57,1,0)</f>
        <v>1</v>
      </c>
    </row>
    <row r="52" customFormat="false" ht="15" hidden="false" customHeight="false" outlineLevel="0" collapsed="false">
      <c r="A52" s="3" t="s">
        <v>331</v>
      </c>
      <c r="G52" s="31" t="n">
        <f aca="false">IF(Assumptions!$I$57=1,MAX(G39,Assumptions!$G$57)+Assumptions!$F$57+$C$40,Assumptions!$E$57)</f>
        <v>0.0915</v>
      </c>
      <c r="H52" s="31" t="n">
        <f aca="false">IF(G359=1,$C$41,IF(Assumptions!$I$57=1,MAX(H39,Assumptions!$G$57)+Assumptions!$F$57+$C$40,Assumptions!$E$57))</f>
        <v>0.09</v>
      </c>
      <c r="I52" s="31" t="n">
        <f aca="false">IF(H359=1,$C$41,IF(Assumptions!$I$57=1,MAX(I39,Assumptions!$G$57)+Assumptions!$F$57+$C$40,Assumptions!$E$57))</f>
        <v>0.0875</v>
      </c>
      <c r="J52" s="31" t="n">
        <f aca="false">IF(I359=1,$C$41,IF(Assumptions!$I$57=1,MAX(J39,Assumptions!$G$57)+Assumptions!$F$57+$C$40,Assumptions!$E$57))</f>
        <v>0.0875</v>
      </c>
      <c r="K52" s="31" t="n">
        <f aca="false">IF(J359=1,$C$41,IF(Assumptions!$I$57=1,MAX(K39,Assumptions!$G$57)+Assumptions!$F$57+$C$40,Assumptions!$E$57))</f>
        <v>0.0875</v>
      </c>
    </row>
    <row r="53" customFormat="false" ht="15" hidden="false" customHeight="false" outlineLevel="0" collapsed="false">
      <c r="A53" s="3" t="s">
        <v>332</v>
      </c>
      <c r="G53" s="16" t="n">
        <f aca="false">G49*G52</f>
        <v>36.6</v>
      </c>
      <c r="H53" s="16" t="n">
        <f aca="false">H49*H52</f>
        <v>35.64</v>
      </c>
      <c r="I53" s="16" t="n">
        <f aca="false">I49*I52</f>
        <v>34.3</v>
      </c>
      <c r="J53" s="16" t="n">
        <f aca="false">J49*J52</f>
        <v>33.95</v>
      </c>
      <c r="K53" s="16" t="n">
        <f aca="false">K49*K52</f>
        <v>33.6</v>
      </c>
    </row>
    <row r="54" customFormat="false" ht="15" hidden="false" customHeight="false" outlineLevel="0" collapsed="false">
      <c r="A54" s="3" t="s">
        <v>333</v>
      </c>
      <c r="G54" s="16" t="n">
        <f aca="false">G49*Assumptions!$H$57</f>
        <v>0</v>
      </c>
      <c r="H54" s="16" t="n">
        <f aca="false">H49*Assumptions!$H$57</f>
        <v>0</v>
      </c>
      <c r="I54" s="16" t="n">
        <f aca="false">I49*Assumptions!$H$57</f>
        <v>0</v>
      </c>
      <c r="J54" s="16" t="n">
        <f aca="false">J49*Assumptions!$H$57</f>
        <v>0</v>
      </c>
      <c r="K54" s="16" t="n">
        <f aca="false">K49*Assumptions!$H$57</f>
        <v>0</v>
      </c>
    </row>
    <row r="55" customFormat="false" ht="15" hidden="false" customHeight="false" outlineLevel="0" collapsed="false">
      <c r="A55" s="3" t="s">
        <v>334</v>
      </c>
      <c r="G55" s="16" t="n">
        <f aca="false">MIN(G49,Assumptions!$L$57*Assumptions!$C$57)</f>
        <v>4</v>
      </c>
      <c r="H55" s="16" t="n">
        <f aca="false">MIN(H49,Assumptions!$L$57*Assumptions!$C$57)</f>
        <v>4</v>
      </c>
      <c r="I55" s="16" t="n">
        <f aca="false">MIN(I49,Assumptions!$L$57*Assumptions!$C$57)</f>
        <v>4</v>
      </c>
      <c r="J55" s="16" t="n">
        <f aca="false">MIN(J49,Assumptions!$L$57*Assumptions!$C$57)</f>
        <v>4</v>
      </c>
      <c r="K55" s="16" t="n">
        <f aca="false">MIN(K49,Assumptions!$L$57*Assumptions!$C$57)</f>
        <v>4</v>
      </c>
    </row>
    <row r="56" customFormat="false" ht="15" hidden="false" customHeight="false" outlineLevel="0" collapsed="false">
      <c r="A56" s="3" t="s">
        <v>335</v>
      </c>
      <c r="G56" s="16" t="n">
        <f aca="false">IF(AND(Assumptions!$P$57=1,G13&lt;Assumptions!$K$57),MIN(MAX(0,-G229),MAX(0,Assumptions!$D$57-G49)),0)</f>
        <v>0</v>
      </c>
      <c r="H56" s="16" t="n">
        <f aca="false">IF(AND(Assumptions!$P$57=1,OR(H13&lt;Assumptions!$K$57,G359=1)),MIN(MAX(0,-H229),MAX(0,Assumptions!$D$57-H49)),0)</f>
        <v>0</v>
      </c>
      <c r="I56" s="16" t="n">
        <f aca="false">IF(AND(Assumptions!$P$57=1,OR(I13&lt;Assumptions!$K$57,H359=1)),MIN(MAX(0,-I229),MAX(0,Assumptions!$D$57-I49)),0)</f>
        <v>0</v>
      </c>
      <c r="J56" s="16" t="n">
        <f aca="false">IF(AND(Assumptions!$P$57=1,OR(J13&lt;Assumptions!$K$57,I359=1)),MIN(MAX(0,-J229),MAX(0,Assumptions!$D$57-J49)),0)</f>
        <v>0</v>
      </c>
      <c r="K56" s="16" t="n">
        <f aca="false">IF(AND(Assumptions!$P$57=1,OR(K13&lt;Assumptions!$K$57,J359=1)),MIN(MAX(0,-K229),MAX(0,Assumptions!$D$57-K49)),0)</f>
        <v>0</v>
      </c>
    </row>
    <row r="57" customFormat="false" ht="15" hidden="false" customHeight="false" outlineLevel="0" collapsed="false">
      <c r="A57" s="3" t="s">
        <v>336</v>
      </c>
      <c r="G57" s="16" t="n">
        <f aca="false">G50*MIN(G49-G55+G54,MAX(0,G231-Assumptions!$C$12*G47))</f>
        <v>0</v>
      </c>
      <c r="H57" s="16" t="n">
        <f aca="false">H50*MIN(H49-H55+H54,MAX(0,H231-Assumptions!$C$12*H47))</f>
        <v>0</v>
      </c>
      <c r="I57" s="16" t="n">
        <f aca="false">I50*MIN(I49-I55+I54,MAX(0,I231-Assumptions!$C$12*I47))</f>
        <v>0</v>
      </c>
      <c r="J57" s="16" t="n">
        <f aca="false">J50*MIN(J49-J55+J54,MAX(0,J231-Assumptions!$C$12*J47))</f>
        <v>0</v>
      </c>
      <c r="K57" s="16" t="n">
        <f aca="false">K50*MIN(K49-K55+K54,MAX(0,K231-Assumptions!$C$12*K47))</f>
        <v>0</v>
      </c>
    </row>
    <row r="58" customFormat="false" ht="15" hidden="false" customHeight="false" outlineLevel="0" collapsed="false">
      <c r="A58" s="3" t="s">
        <v>337</v>
      </c>
      <c r="G58" s="16" t="n">
        <f aca="false">Assumptions!$N$57*MIN(G49+G56+G54-G55-G57,MAX(0,G235))</f>
        <v>0</v>
      </c>
      <c r="H58" s="16" t="n">
        <f aca="false">Assumptions!$N$57*MIN(H49+H56+H54-H55-H57,MAX(0,H235))</f>
        <v>0</v>
      </c>
      <c r="I58" s="16" t="n">
        <f aca="false">Assumptions!$N$57*MIN(I49+I56+I54-I55-I57,MAX(0,I235))</f>
        <v>0</v>
      </c>
      <c r="J58" s="16" t="n">
        <f aca="false">Assumptions!$N$57*MIN(J49+J56+J54-J55-J57,MAX(0,J235))</f>
        <v>0</v>
      </c>
      <c r="K58" s="16" t="n">
        <f aca="false">Assumptions!$N$57*MIN(K49+K56+K54-K55-K57,MAX(0,K235))</f>
        <v>0</v>
      </c>
    </row>
    <row r="59" customFormat="false" ht="15" hidden="false" customHeight="false" outlineLevel="0" collapsed="false">
      <c r="A59" s="3" t="s">
        <v>338</v>
      </c>
      <c r="G59" s="16" t="n">
        <f aca="false">G50*(1-G47)*(G49-G55+G54-G57)</f>
        <v>0</v>
      </c>
      <c r="H59" s="16" t="n">
        <f aca="false">H50*(1-H47)*(H49-H55+H54-H57)</f>
        <v>0</v>
      </c>
      <c r="I59" s="16" t="n">
        <f aca="false">I50*(1-I47)*(I49-I55+I54-I57)</f>
        <v>0</v>
      </c>
      <c r="J59" s="16" t="n">
        <f aca="false">J50*(1-J47)*(J49-J55+J54-J57)</f>
        <v>0</v>
      </c>
      <c r="K59" s="16" t="n">
        <f aca="false">K50*(1-K47)*(K49-K55+K54-K57)</f>
        <v>0</v>
      </c>
    </row>
    <row r="60" customFormat="false" ht="15" hidden="false" customHeight="false" outlineLevel="0" collapsed="false">
      <c r="A60" s="2" t="s">
        <v>339</v>
      </c>
      <c r="F60" s="28" t="n">
        <f aca="false">Assumptions!$C$57</f>
        <v>400</v>
      </c>
      <c r="G60" s="17" t="n">
        <f aca="false">G49+G56+G54-G55-G57-G58</f>
        <v>396</v>
      </c>
      <c r="H60" s="17" t="n">
        <f aca="false">H49+H56+H54-H55-H57-H58</f>
        <v>392</v>
      </c>
      <c r="I60" s="17" t="n">
        <f aca="false">I49+I56+I54-I55-I57-I58</f>
        <v>388</v>
      </c>
      <c r="J60" s="17" t="n">
        <f aca="false">J49+J56+J54-J55-J57-J58</f>
        <v>384</v>
      </c>
      <c r="K60" s="17" t="n">
        <f aca="false">K49+K56+K54-K55-K57-K58</f>
        <v>380</v>
      </c>
    </row>
    <row r="61" customFormat="false" ht="15" hidden="false" customHeight="false" outlineLevel="0" collapsed="false">
      <c r="A61" s="24" t="s">
        <v>340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customFormat="false" ht="15" hidden="false" customHeight="false" outlineLevel="0" collapsed="false">
      <c r="A62" s="3" t="s">
        <v>329</v>
      </c>
      <c r="G62" s="16" t="n">
        <f aca="false">F73</f>
        <v>90</v>
      </c>
      <c r="H62" s="16" t="n">
        <f aca="false">G73</f>
        <v>90</v>
      </c>
      <c r="I62" s="16" t="n">
        <f aca="false">H73</f>
        <v>90</v>
      </c>
      <c r="J62" s="16" t="n">
        <f aca="false">I73</f>
        <v>90</v>
      </c>
      <c r="K62" s="16" t="n">
        <f aca="false">J73</f>
        <v>90</v>
      </c>
    </row>
    <row r="63" customFormat="false" ht="15" hidden="false" customHeight="false" outlineLevel="0" collapsed="false">
      <c r="A63" s="3" t="s">
        <v>330</v>
      </c>
      <c r="G63" s="21" t="n">
        <f aca="false">IF(G13=Assumptions!$K$58,1,0)</f>
        <v>0</v>
      </c>
      <c r="H63" s="21" t="n">
        <f aca="false">IF(H13=Assumptions!$K$58,1,0)</f>
        <v>0</v>
      </c>
      <c r="I63" s="21" t="n">
        <f aca="false">IF(I13=Assumptions!$K$58,1,0)</f>
        <v>0</v>
      </c>
      <c r="J63" s="21" t="n">
        <f aca="false">IF(J13=Assumptions!$K$58,1,0)</f>
        <v>0</v>
      </c>
      <c r="K63" s="21" t="n">
        <f aca="false">IF(K13=Assumptions!$K$58,1,0)</f>
        <v>0</v>
      </c>
    </row>
    <row r="65" customFormat="false" ht="15" hidden="false" customHeight="false" outlineLevel="0" collapsed="false">
      <c r="A65" s="3" t="s">
        <v>331</v>
      </c>
      <c r="G65" s="31" t="n">
        <f aca="false">IF(Assumptions!$I$58=1,MAX(G39,Assumptions!$G$58)+Assumptions!$F$58+$C$40,Assumptions!$E$58)</f>
        <v>0.0581</v>
      </c>
      <c r="H65" s="31" t="n">
        <f aca="false">IF(G360=1,$C$41,IF(Assumptions!$I$58=1,MAX(H39,Assumptions!$G$58)+Assumptions!$F$58+$C$40,Assumptions!$E$58))</f>
        <v>0.0581</v>
      </c>
      <c r="I65" s="31" t="n">
        <f aca="false">IF(H360=1,$C$41,IF(Assumptions!$I$58=1,MAX(I39,Assumptions!$G$58)+Assumptions!$F$58+$C$40,Assumptions!$E$58))</f>
        <v>0.0581</v>
      </c>
      <c r="J65" s="31" t="n">
        <f aca="false">IF(I360=1,$C$41,IF(Assumptions!$I$58=1,MAX(J39,Assumptions!$G$58)+Assumptions!$F$58+$C$40,Assumptions!$E$58))</f>
        <v>0.0581</v>
      </c>
      <c r="K65" s="31" t="n">
        <f aca="false">IF(J360=1,$C$41,IF(Assumptions!$I$58=1,MAX(K39,Assumptions!$G$58)+Assumptions!$F$58+$C$40,Assumptions!$E$58))</f>
        <v>0.0581</v>
      </c>
    </row>
    <row r="66" customFormat="false" ht="15" hidden="false" customHeight="false" outlineLevel="0" collapsed="false">
      <c r="A66" s="3" t="s">
        <v>332</v>
      </c>
      <c r="G66" s="16" t="n">
        <f aca="false">G62*G65</f>
        <v>5.229</v>
      </c>
      <c r="H66" s="16" t="n">
        <f aca="false">H62*H65</f>
        <v>5.229</v>
      </c>
      <c r="I66" s="16" t="n">
        <f aca="false">I62*I65</f>
        <v>5.229</v>
      </c>
      <c r="J66" s="16" t="n">
        <f aca="false">J62*J65</f>
        <v>5.229</v>
      </c>
      <c r="K66" s="16" t="n">
        <f aca="false">K62*K65</f>
        <v>5.229</v>
      </c>
    </row>
    <row r="67" customFormat="false" ht="15" hidden="false" customHeight="false" outlineLevel="0" collapsed="false">
      <c r="A67" s="3" t="s">
        <v>333</v>
      </c>
      <c r="G67" s="16" t="n">
        <f aca="false">G62*Assumptions!$H$58</f>
        <v>0</v>
      </c>
      <c r="H67" s="16" t="n">
        <f aca="false">H62*Assumptions!$H$58</f>
        <v>0</v>
      </c>
      <c r="I67" s="16" t="n">
        <f aca="false">I62*Assumptions!$H$58</f>
        <v>0</v>
      </c>
      <c r="J67" s="16" t="n">
        <f aca="false">J62*Assumptions!$H$58</f>
        <v>0</v>
      </c>
      <c r="K67" s="16" t="n">
        <f aca="false">K62*Assumptions!$H$58</f>
        <v>0</v>
      </c>
    </row>
    <row r="68" customFormat="false" ht="15" hidden="false" customHeight="false" outlineLevel="0" collapsed="false">
      <c r="A68" s="3" t="s">
        <v>334</v>
      </c>
      <c r="G68" s="16" t="n">
        <f aca="false">MIN(G62,Assumptions!$L$58*Assumptions!$C$58)</f>
        <v>0</v>
      </c>
      <c r="H68" s="16" t="n">
        <f aca="false">MIN(H62,Assumptions!$L$58*Assumptions!$C$58)</f>
        <v>0</v>
      </c>
      <c r="I68" s="16" t="n">
        <f aca="false">MIN(I62,Assumptions!$L$58*Assumptions!$C$58)</f>
        <v>0</v>
      </c>
      <c r="J68" s="16" t="n">
        <f aca="false">MIN(J62,Assumptions!$L$58*Assumptions!$C$58)</f>
        <v>0</v>
      </c>
      <c r="K68" s="16" t="n">
        <f aca="false">MIN(K62,Assumptions!$L$58*Assumptions!$C$58)</f>
        <v>0</v>
      </c>
    </row>
    <row r="69" customFormat="false" ht="15" hidden="false" customHeight="false" outlineLevel="0" collapsed="false">
      <c r="A69" s="3" t="s">
        <v>335</v>
      </c>
      <c r="G69" s="16" t="n">
        <f aca="false">IF(AND(Assumptions!$P$58=1,G13&lt;Assumptions!$K$58),MIN(MAX(0,-G229),MAX(0,Assumptions!$D$58-G62)),0)</f>
        <v>0</v>
      </c>
      <c r="H69" s="16" t="n">
        <f aca="false">IF(AND(Assumptions!$P$58=1,OR(H13&lt;Assumptions!$K$58,G360=1)),MIN(MAX(0,-H229),MAX(0,Assumptions!$D$58-H62)),0)</f>
        <v>0</v>
      </c>
      <c r="I69" s="16" t="n">
        <f aca="false">IF(AND(Assumptions!$P$58=1,OR(I13&lt;Assumptions!$K$58,H360=1)),MIN(MAX(0,-I229),MAX(0,Assumptions!$D$58-I62)),0)</f>
        <v>0</v>
      </c>
      <c r="J69" s="16" t="n">
        <f aca="false">IF(AND(Assumptions!$P$58=1,OR(J13&lt;Assumptions!$K$58,I360=1)),MIN(MAX(0,-J229),MAX(0,Assumptions!$D$58-J62)),0)</f>
        <v>0</v>
      </c>
      <c r="K69" s="16" t="n">
        <f aca="false">IF(AND(Assumptions!$P$58=1,OR(K13&lt;Assumptions!$K$58,J360=1)),MIN(MAX(0,-K229),MAX(0,Assumptions!$D$58-K62)),0)</f>
        <v>0</v>
      </c>
    </row>
    <row r="70" customFormat="false" ht="15" hidden="false" customHeight="false" outlineLevel="0" collapsed="false">
      <c r="A70" s="3" t="s">
        <v>336</v>
      </c>
      <c r="G70" s="16" t="n">
        <f aca="false">G63*MIN(G62-G68+G67,MAX(0,G231-Assumptions!$C$12*G47-G57))</f>
        <v>0</v>
      </c>
      <c r="H70" s="16" t="n">
        <f aca="false">H63*MIN(H62-H68+H67,MAX(0,H231-Assumptions!$C$12*H47-H57))</f>
        <v>0</v>
      </c>
      <c r="I70" s="16" t="n">
        <f aca="false">I63*MIN(I62-I68+I67,MAX(0,I231-Assumptions!$C$12*I47-I57))</f>
        <v>0</v>
      </c>
      <c r="J70" s="16" t="n">
        <f aca="false">J63*MIN(J62-J68+J67,MAX(0,J231-Assumptions!$C$12*J47-J57))</f>
        <v>0</v>
      </c>
      <c r="K70" s="16" t="n">
        <f aca="false">K63*MIN(K62-K68+K67,MAX(0,K231-Assumptions!$C$12*K47-K57))</f>
        <v>0</v>
      </c>
    </row>
    <row r="71" customFormat="false" ht="15" hidden="false" customHeight="false" outlineLevel="0" collapsed="false">
      <c r="A71" s="3" t="s">
        <v>337</v>
      </c>
      <c r="G71" s="16" t="n">
        <f aca="false">Assumptions!$N$58*MIN(G62+G69+G67-G68-G70,MAX(0,G235-G58))</f>
        <v>0</v>
      </c>
      <c r="H71" s="16" t="n">
        <f aca="false">Assumptions!$N$58*MIN(H62+H69+H67-H68-H70,MAX(0,H235-H58))</f>
        <v>0</v>
      </c>
      <c r="I71" s="16" t="n">
        <f aca="false">Assumptions!$N$58*MIN(I62+I69+I67-I68-I70,MAX(0,I235-I58))</f>
        <v>0</v>
      </c>
      <c r="J71" s="16" t="n">
        <f aca="false">Assumptions!$N$58*MIN(J62+J69+J67-J68-J70,MAX(0,J235-J58))</f>
        <v>0</v>
      </c>
      <c r="K71" s="16" t="n">
        <f aca="false">Assumptions!$N$58*MIN(K62+K69+K67-K68-K70,MAX(0,K235-K58))</f>
        <v>0</v>
      </c>
    </row>
    <row r="72" customFormat="false" ht="15" hidden="false" customHeight="false" outlineLevel="0" collapsed="false">
      <c r="A72" s="3" t="s">
        <v>338</v>
      </c>
      <c r="G72" s="16" t="n">
        <f aca="false">G63*(1-G47)*(G62-G68+G67-G70)</f>
        <v>0</v>
      </c>
      <c r="H72" s="16" t="n">
        <f aca="false">H63*(1-H47)*(H62-H68+H67-H70)</f>
        <v>0</v>
      </c>
      <c r="I72" s="16" t="n">
        <f aca="false">I63*(1-I47)*(I62-I68+I67-I70)</f>
        <v>0</v>
      </c>
      <c r="J72" s="16" t="n">
        <f aca="false">J63*(1-J47)*(J62-J68+J67-J70)</f>
        <v>0</v>
      </c>
      <c r="K72" s="16" t="n">
        <f aca="false">K63*(1-K47)*(K62-K68+K67-K70)</f>
        <v>0</v>
      </c>
    </row>
    <row r="73" customFormat="false" ht="15" hidden="false" customHeight="false" outlineLevel="0" collapsed="false">
      <c r="A73" s="2" t="s">
        <v>339</v>
      </c>
      <c r="F73" s="28" t="n">
        <f aca="false">Assumptions!$C$58</f>
        <v>90</v>
      </c>
      <c r="G73" s="17" t="n">
        <f aca="false">G62+G69+G67-G68-G70-G71</f>
        <v>90</v>
      </c>
      <c r="H73" s="17" t="n">
        <f aca="false">H62+H69+H67-H68-H70-H71</f>
        <v>90</v>
      </c>
      <c r="I73" s="17" t="n">
        <f aca="false">I62+I69+I67-I68-I70-I71</f>
        <v>90</v>
      </c>
      <c r="J73" s="17" t="n">
        <f aca="false">J62+J69+J67-J68-J70-J71</f>
        <v>90</v>
      </c>
      <c r="K73" s="17" t="n">
        <f aca="false">K62+K69+K67-K68-K70-K71</f>
        <v>90</v>
      </c>
    </row>
    <row r="74" customFormat="false" ht="15" hidden="false" customHeight="false" outlineLevel="0" collapsed="false">
      <c r="A74" s="24" t="s">
        <v>341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customFormat="false" ht="15" hidden="false" customHeight="false" outlineLevel="0" collapsed="false">
      <c r="A75" s="3" t="s">
        <v>329</v>
      </c>
      <c r="G75" s="16" t="n">
        <f aca="false">F86</f>
        <v>57.324</v>
      </c>
      <c r="H75" s="16" t="n">
        <f aca="false">G86</f>
        <v>57.324</v>
      </c>
      <c r="I75" s="16" t="n">
        <f aca="false">H86</f>
        <v>57.324</v>
      </c>
      <c r="J75" s="16" t="n">
        <f aca="false">I86</f>
        <v>57.324</v>
      </c>
      <c r="K75" s="16" t="n">
        <f aca="false">J86</f>
        <v>57.324</v>
      </c>
    </row>
    <row r="76" customFormat="false" ht="15" hidden="false" customHeight="false" outlineLevel="0" collapsed="false">
      <c r="A76" s="3" t="s">
        <v>330</v>
      </c>
      <c r="G76" s="21" t="n">
        <f aca="false">IF(G13=Assumptions!$K$59,1,0)</f>
        <v>0</v>
      </c>
      <c r="H76" s="21" t="n">
        <f aca="false">IF(H13=Assumptions!$K$59,1,0)</f>
        <v>0</v>
      </c>
      <c r="I76" s="21" t="n">
        <f aca="false">IF(I13=Assumptions!$K$59,1,0)</f>
        <v>0</v>
      </c>
      <c r="J76" s="21" t="n">
        <f aca="false">IF(J13=Assumptions!$K$59,1,0)</f>
        <v>0</v>
      </c>
      <c r="K76" s="21" t="n">
        <f aca="false">IF(K13=Assumptions!$K$59,1,0)</f>
        <v>0</v>
      </c>
    </row>
    <row r="78" customFormat="false" ht="15" hidden="false" customHeight="false" outlineLevel="0" collapsed="false">
      <c r="A78" s="3" t="s">
        <v>331</v>
      </c>
      <c r="G78" s="31" t="n">
        <f aca="false">IF(Assumptions!$I$59=1,MAX(G39,Assumptions!$G$59)+Assumptions!$F$59+$C$40,Assumptions!$E$59)</f>
        <v>0.0731</v>
      </c>
      <c r="H78" s="31" t="n">
        <f aca="false">IF(G361=1,$C$41,IF(Assumptions!$I$59=1,MAX(H39,Assumptions!$G$59)+Assumptions!$F$59+$C$40,Assumptions!$E$59))</f>
        <v>0.0731</v>
      </c>
      <c r="I78" s="31" t="n">
        <f aca="false">IF(H361=1,$C$41,IF(Assumptions!$I$59=1,MAX(I39,Assumptions!$G$59)+Assumptions!$F$59+$C$40,Assumptions!$E$59))</f>
        <v>0.0731</v>
      </c>
      <c r="J78" s="31" t="n">
        <f aca="false">IF(I361=1,$C$41,IF(Assumptions!$I$59=1,MAX(J39,Assumptions!$G$59)+Assumptions!$F$59+$C$40,Assumptions!$E$59))</f>
        <v>0.0731</v>
      </c>
      <c r="K78" s="31" t="n">
        <f aca="false">IF(J361=1,$C$41,IF(Assumptions!$I$59=1,MAX(K39,Assumptions!$G$59)+Assumptions!$F$59+$C$40,Assumptions!$E$59))</f>
        <v>0.0731</v>
      </c>
    </row>
    <row r="79" customFormat="false" ht="15" hidden="false" customHeight="false" outlineLevel="0" collapsed="false">
      <c r="A79" s="3" t="s">
        <v>332</v>
      </c>
      <c r="G79" s="16" t="n">
        <f aca="false">G75*G78</f>
        <v>4.1903844</v>
      </c>
      <c r="H79" s="16" t="n">
        <f aca="false">H75*H78</f>
        <v>4.1903844</v>
      </c>
      <c r="I79" s="16" t="n">
        <f aca="false">I75*I78</f>
        <v>4.1903844</v>
      </c>
      <c r="J79" s="16" t="n">
        <f aca="false">J75*J78</f>
        <v>4.1903844</v>
      </c>
      <c r="K79" s="16" t="n">
        <f aca="false">K75*K78</f>
        <v>4.1903844</v>
      </c>
    </row>
    <row r="80" customFormat="false" ht="15" hidden="false" customHeight="false" outlineLevel="0" collapsed="false">
      <c r="A80" s="3" t="s">
        <v>333</v>
      </c>
      <c r="G80" s="16" t="n">
        <f aca="false">G75*Assumptions!$H$59</f>
        <v>0</v>
      </c>
      <c r="H80" s="16" t="n">
        <f aca="false">H75*Assumptions!$H$59</f>
        <v>0</v>
      </c>
      <c r="I80" s="16" t="n">
        <f aca="false">I75*Assumptions!$H$59</f>
        <v>0</v>
      </c>
      <c r="J80" s="16" t="n">
        <f aca="false">J75*Assumptions!$H$59</f>
        <v>0</v>
      </c>
      <c r="K80" s="16" t="n">
        <f aca="false">K75*Assumptions!$H$59</f>
        <v>0</v>
      </c>
    </row>
    <row r="81" customFormat="false" ht="15" hidden="false" customHeight="false" outlineLevel="0" collapsed="false">
      <c r="A81" s="3" t="s">
        <v>334</v>
      </c>
      <c r="G81" s="16" t="n">
        <f aca="false">MIN(G75,Assumptions!$L$59*Assumptions!$C$59)</f>
        <v>0</v>
      </c>
      <c r="H81" s="16" t="n">
        <f aca="false">MIN(H75,Assumptions!$L$59*Assumptions!$C$59)</f>
        <v>0</v>
      </c>
      <c r="I81" s="16" t="n">
        <f aca="false">MIN(I75,Assumptions!$L$59*Assumptions!$C$59)</f>
        <v>0</v>
      </c>
      <c r="J81" s="16" t="n">
        <f aca="false">MIN(J75,Assumptions!$L$59*Assumptions!$C$59)</f>
        <v>0</v>
      </c>
      <c r="K81" s="16" t="n">
        <f aca="false">MIN(K75,Assumptions!$L$59*Assumptions!$C$59)</f>
        <v>0</v>
      </c>
    </row>
    <row r="82" customFormat="false" ht="15" hidden="false" customHeight="false" outlineLevel="0" collapsed="false">
      <c r="A82" s="3" t="s">
        <v>335</v>
      </c>
      <c r="G82" s="16" t="n">
        <f aca="false">IF(AND(Assumptions!$P$59=1,G13&lt;Assumptions!$K$59),MIN(MAX(0,-G229),MAX(0,Assumptions!$D$59-G75)),0)</f>
        <v>0</v>
      </c>
      <c r="H82" s="16" t="n">
        <f aca="false">IF(AND(Assumptions!$P$59=1,OR(H13&lt;Assumptions!$K$59,G361=1)),MIN(MAX(0,-H229),MAX(0,Assumptions!$D$59-H75)),0)</f>
        <v>0</v>
      </c>
      <c r="I82" s="16" t="n">
        <f aca="false">IF(AND(Assumptions!$P$59=1,OR(I13&lt;Assumptions!$K$59,H361=1)),MIN(MAX(0,-I229),MAX(0,Assumptions!$D$59-I75)),0)</f>
        <v>0</v>
      </c>
      <c r="J82" s="16" t="n">
        <f aca="false">IF(AND(Assumptions!$P$59=1,OR(J13&lt;Assumptions!$K$59,I361=1)),MIN(MAX(0,-J229),MAX(0,Assumptions!$D$59-J75)),0)</f>
        <v>0</v>
      </c>
      <c r="K82" s="16" t="n">
        <f aca="false">IF(AND(Assumptions!$P$59=1,OR(K13&lt;Assumptions!$K$59,J361=1)),MIN(MAX(0,-K229),MAX(0,Assumptions!$D$59-K75)),0)</f>
        <v>0</v>
      </c>
    </row>
    <row r="83" customFormat="false" ht="15" hidden="false" customHeight="false" outlineLevel="0" collapsed="false">
      <c r="A83" s="3" t="s">
        <v>336</v>
      </c>
      <c r="G83" s="16" t="n">
        <f aca="false">G76*MIN(G75-G81+G80,MAX(0,G231-Assumptions!$C$12*G47-G57-G70))</f>
        <v>0</v>
      </c>
      <c r="H83" s="16" t="n">
        <f aca="false">H76*MIN(H75-H81+H80,MAX(0,H231-Assumptions!$C$12*H47-H57-H70))</f>
        <v>0</v>
      </c>
      <c r="I83" s="16" t="n">
        <f aca="false">I76*MIN(I75-I81+I80,MAX(0,I231-Assumptions!$C$12*I47-I57-I70))</f>
        <v>0</v>
      </c>
      <c r="J83" s="16" t="n">
        <f aca="false">J76*MIN(J75-J81+J80,MAX(0,J231-Assumptions!$C$12*J47-J57-J70))</f>
        <v>0</v>
      </c>
      <c r="K83" s="16" t="n">
        <f aca="false">K76*MIN(K75-K81+K80,MAX(0,K231-Assumptions!$C$12*K47-K57-K70))</f>
        <v>0</v>
      </c>
    </row>
    <row r="84" customFormat="false" ht="15" hidden="false" customHeight="false" outlineLevel="0" collapsed="false">
      <c r="A84" s="3" t="s">
        <v>337</v>
      </c>
      <c r="G84" s="16" t="n">
        <f aca="false">Assumptions!$N$59*MIN(G75+G82+G80-G81-G83,MAX(0,G235-G58-G71))</f>
        <v>0</v>
      </c>
      <c r="H84" s="16" t="n">
        <f aca="false">Assumptions!$N$59*MIN(H75+H82+H80-H81-H83,MAX(0,H235-H58-H71))</f>
        <v>0</v>
      </c>
      <c r="I84" s="16" t="n">
        <f aca="false">Assumptions!$N$59*MIN(I75+I82+I80-I81-I83,MAX(0,I235-I58-I71))</f>
        <v>0</v>
      </c>
      <c r="J84" s="16" t="n">
        <f aca="false">Assumptions!$N$59*MIN(J75+J82+J80-J81-J83,MAX(0,J235-J58-J71))</f>
        <v>0</v>
      </c>
      <c r="K84" s="16" t="n">
        <f aca="false">Assumptions!$N$59*MIN(K75+K82+K80-K81-K83,MAX(0,K235-K58-K71))</f>
        <v>0</v>
      </c>
    </row>
    <row r="85" customFormat="false" ht="15" hidden="false" customHeight="false" outlineLevel="0" collapsed="false">
      <c r="A85" s="3" t="s">
        <v>338</v>
      </c>
      <c r="G85" s="16" t="n">
        <f aca="false">G76*(1-G47)*(G75-G81+G80-G83)</f>
        <v>0</v>
      </c>
      <c r="H85" s="16" t="n">
        <f aca="false">H76*(1-H47)*(H75-H81+H80-H83)</f>
        <v>0</v>
      </c>
      <c r="I85" s="16" t="n">
        <f aca="false">I76*(1-I47)*(I75-I81+I80-I83)</f>
        <v>0</v>
      </c>
      <c r="J85" s="16" t="n">
        <f aca="false">J76*(1-J47)*(J75-J81+J80-J83)</f>
        <v>0</v>
      </c>
      <c r="K85" s="16" t="n">
        <f aca="false">K76*(1-K47)*(K75-K81+K80-K83)</f>
        <v>0</v>
      </c>
    </row>
    <row r="86" customFormat="false" ht="15" hidden="false" customHeight="false" outlineLevel="0" collapsed="false">
      <c r="A86" s="2" t="s">
        <v>339</v>
      </c>
      <c r="F86" s="28" t="n">
        <f aca="false">Assumptions!$C$59</f>
        <v>57.324</v>
      </c>
      <c r="G86" s="17" t="n">
        <f aca="false">G75+G82+G80-G81-G83-G84</f>
        <v>57.324</v>
      </c>
      <c r="H86" s="17" t="n">
        <f aca="false">H75+H82+H80-H81-H83-H84</f>
        <v>57.324</v>
      </c>
      <c r="I86" s="17" t="n">
        <f aca="false">I75+I82+I80-I81-I83-I84</f>
        <v>57.324</v>
      </c>
      <c r="J86" s="17" t="n">
        <f aca="false">J75+J82+J80-J81-J83-J84</f>
        <v>57.324</v>
      </c>
      <c r="K86" s="17" t="n">
        <f aca="false">K75+K82+K80-K81-K83-K84</f>
        <v>57.324</v>
      </c>
    </row>
    <row r="87" customFormat="false" ht="15" hidden="false" customHeight="false" outlineLevel="0" collapsed="false">
      <c r="A87" s="24" t="s">
        <v>342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customFormat="false" ht="15" hidden="false" customHeight="false" outlineLevel="0" collapsed="false">
      <c r="A88" s="3" t="s">
        <v>329</v>
      </c>
      <c r="G88" s="16" t="n">
        <f aca="false">F99</f>
        <v>0</v>
      </c>
      <c r="H88" s="16" t="n">
        <f aca="false">G99</f>
        <v>0</v>
      </c>
      <c r="I88" s="16" t="n">
        <f aca="false">H99</f>
        <v>0</v>
      </c>
      <c r="J88" s="16" t="n">
        <f aca="false">I99</f>
        <v>66.796942182056</v>
      </c>
      <c r="K88" s="16" t="n">
        <f aca="false">J99</f>
        <v>155.677464864795</v>
      </c>
    </row>
    <row r="89" customFormat="false" ht="15" hidden="false" customHeight="false" outlineLevel="0" collapsed="false">
      <c r="A89" s="3" t="s">
        <v>330</v>
      </c>
      <c r="G89" s="21" t="n">
        <f aca="false">IF(G13=Assumptions!$K$60,1,0)</f>
        <v>1</v>
      </c>
      <c r="H89" s="21" t="n">
        <f aca="false">IF(H13=Assumptions!$K$60,1,0)</f>
        <v>0</v>
      </c>
      <c r="I89" s="21" t="n">
        <f aca="false">IF(I13=Assumptions!$K$60,1,0)</f>
        <v>0</v>
      </c>
      <c r="J89" s="21" t="n">
        <f aca="false">IF(J13=Assumptions!$K$60,1,0)</f>
        <v>0</v>
      </c>
      <c r="K89" s="21" t="n">
        <f aca="false">IF(K13=Assumptions!$K$60,1,0)</f>
        <v>0</v>
      </c>
    </row>
    <row r="91" customFormat="false" ht="15" hidden="false" customHeight="false" outlineLevel="0" collapsed="false">
      <c r="A91" s="3" t="s">
        <v>331</v>
      </c>
      <c r="G91" s="31" t="n">
        <f aca="false">IF(Assumptions!$I$60=1,MAX(G39,Assumptions!$G$60)+Assumptions!$F$60+$C$40,Assumptions!$E$60)</f>
        <v>0.054</v>
      </c>
      <c r="H91" s="31" t="n">
        <f aca="false">IF(G362=1,$C$41,IF(Assumptions!$I$60=1,MAX(H39,Assumptions!$G$60)+Assumptions!$F$60+$C$40,Assumptions!$E$60))</f>
        <v>0.08</v>
      </c>
      <c r="I91" s="31" t="n">
        <f aca="false">IF(H362=1,$C$41,IF(Assumptions!$I$60=1,MAX(I39,Assumptions!$G$60)+Assumptions!$F$60+$C$40,Assumptions!$E$60))</f>
        <v>0.08</v>
      </c>
      <c r="J91" s="31" t="n">
        <f aca="false">IF(I362=1,$C$41,IF(Assumptions!$I$60=1,MAX(J39,Assumptions!$G$60)+Assumptions!$F$60+$C$40,Assumptions!$E$60))</f>
        <v>0.08</v>
      </c>
      <c r="K91" s="31" t="n">
        <f aca="false">IF(J362=1,$C$41,IF(Assumptions!$I$60=1,MAX(K39,Assumptions!$G$60)+Assumptions!$F$60+$C$40,Assumptions!$E$60))</f>
        <v>0.08</v>
      </c>
    </row>
    <row r="92" customFormat="false" ht="15" hidden="false" customHeight="false" outlineLevel="0" collapsed="false">
      <c r="A92" s="3" t="s">
        <v>332</v>
      </c>
      <c r="G92" s="16" t="n">
        <f aca="false">G88*G91</f>
        <v>0</v>
      </c>
      <c r="H92" s="16" t="n">
        <f aca="false">H88*H91</f>
        <v>0</v>
      </c>
      <c r="I92" s="16" t="n">
        <f aca="false">I88*I91</f>
        <v>0</v>
      </c>
      <c r="J92" s="16" t="n">
        <f aca="false">J88*J91</f>
        <v>5.34375537456448</v>
      </c>
      <c r="K92" s="16" t="n">
        <f aca="false">K88*K91</f>
        <v>12.4541971891836</v>
      </c>
    </row>
    <row r="93" customFormat="false" ht="15" hidden="false" customHeight="false" outlineLevel="0" collapsed="false">
      <c r="A93" s="3" t="s">
        <v>333</v>
      </c>
      <c r="G93" s="16" t="n">
        <f aca="false">G88*Assumptions!$H$60</f>
        <v>0</v>
      </c>
      <c r="H93" s="16" t="n">
        <f aca="false">H88*Assumptions!$H$60</f>
        <v>0</v>
      </c>
      <c r="I93" s="16" t="n">
        <f aca="false">I88*Assumptions!$H$60</f>
        <v>0</v>
      </c>
      <c r="J93" s="16" t="n">
        <f aca="false">J88*Assumptions!$H$60</f>
        <v>0</v>
      </c>
      <c r="K93" s="16" t="n">
        <f aca="false">K88*Assumptions!$H$60</f>
        <v>0</v>
      </c>
    </row>
    <row r="94" customFormat="false" ht="15" hidden="false" customHeight="false" outlineLevel="0" collapsed="false">
      <c r="A94" s="3" t="s">
        <v>334</v>
      </c>
      <c r="G94" s="16" t="n">
        <f aca="false">MIN(G88,Assumptions!$L$60*Assumptions!$C$60)</f>
        <v>0</v>
      </c>
      <c r="H94" s="16" t="n">
        <f aca="false">MIN(H88,Assumptions!$L$60*Assumptions!$C$60)</f>
        <v>0</v>
      </c>
      <c r="I94" s="16" t="n">
        <f aca="false">MIN(I88,Assumptions!$L$60*Assumptions!$C$60)</f>
        <v>0</v>
      </c>
      <c r="J94" s="16" t="n">
        <f aca="false">MIN(J88,Assumptions!$L$60*Assumptions!$C$60)</f>
        <v>0</v>
      </c>
      <c r="K94" s="16" t="n">
        <f aca="false">MIN(K88,Assumptions!$L$60*Assumptions!$C$60)</f>
        <v>0</v>
      </c>
    </row>
    <row r="95" customFormat="false" ht="15" hidden="false" customHeight="false" outlineLevel="0" collapsed="false">
      <c r="A95" s="3" t="s">
        <v>335</v>
      </c>
      <c r="G95" s="16" t="n">
        <f aca="false">IF(AND(Assumptions!$P$60=1,G13&lt;Assumptions!$K$60),MIN(MAX(0,-G229),MAX(0,Assumptions!$D$60-G88)),0)</f>
        <v>0</v>
      </c>
      <c r="H95" s="16" t="n">
        <f aca="false">IF(AND(Assumptions!$P$60=1,OR(H13&lt;Assumptions!$K$60,G362=1)),MIN(MAX(0,-H229),MAX(0,Assumptions!$D$60-H88)),0)</f>
        <v>0</v>
      </c>
      <c r="I95" s="16" t="n">
        <f aca="false">IF(AND(Assumptions!$P$60=1,OR(I13&lt;Assumptions!$K$60,H362=1)),MIN(MAX(0,-I229),MAX(0,Assumptions!$D$60-I88)),0)</f>
        <v>66.796942182056</v>
      </c>
      <c r="J95" s="16" t="n">
        <f aca="false">IF(AND(Assumptions!$P$60=1,OR(J13&lt;Assumptions!$K$60,I362=1)),MIN(MAX(0,-J229),MAX(0,Assumptions!$D$60-J88)),0)</f>
        <v>88.8805226827392</v>
      </c>
      <c r="K95" s="16" t="n">
        <f aca="false">IF(AND(Assumptions!$P$60=1,OR(K13&lt;Assumptions!$K$60,J362=1)),MIN(MAX(0,-K229),MAX(0,Assumptions!$D$60-K88)),0)</f>
        <v>104.535819058653</v>
      </c>
    </row>
    <row r="96" customFormat="false" ht="15" hidden="false" customHeight="false" outlineLevel="0" collapsed="false">
      <c r="A96" s="3" t="s">
        <v>336</v>
      </c>
      <c r="G96" s="16" t="n">
        <f aca="false">G89*MIN(G88-G94+G93,MAX(0,G231-Assumptions!$C$12*G47-G57-G70-G83))</f>
        <v>0</v>
      </c>
      <c r="H96" s="16" t="n">
        <f aca="false">H89*MIN(H88-H94+H93,MAX(0,H231-Assumptions!$C$12*H47-H57-H70-H83))</f>
        <v>0</v>
      </c>
      <c r="I96" s="16" t="n">
        <f aca="false">I89*MIN(I88-I94+I93,MAX(0,I231-Assumptions!$C$12*I47-I57-I70-I83))</f>
        <v>0</v>
      </c>
      <c r="J96" s="16" t="n">
        <f aca="false">J89*MIN(J88-J94+J93,MAX(0,J231-Assumptions!$C$12*J47-J57-J70-J83))</f>
        <v>0</v>
      </c>
      <c r="K96" s="16" t="n">
        <f aca="false">K89*MIN(K88-K94+K93,MAX(0,K231-Assumptions!$C$12*K47-K57-K70-K83))</f>
        <v>0</v>
      </c>
    </row>
    <row r="97" customFormat="false" ht="15" hidden="false" customHeight="false" outlineLevel="0" collapsed="false">
      <c r="A97" s="3" t="s">
        <v>337</v>
      </c>
      <c r="G97" s="16" t="n">
        <f aca="false">Assumptions!$N$60*MIN(G88+G95+G93-G94-G96,MAX(0,G235-G58-G71-G84))</f>
        <v>0</v>
      </c>
      <c r="H97" s="16" t="n">
        <f aca="false">Assumptions!$N$60*MIN(H88+H95+H93-H94-H96,MAX(0,H235-H58-H71-H84))</f>
        <v>0</v>
      </c>
      <c r="I97" s="16" t="n">
        <f aca="false">Assumptions!$N$60*MIN(I88+I95+I93-I94-I96,MAX(0,I235-I58-I71-I84))</f>
        <v>0</v>
      </c>
      <c r="J97" s="16" t="n">
        <f aca="false">Assumptions!$N$60*MIN(J88+J95+J93-J94-J96,MAX(0,J235-J58-J71-J84))</f>
        <v>0</v>
      </c>
      <c r="K97" s="16" t="n">
        <f aca="false">Assumptions!$N$60*MIN(K88+K95+K93-K94-K96,MAX(0,K235-K58-K71-K84))</f>
        <v>0</v>
      </c>
    </row>
    <row r="98" customFormat="false" ht="15" hidden="false" customHeight="false" outlineLevel="0" collapsed="false">
      <c r="A98" s="3" t="s">
        <v>338</v>
      </c>
      <c r="G98" s="16" t="n">
        <f aca="false">G89*(1-G47)*(G88-G94+G93-G96)</f>
        <v>0</v>
      </c>
      <c r="H98" s="16" t="n">
        <f aca="false">H89*(1-H47)*(H88-H94+H93-H96)</f>
        <v>0</v>
      </c>
      <c r="I98" s="16" t="n">
        <f aca="false">I89*(1-I47)*(I88-I94+I93-I96)</f>
        <v>0</v>
      </c>
      <c r="J98" s="16" t="n">
        <f aca="false">J89*(1-J47)*(J88-J94+J93-J96)</f>
        <v>0</v>
      </c>
      <c r="K98" s="16" t="n">
        <f aca="false">K89*(1-K47)*(K88-K94+K93-K96)</f>
        <v>0</v>
      </c>
    </row>
    <row r="99" customFormat="false" ht="15" hidden="false" customHeight="false" outlineLevel="0" collapsed="false">
      <c r="A99" s="2" t="s">
        <v>339</v>
      </c>
      <c r="F99" s="28" t="n">
        <f aca="false">Assumptions!$C$60</f>
        <v>0</v>
      </c>
      <c r="G99" s="17" t="n">
        <f aca="false">G88+G95+G93-G94-G96-G97</f>
        <v>0</v>
      </c>
      <c r="H99" s="17" t="n">
        <f aca="false">H88+H95+H93-H94-H96-H97</f>
        <v>0</v>
      </c>
      <c r="I99" s="17" t="n">
        <f aca="false">I88+I95+I93-I94-I96-I97</f>
        <v>66.796942182056</v>
      </c>
      <c r="J99" s="17" t="n">
        <f aca="false">J88+J95+J93-J94-J96-J97</f>
        <v>155.677464864795</v>
      </c>
      <c r="K99" s="17" t="n">
        <f aca="false">K88+K95+K93-K94-K96-K97</f>
        <v>260.213283923448</v>
      </c>
    </row>
    <row r="100" customFormat="false" ht="15" hidden="false" customHeight="false" outlineLevel="0" collapsed="false">
      <c r="A100" s="24" t="s">
        <v>343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customFormat="false" ht="15" hidden="false" customHeight="false" outlineLevel="0" collapsed="false">
      <c r="A101" s="3" t="s">
        <v>329</v>
      </c>
      <c r="G101" s="16" t="n">
        <f aca="false">F112</f>
        <v>450</v>
      </c>
      <c r="H101" s="16" t="n">
        <f aca="false">G112</f>
        <v>450</v>
      </c>
      <c r="I101" s="16" t="n">
        <f aca="false">H112</f>
        <v>407.7221513738</v>
      </c>
      <c r="J101" s="16" t="n">
        <f aca="false">I112</f>
        <v>407.7221513738</v>
      </c>
      <c r="K101" s="16" t="n">
        <f aca="false">J112</f>
        <v>407.7221513738</v>
      </c>
    </row>
    <row r="102" customFormat="false" ht="15" hidden="false" customHeight="false" outlineLevel="0" collapsed="false">
      <c r="A102" s="3" t="s">
        <v>330</v>
      </c>
      <c r="G102" s="21" t="n">
        <f aca="false">IF(G13=Assumptions!$K$61,1,0)</f>
        <v>0</v>
      </c>
      <c r="H102" s="21" t="n">
        <f aca="false">IF(H13=Assumptions!$K$61,1,0)</f>
        <v>1</v>
      </c>
      <c r="I102" s="21" t="n">
        <f aca="false">IF(I13=Assumptions!$K$61,1,0)</f>
        <v>0</v>
      </c>
      <c r="J102" s="21" t="n">
        <f aca="false">IF(J13=Assumptions!$K$61,1,0)</f>
        <v>0</v>
      </c>
      <c r="K102" s="21" t="n">
        <f aca="false">IF(K13=Assumptions!$K$61,1,0)</f>
        <v>0</v>
      </c>
    </row>
    <row r="104" customFormat="false" ht="15" hidden="false" customHeight="false" outlineLevel="0" collapsed="false">
      <c r="A104" s="3" t="s">
        <v>331</v>
      </c>
      <c r="G104" s="31" t="n">
        <f aca="false">IF(Assumptions!$I$61=1,MAX(G39,Assumptions!$G$61)+Assumptions!$F$61+$C$40,Assumptions!$E$61)</f>
        <v>0.0395</v>
      </c>
      <c r="H104" s="31" t="n">
        <f aca="false">IF(G363=1,$C$41,IF(Assumptions!$I$61=1,MAX(H39,Assumptions!$G$61)+Assumptions!$F$61+$C$40,Assumptions!$E$61))</f>
        <v>0.0395</v>
      </c>
      <c r="I104" s="31" t="n">
        <f aca="false">IF(H363=1,$C$41,IF(Assumptions!$I$61=1,MAX(I39,Assumptions!$G$61)+Assumptions!$F$61+$C$40,Assumptions!$E$61))</f>
        <v>0.08</v>
      </c>
      <c r="J104" s="31" t="n">
        <f aca="false">IF(I363=1,$C$41,IF(Assumptions!$I$61=1,MAX(J39,Assumptions!$G$61)+Assumptions!$F$61+$C$40,Assumptions!$E$61))</f>
        <v>0.08</v>
      </c>
      <c r="K104" s="31" t="n">
        <f aca="false">IF(J363=1,$C$41,IF(Assumptions!$I$61=1,MAX(K39,Assumptions!$G$61)+Assumptions!$F$61+$C$40,Assumptions!$E$61))</f>
        <v>0.08</v>
      </c>
    </row>
    <row r="105" customFormat="false" ht="15" hidden="false" customHeight="false" outlineLevel="0" collapsed="false">
      <c r="A105" s="3" t="s">
        <v>332</v>
      </c>
      <c r="G105" s="16" t="n">
        <f aca="false">G101*G104</f>
        <v>17.775</v>
      </c>
      <c r="H105" s="16" t="n">
        <f aca="false">H101*H104</f>
        <v>17.775</v>
      </c>
      <c r="I105" s="16" t="n">
        <f aca="false">I101*I104</f>
        <v>32.617772109904</v>
      </c>
      <c r="J105" s="16" t="n">
        <f aca="false">J101*J104</f>
        <v>32.617772109904</v>
      </c>
      <c r="K105" s="16" t="n">
        <f aca="false">K101*K104</f>
        <v>32.617772109904</v>
      </c>
    </row>
    <row r="106" customFormat="false" ht="15" hidden="false" customHeight="false" outlineLevel="0" collapsed="false">
      <c r="A106" s="3" t="s">
        <v>333</v>
      </c>
      <c r="G106" s="16" t="n">
        <f aca="false">G101*Assumptions!$H$61</f>
        <v>0</v>
      </c>
      <c r="H106" s="16" t="n">
        <f aca="false">H101*Assumptions!$H$61</f>
        <v>0</v>
      </c>
      <c r="I106" s="16" t="n">
        <f aca="false">I101*Assumptions!$H$61</f>
        <v>0</v>
      </c>
      <c r="J106" s="16" t="n">
        <f aca="false">J101*Assumptions!$H$61</f>
        <v>0</v>
      </c>
      <c r="K106" s="16" t="n">
        <f aca="false">K101*Assumptions!$H$61</f>
        <v>0</v>
      </c>
    </row>
    <row r="107" customFormat="false" ht="15" hidden="false" customHeight="false" outlineLevel="0" collapsed="false">
      <c r="A107" s="3" t="s">
        <v>334</v>
      </c>
      <c r="G107" s="16" t="n">
        <f aca="false">MIN(G101,Assumptions!$L$61*Assumptions!$C$61)</f>
        <v>0</v>
      </c>
      <c r="H107" s="16" t="n">
        <f aca="false">MIN(H101,Assumptions!$L$61*Assumptions!$C$61)</f>
        <v>0</v>
      </c>
      <c r="I107" s="16" t="n">
        <f aca="false">MIN(I101,Assumptions!$L$61*Assumptions!$C$61)</f>
        <v>0</v>
      </c>
      <c r="J107" s="16" t="n">
        <f aca="false">MIN(J101,Assumptions!$L$61*Assumptions!$C$61)</f>
        <v>0</v>
      </c>
      <c r="K107" s="16" t="n">
        <f aca="false">MIN(K101,Assumptions!$L$61*Assumptions!$C$61)</f>
        <v>0</v>
      </c>
    </row>
    <row r="108" customFormat="false" ht="15" hidden="false" customHeight="false" outlineLevel="0" collapsed="false">
      <c r="A108" s="3" t="s">
        <v>335</v>
      </c>
      <c r="G108" s="16" t="n">
        <f aca="false">IF(AND(Assumptions!$P$61=1,G13&lt;Assumptions!$K$61),MIN(MAX(0,-G229),MAX(0,Assumptions!$D$61-G101)),0)</f>
        <v>0</v>
      </c>
      <c r="H108" s="16" t="n">
        <f aca="false">IF(AND(Assumptions!$P$61=1,OR(H13&lt;Assumptions!$K$61,G363=1)),MIN(MAX(0,-H229),MAX(0,Assumptions!$D$61-H101)),0)</f>
        <v>0</v>
      </c>
      <c r="I108" s="16" t="n">
        <f aca="false">IF(AND(Assumptions!$P$61=1,OR(I13&lt;Assumptions!$K$61,H363=1)),MIN(MAX(0,-I229),MAX(0,Assumptions!$D$61-I101)),0)</f>
        <v>0</v>
      </c>
      <c r="J108" s="16" t="n">
        <f aca="false">IF(AND(Assumptions!$P$61=1,OR(J13&lt;Assumptions!$K$61,I363=1)),MIN(MAX(0,-J229),MAX(0,Assumptions!$D$61-J101)),0)</f>
        <v>0</v>
      </c>
      <c r="K108" s="16" t="n">
        <f aca="false">IF(AND(Assumptions!$P$61=1,OR(K13&lt;Assumptions!$K$61,J363=1)),MIN(MAX(0,-K229),MAX(0,Assumptions!$D$61-K101)),0)</f>
        <v>0</v>
      </c>
    </row>
    <row r="109" customFormat="false" ht="15" hidden="false" customHeight="false" outlineLevel="0" collapsed="false">
      <c r="A109" s="3" t="s">
        <v>336</v>
      </c>
      <c r="G109" s="16" t="n">
        <f aca="false">G102*MIN(G101-G107+G106,MAX(0,G231-Assumptions!$C$12*G47-G57-G70-G83-G96))</f>
        <v>0</v>
      </c>
      <c r="H109" s="16" t="n">
        <f aca="false">H102*MIN(H101-H107+H106,MAX(0,H231-Assumptions!$C$12*H47-H57-H70-H83-H96))</f>
        <v>42.2778486262</v>
      </c>
      <c r="I109" s="16" t="n">
        <f aca="false">I102*MIN(I101-I107+I106,MAX(0,I231-Assumptions!$C$12*I47-I57-I70-I83-I96))</f>
        <v>0</v>
      </c>
      <c r="J109" s="16" t="n">
        <f aca="false">J102*MIN(J101-J107+J106,MAX(0,J231-Assumptions!$C$12*J47-J57-J70-J83-J96))</f>
        <v>0</v>
      </c>
      <c r="K109" s="16" t="n">
        <f aca="false">K102*MIN(K101-K107+K106,MAX(0,K231-Assumptions!$C$12*K47-K57-K70-K83-K96))</f>
        <v>0</v>
      </c>
    </row>
    <row r="110" customFormat="false" ht="15" hidden="false" customHeight="false" outlineLevel="0" collapsed="false">
      <c r="A110" s="3" t="s">
        <v>337</v>
      </c>
      <c r="G110" s="16" t="n">
        <f aca="false">Assumptions!$N$61*MIN(G101+G108+G106-G107-G109,MAX(0,G235-G58-G71-G84-G97))</f>
        <v>0</v>
      </c>
      <c r="H110" s="16" t="n">
        <f aca="false">Assumptions!$N$61*MIN(H101+H108+H106-H107-H109,MAX(0,H235-H58-H71-H84-H97))</f>
        <v>0</v>
      </c>
      <c r="I110" s="16" t="n">
        <f aca="false">Assumptions!$N$61*MIN(I101+I108+I106-I107-I109,MAX(0,I235-I58-I71-I84-I97))</f>
        <v>0</v>
      </c>
      <c r="J110" s="16" t="n">
        <f aca="false">Assumptions!$N$61*MIN(J101+J108+J106-J107-J109,MAX(0,J235-J58-J71-J84-J97))</f>
        <v>0</v>
      </c>
      <c r="K110" s="16" t="n">
        <f aca="false">Assumptions!$N$61*MIN(K101+K108+K106-K107-K109,MAX(0,K235-K58-K71-K84-K97))</f>
        <v>0</v>
      </c>
    </row>
    <row r="111" customFormat="false" ht="15" hidden="false" customHeight="false" outlineLevel="0" collapsed="false">
      <c r="A111" s="3" t="s">
        <v>338</v>
      </c>
      <c r="G111" s="16" t="n">
        <f aca="false">G102*(1-G47)*(G101-G107+G106-G109)</f>
        <v>0</v>
      </c>
      <c r="H111" s="16" t="n">
        <f aca="false">H102*(1-H47)*(H101-H107+H106-H109)</f>
        <v>0</v>
      </c>
      <c r="I111" s="16" t="n">
        <f aca="false">I102*(1-I47)*(I101-I107+I106-I109)</f>
        <v>0</v>
      </c>
      <c r="J111" s="16" t="n">
        <f aca="false">J102*(1-J47)*(J101-J107+J106-J109)</f>
        <v>0</v>
      </c>
      <c r="K111" s="16" t="n">
        <f aca="false">K102*(1-K47)*(K101-K107+K106-K109)</f>
        <v>0</v>
      </c>
    </row>
    <row r="112" customFormat="false" ht="15" hidden="false" customHeight="false" outlineLevel="0" collapsed="false">
      <c r="A112" s="2" t="s">
        <v>339</v>
      </c>
      <c r="F112" s="28" t="n">
        <f aca="false">Assumptions!$C$61</f>
        <v>450</v>
      </c>
      <c r="G112" s="17" t="n">
        <f aca="false">G101+G108+G106-G107-G109-G110</f>
        <v>450</v>
      </c>
      <c r="H112" s="17" t="n">
        <f aca="false">H101+H108+H106-H107-H109-H110</f>
        <v>407.7221513738</v>
      </c>
      <c r="I112" s="17" t="n">
        <f aca="false">I101+I108+I106-I107-I109-I110</f>
        <v>407.7221513738</v>
      </c>
      <c r="J112" s="17" t="n">
        <f aca="false">J101+J108+J106-J107-J109-J110</f>
        <v>407.7221513738</v>
      </c>
      <c r="K112" s="17" t="n">
        <f aca="false">K101+K108+K106-K107-K109-K110</f>
        <v>407.7221513738</v>
      </c>
    </row>
    <row r="113" customFormat="false" ht="15" hidden="false" customHeight="false" outlineLevel="0" collapsed="false">
      <c r="A113" s="24" t="s">
        <v>344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customFormat="false" ht="15" hidden="false" customHeight="false" outlineLevel="0" collapsed="false">
      <c r="A114" s="3" t="s">
        <v>329</v>
      </c>
      <c r="G114" s="16" t="n">
        <f aca="false">F125</f>
        <v>350</v>
      </c>
      <c r="H114" s="16" t="n">
        <f aca="false">G125</f>
        <v>350</v>
      </c>
      <c r="I114" s="16" t="n">
        <f aca="false">H125</f>
        <v>350</v>
      </c>
      <c r="J114" s="16" t="n">
        <f aca="false">I125</f>
        <v>350</v>
      </c>
      <c r="K114" s="16" t="n">
        <f aca="false">J125</f>
        <v>350</v>
      </c>
    </row>
    <row r="115" customFormat="false" ht="15" hidden="false" customHeight="false" outlineLevel="0" collapsed="false">
      <c r="A115" s="3" t="s">
        <v>330</v>
      </c>
      <c r="G115" s="21" t="n">
        <f aca="false">IF(G13=Assumptions!$K$62,1,0)</f>
        <v>0</v>
      </c>
      <c r="H115" s="21" t="n">
        <f aca="false">IF(H13=Assumptions!$K$62,1,0)</f>
        <v>1</v>
      </c>
      <c r="I115" s="21" t="n">
        <f aca="false">IF(I13=Assumptions!$K$62,1,0)</f>
        <v>0</v>
      </c>
      <c r="J115" s="21" t="n">
        <f aca="false">IF(J13=Assumptions!$K$62,1,0)</f>
        <v>0</v>
      </c>
      <c r="K115" s="21" t="n">
        <f aca="false">IF(K13=Assumptions!$K$62,1,0)</f>
        <v>0</v>
      </c>
    </row>
    <row r="117" customFormat="false" ht="15" hidden="false" customHeight="false" outlineLevel="0" collapsed="false">
      <c r="A117" s="3" t="s">
        <v>331</v>
      </c>
      <c r="G117" s="31" t="n">
        <f aca="false">IF(Assumptions!$I$62=1,MAX(G39,Assumptions!$G$62)+Assumptions!$F$62+$C$40,Assumptions!$E$62)</f>
        <v>0.083</v>
      </c>
      <c r="H117" s="31" t="n">
        <f aca="false">IF(G364=1,$C$41,IF(Assumptions!$I$62=1,MAX(H39,Assumptions!$G$62)+Assumptions!$F$62+$C$40,Assumptions!$E$62))</f>
        <v>0.083</v>
      </c>
      <c r="I117" s="31" t="n">
        <f aca="false">IF(H364=1,$C$41,IF(Assumptions!$I$62=1,MAX(I39,Assumptions!$G$62)+Assumptions!$F$62+$C$40,Assumptions!$E$62))</f>
        <v>0.08</v>
      </c>
      <c r="J117" s="31" t="n">
        <f aca="false">IF(I364=1,$C$41,IF(Assumptions!$I$62=1,MAX(J39,Assumptions!$G$62)+Assumptions!$F$62+$C$40,Assumptions!$E$62))</f>
        <v>0.08</v>
      </c>
      <c r="K117" s="31" t="n">
        <f aca="false">IF(J364=1,$C$41,IF(Assumptions!$I$62=1,MAX(K39,Assumptions!$G$62)+Assumptions!$F$62+$C$40,Assumptions!$E$62))</f>
        <v>0.08</v>
      </c>
    </row>
    <row r="118" customFormat="false" ht="15" hidden="false" customHeight="false" outlineLevel="0" collapsed="false">
      <c r="A118" s="3" t="s">
        <v>332</v>
      </c>
      <c r="G118" s="16" t="n">
        <f aca="false">G114*G117</f>
        <v>29.05</v>
      </c>
      <c r="H118" s="16" t="n">
        <f aca="false">H114*H117</f>
        <v>29.05</v>
      </c>
      <c r="I118" s="16" t="n">
        <f aca="false">I114*I117</f>
        <v>28</v>
      </c>
      <c r="J118" s="16" t="n">
        <f aca="false">J114*J117</f>
        <v>28</v>
      </c>
      <c r="K118" s="16" t="n">
        <f aca="false">K114*K117</f>
        <v>28</v>
      </c>
    </row>
    <row r="119" customFormat="false" ht="15" hidden="false" customHeight="false" outlineLevel="0" collapsed="false">
      <c r="A119" s="3" t="s">
        <v>333</v>
      </c>
      <c r="G119" s="16" t="n">
        <f aca="false">G114*Assumptions!$H$62</f>
        <v>0</v>
      </c>
      <c r="H119" s="16" t="n">
        <f aca="false">H114*Assumptions!$H$62</f>
        <v>0</v>
      </c>
      <c r="I119" s="16" t="n">
        <f aca="false">I114*Assumptions!$H$62</f>
        <v>0</v>
      </c>
      <c r="J119" s="16" t="n">
        <f aca="false">J114*Assumptions!$H$62</f>
        <v>0</v>
      </c>
      <c r="K119" s="16" t="n">
        <f aca="false">K114*Assumptions!$H$62</f>
        <v>0</v>
      </c>
    </row>
    <row r="120" customFormat="false" ht="15" hidden="false" customHeight="false" outlineLevel="0" collapsed="false">
      <c r="A120" s="3" t="s">
        <v>334</v>
      </c>
      <c r="G120" s="16" t="n">
        <f aca="false">MIN(G114,Assumptions!$L$62*Assumptions!$C$62)</f>
        <v>0</v>
      </c>
      <c r="H120" s="16" t="n">
        <f aca="false">MIN(H114,Assumptions!$L$62*Assumptions!$C$62)</f>
        <v>0</v>
      </c>
      <c r="I120" s="16" t="n">
        <f aca="false">MIN(I114,Assumptions!$L$62*Assumptions!$C$62)</f>
        <v>0</v>
      </c>
      <c r="J120" s="16" t="n">
        <f aca="false">MIN(J114,Assumptions!$L$62*Assumptions!$C$62)</f>
        <v>0</v>
      </c>
      <c r="K120" s="16" t="n">
        <f aca="false">MIN(K114,Assumptions!$L$62*Assumptions!$C$62)</f>
        <v>0</v>
      </c>
    </row>
    <row r="121" customFormat="false" ht="15" hidden="false" customHeight="false" outlineLevel="0" collapsed="false">
      <c r="A121" s="3" t="s">
        <v>335</v>
      </c>
      <c r="G121" s="16" t="n">
        <f aca="false">IF(AND(Assumptions!$P$62=1,G13&lt;Assumptions!$K$62),MIN(MAX(0,-G229),MAX(0,Assumptions!$D$62-G114)),0)</f>
        <v>0</v>
      </c>
      <c r="H121" s="16" t="n">
        <f aca="false">IF(AND(Assumptions!$P$62=1,OR(H13&lt;Assumptions!$K$62,G364=1)),MIN(MAX(0,-H229),MAX(0,Assumptions!$D$62-H114)),0)</f>
        <v>0</v>
      </c>
      <c r="I121" s="16" t="n">
        <f aca="false">IF(AND(Assumptions!$P$62=1,OR(I13&lt;Assumptions!$K$62,H364=1)),MIN(MAX(0,-I229),MAX(0,Assumptions!$D$62-I114)),0)</f>
        <v>0</v>
      </c>
      <c r="J121" s="16" t="n">
        <f aca="false">IF(AND(Assumptions!$P$62=1,OR(J13&lt;Assumptions!$K$62,I364=1)),MIN(MAX(0,-J229),MAX(0,Assumptions!$D$62-J114)),0)</f>
        <v>0</v>
      </c>
      <c r="K121" s="16" t="n">
        <f aca="false">IF(AND(Assumptions!$P$62=1,OR(K13&lt;Assumptions!$K$62,J364=1)),MIN(MAX(0,-K229),MAX(0,Assumptions!$D$62-K114)),0)</f>
        <v>0</v>
      </c>
    </row>
    <row r="122" customFormat="false" ht="15" hidden="false" customHeight="false" outlineLevel="0" collapsed="false">
      <c r="A122" s="3" t="s">
        <v>336</v>
      </c>
      <c r="G122" s="16" t="n">
        <f aca="false">G115*MIN(G114-G120+G119,MAX(0,G231-Assumptions!$C$12*G47-G57-G70-G83-G96-G109))</f>
        <v>0</v>
      </c>
      <c r="H122" s="16" t="n">
        <f aca="false">H115*MIN(H114-H120+H119,MAX(0,H231-Assumptions!$C$12*H47-H57-H70-H83-H96-H109))</f>
        <v>0</v>
      </c>
      <c r="I122" s="16" t="n">
        <f aca="false">I115*MIN(I114-I120+I119,MAX(0,I231-Assumptions!$C$12*I47-I57-I70-I83-I96-I109))</f>
        <v>0</v>
      </c>
      <c r="J122" s="16" t="n">
        <f aca="false">J115*MIN(J114-J120+J119,MAX(0,J231-Assumptions!$C$12*J47-J57-J70-J83-J96-J109))</f>
        <v>0</v>
      </c>
      <c r="K122" s="16" t="n">
        <f aca="false">K115*MIN(K114-K120+K119,MAX(0,K231-Assumptions!$C$12*K47-K57-K70-K83-K96-K109))</f>
        <v>0</v>
      </c>
    </row>
    <row r="123" customFormat="false" ht="15" hidden="false" customHeight="false" outlineLevel="0" collapsed="false">
      <c r="A123" s="3" t="s">
        <v>337</v>
      </c>
      <c r="G123" s="16" t="n">
        <f aca="false">Assumptions!$N$62*MIN(G114+G121+G119-G120-G122,MAX(0,G235-G58-G71-G84-G97-G110))</f>
        <v>0</v>
      </c>
      <c r="H123" s="16" t="n">
        <f aca="false">Assumptions!$N$62*MIN(H114+H121+H119-H120-H122,MAX(0,H235-H58-H71-H84-H97-H110))</f>
        <v>0</v>
      </c>
      <c r="I123" s="16" t="n">
        <f aca="false">Assumptions!$N$62*MIN(I114+I121+I119-I120-I122,MAX(0,I235-I58-I71-I84-I97-I110))</f>
        <v>0</v>
      </c>
      <c r="J123" s="16" t="n">
        <f aca="false">Assumptions!$N$62*MIN(J114+J121+J119-J120-J122,MAX(0,J235-J58-J71-J84-J97-J110))</f>
        <v>0</v>
      </c>
      <c r="K123" s="16" t="n">
        <f aca="false">Assumptions!$N$62*MIN(K114+K121+K119-K120-K122,MAX(0,K235-K58-K71-K84-K97-K110))</f>
        <v>0</v>
      </c>
    </row>
    <row r="124" customFormat="false" ht="15" hidden="false" customHeight="false" outlineLevel="0" collapsed="false">
      <c r="A124" s="3" t="s">
        <v>338</v>
      </c>
      <c r="G124" s="16" t="n">
        <f aca="false">G115*(1-G47)*(G114-G120+G119-G122)</f>
        <v>0</v>
      </c>
      <c r="H124" s="16" t="n">
        <f aca="false">H115*(1-H47)*(H114-H120+H119-H122)</f>
        <v>0</v>
      </c>
      <c r="I124" s="16" t="n">
        <f aca="false">I115*(1-I47)*(I114-I120+I119-I122)</f>
        <v>0</v>
      </c>
      <c r="J124" s="16" t="n">
        <f aca="false">J115*(1-J47)*(J114-J120+J119-J122)</f>
        <v>0</v>
      </c>
      <c r="K124" s="16" t="n">
        <f aca="false">K115*(1-K47)*(K114-K120+K119-K122)</f>
        <v>0</v>
      </c>
    </row>
    <row r="125" customFormat="false" ht="15" hidden="false" customHeight="false" outlineLevel="0" collapsed="false">
      <c r="A125" s="2" t="s">
        <v>339</v>
      </c>
      <c r="F125" s="28" t="n">
        <f aca="false">Assumptions!$C$62</f>
        <v>350</v>
      </c>
      <c r="G125" s="17" t="n">
        <f aca="false">G114+G121+G119-G120-G122-G123</f>
        <v>350</v>
      </c>
      <c r="H125" s="17" t="n">
        <f aca="false">H114+H121+H119-H120-H122-H123</f>
        <v>350</v>
      </c>
      <c r="I125" s="17" t="n">
        <f aca="false">I114+I121+I119-I120-I122-I123</f>
        <v>350</v>
      </c>
      <c r="J125" s="17" t="n">
        <f aca="false">J114+J121+J119-J120-J122-J123</f>
        <v>350</v>
      </c>
      <c r="K125" s="17" t="n">
        <f aca="false">K114+K121+K119-K120-K122-K123</f>
        <v>350</v>
      </c>
    </row>
    <row r="126" customFormat="false" ht="15" hidden="false" customHeight="false" outlineLevel="0" collapsed="false">
      <c r="A126" s="24" t="s">
        <v>345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customFormat="false" ht="15" hidden="false" customHeight="false" outlineLevel="0" collapsed="false">
      <c r="A127" s="3" t="s">
        <v>329</v>
      </c>
      <c r="G127" s="16" t="n">
        <f aca="false">F138</f>
        <v>550</v>
      </c>
      <c r="H127" s="16" t="n">
        <f aca="false">G138</f>
        <v>550</v>
      </c>
      <c r="I127" s="16" t="n">
        <f aca="false">H138</f>
        <v>550</v>
      </c>
      <c r="J127" s="16" t="n">
        <f aca="false">I138</f>
        <v>550</v>
      </c>
      <c r="K127" s="16" t="n">
        <f aca="false">J138</f>
        <v>550</v>
      </c>
    </row>
    <row r="128" customFormat="false" ht="15" hidden="false" customHeight="false" outlineLevel="0" collapsed="false">
      <c r="A128" s="3" t="s">
        <v>330</v>
      </c>
      <c r="G128" s="21" t="n">
        <f aca="false">IF(G13=Assumptions!$K$63,1,0)</f>
        <v>0</v>
      </c>
      <c r="H128" s="21" t="n">
        <f aca="false">IF(H13=Assumptions!$K$63,1,0)</f>
        <v>0</v>
      </c>
      <c r="I128" s="21" t="n">
        <f aca="false">IF(I13=Assumptions!$K$63,1,0)</f>
        <v>1</v>
      </c>
      <c r="J128" s="21" t="n">
        <f aca="false">IF(J13=Assumptions!$K$63,1,0)</f>
        <v>0</v>
      </c>
      <c r="K128" s="21" t="n">
        <f aca="false">IF(K13=Assumptions!$K$63,1,0)</f>
        <v>0</v>
      </c>
    </row>
    <row r="130" customFormat="false" ht="15" hidden="false" customHeight="false" outlineLevel="0" collapsed="false">
      <c r="A130" s="3" t="s">
        <v>331</v>
      </c>
      <c r="G130" s="31" t="n">
        <f aca="false">IF(Assumptions!$I$63=1,MAX(G39,Assumptions!$G$63)+Assumptions!$F$63+$C$40,Assumptions!$E$63)</f>
        <v>0.08875</v>
      </c>
      <c r="H130" s="31" t="n">
        <f aca="false">IF(G365=1,$C$41,IF(Assumptions!$I$63=1,MAX(H39,Assumptions!$G$63)+Assumptions!$F$63+$C$40,Assumptions!$E$63))</f>
        <v>0.08875</v>
      </c>
      <c r="I130" s="31" t="n">
        <f aca="false">IF(H365=1,$C$41,IF(Assumptions!$I$63=1,MAX(I39,Assumptions!$G$63)+Assumptions!$F$63+$C$40,Assumptions!$E$63))</f>
        <v>0.08875</v>
      </c>
      <c r="J130" s="31" t="n">
        <f aca="false">IF(I365=1,$C$41,IF(Assumptions!$I$63=1,MAX(J39,Assumptions!$G$63)+Assumptions!$F$63+$C$40,Assumptions!$E$63))</f>
        <v>0.08</v>
      </c>
      <c r="K130" s="31" t="n">
        <f aca="false">IF(J365=1,$C$41,IF(Assumptions!$I$63=1,MAX(K39,Assumptions!$G$63)+Assumptions!$F$63+$C$40,Assumptions!$E$63))</f>
        <v>0.08</v>
      </c>
    </row>
    <row r="131" customFormat="false" ht="15" hidden="false" customHeight="false" outlineLevel="0" collapsed="false">
      <c r="A131" s="3" t="s">
        <v>332</v>
      </c>
      <c r="G131" s="16" t="n">
        <f aca="false">G127*G130</f>
        <v>48.8125</v>
      </c>
      <c r="H131" s="16" t="n">
        <f aca="false">H127*H130</f>
        <v>48.8125</v>
      </c>
      <c r="I131" s="16" t="n">
        <f aca="false">I127*I130</f>
        <v>48.8125</v>
      </c>
      <c r="J131" s="16" t="n">
        <f aca="false">J127*J130</f>
        <v>44</v>
      </c>
      <c r="K131" s="16" t="n">
        <f aca="false">K127*K130</f>
        <v>44</v>
      </c>
    </row>
    <row r="132" customFormat="false" ht="15" hidden="false" customHeight="false" outlineLevel="0" collapsed="false">
      <c r="A132" s="3" t="s">
        <v>333</v>
      </c>
      <c r="G132" s="16" t="n">
        <f aca="false">G127*Assumptions!$H$63</f>
        <v>0</v>
      </c>
      <c r="H132" s="16" t="n">
        <f aca="false">H127*Assumptions!$H$63</f>
        <v>0</v>
      </c>
      <c r="I132" s="16" t="n">
        <f aca="false">I127*Assumptions!$H$63</f>
        <v>0</v>
      </c>
      <c r="J132" s="16" t="n">
        <f aca="false">J127*Assumptions!$H$63</f>
        <v>0</v>
      </c>
      <c r="K132" s="16" t="n">
        <f aca="false">K127*Assumptions!$H$63</f>
        <v>0</v>
      </c>
    </row>
    <row r="133" customFormat="false" ht="15" hidden="false" customHeight="false" outlineLevel="0" collapsed="false">
      <c r="A133" s="3" t="s">
        <v>334</v>
      </c>
      <c r="G133" s="16" t="n">
        <f aca="false">MIN(G127,Assumptions!$L$63*Assumptions!$C$63)</f>
        <v>0</v>
      </c>
      <c r="H133" s="16" t="n">
        <f aca="false">MIN(H127,Assumptions!$L$63*Assumptions!$C$63)</f>
        <v>0</v>
      </c>
      <c r="I133" s="16" t="n">
        <f aca="false">MIN(I127,Assumptions!$L$63*Assumptions!$C$63)</f>
        <v>0</v>
      </c>
      <c r="J133" s="16" t="n">
        <f aca="false">MIN(J127,Assumptions!$L$63*Assumptions!$C$63)</f>
        <v>0</v>
      </c>
      <c r="K133" s="16" t="n">
        <f aca="false">MIN(K127,Assumptions!$L$63*Assumptions!$C$63)</f>
        <v>0</v>
      </c>
    </row>
    <row r="134" customFormat="false" ht="15" hidden="false" customHeight="false" outlineLevel="0" collapsed="false">
      <c r="A134" s="3" t="s">
        <v>335</v>
      </c>
      <c r="G134" s="16" t="n">
        <f aca="false">IF(AND(Assumptions!$P$63=1,G13&lt;Assumptions!$K$63),MIN(MAX(0,-G229),MAX(0,Assumptions!$D$63-G127)),0)</f>
        <v>0</v>
      </c>
      <c r="H134" s="16" t="n">
        <f aca="false">IF(AND(Assumptions!$P$63=1,OR(H13&lt;Assumptions!$K$63,G365=1)),MIN(MAX(0,-H229),MAX(0,Assumptions!$D$63-H127)),0)</f>
        <v>0</v>
      </c>
      <c r="I134" s="16" t="n">
        <f aca="false">IF(AND(Assumptions!$P$63=1,OR(I13&lt;Assumptions!$K$63,H365=1)),MIN(MAX(0,-I229),MAX(0,Assumptions!$D$63-I127)),0)</f>
        <v>0</v>
      </c>
      <c r="J134" s="16" t="n">
        <f aca="false">IF(AND(Assumptions!$P$63=1,OR(J13&lt;Assumptions!$K$63,I365=1)),MIN(MAX(0,-J229),MAX(0,Assumptions!$D$63-J127)),0)</f>
        <v>0</v>
      </c>
      <c r="K134" s="16" t="n">
        <f aca="false">IF(AND(Assumptions!$P$63=1,OR(K13&lt;Assumptions!$K$63,J365=1)),MIN(MAX(0,-K229),MAX(0,Assumptions!$D$63-K127)),0)</f>
        <v>0</v>
      </c>
    </row>
    <row r="135" customFormat="false" ht="15" hidden="false" customHeight="false" outlineLevel="0" collapsed="false">
      <c r="A135" s="3" t="s">
        <v>336</v>
      </c>
      <c r="G135" s="16" t="n">
        <f aca="false">G128*MIN(G127-G133+G132,MAX(0,G231-Assumptions!$C$12*G47-G57-G70-G83-G96-G109-G122))</f>
        <v>0</v>
      </c>
      <c r="H135" s="16" t="n">
        <f aca="false">H128*MIN(H127-H133+H132,MAX(0,H231-Assumptions!$C$12*H47-H57-H70-H83-H96-H109-H122))</f>
        <v>0</v>
      </c>
      <c r="I135" s="16" t="n">
        <f aca="false">I128*MIN(I127-I133+I132,MAX(0,I231-Assumptions!$C$12*I47-I57-I70-I83-I96-I109-I122))</f>
        <v>0</v>
      </c>
      <c r="J135" s="16" t="n">
        <f aca="false">J128*MIN(J127-J133+J132,MAX(0,J231-Assumptions!$C$12*J47-J57-J70-J83-J96-J109-J122))</f>
        <v>0</v>
      </c>
      <c r="K135" s="16" t="n">
        <f aca="false">K128*MIN(K127-K133+K132,MAX(0,K231-Assumptions!$C$12*K47-K57-K70-K83-K96-K109-K122))</f>
        <v>0</v>
      </c>
    </row>
    <row r="136" customFormat="false" ht="15" hidden="false" customHeight="false" outlineLevel="0" collapsed="false">
      <c r="A136" s="3" t="s">
        <v>337</v>
      </c>
      <c r="G136" s="16" t="n">
        <f aca="false">Assumptions!$N$63*MIN(G127+G134+G132-G133-G135,MAX(0,G235-G58-G71-G84-G97-G110-G123))</f>
        <v>0</v>
      </c>
      <c r="H136" s="16" t="n">
        <f aca="false">Assumptions!$N$63*MIN(H127+H134+H132-H133-H135,MAX(0,H235-H58-H71-H84-H97-H110-H123))</f>
        <v>0</v>
      </c>
      <c r="I136" s="16" t="n">
        <f aca="false">Assumptions!$N$63*MIN(I127+I134+I132-I133-I135,MAX(0,I235-I58-I71-I84-I97-I110-I123))</f>
        <v>0</v>
      </c>
      <c r="J136" s="16" t="n">
        <f aca="false">Assumptions!$N$63*MIN(J127+J134+J132-J133-J135,MAX(0,J235-J58-J71-J84-J97-J110-J123))</f>
        <v>0</v>
      </c>
      <c r="K136" s="16" t="n">
        <f aca="false">Assumptions!$N$63*MIN(K127+K134+K132-K133-K135,MAX(0,K235-K58-K71-K84-K97-K110-K123))</f>
        <v>0</v>
      </c>
    </row>
    <row r="137" customFormat="false" ht="15" hidden="false" customHeight="false" outlineLevel="0" collapsed="false">
      <c r="A137" s="3" t="s">
        <v>338</v>
      </c>
      <c r="G137" s="16" t="n">
        <f aca="false">G128*(1-G47)*(G127-G133+G132-G135)</f>
        <v>0</v>
      </c>
      <c r="H137" s="16" t="n">
        <f aca="false">H128*(1-H47)*(H127-H133+H132-H135)</f>
        <v>0</v>
      </c>
      <c r="I137" s="16" t="n">
        <f aca="false">I128*(1-I47)*(I127-I133+I132-I135)</f>
        <v>0</v>
      </c>
      <c r="J137" s="16" t="n">
        <f aca="false">J128*(1-J47)*(J127-J133+J132-J135)</f>
        <v>0</v>
      </c>
      <c r="K137" s="16" t="n">
        <f aca="false">K128*(1-K47)*(K127-K133+K132-K135)</f>
        <v>0</v>
      </c>
    </row>
    <row r="138" customFormat="false" ht="15" hidden="false" customHeight="false" outlineLevel="0" collapsed="false">
      <c r="A138" s="2" t="s">
        <v>339</v>
      </c>
      <c r="F138" s="28" t="n">
        <f aca="false">Assumptions!$C$63</f>
        <v>550</v>
      </c>
      <c r="G138" s="17" t="n">
        <f aca="false">G127+G134+G132-G133-G135-G136</f>
        <v>550</v>
      </c>
      <c r="H138" s="17" t="n">
        <f aca="false">H127+H134+H132-H133-H135-H136</f>
        <v>550</v>
      </c>
      <c r="I138" s="17" t="n">
        <f aca="false">I127+I134+I132-I133-I135-I136</f>
        <v>550</v>
      </c>
      <c r="J138" s="17" t="n">
        <f aca="false">J127+J134+J132-J133-J135-J136</f>
        <v>550</v>
      </c>
      <c r="K138" s="17" t="n">
        <f aca="false">K127+K134+K132-K133-K135-K136</f>
        <v>550</v>
      </c>
    </row>
    <row r="139" customFormat="false" ht="15" hidden="false" customHeight="false" outlineLevel="0" collapsed="false">
      <c r="A139" s="24" t="s">
        <v>346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customFormat="false" ht="15" hidden="false" customHeight="false" outlineLevel="0" collapsed="false">
      <c r="A140" s="3" t="s">
        <v>329</v>
      </c>
      <c r="G140" s="16" t="n">
        <f aca="false">F151</f>
        <v>350</v>
      </c>
      <c r="H140" s="16" t="n">
        <f aca="false">G151</f>
        <v>350</v>
      </c>
      <c r="I140" s="16" t="n">
        <f aca="false">H151</f>
        <v>350</v>
      </c>
      <c r="J140" s="16" t="n">
        <f aca="false">I151</f>
        <v>350</v>
      </c>
      <c r="K140" s="16" t="n">
        <f aca="false">J151</f>
        <v>350</v>
      </c>
    </row>
    <row r="141" customFormat="false" ht="15" hidden="false" customHeight="false" outlineLevel="0" collapsed="false">
      <c r="A141" s="3" t="s">
        <v>330</v>
      </c>
      <c r="G141" s="21" t="n">
        <f aca="false">IF(G13=Assumptions!$K$64,1,0)</f>
        <v>0</v>
      </c>
      <c r="H141" s="21" t="n">
        <f aca="false">IF(H13=Assumptions!$K$64,1,0)</f>
        <v>0</v>
      </c>
      <c r="I141" s="21" t="n">
        <f aca="false">IF(I13=Assumptions!$K$64,1,0)</f>
        <v>0</v>
      </c>
      <c r="J141" s="21" t="n">
        <f aca="false">IF(J13=Assumptions!$K$64,1,0)</f>
        <v>1</v>
      </c>
      <c r="K141" s="21" t="n">
        <f aca="false">IF(K13=Assumptions!$K$64,1,0)</f>
        <v>0</v>
      </c>
    </row>
    <row r="143" customFormat="false" ht="15" hidden="false" customHeight="false" outlineLevel="0" collapsed="false">
      <c r="A143" s="3" t="s">
        <v>331</v>
      </c>
      <c r="G143" s="31" t="n">
        <f aca="false">IF(Assumptions!$I$64=1,MAX(G39,Assumptions!$G$64)+Assumptions!$F$64+$C$40,Assumptions!$E$64)</f>
        <v>0.0455</v>
      </c>
      <c r="H143" s="31" t="n">
        <f aca="false">IF(G366=1,$C$41,IF(Assumptions!$I$64=1,MAX(H39,Assumptions!$G$64)+Assumptions!$F$64+$C$40,Assumptions!$E$64))</f>
        <v>0.0455</v>
      </c>
      <c r="I143" s="31" t="n">
        <f aca="false">IF(H366=1,$C$41,IF(Assumptions!$I$64=1,MAX(I39,Assumptions!$G$64)+Assumptions!$F$64+$C$40,Assumptions!$E$64))</f>
        <v>0.0455</v>
      </c>
      <c r="J143" s="31" t="n">
        <f aca="false">IF(I366=1,$C$41,IF(Assumptions!$I$64=1,MAX(J39,Assumptions!$G$64)+Assumptions!$F$64+$C$40,Assumptions!$E$64))</f>
        <v>0.0455</v>
      </c>
      <c r="K143" s="31" t="n">
        <f aca="false">IF(J366=1,$C$41,IF(Assumptions!$I$64=1,MAX(K39,Assumptions!$G$64)+Assumptions!$F$64+$C$40,Assumptions!$E$64))</f>
        <v>0.08</v>
      </c>
    </row>
    <row r="144" customFormat="false" ht="15" hidden="false" customHeight="false" outlineLevel="0" collapsed="false">
      <c r="A144" s="3" t="s">
        <v>332</v>
      </c>
      <c r="G144" s="16" t="n">
        <f aca="false">G140*G143</f>
        <v>15.925</v>
      </c>
      <c r="H144" s="16" t="n">
        <f aca="false">H140*H143</f>
        <v>15.925</v>
      </c>
      <c r="I144" s="16" t="n">
        <f aca="false">I140*I143</f>
        <v>15.925</v>
      </c>
      <c r="J144" s="16" t="n">
        <f aca="false">J140*J143</f>
        <v>15.925</v>
      </c>
      <c r="K144" s="16" t="n">
        <f aca="false">K140*K143</f>
        <v>28</v>
      </c>
    </row>
    <row r="145" customFormat="false" ht="15" hidden="false" customHeight="false" outlineLevel="0" collapsed="false">
      <c r="A145" s="3" t="s">
        <v>333</v>
      </c>
      <c r="G145" s="16" t="n">
        <f aca="false">G140*Assumptions!$H$64</f>
        <v>0</v>
      </c>
      <c r="H145" s="16" t="n">
        <f aca="false">H140*Assumptions!$H$64</f>
        <v>0</v>
      </c>
      <c r="I145" s="16" t="n">
        <f aca="false">I140*Assumptions!$H$64</f>
        <v>0</v>
      </c>
      <c r="J145" s="16" t="n">
        <f aca="false">J140*Assumptions!$H$64</f>
        <v>0</v>
      </c>
      <c r="K145" s="16" t="n">
        <f aca="false">K140*Assumptions!$H$64</f>
        <v>0</v>
      </c>
    </row>
    <row r="146" customFormat="false" ht="15" hidden="false" customHeight="false" outlineLevel="0" collapsed="false">
      <c r="A146" s="3" t="s">
        <v>334</v>
      </c>
      <c r="G146" s="16" t="n">
        <f aca="false">MIN(G140,Assumptions!$L$64*Assumptions!$C$64)</f>
        <v>0</v>
      </c>
      <c r="H146" s="16" t="n">
        <f aca="false">MIN(H140,Assumptions!$L$64*Assumptions!$C$64)</f>
        <v>0</v>
      </c>
      <c r="I146" s="16" t="n">
        <f aca="false">MIN(I140,Assumptions!$L$64*Assumptions!$C$64)</f>
        <v>0</v>
      </c>
      <c r="J146" s="16" t="n">
        <f aca="false">MIN(J140,Assumptions!$L$64*Assumptions!$C$64)</f>
        <v>0</v>
      </c>
      <c r="K146" s="16" t="n">
        <f aca="false">MIN(K140,Assumptions!$L$64*Assumptions!$C$64)</f>
        <v>0</v>
      </c>
    </row>
    <row r="147" customFormat="false" ht="15" hidden="false" customHeight="false" outlineLevel="0" collapsed="false">
      <c r="A147" s="3" t="s">
        <v>335</v>
      </c>
      <c r="G147" s="16" t="n">
        <f aca="false">IF(AND(Assumptions!$P$64=1,G13&lt;Assumptions!$K$64),MIN(MAX(0,-G229),MAX(0,Assumptions!$D$64-G140)),0)</f>
        <v>0</v>
      </c>
      <c r="H147" s="16" t="n">
        <f aca="false">IF(AND(Assumptions!$P$64=1,OR(H13&lt;Assumptions!$K$64,G366=1)),MIN(MAX(0,-H229),MAX(0,Assumptions!$D$64-H140)),0)</f>
        <v>0</v>
      </c>
      <c r="I147" s="16" t="n">
        <f aca="false">IF(AND(Assumptions!$P$64=1,OR(I13&lt;Assumptions!$K$64,H366=1)),MIN(MAX(0,-I229),MAX(0,Assumptions!$D$64-I140)),0)</f>
        <v>0</v>
      </c>
      <c r="J147" s="16" t="n">
        <f aca="false">IF(AND(Assumptions!$P$64=1,OR(J13&lt;Assumptions!$K$64,I366=1)),MIN(MAX(0,-J229),MAX(0,Assumptions!$D$64-J140)),0)</f>
        <v>0</v>
      </c>
      <c r="K147" s="16" t="n">
        <f aca="false">IF(AND(Assumptions!$P$64=1,OR(K13&lt;Assumptions!$K$64,J366=1)),MIN(MAX(0,-K229),MAX(0,Assumptions!$D$64-K140)),0)</f>
        <v>0</v>
      </c>
    </row>
    <row r="148" customFormat="false" ht="15" hidden="false" customHeight="false" outlineLevel="0" collapsed="false">
      <c r="A148" s="3" t="s">
        <v>336</v>
      </c>
      <c r="G148" s="16" t="n">
        <f aca="false">G141*MIN(G140-G146+G145,MAX(0,G231-Assumptions!$C$12*G47-G57-G70-G83-G96-G109-G122-G135))</f>
        <v>0</v>
      </c>
      <c r="H148" s="16" t="n">
        <f aca="false">H141*MIN(H140-H146+H145,MAX(0,H231-Assumptions!$C$12*H47-H57-H70-H83-H96-H109-H122-H135))</f>
        <v>0</v>
      </c>
      <c r="I148" s="16" t="n">
        <f aca="false">I141*MIN(I140-I146+I145,MAX(0,I231-Assumptions!$C$12*I47-I57-I70-I83-I96-I109-I122-I135))</f>
        <v>0</v>
      </c>
      <c r="J148" s="16" t="n">
        <f aca="false">J141*MIN(J140-J146+J145,MAX(0,J231-Assumptions!$C$12*J47-J57-J70-J83-J96-J109-J122-J135))</f>
        <v>0</v>
      </c>
      <c r="K148" s="16" t="n">
        <f aca="false">K141*MIN(K140-K146+K145,MAX(0,K231-Assumptions!$C$12*K47-K57-K70-K83-K96-K109-K122-K135))</f>
        <v>0</v>
      </c>
    </row>
    <row r="149" customFormat="false" ht="15" hidden="false" customHeight="false" outlineLevel="0" collapsed="false">
      <c r="A149" s="3" t="s">
        <v>337</v>
      </c>
      <c r="G149" s="16" t="n">
        <f aca="false">Assumptions!$N$64*MIN(G140+G147+G145-G146-G148,MAX(0,G235-G58-G71-G84-G97-G110-G123-G136))</f>
        <v>0</v>
      </c>
      <c r="H149" s="16" t="n">
        <f aca="false">Assumptions!$N$64*MIN(H140+H147+H145-H146-H148,MAX(0,H235-H58-H71-H84-H97-H110-H123-H136))</f>
        <v>0</v>
      </c>
      <c r="I149" s="16" t="n">
        <f aca="false">Assumptions!$N$64*MIN(I140+I147+I145-I146-I148,MAX(0,I235-I58-I71-I84-I97-I110-I123-I136))</f>
        <v>0</v>
      </c>
      <c r="J149" s="16" t="n">
        <f aca="false">Assumptions!$N$64*MIN(J140+J147+J145-J146-J148,MAX(0,J235-J58-J71-J84-J97-J110-J123-J136))</f>
        <v>0</v>
      </c>
      <c r="K149" s="16" t="n">
        <f aca="false">Assumptions!$N$64*MIN(K140+K147+K145-K146-K148,MAX(0,K235-K58-K71-K84-K97-K110-K123-K136))</f>
        <v>0</v>
      </c>
    </row>
    <row r="150" customFormat="false" ht="15" hidden="false" customHeight="false" outlineLevel="0" collapsed="false">
      <c r="A150" s="3" t="s">
        <v>338</v>
      </c>
      <c r="G150" s="16" t="n">
        <f aca="false">G141*(1-G47)*(G140-G146+G145-G148)</f>
        <v>0</v>
      </c>
      <c r="H150" s="16" t="n">
        <f aca="false">H141*(1-H47)*(H140-H146+H145-H148)</f>
        <v>0</v>
      </c>
      <c r="I150" s="16" t="n">
        <f aca="false">I141*(1-I47)*(I140-I146+I145-I148)</f>
        <v>0</v>
      </c>
      <c r="J150" s="16" t="n">
        <f aca="false">J141*(1-J47)*(J140-J146+J145-J148)</f>
        <v>0</v>
      </c>
      <c r="K150" s="16" t="n">
        <f aca="false">K141*(1-K47)*(K140-K146+K145-K148)</f>
        <v>0</v>
      </c>
    </row>
    <row r="151" customFormat="false" ht="15" hidden="false" customHeight="false" outlineLevel="0" collapsed="false">
      <c r="A151" s="2" t="s">
        <v>339</v>
      </c>
      <c r="F151" s="28" t="n">
        <f aca="false">Assumptions!$C$64</f>
        <v>350</v>
      </c>
      <c r="G151" s="17" t="n">
        <f aca="false">G140+G147+G145-G146-G148-G149</f>
        <v>350</v>
      </c>
      <c r="H151" s="17" t="n">
        <f aca="false">H140+H147+H145-H146-H148-H149</f>
        <v>350</v>
      </c>
      <c r="I151" s="17" t="n">
        <f aca="false">I140+I147+I145-I146-I148-I149</f>
        <v>350</v>
      </c>
      <c r="J151" s="17" t="n">
        <f aca="false">J140+J147+J145-J146-J148-J149</f>
        <v>350</v>
      </c>
      <c r="K151" s="17" t="n">
        <f aca="false">K140+K147+K145-K146-K148-K149</f>
        <v>350</v>
      </c>
    </row>
    <row r="152" customFormat="false" ht="15" hidden="false" customHeight="false" outlineLevel="0" collapsed="false">
      <c r="A152" s="24" t="s">
        <v>347</v>
      </c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customFormat="false" ht="15" hidden="false" customHeight="false" outlineLevel="0" collapsed="false">
      <c r="A153" s="3" t="s">
        <v>329</v>
      </c>
      <c r="G153" s="16" t="n">
        <f aca="false">F164</f>
        <v>300</v>
      </c>
      <c r="H153" s="16" t="n">
        <f aca="false">G164</f>
        <v>300</v>
      </c>
      <c r="I153" s="16" t="n">
        <f aca="false">H164</f>
        <v>300</v>
      </c>
      <c r="J153" s="16" t="n">
        <f aca="false">I164</f>
        <v>300</v>
      </c>
      <c r="K153" s="16" t="n">
        <f aca="false">J164</f>
        <v>300</v>
      </c>
    </row>
    <row r="154" customFormat="false" ht="15" hidden="false" customHeight="false" outlineLevel="0" collapsed="false">
      <c r="A154" s="3" t="s">
        <v>330</v>
      </c>
      <c r="G154" s="21" t="n">
        <f aca="false">IF(G13=Assumptions!$K$65,1,0)</f>
        <v>0</v>
      </c>
      <c r="H154" s="21" t="n">
        <f aca="false">IF(H13=Assumptions!$K$65,1,0)</f>
        <v>0</v>
      </c>
      <c r="I154" s="21" t="n">
        <f aca="false">IF(I13=Assumptions!$K$65,1,0)</f>
        <v>0</v>
      </c>
      <c r="J154" s="21" t="n">
        <f aca="false">IF(J13=Assumptions!$K$65,1,0)</f>
        <v>0</v>
      </c>
      <c r="K154" s="21" t="n">
        <f aca="false">IF(K13=Assumptions!$K$65,1,0)</f>
        <v>1</v>
      </c>
    </row>
    <row r="156" customFormat="false" ht="15" hidden="false" customHeight="false" outlineLevel="0" collapsed="false">
      <c r="A156" s="3" t="s">
        <v>331</v>
      </c>
      <c r="G156" s="31" t="n">
        <f aca="false">IF(Assumptions!$I$65=1,MAX(G39,Assumptions!$G$65)+Assumptions!$F$65+$C$40,Assumptions!$E$65)</f>
        <v>0.06125</v>
      </c>
      <c r="H156" s="31" t="n">
        <f aca="false">IF(G367=1,$C$41,IF(Assumptions!$I$65=1,MAX(H39,Assumptions!$G$65)+Assumptions!$F$65+$C$40,Assumptions!$E$65))</f>
        <v>0.06125</v>
      </c>
      <c r="I156" s="31" t="n">
        <f aca="false">IF(H367=1,$C$41,IF(Assumptions!$I$65=1,MAX(I39,Assumptions!$G$65)+Assumptions!$F$65+$C$40,Assumptions!$E$65))</f>
        <v>0.06125</v>
      </c>
      <c r="J156" s="31" t="n">
        <f aca="false">IF(I367=1,$C$41,IF(Assumptions!$I$65=1,MAX(J39,Assumptions!$G$65)+Assumptions!$F$65+$C$40,Assumptions!$E$65))</f>
        <v>0.06125</v>
      </c>
      <c r="K156" s="31" t="n">
        <f aca="false">IF(J367=1,$C$41,IF(Assumptions!$I$65=1,MAX(K39,Assumptions!$G$65)+Assumptions!$F$65+$C$40,Assumptions!$E$65))</f>
        <v>0.06125</v>
      </c>
    </row>
    <row r="157" customFormat="false" ht="15" hidden="false" customHeight="false" outlineLevel="0" collapsed="false">
      <c r="A157" s="3" t="s">
        <v>332</v>
      </c>
      <c r="G157" s="16" t="n">
        <f aca="false">G153*G156</f>
        <v>18.375</v>
      </c>
      <c r="H157" s="16" t="n">
        <f aca="false">H153*H156</f>
        <v>18.375</v>
      </c>
      <c r="I157" s="16" t="n">
        <f aca="false">I153*I156</f>
        <v>18.375</v>
      </c>
      <c r="J157" s="16" t="n">
        <f aca="false">J153*J156</f>
        <v>18.375</v>
      </c>
      <c r="K157" s="16" t="n">
        <f aca="false">K153*K156</f>
        <v>18.375</v>
      </c>
    </row>
    <row r="158" customFormat="false" ht="15" hidden="false" customHeight="false" outlineLevel="0" collapsed="false">
      <c r="A158" s="3" t="s">
        <v>333</v>
      </c>
      <c r="G158" s="16" t="n">
        <f aca="false">G153*Assumptions!$H$65</f>
        <v>0</v>
      </c>
      <c r="H158" s="16" t="n">
        <f aca="false">H153*Assumptions!$H$65</f>
        <v>0</v>
      </c>
      <c r="I158" s="16" t="n">
        <f aca="false">I153*Assumptions!$H$65</f>
        <v>0</v>
      </c>
      <c r="J158" s="16" t="n">
        <f aca="false">J153*Assumptions!$H$65</f>
        <v>0</v>
      </c>
      <c r="K158" s="16" t="n">
        <f aca="false">K153*Assumptions!$H$65</f>
        <v>0</v>
      </c>
    </row>
    <row r="159" customFormat="false" ht="15" hidden="false" customHeight="false" outlineLevel="0" collapsed="false">
      <c r="A159" s="3" t="s">
        <v>334</v>
      </c>
      <c r="G159" s="16" t="n">
        <f aca="false">MIN(G153,Assumptions!$L$65*Assumptions!$C$65)</f>
        <v>0</v>
      </c>
      <c r="H159" s="16" t="n">
        <f aca="false">MIN(H153,Assumptions!$L$65*Assumptions!$C$65)</f>
        <v>0</v>
      </c>
      <c r="I159" s="16" t="n">
        <f aca="false">MIN(I153,Assumptions!$L$65*Assumptions!$C$65)</f>
        <v>0</v>
      </c>
      <c r="J159" s="16" t="n">
        <f aca="false">MIN(J153,Assumptions!$L$65*Assumptions!$C$65)</f>
        <v>0</v>
      </c>
      <c r="K159" s="16" t="n">
        <f aca="false">MIN(K153,Assumptions!$L$65*Assumptions!$C$65)</f>
        <v>0</v>
      </c>
    </row>
    <row r="160" customFormat="false" ht="15" hidden="false" customHeight="false" outlineLevel="0" collapsed="false">
      <c r="A160" s="3" t="s">
        <v>335</v>
      </c>
      <c r="G160" s="16" t="n">
        <f aca="false">IF(AND(Assumptions!$P$65=1,G13&lt;Assumptions!$K$65),MIN(MAX(0,-G229),MAX(0,Assumptions!$D$65-G153)),0)</f>
        <v>0</v>
      </c>
      <c r="H160" s="16" t="n">
        <f aca="false">IF(AND(Assumptions!$P$65=1,OR(H13&lt;Assumptions!$K$65,G367=1)),MIN(MAX(0,-H229),MAX(0,Assumptions!$D$65-H153)),0)</f>
        <v>0</v>
      </c>
      <c r="I160" s="16" t="n">
        <f aca="false">IF(AND(Assumptions!$P$65=1,OR(I13&lt;Assumptions!$K$65,H367=1)),MIN(MAX(0,-I229),MAX(0,Assumptions!$D$65-I153)),0)</f>
        <v>0</v>
      </c>
      <c r="J160" s="16" t="n">
        <f aca="false">IF(AND(Assumptions!$P$65=1,OR(J13&lt;Assumptions!$K$65,I367=1)),MIN(MAX(0,-J229),MAX(0,Assumptions!$D$65-J153)),0)</f>
        <v>0</v>
      </c>
      <c r="K160" s="16" t="n">
        <f aca="false">IF(AND(Assumptions!$P$65=1,OR(K13&lt;Assumptions!$K$65,J367=1)),MIN(MAX(0,-K229),MAX(0,Assumptions!$D$65-K153)),0)</f>
        <v>0</v>
      </c>
    </row>
    <row r="161" customFormat="false" ht="15" hidden="false" customHeight="false" outlineLevel="0" collapsed="false">
      <c r="A161" s="3" t="s">
        <v>336</v>
      </c>
      <c r="G161" s="16" t="n">
        <f aca="false">G154*MIN(G153-G159+G158,MAX(0,G231-Assumptions!$C$12*G47-G57-G70-G83-G96-G109-G122-G135-G148))</f>
        <v>0</v>
      </c>
      <c r="H161" s="16" t="n">
        <f aca="false">H154*MIN(H153-H159+H158,MAX(0,H231-Assumptions!$C$12*H47-H57-H70-H83-H96-H109-H122-H135-H148))</f>
        <v>0</v>
      </c>
      <c r="I161" s="16" t="n">
        <f aca="false">I154*MIN(I153-I159+I158,MAX(0,I231-Assumptions!$C$12*I47-I57-I70-I83-I96-I109-I122-I135-I148))</f>
        <v>0</v>
      </c>
      <c r="J161" s="16" t="n">
        <f aca="false">J154*MIN(J153-J159+J158,MAX(0,J231-Assumptions!$C$12*J47-J57-J70-J83-J96-J109-J122-J135-J148))</f>
        <v>0</v>
      </c>
      <c r="K161" s="16" t="n">
        <f aca="false">K154*MIN(K153-K159+K158,MAX(0,K231-Assumptions!$C$12*K47-K57-K70-K83-K96-K109-K122-K135-K148))</f>
        <v>0</v>
      </c>
    </row>
    <row r="162" customFormat="false" ht="15" hidden="false" customHeight="false" outlineLevel="0" collapsed="false">
      <c r="A162" s="3" t="s">
        <v>337</v>
      </c>
      <c r="G162" s="16" t="n">
        <f aca="false">Assumptions!$N$65*MIN(G153+G160+G158-G159-G161,MAX(0,G235-G58-G71-G84-G97-G110-G123-G136-G149))</f>
        <v>0</v>
      </c>
      <c r="H162" s="16" t="n">
        <f aca="false">Assumptions!$N$65*MIN(H153+H160+H158-H159-H161,MAX(0,H235-H58-H71-H84-H97-H110-H123-H136-H149))</f>
        <v>0</v>
      </c>
      <c r="I162" s="16" t="n">
        <f aca="false">Assumptions!$N$65*MIN(I153+I160+I158-I159-I161,MAX(0,I235-I58-I71-I84-I97-I110-I123-I136-I149))</f>
        <v>0</v>
      </c>
      <c r="J162" s="16" t="n">
        <f aca="false">Assumptions!$N$65*MIN(J153+J160+J158-J159-J161,MAX(0,J235-J58-J71-J84-J97-J110-J123-J136-J149))</f>
        <v>0</v>
      </c>
      <c r="K162" s="16" t="n">
        <f aca="false">Assumptions!$N$65*MIN(K153+K160+K158-K159-K161,MAX(0,K235-K58-K71-K84-K97-K110-K123-K136-K149))</f>
        <v>0</v>
      </c>
    </row>
    <row r="163" customFormat="false" ht="15" hidden="false" customHeight="false" outlineLevel="0" collapsed="false">
      <c r="A163" s="3" t="s">
        <v>338</v>
      </c>
      <c r="G163" s="16" t="n">
        <f aca="false">G154*(1-G47)*(G153-G159+G158-G161)</f>
        <v>0</v>
      </c>
      <c r="H163" s="16" t="n">
        <f aca="false">H154*(1-H47)*(H153-H159+H158-H161)</f>
        <v>0</v>
      </c>
      <c r="I163" s="16" t="n">
        <f aca="false">I154*(1-I47)*(I153-I159+I158-I161)</f>
        <v>0</v>
      </c>
      <c r="J163" s="16" t="n">
        <f aca="false">J154*(1-J47)*(J153-J159+J158-J161)</f>
        <v>0</v>
      </c>
      <c r="K163" s="16" t="n">
        <f aca="false">K154*(1-K47)*(K153-K159+K158-K161)</f>
        <v>0</v>
      </c>
    </row>
    <row r="164" customFormat="false" ht="15" hidden="false" customHeight="false" outlineLevel="0" collapsed="false">
      <c r="A164" s="2" t="s">
        <v>339</v>
      </c>
      <c r="F164" s="28" t="n">
        <f aca="false">Assumptions!$C$65</f>
        <v>300</v>
      </c>
      <c r="G164" s="17" t="n">
        <f aca="false">G153+G160+G158-G159-G161-G162</f>
        <v>300</v>
      </c>
      <c r="H164" s="17" t="n">
        <f aca="false">H153+H160+H158-H159-H161-H162</f>
        <v>300</v>
      </c>
      <c r="I164" s="17" t="n">
        <f aca="false">I153+I160+I158-I159-I161-I162</f>
        <v>300</v>
      </c>
      <c r="J164" s="17" t="n">
        <f aca="false">J153+J160+J158-J159-J161-J162</f>
        <v>300</v>
      </c>
      <c r="K164" s="17" t="n">
        <f aca="false">K153+K160+K158-K159-K161-K162</f>
        <v>300</v>
      </c>
    </row>
    <row r="165" customFormat="false" ht="15" hidden="false" customHeight="false" outlineLevel="0" collapsed="false">
      <c r="A165" s="24" t="s">
        <v>348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customFormat="false" ht="15" hidden="false" customHeight="false" outlineLevel="0" collapsed="false">
      <c r="A166" s="3" t="s">
        <v>329</v>
      </c>
      <c r="G166" s="16" t="n">
        <f aca="false">F177</f>
        <v>78.61</v>
      </c>
      <c r="H166" s="16" t="n">
        <f aca="false">G177</f>
        <v>78.61</v>
      </c>
      <c r="I166" s="16" t="n">
        <f aca="false">H177</f>
        <v>78.61</v>
      </c>
      <c r="J166" s="16" t="n">
        <f aca="false">I177</f>
        <v>78.61</v>
      </c>
      <c r="K166" s="16" t="n">
        <f aca="false">J177</f>
        <v>78.61</v>
      </c>
    </row>
    <row r="167" customFormat="false" ht="15" hidden="false" customHeight="false" outlineLevel="0" collapsed="false">
      <c r="A167" s="3" t="s">
        <v>330</v>
      </c>
      <c r="G167" s="21" t="n">
        <f aca="false">IF(G13=Assumptions!$K$66,1,0)</f>
        <v>0</v>
      </c>
      <c r="H167" s="21" t="n">
        <f aca="false">IF(H13=Assumptions!$K$66,1,0)</f>
        <v>0</v>
      </c>
      <c r="I167" s="21" t="n">
        <f aca="false">IF(I13=Assumptions!$K$66,1,0)</f>
        <v>0</v>
      </c>
      <c r="J167" s="21" t="n">
        <f aca="false">IF(J13=Assumptions!$K$66,1,0)</f>
        <v>0</v>
      </c>
      <c r="K167" s="21" t="n">
        <f aca="false">IF(K13=Assumptions!$K$66,1,0)</f>
        <v>0</v>
      </c>
    </row>
    <row r="169" customFormat="false" ht="15" hidden="false" customHeight="false" outlineLevel="0" collapsed="false">
      <c r="A169" s="3" t="s">
        <v>331</v>
      </c>
      <c r="G169" s="31" t="n">
        <f aca="false">IF(Assumptions!$I$66=1,MAX(G39,Assumptions!$G$66)+Assumptions!$F$66+$C$40,Assumptions!$E$66)</f>
        <v>0.0541</v>
      </c>
      <c r="H169" s="31" t="n">
        <f aca="false">IF(G368=1,$C$41,IF(Assumptions!$I$66=1,MAX(H39,Assumptions!$G$66)+Assumptions!$F$66+$C$40,Assumptions!$E$66))</f>
        <v>0.0526</v>
      </c>
      <c r="I169" s="31" t="n">
        <f aca="false">IF(H368=1,$C$41,IF(Assumptions!$I$66=1,MAX(I39,Assumptions!$G$66)+Assumptions!$F$66+$C$40,Assumptions!$E$66))</f>
        <v>0.0501</v>
      </c>
      <c r="J169" s="31" t="n">
        <f aca="false">IF(I368=1,$C$41,IF(Assumptions!$I$66=1,MAX(J39,Assumptions!$G$66)+Assumptions!$F$66+$C$40,Assumptions!$E$66))</f>
        <v>0.0501</v>
      </c>
      <c r="K169" s="31" t="n">
        <f aca="false">IF(J368=1,$C$41,IF(Assumptions!$I$66=1,MAX(K39,Assumptions!$G$66)+Assumptions!$F$66+$C$40,Assumptions!$E$66))</f>
        <v>0.0501</v>
      </c>
    </row>
    <row r="170" customFormat="false" ht="15" hidden="false" customHeight="false" outlineLevel="0" collapsed="false">
      <c r="A170" s="3" t="s">
        <v>332</v>
      </c>
      <c r="G170" s="16" t="n">
        <f aca="false">G166*G169</f>
        <v>4.252801</v>
      </c>
      <c r="H170" s="16" t="n">
        <f aca="false">H166*H169</f>
        <v>4.134886</v>
      </c>
      <c r="I170" s="16" t="n">
        <f aca="false">I166*I169</f>
        <v>3.938361</v>
      </c>
      <c r="J170" s="16" t="n">
        <f aca="false">J166*J169</f>
        <v>3.938361</v>
      </c>
      <c r="K170" s="16" t="n">
        <f aca="false">K166*K169</f>
        <v>3.938361</v>
      </c>
    </row>
    <row r="171" customFormat="false" ht="15" hidden="false" customHeight="false" outlineLevel="0" collapsed="false">
      <c r="A171" s="3" t="s">
        <v>333</v>
      </c>
      <c r="G171" s="16" t="n">
        <f aca="false">G166*Assumptions!$H$66</f>
        <v>0</v>
      </c>
      <c r="H171" s="16" t="n">
        <f aca="false">H166*Assumptions!$H$66</f>
        <v>0</v>
      </c>
      <c r="I171" s="16" t="n">
        <f aca="false">I166*Assumptions!$H$66</f>
        <v>0</v>
      </c>
      <c r="J171" s="16" t="n">
        <f aca="false">J166*Assumptions!$H$66</f>
        <v>0</v>
      </c>
      <c r="K171" s="16" t="n">
        <f aca="false">K166*Assumptions!$H$66</f>
        <v>0</v>
      </c>
    </row>
    <row r="172" customFormat="false" ht="15" hidden="false" customHeight="false" outlineLevel="0" collapsed="false">
      <c r="A172" s="3" t="s">
        <v>334</v>
      </c>
      <c r="G172" s="16" t="n">
        <f aca="false">MIN(G166,Assumptions!$L$66*Assumptions!$C$66)</f>
        <v>0</v>
      </c>
      <c r="H172" s="16" t="n">
        <f aca="false">MIN(H166,Assumptions!$L$66*Assumptions!$C$66)</f>
        <v>0</v>
      </c>
      <c r="I172" s="16" t="n">
        <f aca="false">MIN(I166,Assumptions!$L$66*Assumptions!$C$66)</f>
        <v>0</v>
      </c>
      <c r="J172" s="16" t="n">
        <f aca="false">MIN(J166,Assumptions!$L$66*Assumptions!$C$66)</f>
        <v>0</v>
      </c>
      <c r="K172" s="16" t="n">
        <f aca="false">MIN(K166,Assumptions!$L$66*Assumptions!$C$66)</f>
        <v>0</v>
      </c>
    </row>
    <row r="173" customFormat="false" ht="15" hidden="false" customHeight="false" outlineLevel="0" collapsed="false">
      <c r="A173" s="3" t="s">
        <v>335</v>
      </c>
      <c r="G173" s="16" t="n">
        <f aca="false">IF(AND(Assumptions!$P$66=1,G13&lt;Assumptions!$K$66),MIN(MAX(0,-G229),MAX(0,Assumptions!$D$66-G166)),0)</f>
        <v>0</v>
      </c>
      <c r="H173" s="16" t="n">
        <f aca="false">IF(AND(Assumptions!$P$66=1,OR(H13&lt;Assumptions!$K$66,G368=1)),MIN(MAX(0,-H229),MAX(0,Assumptions!$D$66-H166)),0)</f>
        <v>0</v>
      </c>
      <c r="I173" s="16" t="n">
        <f aca="false">IF(AND(Assumptions!$P$66=1,OR(I13&lt;Assumptions!$K$66,H368=1)),MIN(MAX(0,-I229),MAX(0,Assumptions!$D$66-I166)),0)</f>
        <v>0</v>
      </c>
      <c r="J173" s="16" t="n">
        <f aca="false">IF(AND(Assumptions!$P$66=1,OR(J13&lt;Assumptions!$K$66,I368=1)),MIN(MAX(0,-J229),MAX(0,Assumptions!$D$66-J166)),0)</f>
        <v>0</v>
      </c>
      <c r="K173" s="16" t="n">
        <f aca="false">IF(AND(Assumptions!$P$66=1,OR(K13&lt;Assumptions!$K$66,J368=1)),MIN(MAX(0,-K229),MAX(0,Assumptions!$D$66-K166)),0)</f>
        <v>0</v>
      </c>
    </row>
    <row r="174" customFormat="false" ht="15" hidden="false" customHeight="false" outlineLevel="0" collapsed="false">
      <c r="A174" s="3" t="s">
        <v>336</v>
      </c>
      <c r="G174" s="16" t="n">
        <f aca="false">G167*MIN(G166-G172+G171,MAX(0,G231-Assumptions!$C$12*G47-G57-G70-G83-G96-G109-G122-G135-G148-G161))</f>
        <v>0</v>
      </c>
      <c r="H174" s="16" t="n">
        <f aca="false">H167*MIN(H166-H172+H171,MAX(0,H231-Assumptions!$C$12*H47-H57-H70-H83-H96-H109-H122-H135-H148-H161))</f>
        <v>0</v>
      </c>
      <c r="I174" s="16" t="n">
        <f aca="false">I167*MIN(I166-I172+I171,MAX(0,I231-Assumptions!$C$12*I47-I57-I70-I83-I96-I109-I122-I135-I148-I161))</f>
        <v>0</v>
      </c>
      <c r="J174" s="16" t="n">
        <f aca="false">J167*MIN(J166-J172+J171,MAX(0,J231-Assumptions!$C$12*J47-J57-J70-J83-J96-J109-J122-J135-J148-J161))</f>
        <v>0</v>
      </c>
      <c r="K174" s="16" t="n">
        <f aca="false">K167*MIN(K166-K172+K171,MAX(0,K231-Assumptions!$C$12*K47-K57-K70-K83-K96-K109-K122-K135-K148-K161))</f>
        <v>0</v>
      </c>
    </row>
    <row r="175" customFormat="false" ht="15" hidden="false" customHeight="false" outlineLevel="0" collapsed="false">
      <c r="A175" s="3" t="s">
        <v>337</v>
      </c>
      <c r="G175" s="16" t="n">
        <f aca="false">Assumptions!$N$66*MIN(G166+G173+G171-G172-G174,MAX(0,G235-G58-G71-G84-G97-G110-G123-G136-G149-G162))</f>
        <v>0</v>
      </c>
      <c r="H175" s="16" t="n">
        <f aca="false">Assumptions!$N$66*MIN(H166+H173+H171-H172-H174,MAX(0,H235-H58-H71-H84-H97-H110-H123-H136-H149-H162))</f>
        <v>0</v>
      </c>
      <c r="I175" s="16" t="n">
        <f aca="false">Assumptions!$N$66*MIN(I166+I173+I171-I172-I174,MAX(0,I235-I58-I71-I84-I97-I110-I123-I136-I149-I162))</f>
        <v>0</v>
      </c>
      <c r="J175" s="16" t="n">
        <f aca="false">Assumptions!$N$66*MIN(J166+J173+J171-J172-J174,MAX(0,J235-J58-J71-J84-J97-J110-J123-J136-J149-J162))</f>
        <v>0</v>
      </c>
      <c r="K175" s="16" t="n">
        <f aca="false">Assumptions!$N$66*MIN(K166+K173+K171-K172-K174,MAX(0,K235-K58-K71-K84-K97-K110-K123-K136-K149-K162))</f>
        <v>0</v>
      </c>
    </row>
    <row r="176" customFormat="false" ht="15" hidden="false" customHeight="false" outlineLevel="0" collapsed="false">
      <c r="A176" s="3" t="s">
        <v>338</v>
      </c>
      <c r="G176" s="16" t="n">
        <f aca="false">G167*(1-G47)*(G166-G172+G171-G174)</f>
        <v>0</v>
      </c>
      <c r="H176" s="16" t="n">
        <f aca="false">H167*(1-H47)*(H166-H172+H171-H174)</f>
        <v>0</v>
      </c>
      <c r="I176" s="16" t="n">
        <f aca="false">I167*(1-I47)*(I166-I172+I171-I174)</f>
        <v>0</v>
      </c>
      <c r="J176" s="16" t="n">
        <f aca="false">J167*(1-J47)*(J166-J172+J171-J174)</f>
        <v>0</v>
      </c>
      <c r="K176" s="16" t="n">
        <f aca="false">K167*(1-K47)*(K166-K172+K171-K174)</f>
        <v>0</v>
      </c>
    </row>
    <row r="177" customFormat="false" ht="15" hidden="false" customHeight="false" outlineLevel="0" collapsed="false">
      <c r="A177" s="2" t="s">
        <v>339</v>
      </c>
      <c r="F177" s="28" t="n">
        <f aca="false">Assumptions!$C$66</f>
        <v>78.61</v>
      </c>
      <c r="G177" s="17" t="n">
        <f aca="false">G166+G173+G171-G172-G174-G175</f>
        <v>78.61</v>
      </c>
      <c r="H177" s="17" t="n">
        <f aca="false">H166+H173+H171-H172-H174-H175</f>
        <v>78.61</v>
      </c>
      <c r="I177" s="17" t="n">
        <f aca="false">I166+I173+I171-I172-I174-I175</f>
        <v>78.61</v>
      </c>
      <c r="J177" s="17" t="n">
        <f aca="false">J166+J173+J171-J172-J174-J175</f>
        <v>78.61</v>
      </c>
      <c r="K177" s="17" t="n">
        <f aca="false">K166+K173+K171-K172-K174-K175</f>
        <v>78.61</v>
      </c>
    </row>
    <row r="178" customFormat="false" ht="15" hidden="false" customHeight="false" outlineLevel="0" collapsed="false">
      <c r="A178" s="24" t="s">
        <v>349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customFormat="false" ht="15" hidden="false" customHeight="false" outlineLevel="0" collapsed="false">
      <c r="A179" s="2" t="s">
        <v>350</v>
      </c>
      <c r="F179" s="17" t="n">
        <f aca="false">F60+F73+F86+F99+F112+F125+F138+F151+F164+F177</f>
        <v>2625.934</v>
      </c>
      <c r="G179" s="17" t="n">
        <f aca="false">G60+G73+G86+G99+G112+G125+G138+G151+G164+G177</f>
        <v>2621.934</v>
      </c>
      <c r="H179" s="17" t="n">
        <f aca="false">H60+H73+H86+H99+H112+H125+H138+H151+H164+H177</f>
        <v>2575.6561513738</v>
      </c>
      <c r="I179" s="17" t="n">
        <f aca="false">I60+I73+I86+I99+I112+I125+I138+I151+I164+I177</f>
        <v>2638.45309355586</v>
      </c>
      <c r="J179" s="17" t="n">
        <f aca="false">J60+J73+J86+J99+J112+J125+J138+J151+J164+J177</f>
        <v>2723.3336162386</v>
      </c>
      <c r="K179" s="17" t="n">
        <f aca="false">K60+K73+K86+K99+K112+K125+K138+K151+K164+K177</f>
        <v>2823.86943529725</v>
      </c>
    </row>
    <row r="180" customFormat="false" ht="15" hidden="false" customHeight="false" outlineLevel="0" collapsed="false">
      <c r="A180" s="3" t="s">
        <v>351</v>
      </c>
      <c r="G180" s="16" t="n">
        <f aca="false">G50*Assumptions!$C$57+G63*Assumptions!$C$58+G76*Assumptions!$C$59+G89*Assumptions!$C$60+G102*Assumptions!$C$61+G115*Assumptions!$C$62+G128*Assumptions!$C$63+G141*Assumptions!$C$64+G154*Assumptions!$C$65+G167*Assumptions!$C$66</f>
        <v>0</v>
      </c>
      <c r="H180" s="16" t="n">
        <f aca="false">H50*Assumptions!$C$57+H63*Assumptions!$C$58+H76*Assumptions!$C$59+H89*Assumptions!$C$60+H102*Assumptions!$C$61+H115*Assumptions!$C$62+H128*Assumptions!$C$63+H141*Assumptions!$C$64+H154*Assumptions!$C$65+H167*Assumptions!$C$66</f>
        <v>800</v>
      </c>
      <c r="I180" s="16" t="n">
        <f aca="false">I50*Assumptions!$C$57+I63*Assumptions!$C$58+I76*Assumptions!$C$59+I89*Assumptions!$C$60+I102*Assumptions!$C$61+I115*Assumptions!$C$62+I128*Assumptions!$C$63+I141*Assumptions!$C$64+I154*Assumptions!$C$65+I167*Assumptions!$C$66</f>
        <v>550</v>
      </c>
      <c r="J180" s="16" t="n">
        <f aca="false">J50*Assumptions!$C$57+J63*Assumptions!$C$58+J76*Assumptions!$C$59+J89*Assumptions!$C$60+J102*Assumptions!$C$61+J115*Assumptions!$C$62+J128*Assumptions!$C$63+J141*Assumptions!$C$64+J154*Assumptions!$C$65+J167*Assumptions!$C$66</f>
        <v>350</v>
      </c>
      <c r="K180" s="16" t="n">
        <f aca="false">K50*Assumptions!$C$57+K63*Assumptions!$C$58+K76*Assumptions!$C$59+K89*Assumptions!$C$60+K102*Assumptions!$C$61+K115*Assumptions!$C$62+K128*Assumptions!$C$63+K141*Assumptions!$C$64+K154*Assumptions!$C$65+K167*Assumptions!$C$66</f>
        <v>700</v>
      </c>
    </row>
    <row r="181" customFormat="false" ht="15" hidden="false" customHeight="false" outlineLevel="0" collapsed="false">
      <c r="A181" s="24" t="s">
        <v>352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customFormat="false" ht="15" hidden="false" customHeight="false" outlineLevel="0" collapsed="false">
      <c r="A182" s="3" t="s">
        <v>353</v>
      </c>
      <c r="C182" s="16" t="n">
        <f aca="false">SUMPRODUCT($G$50:$K$50,$G$49:$K$49-$G$55:$K$55+$G$54:$K$54)</f>
        <v>380</v>
      </c>
    </row>
    <row r="183" customFormat="false" ht="15" hidden="false" customHeight="false" outlineLevel="0" collapsed="false">
      <c r="A183" s="3" t="s">
        <v>354</v>
      </c>
      <c r="C183" s="16" t="n">
        <f aca="false">SUMPRODUCT($G$50:$K$50,$G$57:$K$57)</f>
        <v>0</v>
      </c>
    </row>
    <row r="184" customFormat="false" ht="15" hidden="false" customHeight="false" outlineLevel="0" collapsed="false">
      <c r="A184" s="3" t="s">
        <v>355</v>
      </c>
      <c r="C184" s="3" t="str">
        <f aca="false">IF(SUM($G$50:$K$50)=0,"n/a (beyond horizon)",IF(SUMPRODUCT($G$50:$K$50,$G$47:$K$47)&gt;0,"REFINANCING PASS","REFINANCING FAILURE"))</f>
        <v>REFINANCING PASS</v>
      </c>
    </row>
    <row r="185" customFormat="false" ht="15" hidden="false" customHeight="false" outlineLevel="0" collapsed="false">
      <c r="A185" s="3" t="s">
        <v>356</v>
      </c>
      <c r="C185" s="3" t="str">
        <f aca="false">IF(SUM($G$50:$K$50)=0,"n/a",IF(C183&gt;=C182-0.001,"Repaid from cash",IF(SUMPRODUCT($G$50:$K$50,$G$47:$K$47)&gt;0,IF(C183&gt;0,"Partly repaid; remainder refinanced","Refinanced"),IF(SUM($G$59:$K$59)&gt;0.001,IF(C183&gt;0,"Partial repayment; PAYMENT DEFAULT","PAYMENT DEFAULT"),"Repaid from cash"))))</f>
        <v>Refinanced</v>
      </c>
    </row>
    <row r="186" customFormat="false" ht="15" hidden="false" customHeight="false" outlineLevel="0" collapsed="false">
      <c r="A186" s="3" t="s">
        <v>357</v>
      </c>
      <c r="C186" s="16" t="n">
        <f aca="false">SUMPRODUCT($G$63:$K$63,$G$62:$K$62-$G$68:$K$68+$G$67:$K$67)</f>
        <v>0</v>
      </c>
    </row>
    <row r="187" customFormat="false" ht="15" hidden="false" customHeight="false" outlineLevel="0" collapsed="false">
      <c r="A187" s="3" t="s">
        <v>358</v>
      </c>
      <c r="C187" s="16" t="n">
        <f aca="false">SUMPRODUCT($G$63:$K$63,$G$70:$K$70)</f>
        <v>0</v>
      </c>
    </row>
    <row r="188" customFormat="false" ht="15" hidden="false" customHeight="false" outlineLevel="0" collapsed="false">
      <c r="A188" s="3" t="s">
        <v>359</v>
      </c>
      <c r="C188" s="3" t="str">
        <f aca="false">IF(SUM($G$63:$K$63)=0,"n/a (beyond horizon)",IF(SUMPRODUCT($G$63:$K$63,$G$47:$K$47)&gt;0,"REFINANCING PASS","REFINANCING FAILURE"))</f>
        <v>n/a (beyond horizon)</v>
      </c>
    </row>
    <row r="189" customFormat="false" ht="15" hidden="false" customHeight="false" outlineLevel="0" collapsed="false">
      <c r="A189" s="3" t="s">
        <v>360</v>
      </c>
      <c r="C189" s="3" t="str">
        <f aca="false">IF(SUM($G$63:$K$63)=0,"n/a",IF(C187&gt;=C186-0.001,"Repaid from cash",IF(SUMPRODUCT($G$63:$K$63,$G$47:$K$47)&gt;0,IF(C187&gt;0,"Partly repaid; remainder refinanced","Refinanced"),IF(SUM($G$72:$K$72)&gt;0.001,IF(C187&gt;0,"Partial repayment; PAYMENT DEFAULT","PAYMENT DEFAULT"),"Repaid from cash"))))</f>
        <v>n/a</v>
      </c>
    </row>
    <row r="190" customFormat="false" ht="15" hidden="false" customHeight="false" outlineLevel="0" collapsed="false">
      <c r="A190" s="3" t="s">
        <v>361</v>
      </c>
      <c r="C190" s="16" t="n">
        <f aca="false">SUMPRODUCT($G$76:$K$76,$G$75:$K$75-$G$81:$K$81+$G$80:$K$80)</f>
        <v>0</v>
      </c>
    </row>
    <row r="191" customFormat="false" ht="15" hidden="false" customHeight="false" outlineLevel="0" collapsed="false">
      <c r="A191" s="3" t="s">
        <v>362</v>
      </c>
      <c r="C191" s="16" t="n">
        <f aca="false">SUMPRODUCT($G$76:$K$76,$G$83:$K$83)</f>
        <v>0</v>
      </c>
    </row>
    <row r="192" customFormat="false" ht="15" hidden="false" customHeight="false" outlineLevel="0" collapsed="false">
      <c r="A192" s="3" t="s">
        <v>363</v>
      </c>
      <c r="C192" s="3" t="str">
        <f aca="false">IF(SUM($G$76:$K$76)=0,"n/a (beyond horizon)",IF(SUMPRODUCT($G$76:$K$76,$G$47:$K$47)&gt;0,"REFINANCING PASS","REFINANCING FAILURE"))</f>
        <v>n/a (beyond horizon)</v>
      </c>
    </row>
    <row r="193" customFormat="false" ht="15" hidden="false" customHeight="false" outlineLevel="0" collapsed="false">
      <c r="A193" s="3" t="s">
        <v>364</v>
      </c>
      <c r="C193" s="3" t="str">
        <f aca="false">IF(SUM($G$76:$K$76)=0,"n/a",IF(C191&gt;=C190-0.001,"Repaid from cash",IF(SUMPRODUCT($G$76:$K$76,$G$47:$K$47)&gt;0,IF(C191&gt;0,"Partly repaid; remainder refinanced","Refinanced"),IF(SUM($G$85:$K$85)&gt;0.001,IF(C191&gt;0,"Partial repayment; PAYMENT DEFAULT","PAYMENT DEFAULT"),"Repaid from cash"))))</f>
        <v>n/a</v>
      </c>
    </row>
    <row r="194" customFormat="false" ht="15" hidden="false" customHeight="false" outlineLevel="0" collapsed="false">
      <c r="A194" s="3" t="s">
        <v>365</v>
      </c>
      <c r="C194" s="16" t="n">
        <f aca="false">SUMPRODUCT($G$89:$K$89,$G$88:$K$88-$G$94:$K$94+$G$93:$K$93)</f>
        <v>0</v>
      </c>
    </row>
    <row r="195" customFormat="false" ht="15" hidden="false" customHeight="false" outlineLevel="0" collapsed="false">
      <c r="A195" s="3" t="s">
        <v>366</v>
      </c>
      <c r="C195" s="16" t="n">
        <f aca="false">SUMPRODUCT($G$89:$K$89,$G$96:$K$96)</f>
        <v>0</v>
      </c>
    </row>
    <row r="196" customFormat="false" ht="15" hidden="false" customHeight="false" outlineLevel="0" collapsed="false">
      <c r="A196" s="3" t="s">
        <v>367</v>
      </c>
      <c r="C196" s="3" t="str">
        <f aca="false">IF(SUM($G$89:$K$89)=0,"n/a (beyond horizon)",IF(SUMPRODUCT($G$89:$K$89,$G$47:$K$47)&gt;0,"REFINANCING PASS","REFINANCING FAILURE"))</f>
        <v>REFINANCING PASS</v>
      </c>
    </row>
    <row r="197" customFormat="false" ht="15" hidden="false" customHeight="false" outlineLevel="0" collapsed="false">
      <c r="A197" s="3" t="s">
        <v>368</v>
      </c>
      <c r="C197" s="3" t="str">
        <f aca="false">IF(SUM($G$89:$K$89)=0,"n/a",IF(C195&gt;=C194-0.001,"Repaid from cash",IF(SUMPRODUCT($G$89:$K$89,$G$47:$K$47)&gt;0,IF(C195&gt;0,"Partly repaid; remainder refinanced","Refinanced"),IF(SUM($G$98:$K$98)&gt;0.001,IF(C195&gt;0,"Partial repayment; PAYMENT DEFAULT","PAYMENT DEFAULT"),"Repaid from cash"))))</f>
        <v>Repaid from cash</v>
      </c>
    </row>
    <row r="198" customFormat="false" ht="15" hidden="false" customHeight="false" outlineLevel="0" collapsed="false">
      <c r="A198" s="3" t="s">
        <v>369</v>
      </c>
      <c r="C198" s="16" t="n">
        <f aca="false">SUMPRODUCT($G$102:$K$102,$G$101:$K$101-$G$107:$K$107+$G$106:$K$106)</f>
        <v>450</v>
      </c>
    </row>
    <row r="199" customFormat="false" ht="15" hidden="false" customHeight="false" outlineLevel="0" collapsed="false">
      <c r="A199" s="3" t="s">
        <v>370</v>
      </c>
      <c r="C199" s="16" t="n">
        <f aca="false">SUMPRODUCT($G$102:$K$102,$G$109:$K$109)</f>
        <v>42.2778486262</v>
      </c>
    </row>
    <row r="200" customFormat="false" ht="15" hidden="false" customHeight="false" outlineLevel="0" collapsed="false">
      <c r="A200" s="3" t="s">
        <v>371</v>
      </c>
      <c r="C200" s="3" t="str">
        <f aca="false">IF(SUM($G$102:$K$102)=0,"n/a (beyond horizon)",IF(SUMPRODUCT($G$102:$K$102,$G$47:$K$47)&gt;0,"REFINANCING PASS","REFINANCING FAILURE"))</f>
        <v>REFINANCING PASS</v>
      </c>
    </row>
    <row r="201" customFormat="false" ht="15" hidden="false" customHeight="false" outlineLevel="0" collapsed="false">
      <c r="A201" s="3" t="s">
        <v>372</v>
      </c>
      <c r="C201" s="3" t="str">
        <f aca="false">IF(SUM($G$102:$K$102)=0,"n/a",IF(C199&gt;=C198-0.001,"Repaid from cash",IF(SUMPRODUCT($G$102:$K$102,$G$47:$K$47)&gt;0,IF(C199&gt;0,"Partly repaid; remainder refinanced","Refinanced"),IF(SUM($G$111:$K$111)&gt;0.001,IF(C199&gt;0,"Partial repayment; PAYMENT DEFAULT","PAYMENT DEFAULT"),"Repaid from cash"))))</f>
        <v>Partly repaid; remainder refinanced</v>
      </c>
    </row>
    <row r="202" customFormat="false" ht="15" hidden="false" customHeight="false" outlineLevel="0" collapsed="false">
      <c r="A202" s="3" t="s">
        <v>373</v>
      </c>
      <c r="C202" s="16" t="n">
        <f aca="false">SUMPRODUCT($G$115:$K$115,$G$114:$K$114-$G$120:$K$120+$G$119:$K$119)</f>
        <v>350</v>
      </c>
    </row>
    <row r="203" customFormat="false" ht="15" hidden="false" customHeight="false" outlineLevel="0" collapsed="false">
      <c r="A203" s="3" t="s">
        <v>374</v>
      </c>
      <c r="C203" s="16" t="n">
        <f aca="false">SUMPRODUCT($G$115:$K$115,$G$122:$K$122)</f>
        <v>0</v>
      </c>
    </row>
    <row r="204" customFormat="false" ht="15" hidden="false" customHeight="false" outlineLevel="0" collapsed="false">
      <c r="A204" s="3" t="s">
        <v>375</v>
      </c>
      <c r="C204" s="3" t="str">
        <f aca="false">IF(SUM($G$115:$K$115)=0,"n/a (beyond horizon)",IF(SUMPRODUCT($G$115:$K$115,$G$47:$K$47)&gt;0,"REFINANCING PASS","REFINANCING FAILURE"))</f>
        <v>REFINANCING PASS</v>
      </c>
    </row>
    <row r="205" customFormat="false" ht="15" hidden="false" customHeight="false" outlineLevel="0" collapsed="false">
      <c r="A205" s="3" t="s">
        <v>376</v>
      </c>
      <c r="C205" s="3" t="str">
        <f aca="false">IF(SUM($G$115:$K$115)=0,"n/a",IF(C203&gt;=C202-0.001,"Repaid from cash",IF(SUMPRODUCT($G$115:$K$115,$G$47:$K$47)&gt;0,IF(C203&gt;0,"Partly repaid; remainder refinanced","Refinanced"),IF(SUM($G$124:$K$124)&gt;0.001,IF(C203&gt;0,"Partial repayment; PAYMENT DEFAULT","PAYMENT DEFAULT"),"Repaid from cash"))))</f>
        <v>Refinanced</v>
      </c>
    </row>
    <row r="206" customFormat="false" ht="15" hidden="false" customHeight="false" outlineLevel="0" collapsed="false">
      <c r="A206" s="3" t="s">
        <v>377</v>
      </c>
      <c r="C206" s="16" t="n">
        <f aca="false">SUMPRODUCT($G$128:$K$128,$G$127:$K$127-$G$133:$K$133+$G$132:$K$132)</f>
        <v>550</v>
      </c>
    </row>
    <row r="207" customFormat="false" ht="15" hidden="false" customHeight="false" outlineLevel="0" collapsed="false">
      <c r="A207" s="3" t="s">
        <v>378</v>
      </c>
      <c r="C207" s="16" t="n">
        <f aca="false">SUMPRODUCT($G$128:$K$128,$G$135:$K$135)</f>
        <v>0</v>
      </c>
    </row>
    <row r="208" customFormat="false" ht="15" hidden="false" customHeight="false" outlineLevel="0" collapsed="false">
      <c r="A208" s="3" t="s">
        <v>379</v>
      </c>
      <c r="C208" s="3" t="str">
        <f aca="false">IF(SUM($G$128:$K$128)=0,"n/a (beyond horizon)",IF(SUMPRODUCT($G$128:$K$128,$G$47:$K$47)&gt;0,"REFINANCING PASS","REFINANCING FAILURE"))</f>
        <v>REFINANCING PASS</v>
      </c>
    </row>
    <row r="209" customFormat="false" ht="15" hidden="false" customHeight="false" outlineLevel="0" collapsed="false">
      <c r="A209" s="3" t="s">
        <v>380</v>
      </c>
      <c r="C209" s="3" t="str">
        <f aca="false">IF(SUM($G$128:$K$128)=0,"n/a",IF(C207&gt;=C206-0.001,"Repaid from cash",IF(SUMPRODUCT($G$128:$K$128,$G$47:$K$47)&gt;0,IF(C207&gt;0,"Partly repaid; remainder refinanced","Refinanced"),IF(SUM($G$137:$K$137)&gt;0.001,IF(C207&gt;0,"Partial repayment; PAYMENT DEFAULT","PAYMENT DEFAULT"),"Repaid from cash"))))</f>
        <v>Refinanced</v>
      </c>
    </row>
    <row r="210" customFormat="false" ht="15" hidden="false" customHeight="false" outlineLevel="0" collapsed="false">
      <c r="A210" s="3" t="s">
        <v>381</v>
      </c>
      <c r="C210" s="16" t="n">
        <f aca="false">SUMPRODUCT($G$141:$K$141,$G$140:$K$140-$G$146:$K$146+$G$145:$K$145)</f>
        <v>350</v>
      </c>
    </row>
    <row r="211" customFormat="false" ht="15" hidden="false" customHeight="false" outlineLevel="0" collapsed="false">
      <c r="A211" s="3" t="s">
        <v>382</v>
      </c>
      <c r="C211" s="16" t="n">
        <f aca="false">SUMPRODUCT($G$141:$K$141,$G$148:$K$148)</f>
        <v>0</v>
      </c>
    </row>
    <row r="212" customFormat="false" ht="15" hidden="false" customHeight="false" outlineLevel="0" collapsed="false">
      <c r="A212" s="3" t="s">
        <v>383</v>
      </c>
      <c r="C212" s="3" t="str">
        <f aca="false">IF(SUM($G$141:$K$141)=0,"n/a (beyond horizon)",IF(SUMPRODUCT($G$141:$K$141,$G$47:$K$47)&gt;0,"REFINANCING PASS","REFINANCING FAILURE"))</f>
        <v>REFINANCING PASS</v>
      </c>
    </row>
    <row r="213" customFormat="false" ht="15" hidden="false" customHeight="false" outlineLevel="0" collapsed="false">
      <c r="A213" s="3" t="s">
        <v>384</v>
      </c>
      <c r="C213" s="3" t="str">
        <f aca="false">IF(SUM($G$141:$K$141)=0,"n/a",IF(C211&gt;=C210-0.001,"Repaid from cash",IF(SUMPRODUCT($G$141:$K$141,$G$47:$K$47)&gt;0,IF(C211&gt;0,"Partly repaid; remainder refinanced","Refinanced"),IF(SUM($G$150:$K$150)&gt;0.001,IF(C211&gt;0,"Partial repayment; PAYMENT DEFAULT","PAYMENT DEFAULT"),"Repaid from cash"))))</f>
        <v>Refinanced</v>
      </c>
    </row>
    <row r="214" customFormat="false" ht="15" hidden="false" customHeight="false" outlineLevel="0" collapsed="false">
      <c r="A214" s="3" t="s">
        <v>385</v>
      </c>
      <c r="C214" s="16" t="n">
        <f aca="false">SUMPRODUCT($G$154:$K$154,$G$153:$K$153-$G$159:$K$159+$G$158:$K$158)</f>
        <v>300</v>
      </c>
    </row>
    <row r="215" customFormat="false" ht="15" hidden="false" customHeight="false" outlineLevel="0" collapsed="false">
      <c r="A215" s="3" t="s">
        <v>386</v>
      </c>
      <c r="C215" s="16" t="n">
        <f aca="false">SUMPRODUCT($G$154:$K$154,$G$161:$K$161)</f>
        <v>0</v>
      </c>
    </row>
    <row r="216" customFormat="false" ht="15" hidden="false" customHeight="false" outlineLevel="0" collapsed="false">
      <c r="A216" s="3" t="s">
        <v>387</v>
      </c>
      <c r="C216" s="3" t="str">
        <f aca="false">IF(SUM($G$154:$K$154)=0,"n/a (beyond horizon)",IF(SUMPRODUCT($G$154:$K$154,$G$47:$K$47)&gt;0,"REFINANCING PASS","REFINANCING FAILURE"))</f>
        <v>REFINANCING PASS</v>
      </c>
    </row>
    <row r="217" customFormat="false" ht="15" hidden="false" customHeight="false" outlineLevel="0" collapsed="false">
      <c r="A217" s="3" t="s">
        <v>388</v>
      </c>
      <c r="C217" s="3" t="str">
        <f aca="false">IF(SUM($G$154:$K$154)=0,"n/a",IF(C215&gt;=C214-0.001,"Repaid from cash",IF(SUMPRODUCT($G$154:$K$154,$G$47:$K$47)&gt;0,IF(C215&gt;0,"Partly repaid; remainder refinanced","Refinanced"),IF(SUM($G$163:$K$163)&gt;0.001,IF(C215&gt;0,"Partial repayment; PAYMENT DEFAULT","PAYMENT DEFAULT"),"Repaid from cash"))))</f>
        <v>Refinanced</v>
      </c>
    </row>
    <row r="218" customFormat="false" ht="15" hidden="false" customHeight="false" outlineLevel="0" collapsed="false">
      <c r="A218" s="3" t="s">
        <v>389</v>
      </c>
      <c r="C218" s="16" t="n">
        <f aca="false">SUMPRODUCT($G$167:$K$167,$G$166:$K$166-$G$172:$K$172+$G$171:$K$171)</f>
        <v>0</v>
      </c>
    </row>
    <row r="219" customFormat="false" ht="15" hidden="false" customHeight="false" outlineLevel="0" collapsed="false">
      <c r="A219" s="3" t="s">
        <v>390</v>
      </c>
      <c r="C219" s="16" t="n">
        <f aca="false">SUMPRODUCT($G$167:$K$167,$G$174:$K$174)</f>
        <v>0</v>
      </c>
    </row>
    <row r="220" customFormat="false" ht="15" hidden="false" customHeight="false" outlineLevel="0" collapsed="false">
      <c r="A220" s="3" t="s">
        <v>391</v>
      </c>
      <c r="C220" s="3" t="str">
        <f aca="false">IF(SUM($G$167:$K$167)=0,"n/a (beyond horizon)",IF(SUMPRODUCT($G$167:$K$167,$G$47:$K$47)&gt;0,"REFINANCING PASS","REFINANCING FAILURE"))</f>
        <v>n/a (beyond horizon)</v>
      </c>
    </row>
    <row r="221" customFormat="false" ht="15" hidden="false" customHeight="false" outlineLevel="0" collapsed="false">
      <c r="A221" s="3" t="s">
        <v>392</v>
      </c>
      <c r="C221" s="3" t="str">
        <f aca="false">IF(SUM($G$167:$K$167)=0,"n/a",IF(C219&gt;=C218-0.001,"Repaid from cash",IF(SUMPRODUCT($G$167:$K$167,$G$47:$K$47)&gt;0,IF(C219&gt;0,"Partly repaid; remainder refinanced","Refinanced"),IF(SUM($G$176:$K$176)&gt;0.001,IF(C219&gt;0,"Partial repayment; PAYMENT DEFAULT","PAYMENT DEFAULT"),"Repaid from cash"))))</f>
        <v>n/a</v>
      </c>
    </row>
    <row r="222" customFormat="false" ht="15" hidden="false" customHeight="false" outlineLevel="0" collapsed="false">
      <c r="A222" s="3" t="s">
        <v>393</v>
      </c>
      <c r="C222" s="21" t="n">
        <f aca="false">IF(C184="REFINANCING FAILURE",1,0)+IF(C188="REFINANCING FAILURE",1,0)+IF(C192="REFINANCING FAILURE",1,0)+IF(C196="REFINANCING FAILURE",1,0)+IF(C200="REFINANCING FAILURE",1,0)+IF(C204="REFINANCING FAILURE",1,0)+IF(C208="REFINANCING FAILURE",1,0)+IF(C212="REFINANCING FAILURE",1,0)+IF(C216="REFINANCING FAILURE",1,0)+IF(C220="REFINANCING FAILURE",1,0)</f>
        <v>0</v>
      </c>
    </row>
    <row r="224" customFormat="false" ht="15" hidden="false" customHeight="false" outlineLevel="0" collapsed="false">
      <c r="A224" s="24" t="s">
        <v>395</v>
      </c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customFormat="false" ht="15" hidden="false" customHeight="false" outlineLevel="0" collapsed="false">
      <c r="A225" s="3" t="s">
        <v>325</v>
      </c>
      <c r="G225" s="16" t="n">
        <f aca="false">F237</f>
        <v>37.87</v>
      </c>
      <c r="H225" s="16" t="n">
        <f aca="false">G237</f>
        <v>150.3287686</v>
      </c>
      <c r="I225" s="16" t="n">
        <f aca="false">H237</f>
        <v>25</v>
      </c>
      <c r="J225" s="16" t="n">
        <f aca="false">I237</f>
        <v>0</v>
      </c>
      <c r="K225" s="16" t="n">
        <f aca="false">J237</f>
        <v>0</v>
      </c>
    </row>
    <row r="226" customFormat="false" ht="15" hidden="false" customHeight="false" outlineLevel="0" collapsed="false">
      <c r="A226" s="3" t="s">
        <v>396</v>
      </c>
      <c r="G226" s="16" t="n">
        <f aca="false">G36</f>
        <v>-83.5412314</v>
      </c>
      <c r="H226" s="16" t="n">
        <f aca="false">H36</f>
        <v>-79.0509199738</v>
      </c>
      <c r="I226" s="16" t="n">
        <f aca="false">I36</f>
        <v>-87.796942182056</v>
      </c>
      <c r="J226" s="16" t="n">
        <f aca="false">J36</f>
        <v>-84.8805226827392</v>
      </c>
      <c r="K226" s="16" t="n">
        <f aca="false">K36</f>
        <v>-100.535819058653</v>
      </c>
    </row>
    <row r="227" customFormat="false" ht="15" hidden="false" customHeight="false" outlineLevel="0" collapsed="false">
      <c r="A227" s="3" t="s">
        <v>397</v>
      </c>
      <c r="G227" s="16" t="n">
        <f aca="false">CHOOSE($C$6,Assumptions!$G$82,Assumptions!$G$101,Assumptions!$G$120)</f>
        <v>200</v>
      </c>
      <c r="H227" s="16" t="n">
        <f aca="false">CHOOSE($C$6,Assumptions!$H$82,Assumptions!$H$101,Assumptions!$H$120)</f>
        <v>0</v>
      </c>
      <c r="I227" s="16" t="n">
        <f aca="false">CHOOSE($C$6,Assumptions!$I$82,Assumptions!$I$101,Assumptions!$I$120)</f>
        <v>0</v>
      </c>
      <c r="J227" s="16" t="n">
        <f aca="false">CHOOSE($C$6,Assumptions!$J$82,Assumptions!$J$101,Assumptions!$J$120)</f>
        <v>0</v>
      </c>
      <c r="K227" s="16" t="n">
        <f aca="false">CHOOSE($C$6,Assumptions!$K$82,Assumptions!$K$101,Assumptions!$K$120)</f>
        <v>0</v>
      </c>
    </row>
    <row r="228" customFormat="false" ht="15" hidden="false" customHeight="false" outlineLevel="0" collapsed="false">
      <c r="A228" s="3" t="s">
        <v>398</v>
      </c>
      <c r="G228" s="16" t="n">
        <f aca="false">G55+G68+G81+G94+G107+G120+G133+G146+G159+G172</f>
        <v>4</v>
      </c>
      <c r="H228" s="16" t="n">
        <f aca="false">H55+H68+H81+H94+H107+H120+H133+H146+H159+H172</f>
        <v>4</v>
      </c>
      <c r="I228" s="16" t="n">
        <f aca="false">I55+I68+I81+I94+I107+I120+I133+I146+I159+I172</f>
        <v>4</v>
      </c>
      <c r="J228" s="16" t="n">
        <f aca="false">J55+J68+J81+J94+J107+J120+J133+J146+J159+J172</f>
        <v>4</v>
      </c>
      <c r="K228" s="16" t="n">
        <f aca="false">K55+K68+K81+K94+K107+K120+K133+K146+K159+K172</f>
        <v>4</v>
      </c>
    </row>
    <row r="229" customFormat="false" ht="15" hidden="false" customHeight="false" outlineLevel="0" collapsed="false">
      <c r="A229" s="2" t="s">
        <v>399</v>
      </c>
      <c r="G229" s="17" t="n">
        <f aca="false">G225+G226+G227-G228</f>
        <v>150.3287686</v>
      </c>
      <c r="H229" s="17" t="n">
        <f aca="false">H225+H226+H227-H228</f>
        <v>67.2778486262</v>
      </c>
      <c r="I229" s="17" t="n">
        <f aca="false">I225+I226+I227-I228</f>
        <v>-66.796942182056</v>
      </c>
      <c r="J229" s="17" t="n">
        <f aca="false">J225+J226+J227-J228</f>
        <v>-88.8805226827392</v>
      </c>
      <c r="K229" s="17" t="n">
        <f aca="false">K225+K226+K227-K228</f>
        <v>-104.535819058653</v>
      </c>
    </row>
    <row r="230" customFormat="false" ht="15" hidden="false" customHeight="false" outlineLevel="0" collapsed="false">
      <c r="A230" s="3" t="s">
        <v>400</v>
      </c>
      <c r="G230" s="16" t="n">
        <f aca="false">G56+G69+G82+G95+G108+G121+G134+G147+G160+G173</f>
        <v>0</v>
      </c>
      <c r="H230" s="16" t="n">
        <f aca="false">H56+H69+H82+H95+H108+H121+H134+H147+H160+H173</f>
        <v>0</v>
      </c>
      <c r="I230" s="16" t="n">
        <f aca="false">I56+I69+I82+I95+I108+I121+I134+I147+I160+I173</f>
        <v>66.796942182056</v>
      </c>
      <c r="J230" s="16" t="n">
        <f aca="false">J56+J69+J82+J95+J108+J121+J134+J147+J160+J173</f>
        <v>88.8805226827392</v>
      </c>
      <c r="K230" s="16" t="n">
        <f aca="false">K56+K69+K82+K95+K108+K121+K134+K147+K160+K173</f>
        <v>104.535819058653</v>
      </c>
    </row>
    <row r="231" customFormat="false" ht="15" hidden="false" customHeight="false" outlineLevel="0" collapsed="false">
      <c r="A231" s="2" t="s">
        <v>401</v>
      </c>
      <c r="G231" s="17" t="n">
        <f aca="false">G229+G230</f>
        <v>150.3287686</v>
      </c>
      <c r="H231" s="17" t="n">
        <f aca="false">H229+H230</f>
        <v>67.2778486262</v>
      </c>
      <c r="I231" s="17" t="n">
        <f aca="false">I229+I230</f>
        <v>0</v>
      </c>
      <c r="J231" s="17" t="n">
        <f aca="false">J229+J230</f>
        <v>0</v>
      </c>
      <c r="K231" s="17" t="n">
        <f aca="false">K229+K230</f>
        <v>0</v>
      </c>
    </row>
    <row r="232" customFormat="false" ht="15" hidden="false" customHeight="false" outlineLevel="0" collapsed="false">
      <c r="A232" s="3" t="s">
        <v>402</v>
      </c>
      <c r="G232" s="16" t="n">
        <f aca="false">G57+G70+G83+G96+G109+G122+G135+G148+G161+G174</f>
        <v>0</v>
      </c>
      <c r="H232" s="16" t="n">
        <f aca="false">H57+H70+H83+H96+H109+H122+H135+H148+H161+H174</f>
        <v>42.2778486262</v>
      </c>
      <c r="I232" s="16" t="n">
        <f aca="false">I57+I70+I83+I96+I109+I122+I135+I148+I161+I174</f>
        <v>0</v>
      </c>
      <c r="J232" s="16" t="n">
        <f aca="false">J57+J70+J83+J96+J109+J122+J135+J148+J161+J174</f>
        <v>0</v>
      </c>
      <c r="K232" s="16" t="n">
        <f aca="false">K57+K70+K83+K96+K109+K122+K135+K148+K161+K174</f>
        <v>0</v>
      </c>
    </row>
    <row r="233" customFormat="false" ht="15" hidden="false" customHeight="false" outlineLevel="0" collapsed="false">
      <c r="A233" s="2" t="s">
        <v>403</v>
      </c>
      <c r="G233" s="17" t="n">
        <f aca="false">G231-G232</f>
        <v>150.3287686</v>
      </c>
      <c r="H233" s="17" t="n">
        <f aca="false">H231-H232</f>
        <v>25</v>
      </c>
      <c r="I233" s="17" t="n">
        <f aca="false">I231-I232</f>
        <v>0</v>
      </c>
      <c r="J233" s="17" t="n">
        <f aca="false">J231-J232</f>
        <v>0</v>
      </c>
      <c r="K233" s="17" t="n">
        <f aca="false">K231-K232</f>
        <v>0</v>
      </c>
    </row>
    <row r="234" customFormat="false" ht="15" hidden="false" customHeight="false" outlineLevel="0" collapsed="false">
      <c r="A234" s="3" t="s">
        <v>404</v>
      </c>
      <c r="G234" s="16" t="n">
        <f aca="false">MAX(0,-G233)</f>
        <v>0</v>
      </c>
      <c r="H234" s="16" t="n">
        <f aca="false">MAX(0,-H233)</f>
        <v>0</v>
      </c>
      <c r="I234" s="16" t="n">
        <f aca="false">MAX(0,-I233)</f>
        <v>-0</v>
      </c>
      <c r="J234" s="16" t="n">
        <f aca="false">MAX(0,-J233)</f>
        <v>-0</v>
      </c>
      <c r="K234" s="16" t="n">
        <f aca="false">MAX(0,-K233)</f>
        <v>-0</v>
      </c>
    </row>
    <row r="235" customFormat="false" ht="15" hidden="false" customHeight="false" outlineLevel="0" collapsed="false">
      <c r="A235" s="3" t="s">
        <v>405</v>
      </c>
      <c r="G235" s="16" t="n">
        <f aca="false">MAX(0,G233-Assumptions!$C$12)*Assumptions!$C$13</f>
        <v>0</v>
      </c>
      <c r="H235" s="16" t="n">
        <f aca="false">MAX(0,H233-Assumptions!$C$12)*Assumptions!$C$13</f>
        <v>0</v>
      </c>
      <c r="I235" s="16" t="n">
        <f aca="false">MAX(0,I233-Assumptions!$C$12)*Assumptions!$C$13</f>
        <v>0</v>
      </c>
      <c r="J235" s="16" t="n">
        <f aca="false">MAX(0,J233-Assumptions!$C$12)*Assumptions!$C$13</f>
        <v>0</v>
      </c>
      <c r="K235" s="16" t="n">
        <f aca="false">MAX(0,K233-Assumptions!$C$12)*Assumptions!$C$13</f>
        <v>0</v>
      </c>
    </row>
    <row r="236" customFormat="false" ht="15" hidden="false" customHeight="false" outlineLevel="0" collapsed="false">
      <c r="A236" s="3" t="s">
        <v>406</v>
      </c>
      <c r="G236" s="16" t="n">
        <f aca="false">G58+G71+G84+G97+G110+G123+G136+G149+G162+G175</f>
        <v>0</v>
      </c>
      <c r="H236" s="16" t="n">
        <f aca="false">H58+H71+H84+H97+H110+H123+H136+H149+H162+H175</f>
        <v>0</v>
      </c>
      <c r="I236" s="16" t="n">
        <f aca="false">I58+I71+I84+I97+I110+I123+I136+I149+I162+I175</f>
        <v>0</v>
      </c>
      <c r="J236" s="16" t="n">
        <f aca="false">J58+J71+J84+J97+J110+J123+J136+J149+J162+J175</f>
        <v>0</v>
      </c>
      <c r="K236" s="16" t="n">
        <f aca="false">K58+K71+K84+K97+K110+K123+K136+K149+K162+K175</f>
        <v>0</v>
      </c>
    </row>
    <row r="237" customFormat="false" ht="15" hidden="false" customHeight="false" outlineLevel="0" collapsed="false">
      <c r="A237" s="2" t="s">
        <v>407</v>
      </c>
      <c r="F237" s="28" t="n">
        <f aca="false">Assumptions!$C$11</f>
        <v>37.87</v>
      </c>
      <c r="G237" s="17" t="n">
        <f aca="false">G233-G236</f>
        <v>150.3287686</v>
      </c>
      <c r="H237" s="17" t="n">
        <f aca="false">H233-H236</f>
        <v>25</v>
      </c>
      <c r="I237" s="17" t="n">
        <f aca="false">I233-I236</f>
        <v>0</v>
      </c>
      <c r="J237" s="17" t="n">
        <f aca="false">J233-J236</f>
        <v>0</v>
      </c>
      <c r="K237" s="17" t="n">
        <f aca="false">K233-K236</f>
        <v>0</v>
      </c>
    </row>
    <row r="238" customFormat="false" ht="15" hidden="false" customHeight="false" outlineLevel="0" collapsed="false">
      <c r="A238" s="3" t="s">
        <v>408</v>
      </c>
      <c r="G238" s="16" t="n">
        <f aca="false">G59+G72+G85+G98+G111+G124+G137+G150+G163+G176</f>
        <v>0</v>
      </c>
      <c r="H238" s="16" t="n">
        <f aca="false">H59+H72+H85+H98+H111+H124+H137+H150+H163+H176</f>
        <v>0</v>
      </c>
      <c r="I238" s="16" t="n">
        <f aca="false">I59+I72+I85+I98+I111+I124+I137+I150+I163+I176</f>
        <v>0</v>
      </c>
      <c r="J238" s="16" t="n">
        <f aca="false">J59+J72+J85+J98+J111+J124+J137+J150+J163+J176</f>
        <v>0</v>
      </c>
      <c r="K238" s="16" t="n">
        <f aca="false">K59+K72+K85+K98+K111+K124+K137+K150+K163+K176</f>
        <v>0</v>
      </c>
    </row>
    <row r="239" customFormat="false" ht="15" hidden="false" customHeight="false" outlineLevel="0" collapsed="false">
      <c r="A239" s="3" t="s">
        <v>409</v>
      </c>
      <c r="G239" s="21" t="n">
        <f aca="false">IF(OR(G234&gt;0.001,G238&gt;0.001),1,0)</f>
        <v>0</v>
      </c>
      <c r="H239" s="21" t="n">
        <f aca="false">IF(OR(H234&gt;0.001,H238&gt;0.001),1,0)</f>
        <v>0</v>
      </c>
      <c r="I239" s="21" t="n">
        <f aca="false">IF(OR(I234&gt;0.001,I238&gt;0.001),1,0)</f>
        <v>0</v>
      </c>
      <c r="J239" s="21" t="n">
        <f aca="false">IF(OR(J234&gt;0.001,J238&gt;0.001),1,0)</f>
        <v>0</v>
      </c>
      <c r="K239" s="21" t="n">
        <f aca="false">IF(OR(K234&gt;0.001,K238&gt;0.001),1,0)</f>
        <v>0</v>
      </c>
    </row>
    <row r="240" customFormat="false" ht="15" hidden="false" customHeight="false" outlineLevel="0" collapsed="false">
      <c r="A240" s="3" t="s">
        <v>410</v>
      </c>
      <c r="G240" s="21" t="n">
        <f aca="false">IF(G239=1,1,0)</f>
        <v>0</v>
      </c>
      <c r="H240" s="21" t="n">
        <f aca="false">IF(AND(H239=1,SUM($G$239:G239)=0),1,0)</f>
        <v>0</v>
      </c>
      <c r="I240" s="21" t="n">
        <f aca="false">IF(AND(I239=1,SUM($G$239:H239)=0),1,0)</f>
        <v>0</v>
      </c>
      <c r="J240" s="21" t="n">
        <f aca="false">IF(AND(J239=1,SUM($G$239:I239)=0),1,0)</f>
        <v>0</v>
      </c>
      <c r="K240" s="21" t="n">
        <f aca="false">IF(AND(K239=1,SUM($G$239:J239)=0),1,0)</f>
        <v>0</v>
      </c>
    </row>
    <row r="241" customFormat="false" ht="15" hidden="false" customHeight="false" outlineLevel="0" collapsed="false">
      <c r="A241" s="3" t="s">
        <v>411</v>
      </c>
      <c r="G241" s="16" t="n">
        <f aca="false">(G179-F179)-(G230+G28-G228-G232-G236)</f>
        <v>0</v>
      </c>
      <c r="H241" s="16" t="n">
        <f aca="false">(H179-G179)-(H230+H28-H228-H232-H236)</f>
        <v>0</v>
      </c>
      <c r="I241" s="16" t="n">
        <f aca="false">(I179-H179)-(I230+I28-I228-I232-I236)</f>
        <v>0</v>
      </c>
      <c r="J241" s="16" t="n">
        <f aca="false">(J179-I179)-(J230+J28-J228-J232-J236)</f>
        <v>0</v>
      </c>
      <c r="K241" s="16" t="n">
        <f aca="false">(K179-J179)-(K230+K28-K228-K232-K236)</f>
        <v>0</v>
      </c>
    </row>
    <row r="243" customFormat="false" ht="15" hidden="false" customHeight="false" outlineLevel="0" collapsed="false">
      <c r="A243" s="24" t="s">
        <v>413</v>
      </c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customFormat="false" ht="15" hidden="false" customHeight="false" outlineLevel="0" collapsed="false">
      <c r="A244" s="3" t="s">
        <v>414</v>
      </c>
      <c r="G244" s="16" t="n">
        <f aca="false">G179</f>
        <v>2621.934</v>
      </c>
      <c r="H244" s="16" t="n">
        <f aca="false">H179</f>
        <v>2575.6561513738</v>
      </c>
      <c r="I244" s="16" t="n">
        <f aca="false">I179</f>
        <v>2638.45309355586</v>
      </c>
      <c r="J244" s="16" t="n">
        <f aca="false">J179</f>
        <v>2723.3336162386</v>
      </c>
      <c r="K244" s="16" t="n">
        <f aca="false">K179</f>
        <v>2823.86943529725</v>
      </c>
    </row>
    <row r="245" customFormat="false" ht="15" hidden="false" customHeight="false" outlineLevel="0" collapsed="false">
      <c r="A245" s="3" t="s">
        <v>415</v>
      </c>
      <c r="G245" s="16" t="n">
        <f aca="false">Assumptions!$O$57*G60+Assumptions!$O$58*G73+Assumptions!$O$59*G86+Assumptions!$O$60*G99+Assumptions!$O$61*G112+Assumptions!$O$62*G125+Assumptions!$O$63*G138+Assumptions!$O$64*G151+Assumptions!$O$65*G164+Assumptions!$O$66*G177</f>
        <v>543.324</v>
      </c>
      <c r="H245" s="16" t="n">
        <f aca="false">Assumptions!$O$57*H60+Assumptions!$O$58*H73+Assumptions!$O$59*H86+Assumptions!$O$60*H99+Assumptions!$O$61*H112+Assumptions!$O$62*H125+Assumptions!$O$63*H138+Assumptions!$O$64*H151+Assumptions!$O$65*H164+Assumptions!$O$66*H177</f>
        <v>539.324</v>
      </c>
      <c r="I245" s="16" t="n">
        <f aca="false">Assumptions!$O$57*I60+Assumptions!$O$58*I73+Assumptions!$O$59*I86+Assumptions!$O$60*I99+Assumptions!$O$61*I112+Assumptions!$O$62*I125+Assumptions!$O$63*I138+Assumptions!$O$64*I151+Assumptions!$O$65*I164+Assumptions!$O$66*I177</f>
        <v>535.324</v>
      </c>
      <c r="J245" s="16" t="n">
        <f aca="false">Assumptions!$O$57*J60+Assumptions!$O$58*J73+Assumptions!$O$59*J86+Assumptions!$O$60*J99+Assumptions!$O$61*J112+Assumptions!$O$62*J125+Assumptions!$O$63*J138+Assumptions!$O$64*J151+Assumptions!$O$65*J164+Assumptions!$O$66*J177</f>
        <v>531.324</v>
      </c>
      <c r="K245" s="16" t="n">
        <f aca="false">Assumptions!$O$57*K60+Assumptions!$O$58*K73+Assumptions!$O$59*K86+Assumptions!$O$60*K99+Assumptions!$O$61*K112+Assumptions!$O$62*K125+Assumptions!$O$63*K138+Assumptions!$O$64*K151+Assumptions!$O$65*K164+Assumptions!$O$66*K177</f>
        <v>527.324</v>
      </c>
    </row>
    <row r="246" customFormat="false" ht="15" hidden="false" customHeight="false" outlineLevel="0" collapsed="false">
      <c r="A246" s="3" t="s">
        <v>416</v>
      </c>
      <c r="G246" s="16" t="n">
        <f aca="false">G244-G237</f>
        <v>2471.6052314</v>
      </c>
      <c r="H246" s="16" t="n">
        <f aca="false">H244-H237</f>
        <v>2550.6561513738</v>
      </c>
      <c r="I246" s="16" t="n">
        <f aca="false">I244-I237</f>
        <v>2638.45309355586</v>
      </c>
      <c r="J246" s="16" t="n">
        <f aca="false">J244-J237</f>
        <v>2723.3336162386</v>
      </c>
      <c r="K246" s="16" t="n">
        <f aca="false">K244-K237</f>
        <v>2823.86943529725</v>
      </c>
    </row>
    <row r="247" customFormat="false" ht="15" hidden="false" customHeight="false" outlineLevel="0" collapsed="false">
      <c r="A247" s="3" t="s">
        <v>417</v>
      </c>
      <c r="G247" s="32" t="n">
        <f aca="false">IF(G23&gt;0,G244/G23,0)</f>
        <v>10.2350768597559</v>
      </c>
      <c r="H247" s="32" t="n">
        <f aca="false">IF(H23&gt;0,H244/H23,0)</f>
        <v>9.80179750754554</v>
      </c>
      <c r="I247" s="32" t="n">
        <f aca="false">IF(I23&gt;0,I244/I23,0)</f>
        <v>9.78880026535512</v>
      </c>
      <c r="J247" s="32" t="n">
        <f aca="false">IF(J23&gt;0,J244/J23,0)</f>
        <v>9.86877570563203</v>
      </c>
      <c r="K247" s="32" t="n">
        <f aca="false">IF(K23&gt;0,K244/K23,0)</f>
        <v>9.99528975565569</v>
      </c>
    </row>
    <row r="248" customFormat="false" ht="15" hidden="false" customHeight="false" outlineLevel="0" collapsed="false">
      <c r="A248" s="3" t="s">
        <v>418</v>
      </c>
      <c r="G248" s="32" t="n">
        <f aca="false">IF(G23&gt;0,G246/G23,0)</f>
        <v>9.64824801476836</v>
      </c>
      <c r="H248" s="32" t="n">
        <f aca="false">IF(H23&gt;0,H246/H23,0)</f>
        <v>9.70665866785301</v>
      </c>
      <c r="I248" s="32" t="n">
        <f aca="false">IF(I23&gt;0,I246/I23,0)</f>
        <v>9.78880026535512</v>
      </c>
      <c r="J248" s="32" t="n">
        <f aca="false">IF(J23&gt;0,J246/J23,0)</f>
        <v>9.86877570563203</v>
      </c>
      <c r="K248" s="32" t="n">
        <f aca="false">IF(K23&gt;0,K246/K23,0)</f>
        <v>9.99528975565569</v>
      </c>
    </row>
    <row r="249" customFormat="false" ht="15" hidden="false" customHeight="false" outlineLevel="0" collapsed="false">
      <c r="A249" s="3" t="s">
        <v>419</v>
      </c>
      <c r="G249" s="32" t="n">
        <f aca="false">IF(G27&gt;0,G23/G27,0)</f>
        <v>1.4215185079059</v>
      </c>
      <c r="H249" s="32" t="n">
        <f aca="false">IF(H27&gt;0,H23/H27,0)</f>
        <v>1.46693050552355</v>
      </c>
      <c r="I249" s="32" t="n">
        <f aca="false">IF(I27&gt;0,I23/I27,0)</f>
        <v>1.40833238714926</v>
      </c>
      <c r="J249" s="32" t="n">
        <f aca="false">IF(J27&gt;0,J23/J27,0)</f>
        <v>1.44049487506624</v>
      </c>
      <c r="K249" s="32" t="n">
        <f aca="false">IF(K27&gt;0,K23/K27,0)</f>
        <v>1.34274565931266</v>
      </c>
    </row>
    <row r="250" customFormat="false" ht="15" hidden="false" customHeight="false" outlineLevel="0" collapsed="false">
      <c r="A250" s="3" t="s">
        <v>420</v>
      </c>
      <c r="G250" s="32" t="n">
        <f aca="false">IF(G27&gt;0,G26/G27,0)</f>
        <v>0.42415696431819</v>
      </c>
      <c r="H250" s="32" t="n">
        <f aca="false">IF(H27&gt;0,H26/H27,0)</f>
        <v>0.443500134737685</v>
      </c>
      <c r="I250" s="32" t="n">
        <f aca="false">IF(I27&gt;0,I26/I27,0)</f>
        <v>0.431283382112554</v>
      </c>
      <c r="J250" s="32" t="n">
        <f aca="false">IF(J27&gt;0,J26/J27,0)</f>
        <v>0.444847824504487</v>
      </c>
      <c r="K250" s="32" t="n">
        <f aca="false">IF(K27&gt;0,K26/K27,0)</f>
        <v>0.418098654921945</v>
      </c>
    </row>
    <row r="251" customFormat="false" ht="15" hidden="false" customHeight="false" outlineLevel="0" collapsed="false">
      <c r="A251" s="3" t="s">
        <v>213</v>
      </c>
      <c r="G251" s="22" t="n">
        <f aca="false">IF(G244&gt;0,G36/G244,0)</f>
        <v>-0.0318624463468569</v>
      </c>
      <c r="H251" s="22" t="n">
        <f aca="false">IF(H244&gt;0,H36/H244,0)</f>
        <v>-0.0306915656935169</v>
      </c>
      <c r="I251" s="22" t="n">
        <f aca="false">IF(I244&gt;0,I36/I244,0)</f>
        <v>-0.0332759154962773</v>
      </c>
      <c r="J251" s="22" t="n">
        <f aca="false">IF(J244&gt;0,J36/J244,0)</f>
        <v>-0.0311678753482925</v>
      </c>
      <c r="K251" s="22" t="n">
        <f aca="false">IF(K244&gt;0,K36/K244,0)</f>
        <v>-0.0356021485278303</v>
      </c>
    </row>
    <row r="252" customFormat="false" ht="15" hidden="false" customHeight="false" outlineLevel="0" collapsed="false">
      <c r="A252" s="3" t="s">
        <v>421</v>
      </c>
      <c r="G252" s="32" t="n">
        <f aca="false">IF(G27+G228&gt;0,(G23-G34-G31)/(G27+G228),0)</f>
        <v>0.813399704660698</v>
      </c>
      <c r="H252" s="32" t="n">
        <f aca="false">IF(H27+H228&gt;0,(H23-H34-H31)/(H27+H228),0)</f>
        <v>0.842627430418813</v>
      </c>
      <c r="I252" s="32" t="n">
        <f aca="false">IF(I27+I228&gt;0,(I23-I34-I31)/(I27+I228),0)</f>
        <v>0.813287836689746</v>
      </c>
      <c r="J252" s="32" t="n">
        <f aca="false">IF(J27+J228&gt;0,(J23-J34-J31)/(J27+J228),0)</f>
        <v>0.834030228771795</v>
      </c>
      <c r="K252" s="32" t="n">
        <f aca="false">IF(K27+K228&gt;0,(K23-K34-K31)/(K27+K228),0)</f>
        <v>0.780856287522867</v>
      </c>
    </row>
    <row r="253" customFormat="false" ht="15" hidden="false" customHeight="false" outlineLevel="0" collapsed="false">
      <c r="A253" s="3" t="s">
        <v>422</v>
      </c>
      <c r="G253" s="16" t="n">
        <f aca="false">MAX(0,G237)+Assumptions!$P$57*MAX(0,Assumptions!$D$57-G60)+Assumptions!$P$58*MAX(0,Assumptions!$D$58-G73)+Assumptions!$P$59*MAX(0,Assumptions!$D$59-G86)+Assumptions!$P$60*MAX(0,Assumptions!$D$60-G99)+Assumptions!$P$61*MAX(0,Assumptions!$D$61-G112)+Assumptions!$P$62*MAX(0,Assumptions!$D$62-G125)+Assumptions!$P$63*MAX(0,Assumptions!$D$63-G138)+Assumptions!$P$64*MAX(0,Assumptions!$D$64-G151)+Assumptions!$P$65*MAX(0,Assumptions!$D$65-G164)+Assumptions!$P$66*MAX(0,Assumptions!$D$66-G177)</f>
        <v>724.8287686</v>
      </c>
      <c r="H253" s="16" t="n">
        <f aca="false">MAX(0,H237)+Assumptions!$P$57*MAX(0,Assumptions!$D$57-H60)+Assumptions!$P$58*MAX(0,Assumptions!$D$58-H73)+Assumptions!$P$59*MAX(0,Assumptions!$D$59-H86)+Assumptions!$P$60*MAX(0,Assumptions!$D$60-H99)+Assumptions!$P$61*MAX(0,Assumptions!$D$61-H112)+Assumptions!$P$62*MAX(0,Assumptions!$D$62-H125)+Assumptions!$P$63*MAX(0,Assumptions!$D$63-H138)+Assumptions!$P$64*MAX(0,Assumptions!$D$64-H151)+Assumptions!$P$65*MAX(0,Assumptions!$D$65-H164)+Assumptions!$P$66*MAX(0,Assumptions!$D$66-H177)</f>
        <v>599.5</v>
      </c>
      <c r="I253" s="16" t="n">
        <f aca="false">MAX(0,I237)+Assumptions!$P$57*MAX(0,Assumptions!$D$57-I60)+Assumptions!$P$58*MAX(0,Assumptions!$D$58-I73)+Assumptions!$P$59*MAX(0,Assumptions!$D$59-I86)+Assumptions!$P$60*MAX(0,Assumptions!$D$60-I99)+Assumptions!$P$61*MAX(0,Assumptions!$D$61-I112)+Assumptions!$P$62*MAX(0,Assumptions!$D$62-I125)+Assumptions!$P$63*MAX(0,Assumptions!$D$63-I138)+Assumptions!$P$64*MAX(0,Assumptions!$D$64-I151)+Assumptions!$P$65*MAX(0,Assumptions!$D$65-I164)+Assumptions!$P$66*MAX(0,Assumptions!$D$66-I177)</f>
        <v>507.703057817944</v>
      </c>
      <c r="J253" s="16" t="n">
        <f aca="false">MAX(0,J237)+Assumptions!$P$57*MAX(0,Assumptions!$D$57-J60)+Assumptions!$P$58*MAX(0,Assumptions!$D$58-J73)+Assumptions!$P$59*MAX(0,Assumptions!$D$59-J86)+Assumptions!$P$60*MAX(0,Assumptions!$D$60-J99)+Assumptions!$P$61*MAX(0,Assumptions!$D$61-J112)+Assumptions!$P$62*MAX(0,Assumptions!$D$62-J125)+Assumptions!$P$63*MAX(0,Assumptions!$D$63-J138)+Assumptions!$P$64*MAX(0,Assumptions!$D$64-J151)+Assumptions!$P$65*MAX(0,Assumptions!$D$65-J164)+Assumptions!$P$66*MAX(0,Assumptions!$D$66-J177)</f>
        <v>418.822535135205</v>
      </c>
      <c r="K253" s="16" t="n">
        <f aca="false">MAX(0,K237)+Assumptions!$P$57*MAX(0,Assumptions!$D$57-K60)+Assumptions!$P$58*MAX(0,Assumptions!$D$58-K73)+Assumptions!$P$59*MAX(0,Assumptions!$D$59-K86)+Assumptions!$P$60*MAX(0,Assumptions!$D$60-K99)+Assumptions!$P$61*MAX(0,Assumptions!$D$61-K112)+Assumptions!$P$62*MAX(0,Assumptions!$D$62-K125)+Assumptions!$P$63*MAX(0,Assumptions!$D$63-K138)+Assumptions!$P$64*MAX(0,Assumptions!$D$64-K151)+Assumptions!$P$65*MAX(0,Assumptions!$D$65-K164)+Assumptions!$P$66*MAX(0,Assumptions!$D$66-K177)</f>
        <v>314.286716076552</v>
      </c>
    </row>
    <row r="254" customFormat="false" ht="15" hidden="false" customHeight="false" outlineLevel="0" collapsed="false">
      <c r="A254" s="3" t="s">
        <v>423</v>
      </c>
      <c r="G254" s="22" t="n">
        <f aca="false">IF(G244&gt;0,G244/(G244+MAX(0,G23*CHOOSE($C$6,Assumptions!$C$90,Assumptions!$C$109,Assumptions!$C$128)-G246)),0)</f>
        <v>0.782089915058077</v>
      </c>
      <c r="H254" s="22" t="n">
        <f aca="false">IF(H244&gt;0,H244/(H244+MAX(0,H23*CHOOSE($C$6,Assumptions!$C$90,Assumptions!$C$109,Assumptions!$C$128)-H246)),0)</f>
        <v>0.778220679605055</v>
      </c>
      <c r="I254" s="22" t="n">
        <f aca="false">IF(I244&gt;0,I244/(I244+MAX(0,I23*CHOOSE($C$6,Assumptions!$C$90,Assumptions!$C$109,Assumptions!$C$128)-I246)),0)</f>
        <v>0.78310402122841</v>
      </c>
      <c r="J254" s="22" t="n">
        <f aca="false">IF(J244&gt;0,J244/(J244+MAX(0,J23*CHOOSE($C$6,Assumptions!$C$90,Assumptions!$C$109,Assumptions!$C$128)-J246)),0)</f>
        <v>0.789502056450562</v>
      </c>
      <c r="K254" s="22" t="n">
        <f aca="false">IF(K244&gt;0,K244/(K244+MAX(0,K23*CHOOSE($C$6,Assumptions!$C$90,Assumptions!$C$109,Assumptions!$C$128)-K246)),0)</f>
        <v>0.799623180452455</v>
      </c>
    </row>
    <row r="255" customFormat="false" ht="15" hidden="false" customHeight="false" outlineLevel="0" collapsed="false">
      <c r="A255" s="3" t="s">
        <v>424</v>
      </c>
      <c r="G255" s="22" t="n">
        <f aca="false">IF(G244&gt;0,MAX(0,G237)/G244,0)</f>
        <v>0.0573350696852018</v>
      </c>
      <c r="H255" s="22" t="n">
        <f aca="false">IF(H244&gt;0,MAX(0,H237)/H244,0)</f>
        <v>0.00970626455191448</v>
      </c>
      <c r="I255" s="22" t="n">
        <f aca="false">IF(I244&gt;0,MAX(0,I237)/I244,0)</f>
        <v>0</v>
      </c>
      <c r="J255" s="22" t="n">
        <f aca="false">IF(J244&gt;0,MAX(0,J237)/J244,0)</f>
        <v>0</v>
      </c>
      <c r="K255" s="22" t="n">
        <f aca="false">IF(K244&gt;0,MAX(0,K237)/K244,0)</f>
        <v>0</v>
      </c>
    </row>
    <row r="256" customFormat="false" ht="15" hidden="false" customHeight="false" outlineLevel="0" collapsed="false">
      <c r="A256" s="3" t="s">
        <v>425</v>
      </c>
      <c r="G256" s="16" t="n">
        <f aca="false">Assumptions!$C$31*(1-CHOOSE($C$6,Assumptions!$C$93,Assumptions!$C$112,Assumptions!$C$131))</f>
        <v>4517.70066666667</v>
      </c>
      <c r="H256" s="16" t="n">
        <f aca="false">Assumptions!$C$31*(1-CHOOSE($C$6,Assumptions!$C$93,Assumptions!$C$112,Assumptions!$C$131))</f>
        <v>4517.70066666667</v>
      </c>
      <c r="I256" s="16" t="n">
        <f aca="false">Assumptions!$C$31*(1-CHOOSE($C$6,Assumptions!$C$93,Assumptions!$C$112,Assumptions!$C$131))</f>
        <v>4517.70066666667</v>
      </c>
      <c r="J256" s="16" t="n">
        <f aca="false">Assumptions!$C$31*(1-CHOOSE($C$6,Assumptions!$C$93,Assumptions!$C$112,Assumptions!$C$131))</f>
        <v>4517.70066666667</v>
      </c>
      <c r="K256" s="16" t="n">
        <f aca="false">Assumptions!$C$31*(1-CHOOSE($C$6,Assumptions!$C$93,Assumptions!$C$112,Assumptions!$C$131))</f>
        <v>4517.70066666667</v>
      </c>
    </row>
    <row r="257" customFormat="false" ht="15" hidden="false" customHeight="false" outlineLevel="0" collapsed="false">
      <c r="A257" s="24" t="s">
        <v>426</v>
      </c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customFormat="false" ht="15" hidden="false" customHeight="false" outlineLevel="0" collapsed="false">
      <c r="A258" s="24" t="s">
        <v>427</v>
      </c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customFormat="false" ht="15" hidden="false" customHeight="false" outlineLevel="0" collapsed="false">
      <c r="A259" s="3" t="s">
        <v>428</v>
      </c>
      <c r="G259" s="22" t="n">
        <f aca="false">IF(G256&gt;0,G244/G256,99)</f>
        <v>0.580369128779522</v>
      </c>
      <c r="H259" s="22" t="n">
        <f aca="false">IF(H256&gt;0,H244/H256,99)</f>
        <v>0.570125455716441</v>
      </c>
      <c r="I259" s="22" t="n">
        <f aca="false">IF(I256&gt;0,I244/I256,99)</f>
        <v>0.584025655578152</v>
      </c>
      <c r="J259" s="22" t="n">
        <f aca="false">IF(J256&gt;0,J244/J256,99)</f>
        <v>0.602814089993257</v>
      </c>
      <c r="K259" s="22" t="n">
        <f aca="false">IF(K256&gt;0,K244/K256,99)</f>
        <v>0.62506784837093</v>
      </c>
    </row>
    <row r="260" customFormat="false" ht="15" hidden="false" customHeight="false" outlineLevel="0" collapsed="false">
      <c r="A260" s="3" t="s">
        <v>429</v>
      </c>
      <c r="G260" s="33" t="n">
        <f aca="false">Assumptions!$G$71</f>
        <v>0.6</v>
      </c>
      <c r="H260" s="33" t="n">
        <f aca="false">Assumptions!$H$71</f>
        <v>0.6</v>
      </c>
      <c r="I260" s="33" t="n">
        <f aca="false">Assumptions!$I$71</f>
        <v>0.6</v>
      </c>
      <c r="J260" s="33" t="n">
        <f aca="false">Assumptions!$J$71</f>
        <v>0.6</v>
      </c>
      <c r="K260" s="33" t="n">
        <f aca="false">Assumptions!$K$71</f>
        <v>0.6</v>
      </c>
    </row>
    <row r="261" customFormat="false" ht="15" hidden="false" customHeight="false" outlineLevel="0" collapsed="false">
      <c r="A261" s="3" t="s">
        <v>430</v>
      </c>
      <c r="G261" s="22" t="n">
        <f aca="false">G260-G259</f>
        <v>0.0196308712204777</v>
      </c>
      <c r="H261" s="22" t="n">
        <f aca="false">H260-H259</f>
        <v>0.0298745442835595</v>
      </c>
      <c r="I261" s="22" t="n">
        <f aca="false">I260-I259</f>
        <v>0.0159743444218476</v>
      </c>
      <c r="J261" s="22" t="n">
        <f aca="false">J260-J259</f>
        <v>-0.00281408999325661</v>
      </c>
      <c r="K261" s="22" t="n">
        <f aca="false">K260-K259</f>
        <v>-0.0250678483709297</v>
      </c>
    </row>
    <row r="262" customFormat="false" ht="15" hidden="false" customHeight="false" outlineLevel="0" collapsed="false">
      <c r="A262" s="3" t="s">
        <v>431</v>
      </c>
      <c r="G262" s="22" t="n">
        <f aca="false">IF(G260=0,0,G261/ABS(G260))</f>
        <v>0.0327181187007962</v>
      </c>
      <c r="H262" s="22" t="n">
        <f aca="false">IF(H260=0,0,H261/ABS(H260))</f>
        <v>0.0497909071392659</v>
      </c>
      <c r="I262" s="22" t="n">
        <f aca="false">IF(I260=0,0,I261/ABS(I260))</f>
        <v>0.0266239073697461</v>
      </c>
      <c r="J262" s="22" t="n">
        <f aca="false">IF(J260=0,0,J261/ABS(J260))</f>
        <v>-0.00469014998876101</v>
      </c>
      <c r="K262" s="22" t="n">
        <f aca="false">IF(K260=0,0,K261/ABS(K260))</f>
        <v>-0.0417797472848828</v>
      </c>
    </row>
    <row r="263" customFormat="false" ht="15" hidden="false" customHeight="false" outlineLevel="0" collapsed="false">
      <c r="A263" s="3" t="s">
        <v>432</v>
      </c>
      <c r="G263" s="21" t="n">
        <f aca="false">IF(G261&lt;0,1,0)</f>
        <v>0</v>
      </c>
      <c r="H263" s="21" t="n">
        <f aca="false">IF(H261&lt;0,1,0)</f>
        <v>0</v>
      </c>
      <c r="I263" s="21" t="n">
        <f aca="false">IF(I261&lt;0,1,0)</f>
        <v>0</v>
      </c>
      <c r="J263" s="21" t="n">
        <f aca="false">IF(J261&lt;0,1,0)</f>
        <v>1</v>
      </c>
      <c r="K263" s="21" t="n">
        <f aca="false">IF(K261&lt;0,1,0)</f>
        <v>1</v>
      </c>
    </row>
    <row r="264" customFormat="false" ht="15" hidden="false" customHeight="false" outlineLevel="0" collapsed="false">
      <c r="A264" s="3" t="s">
        <v>433</v>
      </c>
      <c r="C264" s="21" t="n">
        <f aca="false">IFERROR(INDEX($G$13:$K$13,MATCH(1,$G$263:$K$263,0)),0)</f>
        <v>2030</v>
      </c>
    </row>
    <row r="265" customFormat="false" ht="15" hidden="false" customHeight="false" outlineLevel="0" collapsed="false">
      <c r="A265" s="3" t="s">
        <v>434</v>
      </c>
      <c r="C265" s="22" t="n">
        <f aca="false">MIN($G$262:$K$262)</f>
        <v>-0.0417797472848828</v>
      </c>
    </row>
    <row r="266" customFormat="false" ht="15" hidden="false" customHeight="false" outlineLevel="0" collapsed="false">
      <c r="A266" s="24" t="s">
        <v>435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customFormat="false" ht="15" hidden="false" customHeight="false" outlineLevel="0" collapsed="false">
      <c r="A267" s="3" t="s">
        <v>428</v>
      </c>
      <c r="G267" s="32" t="n">
        <f aca="false">IF(G27&gt;0,G23/G27,99)</f>
        <v>1.4215185079059</v>
      </c>
      <c r="H267" s="32" t="n">
        <f aca="false">IF(H27&gt;0,H23/H27,99)</f>
        <v>1.46693050552355</v>
      </c>
      <c r="I267" s="32" t="n">
        <f aca="false">IF(I27&gt;0,I23/I27,99)</f>
        <v>1.40833238714926</v>
      </c>
      <c r="J267" s="32" t="n">
        <f aca="false">IF(J27&gt;0,J23/J27,99)</f>
        <v>1.44049487506624</v>
      </c>
      <c r="K267" s="32" t="n">
        <f aca="false">IF(K27&gt;0,K23/K27,99)</f>
        <v>1.34274565931266</v>
      </c>
    </row>
    <row r="268" customFormat="false" ht="15" hidden="false" customHeight="false" outlineLevel="0" collapsed="false">
      <c r="A268" s="3" t="s">
        <v>429</v>
      </c>
      <c r="G268" s="34" t="n">
        <f aca="false">Assumptions!$G$72</f>
        <v>1.5</v>
      </c>
      <c r="H268" s="34" t="n">
        <f aca="false">Assumptions!$H$72</f>
        <v>1.5</v>
      </c>
      <c r="I268" s="34" t="n">
        <f aca="false">Assumptions!$I$72</f>
        <v>1.5</v>
      </c>
      <c r="J268" s="34" t="n">
        <f aca="false">Assumptions!$J$72</f>
        <v>1.5</v>
      </c>
      <c r="K268" s="34" t="n">
        <f aca="false">Assumptions!$K$72</f>
        <v>1.5</v>
      </c>
    </row>
    <row r="269" customFormat="false" ht="15" hidden="false" customHeight="false" outlineLevel="0" collapsed="false">
      <c r="A269" s="3" t="s">
        <v>430</v>
      </c>
      <c r="G269" s="32" t="n">
        <f aca="false">G267-G268</f>
        <v>-0.0784814920940982</v>
      </c>
      <c r="H269" s="32" t="n">
        <f aca="false">H267-H268</f>
        <v>-0.0330694944764525</v>
      </c>
      <c r="I269" s="32" t="n">
        <f aca="false">I267-I268</f>
        <v>-0.091667612850737</v>
      </c>
      <c r="J269" s="32" t="n">
        <f aca="false">J267-J268</f>
        <v>-0.0595051249337639</v>
      </c>
      <c r="K269" s="32" t="n">
        <f aca="false">K267-K268</f>
        <v>-0.157254340687343</v>
      </c>
    </row>
    <row r="270" customFormat="false" ht="15" hidden="false" customHeight="false" outlineLevel="0" collapsed="false">
      <c r="A270" s="3" t="s">
        <v>431</v>
      </c>
      <c r="G270" s="22" t="n">
        <f aca="false">IF(G268=0,0,G269/ABS(G268))</f>
        <v>-0.0523209947293988</v>
      </c>
      <c r="H270" s="22" t="n">
        <f aca="false">IF(H268=0,0,H269/ABS(H268))</f>
        <v>-0.0220463296509683</v>
      </c>
      <c r="I270" s="22" t="n">
        <f aca="false">IF(I268=0,0,I269/ABS(I268))</f>
        <v>-0.0611117419004913</v>
      </c>
      <c r="J270" s="22" t="n">
        <f aca="false">IF(J268=0,0,J269/ABS(J268))</f>
        <v>-0.039670083289176</v>
      </c>
      <c r="K270" s="22" t="n">
        <f aca="false">IF(K268=0,0,K269/ABS(K268))</f>
        <v>-0.104836227124896</v>
      </c>
    </row>
    <row r="271" customFormat="false" ht="15" hidden="false" customHeight="false" outlineLevel="0" collapsed="false">
      <c r="A271" s="3" t="s">
        <v>432</v>
      </c>
      <c r="G271" s="21" t="n">
        <f aca="false">IF(G269&lt;0,1,0)</f>
        <v>1</v>
      </c>
      <c r="H271" s="21" t="n">
        <f aca="false">IF(H269&lt;0,1,0)</f>
        <v>1</v>
      </c>
      <c r="I271" s="21" t="n">
        <f aca="false">IF(I269&lt;0,1,0)</f>
        <v>1</v>
      </c>
      <c r="J271" s="21" t="n">
        <f aca="false">IF(J269&lt;0,1,0)</f>
        <v>1</v>
      </c>
      <c r="K271" s="21" t="n">
        <f aca="false">IF(K269&lt;0,1,0)</f>
        <v>1</v>
      </c>
    </row>
    <row r="272" customFormat="false" ht="15" hidden="false" customHeight="false" outlineLevel="0" collapsed="false">
      <c r="A272" s="3" t="s">
        <v>433</v>
      </c>
      <c r="C272" s="21" t="n">
        <f aca="false">IFERROR(INDEX($G$13:$K$13,MATCH(1,$G$271:$K$271,0)),0)</f>
        <v>2027</v>
      </c>
    </row>
    <row r="273" customFormat="false" ht="15" hidden="false" customHeight="false" outlineLevel="0" collapsed="false">
      <c r="A273" s="3" t="s">
        <v>434</v>
      </c>
      <c r="C273" s="22" t="n">
        <f aca="false">MIN($G$270:$K$270)</f>
        <v>-0.104836227124896</v>
      </c>
    </row>
    <row r="274" customFormat="false" ht="15" hidden="false" customHeight="false" outlineLevel="0" collapsed="false">
      <c r="A274" s="24" t="s">
        <v>436</v>
      </c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customFormat="false" ht="15" hidden="false" customHeight="false" outlineLevel="0" collapsed="false">
      <c r="A275" s="3" t="s">
        <v>428</v>
      </c>
      <c r="G275" s="22" t="n">
        <f aca="false">IF(G256&gt;0,G245/G256,99)</f>
        <v>0.120265604139923</v>
      </c>
      <c r="H275" s="22" t="n">
        <f aca="false">IF(H256&gt;0,H245/H256,99)</f>
        <v>0.119380197979769</v>
      </c>
      <c r="I275" s="22" t="n">
        <f aca="false">IF(I256&gt;0,I245/I256,99)</f>
        <v>0.118494791819614</v>
      </c>
      <c r="J275" s="22" t="n">
        <f aca="false">IF(J256&gt;0,J245/J256,99)</f>
        <v>0.11760938565946</v>
      </c>
      <c r="K275" s="22" t="n">
        <f aca="false">IF(K256&gt;0,K245/K256,99)</f>
        <v>0.116723979499306</v>
      </c>
    </row>
    <row r="276" customFormat="false" ht="15" hidden="false" customHeight="false" outlineLevel="0" collapsed="false">
      <c r="A276" s="3" t="s">
        <v>429</v>
      </c>
      <c r="G276" s="33" t="n">
        <f aca="false">Assumptions!$G$73</f>
        <v>0.4</v>
      </c>
      <c r="H276" s="33" t="n">
        <f aca="false">Assumptions!$H$73</f>
        <v>0.4</v>
      </c>
      <c r="I276" s="33" t="n">
        <f aca="false">Assumptions!$I$73</f>
        <v>0.4</v>
      </c>
      <c r="J276" s="33" t="n">
        <f aca="false">Assumptions!$J$73</f>
        <v>0.4</v>
      </c>
      <c r="K276" s="33" t="n">
        <f aca="false">Assumptions!$K$73</f>
        <v>0.4</v>
      </c>
    </row>
    <row r="277" customFormat="false" ht="15" hidden="false" customHeight="false" outlineLevel="0" collapsed="false">
      <c r="A277" s="3" t="s">
        <v>430</v>
      </c>
      <c r="G277" s="22" t="n">
        <f aca="false">G276-G275</f>
        <v>0.279734395860077</v>
      </c>
      <c r="H277" s="22" t="n">
        <f aca="false">H276-H275</f>
        <v>0.280619802020231</v>
      </c>
      <c r="I277" s="22" t="n">
        <f aca="false">I276-I275</f>
        <v>0.281505208180386</v>
      </c>
      <c r="J277" s="22" t="n">
        <f aca="false">J276-J275</f>
        <v>0.28239061434054</v>
      </c>
      <c r="K277" s="22" t="n">
        <f aca="false">K276-K275</f>
        <v>0.283276020500694</v>
      </c>
    </row>
    <row r="278" customFormat="false" ht="15" hidden="false" customHeight="false" outlineLevel="0" collapsed="false">
      <c r="A278" s="3" t="s">
        <v>431</v>
      </c>
      <c r="G278" s="22" t="n">
        <f aca="false">IF(G276=0,0,G277/ABS(G276))</f>
        <v>0.699335989650192</v>
      </c>
      <c r="H278" s="22" t="n">
        <f aca="false">IF(H276=0,0,H277/ABS(H276))</f>
        <v>0.701549505050578</v>
      </c>
      <c r="I278" s="22" t="n">
        <f aca="false">IF(I276=0,0,I277/ABS(I276))</f>
        <v>0.703763020450964</v>
      </c>
      <c r="J278" s="22" t="n">
        <f aca="false">IF(J276=0,0,J277/ABS(J276))</f>
        <v>0.70597653585135</v>
      </c>
      <c r="K278" s="22" t="n">
        <f aca="false">IF(K276=0,0,K277/ABS(K276))</f>
        <v>0.708190051251736</v>
      </c>
    </row>
    <row r="279" customFormat="false" ht="15" hidden="false" customHeight="false" outlineLevel="0" collapsed="false">
      <c r="A279" s="3" t="s">
        <v>432</v>
      </c>
      <c r="G279" s="21" t="n">
        <f aca="false">IF(G277&lt;0,1,0)</f>
        <v>0</v>
      </c>
      <c r="H279" s="21" t="n">
        <f aca="false">IF(H277&lt;0,1,0)</f>
        <v>0</v>
      </c>
      <c r="I279" s="21" t="n">
        <f aca="false">IF(I277&lt;0,1,0)</f>
        <v>0</v>
      </c>
      <c r="J279" s="21" t="n">
        <f aca="false">IF(J277&lt;0,1,0)</f>
        <v>0</v>
      </c>
      <c r="K279" s="21" t="n">
        <f aca="false">IF(K277&lt;0,1,0)</f>
        <v>0</v>
      </c>
    </row>
    <row r="280" customFormat="false" ht="15" hidden="false" customHeight="false" outlineLevel="0" collapsed="false">
      <c r="A280" s="3" t="s">
        <v>433</v>
      </c>
      <c r="C280" s="21" t="n">
        <f aca="false">IFERROR(INDEX($G$13:$K$13,MATCH(1,$G$279:$K$279,0)),0)</f>
        <v>0</v>
      </c>
    </row>
    <row r="281" customFormat="false" ht="15" hidden="false" customHeight="false" outlineLevel="0" collapsed="false">
      <c r="A281" s="3" t="s">
        <v>434</v>
      </c>
      <c r="C281" s="22" t="n">
        <f aca="false">MIN($G$278:$K$278)</f>
        <v>0.699335989650192</v>
      </c>
    </row>
    <row r="282" customFormat="false" ht="15" hidden="false" customHeight="false" outlineLevel="0" collapsed="false">
      <c r="A282" s="24" t="s">
        <v>437</v>
      </c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customFormat="false" ht="15" hidden="false" customHeight="false" outlineLevel="0" collapsed="false">
      <c r="A283" s="3" t="s">
        <v>428</v>
      </c>
      <c r="G283" s="16" t="n">
        <f aca="false">G253</f>
        <v>724.8287686</v>
      </c>
      <c r="H283" s="16" t="n">
        <f aca="false">H253</f>
        <v>599.5</v>
      </c>
      <c r="I283" s="16" t="n">
        <f aca="false">I253</f>
        <v>507.703057817944</v>
      </c>
      <c r="J283" s="16" t="n">
        <f aca="false">J253</f>
        <v>418.822535135205</v>
      </c>
      <c r="K283" s="16" t="n">
        <f aca="false">K253</f>
        <v>314.286716076552</v>
      </c>
    </row>
    <row r="284" customFormat="false" ht="15" hidden="false" customHeight="false" outlineLevel="0" collapsed="false">
      <c r="A284" s="3" t="s">
        <v>429</v>
      </c>
      <c r="G284" s="29" t="n">
        <f aca="false">Assumptions!$G$74</f>
        <v>100</v>
      </c>
      <c r="H284" s="29" t="n">
        <f aca="false">Assumptions!$H$74</f>
        <v>100</v>
      </c>
      <c r="I284" s="29" t="n">
        <f aca="false">Assumptions!$I$74</f>
        <v>100</v>
      </c>
      <c r="J284" s="29" t="n">
        <f aca="false">Assumptions!$J$74</f>
        <v>100</v>
      </c>
      <c r="K284" s="29" t="n">
        <f aca="false">Assumptions!$K$74</f>
        <v>100</v>
      </c>
    </row>
    <row r="285" customFormat="false" ht="15" hidden="false" customHeight="false" outlineLevel="0" collapsed="false">
      <c r="A285" s="3" t="s">
        <v>430</v>
      </c>
      <c r="G285" s="16" t="n">
        <f aca="false">G283-G284</f>
        <v>624.8287686</v>
      </c>
      <c r="H285" s="16" t="n">
        <f aca="false">H283-H284</f>
        <v>499.5</v>
      </c>
      <c r="I285" s="16" t="n">
        <f aca="false">I283-I284</f>
        <v>407.703057817944</v>
      </c>
      <c r="J285" s="16" t="n">
        <f aca="false">J283-J284</f>
        <v>318.822535135205</v>
      </c>
      <c r="K285" s="16" t="n">
        <f aca="false">K283-K284</f>
        <v>214.286716076552</v>
      </c>
    </row>
    <row r="286" customFormat="false" ht="15" hidden="false" customHeight="false" outlineLevel="0" collapsed="false">
      <c r="A286" s="3" t="s">
        <v>431</v>
      </c>
      <c r="G286" s="22" t="n">
        <f aca="false">IF(G284=0,0,G285/ABS(G284))</f>
        <v>6.248287686</v>
      </c>
      <c r="H286" s="22" t="n">
        <f aca="false">IF(H284=0,0,H285/ABS(H284))</f>
        <v>4.995</v>
      </c>
      <c r="I286" s="22" t="n">
        <f aca="false">IF(I284=0,0,I285/ABS(I284))</f>
        <v>4.07703057817944</v>
      </c>
      <c r="J286" s="22" t="n">
        <f aca="false">IF(J284=0,0,J285/ABS(J284))</f>
        <v>3.18822535135205</v>
      </c>
      <c r="K286" s="22" t="n">
        <f aca="false">IF(K284=0,0,K285/ABS(K284))</f>
        <v>2.14286716076552</v>
      </c>
    </row>
    <row r="287" customFormat="false" ht="15" hidden="false" customHeight="false" outlineLevel="0" collapsed="false">
      <c r="A287" s="3" t="s">
        <v>432</v>
      </c>
      <c r="G287" s="21" t="n">
        <f aca="false">IF(G285&lt;0,1,0)</f>
        <v>0</v>
      </c>
      <c r="H287" s="21" t="n">
        <f aca="false">IF(H285&lt;0,1,0)</f>
        <v>0</v>
      </c>
      <c r="I287" s="21" t="n">
        <f aca="false">IF(I285&lt;0,1,0)</f>
        <v>0</v>
      </c>
      <c r="J287" s="21" t="n">
        <f aca="false">IF(J285&lt;0,1,0)</f>
        <v>0</v>
      </c>
      <c r="K287" s="21" t="n">
        <f aca="false">IF(K285&lt;0,1,0)</f>
        <v>0</v>
      </c>
    </row>
    <row r="288" customFormat="false" ht="15" hidden="false" customHeight="false" outlineLevel="0" collapsed="false">
      <c r="A288" s="3" t="s">
        <v>433</v>
      </c>
      <c r="C288" s="21" t="n">
        <f aca="false">IFERROR(INDEX($G$13:$K$13,MATCH(1,$G$287:$K$287,0)),0)</f>
        <v>0</v>
      </c>
    </row>
    <row r="289" customFormat="false" ht="15" hidden="false" customHeight="false" outlineLevel="0" collapsed="false">
      <c r="A289" s="3" t="s">
        <v>434</v>
      </c>
      <c r="C289" s="22" t="n">
        <f aca="false">MIN($G$286:$K$286)</f>
        <v>2.14286716076552</v>
      </c>
    </row>
    <row r="290" customFormat="false" ht="15" hidden="false" customHeight="false" outlineLevel="0" collapsed="false">
      <c r="A290" s="24" t="s">
        <v>438</v>
      </c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customFormat="false" ht="15" hidden="false" customHeight="false" outlineLevel="0" collapsed="false">
      <c r="A291" s="3" t="s">
        <v>428</v>
      </c>
      <c r="G291" s="32" t="n">
        <f aca="false">IF(G23&gt;0,G246/G23,99)</f>
        <v>9.64824801476836</v>
      </c>
      <c r="H291" s="32" t="n">
        <f aca="false">IF(H23&gt;0,H246/H23,99)</f>
        <v>9.70665866785301</v>
      </c>
      <c r="I291" s="32" t="n">
        <f aca="false">IF(I23&gt;0,I246/I23,99)</f>
        <v>9.78880026535512</v>
      </c>
      <c r="J291" s="32" t="n">
        <f aca="false">IF(J23&gt;0,J246/J23,99)</f>
        <v>9.86877570563203</v>
      </c>
      <c r="K291" s="32" t="n">
        <f aca="false">IF(K23&gt;0,K246/K23,99)</f>
        <v>9.99528975565569</v>
      </c>
    </row>
    <row r="292" customFormat="false" ht="15" hidden="false" customHeight="false" outlineLevel="0" collapsed="false">
      <c r="A292" s="3" t="s">
        <v>429</v>
      </c>
      <c r="G292" s="34" t="n">
        <f aca="false">Assumptions!$G$75</f>
        <v>10.5</v>
      </c>
      <c r="H292" s="34" t="n">
        <f aca="false">Assumptions!$H$75</f>
        <v>10.5</v>
      </c>
      <c r="I292" s="34" t="n">
        <f aca="false">Assumptions!$I$75</f>
        <v>10</v>
      </c>
      <c r="J292" s="34" t="n">
        <f aca="false">Assumptions!$J$75</f>
        <v>10</v>
      </c>
      <c r="K292" s="34" t="n">
        <f aca="false">Assumptions!$K$75</f>
        <v>9.5</v>
      </c>
    </row>
    <row r="293" customFormat="false" ht="15" hidden="false" customHeight="false" outlineLevel="0" collapsed="false">
      <c r="A293" s="3" t="s">
        <v>430</v>
      </c>
      <c r="G293" s="32" t="n">
        <f aca="false">G292-G291</f>
        <v>0.85175198523164</v>
      </c>
      <c r="H293" s="32" t="n">
        <f aca="false">H292-H291</f>
        <v>0.793341332146991</v>
      </c>
      <c r="I293" s="32" t="n">
        <f aca="false">I292-I291</f>
        <v>0.211199734644877</v>
      </c>
      <c r="J293" s="32" t="n">
        <f aca="false">J292-J291</f>
        <v>0.131224294367971</v>
      </c>
      <c r="K293" s="32" t="n">
        <f aca="false">K292-K291</f>
        <v>-0.495289755655689</v>
      </c>
    </row>
    <row r="294" customFormat="false" ht="15" hidden="false" customHeight="false" outlineLevel="0" collapsed="false">
      <c r="A294" s="3" t="s">
        <v>431</v>
      </c>
      <c r="G294" s="22" t="n">
        <f aca="false">IF(G292=0,0,G293/ABS(G292))</f>
        <v>0.0811192366887277</v>
      </c>
      <c r="H294" s="22" t="n">
        <f aca="false">IF(H292=0,0,H293/ABS(H292))</f>
        <v>0.0755563173473324</v>
      </c>
      <c r="I294" s="22" t="n">
        <f aca="false">IF(I292=0,0,I293/ABS(I292))</f>
        <v>0.0211199734644877</v>
      </c>
      <c r="J294" s="22" t="n">
        <f aca="false">IF(J292=0,0,J293/ABS(J292))</f>
        <v>0.0131224294367971</v>
      </c>
      <c r="K294" s="22" t="n">
        <f aca="false">IF(K292=0,0,K293/ABS(K292))</f>
        <v>-0.0521357637532304</v>
      </c>
    </row>
    <row r="295" customFormat="false" ht="15" hidden="false" customHeight="false" outlineLevel="0" collapsed="false">
      <c r="A295" s="3" t="s">
        <v>432</v>
      </c>
      <c r="G295" s="21" t="n">
        <f aca="false">IF(G293&lt;0,1,0)</f>
        <v>0</v>
      </c>
      <c r="H295" s="21" t="n">
        <f aca="false">IF(H293&lt;0,1,0)</f>
        <v>0</v>
      </c>
      <c r="I295" s="21" t="n">
        <f aca="false">IF(I293&lt;0,1,0)</f>
        <v>0</v>
      </c>
      <c r="J295" s="21" t="n">
        <f aca="false">IF(J293&lt;0,1,0)</f>
        <v>0</v>
      </c>
      <c r="K295" s="21" t="n">
        <f aca="false">IF(K293&lt;0,1,0)</f>
        <v>1</v>
      </c>
    </row>
    <row r="296" customFormat="false" ht="15" hidden="false" customHeight="false" outlineLevel="0" collapsed="false">
      <c r="A296" s="3" t="s">
        <v>433</v>
      </c>
      <c r="C296" s="21" t="n">
        <f aca="false">IFERROR(INDEX($G$13:$K$13,MATCH(1,$G$295:$K$295,0)),0)</f>
        <v>2031</v>
      </c>
    </row>
    <row r="297" customFormat="false" ht="15" hidden="false" customHeight="false" outlineLevel="0" collapsed="false">
      <c r="A297" s="3" t="s">
        <v>434</v>
      </c>
      <c r="C297" s="22" t="n">
        <f aca="false">MIN($G$294:$K$294)</f>
        <v>-0.0521357637532304</v>
      </c>
    </row>
    <row r="298" customFormat="false" ht="15" hidden="false" customHeight="false" outlineLevel="0" collapsed="false">
      <c r="A298" s="3" t="s">
        <v>439</v>
      </c>
      <c r="G298" s="21" t="n">
        <f aca="false">G263+G271+G279+G287+G295</f>
        <v>1</v>
      </c>
      <c r="H298" s="21" t="n">
        <f aca="false">H263+H271+H279+H287+H295</f>
        <v>1</v>
      </c>
      <c r="I298" s="21" t="n">
        <f aca="false">I263+I271+I279+I287+I295</f>
        <v>1</v>
      </c>
      <c r="J298" s="21" t="n">
        <f aca="false">J263+J271+J279+J287+J295</f>
        <v>2</v>
      </c>
      <c r="K298" s="21" t="n">
        <f aca="false">K263+K271+K279+K287+K295</f>
        <v>3</v>
      </c>
    </row>
    <row r="299" customFormat="false" ht="15" hidden="false" customHeight="false" outlineLevel="0" collapsed="false">
      <c r="A299" s="3" t="s">
        <v>440</v>
      </c>
      <c r="C299" s="21" t="n">
        <f aca="false">SUM($G$298:$K$298)</f>
        <v>8</v>
      </c>
    </row>
    <row r="300" customFormat="false" ht="15" hidden="false" customHeight="false" outlineLevel="0" collapsed="false">
      <c r="A300" s="3" t="s">
        <v>441</v>
      </c>
      <c r="C300" s="22" t="n">
        <f aca="false">MIN(C265,C273,C281,C289,C297)</f>
        <v>-0.104836227124896</v>
      </c>
    </row>
    <row r="302" customFormat="false" ht="15" hidden="false" customHeight="false" outlineLevel="0" collapsed="false">
      <c r="A302" s="24" t="s">
        <v>543</v>
      </c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customFormat="false" ht="15" hidden="false" customHeight="false" outlineLevel="0" collapsed="false">
      <c r="A303" s="3" t="s">
        <v>544</v>
      </c>
      <c r="G303" s="21" t="n">
        <f aca="false">IF($C$304=1,G240,IF(G23=MIN($G$23:$K$23),1,0))</f>
        <v>1</v>
      </c>
      <c r="H303" s="21" t="n">
        <f aca="false">IF($C$304=1,H240,IF(AND(H23=MIN($G$23:$K$23),SUM($G$303:G303)=0),1,0))</f>
        <v>0</v>
      </c>
      <c r="I303" s="21" t="n">
        <f aca="false">IF($C$304=1,I240,IF(AND(I23=MIN($G$23:$K$23),SUM($G$303:H303)=0),1,0))</f>
        <v>0</v>
      </c>
      <c r="J303" s="21" t="n">
        <f aca="false">IF($C$304=1,J240,IF(AND(J23=MIN($G$23:$K$23),SUM($G$303:I303)=0),1,0))</f>
        <v>0</v>
      </c>
      <c r="K303" s="21" t="n">
        <f aca="false">IF($C$304=1,K240,IF(AND(K23=MIN($G$23:$K$23),SUM($G$303:J303)=0),1,0))</f>
        <v>0</v>
      </c>
    </row>
    <row r="304" customFormat="false" ht="15" hidden="false" customHeight="false" outlineLevel="0" collapsed="false">
      <c r="A304" s="3" t="s">
        <v>545</v>
      </c>
      <c r="C304" s="21" t="n">
        <f aca="false">IF(SUM($G$240:$K$240)&gt;0,1,0)</f>
        <v>0</v>
      </c>
    </row>
    <row r="305" customFormat="false" ht="15" hidden="false" customHeight="false" outlineLevel="0" collapsed="false">
      <c r="A305" s="3" t="s">
        <v>546</v>
      </c>
      <c r="C305" s="21" t="n">
        <f aca="false">SUMPRODUCT($G$303:$K$303,$G$13:$K$13)</f>
        <v>2027</v>
      </c>
    </row>
    <row r="306" customFormat="false" ht="15" hidden="false" customHeight="false" outlineLevel="0" collapsed="false">
      <c r="A306" s="3" t="s">
        <v>547</v>
      </c>
      <c r="C306" s="16" t="n">
        <f aca="false">SUMPRODUCT($G$303:$K$303,$G$23:$K$23)</f>
        <v>256.1714031</v>
      </c>
    </row>
    <row r="307" customFormat="false" ht="15" hidden="false" customHeight="false" outlineLevel="0" collapsed="false">
      <c r="A307" s="3" t="s">
        <v>548</v>
      </c>
      <c r="C307" s="16" t="n">
        <f aca="false">MAX(0,SUMPRODUCT($G$303:$K$303,$G$237:$K$237))</f>
        <v>150.3287686</v>
      </c>
    </row>
    <row r="308" customFormat="false" ht="15" hidden="false" customHeight="false" outlineLevel="0" collapsed="false">
      <c r="A308" s="3" t="s">
        <v>549</v>
      </c>
      <c r="C308" s="16" t="n">
        <f aca="false">(CHOOSE($C$6,Assumptions!$C$92,Assumptions!$C$111,Assumptions!$C$130)+$C$10)*C306</f>
        <v>2561.714031</v>
      </c>
    </row>
    <row r="309" customFormat="false" ht="15" hidden="false" customHeight="false" outlineLevel="0" collapsed="false">
      <c r="A309" s="3" t="s">
        <v>550</v>
      </c>
      <c r="C309" s="16" t="n">
        <f aca="false">Assumptions!$C$31*(1-CHOOSE($C$6,Assumptions!$C$93,Assumptions!$C$112,Assumptions!$C$131))*CHOOSE($C$6,Assumptions!$C$94,Assumptions!$C$113,Assumptions!$C$132)</f>
        <v>3840.04556666667</v>
      </c>
    </row>
    <row r="310" customFormat="false" ht="15" hidden="false" customHeight="false" outlineLevel="0" collapsed="false">
      <c r="A310" s="3" t="s">
        <v>551</v>
      </c>
      <c r="C310" s="16" t="n">
        <f aca="false">MAX(C308,C309)+C307</f>
        <v>3990.37433526667</v>
      </c>
    </row>
    <row r="311" customFormat="false" ht="15" hidden="false" customHeight="false" outlineLevel="0" collapsed="false">
      <c r="A311" s="2" t="s">
        <v>552</v>
      </c>
      <c r="C311" s="17" t="n">
        <f aca="false">IF(ISNUMBER(Assumptions!$C$14),Assumptions!$C$14,C310)</f>
        <v>3990.37433526667</v>
      </c>
    </row>
    <row r="312" customFormat="false" ht="15" hidden="false" customHeight="false" outlineLevel="0" collapsed="false">
      <c r="A312" s="3" t="s">
        <v>553</v>
      </c>
      <c r="C312" s="16" t="n">
        <f aca="false">C311*Assumptions!$C$15</f>
        <v>159.614973410667</v>
      </c>
    </row>
    <row r="313" customFormat="false" ht="15" hidden="false" customHeight="false" outlineLevel="0" collapsed="false">
      <c r="A313" s="2" t="s">
        <v>554</v>
      </c>
      <c r="C313" s="17" t="n">
        <f aca="false">C311-C312</f>
        <v>3830.759361856</v>
      </c>
    </row>
    <row r="314" customFormat="false" ht="15" hidden="false" customHeight="false" outlineLevel="0" collapsed="false">
      <c r="A314" s="24" t="s">
        <v>555</v>
      </c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customFormat="false" ht="15" hidden="false" customHeight="false" outlineLevel="0" collapsed="false">
      <c r="A315" s="3" t="s">
        <v>556</v>
      </c>
      <c r="C315" s="16" t="n">
        <f aca="false">SUMPRODUCT($G$303:$K$303,$G$60:$K$60)*(1+SUMPRODUCT($G$303:$K$303,$G$52:$K$52)*Assumptions!$C$16/12)</f>
        <v>405.0585</v>
      </c>
    </row>
    <row r="316" customFormat="false" ht="15" hidden="false" customHeight="false" outlineLevel="0" collapsed="false">
      <c r="A316" s="3" t="s">
        <v>557</v>
      </c>
      <c r="C316" s="16" t="n">
        <f aca="false">SUMPRODUCT($G$303:$K$303,$G$73:$K$73)*(1+SUMPRODUCT($G$303:$K$303,$G$65:$K$65)*Assumptions!$C$16/12)</f>
        <v>91.30725</v>
      </c>
    </row>
    <row r="317" customFormat="false" ht="15" hidden="false" customHeight="false" outlineLevel="0" collapsed="false">
      <c r="A317" s="3" t="s">
        <v>558</v>
      </c>
      <c r="C317" s="16" t="n">
        <f aca="false">SUMPRODUCT($G$303:$K$303,$G$86:$K$86)*(1+SUMPRODUCT($G$303:$K$303,$G$78:$K$78)*Assumptions!$C$16/12)</f>
        <v>58.3715961</v>
      </c>
    </row>
    <row r="318" customFormat="false" ht="15" hidden="false" customHeight="false" outlineLevel="0" collapsed="false">
      <c r="A318" s="3" t="s">
        <v>559</v>
      </c>
      <c r="C318" s="16" t="n">
        <f aca="false">SUMPRODUCT($G$303:$K$303,$G$99:$K$99)*(1+SUMPRODUCT($G$303:$K$303,$G$91:$K$91)*Assumptions!$C$16/12)</f>
        <v>0</v>
      </c>
    </row>
    <row r="319" customFormat="false" ht="15" hidden="false" customHeight="false" outlineLevel="0" collapsed="false">
      <c r="A319" s="3" t="s">
        <v>560</v>
      </c>
      <c r="C319" s="16" t="n">
        <f aca="false">SUMPRODUCT($G$303:$K$303,$G$112:$K$112)*(1+SUMPRODUCT($G$303:$K$303,$G$104:$K$104)*Assumptions!$C$16/12)</f>
        <v>454.44375</v>
      </c>
    </row>
    <row r="320" customFormat="false" ht="15" hidden="false" customHeight="false" outlineLevel="0" collapsed="false">
      <c r="A320" s="3" t="s">
        <v>561</v>
      </c>
      <c r="C320" s="16" t="n">
        <f aca="false">SUMPRODUCT($G$303:$K$303,$G$125:$K$125)*(1+SUMPRODUCT($G$303:$K$303,$G$117:$K$117)*Assumptions!$C$16/12)</f>
        <v>357.2625</v>
      </c>
    </row>
    <row r="321" customFormat="false" ht="15" hidden="false" customHeight="false" outlineLevel="0" collapsed="false">
      <c r="A321" s="3" t="s">
        <v>562</v>
      </c>
      <c r="C321" s="16" t="n">
        <f aca="false">SUMPRODUCT($G$303:$K$303,$G$138:$K$138)*(1+SUMPRODUCT($G$303:$K$303,$G$130:$K$130)*Assumptions!$C$16/12)</f>
        <v>562.203125</v>
      </c>
    </row>
    <row r="322" customFormat="false" ht="15" hidden="false" customHeight="false" outlineLevel="0" collapsed="false">
      <c r="A322" s="3" t="s">
        <v>563</v>
      </c>
      <c r="C322" s="16" t="n">
        <f aca="false">SUMPRODUCT($G$303:$K$303,$G$151:$K$151)*(1+SUMPRODUCT($G$303:$K$303,$G$143:$K$143)*Assumptions!$C$16/12)</f>
        <v>353.98125</v>
      </c>
    </row>
    <row r="323" customFormat="false" ht="15" hidden="false" customHeight="false" outlineLevel="0" collapsed="false">
      <c r="A323" s="3" t="s">
        <v>564</v>
      </c>
      <c r="C323" s="16" t="n">
        <f aca="false">SUMPRODUCT($G$303:$K$303,$G$164:$K$164)*(1+SUMPRODUCT($G$303:$K$303,$G$156:$K$156)*Assumptions!$C$16/12)</f>
        <v>304.59375</v>
      </c>
    </row>
    <row r="324" customFormat="false" ht="15" hidden="false" customHeight="false" outlineLevel="0" collapsed="false">
      <c r="A324" s="3" t="s">
        <v>565</v>
      </c>
      <c r="C324" s="16" t="n">
        <f aca="false">SUMPRODUCT($G$303:$K$303,$G$177:$K$177)*(1+SUMPRODUCT($G$303:$K$303,$G$169:$K$169)*Assumptions!$C$16/12)</f>
        <v>79.67320025</v>
      </c>
    </row>
    <row r="325" customFormat="false" ht="15" hidden="false" customHeight="false" outlineLevel="0" collapsed="false">
      <c r="A325" s="24" t="s">
        <v>566</v>
      </c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customFormat="false" ht="15" hidden="false" customHeight="false" outlineLevel="0" collapsed="false">
      <c r="A326" s="3" t="s">
        <v>556</v>
      </c>
      <c r="C326" s="27" t="n">
        <f aca="false">Assumptions!$M$57</f>
        <v>1</v>
      </c>
    </row>
    <row r="327" customFormat="false" ht="15" hidden="false" customHeight="false" outlineLevel="0" collapsed="false">
      <c r="A327" s="3" t="s">
        <v>557</v>
      </c>
      <c r="C327" s="27" t="n">
        <f aca="false">Assumptions!$M$58</f>
        <v>1</v>
      </c>
    </row>
    <row r="328" customFormat="false" ht="15" hidden="false" customHeight="false" outlineLevel="0" collapsed="false">
      <c r="A328" s="3" t="s">
        <v>558</v>
      </c>
      <c r="C328" s="27" t="n">
        <f aca="false">Assumptions!$M$59</f>
        <v>1</v>
      </c>
    </row>
    <row r="329" customFormat="false" ht="15" hidden="false" customHeight="false" outlineLevel="0" collapsed="false">
      <c r="A329" s="3" t="s">
        <v>559</v>
      </c>
      <c r="C329" s="27" t="n">
        <f aca="false">Assumptions!$M$60</f>
        <v>2</v>
      </c>
    </row>
    <row r="330" customFormat="false" ht="15" hidden="false" customHeight="false" outlineLevel="0" collapsed="false">
      <c r="A330" s="3" t="s">
        <v>560</v>
      </c>
      <c r="C330" s="27" t="n">
        <f aca="false">Assumptions!$M$61</f>
        <v>2</v>
      </c>
    </row>
    <row r="331" customFormat="false" ht="15" hidden="false" customHeight="false" outlineLevel="0" collapsed="false">
      <c r="A331" s="3" t="s">
        <v>561</v>
      </c>
      <c r="C331" s="27" t="n">
        <f aca="false">Assumptions!$M$62</f>
        <v>2</v>
      </c>
    </row>
    <row r="332" customFormat="false" ht="15" hidden="false" customHeight="false" outlineLevel="0" collapsed="false">
      <c r="A332" s="3" t="s">
        <v>562</v>
      </c>
      <c r="C332" s="27" t="n">
        <f aca="false">Assumptions!$M$63</f>
        <v>2</v>
      </c>
    </row>
    <row r="333" customFormat="false" ht="15" hidden="false" customHeight="false" outlineLevel="0" collapsed="false">
      <c r="A333" s="3" t="s">
        <v>563</v>
      </c>
      <c r="C333" s="27" t="n">
        <f aca="false">Assumptions!$M$64</f>
        <v>2</v>
      </c>
    </row>
    <row r="334" customFormat="false" ht="15" hidden="false" customHeight="false" outlineLevel="0" collapsed="false">
      <c r="A334" s="3" t="s">
        <v>564</v>
      </c>
      <c r="C334" s="27" t="n">
        <f aca="false">Assumptions!$M$65</f>
        <v>2</v>
      </c>
    </row>
    <row r="335" customFormat="false" ht="15" hidden="false" customHeight="false" outlineLevel="0" collapsed="false">
      <c r="A335" s="3" t="s">
        <v>565</v>
      </c>
      <c r="C335" s="27" t="n">
        <f aca="false">Assumptions!$M$66</f>
        <v>3</v>
      </c>
    </row>
    <row r="336" customFormat="false" ht="15" hidden="false" customHeight="false" outlineLevel="0" collapsed="false">
      <c r="A336" s="24" t="s">
        <v>567</v>
      </c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customFormat="false" ht="15" hidden="false" customHeight="false" outlineLevel="0" collapsed="false">
      <c r="A337" s="3" t="s">
        <v>556</v>
      </c>
      <c r="C337" s="33" t="n">
        <f aca="false">Assumptions!$Q$57</f>
        <v>0.3</v>
      </c>
    </row>
    <row r="338" customFormat="false" ht="15" hidden="false" customHeight="false" outlineLevel="0" collapsed="false">
      <c r="A338" s="3" t="s">
        <v>557</v>
      </c>
      <c r="C338" s="33" t="n">
        <f aca="false">Assumptions!$Q$58</f>
        <v>0.033</v>
      </c>
    </row>
    <row r="339" customFormat="false" ht="15" hidden="false" customHeight="false" outlineLevel="0" collapsed="false">
      <c r="A339" s="3" t="s">
        <v>558</v>
      </c>
      <c r="C339" s="33" t="n">
        <f aca="false">Assumptions!$Q$59</f>
        <v>0.021</v>
      </c>
    </row>
    <row r="340" customFormat="false" ht="15" hidden="false" customHeight="false" outlineLevel="0" collapsed="false">
      <c r="A340" s="3" t="s">
        <v>559</v>
      </c>
      <c r="C340" s="33" t="n">
        <f aca="false">Assumptions!$Q$60</f>
        <v>0</v>
      </c>
    </row>
    <row r="341" customFormat="false" ht="15" hidden="false" customHeight="false" outlineLevel="0" collapsed="false">
      <c r="A341" s="3" t="s">
        <v>560</v>
      </c>
      <c r="C341" s="33" t="n">
        <f aca="false">Assumptions!$Q$61</f>
        <v>0</v>
      </c>
    </row>
    <row r="342" customFormat="false" ht="15" hidden="false" customHeight="false" outlineLevel="0" collapsed="false">
      <c r="A342" s="3" t="s">
        <v>561</v>
      </c>
      <c r="C342" s="33" t="n">
        <f aca="false">Assumptions!$Q$62</f>
        <v>0</v>
      </c>
    </row>
    <row r="343" customFormat="false" ht="15" hidden="false" customHeight="false" outlineLevel="0" collapsed="false">
      <c r="A343" s="3" t="s">
        <v>562</v>
      </c>
      <c r="C343" s="33" t="n">
        <f aca="false">Assumptions!$Q$63</f>
        <v>0</v>
      </c>
    </row>
    <row r="344" customFormat="false" ht="15" hidden="false" customHeight="false" outlineLevel="0" collapsed="false">
      <c r="A344" s="3" t="s">
        <v>563</v>
      </c>
      <c r="C344" s="33" t="n">
        <f aca="false">Assumptions!$Q$64</f>
        <v>0</v>
      </c>
    </row>
    <row r="345" customFormat="false" ht="15" hidden="false" customHeight="false" outlineLevel="0" collapsed="false">
      <c r="A345" s="3" t="s">
        <v>564</v>
      </c>
      <c r="C345" s="33" t="n">
        <f aca="false">Assumptions!$Q$65</f>
        <v>0</v>
      </c>
    </row>
    <row r="346" customFormat="false" ht="15" hidden="false" customHeight="false" outlineLevel="0" collapsed="false">
      <c r="A346" s="3" t="s">
        <v>565</v>
      </c>
      <c r="C346" s="33" t="n">
        <f aca="false">Assumptions!$Q$66</f>
        <v>0</v>
      </c>
    </row>
    <row r="347" customFormat="false" ht="15" hidden="false" customHeight="false" outlineLevel="0" collapsed="false">
      <c r="A347" s="24" t="s">
        <v>568</v>
      </c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customFormat="false" ht="15" hidden="false" customHeight="false" outlineLevel="0" collapsed="false">
      <c r="A348" s="3" t="s">
        <v>556</v>
      </c>
      <c r="C348" s="16" t="n">
        <f aca="false">IF(C337&gt;0,MIN(C315,C337*$C$313),0)</f>
        <v>405.0585</v>
      </c>
    </row>
    <row r="349" customFormat="false" ht="15" hidden="false" customHeight="false" outlineLevel="0" collapsed="false">
      <c r="A349" s="3" t="s">
        <v>557</v>
      </c>
      <c r="C349" s="16" t="n">
        <f aca="false">IF(C338&gt;0,MIN(C316,C338*$C$313),0)</f>
        <v>91.30725</v>
      </c>
    </row>
    <row r="350" customFormat="false" ht="15" hidden="false" customHeight="false" outlineLevel="0" collapsed="false">
      <c r="A350" s="3" t="s">
        <v>558</v>
      </c>
      <c r="C350" s="16" t="n">
        <f aca="false">IF(C339&gt;0,MIN(C317,C339*$C$313),0)</f>
        <v>58.3715961</v>
      </c>
    </row>
    <row r="351" customFormat="false" ht="15" hidden="false" customHeight="false" outlineLevel="0" collapsed="false">
      <c r="A351" s="3" t="s">
        <v>559</v>
      </c>
      <c r="C351" s="16" t="n">
        <f aca="false">IF(C340&gt;0,MIN(C318,C340*$C$313),0)</f>
        <v>0</v>
      </c>
    </row>
    <row r="352" customFormat="false" ht="15" hidden="false" customHeight="false" outlineLevel="0" collapsed="false">
      <c r="A352" s="3" t="s">
        <v>560</v>
      </c>
      <c r="C352" s="16" t="n">
        <f aca="false">IF(C341&gt;0,MIN(C319,C341*$C$313),0)</f>
        <v>0</v>
      </c>
    </row>
    <row r="353" customFormat="false" ht="15" hidden="false" customHeight="false" outlineLevel="0" collapsed="false">
      <c r="A353" s="3" t="s">
        <v>561</v>
      </c>
      <c r="C353" s="16" t="n">
        <f aca="false">IF(C342&gt;0,MIN(C320,C342*$C$313),0)</f>
        <v>0</v>
      </c>
    </row>
    <row r="354" customFormat="false" ht="15" hidden="false" customHeight="false" outlineLevel="0" collapsed="false">
      <c r="A354" s="3" t="s">
        <v>562</v>
      </c>
      <c r="C354" s="16" t="n">
        <f aca="false">IF(C343&gt;0,MIN(C321,C343*$C$313),0)</f>
        <v>0</v>
      </c>
    </row>
    <row r="355" customFormat="false" ht="15" hidden="false" customHeight="false" outlineLevel="0" collapsed="false">
      <c r="A355" s="3" t="s">
        <v>563</v>
      </c>
      <c r="C355" s="16" t="n">
        <f aca="false">IF(C344&gt;0,MIN(C322,C344*$C$313),0)</f>
        <v>0</v>
      </c>
    </row>
    <row r="356" customFormat="false" ht="15" hidden="false" customHeight="false" outlineLevel="0" collapsed="false">
      <c r="A356" s="3" t="s">
        <v>564</v>
      </c>
      <c r="C356" s="16" t="n">
        <f aca="false">IF(C345&gt;0,MIN(C323,C345*$C$313),0)</f>
        <v>0</v>
      </c>
    </row>
    <row r="357" customFormat="false" ht="15" hidden="false" customHeight="false" outlineLevel="0" collapsed="false">
      <c r="A357" s="3" t="s">
        <v>565</v>
      </c>
      <c r="C357" s="16" t="n">
        <f aca="false">IF(C346&gt;0,MIN(C324,C346*$C$313),0)</f>
        <v>0</v>
      </c>
    </row>
    <row r="358" customFormat="false" ht="15" hidden="false" customHeight="false" outlineLevel="0" collapsed="false">
      <c r="A358" s="24" t="s">
        <v>569</v>
      </c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customFormat="false" ht="15" hidden="false" customHeight="false" outlineLevel="0" collapsed="false">
      <c r="A359" s="3" t="s">
        <v>556</v>
      </c>
      <c r="C359" s="16" t="n">
        <f aca="false">IF(C337&gt;0,C315-C348,0)</f>
        <v>0</v>
      </c>
      <c r="G359" s="21" t="n">
        <f aca="false">IF(AND(G50=1,G47=1),1,0)</f>
        <v>0</v>
      </c>
      <c r="H359" s="21" t="n">
        <f aca="false">IF(G359=1,1,IF(AND(H50=1,H47=1),1,0))</f>
        <v>0</v>
      </c>
      <c r="I359" s="21" t="n">
        <f aca="false">IF(H359=1,1,IF(AND(I50=1,I47=1),1,0))</f>
        <v>0</v>
      </c>
      <c r="J359" s="21" t="n">
        <f aca="false">IF(I359=1,1,IF(AND(J50=1,J47=1),1,0))</f>
        <v>0</v>
      </c>
      <c r="K359" s="21" t="n">
        <f aca="false">IF(J359=1,1,IF(AND(K50=1,K47=1),1,0))</f>
        <v>1</v>
      </c>
    </row>
    <row r="360" customFormat="false" ht="15" hidden="false" customHeight="false" outlineLevel="0" collapsed="false">
      <c r="A360" s="3" t="s">
        <v>557</v>
      </c>
      <c r="C360" s="16" t="n">
        <f aca="false">IF(C338&gt;0,C316-C349,0)</f>
        <v>0</v>
      </c>
      <c r="G360" s="21" t="n">
        <f aca="false">IF(AND(G63=1,G47=1),1,0)</f>
        <v>0</v>
      </c>
      <c r="H360" s="21" t="n">
        <f aca="false">IF(G360=1,1,IF(AND(H63=1,H47=1),1,0))</f>
        <v>0</v>
      </c>
      <c r="I360" s="21" t="n">
        <f aca="false">IF(H360=1,1,IF(AND(I63=1,I47=1),1,0))</f>
        <v>0</v>
      </c>
      <c r="J360" s="21" t="n">
        <f aca="false">IF(I360=1,1,IF(AND(J63=1,J47=1),1,0))</f>
        <v>0</v>
      </c>
      <c r="K360" s="21" t="n">
        <f aca="false">IF(J360=1,1,IF(AND(K63=1,K47=1),1,0))</f>
        <v>0</v>
      </c>
    </row>
    <row r="361" customFormat="false" ht="15" hidden="false" customHeight="false" outlineLevel="0" collapsed="false">
      <c r="A361" s="3" t="s">
        <v>558</v>
      </c>
      <c r="C361" s="16" t="n">
        <f aca="false">IF(C339&gt;0,C317-C350,0)</f>
        <v>0</v>
      </c>
      <c r="G361" s="21" t="n">
        <f aca="false">IF(AND(G76=1,G47=1),1,0)</f>
        <v>0</v>
      </c>
      <c r="H361" s="21" t="n">
        <f aca="false">IF(G361=1,1,IF(AND(H76=1,H47=1),1,0))</f>
        <v>0</v>
      </c>
      <c r="I361" s="21" t="n">
        <f aca="false">IF(H361=1,1,IF(AND(I76=1,I47=1),1,0))</f>
        <v>0</v>
      </c>
      <c r="J361" s="21" t="n">
        <f aca="false">IF(I361=1,1,IF(AND(J76=1,J47=1),1,0))</f>
        <v>0</v>
      </c>
      <c r="K361" s="21" t="n">
        <f aca="false">IF(J361=1,1,IF(AND(K76=1,K47=1),1,0))</f>
        <v>0</v>
      </c>
    </row>
    <row r="362" customFormat="false" ht="15" hidden="false" customHeight="false" outlineLevel="0" collapsed="false">
      <c r="A362" s="3" t="s">
        <v>559</v>
      </c>
      <c r="C362" s="16" t="n">
        <f aca="false">IF(C340&gt;0,C318-C351,0)</f>
        <v>0</v>
      </c>
      <c r="G362" s="21" t="n">
        <f aca="false">IF(AND(G89=1,G47=1),1,0)</f>
        <v>1</v>
      </c>
      <c r="H362" s="21" t="n">
        <f aca="false">IF(G362=1,1,IF(AND(H89=1,H47=1),1,0))</f>
        <v>1</v>
      </c>
      <c r="I362" s="21" t="n">
        <f aca="false">IF(H362=1,1,IF(AND(I89=1,I47=1),1,0))</f>
        <v>1</v>
      </c>
      <c r="J362" s="21" t="n">
        <f aca="false">IF(I362=1,1,IF(AND(J89=1,J47=1),1,0))</f>
        <v>1</v>
      </c>
      <c r="K362" s="21" t="n">
        <f aca="false">IF(J362=1,1,IF(AND(K89=1,K47=1),1,0))</f>
        <v>1</v>
      </c>
    </row>
    <row r="363" customFormat="false" ht="15" hidden="false" customHeight="false" outlineLevel="0" collapsed="false">
      <c r="A363" s="3" t="s">
        <v>560</v>
      </c>
      <c r="C363" s="16" t="n">
        <f aca="false">IF(C341&gt;0,C319-C352,0)</f>
        <v>0</v>
      </c>
      <c r="G363" s="21" t="n">
        <f aca="false">IF(AND(G102=1,G47=1),1,0)</f>
        <v>0</v>
      </c>
      <c r="H363" s="21" t="n">
        <f aca="false">IF(G363=1,1,IF(AND(H102=1,H47=1),1,0))</f>
        <v>1</v>
      </c>
      <c r="I363" s="21" t="n">
        <f aca="false">IF(H363=1,1,IF(AND(I102=1,I47=1),1,0))</f>
        <v>1</v>
      </c>
      <c r="J363" s="21" t="n">
        <f aca="false">IF(I363=1,1,IF(AND(J102=1,J47=1),1,0))</f>
        <v>1</v>
      </c>
      <c r="K363" s="21" t="n">
        <f aca="false">IF(J363=1,1,IF(AND(K102=1,K47=1),1,0))</f>
        <v>1</v>
      </c>
    </row>
    <row r="364" customFormat="false" ht="15" hidden="false" customHeight="false" outlineLevel="0" collapsed="false">
      <c r="A364" s="3" t="s">
        <v>561</v>
      </c>
      <c r="C364" s="16" t="n">
        <f aca="false">IF(C342&gt;0,C320-C353,0)</f>
        <v>0</v>
      </c>
      <c r="G364" s="21" t="n">
        <f aca="false">IF(AND(G115=1,G47=1),1,0)</f>
        <v>0</v>
      </c>
      <c r="H364" s="21" t="n">
        <f aca="false">IF(G364=1,1,IF(AND(H115=1,H47=1),1,0))</f>
        <v>1</v>
      </c>
      <c r="I364" s="21" t="n">
        <f aca="false">IF(H364=1,1,IF(AND(I115=1,I47=1),1,0))</f>
        <v>1</v>
      </c>
      <c r="J364" s="21" t="n">
        <f aca="false">IF(I364=1,1,IF(AND(J115=1,J47=1),1,0))</f>
        <v>1</v>
      </c>
      <c r="K364" s="21" t="n">
        <f aca="false">IF(J364=1,1,IF(AND(K115=1,K47=1),1,0))</f>
        <v>1</v>
      </c>
    </row>
    <row r="365" customFormat="false" ht="15" hidden="false" customHeight="false" outlineLevel="0" collapsed="false">
      <c r="A365" s="3" t="s">
        <v>562</v>
      </c>
      <c r="C365" s="16" t="n">
        <f aca="false">IF(C343&gt;0,C321-C354,0)</f>
        <v>0</v>
      </c>
      <c r="G365" s="21" t="n">
        <f aca="false">IF(AND(G128=1,G47=1),1,0)</f>
        <v>0</v>
      </c>
      <c r="H365" s="21" t="n">
        <f aca="false">IF(G365=1,1,IF(AND(H128=1,H47=1),1,0))</f>
        <v>0</v>
      </c>
      <c r="I365" s="21" t="n">
        <f aca="false">IF(H365=1,1,IF(AND(I128=1,I47=1),1,0))</f>
        <v>1</v>
      </c>
      <c r="J365" s="21" t="n">
        <f aca="false">IF(I365=1,1,IF(AND(J128=1,J47=1),1,0))</f>
        <v>1</v>
      </c>
      <c r="K365" s="21" t="n">
        <f aca="false">IF(J365=1,1,IF(AND(K128=1,K47=1),1,0))</f>
        <v>1</v>
      </c>
    </row>
    <row r="366" customFormat="false" ht="15" hidden="false" customHeight="false" outlineLevel="0" collapsed="false">
      <c r="A366" s="3" t="s">
        <v>563</v>
      </c>
      <c r="C366" s="16" t="n">
        <f aca="false">IF(C344&gt;0,C322-C355,0)</f>
        <v>0</v>
      </c>
      <c r="G366" s="21" t="n">
        <f aca="false">IF(AND(G141=1,G47=1),1,0)</f>
        <v>0</v>
      </c>
      <c r="H366" s="21" t="n">
        <f aca="false">IF(G366=1,1,IF(AND(H141=1,H47=1),1,0))</f>
        <v>0</v>
      </c>
      <c r="I366" s="21" t="n">
        <f aca="false">IF(H366=1,1,IF(AND(I141=1,I47=1),1,0))</f>
        <v>0</v>
      </c>
      <c r="J366" s="21" t="n">
        <f aca="false">IF(I366=1,1,IF(AND(J141=1,J47=1),1,0))</f>
        <v>1</v>
      </c>
      <c r="K366" s="21" t="n">
        <f aca="false">IF(J366=1,1,IF(AND(K141=1,K47=1),1,0))</f>
        <v>1</v>
      </c>
    </row>
    <row r="367" customFormat="false" ht="15" hidden="false" customHeight="false" outlineLevel="0" collapsed="false">
      <c r="A367" s="3" t="s">
        <v>564</v>
      </c>
      <c r="C367" s="16" t="n">
        <f aca="false">IF(C345&gt;0,C323-C356,0)</f>
        <v>0</v>
      </c>
      <c r="G367" s="21" t="n">
        <f aca="false">IF(AND(G154=1,G47=1),1,0)</f>
        <v>0</v>
      </c>
      <c r="H367" s="21" t="n">
        <f aca="false">IF(G367=1,1,IF(AND(H154=1,H47=1),1,0))</f>
        <v>0</v>
      </c>
      <c r="I367" s="21" t="n">
        <f aca="false">IF(H367=1,1,IF(AND(I154=1,I47=1),1,0))</f>
        <v>0</v>
      </c>
      <c r="J367" s="21" t="n">
        <f aca="false">IF(I367=1,1,IF(AND(J154=1,J47=1),1,0))</f>
        <v>0</v>
      </c>
      <c r="K367" s="21" t="n">
        <f aca="false">IF(J367=1,1,IF(AND(K154=1,K47=1),1,0))</f>
        <v>1</v>
      </c>
    </row>
    <row r="368" customFormat="false" ht="15" hidden="false" customHeight="false" outlineLevel="0" collapsed="false">
      <c r="A368" s="3" t="s">
        <v>565</v>
      </c>
      <c r="C368" s="16" t="n">
        <f aca="false">IF(C346&gt;0,C324-C357,0)</f>
        <v>0</v>
      </c>
      <c r="G368" s="21" t="n">
        <f aca="false">IF(AND(G167=1,G47=1),1,0)</f>
        <v>0</v>
      </c>
      <c r="H368" s="21" t="n">
        <f aca="false">IF(G368=1,1,IF(AND(H167=1,H47=1),1,0))</f>
        <v>0</v>
      </c>
      <c r="I368" s="21" t="n">
        <f aca="false">IF(H368=1,1,IF(AND(I167=1,I47=1),1,0))</f>
        <v>0</v>
      </c>
      <c r="J368" s="21" t="n">
        <f aca="false">IF(I368=1,1,IF(AND(J167=1,J47=1),1,0))</f>
        <v>0</v>
      </c>
      <c r="K368" s="21" t="n">
        <f aca="false">IF(J368=1,1,IF(AND(K167=1,K47=1),1,0))</f>
        <v>0</v>
      </c>
    </row>
    <row r="369" customFormat="false" ht="15" hidden="false" customHeight="false" outlineLevel="0" collapsed="false">
      <c r="A369" s="24" t="s">
        <v>570</v>
      </c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customFormat="false" ht="15" hidden="false" customHeight="false" outlineLevel="0" collapsed="false">
      <c r="A370" s="3" t="s">
        <v>556</v>
      </c>
      <c r="C370" s="16" t="n">
        <f aca="false">IF(C337&gt;0,C359,C315)</f>
        <v>0</v>
      </c>
    </row>
    <row r="371" customFormat="false" ht="15" hidden="false" customHeight="false" outlineLevel="0" collapsed="false">
      <c r="A371" s="3" t="s">
        <v>557</v>
      </c>
      <c r="C371" s="16" t="n">
        <f aca="false">IF(C338&gt;0,C360,C316)</f>
        <v>0</v>
      </c>
    </row>
    <row r="372" customFormat="false" ht="15" hidden="false" customHeight="false" outlineLevel="0" collapsed="false">
      <c r="A372" s="3" t="s">
        <v>558</v>
      </c>
      <c r="C372" s="16" t="n">
        <f aca="false">IF(C339&gt;0,C361,C317)</f>
        <v>0</v>
      </c>
    </row>
    <row r="373" customFormat="false" ht="15" hidden="false" customHeight="false" outlineLevel="0" collapsed="false">
      <c r="A373" s="3" t="s">
        <v>559</v>
      </c>
      <c r="C373" s="16" t="n">
        <f aca="false">IF(C340&gt;0,C362,C318)</f>
        <v>0</v>
      </c>
    </row>
    <row r="374" customFormat="false" ht="15" hidden="false" customHeight="false" outlineLevel="0" collapsed="false">
      <c r="A374" s="3" t="s">
        <v>560</v>
      </c>
      <c r="C374" s="16" t="n">
        <f aca="false">IF(C341&gt;0,C363,C319)</f>
        <v>454.44375</v>
      </c>
    </row>
    <row r="375" customFormat="false" ht="15" hidden="false" customHeight="false" outlineLevel="0" collapsed="false">
      <c r="A375" s="3" t="s">
        <v>561</v>
      </c>
      <c r="C375" s="16" t="n">
        <f aca="false">IF(C342&gt;0,C364,C320)</f>
        <v>357.2625</v>
      </c>
    </row>
    <row r="376" customFormat="false" ht="15" hidden="false" customHeight="false" outlineLevel="0" collapsed="false">
      <c r="A376" s="3" t="s">
        <v>562</v>
      </c>
      <c r="C376" s="16" t="n">
        <f aca="false">IF(C343&gt;0,C365,C321)</f>
        <v>562.203125</v>
      </c>
    </row>
    <row r="377" customFormat="false" ht="15" hidden="false" customHeight="false" outlineLevel="0" collapsed="false">
      <c r="A377" s="3" t="s">
        <v>563</v>
      </c>
      <c r="C377" s="16" t="n">
        <f aca="false">IF(C344&gt;0,C366,C322)</f>
        <v>353.98125</v>
      </c>
    </row>
    <row r="378" customFormat="false" ht="15" hidden="false" customHeight="false" outlineLevel="0" collapsed="false">
      <c r="A378" s="3" t="s">
        <v>564</v>
      </c>
      <c r="C378" s="16" t="n">
        <f aca="false">IF(C345&gt;0,C367,C323)</f>
        <v>304.59375</v>
      </c>
    </row>
    <row r="379" customFormat="false" ht="15" hidden="false" customHeight="false" outlineLevel="0" collapsed="false">
      <c r="A379" s="3" t="s">
        <v>565</v>
      </c>
      <c r="C379" s="16" t="n">
        <f aca="false">IF(C346&gt;0,C368,C324)</f>
        <v>79.67320025</v>
      </c>
    </row>
    <row r="380" customFormat="false" ht="15" hidden="false" customHeight="false" outlineLevel="0" collapsed="false">
      <c r="A380" s="24" t="s">
        <v>571</v>
      </c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customFormat="false" ht="15" hidden="false" customHeight="false" outlineLevel="0" collapsed="false">
      <c r="A381" s="3" t="s">
        <v>556</v>
      </c>
      <c r="C381" s="21" t="n">
        <f aca="false">IF(C337&gt;0,Assumptions!$C$17,C326)</f>
        <v>99</v>
      </c>
    </row>
    <row r="382" customFormat="false" ht="15" hidden="false" customHeight="false" outlineLevel="0" collapsed="false">
      <c r="A382" s="3" t="s">
        <v>557</v>
      </c>
      <c r="C382" s="21" t="n">
        <f aca="false">IF(C338&gt;0,Assumptions!$C$17,C327)</f>
        <v>99</v>
      </c>
    </row>
    <row r="383" customFormat="false" ht="15" hidden="false" customHeight="false" outlineLevel="0" collapsed="false">
      <c r="A383" s="3" t="s">
        <v>558</v>
      </c>
      <c r="C383" s="21" t="n">
        <f aca="false">IF(C339&gt;0,Assumptions!$C$17,C328)</f>
        <v>99</v>
      </c>
    </row>
    <row r="384" customFormat="false" ht="15" hidden="false" customHeight="false" outlineLevel="0" collapsed="false">
      <c r="A384" s="3" t="s">
        <v>559</v>
      </c>
      <c r="C384" s="21" t="n">
        <f aca="false">IF(C340&gt;0,Assumptions!$C$17,C329)</f>
        <v>2</v>
      </c>
    </row>
    <row r="385" customFormat="false" ht="15" hidden="false" customHeight="false" outlineLevel="0" collapsed="false">
      <c r="A385" s="3" t="s">
        <v>560</v>
      </c>
      <c r="C385" s="21" t="n">
        <f aca="false">IF(C341&gt;0,Assumptions!$C$17,C330)</f>
        <v>2</v>
      </c>
    </row>
    <row r="386" customFormat="false" ht="15" hidden="false" customHeight="false" outlineLevel="0" collapsed="false">
      <c r="A386" s="3" t="s">
        <v>561</v>
      </c>
      <c r="C386" s="21" t="n">
        <f aca="false">IF(C342&gt;0,Assumptions!$C$17,C331)</f>
        <v>2</v>
      </c>
    </row>
    <row r="387" customFormat="false" ht="15" hidden="false" customHeight="false" outlineLevel="0" collapsed="false">
      <c r="A387" s="3" t="s">
        <v>562</v>
      </c>
      <c r="C387" s="21" t="n">
        <f aca="false">IF(C343&gt;0,Assumptions!$C$17,C332)</f>
        <v>2</v>
      </c>
    </row>
    <row r="388" customFormat="false" ht="15" hidden="false" customHeight="false" outlineLevel="0" collapsed="false">
      <c r="A388" s="3" t="s">
        <v>563</v>
      </c>
      <c r="C388" s="21" t="n">
        <f aca="false">IF(C344&gt;0,Assumptions!$C$17,C333)</f>
        <v>2</v>
      </c>
    </row>
    <row r="389" customFormat="false" ht="15" hidden="false" customHeight="false" outlineLevel="0" collapsed="false">
      <c r="A389" s="3" t="s">
        <v>564</v>
      </c>
      <c r="C389" s="21" t="n">
        <f aca="false">IF(C345&gt;0,Assumptions!$C$17,C334)</f>
        <v>2</v>
      </c>
    </row>
    <row r="390" customFormat="false" ht="15" hidden="false" customHeight="false" outlineLevel="0" collapsed="false">
      <c r="A390" s="3" t="s">
        <v>565</v>
      </c>
      <c r="C390" s="21" t="n">
        <f aca="false">IF(C346&gt;0,Assumptions!$C$17,C335)</f>
        <v>3</v>
      </c>
    </row>
    <row r="391" customFormat="false" ht="15" hidden="false" customHeight="false" outlineLevel="0" collapsed="false">
      <c r="A391" s="24" t="s">
        <v>572</v>
      </c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customFormat="false" ht="15" hidden="false" customHeight="false" outlineLevel="0" collapsed="false">
      <c r="A392" s="3" t="s">
        <v>556</v>
      </c>
      <c r="C392" s="16" t="n">
        <f aca="false">SUMPRODUCT(($C$381:$C$390&lt;C381)*$C$370:$C$379)</f>
        <v>2112.15757525</v>
      </c>
    </row>
    <row r="393" customFormat="false" ht="15" hidden="false" customHeight="false" outlineLevel="0" collapsed="false">
      <c r="A393" s="3" t="s">
        <v>557</v>
      </c>
      <c r="C393" s="16" t="n">
        <f aca="false">SUMPRODUCT(($C$381:$C$390&lt;C382)*$C$370:$C$379)</f>
        <v>2112.15757525</v>
      </c>
    </row>
    <row r="394" customFormat="false" ht="15" hidden="false" customHeight="false" outlineLevel="0" collapsed="false">
      <c r="A394" s="3" t="s">
        <v>558</v>
      </c>
      <c r="C394" s="16" t="n">
        <f aca="false">SUMPRODUCT(($C$381:$C$390&lt;C383)*$C$370:$C$379)</f>
        <v>2112.15757525</v>
      </c>
    </row>
    <row r="395" customFormat="false" ht="15" hidden="false" customHeight="false" outlineLevel="0" collapsed="false">
      <c r="A395" s="3" t="s">
        <v>559</v>
      </c>
      <c r="C395" s="16" t="n">
        <f aca="false">SUMPRODUCT(($C$381:$C$390&lt;C384)*$C$370:$C$379)</f>
        <v>0</v>
      </c>
    </row>
    <row r="396" customFormat="false" ht="15" hidden="false" customHeight="false" outlineLevel="0" collapsed="false">
      <c r="A396" s="3" t="s">
        <v>560</v>
      </c>
      <c r="C396" s="16" t="n">
        <f aca="false">SUMPRODUCT(($C$381:$C$390&lt;C385)*$C$370:$C$379)</f>
        <v>0</v>
      </c>
    </row>
    <row r="397" customFormat="false" ht="15" hidden="false" customHeight="false" outlineLevel="0" collapsed="false">
      <c r="A397" s="3" t="s">
        <v>561</v>
      </c>
      <c r="C397" s="16" t="n">
        <f aca="false">SUMPRODUCT(($C$381:$C$390&lt;C386)*$C$370:$C$379)</f>
        <v>0</v>
      </c>
    </row>
    <row r="398" customFormat="false" ht="15" hidden="false" customHeight="false" outlineLevel="0" collapsed="false">
      <c r="A398" s="3" t="s">
        <v>562</v>
      </c>
      <c r="C398" s="16" t="n">
        <f aca="false">SUMPRODUCT(($C$381:$C$390&lt;C387)*$C$370:$C$379)</f>
        <v>0</v>
      </c>
    </row>
    <row r="399" customFormat="false" ht="15" hidden="false" customHeight="false" outlineLevel="0" collapsed="false">
      <c r="A399" s="3" t="s">
        <v>563</v>
      </c>
      <c r="C399" s="16" t="n">
        <f aca="false">SUMPRODUCT(($C$381:$C$390&lt;C388)*$C$370:$C$379)</f>
        <v>0</v>
      </c>
    </row>
    <row r="400" customFormat="false" ht="15" hidden="false" customHeight="false" outlineLevel="0" collapsed="false">
      <c r="A400" s="3" t="s">
        <v>564</v>
      </c>
      <c r="C400" s="16" t="n">
        <f aca="false">SUMPRODUCT(($C$381:$C$390&lt;C389)*$C$370:$C$379)</f>
        <v>0</v>
      </c>
    </row>
    <row r="401" customFormat="false" ht="15" hidden="false" customHeight="false" outlineLevel="0" collapsed="false">
      <c r="A401" s="3" t="s">
        <v>565</v>
      </c>
      <c r="C401" s="16" t="n">
        <f aca="false">SUMPRODUCT(($C$381:$C$390&lt;C390)*$C$370:$C$379)</f>
        <v>2032.484375</v>
      </c>
    </row>
    <row r="402" customFormat="false" ht="15" hidden="false" customHeight="false" outlineLevel="0" collapsed="false">
      <c r="A402" s="24" t="s">
        <v>573</v>
      </c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customFormat="false" ht="15" hidden="false" customHeight="false" outlineLevel="0" collapsed="false">
      <c r="A403" s="3" t="s">
        <v>556</v>
      </c>
      <c r="C403" s="16" t="n">
        <f aca="false">SUMPRODUCT(($C$381:$C$390=C381)*$C$370:$C$379)</f>
        <v>0</v>
      </c>
    </row>
    <row r="404" customFormat="false" ht="15" hidden="false" customHeight="false" outlineLevel="0" collapsed="false">
      <c r="A404" s="3" t="s">
        <v>557</v>
      </c>
      <c r="C404" s="16" t="n">
        <f aca="false">SUMPRODUCT(($C$381:$C$390=C382)*$C$370:$C$379)</f>
        <v>0</v>
      </c>
    </row>
    <row r="405" customFormat="false" ht="15" hidden="false" customHeight="false" outlineLevel="0" collapsed="false">
      <c r="A405" s="3" t="s">
        <v>558</v>
      </c>
      <c r="C405" s="16" t="n">
        <f aca="false">SUMPRODUCT(($C$381:$C$390=C383)*$C$370:$C$379)</f>
        <v>0</v>
      </c>
    </row>
    <row r="406" customFormat="false" ht="15" hidden="false" customHeight="false" outlineLevel="0" collapsed="false">
      <c r="A406" s="3" t="s">
        <v>559</v>
      </c>
      <c r="C406" s="16" t="n">
        <f aca="false">SUMPRODUCT(($C$381:$C$390=C384)*$C$370:$C$379)</f>
        <v>2032.484375</v>
      </c>
    </row>
    <row r="407" customFormat="false" ht="15" hidden="false" customHeight="false" outlineLevel="0" collapsed="false">
      <c r="A407" s="3" t="s">
        <v>560</v>
      </c>
      <c r="C407" s="16" t="n">
        <f aca="false">SUMPRODUCT(($C$381:$C$390=C385)*$C$370:$C$379)</f>
        <v>2032.484375</v>
      </c>
    </row>
    <row r="408" customFormat="false" ht="15" hidden="false" customHeight="false" outlineLevel="0" collapsed="false">
      <c r="A408" s="3" t="s">
        <v>561</v>
      </c>
      <c r="C408" s="16" t="n">
        <f aca="false">SUMPRODUCT(($C$381:$C$390=C386)*$C$370:$C$379)</f>
        <v>2032.484375</v>
      </c>
    </row>
    <row r="409" customFormat="false" ht="15" hidden="false" customHeight="false" outlineLevel="0" collapsed="false">
      <c r="A409" s="3" t="s">
        <v>562</v>
      </c>
      <c r="C409" s="16" t="n">
        <f aca="false">SUMPRODUCT(($C$381:$C$390=C387)*$C$370:$C$379)</f>
        <v>2032.484375</v>
      </c>
    </row>
    <row r="410" customFormat="false" ht="15" hidden="false" customHeight="false" outlineLevel="0" collapsed="false">
      <c r="A410" s="3" t="s">
        <v>563</v>
      </c>
      <c r="C410" s="16" t="n">
        <f aca="false">SUMPRODUCT(($C$381:$C$390=C388)*$C$370:$C$379)</f>
        <v>2032.484375</v>
      </c>
    </row>
    <row r="411" customFormat="false" ht="15" hidden="false" customHeight="false" outlineLevel="0" collapsed="false">
      <c r="A411" s="3" t="s">
        <v>564</v>
      </c>
      <c r="C411" s="16" t="n">
        <f aca="false">SUMPRODUCT(($C$381:$C$390=C389)*$C$370:$C$379)</f>
        <v>2032.484375</v>
      </c>
    </row>
    <row r="412" customFormat="false" ht="15" hidden="false" customHeight="false" outlineLevel="0" collapsed="false">
      <c r="A412" s="3" t="s">
        <v>565</v>
      </c>
      <c r="C412" s="16" t="n">
        <f aca="false">SUMPRODUCT(($C$381:$C$390=C390)*$C$370:$C$379)</f>
        <v>79.67320025</v>
      </c>
    </row>
    <row r="413" customFormat="false" ht="15" hidden="false" customHeight="false" outlineLevel="0" collapsed="false">
      <c r="A413" s="24" t="s">
        <v>574</v>
      </c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customFormat="false" ht="15" hidden="false" customHeight="false" outlineLevel="0" collapsed="false">
      <c r="A414" s="3" t="s">
        <v>556</v>
      </c>
      <c r="C414" s="16" t="n">
        <f aca="false">IF(C403=0,0,C370/C403*MAX(0,MIN(C403,$C$313-SUM($C$348:$C$357)-C392)))</f>
        <v>0</v>
      </c>
    </row>
    <row r="415" customFormat="false" ht="15" hidden="false" customHeight="false" outlineLevel="0" collapsed="false">
      <c r="A415" s="3" t="s">
        <v>557</v>
      </c>
      <c r="C415" s="16" t="n">
        <f aca="false">IF(C404=0,0,C371/C404*MAX(0,MIN(C404,$C$313-SUM($C$348:$C$357)-C393)))</f>
        <v>0</v>
      </c>
    </row>
    <row r="416" customFormat="false" ht="15" hidden="false" customHeight="false" outlineLevel="0" collapsed="false">
      <c r="A416" s="3" t="s">
        <v>558</v>
      </c>
      <c r="C416" s="16" t="n">
        <f aca="false">IF(C405=0,0,C372/C405*MAX(0,MIN(C405,$C$313-SUM($C$348:$C$357)-C394)))</f>
        <v>0</v>
      </c>
    </row>
    <row r="417" customFormat="false" ht="15" hidden="false" customHeight="false" outlineLevel="0" collapsed="false">
      <c r="A417" s="3" t="s">
        <v>559</v>
      </c>
      <c r="C417" s="16" t="n">
        <f aca="false">IF(C406=0,0,C373/C406*MAX(0,MIN(C406,$C$313-SUM($C$348:$C$357)-C395)))</f>
        <v>0</v>
      </c>
    </row>
    <row r="418" customFormat="false" ht="15" hidden="false" customHeight="false" outlineLevel="0" collapsed="false">
      <c r="A418" s="3" t="s">
        <v>560</v>
      </c>
      <c r="C418" s="16" t="n">
        <f aca="false">IF(C407=0,0,C374/C407*MAX(0,MIN(C407,$C$313-SUM($C$348:$C$357)-C396)))</f>
        <v>454.44375</v>
      </c>
    </row>
    <row r="419" customFormat="false" ht="15" hidden="false" customHeight="false" outlineLevel="0" collapsed="false">
      <c r="A419" s="3" t="s">
        <v>561</v>
      </c>
      <c r="C419" s="16" t="n">
        <f aca="false">IF(C408=0,0,C375/C408*MAX(0,MIN(C408,$C$313-SUM($C$348:$C$357)-C397)))</f>
        <v>357.2625</v>
      </c>
    </row>
    <row r="420" customFormat="false" ht="15" hidden="false" customHeight="false" outlineLevel="0" collapsed="false">
      <c r="A420" s="3" t="s">
        <v>562</v>
      </c>
      <c r="C420" s="16" t="n">
        <f aca="false">IF(C409=0,0,C376/C409*MAX(0,MIN(C409,$C$313-SUM($C$348:$C$357)-C398)))</f>
        <v>562.203125</v>
      </c>
    </row>
    <row r="421" customFormat="false" ht="15" hidden="false" customHeight="false" outlineLevel="0" collapsed="false">
      <c r="A421" s="3" t="s">
        <v>563</v>
      </c>
      <c r="C421" s="16" t="n">
        <f aca="false">IF(C410=0,0,C377/C410*MAX(0,MIN(C410,$C$313-SUM($C$348:$C$357)-C399)))</f>
        <v>353.98125</v>
      </c>
    </row>
    <row r="422" customFormat="false" ht="15" hidden="false" customHeight="false" outlineLevel="0" collapsed="false">
      <c r="A422" s="3" t="s">
        <v>564</v>
      </c>
      <c r="C422" s="16" t="n">
        <f aca="false">IF(C411=0,0,C378/C411*MAX(0,MIN(C411,$C$313-SUM($C$348:$C$357)-C400)))</f>
        <v>304.59375</v>
      </c>
    </row>
    <row r="423" customFormat="false" ht="15" hidden="false" customHeight="false" outlineLevel="0" collapsed="false">
      <c r="A423" s="3" t="s">
        <v>565</v>
      </c>
      <c r="C423" s="16" t="n">
        <f aca="false">IF(C412=0,0,C379/C412*MAX(0,MIN(C412,$C$313-SUM($C$348:$C$357)-C401)))</f>
        <v>79.67320025</v>
      </c>
    </row>
    <row r="424" customFormat="false" ht="15" hidden="false" customHeight="false" outlineLevel="0" collapsed="false">
      <c r="A424" s="24" t="s">
        <v>575</v>
      </c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customFormat="false" ht="15" hidden="false" customHeight="false" outlineLevel="0" collapsed="false">
      <c r="A425" s="2" t="s">
        <v>556</v>
      </c>
      <c r="C425" s="17" t="n">
        <f aca="false">C348+C414</f>
        <v>405.0585</v>
      </c>
    </row>
    <row r="426" customFormat="false" ht="15" hidden="false" customHeight="false" outlineLevel="0" collapsed="false">
      <c r="A426" s="2" t="s">
        <v>557</v>
      </c>
      <c r="C426" s="17" t="n">
        <f aca="false">C349+C415</f>
        <v>91.30725</v>
      </c>
    </row>
    <row r="427" customFormat="false" ht="15" hidden="false" customHeight="false" outlineLevel="0" collapsed="false">
      <c r="A427" s="2" t="s">
        <v>558</v>
      </c>
      <c r="C427" s="17" t="n">
        <f aca="false">C350+C416</f>
        <v>58.3715961</v>
      </c>
    </row>
    <row r="428" customFormat="false" ht="15" hidden="false" customHeight="false" outlineLevel="0" collapsed="false">
      <c r="A428" s="2" t="s">
        <v>559</v>
      </c>
      <c r="C428" s="17" t="n">
        <f aca="false">C351+C417</f>
        <v>0</v>
      </c>
    </row>
    <row r="429" customFormat="false" ht="15" hidden="false" customHeight="false" outlineLevel="0" collapsed="false">
      <c r="A429" s="2" t="s">
        <v>560</v>
      </c>
      <c r="C429" s="17" t="n">
        <f aca="false">C352+C418</f>
        <v>454.44375</v>
      </c>
    </row>
    <row r="430" customFormat="false" ht="15" hidden="false" customHeight="false" outlineLevel="0" collapsed="false">
      <c r="A430" s="2" t="s">
        <v>561</v>
      </c>
      <c r="C430" s="17" t="n">
        <f aca="false">C353+C419</f>
        <v>357.2625</v>
      </c>
    </row>
    <row r="431" customFormat="false" ht="15" hidden="false" customHeight="false" outlineLevel="0" collapsed="false">
      <c r="A431" s="2" t="s">
        <v>562</v>
      </c>
      <c r="C431" s="17" t="n">
        <f aca="false">C354+C420</f>
        <v>562.203125</v>
      </c>
    </row>
    <row r="432" customFormat="false" ht="15" hidden="false" customHeight="false" outlineLevel="0" collapsed="false">
      <c r="A432" s="2" t="s">
        <v>563</v>
      </c>
      <c r="C432" s="17" t="n">
        <f aca="false">C355+C421</f>
        <v>353.98125</v>
      </c>
    </row>
    <row r="433" customFormat="false" ht="15" hidden="false" customHeight="false" outlineLevel="0" collapsed="false">
      <c r="A433" s="2" t="s">
        <v>564</v>
      </c>
      <c r="C433" s="17" t="n">
        <f aca="false">C356+C422</f>
        <v>304.59375</v>
      </c>
    </row>
    <row r="434" customFormat="false" ht="15" hidden="false" customHeight="false" outlineLevel="0" collapsed="false">
      <c r="A434" s="2" t="s">
        <v>565</v>
      </c>
      <c r="C434" s="17" t="n">
        <f aca="false">C357+C423</f>
        <v>79.67320025</v>
      </c>
    </row>
    <row r="435" customFormat="false" ht="15" hidden="false" customHeight="false" outlineLevel="0" collapsed="false">
      <c r="A435" s="24" t="s">
        <v>576</v>
      </c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customFormat="false" ht="15" hidden="false" customHeight="false" outlineLevel="0" collapsed="false">
      <c r="A436" s="3" t="s">
        <v>556</v>
      </c>
      <c r="C436" s="22" t="n">
        <f aca="false">IF(C315=0,1,C425/C315)</f>
        <v>1</v>
      </c>
    </row>
    <row r="437" customFormat="false" ht="15" hidden="false" customHeight="false" outlineLevel="0" collapsed="false">
      <c r="A437" s="3" t="s">
        <v>557</v>
      </c>
      <c r="C437" s="22" t="n">
        <f aca="false">IF(C316=0,1,C426/C316)</f>
        <v>1</v>
      </c>
    </row>
    <row r="438" customFormat="false" ht="15" hidden="false" customHeight="false" outlineLevel="0" collapsed="false">
      <c r="A438" s="3" t="s">
        <v>558</v>
      </c>
      <c r="C438" s="22" t="n">
        <f aca="false">IF(C317=0,1,C427/C317)</f>
        <v>1</v>
      </c>
    </row>
    <row r="439" customFormat="false" ht="15" hidden="false" customHeight="false" outlineLevel="0" collapsed="false">
      <c r="A439" s="3" t="s">
        <v>559</v>
      </c>
      <c r="C439" s="22" t="n">
        <f aca="false">IF(C318=0,1,C428/C318)</f>
        <v>1</v>
      </c>
    </row>
    <row r="440" customFormat="false" ht="15" hidden="false" customHeight="false" outlineLevel="0" collapsed="false">
      <c r="A440" s="3" t="s">
        <v>560</v>
      </c>
      <c r="C440" s="22" t="n">
        <f aca="false">IF(C319=0,1,C429/C319)</f>
        <v>1</v>
      </c>
    </row>
    <row r="441" customFormat="false" ht="15" hidden="false" customHeight="false" outlineLevel="0" collapsed="false">
      <c r="A441" s="3" t="s">
        <v>561</v>
      </c>
      <c r="C441" s="22" t="n">
        <f aca="false">IF(C320=0,1,C430/C320)</f>
        <v>1</v>
      </c>
    </row>
    <row r="442" customFormat="false" ht="15" hidden="false" customHeight="false" outlineLevel="0" collapsed="false">
      <c r="A442" s="3" t="s">
        <v>562</v>
      </c>
      <c r="C442" s="22" t="n">
        <f aca="false">IF(C321=0,1,C431/C321)</f>
        <v>1</v>
      </c>
    </row>
    <row r="443" customFormat="false" ht="15" hidden="false" customHeight="false" outlineLevel="0" collapsed="false">
      <c r="A443" s="3" t="s">
        <v>563</v>
      </c>
      <c r="C443" s="22" t="n">
        <f aca="false">IF(C322=0,1,C432/C322)</f>
        <v>1</v>
      </c>
    </row>
    <row r="444" customFormat="false" ht="15" hidden="false" customHeight="false" outlineLevel="0" collapsed="false">
      <c r="A444" s="3" t="s">
        <v>564</v>
      </c>
      <c r="C444" s="22" t="n">
        <f aca="false">IF(C323=0,1,C433/C323)</f>
        <v>1</v>
      </c>
    </row>
    <row r="445" customFormat="false" ht="15" hidden="false" customHeight="false" outlineLevel="0" collapsed="false">
      <c r="A445" s="3" t="s">
        <v>565</v>
      </c>
      <c r="C445" s="22" t="n">
        <f aca="false">IF(C324=0,1,C434/C324)</f>
        <v>1</v>
      </c>
    </row>
    <row r="446" customFormat="false" ht="15" hidden="false" customHeight="false" outlineLevel="0" collapsed="false">
      <c r="A446" s="24" t="s">
        <v>577</v>
      </c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customFormat="false" ht="15" hidden="false" customHeight="false" outlineLevel="0" collapsed="false">
      <c r="A447" s="3" t="s">
        <v>556</v>
      </c>
      <c r="C447" s="16" t="n">
        <f aca="false">C315-C425</f>
        <v>0</v>
      </c>
    </row>
    <row r="448" customFormat="false" ht="15" hidden="false" customHeight="false" outlineLevel="0" collapsed="false">
      <c r="A448" s="3" t="s">
        <v>557</v>
      </c>
      <c r="C448" s="16" t="n">
        <f aca="false">C316-C426</f>
        <v>0</v>
      </c>
    </row>
    <row r="449" customFormat="false" ht="15" hidden="false" customHeight="false" outlineLevel="0" collapsed="false">
      <c r="A449" s="3" t="s">
        <v>558</v>
      </c>
      <c r="C449" s="16" t="n">
        <f aca="false">C317-C427</f>
        <v>0</v>
      </c>
    </row>
    <row r="450" customFormat="false" ht="15" hidden="false" customHeight="false" outlineLevel="0" collapsed="false">
      <c r="A450" s="3" t="s">
        <v>559</v>
      </c>
      <c r="C450" s="16" t="n">
        <f aca="false">C318-C428</f>
        <v>0</v>
      </c>
    </row>
    <row r="451" customFormat="false" ht="15" hidden="false" customHeight="false" outlineLevel="0" collapsed="false">
      <c r="A451" s="3" t="s">
        <v>560</v>
      </c>
      <c r="C451" s="16" t="n">
        <f aca="false">C319-C429</f>
        <v>0</v>
      </c>
    </row>
    <row r="452" customFormat="false" ht="15" hidden="false" customHeight="false" outlineLevel="0" collapsed="false">
      <c r="A452" s="3" t="s">
        <v>561</v>
      </c>
      <c r="C452" s="16" t="n">
        <f aca="false">C320-C430</f>
        <v>0</v>
      </c>
    </row>
    <row r="453" customFormat="false" ht="15" hidden="false" customHeight="false" outlineLevel="0" collapsed="false">
      <c r="A453" s="3" t="s">
        <v>562</v>
      </c>
      <c r="C453" s="16" t="n">
        <f aca="false">C321-C431</f>
        <v>0</v>
      </c>
    </row>
    <row r="454" customFormat="false" ht="15" hidden="false" customHeight="false" outlineLevel="0" collapsed="false">
      <c r="A454" s="3" t="s">
        <v>563</v>
      </c>
      <c r="C454" s="16" t="n">
        <f aca="false">C322-C432</f>
        <v>0</v>
      </c>
    </row>
    <row r="455" customFormat="false" ht="15" hidden="false" customHeight="false" outlineLevel="0" collapsed="false">
      <c r="A455" s="3" t="s">
        <v>564</v>
      </c>
      <c r="C455" s="16" t="n">
        <f aca="false">C323-C433</f>
        <v>0</v>
      </c>
    </row>
    <row r="456" customFormat="false" ht="15" hidden="false" customHeight="false" outlineLevel="0" collapsed="false">
      <c r="A456" s="3" t="s">
        <v>565</v>
      </c>
      <c r="C456" s="16" t="n">
        <f aca="false">C324-C434</f>
        <v>0</v>
      </c>
    </row>
    <row r="457" customFormat="false" ht="15" hidden="false" customHeight="false" outlineLevel="0" collapsed="false">
      <c r="A457" s="24" t="s">
        <v>578</v>
      </c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customFormat="false" ht="15" hidden="false" customHeight="false" outlineLevel="0" collapsed="false">
      <c r="A458" s="3" t="s">
        <v>556</v>
      </c>
      <c r="C458" s="22" t="n">
        <f aca="false">IF(C315=0,0,C447/C315)</f>
        <v>0</v>
      </c>
    </row>
    <row r="459" customFormat="false" ht="15" hidden="false" customHeight="false" outlineLevel="0" collapsed="false">
      <c r="A459" s="3" t="s">
        <v>557</v>
      </c>
      <c r="C459" s="22" t="n">
        <f aca="false">IF(C316=0,0,C448/C316)</f>
        <v>0</v>
      </c>
    </row>
    <row r="460" customFormat="false" ht="15" hidden="false" customHeight="false" outlineLevel="0" collapsed="false">
      <c r="A460" s="3" t="s">
        <v>558</v>
      </c>
      <c r="C460" s="22" t="n">
        <f aca="false">IF(C317=0,0,C449/C317)</f>
        <v>0</v>
      </c>
    </row>
    <row r="461" customFormat="false" ht="15" hidden="false" customHeight="false" outlineLevel="0" collapsed="false">
      <c r="A461" s="3" t="s">
        <v>559</v>
      </c>
      <c r="C461" s="22" t="n">
        <f aca="false">IF(C318=0,0,C450/C318)</f>
        <v>0</v>
      </c>
    </row>
    <row r="462" customFormat="false" ht="15" hidden="false" customHeight="false" outlineLevel="0" collapsed="false">
      <c r="A462" s="3" t="s">
        <v>560</v>
      </c>
      <c r="C462" s="22" t="n">
        <f aca="false">IF(C319=0,0,C451/C319)</f>
        <v>0</v>
      </c>
    </row>
    <row r="463" customFormat="false" ht="15" hidden="false" customHeight="false" outlineLevel="0" collapsed="false">
      <c r="A463" s="3" t="s">
        <v>561</v>
      </c>
      <c r="C463" s="22" t="n">
        <f aca="false">IF(C320=0,0,C452/C320)</f>
        <v>0</v>
      </c>
    </row>
    <row r="464" customFormat="false" ht="15" hidden="false" customHeight="false" outlineLevel="0" collapsed="false">
      <c r="A464" s="3" t="s">
        <v>562</v>
      </c>
      <c r="C464" s="22" t="n">
        <f aca="false">IF(C321=0,0,C453/C321)</f>
        <v>0</v>
      </c>
    </row>
    <row r="465" customFormat="false" ht="15" hidden="false" customHeight="false" outlineLevel="0" collapsed="false">
      <c r="A465" s="3" t="s">
        <v>563</v>
      </c>
      <c r="C465" s="22" t="n">
        <f aca="false">IF(C322=0,0,C454/C322)</f>
        <v>0</v>
      </c>
    </row>
    <row r="466" customFormat="false" ht="15" hidden="false" customHeight="false" outlineLevel="0" collapsed="false">
      <c r="A466" s="3" t="s">
        <v>564</v>
      </c>
      <c r="C466" s="22" t="n">
        <f aca="false">IF(C323=0,0,C455/C323)</f>
        <v>0</v>
      </c>
    </row>
    <row r="467" customFormat="false" ht="15" hidden="false" customHeight="false" outlineLevel="0" collapsed="false">
      <c r="A467" s="3" t="s">
        <v>565</v>
      </c>
      <c r="C467" s="22" t="n">
        <f aca="false">IF(C324=0,0,C456/C324)</f>
        <v>0</v>
      </c>
    </row>
    <row r="468" customFormat="false" ht="15" hidden="false" customHeight="false" outlineLevel="0" collapsed="false">
      <c r="A468" s="2" t="s">
        <v>579</v>
      </c>
      <c r="C468" s="17" t="n">
        <f aca="false">MAX(0,$C$313-SUM($C$348:$C$357)-SUM($C$370:$C$379))</f>
        <v>1163.864440506</v>
      </c>
    </row>
    <row r="469" customFormat="false" ht="15" hidden="false" customHeight="false" outlineLevel="0" collapsed="false">
      <c r="A469" s="3" t="s">
        <v>580</v>
      </c>
      <c r="C469" s="16" t="n">
        <f aca="false">SUM($C$425:$C$434)+C468+C312-C311</f>
        <v>0</v>
      </c>
    </row>
    <row r="471" customFormat="false" ht="15" hidden="false" customHeight="false" outlineLevel="0" collapsed="false">
      <c r="A471" s="24" t="s">
        <v>583</v>
      </c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customFormat="false" ht="15" hidden="false" customHeight="false" outlineLevel="0" collapsed="false">
      <c r="A472" s="3" t="s">
        <v>584</v>
      </c>
      <c r="C472" s="27" t="n">
        <f aca="false">Assumptions!$C$34</f>
        <v>1</v>
      </c>
    </row>
    <row r="473" customFormat="false" ht="15" hidden="false" customHeight="false" outlineLevel="0" collapsed="false">
      <c r="A473" s="3" t="s">
        <v>585</v>
      </c>
      <c r="C473" s="29" t="n">
        <f aca="false">Assumptions!$C$35</f>
        <v>100</v>
      </c>
    </row>
    <row r="474" customFormat="false" ht="15" hidden="false" customHeight="false" outlineLevel="0" collapsed="false">
      <c r="A474" s="3" t="s">
        <v>586</v>
      </c>
      <c r="C474" s="40" t="n">
        <f aca="false">Assumptions!$C$36</f>
        <v>98</v>
      </c>
    </row>
    <row r="475" customFormat="false" ht="15" hidden="false" customHeight="false" outlineLevel="0" collapsed="false">
      <c r="A475" s="3" t="s">
        <v>587</v>
      </c>
      <c r="C475" s="16" t="n">
        <f aca="false">C473*C474/100*(1+Assumptions!$C$37)</f>
        <v>98.49</v>
      </c>
    </row>
    <row r="476" customFormat="false" ht="15" hidden="false" customHeight="false" outlineLevel="0" collapsed="false">
      <c r="A476" s="3" t="s">
        <v>588</v>
      </c>
      <c r="C476" s="27" t="n">
        <f aca="false">Assumptions!$C$38</f>
        <v>3</v>
      </c>
    </row>
    <row r="477" customFormat="false" ht="15" hidden="false" customHeight="false" outlineLevel="0" collapsed="false">
      <c r="A477" s="3" t="s">
        <v>589</v>
      </c>
      <c r="C477" s="21" t="n">
        <f aca="false">IF(C304=1,SUMPRODUCT($G$240:$K$240,$G$14:$K$14),0)</f>
        <v>0</v>
      </c>
    </row>
    <row r="478" customFormat="false" ht="15" hidden="false" customHeight="false" outlineLevel="0" collapsed="false">
      <c r="A478" s="3" t="s">
        <v>590</v>
      </c>
      <c r="C478" s="22" t="n">
        <f aca="false">IFERROR(C473/CHOOSE(C472,SUMPRODUCT($G$303:$K$303,$G$60:$K$60),SUMPRODUCT($G$303:$K$303,$G$73:$K$73),SUMPRODUCT($G$303:$K$303,$G$86:$K$86),SUMPRODUCT($G$303:$K$303,$G$99:$K$99),SUMPRODUCT($G$303:$K$303,$G$112:$K$112),SUMPRODUCT($G$303:$K$303,$G$125:$K$125),SUMPRODUCT($G$303:$K$303,$G$138:$K$138),SUMPRODUCT($G$303:$K$303,$G$151:$K$151),SUMPRODUCT($G$303:$K$303,$G$164:$K$164),SUMPRODUCT($G$303:$K$303,$G$177:$K$177)),0)</f>
        <v>0.252525252525253</v>
      </c>
    </row>
    <row r="479" customFormat="false" ht="15" hidden="false" customHeight="false" outlineLevel="0" collapsed="false">
      <c r="A479" s="3" t="s">
        <v>591</v>
      </c>
      <c r="C479" s="16" t="n">
        <f aca="false">CHOOSE(C472,C425,C426,C427,C428,C429,C430,C431,C432,C433,C434)*C478</f>
        <v>102.2875</v>
      </c>
    </row>
    <row r="480" customFormat="false" ht="15" hidden="false" customHeight="false" outlineLevel="0" collapsed="false">
      <c r="A480" s="3" t="s">
        <v>592</v>
      </c>
      <c r="C480" s="22" t="n">
        <f aca="false">CHOOSE(C472,C436,C437,C438,C439,C440,C441,C442,C443,C444,C445)</f>
        <v>1</v>
      </c>
    </row>
    <row r="481" customFormat="false" ht="15" hidden="false" customHeight="false" outlineLevel="0" collapsed="false">
      <c r="A481" s="3" t="s">
        <v>593</v>
      </c>
      <c r="C481" s="21" t="n">
        <f aca="false">IF(C304=1,C477,C476)</f>
        <v>3</v>
      </c>
    </row>
    <row r="482" customFormat="false" ht="15" hidden="false" customHeight="false" outlineLevel="0" collapsed="false">
      <c r="A482" s="3" t="s">
        <v>594</v>
      </c>
      <c r="C482" s="35" t="n">
        <f aca="false">CHOOSE($C$6,Assumptions!$C$91,Assumptions!$C$110,Assumptions!$C$129)</f>
        <v>100</v>
      </c>
    </row>
    <row r="483" customFormat="false" ht="15" hidden="false" customHeight="false" outlineLevel="0" collapsed="false">
      <c r="A483" s="3" t="s">
        <v>595</v>
      </c>
      <c r="C483" s="16" t="n">
        <f aca="false">INDEX($G$23:$K$23,C476)*CHOOSE($C$6,Assumptions!$C$90,Assumptions!$C$109,Assumptions!$C$128)+MAX(0,INDEX($G$237:$K$237,C476))</f>
        <v>3369.2242946436</v>
      </c>
    </row>
    <row r="484" customFormat="false" ht="15" hidden="false" customHeight="false" outlineLevel="0" collapsed="false">
      <c r="A484" s="24" t="s">
        <v>596</v>
      </c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customFormat="false" ht="15" hidden="false" customHeight="false" outlineLevel="0" collapsed="false">
      <c r="A485" s="3" t="s">
        <v>556</v>
      </c>
      <c r="C485" s="16" t="n">
        <f aca="false">INDEX($G$60:$K$60,C476)</f>
        <v>388</v>
      </c>
    </row>
    <row r="486" customFormat="false" ht="15" hidden="false" customHeight="false" outlineLevel="0" collapsed="false">
      <c r="A486" s="3" t="s">
        <v>557</v>
      </c>
      <c r="C486" s="16" t="n">
        <f aca="false">INDEX($G$73:$K$73,C476)</f>
        <v>90</v>
      </c>
    </row>
    <row r="487" customFormat="false" ht="15" hidden="false" customHeight="false" outlineLevel="0" collapsed="false">
      <c r="A487" s="3" t="s">
        <v>558</v>
      </c>
      <c r="C487" s="16" t="n">
        <f aca="false">INDEX($G$86:$K$86,C476)</f>
        <v>57.324</v>
      </c>
    </row>
    <row r="488" customFormat="false" ht="15" hidden="false" customHeight="false" outlineLevel="0" collapsed="false">
      <c r="A488" s="3" t="s">
        <v>559</v>
      </c>
      <c r="C488" s="16" t="n">
        <f aca="false">INDEX($G$99:$K$99,C476)</f>
        <v>66.796942182056</v>
      </c>
    </row>
    <row r="489" customFormat="false" ht="15" hidden="false" customHeight="false" outlineLevel="0" collapsed="false">
      <c r="A489" s="3" t="s">
        <v>560</v>
      </c>
      <c r="C489" s="16" t="n">
        <f aca="false">INDEX($G$112:$K$112,C476)</f>
        <v>407.7221513738</v>
      </c>
    </row>
    <row r="490" customFormat="false" ht="15" hidden="false" customHeight="false" outlineLevel="0" collapsed="false">
      <c r="A490" s="3" t="s">
        <v>561</v>
      </c>
      <c r="C490" s="16" t="n">
        <f aca="false">INDEX($G$125:$K$125,C476)</f>
        <v>350</v>
      </c>
    </row>
    <row r="491" customFormat="false" ht="15" hidden="false" customHeight="false" outlineLevel="0" collapsed="false">
      <c r="A491" s="3" t="s">
        <v>562</v>
      </c>
      <c r="C491" s="16" t="n">
        <f aca="false">INDEX($G$138:$K$138,C476)</f>
        <v>550</v>
      </c>
    </row>
    <row r="492" customFormat="false" ht="15" hidden="false" customHeight="false" outlineLevel="0" collapsed="false">
      <c r="A492" s="3" t="s">
        <v>563</v>
      </c>
      <c r="C492" s="16" t="n">
        <f aca="false">INDEX($G$151:$K$151,C476)</f>
        <v>350</v>
      </c>
    </row>
    <row r="493" customFormat="false" ht="15" hidden="false" customHeight="false" outlineLevel="0" collapsed="false">
      <c r="A493" s="3" t="s">
        <v>564</v>
      </c>
      <c r="C493" s="16" t="n">
        <f aca="false">INDEX($G$164:$K$164,C476)</f>
        <v>300</v>
      </c>
    </row>
    <row r="494" customFormat="false" ht="15" hidden="false" customHeight="false" outlineLevel="0" collapsed="false">
      <c r="A494" s="3" t="s">
        <v>565</v>
      </c>
      <c r="C494" s="16" t="n">
        <f aca="false">INDEX($G$177:$K$177,C476)</f>
        <v>78.61</v>
      </c>
    </row>
    <row r="495" customFormat="false" ht="15" hidden="false" customHeight="false" outlineLevel="0" collapsed="false">
      <c r="A495" s="24" t="s">
        <v>566</v>
      </c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customFormat="false" ht="15" hidden="false" customHeight="false" outlineLevel="0" collapsed="false">
      <c r="A496" s="3" t="s">
        <v>556</v>
      </c>
      <c r="C496" s="27" t="n">
        <f aca="false">Assumptions!$M$57</f>
        <v>1</v>
      </c>
    </row>
    <row r="497" customFormat="false" ht="15" hidden="false" customHeight="false" outlineLevel="0" collapsed="false">
      <c r="A497" s="3" t="s">
        <v>557</v>
      </c>
      <c r="C497" s="27" t="n">
        <f aca="false">Assumptions!$M$58</f>
        <v>1</v>
      </c>
    </row>
    <row r="498" customFormat="false" ht="15" hidden="false" customHeight="false" outlineLevel="0" collapsed="false">
      <c r="A498" s="3" t="s">
        <v>558</v>
      </c>
      <c r="C498" s="27" t="n">
        <f aca="false">Assumptions!$M$59</f>
        <v>1</v>
      </c>
    </row>
    <row r="499" customFormat="false" ht="15" hidden="false" customHeight="false" outlineLevel="0" collapsed="false">
      <c r="A499" s="3" t="s">
        <v>559</v>
      </c>
      <c r="C499" s="27" t="n">
        <f aca="false">Assumptions!$M$60</f>
        <v>2</v>
      </c>
    </row>
    <row r="500" customFormat="false" ht="15" hidden="false" customHeight="false" outlineLevel="0" collapsed="false">
      <c r="A500" s="3" t="s">
        <v>560</v>
      </c>
      <c r="C500" s="27" t="n">
        <f aca="false">Assumptions!$M$61</f>
        <v>2</v>
      </c>
    </row>
    <row r="501" customFormat="false" ht="15" hidden="false" customHeight="false" outlineLevel="0" collapsed="false">
      <c r="A501" s="3" t="s">
        <v>561</v>
      </c>
      <c r="C501" s="27" t="n">
        <f aca="false">Assumptions!$M$62</f>
        <v>2</v>
      </c>
    </row>
    <row r="502" customFormat="false" ht="15" hidden="false" customHeight="false" outlineLevel="0" collapsed="false">
      <c r="A502" s="3" t="s">
        <v>562</v>
      </c>
      <c r="C502" s="27" t="n">
        <f aca="false">Assumptions!$M$63</f>
        <v>2</v>
      </c>
    </row>
    <row r="503" customFormat="false" ht="15" hidden="false" customHeight="false" outlineLevel="0" collapsed="false">
      <c r="A503" s="3" t="s">
        <v>563</v>
      </c>
      <c r="C503" s="27" t="n">
        <f aca="false">Assumptions!$M$64</f>
        <v>2</v>
      </c>
    </row>
    <row r="504" customFormat="false" ht="15" hidden="false" customHeight="false" outlineLevel="0" collapsed="false">
      <c r="A504" s="3" t="s">
        <v>564</v>
      </c>
      <c r="C504" s="27" t="n">
        <f aca="false">Assumptions!$M$65</f>
        <v>2</v>
      </c>
    </row>
    <row r="505" customFormat="false" ht="15" hidden="false" customHeight="false" outlineLevel="0" collapsed="false">
      <c r="A505" s="3" t="s">
        <v>565</v>
      </c>
      <c r="C505" s="27" t="n">
        <f aca="false">Assumptions!$M$66</f>
        <v>3</v>
      </c>
    </row>
    <row r="506" customFormat="false" ht="15" hidden="false" customHeight="false" outlineLevel="0" collapsed="false">
      <c r="A506" s="24" t="s">
        <v>567</v>
      </c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customFormat="false" ht="15" hidden="false" customHeight="false" outlineLevel="0" collapsed="false">
      <c r="A507" s="3" t="s">
        <v>556</v>
      </c>
      <c r="C507" s="33" t="n">
        <f aca="false">Assumptions!$Q$57</f>
        <v>0.3</v>
      </c>
    </row>
    <row r="508" customFormat="false" ht="15" hidden="false" customHeight="false" outlineLevel="0" collapsed="false">
      <c r="A508" s="3" t="s">
        <v>557</v>
      </c>
      <c r="C508" s="33" t="n">
        <f aca="false">Assumptions!$Q$58</f>
        <v>0.033</v>
      </c>
    </row>
    <row r="509" customFormat="false" ht="15" hidden="false" customHeight="false" outlineLevel="0" collapsed="false">
      <c r="A509" s="3" t="s">
        <v>558</v>
      </c>
      <c r="C509" s="33" t="n">
        <f aca="false">Assumptions!$Q$59</f>
        <v>0.021</v>
      </c>
    </row>
    <row r="510" customFormat="false" ht="15" hidden="false" customHeight="false" outlineLevel="0" collapsed="false">
      <c r="A510" s="3" t="s">
        <v>559</v>
      </c>
      <c r="C510" s="33" t="n">
        <f aca="false">Assumptions!$Q$60</f>
        <v>0</v>
      </c>
    </row>
    <row r="511" customFormat="false" ht="15" hidden="false" customHeight="false" outlineLevel="0" collapsed="false">
      <c r="A511" s="3" t="s">
        <v>560</v>
      </c>
      <c r="C511" s="33" t="n">
        <f aca="false">Assumptions!$Q$61</f>
        <v>0</v>
      </c>
    </row>
    <row r="512" customFormat="false" ht="15" hidden="false" customHeight="false" outlineLevel="0" collapsed="false">
      <c r="A512" s="3" t="s">
        <v>561</v>
      </c>
      <c r="C512" s="33" t="n">
        <f aca="false">Assumptions!$Q$62</f>
        <v>0</v>
      </c>
    </row>
    <row r="513" customFormat="false" ht="15" hidden="false" customHeight="false" outlineLevel="0" collapsed="false">
      <c r="A513" s="3" t="s">
        <v>562</v>
      </c>
      <c r="C513" s="33" t="n">
        <f aca="false">Assumptions!$Q$63</f>
        <v>0</v>
      </c>
    </row>
    <row r="514" customFormat="false" ht="15" hidden="false" customHeight="false" outlineLevel="0" collapsed="false">
      <c r="A514" s="3" t="s">
        <v>563</v>
      </c>
      <c r="C514" s="33" t="n">
        <f aca="false">Assumptions!$Q$64</f>
        <v>0</v>
      </c>
    </row>
    <row r="515" customFormat="false" ht="15" hidden="false" customHeight="false" outlineLevel="0" collapsed="false">
      <c r="A515" s="3" t="s">
        <v>564</v>
      </c>
      <c r="C515" s="33" t="n">
        <f aca="false">Assumptions!$Q$65</f>
        <v>0</v>
      </c>
    </row>
    <row r="516" customFormat="false" ht="15" hidden="false" customHeight="false" outlineLevel="0" collapsed="false">
      <c r="A516" s="3" t="s">
        <v>565</v>
      </c>
      <c r="C516" s="33" t="n">
        <f aca="false">Assumptions!$Q$66</f>
        <v>0</v>
      </c>
    </row>
    <row r="517" customFormat="false" ht="15" hidden="false" customHeight="false" outlineLevel="0" collapsed="false">
      <c r="A517" s="24" t="s">
        <v>568</v>
      </c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customFormat="false" ht="15" hidden="false" customHeight="false" outlineLevel="0" collapsed="false">
      <c r="A518" s="3" t="s">
        <v>556</v>
      </c>
      <c r="C518" s="16" t="n">
        <f aca="false">IF(C507&gt;0,MIN(C485,C507*$C$483),0)</f>
        <v>388</v>
      </c>
    </row>
    <row r="519" customFormat="false" ht="15" hidden="false" customHeight="false" outlineLevel="0" collapsed="false">
      <c r="A519" s="3" t="s">
        <v>557</v>
      </c>
      <c r="C519" s="16" t="n">
        <f aca="false">IF(C508&gt;0,MIN(C486,C508*$C$483),0)</f>
        <v>90</v>
      </c>
    </row>
    <row r="520" customFormat="false" ht="15" hidden="false" customHeight="false" outlineLevel="0" collapsed="false">
      <c r="A520" s="3" t="s">
        <v>558</v>
      </c>
      <c r="C520" s="16" t="n">
        <f aca="false">IF(C509&gt;0,MIN(C487,C509*$C$483),0)</f>
        <v>57.324</v>
      </c>
    </row>
    <row r="521" customFormat="false" ht="15" hidden="false" customHeight="false" outlineLevel="0" collapsed="false">
      <c r="A521" s="3" t="s">
        <v>559</v>
      </c>
      <c r="C521" s="16" t="n">
        <f aca="false">IF(C510&gt;0,MIN(C488,C510*$C$483),0)</f>
        <v>0</v>
      </c>
    </row>
    <row r="522" customFormat="false" ht="15" hidden="false" customHeight="false" outlineLevel="0" collapsed="false">
      <c r="A522" s="3" t="s">
        <v>560</v>
      </c>
      <c r="C522" s="16" t="n">
        <f aca="false">IF(C511&gt;0,MIN(C489,C511*$C$483),0)</f>
        <v>0</v>
      </c>
    </row>
    <row r="523" customFormat="false" ht="15" hidden="false" customHeight="false" outlineLevel="0" collapsed="false">
      <c r="A523" s="3" t="s">
        <v>561</v>
      </c>
      <c r="C523" s="16" t="n">
        <f aca="false">IF(C512&gt;0,MIN(C490,C512*$C$483),0)</f>
        <v>0</v>
      </c>
    </row>
    <row r="524" customFormat="false" ht="15" hidden="false" customHeight="false" outlineLevel="0" collapsed="false">
      <c r="A524" s="3" t="s">
        <v>562</v>
      </c>
      <c r="C524" s="16" t="n">
        <f aca="false">IF(C513&gt;0,MIN(C491,C513*$C$483),0)</f>
        <v>0</v>
      </c>
    </row>
    <row r="525" customFormat="false" ht="15" hidden="false" customHeight="false" outlineLevel="0" collapsed="false">
      <c r="A525" s="3" t="s">
        <v>563</v>
      </c>
      <c r="C525" s="16" t="n">
        <f aca="false">IF(C514&gt;0,MIN(C492,C514*$C$483),0)</f>
        <v>0</v>
      </c>
    </row>
    <row r="526" customFormat="false" ht="15" hidden="false" customHeight="false" outlineLevel="0" collapsed="false">
      <c r="A526" s="3" t="s">
        <v>564</v>
      </c>
      <c r="C526" s="16" t="n">
        <f aca="false">IF(C515&gt;0,MIN(C493,C515*$C$483),0)</f>
        <v>0</v>
      </c>
    </row>
    <row r="527" customFormat="false" ht="15" hidden="false" customHeight="false" outlineLevel="0" collapsed="false">
      <c r="A527" s="3" t="s">
        <v>565</v>
      </c>
      <c r="C527" s="16" t="n">
        <f aca="false">IF(C516&gt;0,MIN(C494,C516*$C$483),0)</f>
        <v>0</v>
      </c>
    </row>
    <row r="528" customFormat="false" ht="15" hidden="false" customHeight="false" outlineLevel="0" collapsed="false">
      <c r="A528" s="24" t="s">
        <v>569</v>
      </c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customFormat="false" ht="15" hidden="false" customHeight="false" outlineLevel="0" collapsed="false">
      <c r="A529" s="3" t="s">
        <v>556</v>
      </c>
      <c r="C529" s="16" t="n">
        <f aca="false">IF(C507&gt;0,C485-C518,0)</f>
        <v>0</v>
      </c>
    </row>
    <row r="530" customFormat="false" ht="15" hidden="false" customHeight="false" outlineLevel="0" collapsed="false">
      <c r="A530" s="3" t="s">
        <v>557</v>
      </c>
      <c r="C530" s="16" t="n">
        <f aca="false">IF(C508&gt;0,C486-C519,0)</f>
        <v>0</v>
      </c>
    </row>
    <row r="531" customFormat="false" ht="15" hidden="false" customHeight="false" outlineLevel="0" collapsed="false">
      <c r="A531" s="3" t="s">
        <v>558</v>
      </c>
      <c r="C531" s="16" t="n">
        <f aca="false">IF(C509&gt;0,C487-C520,0)</f>
        <v>0</v>
      </c>
    </row>
    <row r="532" customFormat="false" ht="15" hidden="false" customHeight="false" outlineLevel="0" collapsed="false">
      <c r="A532" s="3" t="s">
        <v>559</v>
      </c>
      <c r="C532" s="16" t="n">
        <f aca="false">IF(C510&gt;0,C488-C521,0)</f>
        <v>0</v>
      </c>
    </row>
    <row r="533" customFormat="false" ht="15" hidden="false" customHeight="false" outlineLevel="0" collapsed="false">
      <c r="A533" s="3" t="s">
        <v>560</v>
      </c>
      <c r="C533" s="16" t="n">
        <f aca="false">IF(C511&gt;0,C489-C522,0)</f>
        <v>0</v>
      </c>
    </row>
    <row r="534" customFormat="false" ht="15" hidden="false" customHeight="false" outlineLevel="0" collapsed="false">
      <c r="A534" s="3" t="s">
        <v>561</v>
      </c>
      <c r="C534" s="16" t="n">
        <f aca="false">IF(C512&gt;0,C490-C523,0)</f>
        <v>0</v>
      </c>
    </row>
    <row r="535" customFormat="false" ht="15" hidden="false" customHeight="false" outlineLevel="0" collapsed="false">
      <c r="A535" s="3" t="s">
        <v>562</v>
      </c>
      <c r="C535" s="16" t="n">
        <f aca="false">IF(C513&gt;0,C491-C524,0)</f>
        <v>0</v>
      </c>
    </row>
    <row r="536" customFormat="false" ht="15" hidden="false" customHeight="false" outlineLevel="0" collapsed="false">
      <c r="A536" s="3" t="s">
        <v>563</v>
      </c>
      <c r="C536" s="16" t="n">
        <f aca="false">IF(C514&gt;0,C492-C525,0)</f>
        <v>0</v>
      </c>
    </row>
    <row r="537" customFormat="false" ht="15" hidden="false" customHeight="false" outlineLevel="0" collapsed="false">
      <c r="A537" s="3" t="s">
        <v>564</v>
      </c>
      <c r="C537" s="16" t="n">
        <f aca="false">IF(C515&gt;0,C493-C526,0)</f>
        <v>0</v>
      </c>
    </row>
    <row r="538" customFormat="false" ht="15" hidden="false" customHeight="false" outlineLevel="0" collapsed="false">
      <c r="A538" s="3" t="s">
        <v>565</v>
      </c>
      <c r="C538" s="16" t="n">
        <f aca="false">IF(C516&gt;0,C494-C527,0)</f>
        <v>0</v>
      </c>
    </row>
    <row r="539" customFormat="false" ht="15" hidden="false" customHeight="false" outlineLevel="0" collapsed="false">
      <c r="A539" s="24" t="s">
        <v>570</v>
      </c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customFormat="false" ht="15" hidden="false" customHeight="false" outlineLevel="0" collapsed="false">
      <c r="A540" s="3" t="s">
        <v>556</v>
      </c>
      <c r="C540" s="16" t="n">
        <f aca="false">IF(C507&gt;0,C529,C485)</f>
        <v>0</v>
      </c>
    </row>
    <row r="541" customFormat="false" ht="15" hidden="false" customHeight="false" outlineLevel="0" collapsed="false">
      <c r="A541" s="3" t="s">
        <v>557</v>
      </c>
      <c r="C541" s="16" t="n">
        <f aca="false">IF(C508&gt;0,C530,C486)</f>
        <v>0</v>
      </c>
    </row>
    <row r="542" customFormat="false" ht="15" hidden="false" customHeight="false" outlineLevel="0" collapsed="false">
      <c r="A542" s="3" t="s">
        <v>558</v>
      </c>
      <c r="C542" s="16" t="n">
        <f aca="false">IF(C509&gt;0,C531,C487)</f>
        <v>0</v>
      </c>
    </row>
    <row r="543" customFormat="false" ht="15" hidden="false" customHeight="false" outlineLevel="0" collapsed="false">
      <c r="A543" s="3" t="s">
        <v>559</v>
      </c>
      <c r="C543" s="16" t="n">
        <f aca="false">IF(C510&gt;0,C532,C488)</f>
        <v>66.796942182056</v>
      </c>
    </row>
    <row r="544" customFormat="false" ht="15" hidden="false" customHeight="false" outlineLevel="0" collapsed="false">
      <c r="A544" s="3" t="s">
        <v>560</v>
      </c>
      <c r="C544" s="16" t="n">
        <f aca="false">IF(C511&gt;0,C533,C489)</f>
        <v>407.7221513738</v>
      </c>
    </row>
    <row r="545" customFormat="false" ht="15" hidden="false" customHeight="false" outlineLevel="0" collapsed="false">
      <c r="A545" s="3" t="s">
        <v>561</v>
      </c>
      <c r="C545" s="16" t="n">
        <f aca="false">IF(C512&gt;0,C534,C490)</f>
        <v>350</v>
      </c>
    </row>
    <row r="546" customFormat="false" ht="15" hidden="false" customHeight="false" outlineLevel="0" collapsed="false">
      <c r="A546" s="3" t="s">
        <v>562</v>
      </c>
      <c r="C546" s="16" t="n">
        <f aca="false">IF(C513&gt;0,C535,C491)</f>
        <v>550</v>
      </c>
    </row>
    <row r="547" customFormat="false" ht="15" hidden="false" customHeight="false" outlineLevel="0" collapsed="false">
      <c r="A547" s="3" t="s">
        <v>563</v>
      </c>
      <c r="C547" s="16" t="n">
        <f aca="false">IF(C514&gt;0,C536,C492)</f>
        <v>350</v>
      </c>
    </row>
    <row r="548" customFormat="false" ht="15" hidden="false" customHeight="false" outlineLevel="0" collapsed="false">
      <c r="A548" s="3" t="s">
        <v>564</v>
      </c>
      <c r="C548" s="16" t="n">
        <f aca="false">IF(C515&gt;0,C537,C493)</f>
        <v>300</v>
      </c>
    </row>
    <row r="549" customFormat="false" ht="15" hidden="false" customHeight="false" outlineLevel="0" collapsed="false">
      <c r="A549" s="3" t="s">
        <v>565</v>
      </c>
      <c r="C549" s="16" t="n">
        <f aca="false">IF(C516&gt;0,C538,C494)</f>
        <v>78.61</v>
      </c>
    </row>
    <row r="550" customFormat="false" ht="15" hidden="false" customHeight="false" outlineLevel="0" collapsed="false">
      <c r="A550" s="24" t="s">
        <v>571</v>
      </c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customFormat="false" ht="15" hidden="false" customHeight="false" outlineLevel="0" collapsed="false">
      <c r="A551" s="3" t="s">
        <v>556</v>
      </c>
      <c r="C551" s="21" t="n">
        <f aca="false">IF(C507&gt;0,Assumptions!$C$17,C496)</f>
        <v>99</v>
      </c>
    </row>
    <row r="552" customFormat="false" ht="15" hidden="false" customHeight="false" outlineLevel="0" collapsed="false">
      <c r="A552" s="3" t="s">
        <v>557</v>
      </c>
      <c r="C552" s="21" t="n">
        <f aca="false">IF(C508&gt;0,Assumptions!$C$17,C497)</f>
        <v>99</v>
      </c>
    </row>
    <row r="553" customFormat="false" ht="15" hidden="false" customHeight="false" outlineLevel="0" collapsed="false">
      <c r="A553" s="3" t="s">
        <v>558</v>
      </c>
      <c r="C553" s="21" t="n">
        <f aca="false">IF(C509&gt;0,Assumptions!$C$17,C498)</f>
        <v>99</v>
      </c>
    </row>
    <row r="554" customFormat="false" ht="15" hidden="false" customHeight="false" outlineLevel="0" collapsed="false">
      <c r="A554" s="3" t="s">
        <v>559</v>
      </c>
      <c r="C554" s="21" t="n">
        <f aca="false">IF(C510&gt;0,Assumptions!$C$17,C499)</f>
        <v>2</v>
      </c>
    </row>
    <row r="555" customFormat="false" ht="15" hidden="false" customHeight="false" outlineLevel="0" collapsed="false">
      <c r="A555" s="3" t="s">
        <v>560</v>
      </c>
      <c r="C555" s="21" t="n">
        <f aca="false">IF(C511&gt;0,Assumptions!$C$17,C500)</f>
        <v>2</v>
      </c>
    </row>
    <row r="556" customFormat="false" ht="15" hidden="false" customHeight="false" outlineLevel="0" collapsed="false">
      <c r="A556" s="3" t="s">
        <v>561</v>
      </c>
      <c r="C556" s="21" t="n">
        <f aca="false">IF(C512&gt;0,Assumptions!$C$17,C501)</f>
        <v>2</v>
      </c>
    </row>
    <row r="557" customFormat="false" ht="15" hidden="false" customHeight="false" outlineLevel="0" collapsed="false">
      <c r="A557" s="3" t="s">
        <v>562</v>
      </c>
      <c r="C557" s="21" t="n">
        <f aca="false">IF(C513&gt;0,Assumptions!$C$17,C502)</f>
        <v>2</v>
      </c>
    </row>
    <row r="558" customFormat="false" ht="15" hidden="false" customHeight="false" outlineLevel="0" collapsed="false">
      <c r="A558" s="3" t="s">
        <v>563</v>
      </c>
      <c r="C558" s="21" t="n">
        <f aca="false">IF(C514&gt;0,Assumptions!$C$17,C503)</f>
        <v>2</v>
      </c>
    </row>
    <row r="559" customFormat="false" ht="15" hidden="false" customHeight="false" outlineLevel="0" collapsed="false">
      <c r="A559" s="3" t="s">
        <v>564</v>
      </c>
      <c r="C559" s="21" t="n">
        <f aca="false">IF(C515&gt;0,Assumptions!$C$17,C504)</f>
        <v>2</v>
      </c>
    </row>
    <row r="560" customFormat="false" ht="15" hidden="false" customHeight="false" outlineLevel="0" collapsed="false">
      <c r="A560" s="3" t="s">
        <v>565</v>
      </c>
      <c r="C560" s="21" t="n">
        <f aca="false">IF(C516&gt;0,Assumptions!$C$17,C505)</f>
        <v>3</v>
      </c>
    </row>
    <row r="561" customFormat="false" ht="15" hidden="false" customHeight="false" outlineLevel="0" collapsed="false">
      <c r="A561" s="24" t="s">
        <v>572</v>
      </c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customFormat="false" ht="15" hidden="false" customHeight="false" outlineLevel="0" collapsed="false">
      <c r="A562" s="3" t="s">
        <v>556</v>
      </c>
      <c r="C562" s="16" t="n">
        <f aca="false">SUMPRODUCT(($C$551:$C$560&lt;C551)*$C$540:$C$549)</f>
        <v>2103.12909355586</v>
      </c>
    </row>
    <row r="563" customFormat="false" ht="15" hidden="false" customHeight="false" outlineLevel="0" collapsed="false">
      <c r="A563" s="3" t="s">
        <v>557</v>
      </c>
      <c r="C563" s="16" t="n">
        <f aca="false">SUMPRODUCT(($C$551:$C$560&lt;C552)*$C$540:$C$549)</f>
        <v>2103.12909355586</v>
      </c>
    </row>
    <row r="564" customFormat="false" ht="15" hidden="false" customHeight="false" outlineLevel="0" collapsed="false">
      <c r="A564" s="3" t="s">
        <v>558</v>
      </c>
      <c r="C564" s="16" t="n">
        <f aca="false">SUMPRODUCT(($C$551:$C$560&lt;C553)*$C$540:$C$549)</f>
        <v>2103.12909355586</v>
      </c>
    </row>
    <row r="565" customFormat="false" ht="15" hidden="false" customHeight="false" outlineLevel="0" collapsed="false">
      <c r="A565" s="3" t="s">
        <v>559</v>
      </c>
      <c r="C565" s="16" t="n">
        <f aca="false">SUMPRODUCT(($C$551:$C$560&lt;C554)*$C$540:$C$549)</f>
        <v>0</v>
      </c>
    </row>
    <row r="566" customFormat="false" ht="15" hidden="false" customHeight="false" outlineLevel="0" collapsed="false">
      <c r="A566" s="3" t="s">
        <v>560</v>
      </c>
      <c r="C566" s="16" t="n">
        <f aca="false">SUMPRODUCT(($C$551:$C$560&lt;C555)*$C$540:$C$549)</f>
        <v>0</v>
      </c>
    </row>
    <row r="567" customFormat="false" ht="15" hidden="false" customHeight="false" outlineLevel="0" collapsed="false">
      <c r="A567" s="3" t="s">
        <v>561</v>
      </c>
      <c r="C567" s="16" t="n">
        <f aca="false">SUMPRODUCT(($C$551:$C$560&lt;C556)*$C$540:$C$549)</f>
        <v>0</v>
      </c>
    </row>
    <row r="568" customFormat="false" ht="15" hidden="false" customHeight="false" outlineLevel="0" collapsed="false">
      <c r="A568" s="3" t="s">
        <v>562</v>
      </c>
      <c r="C568" s="16" t="n">
        <f aca="false">SUMPRODUCT(($C$551:$C$560&lt;C557)*$C$540:$C$549)</f>
        <v>0</v>
      </c>
    </row>
    <row r="569" customFormat="false" ht="15" hidden="false" customHeight="false" outlineLevel="0" collapsed="false">
      <c r="A569" s="3" t="s">
        <v>563</v>
      </c>
      <c r="C569" s="16" t="n">
        <f aca="false">SUMPRODUCT(($C$551:$C$560&lt;C558)*$C$540:$C$549)</f>
        <v>0</v>
      </c>
    </row>
    <row r="570" customFormat="false" ht="15" hidden="false" customHeight="false" outlineLevel="0" collapsed="false">
      <c r="A570" s="3" t="s">
        <v>564</v>
      </c>
      <c r="C570" s="16" t="n">
        <f aca="false">SUMPRODUCT(($C$551:$C$560&lt;C559)*$C$540:$C$549)</f>
        <v>0</v>
      </c>
    </row>
    <row r="571" customFormat="false" ht="15" hidden="false" customHeight="false" outlineLevel="0" collapsed="false">
      <c r="A571" s="3" t="s">
        <v>565</v>
      </c>
      <c r="C571" s="16" t="n">
        <f aca="false">SUMPRODUCT(($C$551:$C$560&lt;C560)*$C$540:$C$549)</f>
        <v>2024.51909355586</v>
      </c>
    </row>
    <row r="572" customFormat="false" ht="15" hidden="false" customHeight="false" outlineLevel="0" collapsed="false">
      <c r="A572" s="24" t="s">
        <v>573</v>
      </c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customFormat="false" ht="15" hidden="false" customHeight="false" outlineLevel="0" collapsed="false">
      <c r="A573" s="3" t="s">
        <v>556</v>
      </c>
      <c r="C573" s="16" t="n">
        <f aca="false">SUMPRODUCT(($C$551:$C$560=C551)*$C$540:$C$549)</f>
        <v>0</v>
      </c>
    </row>
    <row r="574" customFormat="false" ht="15" hidden="false" customHeight="false" outlineLevel="0" collapsed="false">
      <c r="A574" s="3" t="s">
        <v>557</v>
      </c>
      <c r="C574" s="16" t="n">
        <f aca="false">SUMPRODUCT(($C$551:$C$560=C552)*$C$540:$C$549)</f>
        <v>0</v>
      </c>
    </row>
    <row r="575" customFormat="false" ht="15" hidden="false" customHeight="false" outlineLevel="0" collapsed="false">
      <c r="A575" s="3" t="s">
        <v>558</v>
      </c>
      <c r="C575" s="16" t="n">
        <f aca="false">SUMPRODUCT(($C$551:$C$560=C553)*$C$540:$C$549)</f>
        <v>0</v>
      </c>
    </row>
    <row r="576" customFormat="false" ht="15" hidden="false" customHeight="false" outlineLevel="0" collapsed="false">
      <c r="A576" s="3" t="s">
        <v>559</v>
      </c>
      <c r="C576" s="16" t="n">
        <f aca="false">SUMPRODUCT(($C$551:$C$560=C554)*$C$540:$C$549)</f>
        <v>2024.51909355586</v>
      </c>
    </row>
    <row r="577" customFormat="false" ht="15" hidden="false" customHeight="false" outlineLevel="0" collapsed="false">
      <c r="A577" s="3" t="s">
        <v>560</v>
      </c>
      <c r="C577" s="16" t="n">
        <f aca="false">SUMPRODUCT(($C$551:$C$560=C555)*$C$540:$C$549)</f>
        <v>2024.51909355586</v>
      </c>
    </row>
    <row r="578" customFormat="false" ht="15" hidden="false" customHeight="false" outlineLevel="0" collapsed="false">
      <c r="A578" s="3" t="s">
        <v>561</v>
      </c>
      <c r="C578" s="16" t="n">
        <f aca="false">SUMPRODUCT(($C$551:$C$560=C556)*$C$540:$C$549)</f>
        <v>2024.51909355586</v>
      </c>
    </row>
    <row r="579" customFormat="false" ht="15" hidden="false" customHeight="false" outlineLevel="0" collapsed="false">
      <c r="A579" s="3" t="s">
        <v>562</v>
      </c>
      <c r="C579" s="16" t="n">
        <f aca="false">SUMPRODUCT(($C$551:$C$560=C557)*$C$540:$C$549)</f>
        <v>2024.51909355586</v>
      </c>
    </row>
    <row r="580" customFormat="false" ht="15" hidden="false" customHeight="false" outlineLevel="0" collapsed="false">
      <c r="A580" s="3" t="s">
        <v>563</v>
      </c>
      <c r="C580" s="16" t="n">
        <f aca="false">SUMPRODUCT(($C$551:$C$560=C558)*$C$540:$C$549)</f>
        <v>2024.51909355586</v>
      </c>
    </row>
    <row r="581" customFormat="false" ht="15" hidden="false" customHeight="false" outlineLevel="0" collapsed="false">
      <c r="A581" s="3" t="s">
        <v>564</v>
      </c>
      <c r="C581" s="16" t="n">
        <f aca="false">SUMPRODUCT(($C$551:$C$560=C559)*$C$540:$C$549)</f>
        <v>2024.51909355586</v>
      </c>
    </row>
    <row r="582" customFormat="false" ht="15" hidden="false" customHeight="false" outlineLevel="0" collapsed="false">
      <c r="A582" s="3" t="s">
        <v>565</v>
      </c>
      <c r="C582" s="16" t="n">
        <f aca="false">SUMPRODUCT(($C$551:$C$560=C560)*$C$540:$C$549)</f>
        <v>78.61</v>
      </c>
    </row>
    <row r="583" customFormat="false" ht="15" hidden="false" customHeight="false" outlineLevel="0" collapsed="false">
      <c r="A583" s="24" t="s">
        <v>574</v>
      </c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customFormat="false" ht="15" hidden="false" customHeight="false" outlineLevel="0" collapsed="false">
      <c r="A584" s="3" t="s">
        <v>556</v>
      </c>
      <c r="C584" s="16" t="n">
        <f aca="false">IF(C573=0,0,C540/C573*MAX(0,MIN(C573,$C$483-SUM($C$518:$C$527)-C562)))</f>
        <v>0</v>
      </c>
    </row>
    <row r="585" customFormat="false" ht="15" hidden="false" customHeight="false" outlineLevel="0" collapsed="false">
      <c r="A585" s="3" t="s">
        <v>557</v>
      </c>
      <c r="C585" s="16" t="n">
        <f aca="false">IF(C574=0,0,C541/C574*MAX(0,MIN(C574,$C$483-SUM($C$518:$C$527)-C563)))</f>
        <v>0</v>
      </c>
    </row>
    <row r="586" customFormat="false" ht="15" hidden="false" customHeight="false" outlineLevel="0" collapsed="false">
      <c r="A586" s="3" t="s">
        <v>558</v>
      </c>
      <c r="C586" s="16" t="n">
        <f aca="false">IF(C575=0,0,C542/C575*MAX(0,MIN(C575,$C$483-SUM($C$518:$C$527)-C564)))</f>
        <v>0</v>
      </c>
    </row>
    <row r="587" customFormat="false" ht="15" hidden="false" customHeight="false" outlineLevel="0" collapsed="false">
      <c r="A587" s="3" t="s">
        <v>559</v>
      </c>
      <c r="C587" s="16" t="n">
        <f aca="false">IF(C576=0,0,C543/C576*MAX(0,MIN(C576,$C$483-SUM($C$518:$C$527)-C565)))</f>
        <v>66.796942182056</v>
      </c>
    </row>
    <row r="588" customFormat="false" ht="15" hidden="false" customHeight="false" outlineLevel="0" collapsed="false">
      <c r="A588" s="3" t="s">
        <v>560</v>
      </c>
      <c r="C588" s="16" t="n">
        <f aca="false">IF(C577=0,0,C544/C577*MAX(0,MIN(C577,$C$483-SUM($C$518:$C$527)-C566)))</f>
        <v>407.7221513738</v>
      </c>
    </row>
    <row r="589" customFormat="false" ht="15" hidden="false" customHeight="false" outlineLevel="0" collapsed="false">
      <c r="A589" s="3" t="s">
        <v>561</v>
      </c>
      <c r="C589" s="16" t="n">
        <f aca="false">IF(C578=0,0,C545/C578*MAX(0,MIN(C578,$C$483-SUM($C$518:$C$527)-C567)))</f>
        <v>350</v>
      </c>
    </row>
    <row r="590" customFormat="false" ht="15" hidden="false" customHeight="false" outlineLevel="0" collapsed="false">
      <c r="A590" s="3" t="s">
        <v>562</v>
      </c>
      <c r="C590" s="16" t="n">
        <f aca="false">IF(C579=0,0,C546/C579*MAX(0,MIN(C579,$C$483-SUM($C$518:$C$527)-C568)))</f>
        <v>550</v>
      </c>
    </row>
    <row r="591" customFormat="false" ht="15" hidden="false" customHeight="false" outlineLevel="0" collapsed="false">
      <c r="A591" s="3" t="s">
        <v>563</v>
      </c>
      <c r="C591" s="16" t="n">
        <f aca="false">IF(C580=0,0,C547/C580*MAX(0,MIN(C580,$C$483-SUM($C$518:$C$527)-C569)))</f>
        <v>350</v>
      </c>
    </row>
    <row r="592" customFormat="false" ht="15" hidden="false" customHeight="false" outlineLevel="0" collapsed="false">
      <c r="A592" s="3" t="s">
        <v>564</v>
      </c>
      <c r="C592" s="16" t="n">
        <f aca="false">IF(C581=0,0,C548/C581*MAX(0,MIN(C581,$C$483-SUM($C$518:$C$527)-C570)))</f>
        <v>300</v>
      </c>
    </row>
    <row r="593" customFormat="false" ht="15" hidden="false" customHeight="false" outlineLevel="0" collapsed="false">
      <c r="A593" s="3" t="s">
        <v>565</v>
      </c>
      <c r="C593" s="16" t="n">
        <f aca="false">IF(C582=0,0,C549/C582*MAX(0,MIN(C582,$C$483-SUM($C$518:$C$527)-C571)))</f>
        <v>78.61</v>
      </c>
    </row>
    <row r="594" customFormat="false" ht="15" hidden="false" customHeight="false" outlineLevel="0" collapsed="false">
      <c r="A594" s="24" t="s">
        <v>575</v>
      </c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customFormat="false" ht="15" hidden="false" customHeight="false" outlineLevel="0" collapsed="false">
      <c r="A595" s="2" t="s">
        <v>556</v>
      </c>
      <c r="C595" s="17" t="n">
        <f aca="false">C518+C584</f>
        <v>388</v>
      </c>
    </row>
    <row r="596" customFormat="false" ht="15" hidden="false" customHeight="false" outlineLevel="0" collapsed="false">
      <c r="A596" s="2" t="s">
        <v>557</v>
      </c>
      <c r="C596" s="17" t="n">
        <f aca="false">C519+C585</f>
        <v>90</v>
      </c>
    </row>
    <row r="597" customFormat="false" ht="15" hidden="false" customHeight="false" outlineLevel="0" collapsed="false">
      <c r="A597" s="2" t="s">
        <v>558</v>
      </c>
      <c r="C597" s="17" t="n">
        <f aca="false">C520+C586</f>
        <v>57.324</v>
      </c>
    </row>
    <row r="598" customFormat="false" ht="15" hidden="false" customHeight="false" outlineLevel="0" collapsed="false">
      <c r="A598" s="2" t="s">
        <v>559</v>
      </c>
      <c r="C598" s="17" t="n">
        <f aca="false">C521+C587</f>
        <v>66.796942182056</v>
      </c>
    </row>
    <row r="599" customFormat="false" ht="15" hidden="false" customHeight="false" outlineLevel="0" collapsed="false">
      <c r="A599" s="2" t="s">
        <v>560</v>
      </c>
      <c r="C599" s="17" t="n">
        <f aca="false">C522+C588</f>
        <v>407.7221513738</v>
      </c>
    </row>
    <row r="600" customFormat="false" ht="15" hidden="false" customHeight="false" outlineLevel="0" collapsed="false">
      <c r="A600" s="2" t="s">
        <v>561</v>
      </c>
      <c r="C600" s="17" t="n">
        <f aca="false">C523+C589</f>
        <v>350</v>
      </c>
    </row>
    <row r="601" customFormat="false" ht="15" hidden="false" customHeight="false" outlineLevel="0" collapsed="false">
      <c r="A601" s="2" t="s">
        <v>562</v>
      </c>
      <c r="C601" s="17" t="n">
        <f aca="false">C524+C590</f>
        <v>550</v>
      </c>
    </row>
    <row r="602" customFormat="false" ht="15" hidden="false" customHeight="false" outlineLevel="0" collapsed="false">
      <c r="A602" s="2" t="s">
        <v>563</v>
      </c>
      <c r="C602" s="17" t="n">
        <f aca="false">C525+C591</f>
        <v>350</v>
      </c>
    </row>
    <row r="603" customFormat="false" ht="15" hidden="false" customHeight="false" outlineLevel="0" collapsed="false">
      <c r="A603" s="2" t="s">
        <v>564</v>
      </c>
      <c r="C603" s="17" t="n">
        <f aca="false">C526+C592</f>
        <v>300</v>
      </c>
    </row>
    <row r="604" customFormat="false" ht="15" hidden="false" customHeight="false" outlineLevel="0" collapsed="false">
      <c r="A604" s="2" t="s">
        <v>565</v>
      </c>
      <c r="C604" s="17" t="n">
        <f aca="false">C527+C593</f>
        <v>78.61</v>
      </c>
    </row>
    <row r="605" customFormat="false" ht="15" hidden="false" customHeight="false" outlineLevel="0" collapsed="false">
      <c r="A605" s="24" t="s">
        <v>576</v>
      </c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customFormat="false" ht="15" hidden="false" customHeight="false" outlineLevel="0" collapsed="false">
      <c r="A606" s="3" t="s">
        <v>556</v>
      </c>
      <c r="C606" s="22" t="n">
        <f aca="false">IF(C485=0,1,C595/C485)</f>
        <v>1</v>
      </c>
    </row>
    <row r="607" customFormat="false" ht="15" hidden="false" customHeight="false" outlineLevel="0" collapsed="false">
      <c r="A607" s="3" t="s">
        <v>557</v>
      </c>
      <c r="C607" s="22" t="n">
        <f aca="false">IF(C486=0,1,C596/C486)</f>
        <v>1</v>
      </c>
    </row>
    <row r="608" customFormat="false" ht="15" hidden="false" customHeight="false" outlineLevel="0" collapsed="false">
      <c r="A608" s="3" t="s">
        <v>558</v>
      </c>
      <c r="C608" s="22" t="n">
        <f aca="false">IF(C487=0,1,C597/C487)</f>
        <v>1</v>
      </c>
    </row>
    <row r="609" customFormat="false" ht="15" hidden="false" customHeight="false" outlineLevel="0" collapsed="false">
      <c r="A609" s="3" t="s">
        <v>559</v>
      </c>
      <c r="C609" s="22" t="n">
        <f aca="false">IF(C488=0,1,C598/C488)</f>
        <v>1</v>
      </c>
    </row>
    <row r="610" customFormat="false" ht="15" hidden="false" customHeight="false" outlineLevel="0" collapsed="false">
      <c r="A610" s="3" t="s">
        <v>560</v>
      </c>
      <c r="C610" s="22" t="n">
        <f aca="false">IF(C489=0,1,C599/C489)</f>
        <v>1</v>
      </c>
    </row>
    <row r="611" customFormat="false" ht="15" hidden="false" customHeight="false" outlineLevel="0" collapsed="false">
      <c r="A611" s="3" t="s">
        <v>561</v>
      </c>
      <c r="C611" s="22" t="n">
        <f aca="false">IF(C490=0,1,C600/C490)</f>
        <v>1</v>
      </c>
    </row>
    <row r="612" customFormat="false" ht="15" hidden="false" customHeight="false" outlineLevel="0" collapsed="false">
      <c r="A612" s="3" t="s">
        <v>562</v>
      </c>
      <c r="C612" s="22" t="n">
        <f aca="false">IF(C491=0,1,C601/C491)</f>
        <v>1</v>
      </c>
    </row>
    <row r="613" customFormat="false" ht="15" hidden="false" customHeight="false" outlineLevel="0" collapsed="false">
      <c r="A613" s="3" t="s">
        <v>563</v>
      </c>
      <c r="C613" s="22" t="n">
        <f aca="false">IF(C492=0,1,C602/C492)</f>
        <v>1</v>
      </c>
    </row>
    <row r="614" customFormat="false" ht="15" hidden="false" customHeight="false" outlineLevel="0" collapsed="false">
      <c r="A614" s="3" t="s">
        <v>564</v>
      </c>
      <c r="C614" s="22" t="n">
        <f aca="false">IF(C493=0,1,C603/C493)</f>
        <v>1</v>
      </c>
    </row>
    <row r="615" customFormat="false" ht="15" hidden="false" customHeight="false" outlineLevel="0" collapsed="false">
      <c r="A615" s="3" t="s">
        <v>565</v>
      </c>
      <c r="C615" s="22" t="n">
        <f aca="false">IF(C494=0,1,C604/C494)</f>
        <v>1</v>
      </c>
    </row>
    <row r="616" customFormat="false" ht="15" hidden="false" customHeight="false" outlineLevel="0" collapsed="false">
      <c r="A616" s="24" t="s">
        <v>577</v>
      </c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customFormat="false" ht="15" hidden="false" customHeight="false" outlineLevel="0" collapsed="false">
      <c r="A617" s="3" t="s">
        <v>556</v>
      </c>
      <c r="C617" s="16" t="n">
        <f aca="false">C485-C595</f>
        <v>0</v>
      </c>
    </row>
    <row r="618" customFormat="false" ht="15" hidden="false" customHeight="false" outlineLevel="0" collapsed="false">
      <c r="A618" s="3" t="s">
        <v>557</v>
      </c>
      <c r="C618" s="16" t="n">
        <f aca="false">C486-C596</f>
        <v>0</v>
      </c>
    </row>
    <row r="619" customFormat="false" ht="15" hidden="false" customHeight="false" outlineLevel="0" collapsed="false">
      <c r="A619" s="3" t="s">
        <v>558</v>
      </c>
      <c r="C619" s="16" t="n">
        <f aca="false">C487-C597</f>
        <v>0</v>
      </c>
    </row>
    <row r="620" customFormat="false" ht="15" hidden="false" customHeight="false" outlineLevel="0" collapsed="false">
      <c r="A620" s="3" t="s">
        <v>559</v>
      </c>
      <c r="C620" s="16" t="n">
        <f aca="false">C488-C598</f>
        <v>0</v>
      </c>
    </row>
    <row r="621" customFormat="false" ht="15" hidden="false" customHeight="false" outlineLevel="0" collapsed="false">
      <c r="A621" s="3" t="s">
        <v>560</v>
      </c>
      <c r="C621" s="16" t="n">
        <f aca="false">C489-C599</f>
        <v>0</v>
      </c>
    </row>
    <row r="622" customFormat="false" ht="15" hidden="false" customHeight="false" outlineLevel="0" collapsed="false">
      <c r="A622" s="3" t="s">
        <v>561</v>
      </c>
      <c r="C622" s="16" t="n">
        <f aca="false">C490-C600</f>
        <v>0</v>
      </c>
    </row>
    <row r="623" customFormat="false" ht="15" hidden="false" customHeight="false" outlineLevel="0" collapsed="false">
      <c r="A623" s="3" t="s">
        <v>562</v>
      </c>
      <c r="C623" s="16" t="n">
        <f aca="false">C491-C601</f>
        <v>0</v>
      </c>
    </row>
    <row r="624" customFormat="false" ht="15" hidden="false" customHeight="false" outlineLevel="0" collapsed="false">
      <c r="A624" s="3" t="s">
        <v>563</v>
      </c>
      <c r="C624" s="16" t="n">
        <f aca="false">C492-C602</f>
        <v>0</v>
      </c>
    </row>
    <row r="625" customFormat="false" ht="15" hidden="false" customHeight="false" outlineLevel="0" collapsed="false">
      <c r="A625" s="3" t="s">
        <v>564</v>
      </c>
      <c r="C625" s="16" t="n">
        <f aca="false">C493-C603</f>
        <v>0</v>
      </c>
    </row>
    <row r="626" customFormat="false" ht="15" hidden="false" customHeight="false" outlineLevel="0" collapsed="false">
      <c r="A626" s="3" t="s">
        <v>565</v>
      </c>
      <c r="C626" s="16" t="n">
        <f aca="false">C494-C604</f>
        <v>0</v>
      </c>
    </row>
    <row r="627" customFormat="false" ht="15" hidden="false" customHeight="false" outlineLevel="0" collapsed="false">
      <c r="A627" s="24" t="s">
        <v>578</v>
      </c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customFormat="false" ht="15" hidden="false" customHeight="false" outlineLevel="0" collapsed="false">
      <c r="A628" s="3" t="s">
        <v>556</v>
      </c>
      <c r="C628" s="22" t="n">
        <f aca="false">IF(C485=0,0,C617/C485)</f>
        <v>0</v>
      </c>
    </row>
    <row r="629" customFormat="false" ht="15" hidden="false" customHeight="false" outlineLevel="0" collapsed="false">
      <c r="A629" s="3" t="s">
        <v>557</v>
      </c>
      <c r="C629" s="22" t="n">
        <f aca="false">IF(C486=0,0,C618/C486)</f>
        <v>0</v>
      </c>
    </row>
    <row r="630" customFormat="false" ht="15" hidden="false" customHeight="false" outlineLevel="0" collapsed="false">
      <c r="A630" s="3" t="s">
        <v>558</v>
      </c>
      <c r="C630" s="22" t="n">
        <f aca="false">IF(C487=0,0,C619/C487)</f>
        <v>0</v>
      </c>
    </row>
    <row r="631" customFormat="false" ht="15" hidden="false" customHeight="false" outlineLevel="0" collapsed="false">
      <c r="A631" s="3" t="s">
        <v>559</v>
      </c>
      <c r="C631" s="22" t="n">
        <f aca="false">IF(C488=0,0,C620/C488)</f>
        <v>0</v>
      </c>
    </row>
    <row r="632" customFormat="false" ht="15" hidden="false" customHeight="false" outlineLevel="0" collapsed="false">
      <c r="A632" s="3" t="s">
        <v>560</v>
      </c>
      <c r="C632" s="22" t="n">
        <f aca="false">IF(C489=0,0,C621/C489)</f>
        <v>0</v>
      </c>
    </row>
    <row r="633" customFormat="false" ht="15" hidden="false" customHeight="false" outlineLevel="0" collapsed="false">
      <c r="A633" s="3" t="s">
        <v>561</v>
      </c>
      <c r="C633" s="22" t="n">
        <f aca="false">IF(C490=0,0,C622/C490)</f>
        <v>0</v>
      </c>
    </row>
    <row r="634" customFormat="false" ht="15" hidden="false" customHeight="false" outlineLevel="0" collapsed="false">
      <c r="A634" s="3" t="s">
        <v>562</v>
      </c>
      <c r="C634" s="22" t="n">
        <f aca="false">IF(C491=0,0,C623/C491)</f>
        <v>0</v>
      </c>
    </row>
    <row r="635" customFormat="false" ht="15" hidden="false" customHeight="false" outlineLevel="0" collapsed="false">
      <c r="A635" s="3" t="s">
        <v>563</v>
      </c>
      <c r="C635" s="22" t="n">
        <f aca="false">IF(C492=0,0,C624/C492)</f>
        <v>0</v>
      </c>
    </row>
    <row r="636" customFormat="false" ht="15" hidden="false" customHeight="false" outlineLevel="0" collapsed="false">
      <c r="A636" s="3" t="s">
        <v>564</v>
      </c>
      <c r="C636" s="22" t="n">
        <f aca="false">IF(C493=0,0,C625/C493)</f>
        <v>0</v>
      </c>
    </row>
    <row r="637" customFormat="false" ht="15" hidden="false" customHeight="false" outlineLevel="0" collapsed="false">
      <c r="A637" s="3" t="s">
        <v>565</v>
      </c>
      <c r="C637" s="22" t="n">
        <f aca="false">IF(C494=0,0,C626/C494)</f>
        <v>0</v>
      </c>
    </row>
    <row r="638" customFormat="false" ht="15" hidden="false" customHeight="false" outlineLevel="0" collapsed="false">
      <c r="A638" s="2" t="s">
        <v>579</v>
      </c>
      <c r="C638" s="17" t="n">
        <f aca="false">MAX(0,$C$483-SUM($C$518:$C$527)-SUM($C$540:$C$549))</f>
        <v>730.771201087744</v>
      </c>
    </row>
    <row r="639" customFormat="false" ht="15" hidden="false" customHeight="false" outlineLevel="0" collapsed="false">
      <c r="A639" s="3" t="s">
        <v>597</v>
      </c>
      <c r="C639" s="35" t="n">
        <f aca="false">MIN(C482,100*CHOOSE(C472,C606,C607,C608,C609,C610,C611,C612,C613,C614,C615))</f>
        <v>100</v>
      </c>
    </row>
    <row r="640" customFormat="false" ht="15" hidden="false" customHeight="false" outlineLevel="0" collapsed="false">
      <c r="A640" s="3" t="s">
        <v>598</v>
      </c>
      <c r="C640" s="21" t="n">
        <f aca="false">IF(C304=1,C477+Assumptions!$C$40,C476)</f>
        <v>3</v>
      </c>
    </row>
    <row r="641" customFormat="false" ht="15" hidden="false" customHeight="false" outlineLevel="0" collapsed="false">
      <c r="A641" s="24" t="s">
        <v>599</v>
      </c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customFormat="false" ht="15" hidden="false" customHeight="false" outlineLevel="0" collapsed="false">
      <c r="A642" s="3" t="s">
        <v>600</v>
      </c>
      <c r="C642" s="21" t="n">
        <f aca="false">COLUMN()-COLUMN($C$1)</f>
        <v>0</v>
      </c>
      <c r="D642" s="21" t="n">
        <f aca="false">COLUMN()-COLUMN($C$1)</f>
        <v>1</v>
      </c>
      <c r="E642" s="21" t="n">
        <f aca="false">COLUMN()-COLUMN($C$1)</f>
        <v>2</v>
      </c>
      <c r="F642" s="21" t="n">
        <f aca="false">COLUMN()-COLUMN($C$1)</f>
        <v>3</v>
      </c>
      <c r="G642" s="21" t="n">
        <f aca="false">COLUMN()-COLUMN($C$1)</f>
        <v>4</v>
      </c>
      <c r="H642" s="21" t="n">
        <f aca="false">COLUMN()-COLUMN($C$1)</f>
        <v>5</v>
      </c>
      <c r="I642" s="21" t="n">
        <f aca="false">COLUMN()-COLUMN($C$1)</f>
        <v>6</v>
      </c>
    </row>
    <row r="643" customFormat="false" ht="15" hidden="false" customHeight="false" outlineLevel="0" collapsed="false">
      <c r="A643" s="3" t="s">
        <v>601</v>
      </c>
      <c r="D643" s="31" t="n">
        <f aca="false">CHOOSE($C$472,G52,G65,G78,G91,G104,G117,G130,G143,G156,G169)</f>
        <v>0.0915</v>
      </c>
      <c r="E643" s="31" t="n">
        <f aca="false">CHOOSE($C$472,H52,H65,H78,H91,H104,H117,H130,H143,H156,H169)</f>
        <v>0.09</v>
      </c>
      <c r="F643" s="31" t="n">
        <f aca="false">CHOOSE($C$472,I52,I65,I78,I91,I104,I117,I130,I143,I156,I169)</f>
        <v>0.0875</v>
      </c>
      <c r="G643" s="31" t="n">
        <f aca="false">CHOOSE($C$472,J52,J65,J78,J91,J104,J117,J130,J143,J156,J169)</f>
        <v>0.0875</v>
      </c>
      <c r="H643" s="31" t="n">
        <f aca="false">CHOOSE($C$472,K52,K65,K78,K91,K104,K117,K130,K143,K156,K169)</f>
        <v>0.0875</v>
      </c>
    </row>
    <row r="644" customFormat="false" ht="15" hidden="false" customHeight="false" outlineLevel="0" collapsed="false">
      <c r="A644" s="3" t="s">
        <v>602</v>
      </c>
      <c r="D644" s="16" t="n">
        <f aca="false">IF(D642&lt;=$C$481,$C$473*D643,0)</f>
        <v>9.15</v>
      </c>
      <c r="E644" s="16" t="n">
        <f aca="false">IF(E642&lt;=$C$481,$C$473*E643,0)</f>
        <v>9</v>
      </c>
      <c r="F644" s="16" t="n">
        <f aca="false">IF(F642&lt;=$C$481,$C$473*F643,0)</f>
        <v>8.75</v>
      </c>
      <c r="G644" s="16" t="n">
        <f aca="false">IF(G642&lt;=$C$481,$C$473*G643,0)</f>
        <v>0</v>
      </c>
      <c r="H644" s="16" t="n">
        <f aca="false">IF(H642&lt;=$C$481,$C$473*H643,0)</f>
        <v>0</v>
      </c>
    </row>
    <row r="645" customFormat="false" ht="15" hidden="false" customHeight="false" outlineLevel="0" collapsed="false">
      <c r="A645" s="3" t="s">
        <v>603</v>
      </c>
      <c r="D645" s="16" t="n">
        <f aca="false">IF(AND($C$304=0,D642=$C$476),$C$473*$C$639/100,0)+IF(AND($C$304=1,D642=$C$640),$C$479,0)</f>
        <v>0</v>
      </c>
      <c r="E645" s="16" t="n">
        <f aca="false">IF(AND($C$304=0,E642=$C$476),$C$473*$C$639/100,0)+IF(AND($C$304=1,E642=$C$640),$C$479,0)</f>
        <v>0</v>
      </c>
      <c r="F645" s="16" t="n">
        <f aca="false">IF(AND($C$304=0,F642=$C$476),$C$473*$C$639/100,0)+IF(AND($C$304=1,F642=$C$640),$C$479,0)</f>
        <v>100</v>
      </c>
      <c r="G645" s="16" t="n">
        <f aca="false">IF(AND($C$304=0,G642=$C$476),$C$473*$C$639/100,0)+IF(AND($C$304=1,G642=$C$640),$C$479,0)</f>
        <v>0</v>
      </c>
      <c r="H645" s="16" t="n">
        <f aca="false">IF(AND($C$304=0,H642=$C$476),$C$473*$C$639/100,0)+IF(AND($C$304=1,H642=$C$640),$C$479,0)</f>
        <v>0</v>
      </c>
      <c r="I645" s="16" t="n">
        <f aca="false">IF(AND($C$304=0,I642=$C$476),$C$473*$C$639/100,0)+IF(AND($C$304=1,I642=$C$640),$C$479,0)</f>
        <v>0</v>
      </c>
    </row>
    <row r="646" customFormat="false" ht="15" hidden="false" customHeight="false" outlineLevel="0" collapsed="false">
      <c r="A646" s="2" t="s">
        <v>604</v>
      </c>
      <c r="C646" s="17" t="n">
        <f aca="false">-$C$475</f>
        <v>-98.49</v>
      </c>
      <c r="D646" s="17" t="n">
        <f aca="false">D644+D645</f>
        <v>9.15</v>
      </c>
      <c r="E646" s="17" t="n">
        <f aca="false">E644+E645</f>
        <v>9</v>
      </c>
      <c r="F646" s="17" t="n">
        <f aca="false">F644+F645</f>
        <v>108.75</v>
      </c>
      <c r="G646" s="17" t="n">
        <f aca="false">G644+G645</f>
        <v>0</v>
      </c>
      <c r="H646" s="17" t="n">
        <f aca="false">H644+H645</f>
        <v>0</v>
      </c>
      <c r="I646" s="17" t="n">
        <f aca="false">I644+I645</f>
        <v>0</v>
      </c>
    </row>
    <row r="647" customFormat="false" ht="15" hidden="false" customHeight="false" outlineLevel="0" collapsed="false">
      <c r="A647" s="3" t="s">
        <v>605</v>
      </c>
      <c r="C647" s="16" t="n">
        <f aca="false">SUM($C$644:$I$644)</f>
        <v>26.9</v>
      </c>
    </row>
    <row r="648" customFormat="false" ht="15" hidden="false" customHeight="false" outlineLevel="0" collapsed="false">
      <c r="A648" s="3" t="s">
        <v>606</v>
      </c>
      <c r="C648" s="16" t="n">
        <f aca="false">SUM($C$645:$I$645)</f>
        <v>100</v>
      </c>
    </row>
    <row r="649" customFormat="false" ht="15" hidden="false" customHeight="false" outlineLevel="0" collapsed="false">
      <c r="A649" s="3" t="s">
        <v>607</v>
      </c>
      <c r="C649" s="16" t="n">
        <f aca="false">C647+C648</f>
        <v>126.9</v>
      </c>
    </row>
    <row r="650" customFormat="false" ht="15" hidden="false" customHeight="false" outlineLevel="0" collapsed="false">
      <c r="A650" s="3" t="s">
        <v>608</v>
      </c>
      <c r="C650" s="16" t="n">
        <f aca="false">C648-C473*C474/100</f>
        <v>2</v>
      </c>
    </row>
    <row r="651" customFormat="false" ht="15" hidden="false" customHeight="false" outlineLevel="0" collapsed="false">
      <c r="A651" s="3" t="s">
        <v>609</v>
      </c>
      <c r="C651" s="16" t="n">
        <f aca="false">C649-C475</f>
        <v>28.41</v>
      </c>
    </row>
    <row r="652" customFormat="false" ht="15" hidden="false" customHeight="false" outlineLevel="0" collapsed="false">
      <c r="A652" s="2" t="s">
        <v>484</v>
      </c>
      <c r="C652" s="44" t="n">
        <f aca="false">C649/C475</f>
        <v>1.28845568077977</v>
      </c>
    </row>
    <row r="653" customFormat="false" ht="15" hidden="false" customHeight="false" outlineLevel="0" collapsed="false">
      <c r="A653" s="2" t="s">
        <v>483</v>
      </c>
      <c r="C653" s="42" t="n">
        <f aca="false">IF(C649&lt;=0,-1,IFERROR(IRR($C$646:$I$646,MAX(-0.9,C652^(1/C640)-1)),IRR($C$646:$I$646,0.1)))</f>
        <v>0.0958152816969216</v>
      </c>
    </row>
    <row r="654" customFormat="false" ht="15" hidden="false" customHeight="false" outlineLevel="0" collapsed="false">
      <c r="A654" s="3" t="s">
        <v>610</v>
      </c>
      <c r="C654" s="32" t="n">
        <f aca="false">MAX($G$248:$K$248)</f>
        <v>9.99528975565569</v>
      </c>
    </row>
    <row r="655" customFormat="false" ht="15" hidden="false" customHeight="false" outlineLevel="0" collapsed="false">
      <c r="A655" s="3" t="s">
        <v>611</v>
      </c>
      <c r="C655" s="32" t="n">
        <f aca="false">MIN($G$249:$K$249)</f>
        <v>1.34274565931266</v>
      </c>
    </row>
    <row r="656" customFormat="false" ht="15" hidden="false" customHeight="false" outlineLevel="0" collapsed="false">
      <c r="A656" s="3" t="s">
        <v>612</v>
      </c>
      <c r="C656" s="16" t="n">
        <f aca="false">SUM($G$36:$K$36)</f>
        <v>-435.805435297248</v>
      </c>
    </row>
    <row r="660" customFormat="false" ht="15" hidden="false" customHeight="false" outlineLevel="0" collapsed="false">
      <c r="A660" s="9" t="s">
        <v>1131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customFormat="false" ht="15" hidden="false" customHeight="false" outlineLevel="0" collapsed="false">
      <c r="A661" s="3" t="s">
        <v>1126</v>
      </c>
      <c r="C661" s="11" t="n">
        <v>2</v>
      </c>
    </row>
    <row r="662" customFormat="false" ht="15" hidden="false" customHeight="false" outlineLevel="0" collapsed="false">
      <c r="A662" s="3" t="s">
        <v>1127</v>
      </c>
      <c r="C662" s="19" t="n">
        <v>0</v>
      </c>
    </row>
    <row r="663" customFormat="false" ht="15" hidden="false" customHeight="false" outlineLevel="0" collapsed="false">
      <c r="A663" s="3" t="s">
        <v>1128</v>
      </c>
      <c r="C663" s="19" t="n">
        <v>0</v>
      </c>
    </row>
    <row r="664" customFormat="false" ht="15" hidden="false" customHeight="false" outlineLevel="0" collapsed="false">
      <c r="A664" s="3" t="s">
        <v>1129</v>
      </c>
      <c r="C664" s="19" t="n">
        <v>0</v>
      </c>
    </row>
    <row r="665" customFormat="false" ht="15" hidden="false" customHeight="false" outlineLevel="0" collapsed="false">
      <c r="A665" s="3" t="s">
        <v>1130</v>
      </c>
      <c r="C665" s="15" t="n">
        <v>0</v>
      </c>
    </row>
    <row r="667" customFormat="false" ht="15" hidden="false" customHeight="false" outlineLevel="0" collapsed="false">
      <c r="A667" s="24" t="s">
        <v>301</v>
      </c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customFormat="false" ht="15" hidden="false" customHeight="false" outlineLevel="0" collapsed="false">
      <c r="A668" s="3" t="s">
        <v>302</v>
      </c>
      <c r="F668" s="27" t="n">
        <f aca="false">Assumptions!$C$6</f>
        <v>2026</v>
      </c>
      <c r="G668" s="21" t="n">
        <f aca="false">F668+1</f>
        <v>2027</v>
      </c>
      <c r="H668" s="21" t="n">
        <f aca="false">G668+1</f>
        <v>2028</v>
      </c>
      <c r="I668" s="21" t="n">
        <f aca="false">H668+1</f>
        <v>2029</v>
      </c>
      <c r="J668" s="21" t="n">
        <f aca="false">I668+1</f>
        <v>2030</v>
      </c>
      <c r="K668" s="21" t="n">
        <f aca="false">J668+1</f>
        <v>2031</v>
      </c>
    </row>
    <row r="669" customFormat="false" ht="15" hidden="false" customHeight="false" outlineLevel="0" collapsed="false">
      <c r="A669" s="3" t="s">
        <v>303</v>
      </c>
      <c r="G669" s="21" t="n">
        <f aca="false">G668-Assumptions!$C$6</f>
        <v>1</v>
      </c>
      <c r="H669" s="21" t="n">
        <f aca="false">H668-Assumptions!$C$6</f>
        <v>2</v>
      </c>
      <c r="I669" s="21" t="n">
        <f aca="false">I668-Assumptions!$C$6</f>
        <v>3</v>
      </c>
      <c r="J669" s="21" t="n">
        <f aca="false">J668-Assumptions!$C$6</f>
        <v>4</v>
      </c>
      <c r="K669" s="21" t="n">
        <f aca="false">K668-Assumptions!$C$6</f>
        <v>5</v>
      </c>
    </row>
    <row r="670" customFormat="false" ht="15" hidden="false" customHeight="false" outlineLevel="0" collapsed="false">
      <c r="A670" s="3" t="s">
        <v>180</v>
      </c>
      <c r="G670" s="22" t="n">
        <f aca="false">CHOOSE($C$661,Assumptions!$G$79,Assumptions!$G$98,Assumptions!$G$117)+$C$662</f>
        <v>-0.06</v>
      </c>
      <c r="H670" s="22" t="n">
        <f aca="false">CHOOSE($C$661,Assumptions!$H$79,Assumptions!$H$98,Assumptions!$H$117)+$C$662</f>
        <v>-0.03</v>
      </c>
      <c r="I670" s="22" t="n">
        <f aca="false">CHOOSE($C$661,Assumptions!$I$79,Assumptions!$I$98,Assumptions!$I$117)+$C$662</f>
        <v>0</v>
      </c>
      <c r="J670" s="22" t="n">
        <f aca="false">CHOOSE($C$661,Assumptions!$J$79,Assumptions!$J$98,Assumptions!$J$117)+$C$662</f>
        <v>0.01</v>
      </c>
      <c r="K670" s="22" t="n">
        <f aca="false">CHOOSE($C$661,Assumptions!$K$79,Assumptions!$K$98,Assumptions!$K$117)+$C$662</f>
        <v>0.01</v>
      </c>
    </row>
    <row r="671" customFormat="false" ht="15" hidden="false" customHeight="false" outlineLevel="0" collapsed="false">
      <c r="A671" s="3" t="s">
        <v>181</v>
      </c>
      <c r="G671" s="22" t="n">
        <f aca="false">CHOOSE($C$661,Assumptions!$G$80,Assumptions!$G$99,Assumptions!$G$118)</f>
        <v>0.573920660818678</v>
      </c>
      <c r="H671" s="22" t="n">
        <f aca="false">CHOOSE($C$661,Assumptions!$H$80,Assumptions!$H$99,Assumptions!$H$118)</f>
        <v>0.558920660818678</v>
      </c>
      <c r="I671" s="22" t="n">
        <f aca="false">CHOOSE($C$661,Assumptions!$I$80,Assumptions!$I$99,Assumptions!$I$118)</f>
        <v>0.558920660818678</v>
      </c>
      <c r="J671" s="22" t="n">
        <f aca="false">CHOOSE($C$661,Assumptions!$J$80,Assumptions!$J$99,Assumptions!$J$118)</f>
        <v>0.563920660818678</v>
      </c>
      <c r="K671" s="22" t="n">
        <f aca="false">CHOOSE($C$661,Assumptions!$K$80,Assumptions!$K$99,Assumptions!$K$118)</f>
        <v>0.568920660818678</v>
      </c>
    </row>
    <row r="672" customFormat="false" ht="15" hidden="false" customHeight="false" outlineLevel="0" collapsed="false">
      <c r="A672" s="3" t="s">
        <v>182</v>
      </c>
      <c r="G672" s="22" t="n">
        <f aca="false">CHOOSE($C$661,Assumptions!$G$81,Assumptions!$G$100,Assumptions!$G$119)+$C$663</f>
        <v>0.5</v>
      </c>
      <c r="H672" s="22" t="n">
        <f aca="false">CHOOSE($C$661,Assumptions!$H$81,Assumptions!$H$100,Assumptions!$H$119)+$C$663</f>
        <v>0.485</v>
      </c>
      <c r="I672" s="22" t="n">
        <f aca="false">CHOOSE($C$661,Assumptions!$I$81,Assumptions!$I$100,Assumptions!$I$119)+$C$663</f>
        <v>0.485</v>
      </c>
      <c r="J672" s="22" t="n">
        <f aca="false">CHOOSE($C$661,Assumptions!$J$81,Assumptions!$J$100,Assumptions!$J$119)+$C$663</f>
        <v>0.49</v>
      </c>
      <c r="K672" s="22" t="n">
        <f aca="false">CHOOSE($C$661,Assumptions!$K$81,Assumptions!$K$100,Assumptions!$K$119)+$C$663</f>
        <v>0.495</v>
      </c>
    </row>
    <row r="673" customFormat="false" ht="15" hidden="false" customHeight="false" outlineLevel="0" collapsed="false">
      <c r="A673" s="24" t="s">
        <v>304</v>
      </c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customFormat="false" ht="15" hidden="false" customHeight="false" outlineLevel="0" collapsed="false">
      <c r="A674" s="2" t="s">
        <v>275</v>
      </c>
      <c r="F674" s="28" t="n">
        <f aca="false">'Historical Financials'!G25</f>
        <v>498.291</v>
      </c>
      <c r="G674" s="17" t="n">
        <f aca="false">F674*(1+G670)</f>
        <v>468.39354</v>
      </c>
      <c r="H674" s="17" t="n">
        <f aca="false">G674*(1+H670)</f>
        <v>454.3417338</v>
      </c>
      <c r="I674" s="17" t="n">
        <f aca="false">H674*(1+I670)</f>
        <v>454.3417338</v>
      </c>
      <c r="J674" s="17" t="n">
        <f aca="false">I674*(1+J670)</f>
        <v>458.885151138</v>
      </c>
      <c r="K674" s="17" t="n">
        <f aca="false">J674*(1+K670)</f>
        <v>463.47400264938</v>
      </c>
    </row>
    <row r="675" customFormat="false" ht="15" hidden="false" customHeight="false" outlineLevel="0" collapsed="false">
      <c r="A675" s="3" t="s">
        <v>276</v>
      </c>
      <c r="G675" s="16" t="n">
        <f aca="false">G674*(1-G671)</f>
        <v>199.57281</v>
      </c>
      <c r="H675" s="16" t="n">
        <f aca="false">H674*(1-H671)</f>
        <v>200.400751707</v>
      </c>
      <c r="I675" s="16" t="n">
        <f aca="false">I674*(1-I671)</f>
        <v>200.400751707</v>
      </c>
      <c r="J675" s="16" t="n">
        <f aca="false">J674*(1-J671)</f>
        <v>200.11033346838</v>
      </c>
      <c r="K675" s="16" t="n">
        <f aca="false">K674*(1-K671)</f>
        <v>199.794066789817</v>
      </c>
    </row>
    <row r="676" customFormat="false" ht="15" hidden="false" customHeight="false" outlineLevel="0" collapsed="false">
      <c r="A676" s="2" t="s">
        <v>277</v>
      </c>
      <c r="G676" s="17" t="n">
        <f aca="false">G674-G675</f>
        <v>268.82073</v>
      </c>
      <c r="H676" s="17" t="n">
        <f aca="false">H674-H675</f>
        <v>253.940982093</v>
      </c>
      <c r="I676" s="17" t="n">
        <f aca="false">I674-I675</f>
        <v>253.940982093</v>
      </c>
      <c r="J676" s="17" t="n">
        <f aca="false">J674-J675</f>
        <v>258.77481766962</v>
      </c>
      <c r="K676" s="17" t="n">
        <f aca="false">K674-K675</f>
        <v>263.679935859563</v>
      </c>
    </row>
    <row r="677" customFormat="false" ht="15" hidden="false" customHeight="false" outlineLevel="0" collapsed="false">
      <c r="A677" s="3" t="s">
        <v>305</v>
      </c>
      <c r="G677" s="16" t="n">
        <f aca="false">G676-G678</f>
        <v>34.62396</v>
      </c>
      <c r="H677" s="16" t="n">
        <f aca="false">H676-H678</f>
        <v>33.5852412</v>
      </c>
      <c r="I677" s="16" t="n">
        <f aca="false">I676-I678</f>
        <v>33.5852412</v>
      </c>
      <c r="J677" s="16" t="n">
        <f aca="false">J676-J678</f>
        <v>33.921093612</v>
      </c>
      <c r="K677" s="16" t="n">
        <f aca="false">K676-K678</f>
        <v>34.26030454812</v>
      </c>
    </row>
    <row r="678" customFormat="false" ht="15" hidden="false" customHeight="false" outlineLevel="0" collapsed="false">
      <c r="A678" s="2" t="s">
        <v>306</v>
      </c>
      <c r="G678" s="17" t="n">
        <f aca="false">G674*G672</f>
        <v>234.19677</v>
      </c>
      <c r="H678" s="17" t="n">
        <f aca="false">H674*H672</f>
        <v>220.355740893</v>
      </c>
      <c r="I678" s="17" t="n">
        <f aca="false">I674*I672</f>
        <v>220.355740893</v>
      </c>
      <c r="J678" s="17" t="n">
        <f aca="false">J674*J672</f>
        <v>224.85372405762</v>
      </c>
      <c r="K678" s="17" t="n">
        <f aca="false">K674*K672</f>
        <v>229.419631311443</v>
      </c>
    </row>
    <row r="679" customFormat="false" ht="15" hidden="false" customHeight="false" outlineLevel="0" collapsed="false">
      <c r="A679" s="3" t="s">
        <v>307</v>
      </c>
      <c r="G679" s="16" t="n">
        <f aca="false">G674*'Historical Financials'!G30/'Historical Financials'!G25</f>
        <v>174.17542</v>
      </c>
      <c r="H679" s="16" t="n">
        <f aca="false">H674*'Historical Financials'!G30/'Historical Financials'!G25</f>
        <v>168.9501574</v>
      </c>
      <c r="I679" s="16" t="n">
        <f aca="false">I674*'Historical Financials'!G30/'Historical Financials'!G25</f>
        <v>168.9501574</v>
      </c>
      <c r="J679" s="16" t="n">
        <f aca="false">J674*'Historical Financials'!G30/'Historical Financials'!G25</f>
        <v>170.639658974</v>
      </c>
      <c r="K679" s="16" t="n">
        <f aca="false">K674*'Historical Financials'!G30/'Historical Financials'!G25</f>
        <v>172.34605556374</v>
      </c>
    </row>
    <row r="680" customFormat="false" ht="15" hidden="false" customHeight="false" outlineLevel="0" collapsed="false">
      <c r="A680" s="3" t="s">
        <v>308</v>
      </c>
      <c r="G680" s="16" t="n">
        <f aca="false">G674*'Historical Financials'!G31/'Historical Financials'!G25</f>
        <v>0</v>
      </c>
      <c r="H680" s="16" t="n">
        <f aca="false">H674*'Historical Financials'!G31/'Historical Financials'!G25</f>
        <v>0</v>
      </c>
      <c r="I680" s="16" t="n">
        <f aca="false">I674*'Historical Financials'!G31/'Historical Financials'!G25</f>
        <v>0</v>
      </c>
      <c r="J680" s="16" t="n">
        <f aca="false">J674*'Historical Financials'!G31/'Historical Financials'!G25</f>
        <v>0</v>
      </c>
      <c r="K680" s="16" t="n">
        <f aca="false">K674*'Historical Financials'!G31/'Historical Financials'!G25</f>
        <v>0</v>
      </c>
    </row>
    <row r="681" customFormat="false" ht="15" hidden="false" customHeight="false" outlineLevel="0" collapsed="false">
      <c r="A681" s="2" t="s">
        <v>309</v>
      </c>
      <c r="G681" s="17" t="n">
        <f aca="false">G678-G679-G680</f>
        <v>60.02135</v>
      </c>
      <c r="H681" s="17" t="n">
        <f aca="false">H678-H679-H680</f>
        <v>51.405583493</v>
      </c>
      <c r="I681" s="17" t="n">
        <f aca="false">I678-I679-I680</f>
        <v>51.405583493</v>
      </c>
      <c r="J681" s="17" t="n">
        <f aca="false">J678-J679-J680</f>
        <v>54.21406508362</v>
      </c>
      <c r="K681" s="17" t="n">
        <f aca="false">K678-K679-K680</f>
        <v>57.0735757477031</v>
      </c>
    </row>
    <row r="682" customFormat="false" ht="15" hidden="false" customHeight="false" outlineLevel="0" collapsed="false">
      <c r="A682" s="3" t="s">
        <v>310</v>
      </c>
      <c r="G682" s="16" t="n">
        <f aca="false">G708+G721+G734+G747+G760+G773+G786+G799+G812+G825</f>
        <v>187.3888354</v>
      </c>
      <c r="H682" s="16" t="n">
        <f aca="false">H708+H721+H734+H747+H760+H773+H786+H799+H812+H825</f>
        <v>186.2509204</v>
      </c>
      <c r="I682" s="16" t="n">
        <f aca="false">I708+I721+I734+I747+I760+I773+I786+I799+I812+I825</f>
        <v>182.7365265363</v>
      </c>
      <c r="J682" s="16" t="n">
        <f aca="false">J708+J721+J734+J747+J760+J773+J786+J799+J812+J825</f>
        <v>182.3265265363</v>
      </c>
      <c r="K682" s="16" t="n">
        <f aca="false">K708+K721+K734+K747+K760+K773+K786+K799+K812+K825</f>
        <v>181.9165265363</v>
      </c>
    </row>
    <row r="683" customFormat="false" ht="15" hidden="false" customHeight="false" outlineLevel="0" collapsed="false">
      <c r="A683" s="3" t="s">
        <v>311</v>
      </c>
      <c r="G683" s="16" t="n">
        <f aca="false">G709+G722+G735+G748+G761+G774+G787+G800+G813+G826</f>
        <v>0</v>
      </c>
      <c r="H683" s="16" t="n">
        <f aca="false">H709+H722+H735+H748+H761+H774+H787+H800+H813+H826</f>
        <v>0</v>
      </c>
      <c r="I683" s="16" t="n">
        <f aca="false">I709+I722+I735+I748+I761+I774+I787+I800+I813+I826</f>
        <v>0</v>
      </c>
      <c r="J683" s="16" t="n">
        <f aca="false">J709+J722+J735+J748+J761+J774+J787+J800+J813+J826</f>
        <v>0</v>
      </c>
      <c r="K683" s="16" t="n">
        <f aca="false">K709+K722+K735+K748+K761+K774+K787+K800+K813+K826</f>
        <v>0</v>
      </c>
    </row>
    <row r="684" customFormat="false" ht="15" hidden="false" customHeight="false" outlineLevel="0" collapsed="false">
      <c r="A684" s="3" t="s">
        <v>283</v>
      </c>
      <c r="G684" s="16" t="n">
        <f aca="false">G682+G683</f>
        <v>187.3888354</v>
      </c>
      <c r="H684" s="16" t="n">
        <f aca="false">H682+H683</f>
        <v>186.2509204</v>
      </c>
      <c r="I684" s="16" t="n">
        <f aca="false">I682+I683</f>
        <v>182.7365265363</v>
      </c>
      <c r="J684" s="16" t="n">
        <f aca="false">J682+J683</f>
        <v>182.3265265363</v>
      </c>
      <c r="K684" s="16" t="n">
        <f aca="false">K682+K683</f>
        <v>181.9165265363</v>
      </c>
    </row>
    <row r="685" customFormat="false" ht="15" hidden="false" customHeight="false" outlineLevel="0" collapsed="false">
      <c r="A685" s="2" t="s">
        <v>284</v>
      </c>
      <c r="G685" s="17" t="n">
        <f aca="false">G681-G684</f>
        <v>-127.3674854</v>
      </c>
      <c r="H685" s="17" t="n">
        <f aca="false">H681-H684</f>
        <v>-134.845336907</v>
      </c>
      <c r="I685" s="17" t="n">
        <f aca="false">I681-I684</f>
        <v>-131.3309430433</v>
      </c>
      <c r="J685" s="17" t="n">
        <f aca="false">J681-J684</f>
        <v>-128.112461452679</v>
      </c>
      <c r="K685" s="17" t="n">
        <f aca="false">K681-K684</f>
        <v>-124.842950788596</v>
      </c>
    </row>
    <row r="686" customFormat="false" ht="15" hidden="false" customHeight="false" outlineLevel="0" collapsed="false">
      <c r="A686" s="3" t="s">
        <v>312</v>
      </c>
      <c r="G686" s="16" t="n">
        <f aca="false">MAX(0,G685)*Assumptions!$C$9</f>
        <v>0</v>
      </c>
      <c r="H686" s="16" t="n">
        <f aca="false">MAX(0,H685)*Assumptions!$C$9</f>
        <v>0</v>
      </c>
      <c r="I686" s="16" t="n">
        <f aca="false">MAX(0,I685)*Assumptions!$C$9</f>
        <v>0</v>
      </c>
      <c r="J686" s="16" t="n">
        <f aca="false">MAX(0,J685)*Assumptions!$C$9</f>
        <v>0</v>
      </c>
      <c r="K686" s="16" t="n">
        <f aca="false">MAX(0,K685)*Assumptions!$C$9</f>
        <v>0</v>
      </c>
    </row>
    <row r="687" customFormat="false" ht="15" hidden="false" customHeight="false" outlineLevel="0" collapsed="false">
      <c r="A687" s="2" t="s">
        <v>313</v>
      </c>
      <c r="G687" s="17" t="n">
        <f aca="false">G685-G686</f>
        <v>-127.3674854</v>
      </c>
      <c r="H687" s="17" t="n">
        <f aca="false">H685-H686</f>
        <v>-134.845336907</v>
      </c>
      <c r="I687" s="17" t="n">
        <f aca="false">I685-I686</f>
        <v>-131.3309430433</v>
      </c>
      <c r="J687" s="17" t="n">
        <f aca="false">J685-J686</f>
        <v>-128.112461452679</v>
      </c>
      <c r="K687" s="17" t="n">
        <f aca="false">K685-K686</f>
        <v>-124.842950788596</v>
      </c>
    </row>
    <row r="688" customFormat="false" ht="15" hidden="false" customHeight="false" outlineLevel="0" collapsed="false">
      <c r="A688" s="24" t="s">
        <v>314</v>
      </c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customFormat="false" ht="15" hidden="false" customHeight="false" outlineLevel="0" collapsed="false">
      <c r="A689" s="3" t="s">
        <v>184</v>
      </c>
      <c r="G689" s="16" t="n">
        <f aca="false">G674*CHOOSE($C$661,Assumptions!$C$83,Assumptions!$C$102,Assumptions!$C$121)</f>
        <v>84.3108372</v>
      </c>
      <c r="H689" s="16" t="n">
        <f aca="false">H674*CHOOSE($C$661,Assumptions!$C$83,Assumptions!$C$102,Assumptions!$C$121)</f>
        <v>81.781512084</v>
      </c>
      <c r="I689" s="16" t="n">
        <f aca="false">I674*CHOOSE($C$661,Assumptions!$C$83,Assumptions!$C$102,Assumptions!$C$121)</f>
        <v>81.781512084</v>
      </c>
      <c r="J689" s="16" t="n">
        <f aca="false">J674*CHOOSE($C$661,Assumptions!$C$83,Assumptions!$C$102,Assumptions!$C$121)</f>
        <v>82.59932720484</v>
      </c>
      <c r="K689" s="16" t="n">
        <f aca="false">K674*CHOOSE($C$661,Assumptions!$C$83,Assumptions!$C$102,Assumptions!$C$121)</f>
        <v>83.4253204768884</v>
      </c>
    </row>
    <row r="690" customFormat="false" ht="15" hidden="false" customHeight="false" outlineLevel="0" collapsed="false">
      <c r="A690" s="3" t="s">
        <v>315</v>
      </c>
      <c r="G690" s="16" t="n">
        <f aca="false">CHOOSE($C$661,Assumptions!$C$84,Assumptions!$C$103,Assumptions!$C$122)*(G674-F674)+CHOOSE($C$661,Assumptions!$C$85,Assumptions!$C$104,Assumptions!$C$123)*G674</f>
        <v>23.419677</v>
      </c>
      <c r="H690" s="16" t="n">
        <f aca="false">CHOOSE($C$661,Assumptions!$C$84,Assumptions!$C$103,Assumptions!$C$122)*(H674-G674)+CHOOSE($C$661,Assumptions!$C$85,Assumptions!$C$104,Assumptions!$C$123)*H674</f>
        <v>22.71708669</v>
      </c>
      <c r="I690" s="16" t="n">
        <f aca="false">CHOOSE($C$661,Assumptions!$C$84,Assumptions!$C$103,Assumptions!$C$122)*(I674-H674)+CHOOSE($C$661,Assumptions!$C$85,Assumptions!$C$104,Assumptions!$C$123)*I674</f>
        <v>22.71708669</v>
      </c>
      <c r="J690" s="16" t="n">
        <f aca="false">CHOOSE($C$661,Assumptions!$C$84,Assumptions!$C$103,Assumptions!$C$122)*(J674-I674)+CHOOSE($C$661,Assumptions!$C$85,Assumptions!$C$104,Assumptions!$C$123)*J674</f>
        <v>22.9442575569</v>
      </c>
      <c r="K690" s="16" t="n">
        <f aca="false">CHOOSE($C$661,Assumptions!$C$84,Assumptions!$C$103,Assumptions!$C$122)*(K674-J674)+CHOOSE($C$661,Assumptions!$C$85,Assumptions!$C$104,Assumptions!$C$123)*K674</f>
        <v>23.173700132469</v>
      </c>
    </row>
    <row r="691" customFormat="false" ht="15" hidden="false" customHeight="false" outlineLevel="0" collapsed="false">
      <c r="A691" s="2" t="s">
        <v>316</v>
      </c>
      <c r="G691" s="17" t="n">
        <f aca="false">G687+G679+G680+G683-G689-G690</f>
        <v>-60.9225796</v>
      </c>
      <c r="H691" s="17" t="n">
        <f aca="false">H687+H679+H680+H683-H689-H690</f>
        <v>-70.393778281</v>
      </c>
      <c r="I691" s="17" t="n">
        <f aca="false">I687+I679+I680+I683-I689-I690</f>
        <v>-66.8793844172995</v>
      </c>
      <c r="J691" s="17" t="n">
        <f aca="false">J687+J679+J680+J683-J689-J690</f>
        <v>-63.0163872404195</v>
      </c>
      <c r="K691" s="17" t="n">
        <f aca="false">K687+K679+K680+K683-K689-K690</f>
        <v>-59.0959158342138</v>
      </c>
    </row>
    <row r="693" customFormat="false" ht="15" hidden="false" customHeight="false" outlineLevel="0" collapsed="false">
      <c r="A693" s="24" t="s">
        <v>318</v>
      </c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customFormat="false" ht="15" hidden="false" customHeight="false" outlineLevel="0" collapsed="false">
      <c r="A694" s="3" t="s">
        <v>319</v>
      </c>
      <c r="G694" s="30" t="n">
        <f aca="false">Assumptions!$G$53</f>
        <v>0.039</v>
      </c>
      <c r="H694" s="30" t="n">
        <f aca="false">Assumptions!$H$53</f>
        <v>0.0375</v>
      </c>
      <c r="I694" s="30" t="n">
        <f aca="false">Assumptions!$I$53</f>
        <v>0.035</v>
      </c>
      <c r="J694" s="30" t="n">
        <f aca="false">Assumptions!$J$53</f>
        <v>0.035</v>
      </c>
      <c r="K694" s="30" t="n">
        <f aca="false">Assumptions!$K$53</f>
        <v>0.035</v>
      </c>
    </row>
    <row r="695" customFormat="false" ht="15" hidden="false" customHeight="false" outlineLevel="0" collapsed="false">
      <c r="A695" s="3" t="s">
        <v>320</v>
      </c>
      <c r="C695" s="31" t="n">
        <f aca="false">CHOOSE($C$661,Assumptions!$C$86,Assumptions!$C$105,Assumptions!$C$124)+$C$664</f>
        <v>0.015</v>
      </c>
    </row>
    <row r="696" customFormat="false" ht="15" hidden="false" customHeight="false" outlineLevel="0" collapsed="false">
      <c r="A696" s="3" t="s">
        <v>321</v>
      </c>
      <c r="C696" s="31" t="n">
        <f aca="false">CHOOSE($C$661,Assumptions!$C$87,Assumptions!$C$106,Assumptions!$C$125)</f>
        <v>0.1</v>
      </c>
    </row>
    <row r="697" customFormat="false" ht="15" hidden="false" customHeight="false" outlineLevel="0" collapsed="false">
      <c r="A697" s="3" t="s">
        <v>322</v>
      </c>
      <c r="C697" s="32" t="n">
        <f aca="false">CHOOSE($C$661,Assumptions!$C$88,Assumptions!$C$107,Assumptions!$C$126)</f>
        <v>9.5</v>
      </c>
    </row>
    <row r="698" customFormat="false" ht="15" hidden="false" customHeight="false" outlineLevel="0" collapsed="false">
      <c r="A698" s="3" t="s">
        <v>323</v>
      </c>
      <c r="C698" s="32" t="n">
        <f aca="false">CHOOSE($C$661,Assumptions!$C$89,Assumptions!$C$108,Assumptions!$C$127)</f>
        <v>1.5</v>
      </c>
    </row>
    <row r="699" customFormat="false" ht="15" hidden="false" customHeight="false" outlineLevel="0" collapsed="false">
      <c r="A699" s="3" t="s">
        <v>324</v>
      </c>
      <c r="G699" s="16" t="n">
        <f aca="false">G704+G717+G730+G743+G756+G769+G782+G795+G808+G821</f>
        <v>2625.934</v>
      </c>
      <c r="H699" s="16" t="n">
        <f aca="false">H704+H717+H730+H743+H756+H769+H782+H795+H808+H821</f>
        <v>2621.934</v>
      </c>
      <c r="I699" s="16" t="n">
        <f aca="false">I704+I717+I730+I743+I756+I769+I782+I795+I808+I821</f>
        <v>2569.380357881</v>
      </c>
      <c r="J699" s="16" t="n">
        <f aca="false">J704+J717+J730+J743+J756+J769+J782+J795+J808+J821</f>
        <v>2565.380357881</v>
      </c>
      <c r="K699" s="16" t="n">
        <f aca="false">K704+K717+K730+K743+K756+K769+K782+K795+K808+K821</f>
        <v>2561.380357881</v>
      </c>
    </row>
    <row r="700" customFormat="false" ht="15" hidden="false" customHeight="false" outlineLevel="0" collapsed="false">
      <c r="A700" s="3" t="s">
        <v>325</v>
      </c>
      <c r="G700" s="16" t="n">
        <f aca="false">F892</f>
        <v>37.87</v>
      </c>
      <c r="H700" s="16" t="n">
        <f aca="false">G892</f>
        <v>122.9474204</v>
      </c>
      <c r="I700" s="16" t="n">
        <f aca="false">H892</f>
        <v>0</v>
      </c>
      <c r="J700" s="16" t="n">
        <f aca="false">I892</f>
        <v>-70.8793844172995</v>
      </c>
      <c r="K700" s="16" t="n">
        <f aca="false">J892</f>
        <v>-137.895771657719</v>
      </c>
    </row>
    <row r="701" customFormat="false" ht="15" hidden="false" customHeight="false" outlineLevel="0" collapsed="false">
      <c r="A701" s="3" t="s">
        <v>326</v>
      </c>
      <c r="G701" s="16" t="n">
        <f aca="false">G704*IF(G705=1,$C$696,IF(Assumptions!$I$57=1,MAX(G694,Assumptions!$G$57)+Assumptions!$F$57+$C$695,Assumptions!$E$57))+G717*IF(G718=1,$C$696,IF(Assumptions!$I$58=1,MAX(G694,Assumptions!$G$58)+Assumptions!$F$58+$C$695,Assumptions!$E$58))+G730*IF(G731=1,$C$696,IF(Assumptions!$I$59=1,MAX(G694,Assumptions!$G$59)+Assumptions!$F$59+$C$695,Assumptions!$E$59))+G743*IF(G744=1,$C$696,IF(Assumptions!$I$60=1,MAX(G694,Assumptions!$G$60)+Assumptions!$F$60+$C$695,Assumptions!$E$60))+G756*IF(G757=1,$C$696,IF(Assumptions!$I$61=1,MAX(G694,Assumptions!$G$61)+Assumptions!$F$61+$C$695,Assumptions!$E$61))+G769*IF(G770=1,$C$696,IF(Assumptions!$I$62=1,MAX(G694,Assumptions!$G$62)+Assumptions!$F$62+$C$695,Assumptions!$E$62))+G782*IF(G783=1,$C$696,IF(Assumptions!$I$63=1,MAX(G694,Assumptions!$G$63)+Assumptions!$F$63+$C$695,Assumptions!$E$63))+G795*IF(G796=1,$C$696,IF(Assumptions!$I$64=1,MAX(G694,Assumptions!$G$64)+Assumptions!$F$64+$C$695,Assumptions!$E$64))+G808*IF(G809=1,$C$696,IF(Assumptions!$I$65=1,MAX(G694,Assumptions!$G$65)+Assumptions!$F$65+$C$695,Assumptions!$E$65))+G821*IF(G822=1,$C$696,IF(Assumptions!$I$66=1,MAX(G694,Assumptions!$G$66)+Assumptions!$F$66+$C$695,Assumptions!$E$66))</f>
        <v>187.3888354</v>
      </c>
      <c r="H701" s="16" t="n">
        <f aca="false">H704*IF(OR(H705=1,G1014=1),$C$696,IF(Assumptions!$I$57=1,MAX(H694,Assumptions!$G$57)+Assumptions!$F$57+$C$695,Assumptions!$E$57))+H717*IF(OR(H718=1,G1015=1),$C$696,IF(Assumptions!$I$58=1,MAX(H694,Assumptions!$G$58)+Assumptions!$F$58+$C$695,Assumptions!$E$58))+H730*IF(OR(H731=1,G1016=1),$C$696,IF(Assumptions!$I$59=1,MAX(H694,Assumptions!$G$59)+Assumptions!$F$59+$C$695,Assumptions!$E$59))+H743*IF(OR(H744=1,G1017=1),$C$696,IF(Assumptions!$I$60=1,MAX(H694,Assumptions!$G$60)+Assumptions!$F$60+$C$695,Assumptions!$E$60))+H756*IF(OR(H757=1,G1018=1),$C$696,IF(Assumptions!$I$61=1,MAX(H694,Assumptions!$G$61)+Assumptions!$F$61+$C$695,Assumptions!$E$61))+H769*IF(OR(H770=1,G1019=1),$C$696,IF(Assumptions!$I$62=1,MAX(H694,Assumptions!$G$62)+Assumptions!$F$62+$C$695,Assumptions!$E$62))+H782*IF(OR(H783=1,G1020=1),$C$696,IF(Assumptions!$I$63=1,MAX(H694,Assumptions!$G$63)+Assumptions!$F$63+$C$695,Assumptions!$E$63))+H795*IF(OR(H796=1,G1021=1),$C$696,IF(Assumptions!$I$64=1,MAX(H694,Assumptions!$G$64)+Assumptions!$F$64+$C$695,Assumptions!$E$64))+H808*IF(OR(H809=1,G1022=1),$C$696,IF(Assumptions!$I$65=1,MAX(H694,Assumptions!$G$65)+Assumptions!$F$65+$C$695,Assumptions!$E$65))+H821*IF(OR(H822=1,G1023=1),$C$696,IF(Assumptions!$I$66=1,MAX(H694,Assumptions!$G$66)+Assumptions!$F$66+$C$695,Assumptions!$E$66))</f>
        <v>219.4259204</v>
      </c>
      <c r="I701" s="16" t="n">
        <f aca="false">I704*IF(OR(I705=1,H1014=1),$C$696,IF(Assumptions!$I$57=1,MAX(I694,Assumptions!$G$57)+Assumptions!$F$57+$C$695,Assumptions!$E$57))+I717*IF(OR(I718=1,H1015=1),$C$696,IF(Assumptions!$I$58=1,MAX(I694,Assumptions!$G$58)+Assumptions!$F$58+$C$695,Assumptions!$E$58))+I730*IF(OR(I731=1,H1016=1),$C$696,IF(Assumptions!$I$59=1,MAX(I694,Assumptions!$G$59)+Assumptions!$F$59+$C$695,Assumptions!$E$59))+I743*IF(OR(I744=1,H1017=1),$C$696,IF(Assumptions!$I$60=1,MAX(I694,Assumptions!$G$60)+Assumptions!$F$60+$C$695,Assumptions!$E$60))+I756*IF(OR(I757=1,H1018=1),$C$696,IF(Assumptions!$I$61=1,MAX(I694,Assumptions!$G$61)+Assumptions!$F$61+$C$695,Assumptions!$E$61))+I769*IF(OR(I770=1,H1019=1),$C$696,IF(Assumptions!$I$62=1,MAX(I694,Assumptions!$G$62)+Assumptions!$F$62+$C$695,Assumptions!$E$62))+I782*IF(OR(I783=1,H1020=1),$C$696,IF(Assumptions!$I$63=1,MAX(I694,Assumptions!$G$63)+Assumptions!$F$63+$C$695,Assumptions!$E$63))+I795*IF(OR(I796=1,H1021=1),$C$696,IF(Assumptions!$I$64=1,MAX(I694,Assumptions!$G$64)+Assumptions!$F$64+$C$695,Assumptions!$E$64))+I808*IF(OR(I809=1,H1022=1),$C$696,IF(Assumptions!$I$65=1,MAX(I694,Assumptions!$G$65)+Assumptions!$F$65+$C$695,Assumptions!$E$65))+I821*IF(OR(I822=1,H1023=1),$C$696,IF(Assumptions!$I$66=1,MAX(I694,Assumptions!$G$66)+Assumptions!$F$66+$C$695,Assumptions!$E$66))</f>
        <v>188.9240265363</v>
      </c>
      <c r="J701" s="16" t="n">
        <f aca="false">J704*IF(OR(J705=1,I1014=1),$C$696,IF(Assumptions!$I$57=1,MAX(J694,Assumptions!$G$57)+Assumptions!$F$57+$C$695,Assumptions!$E$57))+J717*IF(OR(J718=1,I1015=1),$C$696,IF(Assumptions!$I$58=1,MAX(J694,Assumptions!$G$58)+Assumptions!$F$58+$C$695,Assumptions!$E$58))+J730*IF(OR(J731=1,I1016=1),$C$696,IF(Assumptions!$I$59=1,MAX(J694,Assumptions!$G$59)+Assumptions!$F$59+$C$695,Assumptions!$E$59))+J743*IF(OR(J744=1,I1017=1),$C$696,IF(Assumptions!$I$60=1,MAX(J694,Assumptions!$G$60)+Assumptions!$F$60+$C$695,Assumptions!$E$60))+J756*IF(OR(J757=1,I1018=1),$C$696,IF(Assumptions!$I$61=1,MAX(J694,Assumptions!$G$61)+Assumptions!$F$61+$C$695,Assumptions!$E$61))+J769*IF(OR(J770=1,I1019=1),$C$696,IF(Assumptions!$I$62=1,MAX(J694,Assumptions!$G$62)+Assumptions!$F$62+$C$695,Assumptions!$E$62))+J782*IF(OR(J783=1,I1020=1),$C$696,IF(Assumptions!$I$63=1,MAX(J694,Assumptions!$G$63)+Assumptions!$F$63+$C$695,Assumptions!$E$63))+J795*IF(OR(J796=1,I1021=1),$C$696,IF(Assumptions!$I$64=1,MAX(J694,Assumptions!$G$64)+Assumptions!$F$64+$C$695,Assumptions!$E$64))+J808*IF(OR(J809=1,I1022=1),$C$696,IF(Assumptions!$I$65=1,MAX(J694,Assumptions!$G$65)+Assumptions!$F$65+$C$695,Assumptions!$E$65))+J821*IF(OR(J822=1,I1023=1),$C$696,IF(Assumptions!$I$66=1,MAX(J694,Assumptions!$G$66)+Assumptions!$F$66+$C$695,Assumptions!$E$66))</f>
        <v>201.401526536299</v>
      </c>
      <c r="K701" s="16" t="n">
        <f aca="false">K704*IF(OR(K705=1,J1014=1),$C$696,IF(Assumptions!$I$57=1,MAX(K694,Assumptions!$G$57)+Assumptions!$F$57+$C$695,Assumptions!$E$57))+K717*IF(OR(K718=1,J1015=1),$C$696,IF(Assumptions!$I$58=1,MAX(K694,Assumptions!$G$58)+Assumptions!$F$58+$C$695,Assumptions!$E$58))+K730*IF(OR(K731=1,J1016=1),$C$696,IF(Assumptions!$I$59=1,MAX(K694,Assumptions!$G$59)+Assumptions!$F$59+$C$695,Assumptions!$E$59))+K743*IF(OR(K744=1,J1017=1),$C$696,IF(Assumptions!$I$60=1,MAX(K694,Assumptions!$G$60)+Assumptions!$F$60+$C$695,Assumptions!$E$60))+K756*IF(OR(K757=1,J1018=1),$C$696,IF(Assumptions!$I$61=1,MAX(K694,Assumptions!$G$61)+Assumptions!$F$61+$C$695,Assumptions!$E$61))+K769*IF(OR(K770=1,J1019=1),$C$696,IF(Assumptions!$I$62=1,MAX(K694,Assumptions!$G$62)+Assumptions!$F$62+$C$695,Assumptions!$E$62))+K782*IF(OR(K783=1,J1020=1),$C$696,IF(Assumptions!$I$63=1,MAX(K694,Assumptions!$G$63)+Assumptions!$F$63+$C$695,Assumptions!$E$63))+K795*IF(OR(K796=1,J1021=1),$C$696,IF(Assumptions!$I$64=1,MAX(K694,Assumptions!$G$64)+Assumptions!$F$64+$C$695,Assumptions!$E$64))+K808*IF(OR(K809=1,J1022=1),$C$696,IF(Assumptions!$I$65=1,MAX(K694,Assumptions!$G$65)+Assumptions!$F$65+$C$695,Assumptions!$E$65))+K821*IF(OR(K822=1,J1023=1),$C$696,IF(Assumptions!$I$66=1,MAX(K694,Assumptions!$G$66)+Assumptions!$F$66+$C$695,Assumptions!$E$66))</f>
        <v>192.5815265363</v>
      </c>
    </row>
    <row r="702" customFormat="false" ht="15" hidden="false" customHeight="false" outlineLevel="0" collapsed="false">
      <c r="A702" s="3" t="s">
        <v>327</v>
      </c>
      <c r="G702" s="21" t="n">
        <f aca="false">IF(G678&lt;=0,0,IF(AND((G699-G700)/G678&lt;=$C$697,G678/G701&gt;=$C$698),1,0))</f>
        <v>0</v>
      </c>
      <c r="H702" s="21" t="n">
        <f aca="false">IF(H678&lt;=0,0,IF(AND((H699-H700)/H678&lt;=$C$697,H678/H701&gt;=$C$698),1,0))</f>
        <v>0</v>
      </c>
      <c r="I702" s="21" t="n">
        <f aca="false">IF(I678&lt;=0,0,IF(AND((I699-I700)/I678&lt;=$C$697,I678/I701&gt;=$C$698),1,0))</f>
        <v>0</v>
      </c>
      <c r="J702" s="21" t="n">
        <f aca="false">IF(J678&lt;=0,0,IF(AND((J699-J700)/J678&lt;=$C$697,J678/J701&gt;=$C$698),1,0))</f>
        <v>0</v>
      </c>
      <c r="K702" s="21" t="n">
        <f aca="false">IF(K678&lt;=0,0,IF(AND((K699-K700)/K678&lt;=$C$697,K678/K701&gt;=$C$698),1,0))</f>
        <v>0</v>
      </c>
    </row>
    <row r="703" customFormat="false" ht="15" hidden="false" customHeight="false" outlineLevel="0" collapsed="false">
      <c r="A703" s="24" t="s">
        <v>328</v>
      </c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customFormat="false" ht="15" hidden="false" customHeight="false" outlineLevel="0" collapsed="false">
      <c r="A704" s="3" t="s">
        <v>329</v>
      </c>
      <c r="G704" s="16" t="n">
        <f aca="false">F715</f>
        <v>400</v>
      </c>
      <c r="H704" s="16" t="n">
        <f aca="false">G715</f>
        <v>396</v>
      </c>
      <c r="I704" s="16" t="n">
        <f aca="false">H715</f>
        <v>392</v>
      </c>
      <c r="J704" s="16" t="n">
        <f aca="false">I715</f>
        <v>388</v>
      </c>
      <c r="K704" s="16" t="n">
        <f aca="false">J715</f>
        <v>384</v>
      </c>
    </row>
    <row r="705" customFormat="false" ht="15" hidden="false" customHeight="false" outlineLevel="0" collapsed="false">
      <c r="A705" s="3" t="s">
        <v>330</v>
      </c>
      <c r="G705" s="21" t="n">
        <f aca="false">IF(G668=Assumptions!$K$57,1,0)</f>
        <v>0</v>
      </c>
      <c r="H705" s="21" t="n">
        <f aca="false">IF(H668=Assumptions!$K$57,1,0)</f>
        <v>0</v>
      </c>
      <c r="I705" s="21" t="n">
        <f aca="false">IF(I668=Assumptions!$K$57,1,0)</f>
        <v>0</v>
      </c>
      <c r="J705" s="21" t="n">
        <f aca="false">IF(J668=Assumptions!$K$57,1,0)</f>
        <v>0</v>
      </c>
      <c r="K705" s="21" t="n">
        <f aca="false">IF(K668=Assumptions!$K$57,1,0)</f>
        <v>1</v>
      </c>
    </row>
    <row r="707" customFormat="false" ht="15" hidden="false" customHeight="false" outlineLevel="0" collapsed="false">
      <c r="A707" s="3" t="s">
        <v>331</v>
      </c>
      <c r="G707" s="31" t="n">
        <f aca="false">IF(Assumptions!$I$57=1,MAX(G694,Assumptions!$G$57)+Assumptions!$F$57+$C$695,Assumptions!$E$57)</f>
        <v>0.1065</v>
      </c>
      <c r="H707" s="31" t="n">
        <f aca="false">IF(G1014=1,$C$696,IF(Assumptions!$I$57=1,MAX(H694,Assumptions!$G$57)+Assumptions!$F$57+$C$695,Assumptions!$E$57))</f>
        <v>0.105</v>
      </c>
      <c r="I707" s="31" t="n">
        <f aca="false">IF(H1014=1,$C$696,IF(Assumptions!$I$57=1,MAX(I694,Assumptions!$G$57)+Assumptions!$F$57+$C$695,Assumptions!$E$57))</f>
        <v>0.1025</v>
      </c>
      <c r="J707" s="31" t="n">
        <f aca="false">IF(I1014=1,$C$696,IF(Assumptions!$I$57=1,MAX(J694,Assumptions!$G$57)+Assumptions!$F$57+$C$695,Assumptions!$E$57))</f>
        <v>0.1025</v>
      </c>
      <c r="K707" s="31" t="n">
        <f aca="false">IF(J1014=1,$C$696,IF(Assumptions!$I$57=1,MAX(K694,Assumptions!$G$57)+Assumptions!$F$57+$C$695,Assumptions!$E$57))</f>
        <v>0.1025</v>
      </c>
    </row>
    <row r="708" customFormat="false" ht="15" hidden="false" customHeight="false" outlineLevel="0" collapsed="false">
      <c r="A708" s="3" t="s">
        <v>332</v>
      </c>
      <c r="G708" s="16" t="n">
        <f aca="false">G704*G707</f>
        <v>42.6</v>
      </c>
      <c r="H708" s="16" t="n">
        <f aca="false">H704*H707</f>
        <v>41.58</v>
      </c>
      <c r="I708" s="16" t="n">
        <f aca="false">I704*I707</f>
        <v>40.18</v>
      </c>
      <c r="J708" s="16" t="n">
        <f aca="false">J704*J707</f>
        <v>39.77</v>
      </c>
      <c r="K708" s="16" t="n">
        <f aca="false">K704*K707</f>
        <v>39.36</v>
      </c>
    </row>
    <row r="709" customFormat="false" ht="15" hidden="false" customHeight="false" outlineLevel="0" collapsed="false">
      <c r="A709" s="3" t="s">
        <v>333</v>
      </c>
      <c r="G709" s="16" t="n">
        <f aca="false">G704*Assumptions!$H$57</f>
        <v>0</v>
      </c>
      <c r="H709" s="16" t="n">
        <f aca="false">H704*Assumptions!$H$57</f>
        <v>0</v>
      </c>
      <c r="I709" s="16" t="n">
        <f aca="false">I704*Assumptions!$H$57</f>
        <v>0</v>
      </c>
      <c r="J709" s="16" t="n">
        <f aca="false">J704*Assumptions!$H$57</f>
        <v>0</v>
      </c>
      <c r="K709" s="16" t="n">
        <f aca="false">K704*Assumptions!$H$57</f>
        <v>0</v>
      </c>
    </row>
    <row r="710" customFormat="false" ht="15" hidden="false" customHeight="false" outlineLevel="0" collapsed="false">
      <c r="A710" s="3" t="s">
        <v>334</v>
      </c>
      <c r="G710" s="16" t="n">
        <f aca="false">MIN(G704,Assumptions!$L$57*Assumptions!$C$57)</f>
        <v>4</v>
      </c>
      <c r="H710" s="16" t="n">
        <f aca="false">MIN(H704,Assumptions!$L$57*Assumptions!$C$57)</f>
        <v>4</v>
      </c>
      <c r="I710" s="16" t="n">
        <f aca="false">MIN(I704,Assumptions!$L$57*Assumptions!$C$57)</f>
        <v>4</v>
      </c>
      <c r="J710" s="16" t="n">
        <f aca="false">MIN(J704,Assumptions!$L$57*Assumptions!$C$57)</f>
        <v>4</v>
      </c>
      <c r="K710" s="16" t="n">
        <f aca="false">MIN(K704,Assumptions!$L$57*Assumptions!$C$57)</f>
        <v>4</v>
      </c>
    </row>
    <row r="711" customFormat="false" ht="15" hidden="false" customHeight="false" outlineLevel="0" collapsed="false">
      <c r="A711" s="3" t="s">
        <v>335</v>
      </c>
      <c r="G711" s="16" t="n">
        <f aca="false">IF(AND(Assumptions!$P$57=1,G668&lt;Assumptions!$K$57),MIN(MAX(0,-G884),MAX(0,Assumptions!$D$57-G704)),0)</f>
        <v>0</v>
      </c>
      <c r="H711" s="16" t="n">
        <f aca="false">IF(AND(Assumptions!$P$57=1,OR(H668&lt;Assumptions!$K$57,G1014=1)),MIN(MAX(0,-H884),MAX(0,Assumptions!$D$57-H704)),0)</f>
        <v>0</v>
      </c>
      <c r="I711" s="16" t="n">
        <f aca="false">IF(AND(Assumptions!$P$57=1,OR(I668&lt;Assumptions!$K$57,H1014=1)),MIN(MAX(0,-I884),MAX(0,Assumptions!$D$57-I704)),0)</f>
        <v>0</v>
      </c>
      <c r="J711" s="16" t="n">
        <f aca="false">IF(AND(Assumptions!$P$57=1,OR(J668&lt;Assumptions!$K$57,I1014=1)),MIN(MAX(0,-J884),MAX(0,Assumptions!$D$57-J704)),0)</f>
        <v>0</v>
      </c>
      <c r="K711" s="16" t="n">
        <f aca="false">IF(AND(Assumptions!$P$57=1,OR(K668&lt;Assumptions!$K$57,J1014=1)),MIN(MAX(0,-K884),MAX(0,Assumptions!$D$57-K704)),0)</f>
        <v>0</v>
      </c>
    </row>
    <row r="712" customFormat="false" ht="15" hidden="false" customHeight="false" outlineLevel="0" collapsed="false">
      <c r="A712" s="3" t="s">
        <v>336</v>
      </c>
      <c r="G712" s="16" t="n">
        <f aca="false">G705*MIN(G704-G710+G709,MAX(0,G886-Assumptions!$C$12*G702))</f>
        <v>0</v>
      </c>
      <c r="H712" s="16" t="n">
        <f aca="false">H705*MIN(H704-H710+H709,MAX(0,H886-Assumptions!$C$12*H702))</f>
        <v>0</v>
      </c>
      <c r="I712" s="16" t="n">
        <f aca="false">I705*MIN(I704-I710+I709,MAX(0,I886-Assumptions!$C$12*I702))</f>
        <v>0</v>
      </c>
      <c r="J712" s="16" t="n">
        <f aca="false">J705*MIN(J704-J710+J709,MAX(0,J886-Assumptions!$C$12*J702))</f>
        <v>0</v>
      </c>
      <c r="K712" s="16" t="n">
        <f aca="false">K705*MIN(K704-K710+K709,MAX(0,K886-Assumptions!$C$12*K702))</f>
        <v>0</v>
      </c>
    </row>
    <row r="713" customFormat="false" ht="15" hidden="false" customHeight="false" outlineLevel="0" collapsed="false">
      <c r="A713" s="3" t="s">
        <v>337</v>
      </c>
      <c r="G713" s="16" t="n">
        <f aca="false">Assumptions!$N$57*MIN(G704+G711+G709-G710-G712,MAX(0,G890))</f>
        <v>0</v>
      </c>
      <c r="H713" s="16" t="n">
        <f aca="false">Assumptions!$N$57*MIN(H704+H711+H709-H710-H712,MAX(0,H890))</f>
        <v>0</v>
      </c>
      <c r="I713" s="16" t="n">
        <f aca="false">Assumptions!$N$57*MIN(I704+I711+I709-I710-I712,MAX(0,I890))</f>
        <v>0</v>
      </c>
      <c r="J713" s="16" t="n">
        <f aca="false">Assumptions!$N$57*MIN(J704+J711+J709-J710-J712,MAX(0,J890))</f>
        <v>0</v>
      </c>
      <c r="K713" s="16" t="n">
        <f aca="false">Assumptions!$N$57*MIN(K704+K711+K709-K710-K712,MAX(0,K890))</f>
        <v>0</v>
      </c>
    </row>
    <row r="714" customFormat="false" ht="15" hidden="false" customHeight="false" outlineLevel="0" collapsed="false">
      <c r="A714" s="3" t="s">
        <v>338</v>
      </c>
      <c r="G714" s="16" t="n">
        <f aca="false">G705*(1-G702)*(G704-G710+G709-G712)</f>
        <v>0</v>
      </c>
      <c r="H714" s="16" t="n">
        <f aca="false">H705*(1-H702)*(H704-H710+H709-H712)</f>
        <v>0</v>
      </c>
      <c r="I714" s="16" t="n">
        <f aca="false">I705*(1-I702)*(I704-I710+I709-I712)</f>
        <v>0</v>
      </c>
      <c r="J714" s="16" t="n">
        <f aca="false">J705*(1-J702)*(J704-J710+J709-J712)</f>
        <v>0</v>
      </c>
      <c r="K714" s="16" t="n">
        <f aca="false">K705*(1-K702)*(K704-K710+K709-K712)</f>
        <v>380</v>
      </c>
    </row>
    <row r="715" customFormat="false" ht="15" hidden="false" customHeight="false" outlineLevel="0" collapsed="false">
      <c r="A715" s="2" t="s">
        <v>339</v>
      </c>
      <c r="F715" s="28" t="n">
        <f aca="false">Assumptions!$C$57</f>
        <v>400</v>
      </c>
      <c r="G715" s="17" t="n">
        <f aca="false">G704+G711+G709-G710-G712-G713</f>
        <v>396</v>
      </c>
      <c r="H715" s="17" t="n">
        <f aca="false">H704+H711+H709-H710-H712-H713</f>
        <v>392</v>
      </c>
      <c r="I715" s="17" t="n">
        <f aca="false">I704+I711+I709-I710-I712-I713</f>
        <v>388</v>
      </c>
      <c r="J715" s="17" t="n">
        <f aca="false">J704+J711+J709-J710-J712-J713</f>
        <v>384</v>
      </c>
      <c r="K715" s="17" t="n">
        <f aca="false">K704+K711+K709-K710-K712-K713</f>
        <v>380</v>
      </c>
    </row>
    <row r="716" customFormat="false" ht="15" hidden="false" customHeight="false" outlineLevel="0" collapsed="false">
      <c r="A716" s="24" t="s">
        <v>340</v>
      </c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customFormat="false" ht="15" hidden="false" customHeight="false" outlineLevel="0" collapsed="false">
      <c r="A717" s="3" t="s">
        <v>329</v>
      </c>
      <c r="G717" s="16" t="n">
        <f aca="false">F728</f>
        <v>90</v>
      </c>
      <c r="H717" s="16" t="n">
        <f aca="false">G728</f>
        <v>90</v>
      </c>
      <c r="I717" s="16" t="n">
        <f aca="false">H728</f>
        <v>90</v>
      </c>
      <c r="J717" s="16" t="n">
        <f aca="false">I728</f>
        <v>90</v>
      </c>
      <c r="K717" s="16" t="n">
        <f aca="false">J728</f>
        <v>90</v>
      </c>
    </row>
    <row r="718" customFormat="false" ht="15" hidden="false" customHeight="false" outlineLevel="0" collapsed="false">
      <c r="A718" s="3" t="s">
        <v>330</v>
      </c>
      <c r="G718" s="21" t="n">
        <f aca="false">IF(G668=Assumptions!$K$58,1,0)</f>
        <v>0</v>
      </c>
      <c r="H718" s="21" t="n">
        <f aca="false">IF(H668=Assumptions!$K$58,1,0)</f>
        <v>0</v>
      </c>
      <c r="I718" s="21" t="n">
        <f aca="false">IF(I668=Assumptions!$K$58,1,0)</f>
        <v>0</v>
      </c>
      <c r="J718" s="21" t="n">
        <f aca="false">IF(J668=Assumptions!$K$58,1,0)</f>
        <v>0</v>
      </c>
      <c r="K718" s="21" t="n">
        <f aca="false">IF(K668=Assumptions!$K$58,1,0)</f>
        <v>0</v>
      </c>
    </row>
    <row r="720" customFormat="false" ht="15" hidden="false" customHeight="false" outlineLevel="0" collapsed="false">
      <c r="A720" s="3" t="s">
        <v>331</v>
      </c>
      <c r="G720" s="31" t="n">
        <f aca="false">IF(Assumptions!$I$58=1,MAX(G694,Assumptions!$G$58)+Assumptions!$F$58+$C$695,Assumptions!$E$58)</f>
        <v>0.0581</v>
      </c>
      <c r="H720" s="31" t="n">
        <f aca="false">IF(G1015=1,$C$696,IF(Assumptions!$I$58=1,MAX(H694,Assumptions!$G$58)+Assumptions!$F$58+$C$695,Assumptions!$E$58))</f>
        <v>0.0581</v>
      </c>
      <c r="I720" s="31" t="n">
        <f aca="false">IF(H1015=1,$C$696,IF(Assumptions!$I$58=1,MAX(I694,Assumptions!$G$58)+Assumptions!$F$58+$C$695,Assumptions!$E$58))</f>
        <v>0.0581</v>
      </c>
      <c r="J720" s="31" t="n">
        <f aca="false">IF(I1015=1,$C$696,IF(Assumptions!$I$58=1,MAX(J694,Assumptions!$G$58)+Assumptions!$F$58+$C$695,Assumptions!$E$58))</f>
        <v>0.0581</v>
      </c>
      <c r="K720" s="31" t="n">
        <f aca="false">IF(J1015=1,$C$696,IF(Assumptions!$I$58=1,MAX(K694,Assumptions!$G$58)+Assumptions!$F$58+$C$695,Assumptions!$E$58))</f>
        <v>0.0581</v>
      </c>
    </row>
    <row r="721" customFormat="false" ht="15" hidden="false" customHeight="false" outlineLevel="0" collapsed="false">
      <c r="A721" s="3" t="s">
        <v>332</v>
      </c>
      <c r="G721" s="16" t="n">
        <f aca="false">G717*G720</f>
        <v>5.229</v>
      </c>
      <c r="H721" s="16" t="n">
        <f aca="false">H717*H720</f>
        <v>5.229</v>
      </c>
      <c r="I721" s="16" t="n">
        <f aca="false">I717*I720</f>
        <v>5.229</v>
      </c>
      <c r="J721" s="16" t="n">
        <f aca="false">J717*J720</f>
        <v>5.229</v>
      </c>
      <c r="K721" s="16" t="n">
        <f aca="false">K717*K720</f>
        <v>5.229</v>
      </c>
    </row>
    <row r="722" customFormat="false" ht="15" hidden="false" customHeight="false" outlineLevel="0" collapsed="false">
      <c r="A722" s="3" t="s">
        <v>333</v>
      </c>
      <c r="G722" s="16" t="n">
        <f aca="false">G717*Assumptions!$H$58</f>
        <v>0</v>
      </c>
      <c r="H722" s="16" t="n">
        <f aca="false">H717*Assumptions!$H$58</f>
        <v>0</v>
      </c>
      <c r="I722" s="16" t="n">
        <f aca="false">I717*Assumptions!$H$58</f>
        <v>0</v>
      </c>
      <c r="J722" s="16" t="n">
        <f aca="false">J717*Assumptions!$H$58</f>
        <v>0</v>
      </c>
      <c r="K722" s="16" t="n">
        <f aca="false">K717*Assumptions!$H$58</f>
        <v>0</v>
      </c>
    </row>
    <row r="723" customFormat="false" ht="15" hidden="false" customHeight="false" outlineLevel="0" collapsed="false">
      <c r="A723" s="3" t="s">
        <v>334</v>
      </c>
      <c r="G723" s="16" t="n">
        <f aca="false">MIN(G717,Assumptions!$L$58*Assumptions!$C$58)</f>
        <v>0</v>
      </c>
      <c r="H723" s="16" t="n">
        <f aca="false">MIN(H717,Assumptions!$L$58*Assumptions!$C$58)</f>
        <v>0</v>
      </c>
      <c r="I723" s="16" t="n">
        <f aca="false">MIN(I717,Assumptions!$L$58*Assumptions!$C$58)</f>
        <v>0</v>
      </c>
      <c r="J723" s="16" t="n">
        <f aca="false">MIN(J717,Assumptions!$L$58*Assumptions!$C$58)</f>
        <v>0</v>
      </c>
      <c r="K723" s="16" t="n">
        <f aca="false">MIN(K717,Assumptions!$L$58*Assumptions!$C$58)</f>
        <v>0</v>
      </c>
    </row>
    <row r="724" customFormat="false" ht="15" hidden="false" customHeight="false" outlineLevel="0" collapsed="false">
      <c r="A724" s="3" t="s">
        <v>335</v>
      </c>
      <c r="G724" s="16" t="n">
        <f aca="false">IF(AND(Assumptions!$P$58=1,G668&lt;Assumptions!$K$58),MIN(MAX(0,-G884),MAX(0,Assumptions!$D$58-G717)),0)</f>
        <v>0</v>
      </c>
      <c r="H724" s="16" t="n">
        <f aca="false">IF(AND(Assumptions!$P$58=1,OR(H668&lt;Assumptions!$K$58,G1015=1)),MIN(MAX(0,-H884),MAX(0,Assumptions!$D$58-H717)),0)</f>
        <v>0</v>
      </c>
      <c r="I724" s="16" t="n">
        <f aca="false">IF(AND(Assumptions!$P$58=1,OR(I668&lt;Assumptions!$K$58,H1015=1)),MIN(MAX(0,-I884),MAX(0,Assumptions!$D$58-I717)),0)</f>
        <v>0</v>
      </c>
      <c r="J724" s="16" t="n">
        <f aca="false">IF(AND(Assumptions!$P$58=1,OR(J668&lt;Assumptions!$K$58,I1015=1)),MIN(MAX(0,-J884),MAX(0,Assumptions!$D$58-J717)),0)</f>
        <v>0</v>
      </c>
      <c r="K724" s="16" t="n">
        <f aca="false">IF(AND(Assumptions!$P$58=1,OR(K668&lt;Assumptions!$K$58,J1015=1)),MIN(MAX(0,-K884),MAX(0,Assumptions!$D$58-K717)),0)</f>
        <v>0</v>
      </c>
    </row>
    <row r="725" customFormat="false" ht="15" hidden="false" customHeight="false" outlineLevel="0" collapsed="false">
      <c r="A725" s="3" t="s">
        <v>336</v>
      </c>
      <c r="G725" s="16" t="n">
        <f aca="false">G718*MIN(G717-G723+G722,MAX(0,G886-Assumptions!$C$12*G702-G712))</f>
        <v>0</v>
      </c>
      <c r="H725" s="16" t="n">
        <f aca="false">H718*MIN(H717-H723+H722,MAX(0,H886-Assumptions!$C$12*H702-H712))</f>
        <v>0</v>
      </c>
      <c r="I725" s="16" t="n">
        <f aca="false">I718*MIN(I717-I723+I722,MAX(0,I886-Assumptions!$C$12*I702-I712))</f>
        <v>0</v>
      </c>
      <c r="J725" s="16" t="n">
        <f aca="false">J718*MIN(J717-J723+J722,MAX(0,J886-Assumptions!$C$12*J702-J712))</f>
        <v>0</v>
      </c>
      <c r="K725" s="16" t="n">
        <f aca="false">K718*MIN(K717-K723+K722,MAX(0,K886-Assumptions!$C$12*K702-K712))</f>
        <v>0</v>
      </c>
    </row>
    <row r="726" customFormat="false" ht="15" hidden="false" customHeight="false" outlineLevel="0" collapsed="false">
      <c r="A726" s="3" t="s">
        <v>337</v>
      </c>
      <c r="G726" s="16" t="n">
        <f aca="false">Assumptions!$N$58*MIN(G717+G724+G722-G723-G725,MAX(0,G890-G713))</f>
        <v>0</v>
      </c>
      <c r="H726" s="16" t="n">
        <f aca="false">Assumptions!$N$58*MIN(H717+H724+H722-H723-H725,MAX(0,H890-H713))</f>
        <v>0</v>
      </c>
      <c r="I726" s="16" t="n">
        <f aca="false">Assumptions!$N$58*MIN(I717+I724+I722-I723-I725,MAX(0,I890-I713))</f>
        <v>0</v>
      </c>
      <c r="J726" s="16" t="n">
        <f aca="false">Assumptions!$N$58*MIN(J717+J724+J722-J723-J725,MAX(0,J890-J713))</f>
        <v>0</v>
      </c>
      <c r="K726" s="16" t="n">
        <f aca="false">Assumptions!$N$58*MIN(K717+K724+K722-K723-K725,MAX(0,K890-K713))</f>
        <v>0</v>
      </c>
    </row>
    <row r="727" customFormat="false" ht="15" hidden="false" customHeight="false" outlineLevel="0" collapsed="false">
      <c r="A727" s="3" t="s">
        <v>338</v>
      </c>
      <c r="G727" s="16" t="n">
        <f aca="false">G718*(1-G702)*(G717-G723+G722-G725)</f>
        <v>0</v>
      </c>
      <c r="H727" s="16" t="n">
        <f aca="false">H718*(1-H702)*(H717-H723+H722-H725)</f>
        <v>0</v>
      </c>
      <c r="I727" s="16" t="n">
        <f aca="false">I718*(1-I702)*(I717-I723+I722-I725)</f>
        <v>0</v>
      </c>
      <c r="J727" s="16" t="n">
        <f aca="false">J718*(1-J702)*(J717-J723+J722-J725)</f>
        <v>0</v>
      </c>
      <c r="K727" s="16" t="n">
        <f aca="false">K718*(1-K702)*(K717-K723+K722-K725)</f>
        <v>0</v>
      </c>
    </row>
    <row r="728" customFormat="false" ht="15" hidden="false" customHeight="false" outlineLevel="0" collapsed="false">
      <c r="A728" s="2" t="s">
        <v>339</v>
      </c>
      <c r="F728" s="28" t="n">
        <f aca="false">Assumptions!$C$58</f>
        <v>90</v>
      </c>
      <c r="G728" s="17" t="n">
        <f aca="false">G717+G724+G722-G723-G725-G726</f>
        <v>90</v>
      </c>
      <c r="H728" s="17" t="n">
        <f aca="false">H717+H724+H722-H723-H725-H726</f>
        <v>90</v>
      </c>
      <c r="I728" s="17" t="n">
        <f aca="false">I717+I724+I722-I723-I725-I726</f>
        <v>90</v>
      </c>
      <c r="J728" s="17" t="n">
        <f aca="false">J717+J724+J722-J723-J725-J726</f>
        <v>90</v>
      </c>
      <c r="K728" s="17" t="n">
        <f aca="false">K717+K724+K722-K723-K725-K726</f>
        <v>90</v>
      </c>
    </row>
    <row r="729" customFormat="false" ht="15" hidden="false" customHeight="false" outlineLevel="0" collapsed="false">
      <c r="A729" s="24" t="s">
        <v>341</v>
      </c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customFormat="false" ht="15" hidden="false" customHeight="false" outlineLevel="0" collapsed="false">
      <c r="A730" s="3" t="s">
        <v>329</v>
      </c>
      <c r="G730" s="16" t="n">
        <f aca="false">F741</f>
        <v>57.324</v>
      </c>
      <c r="H730" s="16" t="n">
        <f aca="false">G741</f>
        <v>57.324</v>
      </c>
      <c r="I730" s="16" t="n">
        <f aca="false">H741</f>
        <v>57.324</v>
      </c>
      <c r="J730" s="16" t="n">
        <f aca="false">I741</f>
        <v>57.324</v>
      </c>
      <c r="K730" s="16" t="n">
        <f aca="false">J741</f>
        <v>57.324</v>
      </c>
    </row>
    <row r="731" customFormat="false" ht="15" hidden="false" customHeight="false" outlineLevel="0" collapsed="false">
      <c r="A731" s="3" t="s">
        <v>330</v>
      </c>
      <c r="G731" s="21" t="n">
        <f aca="false">IF(G668=Assumptions!$K$59,1,0)</f>
        <v>0</v>
      </c>
      <c r="H731" s="21" t="n">
        <f aca="false">IF(H668=Assumptions!$K$59,1,0)</f>
        <v>0</v>
      </c>
      <c r="I731" s="21" t="n">
        <f aca="false">IF(I668=Assumptions!$K$59,1,0)</f>
        <v>0</v>
      </c>
      <c r="J731" s="21" t="n">
        <f aca="false">IF(J668=Assumptions!$K$59,1,0)</f>
        <v>0</v>
      </c>
      <c r="K731" s="21" t="n">
        <f aca="false">IF(K668=Assumptions!$K$59,1,0)</f>
        <v>0</v>
      </c>
    </row>
    <row r="733" customFormat="false" ht="15" hidden="false" customHeight="false" outlineLevel="0" collapsed="false">
      <c r="A733" s="3" t="s">
        <v>331</v>
      </c>
      <c r="G733" s="31" t="n">
        <f aca="false">IF(Assumptions!$I$59=1,MAX(G694,Assumptions!$G$59)+Assumptions!$F$59+$C$695,Assumptions!$E$59)</f>
        <v>0.0731</v>
      </c>
      <c r="H733" s="31" t="n">
        <f aca="false">IF(G1016=1,$C$696,IF(Assumptions!$I$59=1,MAX(H694,Assumptions!$G$59)+Assumptions!$F$59+$C$695,Assumptions!$E$59))</f>
        <v>0.0731</v>
      </c>
      <c r="I733" s="31" t="n">
        <f aca="false">IF(H1016=1,$C$696,IF(Assumptions!$I$59=1,MAX(I694,Assumptions!$G$59)+Assumptions!$F$59+$C$695,Assumptions!$E$59))</f>
        <v>0.0731</v>
      </c>
      <c r="J733" s="31" t="n">
        <f aca="false">IF(I1016=1,$C$696,IF(Assumptions!$I$59=1,MAX(J694,Assumptions!$G$59)+Assumptions!$F$59+$C$695,Assumptions!$E$59))</f>
        <v>0.0731</v>
      </c>
      <c r="K733" s="31" t="n">
        <f aca="false">IF(J1016=1,$C$696,IF(Assumptions!$I$59=1,MAX(K694,Assumptions!$G$59)+Assumptions!$F$59+$C$695,Assumptions!$E$59))</f>
        <v>0.0731</v>
      </c>
    </row>
    <row r="734" customFormat="false" ht="15" hidden="false" customHeight="false" outlineLevel="0" collapsed="false">
      <c r="A734" s="3" t="s">
        <v>332</v>
      </c>
      <c r="G734" s="16" t="n">
        <f aca="false">G730*G733</f>
        <v>4.1903844</v>
      </c>
      <c r="H734" s="16" t="n">
        <f aca="false">H730*H733</f>
        <v>4.1903844</v>
      </c>
      <c r="I734" s="16" t="n">
        <f aca="false">I730*I733</f>
        <v>4.1903844</v>
      </c>
      <c r="J734" s="16" t="n">
        <f aca="false">J730*J733</f>
        <v>4.1903844</v>
      </c>
      <c r="K734" s="16" t="n">
        <f aca="false">K730*K733</f>
        <v>4.1903844</v>
      </c>
    </row>
    <row r="735" customFormat="false" ht="15" hidden="false" customHeight="false" outlineLevel="0" collapsed="false">
      <c r="A735" s="3" t="s">
        <v>333</v>
      </c>
      <c r="G735" s="16" t="n">
        <f aca="false">G730*Assumptions!$H$59</f>
        <v>0</v>
      </c>
      <c r="H735" s="16" t="n">
        <f aca="false">H730*Assumptions!$H$59</f>
        <v>0</v>
      </c>
      <c r="I735" s="16" t="n">
        <f aca="false">I730*Assumptions!$H$59</f>
        <v>0</v>
      </c>
      <c r="J735" s="16" t="n">
        <f aca="false">J730*Assumptions!$H$59</f>
        <v>0</v>
      </c>
      <c r="K735" s="16" t="n">
        <f aca="false">K730*Assumptions!$H$59</f>
        <v>0</v>
      </c>
    </row>
    <row r="736" customFormat="false" ht="15" hidden="false" customHeight="false" outlineLevel="0" collapsed="false">
      <c r="A736" s="3" t="s">
        <v>334</v>
      </c>
      <c r="G736" s="16" t="n">
        <f aca="false">MIN(G730,Assumptions!$L$59*Assumptions!$C$59)</f>
        <v>0</v>
      </c>
      <c r="H736" s="16" t="n">
        <f aca="false">MIN(H730,Assumptions!$L$59*Assumptions!$C$59)</f>
        <v>0</v>
      </c>
      <c r="I736" s="16" t="n">
        <f aca="false">MIN(I730,Assumptions!$L$59*Assumptions!$C$59)</f>
        <v>0</v>
      </c>
      <c r="J736" s="16" t="n">
        <f aca="false">MIN(J730,Assumptions!$L$59*Assumptions!$C$59)</f>
        <v>0</v>
      </c>
      <c r="K736" s="16" t="n">
        <f aca="false">MIN(K730,Assumptions!$L$59*Assumptions!$C$59)</f>
        <v>0</v>
      </c>
    </row>
    <row r="737" customFormat="false" ht="15" hidden="false" customHeight="false" outlineLevel="0" collapsed="false">
      <c r="A737" s="3" t="s">
        <v>335</v>
      </c>
      <c r="G737" s="16" t="n">
        <f aca="false">IF(AND(Assumptions!$P$59=1,G668&lt;Assumptions!$K$59),MIN(MAX(0,-G884),MAX(0,Assumptions!$D$59-G730)),0)</f>
        <v>0</v>
      </c>
      <c r="H737" s="16" t="n">
        <f aca="false">IF(AND(Assumptions!$P$59=1,OR(H668&lt;Assumptions!$K$59,G1016=1)),MIN(MAX(0,-H884),MAX(0,Assumptions!$D$59-H730)),0)</f>
        <v>0</v>
      </c>
      <c r="I737" s="16" t="n">
        <f aca="false">IF(AND(Assumptions!$P$59=1,OR(I668&lt;Assumptions!$K$59,H1016=1)),MIN(MAX(0,-I884),MAX(0,Assumptions!$D$59-I730)),0)</f>
        <v>0</v>
      </c>
      <c r="J737" s="16" t="n">
        <f aca="false">IF(AND(Assumptions!$P$59=1,OR(J668&lt;Assumptions!$K$59,I1016=1)),MIN(MAX(0,-J884),MAX(0,Assumptions!$D$59-J730)),0)</f>
        <v>0</v>
      </c>
      <c r="K737" s="16" t="n">
        <f aca="false">IF(AND(Assumptions!$P$59=1,OR(K668&lt;Assumptions!$K$59,J1016=1)),MIN(MAX(0,-K884),MAX(0,Assumptions!$D$59-K730)),0)</f>
        <v>0</v>
      </c>
    </row>
    <row r="738" customFormat="false" ht="15" hidden="false" customHeight="false" outlineLevel="0" collapsed="false">
      <c r="A738" s="3" t="s">
        <v>336</v>
      </c>
      <c r="G738" s="16" t="n">
        <f aca="false">G731*MIN(G730-G736+G735,MAX(0,G886-Assumptions!$C$12*G702-G712-G725))</f>
        <v>0</v>
      </c>
      <c r="H738" s="16" t="n">
        <f aca="false">H731*MIN(H730-H736+H735,MAX(0,H886-Assumptions!$C$12*H702-H712-H725))</f>
        <v>0</v>
      </c>
      <c r="I738" s="16" t="n">
        <f aca="false">I731*MIN(I730-I736+I735,MAX(0,I886-Assumptions!$C$12*I702-I712-I725))</f>
        <v>0</v>
      </c>
      <c r="J738" s="16" t="n">
        <f aca="false">J731*MIN(J730-J736+J735,MAX(0,J886-Assumptions!$C$12*J702-J712-J725))</f>
        <v>0</v>
      </c>
      <c r="K738" s="16" t="n">
        <f aca="false">K731*MIN(K730-K736+K735,MAX(0,K886-Assumptions!$C$12*K702-K712-K725))</f>
        <v>0</v>
      </c>
    </row>
    <row r="739" customFormat="false" ht="15" hidden="false" customHeight="false" outlineLevel="0" collapsed="false">
      <c r="A739" s="3" t="s">
        <v>337</v>
      </c>
      <c r="G739" s="16" t="n">
        <f aca="false">Assumptions!$N$59*MIN(G730+G737+G735-G736-G738,MAX(0,G890-G713-G726))</f>
        <v>0</v>
      </c>
      <c r="H739" s="16" t="n">
        <f aca="false">Assumptions!$N$59*MIN(H730+H737+H735-H736-H738,MAX(0,H890-H713-H726))</f>
        <v>0</v>
      </c>
      <c r="I739" s="16" t="n">
        <f aca="false">Assumptions!$N$59*MIN(I730+I737+I735-I736-I738,MAX(0,I890-I713-I726))</f>
        <v>0</v>
      </c>
      <c r="J739" s="16" t="n">
        <f aca="false">Assumptions!$N$59*MIN(J730+J737+J735-J736-J738,MAX(0,J890-J713-J726))</f>
        <v>0</v>
      </c>
      <c r="K739" s="16" t="n">
        <f aca="false">Assumptions!$N$59*MIN(K730+K737+K735-K736-K738,MAX(0,K890-K713-K726))</f>
        <v>0</v>
      </c>
    </row>
    <row r="740" customFormat="false" ht="15" hidden="false" customHeight="false" outlineLevel="0" collapsed="false">
      <c r="A740" s="3" t="s">
        <v>338</v>
      </c>
      <c r="G740" s="16" t="n">
        <f aca="false">G731*(1-G702)*(G730-G736+G735-G738)</f>
        <v>0</v>
      </c>
      <c r="H740" s="16" t="n">
        <f aca="false">H731*(1-H702)*(H730-H736+H735-H738)</f>
        <v>0</v>
      </c>
      <c r="I740" s="16" t="n">
        <f aca="false">I731*(1-I702)*(I730-I736+I735-I738)</f>
        <v>0</v>
      </c>
      <c r="J740" s="16" t="n">
        <f aca="false">J731*(1-J702)*(J730-J736+J735-J738)</f>
        <v>0</v>
      </c>
      <c r="K740" s="16" t="n">
        <f aca="false">K731*(1-K702)*(K730-K736+K735-K738)</f>
        <v>0</v>
      </c>
    </row>
    <row r="741" customFormat="false" ht="15" hidden="false" customHeight="false" outlineLevel="0" collapsed="false">
      <c r="A741" s="2" t="s">
        <v>339</v>
      </c>
      <c r="F741" s="28" t="n">
        <f aca="false">Assumptions!$C$59</f>
        <v>57.324</v>
      </c>
      <c r="G741" s="17" t="n">
        <f aca="false">G730+G737+G735-G736-G738-G739</f>
        <v>57.324</v>
      </c>
      <c r="H741" s="17" t="n">
        <f aca="false">H730+H737+H735-H736-H738-H739</f>
        <v>57.324</v>
      </c>
      <c r="I741" s="17" t="n">
        <f aca="false">I730+I737+I735-I736-I738-I739</f>
        <v>57.324</v>
      </c>
      <c r="J741" s="17" t="n">
        <f aca="false">J730+J737+J735-J736-J738-J739</f>
        <v>57.324</v>
      </c>
      <c r="K741" s="17" t="n">
        <f aca="false">K730+K737+K735-K736-K738-K739</f>
        <v>57.324</v>
      </c>
    </row>
    <row r="742" customFormat="false" ht="15" hidden="false" customHeight="false" outlineLevel="0" collapsed="false">
      <c r="A742" s="24" t="s">
        <v>342</v>
      </c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customFormat="false" ht="15" hidden="false" customHeight="false" outlineLevel="0" collapsed="false">
      <c r="A743" s="3" t="s">
        <v>329</v>
      </c>
      <c r="G743" s="16" t="n">
        <f aca="false">F754</f>
        <v>0</v>
      </c>
      <c r="H743" s="16" t="n">
        <f aca="false">G754</f>
        <v>0</v>
      </c>
      <c r="I743" s="16" t="n">
        <f aca="false">H754</f>
        <v>0</v>
      </c>
      <c r="J743" s="16" t="n">
        <f aca="false">I754</f>
        <v>0</v>
      </c>
      <c r="K743" s="16" t="n">
        <f aca="false">J754</f>
        <v>0</v>
      </c>
    </row>
    <row r="744" customFormat="false" ht="15" hidden="false" customHeight="false" outlineLevel="0" collapsed="false">
      <c r="A744" s="3" t="s">
        <v>330</v>
      </c>
      <c r="G744" s="21" t="n">
        <f aca="false">IF(G668=Assumptions!$K$60,1,0)</f>
        <v>1</v>
      </c>
      <c r="H744" s="21" t="n">
        <f aca="false">IF(H668=Assumptions!$K$60,1,0)</f>
        <v>0</v>
      </c>
      <c r="I744" s="21" t="n">
        <f aca="false">IF(I668=Assumptions!$K$60,1,0)</f>
        <v>0</v>
      </c>
      <c r="J744" s="21" t="n">
        <f aca="false">IF(J668=Assumptions!$K$60,1,0)</f>
        <v>0</v>
      </c>
      <c r="K744" s="21" t="n">
        <f aca="false">IF(K668=Assumptions!$K$60,1,0)</f>
        <v>0</v>
      </c>
    </row>
    <row r="746" customFormat="false" ht="15" hidden="false" customHeight="false" outlineLevel="0" collapsed="false">
      <c r="A746" s="3" t="s">
        <v>331</v>
      </c>
      <c r="G746" s="31" t="n">
        <f aca="false">IF(Assumptions!$I$60=1,MAX(G694,Assumptions!$G$60)+Assumptions!$F$60+$C$695,Assumptions!$E$60)</f>
        <v>0.069</v>
      </c>
      <c r="H746" s="31" t="n">
        <f aca="false">IF(G1017=1,$C$696,IF(Assumptions!$I$60=1,MAX(H694,Assumptions!$G$60)+Assumptions!$F$60+$C$695,Assumptions!$E$60))</f>
        <v>0.0675</v>
      </c>
      <c r="I746" s="31" t="n">
        <f aca="false">IF(H1017=1,$C$696,IF(Assumptions!$I$60=1,MAX(I694,Assumptions!$G$60)+Assumptions!$F$60+$C$695,Assumptions!$E$60))</f>
        <v>0.065</v>
      </c>
      <c r="J746" s="31" t="n">
        <f aca="false">IF(I1017=1,$C$696,IF(Assumptions!$I$60=1,MAX(J694,Assumptions!$G$60)+Assumptions!$F$60+$C$695,Assumptions!$E$60))</f>
        <v>0.065</v>
      </c>
      <c r="K746" s="31" t="n">
        <f aca="false">IF(J1017=1,$C$696,IF(Assumptions!$I$60=1,MAX(K694,Assumptions!$G$60)+Assumptions!$F$60+$C$695,Assumptions!$E$60))</f>
        <v>0.065</v>
      </c>
    </row>
    <row r="747" customFormat="false" ht="15" hidden="false" customHeight="false" outlineLevel="0" collapsed="false">
      <c r="A747" s="3" t="s">
        <v>332</v>
      </c>
      <c r="G747" s="16" t="n">
        <f aca="false">G743*G746</f>
        <v>0</v>
      </c>
      <c r="H747" s="16" t="n">
        <f aca="false">H743*H746</f>
        <v>0</v>
      </c>
      <c r="I747" s="16" t="n">
        <f aca="false">I743*I746</f>
        <v>0</v>
      </c>
      <c r="J747" s="16" t="n">
        <f aca="false">J743*J746</f>
        <v>0</v>
      </c>
      <c r="K747" s="16" t="n">
        <f aca="false">K743*K746</f>
        <v>0</v>
      </c>
    </row>
    <row r="748" customFormat="false" ht="15" hidden="false" customHeight="false" outlineLevel="0" collapsed="false">
      <c r="A748" s="3" t="s">
        <v>333</v>
      </c>
      <c r="G748" s="16" t="n">
        <f aca="false">G743*Assumptions!$H$60</f>
        <v>0</v>
      </c>
      <c r="H748" s="16" t="n">
        <f aca="false">H743*Assumptions!$H$60</f>
        <v>0</v>
      </c>
      <c r="I748" s="16" t="n">
        <f aca="false">I743*Assumptions!$H$60</f>
        <v>0</v>
      </c>
      <c r="J748" s="16" t="n">
        <f aca="false">J743*Assumptions!$H$60</f>
        <v>0</v>
      </c>
      <c r="K748" s="16" t="n">
        <f aca="false">K743*Assumptions!$H$60</f>
        <v>0</v>
      </c>
    </row>
    <row r="749" customFormat="false" ht="15" hidden="false" customHeight="false" outlineLevel="0" collapsed="false">
      <c r="A749" s="3" t="s">
        <v>334</v>
      </c>
      <c r="G749" s="16" t="n">
        <f aca="false">MIN(G743,Assumptions!$L$60*Assumptions!$C$60)</f>
        <v>0</v>
      </c>
      <c r="H749" s="16" t="n">
        <f aca="false">MIN(H743,Assumptions!$L$60*Assumptions!$C$60)</f>
        <v>0</v>
      </c>
      <c r="I749" s="16" t="n">
        <f aca="false">MIN(I743,Assumptions!$L$60*Assumptions!$C$60)</f>
        <v>0</v>
      </c>
      <c r="J749" s="16" t="n">
        <f aca="false">MIN(J743,Assumptions!$L$60*Assumptions!$C$60)</f>
        <v>0</v>
      </c>
      <c r="K749" s="16" t="n">
        <f aca="false">MIN(K743,Assumptions!$L$60*Assumptions!$C$60)</f>
        <v>0</v>
      </c>
    </row>
    <row r="750" customFormat="false" ht="15" hidden="false" customHeight="false" outlineLevel="0" collapsed="false">
      <c r="A750" s="3" t="s">
        <v>335</v>
      </c>
      <c r="G750" s="16" t="n">
        <f aca="false">IF(AND(Assumptions!$P$60=1,G668&lt;Assumptions!$K$60),MIN(MAX(0,-G884),MAX(0,Assumptions!$D$60-G743)),0)</f>
        <v>0</v>
      </c>
      <c r="H750" s="16" t="n">
        <f aca="false">IF(AND(Assumptions!$P$60=1,OR(H668&lt;Assumptions!$K$60,G1017=1)),MIN(MAX(0,-H884),MAX(0,Assumptions!$D$60-H743)),0)</f>
        <v>0</v>
      </c>
      <c r="I750" s="16" t="n">
        <f aca="false">IF(AND(Assumptions!$P$60=1,OR(I668&lt;Assumptions!$K$60,H1017=1)),MIN(MAX(0,-I884),MAX(0,Assumptions!$D$60-I743)),0)</f>
        <v>0</v>
      </c>
      <c r="J750" s="16" t="n">
        <f aca="false">IF(AND(Assumptions!$P$60=1,OR(J668&lt;Assumptions!$K$60,I1017=1)),MIN(MAX(0,-J884),MAX(0,Assumptions!$D$60-J743)),0)</f>
        <v>0</v>
      </c>
      <c r="K750" s="16" t="n">
        <f aca="false">IF(AND(Assumptions!$P$60=1,OR(K668&lt;Assumptions!$K$60,J1017=1)),MIN(MAX(0,-K884),MAX(0,Assumptions!$D$60-K743)),0)</f>
        <v>0</v>
      </c>
    </row>
    <row r="751" customFormat="false" ht="15" hidden="false" customHeight="false" outlineLevel="0" collapsed="false">
      <c r="A751" s="3" t="s">
        <v>336</v>
      </c>
      <c r="G751" s="16" t="n">
        <f aca="false">G744*MIN(G743-G749+G748,MAX(0,G886-Assumptions!$C$12*G702-G712-G725-G738))</f>
        <v>0</v>
      </c>
      <c r="H751" s="16" t="n">
        <f aca="false">H744*MIN(H743-H749+H748,MAX(0,H886-Assumptions!$C$12*H702-H712-H725-H738))</f>
        <v>0</v>
      </c>
      <c r="I751" s="16" t="n">
        <f aca="false">I744*MIN(I743-I749+I748,MAX(0,I886-Assumptions!$C$12*I702-I712-I725-I738))</f>
        <v>0</v>
      </c>
      <c r="J751" s="16" t="n">
        <f aca="false">J744*MIN(J743-J749+J748,MAX(0,J886-Assumptions!$C$12*J702-J712-J725-J738))</f>
        <v>0</v>
      </c>
      <c r="K751" s="16" t="n">
        <f aca="false">K744*MIN(K743-K749+K748,MAX(0,K886-Assumptions!$C$12*K702-K712-K725-K738))</f>
        <v>0</v>
      </c>
    </row>
    <row r="752" customFormat="false" ht="15" hidden="false" customHeight="false" outlineLevel="0" collapsed="false">
      <c r="A752" s="3" t="s">
        <v>337</v>
      </c>
      <c r="G752" s="16" t="n">
        <f aca="false">Assumptions!$N$60*MIN(G743+G750+G748-G749-G751,MAX(0,G890-G713-G726-G739))</f>
        <v>0</v>
      </c>
      <c r="H752" s="16" t="n">
        <f aca="false">Assumptions!$N$60*MIN(H743+H750+H748-H749-H751,MAX(0,H890-H713-H726-H739))</f>
        <v>0</v>
      </c>
      <c r="I752" s="16" t="n">
        <f aca="false">Assumptions!$N$60*MIN(I743+I750+I748-I749-I751,MAX(0,I890-I713-I726-I739))</f>
        <v>0</v>
      </c>
      <c r="J752" s="16" t="n">
        <f aca="false">Assumptions!$N$60*MIN(J743+J750+J748-J749-J751,MAX(0,J890-J713-J726-J739))</f>
        <v>0</v>
      </c>
      <c r="K752" s="16" t="n">
        <f aca="false">Assumptions!$N$60*MIN(K743+K750+K748-K749-K751,MAX(0,K890-K713-K726-K739))</f>
        <v>0</v>
      </c>
    </row>
    <row r="753" customFormat="false" ht="15" hidden="false" customHeight="false" outlineLevel="0" collapsed="false">
      <c r="A753" s="3" t="s">
        <v>338</v>
      </c>
      <c r="G753" s="16" t="n">
        <f aca="false">G744*(1-G702)*(G743-G749+G748-G751)</f>
        <v>0</v>
      </c>
      <c r="H753" s="16" t="n">
        <f aca="false">H744*(1-H702)*(H743-H749+H748-H751)</f>
        <v>0</v>
      </c>
      <c r="I753" s="16" t="n">
        <f aca="false">I744*(1-I702)*(I743-I749+I748-I751)</f>
        <v>0</v>
      </c>
      <c r="J753" s="16" t="n">
        <f aca="false">J744*(1-J702)*(J743-J749+J748-J751)</f>
        <v>0</v>
      </c>
      <c r="K753" s="16" t="n">
        <f aca="false">K744*(1-K702)*(K743-K749+K748-K751)</f>
        <v>0</v>
      </c>
    </row>
    <row r="754" customFormat="false" ht="15" hidden="false" customHeight="false" outlineLevel="0" collapsed="false">
      <c r="A754" s="2" t="s">
        <v>339</v>
      </c>
      <c r="F754" s="28" t="n">
        <f aca="false">Assumptions!$C$60</f>
        <v>0</v>
      </c>
      <c r="G754" s="17" t="n">
        <f aca="false">G743+G750+G748-G749-G751-G752</f>
        <v>0</v>
      </c>
      <c r="H754" s="17" t="n">
        <f aca="false">H743+H750+H748-H749-H751-H752</f>
        <v>0</v>
      </c>
      <c r="I754" s="17" t="n">
        <f aca="false">I743+I750+I748-I749-I751-I752</f>
        <v>0</v>
      </c>
      <c r="J754" s="17" t="n">
        <f aca="false">J743+J750+J748-J749-J751-J752</f>
        <v>0</v>
      </c>
      <c r="K754" s="17" t="n">
        <f aca="false">K743+K750+K748-K749-K751-K752</f>
        <v>0</v>
      </c>
    </row>
    <row r="755" customFormat="false" ht="15" hidden="false" customHeight="false" outlineLevel="0" collapsed="false">
      <c r="A755" s="24" t="s">
        <v>343</v>
      </c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customFormat="false" ht="15" hidden="false" customHeight="false" outlineLevel="0" collapsed="false">
      <c r="A756" s="3" t="s">
        <v>329</v>
      </c>
      <c r="G756" s="16" t="n">
        <f aca="false">F767</f>
        <v>450</v>
      </c>
      <c r="H756" s="16" t="n">
        <f aca="false">G767</f>
        <v>450</v>
      </c>
      <c r="I756" s="16" t="n">
        <f aca="false">H767</f>
        <v>401.446357881</v>
      </c>
      <c r="J756" s="16" t="n">
        <f aca="false">I767</f>
        <v>401.446357881</v>
      </c>
      <c r="K756" s="16" t="n">
        <f aca="false">J767</f>
        <v>401.446357881</v>
      </c>
    </row>
    <row r="757" customFormat="false" ht="15" hidden="false" customHeight="false" outlineLevel="0" collapsed="false">
      <c r="A757" s="3" t="s">
        <v>330</v>
      </c>
      <c r="G757" s="21" t="n">
        <f aca="false">IF(G668=Assumptions!$K$61,1,0)</f>
        <v>0</v>
      </c>
      <c r="H757" s="21" t="n">
        <f aca="false">IF(H668=Assumptions!$K$61,1,0)</f>
        <v>1</v>
      </c>
      <c r="I757" s="21" t="n">
        <f aca="false">IF(I668=Assumptions!$K$61,1,0)</f>
        <v>0</v>
      </c>
      <c r="J757" s="21" t="n">
        <f aca="false">IF(J668=Assumptions!$K$61,1,0)</f>
        <v>0</v>
      </c>
      <c r="K757" s="21" t="n">
        <f aca="false">IF(K668=Assumptions!$K$61,1,0)</f>
        <v>0</v>
      </c>
    </row>
    <row r="759" customFormat="false" ht="15" hidden="false" customHeight="false" outlineLevel="0" collapsed="false">
      <c r="A759" s="3" t="s">
        <v>331</v>
      </c>
      <c r="G759" s="31" t="n">
        <f aca="false">IF(Assumptions!$I$61=1,MAX(G694,Assumptions!$G$61)+Assumptions!$F$61+$C$695,Assumptions!$E$61)</f>
        <v>0.0395</v>
      </c>
      <c r="H759" s="31" t="n">
        <f aca="false">IF(G1018=1,$C$696,IF(Assumptions!$I$61=1,MAX(H694,Assumptions!$G$61)+Assumptions!$F$61+$C$695,Assumptions!$E$61))</f>
        <v>0.0395</v>
      </c>
      <c r="I759" s="31" t="n">
        <f aca="false">IF(H1018=1,$C$696,IF(Assumptions!$I$61=1,MAX(I694,Assumptions!$G$61)+Assumptions!$F$61+$C$695,Assumptions!$E$61))</f>
        <v>0.0395</v>
      </c>
      <c r="J759" s="31" t="n">
        <f aca="false">IF(I1018=1,$C$696,IF(Assumptions!$I$61=1,MAX(J694,Assumptions!$G$61)+Assumptions!$F$61+$C$695,Assumptions!$E$61))</f>
        <v>0.0395</v>
      </c>
      <c r="K759" s="31" t="n">
        <f aca="false">IF(J1018=1,$C$696,IF(Assumptions!$I$61=1,MAX(K694,Assumptions!$G$61)+Assumptions!$F$61+$C$695,Assumptions!$E$61))</f>
        <v>0.0395</v>
      </c>
    </row>
    <row r="760" customFormat="false" ht="15" hidden="false" customHeight="false" outlineLevel="0" collapsed="false">
      <c r="A760" s="3" t="s">
        <v>332</v>
      </c>
      <c r="G760" s="16" t="n">
        <f aca="false">G756*G759</f>
        <v>17.775</v>
      </c>
      <c r="H760" s="16" t="n">
        <f aca="false">H756*H759</f>
        <v>17.775</v>
      </c>
      <c r="I760" s="16" t="n">
        <f aca="false">I756*I759</f>
        <v>15.8571311362995</v>
      </c>
      <c r="J760" s="16" t="n">
        <f aca="false">J756*J759</f>
        <v>15.8571311362995</v>
      </c>
      <c r="K760" s="16" t="n">
        <f aca="false">K756*K759</f>
        <v>15.8571311362995</v>
      </c>
    </row>
    <row r="761" customFormat="false" ht="15" hidden="false" customHeight="false" outlineLevel="0" collapsed="false">
      <c r="A761" s="3" t="s">
        <v>333</v>
      </c>
      <c r="G761" s="16" t="n">
        <f aca="false">G756*Assumptions!$H$61</f>
        <v>0</v>
      </c>
      <c r="H761" s="16" t="n">
        <f aca="false">H756*Assumptions!$H$61</f>
        <v>0</v>
      </c>
      <c r="I761" s="16" t="n">
        <f aca="false">I756*Assumptions!$H$61</f>
        <v>0</v>
      </c>
      <c r="J761" s="16" t="n">
        <f aca="false">J756*Assumptions!$H$61</f>
        <v>0</v>
      </c>
      <c r="K761" s="16" t="n">
        <f aca="false">K756*Assumptions!$H$61</f>
        <v>0</v>
      </c>
    </row>
    <row r="762" customFormat="false" ht="15" hidden="false" customHeight="false" outlineLevel="0" collapsed="false">
      <c r="A762" s="3" t="s">
        <v>334</v>
      </c>
      <c r="G762" s="16" t="n">
        <f aca="false">MIN(G756,Assumptions!$L$61*Assumptions!$C$61)</f>
        <v>0</v>
      </c>
      <c r="H762" s="16" t="n">
        <f aca="false">MIN(H756,Assumptions!$L$61*Assumptions!$C$61)</f>
        <v>0</v>
      </c>
      <c r="I762" s="16" t="n">
        <f aca="false">MIN(I756,Assumptions!$L$61*Assumptions!$C$61)</f>
        <v>0</v>
      </c>
      <c r="J762" s="16" t="n">
        <f aca="false">MIN(J756,Assumptions!$L$61*Assumptions!$C$61)</f>
        <v>0</v>
      </c>
      <c r="K762" s="16" t="n">
        <f aca="false">MIN(K756,Assumptions!$L$61*Assumptions!$C$61)</f>
        <v>0</v>
      </c>
    </row>
    <row r="763" customFormat="false" ht="15" hidden="false" customHeight="false" outlineLevel="0" collapsed="false">
      <c r="A763" s="3" t="s">
        <v>335</v>
      </c>
      <c r="G763" s="16" t="n">
        <f aca="false">IF(AND(Assumptions!$P$61=1,G668&lt;Assumptions!$K$61),MIN(MAX(0,-G884),MAX(0,Assumptions!$D$61-G756)),0)</f>
        <v>0</v>
      </c>
      <c r="H763" s="16" t="n">
        <f aca="false">IF(AND(Assumptions!$P$61=1,OR(H668&lt;Assumptions!$K$61,G1018=1)),MIN(MAX(0,-H884),MAX(0,Assumptions!$D$61-H756)),0)</f>
        <v>0</v>
      </c>
      <c r="I763" s="16" t="n">
        <f aca="false">IF(AND(Assumptions!$P$61=1,OR(I668&lt;Assumptions!$K$61,H1018=1)),MIN(MAX(0,-I884),MAX(0,Assumptions!$D$61-I756)),0)</f>
        <v>0</v>
      </c>
      <c r="J763" s="16" t="n">
        <f aca="false">IF(AND(Assumptions!$P$61=1,OR(J668&lt;Assumptions!$K$61,I1018=1)),MIN(MAX(0,-J884),MAX(0,Assumptions!$D$61-J756)),0)</f>
        <v>0</v>
      </c>
      <c r="K763" s="16" t="n">
        <f aca="false">IF(AND(Assumptions!$P$61=1,OR(K668&lt;Assumptions!$K$61,J1018=1)),MIN(MAX(0,-K884),MAX(0,Assumptions!$D$61-K756)),0)</f>
        <v>0</v>
      </c>
    </row>
    <row r="764" customFormat="false" ht="15" hidden="false" customHeight="false" outlineLevel="0" collapsed="false">
      <c r="A764" s="3" t="s">
        <v>336</v>
      </c>
      <c r="G764" s="16" t="n">
        <f aca="false">G757*MIN(G756-G762+G761,MAX(0,G886-Assumptions!$C$12*G702-G712-G725-G738-G751))</f>
        <v>0</v>
      </c>
      <c r="H764" s="16" t="n">
        <f aca="false">H757*MIN(H756-H762+H761,MAX(0,H886-Assumptions!$C$12*H702-H712-H725-H738-H751))</f>
        <v>48.553642119</v>
      </c>
      <c r="I764" s="16" t="n">
        <f aca="false">I757*MIN(I756-I762+I761,MAX(0,I886-Assumptions!$C$12*I702-I712-I725-I738-I751))</f>
        <v>0</v>
      </c>
      <c r="J764" s="16" t="n">
        <f aca="false">J757*MIN(J756-J762+J761,MAX(0,J886-Assumptions!$C$12*J702-J712-J725-J738-J751))</f>
        <v>0</v>
      </c>
      <c r="K764" s="16" t="n">
        <f aca="false">K757*MIN(K756-K762+K761,MAX(0,K886-Assumptions!$C$12*K702-K712-K725-K738-K751))</f>
        <v>0</v>
      </c>
    </row>
    <row r="765" customFormat="false" ht="15" hidden="false" customHeight="false" outlineLevel="0" collapsed="false">
      <c r="A765" s="3" t="s">
        <v>337</v>
      </c>
      <c r="G765" s="16" t="n">
        <f aca="false">Assumptions!$N$61*MIN(G756+G763+G761-G762-G764,MAX(0,G890-G713-G726-G739-G752))</f>
        <v>0</v>
      </c>
      <c r="H765" s="16" t="n">
        <f aca="false">Assumptions!$N$61*MIN(H756+H763+H761-H762-H764,MAX(0,H890-H713-H726-H739-H752))</f>
        <v>0</v>
      </c>
      <c r="I765" s="16" t="n">
        <f aca="false">Assumptions!$N$61*MIN(I756+I763+I761-I762-I764,MAX(0,I890-I713-I726-I739-I752))</f>
        <v>0</v>
      </c>
      <c r="J765" s="16" t="n">
        <f aca="false">Assumptions!$N$61*MIN(J756+J763+J761-J762-J764,MAX(0,J890-J713-J726-J739-J752))</f>
        <v>0</v>
      </c>
      <c r="K765" s="16" t="n">
        <f aca="false">Assumptions!$N$61*MIN(K756+K763+K761-K762-K764,MAX(0,K890-K713-K726-K739-K752))</f>
        <v>0</v>
      </c>
    </row>
    <row r="766" customFormat="false" ht="15" hidden="false" customHeight="false" outlineLevel="0" collapsed="false">
      <c r="A766" s="3" t="s">
        <v>338</v>
      </c>
      <c r="G766" s="16" t="n">
        <f aca="false">G757*(1-G702)*(G756-G762+G761-G764)</f>
        <v>0</v>
      </c>
      <c r="H766" s="16" t="n">
        <f aca="false">H757*(1-H702)*(H756-H762+H761-H764)</f>
        <v>401.446357881</v>
      </c>
      <c r="I766" s="16" t="n">
        <f aca="false">I757*(1-I702)*(I756-I762+I761-I764)</f>
        <v>0</v>
      </c>
      <c r="J766" s="16" t="n">
        <f aca="false">J757*(1-J702)*(J756-J762+J761-J764)</f>
        <v>0</v>
      </c>
      <c r="K766" s="16" t="n">
        <f aca="false">K757*(1-K702)*(K756-K762+K761-K764)</f>
        <v>0</v>
      </c>
    </row>
    <row r="767" customFormat="false" ht="15" hidden="false" customHeight="false" outlineLevel="0" collapsed="false">
      <c r="A767" s="2" t="s">
        <v>339</v>
      </c>
      <c r="F767" s="28" t="n">
        <f aca="false">Assumptions!$C$61</f>
        <v>450</v>
      </c>
      <c r="G767" s="17" t="n">
        <f aca="false">G756+G763+G761-G762-G764-G765</f>
        <v>450</v>
      </c>
      <c r="H767" s="17" t="n">
        <f aca="false">H756+H763+H761-H762-H764-H765</f>
        <v>401.446357881</v>
      </c>
      <c r="I767" s="17" t="n">
        <f aca="false">I756+I763+I761-I762-I764-I765</f>
        <v>401.446357881</v>
      </c>
      <c r="J767" s="17" t="n">
        <f aca="false">J756+J763+J761-J762-J764-J765</f>
        <v>401.446357881</v>
      </c>
      <c r="K767" s="17" t="n">
        <f aca="false">K756+K763+K761-K762-K764-K765</f>
        <v>401.446357881</v>
      </c>
    </row>
    <row r="768" customFormat="false" ht="15" hidden="false" customHeight="false" outlineLevel="0" collapsed="false">
      <c r="A768" s="24" t="s">
        <v>344</v>
      </c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customFormat="false" ht="15" hidden="false" customHeight="false" outlineLevel="0" collapsed="false">
      <c r="A769" s="3" t="s">
        <v>329</v>
      </c>
      <c r="G769" s="16" t="n">
        <f aca="false">F780</f>
        <v>350</v>
      </c>
      <c r="H769" s="16" t="n">
        <f aca="false">G780</f>
        <v>350</v>
      </c>
      <c r="I769" s="16" t="n">
        <f aca="false">H780</f>
        <v>350</v>
      </c>
      <c r="J769" s="16" t="n">
        <f aca="false">I780</f>
        <v>350</v>
      </c>
      <c r="K769" s="16" t="n">
        <f aca="false">J780</f>
        <v>350</v>
      </c>
    </row>
    <row r="770" customFormat="false" ht="15" hidden="false" customHeight="false" outlineLevel="0" collapsed="false">
      <c r="A770" s="3" t="s">
        <v>330</v>
      </c>
      <c r="G770" s="21" t="n">
        <f aca="false">IF(G668=Assumptions!$K$62,1,0)</f>
        <v>0</v>
      </c>
      <c r="H770" s="21" t="n">
        <f aca="false">IF(H668=Assumptions!$K$62,1,0)</f>
        <v>1</v>
      </c>
      <c r="I770" s="21" t="n">
        <f aca="false">IF(I668=Assumptions!$K$62,1,0)</f>
        <v>0</v>
      </c>
      <c r="J770" s="21" t="n">
        <f aca="false">IF(J668=Assumptions!$K$62,1,0)</f>
        <v>0</v>
      </c>
      <c r="K770" s="21" t="n">
        <f aca="false">IF(K668=Assumptions!$K$62,1,0)</f>
        <v>0</v>
      </c>
    </row>
    <row r="772" customFormat="false" ht="15" hidden="false" customHeight="false" outlineLevel="0" collapsed="false">
      <c r="A772" s="3" t="s">
        <v>331</v>
      </c>
      <c r="G772" s="31" t="n">
        <f aca="false">IF(Assumptions!$I$62=1,MAX(G694,Assumptions!$G$62)+Assumptions!$F$62+$C$695,Assumptions!$E$62)</f>
        <v>0.083</v>
      </c>
      <c r="H772" s="31" t="n">
        <f aca="false">IF(G1019=1,$C$696,IF(Assumptions!$I$62=1,MAX(H694,Assumptions!$G$62)+Assumptions!$F$62+$C$695,Assumptions!$E$62))</f>
        <v>0.083</v>
      </c>
      <c r="I772" s="31" t="n">
        <f aca="false">IF(H1019=1,$C$696,IF(Assumptions!$I$62=1,MAX(I694,Assumptions!$G$62)+Assumptions!$F$62+$C$695,Assumptions!$E$62))</f>
        <v>0.083</v>
      </c>
      <c r="J772" s="31" t="n">
        <f aca="false">IF(I1019=1,$C$696,IF(Assumptions!$I$62=1,MAX(J694,Assumptions!$G$62)+Assumptions!$F$62+$C$695,Assumptions!$E$62))</f>
        <v>0.083</v>
      </c>
      <c r="K772" s="31" t="n">
        <f aca="false">IF(J1019=1,$C$696,IF(Assumptions!$I$62=1,MAX(K694,Assumptions!$G$62)+Assumptions!$F$62+$C$695,Assumptions!$E$62))</f>
        <v>0.083</v>
      </c>
    </row>
    <row r="773" customFormat="false" ht="15" hidden="false" customHeight="false" outlineLevel="0" collapsed="false">
      <c r="A773" s="3" t="s">
        <v>332</v>
      </c>
      <c r="G773" s="16" t="n">
        <f aca="false">G769*G772</f>
        <v>29.05</v>
      </c>
      <c r="H773" s="16" t="n">
        <f aca="false">H769*H772</f>
        <v>29.05</v>
      </c>
      <c r="I773" s="16" t="n">
        <f aca="false">I769*I772</f>
        <v>29.05</v>
      </c>
      <c r="J773" s="16" t="n">
        <f aca="false">J769*J772</f>
        <v>29.05</v>
      </c>
      <c r="K773" s="16" t="n">
        <f aca="false">K769*K772</f>
        <v>29.05</v>
      </c>
    </row>
    <row r="774" customFormat="false" ht="15" hidden="false" customHeight="false" outlineLevel="0" collapsed="false">
      <c r="A774" s="3" t="s">
        <v>333</v>
      </c>
      <c r="G774" s="16" t="n">
        <f aca="false">G769*Assumptions!$H$62</f>
        <v>0</v>
      </c>
      <c r="H774" s="16" t="n">
        <f aca="false">H769*Assumptions!$H$62</f>
        <v>0</v>
      </c>
      <c r="I774" s="16" t="n">
        <f aca="false">I769*Assumptions!$H$62</f>
        <v>0</v>
      </c>
      <c r="J774" s="16" t="n">
        <f aca="false">J769*Assumptions!$H$62</f>
        <v>0</v>
      </c>
      <c r="K774" s="16" t="n">
        <f aca="false">K769*Assumptions!$H$62</f>
        <v>0</v>
      </c>
    </row>
    <row r="775" customFormat="false" ht="15" hidden="false" customHeight="false" outlineLevel="0" collapsed="false">
      <c r="A775" s="3" t="s">
        <v>334</v>
      </c>
      <c r="G775" s="16" t="n">
        <f aca="false">MIN(G769,Assumptions!$L$62*Assumptions!$C$62)</f>
        <v>0</v>
      </c>
      <c r="H775" s="16" t="n">
        <f aca="false">MIN(H769,Assumptions!$L$62*Assumptions!$C$62)</f>
        <v>0</v>
      </c>
      <c r="I775" s="16" t="n">
        <f aca="false">MIN(I769,Assumptions!$L$62*Assumptions!$C$62)</f>
        <v>0</v>
      </c>
      <c r="J775" s="16" t="n">
        <f aca="false">MIN(J769,Assumptions!$L$62*Assumptions!$C$62)</f>
        <v>0</v>
      </c>
      <c r="K775" s="16" t="n">
        <f aca="false">MIN(K769,Assumptions!$L$62*Assumptions!$C$62)</f>
        <v>0</v>
      </c>
    </row>
    <row r="776" customFormat="false" ht="15" hidden="false" customHeight="false" outlineLevel="0" collapsed="false">
      <c r="A776" s="3" t="s">
        <v>335</v>
      </c>
      <c r="G776" s="16" t="n">
        <f aca="false">IF(AND(Assumptions!$P$62=1,G668&lt;Assumptions!$K$62),MIN(MAX(0,-G884),MAX(0,Assumptions!$D$62-G769)),0)</f>
        <v>0</v>
      </c>
      <c r="H776" s="16" t="n">
        <f aca="false">IF(AND(Assumptions!$P$62=1,OR(H668&lt;Assumptions!$K$62,G1019=1)),MIN(MAX(0,-H884),MAX(0,Assumptions!$D$62-H769)),0)</f>
        <v>0</v>
      </c>
      <c r="I776" s="16" t="n">
        <f aca="false">IF(AND(Assumptions!$P$62=1,OR(I668&lt;Assumptions!$K$62,H1019=1)),MIN(MAX(0,-I884),MAX(0,Assumptions!$D$62-I769)),0)</f>
        <v>0</v>
      </c>
      <c r="J776" s="16" t="n">
        <f aca="false">IF(AND(Assumptions!$P$62=1,OR(J668&lt;Assumptions!$K$62,I1019=1)),MIN(MAX(0,-J884),MAX(0,Assumptions!$D$62-J769)),0)</f>
        <v>0</v>
      </c>
      <c r="K776" s="16" t="n">
        <f aca="false">IF(AND(Assumptions!$P$62=1,OR(K668&lt;Assumptions!$K$62,J1019=1)),MIN(MAX(0,-K884),MAX(0,Assumptions!$D$62-K769)),0)</f>
        <v>0</v>
      </c>
    </row>
    <row r="777" customFormat="false" ht="15" hidden="false" customHeight="false" outlineLevel="0" collapsed="false">
      <c r="A777" s="3" t="s">
        <v>336</v>
      </c>
      <c r="G777" s="16" t="n">
        <f aca="false">G770*MIN(G769-G775+G774,MAX(0,G886-Assumptions!$C$12*G702-G712-G725-G738-G751-G764))</f>
        <v>0</v>
      </c>
      <c r="H777" s="16" t="n">
        <f aca="false">H770*MIN(H769-H775+H774,MAX(0,H886-Assumptions!$C$12*H702-H712-H725-H738-H751-H764))</f>
        <v>0</v>
      </c>
      <c r="I777" s="16" t="n">
        <f aca="false">I770*MIN(I769-I775+I774,MAX(0,I886-Assumptions!$C$12*I702-I712-I725-I738-I751-I764))</f>
        <v>0</v>
      </c>
      <c r="J777" s="16" t="n">
        <f aca="false">J770*MIN(J769-J775+J774,MAX(0,J886-Assumptions!$C$12*J702-J712-J725-J738-J751-J764))</f>
        <v>0</v>
      </c>
      <c r="K777" s="16" t="n">
        <f aca="false">K770*MIN(K769-K775+K774,MAX(0,K886-Assumptions!$C$12*K702-K712-K725-K738-K751-K764))</f>
        <v>0</v>
      </c>
    </row>
    <row r="778" customFormat="false" ht="15" hidden="false" customHeight="false" outlineLevel="0" collapsed="false">
      <c r="A778" s="3" t="s">
        <v>337</v>
      </c>
      <c r="G778" s="16" t="n">
        <f aca="false">Assumptions!$N$62*MIN(G769+G776+G774-G775-G777,MAX(0,G890-G713-G726-G739-G752-G765))</f>
        <v>0</v>
      </c>
      <c r="H778" s="16" t="n">
        <f aca="false">Assumptions!$N$62*MIN(H769+H776+H774-H775-H777,MAX(0,H890-H713-H726-H739-H752-H765))</f>
        <v>0</v>
      </c>
      <c r="I778" s="16" t="n">
        <f aca="false">Assumptions!$N$62*MIN(I769+I776+I774-I775-I777,MAX(0,I890-I713-I726-I739-I752-I765))</f>
        <v>0</v>
      </c>
      <c r="J778" s="16" t="n">
        <f aca="false">Assumptions!$N$62*MIN(J769+J776+J774-J775-J777,MAX(0,J890-J713-J726-J739-J752-J765))</f>
        <v>0</v>
      </c>
      <c r="K778" s="16" t="n">
        <f aca="false">Assumptions!$N$62*MIN(K769+K776+K774-K775-K777,MAX(0,K890-K713-K726-K739-K752-K765))</f>
        <v>0</v>
      </c>
    </row>
    <row r="779" customFormat="false" ht="15" hidden="false" customHeight="false" outlineLevel="0" collapsed="false">
      <c r="A779" s="3" t="s">
        <v>338</v>
      </c>
      <c r="G779" s="16" t="n">
        <f aca="false">G770*(1-G702)*(G769-G775+G774-G777)</f>
        <v>0</v>
      </c>
      <c r="H779" s="16" t="n">
        <f aca="false">H770*(1-H702)*(H769-H775+H774-H777)</f>
        <v>350</v>
      </c>
      <c r="I779" s="16" t="n">
        <f aca="false">I770*(1-I702)*(I769-I775+I774-I777)</f>
        <v>0</v>
      </c>
      <c r="J779" s="16" t="n">
        <f aca="false">J770*(1-J702)*(J769-J775+J774-J777)</f>
        <v>0</v>
      </c>
      <c r="K779" s="16" t="n">
        <f aca="false">K770*(1-K702)*(K769-K775+K774-K777)</f>
        <v>0</v>
      </c>
    </row>
    <row r="780" customFormat="false" ht="15" hidden="false" customHeight="false" outlineLevel="0" collapsed="false">
      <c r="A780" s="2" t="s">
        <v>339</v>
      </c>
      <c r="F780" s="28" t="n">
        <f aca="false">Assumptions!$C$62</f>
        <v>350</v>
      </c>
      <c r="G780" s="17" t="n">
        <f aca="false">G769+G776+G774-G775-G777-G778</f>
        <v>350</v>
      </c>
      <c r="H780" s="17" t="n">
        <f aca="false">H769+H776+H774-H775-H777-H778</f>
        <v>350</v>
      </c>
      <c r="I780" s="17" t="n">
        <f aca="false">I769+I776+I774-I775-I777-I778</f>
        <v>350</v>
      </c>
      <c r="J780" s="17" t="n">
        <f aca="false">J769+J776+J774-J775-J777-J778</f>
        <v>350</v>
      </c>
      <c r="K780" s="17" t="n">
        <f aca="false">K769+K776+K774-K775-K777-K778</f>
        <v>350</v>
      </c>
    </row>
    <row r="781" customFormat="false" ht="15" hidden="false" customHeight="false" outlineLevel="0" collapsed="false">
      <c r="A781" s="24" t="s">
        <v>345</v>
      </c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customFormat="false" ht="15" hidden="false" customHeight="false" outlineLevel="0" collapsed="false">
      <c r="A782" s="3" t="s">
        <v>329</v>
      </c>
      <c r="G782" s="16" t="n">
        <f aca="false">F793</f>
        <v>550</v>
      </c>
      <c r="H782" s="16" t="n">
        <f aca="false">G793</f>
        <v>550</v>
      </c>
      <c r="I782" s="16" t="n">
        <f aca="false">H793</f>
        <v>550</v>
      </c>
      <c r="J782" s="16" t="n">
        <f aca="false">I793</f>
        <v>550</v>
      </c>
      <c r="K782" s="16" t="n">
        <f aca="false">J793</f>
        <v>550</v>
      </c>
    </row>
    <row r="783" customFormat="false" ht="15" hidden="false" customHeight="false" outlineLevel="0" collapsed="false">
      <c r="A783" s="3" t="s">
        <v>330</v>
      </c>
      <c r="G783" s="21" t="n">
        <f aca="false">IF(G668=Assumptions!$K$63,1,0)</f>
        <v>0</v>
      </c>
      <c r="H783" s="21" t="n">
        <f aca="false">IF(H668=Assumptions!$K$63,1,0)</f>
        <v>0</v>
      </c>
      <c r="I783" s="21" t="n">
        <f aca="false">IF(I668=Assumptions!$K$63,1,0)</f>
        <v>1</v>
      </c>
      <c r="J783" s="21" t="n">
        <f aca="false">IF(J668=Assumptions!$K$63,1,0)</f>
        <v>0</v>
      </c>
      <c r="K783" s="21" t="n">
        <f aca="false">IF(K668=Assumptions!$K$63,1,0)</f>
        <v>0</v>
      </c>
    </row>
    <row r="785" customFormat="false" ht="15" hidden="false" customHeight="false" outlineLevel="0" collapsed="false">
      <c r="A785" s="3" t="s">
        <v>331</v>
      </c>
      <c r="G785" s="31" t="n">
        <f aca="false">IF(Assumptions!$I$63=1,MAX(G694,Assumptions!$G$63)+Assumptions!$F$63+$C$695,Assumptions!$E$63)</f>
        <v>0.08875</v>
      </c>
      <c r="H785" s="31" t="n">
        <f aca="false">IF(G1020=1,$C$696,IF(Assumptions!$I$63=1,MAX(H694,Assumptions!$G$63)+Assumptions!$F$63+$C$695,Assumptions!$E$63))</f>
        <v>0.08875</v>
      </c>
      <c r="I785" s="31" t="n">
        <f aca="false">IF(H1020=1,$C$696,IF(Assumptions!$I$63=1,MAX(I694,Assumptions!$G$63)+Assumptions!$F$63+$C$695,Assumptions!$E$63))</f>
        <v>0.08875</v>
      </c>
      <c r="J785" s="31" t="n">
        <f aca="false">IF(I1020=1,$C$696,IF(Assumptions!$I$63=1,MAX(J694,Assumptions!$G$63)+Assumptions!$F$63+$C$695,Assumptions!$E$63))</f>
        <v>0.08875</v>
      </c>
      <c r="K785" s="31" t="n">
        <f aca="false">IF(J1020=1,$C$696,IF(Assumptions!$I$63=1,MAX(K694,Assumptions!$G$63)+Assumptions!$F$63+$C$695,Assumptions!$E$63))</f>
        <v>0.08875</v>
      </c>
    </row>
    <row r="786" customFormat="false" ht="15" hidden="false" customHeight="false" outlineLevel="0" collapsed="false">
      <c r="A786" s="3" t="s">
        <v>332</v>
      </c>
      <c r="G786" s="16" t="n">
        <f aca="false">G782*G785</f>
        <v>48.8125</v>
      </c>
      <c r="H786" s="16" t="n">
        <f aca="false">H782*H785</f>
        <v>48.8125</v>
      </c>
      <c r="I786" s="16" t="n">
        <f aca="false">I782*I785</f>
        <v>48.8125</v>
      </c>
      <c r="J786" s="16" t="n">
        <f aca="false">J782*J785</f>
        <v>48.8125</v>
      </c>
      <c r="K786" s="16" t="n">
        <f aca="false">K782*K785</f>
        <v>48.8125</v>
      </c>
    </row>
    <row r="787" customFormat="false" ht="15" hidden="false" customHeight="false" outlineLevel="0" collapsed="false">
      <c r="A787" s="3" t="s">
        <v>333</v>
      </c>
      <c r="G787" s="16" t="n">
        <f aca="false">G782*Assumptions!$H$63</f>
        <v>0</v>
      </c>
      <c r="H787" s="16" t="n">
        <f aca="false">H782*Assumptions!$H$63</f>
        <v>0</v>
      </c>
      <c r="I787" s="16" t="n">
        <f aca="false">I782*Assumptions!$H$63</f>
        <v>0</v>
      </c>
      <c r="J787" s="16" t="n">
        <f aca="false">J782*Assumptions!$H$63</f>
        <v>0</v>
      </c>
      <c r="K787" s="16" t="n">
        <f aca="false">K782*Assumptions!$H$63</f>
        <v>0</v>
      </c>
    </row>
    <row r="788" customFormat="false" ht="15" hidden="false" customHeight="false" outlineLevel="0" collapsed="false">
      <c r="A788" s="3" t="s">
        <v>334</v>
      </c>
      <c r="G788" s="16" t="n">
        <f aca="false">MIN(G782,Assumptions!$L$63*Assumptions!$C$63)</f>
        <v>0</v>
      </c>
      <c r="H788" s="16" t="n">
        <f aca="false">MIN(H782,Assumptions!$L$63*Assumptions!$C$63)</f>
        <v>0</v>
      </c>
      <c r="I788" s="16" t="n">
        <f aca="false">MIN(I782,Assumptions!$L$63*Assumptions!$C$63)</f>
        <v>0</v>
      </c>
      <c r="J788" s="16" t="n">
        <f aca="false">MIN(J782,Assumptions!$L$63*Assumptions!$C$63)</f>
        <v>0</v>
      </c>
      <c r="K788" s="16" t="n">
        <f aca="false">MIN(K782,Assumptions!$L$63*Assumptions!$C$63)</f>
        <v>0</v>
      </c>
    </row>
    <row r="789" customFormat="false" ht="15" hidden="false" customHeight="false" outlineLevel="0" collapsed="false">
      <c r="A789" s="3" t="s">
        <v>335</v>
      </c>
      <c r="G789" s="16" t="n">
        <f aca="false">IF(AND(Assumptions!$P$63=1,G668&lt;Assumptions!$K$63),MIN(MAX(0,-G884),MAX(0,Assumptions!$D$63-G782)),0)</f>
        <v>0</v>
      </c>
      <c r="H789" s="16" t="n">
        <f aca="false">IF(AND(Assumptions!$P$63=1,OR(H668&lt;Assumptions!$K$63,G1020=1)),MIN(MAX(0,-H884),MAX(0,Assumptions!$D$63-H782)),0)</f>
        <v>0</v>
      </c>
      <c r="I789" s="16" t="n">
        <f aca="false">IF(AND(Assumptions!$P$63=1,OR(I668&lt;Assumptions!$K$63,H1020=1)),MIN(MAX(0,-I884),MAX(0,Assumptions!$D$63-I782)),0)</f>
        <v>0</v>
      </c>
      <c r="J789" s="16" t="n">
        <f aca="false">IF(AND(Assumptions!$P$63=1,OR(J668&lt;Assumptions!$K$63,I1020=1)),MIN(MAX(0,-J884),MAX(0,Assumptions!$D$63-J782)),0)</f>
        <v>0</v>
      </c>
      <c r="K789" s="16" t="n">
        <f aca="false">IF(AND(Assumptions!$P$63=1,OR(K668&lt;Assumptions!$K$63,J1020=1)),MIN(MAX(0,-K884),MAX(0,Assumptions!$D$63-K782)),0)</f>
        <v>0</v>
      </c>
    </row>
    <row r="790" customFormat="false" ht="15" hidden="false" customHeight="false" outlineLevel="0" collapsed="false">
      <c r="A790" s="3" t="s">
        <v>336</v>
      </c>
      <c r="G790" s="16" t="n">
        <f aca="false">G783*MIN(G782-G788+G787,MAX(0,G886-Assumptions!$C$12*G702-G712-G725-G738-G751-G764-G777))</f>
        <v>0</v>
      </c>
      <c r="H790" s="16" t="n">
        <f aca="false">H783*MIN(H782-H788+H787,MAX(0,H886-Assumptions!$C$12*H702-H712-H725-H738-H751-H764-H777))</f>
        <v>0</v>
      </c>
      <c r="I790" s="16" t="n">
        <f aca="false">I783*MIN(I782-I788+I787,MAX(0,I886-Assumptions!$C$12*I702-I712-I725-I738-I751-I764-I777))</f>
        <v>0</v>
      </c>
      <c r="J790" s="16" t="n">
        <f aca="false">J783*MIN(J782-J788+J787,MAX(0,J886-Assumptions!$C$12*J702-J712-J725-J738-J751-J764-J777))</f>
        <v>0</v>
      </c>
      <c r="K790" s="16" t="n">
        <f aca="false">K783*MIN(K782-K788+K787,MAX(0,K886-Assumptions!$C$12*K702-K712-K725-K738-K751-K764-K777))</f>
        <v>0</v>
      </c>
    </row>
    <row r="791" customFormat="false" ht="15" hidden="false" customHeight="false" outlineLevel="0" collapsed="false">
      <c r="A791" s="3" t="s">
        <v>337</v>
      </c>
      <c r="G791" s="16" t="n">
        <f aca="false">Assumptions!$N$63*MIN(G782+G789+G787-G788-G790,MAX(0,G890-G713-G726-G739-G752-G765-G778))</f>
        <v>0</v>
      </c>
      <c r="H791" s="16" t="n">
        <f aca="false">Assumptions!$N$63*MIN(H782+H789+H787-H788-H790,MAX(0,H890-H713-H726-H739-H752-H765-H778))</f>
        <v>0</v>
      </c>
      <c r="I791" s="16" t="n">
        <f aca="false">Assumptions!$N$63*MIN(I782+I789+I787-I788-I790,MAX(0,I890-I713-I726-I739-I752-I765-I778))</f>
        <v>0</v>
      </c>
      <c r="J791" s="16" t="n">
        <f aca="false">Assumptions!$N$63*MIN(J782+J789+J787-J788-J790,MAX(0,J890-J713-J726-J739-J752-J765-J778))</f>
        <v>0</v>
      </c>
      <c r="K791" s="16" t="n">
        <f aca="false">Assumptions!$N$63*MIN(K782+K789+K787-K788-K790,MAX(0,K890-K713-K726-K739-K752-K765-K778))</f>
        <v>0</v>
      </c>
    </row>
    <row r="792" customFormat="false" ht="15" hidden="false" customHeight="false" outlineLevel="0" collapsed="false">
      <c r="A792" s="3" t="s">
        <v>338</v>
      </c>
      <c r="G792" s="16" t="n">
        <f aca="false">G783*(1-G702)*(G782-G788+G787-G790)</f>
        <v>0</v>
      </c>
      <c r="H792" s="16" t="n">
        <f aca="false">H783*(1-H702)*(H782-H788+H787-H790)</f>
        <v>0</v>
      </c>
      <c r="I792" s="16" t="n">
        <f aca="false">I783*(1-I702)*(I782-I788+I787-I790)</f>
        <v>550</v>
      </c>
      <c r="J792" s="16" t="n">
        <f aca="false">J783*(1-J702)*(J782-J788+J787-J790)</f>
        <v>0</v>
      </c>
      <c r="K792" s="16" t="n">
        <f aca="false">K783*(1-K702)*(K782-K788+K787-K790)</f>
        <v>0</v>
      </c>
    </row>
    <row r="793" customFormat="false" ht="15" hidden="false" customHeight="false" outlineLevel="0" collapsed="false">
      <c r="A793" s="2" t="s">
        <v>339</v>
      </c>
      <c r="F793" s="28" t="n">
        <f aca="false">Assumptions!$C$63</f>
        <v>550</v>
      </c>
      <c r="G793" s="17" t="n">
        <f aca="false">G782+G789+G787-G788-G790-G791</f>
        <v>550</v>
      </c>
      <c r="H793" s="17" t="n">
        <f aca="false">H782+H789+H787-H788-H790-H791</f>
        <v>550</v>
      </c>
      <c r="I793" s="17" t="n">
        <f aca="false">I782+I789+I787-I788-I790-I791</f>
        <v>550</v>
      </c>
      <c r="J793" s="17" t="n">
        <f aca="false">J782+J789+J787-J788-J790-J791</f>
        <v>550</v>
      </c>
      <c r="K793" s="17" t="n">
        <f aca="false">K782+K789+K787-K788-K790-K791</f>
        <v>550</v>
      </c>
    </row>
    <row r="794" customFormat="false" ht="15" hidden="false" customHeight="false" outlineLevel="0" collapsed="false">
      <c r="A794" s="24" t="s">
        <v>346</v>
      </c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customFormat="false" ht="15" hidden="false" customHeight="false" outlineLevel="0" collapsed="false">
      <c r="A795" s="3" t="s">
        <v>329</v>
      </c>
      <c r="G795" s="16" t="n">
        <f aca="false">F806</f>
        <v>350</v>
      </c>
      <c r="H795" s="16" t="n">
        <f aca="false">G806</f>
        <v>350</v>
      </c>
      <c r="I795" s="16" t="n">
        <f aca="false">H806</f>
        <v>350</v>
      </c>
      <c r="J795" s="16" t="n">
        <f aca="false">I806</f>
        <v>350</v>
      </c>
      <c r="K795" s="16" t="n">
        <f aca="false">J806</f>
        <v>350</v>
      </c>
    </row>
    <row r="796" customFormat="false" ht="15" hidden="false" customHeight="false" outlineLevel="0" collapsed="false">
      <c r="A796" s="3" t="s">
        <v>330</v>
      </c>
      <c r="G796" s="21" t="n">
        <f aca="false">IF(G668=Assumptions!$K$64,1,0)</f>
        <v>0</v>
      </c>
      <c r="H796" s="21" t="n">
        <f aca="false">IF(H668=Assumptions!$K$64,1,0)</f>
        <v>0</v>
      </c>
      <c r="I796" s="21" t="n">
        <f aca="false">IF(I668=Assumptions!$K$64,1,0)</f>
        <v>0</v>
      </c>
      <c r="J796" s="21" t="n">
        <f aca="false">IF(J668=Assumptions!$K$64,1,0)</f>
        <v>1</v>
      </c>
      <c r="K796" s="21" t="n">
        <f aca="false">IF(K668=Assumptions!$K$64,1,0)</f>
        <v>0</v>
      </c>
    </row>
    <row r="798" customFormat="false" ht="15" hidden="false" customHeight="false" outlineLevel="0" collapsed="false">
      <c r="A798" s="3" t="s">
        <v>331</v>
      </c>
      <c r="G798" s="31" t="n">
        <f aca="false">IF(Assumptions!$I$64=1,MAX(G694,Assumptions!$G$64)+Assumptions!$F$64+$C$695,Assumptions!$E$64)</f>
        <v>0.0455</v>
      </c>
      <c r="H798" s="31" t="n">
        <f aca="false">IF(G1021=1,$C$696,IF(Assumptions!$I$64=1,MAX(H694,Assumptions!$G$64)+Assumptions!$F$64+$C$695,Assumptions!$E$64))</f>
        <v>0.0455</v>
      </c>
      <c r="I798" s="31" t="n">
        <f aca="false">IF(H1021=1,$C$696,IF(Assumptions!$I$64=1,MAX(I694,Assumptions!$G$64)+Assumptions!$F$64+$C$695,Assumptions!$E$64))</f>
        <v>0.0455</v>
      </c>
      <c r="J798" s="31" t="n">
        <f aca="false">IF(I1021=1,$C$696,IF(Assumptions!$I$64=1,MAX(J694,Assumptions!$G$64)+Assumptions!$F$64+$C$695,Assumptions!$E$64))</f>
        <v>0.0455</v>
      </c>
      <c r="K798" s="31" t="n">
        <f aca="false">IF(J1021=1,$C$696,IF(Assumptions!$I$64=1,MAX(K694,Assumptions!$G$64)+Assumptions!$F$64+$C$695,Assumptions!$E$64))</f>
        <v>0.0455</v>
      </c>
    </row>
    <row r="799" customFormat="false" ht="15" hidden="false" customHeight="false" outlineLevel="0" collapsed="false">
      <c r="A799" s="3" t="s">
        <v>332</v>
      </c>
      <c r="G799" s="16" t="n">
        <f aca="false">G795*G798</f>
        <v>15.925</v>
      </c>
      <c r="H799" s="16" t="n">
        <f aca="false">H795*H798</f>
        <v>15.925</v>
      </c>
      <c r="I799" s="16" t="n">
        <f aca="false">I795*I798</f>
        <v>15.925</v>
      </c>
      <c r="J799" s="16" t="n">
        <f aca="false">J795*J798</f>
        <v>15.925</v>
      </c>
      <c r="K799" s="16" t="n">
        <f aca="false">K795*K798</f>
        <v>15.925</v>
      </c>
    </row>
    <row r="800" customFormat="false" ht="15" hidden="false" customHeight="false" outlineLevel="0" collapsed="false">
      <c r="A800" s="3" t="s">
        <v>333</v>
      </c>
      <c r="G800" s="16" t="n">
        <f aca="false">G795*Assumptions!$H$64</f>
        <v>0</v>
      </c>
      <c r="H800" s="16" t="n">
        <f aca="false">H795*Assumptions!$H$64</f>
        <v>0</v>
      </c>
      <c r="I800" s="16" t="n">
        <f aca="false">I795*Assumptions!$H$64</f>
        <v>0</v>
      </c>
      <c r="J800" s="16" t="n">
        <f aca="false">J795*Assumptions!$H$64</f>
        <v>0</v>
      </c>
      <c r="K800" s="16" t="n">
        <f aca="false">K795*Assumptions!$H$64</f>
        <v>0</v>
      </c>
    </row>
    <row r="801" customFormat="false" ht="15" hidden="false" customHeight="false" outlineLevel="0" collapsed="false">
      <c r="A801" s="3" t="s">
        <v>334</v>
      </c>
      <c r="G801" s="16" t="n">
        <f aca="false">MIN(G795,Assumptions!$L$64*Assumptions!$C$64)</f>
        <v>0</v>
      </c>
      <c r="H801" s="16" t="n">
        <f aca="false">MIN(H795,Assumptions!$L$64*Assumptions!$C$64)</f>
        <v>0</v>
      </c>
      <c r="I801" s="16" t="n">
        <f aca="false">MIN(I795,Assumptions!$L$64*Assumptions!$C$64)</f>
        <v>0</v>
      </c>
      <c r="J801" s="16" t="n">
        <f aca="false">MIN(J795,Assumptions!$L$64*Assumptions!$C$64)</f>
        <v>0</v>
      </c>
      <c r="K801" s="16" t="n">
        <f aca="false">MIN(K795,Assumptions!$L$64*Assumptions!$C$64)</f>
        <v>0</v>
      </c>
    </row>
    <row r="802" customFormat="false" ht="15" hidden="false" customHeight="false" outlineLevel="0" collapsed="false">
      <c r="A802" s="3" t="s">
        <v>335</v>
      </c>
      <c r="G802" s="16" t="n">
        <f aca="false">IF(AND(Assumptions!$P$64=1,G668&lt;Assumptions!$K$64),MIN(MAX(0,-G884),MAX(0,Assumptions!$D$64-G795)),0)</f>
        <v>0</v>
      </c>
      <c r="H802" s="16" t="n">
        <f aca="false">IF(AND(Assumptions!$P$64=1,OR(H668&lt;Assumptions!$K$64,G1021=1)),MIN(MAX(0,-H884),MAX(0,Assumptions!$D$64-H795)),0)</f>
        <v>0</v>
      </c>
      <c r="I802" s="16" t="n">
        <f aca="false">IF(AND(Assumptions!$P$64=1,OR(I668&lt;Assumptions!$K$64,H1021=1)),MIN(MAX(0,-I884),MAX(0,Assumptions!$D$64-I795)),0)</f>
        <v>0</v>
      </c>
      <c r="J802" s="16" t="n">
        <f aca="false">IF(AND(Assumptions!$P$64=1,OR(J668&lt;Assumptions!$K$64,I1021=1)),MIN(MAX(0,-J884),MAX(0,Assumptions!$D$64-J795)),0)</f>
        <v>0</v>
      </c>
      <c r="K802" s="16" t="n">
        <f aca="false">IF(AND(Assumptions!$P$64=1,OR(K668&lt;Assumptions!$K$64,J1021=1)),MIN(MAX(0,-K884),MAX(0,Assumptions!$D$64-K795)),0)</f>
        <v>0</v>
      </c>
    </row>
    <row r="803" customFormat="false" ht="15" hidden="false" customHeight="false" outlineLevel="0" collapsed="false">
      <c r="A803" s="3" t="s">
        <v>336</v>
      </c>
      <c r="G803" s="16" t="n">
        <f aca="false">G796*MIN(G795-G801+G800,MAX(0,G886-Assumptions!$C$12*G702-G712-G725-G738-G751-G764-G777-G790))</f>
        <v>0</v>
      </c>
      <c r="H803" s="16" t="n">
        <f aca="false">H796*MIN(H795-H801+H800,MAX(0,H886-Assumptions!$C$12*H702-H712-H725-H738-H751-H764-H777-H790))</f>
        <v>0</v>
      </c>
      <c r="I803" s="16" t="n">
        <f aca="false">I796*MIN(I795-I801+I800,MAX(0,I886-Assumptions!$C$12*I702-I712-I725-I738-I751-I764-I777-I790))</f>
        <v>0</v>
      </c>
      <c r="J803" s="16" t="n">
        <f aca="false">J796*MIN(J795-J801+J800,MAX(0,J886-Assumptions!$C$12*J702-J712-J725-J738-J751-J764-J777-J790))</f>
        <v>0</v>
      </c>
      <c r="K803" s="16" t="n">
        <f aca="false">K796*MIN(K795-K801+K800,MAX(0,K886-Assumptions!$C$12*K702-K712-K725-K738-K751-K764-K777-K790))</f>
        <v>0</v>
      </c>
    </row>
    <row r="804" customFormat="false" ht="15" hidden="false" customHeight="false" outlineLevel="0" collapsed="false">
      <c r="A804" s="3" t="s">
        <v>337</v>
      </c>
      <c r="G804" s="16" t="n">
        <f aca="false">Assumptions!$N$64*MIN(G795+G802+G800-G801-G803,MAX(0,G890-G713-G726-G739-G752-G765-G778-G791))</f>
        <v>0</v>
      </c>
      <c r="H804" s="16" t="n">
        <f aca="false">Assumptions!$N$64*MIN(H795+H802+H800-H801-H803,MAX(0,H890-H713-H726-H739-H752-H765-H778-H791))</f>
        <v>0</v>
      </c>
      <c r="I804" s="16" t="n">
        <f aca="false">Assumptions!$N$64*MIN(I795+I802+I800-I801-I803,MAX(0,I890-I713-I726-I739-I752-I765-I778-I791))</f>
        <v>0</v>
      </c>
      <c r="J804" s="16" t="n">
        <f aca="false">Assumptions!$N$64*MIN(J795+J802+J800-J801-J803,MAX(0,J890-J713-J726-J739-J752-J765-J778-J791))</f>
        <v>0</v>
      </c>
      <c r="K804" s="16" t="n">
        <f aca="false">Assumptions!$N$64*MIN(K795+K802+K800-K801-K803,MAX(0,K890-K713-K726-K739-K752-K765-K778-K791))</f>
        <v>0</v>
      </c>
    </row>
    <row r="805" customFormat="false" ht="15" hidden="false" customHeight="false" outlineLevel="0" collapsed="false">
      <c r="A805" s="3" t="s">
        <v>338</v>
      </c>
      <c r="G805" s="16" t="n">
        <f aca="false">G796*(1-G702)*(G795-G801+G800-G803)</f>
        <v>0</v>
      </c>
      <c r="H805" s="16" t="n">
        <f aca="false">H796*(1-H702)*(H795-H801+H800-H803)</f>
        <v>0</v>
      </c>
      <c r="I805" s="16" t="n">
        <f aca="false">I796*(1-I702)*(I795-I801+I800-I803)</f>
        <v>0</v>
      </c>
      <c r="J805" s="16" t="n">
        <f aca="false">J796*(1-J702)*(J795-J801+J800-J803)</f>
        <v>350</v>
      </c>
      <c r="K805" s="16" t="n">
        <f aca="false">K796*(1-K702)*(K795-K801+K800-K803)</f>
        <v>0</v>
      </c>
    </row>
    <row r="806" customFormat="false" ht="15" hidden="false" customHeight="false" outlineLevel="0" collapsed="false">
      <c r="A806" s="2" t="s">
        <v>339</v>
      </c>
      <c r="F806" s="28" t="n">
        <f aca="false">Assumptions!$C$64</f>
        <v>350</v>
      </c>
      <c r="G806" s="17" t="n">
        <f aca="false">G795+G802+G800-G801-G803-G804</f>
        <v>350</v>
      </c>
      <c r="H806" s="17" t="n">
        <f aca="false">H795+H802+H800-H801-H803-H804</f>
        <v>350</v>
      </c>
      <c r="I806" s="17" t="n">
        <f aca="false">I795+I802+I800-I801-I803-I804</f>
        <v>350</v>
      </c>
      <c r="J806" s="17" t="n">
        <f aca="false">J795+J802+J800-J801-J803-J804</f>
        <v>350</v>
      </c>
      <c r="K806" s="17" t="n">
        <f aca="false">K795+K802+K800-K801-K803-K804</f>
        <v>350</v>
      </c>
    </row>
    <row r="807" customFormat="false" ht="15" hidden="false" customHeight="false" outlineLevel="0" collapsed="false">
      <c r="A807" s="24" t="s">
        <v>347</v>
      </c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customFormat="false" ht="15" hidden="false" customHeight="false" outlineLevel="0" collapsed="false">
      <c r="A808" s="3" t="s">
        <v>329</v>
      </c>
      <c r="G808" s="16" t="n">
        <f aca="false">F819</f>
        <v>300</v>
      </c>
      <c r="H808" s="16" t="n">
        <f aca="false">G819</f>
        <v>300</v>
      </c>
      <c r="I808" s="16" t="n">
        <f aca="false">H819</f>
        <v>300</v>
      </c>
      <c r="J808" s="16" t="n">
        <f aca="false">I819</f>
        <v>300</v>
      </c>
      <c r="K808" s="16" t="n">
        <f aca="false">J819</f>
        <v>300</v>
      </c>
    </row>
    <row r="809" customFormat="false" ht="15" hidden="false" customHeight="false" outlineLevel="0" collapsed="false">
      <c r="A809" s="3" t="s">
        <v>330</v>
      </c>
      <c r="G809" s="21" t="n">
        <f aca="false">IF(G668=Assumptions!$K$65,1,0)</f>
        <v>0</v>
      </c>
      <c r="H809" s="21" t="n">
        <f aca="false">IF(H668=Assumptions!$K$65,1,0)</f>
        <v>0</v>
      </c>
      <c r="I809" s="21" t="n">
        <f aca="false">IF(I668=Assumptions!$K$65,1,0)</f>
        <v>0</v>
      </c>
      <c r="J809" s="21" t="n">
        <f aca="false">IF(J668=Assumptions!$K$65,1,0)</f>
        <v>0</v>
      </c>
      <c r="K809" s="21" t="n">
        <f aca="false">IF(K668=Assumptions!$K$65,1,0)</f>
        <v>1</v>
      </c>
    </row>
    <row r="811" customFormat="false" ht="15" hidden="false" customHeight="false" outlineLevel="0" collapsed="false">
      <c r="A811" s="3" t="s">
        <v>331</v>
      </c>
      <c r="G811" s="31" t="n">
        <f aca="false">IF(Assumptions!$I$65=1,MAX(G694,Assumptions!$G$65)+Assumptions!$F$65+$C$695,Assumptions!$E$65)</f>
        <v>0.06125</v>
      </c>
      <c r="H811" s="31" t="n">
        <f aca="false">IF(G1022=1,$C$696,IF(Assumptions!$I$65=1,MAX(H694,Assumptions!$G$65)+Assumptions!$F$65+$C$695,Assumptions!$E$65))</f>
        <v>0.06125</v>
      </c>
      <c r="I811" s="31" t="n">
        <f aca="false">IF(H1022=1,$C$696,IF(Assumptions!$I$65=1,MAX(I694,Assumptions!$G$65)+Assumptions!$F$65+$C$695,Assumptions!$E$65))</f>
        <v>0.06125</v>
      </c>
      <c r="J811" s="31" t="n">
        <f aca="false">IF(I1022=1,$C$696,IF(Assumptions!$I$65=1,MAX(J694,Assumptions!$G$65)+Assumptions!$F$65+$C$695,Assumptions!$E$65))</f>
        <v>0.06125</v>
      </c>
      <c r="K811" s="31" t="n">
        <f aca="false">IF(J1022=1,$C$696,IF(Assumptions!$I$65=1,MAX(K694,Assumptions!$G$65)+Assumptions!$F$65+$C$695,Assumptions!$E$65))</f>
        <v>0.06125</v>
      </c>
    </row>
    <row r="812" customFormat="false" ht="15" hidden="false" customHeight="false" outlineLevel="0" collapsed="false">
      <c r="A812" s="3" t="s">
        <v>332</v>
      </c>
      <c r="G812" s="16" t="n">
        <f aca="false">G808*G811</f>
        <v>18.375</v>
      </c>
      <c r="H812" s="16" t="n">
        <f aca="false">H808*H811</f>
        <v>18.375</v>
      </c>
      <c r="I812" s="16" t="n">
        <f aca="false">I808*I811</f>
        <v>18.375</v>
      </c>
      <c r="J812" s="16" t="n">
        <f aca="false">J808*J811</f>
        <v>18.375</v>
      </c>
      <c r="K812" s="16" t="n">
        <f aca="false">K808*K811</f>
        <v>18.375</v>
      </c>
    </row>
    <row r="813" customFormat="false" ht="15" hidden="false" customHeight="false" outlineLevel="0" collapsed="false">
      <c r="A813" s="3" t="s">
        <v>333</v>
      </c>
      <c r="G813" s="16" t="n">
        <f aca="false">G808*Assumptions!$H$65</f>
        <v>0</v>
      </c>
      <c r="H813" s="16" t="n">
        <f aca="false">H808*Assumptions!$H$65</f>
        <v>0</v>
      </c>
      <c r="I813" s="16" t="n">
        <f aca="false">I808*Assumptions!$H$65</f>
        <v>0</v>
      </c>
      <c r="J813" s="16" t="n">
        <f aca="false">J808*Assumptions!$H$65</f>
        <v>0</v>
      </c>
      <c r="K813" s="16" t="n">
        <f aca="false">K808*Assumptions!$H$65</f>
        <v>0</v>
      </c>
    </row>
    <row r="814" customFormat="false" ht="15" hidden="false" customHeight="false" outlineLevel="0" collapsed="false">
      <c r="A814" s="3" t="s">
        <v>334</v>
      </c>
      <c r="G814" s="16" t="n">
        <f aca="false">MIN(G808,Assumptions!$L$65*Assumptions!$C$65)</f>
        <v>0</v>
      </c>
      <c r="H814" s="16" t="n">
        <f aca="false">MIN(H808,Assumptions!$L$65*Assumptions!$C$65)</f>
        <v>0</v>
      </c>
      <c r="I814" s="16" t="n">
        <f aca="false">MIN(I808,Assumptions!$L$65*Assumptions!$C$65)</f>
        <v>0</v>
      </c>
      <c r="J814" s="16" t="n">
        <f aca="false">MIN(J808,Assumptions!$L$65*Assumptions!$C$65)</f>
        <v>0</v>
      </c>
      <c r="K814" s="16" t="n">
        <f aca="false">MIN(K808,Assumptions!$L$65*Assumptions!$C$65)</f>
        <v>0</v>
      </c>
    </row>
    <row r="815" customFormat="false" ht="15" hidden="false" customHeight="false" outlineLevel="0" collapsed="false">
      <c r="A815" s="3" t="s">
        <v>335</v>
      </c>
      <c r="G815" s="16" t="n">
        <f aca="false">IF(AND(Assumptions!$P$65=1,G668&lt;Assumptions!$K$65),MIN(MAX(0,-G884),MAX(0,Assumptions!$D$65-G808)),0)</f>
        <v>0</v>
      </c>
      <c r="H815" s="16" t="n">
        <f aca="false">IF(AND(Assumptions!$P$65=1,OR(H668&lt;Assumptions!$K$65,G1022=1)),MIN(MAX(0,-H884),MAX(0,Assumptions!$D$65-H808)),0)</f>
        <v>0</v>
      </c>
      <c r="I815" s="16" t="n">
        <f aca="false">IF(AND(Assumptions!$P$65=1,OR(I668&lt;Assumptions!$K$65,H1022=1)),MIN(MAX(0,-I884),MAX(0,Assumptions!$D$65-I808)),0)</f>
        <v>0</v>
      </c>
      <c r="J815" s="16" t="n">
        <f aca="false">IF(AND(Assumptions!$P$65=1,OR(J668&lt;Assumptions!$K$65,I1022=1)),MIN(MAX(0,-J884),MAX(0,Assumptions!$D$65-J808)),0)</f>
        <v>0</v>
      </c>
      <c r="K815" s="16" t="n">
        <f aca="false">IF(AND(Assumptions!$P$65=1,OR(K668&lt;Assumptions!$K$65,J1022=1)),MIN(MAX(0,-K884),MAX(0,Assumptions!$D$65-K808)),0)</f>
        <v>0</v>
      </c>
    </row>
    <row r="816" customFormat="false" ht="15" hidden="false" customHeight="false" outlineLevel="0" collapsed="false">
      <c r="A816" s="3" t="s">
        <v>336</v>
      </c>
      <c r="G816" s="16" t="n">
        <f aca="false">G809*MIN(G808-G814+G813,MAX(0,G886-Assumptions!$C$12*G702-G712-G725-G738-G751-G764-G777-G790-G803))</f>
        <v>0</v>
      </c>
      <c r="H816" s="16" t="n">
        <f aca="false">H809*MIN(H808-H814+H813,MAX(0,H886-Assumptions!$C$12*H702-H712-H725-H738-H751-H764-H777-H790-H803))</f>
        <v>0</v>
      </c>
      <c r="I816" s="16" t="n">
        <f aca="false">I809*MIN(I808-I814+I813,MAX(0,I886-Assumptions!$C$12*I702-I712-I725-I738-I751-I764-I777-I790-I803))</f>
        <v>0</v>
      </c>
      <c r="J816" s="16" t="n">
        <f aca="false">J809*MIN(J808-J814+J813,MAX(0,J886-Assumptions!$C$12*J702-J712-J725-J738-J751-J764-J777-J790-J803))</f>
        <v>0</v>
      </c>
      <c r="K816" s="16" t="n">
        <f aca="false">K809*MIN(K808-K814+K813,MAX(0,K886-Assumptions!$C$12*K702-K712-K725-K738-K751-K764-K777-K790-K803))</f>
        <v>0</v>
      </c>
    </row>
    <row r="817" customFormat="false" ht="15" hidden="false" customHeight="false" outlineLevel="0" collapsed="false">
      <c r="A817" s="3" t="s">
        <v>337</v>
      </c>
      <c r="G817" s="16" t="n">
        <f aca="false">Assumptions!$N$65*MIN(G808+G815+G813-G814-G816,MAX(0,G890-G713-G726-G739-G752-G765-G778-G791-G804))</f>
        <v>0</v>
      </c>
      <c r="H817" s="16" t="n">
        <f aca="false">Assumptions!$N$65*MIN(H808+H815+H813-H814-H816,MAX(0,H890-H713-H726-H739-H752-H765-H778-H791-H804))</f>
        <v>0</v>
      </c>
      <c r="I817" s="16" t="n">
        <f aca="false">Assumptions!$N$65*MIN(I808+I815+I813-I814-I816,MAX(0,I890-I713-I726-I739-I752-I765-I778-I791-I804))</f>
        <v>0</v>
      </c>
      <c r="J817" s="16" t="n">
        <f aca="false">Assumptions!$N$65*MIN(J808+J815+J813-J814-J816,MAX(0,J890-J713-J726-J739-J752-J765-J778-J791-J804))</f>
        <v>0</v>
      </c>
      <c r="K817" s="16" t="n">
        <f aca="false">Assumptions!$N$65*MIN(K808+K815+K813-K814-K816,MAX(0,K890-K713-K726-K739-K752-K765-K778-K791-K804))</f>
        <v>0</v>
      </c>
    </row>
    <row r="818" customFormat="false" ht="15" hidden="false" customHeight="false" outlineLevel="0" collapsed="false">
      <c r="A818" s="3" t="s">
        <v>338</v>
      </c>
      <c r="G818" s="16" t="n">
        <f aca="false">G809*(1-G702)*(G808-G814+G813-G816)</f>
        <v>0</v>
      </c>
      <c r="H818" s="16" t="n">
        <f aca="false">H809*(1-H702)*(H808-H814+H813-H816)</f>
        <v>0</v>
      </c>
      <c r="I818" s="16" t="n">
        <f aca="false">I809*(1-I702)*(I808-I814+I813-I816)</f>
        <v>0</v>
      </c>
      <c r="J818" s="16" t="n">
        <f aca="false">J809*(1-J702)*(J808-J814+J813-J816)</f>
        <v>0</v>
      </c>
      <c r="K818" s="16" t="n">
        <f aca="false">K809*(1-K702)*(K808-K814+K813-K816)</f>
        <v>300</v>
      </c>
    </row>
    <row r="819" customFormat="false" ht="15" hidden="false" customHeight="false" outlineLevel="0" collapsed="false">
      <c r="A819" s="2" t="s">
        <v>339</v>
      </c>
      <c r="F819" s="28" t="n">
        <f aca="false">Assumptions!$C$65</f>
        <v>300</v>
      </c>
      <c r="G819" s="17" t="n">
        <f aca="false">G808+G815+G813-G814-G816-G817</f>
        <v>300</v>
      </c>
      <c r="H819" s="17" t="n">
        <f aca="false">H808+H815+H813-H814-H816-H817</f>
        <v>300</v>
      </c>
      <c r="I819" s="17" t="n">
        <f aca="false">I808+I815+I813-I814-I816-I817</f>
        <v>300</v>
      </c>
      <c r="J819" s="17" t="n">
        <f aca="false">J808+J815+J813-J814-J816-J817</f>
        <v>300</v>
      </c>
      <c r="K819" s="17" t="n">
        <f aca="false">K808+K815+K813-K814-K816-K817</f>
        <v>300</v>
      </c>
    </row>
    <row r="820" customFormat="false" ht="15" hidden="false" customHeight="false" outlineLevel="0" collapsed="false">
      <c r="A820" s="24" t="s">
        <v>348</v>
      </c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customFormat="false" ht="15" hidden="false" customHeight="false" outlineLevel="0" collapsed="false">
      <c r="A821" s="3" t="s">
        <v>329</v>
      </c>
      <c r="G821" s="16" t="n">
        <f aca="false">F832</f>
        <v>78.61</v>
      </c>
      <c r="H821" s="16" t="n">
        <f aca="false">G832</f>
        <v>78.61</v>
      </c>
      <c r="I821" s="16" t="n">
        <f aca="false">H832</f>
        <v>78.61</v>
      </c>
      <c r="J821" s="16" t="n">
        <f aca="false">I832</f>
        <v>78.61</v>
      </c>
      <c r="K821" s="16" t="n">
        <f aca="false">J832</f>
        <v>78.61</v>
      </c>
    </row>
    <row r="822" customFormat="false" ht="15" hidden="false" customHeight="false" outlineLevel="0" collapsed="false">
      <c r="A822" s="3" t="s">
        <v>330</v>
      </c>
      <c r="G822" s="21" t="n">
        <f aca="false">IF(G668=Assumptions!$K$66,1,0)</f>
        <v>0</v>
      </c>
      <c r="H822" s="21" t="n">
        <f aca="false">IF(H668=Assumptions!$K$66,1,0)</f>
        <v>0</v>
      </c>
      <c r="I822" s="21" t="n">
        <f aca="false">IF(I668=Assumptions!$K$66,1,0)</f>
        <v>0</v>
      </c>
      <c r="J822" s="21" t="n">
        <f aca="false">IF(J668=Assumptions!$K$66,1,0)</f>
        <v>0</v>
      </c>
      <c r="K822" s="21" t="n">
        <f aca="false">IF(K668=Assumptions!$K$66,1,0)</f>
        <v>0</v>
      </c>
    </row>
    <row r="824" customFormat="false" ht="15" hidden="false" customHeight="false" outlineLevel="0" collapsed="false">
      <c r="A824" s="3" t="s">
        <v>331</v>
      </c>
      <c r="G824" s="31" t="n">
        <f aca="false">IF(Assumptions!$I$66=1,MAX(G694,Assumptions!$G$66)+Assumptions!$F$66+$C$695,Assumptions!$E$66)</f>
        <v>0.0691</v>
      </c>
      <c r="H824" s="31" t="n">
        <f aca="false">IF(G1023=1,$C$696,IF(Assumptions!$I$66=1,MAX(H694,Assumptions!$G$66)+Assumptions!$F$66+$C$695,Assumptions!$E$66))</f>
        <v>0.0676</v>
      </c>
      <c r="I824" s="31" t="n">
        <f aca="false">IF(H1023=1,$C$696,IF(Assumptions!$I$66=1,MAX(I694,Assumptions!$G$66)+Assumptions!$F$66+$C$695,Assumptions!$E$66))</f>
        <v>0.0651</v>
      </c>
      <c r="J824" s="31" t="n">
        <f aca="false">IF(I1023=1,$C$696,IF(Assumptions!$I$66=1,MAX(J694,Assumptions!$G$66)+Assumptions!$F$66+$C$695,Assumptions!$E$66))</f>
        <v>0.0651</v>
      </c>
      <c r="K824" s="31" t="n">
        <f aca="false">IF(J1023=1,$C$696,IF(Assumptions!$I$66=1,MAX(K694,Assumptions!$G$66)+Assumptions!$F$66+$C$695,Assumptions!$E$66))</f>
        <v>0.0651</v>
      </c>
    </row>
    <row r="825" customFormat="false" ht="15" hidden="false" customHeight="false" outlineLevel="0" collapsed="false">
      <c r="A825" s="3" t="s">
        <v>332</v>
      </c>
      <c r="G825" s="16" t="n">
        <f aca="false">G821*G824</f>
        <v>5.431951</v>
      </c>
      <c r="H825" s="16" t="n">
        <f aca="false">H821*H824</f>
        <v>5.314036</v>
      </c>
      <c r="I825" s="16" t="n">
        <f aca="false">I821*I824</f>
        <v>5.117511</v>
      </c>
      <c r="J825" s="16" t="n">
        <f aca="false">J821*J824</f>
        <v>5.117511</v>
      </c>
      <c r="K825" s="16" t="n">
        <f aca="false">K821*K824</f>
        <v>5.117511</v>
      </c>
    </row>
    <row r="826" customFormat="false" ht="15" hidden="false" customHeight="false" outlineLevel="0" collapsed="false">
      <c r="A826" s="3" t="s">
        <v>333</v>
      </c>
      <c r="G826" s="16" t="n">
        <f aca="false">G821*Assumptions!$H$66</f>
        <v>0</v>
      </c>
      <c r="H826" s="16" t="n">
        <f aca="false">H821*Assumptions!$H$66</f>
        <v>0</v>
      </c>
      <c r="I826" s="16" t="n">
        <f aca="false">I821*Assumptions!$H$66</f>
        <v>0</v>
      </c>
      <c r="J826" s="16" t="n">
        <f aca="false">J821*Assumptions!$H$66</f>
        <v>0</v>
      </c>
      <c r="K826" s="16" t="n">
        <f aca="false">K821*Assumptions!$H$66</f>
        <v>0</v>
      </c>
    </row>
    <row r="827" customFormat="false" ht="15" hidden="false" customHeight="false" outlineLevel="0" collapsed="false">
      <c r="A827" s="3" t="s">
        <v>334</v>
      </c>
      <c r="G827" s="16" t="n">
        <f aca="false">MIN(G821,Assumptions!$L$66*Assumptions!$C$66)</f>
        <v>0</v>
      </c>
      <c r="H827" s="16" t="n">
        <f aca="false">MIN(H821,Assumptions!$L$66*Assumptions!$C$66)</f>
        <v>0</v>
      </c>
      <c r="I827" s="16" t="n">
        <f aca="false">MIN(I821,Assumptions!$L$66*Assumptions!$C$66)</f>
        <v>0</v>
      </c>
      <c r="J827" s="16" t="n">
        <f aca="false">MIN(J821,Assumptions!$L$66*Assumptions!$C$66)</f>
        <v>0</v>
      </c>
      <c r="K827" s="16" t="n">
        <f aca="false">MIN(K821,Assumptions!$L$66*Assumptions!$C$66)</f>
        <v>0</v>
      </c>
    </row>
    <row r="828" customFormat="false" ht="15" hidden="false" customHeight="false" outlineLevel="0" collapsed="false">
      <c r="A828" s="3" t="s">
        <v>335</v>
      </c>
      <c r="G828" s="16" t="n">
        <f aca="false">IF(AND(Assumptions!$P$66=1,G668&lt;Assumptions!$K$66),MIN(MAX(0,-G884),MAX(0,Assumptions!$D$66-G821)),0)</f>
        <v>0</v>
      </c>
      <c r="H828" s="16" t="n">
        <f aca="false">IF(AND(Assumptions!$P$66=1,OR(H668&lt;Assumptions!$K$66,G1023=1)),MIN(MAX(0,-H884),MAX(0,Assumptions!$D$66-H821)),0)</f>
        <v>0</v>
      </c>
      <c r="I828" s="16" t="n">
        <f aca="false">IF(AND(Assumptions!$P$66=1,OR(I668&lt;Assumptions!$K$66,H1023=1)),MIN(MAX(0,-I884),MAX(0,Assumptions!$D$66-I821)),0)</f>
        <v>0</v>
      </c>
      <c r="J828" s="16" t="n">
        <f aca="false">IF(AND(Assumptions!$P$66=1,OR(J668&lt;Assumptions!$K$66,I1023=1)),MIN(MAX(0,-J884),MAX(0,Assumptions!$D$66-J821)),0)</f>
        <v>0</v>
      </c>
      <c r="K828" s="16" t="n">
        <f aca="false">IF(AND(Assumptions!$P$66=1,OR(K668&lt;Assumptions!$K$66,J1023=1)),MIN(MAX(0,-K884),MAX(0,Assumptions!$D$66-K821)),0)</f>
        <v>0</v>
      </c>
    </row>
    <row r="829" customFormat="false" ht="15" hidden="false" customHeight="false" outlineLevel="0" collapsed="false">
      <c r="A829" s="3" t="s">
        <v>336</v>
      </c>
      <c r="G829" s="16" t="n">
        <f aca="false">G822*MIN(G821-G827+G826,MAX(0,G886-Assumptions!$C$12*G702-G712-G725-G738-G751-G764-G777-G790-G803-G816))</f>
        <v>0</v>
      </c>
      <c r="H829" s="16" t="n">
        <f aca="false">H822*MIN(H821-H827+H826,MAX(0,H886-Assumptions!$C$12*H702-H712-H725-H738-H751-H764-H777-H790-H803-H816))</f>
        <v>0</v>
      </c>
      <c r="I829" s="16" t="n">
        <f aca="false">I822*MIN(I821-I827+I826,MAX(0,I886-Assumptions!$C$12*I702-I712-I725-I738-I751-I764-I777-I790-I803-I816))</f>
        <v>0</v>
      </c>
      <c r="J829" s="16" t="n">
        <f aca="false">J822*MIN(J821-J827+J826,MAX(0,J886-Assumptions!$C$12*J702-J712-J725-J738-J751-J764-J777-J790-J803-J816))</f>
        <v>0</v>
      </c>
      <c r="K829" s="16" t="n">
        <f aca="false">K822*MIN(K821-K827+K826,MAX(0,K886-Assumptions!$C$12*K702-K712-K725-K738-K751-K764-K777-K790-K803-K816))</f>
        <v>0</v>
      </c>
    </row>
    <row r="830" customFormat="false" ht="15" hidden="false" customHeight="false" outlineLevel="0" collapsed="false">
      <c r="A830" s="3" t="s">
        <v>337</v>
      </c>
      <c r="G830" s="16" t="n">
        <f aca="false">Assumptions!$N$66*MIN(G821+G828+G826-G827-G829,MAX(0,G890-G713-G726-G739-G752-G765-G778-G791-G804-G817))</f>
        <v>0</v>
      </c>
      <c r="H830" s="16" t="n">
        <f aca="false">Assumptions!$N$66*MIN(H821+H828+H826-H827-H829,MAX(0,H890-H713-H726-H739-H752-H765-H778-H791-H804-H817))</f>
        <v>0</v>
      </c>
      <c r="I830" s="16" t="n">
        <f aca="false">Assumptions!$N$66*MIN(I821+I828+I826-I827-I829,MAX(0,I890-I713-I726-I739-I752-I765-I778-I791-I804-I817))</f>
        <v>0</v>
      </c>
      <c r="J830" s="16" t="n">
        <f aca="false">Assumptions!$N$66*MIN(J821+J828+J826-J827-J829,MAX(0,J890-J713-J726-J739-J752-J765-J778-J791-J804-J817))</f>
        <v>0</v>
      </c>
      <c r="K830" s="16" t="n">
        <f aca="false">Assumptions!$N$66*MIN(K821+K828+K826-K827-K829,MAX(0,K890-K713-K726-K739-K752-K765-K778-K791-K804-K817))</f>
        <v>0</v>
      </c>
    </row>
    <row r="831" customFormat="false" ht="15" hidden="false" customHeight="false" outlineLevel="0" collapsed="false">
      <c r="A831" s="3" t="s">
        <v>338</v>
      </c>
      <c r="G831" s="16" t="n">
        <f aca="false">G822*(1-G702)*(G821-G827+G826-G829)</f>
        <v>0</v>
      </c>
      <c r="H831" s="16" t="n">
        <f aca="false">H822*(1-H702)*(H821-H827+H826-H829)</f>
        <v>0</v>
      </c>
      <c r="I831" s="16" t="n">
        <f aca="false">I822*(1-I702)*(I821-I827+I826-I829)</f>
        <v>0</v>
      </c>
      <c r="J831" s="16" t="n">
        <f aca="false">J822*(1-J702)*(J821-J827+J826-J829)</f>
        <v>0</v>
      </c>
      <c r="K831" s="16" t="n">
        <f aca="false">K822*(1-K702)*(K821-K827+K826-K829)</f>
        <v>0</v>
      </c>
    </row>
    <row r="832" customFormat="false" ht="15" hidden="false" customHeight="false" outlineLevel="0" collapsed="false">
      <c r="A832" s="2" t="s">
        <v>339</v>
      </c>
      <c r="F832" s="28" t="n">
        <f aca="false">Assumptions!$C$66</f>
        <v>78.61</v>
      </c>
      <c r="G832" s="17" t="n">
        <f aca="false">G821+G828+G826-G827-G829-G830</f>
        <v>78.61</v>
      </c>
      <c r="H832" s="17" t="n">
        <f aca="false">H821+H828+H826-H827-H829-H830</f>
        <v>78.61</v>
      </c>
      <c r="I832" s="17" t="n">
        <f aca="false">I821+I828+I826-I827-I829-I830</f>
        <v>78.61</v>
      </c>
      <c r="J832" s="17" t="n">
        <f aca="false">J821+J828+J826-J827-J829-J830</f>
        <v>78.61</v>
      </c>
      <c r="K832" s="17" t="n">
        <f aca="false">K821+K828+K826-K827-K829-K830</f>
        <v>78.61</v>
      </c>
    </row>
    <row r="833" customFormat="false" ht="15" hidden="false" customHeight="false" outlineLevel="0" collapsed="false">
      <c r="A833" s="24" t="s">
        <v>349</v>
      </c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customFormat="false" ht="15" hidden="false" customHeight="false" outlineLevel="0" collapsed="false">
      <c r="A834" s="2" t="s">
        <v>350</v>
      </c>
      <c r="F834" s="17" t="n">
        <f aca="false">F715+F728+F741+F754+F767+F780+F793+F806+F819+F832</f>
        <v>2625.934</v>
      </c>
      <c r="G834" s="17" t="n">
        <f aca="false">G715+G728+G741+G754+G767+G780+G793+G806+G819+G832</f>
        <v>2621.934</v>
      </c>
      <c r="H834" s="17" t="n">
        <f aca="false">H715+H728+H741+H754+H767+H780+H793+H806+H819+H832</f>
        <v>2569.380357881</v>
      </c>
      <c r="I834" s="17" t="n">
        <f aca="false">I715+I728+I741+I754+I767+I780+I793+I806+I819+I832</f>
        <v>2565.380357881</v>
      </c>
      <c r="J834" s="17" t="n">
        <f aca="false">J715+J728+J741+J754+J767+J780+J793+J806+J819+J832</f>
        <v>2561.380357881</v>
      </c>
      <c r="K834" s="17" t="n">
        <f aca="false">K715+K728+K741+K754+K767+K780+K793+K806+K819+K832</f>
        <v>2557.380357881</v>
      </c>
    </row>
    <row r="835" customFormat="false" ht="15" hidden="false" customHeight="false" outlineLevel="0" collapsed="false">
      <c r="A835" s="3" t="s">
        <v>351</v>
      </c>
      <c r="G835" s="16" t="n">
        <f aca="false">G705*Assumptions!$C$57+G718*Assumptions!$C$58+G731*Assumptions!$C$59+G744*Assumptions!$C$60+G757*Assumptions!$C$61+G770*Assumptions!$C$62+G783*Assumptions!$C$63+G796*Assumptions!$C$64+G809*Assumptions!$C$65+G822*Assumptions!$C$66</f>
        <v>0</v>
      </c>
      <c r="H835" s="16" t="n">
        <f aca="false">H705*Assumptions!$C$57+H718*Assumptions!$C$58+H731*Assumptions!$C$59+H744*Assumptions!$C$60+H757*Assumptions!$C$61+H770*Assumptions!$C$62+H783*Assumptions!$C$63+H796*Assumptions!$C$64+H809*Assumptions!$C$65+H822*Assumptions!$C$66</f>
        <v>800</v>
      </c>
      <c r="I835" s="16" t="n">
        <f aca="false">I705*Assumptions!$C$57+I718*Assumptions!$C$58+I731*Assumptions!$C$59+I744*Assumptions!$C$60+I757*Assumptions!$C$61+I770*Assumptions!$C$62+I783*Assumptions!$C$63+I796*Assumptions!$C$64+I809*Assumptions!$C$65+I822*Assumptions!$C$66</f>
        <v>550</v>
      </c>
      <c r="J835" s="16" t="n">
        <f aca="false">J705*Assumptions!$C$57+J718*Assumptions!$C$58+J731*Assumptions!$C$59+J744*Assumptions!$C$60+J757*Assumptions!$C$61+J770*Assumptions!$C$62+J783*Assumptions!$C$63+J796*Assumptions!$C$64+J809*Assumptions!$C$65+J822*Assumptions!$C$66</f>
        <v>350</v>
      </c>
      <c r="K835" s="16" t="n">
        <f aca="false">K705*Assumptions!$C$57+K718*Assumptions!$C$58+K731*Assumptions!$C$59+K744*Assumptions!$C$60+K757*Assumptions!$C$61+K770*Assumptions!$C$62+K783*Assumptions!$C$63+K796*Assumptions!$C$64+K809*Assumptions!$C$65+K822*Assumptions!$C$66</f>
        <v>700</v>
      </c>
    </row>
    <row r="836" customFormat="false" ht="15" hidden="false" customHeight="false" outlineLevel="0" collapsed="false">
      <c r="A836" s="24" t="s">
        <v>352</v>
      </c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customFormat="false" ht="15" hidden="false" customHeight="false" outlineLevel="0" collapsed="false">
      <c r="A837" s="3" t="s">
        <v>353</v>
      </c>
      <c r="C837" s="16" t="n">
        <f aca="false">SUMPRODUCT($G$705:$K$705,$G$704:$K$704-$G$710:$K$710+$G$709:$K$709)</f>
        <v>380</v>
      </c>
    </row>
    <row r="838" customFormat="false" ht="15" hidden="false" customHeight="false" outlineLevel="0" collapsed="false">
      <c r="A838" s="3" t="s">
        <v>354</v>
      </c>
      <c r="C838" s="16" t="n">
        <f aca="false">SUMPRODUCT($G$705:$K$705,$G$712:$K$712)</f>
        <v>0</v>
      </c>
    </row>
    <row r="839" customFormat="false" ht="15" hidden="false" customHeight="false" outlineLevel="0" collapsed="false">
      <c r="A839" s="3" t="s">
        <v>355</v>
      </c>
      <c r="C839" s="3" t="str">
        <f aca="false">IF(SUM($G$705:$K$705)=0,"n/a (beyond horizon)",IF(SUMPRODUCT($G$705:$K$705,$G$702:$K$702)&gt;0,"REFINANCING PASS","REFINANCING FAILURE"))</f>
        <v>REFINANCING FAILURE</v>
      </c>
    </row>
    <row r="840" customFormat="false" ht="15" hidden="false" customHeight="false" outlineLevel="0" collapsed="false">
      <c r="A840" s="3" t="s">
        <v>356</v>
      </c>
      <c r="C840" s="3" t="str">
        <f aca="false">IF(SUM($G$705:$K$705)=0,"n/a",IF(C838&gt;=C837-0.001,"Repaid from cash",IF(SUMPRODUCT($G$705:$K$705,$G$702:$K$702)&gt;0,IF(C838&gt;0,"Partly repaid; remainder refinanced","Refinanced"),IF(SUM($G$714:$K$714)&gt;0.001,IF(C838&gt;0,"Partial repayment; PAYMENT DEFAULT","PAYMENT DEFAULT"),"Repaid from cash"))))</f>
        <v>PAYMENT DEFAULT</v>
      </c>
    </row>
    <row r="841" customFormat="false" ht="15" hidden="false" customHeight="false" outlineLevel="0" collapsed="false">
      <c r="A841" s="3" t="s">
        <v>357</v>
      </c>
      <c r="C841" s="16" t="n">
        <f aca="false">SUMPRODUCT($G$718:$K$718,$G$717:$K$717-$G$723:$K$723+$G$722:$K$722)</f>
        <v>0</v>
      </c>
    </row>
    <row r="842" customFormat="false" ht="15" hidden="false" customHeight="false" outlineLevel="0" collapsed="false">
      <c r="A842" s="3" t="s">
        <v>358</v>
      </c>
      <c r="C842" s="16" t="n">
        <f aca="false">SUMPRODUCT($G$718:$K$718,$G$725:$K$725)</f>
        <v>0</v>
      </c>
    </row>
    <row r="843" customFormat="false" ht="15" hidden="false" customHeight="false" outlineLevel="0" collapsed="false">
      <c r="A843" s="3" t="s">
        <v>359</v>
      </c>
      <c r="C843" s="3" t="str">
        <f aca="false">IF(SUM($G$718:$K$718)=0,"n/a (beyond horizon)",IF(SUMPRODUCT($G$718:$K$718,$G$702:$K$702)&gt;0,"REFINANCING PASS","REFINANCING FAILURE"))</f>
        <v>n/a (beyond horizon)</v>
      </c>
    </row>
    <row r="844" customFormat="false" ht="15" hidden="false" customHeight="false" outlineLevel="0" collapsed="false">
      <c r="A844" s="3" t="s">
        <v>360</v>
      </c>
      <c r="C844" s="3" t="str">
        <f aca="false">IF(SUM($G$718:$K$718)=0,"n/a",IF(C842&gt;=C841-0.001,"Repaid from cash",IF(SUMPRODUCT($G$718:$K$718,$G$702:$K$702)&gt;0,IF(C842&gt;0,"Partly repaid; remainder refinanced","Refinanced"),IF(SUM($G$727:$K$727)&gt;0.001,IF(C842&gt;0,"Partial repayment; PAYMENT DEFAULT","PAYMENT DEFAULT"),"Repaid from cash"))))</f>
        <v>n/a</v>
      </c>
    </row>
    <row r="845" customFormat="false" ht="15" hidden="false" customHeight="false" outlineLevel="0" collapsed="false">
      <c r="A845" s="3" t="s">
        <v>361</v>
      </c>
      <c r="C845" s="16" t="n">
        <f aca="false">SUMPRODUCT($G$731:$K$731,$G$730:$K$730-$G$736:$K$736+$G$735:$K$735)</f>
        <v>0</v>
      </c>
    </row>
    <row r="846" customFormat="false" ht="15" hidden="false" customHeight="false" outlineLevel="0" collapsed="false">
      <c r="A846" s="3" t="s">
        <v>362</v>
      </c>
      <c r="C846" s="16" t="n">
        <f aca="false">SUMPRODUCT($G$731:$K$731,$G$738:$K$738)</f>
        <v>0</v>
      </c>
    </row>
    <row r="847" customFormat="false" ht="15" hidden="false" customHeight="false" outlineLevel="0" collapsed="false">
      <c r="A847" s="3" t="s">
        <v>363</v>
      </c>
      <c r="C847" s="3" t="str">
        <f aca="false">IF(SUM($G$731:$K$731)=0,"n/a (beyond horizon)",IF(SUMPRODUCT($G$731:$K$731,$G$702:$K$702)&gt;0,"REFINANCING PASS","REFINANCING FAILURE"))</f>
        <v>n/a (beyond horizon)</v>
      </c>
    </row>
    <row r="848" customFormat="false" ht="15" hidden="false" customHeight="false" outlineLevel="0" collapsed="false">
      <c r="A848" s="3" t="s">
        <v>364</v>
      </c>
      <c r="C848" s="3" t="str">
        <f aca="false">IF(SUM($G$731:$K$731)=0,"n/a",IF(C846&gt;=C845-0.001,"Repaid from cash",IF(SUMPRODUCT($G$731:$K$731,$G$702:$K$702)&gt;0,IF(C846&gt;0,"Partly repaid; remainder refinanced","Refinanced"),IF(SUM($G$740:$K$740)&gt;0.001,IF(C846&gt;0,"Partial repayment; PAYMENT DEFAULT","PAYMENT DEFAULT"),"Repaid from cash"))))</f>
        <v>n/a</v>
      </c>
    </row>
    <row r="849" customFormat="false" ht="15" hidden="false" customHeight="false" outlineLevel="0" collapsed="false">
      <c r="A849" s="3" t="s">
        <v>365</v>
      </c>
      <c r="C849" s="16" t="n">
        <f aca="false">SUMPRODUCT($G$744:$K$744,$G$743:$K$743-$G$749:$K$749+$G$748:$K$748)</f>
        <v>0</v>
      </c>
    </row>
    <row r="850" customFormat="false" ht="15" hidden="false" customHeight="false" outlineLevel="0" collapsed="false">
      <c r="A850" s="3" t="s">
        <v>366</v>
      </c>
      <c r="C850" s="16" t="n">
        <f aca="false">SUMPRODUCT($G$744:$K$744,$G$751:$K$751)</f>
        <v>0</v>
      </c>
    </row>
    <row r="851" customFormat="false" ht="15" hidden="false" customHeight="false" outlineLevel="0" collapsed="false">
      <c r="A851" s="3" t="s">
        <v>367</v>
      </c>
      <c r="C851" s="3" t="str">
        <f aca="false">IF(SUM($G$744:$K$744)=0,"n/a (beyond horizon)",IF(SUMPRODUCT($G$744:$K$744,$G$702:$K$702)&gt;0,"REFINANCING PASS","REFINANCING FAILURE"))</f>
        <v>REFINANCING FAILURE</v>
      </c>
    </row>
    <row r="852" customFormat="false" ht="15" hidden="false" customHeight="false" outlineLevel="0" collapsed="false">
      <c r="A852" s="3" t="s">
        <v>368</v>
      </c>
      <c r="C852" s="3" t="str">
        <f aca="false">IF(SUM($G$744:$K$744)=0,"n/a",IF(C850&gt;=C849-0.001,"Repaid from cash",IF(SUMPRODUCT($G$744:$K$744,$G$702:$K$702)&gt;0,IF(C850&gt;0,"Partly repaid; remainder refinanced","Refinanced"),IF(SUM($G$753:$K$753)&gt;0.001,IF(C850&gt;0,"Partial repayment; PAYMENT DEFAULT","PAYMENT DEFAULT"),"Repaid from cash"))))</f>
        <v>Repaid from cash</v>
      </c>
    </row>
    <row r="853" customFormat="false" ht="15" hidden="false" customHeight="false" outlineLevel="0" collapsed="false">
      <c r="A853" s="3" t="s">
        <v>369</v>
      </c>
      <c r="C853" s="16" t="n">
        <f aca="false">SUMPRODUCT($G$757:$K$757,$G$756:$K$756-$G$762:$K$762+$G$761:$K$761)</f>
        <v>450</v>
      </c>
    </row>
    <row r="854" customFormat="false" ht="15" hidden="false" customHeight="false" outlineLevel="0" collapsed="false">
      <c r="A854" s="3" t="s">
        <v>370</v>
      </c>
      <c r="C854" s="16" t="n">
        <f aca="false">SUMPRODUCT($G$757:$K$757,$G$764:$K$764)</f>
        <v>48.553642119</v>
      </c>
    </row>
    <row r="855" customFormat="false" ht="15" hidden="false" customHeight="false" outlineLevel="0" collapsed="false">
      <c r="A855" s="3" t="s">
        <v>371</v>
      </c>
      <c r="C855" s="3" t="str">
        <f aca="false">IF(SUM($G$757:$K$757)=0,"n/a (beyond horizon)",IF(SUMPRODUCT($G$757:$K$757,$G$702:$K$702)&gt;0,"REFINANCING PASS","REFINANCING FAILURE"))</f>
        <v>REFINANCING FAILURE</v>
      </c>
    </row>
    <row r="856" customFormat="false" ht="15" hidden="false" customHeight="false" outlineLevel="0" collapsed="false">
      <c r="A856" s="3" t="s">
        <v>372</v>
      </c>
      <c r="C856" s="3" t="str">
        <f aca="false">IF(SUM($G$757:$K$757)=0,"n/a",IF(C854&gt;=C853-0.001,"Repaid from cash",IF(SUMPRODUCT($G$757:$K$757,$G$702:$K$702)&gt;0,IF(C854&gt;0,"Partly repaid; remainder refinanced","Refinanced"),IF(SUM($G$766:$K$766)&gt;0.001,IF(C854&gt;0,"Partial repayment; PAYMENT DEFAULT","PAYMENT DEFAULT"),"Repaid from cash"))))</f>
        <v>Partial repayment; PAYMENT DEFAULT</v>
      </c>
    </row>
    <row r="857" customFormat="false" ht="15" hidden="false" customHeight="false" outlineLevel="0" collapsed="false">
      <c r="A857" s="3" t="s">
        <v>373</v>
      </c>
      <c r="C857" s="16" t="n">
        <f aca="false">SUMPRODUCT($G$770:$K$770,$G$769:$K$769-$G$775:$K$775+$G$774:$K$774)</f>
        <v>350</v>
      </c>
    </row>
    <row r="858" customFormat="false" ht="15" hidden="false" customHeight="false" outlineLevel="0" collapsed="false">
      <c r="A858" s="3" t="s">
        <v>374</v>
      </c>
      <c r="C858" s="16" t="n">
        <f aca="false">SUMPRODUCT($G$770:$K$770,$G$777:$K$777)</f>
        <v>0</v>
      </c>
    </row>
    <row r="859" customFormat="false" ht="15" hidden="false" customHeight="false" outlineLevel="0" collapsed="false">
      <c r="A859" s="3" t="s">
        <v>375</v>
      </c>
      <c r="C859" s="3" t="str">
        <f aca="false">IF(SUM($G$770:$K$770)=0,"n/a (beyond horizon)",IF(SUMPRODUCT($G$770:$K$770,$G$702:$K$702)&gt;0,"REFINANCING PASS","REFINANCING FAILURE"))</f>
        <v>REFINANCING FAILURE</v>
      </c>
    </row>
    <row r="860" customFormat="false" ht="15" hidden="false" customHeight="false" outlineLevel="0" collapsed="false">
      <c r="A860" s="3" t="s">
        <v>376</v>
      </c>
      <c r="C860" s="3" t="str">
        <f aca="false">IF(SUM($G$770:$K$770)=0,"n/a",IF(C858&gt;=C857-0.001,"Repaid from cash",IF(SUMPRODUCT($G$770:$K$770,$G$702:$K$702)&gt;0,IF(C858&gt;0,"Partly repaid; remainder refinanced","Refinanced"),IF(SUM($G$779:$K$779)&gt;0.001,IF(C858&gt;0,"Partial repayment; PAYMENT DEFAULT","PAYMENT DEFAULT"),"Repaid from cash"))))</f>
        <v>PAYMENT DEFAULT</v>
      </c>
    </row>
    <row r="861" customFormat="false" ht="15" hidden="false" customHeight="false" outlineLevel="0" collapsed="false">
      <c r="A861" s="3" t="s">
        <v>377</v>
      </c>
      <c r="C861" s="16" t="n">
        <f aca="false">SUMPRODUCT($G$783:$K$783,$G$782:$K$782-$G$788:$K$788+$G$787:$K$787)</f>
        <v>550</v>
      </c>
    </row>
    <row r="862" customFormat="false" ht="15" hidden="false" customHeight="false" outlineLevel="0" collapsed="false">
      <c r="A862" s="3" t="s">
        <v>378</v>
      </c>
      <c r="C862" s="16" t="n">
        <f aca="false">SUMPRODUCT($G$783:$K$783,$G$790:$K$790)</f>
        <v>0</v>
      </c>
    </row>
    <row r="863" customFormat="false" ht="15" hidden="false" customHeight="false" outlineLevel="0" collapsed="false">
      <c r="A863" s="3" t="s">
        <v>379</v>
      </c>
      <c r="C863" s="3" t="str">
        <f aca="false">IF(SUM($G$783:$K$783)=0,"n/a (beyond horizon)",IF(SUMPRODUCT($G$783:$K$783,$G$702:$K$702)&gt;0,"REFINANCING PASS","REFINANCING FAILURE"))</f>
        <v>REFINANCING FAILURE</v>
      </c>
    </row>
    <row r="864" customFormat="false" ht="15" hidden="false" customHeight="false" outlineLevel="0" collapsed="false">
      <c r="A864" s="3" t="s">
        <v>380</v>
      </c>
      <c r="C864" s="3" t="str">
        <f aca="false">IF(SUM($G$783:$K$783)=0,"n/a",IF(C862&gt;=C861-0.001,"Repaid from cash",IF(SUMPRODUCT($G$783:$K$783,$G$702:$K$702)&gt;0,IF(C862&gt;0,"Partly repaid; remainder refinanced","Refinanced"),IF(SUM($G$792:$K$792)&gt;0.001,IF(C862&gt;0,"Partial repayment; PAYMENT DEFAULT","PAYMENT DEFAULT"),"Repaid from cash"))))</f>
        <v>PAYMENT DEFAULT</v>
      </c>
    </row>
    <row r="865" customFormat="false" ht="15" hidden="false" customHeight="false" outlineLevel="0" collapsed="false">
      <c r="A865" s="3" t="s">
        <v>381</v>
      </c>
      <c r="C865" s="16" t="n">
        <f aca="false">SUMPRODUCT($G$796:$K$796,$G$795:$K$795-$G$801:$K$801+$G$800:$K$800)</f>
        <v>350</v>
      </c>
    </row>
    <row r="866" customFormat="false" ht="15" hidden="false" customHeight="false" outlineLevel="0" collapsed="false">
      <c r="A866" s="3" t="s">
        <v>382</v>
      </c>
      <c r="C866" s="16" t="n">
        <f aca="false">SUMPRODUCT($G$796:$K$796,$G$803:$K$803)</f>
        <v>0</v>
      </c>
    </row>
    <row r="867" customFormat="false" ht="15" hidden="false" customHeight="false" outlineLevel="0" collapsed="false">
      <c r="A867" s="3" t="s">
        <v>383</v>
      </c>
      <c r="C867" s="3" t="str">
        <f aca="false">IF(SUM($G$796:$K$796)=0,"n/a (beyond horizon)",IF(SUMPRODUCT($G$796:$K$796,$G$702:$K$702)&gt;0,"REFINANCING PASS","REFINANCING FAILURE"))</f>
        <v>REFINANCING FAILURE</v>
      </c>
    </row>
    <row r="868" customFormat="false" ht="15" hidden="false" customHeight="false" outlineLevel="0" collapsed="false">
      <c r="A868" s="3" t="s">
        <v>384</v>
      </c>
      <c r="C868" s="3" t="str">
        <f aca="false">IF(SUM($G$796:$K$796)=0,"n/a",IF(C866&gt;=C865-0.001,"Repaid from cash",IF(SUMPRODUCT($G$796:$K$796,$G$702:$K$702)&gt;0,IF(C866&gt;0,"Partly repaid; remainder refinanced","Refinanced"),IF(SUM($G$805:$K$805)&gt;0.001,IF(C866&gt;0,"Partial repayment; PAYMENT DEFAULT","PAYMENT DEFAULT"),"Repaid from cash"))))</f>
        <v>PAYMENT DEFAULT</v>
      </c>
    </row>
    <row r="869" customFormat="false" ht="15" hidden="false" customHeight="false" outlineLevel="0" collapsed="false">
      <c r="A869" s="3" t="s">
        <v>385</v>
      </c>
      <c r="C869" s="16" t="n">
        <f aca="false">SUMPRODUCT($G$809:$K$809,$G$808:$K$808-$G$814:$K$814+$G$813:$K$813)</f>
        <v>300</v>
      </c>
    </row>
    <row r="870" customFormat="false" ht="15" hidden="false" customHeight="false" outlineLevel="0" collapsed="false">
      <c r="A870" s="3" t="s">
        <v>386</v>
      </c>
      <c r="C870" s="16" t="n">
        <f aca="false">SUMPRODUCT($G$809:$K$809,$G$816:$K$816)</f>
        <v>0</v>
      </c>
    </row>
    <row r="871" customFormat="false" ht="15" hidden="false" customHeight="false" outlineLevel="0" collapsed="false">
      <c r="A871" s="3" t="s">
        <v>387</v>
      </c>
      <c r="C871" s="3" t="str">
        <f aca="false">IF(SUM($G$809:$K$809)=0,"n/a (beyond horizon)",IF(SUMPRODUCT($G$809:$K$809,$G$702:$K$702)&gt;0,"REFINANCING PASS","REFINANCING FAILURE"))</f>
        <v>REFINANCING FAILURE</v>
      </c>
    </row>
    <row r="872" customFormat="false" ht="15" hidden="false" customHeight="false" outlineLevel="0" collapsed="false">
      <c r="A872" s="3" t="s">
        <v>388</v>
      </c>
      <c r="C872" s="3" t="str">
        <f aca="false">IF(SUM($G$809:$K$809)=0,"n/a",IF(C870&gt;=C869-0.001,"Repaid from cash",IF(SUMPRODUCT($G$809:$K$809,$G$702:$K$702)&gt;0,IF(C870&gt;0,"Partly repaid; remainder refinanced","Refinanced"),IF(SUM($G$818:$K$818)&gt;0.001,IF(C870&gt;0,"Partial repayment; PAYMENT DEFAULT","PAYMENT DEFAULT"),"Repaid from cash"))))</f>
        <v>PAYMENT DEFAULT</v>
      </c>
    </row>
    <row r="873" customFormat="false" ht="15" hidden="false" customHeight="false" outlineLevel="0" collapsed="false">
      <c r="A873" s="3" t="s">
        <v>389</v>
      </c>
      <c r="C873" s="16" t="n">
        <f aca="false">SUMPRODUCT($G$822:$K$822,$G$821:$K$821-$G$827:$K$827+$G$826:$K$826)</f>
        <v>0</v>
      </c>
    </row>
    <row r="874" customFormat="false" ht="15" hidden="false" customHeight="false" outlineLevel="0" collapsed="false">
      <c r="A874" s="3" t="s">
        <v>390</v>
      </c>
      <c r="C874" s="16" t="n">
        <f aca="false">SUMPRODUCT($G$822:$K$822,$G$829:$K$829)</f>
        <v>0</v>
      </c>
    </row>
    <row r="875" customFormat="false" ht="15" hidden="false" customHeight="false" outlineLevel="0" collapsed="false">
      <c r="A875" s="3" t="s">
        <v>391</v>
      </c>
      <c r="C875" s="3" t="str">
        <f aca="false">IF(SUM($G$822:$K$822)=0,"n/a (beyond horizon)",IF(SUMPRODUCT($G$822:$K$822,$G$702:$K$702)&gt;0,"REFINANCING PASS","REFINANCING FAILURE"))</f>
        <v>n/a (beyond horizon)</v>
      </c>
    </row>
    <row r="876" customFormat="false" ht="15" hidden="false" customHeight="false" outlineLevel="0" collapsed="false">
      <c r="A876" s="3" t="s">
        <v>392</v>
      </c>
      <c r="C876" s="3" t="str">
        <f aca="false">IF(SUM($G$822:$K$822)=0,"n/a",IF(C874&gt;=C873-0.001,"Repaid from cash",IF(SUMPRODUCT($G$822:$K$822,$G$702:$K$702)&gt;0,IF(C874&gt;0,"Partly repaid; remainder refinanced","Refinanced"),IF(SUM($G$831:$K$831)&gt;0.001,IF(C874&gt;0,"Partial repayment; PAYMENT DEFAULT","PAYMENT DEFAULT"),"Repaid from cash"))))</f>
        <v>n/a</v>
      </c>
    </row>
    <row r="877" customFormat="false" ht="15" hidden="false" customHeight="false" outlineLevel="0" collapsed="false">
      <c r="A877" s="3" t="s">
        <v>393</v>
      </c>
      <c r="C877" s="21" t="n">
        <f aca="false">IF(C839="REFINANCING FAILURE",1,0)+IF(C843="REFINANCING FAILURE",1,0)+IF(C847="REFINANCING FAILURE",1,0)+IF(C851="REFINANCING FAILURE",1,0)+IF(C855="REFINANCING FAILURE",1,0)+IF(C859="REFINANCING FAILURE",1,0)+IF(C863="REFINANCING FAILURE",1,0)+IF(C867="REFINANCING FAILURE",1,0)+IF(C871="REFINANCING FAILURE",1,0)+IF(C875="REFINANCING FAILURE",1,0)</f>
        <v>7</v>
      </c>
    </row>
    <row r="879" customFormat="false" ht="15" hidden="false" customHeight="false" outlineLevel="0" collapsed="false">
      <c r="A879" s="24" t="s">
        <v>395</v>
      </c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customFormat="false" ht="15" hidden="false" customHeight="false" outlineLevel="0" collapsed="false">
      <c r="A880" s="3" t="s">
        <v>325</v>
      </c>
      <c r="G880" s="16" t="n">
        <f aca="false">F892</f>
        <v>37.87</v>
      </c>
      <c r="H880" s="16" t="n">
        <f aca="false">G892</f>
        <v>122.9474204</v>
      </c>
      <c r="I880" s="16" t="n">
        <f aca="false">H892</f>
        <v>0</v>
      </c>
      <c r="J880" s="16" t="n">
        <f aca="false">I892</f>
        <v>-70.8793844172995</v>
      </c>
      <c r="K880" s="16" t="n">
        <f aca="false">J892</f>
        <v>-137.895771657719</v>
      </c>
    </row>
    <row r="881" customFormat="false" ht="15" hidden="false" customHeight="false" outlineLevel="0" collapsed="false">
      <c r="A881" s="3" t="s">
        <v>396</v>
      </c>
      <c r="G881" s="16" t="n">
        <f aca="false">G691</f>
        <v>-60.9225796</v>
      </c>
      <c r="H881" s="16" t="n">
        <f aca="false">H691</f>
        <v>-70.393778281</v>
      </c>
      <c r="I881" s="16" t="n">
        <f aca="false">I691</f>
        <v>-66.8793844172995</v>
      </c>
      <c r="J881" s="16" t="n">
        <f aca="false">J691</f>
        <v>-63.0163872404195</v>
      </c>
      <c r="K881" s="16" t="n">
        <f aca="false">K691</f>
        <v>-59.0959158342138</v>
      </c>
    </row>
    <row r="882" customFormat="false" ht="15" hidden="false" customHeight="false" outlineLevel="0" collapsed="false">
      <c r="A882" s="3" t="s">
        <v>397</v>
      </c>
      <c r="G882" s="16" t="n">
        <f aca="false">CHOOSE($C$661,Assumptions!$G$82,Assumptions!$G$101,Assumptions!$G$120)</f>
        <v>150</v>
      </c>
      <c r="H882" s="16" t="n">
        <f aca="false">CHOOSE($C$661,Assumptions!$H$82,Assumptions!$H$101,Assumptions!$H$120)</f>
        <v>0</v>
      </c>
      <c r="I882" s="16" t="n">
        <f aca="false">CHOOSE($C$661,Assumptions!$I$82,Assumptions!$I$101,Assumptions!$I$120)</f>
        <v>0</v>
      </c>
      <c r="J882" s="16" t="n">
        <f aca="false">CHOOSE($C$661,Assumptions!$J$82,Assumptions!$J$101,Assumptions!$J$120)</f>
        <v>0</v>
      </c>
      <c r="K882" s="16" t="n">
        <f aca="false">CHOOSE($C$661,Assumptions!$K$82,Assumptions!$K$101,Assumptions!$K$120)</f>
        <v>0</v>
      </c>
    </row>
    <row r="883" customFormat="false" ht="15" hidden="false" customHeight="false" outlineLevel="0" collapsed="false">
      <c r="A883" s="3" t="s">
        <v>398</v>
      </c>
      <c r="G883" s="16" t="n">
        <f aca="false">G710+G723+G736+G749+G762+G775+G788+G801+G814+G827</f>
        <v>4</v>
      </c>
      <c r="H883" s="16" t="n">
        <f aca="false">H710+H723+H736+H749+H762+H775+H788+H801+H814+H827</f>
        <v>4</v>
      </c>
      <c r="I883" s="16" t="n">
        <f aca="false">I710+I723+I736+I749+I762+I775+I788+I801+I814+I827</f>
        <v>4</v>
      </c>
      <c r="J883" s="16" t="n">
        <f aca="false">J710+J723+J736+J749+J762+J775+J788+J801+J814+J827</f>
        <v>4</v>
      </c>
      <c r="K883" s="16" t="n">
        <f aca="false">K710+K723+K736+K749+K762+K775+K788+K801+K814+K827</f>
        <v>4</v>
      </c>
    </row>
    <row r="884" customFormat="false" ht="15" hidden="false" customHeight="false" outlineLevel="0" collapsed="false">
      <c r="A884" s="2" t="s">
        <v>399</v>
      </c>
      <c r="G884" s="17" t="n">
        <f aca="false">G880+G881+G882-G883</f>
        <v>122.9474204</v>
      </c>
      <c r="H884" s="17" t="n">
        <f aca="false">H880+H881+H882-H883</f>
        <v>48.553642119</v>
      </c>
      <c r="I884" s="17" t="n">
        <f aca="false">I880+I881+I882-I883</f>
        <v>-70.8793844172995</v>
      </c>
      <c r="J884" s="17" t="n">
        <f aca="false">J880+J881+J882-J883</f>
        <v>-137.895771657719</v>
      </c>
      <c r="K884" s="17" t="n">
        <f aca="false">K880+K881+K882-K883</f>
        <v>-200.991687491933</v>
      </c>
    </row>
    <row r="885" customFormat="false" ht="15" hidden="false" customHeight="false" outlineLevel="0" collapsed="false">
      <c r="A885" s="3" t="s">
        <v>400</v>
      </c>
      <c r="G885" s="16" t="n">
        <f aca="false">G711+G724+G737+G750+G763+G776+G789+G802+G815+G828</f>
        <v>0</v>
      </c>
      <c r="H885" s="16" t="n">
        <f aca="false">H711+H724+H737+H750+H763+H776+H789+H802+H815+H828</f>
        <v>0</v>
      </c>
      <c r="I885" s="16" t="n">
        <f aca="false">I711+I724+I737+I750+I763+I776+I789+I802+I815+I828</f>
        <v>0</v>
      </c>
      <c r="J885" s="16" t="n">
        <f aca="false">J711+J724+J737+J750+J763+J776+J789+J802+J815+J828</f>
        <v>0</v>
      </c>
      <c r="K885" s="16" t="n">
        <f aca="false">K711+K724+K737+K750+K763+K776+K789+K802+K815+K828</f>
        <v>0</v>
      </c>
    </row>
    <row r="886" customFormat="false" ht="15" hidden="false" customHeight="false" outlineLevel="0" collapsed="false">
      <c r="A886" s="2" t="s">
        <v>401</v>
      </c>
      <c r="G886" s="17" t="n">
        <f aca="false">G884+G885</f>
        <v>122.9474204</v>
      </c>
      <c r="H886" s="17" t="n">
        <f aca="false">H884+H885</f>
        <v>48.553642119</v>
      </c>
      <c r="I886" s="17" t="n">
        <f aca="false">I884+I885</f>
        <v>-70.8793844172995</v>
      </c>
      <c r="J886" s="17" t="n">
        <f aca="false">J884+J885</f>
        <v>-137.895771657719</v>
      </c>
      <c r="K886" s="17" t="n">
        <f aca="false">K884+K885</f>
        <v>-200.991687491933</v>
      </c>
    </row>
    <row r="887" customFormat="false" ht="15" hidden="false" customHeight="false" outlineLevel="0" collapsed="false">
      <c r="A887" s="3" t="s">
        <v>402</v>
      </c>
      <c r="G887" s="16" t="n">
        <f aca="false">G712+G725+G738+G751+G764+G777+G790+G803+G816+G829</f>
        <v>0</v>
      </c>
      <c r="H887" s="16" t="n">
        <f aca="false">H712+H725+H738+H751+H764+H777+H790+H803+H816+H829</f>
        <v>48.553642119</v>
      </c>
      <c r="I887" s="16" t="n">
        <f aca="false">I712+I725+I738+I751+I764+I777+I790+I803+I816+I829</f>
        <v>0</v>
      </c>
      <c r="J887" s="16" t="n">
        <f aca="false">J712+J725+J738+J751+J764+J777+J790+J803+J816+J829</f>
        <v>0</v>
      </c>
      <c r="K887" s="16" t="n">
        <f aca="false">K712+K725+K738+K751+K764+K777+K790+K803+K816+K829</f>
        <v>0</v>
      </c>
    </row>
    <row r="888" customFormat="false" ht="15" hidden="false" customHeight="false" outlineLevel="0" collapsed="false">
      <c r="A888" s="2" t="s">
        <v>403</v>
      </c>
      <c r="G888" s="17" t="n">
        <f aca="false">G886-G887</f>
        <v>122.9474204</v>
      </c>
      <c r="H888" s="17" t="n">
        <f aca="false">H886-H887</f>
        <v>0</v>
      </c>
      <c r="I888" s="17" t="n">
        <f aca="false">I886-I887</f>
        <v>-70.8793844172995</v>
      </c>
      <c r="J888" s="17" t="n">
        <f aca="false">J886-J887</f>
        <v>-137.895771657719</v>
      </c>
      <c r="K888" s="17" t="n">
        <f aca="false">K886-K887</f>
        <v>-200.991687491933</v>
      </c>
    </row>
    <row r="889" customFormat="false" ht="15" hidden="false" customHeight="false" outlineLevel="0" collapsed="false">
      <c r="A889" s="3" t="s">
        <v>404</v>
      </c>
      <c r="G889" s="16" t="n">
        <f aca="false">MAX(0,-G888)</f>
        <v>0</v>
      </c>
      <c r="H889" s="16" t="n">
        <f aca="false">MAX(0,-H888)</f>
        <v>-0</v>
      </c>
      <c r="I889" s="16" t="n">
        <f aca="false">MAX(0,-I888)</f>
        <v>70.8793844172995</v>
      </c>
      <c r="J889" s="16" t="n">
        <f aca="false">MAX(0,-J888)</f>
        <v>137.895771657719</v>
      </c>
      <c r="K889" s="16" t="n">
        <f aca="false">MAX(0,-K888)</f>
        <v>200.991687491933</v>
      </c>
    </row>
    <row r="890" customFormat="false" ht="15" hidden="false" customHeight="false" outlineLevel="0" collapsed="false">
      <c r="A890" s="3" t="s">
        <v>405</v>
      </c>
      <c r="G890" s="16" t="n">
        <f aca="false">MAX(0,G888-Assumptions!$C$12)*Assumptions!$C$13</f>
        <v>0</v>
      </c>
      <c r="H890" s="16" t="n">
        <f aca="false">MAX(0,H888-Assumptions!$C$12)*Assumptions!$C$13</f>
        <v>0</v>
      </c>
      <c r="I890" s="16" t="n">
        <f aca="false">MAX(0,I888-Assumptions!$C$12)*Assumptions!$C$13</f>
        <v>0</v>
      </c>
      <c r="J890" s="16" t="n">
        <f aca="false">MAX(0,J888-Assumptions!$C$12)*Assumptions!$C$13</f>
        <v>0</v>
      </c>
      <c r="K890" s="16" t="n">
        <f aca="false">MAX(0,K888-Assumptions!$C$12)*Assumptions!$C$13</f>
        <v>0</v>
      </c>
    </row>
    <row r="891" customFormat="false" ht="15" hidden="false" customHeight="false" outlineLevel="0" collapsed="false">
      <c r="A891" s="3" t="s">
        <v>406</v>
      </c>
      <c r="G891" s="16" t="n">
        <f aca="false">G713+G726+G739+G752+G765+G778+G791+G804+G817+G830</f>
        <v>0</v>
      </c>
      <c r="H891" s="16" t="n">
        <f aca="false">H713+H726+H739+H752+H765+H778+H791+H804+H817+H830</f>
        <v>0</v>
      </c>
      <c r="I891" s="16" t="n">
        <f aca="false">I713+I726+I739+I752+I765+I778+I791+I804+I817+I830</f>
        <v>0</v>
      </c>
      <c r="J891" s="16" t="n">
        <f aca="false">J713+J726+J739+J752+J765+J778+J791+J804+J817+J830</f>
        <v>0</v>
      </c>
      <c r="K891" s="16" t="n">
        <f aca="false">K713+K726+K739+K752+K765+K778+K791+K804+K817+K830</f>
        <v>0</v>
      </c>
    </row>
    <row r="892" customFormat="false" ht="15" hidden="false" customHeight="false" outlineLevel="0" collapsed="false">
      <c r="A892" s="2" t="s">
        <v>407</v>
      </c>
      <c r="F892" s="28" t="n">
        <f aca="false">Assumptions!$C$11</f>
        <v>37.87</v>
      </c>
      <c r="G892" s="17" t="n">
        <f aca="false">G888-G891</f>
        <v>122.9474204</v>
      </c>
      <c r="H892" s="17" t="n">
        <f aca="false">H888-H891</f>
        <v>0</v>
      </c>
      <c r="I892" s="17" t="n">
        <f aca="false">I888-I891</f>
        <v>-70.8793844172995</v>
      </c>
      <c r="J892" s="17" t="n">
        <f aca="false">J888-J891</f>
        <v>-137.895771657719</v>
      </c>
      <c r="K892" s="17" t="n">
        <f aca="false">K888-K891</f>
        <v>-200.991687491933</v>
      </c>
    </row>
    <row r="893" customFormat="false" ht="15" hidden="false" customHeight="false" outlineLevel="0" collapsed="false">
      <c r="A893" s="3" t="s">
        <v>408</v>
      </c>
      <c r="G893" s="16" t="n">
        <f aca="false">G714+G727+G740+G753+G766+G779+G792+G805+G818+G831</f>
        <v>0</v>
      </c>
      <c r="H893" s="16" t="n">
        <f aca="false">H714+H727+H740+H753+H766+H779+H792+H805+H818+H831</f>
        <v>751.446357881</v>
      </c>
      <c r="I893" s="16" t="n">
        <f aca="false">I714+I727+I740+I753+I766+I779+I792+I805+I818+I831</f>
        <v>550</v>
      </c>
      <c r="J893" s="16" t="n">
        <f aca="false">J714+J727+J740+J753+J766+J779+J792+J805+J818+J831</f>
        <v>350</v>
      </c>
      <c r="K893" s="16" t="n">
        <f aca="false">K714+K727+K740+K753+K766+K779+K792+K805+K818+K831</f>
        <v>680</v>
      </c>
    </row>
    <row r="894" customFormat="false" ht="15" hidden="false" customHeight="false" outlineLevel="0" collapsed="false">
      <c r="A894" s="3" t="s">
        <v>409</v>
      </c>
      <c r="G894" s="21" t="n">
        <f aca="false">IF(OR(G889&gt;0.001,G893&gt;0.001),1,0)</f>
        <v>0</v>
      </c>
      <c r="H894" s="21" t="n">
        <f aca="false">IF(OR(H889&gt;0.001,H893&gt;0.001),1,0)</f>
        <v>1</v>
      </c>
      <c r="I894" s="21" t="n">
        <f aca="false">IF(OR(I889&gt;0.001,I893&gt;0.001),1,0)</f>
        <v>1</v>
      </c>
      <c r="J894" s="21" t="n">
        <f aca="false">IF(OR(J889&gt;0.001,J893&gt;0.001),1,0)</f>
        <v>1</v>
      </c>
      <c r="K894" s="21" t="n">
        <f aca="false">IF(OR(K889&gt;0.001,K893&gt;0.001),1,0)</f>
        <v>1</v>
      </c>
    </row>
    <row r="895" customFormat="false" ht="15" hidden="false" customHeight="false" outlineLevel="0" collapsed="false">
      <c r="A895" s="3" t="s">
        <v>410</v>
      </c>
      <c r="G895" s="21" t="n">
        <f aca="false">IF(G894=1,1,0)</f>
        <v>0</v>
      </c>
      <c r="H895" s="21" t="n">
        <f aca="false">IF(AND(H894=1,SUM($G$894:G894)=0),1,0)</f>
        <v>1</v>
      </c>
      <c r="I895" s="21" t="n">
        <f aca="false">IF(AND(I894=1,SUM($G$894:H894)=0),1,0)</f>
        <v>0</v>
      </c>
      <c r="J895" s="21" t="n">
        <f aca="false">IF(AND(J894=1,SUM($G$894:I894)=0),1,0)</f>
        <v>0</v>
      </c>
      <c r="K895" s="21" t="n">
        <f aca="false">IF(AND(K894=1,SUM($G$894:J894)=0),1,0)</f>
        <v>0</v>
      </c>
    </row>
    <row r="896" customFormat="false" ht="15" hidden="false" customHeight="false" outlineLevel="0" collapsed="false">
      <c r="A896" s="3" t="s">
        <v>411</v>
      </c>
      <c r="G896" s="16" t="n">
        <f aca="false">(G834-F834)-(G885+G683-G883-G887-G891)</f>
        <v>0</v>
      </c>
      <c r="H896" s="16" t="n">
        <f aca="false">(H834-G834)-(H885+H683-H883-H887-H891)</f>
        <v>-3.83693077310454E-013</v>
      </c>
      <c r="I896" s="16" t="n">
        <f aca="false">(I834-H834)-(I885+I683-I883-I887-I891)</f>
        <v>0</v>
      </c>
      <c r="J896" s="16" t="n">
        <f aca="false">(J834-I834)-(J885+J683-J883-J887-J891)</f>
        <v>0</v>
      </c>
      <c r="K896" s="16" t="n">
        <f aca="false">(K834-J834)-(K885+K683-K883-K887-K891)</f>
        <v>0</v>
      </c>
    </row>
    <row r="898" customFormat="false" ht="15" hidden="false" customHeight="false" outlineLevel="0" collapsed="false">
      <c r="A898" s="24" t="s">
        <v>413</v>
      </c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customFormat="false" ht="15" hidden="false" customHeight="false" outlineLevel="0" collapsed="false">
      <c r="A899" s="3" t="s">
        <v>414</v>
      </c>
      <c r="G899" s="16" t="n">
        <f aca="false">G834</f>
        <v>2621.934</v>
      </c>
      <c r="H899" s="16" t="n">
        <f aca="false">H834</f>
        <v>2569.380357881</v>
      </c>
      <c r="I899" s="16" t="n">
        <f aca="false">I834</f>
        <v>2565.380357881</v>
      </c>
      <c r="J899" s="16" t="n">
        <f aca="false">J834</f>
        <v>2561.380357881</v>
      </c>
      <c r="K899" s="16" t="n">
        <f aca="false">K834</f>
        <v>2557.380357881</v>
      </c>
    </row>
    <row r="900" customFormat="false" ht="15" hidden="false" customHeight="false" outlineLevel="0" collapsed="false">
      <c r="A900" s="3" t="s">
        <v>415</v>
      </c>
      <c r="G900" s="16" t="n">
        <f aca="false">Assumptions!$O$57*G715+Assumptions!$O$58*G728+Assumptions!$O$59*G741+Assumptions!$O$60*G754+Assumptions!$O$61*G767+Assumptions!$O$62*G780+Assumptions!$O$63*G793+Assumptions!$O$64*G806+Assumptions!$O$65*G819+Assumptions!$O$66*G832</f>
        <v>543.324</v>
      </c>
      <c r="H900" s="16" t="n">
        <f aca="false">Assumptions!$O$57*H715+Assumptions!$O$58*H728+Assumptions!$O$59*H741+Assumptions!$O$60*H754+Assumptions!$O$61*H767+Assumptions!$O$62*H780+Assumptions!$O$63*H793+Assumptions!$O$64*H806+Assumptions!$O$65*H819+Assumptions!$O$66*H832</f>
        <v>539.324</v>
      </c>
      <c r="I900" s="16" t="n">
        <f aca="false">Assumptions!$O$57*I715+Assumptions!$O$58*I728+Assumptions!$O$59*I741+Assumptions!$O$60*I754+Assumptions!$O$61*I767+Assumptions!$O$62*I780+Assumptions!$O$63*I793+Assumptions!$O$64*I806+Assumptions!$O$65*I819+Assumptions!$O$66*I832</f>
        <v>535.324</v>
      </c>
      <c r="J900" s="16" t="n">
        <f aca="false">Assumptions!$O$57*J715+Assumptions!$O$58*J728+Assumptions!$O$59*J741+Assumptions!$O$60*J754+Assumptions!$O$61*J767+Assumptions!$O$62*J780+Assumptions!$O$63*J793+Assumptions!$O$64*J806+Assumptions!$O$65*J819+Assumptions!$O$66*J832</f>
        <v>531.324</v>
      </c>
      <c r="K900" s="16" t="n">
        <f aca="false">Assumptions!$O$57*K715+Assumptions!$O$58*K728+Assumptions!$O$59*K741+Assumptions!$O$60*K754+Assumptions!$O$61*K767+Assumptions!$O$62*K780+Assumptions!$O$63*K793+Assumptions!$O$64*K806+Assumptions!$O$65*K819+Assumptions!$O$66*K832</f>
        <v>527.324</v>
      </c>
    </row>
    <row r="901" customFormat="false" ht="15" hidden="false" customHeight="false" outlineLevel="0" collapsed="false">
      <c r="A901" s="3" t="s">
        <v>416</v>
      </c>
      <c r="G901" s="16" t="n">
        <f aca="false">G899-G892</f>
        <v>2498.9865796</v>
      </c>
      <c r="H901" s="16" t="n">
        <f aca="false">H899-H892</f>
        <v>2569.380357881</v>
      </c>
      <c r="I901" s="16" t="n">
        <f aca="false">I899-I892</f>
        <v>2636.2597422983</v>
      </c>
      <c r="J901" s="16" t="n">
        <f aca="false">J899-J892</f>
        <v>2699.27612953872</v>
      </c>
      <c r="K901" s="16" t="n">
        <f aca="false">K899-K892</f>
        <v>2758.37204537293</v>
      </c>
    </row>
    <row r="902" customFormat="false" ht="15" hidden="false" customHeight="false" outlineLevel="0" collapsed="false">
      <c r="A902" s="3" t="s">
        <v>417</v>
      </c>
      <c r="G902" s="32" t="n">
        <f aca="false">IF(G678&gt;0,G899/G678,0)</f>
        <v>11.1954319438308</v>
      </c>
      <c r="H902" s="32" t="n">
        <f aca="false">IF(H678&gt;0,H899/H678,0)</f>
        <v>11.6601471215067</v>
      </c>
      <c r="I902" s="32" t="n">
        <f aca="false">IF(I678&gt;0,I899/I678,0)</f>
        <v>11.6419946559354</v>
      </c>
      <c r="J902" s="32" t="n">
        <f aca="false">IF(J678&gt;0,J899/J678,0)</f>
        <v>11.3913183720481</v>
      </c>
      <c r="K902" s="32" t="n">
        <f aca="false">IF(K678&gt;0,K899/K678,0)</f>
        <v>11.14717316588</v>
      </c>
    </row>
    <row r="903" customFormat="false" ht="15" hidden="false" customHeight="false" outlineLevel="0" collapsed="false">
      <c r="A903" s="3" t="s">
        <v>418</v>
      </c>
      <c r="G903" s="32" t="n">
        <f aca="false">IF(G678&gt;0,G901/G678,0)</f>
        <v>10.6704570673626</v>
      </c>
      <c r="H903" s="32" t="n">
        <f aca="false">IF(H678&gt;0,H901/H678,0)</f>
        <v>11.6601471215067</v>
      </c>
      <c r="I903" s="32" t="n">
        <f aca="false">IF(I678&gt;0,I901/I678,0)</f>
        <v>11.9636535522731</v>
      </c>
      <c r="J903" s="32" t="n">
        <f aca="false">IF(J678&gt;0,J901/J678,0)</f>
        <v>12.0045871637288</v>
      </c>
      <c r="K903" s="32" t="n">
        <f aca="false">IF(K678&gt;0,K901/K678,0)</f>
        <v>12.0232607366907</v>
      </c>
    </row>
    <row r="904" customFormat="false" ht="15" hidden="false" customHeight="false" outlineLevel="0" collapsed="false">
      <c r="A904" s="3" t="s">
        <v>419</v>
      </c>
      <c r="G904" s="32" t="n">
        <f aca="false">IF(G682&gt;0,G678/G682,0)</f>
        <v>1.24979041307388</v>
      </c>
      <c r="H904" s="32" t="n">
        <f aca="false">IF(H682&gt;0,H678/H682,0)</f>
        <v>1.18311222526984</v>
      </c>
      <c r="I904" s="32" t="n">
        <f aca="false">IF(I682&gt;0,I678/I682,0)</f>
        <v>1.20586587186349</v>
      </c>
      <c r="J904" s="32" t="n">
        <f aca="false">IF(J682&gt;0,J678/J682,0)</f>
        <v>1.23324745076441</v>
      </c>
      <c r="K904" s="32" t="n">
        <f aca="false">IF(K682&gt;0,K678/K682,0)</f>
        <v>1.26112583435714</v>
      </c>
    </row>
    <row r="905" customFormat="false" ht="15" hidden="false" customHeight="false" outlineLevel="0" collapsed="false">
      <c r="A905" s="3" t="s">
        <v>420</v>
      </c>
      <c r="G905" s="32" t="n">
        <f aca="false">IF(G682&gt;0,G681/G682,0)</f>
        <v>0.320303767681135</v>
      </c>
      <c r="H905" s="32" t="n">
        <f aca="false">IF(H682&gt;0,H681/H682,0)</f>
        <v>0.27600176891797</v>
      </c>
      <c r="I905" s="32" t="n">
        <f aca="false">IF(I682&gt;0,I681/I682,0)</f>
        <v>0.281309842467585</v>
      </c>
      <c r="J905" s="32" t="n">
        <f aca="false">IF(J682&gt;0,J681/J682,0)</f>
        <v>0.297346009456427</v>
      </c>
      <c r="K905" s="32" t="n">
        <f aca="false">IF(K682&gt;0,K681/K682,0)</f>
        <v>0.313734968638568</v>
      </c>
    </row>
    <row r="906" customFormat="false" ht="15" hidden="false" customHeight="false" outlineLevel="0" collapsed="false">
      <c r="A906" s="3" t="s">
        <v>213</v>
      </c>
      <c r="G906" s="22" t="n">
        <f aca="false">IF(G899&gt;0,G691/G899,0)</f>
        <v>-0.0232357410979834</v>
      </c>
      <c r="H906" s="22" t="n">
        <f aca="false">IF(H899&gt;0,H691/H899,0)</f>
        <v>-0.0273971808280867</v>
      </c>
      <c r="I906" s="22" t="n">
        <f aca="false">IF(I899&gt;0,I691/I899,0)</f>
        <v>-0.0260699682258976</v>
      </c>
      <c r="J906" s="22" t="n">
        <f aca="false">IF(J899&gt;0,J691/J899,0)</f>
        <v>-0.0246025105355896</v>
      </c>
      <c r="K906" s="22" t="n">
        <f aca="false">IF(K899&gt;0,K691/K899,0)</f>
        <v>-0.0231079884742603</v>
      </c>
    </row>
    <row r="907" customFormat="false" ht="15" hidden="false" customHeight="false" outlineLevel="0" collapsed="false">
      <c r="A907" s="3" t="s">
        <v>421</v>
      </c>
      <c r="G907" s="32" t="n">
        <f aca="false">IF(G682+G883&gt;0,(G678-G689-G686)/(G682+G883),0)</f>
        <v>0.783148779220797</v>
      </c>
      <c r="H907" s="32" t="n">
        <f aca="false">IF(H682+H883&gt;0,(H678-H689-H686)/(H682+H883),0)</f>
        <v>0.728376128313333</v>
      </c>
      <c r="I907" s="32" t="n">
        <f aca="false">IF(I682+I883&gt;0,(I678-I689-I686)/(I682+I883),0)</f>
        <v>0.742084215548814</v>
      </c>
      <c r="J907" s="32" t="n">
        <f aca="false">IF(J682+J883&gt;0,(J678-J689-J686)/(J682+J883),0)</f>
        <v>0.763468302110309</v>
      </c>
      <c r="K907" s="32" t="n">
        <f aca="false">IF(K682+K883&gt;0,(K678-K689-K686)/(K682+K883),0)</f>
        <v>0.785268063869781</v>
      </c>
    </row>
    <row r="908" customFormat="false" ht="15" hidden="false" customHeight="false" outlineLevel="0" collapsed="false">
      <c r="A908" s="3" t="s">
        <v>422</v>
      </c>
      <c r="G908" s="16" t="n">
        <f aca="false">MAX(0,G892)+Assumptions!$P$57*MAX(0,Assumptions!$D$57-G715)+Assumptions!$P$58*MAX(0,Assumptions!$D$58-G728)+Assumptions!$P$59*MAX(0,Assumptions!$D$59-G741)+Assumptions!$P$60*MAX(0,Assumptions!$D$60-G754)+Assumptions!$P$61*MAX(0,Assumptions!$D$61-G767)+Assumptions!$P$62*MAX(0,Assumptions!$D$62-G780)+Assumptions!$P$63*MAX(0,Assumptions!$D$63-G793)+Assumptions!$P$64*MAX(0,Assumptions!$D$64-G806)+Assumptions!$P$65*MAX(0,Assumptions!$D$65-G819)+Assumptions!$P$66*MAX(0,Assumptions!$D$66-G832)</f>
        <v>697.4474204</v>
      </c>
      <c r="H908" s="16" t="n">
        <f aca="false">MAX(0,H892)+Assumptions!$P$57*MAX(0,Assumptions!$D$57-H715)+Assumptions!$P$58*MAX(0,Assumptions!$D$58-H728)+Assumptions!$P$59*MAX(0,Assumptions!$D$59-H741)+Assumptions!$P$60*MAX(0,Assumptions!$D$60-H754)+Assumptions!$P$61*MAX(0,Assumptions!$D$61-H767)+Assumptions!$P$62*MAX(0,Assumptions!$D$62-H780)+Assumptions!$P$63*MAX(0,Assumptions!$D$63-H793)+Assumptions!$P$64*MAX(0,Assumptions!$D$64-H806)+Assumptions!$P$65*MAX(0,Assumptions!$D$65-H819)+Assumptions!$P$66*MAX(0,Assumptions!$D$66-H832)</f>
        <v>574.5</v>
      </c>
      <c r="I908" s="16" t="n">
        <f aca="false">MAX(0,I892)+Assumptions!$P$57*MAX(0,Assumptions!$D$57-I715)+Assumptions!$P$58*MAX(0,Assumptions!$D$58-I728)+Assumptions!$P$59*MAX(0,Assumptions!$D$59-I741)+Assumptions!$P$60*MAX(0,Assumptions!$D$60-I754)+Assumptions!$P$61*MAX(0,Assumptions!$D$61-I767)+Assumptions!$P$62*MAX(0,Assumptions!$D$62-I780)+Assumptions!$P$63*MAX(0,Assumptions!$D$63-I793)+Assumptions!$P$64*MAX(0,Assumptions!$D$64-I806)+Assumptions!$P$65*MAX(0,Assumptions!$D$65-I819)+Assumptions!$P$66*MAX(0,Assumptions!$D$66-I832)</f>
        <v>574.5</v>
      </c>
      <c r="J908" s="16" t="n">
        <f aca="false">MAX(0,J892)+Assumptions!$P$57*MAX(0,Assumptions!$D$57-J715)+Assumptions!$P$58*MAX(0,Assumptions!$D$58-J728)+Assumptions!$P$59*MAX(0,Assumptions!$D$59-J741)+Assumptions!$P$60*MAX(0,Assumptions!$D$60-J754)+Assumptions!$P$61*MAX(0,Assumptions!$D$61-J767)+Assumptions!$P$62*MAX(0,Assumptions!$D$62-J780)+Assumptions!$P$63*MAX(0,Assumptions!$D$63-J793)+Assumptions!$P$64*MAX(0,Assumptions!$D$64-J806)+Assumptions!$P$65*MAX(0,Assumptions!$D$65-J819)+Assumptions!$P$66*MAX(0,Assumptions!$D$66-J832)</f>
        <v>574.5</v>
      </c>
      <c r="K908" s="16" t="n">
        <f aca="false">MAX(0,K892)+Assumptions!$P$57*MAX(0,Assumptions!$D$57-K715)+Assumptions!$P$58*MAX(0,Assumptions!$D$58-K728)+Assumptions!$P$59*MAX(0,Assumptions!$D$59-K741)+Assumptions!$P$60*MAX(0,Assumptions!$D$60-K754)+Assumptions!$P$61*MAX(0,Assumptions!$D$61-K767)+Assumptions!$P$62*MAX(0,Assumptions!$D$62-K780)+Assumptions!$P$63*MAX(0,Assumptions!$D$63-K793)+Assumptions!$P$64*MAX(0,Assumptions!$D$64-K806)+Assumptions!$P$65*MAX(0,Assumptions!$D$65-K819)+Assumptions!$P$66*MAX(0,Assumptions!$D$66-K832)</f>
        <v>574.5</v>
      </c>
    </row>
    <row r="909" customFormat="false" ht="15" hidden="false" customHeight="false" outlineLevel="0" collapsed="false">
      <c r="A909" s="3" t="s">
        <v>423</v>
      </c>
      <c r="G909" s="22" t="n">
        <f aca="false">IF(G899&gt;0,G899/(G899+MAX(0,G678*CHOOSE($C$661,Assumptions!$C$90,Assumptions!$C$109,Assumptions!$C$128)-G901)),0)</f>
        <v>0.971406190801315</v>
      </c>
      <c r="H909" s="22" t="n">
        <f aca="false">IF(H899&gt;0,H899/(H899+MAX(0,H678*CHOOSE($C$661,Assumptions!$C$90,Assumptions!$C$109,Assumptions!$C$128)-H901)),0)</f>
        <v>1</v>
      </c>
      <c r="I909" s="22" t="n">
        <f aca="false">IF(I899&gt;0,I899/(I899+MAX(0,I678*CHOOSE($C$661,Assumptions!$C$90,Assumptions!$C$109,Assumptions!$C$128)-I901)),0)</f>
        <v>1</v>
      </c>
      <c r="J909" s="22" t="n">
        <f aca="false">IF(J899&gt;0,J899/(J899+MAX(0,J678*CHOOSE($C$661,Assumptions!$C$90,Assumptions!$C$109,Assumptions!$C$128)-J901)),0)</f>
        <v>1</v>
      </c>
      <c r="K909" s="22" t="n">
        <f aca="false">IF(K899&gt;0,K899/(K899+MAX(0,K678*CHOOSE($C$661,Assumptions!$C$90,Assumptions!$C$109,Assumptions!$C$128)-K901)),0)</f>
        <v>1</v>
      </c>
    </row>
    <row r="910" customFormat="false" ht="15" hidden="false" customHeight="false" outlineLevel="0" collapsed="false">
      <c r="A910" s="3" t="s">
        <v>424</v>
      </c>
      <c r="G910" s="22" t="n">
        <f aca="false">IF(G899&gt;0,MAX(0,G892)/G899,0)</f>
        <v>0.0468918822518034</v>
      </c>
      <c r="H910" s="22" t="n">
        <f aca="false">IF(H899&gt;0,MAX(0,H892)/H899,0)</f>
        <v>0</v>
      </c>
      <c r="I910" s="22" t="n">
        <f aca="false">IF(I899&gt;0,MAX(0,I892)/I899,0)</f>
        <v>0</v>
      </c>
      <c r="J910" s="22" t="n">
        <f aca="false">IF(J899&gt;0,MAX(0,J892)/J899,0)</f>
        <v>0</v>
      </c>
      <c r="K910" s="22" t="n">
        <f aca="false">IF(K899&gt;0,MAX(0,K892)/K899,0)</f>
        <v>0</v>
      </c>
    </row>
    <row r="911" customFormat="false" ht="15" hidden="false" customHeight="false" outlineLevel="0" collapsed="false">
      <c r="A911" s="3" t="s">
        <v>425</v>
      </c>
      <c r="G911" s="16" t="n">
        <f aca="false">Assumptions!$C$31*(1-CHOOSE($C$661,Assumptions!$C$93,Assumptions!$C$112,Assumptions!$C$131))</f>
        <v>3840.04556666667</v>
      </c>
      <c r="H911" s="16" t="n">
        <f aca="false">Assumptions!$C$31*(1-CHOOSE($C$661,Assumptions!$C$93,Assumptions!$C$112,Assumptions!$C$131))</f>
        <v>3840.04556666667</v>
      </c>
      <c r="I911" s="16" t="n">
        <f aca="false">Assumptions!$C$31*(1-CHOOSE($C$661,Assumptions!$C$93,Assumptions!$C$112,Assumptions!$C$131))</f>
        <v>3840.04556666667</v>
      </c>
      <c r="J911" s="16" t="n">
        <f aca="false">Assumptions!$C$31*(1-CHOOSE($C$661,Assumptions!$C$93,Assumptions!$C$112,Assumptions!$C$131))</f>
        <v>3840.04556666667</v>
      </c>
      <c r="K911" s="16" t="n">
        <f aca="false">Assumptions!$C$31*(1-CHOOSE($C$661,Assumptions!$C$93,Assumptions!$C$112,Assumptions!$C$131))</f>
        <v>3840.04556666667</v>
      </c>
    </row>
    <row r="912" customFormat="false" ht="15" hidden="false" customHeight="false" outlineLevel="0" collapsed="false">
      <c r="A912" s="24" t="s">
        <v>426</v>
      </c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customFormat="false" ht="15" hidden="false" customHeight="false" outlineLevel="0" collapsed="false">
      <c r="A913" s="24" t="s">
        <v>427</v>
      </c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customFormat="false" ht="15" hidden="false" customHeight="false" outlineLevel="0" collapsed="false">
      <c r="A914" s="3" t="s">
        <v>428</v>
      </c>
      <c r="G914" s="22" t="n">
        <f aca="false">IF(G911&gt;0,G899/G911,99)</f>
        <v>0.68278721032885</v>
      </c>
      <c r="H914" s="22" t="n">
        <f aca="false">IF(H911&gt;0,H899/H911,99)</f>
        <v>0.6691015284257</v>
      </c>
      <c r="I914" s="22" t="n">
        <f aca="false">IF(I911&gt;0,I899/I911,99)</f>
        <v>0.668059874119636</v>
      </c>
      <c r="J914" s="22" t="n">
        <f aca="false">IF(J911&gt;0,J899/J911,99)</f>
        <v>0.667018219813572</v>
      </c>
      <c r="K914" s="22" t="n">
        <f aca="false">IF(K911&gt;0,K899/K911,99)</f>
        <v>0.665976565507508</v>
      </c>
    </row>
    <row r="915" customFormat="false" ht="15" hidden="false" customHeight="false" outlineLevel="0" collapsed="false">
      <c r="A915" s="3" t="s">
        <v>429</v>
      </c>
      <c r="G915" s="33" t="n">
        <f aca="false">Assumptions!$G$71</f>
        <v>0.6</v>
      </c>
      <c r="H915" s="33" t="n">
        <f aca="false">Assumptions!$H$71</f>
        <v>0.6</v>
      </c>
      <c r="I915" s="33" t="n">
        <f aca="false">Assumptions!$I$71</f>
        <v>0.6</v>
      </c>
      <c r="J915" s="33" t="n">
        <f aca="false">Assumptions!$J$71</f>
        <v>0.6</v>
      </c>
      <c r="K915" s="33" t="n">
        <f aca="false">Assumptions!$K$71</f>
        <v>0.6</v>
      </c>
    </row>
    <row r="916" customFormat="false" ht="15" hidden="false" customHeight="false" outlineLevel="0" collapsed="false">
      <c r="A916" s="3" t="s">
        <v>430</v>
      </c>
      <c r="G916" s="22" t="n">
        <f aca="false">G915-G914</f>
        <v>-0.0827872103288497</v>
      </c>
      <c r="H916" s="22" t="n">
        <f aca="false">H915-H914</f>
        <v>-0.0691015284256999</v>
      </c>
      <c r="I916" s="22" t="n">
        <f aca="false">I915-I914</f>
        <v>-0.0680598741196361</v>
      </c>
      <c r="J916" s="22" t="n">
        <f aca="false">J915-J914</f>
        <v>-0.0670182198135721</v>
      </c>
      <c r="K916" s="22" t="n">
        <f aca="false">K915-K914</f>
        <v>-0.0659765655075082</v>
      </c>
    </row>
    <row r="917" customFormat="false" ht="15" hidden="false" customHeight="false" outlineLevel="0" collapsed="false">
      <c r="A917" s="3" t="s">
        <v>431</v>
      </c>
      <c r="G917" s="22" t="n">
        <f aca="false">IF(G915=0,0,G916/ABS(G915))</f>
        <v>-0.137978683881416</v>
      </c>
      <c r="H917" s="22" t="n">
        <f aca="false">IF(H915=0,0,H916/ABS(H915))</f>
        <v>-0.115169214042833</v>
      </c>
      <c r="I917" s="22" t="n">
        <f aca="false">IF(I915=0,0,I916/ABS(I915))</f>
        <v>-0.113433123532727</v>
      </c>
      <c r="J917" s="22" t="n">
        <f aca="false">IF(J915=0,0,J916/ABS(J915))</f>
        <v>-0.11169703302262</v>
      </c>
      <c r="K917" s="22" t="n">
        <f aca="false">IF(K915=0,0,K916/ABS(K915))</f>
        <v>-0.109960942512514</v>
      </c>
    </row>
    <row r="918" customFormat="false" ht="15" hidden="false" customHeight="false" outlineLevel="0" collapsed="false">
      <c r="A918" s="3" t="s">
        <v>432</v>
      </c>
      <c r="G918" s="21" t="n">
        <f aca="false">IF(G916&lt;0,1,0)</f>
        <v>1</v>
      </c>
      <c r="H918" s="21" t="n">
        <f aca="false">IF(H916&lt;0,1,0)</f>
        <v>1</v>
      </c>
      <c r="I918" s="21" t="n">
        <f aca="false">IF(I916&lt;0,1,0)</f>
        <v>1</v>
      </c>
      <c r="J918" s="21" t="n">
        <f aca="false">IF(J916&lt;0,1,0)</f>
        <v>1</v>
      </c>
      <c r="K918" s="21" t="n">
        <f aca="false">IF(K916&lt;0,1,0)</f>
        <v>1</v>
      </c>
    </row>
    <row r="919" customFormat="false" ht="15" hidden="false" customHeight="false" outlineLevel="0" collapsed="false">
      <c r="A919" s="3" t="s">
        <v>433</v>
      </c>
      <c r="C919" s="21" t="n">
        <f aca="false">IFERROR(INDEX($G$668:$K$668,MATCH(1,$G$918:$K$918,0)),0)</f>
        <v>2027</v>
      </c>
    </row>
    <row r="920" customFormat="false" ht="15" hidden="false" customHeight="false" outlineLevel="0" collapsed="false">
      <c r="A920" s="3" t="s">
        <v>434</v>
      </c>
      <c r="C920" s="22" t="n">
        <f aca="false">MIN($G$917:$K$917)</f>
        <v>-0.137978683881416</v>
      </c>
    </row>
    <row r="921" customFormat="false" ht="15" hidden="false" customHeight="false" outlineLevel="0" collapsed="false">
      <c r="A921" s="24" t="s">
        <v>435</v>
      </c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customFormat="false" ht="15" hidden="false" customHeight="false" outlineLevel="0" collapsed="false">
      <c r="A922" s="3" t="s">
        <v>428</v>
      </c>
      <c r="G922" s="32" t="n">
        <f aca="false">IF(G682&gt;0,G678/G682,99)</f>
        <v>1.24979041307388</v>
      </c>
      <c r="H922" s="32" t="n">
        <f aca="false">IF(H682&gt;0,H678/H682,99)</f>
        <v>1.18311222526984</v>
      </c>
      <c r="I922" s="32" t="n">
        <f aca="false">IF(I682&gt;0,I678/I682,99)</f>
        <v>1.20586587186349</v>
      </c>
      <c r="J922" s="32" t="n">
        <f aca="false">IF(J682&gt;0,J678/J682,99)</f>
        <v>1.23324745076441</v>
      </c>
      <c r="K922" s="32" t="n">
        <f aca="false">IF(K682&gt;0,K678/K682,99)</f>
        <v>1.26112583435714</v>
      </c>
    </row>
    <row r="923" customFormat="false" ht="15" hidden="false" customHeight="false" outlineLevel="0" collapsed="false">
      <c r="A923" s="3" t="s">
        <v>429</v>
      </c>
      <c r="G923" s="34" t="n">
        <f aca="false">Assumptions!$G$72</f>
        <v>1.5</v>
      </c>
      <c r="H923" s="34" t="n">
        <f aca="false">Assumptions!$H$72</f>
        <v>1.5</v>
      </c>
      <c r="I923" s="34" t="n">
        <f aca="false">Assumptions!$I$72</f>
        <v>1.5</v>
      </c>
      <c r="J923" s="34" t="n">
        <f aca="false">Assumptions!$J$72</f>
        <v>1.5</v>
      </c>
      <c r="K923" s="34" t="n">
        <f aca="false">Assumptions!$K$72</f>
        <v>1.5</v>
      </c>
    </row>
    <row r="924" customFormat="false" ht="15" hidden="false" customHeight="false" outlineLevel="0" collapsed="false">
      <c r="A924" s="3" t="s">
        <v>430</v>
      </c>
      <c r="G924" s="32" t="n">
        <f aca="false">G922-G923</f>
        <v>-0.250209586926116</v>
      </c>
      <c r="H924" s="32" t="n">
        <f aca="false">H922-H923</f>
        <v>-0.316887774730159</v>
      </c>
      <c r="I924" s="32" t="n">
        <f aca="false">I922-I923</f>
        <v>-0.294134128136513</v>
      </c>
      <c r="J924" s="32" t="n">
        <f aca="false">J922-J923</f>
        <v>-0.266752549235595</v>
      </c>
      <c r="K924" s="32" t="n">
        <f aca="false">K922-K923</f>
        <v>-0.238874165642862</v>
      </c>
    </row>
    <row r="925" customFormat="false" ht="15" hidden="false" customHeight="false" outlineLevel="0" collapsed="false">
      <c r="A925" s="3" t="s">
        <v>431</v>
      </c>
      <c r="G925" s="22" t="n">
        <f aca="false">IF(G923=0,0,G924/ABS(G923))</f>
        <v>-0.166806391284078</v>
      </c>
      <c r="H925" s="22" t="n">
        <f aca="false">IF(H923=0,0,H924/ABS(H923))</f>
        <v>-0.211258516486773</v>
      </c>
      <c r="I925" s="22" t="n">
        <f aca="false">IF(I923=0,0,I924/ABS(I923))</f>
        <v>-0.196089418757675</v>
      </c>
      <c r="J925" s="22" t="n">
        <f aca="false">IF(J923=0,0,J924/ABS(J923))</f>
        <v>-0.17783503282373</v>
      </c>
      <c r="K925" s="22" t="n">
        <f aca="false">IF(K923=0,0,K924/ABS(K923))</f>
        <v>-0.159249443761908</v>
      </c>
    </row>
    <row r="926" customFormat="false" ht="15" hidden="false" customHeight="false" outlineLevel="0" collapsed="false">
      <c r="A926" s="3" t="s">
        <v>432</v>
      </c>
      <c r="G926" s="21" t="n">
        <f aca="false">IF(G924&lt;0,1,0)</f>
        <v>1</v>
      </c>
      <c r="H926" s="21" t="n">
        <f aca="false">IF(H924&lt;0,1,0)</f>
        <v>1</v>
      </c>
      <c r="I926" s="21" t="n">
        <f aca="false">IF(I924&lt;0,1,0)</f>
        <v>1</v>
      </c>
      <c r="J926" s="21" t="n">
        <f aca="false">IF(J924&lt;0,1,0)</f>
        <v>1</v>
      </c>
      <c r="K926" s="21" t="n">
        <f aca="false">IF(K924&lt;0,1,0)</f>
        <v>1</v>
      </c>
    </row>
    <row r="927" customFormat="false" ht="15" hidden="false" customHeight="false" outlineLevel="0" collapsed="false">
      <c r="A927" s="3" t="s">
        <v>433</v>
      </c>
      <c r="C927" s="21" t="n">
        <f aca="false">IFERROR(INDEX($G$668:$K$668,MATCH(1,$G$926:$K$926,0)),0)</f>
        <v>2027</v>
      </c>
    </row>
    <row r="928" customFormat="false" ht="15" hidden="false" customHeight="false" outlineLevel="0" collapsed="false">
      <c r="A928" s="3" t="s">
        <v>434</v>
      </c>
      <c r="C928" s="22" t="n">
        <f aca="false">MIN($G$925:$K$925)</f>
        <v>-0.211258516486773</v>
      </c>
    </row>
    <row r="929" customFormat="false" ht="15" hidden="false" customHeight="false" outlineLevel="0" collapsed="false">
      <c r="A929" s="24" t="s">
        <v>436</v>
      </c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customFormat="false" ht="15" hidden="false" customHeight="false" outlineLevel="0" collapsed="false">
      <c r="A930" s="3" t="s">
        <v>428</v>
      </c>
      <c r="G930" s="22" t="n">
        <f aca="false">IF(G911&gt;0,G900/G911,99)</f>
        <v>0.141488946046968</v>
      </c>
      <c r="H930" s="22" t="n">
        <f aca="false">IF(H911&gt;0,H900/H911,99)</f>
        <v>0.140447291740904</v>
      </c>
      <c r="I930" s="22" t="n">
        <f aca="false">IF(I911&gt;0,I900/I911,99)</f>
        <v>0.139405637434841</v>
      </c>
      <c r="J930" s="22" t="n">
        <f aca="false">IF(J911&gt;0,J900/J911,99)</f>
        <v>0.138363983128777</v>
      </c>
      <c r="K930" s="22" t="n">
        <f aca="false">IF(K911&gt;0,K900/K911,99)</f>
        <v>0.137322328822713</v>
      </c>
    </row>
    <row r="931" customFormat="false" ht="15" hidden="false" customHeight="false" outlineLevel="0" collapsed="false">
      <c r="A931" s="3" t="s">
        <v>429</v>
      </c>
      <c r="G931" s="33" t="n">
        <f aca="false">Assumptions!$G$73</f>
        <v>0.4</v>
      </c>
      <c r="H931" s="33" t="n">
        <f aca="false">Assumptions!$H$73</f>
        <v>0.4</v>
      </c>
      <c r="I931" s="33" t="n">
        <f aca="false">Assumptions!$I$73</f>
        <v>0.4</v>
      </c>
      <c r="J931" s="33" t="n">
        <f aca="false">Assumptions!$J$73</f>
        <v>0.4</v>
      </c>
      <c r="K931" s="33" t="n">
        <f aca="false">Assumptions!$K$73</f>
        <v>0.4</v>
      </c>
    </row>
    <row r="932" customFormat="false" ht="15" hidden="false" customHeight="false" outlineLevel="0" collapsed="false">
      <c r="A932" s="3" t="s">
        <v>430</v>
      </c>
      <c r="G932" s="22" t="n">
        <f aca="false">G931-G930</f>
        <v>0.258511053953032</v>
      </c>
      <c r="H932" s="22" t="n">
        <f aca="false">H931-H930</f>
        <v>0.259552708259096</v>
      </c>
      <c r="I932" s="22" t="n">
        <f aca="false">I931-I930</f>
        <v>0.26059436256516</v>
      </c>
      <c r="J932" s="22" t="n">
        <f aca="false">J931-J930</f>
        <v>0.261636016871223</v>
      </c>
      <c r="K932" s="22" t="n">
        <f aca="false">K931-K930</f>
        <v>0.262677671177287</v>
      </c>
    </row>
    <row r="933" customFormat="false" ht="15" hidden="false" customHeight="false" outlineLevel="0" collapsed="false">
      <c r="A933" s="3" t="s">
        <v>431</v>
      </c>
      <c r="G933" s="22" t="n">
        <f aca="false">IF(G931=0,0,G932/ABS(G931))</f>
        <v>0.646277634882579</v>
      </c>
      <c r="H933" s="22" t="n">
        <f aca="false">IF(H931=0,0,H932/ABS(H931))</f>
        <v>0.648881770647739</v>
      </c>
      <c r="I933" s="22" t="n">
        <f aca="false">IF(I931=0,0,I932/ABS(I931))</f>
        <v>0.651485906412899</v>
      </c>
      <c r="J933" s="22" t="n">
        <f aca="false">IF(J931=0,0,J932/ABS(J931))</f>
        <v>0.654090042178059</v>
      </c>
      <c r="K933" s="22" t="n">
        <f aca="false">IF(K931=0,0,K932/ABS(K931))</f>
        <v>0.656694177943218</v>
      </c>
    </row>
    <row r="934" customFormat="false" ht="15" hidden="false" customHeight="false" outlineLevel="0" collapsed="false">
      <c r="A934" s="3" t="s">
        <v>432</v>
      </c>
      <c r="G934" s="21" t="n">
        <f aca="false">IF(G932&lt;0,1,0)</f>
        <v>0</v>
      </c>
      <c r="H934" s="21" t="n">
        <f aca="false">IF(H932&lt;0,1,0)</f>
        <v>0</v>
      </c>
      <c r="I934" s="21" t="n">
        <f aca="false">IF(I932&lt;0,1,0)</f>
        <v>0</v>
      </c>
      <c r="J934" s="21" t="n">
        <f aca="false">IF(J932&lt;0,1,0)</f>
        <v>0</v>
      </c>
      <c r="K934" s="21" t="n">
        <f aca="false">IF(K932&lt;0,1,0)</f>
        <v>0</v>
      </c>
    </row>
    <row r="935" customFormat="false" ht="15" hidden="false" customHeight="false" outlineLevel="0" collapsed="false">
      <c r="A935" s="3" t="s">
        <v>433</v>
      </c>
      <c r="C935" s="21" t="n">
        <f aca="false">IFERROR(INDEX($G$668:$K$668,MATCH(1,$G$934:$K$934,0)),0)</f>
        <v>0</v>
      </c>
    </row>
    <row r="936" customFormat="false" ht="15" hidden="false" customHeight="false" outlineLevel="0" collapsed="false">
      <c r="A936" s="3" t="s">
        <v>434</v>
      </c>
      <c r="C936" s="22" t="n">
        <f aca="false">MIN($G$933:$K$933)</f>
        <v>0.646277634882579</v>
      </c>
    </row>
    <row r="937" customFormat="false" ht="15" hidden="false" customHeight="false" outlineLevel="0" collapsed="false">
      <c r="A937" s="24" t="s">
        <v>437</v>
      </c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customFormat="false" ht="15" hidden="false" customHeight="false" outlineLevel="0" collapsed="false">
      <c r="A938" s="3" t="s">
        <v>428</v>
      </c>
      <c r="G938" s="16" t="n">
        <f aca="false">G908</f>
        <v>697.4474204</v>
      </c>
      <c r="H938" s="16" t="n">
        <f aca="false">H908</f>
        <v>574.5</v>
      </c>
      <c r="I938" s="16" t="n">
        <f aca="false">I908</f>
        <v>574.5</v>
      </c>
      <c r="J938" s="16" t="n">
        <f aca="false">J908</f>
        <v>574.5</v>
      </c>
      <c r="K938" s="16" t="n">
        <f aca="false">K908</f>
        <v>574.5</v>
      </c>
    </row>
    <row r="939" customFormat="false" ht="15" hidden="false" customHeight="false" outlineLevel="0" collapsed="false">
      <c r="A939" s="3" t="s">
        <v>429</v>
      </c>
      <c r="G939" s="29" t="n">
        <f aca="false">Assumptions!$G$74</f>
        <v>100</v>
      </c>
      <c r="H939" s="29" t="n">
        <f aca="false">Assumptions!$H$74</f>
        <v>100</v>
      </c>
      <c r="I939" s="29" t="n">
        <f aca="false">Assumptions!$I$74</f>
        <v>100</v>
      </c>
      <c r="J939" s="29" t="n">
        <f aca="false">Assumptions!$J$74</f>
        <v>100</v>
      </c>
      <c r="K939" s="29" t="n">
        <f aca="false">Assumptions!$K$74</f>
        <v>100</v>
      </c>
    </row>
    <row r="940" customFormat="false" ht="15" hidden="false" customHeight="false" outlineLevel="0" collapsed="false">
      <c r="A940" s="3" t="s">
        <v>430</v>
      </c>
      <c r="G940" s="16" t="n">
        <f aca="false">G938-G939</f>
        <v>597.4474204</v>
      </c>
      <c r="H940" s="16" t="n">
        <f aca="false">H938-H939</f>
        <v>474.5</v>
      </c>
      <c r="I940" s="16" t="n">
        <f aca="false">I938-I939</f>
        <v>474.5</v>
      </c>
      <c r="J940" s="16" t="n">
        <f aca="false">J938-J939</f>
        <v>474.5</v>
      </c>
      <c r="K940" s="16" t="n">
        <f aca="false">K938-K939</f>
        <v>474.5</v>
      </c>
    </row>
    <row r="941" customFormat="false" ht="15" hidden="false" customHeight="false" outlineLevel="0" collapsed="false">
      <c r="A941" s="3" t="s">
        <v>431</v>
      </c>
      <c r="G941" s="22" t="n">
        <f aca="false">IF(G939=0,0,G940/ABS(G939))</f>
        <v>5.974474204</v>
      </c>
      <c r="H941" s="22" t="n">
        <f aca="false">IF(H939=0,0,H940/ABS(H939))</f>
        <v>4.745</v>
      </c>
      <c r="I941" s="22" t="n">
        <f aca="false">IF(I939=0,0,I940/ABS(I939))</f>
        <v>4.745</v>
      </c>
      <c r="J941" s="22" t="n">
        <f aca="false">IF(J939=0,0,J940/ABS(J939))</f>
        <v>4.745</v>
      </c>
      <c r="K941" s="22" t="n">
        <f aca="false">IF(K939=0,0,K940/ABS(K939))</f>
        <v>4.745</v>
      </c>
    </row>
    <row r="942" customFormat="false" ht="15" hidden="false" customHeight="false" outlineLevel="0" collapsed="false">
      <c r="A942" s="3" t="s">
        <v>432</v>
      </c>
      <c r="G942" s="21" t="n">
        <f aca="false">IF(G940&lt;0,1,0)</f>
        <v>0</v>
      </c>
      <c r="H942" s="21" t="n">
        <f aca="false">IF(H940&lt;0,1,0)</f>
        <v>0</v>
      </c>
      <c r="I942" s="21" t="n">
        <f aca="false">IF(I940&lt;0,1,0)</f>
        <v>0</v>
      </c>
      <c r="J942" s="21" t="n">
        <f aca="false">IF(J940&lt;0,1,0)</f>
        <v>0</v>
      </c>
      <c r="K942" s="21" t="n">
        <f aca="false">IF(K940&lt;0,1,0)</f>
        <v>0</v>
      </c>
    </row>
    <row r="943" customFormat="false" ht="15" hidden="false" customHeight="false" outlineLevel="0" collapsed="false">
      <c r="A943" s="3" t="s">
        <v>433</v>
      </c>
      <c r="C943" s="21" t="n">
        <f aca="false">IFERROR(INDEX($G$668:$K$668,MATCH(1,$G$942:$K$942,0)),0)</f>
        <v>0</v>
      </c>
    </row>
    <row r="944" customFormat="false" ht="15" hidden="false" customHeight="false" outlineLevel="0" collapsed="false">
      <c r="A944" s="3" t="s">
        <v>434</v>
      </c>
      <c r="C944" s="22" t="n">
        <f aca="false">MIN($G$941:$K$941)</f>
        <v>4.745</v>
      </c>
    </row>
    <row r="945" customFormat="false" ht="15" hidden="false" customHeight="false" outlineLevel="0" collapsed="false">
      <c r="A945" s="24" t="s">
        <v>438</v>
      </c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customFormat="false" ht="15" hidden="false" customHeight="false" outlineLevel="0" collapsed="false">
      <c r="A946" s="3" t="s">
        <v>428</v>
      </c>
      <c r="G946" s="32" t="n">
        <f aca="false">IF(G678&gt;0,G901/G678,99)</f>
        <v>10.6704570673626</v>
      </c>
      <c r="H946" s="32" t="n">
        <f aca="false">IF(H678&gt;0,H901/H678,99)</f>
        <v>11.6601471215067</v>
      </c>
      <c r="I946" s="32" t="n">
        <f aca="false">IF(I678&gt;0,I901/I678,99)</f>
        <v>11.9636535522731</v>
      </c>
      <c r="J946" s="32" t="n">
        <f aca="false">IF(J678&gt;0,J901/J678,99)</f>
        <v>12.0045871637288</v>
      </c>
      <c r="K946" s="32" t="n">
        <f aca="false">IF(K678&gt;0,K901/K678,99)</f>
        <v>12.0232607366907</v>
      </c>
    </row>
    <row r="947" customFormat="false" ht="15" hidden="false" customHeight="false" outlineLevel="0" collapsed="false">
      <c r="A947" s="3" t="s">
        <v>429</v>
      </c>
      <c r="G947" s="34" t="n">
        <f aca="false">Assumptions!$G$75</f>
        <v>10.5</v>
      </c>
      <c r="H947" s="34" t="n">
        <f aca="false">Assumptions!$H$75</f>
        <v>10.5</v>
      </c>
      <c r="I947" s="34" t="n">
        <f aca="false">Assumptions!$I$75</f>
        <v>10</v>
      </c>
      <c r="J947" s="34" t="n">
        <f aca="false">Assumptions!$J$75</f>
        <v>10</v>
      </c>
      <c r="K947" s="34" t="n">
        <f aca="false">Assumptions!$K$75</f>
        <v>9.5</v>
      </c>
    </row>
    <row r="948" customFormat="false" ht="15" hidden="false" customHeight="false" outlineLevel="0" collapsed="false">
      <c r="A948" s="3" t="s">
        <v>430</v>
      </c>
      <c r="G948" s="32" t="n">
        <f aca="false">G947-G946</f>
        <v>-0.17045706736263</v>
      </c>
      <c r="H948" s="32" t="n">
        <f aca="false">H947-H946</f>
        <v>-1.16014712150674</v>
      </c>
      <c r="I948" s="32" t="n">
        <f aca="false">I947-I946</f>
        <v>-1.96365355227305</v>
      </c>
      <c r="J948" s="32" t="n">
        <f aca="false">J947-J946</f>
        <v>-2.00458716372878</v>
      </c>
      <c r="K948" s="32" t="n">
        <f aca="false">K947-K946</f>
        <v>-2.52326073669071</v>
      </c>
    </row>
    <row r="949" customFormat="false" ht="15" hidden="false" customHeight="false" outlineLevel="0" collapsed="false">
      <c r="A949" s="3" t="s">
        <v>431</v>
      </c>
      <c r="G949" s="22" t="n">
        <f aca="false">IF(G947=0,0,G948/ABS(G947))</f>
        <v>-0.0162340064154886</v>
      </c>
      <c r="H949" s="22" t="n">
        <f aca="false">IF(H947=0,0,H948/ABS(H947))</f>
        <v>-0.110490202048261</v>
      </c>
      <c r="I949" s="22" t="n">
        <f aca="false">IF(I947=0,0,I948/ABS(I947))</f>
        <v>-0.196365355227305</v>
      </c>
      <c r="J949" s="22" t="n">
        <f aca="false">IF(J947=0,0,J948/ABS(J947))</f>
        <v>-0.200458716372878</v>
      </c>
      <c r="K949" s="22" t="n">
        <f aca="false">IF(K947=0,0,K948/ABS(K947))</f>
        <v>-0.265606393335864</v>
      </c>
    </row>
    <row r="950" customFormat="false" ht="15" hidden="false" customHeight="false" outlineLevel="0" collapsed="false">
      <c r="A950" s="3" t="s">
        <v>432</v>
      </c>
      <c r="G950" s="21" t="n">
        <f aca="false">IF(G948&lt;0,1,0)</f>
        <v>1</v>
      </c>
      <c r="H950" s="21" t="n">
        <f aca="false">IF(H948&lt;0,1,0)</f>
        <v>1</v>
      </c>
      <c r="I950" s="21" t="n">
        <f aca="false">IF(I948&lt;0,1,0)</f>
        <v>1</v>
      </c>
      <c r="J950" s="21" t="n">
        <f aca="false">IF(J948&lt;0,1,0)</f>
        <v>1</v>
      </c>
      <c r="K950" s="21" t="n">
        <f aca="false">IF(K948&lt;0,1,0)</f>
        <v>1</v>
      </c>
    </row>
    <row r="951" customFormat="false" ht="15" hidden="false" customHeight="false" outlineLevel="0" collapsed="false">
      <c r="A951" s="3" t="s">
        <v>433</v>
      </c>
      <c r="C951" s="21" t="n">
        <f aca="false">IFERROR(INDEX($G$668:$K$668,MATCH(1,$G$950:$K$950,0)),0)</f>
        <v>2027</v>
      </c>
    </row>
    <row r="952" customFormat="false" ht="15" hidden="false" customHeight="false" outlineLevel="0" collapsed="false">
      <c r="A952" s="3" t="s">
        <v>434</v>
      </c>
      <c r="C952" s="22" t="n">
        <f aca="false">MIN($G$949:$K$949)</f>
        <v>-0.265606393335864</v>
      </c>
    </row>
    <row r="953" customFormat="false" ht="15" hidden="false" customHeight="false" outlineLevel="0" collapsed="false">
      <c r="A953" s="3" t="s">
        <v>439</v>
      </c>
      <c r="G953" s="21" t="n">
        <f aca="false">G918+G926+G934+G942+G950</f>
        <v>3</v>
      </c>
      <c r="H953" s="21" t="n">
        <f aca="false">H918+H926+H934+H942+H950</f>
        <v>3</v>
      </c>
      <c r="I953" s="21" t="n">
        <f aca="false">I918+I926+I934+I942+I950</f>
        <v>3</v>
      </c>
      <c r="J953" s="21" t="n">
        <f aca="false">J918+J926+J934+J942+J950</f>
        <v>3</v>
      </c>
      <c r="K953" s="21" t="n">
        <f aca="false">K918+K926+K934+K942+K950</f>
        <v>3</v>
      </c>
    </row>
    <row r="954" customFormat="false" ht="15" hidden="false" customHeight="false" outlineLevel="0" collapsed="false">
      <c r="A954" s="3" t="s">
        <v>440</v>
      </c>
      <c r="C954" s="21" t="n">
        <f aca="false">SUM($G$953:$K$953)</f>
        <v>15</v>
      </c>
    </row>
    <row r="955" customFormat="false" ht="15" hidden="false" customHeight="false" outlineLevel="0" collapsed="false">
      <c r="A955" s="3" t="s">
        <v>441</v>
      </c>
      <c r="C955" s="22" t="n">
        <f aca="false">MIN(C920,C928,C936,C944,C952)</f>
        <v>-0.265606393335864</v>
      </c>
    </row>
    <row r="957" customFormat="false" ht="15" hidden="false" customHeight="false" outlineLevel="0" collapsed="false">
      <c r="A957" s="24" t="s">
        <v>543</v>
      </c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customFormat="false" ht="15" hidden="false" customHeight="false" outlineLevel="0" collapsed="false">
      <c r="A958" s="3" t="s">
        <v>544</v>
      </c>
      <c r="G958" s="21" t="n">
        <f aca="false">IF($C$959=1,G895,IF(G678=MIN($G$678:$K$678),1,0))</f>
        <v>0</v>
      </c>
      <c r="H958" s="21" t="n">
        <f aca="false">IF($C$959=1,H895,IF(AND(H678=MIN($G$678:$K$678),SUM($G$958:G958)=0),1,0))</f>
        <v>1</v>
      </c>
      <c r="I958" s="21" t="n">
        <f aca="false">IF($C$959=1,I895,IF(AND(I678=MIN($G$678:$K$678),SUM($G$958:H958)=0),1,0))</f>
        <v>0</v>
      </c>
      <c r="J958" s="21" t="n">
        <f aca="false">IF($C$959=1,J895,IF(AND(J678=MIN($G$678:$K$678),SUM($G$958:I958)=0),1,0))</f>
        <v>0</v>
      </c>
      <c r="K958" s="21" t="n">
        <f aca="false">IF($C$959=1,K895,IF(AND(K678=MIN($G$678:$K$678),SUM($G$958:J958)=0),1,0))</f>
        <v>0</v>
      </c>
    </row>
    <row r="959" customFormat="false" ht="15" hidden="false" customHeight="false" outlineLevel="0" collapsed="false">
      <c r="A959" s="3" t="s">
        <v>545</v>
      </c>
      <c r="C959" s="21" t="n">
        <f aca="false">IF(SUM($G$895:$K$895)&gt;0,1,0)</f>
        <v>1</v>
      </c>
    </row>
    <row r="960" customFormat="false" ht="15" hidden="false" customHeight="false" outlineLevel="0" collapsed="false">
      <c r="A960" s="3" t="s">
        <v>546</v>
      </c>
      <c r="C960" s="21" t="n">
        <f aca="false">SUMPRODUCT($G$958:$K$958,$G$668:$K$668)</f>
        <v>2028</v>
      </c>
    </row>
    <row r="961" customFormat="false" ht="15" hidden="false" customHeight="false" outlineLevel="0" collapsed="false">
      <c r="A961" s="3" t="s">
        <v>547</v>
      </c>
      <c r="C961" s="16" t="n">
        <f aca="false">SUMPRODUCT($G$958:$K$958,$G$678:$K$678)</f>
        <v>220.355740893</v>
      </c>
    </row>
    <row r="962" customFormat="false" ht="15" hidden="false" customHeight="false" outlineLevel="0" collapsed="false">
      <c r="A962" s="3" t="s">
        <v>548</v>
      </c>
      <c r="C962" s="16" t="n">
        <f aca="false">MAX(0,SUMPRODUCT($G$958:$K$958,$G$892:$K$892))</f>
        <v>0</v>
      </c>
    </row>
    <row r="963" customFormat="false" ht="15" hidden="false" customHeight="false" outlineLevel="0" collapsed="false">
      <c r="A963" s="3" t="s">
        <v>549</v>
      </c>
      <c r="C963" s="16" t="n">
        <f aca="false">(CHOOSE($C$661,Assumptions!$C$92,Assumptions!$C$111,Assumptions!$C$130)+$C$665)*C961</f>
        <v>1983.201668037</v>
      </c>
    </row>
    <row r="964" customFormat="false" ht="15" hidden="false" customHeight="false" outlineLevel="0" collapsed="false">
      <c r="A964" s="3" t="s">
        <v>550</v>
      </c>
      <c r="C964" s="16" t="n">
        <f aca="false">Assumptions!$C$31*(1-CHOOSE($C$661,Assumptions!$C$93,Assumptions!$C$112,Assumptions!$C$131))*CHOOSE($C$661,Assumptions!$C$94,Assumptions!$C$113,Assumptions!$C$132)</f>
        <v>3264.03873166667</v>
      </c>
    </row>
    <row r="965" customFormat="false" ht="15" hidden="false" customHeight="false" outlineLevel="0" collapsed="false">
      <c r="A965" s="3" t="s">
        <v>551</v>
      </c>
      <c r="C965" s="16" t="n">
        <f aca="false">MAX(C963,C964)+C962</f>
        <v>3264.03873166667</v>
      </c>
    </row>
    <row r="966" customFormat="false" ht="15" hidden="false" customHeight="false" outlineLevel="0" collapsed="false">
      <c r="A966" s="2" t="s">
        <v>552</v>
      </c>
      <c r="C966" s="17" t="n">
        <f aca="false">IF(ISNUMBER(Assumptions!$C$14),Assumptions!$C$14,C965)</f>
        <v>3264.03873166667</v>
      </c>
    </row>
    <row r="967" customFormat="false" ht="15" hidden="false" customHeight="false" outlineLevel="0" collapsed="false">
      <c r="A967" s="3" t="s">
        <v>553</v>
      </c>
      <c r="C967" s="16" t="n">
        <f aca="false">C966*Assumptions!$C$15</f>
        <v>130.561549266667</v>
      </c>
    </row>
    <row r="968" customFormat="false" ht="15" hidden="false" customHeight="false" outlineLevel="0" collapsed="false">
      <c r="A968" s="2" t="s">
        <v>554</v>
      </c>
      <c r="C968" s="17" t="n">
        <f aca="false">C966-C967</f>
        <v>3133.4771824</v>
      </c>
    </row>
    <row r="969" customFormat="false" ht="15" hidden="false" customHeight="false" outlineLevel="0" collapsed="false">
      <c r="A969" s="24" t="s">
        <v>555</v>
      </c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customFormat="false" ht="15" hidden="false" customHeight="false" outlineLevel="0" collapsed="false">
      <c r="A970" s="3" t="s">
        <v>556</v>
      </c>
      <c r="C970" s="16" t="n">
        <f aca="false">SUMPRODUCT($G$958:$K$958,$G$715:$K$715)*(1+SUMPRODUCT($G$958:$K$958,$G$707:$K$707)*Assumptions!$C$16/12)</f>
        <v>402.29</v>
      </c>
    </row>
    <row r="971" customFormat="false" ht="15" hidden="false" customHeight="false" outlineLevel="0" collapsed="false">
      <c r="A971" s="3" t="s">
        <v>557</v>
      </c>
      <c r="C971" s="16" t="n">
        <f aca="false">SUMPRODUCT($G$958:$K$958,$G$728:$K$728)*(1+SUMPRODUCT($G$958:$K$958,$G$720:$K$720)*Assumptions!$C$16/12)</f>
        <v>91.30725</v>
      </c>
    </row>
    <row r="972" customFormat="false" ht="15" hidden="false" customHeight="false" outlineLevel="0" collapsed="false">
      <c r="A972" s="3" t="s">
        <v>558</v>
      </c>
      <c r="C972" s="16" t="n">
        <f aca="false">SUMPRODUCT($G$958:$K$958,$G$741:$K$741)*(1+SUMPRODUCT($G$958:$K$958,$G$733:$K$733)*Assumptions!$C$16/12)</f>
        <v>58.3715961</v>
      </c>
    </row>
    <row r="973" customFormat="false" ht="15" hidden="false" customHeight="false" outlineLevel="0" collapsed="false">
      <c r="A973" s="3" t="s">
        <v>559</v>
      </c>
      <c r="C973" s="16" t="n">
        <f aca="false">SUMPRODUCT($G$958:$K$958,$G$754:$K$754)*(1+SUMPRODUCT($G$958:$K$958,$G$746:$K$746)*Assumptions!$C$16/12)</f>
        <v>0</v>
      </c>
    </row>
    <row r="974" customFormat="false" ht="15" hidden="false" customHeight="false" outlineLevel="0" collapsed="false">
      <c r="A974" s="3" t="s">
        <v>560</v>
      </c>
      <c r="C974" s="16" t="n">
        <f aca="false">SUMPRODUCT($G$958:$K$958,$G$767:$K$767)*(1+SUMPRODUCT($G$958:$K$958,$G$759:$K$759)*Assumptions!$C$16/12)</f>
        <v>405.410640665075</v>
      </c>
    </row>
    <row r="975" customFormat="false" ht="15" hidden="false" customHeight="false" outlineLevel="0" collapsed="false">
      <c r="A975" s="3" t="s">
        <v>561</v>
      </c>
      <c r="C975" s="16" t="n">
        <f aca="false">SUMPRODUCT($G$958:$K$958,$G$780:$K$780)*(1+SUMPRODUCT($G$958:$K$958,$G$772:$K$772)*Assumptions!$C$16/12)</f>
        <v>357.2625</v>
      </c>
    </row>
    <row r="976" customFormat="false" ht="15" hidden="false" customHeight="false" outlineLevel="0" collapsed="false">
      <c r="A976" s="3" t="s">
        <v>562</v>
      </c>
      <c r="C976" s="16" t="n">
        <f aca="false">SUMPRODUCT($G$958:$K$958,$G$793:$K$793)*(1+SUMPRODUCT($G$958:$K$958,$G$785:$K$785)*Assumptions!$C$16/12)</f>
        <v>562.203125</v>
      </c>
    </row>
    <row r="977" customFormat="false" ht="15" hidden="false" customHeight="false" outlineLevel="0" collapsed="false">
      <c r="A977" s="3" t="s">
        <v>563</v>
      </c>
      <c r="C977" s="16" t="n">
        <f aca="false">SUMPRODUCT($G$958:$K$958,$G$806:$K$806)*(1+SUMPRODUCT($G$958:$K$958,$G$798:$K$798)*Assumptions!$C$16/12)</f>
        <v>353.98125</v>
      </c>
    </row>
    <row r="978" customFormat="false" ht="15" hidden="false" customHeight="false" outlineLevel="0" collapsed="false">
      <c r="A978" s="3" t="s">
        <v>564</v>
      </c>
      <c r="C978" s="16" t="n">
        <f aca="false">SUMPRODUCT($G$958:$K$958,$G$819:$K$819)*(1+SUMPRODUCT($G$958:$K$958,$G$811:$K$811)*Assumptions!$C$16/12)</f>
        <v>304.59375</v>
      </c>
    </row>
    <row r="979" customFormat="false" ht="15" hidden="false" customHeight="false" outlineLevel="0" collapsed="false">
      <c r="A979" s="3" t="s">
        <v>565</v>
      </c>
      <c r="C979" s="16" t="n">
        <f aca="false">SUMPRODUCT($G$958:$K$958,$G$832:$K$832)*(1+SUMPRODUCT($G$958:$K$958,$G$824:$K$824)*Assumptions!$C$16/12)</f>
        <v>79.938509</v>
      </c>
    </row>
    <row r="980" customFormat="false" ht="15" hidden="false" customHeight="false" outlineLevel="0" collapsed="false">
      <c r="A980" s="24" t="s">
        <v>566</v>
      </c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customFormat="false" ht="15" hidden="false" customHeight="false" outlineLevel="0" collapsed="false">
      <c r="A981" s="3" t="s">
        <v>556</v>
      </c>
      <c r="C981" s="27" t="n">
        <f aca="false">Assumptions!$M$57</f>
        <v>1</v>
      </c>
    </row>
    <row r="982" customFormat="false" ht="15" hidden="false" customHeight="false" outlineLevel="0" collapsed="false">
      <c r="A982" s="3" t="s">
        <v>557</v>
      </c>
      <c r="C982" s="27" t="n">
        <f aca="false">Assumptions!$M$58</f>
        <v>1</v>
      </c>
    </row>
    <row r="983" customFormat="false" ht="15" hidden="false" customHeight="false" outlineLevel="0" collapsed="false">
      <c r="A983" s="3" t="s">
        <v>558</v>
      </c>
      <c r="C983" s="27" t="n">
        <f aca="false">Assumptions!$M$59</f>
        <v>1</v>
      </c>
    </row>
    <row r="984" customFormat="false" ht="15" hidden="false" customHeight="false" outlineLevel="0" collapsed="false">
      <c r="A984" s="3" t="s">
        <v>559</v>
      </c>
      <c r="C984" s="27" t="n">
        <f aca="false">Assumptions!$M$60</f>
        <v>2</v>
      </c>
    </row>
    <row r="985" customFormat="false" ht="15" hidden="false" customHeight="false" outlineLevel="0" collapsed="false">
      <c r="A985" s="3" t="s">
        <v>560</v>
      </c>
      <c r="C985" s="27" t="n">
        <f aca="false">Assumptions!$M$61</f>
        <v>2</v>
      </c>
    </row>
    <row r="986" customFormat="false" ht="15" hidden="false" customHeight="false" outlineLevel="0" collapsed="false">
      <c r="A986" s="3" t="s">
        <v>561</v>
      </c>
      <c r="C986" s="27" t="n">
        <f aca="false">Assumptions!$M$62</f>
        <v>2</v>
      </c>
    </row>
    <row r="987" customFormat="false" ht="15" hidden="false" customHeight="false" outlineLevel="0" collapsed="false">
      <c r="A987" s="3" t="s">
        <v>562</v>
      </c>
      <c r="C987" s="27" t="n">
        <f aca="false">Assumptions!$M$63</f>
        <v>2</v>
      </c>
    </row>
    <row r="988" customFormat="false" ht="15" hidden="false" customHeight="false" outlineLevel="0" collapsed="false">
      <c r="A988" s="3" t="s">
        <v>563</v>
      </c>
      <c r="C988" s="27" t="n">
        <f aca="false">Assumptions!$M$64</f>
        <v>2</v>
      </c>
    </row>
    <row r="989" customFormat="false" ht="15" hidden="false" customHeight="false" outlineLevel="0" collapsed="false">
      <c r="A989" s="3" t="s">
        <v>564</v>
      </c>
      <c r="C989" s="27" t="n">
        <f aca="false">Assumptions!$M$65</f>
        <v>2</v>
      </c>
    </row>
    <row r="990" customFormat="false" ht="15" hidden="false" customHeight="false" outlineLevel="0" collapsed="false">
      <c r="A990" s="3" t="s">
        <v>565</v>
      </c>
      <c r="C990" s="27" t="n">
        <f aca="false">Assumptions!$M$66</f>
        <v>3</v>
      </c>
    </row>
    <row r="991" customFormat="false" ht="15" hidden="false" customHeight="false" outlineLevel="0" collapsed="false">
      <c r="A991" s="24" t="s">
        <v>567</v>
      </c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customFormat="false" ht="15" hidden="false" customHeight="false" outlineLevel="0" collapsed="false">
      <c r="A992" s="3" t="s">
        <v>556</v>
      </c>
      <c r="C992" s="33" t="n">
        <f aca="false">Assumptions!$Q$57</f>
        <v>0.3</v>
      </c>
    </row>
    <row r="993" customFormat="false" ht="15" hidden="false" customHeight="false" outlineLevel="0" collapsed="false">
      <c r="A993" s="3" t="s">
        <v>557</v>
      </c>
      <c r="C993" s="33" t="n">
        <f aca="false">Assumptions!$Q$58</f>
        <v>0.033</v>
      </c>
    </row>
    <row r="994" customFormat="false" ht="15" hidden="false" customHeight="false" outlineLevel="0" collapsed="false">
      <c r="A994" s="3" t="s">
        <v>558</v>
      </c>
      <c r="C994" s="33" t="n">
        <f aca="false">Assumptions!$Q$59</f>
        <v>0.021</v>
      </c>
    </row>
    <row r="995" customFormat="false" ht="15" hidden="false" customHeight="false" outlineLevel="0" collapsed="false">
      <c r="A995" s="3" t="s">
        <v>559</v>
      </c>
      <c r="C995" s="33" t="n">
        <f aca="false">Assumptions!$Q$60</f>
        <v>0</v>
      </c>
    </row>
    <row r="996" customFormat="false" ht="15" hidden="false" customHeight="false" outlineLevel="0" collapsed="false">
      <c r="A996" s="3" t="s">
        <v>560</v>
      </c>
      <c r="C996" s="33" t="n">
        <f aca="false">Assumptions!$Q$61</f>
        <v>0</v>
      </c>
    </row>
    <row r="997" customFormat="false" ht="15" hidden="false" customHeight="false" outlineLevel="0" collapsed="false">
      <c r="A997" s="3" t="s">
        <v>561</v>
      </c>
      <c r="C997" s="33" t="n">
        <f aca="false">Assumptions!$Q$62</f>
        <v>0</v>
      </c>
    </row>
    <row r="998" customFormat="false" ht="15" hidden="false" customHeight="false" outlineLevel="0" collapsed="false">
      <c r="A998" s="3" t="s">
        <v>562</v>
      </c>
      <c r="C998" s="33" t="n">
        <f aca="false">Assumptions!$Q$63</f>
        <v>0</v>
      </c>
    </row>
    <row r="999" customFormat="false" ht="15" hidden="false" customHeight="false" outlineLevel="0" collapsed="false">
      <c r="A999" s="3" t="s">
        <v>563</v>
      </c>
      <c r="C999" s="33" t="n">
        <f aca="false">Assumptions!$Q$64</f>
        <v>0</v>
      </c>
    </row>
    <row r="1000" customFormat="false" ht="15" hidden="false" customHeight="false" outlineLevel="0" collapsed="false">
      <c r="A1000" s="3" t="s">
        <v>564</v>
      </c>
      <c r="C1000" s="33" t="n">
        <f aca="false">Assumptions!$Q$65</f>
        <v>0</v>
      </c>
    </row>
    <row r="1001" customFormat="false" ht="15" hidden="false" customHeight="false" outlineLevel="0" collapsed="false">
      <c r="A1001" s="3" t="s">
        <v>565</v>
      </c>
      <c r="C1001" s="33" t="n">
        <f aca="false">Assumptions!$Q$66</f>
        <v>0</v>
      </c>
    </row>
    <row r="1002" customFormat="false" ht="15" hidden="false" customHeight="false" outlineLevel="0" collapsed="false">
      <c r="A1002" s="24" t="s">
        <v>568</v>
      </c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</row>
    <row r="1003" customFormat="false" ht="15" hidden="false" customHeight="false" outlineLevel="0" collapsed="false">
      <c r="A1003" s="3" t="s">
        <v>556</v>
      </c>
      <c r="C1003" s="16" t="n">
        <f aca="false">IF(C992&gt;0,MIN(C970,C992*$C$968),0)</f>
        <v>402.29</v>
      </c>
    </row>
    <row r="1004" customFormat="false" ht="15" hidden="false" customHeight="false" outlineLevel="0" collapsed="false">
      <c r="A1004" s="3" t="s">
        <v>557</v>
      </c>
      <c r="C1004" s="16" t="n">
        <f aca="false">IF(C993&gt;0,MIN(C971,C993*$C$968),0)</f>
        <v>91.30725</v>
      </c>
    </row>
    <row r="1005" customFormat="false" ht="15" hidden="false" customHeight="false" outlineLevel="0" collapsed="false">
      <c r="A1005" s="3" t="s">
        <v>558</v>
      </c>
      <c r="C1005" s="16" t="n">
        <f aca="false">IF(C994&gt;0,MIN(C972,C994*$C$968),0)</f>
        <v>58.3715961</v>
      </c>
    </row>
    <row r="1006" customFormat="false" ht="15" hidden="false" customHeight="false" outlineLevel="0" collapsed="false">
      <c r="A1006" s="3" t="s">
        <v>559</v>
      </c>
      <c r="C1006" s="16" t="n">
        <f aca="false">IF(C995&gt;0,MIN(C973,C995*$C$968),0)</f>
        <v>0</v>
      </c>
    </row>
    <row r="1007" customFormat="false" ht="15" hidden="false" customHeight="false" outlineLevel="0" collapsed="false">
      <c r="A1007" s="3" t="s">
        <v>560</v>
      </c>
      <c r="C1007" s="16" t="n">
        <f aca="false">IF(C996&gt;0,MIN(C974,C996*$C$968),0)</f>
        <v>0</v>
      </c>
    </row>
    <row r="1008" customFormat="false" ht="15" hidden="false" customHeight="false" outlineLevel="0" collapsed="false">
      <c r="A1008" s="3" t="s">
        <v>561</v>
      </c>
      <c r="C1008" s="16" t="n">
        <f aca="false">IF(C997&gt;0,MIN(C975,C997*$C$968),0)</f>
        <v>0</v>
      </c>
    </row>
    <row r="1009" customFormat="false" ht="15" hidden="false" customHeight="false" outlineLevel="0" collapsed="false">
      <c r="A1009" s="3" t="s">
        <v>562</v>
      </c>
      <c r="C1009" s="16" t="n">
        <f aca="false">IF(C998&gt;0,MIN(C976,C998*$C$968),0)</f>
        <v>0</v>
      </c>
    </row>
    <row r="1010" customFormat="false" ht="15" hidden="false" customHeight="false" outlineLevel="0" collapsed="false">
      <c r="A1010" s="3" t="s">
        <v>563</v>
      </c>
      <c r="C1010" s="16" t="n">
        <f aca="false">IF(C999&gt;0,MIN(C977,C999*$C$968),0)</f>
        <v>0</v>
      </c>
    </row>
    <row r="1011" customFormat="false" ht="15" hidden="false" customHeight="false" outlineLevel="0" collapsed="false">
      <c r="A1011" s="3" t="s">
        <v>564</v>
      </c>
      <c r="C1011" s="16" t="n">
        <f aca="false">IF(C1000&gt;0,MIN(C978,C1000*$C$968),0)</f>
        <v>0</v>
      </c>
    </row>
    <row r="1012" customFormat="false" ht="15" hidden="false" customHeight="false" outlineLevel="0" collapsed="false">
      <c r="A1012" s="3" t="s">
        <v>565</v>
      </c>
      <c r="C1012" s="16" t="n">
        <f aca="false">IF(C1001&gt;0,MIN(C979,C1001*$C$968),0)</f>
        <v>0</v>
      </c>
    </row>
    <row r="1013" customFormat="false" ht="15" hidden="false" customHeight="false" outlineLevel="0" collapsed="false">
      <c r="A1013" s="24" t="s">
        <v>569</v>
      </c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</row>
    <row r="1014" customFormat="false" ht="15" hidden="false" customHeight="false" outlineLevel="0" collapsed="false">
      <c r="A1014" s="3" t="s">
        <v>556</v>
      </c>
      <c r="C1014" s="16" t="n">
        <f aca="false">IF(C992&gt;0,C970-C1003,0)</f>
        <v>0</v>
      </c>
      <c r="G1014" s="21" t="n">
        <f aca="false">IF(AND(G705=1,G702=1),1,0)</f>
        <v>0</v>
      </c>
      <c r="H1014" s="21" t="n">
        <f aca="false">IF(G1014=1,1,IF(AND(H705=1,H702=1),1,0))</f>
        <v>0</v>
      </c>
      <c r="I1014" s="21" t="n">
        <f aca="false">IF(H1014=1,1,IF(AND(I705=1,I702=1),1,0))</f>
        <v>0</v>
      </c>
      <c r="J1014" s="21" t="n">
        <f aca="false">IF(I1014=1,1,IF(AND(J705=1,J702=1),1,0))</f>
        <v>0</v>
      </c>
      <c r="K1014" s="21" t="n">
        <f aca="false">IF(J1014=1,1,IF(AND(K705=1,K702=1),1,0))</f>
        <v>0</v>
      </c>
    </row>
    <row r="1015" customFormat="false" ht="15" hidden="false" customHeight="false" outlineLevel="0" collapsed="false">
      <c r="A1015" s="3" t="s">
        <v>557</v>
      </c>
      <c r="C1015" s="16" t="n">
        <f aca="false">IF(C993&gt;0,C971-C1004,0)</f>
        <v>0</v>
      </c>
      <c r="G1015" s="21" t="n">
        <f aca="false">IF(AND(G718=1,G702=1),1,0)</f>
        <v>0</v>
      </c>
      <c r="H1015" s="21" t="n">
        <f aca="false">IF(G1015=1,1,IF(AND(H718=1,H702=1),1,0))</f>
        <v>0</v>
      </c>
      <c r="I1015" s="21" t="n">
        <f aca="false">IF(H1015=1,1,IF(AND(I718=1,I702=1),1,0))</f>
        <v>0</v>
      </c>
      <c r="J1015" s="21" t="n">
        <f aca="false">IF(I1015=1,1,IF(AND(J718=1,J702=1),1,0))</f>
        <v>0</v>
      </c>
      <c r="K1015" s="21" t="n">
        <f aca="false">IF(J1015=1,1,IF(AND(K718=1,K702=1),1,0))</f>
        <v>0</v>
      </c>
    </row>
    <row r="1016" customFormat="false" ht="15" hidden="false" customHeight="false" outlineLevel="0" collapsed="false">
      <c r="A1016" s="3" t="s">
        <v>558</v>
      </c>
      <c r="C1016" s="16" t="n">
        <f aca="false">IF(C994&gt;0,C972-C1005,0)</f>
        <v>0</v>
      </c>
      <c r="G1016" s="21" t="n">
        <f aca="false">IF(AND(G731=1,G702=1),1,0)</f>
        <v>0</v>
      </c>
      <c r="H1016" s="21" t="n">
        <f aca="false">IF(G1016=1,1,IF(AND(H731=1,H702=1),1,0))</f>
        <v>0</v>
      </c>
      <c r="I1016" s="21" t="n">
        <f aca="false">IF(H1016=1,1,IF(AND(I731=1,I702=1),1,0))</f>
        <v>0</v>
      </c>
      <c r="J1016" s="21" t="n">
        <f aca="false">IF(I1016=1,1,IF(AND(J731=1,J702=1),1,0))</f>
        <v>0</v>
      </c>
      <c r="K1016" s="21" t="n">
        <f aca="false">IF(J1016=1,1,IF(AND(K731=1,K702=1),1,0))</f>
        <v>0</v>
      </c>
    </row>
    <row r="1017" customFormat="false" ht="15" hidden="false" customHeight="false" outlineLevel="0" collapsed="false">
      <c r="A1017" s="3" t="s">
        <v>559</v>
      </c>
      <c r="C1017" s="16" t="n">
        <f aca="false">IF(C995&gt;0,C973-C1006,0)</f>
        <v>0</v>
      </c>
      <c r="G1017" s="21" t="n">
        <f aca="false">IF(AND(G744=1,G702=1),1,0)</f>
        <v>0</v>
      </c>
      <c r="H1017" s="21" t="n">
        <f aca="false">IF(G1017=1,1,IF(AND(H744=1,H702=1),1,0))</f>
        <v>0</v>
      </c>
      <c r="I1017" s="21" t="n">
        <f aca="false">IF(H1017=1,1,IF(AND(I744=1,I702=1),1,0))</f>
        <v>0</v>
      </c>
      <c r="J1017" s="21" t="n">
        <f aca="false">IF(I1017=1,1,IF(AND(J744=1,J702=1),1,0))</f>
        <v>0</v>
      </c>
      <c r="K1017" s="21" t="n">
        <f aca="false">IF(J1017=1,1,IF(AND(K744=1,K702=1),1,0))</f>
        <v>0</v>
      </c>
    </row>
    <row r="1018" customFormat="false" ht="15" hidden="false" customHeight="false" outlineLevel="0" collapsed="false">
      <c r="A1018" s="3" t="s">
        <v>560</v>
      </c>
      <c r="C1018" s="16" t="n">
        <f aca="false">IF(C996&gt;0,C974-C1007,0)</f>
        <v>0</v>
      </c>
      <c r="G1018" s="21" t="n">
        <f aca="false">IF(AND(G757=1,G702=1),1,0)</f>
        <v>0</v>
      </c>
      <c r="H1018" s="21" t="n">
        <f aca="false">IF(G1018=1,1,IF(AND(H757=1,H702=1),1,0))</f>
        <v>0</v>
      </c>
      <c r="I1018" s="21" t="n">
        <f aca="false">IF(H1018=1,1,IF(AND(I757=1,I702=1),1,0))</f>
        <v>0</v>
      </c>
      <c r="J1018" s="21" t="n">
        <f aca="false">IF(I1018=1,1,IF(AND(J757=1,J702=1),1,0))</f>
        <v>0</v>
      </c>
      <c r="K1018" s="21" t="n">
        <f aca="false">IF(J1018=1,1,IF(AND(K757=1,K702=1),1,0))</f>
        <v>0</v>
      </c>
    </row>
    <row r="1019" customFormat="false" ht="15" hidden="false" customHeight="false" outlineLevel="0" collapsed="false">
      <c r="A1019" s="3" t="s">
        <v>561</v>
      </c>
      <c r="C1019" s="16" t="n">
        <f aca="false">IF(C997&gt;0,C975-C1008,0)</f>
        <v>0</v>
      </c>
      <c r="G1019" s="21" t="n">
        <f aca="false">IF(AND(G770=1,G702=1),1,0)</f>
        <v>0</v>
      </c>
      <c r="H1019" s="21" t="n">
        <f aca="false">IF(G1019=1,1,IF(AND(H770=1,H702=1),1,0))</f>
        <v>0</v>
      </c>
      <c r="I1019" s="21" t="n">
        <f aca="false">IF(H1019=1,1,IF(AND(I770=1,I702=1),1,0))</f>
        <v>0</v>
      </c>
      <c r="J1019" s="21" t="n">
        <f aca="false">IF(I1019=1,1,IF(AND(J770=1,J702=1),1,0))</f>
        <v>0</v>
      </c>
      <c r="K1019" s="21" t="n">
        <f aca="false">IF(J1019=1,1,IF(AND(K770=1,K702=1),1,0))</f>
        <v>0</v>
      </c>
    </row>
    <row r="1020" customFormat="false" ht="15" hidden="false" customHeight="false" outlineLevel="0" collapsed="false">
      <c r="A1020" s="3" t="s">
        <v>562</v>
      </c>
      <c r="C1020" s="16" t="n">
        <f aca="false">IF(C998&gt;0,C976-C1009,0)</f>
        <v>0</v>
      </c>
      <c r="G1020" s="21" t="n">
        <f aca="false">IF(AND(G783=1,G702=1),1,0)</f>
        <v>0</v>
      </c>
      <c r="H1020" s="21" t="n">
        <f aca="false">IF(G1020=1,1,IF(AND(H783=1,H702=1),1,0))</f>
        <v>0</v>
      </c>
      <c r="I1020" s="21" t="n">
        <f aca="false">IF(H1020=1,1,IF(AND(I783=1,I702=1),1,0))</f>
        <v>0</v>
      </c>
      <c r="J1020" s="21" t="n">
        <f aca="false">IF(I1020=1,1,IF(AND(J783=1,J702=1),1,0))</f>
        <v>0</v>
      </c>
      <c r="K1020" s="21" t="n">
        <f aca="false">IF(J1020=1,1,IF(AND(K783=1,K702=1),1,0))</f>
        <v>0</v>
      </c>
    </row>
    <row r="1021" customFormat="false" ht="15" hidden="false" customHeight="false" outlineLevel="0" collapsed="false">
      <c r="A1021" s="3" t="s">
        <v>563</v>
      </c>
      <c r="C1021" s="16" t="n">
        <f aca="false">IF(C999&gt;0,C977-C1010,0)</f>
        <v>0</v>
      </c>
      <c r="G1021" s="21" t="n">
        <f aca="false">IF(AND(G796=1,G702=1),1,0)</f>
        <v>0</v>
      </c>
      <c r="H1021" s="21" t="n">
        <f aca="false">IF(G1021=1,1,IF(AND(H796=1,H702=1),1,0))</f>
        <v>0</v>
      </c>
      <c r="I1021" s="21" t="n">
        <f aca="false">IF(H1021=1,1,IF(AND(I796=1,I702=1),1,0))</f>
        <v>0</v>
      </c>
      <c r="J1021" s="21" t="n">
        <f aca="false">IF(I1021=1,1,IF(AND(J796=1,J702=1),1,0))</f>
        <v>0</v>
      </c>
      <c r="K1021" s="21" t="n">
        <f aca="false">IF(J1021=1,1,IF(AND(K796=1,K702=1),1,0))</f>
        <v>0</v>
      </c>
    </row>
    <row r="1022" customFormat="false" ht="15" hidden="false" customHeight="false" outlineLevel="0" collapsed="false">
      <c r="A1022" s="3" t="s">
        <v>564</v>
      </c>
      <c r="C1022" s="16" t="n">
        <f aca="false">IF(C1000&gt;0,C978-C1011,0)</f>
        <v>0</v>
      </c>
      <c r="G1022" s="21" t="n">
        <f aca="false">IF(AND(G809=1,G702=1),1,0)</f>
        <v>0</v>
      </c>
      <c r="H1022" s="21" t="n">
        <f aca="false">IF(G1022=1,1,IF(AND(H809=1,H702=1),1,0))</f>
        <v>0</v>
      </c>
      <c r="I1022" s="21" t="n">
        <f aca="false">IF(H1022=1,1,IF(AND(I809=1,I702=1),1,0))</f>
        <v>0</v>
      </c>
      <c r="J1022" s="21" t="n">
        <f aca="false">IF(I1022=1,1,IF(AND(J809=1,J702=1),1,0))</f>
        <v>0</v>
      </c>
      <c r="K1022" s="21" t="n">
        <f aca="false">IF(J1022=1,1,IF(AND(K809=1,K702=1),1,0))</f>
        <v>0</v>
      </c>
    </row>
    <row r="1023" customFormat="false" ht="15" hidden="false" customHeight="false" outlineLevel="0" collapsed="false">
      <c r="A1023" s="3" t="s">
        <v>565</v>
      </c>
      <c r="C1023" s="16" t="n">
        <f aca="false">IF(C1001&gt;0,C979-C1012,0)</f>
        <v>0</v>
      </c>
      <c r="G1023" s="21" t="n">
        <f aca="false">IF(AND(G822=1,G702=1),1,0)</f>
        <v>0</v>
      </c>
      <c r="H1023" s="21" t="n">
        <f aca="false">IF(G1023=1,1,IF(AND(H822=1,H702=1),1,0))</f>
        <v>0</v>
      </c>
      <c r="I1023" s="21" t="n">
        <f aca="false">IF(H1023=1,1,IF(AND(I822=1,I702=1),1,0))</f>
        <v>0</v>
      </c>
      <c r="J1023" s="21" t="n">
        <f aca="false">IF(I1023=1,1,IF(AND(J822=1,J702=1),1,0))</f>
        <v>0</v>
      </c>
      <c r="K1023" s="21" t="n">
        <f aca="false">IF(J1023=1,1,IF(AND(K822=1,K702=1),1,0))</f>
        <v>0</v>
      </c>
    </row>
    <row r="1024" customFormat="false" ht="15" hidden="false" customHeight="false" outlineLevel="0" collapsed="false">
      <c r="A1024" s="24" t="s">
        <v>570</v>
      </c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</row>
    <row r="1025" customFormat="false" ht="15" hidden="false" customHeight="false" outlineLevel="0" collapsed="false">
      <c r="A1025" s="3" t="s">
        <v>556</v>
      </c>
      <c r="C1025" s="16" t="n">
        <f aca="false">IF(C992&gt;0,C1014,C970)</f>
        <v>0</v>
      </c>
    </row>
    <row r="1026" customFormat="false" ht="15" hidden="false" customHeight="false" outlineLevel="0" collapsed="false">
      <c r="A1026" s="3" t="s">
        <v>557</v>
      </c>
      <c r="C1026" s="16" t="n">
        <f aca="false">IF(C993&gt;0,C1015,C971)</f>
        <v>0</v>
      </c>
    </row>
    <row r="1027" customFormat="false" ht="15" hidden="false" customHeight="false" outlineLevel="0" collapsed="false">
      <c r="A1027" s="3" t="s">
        <v>558</v>
      </c>
      <c r="C1027" s="16" t="n">
        <f aca="false">IF(C994&gt;0,C1016,C972)</f>
        <v>0</v>
      </c>
    </row>
    <row r="1028" customFormat="false" ht="15" hidden="false" customHeight="false" outlineLevel="0" collapsed="false">
      <c r="A1028" s="3" t="s">
        <v>559</v>
      </c>
      <c r="C1028" s="16" t="n">
        <f aca="false">IF(C995&gt;0,C1017,C973)</f>
        <v>0</v>
      </c>
    </row>
    <row r="1029" customFormat="false" ht="15" hidden="false" customHeight="false" outlineLevel="0" collapsed="false">
      <c r="A1029" s="3" t="s">
        <v>560</v>
      </c>
      <c r="C1029" s="16" t="n">
        <f aca="false">IF(C996&gt;0,C1018,C974)</f>
        <v>405.410640665075</v>
      </c>
    </row>
    <row r="1030" customFormat="false" ht="15" hidden="false" customHeight="false" outlineLevel="0" collapsed="false">
      <c r="A1030" s="3" t="s">
        <v>561</v>
      </c>
      <c r="C1030" s="16" t="n">
        <f aca="false">IF(C997&gt;0,C1019,C975)</f>
        <v>357.2625</v>
      </c>
    </row>
    <row r="1031" customFormat="false" ht="15" hidden="false" customHeight="false" outlineLevel="0" collapsed="false">
      <c r="A1031" s="3" t="s">
        <v>562</v>
      </c>
      <c r="C1031" s="16" t="n">
        <f aca="false">IF(C998&gt;0,C1020,C976)</f>
        <v>562.203125</v>
      </c>
    </row>
    <row r="1032" customFormat="false" ht="15" hidden="false" customHeight="false" outlineLevel="0" collapsed="false">
      <c r="A1032" s="3" t="s">
        <v>563</v>
      </c>
      <c r="C1032" s="16" t="n">
        <f aca="false">IF(C999&gt;0,C1021,C977)</f>
        <v>353.98125</v>
      </c>
    </row>
    <row r="1033" customFormat="false" ht="15" hidden="false" customHeight="false" outlineLevel="0" collapsed="false">
      <c r="A1033" s="3" t="s">
        <v>564</v>
      </c>
      <c r="C1033" s="16" t="n">
        <f aca="false">IF(C1000&gt;0,C1022,C978)</f>
        <v>304.59375</v>
      </c>
    </row>
    <row r="1034" customFormat="false" ht="15" hidden="false" customHeight="false" outlineLevel="0" collapsed="false">
      <c r="A1034" s="3" t="s">
        <v>565</v>
      </c>
      <c r="C1034" s="16" t="n">
        <f aca="false">IF(C1001&gt;0,C1023,C979)</f>
        <v>79.938509</v>
      </c>
    </row>
    <row r="1035" customFormat="false" ht="15" hidden="false" customHeight="false" outlineLevel="0" collapsed="false">
      <c r="A1035" s="24" t="s">
        <v>571</v>
      </c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</row>
    <row r="1036" customFormat="false" ht="15" hidden="false" customHeight="false" outlineLevel="0" collapsed="false">
      <c r="A1036" s="3" t="s">
        <v>556</v>
      </c>
      <c r="C1036" s="21" t="n">
        <f aca="false">IF(C992&gt;0,Assumptions!$C$17,C981)</f>
        <v>99</v>
      </c>
    </row>
    <row r="1037" customFormat="false" ht="15" hidden="false" customHeight="false" outlineLevel="0" collapsed="false">
      <c r="A1037" s="3" t="s">
        <v>557</v>
      </c>
      <c r="C1037" s="21" t="n">
        <f aca="false">IF(C993&gt;0,Assumptions!$C$17,C982)</f>
        <v>99</v>
      </c>
    </row>
    <row r="1038" customFormat="false" ht="15" hidden="false" customHeight="false" outlineLevel="0" collapsed="false">
      <c r="A1038" s="3" t="s">
        <v>558</v>
      </c>
      <c r="C1038" s="21" t="n">
        <f aca="false">IF(C994&gt;0,Assumptions!$C$17,C983)</f>
        <v>99</v>
      </c>
    </row>
    <row r="1039" customFormat="false" ht="15" hidden="false" customHeight="false" outlineLevel="0" collapsed="false">
      <c r="A1039" s="3" t="s">
        <v>559</v>
      </c>
      <c r="C1039" s="21" t="n">
        <f aca="false">IF(C995&gt;0,Assumptions!$C$17,C984)</f>
        <v>2</v>
      </c>
    </row>
    <row r="1040" customFormat="false" ht="15" hidden="false" customHeight="false" outlineLevel="0" collapsed="false">
      <c r="A1040" s="3" t="s">
        <v>560</v>
      </c>
      <c r="C1040" s="21" t="n">
        <f aca="false">IF(C996&gt;0,Assumptions!$C$17,C985)</f>
        <v>2</v>
      </c>
    </row>
    <row r="1041" customFormat="false" ht="15" hidden="false" customHeight="false" outlineLevel="0" collapsed="false">
      <c r="A1041" s="3" t="s">
        <v>561</v>
      </c>
      <c r="C1041" s="21" t="n">
        <f aca="false">IF(C997&gt;0,Assumptions!$C$17,C986)</f>
        <v>2</v>
      </c>
    </row>
    <row r="1042" customFormat="false" ht="15" hidden="false" customHeight="false" outlineLevel="0" collapsed="false">
      <c r="A1042" s="3" t="s">
        <v>562</v>
      </c>
      <c r="C1042" s="21" t="n">
        <f aca="false">IF(C998&gt;0,Assumptions!$C$17,C987)</f>
        <v>2</v>
      </c>
    </row>
    <row r="1043" customFormat="false" ht="15" hidden="false" customHeight="false" outlineLevel="0" collapsed="false">
      <c r="A1043" s="3" t="s">
        <v>563</v>
      </c>
      <c r="C1043" s="21" t="n">
        <f aca="false">IF(C999&gt;0,Assumptions!$C$17,C988)</f>
        <v>2</v>
      </c>
    </row>
    <row r="1044" customFormat="false" ht="15" hidden="false" customHeight="false" outlineLevel="0" collapsed="false">
      <c r="A1044" s="3" t="s">
        <v>564</v>
      </c>
      <c r="C1044" s="21" t="n">
        <f aca="false">IF(C1000&gt;0,Assumptions!$C$17,C989)</f>
        <v>2</v>
      </c>
    </row>
    <row r="1045" customFormat="false" ht="15" hidden="false" customHeight="false" outlineLevel="0" collapsed="false">
      <c r="A1045" s="3" t="s">
        <v>565</v>
      </c>
      <c r="C1045" s="21" t="n">
        <f aca="false">IF(C1001&gt;0,Assumptions!$C$17,C990)</f>
        <v>3</v>
      </c>
    </row>
    <row r="1046" customFormat="false" ht="15" hidden="false" customHeight="false" outlineLevel="0" collapsed="false">
      <c r="A1046" s="24" t="s">
        <v>572</v>
      </c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</row>
    <row r="1047" customFormat="false" ht="15" hidden="false" customHeight="false" outlineLevel="0" collapsed="false">
      <c r="A1047" s="3" t="s">
        <v>556</v>
      </c>
      <c r="C1047" s="16" t="n">
        <f aca="false">SUMPRODUCT(($C$1036:$C$1045&lt;C1036)*$C$1025:$C$1034)</f>
        <v>2063.38977466508</v>
      </c>
    </row>
    <row r="1048" customFormat="false" ht="15" hidden="false" customHeight="false" outlineLevel="0" collapsed="false">
      <c r="A1048" s="3" t="s">
        <v>557</v>
      </c>
      <c r="C1048" s="16" t="n">
        <f aca="false">SUMPRODUCT(($C$1036:$C$1045&lt;C1037)*$C$1025:$C$1034)</f>
        <v>2063.38977466508</v>
      </c>
    </row>
    <row r="1049" customFormat="false" ht="15" hidden="false" customHeight="false" outlineLevel="0" collapsed="false">
      <c r="A1049" s="3" t="s">
        <v>558</v>
      </c>
      <c r="C1049" s="16" t="n">
        <f aca="false">SUMPRODUCT(($C$1036:$C$1045&lt;C1038)*$C$1025:$C$1034)</f>
        <v>2063.38977466508</v>
      </c>
    </row>
    <row r="1050" customFormat="false" ht="15" hidden="false" customHeight="false" outlineLevel="0" collapsed="false">
      <c r="A1050" s="3" t="s">
        <v>559</v>
      </c>
      <c r="C1050" s="16" t="n">
        <f aca="false">SUMPRODUCT(($C$1036:$C$1045&lt;C1039)*$C$1025:$C$1034)</f>
        <v>0</v>
      </c>
    </row>
    <row r="1051" customFormat="false" ht="15" hidden="false" customHeight="false" outlineLevel="0" collapsed="false">
      <c r="A1051" s="3" t="s">
        <v>560</v>
      </c>
      <c r="C1051" s="16" t="n">
        <f aca="false">SUMPRODUCT(($C$1036:$C$1045&lt;C1040)*$C$1025:$C$1034)</f>
        <v>0</v>
      </c>
    </row>
    <row r="1052" customFormat="false" ht="15" hidden="false" customHeight="false" outlineLevel="0" collapsed="false">
      <c r="A1052" s="3" t="s">
        <v>561</v>
      </c>
      <c r="C1052" s="16" t="n">
        <f aca="false">SUMPRODUCT(($C$1036:$C$1045&lt;C1041)*$C$1025:$C$1034)</f>
        <v>0</v>
      </c>
    </row>
    <row r="1053" customFormat="false" ht="15" hidden="false" customHeight="false" outlineLevel="0" collapsed="false">
      <c r="A1053" s="3" t="s">
        <v>562</v>
      </c>
      <c r="C1053" s="16" t="n">
        <f aca="false">SUMPRODUCT(($C$1036:$C$1045&lt;C1042)*$C$1025:$C$1034)</f>
        <v>0</v>
      </c>
    </row>
    <row r="1054" customFormat="false" ht="15" hidden="false" customHeight="false" outlineLevel="0" collapsed="false">
      <c r="A1054" s="3" t="s">
        <v>563</v>
      </c>
      <c r="C1054" s="16" t="n">
        <f aca="false">SUMPRODUCT(($C$1036:$C$1045&lt;C1043)*$C$1025:$C$1034)</f>
        <v>0</v>
      </c>
    </row>
    <row r="1055" customFormat="false" ht="15" hidden="false" customHeight="false" outlineLevel="0" collapsed="false">
      <c r="A1055" s="3" t="s">
        <v>564</v>
      </c>
      <c r="C1055" s="16" t="n">
        <f aca="false">SUMPRODUCT(($C$1036:$C$1045&lt;C1044)*$C$1025:$C$1034)</f>
        <v>0</v>
      </c>
    </row>
    <row r="1056" customFormat="false" ht="15" hidden="false" customHeight="false" outlineLevel="0" collapsed="false">
      <c r="A1056" s="3" t="s">
        <v>565</v>
      </c>
      <c r="C1056" s="16" t="n">
        <f aca="false">SUMPRODUCT(($C$1036:$C$1045&lt;C1045)*$C$1025:$C$1034)</f>
        <v>1983.45126566508</v>
      </c>
    </row>
    <row r="1057" customFormat="false" ht="15" hidden="false" customHeight="false" outlineLevel="0" collapsed="false">
      <c r="A1057" s="24" t="s">
        <v>573</v>
      </c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</row>
    <row r="1058" customFormat="false" ht="15" hidden="false" customHeight="false" outlineLevel="0" collapsed="false">
      <c r="A1058" s="3" t="s">
        <v>556</v>
      </c>
      <c r="C1058" s="16" t="n">
        <f aca="false">SUMPRODUCT(($C$1036:$C$1045=C1036)*$C$1025:$C$1034)</f>
        <v>0</v>
      </c>
    </row>
    <row r="1059" customFormat="false" ht="15" hidden="false" customHeight="false" outlineLevel="0" collapsed="false">
      <c r="A1059" s="3" t="s">
        <v>557</v>
      </c>
      <c r="C1059" s="16" t="n">
        <f aca="false">SUMPRODUCT(($C$1036:$C$1045=C1037)*$C$1025:$C$1034)</f>
        <v>0</v>
      </c>
    </row>
    <row r="1060" customFormat="false" ht="15" hidden="false" customHeight="false" outlineLevel="0" collapsed="false">
      <c r="A1060" s="3" t="s">
        <v>558</v>
      </c>
      <c r="C1060" s="16" t="n">
        <f aca="false">SUMPRODUCT(($C$1036:$C$1045=C1038)*$C$1025:$C$1034)</f>
        <v>0</v>
      </c>
    </row>
    <row r="1061" customFormat="false" ht="15" hidden="false" customHeight="false" outlineLevel="0" collapsed="false">
      <c r="A1061" s="3" t="s">
        <v>559</v>
      </c>
      <c r="C1061" s="16" t="n">
        <f aca="false">SUMPRODUCT(($C$1036:$C$1045=C1039)*$C$1025:$C$1034)</f>
        <v>1983.45126566508</v>
      </c>
    </row>
    <row r="1062" customFormat="false" ht="15" hidden="false" customHeight="false" outlineLevel="0" collapsed="false">
      <c r="A1062" s="3" t="s">
        <v>560</v>
      </c>
      <c r="C1062" s="16" t="n">
        <f aca="false">SUMPRODUCT(($C$1036:$C$1045=C1040)*$C$1025:$C$1034)</f>
        <v>1983.45126566508</v>
      </c>
    </row>
    <row r="1063" customFormat="false" ht="15" hidden="false" customHeight="false" outlineLevel="0" collapsed="false">
      <c r="A1063" s="3" t="s">
        <v>561</v>
      </c>
      <c r="C1063" s="16" t="n">
        <f aca="false">SUMPRODUCT(($C$1036:$C$1045=C1041)*$C$1025:$C$1034)</f>
        <v>1983.45126566508</v>
      </c>
    </row>
    <row r="1064" customFormat="false" ht="15" hidden="false" customHeight="false" outlineLevel="0" collapsed="false">
      <c r="A1064" s="3" t="s">
        <v>562</v>
      </c>
      <c r="C1064" s="16" t="n">
        <f aca="false">SUMPRODUCT(($C$1036:$C$1045=C1042)*$C$1025:$C$1034)</f>
        <v>1983.45126566508</v>
      </c>
    </row>
    <row r="1065" customFormat="false" ht="15" hidden="false" customHeight="false" outlineLevel="0" collapsed="false">
      <c r="A1065" s="3" t="s">
        <v>563</v>
      </c>
      <c r="C1065" s="16" t="n">
        <f aca="false">SUMPRODUCT(($C$1036:$C$1045=C1043)*$C$1025:$C$1034)</f>
        <v>1983.45126566508</v>
      </c>
    </row>
    <row r="1066" customFormat="false" ht="15" hidden="false" customHeight="false" outlineLevel="0" collapsed="false">
      <c r="A1066" s="3" t="s">
        <v>564</v>
      </c>
      <c r="C1066" s="16" t="n">
        <f aca="false">SUMPRODUCT(($C$1036:$C$1045=C1044)*$C$1025:$C$1034)</f>
        <v>1983.45126566508</v>
      </c>
    </row>
    <row r="1067" customFormat="false" ht="15" hidden="false" customHeight="false" outlineLevel="0" collapsed="false">
      <c r="A1067" s="3" t="s">
        <v>565</v>
      </c>
      <c r="C1067" s="16" t="n">
        <f aca="false">SUMPRODUCT(($C$1036:$C$1045=C1045)*$C$1025:$C$1034)</f>
        <v>79.938509</v>
      </c>
    </row>
    <row r="1068" customFormat="false" ht="15" hidden="false" customHeight="false" outlineLevel="0" collapsed="false">
      <c r="A1068" s="24" t="s">
        <v>574</v>
      </c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</row>
    <row r="1069" customFormat="false" ht="15" hidden="false" customHeight="false" outlineLevel="0" collapsed="false">
      <c r="A1069" s="3" t="s">
        <v>556</v>
      </c>
      <c r="C1069" s="16" t="n">
        <f aca="false">IF(C1058=0,0,C1025/C1058*MAX(0,MIN(C1058,$C$968-SUM($C$1003:$C$1012)-C1047)))</f>
        <v>0</v>
      </c>
    </row>
    <row r="1070" customFormat="false" ht="15" hidden="false" customHeight="false" outlineLevel="0" collapsed="false">
      <c r="A1070" s="3" t="s">
        <v>557</v>
      </c>
      <c r="C1070" s="16" t="n">
        <f aca="false">IF(C1059=0,0,C1026/C1059*MAX(0,MIN(C1059,$C$968-SUM($C$1003:$C$1012)-C1048)))</f>
        <v>0</v>
      </c>
    </row>
    <row r="1071" customFormat="false" ht="15" hidden="false" customHeight="false" outlineLevel="0" collapsed="false">
      <c r="A1071" s="3" t="s">
        <v>558</v>
      </c>
      <c r="C1071" s="16" t="n">
        <f aca="false">IF(C1060=0,0,C1027/C1060*MAX(0,MIN(C1060,$C$968-SUM($C$1003:$C$1012)-C1049)))</f>
        <v>0</v>
      </c>
    </row>
    <row r="1072" customFormat="false" ht="15" hidden="false" customHeight="false" outlineLevel="0" collapsed="false">
      <c r="A1072" s="3" t="s">
        <v>559</v>
      </c>
      <c r="C1072" s="16" t="n">
        <f aca="false">IF(C1061=0,0,C1028/C1061*MAX(0,MIN(C1061,$C$968-SUM($C$1003:$C$1012)-C1050)))</f>
        <v>0</v>
      </c>
    </row>
    <row r="1073" customFormat="false" ht="15" hidden="false" customHeight="false" outlineLevel="0" collapsed="false">
      <c r="A1073" s="3" t="s">
        <v>560</v>
      </c>
      <c r="C1073" s="16" t="n">
        <f aca="false">IF(C1062=0,0,C1029/C1062*MAX(0,MIN(C1062,$C$968-SUM($C$1003:$C$1012)-C1051)))</f>
        <v>405.410640665075</v>
      </c>
    </row>
    <row r="1074" customFormat="false" ht="15" hidden="false" customHeight="false" outlineLevel="0" collapsed="false">
      <c r="A1074" s="3" t="s">
        <v>561</v>
      </c>
      <c r="C1074" s="16" t="n">
        <f aca="false">IF(C1063=0,0,C1030/C1063*MAX(0,MIN(C1063,$C$968-SUM($C$1003:$C$1012)-C1052)))</f>
        <v>357.2625</v>
      </c>
    </row>
    <row r="1075" customFormat="false" ht="15" hidden="false" customHeight="false" outlineLevel="0" collapsed="false">
      <c r="A1075" s="3" t="s">
        <v>562</v>
      </c>
      <c r="C1075" s="16" t="n">
        <f aca="false">IF(C1064=0,0,C1031/C1064*MAX(0,MIN(C1064,$C$968-SUM($C$1003:$C$1012)-C1053)))</f>
        <v>562.203125</v>
      </c>
    </row>
    <row r="1076" customFormat="false" ht="15" hidden="false" customHeight="false" outlineLevel="0" collapsed="false">
      <c r="A1076" s="3" t="s">
        <v>563</v>
      </c>
      <c r="C1076" s="16" t="n">
        <f aca="false">IF(C1065=0,0,C1032/C1065*MAX(0,MIN(C1065,$C$968-SUM($C$1003:$C$1012)-C1054)))</f>
        <v>353.98125</v>
      </c>
    </row>
    <row r="1077" customFormat="false" ht="15" hidden="false" customHeight="false" outlineLevel="0" collapsed="false">
      <c r="A1077" s="3" t="s">
        <v>564</v>
      </c>
      <c r="C1077" s="16" t="n">
        <f aca="false">IF(C1066=0,0,C1033/C1066*MAX(0,MIN(C1066,$C$968-SUM($C$1003:$C$1012)-C1055)))</f>
        <v>304.59375</v>
      </c>
    </row>
    <row r="1078" customFormat="false" ht="15" hidden="false" customHeight="false" outlineLevel="0" collapsed="false">
      <c r="A1078" s="3" t="s">
        <v>565</v>
      </c>
      <c r="C1078" s="16" t="n">
        <f aca="false">IF(C1067=0,0,C1034/C1067*MAX(0,MIN(C1067,$C$968-SUM($C$1003:$C$1012)-C1056)))</f>
        <v>79.938509</v>
      </c>
    </row>
    <row r="1079" customFormat="false" ht="15" hidden="false" customHeight="false" outlineLevel="0" collapsed="false">
      <c r="A1079" s="24" t="s">
        <v>575</v>
      </c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</row>
    <row r="1080" customFormat="false" ht="15" hidden="false" customHeight="false" outlineLevel="0" collapsed="false">
      <c r="A1080" s="2" t="s">
        <v>556</v>
      </c>
      <c r="C1080" s="17" t="n">
        <f aca="false">C1003+C1069</f>
        <v>402.29</v>
      </c>
    </row>
    <row r="1081" customFormat="false" ht="15" hidden="false" customHeight="false" outlineLevel="0" collapsed="false">
      <c r="A1081" s="2" t="s">
        <v>557</v>
      </c>
      <c r="C1081" s="17" t="n">
        <f aca="false">C1004+C1070</f>
        <v>91.30725</v>
      </c>
    </row>
    <row r="1082" customFormat="false" ht="15" hidden="false" customHeight="false" outlineLevel="0" collapsed="false">
      <c r="A1082" s="2" t="s">
        <v>558</v>
      </c>
      <c r="C1082" s="17" t="n">
        <f aca="false">C1005+C1071</f>
        <v>58.3715961</v>
      </c>
    </row>
    <row r="1083" customFormat="false" ht="15" hidden="false" customHeight="false" outlineLevel="0" collapsed="false">
      <c r="A1083" s="2" t="s">
        <v>559</v>
      </c>
      <c r="C1083" s="17" t="n">
        <f aca="false">C1006+C1072</f>
        <v>0</v>
      </c>
    </row>
    <row r="1084" customFormat="false" ht="15" hidden="false" customHeight="false" outlineLevel="0" collapsed="false">
      <c r="A1084" s="2" t="s">
        <v>560</v>
      </c>
      <c r="C1084" s="17" t="n">
        <f aca="false">C1007+C1073</f>
        <v>405.410640665075</v>
      </c>
    </row>
    <row r="1085" customFormat="false" ht="15" hidden="false" customHeight="false" outlineLevel="0" collapsed="false">
      <c r="A1085" s="2" t="s">
        <v>561</v>
      </c>
      <c r="C1085" s="17" t="n">
        <f aca="false">C1008+C1074</f>
        <v>357.2625</v>
      </c>
    </row>
    <row r="1086" customFormat="false" ht="15" hidden="false" customHeight="false" outlineLevel="0" collapsed="false">
      <c r="A1086" s="2" t="s">
        <v>562</v>
      </c>
      <c r="C1086" s="17" t="n">
        <f aca="false">C1009+C1075</f>
        <v>562.203125</v>
      </c>
    </row>
    <row r="1087" customFormat="false" ht="15" hidden="false" customHeight="false" outlineLevel="0" collapsed="false">
      <c r="A1087" s="2" t="s">
        <v>563</v>
      </c>
      <c r="C1087" s="17" t="n">
        <f aca="false">C1010+C1076</f>
        <v>353.98125</v>
      </c>
    </row>
    <row r="1088" customFormat="false" ht="15" hidden="false" customHeight="false" outlineLevel="0" collapsed="false">
      <c r="A1088" s="2" t="s">
        <v>564</v>
      </c>
      <c r="C1088" s="17" t="n">
        <f aca="false">C1011+C1077</f>
        <v>304.59375</v>
      </c>
    </row>
    <row r="1089" customFormat="false" ht="15" hidden="false" customHeight="false" outlineLevel="0" collapsed="false">
      <c r="A1089" s="2" t="s">
        <v>565</v>
      </c>
      <c r="C1089" s="17" t="n">
        <f aca="false">C1012+C1078</f>
        <v>79.938509</v>
      </c>
    </row>
    <row r="1090" customFormat="false" ht="15" hidden="false" customHeight="false" outlineLevel="0" collapsed="false">
      <c r="A1090" s="24" t="s">
        <v>576</v>
      </c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</row>
    <row r="1091" customFormat="false" ht="15" hidden="false" customHeight="false" outlineLevel="0" collapsed="false">
      <c r="A1091" s="3" t="s">
        <v>556</v>
      </c>
      <c r="C1091" s="22" t="n">
        <f aca="false">IF(C970=0,1,C1080/C970)</f>
        <v>1</v>
      </c>
    </row>
    <row r="1092" customFormat="false" ht="15" hidden="false" customHeight="false" outlineLevel="0" collapsed="false">
      <c r="A1092" s="3" t="s">
        <v>557</v>
      </c>
      <c r="C1092" s="22" t="n">
        <f aca="false">IF(C971=0,1,C1081/C971)</f>
        <v>1</v>
      </c>
    </row>
    <row r="1093" customFormat="false" ht="15" hidden="false" customHeight="false" outlineLevel="0" collapsed="false">
      <c r="A1093" s="3" t="s">
        <v>558</v>
      </c>
      <c r="C1093" s="22" t="n">
        <f aca="false">IF(C972=0,1,C1082/C972)</f>
        <v>1</v>
      </c>
    </row>
    <row r="1094" customFormat="false" ht="15" hidden="false" customHeight="false" outlineLevel="0" collapsed="false">
      <c r="A1094" s="3" t="s">
        <v>559</v>
      </c>
      <c r="C1094" s="22" t="n">
        <f aca="false">IF(C973=0,1,C1083/C973)</f>
        <v>1</v>
      </c>
    </row>
    <row r="1095" customFormat="false" ht="15" hidden="false" customHeight="false" outlineLevel="0" collapsed="false">
      <c r="A1095" s="3" t="s">
        <v>560</v>
      </c>
      <c r="C1095" s="22" t="n">
        <f aca="false">IF(C974=0,1,C1084/C974)</f>
        <v>1</v>
      </c>
    </row>
    <row r="1096" customFormat="false" ht="15" hidden="false" customHeight="false" outlineLevel="0" collapsed="false">
      <c r="A1096" s="3" t="s">
        <v>561</v>
      </c>
      <c r="C1096" s="22" t="n">
        <f aca="false">IF(C975=0,1,C1085/C975)</f>
        <v>1</v>
      </c>
    </row>
    <row r="1097" customFormat="false" ht="15" hidden="false" customHeight="false" outlineLevel="0" collapsed="false">
      <c r="A1097" s="3" t="s">
        <v>562</v>
      </c>
      <c r="C1097" s="22" t="n">
        <f aca="false">IF(C976=0,1,C1086/C976)</f>
        <v>1</v>
      </c>
    </row>
    <row r="1098" customFormat="false" ht="15" hidden="false" customHeight="false" outlineLevel="0" collapsed="false">
      <c r="A1098" s="3" t="s">
        <v>563</v>
      </c>
      <c r="C1098" s="22" t="n">
        <f aca="false">IF(C977=0,1,C1087/C977)</f>
        <v>1</v>
      </c>
    </row>
    <row r="1099" customFormat="false" ht="15" hidden="false" customHeight="false" outlineLevel="0" collapsed="false">
      <c r="A1099" s="3" t="s">
        <v>564</v>
      </c>
      <c r="C1099" s="22" t="n">
        <f aca="false">IF(C978=0,1,C1088/C978)</f>
        <v>1</v>
      </c>
    </row>
    <row r="1100" customFormat="false" ht="15" hidden="false" customHeight="false" outlineLevel="0" collapsed="false">
      <c r="A1100" s="3" t="s">
        <v>565</v>
      </c>
      <c r="C1100" s="22" t="n">
        <f aca="false">IF(C979=0,1,C1089/C979)</f>
        <v>1</v>
      </c>
    </row>
    <row r="1101" customFormat="false" ht="15" hidden="false" customHeight="false" outlineLevel="0" collapsed="false">
      <c r="A1101" s="24" t="s">
        <v>577</v>
      </c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</row>
    <row r="1102" customFormat="false" ht="15" hidden="false" customHeight="false" outlineLevel="0" collapsed="false">
      <c r="A1102" s="3" t="s">
        <v>556</v>
      </c>
      <c r="C1102" s="16" t="n">
        <f aca="false">C970-C1080</f>
        <v>0</v>
      </c>
    </row>
    <row r="1103" customFormat="false" ht="15" hidden="false" customHeight="false" outlineLevel="0" collapsed="false">
      <c r="A1103" s="3" t="s">
        <v>557</v>
      </c>
      <c r="C1103" s="16" t="n">
        <f aca="false">C971-C1081</f>
        <v>0</v>
      </c>
    </row>
    <row r="1104" customFormat="false" ht="15" hidden="false" customHeight="false" outlineLevel="0" collapsed="false">
      <c r="A1104" s="3" t="s">
        <v>558</v>
      </c>
      <c r="C1104" s="16" t="n">
        <f aca="false">C972-C1082</f>
        <v>0</v>
      </c>
    </row>
    <row r="1105" customFormat="false" ht="15" hidden="false" customHeight="false" outlineLevel="0" collapsed="false">
      <c r="A1105" s="3" t="s">
        <v>559</v>
      </c>
      <c r="C1105" s="16" t="n">
        <f aca="false">C973-C1083</f>
        <v>0</v>
      </c>
    </row>
    <row r="1106" customFormat="false" ht="15" hidden="false" customHeight="false" outlineLevel="0" collapsed="false">
      <c r="A1106" s="3" t="s">
        <v>560</v>
      </c>
      <c r="C1106" s="16" t="n">
        <f aca="false">C974-C1084</f>
        <v>0</v>
      </c>
    </row>
    <row r="1107" customFormat="false" ht="15" hidden="false" customHeight="false" outlineLevel="0" collapsed="false">
      <c r="A1107" s="3" t="s">
        <v>561</v>
      </c>
      <c r="C1107" s="16" t="n">
        <f aca="false">C975-C1085</f>
        <v>0</v>
      </c>
    </row>
    <row r="1108" customFormat="false" ht="15" hidden="false" customHeight="false" outlineLevel="0" collapsed="false">
      <c r="A1108" s="3" t="s">
        <v>562</v>
      </c>
      <c r="C1108" s="16" t="n">
        <f aca="false">C976-C1086</f>
        <v>0</v>
      </c>
    </row>
    <row r="1109" customFormat="false" ht="15" hidden="false" customHeight="false" outlineLevel="0" collapsed="false">
      <c r="A1109" s="3" t="s">
        <v>563</v>
      </c>
      <c r="C1109" s="16" t="n">
        <f aca="false">C977-C1087</f>
        <v>0</v>
      </c>
    </row>
    <row r="1110" customFormat="false" ht="15" hidden="false" customHeight="false" outlineLevel="0" collapsed="false">
      <c r="A1110" s="3" t="s">
        <v>564</v>
      </c>
      <c r="C1110" s="16" t="n">
        <f aca="false">C978-C1088</f>
        <v>0</v>
      </c>
    </row>
    <row r="1111" customFormat="false" ht="15" hidden="false" customHeight="false" outlineLevel="0" collapsed="false">
      <c r="A1111" s="3" t="s">
        <v>565</v>
      </c>
      <c r="C1111" s="16" t="n">
        <f aca="false">C979-C1089</f>
        <v>0</v>
      </c>
    </row>
    <row r="1112" customFormat="false" ht="15" hidden="false" customHeight="false" outlineLevel="0" collapsed="false">
      <c r="A1112" s="24" t="s">
        <v>578</v>
      </c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</row>
    <row r="1113" customFormat="false" ht="15" hidden="false" customHeight="false" outlineLevel="0" collapsed="false">
      <c r="A1113" s="3" t="s">
        <v>556</v>
      </c>
      <c r="C1113" s="22" t="n">
        <f aca="false">IF(C970=0,0,C1102/C970)</f>
        <v>0</v>
      </c>
    </row>
    <row r="1114" customFormat="false" ht="15" hidden="false" customHeight="false" outlineLevel="0" collapsed="false">
      <c r="A1114" s="3" t="s">
        <v>557</v>
      </c>
      <c r="C1114" s="22" t="n">
        <f aca="false">IF(C971=0,0,C1103/C971)</f>
        <v>0</v>
      </c>
    </row>
    <row r="1115" customFormat="false" ht="15" hidden="false" customHeight="false" outlineLevel="0" collapsed="false">
      <c r="A1115" s="3" t="s">
        <v>558</v>
      </c>
      <c r="C1115" s="22" t="n">
        <f aca="false">IF(C972=0,0,C1104/C972)</f>
        <v>0</v>
      </c>
    </row>
    <row r="1116" customFormat="false" ht="15" hidden="false" customHeight="false" outlineLevel="0" collapsed="false">
      <c r="A1116" s="3" t="s">
        <v>559</v>
      </c>
      <c r="C1116" s="22" t="n">
        <f aca="false">IF(C973=0,0,C1105/C973)</f>
        <v>0</v>
      </c>
    </row>
    <row r="1117" customFormat="false" ht="15" hidden="false" customHeight="false" outlineLevel="0" collapsed="false">
      <c r="A1117" s="3" t="s">
        <v>560</v>
      </c>
      <c r="C1117" s="22" t="n">
        <f aca="false">IF(C974=0,0,C1106/C974)</f>
        <v>0</v>
      </c>
    </row>
    <row r="1118" customFormat="false" ht="15" hidden="false" customHeight="false" outlineLevel="0" collapsed="false">
      <c r="A1118" s="3" t="s">
        <v>561</v>
      </c>
      <c r="C1118" s="22" t="n">
        <f aca="false">IF(C975=0,0,C1107/C975)</f>
        <v>0</v>
      </c>
    </row>
    <row r="1119" customFormat="false" ht="15" hidden="false" customHeight="false" outlineLevel="0" collapsed="false">
      <c r="A1119" s="3" t="s">
        <v>562</v>
      </c>
      <c r="C1119" s="22" t="n">
        <f aca="false">IF(C976=0,0,C1108/C976)</f>
        <v>0</v>
      </c>
    </row>
    <row r="1120" customFormat="false" ht="15" hidden="false" customHeight="false" outlineLevel="0" collapsed="false">
      <c r="A1120" s="3" t="s">
        <v>563</v>
      </c>
      <c r="C1120" s="22" t="n">
        <f aca="false">IF(C977=0,0,C1109/C977)</f>
        <v>0</v>
      </c>
    </row>
    <row r="1121" customFormat="false" ht="15" hidden="false" customHeight="false" outlineLevel="0" collapsed="false">
      <c r="A1121" s="3" t="s">
        <v>564</v>
      </c>
      <c r="C1121" s="22" t="n">
        <f aca="false">IF(C978=0,0,C1110/C978)</f>
        <v>0</v>
      </c>
    </row>
    <row r="1122" customFormat="false" ht="15" hidden="false" customHeight="false" outlineLevel="0" collapsed="false">
      <c r="A1122" s="3" t="s">
        <v>565</v>
      </c>
      <c r="C1122" s="22" t="n">
        <f aca="false">IF(C979=0,0,C1111/C979)</f>
        <v>0</v>
      </c>
    </row>
    <row r="1123" customFormat="false" ht="15" hidden="false" customHeight="false" outlineLevel="0" collapsed="false">
      <c r="A1123" s="2" t="s">
        <v>579</v>
      </c>
      <c r="C1123" s="17" t="n">
        <f aca="false">MAX(0,$C$968-SUM($C$1003:$C$1012)-SUM($C$1025:$C$1034))</f>
        <v>518.118561634925</v>
      </c>
    </row>
    <row r="1124" customFormat="false" ht="15" hidden="false" customHeight="false" outlineLevel="0" collapsed="false">
      <c r="A1124" s="3" t="s">
        <v>580</v>
      </c>
      <c r="C1124" s="16" t="n">
        <f aca="false">SUM($C$1080:$C$1089)+C1123+C967-C966</f>
        <v>0</v>
      </c>
    </row>
    <row r="1126" customFormat="false" ht="15" hidden="false" customHeight="false" outlineLevel="0" collapsed="false">
      <c r="A1126" s="24" t="s">
        <v>583</v>
      </c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</row>
    <row r="1127" customFormat="false" ht="15" hidden="false" customHeight="false" outlineLevel="0" collapsed="false">
      <c r="A1127" s="3" t="s">
        <v>584</v>
      </c>
      <c r="C1127" s="27" t="n">
        <f aca="false">Assumptions!$C$34</f>
        <v>1</v>
      </c>
    </row>
    <row r="1128" customFormat="false" ht="15" hidden="false" customHeight="false" outlineLevel="0" collapsed="false">
      <c r="A1128" s="3" t="s">
        <v>585</v>
      </c>
      <c r="C1128" s="29" t="n">
        <f aca="false">Assumptions!$C$35</f>
        <v>100</v>
      </c>
    </row>
    <row r="1129" customFormat="false" ht="15" hidden="false" customHeight="false" outlineLevel="0" collapsed="false">
      <c r="A1129" s="3" t="s">
        <v>586</v>
      </c>
      <c r="C1129" s="40" t="n">
        <f aca="false">Assumptions!$C$36</f>
        <v>98</v>
      </c>
    </row>
    <row r="1130" customFormat="false" ht="15" hidden="false" customHeight="false" outlineLevel="0" collapsed="false">
      <c r="A1130" s="3" t="s">
        <v>587</v>
      </c>
      <c r="C1130" s="16" t="n">
        <f aca="false">C1128*C1129/100*(1+Assumptions!$C$37)</f>
        <v>98.49</v>
      </c>
    </row>
    <row r="1131" customFormat="false" ht="15" hidden="false" customHeight="false" outlineLevel="0" collapsed="false">
      <c r="A1131" s="3" t="s">
        <v>588</v>
      </c>
      <c r="C1131" s="27" t="n">
        <f aca="false">Assumptions!$C$38</f>
        <v>3</v>
      </c>
    </row>
    <row r="1132" customFormat="false" ht="15" hidden="false" customHeight="false" outlineLevel="0" collapsed="false">
      <c r="A1132" s="3" t="s">
        <v>589</v>
      </c>
      <c r="C1132" s="21" t="n">
        <f aca="false">IF(C959=1,SUMPRODUCT($G$895:$K$895,$G$669:$K$669),0)</f>
        <v>2</v>
      </c>
    </row>
    <row r="1133" customFormat="false" ht="15" hidden="false" customHeight="false" outlineLevel="0" collapsed="false">
      <c r="A1133" s="3" t="s">
        <v>590</v>
      </c>
      <c r="C1133" s="22" t="n">
        <f aca="false">IFERROR(C1128/CHOOSE(C1127,SUMPRODUCT($G$958:$K$958,$G$715:$K$715),SUMPRODUCT($G$958:$K$958,$G$728:$K$728),SUMPRODUCT($G$958:$K$958,$G$741:$K$741),SUMPRODUCT($G$958:$K$958,$G$754:$K$754),SUMPRODUCT($G$958:$K$958,$G$767:$K$767),SUMPRODUCT($G$958:$K$958,$G$780:$K$780),SUMPRODUCT($G$958:$K$958,$G$793:$K$793),SUMPRODUCT($G$958:$K$958,$G$806:$K$806),SUMPRODUCT($G$958:$K$958,$G$819:$K$819),SUMPRODUCT($G$958:$K$958,$G$832:$K$832)),0)</f>
        <v>0.255102040816327</v>
      </c>
    </row>
    <row r="1134" customFormat="false" ht="15" hidden="false" customHeight="false" outlineLevel="0" collapsed="false">
      <c r="A1134" s="3" t="s">
        <v>591</v>
      </c>
      <c r="C1134" s="16" t="n">
        <f aca="false">CHOOSE(C1127,C1080,C1081,C1082,C1083,C1084,C1085,C1086,C1087,C1088,C1089)*C1133</f>
        <v>102.625</v>
      </c>
    </row>
    <row r="1135" customFormat="false" ht="15" hidden="false" customHeight="false" outlineLevel="0" collapsed="false">
      <c r="A1135" s="3" t="s">
        <v>592</v>
      </c>
      <c r="C1135" s="22" t="n">
        <f aca="false">CHOOSE(C1127,C1091,C1092,C1093,C1094,C1095,C1096,C1097,C1098,C1099,C1100)</f>
        <v>1</v>
      </c>
    </row>
    <row r="1136" customFormat="false" ht="15" hidden="false" customHeight="false" outlineLevel="0" collapsed="false">
      <c r="A1136" s="3" t="s">
        <v>593</v>
      </c>
      <c r="C1136" s="21" t="n">
        <f aca="false">IF(C959=1,C1132,C1131)</f>
        <v>2</v>
      </c>
    </row>
    <row r="1137" customFormat="false" ht="15" hidden="false" customHeight="false" outlineLevel="0" collapsed="false">
      <c r="A1137" s="3" t="s">
        <v>594</v>
      </c>
      <c r="C1137" s="35" t="n">
        <f aca="false">CHOOSE($C$661,Assumptions!$C$91,Assumptions!$C$110,Assumptions!$C$129)</f>
        <v>95</v>
      </c>
    </row>
    <row r="1138" customFormat="false" ht="15" hidden="false" customHeight="false" outlineLevel="0" collapsed="false">
      <c r="A1138" s="3" t="s">
        <v>595</v>
      </c>
      <c r="C1138" s="16" t="n">
        <f aca="false">INDEX($G$678:$K$678,C1131)*CHOOSE($C$661,Assumptions!$C$90,Assumptions!$C$109,Assumptions!$C$128)+MAX(0,INDEX($G$892:$K$892,C1131))</f>
        <v>2423.913149823</v>
      </c>
    </row>
    <row r="1139" customFormat="false" ht="15" hidden="false" customHeight="false" outlineLevel="0" collapsed="false">
      <c r="A1139" s="24" t="s">
        <v>596</v>
      </c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</row>
    <row r="1140" customFormat="false" ht="15" hidden="false" customHeight="false" outlineLevel="0" collapsed="false">
      <c r="A1140" s="3" t="s">
        <v>556</v>
      </c>
      <c r="C1140" s="16" t="n">
        <f aca="false">INDEX($G$715:$K$715,C1131)</f>
        <v>388</v>
      </c>
    </row>
    <row r="1141" customFormat="false" ht="15" hidden="false" customHeight="false" outlineLevel="0" collapsed="false">
      <c r="A1141" s="3" t="s">
        <v>557</v>
      </c>
      <c r="C1141" s="16" t="n">
        <f aca="false">INDEX($G$728:$K$728,C1131)</f>
        <v>90</v>
      </c>
    </row>
    <row r="1142" customFormat="false" ht="15" hidden="false" customHeight="false" outlineLevel="0" collapsed="false">
      <c r="A1142" s="3" t="s">
        <v>558</v>
      </c>
      <c r="C1142" s="16" t="n">
        <f aca="false">INDEX($G$741:$K$741,C1131)</f>
        <v>57.324</v>
      </c>
    </row>
    <row r="1143" customFormat="false" ht="15" hidden="false" customHeight="false" outlineLevel="0" collapsed="false">
      <c r="A1143" s="3" t="s">
        <v>559</v>
      </c>
      <c r="C1143" s="16" t="n">
        <f aca="false">INDEX($G$754:$K$754,C1131)</f>
        <v>0</v>
      </c>
    </row>
    <row r="1144" customFormat="false" ht="15" hidden="false" customHeight="false" outlineLevel="0" collapsed="false">
      <c r="A1144" s="3" t="s">
        <v>560</v>
      </c>
      <c r="C1144" s="16" t="n">
        <f aca="false">INDEX($G$767:$K$767,C1131)</f>
        <v>401.446357881</v>
      </c>
    </row>
    <row r="1145" customFormat="false" ht="15" hidden="false" customHeight="false" outlineLevel="0" collapsed="false">
      <c r="A1145" s="3" t="s">
        <v>561</v>
      </c>
      <c r="C1145" s="16" t="n">
        <f aca="false">INDEX($G$780:$K$780,C1131)</f>
        <v>350</v>
      </c>
    </row>
    <row r="1146" customFormat="false" ht="15" hidden="false" customHeight="false" outlineLevel="0" collapsed="false">
      <c r="A1146" s="3" t="s">
        <v>562</v>
      </c>
      <c r="C1146" s="16" t="n">
        <f aca="false">INDEX($G$793:$K$793,C1131)</f>
        <v>550</v>
      </c>
    </row>
    <row r="1147" customFormat="false" ht="15" hidden="false" customHeight="false" outlineLevel="0" collapsed="false">
      <c r="A1147" s="3" t="s">
        <v>563</v>
      </c>
      <c r="C1147" s="16" t="n">
        <f aca="false">INDEX($G$806:$K$806,C1131)</f>
        <v>350</v>
      </c>
    </row>
    <row r="1148" customFormat="false" ht="15" hidden="false" customHeight="false" outlineLevel="0" collapsed="false">
      <c r="A1148" s="3" t="s">
        <v>564</v>
      </c>
      <c r="C1148" s="16" t="n">
        <f aca="false">INDEX($G$819:$K$819,C1131)</f>
        <v>300</v>
      </c>
    </row>
    <row r="1149" customFormat="false" ht="15" hidden="false" customHeight="false" outlineLevel="0" collapsed="false">
      <c r="A1149" s="3" t="s">
        <v>565</v>
      </c>
      <c r="C1149" s="16" t="n">
        <f aca="false">INDEX($G$832:$K$832,C1131)</f>
        <v>78.61</v>
      </c>
    </row>
    <row r="1150" customFormat="false" ht="15" hidden="false" customHeight="false" outlineLevel="0" collapsed="false">
      <c r="A1150" s="24" t="s">
        <v>566</v>
      </c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</row>
    <row r="1151" customFormat="false" ht="15" hidden="false" customHeight="false" outlineLevel="0" collapsed="false">
      <c r="A1151" s="3" t="s">
        <v>556</v>
      </c>
      <c r="C1151" s="27" t="n">
        <f aca="false">Assumptions!$M$57</f>
        <v>1</v>
      </c>
    </row>
    <row r="1152" customFormat="false" ht="15" hidden="false" customHeight="false" outlineLevel="0" collapsed="false">
      <c r="A1152" s="3" t="s">
        <v>557</v>
      </c>
      <c r="C1152" s="27" t="n">
        <f aca="false">Assumptions!$M$58</f>
        <v>1</v>
      </c>
    </row>
    <row r="1153" customFormat="false" ht="15" hidden="false" customHeight="false" outlineLevel="0" collapsed="false">
      <c r="A1153" s="3" t="s">
        <v>558</v>
      </c>
      <c r="C1153" s="27" t="n">
        <f aca="false">Assumptions!$M$59</f>
        <v>1</v>
      </c>
    </row>
    <row r="1154" customFormat="false" ht="15" hidden="false" customHeight="false" outlineLevel="0" collapsed="false">
      <c r="A1154" s="3" t="s">
        <v>559</v>
      </c>
      <c r="C1154" s="27" t="n">
        <f aca="false">Assumptions!$M$60</f>
        <v>2</v>
      </c>
    </row>
    <row r="1155" customFormat="false" ht="15" hidden="false" customHeight="false" outlineLevel="0" collapsed="false">
      <c r="A1155" s="3" t="s">
        <v>560</v>
      </c>
      <c r="C1155" s="27" t="n">
        <f aca="false">Assumptions!$M$61</f>
        <v>2</v>
      </c>
    </row>
    <row r="1156" customFormat="false" ht="15" hidden="false" customHeight="false" outlineLevel="0" collapsed="false">
      <c r="A1156" s="3" t="s">
        <v>561</v>
      </c>
      <c r="C1156" s="27" t="n">
        <f aca="false">Assumptions!$M$62</f>
        <v>2</v>
      </c>
    </row>
    <row r="1157" customFormat="false" ht="15" hidden="false" customHeight="false" outlineLevel="0" collapsed="false">
      <c r="A1157" s="3" t="s">
        <v>562</v>
      </c>
      <c r="C1157" s="27" t="n">
        <f aca="false">Assumptions!$M$63</f>
        <v>2</v>
      </c>
    </row>
    <row r="1158" customFormat="false" ht="15" hidden="false" customHeight="false" outlineLevel="0" collapsed="false">
      <c r="A1158" s="3" t="s">
        <v>563</v>
      </c>
      <c r="C1158" s="27" t="n">
        <f aca="false">Assumptions!$M$64</f>
        <v>2</v>
      </c>
    </row>
    <row r="1159" customFormat="false" ht="15" hidden="false" customHeight="false" outlineLevel="0" collapsed="false">
      <c r="A1159" s="3" t="s">
        <v>564</v>
      </c>
      <c r="C1159" s="27" t="n">
        <f aca="false">Assumptions!$M$65</f>
        <v>2</v>
      </c>
    </row>
    <row r="1160" customFormat="false" ht="15" hidden="false" customHeight="false" outlineLevel="0" collapsed="false">
      <c r="A1160" s="3" t="s">
        <v>565</v>
      </c>
      <c r="C1160" s="27" t="n">
        <f aca="false">Assumptions!$M$66</f>
        <v>3</v>
      </c>
    </row>
    <row r="1161" customFormat="false" ht="15" hidden="false" customHeight="false" outlineLevel="0" collapsed="false">
      <c r="A1161" s="24" t="s">
        <v>567</v>
      </c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</row>
    <row r="1162" customFormat="false" ht="15" hidden="false" customHeight="false" outlineLevel="0" collapsed="false">
      <c r="A1162" s="3" t="s">
        <v>556</v>
      </c>
      <c r="C1162" s="33" t="n">
        <f aca="false">Assumptions!$Q$57</f>
        <v>0.3</v>
      </c>
    </row>
    <row r="1163" customFormat="false" ht="15" hidden="false" customHeight="false" outlineLevel="0" collapsed="false">
      <c r="A1163" s="3" t="s">
        <v>557</v>
      </c>
      <c r="C1163" s="33" t="n">
        <f aca="false">Assumptions!$Q$58</f>
        <v>0.033</v>
      </c>
    </row>
    <row r="1164" customFormat="false" ht="15" hidden="false" customHeight="false" outlineLevel="0" collapsed="false">
      <c r="A1164" s="3" t="s">
        <v>558</v>
      </c>
      <c r="C1164" s="33" t="n">
        <f aca="false">Assumptions!$Q$59</f>
        <v>0.021</v>
      </c>
    </row>
    <row r="1165" customFormat="false" ht="15" hidden="false" customHeight="false" outlineLevel="0" collapsed="false">
      <c r="A1165" s="3" t="s">
        <v>559</v>
      </c>
      <c r="C1165" s="33" t="n">
        <f aca="false">Assumptions!$Q$60</f>
        <v>0</v>
      </c>
    </row>
    <row r="1166" customFormat="false" ht="15" hidden="false" customHeight="false" outlineLevel="0" collapsed="false">
      <c r="A1166" s="3" t="s">
        <v>560</v>
      </c>
      <c r="C1166" s="33" t="n">
        <f aca="false">Assumptions!$Q$61</f>
        <v>0</v>
      </c>
    </row>
    <row r="1167" customFormat="false" ht="15" hidden="false" customHeight="false" outlineLevel="0" collapsed="false">
      <c r="A1167" s="3" t="s">
        <v>561</v>
      </c>
      <c r="C1167" s="33" t="n">
        <f aca="false">Assumptions!$Q$62</f>
        <v>0</v>
      </c>
    </row>
    <row r="1168" customFormat="false" ht="15" hidden="false" customHeight="false" outlineLevel="0" collapsed="false">
      <c r="A1168" s="3" t="s">
        <v>562</v>
      </c>
      <c r="C1168" s="33" t="n">
        <f aca="false">Assumptions!$Q$63</f>
        <v>0</v>
      </c>
    </row>
    <row r="1169" customFormat="false" ht="15" hidden="false" customHeight="false" outlineLevel="0" collapsed="false">
      <c r="A1169" s="3" t="s">
        <v>563</v>
      </c>
      <c r="C1169" s="33" t="n">
        <f aca="false">Assumptions!$Q$64</f>
        <v>0</v>
      </c>
    </row>
    <row r="1170" customFormat="false" ht="15" hidden="false" customHeight="false" outlineLevel="0" collapsed="false">
      <c r="A1170" s="3" t="s">
        <v>564</v>
      </c>
      <c r="C1170" s="33" t="n">
        <f aca="false">Assumptions!$Q$65</f>
        <v>0</v>
      </c>
    </row>
    <row r="1171" customFormat="false" ht="15" hidden="false" customHeight="false" outlineLevel="0" collapsed="false">
      <c r="A1171" s="3" t="s">
        <v>565</v>
      </c>
      <c r="C1171" s="33" t="n">
        <f aca="false">Assumptions!$Q$66</f>
        <v>0</v>
      </c>
    </row>
    <row r="1172" customFormat="false" ht="15" hidden="false" customHeight="false" outlineLevel="0" collapsed="false">
      <c r="A1172" s="24" t="s">
        <v>568</v>
      </c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</row>
    <row r="1173" customFormat="false" ht="15" hidden="false" customHeight="false" outlineLevel="0" collapsed="false">
      <c r="A1173" s="3" t="s">
        <v>556</v>
      </c>
      <c r="C1173" s="16" t="n">
        <f aca="false">IF(C1162&gt;0,MIN(C1140,C1162*$C$1138),0)</f>
        <v>388</v>
      </c>
    </row>
    <row r="1174" customFormat="false" ht="15" hidden="false" customHeight="false" outlineLevel="0" collapsed="false">
      <c r="A1174" s="3" t="s">
        <v>557</v>
      </c>
      <c r="C1174" s="16" t="n">
        <f aca="false">IF(C1163&gt;0,MIN(C1141,C1163*$C$1138),0)</f>
        <v>79.989133944159</v>
      </c>
    </row>
    <row r="1175" customFormat="false" ht="15" hidden="false" customHeight="false" outlineLevel="0" collapsed="false">
      <c r="A1175" s="3" t="s">
        <v>558</v>
      </c>
      <c r="C1175" s="16" t="n">
        <f aca="false">IF(C1164&gt;0,MIN(C1142,C1164*$C$1138),0)</f>
        <v>50.902176146283</v>
      </c>
    </row>
    <row r="1176" customFormat="false" ht="15" hidden="false" customHeight="false" outlineLevel="0" collapsed="false">
      <c r="A1176" s="3" t="s">
        <v>559</v>
      </c>
      <c r="C1176" s="16" t="n">
        <f aca="false">IF(C1165&gt;0,MIN(C1143,C1165*$C$1138),0)</f>
        <v>0</v>
      </c>
    </row>
    <row r="1177" customFormat="false" ht="15" hidden="false" customHeight="false" outlineLevel="0" collapsed="false">
      <c r="A1177" s="3" t="s">
        <v>560</v>
      </c>
      <c r="C1177" s="16" t="n">
        <f aca="false">IF(C1166&gt;0,MIN(C1144,C1166*$C$1138),0)</f>
        <v>0</v>
      </c>
    </row>
    <row r="1178" customFormat="false" ht="15" hidden="false" customHeight="false" outlineLevel="0" collapsed="false">
      <c r="A1178" s="3" t="s">
        <v>561</v>
      </c>
      <c r="C1178" s="16" t="n">
        <f aca="false">IF(C1167&gt;0,MIN(C1145,C1167*$C$1138),0)</f>
        <v>0</v>
      </c>
    </row>
    <row r="1179" customFormat="false" ht="15" hidden="false" customHeight="false" outlineLevel="0" collapsed="false">
      <c r="A1179" s="3" t="s">
        <v>562</v>
      </c>
      <c r="C1179" s="16" t="n">
        <f aca="false">IF(C1168&gt;0,MIN(C1146,C1168*$C$1138),0)</f>
        <v>0</v>
      </c>
    </row>
    <row r="1180" customFormat="false" ht="15" hidden="false" customHeight="false" outlineLevel="0" collapsed="false">
      <c r="A1180" s="3" t="s">
        <v>563</v>
      </c>
      <c r="C1180" s="16" t="n">
        <f aca="false">IF(C1169&gt;0,MIN(C1147,C1169*$C$1138),0)</f>
        <v>0</v>
      </c>
    </row>
    <row r="1181" customFormat="false" ht="15" hidden="false" customHeight="false" outlineLevel="0" collapsed="false">
      <c r="A1181" s="3" t="s">
        <v>564</v>
      </c>
      <c r="C1181" s="16" t="n">
        <f aca="false">IF(C1170&gt;0,MIN(C1148,C1170*$C$1138),0)</f>
        <v>0</v>
      </c>
    </row>
    <row r="1182" customFormat="false" ht="15" hidden="false" customHeight="false" outlineLevel="0" collapsed="false">
      <c r="A1182" s="3" t="s">
        <v>565</v>
      </c>
      <c r="C1182" s="16" t="n">
        <f aca="false">IF(C1171&gt;0,MIN(C1149,C1171*$C$1138),0)</f>
        <v>0</v>
      </c>
    </row>
    <row r="1183" customFormat="false" ht="15" hidden="false" customHeight="false" outlineLevel="0" collapsed="false">
      <c r="A1183" s="24" t="s">
        <v>569</v>
      </c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</row>
    <row r="1184" customFormat="false" ht="15" hidden="false" customHeight="false" outlineLevel="0" collapsed="false">
      <c r="A1184" s="3" t="s">
        <v>556</v>
      </c>
      <c r="C1184" s="16" t="n">
        <f aca="false">IF(C1162&gt;0,C1140-C1173,0)</f>
        <v>0</v>
      </c>
    </row>
    <row r="1185" customFormat="false" ht="15" hidden="false" customHeight="false" outlineLevel="0" collapsed="false">
      <c r="A1185" s="3" t="s">
        <v>557</v>
      </c>
      <c r="C1185" s="16" t="n">
        <f aca="false">IF(C1163&gt;0,C1141-C1174,0)</f>
        <v>10.010866055841</v>
      </c>
    </row>
    <row r="1186" customFormat="false" ht="15" hidden="false" customHeight="false" outlineLevel="0" collapsed="false">
      <c r="A1186" s="3" t="s">
        <v>558</v>
      </c>
      <c r="C1186" s="16" t="n">
        <f aca="false">IF(C1164&gt;0,C1142-C1175,0)</f>
        <v>6.42182385371699</v>
      </c>
    </row>
    <row r="1187" customFormat="false" ht="15" hidden="false" customHeight="false" outlineLevel="0" collapsed="false">
      <c r="A1187" s="3" t="s">
        <v>559</v>
      </c>
      <c r="C1187" s="16" t="n">
        <f aca="false">IF(C1165&gt;0,C1143-C1176,0)</f>
        <v>0</v>
      </c>
    </row>
    <row r="1188" customFormat="false" ht="15" hidden="false" customHeight="false" outlineLevel="0" collapsed="false">
      <c r="A1188" s="3" t="s">
        <v>560</v>
      </c>
      <c r="C1188" s="16" t="n">
        <f aca="false">IF(C1166&gt;0,C1144-C1177,0)</f>
        <v>0</v>
      </c>
    </row>
    <row r="1189" customFormat="false" ht="15" hidden="false" customHeight="false" outlineLevel="0" collapsed="false">
      <c r="A1189" s="3" t="s">
        <v>561</v>
      </c>
      <c r="C1189" s="16" t="n">
        <f aca="false">IF(C1167&gt;0,C1145-C1178,0)</f>
        <v>0</v>
      </c>
    </row>
    <row r="1190" customFormat="false" ht="15" hidden="false" customHeight="false" outlineLevel="0" collapsed="false">
      <c r="A1190" s="3" t="s">
        <v>562</v>
      </c>
      <c r="C1190" s="16" t="n">
        <f aca="false">IF(C1168&gt;0,C1146-C1179,0)</f>
        <v>0</v>
      </c>
    </row>
    <row r="1191" customFormat="false" ht="15" hidden="false" customHeight="false" outlineLevel="0" collapsed="false">
      <c r="A1191" s="3" t="s">
        <v>563</v>
      </c>
      <c r="C1191" s="16" t="n">
        <f aca="false">IF(C1169&gt;0,C1147-C1180,0)</f>
        <v>0</v>
      </c>
    </row>
    <row r="1192" customFormat="false" ht="15" hidden="false" customHeight="false" outlineLevel="0" collapsed="false">
      <c r="A1192" s="3" t="s">
        <v>564</v>
      </c>
      <c r="C1192" s="16" t="n">
        <f aca="false">IF(C1170&gt;0,C1148-C1181,0)</f>
        <v>0</v>
      </c>
    </row>
    <row r="1193" customFormat="false" ht="15" hidden="false" customHeight="false" outlineLevel="0" collapsed="false">
      <c r="A1193" s="3" t="s">
        <v>565</v>
      </c>
      <c r="C1193" s="16" t="n">
        <f aca="false">IF(C1171&gt;0,C1149-C1182,0)</f>
        <v>0</v>
      </c>
    </row>
    <row r="1194" customFormat="false" ht="15" hidden="false" customHeight="false" outlineLevel="0" collapsed="false">
      <c r="A1194" s="24" t="s">
        <v>570</v>
      </c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</row>
    <row r="1195" customFormat="false" ht="15" hidden="false" customHeight="false" outlineLevel="0" collapsed="false">
      <c r="A1195" s="3" t="s">
        <v>556</v>
      </c>
      <c r="C1195" s="16" t="n">
        <f aca="false">IF(C1162&gt;0,C1184,C1140)</f>
        <v>0</v>
      </c>
    </row>
    <row r="1196" customFormat="false" ht="15" hidden="false" customHeight="false" outlineLevel="0" collapsed="false">
      <c r="A1196" s="3" t="s">
        <v>557</v>
      </c>
      <c r="C1196" s="16" t="n">
        <f aca="false">IF(C1163&gt;0,C1185,C1141)</f>
        <v>10.010866055841</v>
      </c>
    </row>
    <row r="1197" customFormat="false" ht="15" hidden="false" customHeight="false" outlineLevel="0" collapsed="false">
      <c r="A1197" s="3" t="s">
        <v>558</v>
      </c>
      <c r="C1197" s="16" t="n">
        <f aca="false">IF(C1164&gt;0,C1186,C1142)</f>
        <v>6.42182385371699</v>
      </c>
    </row>
    <row r="1198" customFormat="false" ht="15" hidden="false" customHeight="false" outlineLevel="0" collapsed="false">
      <c r="A1198" s="3" t="s">
        <v>559</v>
      </c>
      <c r="C1198" s="16" t="n">
        <f aca="false">IF(C1165&gt;0,C1187,C1143)</f>
        <v>0</v>
      </c>
    </row>
    <row r="1199" customFormat="false" ht="15" hidden="false" customHeight="false" outlineLevel="0" collapsed="false">
      <c r="A1199" s="3" t="s">
        <v>560</v>
      </c>
      <c r="C1199" s="16" t="n">
        <f aca="false">IF(C1166&gt;0,C1188,C1144)</f>
        <v>401.446357881</v>
      </c>
    </row>
    <row r="1200" customFormat="false" ht="15" hidden="false" customHeight="false" outlineLevel="0" collapsed="false">
      <c r="A1200" s="3" t="s">
        <v>561</v>
      </c>
      <c r="C1200" s="16" t="n">
        <f aca="false">IF(C1167&gt;0,C1189,C1145)</f>
        <v>350</v>
      </c>
    </row>
    <row r="1201" customFormat="false" ht="15" hidden="false" customHeight="false" outlineLevel="0" collapsed="false">
      <c r="A1201" s="3" t="s">
        <v>562</v>
      </c>
      <c r="C1201" s="16" t="n">
        <f aca="false">IF(C1168&gt;0,C1190,C1146)</f>
        <v>550</v>
      </c>
    </row>
    <row r="1202" customFormat="false" ht="15" hidden="false" customHeight="false" outlineLevel="0" collapsed="false">
      <c r="A1202" s="3" t="s">
        <v>563</v>
      </c>
      <c r="C1202" s="16" t="n">
        <f aca="false">IF(C1169&gt;0,C1191,C1147)</f>
        <v>350</v>
      </c>
    </row>
    <row r="1203" customFormat="false" ht="15" hidden="false" customHeight="false" outlineLevel="0" collapsed="false">
      <c r="A1203" s="3" t="s">
        <v>564</v>
      </c>
      <c r="C1203" s="16" t="n">
        <f aca="false">IF(C1170&gt;0,C1192,C1148)</f>
        <v>300</v>
      </c>
    </row>
    <row r="1204" customFormat="false" ht="15" hidden="false" customHeight="false" outlineLevel="0" collapsed="false">
      <c r="A1204" s="3" t="s">
        <v>565</v>
      </c>
      <c r="C1204" s="16" t="n">
        <f aca="false">IF(C1171&gt;0,C1193,C1149)</f>
        <v>78.61</v>
      </c>
    </row>
    <row r="1205" customFormat="false" ht="15" hidden="false" customHeight="false" outlineLevel="0" collapsed="false">
      <c r="A1205" s="24" t="s">
        <v>571</v>
      </c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</row>
    <row r="1206" customFormat="false" ht="15" hidden="false" customHeight="false" outlineLevel="0" collapsed="false">
      <c r="A1206" s="3" t="s">
        <v>556</v>
      </c>
      <c r="C1206" s="21" t="n">
        <f aca="false">IF(C1162&gt;0,Assumptions!$C$17,C1151)</f>
        <v>99</v>
      </c>
    </row>
    <row r="1207" customFormat="false" ht="15" hidden="false" customHeight="false" outlineLevel="0" collapsed="false">
      <c r="A1207" s="3" t="s">
        <v>557</v>
      </c>
      <c r="C1207" s="21" t="n">
        <f aca="false">IF(C1163&gt;0,Assumptions!$C$17,C1152)</f>
        <v>99</v>
      </c>
    </row>
    <row r="1208" customFormat="false" ht="15" hidden="false" customHeight="false" outlineLevel="0" collapsed="false">
      <c r="A1208" s="3" t="s">
        <v>558</v>
      </c>
      <c r="C1208" s="21" t="n">
        <f aca="false">IF(C1164&gt;0,Assumptions!$C$17,C1153)</f>
        <v>99</v>
      </c>
    </row>
    <row r="1209" customFormat="false" ht="15" hidden="false" customHeight="false" outlineLevel="0" collapsed="false">
      <c r="A1209" s="3" t="s">
        <v>559</v>
      </c>
      <c r="C1209" s="21" t="n">
        <f aca="false">IF(C1165&gt;0,Assumptions!$C$17,C1154)</f>
        <v>2</v>
      </c>
    </row>
    <row r="1210" customFormat="false" ht="15" hidden="false" customHeight="false" outlineLevel="0" collapsed="false">
      <c r="A1210" s="3" t="s">
        <v>560</v>
      </c>
      <c r="C1210" s="21" t="n">
        <f aca="false">IF(C1166&gt;0,Assumptions!$C$17,C1155)</f>
        <v>2</v>
      </c>
    </row>
    <row r="1211" customFormat="false" ht="15" hidden="false" customHeight="false" outlineLevel="0" collapsed="false">
      <c r="A1211" s="3" t="s">
        <v>561</v>
      </c>
      <c r="C1211" s="21" t="n">
        <f aca="false">IF(C1167&gt;0,Assumptions!$C$17,C1156)</f>
        <v>2</v>
      </c>
    </row>
    <row r="1212" customFormat="false" ht="15" hidden="false" customHeight="false" outlineLevel="0" collapsed="false">
      <c r="A1212" s="3" t="s">
        <v>562</v>
      </c>
      <c r="C1212" s="21" t="n">
        <f aca="false">IF(C1168&gt;0,Assumptions!$C$17,C1157)</f>
        <v>2</v>
      </c>
    </row>
    <row r="1213" customFormat="false" ht="15" hidden="false" customHeight="false" outlineLevel="0" collapsed="false">
      <c r="A1213" s="3" t="s">
        <v>563</v>
      </c>
      <c r="C1213" s="21" t="n">
        <f aca="false">IF(C1169&gt;0,Assumptions!$C$17,C1158)</f>
        <v>2</v>
      </c>
    </row>
    <row r="1214" customFormat="false" ht="15" hidden="false" customHeight="false" outlineLevel="0" collapsed="false">
      <c r="A1214" s="3" t="s">
        <v>564</v>
      </c>
      <c r="C1214" s="21" t="n">
        <f aca="false">IF(C1170&gt;0,Assumptions!$C$17,C1159)</f>
        <v>2</v>
      </c>
    </row>
    <row r="1215" customFormat="false" ht="15" hidden="false" customHeight="false" outlineLevel="0" collapsed="false">
      <c r="A1215" s="3" t="s">
        <v>565</v>
      </c>
      <c r="C1215" s="21" t="n">
        <f aca="false">IF(C1171&gt;0,Assumptions!$C$17,C1160)</f>
        <v>3</v>
      </c>
    </row>
    <row r="1216" customFormat="false" ht="15" hidden="false" customHeight="false" outlineLevel="0" collapsed="false">
      <c r="A1216" s="24" t="s">
        <v>572</v>
      </c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</row>
    <row r="1217" customFormat="false" ht="15" hidden="false" customHeight="false" outlineLevel="0" collapsed="false">
      <c r="A1217" s="3" t="s">
        <v>556</v>
      </c>
      <c r="C1217" s="16" t="n">
        <f aca="false">SUMPRODUCT(($C$1206:$C$1215&lt;C1206)*$C$1195:$C$1204)</f>
        <v>2030.056357881</v>
      </c>
    </row>
    <row r="1218" customFormat="false" ht="15" hidden="false" customHeight="false" outlineLevel="0" collapsed="false">
      <c r="A1218" s="3" t="s">
        <v>557</v>
      </c>
      <c r="C1218" s="16" t="n">
        <f aca="false">SUMPRODUCT(($C$1206:$C$1215&lt;C1207)*$C$1195:$C$1204)</f>
        <v>2030.056357881</v>
      </c>
    </row>
    <row r="1219" customFormat="false" ht="15" hidden="false" customHeight="false" outlineLevel="0" collapsed="false">
      <c r="A1219" s="3" t="s">
        <v>558</v>
      </c>
      <c r="C1219" s="16" t="n">
        <f aca="false">SUMPRODUCT(($C$1206:$C$1215&lt;C1208)*$C$1195:$C$1204)</f>
        <v>2030.056357881</v>
      </c>
    </row>
    <row r="1220" customFormat="false" ht="15" hidden="false" customHeight="false" outlineLevel="0" collapsed="false">
      <c r="A1220" s="3" t="s">
        <v>559</v>
      </c>
      <c r="C1220" s="16" t="n">
        <f aca="false">SUMPRODUCT(($C$1206:$C$1215&lt;C1209)*$C$1195:$C$1204)</f>
        <v>0</v>
      </c>
    </row>
    <row r="1221" customFormat="false" ht="15" hidden="false" customHeight="false" outlineLevel="0" collapsed="false">
      <c r="A1221" s="3" t="s">
        <v>560</v>
      </c>
      <c r="C1221" s="16" t="n">
        <f aca="false">SUMPRODUCT(($C$1206:$C$1215&lt;C1210)*$C$1195:$C$1204)</f>
        <v>0</v>
      </c>
    </row>
    <row r="1222" customFormat="false" ht="15" hidden="false" customHeight="false" outlineLevel="0" collapsed="false">
      <c r="A1222" s="3" t="s">
        <v>561</v>
      </c>
      <c r="C1222" s="16" t="n">
        <f aca="false">SUMPRODUCT(($C$1206:$C$1215&lt;C1211)*$C$1195:$C$1204)</f>
        <v>0</v>
      </c>
    </row>
    <row r="1223" customFormat="false" ht="15" hidden="false" customHeight="false" outlineLevel="0" collapsed="false">
      <c r="A1223" s="3" t="s">
        <v>562</v>
      </c>
      <c r="C1223" s="16" t="n">
        <f aca="false">SUMPRODUCT(($C$1206:$C$1215&lt;C1212)*$C$1195:$C$1204)</f>
        <v>0</v>
      </c>
    </row>
    <row r="1224" customFormat="false" ht="15" hidden="false" customHeight="false" outlineLevel="0" collapsed="false">
      <c r="A1224" s="3" t="s">
        <v>563</v>
      </c>
      <c r="C1224" s="16" t="n">
        <f aca="false">SUMPRODUCT(($C$1206:$C$1215&lt;C1213)*$C$1195:$C$1204)</f>
        <v>0</v>
      </c>
    </row>
    <row r="1225" customFormat="false" ht="15" hidden="false" customHeight="false" outlineLevel="0" collapsed="false">
      <c r="A1225" s="3" t="s">
        <v>564</v>
      </c>
      <c r="C1225" s="16" t="n">
        <f aca="false">SUMPRODUCT(($C$1206:$C$1215&lt;C1214)*$C$1195:$C$1204)</f>
        <v>0</v>
      </c>
    </row>
    <row r="1226" customFormat="false" ht="15" hidden="false" customHeight="false" outlineLevel="0" collapsed="false">
      <c r="A1226" s="3" t="s">
        <v>565</v>
      </c>
      <c r="C1226" s="16" t="n">
        <f aca="false">SUMPRODUCT(($C$1206:$C$1215&lt;C1215)*$C$1195:$C$1204)</f>
        <v>1951.446357881</v>
      </c>
    </row>
    <row r="1227" customFormat="false" ht="15" hidden="false" customHeight="false" outlineLevel="0" collapsed="false">
      <c r="A1227" s="24" t="s">
        <v>573</v>
      </c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</row>
    <row r="1228" customFormat="false" ht="15" hidden="false" customHeight="false" outlineLevel="0" collapsed="false">
      <c r="A1228" s="3" t="s">
        <v>556</v>
      </c>
      <c r="C1228" s="16" t="n">
        <f aca="false">SUMPRODUCT(($C$1206:$C$1215=C1206)*$C$1195:$C$1204)</f>
        <v>16.432689909558</v>
      </c>
    </row>
    <row r="1229" customFormat="false" ht="15" hidden="false" customHeight="false" outlineLevel="0" collapsed="false">
      <c r="A1229" s="3" t="s">
        <v>557</v>
      </c>
      <c r="C1229" s="16" t="n">
        <f aca="false">SUMPRODUCT(($C$1206:$C$1215=C1207)*$C$1195:$C$1204)</f>
        <v>16.432689909558</v>
      </c>
    </row>
    <row r="1230" customFormat="false" ht="15" hidden="false" customHeight="false" outlineLevel="0" collapsed="false">
      <c r="A1230" s="3" t="s">
        <v>558</v>
      </c>
      <c r="C1230" s="16" t="n">
        <f aca="false">SUMPRODUCT(($C$1206:$C$1215=C1208)*$C$1195:$C$1204)</f>
        <v>16.432689909558</v>
      </c>
    </row>
    <row r="1231" customFormat="false" ht="15" hidden="false" customHeight="false" outlineLevel="0" collapsed="false">
      <c r="A1231" s="3" t="s">
        <v>559</v>
      </c>
      <c r="C1231" s="16" t="n">
        <f aca="false">SUMPRODUCT(($C$1206:$C$1215=C1209)*$C$1195:$C$1204)</f>
        <v>1951.446357881</v>
      </c>
    </row>
    <row r="1232" customFormat="false" ht="15" hidden="false" customHeight="false" outlineLevel="0" collapsed="false">
      <c r="A1232" s="3" t="s">
        <v>560</v>
      </c>
      <c r="C1232" s="16" t="n">
        <f aca="false">SUMPRODUCT(($C$1206:$C$1215=C1210)*$C$1195:$C$1204)</f>
        <v>1951.446357881</v>
      </c>
    </row>
    <row r="1233" customFormat="false" ht="15" hidden="false" customHeight="false" outlineLevel="0" collapsed="false">
      <c r="A1233" s="3" t="s">
        <v>561</v>
      </c>
      <c r="C1233" s="16" t="n">
        <f aca="false">SUMPRODUCT(($C$1206:$C$1215=C1211)*$C$1195:$C$1204)</f>
        <v>1951.446357881</v>
      </c>
    </row>
    <row r="1234" customFormat="false" ht="15" hidden="false" customHeight="false" outlineLevel="0" collapsed="false">
      <c r="A1234" s="3" t="s">
        <v>562</v>
      </c>
      <c r="C1234" s="16" t="n">
        <f aca="false">SUMPRODUCT(($C$1206:$C$1215=C1212)*$C$1195:$C$1204)</f>
        <v>1951.446357881</v>
      </c>
    </row>
    <row r="1235" customFormat="false" ht="15" hidden="false" customHeight="false" outlineLevel="0" collapsed="false">
      <c r="A1235" s="3" t="s">
        <v>563</v>
      </c>
      <c r="C1235" s="16" t="n">
        <f aca="false">SUMPRODUCT(($C$1206:$C$1215=C1213)*$C$1195:$C$1204)</f>
        <v>1951.446357881</v>
      </c>
    </row>
    <row r="1236" customFormat="false" ht="15" hidden="false" customHeight="false" outlineLevel="0" collapsed="false">
      <c r="A1236" s="3" t="s">
        <v>564</v>
      </c>
      <c r="C1236" s="16" t="n">
        <f aca="false">SUMPRODUCT(($C$1206:$C$1215=C1214)*$C$1195:$C$1204)</f>
        <v>1951.446357881</v>
      </c>
    </row>
    <row r="1237" customFormat="false" ht="15" hidden="false" customHeight="false" outlineLevel="0" collapsed="false">
      <c r="A1237" s="3" t="s">
        <v>565</v>
      </c>
      <c r="C1237" s="16" t="n">
        <f aca="false">SUMPRODUCT(($C$1206:$C$1215=C1215)*$C$1195:$C$1204)</f>
        <v>78.61</v>
      </c>
    </row>
    <row r="1238" customFormat="false" ht="15" hidden="false" customHeight="false" outlineLevel="0" collapsed="false">
      <c r="A1238" s="24" t="s">
        <v>574</v>
      </c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</row>
    <row r="1239" customFormat="false" ht="15" hidden="false" customHeight="false" outlineLevel="0" collapsed="false">
      <c r="A1239" s="3" t="s">
        <v>556</v>
      </c>
      <c r="C1239" s="16" t="n">
        <f aca="false">IF(C1228=0,0,C1195/C1228*MAX(0,MIN(C1228,$C$1138-SUM($C$1173:$C$1182)-C1217)))</f>
        <v>0</v>
      </c>
    </row>
    <row r="1240" customFormat="false" ht="15" hidden="false" customHeight="false" outlineLevel="0" collapsed="false">
      <c r="A1240" s="3" t="s">
        <v>557</v>
      </c>
      <c r="C1240" s="16" t="n">
        <f aca="false">IF(C1229=0,0,C1196/C1229*MAX(0,MIN(C1229,$C$1138-SUM($C$1173:$C$1182)-C1218)))</f>
        <v>0</v>
      </c>
    </row>
    <row r="1241" customFormat="false" ht="15" hidden="false" customHeight="false" outlineLevel="0" collapsed="false">
      <c r="A1241" s="3" t="s">
        <v>558</v>
      </c>
      <c r="C1241" s="16" t="n">
        <f aca="false">IF(C1230=0,0,C1197/C1230*MAX(0,MIN(C1230,$C$1138-SUM($C$1173:$C$1182)-C1219)))</f>
        <v>0</v>
      </c>
    </row>
    <row r="1242" customFormat="false" ht="15" hidden="false" customHeight="false" outlineLevel="0" collapsed="false">
      <c r="A1242" s="3" t="s">
        <v>559</v>
      </c>
      <c r="C1242" s="16" t="n">
        <f aca="false">IF(C1231=0,0,C1198/C1231*MAX(0,MIN(C1231,$C$1138-SUM($C$1173:$C$1182)-C1220)))</f>
        <v>0</v>
      </c>
    </row>
    <row r="1243" customFormat="false" ht="15" hidden="false" customHeight="false" outlineLevel="0" collapsed="false">
      <c r="A1243" s="3" t="s">
        <v>560</v>
      </c>
      <c r="C1243" s="16" t="n">
        <f aca="false">IF(C1232=0,0,C1199/C1232*MAX(0,MIN(C1232,$C$1138-SUM($C$1173:$C$1182)-C1221)))</f>
        <v>391.896029401918</v>
      </c>
    </row>
    <row r="1244" customFormat="false" ht="15" hidden="false" customHeight="false" outlineLevel="0" collapsed="false">
      <c r="A1244" s="3" t="s">
        <v>561</v>
      </c>
      <c r="C1244" s="16" t="n">
        <f aca="false">IF(C1233=0,0,C1200/C1233*MAX(0,MIN(C1233,$C$1138-SUM($C$1173:$C$1182)-C1222)))</f>
        <v>341.673570074661</v>
      </c>
    </row>
    <row r="1245" customFormat="false" ht="15" hidden="false" customHeight="false" outlineLevel="0" collapsed="false">
      <c r="A1245" s="3" t="s">
        <v>562</v>
      </c>
      <c r="C1245" s="16" t="n">
        <f aca="false">IF(C1234=0,0,C1201/C1234*MAX(0,MIN(C1234,$C$1138-SUM($C$1173:$C$1182)-C1223)))</f>
        <v>536.915610117324</v>
      </c>
    </row>
    <row r="1246" customFormat="false" ht="15" hidden="false" customHeight="false" outlineLevel="0" collapsed="false">
      <c r="A1246" s="3" t="s">
        <v>563</v>
      </c>
      <c r="C1246" s="16" t="n">
        <f aca="false">IF(C1235=0,0,C1202/C1235*MAX(0,MIN(C1235,$C$1138-SUM($C$1173:$C$1182)-C1224)))</f>
        <v>341.673570074661</v>
      </c>
    </row>
    <row r="1247" customFormat="false" ht="15" hidden="false" customHeight="false" outlineLevel="0" collapsed="false">
      <c r="A1247" s="3" t="s">
        <v>564</v>
      </c>
      <c r="C1247" s="16" t="n">
        <f aca="false">IF(C1236=0,0,C1203/C1236*MAX(0,MIN(C1236,$C$1138-SUM($C$1173:$C$1182)-C1225)))</f>
        <v>292.863060063995</v>
      </c>
    </row>
    <row r="1248" customFormat="false" ht="15" hidden="false" customHeight="false" outlineLevel="0" collapsed="false">
      <c r="A1248" s="3" t="s">
        <v>565</v>
      </c>
      <c r="C1248" s="16" t="n">
        <f aca="false">IF(C1237=0,0,C1204/C1237*MAX(0,MIN(C1237,$C$1138-SUM($C$1173:$C$1182)-C1226)))</f>
        <v>0</v>
      </c>
    </row>
    <row r="1249" customFormat="false" ht="15" hidden="false" customHeight="false" outlineLevel="0" collapsed="false">
      <c r="A1249" s="24" t="s">
        <v>575</v>
      </c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</row>
    <row r="1250" customFormat="false" ht="15" hidden="false" customHeight="false" outlineLevel="0" collapsed="false">
      <c r="A1250" s="2" t="s">
        <v>556</v>
      </c>
      <c r="C1250" s="17" t="n">
        <f aca="false">C1173+C1239</f>
        <v>388</v>
      </c>
    </row>
    <row r="1251" customFormat="false" ht="15" hidden="false" customHeight="false" outlineLevel="0" collapsed="false">
      <c r="A1251" s="2" t="s">
        <v>557</v>
      </c>
      <c r="C1251" s="17" t="n">
        <f aca="false">C1174+C1240</f>
        <v>79.989133944159</v>
      </c>
    </row>
    <row r="1252" customFormat="false" ht="15" hidden="false" customHeight="false" outlineLevel="0" collapsed="false">
      <c r="A1252" s="2" t="s">
        <v>558</v>
      </c>
      <c r="C1252" s="17" t="n">
        <f aca="false">C1175+C1241</f>
        <v>50.902176146283</v>
      </c>
    </row>
    <row r="1253" customFormat="false" ht="15" hidden="false" customHeight="false" outlineLevel="0" collapsed="false">
      <c r="A1253" s="2" t="s">
        <v>559</v>
      </c>
      <c r="C1253" s="17" t="n">
        <f aca="false">C1176+C1242</f>
        <v>0</v>
      </c>
    </row>
    <row r="1254" customFormat="false" ht="15" hidden="false" customHeight="false" outlineLevel="0" collapsed="false">
      <c r="A1254" s="2" t="s">
        <v>560</v>
      </c>
      <c r="C1254" s="17" t="n">
        <f aca="false">C1177+C1243</f>
        <v>391.896029401918</v>
      </c>
    </row>
    <row r="1255" customFormat="false" ht="15" hidden="false" customHeight="false" outlineLevel="0" collapsed="false">
      <c r="A1255" s="2" t="s">
        <v>561</v>
      </c>
      <c r="C1255" s="17" t="n">
        <f aca="false">C1178+C1244</f>
        <v>341.673570074661</v>
      </c>
    </row>
    <row r="1256" customFormat="false" ht="15" hidden="false" customHeight="false" outlineLevel="0" collapsed="false">
      <c r="A1256" s="2" t="s">
        <v>562</v>
      </c>
      <c r="C1256" s="17" t="n">
        <f aca="false">C1179+C1245</f>
        <v>536.915610117324</v>
      </c>
    </row>
    <row r="1257" customFormat="false" ht="15" hidden="false" customHeight="false" outlineLevel="0" collapsed="false">
      <c r="A1257" s="2" t="s">
        <v>563</v>
      </c>
      <c r="C1257" s="17" t="n">
        <f aca="false">C1180+C1246</f>
        <v>341.673570074661</v>
      </c>
    </row>
    <row r="1258" customFormat="false" ht="15" hidden="false" customHeight="false" outlineLevel="0" collapsed="false">
      <c r="A1258" s="2" t="s">
        <v>564</v>
      </c>
      <c r="C1258" s="17" t="n">
        <f aca="false">C1181+C1247</f>
        <v>292.863060063995</v>
      </c>
    </row>
    <row r="1259" customFormat="false" ht="15" hidden="false" customHeight="false" outlineLevel="0" collapsed="false">
      <c r="A1259" s="2" t="s">
        <v>565</v>
      </c>
      <c r="C1259" s="17" t="n">
        <f aca="false">C1182+C1248</f>
        <v>0</v>
      </c>
    </row>
    <row r="1260" customFormat="false" ht="15" hidden="false" customHeight="false" outlineLevel="0" collapsed="false">
      <c r="A1260" s="24" t="s">
        <v>576</v>
      </c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</row>
    <row r="1261" customFormat="false" ht="15" hidden="false" customHeight="false" outlineLevel="0" collapsed="false">
      <c r="A1261" s="3" t="s">
        <v>556</v>
      </c>
      <c r="C1261" s="22" t="n">
        <f aca="false">IF(C1140=0,1,C1250/C1140)</f>
        <v>1</v>
      </c>
    </row>
    <row r="1262" customFormat="false" ht="15" hidden="false" customHeight="false" outlineLevel="0" collapsed="false">
      <c r="A1262" s="3" t="s">
        <v>557</v>
      </c>
      <c r="C1262" s="22" t="n">
        <f aca="false">IF(C1141=0,1,C1251/C1141)</f>
        <v>0.8887681549351</v>
      </c>
    </row>
    <row r="1263" customFormat="false" ht="15" hidden="false" customHeight="false" outlineLevel="0" collapsed="false">
      <c r="A1263" s="3" t="s">
        <v>558</v>
      </c>
      <c r="C1263" s="22" t="n">
        <f aca="false">IF(C1142=0,1,C1252/C1142)</f>
        <v>0.887973207492202</v>
      </c>
    </row>
    <row r="1264" customFormat="false" ht="15" hidden="false" customHeight="false" outlineLevel="0" collapsed="false">
      <c r="A1264" s="3" t="s">
        <v>559</v>
      </c>
      <c r="C1264" s="22" t="n">
        <f aca="false">IF(C1143=0,1,C1253/C1143)</f>
        <v>1</v>
      </c>
    </row>
    <row r="1265" customFormat="false" ht="15" hidden="false" customHeight="false" outlineLevel="0" collapsed="false">
      <c r="A1265" s="3" t="s">
        <v>560</v>
      </c>
      <c r="C1265" s="22" t="n">
        <f aca="false">IF(C1144=0,1,C1254/C1144)</f>
        <v>0.976210200213317</v>
      </c>
    </row>
    <row r="1266" customFormat="false" ht="15" hidden="false" customHeight="false" outlineLevel="0" collapsed="false">
      <c r="A1266" s="3" t="s">
        <v>561</v>
      </c>
      <c r="C1266" s="22" t="n">
        <f aca="false">IF(C1145=0,1,C1255/C1145)</f>
        <v>0.976210200213316</v>
      </c>
    </row>
    <row r="1267" customFormat="false" ht="15" hidden="false" customHeight="false" outlineLevel="0" collapsed="false">
      <c r="A1267" s="3" t="s">
        <v>562</v>
      </c>
      <c r="C1267" s="22" t="n">
        <f aca="false">IF(C1146=0,1,C1256/C1146)</f>
        <v>0.976210200213317</v>
      </c>
    </row>
    <row r="1268" customFormat="false" ht="15" hidden="false" customHeight="false" outlineLevel="0" collapsed="false">
      <c r="A1268" s="3" t="s">
        <v>563</v>
      </c>
      <c r="C1268" s="22" t="n">
        <f aca="false">IF(C1147=0,1,C1257/C1147)</f>
        <v>0.976210200213316</v>
      </c>
    </row>
    <row r="1269" customFormat="false" ht="15" hidden="false" customHeight="false" outlineLevel="0" collapsed="false">
      <c r="A1269" s="3" t="s">
        <v>564</v>
      </c>
      <c r="C1269" s="22" t="n">
        <f aca="false">IF(C1148=0,1,C1258/C1148)</f>
        <v>0.976210200213317</v>
      </c>
    </row>
    <row r="1270" customFormat="false" ht="15" hidden="false" customHeight="false" outlineLevel="0" collapsed="false">
      <c r="A1270" s="3" t="s">
        <v>565</v>
      </c>
      <c r="C1270" s="22" t="n">
        <f aca="false">IF(C1149=0,1,C1259/C1149)</f>
        <v>0</v>
      </c>
    </row>
    <row r="1271" customFormat="false" ht="15" hidden="false" customHeight="false" outlineLevel="0" collapsed="false">
      <c r="A1271" s="24" t="s">
        <v>577</v>
      </c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</row>
    <row r="1272" customFormat="false" ht="15" hidden="false" customHeight="false" outlineLevel="0" collapsed="false">
      <c r="A1272" s="3" t="s">
        <v>556</v>
      </c>
      <c r="C1272" s="16" t="n">
        <f aca="false">C1140-C1250</f>
        <v>0</v>
      </c>
    </row>
    <row r="1273" customFormat="false" ht="15" hidden="false" customHeight="false" outlineLevel="0" collapsed="false">
      <c r="A1273" s="3" t="s">
        <v>557</v>
      </c>
      <c r="C1273" s="16" t="n">
        <f aca="false">C1141-C1251</f>
        <v>10.010866055841</v>
      </c>
    </row>
    <row r="1274" customFormat="false" ht="15" hidden="false" customHeight="false" outlineLevel="0" collapsed="false">
      <c r="A1274" s="3" t="s">
        <v>558</v>
      </c>
      <c r="C1274" s="16" t="n">
        <f aca="false">C1142-C1252</f>
        <v>6.42182385371699</v>
      </c>
    </row>
    <row r="1275" customFormat="false" ht="15" hidden="false" customHeight="false" outlineLevel="0" collapsed="false">
      <c r="A1275" s="3" t="s">
        <v>559</v>
      </c>
      <c r="C1275" s="16" t="n">
        <f aca="false">C1143-C1253</f>
        <v>0</v>
      </c>
    </row>
    <row r="1276" customFormat="false" ht="15" hidden="false" customHeight="false" outlineLevel="0" collapsed="false">
      <c r="A1276" s="3" t="s">
        <v>560</v>
      </c>
      <c r="C1276" s="16" t="n">
        <f aca="false">C1144-C1254</f>
        <v>9.55032847908228</v>
      </c>
    </row>
    <row r="1277" customFormat="false" ht="15" hidden="false" customHeight="false" outlineLevel="0" collapsed="false">
      <c r="A1277" s="3" t="s">
        <v>561</v>
      </c>
      <c r="C1277" s="16" t="n">
        <f aca="false">C1145-C1255</f>
        <v>8.32642992533926</v>
      </c>
    </row>
    <row r="1278" customFormat="false" ht="15" hidden="false" customHeight="false" outlineLevel="0" collapsed="false">
      <c r="A1278" s="3" t="s">
        <v>562</v>
      </c>
      <c r="C1278" s="16" t="n">
        <f aca="false">C1146-C1256</f>
        <v>13.0843898826759</v>
      </c>
    </row>
    <row r="1279" customFormat="false" ht="15" hidden="false" customHeight="false" outlineLevel="0" collapsed="false">
      <c r="A1279" s="3" t="s">
        <v>563</v>
      </c>
      <c r="C1279" s="16" t="n">
        <f aca="false">C1147-C1257</f>
        <v>8.32642992533926</v>
      </c>
    </row>
    <row r="1280" customFormat="false" ht="15" hidden="false" customHeight="false" outlineLevel="0" collapsed="false">
      <c r="A1280" s="3" t="s">
        <v>564</v>
      </c>
      <c r="C1280" s="16" t="n">
        <f aca="false">C1148-C1258</f>
        <v>7.13693993600504</v>
      </c>
    </row>
    <row r="1281" customFormat="false" ht="15" hidden="false" customHeight="false" outlineLevel="0" collapsed="false">
      <c r="A1281" s="3" t="s">
        <v>565</v>
      </c>
      <c r="C1281" s="16" t="n">
        <f aca="false">C1149-C1259</f>
        <v>78.61</v>
      </c>
    </row>
    <row r="1282" customFormat="false" ht="15" hidden="false" customHeight="false" outlineLevel="0" collapsed="false">
      <c r="A1282" s="24" t="s">
        <v>578</v>
      </c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</row>
    <row r="1283" customFormat="false" ht="15" hidden="false" customHeight="false" outlineLevel="0" collapsed="false">
      <c r="A1283" s="3" t="s">
        <v>556</v>
      </c>
      <c r="C1283" s="22" t="n">
        <f aca="false">IF(C1140=0,0,C1272/C1140)</f>
        <v>0</v>
      </c>
    </row>
    <row r="1284" customFormat="false" ht="15" hidden="false" customHeight="false" outlineLevel="0" collapsed="false">
      <c r="A1284" s="3" t="s">
        <v>557</v>
      </c>
      <c r="C1284" s="22" t="n">
        <f aca="false">IF(C1141=0,0,C1273/C1141)</f>
        <v>0.1112318450649</v>
      </c>
    </row>
    <row r="1285" customFormat="false" ht="15" hidden="false" customHeight="false" outlineLevel="0" collapsed="false">
      <c r="A1285" s="3" t="s">
        <v>558</v>
      </c>
      <c r="C1285" s="22" t="n">
        <f aca="false">IF(C1142=0,0,C1274/C1142)</f>
        <v>0.112026792507798</v>
      </c>
    </row>
    <row r="1286" customFormat="false" ht="15" hidden="false" customHeight="false" outlineLevel="0" collapsed="false">
      <c r="A1286" s="3" t="s">
        <v>559</v>
      </c>
      <c r="C1286" s="22" t="n">
        <f aca="false">IF(C1143=0,0,C1275/C1143)</f>
        <v>0</v>
      </c>
    </row>
    <row r="1287" customFormat="false" ht="15" hidden="false" customHeight="false" outlineLevel="0" collapsed="false">
      <c r="A1287" s="3" t="s">
        <v>560</v>
      </c>
      <c r="C1287" s="22" t="n">
        <f aca="false">IF(C1144=0,0,C1276/C1144)</f>
        <v>0.0237897997866835</v>
      </c>
    </row>
    <row r="1288" customFormat="false" ht="15" hidden="false" customHeight="false" outlineLevel="0" collapsed="false">
      <c r="A1288" s="3" t="s">
        <v>561</v>
      </c>
      <c r="C1288" s="22" t="n">
        <f aca="false">IF(C1145=0,0,C1277/C1145)</f>
        <v>0.0237897997866836</v>
      </c>
    </row>
    <row r="1289" customFormat="false" ht="15" hidden="false" customHeight="false" outlineLevel="0" collapsed="false">
      <c r="A1289" s="3" t="s">
        <v>562</v>
      </c>
      <c r="C1289" s="22" t="n">
        <f aca="false">IF(C1146=0,0,C1278/C1146)</f>
        <v>0.0237897997866834</v>
      </c>
    </row>
    <row r="1290" customFormat="false" ht="15" hidden="false" customHeight="false" outlineLevel="0" collapsed="false">
      <c r="A1290" s="3" t="s">
        <v>563</v>
      </c>
      <c r="C1290" s="22" t="n">
        <f aca="false">IF(C1147=0,0,C1279/C1147)</f>
        <v>0.0237897997866836</v>
      </c>
    </row>
    <row r="1291" customFormat="false" ht="15" hidden="false" customHeight="false" outlineLevel="0" collapsed="false">
      <c r="A1291" s="3" t="s">
        <v>564</v>
      </c>
      <c r="C1291" s="22" t="n">
        <f aca="false">IF(C1148=0,0,C1280/C1148)</f>
        <v>0.0237897997866835</v>
      </c>
    </row>
    <row r="1292" customFormat="false" ht="15" hidden="false" customHeight="false" outlineLevel="0" collapsed="false">
      <c r="A1292" s="3" t="s">
        <v>565</v>
      </c>
      <c r="C1292" s="22" t="n">
        <f aca="false">IF(C1149=0,0,C1281/C1149)</f>
        <v>1</v>
      </c>
    </row>
    <row r="1293" customFormat="false" ht="15" hidden="false" customHeight="false" outlineLevel="0" collapsed="false">
      <c r="A1293" s="2" t="s">
        <v>579</v>
      </c>
      <c r="C1293" s="17" t="n">
        <f aca="false">MAX(0,$C$1138-SUM($C$1173:$C$1182)-SUM($C$1195:$C$1204))</f>
        <v>0</v>
      </c>
    </row>
    <row r="1294" customFormat="false" ht="15" hidden="false" customHeight="false" outlineLevel="0" collapsed="false">
      <c r="A1294" s="3" t="s">
        <v>597</v>
      </c>
      <c r="C1294" s="35" t="n">
        <f aca="false">MIN(C1137,100*CHOOSE(C1127,C1261,C1262,C1263,C1264,C1265,C1266,C1267,C1268,C1269,C1270))</f>
        <v>95</v>
      </c>
    </row>
    <row r="1295" customFormat="false" ht="15" hidden="false" customHeight="false" outlineLevel="0" collapsed="false">
      <c r="A1295" s="3" t="s">
        <v>598</v>
      </c>
      <c r="C1295" s="21" t="n">
        <f aca="false">IF(C959=1,C1132+Assumptions!$C$40,C1131)</f>
        <v>3</v>
      </c>
    </row>
    <row r="1296" customFormat="false" ht="15" hidden="false" customHeight="false" outlineLevel="0" collapsed="false">
      <c r="A1296" s="24" t="s">
        <v>599</v>
      </c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</row>
    <row r="1297" customFormat="false" ht="15" hidden="false" customHeight="false" outlineLevel="0" collapsed="false">
      <c r="A1297" s="3" t="s">
        <v>600</v>
      </c>
      <c r="C1297" s="21" t="n">
        <f aca="false">COLUMN()-COLUMN($C$1)</f>
        <v>0</v>
      </c>
      <c r="D1297" s="21" t="n">
        <f aca="false">COLUMN()-COLUMN($C$1)</f>
        <v>1</v>
      </c>
      <c r="E1297" s="21" t="n">
        <f aca="false">COLUMN()-COLUMN($C$1)</f>
        <v>2</v>
      </c>
      <c r="F1297" s="21" t="n">
        <f aca="false">COLUMN()-COLUMN($C$1)</f>
        <v>3</v>
      </c>
      <c r="G1297" s="21" t="n">
        <f aca="false">COLUMN()-COLUMN($C$1)</f>
        <v>4</v>
      </c>
      <c r="H1297" s="21" t="n">
        <f aca="false">COLUMN()-COLUMN($C$1)</f>
        <v>5</v>
      </c>
      <c r="I1297" s="21" t="n">
        <f aca="false">COLUMN()-COLUMN($C$1)</f>
        <v>6</v>
      </c>
    </row>
    <row r="1298" customFormat="false" ht="15" hidden="false" customHeight="false" outlineLevel="0" collapsed="false">
      <c r="A1298" s="3" t="s">
        <v>601</v>
      </c>
      <c r="D1298" s="31" t="n">
        <f aca="false">CHOOSE($C$1127,G707,G720,G733,G746,G759,G772,G785,G798,G811,G824)</f>
        <v>0.1065</v>
      </c>
      <c r="E1298" s="31" t="n">
        <f aca="false">CHOOSE($C$1127,H707,H720,H733,H746,H759,H772,H785,H798,H811,H824)</f>
        <v>0.105</v>
      </c>
      <c r="F1298" s="31" t="n">
        <f aca="false">CHOOSE($C$1127,I707,I720,I733,I746,I759,I772,I785,I798,I811,I824)</f>
        <v>0.1025</v>
      </c>
      <c r="G1298" s="31" t="n">
        <f aca="false">CHOOSE($C$1127,J707,J720,J733,J746,J759,J772,J785,J798,J811,J824)</f>
        <v>0.1025</v>
      </c>
      <c r="H1298" s="31" t="n">
        <f aca="false">CHOOSE($C$1127,K707,K720,K733,K746,K759,K772,K785,K798,K811,K824)</f>
        <v>0.1025</v>
      </c>
    </row>
    <row r="1299" customFormat="false" ht="15" hidden="false" customHeight="false" outlineLevel="0" collapsed="false">
      <c r="A1299" s="3" t="s">
        <v>602</v>
      </c>
      <c r="D1299" s="16" t="n">
        <f aca="false">IF(D1297&lt;=$C$1136,$C$1128*D1298,0)</f>
        <v>10.65</v>
      </c>
      <c r="E1299" s="16" t="n">
        <f aca="false">IF(E1297&lt;=$C$1136,$C$1128*E1298,0)</f>
        <v>10.5</v>
      </c>
      <c r="F1299" s="16" t="n">
        <f aca="false">IF(F1297&lt;=$C$1136,$C$1128*F1298,0)</f>
        <v>0</v>
      </c>
      <c r="G1299" s="16" t="n">
        <f aca="false">IF(G1297&lt;=$C$1136,$C$1128*G1298,0)</f>
        <v>0</v>
      </c>
      <c r="H1299" s="16" t="n">
        <f aca="false">IF(H1297&lt;=$C$1136,$C$1128*H1298,0)</f>
        <v>0</v>
      </c>
    </row>
    <row r="1300" customFormat="false" ht="15" hidden="false" customHeight="false" outlineLevel="0" collapsed="false">
      <c r="A1300" s="3" t="s">
        <v>603</v>
      </c>
      <c r="D1300" s="16" t="n">
        <f aca="false">IF(AND($C$959=0,D1297=$C$1131),$C$1128*$C$1294/100,0)+IF(AND($C$959=1,D1297=$C$1295),$C$1134,0)</f>
        <v>0</v>
      </c>
      <c r="E1300" s="16" t="n">
        <f aca="false">IF(AND($C$959=0,E1297=$C$1131),$C$1128*$C$1294/100,0)+IF(AND($C$959=1,E1297=$C$1295),$C$1134,0)</f>
        <v>0</v>
      </c>
      <c r="F1300" s="16" t="n">
        <f aca="false">IF(AND($C$959=0,F1297=$C$1131),$C$1128*$C$1294/100,0)+IF(AND($C$959=1,F1297=$C$1295),$C$1134,0)</f>
        <v>102.625</v>
      </c>
      <c r="G1300" s="16" t="n">
        <f aca="false">IF(AND($C$959=0,G1297=$C$1131),$C$1128*$C$1294/100,0)+IF(AND($C$959=1,G1297=$C$1295),$C$1134,0)</f>
        <v>0</v>
      </c>
      <c r="H1300" s="16" t="n">
        <f aca="false">IF(AND($C$959=0,H1297=$C$1131),$C$1128*$C$1294/100,0)+IF(AND($C$959=1,H1297=$C$1295),$C$1134,0)</f>
        <v>0</v>
      </c>
      <c r="I1300" s="16" t="n">
        <f aca="false">IF(AND($C$959=0,I1297=$C$1131),$C$1128*$C$1294/100,0)+IF(AND($C$959=1,I1297=$C$1295),$C$1134,0)</f>
        <v>0</v>
      </c>
    </row>
    <row r="1301" customFormat="false" ht="15" hidden="false" customHeight="false" outlineLevel="0" collapsed="false">
      <c r="A1301" s="2" t="s">
        <v>604</v>
      </c>
      <c r="C1301" s="17" t="n">
        <f aca="false">-$C$1130</f>
        <v>-98.49</v>
      </c>
      <c r="D1301" s="17" t="n">
        <f aca="false">D1299+D1300</f>
        <v>10.65</v>
      </c>
      <c r="E1301" s="17" t="n">
        <f aca="false">E1299+E1300</f>
        <v>10.5</v>
      </c>
      <c r="F1301" s="17" t="n">
        <f aca="false">F1299+F1300</f>
        <v>102.625</v>
      </c>
      <c r="G1301" s="17" t="n">
        <f aca="false">G1299+G1300</f>
        <v>0</v>
      </c>
      <c r="H1301" s="17" t="n">
        <f aca="false">H1299+H1300</f>
        <v>0</v>
      </c>
      <c r="I1301" s="17" t="n">
        <f aca="false">I1299+I1300</f>
        <v>0</v>
      </c>
    </row>
    <row r="1302" customFormat="false" ht="15" hidden="false" customHeight="false" outlineLevel="0" collapsed="false">
      <c r="A1302" s="3" t="s">
        <v>605</v>
      </c>
      <c r="C1302" s="16" t="n">
        <f aca="false">SUM($C$1299:$I$1299)</f>
        <v>21.15</v>
      </c>
    </row>
    <row r="1303" customFormat="false" ht="15" hidden="false" customHeight="false" outlineLevel="0" collapsed="false">
      <c r="A1303" s="3" t="s">
        <v>606</v>
      </c>
      <c r="C1303" s="16" t="n">
        <f aca="false">SUM($C$1300:$I$1300)</f>
        <v>102.625</v>
      </c>
    </row>
    <row r="1304" customFormat="false" ht="15" hidden="false" customHeight="false" outlineLevel="0" collapsed="false">
      <c r="A1304" s="3" t="s">
        <v>607</v>
      </c>
      <c r="C1304" s="16" t="n">
        <f aca="false">C1302+C1303</f>
        <v>123.775</v>
      </c>
    </row>
    <row r="1305" customFormat="false" ht="15" hidden="false" customHeight="false" outlineLevel="0" collapsed="false">
      <c r="A1305" s="3" t="s">
        <v>608</v>
      </c>
      <c r="C1305" s="16" t="n">
        <f aca="false">C1303-C1128*C1129/100</f>
        <v>4.62500000000001</v>
      </c>
    </row>
    <row r="1306" customFormat="false" ht="15" hidden="false" customHeight="false" outlineLevel="0" collapsed="false">
      <c r="A1306" s="3" t="s">
        <v>609</v>
      </c>
      <c r="C1306" s="16" t="n">
        <f aca="false">C1304-C1130</f>
        <v>25.285</v>
      </c>
    </row>
    <row r="1307" customFormat="false" ht="15" hidden="false" customHeight="false" outlineLevel="0" collapsed="false">
      <c r="A1307" s="2" t="s">
        <v>484</v>
      </c>
      <c r="C1307" s="44" t="n">
        <f aca="false">C1304/C1130</f>
        <v>1.25672657122551</v>
      </c>
    </row>
    <row r="1308" customFormat="false" ht="15" hidden="false" customHeight="false" outlineLevel="0" collapsed="false">
      <c r="A1308" s="2" t="s">
        <v>483</v>
      </c>
      <c r="C1308" s="42" t="n">
        <f aca="false">IF(C1304&lt;=0,-1,IFERROR(IRR($C$1301:$I$1301,MAX(-0.9,C1307^(1/C1295)-1)),IRR($C$1301:$I$1301,0.1)))</f>
        <v>0.0873962489027792</v>
      </c>
    </row>
    <row r="1309" customFormat="false" ht="15" hidden="false" customHeight="false" outlineLevel="0" collapsed="false">
      <c r="A1309" s="3" t="s">
        <v>610</v>
      </c>
      <c r="C1309" s="32" t="n">
        <f aca="false">MAX($G$903:$K$903)</f>
        <v>12.0232607366907</v>
      </c>
    </row>
    <row r="1310" customFormat="false" ht="15" hidden="false" customHeight="false" outlineLevel="0" collapsed="false">
      <c r="A1310" s="3" t="s">
        <v>611</v>
      </c>
      <c r="C1310" s="32" t="n">
        <f aca="false">MIN($G$904:$K$904)</f>
        <v>1.18311222526984</v>
      </c>
    </row>
    <row r="1311" customFormat="false" ht="15" hidden="false" customHeight="false" outlineLevel="0" collapsed="false">
      <c r="A1311" s="3" t="s">
        <v>612</v>
      </c>
      <c r="C1311" s="16" t="n">
        <f aca="false">SUM($G$691:$K$691)</f>
        <v>-320.308045372933</v>
      </c>
    </row>
    <row r="1315" customFormat="false" ht="15" hidden="false" customHeight="false" outlineLevel="0" collapsed="false">
      <c r="A1315" s="9" t="s">
        <v>1132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</row>
    <row r="1316" customFormat="false" ht="15" hidden="false" customHeight="false" outlineLevel="0" collapsed="false">
      <c r="A1316" s="3" t="s">
        <v>1126</v>
      </c>
      <c r="C1316" s="11" t="n">
        <v>3</v>
      </c>
    </row>
    <row r="1317" customFormat="false" ht="15" hidden="false" customHeight="false" outlineLevel="0" collapsed="false">
      <c r="A1317" s="3" t="s">
        <v>1127</v>
      </c>
      <c r="C1317" s="19" t="n">
        <v>0</v>
      </c>
    </row>
    <row r="1318" customFormat="false" ht="15" hidden="false" customHeight="false" outlineLevel="0" collapsed="false">
      <c r="A1318" s="3" t="s">
        <v>1128</v>
      </c>
      <c r="C1318" s="19" t="n">
        <v>0</v>
      </c>
    </row>
    <row r="1319" customFormat="false" ht="15" hidden="false" customHeight="false" outlineLevel="0" collapsed="false">
      <c r="A1319" s="3" t="s">
        <v>1129</v>
      </c>
      <c r="C1319" s="19" t="n">
        <v>0</v>
      </c>
    </row>
    <row r="1320" customFormat="false" ht="15" hidden="false" customHeight="false" outlineLevel="0" collapsed="false">
      <c r="A1320" s="3" t="s">
        <v>1130</v>
      </c>
      <c r="C1320" s="15" t="n">
        <v>0</v>
      </c>
    </row>
    <row r="1322" customFormat="false" ht="15" hidden="false" customHeight="false" outlineLevel="0" collapsed="false">
      <c r="A1322" s="24" t="s">
        <v>301</v>
      </c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</row>
    <row r="1323" customFormat="false" ht="15" hidden="false" customHeight="false" outlineLevel="0" collapsed="false">
      <c r="A1323" s="3" t="s">
        <v>302</v>
      </c>
      <c r="F1323" s="27" t="n">
        <f aca="false">Assumptions!$C$6</f>
        <v>2026</v>
      </c>
      <c r="G1323" s="21" t="n">
        <f aca="false">F1323+1</f>
        <v>2027</v>
      </c>
      <c r="H1323" s="21" t="n">
        <f aca="false">G1323+1</f>
        <v>2028</v>
      </c>
      <c r="I1323" s="21" t="n">
        <f aca="false">H1323+1</f>
        <v>2029</v>
      </c>
      <c r="J1323" s="21" t="n">
        <f aca="false">I1323+1</f>
        <v>2030</v>
      </c>
      <c r="K1323" s="21" t="n">
        <f aca="false">J1323+1</f>
        <v>2031</v>
      </c>
    </row>
    <row r="1324" customFormat="false" ht="15" hidden="false" customHeight="false" outlineLevel="0" collapsed="false">
      <c r="A1324" s="3" t="s">
        <v>303</v>
      </c>
      <c r="G1324" s="21" t="n">
        <f aca="false">G1323-Assumptions!$C$6</f>
        <v>1</v>
      </c>
      <c r="H1324" s="21" t="n">
        <f aca="false">H1323-Assumptions!$C$6</f>
        <v>2</v>
      </c>
      <c r="I1324" s="21" t="n">
        <f aca="false">I1323-Assumptions!$C$6</f>
        <v>3</v>
      </c>
      <c r="J1324" s="21" t="n">
        <f aca="false">J1323-Assumptions!$C$6</f>
        <v>4</v>
      </c>
      <c r="K1324" s="21" t="n">
        <f aca="false">K1323-Assumptions!$C$6</f>
        <v>5</v>
      </c>
    </row>
    <row r="1325" customFormat="false" ht="15" hidden="false" customHeight="false" outlineLevel="0" collapsed="false">
      <c r="A1325" s="3" t="s">
        <v>180</v>
      </c>
      <c r="G1325" s="22" t="n">
        <f aca="false">CHOOSE($C$1316,Assumptions!$G$79,Assumptions!$G$98,Assumptions!$G$117)+$C$1317</f>
        <v>-0.1</v>
      </c>
      <c r="H1325" s="22" t="n">
        <f aca="false">CHOOSE($C$1316,Assumptions!$H$79,Assumptions!$H$98,Assumptions!$H$117)+$C$1317</f>
        <v>-0.07</v>
      </c>
      <c r="I1325" s="22" t="n">
        <f aca="false">CHOOSE($C$1316,Assumptions!$I$79,Assumptions!$I$98,Assumptions!$I$117)+$C$1317</f>
        <v>-0.03</v>
      </c>
      <c r="J1325" s="22" t="n">
        <f aca="false">CHOOSE($C$1316,Assumptions!$J$79,Assumptions!$J$98,Assumptions!$J$117)+$C$1317</f>
        <v>0</v>
      </c>
      <c r="K1325" s="22" t="n">
        <f aca="false">CHOOSE($C$1316,Assumptions!$K$79,Assumptions!$K$98,Assumptions!$K$117)+$C$1317</f>
        <v>0.01</v>
      </c>
    </row>
    <row r="1326" customFormat="false" ht="15" hidden="false" customHeight="false" outlineLevel="0" collapsed="false">
      <c r="A1326" s="3" t="s">
        <v>181</v>
      </c>
      <c r="G1326" s="22" t="n">
        <f aca="false">CHOOSE($C$1316,Assumptions!$G$80,Assumptions!$G$99,Assumptions!$G$118)</f>
        <v>0.533920660818678</v>
      </c>
      <c r="H1326" s="22" t="n">
        <f aca="false">CHOOSE($C$1316,Assumptions!$H$80,Assumptions!$H$99,Assumptions!$H$118)</f>
        <v>0.503920660818678</v>
      </c>
      <c r="I1326" s="22" t="n">
        <f aca="false">CHOOSE($C$1316,Assumptions!$I$80,Assumptions!$I$99,Assumptions!$I$118)</f>
        <v>0.498920660818678</v>
      </c>
      <c r="J1326" s="22" t="n">
        <f aca="false">CHOOSE($C$1316,Assumptions!$J$80,Assumptions!$J$99,Assumptions!$J$118)</f>
        <v>0.503920660818678</v>
      </c>
      <c r="K1326" s="22" t="n">
        <f aca="false">CHOOSE($C$1316,Assumptions!$K$80,Assumptions!$K$99,Assumptions!$K$118)</f>
        <v>0.513920660818678</v>
      </c>
    </row>
    <row r="1327" customFormat="false" ht="15" hidden="false" customHeight="false" outlineLevel="0" collapsed="false">
      <c r="A1327" s="3" t="s">
        <v>182</v>
      </c>
      <c r="G1327" s="22" t="n">
        <f aca="false">CHOOSE($C$1316,Assumptions!$G$81,Assumptions!$G$100,Assumptions!$G$119)+$C$1318</f>
        <v>0.46</v>
      </c>
      <c r="H1327" s="22" t="n">
        <f aca="false">CHOOSE($C$1316,Assumptions!$H$81,Assumptions!$H$100,Assumptions!$H$119)+$C$1318</f>
        <v>0.43</v>
      </c>
      <c r="I1327" s="22" t="n">
        <f aca="false">CHOOSE($C$1316,Assumptions!$I$81,Assumptions!$I$100,Assumptions!$I$119)+$C$1318</f>
        <v>0.425</v>
      </c>
      <c r="J1327" s="22" t="n">
        <f aca="false">CHOOSE($C$1316,Assumptions!$J$81,Assumptions!$J$100,Assumptions!$J$119)+$C$1318</f>
        <v>0.43</v>
      </c>
      <c r="K1327" s="22" t="n">
        <f aca="false">CHOOSE($C$1316,Assumptions!$K$81,Assumptions!$K$100,Assumptions!$K$119)+$C$1318</f>
        <v>0.44</v>
      </c>
    </row>
    <row r="1328" customFormat="false" ht="15" hidden="false" customHeight="false" outlineLevel="0" collapsed="false">
      <c r="A1328" s="24" t="s">
        <v>304</v>
      </c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</row>
    <row r="1329" customFormat="false" ht="15" hidden="false" customHeight="false" outlineLevel="0" collapsed="false">
      <c r="A1329" s="2" t="s">
        <v>275</v>
      </c>
      <c r="F1329" s="28" t="n">
        <f aca="false">'Historical Financials'!G25</f>
        <v>498.291</v>
      </c>
      <c r="G1329" s="17" t="n">
        <f aca="false">F1329*(1+G1325)</f>
        <v>448.4619</v>
      </c>
      <c r="H1329" s="17" t="n">
        <f aca="false">G1329*(1+H1325)</f>
        <v>417.069567</v>
      </c>
      <c r="I1329" s="17" t="n">
        <f aca="false">H1329*(1+I1325)</f>
        <v>404.55747999</v>
      </c>
      <c r="J1329" s="17" t="n">
        <f aca="false">I1329*(1+J1325)</f>
        <v>404.55747999</v>
      </c>
      <c r="K1329" s="17" t="n">
        <f aca="false">J1329*(1+K1325)</f>
        <v>408.6030547899</v>
      </c>
    </row>
    <row r="1330" customFormat="false" ht="15" hidden="false" customHeight="false" outlineLevel="0" collapsed="false">
      <c r="A1330" s="3" t="s">
        <v>276</v>
      </c>
      <c r="G1330" s="16" t="n">
        <f aca="false">G1329*(1-G1326)</f>
        <v>209.018826</v>
      </c>
      <c r="H1330" s="16" t="n">
        <f aca="false">H1329*(1-H1326)</f>
        <v>206.89959519</v>
      </c>
      <c r="I1330" s="16" t="n">
        <f aca="false">I1329*(1-I1326)</f>
        <v>202.71539473425</v>
      </c>
      <c r="J1330" s="16" t="n">
        <f aca="false">J1329*(1-J1326)</f>
        <v>200.6926073343</v>
      </c>
      <c r="K1330" s="16" t="n">
        <f aca="false">K1329*(1-K1326)</f>
        <v>198.613502859744</v>
      </c>
    </row>
    <row r="1331" customFormat="false" ht="15" hidden="false" customHeight="false" outlineLevel="0" collapsed="false">
      <c r="A1331" s="2" t="s">
        <v>277</v>
      </c>
      <c r="G1331" s="17" t="n">
        <f aca="false">G1329-G1330</f>
        <v>239.443074</v>
      </c>
      <c r="H1331" s="17" t="n">
        <f aca="false">H1329-H1330</f>
        <v>210.16997181</v>
      </c>
      <c r="I1331" s="17" t="n">
        <f aca="false">I1329-I1330</f>
        <v>201.84208525575</v>
      </c>
      <c r="J1331" s="17" t="n">
        <f aca="false">J1329-J1330</f>
        <v>203.8648726557</v>
      </c>
      <c r="K1331" s="17" t="n">
        <f aca="false">K1329-K1330</f>
        <v>209.989551930156</v>
      </c>
    </row>
    <row r="1332" customFormat="false" ht="15" hidden="false" customHeight="false" outlineLevel="0" collapsed="false">
      <c r="A1332" s="3" t="s">
        <v>305</v>
      </c>
      <c r="G1332" s="16" t="n">
        <f aca="false">G1331-G1333</f>
        <v>33.1505999999999</v>
      </c>
      <c r="H1332" s="16" t="n">
        <f aca="false">H1331-H1333</f>
        <v>30.830058</v>
      </c>
      <c r="I1332" s="16" t="n">
        <f aca="false">I1331-I1333</f>
        <v>29.90515626</v>
      </c>
      <c r="J1332" s="16" t="n">
        <f aca="false">J1331-J1333</f>
        <v>29.90515626</v>
      </c>
      <c r="K1332" s="16" t="n">
        <f aca="false">K1331-K1333</f>
        <v>30.2042078226</v>
      </c>
    </row>
    <row r="1333" customFormat="false" ht="15" hidden="false" customHeight="false" outlineLevel="0" collapsed="false">
      <c r="A1333" s="2" t="s">
        <v>306</v>
      </c>
      <c r="G1333" s="17" t="n">
        <f aca="false">G1329*G1327</f>
        <v>206.292474</v>
      </c>
      <c r="H1333" s="17" t="n">
        <f aca="false">H1329*H1327</f>
        <v>179.33991381</v>
      </c>
      <c r="I1333" s="17" t="n">
        <f aca="false">I1329*I1327</f>
        <v>171.93692899575</v>
      </c>
      <c r="J1333" s="17" t="n">
        <f aca="false">J1329*J1327</f>
        <v>173.9597163957</v>
      </c>
      <c r="K1333" s="17" t="n">
        <f aca="false">K1329*K1327</f>
        <v>179.785344107556</v>
      </c>
    </row>
    <row r="1334" customFormat="false" ht="15" hidden="false" customHeight="false" outlineLevel="0" collapsed="false">
      <c r="A1334" s="3" t="s">
        <v>307</v>
      </c>
      <c r="G1334" s="16" t="n">
        <f aca="false">G1329*'Historical Financials'!G30/'Historical Financials'!G25</f>
        <v>166.7637</v>
      </c>
      <c r="H1334" s="16" t="n">
        <f aca="false">H1329*'Historical Financials'!G30/'Historical Financials'!G25</f>
        <v>155.090241</v>
      </c>
      <c r="I1334" s="16" t="n">
        <f aca="false">I1329*'Historical Financials'!G30/'Historical Financials'!G25</f>
        <v>150.43753377</v>
      </c>
      <c r="J1334" s="16" t="n">
        <f aca="false">J1329*'Historical Financials'!G30/'Historical Financials'!G25</f>
        <v>150.43753377</v>
      </c>
      <c r="K1334" s="16" t="n">
        <f aca="false">K1329*'Historical Financials'!G30/'Historical Financials'!G25</f>
        <v>151.9419091077</v>
      </c>
    </row>
    <row r="1335" customFormat="false" ht="15" hidden="false" customHeight="false" outlineLevel="0" collapsed="false">
      <c r="A1335" s="3" t="s">
        <v>308</v>
      </c>
      <c r="G1335" s="16" t="n">
        <f aca="false">G1329*'Historical Financials'!G31/'Historical Financials'!G25</f>
        <v>0</v>
      </c>
      <c r="H1335" s="16" t="n">
        <f aca="false">H1329*'Historical Financials'!G31/'Historical Financials'!G25</f>
        <v>0</v>
      </c>
      <c r="I1335" s="16" t="n">
        <f aca="false">I1329*'Historical Financials'!G31/'Historical Financials'!G25</f>
        <v>0</v>
      </c>
      <c r="J1335" s="16" t="n">
        <f aca="false">J1329*'Historical Financials'!G31/'Historical Financials'!G25</f>
        <v>0</v>
      </c>
      <c r="K1335" s="16" t="n">
        <f aca="false">K1329*'Historical Financials'!G31/'Historical Financials'!G25</f>
        <v>0</v>
      </c>
    </row>
    <row r="1336" customFormat="false" ht="15" hidden="false" customHeight="false" outlineLevel="0" collapsed="false">
      <c r="A1336" s="2" t="s">
        <v>309</v>
      </c>
      <c r="G1336" s="17" t="n">
        <f aca="false">G1333-G1334-G1335</f>
        <v>39.528774</v>
      </c>
      <c r="H1336" s="17" t="n">
        <f aca="false">H1333-H1334-H1335</f>
        <v>24.24967281</v>
      </c>
      <c r="I1336" s="17" t="n">
        <f aca="false">I1333-I1334-I1335</f>
        <v>21.49939522575</v>
      </c>
      <c r="J1336" s="17" t="n">
        <f aca="false">J1333-J1334-J1335</f>
        <v>23.5221826257</v>
      </c>
      <c r="K1336" s="17" t="n">
        <f aca="false">K1333-K1334-K1335</f>
        <v>27.843434999856</v>
      </c>
    </row>
    <row r="1337" customFormat="false" ht="15" hidden="false" customHeight="false" outlineLevel="0" collapsed="false">
      <c r="A1337" s="3" t="s">
        <v>310</v>
      </c>
      <c r="G1337" s="16" t="n">
        <f aca="false">G1363+G1376+G1389+G1402+G1415+G1428+G1441+G1454+G1467+G1480</f>
        <v>194.5679854</v>
      </c>
      <c r="H1337" s="16" t="n">
        <f aca="false">H1363+H1376+H1389+H1402+H1415+H1428+H1441+H1454+H1467+H1480</f>
        <v>193.3700704</v>
      </c>
      <c r="I1337" s="16" t="n">
        <f aca="false">I1363+I1376+I1389+I1402+I1415+I1428+I1441+I1454+I1467+I1480</f>
        <v>191.11925836865</v>
      </c>
      <c r="J1337" s="16" t="n">
        <f aca="false">J1363+J1376+J1389+J1402+J1415+J1428+J1441+J1454+J1467+J1480</f>
        <v>190.64925836865</v>
      </c>
      <c r="K1337" s="16" t="n">
        <f aca="false">K1363+K1376+K1389+K1402+K1415+K1428+K1441+K1454+K1467+K1480</f>
        <v>190.17925836865</v>
      </c>
    </row>
    <row r="1338" customFormat="false" ht="15" hidden="false" customHeight="false" outlineLevel="0" collapsed="false">
      <c r="A1338" s="3" t="s">
        <v>311</v>
      </c>
      <c r="G1338" s="16" t="n">
        <f aca="false">G1364+G1377+G1390+G1403+G1416+G1429+G1442+G1455+G1468+G1481</f>
        <v>0</v>
      </c>
      <c r="H1338" s="16" t="n">
        <f aca="false">H1364+H1377+H1390+H1403+H1416+H1429+H1442+H1455+H1468+H1481</f>
        <v>0</v>
      </c>
      <c r="I1338" s="16" t="n">
        <f aca="false">I1364+I1377+I1390+I1403+I1416+I1429+I1442+I1455+I1468+I1481</f>
        <v>0</v>
      </c>
      <c r="J1338" s="16" t="n">
        <f aca="false">J1364+J1377+J1390+J1403+J1416+J1429+J1442+J1455+J1468+J1481</f>
        <v>0</v>
      </c>
      <c r="K1338" s="16" t="n">
        <f aca="false">K1364+K1377+K1390+K1403+K1416+K1429+K1442+K1455+K1468+K1481</f>
        <v>0</v>
      </c>
    </row>
    <row r="1339" customFormat="false" ht="15" hidden="false" customHeight="false" outlineLevel="0" collapsed="false">
      <c r="A1339" s="3" t="s">
        <v>283</v>
      </c>
      <c r="G1339" s="16" t="n">
        <f aca="false">G1337+G1338</f>
        <v>194.5679854</v>
      </c>
      <c r="H1339" s="16" t="n">
        <f aca="false">H1337+H1338</f>
        <v>193.3700704</v>
      </c>
      <c r="I1339" s="16" t="n">
        <f aca="false">I1337+I1338</f>
        <v>191.11925836865</v>
      </c>
      <c r="J1339" s="16" t="n">
        <f aca="false">J1337+J1338</f>
        <v>190.64925836865</v>
      </c>
      <c r="K1339" s="16" t="n">
        <f aca="false">K1337+K1338</f>
        <v>190.17925836865</v>
      </c>
    </row>
    <row r="1340" customFormat="false" ht="15" hidden="false" customHeight="false" outlineLevel="0" collapsed="false">
      <c r="A1340" s="2" t="s">
        <v>284</v>
      </c>
      <c r="G1340" s="17" t="n">
        <f aca="false">G1336-G1339</f>
        <v>-155.0392114</v>
      </c>
      <c r="H1340" s="17" t="n">
        <f aca="false">H1336-H1339</f>
        <v>-169.12039759</v>
      </c>
      <c r="I1340" s="17" t="n">
        <f aca="false">I1336-I1339</f>
        <v>-169.6198631429</v>
      </c>
      <c r="J1340" s="17" t="n">
        <f aca="false">J1336-J1339</f>
        <v>-167.12707574295</v>
      </c>
      <c r="K1340" s="17" t="n">
        <f aca="false">K1336-K1339</f>
        <v>-162.335823368794</v>
      </c>
    </row>
    <row r="1341" customFormat="false" ht="15" hidden="false" customHeight="false" outlineLevel="0" collapsed="false">
      <c r="A1341" s="3" t="s">
        <v>312</v>
      </c>
      <c r="G1341" s="16" t="n">
        <f aca="false">MAX(0,G1340)*Assumptions!$C$9</f>
        <v>0</v>
      </c>
      <c r="H1341" s="16" t="n">
        <f aca="false">MAX(0,H1340)*Assumptions!$C$9</f>
        <v>0</v>
      </c>
      <c r="I1341" s="16" t="n">
        <f aca="false">MAX(0,I1340)*Assumptions!$C$9</f>
        <v>0</v>
      </c>
      <c r="J1341" s="16" t="n">
        <f aca="false">MAX(0,J1340)*Assumptions!$C$9</f>
        <v>0</v>
      </c>
      <c r="K1341" s="16" t="n">
        <f aca="false">MAX(0,K1340)*Assumptions!$C$9</f>
        <v>0</v>
      </c>
    </row>
    <row r="1342" customFormat="false" ht="15" hidden="false" customHeight="false" outlineLevel="0" collapsed="false">
      <c r="A1342" s="2" t="s">
        <v>313</v>
      </c>
      <c r="G1342" s="17" t="n">
        <f aca="false">G1340-G1341</f>
        <v>-155.0392114</v>
      </c>
      <c r="H1342" s="17" t="n">
        <f aca="false">H1340-H1341</f>
        <v>-169.12039759</v>
      </c>
      <c r="I1342" s="17" t="n">
        <f aca="false">I1340-I1341</f>
        <v>-169.6198631429</v>
      </c>
      <c r="J1342" s="17" t="n">
        <f aca="false">J1340-J1341</f>
        <v>-167.12707574295</v>
      </c>
      <c r="K1342" s="17" t="n">
        <f aca="false">K1340-K1341</f>
        <v>-162.335823368794</v>
      </c>
    </row>
    <row r="1343" customFormat="false" ht="15" hidden="false" customHeight="false" outlineLevel="0" collapsed="false">
      <c r="A1343" s="24" t="s">
        <v>314</v>
      </c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</row>
    <row r="1344" customFormat="false" ht="15" hidden="false" customHeight="false" outlineLevel="0" collapsed="false">
      <c r="A1344" s="3" t="s">
        <v>184</v>
      </c>
      <c r="G1344" s="16" t="n">
        <f aca="false">G1329*CHOOSE($C$1316,Assumptions!$C$83,Assumptions!$C$102,Assumptions!$C$121)</f>
        <v>58.300047</v>
      </c>
      <c r="H1344" s="16" t="n">
        <f aca="false">H1329*CHOOSE($C$1316,Assumptions!$C$83,Assumptions!$C$102,Assumptions!$C$121)</f>
        <v>54.21904371</v>
      </c>
      <c r="I1344" s="16" t="n">
        <f aca="false">I1329*CHOOSE($C$1316,Assumptions!$C$83,Assumptions!$C$102,Assumptions!$C$121)</f>
        <v>52.5924723987</v>
      </c>
      <c r="J1344" s="16" t="n">
        <f aca="false">J1329*CHOOSE($C$1316,Assumptions!$C$83,Assumptions!$C$102,Assumptions!$C$121)</f>
        <v>52.5924723987</v>
      </c>
      <c r="K1344" s="16" t="n">
        <f aca="false">K1329*CHOOSE($C$1316,Assumptions!$C$83,Assumptions!$C$102,Assumptions!$C$121)</f>
        <v>53.118397122687</v>
      </c>
    </row>
    <row r="1345" customFormat="false" ht="15" hidden="false" customHeight="false" outlineLevel="0" collapsed="false">
      <c r="A1345" s="3" t="s">
        <v>315</v>
      </c>
      <c r="G1345" s="16" t="n">
        <f aca="false">CHOOSE($C$1316,Assumptions!$C$84,Assumptions!$C$103,Assumptions!$C$122)*(G1329-F1329)+CHOOSE($C$1316,Assumptions!$C$85,Assumptions!$C$104,Assumptions!$C$123)*G1329</f>
        <v>0</v>
      </c>
      <c r="H1345" s="16" t="n">
        <f aca="false">CHOOSE($C$1316,Assumptions!$C$84,Assumptions!$C$103,Assumptions!$C$122)*(H1329-G1329)+CHOOSE($C$1316,Assumptions!$C$85,Assumptions!$C$104,Assumptions!$C$123)*H1329</f>
        <v>0</v>
      </c>
      <c r="I1345" s="16" t="n">
        <f aca="false">CHOOSE($C$1316,Assumptions!$C$84,Assumptions!$C$103,Assumptions!$C$122)*(I1329-H1329)+CHOOSE($C$1316,Assumptions!$C$85,Assumptions!$C$104,Assumptions!$C$123)*I1329</f>
        <v>0</v>
      </c>
      <c r="J1345" s="16" t="n">
        <f aca="false">CHOOSE($C$1316,Assumptions!$C$84,Assumptions!$C$103,Assumptions!$C$122)*(J1329-I1329)+CHOOSE($C$1316,Assumptions!$C$85,Assumptions!$C$104,Assumptions!$C$123)*J1329</f>
        <v>0</v>
      </c>
      <c r="K1345" s="16" t="n">
        <f aca="false">CHOOSE($C$1316,Assumptions!$C$84,Assumptions!$C$103,Assumptions!$C$122)*(K1329-J1329)+CHOOSE($C$1316,Assumptions!$C$85,Assumptions!$C$104,Assumptions!$C$123)*K1329</f>
        <v>0</v>
      </c>
    </row>
    <row r="1346" customFormat="false" ht="15" hidden="false" customHeight="false" outlineLevel="0" collapsed="false">
      <c r="A1346" s="2" t="s">
        <v>316</v>
      </c>
      <c r="G1346" s="17" t="n">
        <f aca="false">G1342+G1334+G1335+G1338-G1344-G1345</f>
        <v>-46.5755584</v>
      </c>
      <c r="H1346" s="17" t="n">
        <f aca="false">H1342+H1334+H1335+H1338-H1344-H1345</f>
        <v>-68.2492003</v>
      </c>
      <c r="I1346" s="17" t="n">
        <f aca="false">I1342+I1334+I1335+I1338-I1344-I1345</f>
        <v>-71.7748017716</v>
      </c>
      <c r="J1346" s="17" t="n">
        <f aca="false">J1342+J1334+J1335+J1338-J1344-J1345</f>
        <v>-69.28201437165</v>
      </c>
      <c r="K1346" s="17" t="n">
        <f aca="false">K1342+K1334+K1335+K1338-K1344-K1345</f>
        <v>-63.512311383781</v>
      </c>
    </row>
    <row r="1348" customFormat="false" ht="15" hidden="false" customHeight="false" outlineLevel="0" collapsed="false">
      <c r="A1348" s="24" t="s">
        <v>318</v>
      </c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</row>
    <row r="1349" customFormat="false" ht="15" hidden="false" customHeight="false" outlineLevel="0" collapsed="false">
      <c r="A1349" s="3" t="s">
        <v>319</v>
      </c>
      <c r="G1349" s="30" t="n">
        <f aca="false">Assumptions!$G$53</f>
        <v>0.039</v>
      </c>
      <c r="H1349" s="30" t="n">
        <f aca="false">Assumptions!$H$53</f>
        <v>0.0375</v>
      </c>
      <c r="I1349" s="30" t="n">
        <f aca="false">Assumptions!$I$53</f>
        <v>0.035</v>
      </c>
      <c r="J1349" s="30" t="n">
        <f aca="false">Assumptions!$J$53</f>
        <v>0.035</v>
      </c>
      <c r="K1349" s="30" t="n">
        <f aca="false">Assumptions!$K$53</f>
        <v>0.035</v>
      </c>
    </row>
    <row r="1350" customFormat="false" ht="15" hidden="false" customHeight="false" outlineLevel="0" collapsed="false">
      <c r="A1350" s="3" t="s">
        <v>320</v>
      </c>
      <c r="C1350" s="31" t="n">
        <f aca="false">CHOOSE($C$1316,Assumptions!$C$86,Assumptions!$C$105,Assumptions!$C$124)+$C$1319</f>
        <v>0.03</v>
      </c>
    </row>
    <row r="1351" customFormat="false" ht="15" hidden="false" customHeight="false" outlineLevel="0" collapsed="false">
      <c r="A1351" s="3" t="s">
        <v>321</v>
      </c>
      <c r="C1351" s="31" t="n">
        <f aca="false">CHOOSE($C$1316,Assumptions!$C$87,Assumptions!$C$106,Assumptions!$C$125)</f>
        <v>0.12</v>
      </c>
    </row>
    <row r="1352" customFormat="false" ht="15" hidden="false" customHeight="false" outlineLevel="0" collapsed="false">
      <c r="A1352" s="3" t="s">
        <v>322</v>
      </c>
      <c r="C1352" s="32" t="n">
        <f aca="false">CHOOSE($C$1316,Assumptions!$C$88,Assumptions!$C$107,Assumptions!$C$126)</f>
        <v>9</v>
      </c>
    </row>
    <row r="1353" customFormat="false" ht="15" hidden="false" customHeight="false" outlineLevel="0" collapsed="false">
      <c r="A1353" s="3" t="s">
        <v>323</v>
      </c>
      <c r="C1353" s="32" t="n">
        <f aca="false">CHOOSE($C$1316,Assumptions!$C$89,Assumptions!$C$108,Assumptions!$C$127)</f>
        <v>1.75</v>
      </c>
    </row>
    <row r="1354" customFormat="false" ht="15" hidden="false" customHeight="false" outlineLevel="0" collapsed="false">
      <c r="A1354" s="3" t="s">
        <v>324</v>
      </c>
      <c r="G1354" s="16" t="n">
        <f aca="false">G1359+G1372+G1385+G1398+G1411+G1424+G1437+G1450+G1463+G1476</f>
        <v>2625.934</v>
      </c>
      <c r="H1354" s="16" t="n">
        <f aca="false">H1359+H1372+H1385+H1398+H1411+H1424+H1437+H1450+H1463+H1476</f>
        <v>2621.934</v>
      </c>
      <c r="I1354" s="16" t="n">
        <f aca="false">I1359+I1372+I1385+I1398+I1411+I1424+I1437+I1450+I1463+I1476</f>
        <v>2602.8887587</v>
      </c>
      <c r="J1354" s="16" t="n">
        <f aca="false">J1359+J1372+J1385+J1398+J1411+J1424+J1437+J1450+J1463+J1476</f>
        <v>2598.8887587</v>
      </c>
      <c r="K1354" s="16" t="n">
        <f aca="false">K1359+K1372+K1385+K1398+K1411+K1424+K1437+K1450+K1463+K1476</f>
        <v>2594.8887587</v>
      </c>
    </row>
    <row r="1355" customFormat="false" ht="15" hidden="false" customHeight="false" outlineLevel="0" collapsed="false">
      <c r="A1355" s="3" t="s">
        <v>325</v>
      </c>
      <c r="G1355" s="16" t="n">
        <f aca="false">F1547</f>
        <v>37.87</v>
      </c>
      <c r="H1355" s="16" t="n">
        <f aca="false">G1547</f>
        <v>87.2944416</v>
      </c>
      <c r="I1355" s="16" t="n">
        <f aca="false">H1547</f>
        <v>0</v>
      </c>
      <c r="J1355" s="16" t="n">
        <f aca="false">I1547</f>
        <v>-75.7748017716</v>
      </c>
      <c r="K1355" s="16" t="n">
        <f aca="false">J1547</f>
        <v>-149.05681614325</v>
      </c>
    </row>
    <row r="1356" customFormat="false" ht="15" hidden="false" customHeight="false" outlineLevel="0" collapsed="false">
      <c r="A1356" s="3" t="s">
        <v>326</v>
      </c>
      <c r="G1356" s="16" t="n">
        <f aca="false">G1359*IF(G1360=1,$C$1351,IF(Assumptions!$I$57=1,MAX(G1349,Assumptions!$G$57)+Assumptions!$F$57+$C$1350,Assumptions!$E$57))+G1372*IF(G1373=1,$C$1351,IF(Assumptions!$I$58=1,MAX(G1349,Assumptions!$G$58)+Assumptions!$F$58+$C$1350,Assumptions!$E$58))+G1385*IF(G1386=1,$C$1351,IF(Assumptions!$I$59=1,MAX(G1349,Assumptions!$G$59)+Assumptions!$F$59+$C$1350,Assumptions!$E$59))+G1398*IF(G1399=1,$C$1351,IF(Assumptions!$I$60=1,MAX(G1349,Assumptions!$G$60)+Assumptions!$F$60+$C$1350,Assumptions!$E$60))+G1411*IF(G1412=1,$C$1351,IF(Assumptions!$I$61=1,MAX(G1349,Assumptions!$G$61)+Assumptions!$F$61+$C$1350,Assumptions!$E$61))+G1424*IF(G1425=1,$C$1351,IF(Assumptions!$I$62=1,MAX(G1349,Assumptions!$G$62)+Assumptions!$F$62+$C$1350,Assumptions!$E$62))+G1437*IF(G1438=1,$C$1351,IF(Assumptions!$I$63=1,MAX(G1349,Assumptions!$G$63)+Assumptions!$F$63+$C$1350,Assumptions!$E$63))+G1450*IF(G1451=1,$C$1351,IF(Assumptions!$I$64=1,MAX(G1349,Assumptions!$G$64)+Assumptions!$F$64+$C$1350,Assumptions!$E$64))+G1463*IF(G1464=1,$C$1351,IF(Assumptions!$I$65=1,MAX(G1349,Assumptions!$G$65)+Assumptions!$F$65+$C$1350,Assumptions!$E$65))+G1476*IF(G1477=1,$C$1351,IF(Assumptions!$I$66=1,MAX(G1349,Assumptions!$G$66)+Assumptions!$F$66+$C$1350,Assumptions!$E$66))</f>
        <v>194.5679854</v>
      </c>
      <c r="H1356" s="16" t="n">
        <f aca="false">H1359*IF(OR(H1360=1,G1669=1),$C$1351,IF(Assumptions!$I$57=1,MAX(H1349,Assumptions!$G$57)+Assumptions!$F$57+$C$1350,Assumptions!$E$57))+H1372*IF(OR(H1373=1,G1670=1),$C$1351,IF(Assumptions!$I$58=1,MAX(H1349,Assumptions!$G$58)+Assumptions!$F$58+$C$1350,Assumptions!$E$58))+H1385*IF(OR(H1386=1,G1671=1),$C$1351,IF(Assumptions!$I$59=1,MAX(H1349,Assumptions!$G$59)+Assumptions!$F$59+$C$1350,Assumptions!$E$59))+H1398*IF(OR(H1399=1,G1672=1),$C$1351,IF(Assumptions!$I$60=1,MAX(H1349,Assumptions!$G$60)+Assumptions!$F$60+$C$1350,Assumptions!$E$60))+H1411*IF(OR(H1412=1,G1673=1),$C$1351,IF(Assumptions!$I$61=1,MAX(H1349,Assumptions!$G$61)+Assumptions!$F$61+$C$1350,Assumptions!$E$61))+H1424*IF(OR(H1425=1,G1674=1),$C$1351,IF(Assumptions!$I$62=1,MAX(H1349,Assumptions!$G$62)+Assumptions!$F$62+$C$1350,Assumptions!$E$62))+H1437*IF(OR(H1438=1,G1675=1),$C$1351,IF(Assumptions!$I$63=1,MAX(H1349,Assumptions!$G$63)+Assumptions!$F$63+$C$1350,Assumptions!$E$63))+H1450*IF(OR(H1451=1,G1676=1),$C$1351,IF(Assumptions!$I$64=1,MAX(H1349,Assumptions!$G$64)+Assumptions!$F$64+$C$1350,Assumptions!$E$64))+H1463*IF(OR(H1464=1,G1677=1),$C$1351,IF(Assumptions!$I$65=1,MAX(H1349,Assumptions!$G$65)+Assumptions!$F$65+$C$1350,Assumptions!$E$65))+H1476*IF(OR(H1477=1,G1678=1),$C$1351,IF(Assumptions!$I$66=1,MAX(H1349,Assumptions!$G$66)+Assumptions!$F$66+$C$1350,Assumptions!$E$66))</f>
        <v>242.5450704</v>
      </c>
      <c r="I1356" s="16" t="n">
        <f aca="false">I1359*IF(OR(I1360=1,H1669=1),$C$1351,IF(Assumptions!$I$57=1,MAX(I1349,Assumptions!$G$57)+Assumptions!$F$57+$C$1350,Assumptions!$E$57))+I1372*IF(OR(I1373=1,H1670=1),$C$1351,IF(Assumptions!$I$58=1,MAX(I1349,Assumptions!$G$58)+Assumptions!$F$58+$C$1350,Assumptions!$E$58))+I1385*IF(OR(I1386=1,H1671=1),$C$1351,IF(Assumptions!$I$59=1,MAX(I1349,Assumptions!$G$59)+Assumptions!$F$59+$C$1350,Assumptions!$E$59))+I1398*IF(OR(I1399=1,H1672=1),$C$1351,IF(Assumptions!$I$60=1,MAX(I1349,Assumptions!$G$60)+Assumptions!$F$60+$C$1350,Assumptions!$E$60))+I1411*IF(OR(I1412=1,H1673=1),$C$1351,IF(Assumptions!$I$61=1,MAX(I1349,Assumptions!$G$61)+Assumptions!$F$61+$C$1350,Assumptions!$E$61))+I1424*IF(OR(I1425=1,H1674=1),$C$1351,IF(Assumptions!$I$62=1,MAX(I1349,Assumptions!$G$62)+Assumptions!$F$62+$C$1350,Assumptions!$E$62))+I1437*IF(OR(I1438=1,H1675=1),$C$1351,IF(Assumptions!$I$63=1,MAX(I1349,Assumptions!$G$63)+Assumptions!$F$63+$C$1350,Assumptions!$E$63))+I1450*IF(OR(I1451=1,H1676=1),$C$1351,IF(Assumptions!$I$64=1,MAX(I1349,Assumptions!$G$64)+Assumptions!$F$64+$C$1350,Assumptions!$E$64))+I1463*IF(OR(I1464=1,H1677=1),$C$1351,IF(Assumptions!$I$65=1,MAX(I1349,Assumptions!$G$65)+Assumptions!$F$65+$C$1350,Assumptions!$E$65))+I1476*IF(OR(I1477=1,H1678=1),$C$1351,IF(Assumptions!$I$66=1,MAX(I1349,Assumptions!$G$66)+Assumptions!$F$66+$C$1350,Assumptions!$E$66))</f>
        <v>208.30675836865</v>
      </c>
      <c r="J1356" s="16" t="n">
        <f aca="false">J1359*IF(OR(J1360=1,I1669=1),$C$1351,IF(Assumptions!$I$57=1,MAX(J1349,Assumptions!$G$57)+Assumptions!$F$57+$C$1350,Assumptions!$E$57))+J1372*IF(OR(J1373=1,I1670=1),$C$1351,IF(Assumptions!$I$58=1,MAX(J1349,Assumptions!$G$58)+Assumptions!$F$58+$C$1350,Assumptions!$E$58))+J1385*IF(OR(J1386=1,I1671=1),$C$1351,IF(Assumptions!$I$59=1,MAX(J1349,Assumptions!$G$59)+Assumptions!$F$59+$C$1350,Assumptions!$E$59))+J1398*IF(OR(J1399=1,I1672=1),$C$1351,IF(Assumptions!$I$60=1,MAX(J1349,Assumptions!$G$60)+Assumptions!$F$60+$C$1350,Assumptions!$E$60))+J1411*IF(OR(J1412=1,I1673=1),$C$1351,IF(Assumptions!$I$61=1,MAX(J1349,Assumptions!$G$61)+Assumptions!$F$61+$C$1350,Assumptions!$E$61))+J1424*IF(OR(J1425=1,I1674=1),$C$1351,IF(Assumptions!$I$62=1,MAX(J1349,Assumptions!$G$62)+Assumptions!$F$62+$C$1350,Assumptions!$E$62))+J1437*IF(OR(J1438=1,I1675=1),$C$1351,IF(Assumptions!$I$63=1,MAX(J1349,Assumptions!$G$63)+Assumptions!$F$63+$C$1350,Assumptions!$E$63))+J1450*IF(OR(J1451=1,I1676=1),$C$1351,IF(Assumptions!$I$64=1,MAX(J1349,Assumptions!$G$64)+Assumptions!$F$64+$C$1350,Assumptions!$E$64))+J1463*IF(OR(J1464=1,I1677=1),$C$1351,IF(Assumptions!$I$65=1,MAX(J1349,Assumptions!$G$65)+Assumptions!$F$65+$C$1350,Assumptions!$E$65))+J1476*IF(OR(J1477=1,I1678=1),$C$1351,IF(Assumptions!$I$66=1,MAX(J1349,Assumptions!$G$66)+Assumptions!$F$66+$C$1350,Assumptions!$E$66))</f>
        <v>216.72425836865</v>
      </c>
      <c r="K1356" s="16" t="n">
        <f aca="false">K1359*IF(OR(K1360=1,J1669=1),$C$1351,IF(Assumptions!$I$57=1,MAX(K1349,Assumptions!$G$57)+Assumptions!$F$57+$C$1350,Assumptions!$E$57))+K1372*IF(OR(K1373=1,J1670=1),$C$1351,IF(Assumptions!$I$58=1,MAX(K1349,Assumptions!$G$58)+Assumptions!$F$58+$C$1350,Assumptions!$E$58))+K1385*IF(OR(K1386=1,J1671=1),$C$1351,IF(Assumptions!$I$59=1,MAX(K1349,Assumptions!$G$59)+Assumptions!$F$59+$C$1350,Assumptions!$E$59))+K1398*IF(OR(K1399=1,J1672=1),$C$1351,IF(Assumptions!$I$60=1,MAX(K1349,Assumptions!$G$60)+Assumptions!$F$60+$C$1350,Assumptions!$E$60))+K1411*IF(OR(K1412=1,J1673=1),$C$1351,IF(Assumptions!$I$61=1,MAX(K1349,Assumptions!$G$61)+Assumptions!$F$61+$C$1350,Assumptions!$E$61))+K1424*IF(OR(K1425=1,J1674=1),$C$1351,IF(Assumptions!$I$62=1,MAX(K1349,Assumptions!$G$62)+Assumptions!$F$62+$C$1350,Assumptions!$E$62))+K1437*IF(OR(K1438=1,J1675=1),$C$1351,IF(Assumptions!$I$63=1,MAX(K1349,Assumptions!$G$63)+Assumptions!$F$63+$C$1350,Assumptions!$E$63))+K1450*IF(OR(K1451=1,J1676=1),$C$1351,IF(Assumptions!$I$64=1,MAX(K1349,Assumptions!$G$64)+Assumptions!$F$64+$C$1350,Assumptions!$E$64))+K1463*IF(OR(K1464=1,J1677=1),$C$1351,IF(Assumptions!$I$65=1,MAX(K1349,Assumptions!$G$65)+Assumptions!$F$65+$C$1350,Assumptions!$E$65))+K1476*IF(OR(K1477=1,J1678=1),$C$1351,IF(Assumptions!$I$66=1,MAX(K1349,Assumptions!$G$66)+Assumptions!$F$66+$C$1350,Assumptions!$E$66))</f>
        <v>208.76425836865</v>
      </c>
    </row>
    <row r="1357" customFormat="false" ht="15" hidden="false" customHeight="false" outlineLevel="0" collapsed="false">
      <c r="A1357" s="3" t="s">
        <v>327</v>
      </c>
      <c r="G1357" s="21" t="n">
        <f aca="false">IF(G1333&lt;=0,0,IF(AND((G1354-G1355)/G1333&lt;=$C$1352,G1333/G1356&gt;=$C$1353),1,0))</f>
        <v>0</v>
      </c>
      <c r="H1357" s="21" t="n">
        <f aca="false">IF(H1333&lt;=0,0,IF(AND((H1354-H1355)/H1333&lt;=$C$1352,H1333/H1356&gt;=$C$1353),1,0))</f>
        <v>0</v>
      </c>
      <c r="I1357" s="21" t="n">
        <f aca="false">IF(I1333&lt;=0,0,IF(AND((I1354-I1355)/I1333&lt;=$C$1352,I1333/I1356&gt;=$C$1353),1,0))</f>
        <v>0</v>
      </c>
      <c r="J1357" s="21" t="n">
        <f aca="false">IF(J1333&lt;=0,0,IF(AND((J1354-J1355)/J1333&lt;=$C$1352,J1333/J1356&gt;=$C$1353),1,0))</f>
        <v>0</v>
      </c>
      <c r="K1357" s="21" t="n">
        <f aca="false">IF(K1333&lt;=0,0,IF(AND((K1354-K1355)/K1333&lt;=$C$1352,K1333/K1356&gt;=$C$1353),1,0))</f>
        <v>0</v>
      </c>
    </row>
    <row r="1358" customFormat="false" ht="15" hidden="false" customHeight="false" outlineLevel="0" collapsed="false">
      <c r="A1358" s="24" t="s">
        <v>328</v>
      </c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</row>
    <row r="1359" customFormat="false" ht="15" hidden="false" customHeight="false" outlineLevel="0" collapsed="false">
      <c r="A1359" s="3" t="s">
        <v>329</v>
      </c>
      <c r="G1359" s="16" t="n">
        <f aca="false">F1370</f>
        <v>400</v>
      </c>
      <c r="H1359" s="16" t="n">
        <f aca="false">G1370</f>
        <v>396</v>
      </c>
      <c r="I1359" s="16" t="n">
        <f aca="false">H1370</f>
        <v>392</v>
      </c>
      <c r="J1359" s="16" t="n">
        <f aca="false">I1370</f>
        <v>388</v>
      </c>
      <c r="K1359" s="16" t="n">
        <f aca="false">J1370</f>
        <v>384</v>
      </c>
    </row>
    <row r="1360" customFormat="false" ht="15" hidden="false" customHeight="false" outlineLevel="0" collapsed="false">
      <c r="A1360" s="3" t="s">
        <v>330</v>
      </c>
      <c r="G1360" s="21" t="n">
        <f aca="false">IF(G1323=Assumptions!$K$57,1,0)</f>
        <v>0</v>
      </c>
      <c r="H1360" s="21" t="n">
        <f aca="false">IF(H1323=Assumptions!$K$57,1,0)</f>
        <v>0</v>
      </c>
      <c r="I1360" s="21" t="n">
        <f aca="false">IF(I1323=Assumptions!$K$57,1,0)</f>
        <v>0</v>
      </c>
      <c r="J1360" s="21" t="n">
        <f aca="false">IF(J1323=Assumptions!$K$57,1,0)</f>
        <v>0</v>
      </c>
      <c r="K1360" s="21" t="n">
        <f aca="false">IF(K1323=Assumptions!$K$57,1,0)</f>
        <v>1</v>
      </c>
    </row>
    <row r="1362" customFormat="false" ht="15" hidden="false" customHeight="false" outlineLevel="0" collapsed="false">
      <c r="A1362" s="3" t="s">
        <v>331</v>
      </c>
      <c r="G1362" s="31" t="n">
        <f aca="false">IF(Assumptions!$I$57=1,MAX(G1349,Assumptions!$G$57)+Assumptions!$F$57+$C$1350,Assumptions!$E$57)</f>
        <v>0.1215</v>
      </c>
      <c r="H1362" s="31" t="n">
        <f aca="false">IF(G1669=1,$C$1351,IF(Assumptions!$I$57=1,MAX(H1349,Assumptions!$G$57)+Assumptions!$F$57+$C$1350,Assumptions!$E$57))</f>
        <v>0.12</v>
      </c>
      <c r="I1362" s="31" t="n">
        <f aca="false">IF(H1669=1,$C$1351,IF(Assumptions!$I$57=1,MAX(I1349,Assumptions!$G$57)+Assumptions!$F$57+$C$1350,Assumptions!$E$57))</f>
        <v>0.1175</v>
      </c>
      <c r="J1362" s="31" t="n">
        <f aca="false">IF(I1669=1,$C$1351,IF(Assumptions!$I$57=1,MAX(J1349,Assumptions!$G$57)+Assumptions!$F$57+$C$1350,Assumptions!$E$57))</f>
        <v>0.1175</v>
      </c>
      <c r="K1362" s="31" t="n">
        <f aca="false">IF(J1669=1,$C$1351,IF(Assumptions!$I$57=1,MAX(K1349,Assumptions!$G$57)+Assumptions!$F$57+$C$1350,Assumptions!$E$57))</f>
        <v>0.1175</v>
      </c>
    </row>
    <row r="1363" customFormat="false" ht="15" hidden="false" customHeight="false" outlineLevel="0" collapsed="false">
      <c r="A1363" s="3" t="s">
        <v>332</v>
      </c>
      <c r="G1363" s="16" t="n">
        <f aca="false">G1359*G1362</f>
        <v>48.6</v>
      </c>
      <c r="H1363" s="16" t="n">
        <f aca="false">H1359*H1362</f>
        <v>47.52</v>
      </c>
      <c r="I1363" s="16" t="n">
        <f aca="false">I1359*I1362</f>
        <v>46.06</v>
      </c>
      <c r="J1363" s="16" t="n">
        <f aca="false">J1359*J1362</f>
        <v>45.59</v>
      </c>
      <c r="K1363" s="16" t="n">
        <f aca="false">K1359*K1362</f>
        <v>45.12</v>
      </c>
    </row>
    <row r="1364" customFormat="false" ht="15" hidden="false" customHeight="false" outlineLevel="0" collapsed="false">
      <c r="A1364" s="3" t="s">
        <v>333</v>
      </c>
      <c r="G1364" s="16" t="n">
        <f aca="false">G1359*Assumptions!$H$57</f>
        <v>0</v>
      </c>
      <c r="H1364" s="16" t="n">
        <f aca="false">H1359*Assumptions!$H$57</f>
        <v>0</v>
      </c>
      <c r="I1364" s="16" t="n">
        <f aca="false">I1359*Assumptions!$H$57</f>
        <v>0</v>
      </c>
      <c r="J1364" s="16" t="n">
        <f aca="false">J1359*Assumptions!$H$57</f>
        <v>0</v>
      </c>
      <c r="K1364" s="16" t="n">
        <f aca="false">K1359*Assumptions!$H$57</f>
        <v>0</v>
      </c>
    </row>
    <row r="1365" customFormat="false" ht="15" hidden="false" customHeight="false" outlineLevel="0" collapsed="false">
      <c r="A1365" s="3" t="s">
        <v>334</v>
      </c>
      <c r="G1365" s="16" t="n">
        <f aca="false">MIN(G1359,Assumptions!$L$57*Assumptions!$C$57)</f>
        <v>4</v>
      </c>
      <c r="H1365" s="16" t="n">
        <f aca="false">MIN(H1359,Assumptions!$L$57*Assumptions!$C$57)</f>
        <v>4</v>
      </c>
      <c r="I1365" s="16" t="n">
        <f aca="false">MIN(I1359,Assumptions!$L$57*Assumptions!$C$57)</f>
        <v>4</v>
      </c>
      <c r="J1365" s="16" t="n">
        <f aca="false">MIN(J1359,Assumptions!$L$57*Assumptions!$C$57)</f>
        <v>4</v>
      </c>
      <c r="K1365" s="16" t="n">
        <f aca="false">MIN(K1359,Assumptions!$L$57*Assumptions!$C$57)</f>
        <v>4</v>
      </c>
    </row>
    <row r="1366" customFormat="false" ht="15" hidden="false" customHeight="false" outlineLevel="0" collapsed="false">
      <c r="A1366" s="3" t="s">
        <v>335</v>
      </c>
      <c r="G1366" s="16" t="n">
        <f aca="false">IF(AND(Assumptions!$P$57=1,G1323&lt;Assumptions!$K$57),MIN(MAX(0,-G1539),MAX(0,Assumptions!$D$57-G1359)),0)</f>
        <v>0</v>
      </c>
      <c r="H1366" s="16" t="n">
        <f aca="false">IF(AND(Assumptions!$P$57=1,OR(H1323&lt;Assumptions!$K$57,G1669=1)),MIN(MAX(0,-H1539),MAX(0,Assumptions!$D$57-H1359)),0)</f>
        <v>0</v>
      </c>
      <c r="I1366" s="16" t="n">
        <f aca="false">IF(AND(Assumptions!$P$57=1,OR(I1323&lt;Assumptions!$K$57,H1669=1)),MIN(MAX(0,-I1539),MAX(0,Assumptions!$D$57-I1359)),0)</f>
        <v>0</v>
      </c>
      <c r="J1366" s="16" t="n">
        <f aca="false">IF(AND(Assumptions!$P$57=1,OR(J1323&lt;Assumptions!$K$57,I1669=1)),MIN(MAX(0,-J1539),MAX(0,Assumptions!$D$57-J1359)),0)</f>
        <v>0</v>
      </c>
      <c r="K1366" s="16" t="n">
        <f aca="false">IF(AND(Assumptions!$P$57=1,OR(K1323&lt;Assumptions!$K$57,J1669=1)),MIN(MAX(0,-K1539),MAX(0,Assumptions!$D$57-K1359)),0)</f>
        <v>0</v>
      </c>
    </row>
    <row r="1367" customFormat="false" ht="15" hidden="false" customHeight="false" outlineLevel="0" collapsed="false">
      <c r="A1367" s="3" t="s">
        <v>336</v>
      </c>
      <c r="G1367" s="16" t="n">
        <f aca="false">G1360*MIN(G1359-G1365+G1364,MAX(0,G1541-Assumptions!$C$12*G1357))</f>
        <v>0</v>
      </c>
      <c r="H1367" s="16" t="n">
        <f aca="false">H1360*MIN(H1359-H1365+H1364,MAX(0,H1541-Assumptions!$C$12*H1357))</f>
        <v>0</v>
      </c>
      <c r="I1367" s="16" t="n">
        <f aca="false">I1360*MIN(I1359-I1365+I1364,MAX(0,I1541-Assumptions!$C$12*I1357))</f>
        <v>0</v>
      </c>
      <c r="J1367" s="16" t="n">
        <f aca="false">J1360*MIN(J1359-J1365+J1364,MAX(0,J1541-Assumptions!$C$12*J1357))</f>
        <v>0</v>
      </c>
      <c r="K1367" s="16" t="n">
        <f aca="false">K1360*MIN(K1359-K1365+K1364,MAX(0,K1541-Assumptions!$C$12*K1357))</f>
        <v>0</v>
      </c>
    </row>
    <row r="1368" customFormat="false" ht="15" hidden="false" customHeight="false" outlineLevel="0" collapsed="false">
      <c r="A1368" s="3" t="s">
        <v>337</v>
      </c>
      <c r="G1368" s="16" t="n">
        <f aca="false">Assumptions!$N$57*MIN(G1359+G1366+G1364-G1365-G1367,MAX(0,G1545))</f>
        <v>0</v>
      </c>
      <c r="H1368" s="16" t="n">
        <f aca="false">Assumptions!$N$57*MIN(H1359+H1366+H1364-H1365-H1367,MAX(0,H1545))</f>
        <v>0</v>
      </c>
      <c r="I1368" s="16" t="n">
        <f aca="false">Assumptions!$N$57*MIN(I1359+I1366+I1364-I1365-I1367,MAX(0,I1545))</f>
        <v>0</v>
      </c>
      <c r="J1368" s="16" t="n">
        <f aca="false">Assumptions!$N$57*MIN(J1359+J1366+J1364-J1365-J1367,MAX(0,J1545))</f>
        <v>0</v>
      </c>
      <c r="K1368" s="16" t="n">
        <f aca="false">Assumptions!$N$57*MIN(K1359+K1366+K1364-K1365-K1367,MAX(0,K1545))</f>
        <v>0</v>
      </c>
    </row>
    <row r="1369" customFormat="false" ht="15" hidden="false" customHeight="false" outlineLevel="0" collapsed="false">
      <c r="A1369" s="3" t="s">
        <v>338</v>
      </c>
      <c r="G1369" s="16" t="n">
        <f aca="false">G1360*(1-G1357)*(G1359-G1365+G1364-G1367)</f>
        <v>0</v>
      </c>
      <c r="H1369" s="16" t="n">
        <f aca="false">H1360*(1-H1357)*(H1359-H1365+H1364-H1367)</f>
        <v>0</v>
      </c>
      <c r="I1369" s="16" t="n">
        <f aca="false">I1360*(1-I1357)*(I1359-I1365+I1364-I1367)</f>
        <v>0</v>
      </c>
      <c r="J1369" s="16" t="n">
        <f aca="false">J1360*(1-J1357)*(J1359-J1365+J1364-J1367)</f>
        <v>0</v>
      </c>
      <c r="K1369" s="16" t="n">
        <f aca="false">K1360*(1-K1357)*(K1359-K1365+K1364-K1367)</f>
        <v>380</v>
      </c>
    </row>
    <row r="1370" customFormat="false" ht="15" hidden="false" customHeight="false" outlineLevel="0" collapsed="false">
      <c r="A1370" s="2" t="s">
        <v>339</v>
      </c>
      <c r="F1370" s="28" t="n">
        <f aca="false">Assumptions!$C$57</f>
        <v>400</v>
      </c>
      <c r="G1370" s="17" t="n">
        <f aca="false">G1359+G1366+G1364-G1365-G1367-G1368</f>
        <v>396</v>
      </c>
      <c r="H1370" s="17" t="n">
        <f aca="false">H1359+H1366+H1364-H1365-H1367-H1368</f>
        <v>392</v>
      </c>
      <c r="I1370" s="17" t="n">
        <f aca="false">I1359+I1366+I1364-I1365-I1367-I1368</f>
        <v>388</v>
      </c>
      <c r="J1370" s="17" t="n">
        <f aca="false">J1359+J1366+J1364-J1365-J1367-J1368</f>
        <v>384</v>
      </c>
      <c r="K1370" s="17" t="n">
        <f aca="false">K1359+K1366+K1364-K1365-K1367-K1368</f>
        <v>380</v>
      </c>
    </row>
    <row r="1371" customFormat="false" ht="15" hidden="false" customHeight="false" outlineLevel="0" collapsed="false">
      <c r="A1371" s="24" t="s">
        <v>340</v>
      </c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</row>
    <row r="1372" customFormat="false" ht="15" hidden="false" customHeight="false" outlineLevel="0" collapsed="false">
      <c r="A1372" s="3" t="s">
        <v>329</v>
      </c>
      <c r="G1372" s="16" t="n">
        <f aca="false">F1383</f>
        <v>90</v>
      </c>
      <c r="H1372" s="16" t="n">
        <f aca="false">G1383</f>
        <v>90</v>
      </c>
      <c r="I1372" s="16" t="n">
        <f aca="false">H1383</f>
        <v>90</v>
      </c>
      <c r="J1372" s="16" t="n">
        <f aca="false">I1383</f>
        <v>90</v>
      </c>
      <c r="K1372" s="16" t="n">
        <f aca="false">J1383</f>
        <v>90</v>
      </c>
    </row>
    <row r="1373" customFormat="false" ht="15" hidden="false" customHeight="false" outlineLevel="0" collapsed="false">
      <c r="A1373" s="3" t="s">
        <v>330</v>
      </c>
      <c r="G1373" s="21" t="n">
        <f aca="false">IF(G1323=Assumptions!$K$58,1,0)</f>
        <v>0</v>
      </c>
      <c r="H1373" s="21" t="n">
        <f aca="false">IF(H1323=Assumptions!$K$58,1,0)</f>
        <v>0</v>
      </c>
      <c r="I1373" s="21" t="n">
        <f aca="false">IF(I1323=Assumptions!$K$58,1,0)</f>
        <v>0</v>
      </c>
      <c r="J1373" s="21" t="n">
        <f aca="false">IF(J1323=Assumptions!$K$58,1,0)</f>
        <v>0</v>
      </c>
      <c r="K1373" s="21" t="n">
        <f aca="false">IF(K1323=Assumptions!$K$58,1,0)</f>
        <v>0</v>
      </c>
    </row>
    <row r="1375" customFormat="false" ht="15" hidden="false" customHeight="false" outlineLevel="0" collapsed="false">
      <c r="A1375" s="3" t="s">
        <v>331</v>
      </c>
      <c r="G1375" s="31" t="n">
        <f aca="false">IF(Assumptions!$I$58=1,MAX(G1349,Assumptions!$G$58)+Assumptions!$F$58+$C$1350,Assumptions!$E$58)</f>
        <v>0.0581</v>
      </c>
      <c r="H1375" s="31" t="n">
        <f aca="false">IF(G1670=1,$C$1351,IF(Assumptions!$I$58=1,MAX(H1349,Assumptions!$G$58)+Assumptions!$F$58+$C$1350,Assumptions!$E$58))</f>
        <v>0.0581</v>
      </c>
      <c r="I1375" s="31" t="n">
        <f aca="false">IF(H1670=1,$C$1351,IF(Assumptions!$I$58=1,MAX(I1349,Assumptions!$G$58)+Assumptions!$F$58+$C$1350,Assumptions!$E$58))</f>
        <v>0.0581</v>
      </c>
      <c r="J1375" s="31" t="n">
        <f aca="false">IF(I1670=1,$C$1351,IF(Assumptions!$I$58=1,MAX(J1349,Assumptions!$G$58)+Assumptions!$F$58+$C$1350,Assumptions!$E$58))</f>
        <v>0.0581</v>
      </c>
      <c r="K1375" s="31" t="n">
        <f aca="false">IF(J1670=1,$C$1351,IF(Assumptions!$I$58=1,MAX(K1349,Assumptions!$G$58)+Assumptions!$F$58+$C$1350,Assumptions!$E$58))</f>
        <v>0.0581</v>
      </c>
    </row>
    <row r="1376" customFormat="false" ht="15" hidden="false" customHeight="false" outlineLevel="0" collapsed="false">
      <c r="A1376" s="3" t="s">
        <v>332</v>
      </c>
      <c r="G1376" s="16" t="n">
        <f aca="false">G1372*G1375</f>
        <v>5.229</v>
      </c>
      <c r="H1376" s="16" t="n">
        <f aca="false">H1372*H1375</f>
        <v>5.229</v>
      </c>
      <c r="I1376" s="16" t="n">
        <f aca="false">I1372*I1375</f>
        <v>5.229</v>
      </c>
      <c r="J1376" s="16" t="n">
        <f aca="false">J1372*J1375</f>
        <v>5.229</v>
      </c>
      <c r="K1376" s="16" t="n">
        <f aca="false">K1372*K1375</f>
        <v>5.229</v>
      </c>
    </row>
    <row r="1377" customFormat="false" ht="15" hidden="false" customHeight="false" outlineLevel="0" collapsed="false">
      <c r="A1377" s="3" t="s">
        <v>333</v>
      </c>
      <c r="G1377" s="16" t="n">
        <f aca="false">G1372*Assumptions!$H$58</f>
        <v>0</v>
      </c>
      <c r="H1377" s="16" t="n">
        <f aca="false">H1372*Assumptions!$H$58</f>
        <v>0</v>
      </c>
      <c r="I1377" s="16" t="n">
        <f aca="false">I1372*Assumptions!$H$58</f>
        <v>0</v>
      </c>
      <c r="J1377" s="16" t="n">
        <f aca="false">J1372*Assumptions!$H$58</f>
        <v>0</v>
      </c>
      <c r="K1377" s="16" t="n">
        <f aca="false">K1372*Assumptions!$H$58</f>
        <v>0</v>
      </c>
    </row>
    <row r="1378" customFormat="false" ht="15" hidden="false" customHeight="false" outlineLevel="0" collapsed="false">
      <c r="A1378" s="3" t="s">
        <v>334</v>
      </c>
      <c r="G1378" s="16" t="n">
        <f aca="false">MIN(G1372,Assumptions!$L$58*Assumptions!$C$58)</f>
        <v>0</v>
      </c>
      <c r="H1378" s="16" t="n">
        <f aca="false">MIN(H1372,Assumptions!$L$58*Assumptions!$C$58)</f>
        <v>0</v>
      </c>
      <c r="I1378" s="16" t="n">
        <f aca="false">MIN(I1372,Assumptions!$L$58*Assumptions!$C$58)</f>
        <v>0</v>
      </c>
      <c r="J1378" s="16" t="n">
        <f aca="false">MIN(J1372,Assumptions!$L$58*Assumptions!$C$58)</f>
        <v>0</v>
      </c>
      <c r="K1378" s="16" t="n">
        <f aca="false">MIN(K1372,Assumptions!$L$58*Assumptions!$C$58)</f>
        <v>0</v>
      </c>
    </row>
    <row r="1379" customFormat="false" ht="15" hidden="false" customHeight="false" outlineLevel="0" collapsed="false">
      <c r="A1379" s="3" t="s">
        <v>335</v>
      </c>
      <c r="G1379" s="16" t="n">
        <f aca="false">IF(AND(Assumptions!$P$58=1,G1323&lt;Assumptions!$K$58),MIN(MAX(0,-G1539),MAX(0,Assumptions!$D$58-G1372)),0)</f>
        <v>0</v>
      </c>
      <c r="H1379" s="16" t="n">
        <f aca="false">IF(AND(Assumptions!$P$58=1,OR(H1323&lt;Assumptions!$K$58,G1670=1)),MIN(MAX(0,-H1539),MAX(0,Assumptions!$D$58-H1372)),0)</f>
        <v>0</v>
      </c>
      <c r="I1379" s="16" t="n">
        <f aca="false">IF(AND(Assumptions!$P$58=1,OR(I1323&lt;Assumptions!$K$58,H1670=1)),MIN(MAX(0,-I1539),MAX(0,Assumptions!$D$58-I1372)),0)</f>
        <v>0</v>
      </c>
      <c r="J1379" s="16" t="n">
        <f aca="false">IF(AND(Assumptions!$P$58=1,OR(J1323&lt;Assumptions!$K$58,I1670=1)),MIN(MAX(0,-J1539),MAX(0,Assumptions!$D$58-J1372)),0)</f>
        <v>0</v>
      </c>
      <c r="K1379" s="16" t="n">
        <f aca="false">IF(AND(Assumptions!$P$58=1,OR(K1323&lt;Assumptions!$K$58,J1670=1)),MIN(MAX(0,-K1539),MAX(0,Assumptions!$D$58-K1372)),0)</f>
        <v>0</v>
      </c>
    </row>
    <row r="1380" customFormat="false" ht="15" hidden="false" customHeight="false" outlineLevel="0" collapsed="false">
      <c r="A1380" s="3" t="s">
        <v>336</v>
      </c>
      <c r="G1380" s="16" t="n">
        <f aca="false">G1373*MIN(G1372-G1378+G1377,MAX(0,G1541-Assumptions!$C$12*G1357-G1367))</f>
        <v>0</v>
      </c>
      <c r="H1380" s="16" t="n">
        <f aca="false">H1373*MIN(H1372-H1378+H1377,MAX(0,H1541-Assumptions!$C$12*H1357-H1367))</f>
        <v>0</v>
      </c>
      <c r="I1380" s="16" t="n">
        <f aca="false">I1373*MIN(I1372-I1378+I1377,MAX(0,I1541-Assumptions!$C$12*I1357-I1367))</f>
        <v>0</v>
      </c>
      <c r="J1380" s="16" t="n">
        <f aca="false">J1373*MIN(J1372-J1378+J1377,MAX(0,J1541-Assumptions!$C$12*J1357-J1367))</f>
        <v>0</v>
      </c>
      <c r="K1380" s="16" t="n">
        <f aca="false">K1373*MIN(K1372-K1378+K1377,MAX(0,K1541-Assumptions!$C$12*K1357-K1367))</f>
        <v>0</v>
      </c>
    </row>
    <row r="1381" customFormat="false" ht="15" hidden="false" customHeight="false" outlineLevel="0" collapsed="false">
      <c r="A1381" s="3" t="s">
        <v>337</v>
      </c>
      <c r="G1381" s="16" t="n">
        <f aca="false">Assumptions!$N$58*MIN(G1372+G1379+G1377-G1378-G1380,MAX(0,G1545-G1368))</f>
        <v>0</v>
      </c>
      <c r="H1381" s="16" t="n">
        <f aca="false">Assumptions!$N$58*MIN(H1372+H1379+H1377-H1378-H1380,MAX(0,H1545-H1368))</f>
        <v>0</v>
      </c>
      <c r="I1381" s="16" t="n">
        <f aca="false">Assumptions!$N$58*MIN(I1372+I1379+I1377-I1378-I1380,MAX(0,I1545-I1368))</f>
        <v>0</v>
      </c>
      <c r="J1381" s="16" t="n">
        <f aca="false">Assumptions!$N$58*MIN(J1372+J1379+J1377-J1378-J1380,MAX(0,J1545-J1368))</f>
        <v>0</v>
      </c>
      <c r="K1381" s="16" t="n">
        <f aca="false">Assumptions!$N$58*MIN(K1372+K1379+K1377-K1378-K1380,MAX(0,K1545-K1368))</f>
        <v>0</v>
      </c>
    </row>
    <row r="1382" customFormat="false" ht="15" hidden="false" customHeight="false" outlineLevel="0" collapsed="false">
      <c r="A1382" s="3" t="s">
        <v>338</v>
      </c>
      <c r="G1382" s="16" t="n">
        <f aca="false">G1373*(1-G1357)*(G1372-G1378+G1377-G1380)</f>
        <v>0</v>
      </c>
      <c r="H1382" s="16" t="n">
        <f aca="false">H1373*(1-H1357)*(H1372-H1378+H1377-H1380)</f>
        <v>0</v>
      </c>
      <c r="I1382" s="16" t="n">
        <f aca="false">I1373*(1-I1357)*(I1372-I1378+I1377-I1380)</f>
        <v>0</v>
      </c>
      <c r="J1382" s="16" t="n">
        <f aca="false">J1373*(1-J1357)*(J1372-J1378+J1377-J1380)</f>
        <v>0</v>
      </c>
      <c r="K1382" s="16" t="n">
        <f aca="false">K1373*(1-K1357)*(K1372-K1378+K1377-K1380)</f>
        <v>0</v>
      </c>
    </row>
    <row r="1383" customFormat="false" ht="15" hidden="false" customHeight="false" outlineLevel="0" collapsed="false">
      <c r="A1383" s="2" t="s">
        <v>339</v>
      </c>
      <c r="F1383" s="28" t="n">
        <f aca="false">Assumptions!$C$58</f>
        <v>90</v>
      </c>
      <c r="G1383" s="17" t="n">
        <f aca="false">G1372+G1379+G1377-G1378-G1380-G1381</f>
        <v>90</v>
      </c>
      <c r="H1383" s="17" t="n">
        <f aca="false">H1372+H1379+H1377-H1378-H1380-H1381</f>
        <v>90</v>
      </c>
      <c r="I1383" s="17" t="n">
        <f aca="false">I1372+I1379+I1377-I1378-I1380-I1381</f>
        <v>90</v>
      </c>
      <c r="J1383" s="17" t="n">
        <f aca="false">J1372+J1379+J1377-J1378-J1380-J1381</f>
        <v>90</v>
      </c>
      <c r="K1383" s="17" t="n">
        <f aca="false">K1372+K1379+K1377-K1378-K1380-K1381</f>
        <v>90</v>
      </c>
    </row>
    <row r="1384" customFormat="false" ht="15" hidden="false" customHeight="false" outlineLevel="0" collapsed="false">
      <c r="A1384" s="24" t="s">
        <v>341</v>
      </c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</row>
    <row r="1385" customFormat="false" ht="15" hidden="false" customHeight="false" outlineLevel="0" collapsed="false">
      <c r="A1385" s="3" t="s">
        <v>329</v>
      </c>
      <c r="G1385" s="16" t="n">
        <f aca="false">F1396</f>
        <v>57.324</v>
      </c>
      <c r="H1385" s="16" t="n">
        <f aca="false">G1396</f>
        <v>57.324</v>
      </c>
      <c r="I1385" s="16" t="n">
        <f aca="false">H1396</f>
        <v>57.324</v>
      </c>
      <c r="J1385" s="16" t="n">
        <f aca="false">I1396</f>
        <v>57.324</v>
      </c>
      <c r="K1385" s="16" t="n">
        <f aca="false">J1396</f>
        <v>57.324</v>
      </c>
    </row>
    <row r="1386" customFormat="false" ht="15" hidden="false" customHeight="false" outlineLevel="0" collapsed="false">
      <c r="A1386" s="3" t="s">
        <v>330</v>
      </c>
      <c r="G1386" s="21" t="n">
        <f aca="false">IF(G1323=Assumptions!$K$59,1,0)</f>
        <v>0</v>
      </c>
      <c r="H1386" s="21" t="n">
        <f aca="false">IF(H1323=Assumptions!$K$59,1,0)</f>
        <v>0</v>
      </c>
      <c r="I1386" s="21" t="n">
        <f aca="false">IF(I1323=Assumptions!$K$59,1,0)</f>
        <v>0</v>
      </c>
      <c r="J1386" s="21" t="n">
        <f aca="false">IF(J1323=Assumptions!$K$59,1,0)</f>
        <v>0</v>
      </c>
      <c r="K1386" s="21" t="n">
        <f aca="false">IF(K1323=Assumptions!$K$59,1,0)</f>
        <v>0</v>
      </c>
    </row>
    <row r="1388" customFormat="false" ht="15" hidden="false" customHeight="false" outlineLevel="0" collapsed="false">
      <c r="A1388" s="3" t="s">
        <v>331</v>
      </c>
      <c r="G1388" s="31" t="n">
        <f aca="false">IF(Assumptions!$I$59=1,MAX(G1349,Assumptions!$G$59)+Assumptions!$F$59+$C$1350,Assumptions!$E$59)</f>
        <v>0.0731</v>
      </c>
      <c r="H1388" s="31" t="n">
        <f aca="false">IF(G1671=1,$C$1351,IF(Assumptions!$I$59=1,MAX(H1349,Assumptions!$G$59)+Assumptions!$F$59+$C$1350,Assumptions!$E$59))</f>
        <v>0.0731</v>
      </c>
      <c r="I1388" s="31" t="n">
        <f aca="false">IF(H1671=1,$C$1351,IF(Assumptions!$I$59=1,MAX(I1349,Assumptions!$G$59)+Assumptions!$F$59+$C$1350,Assumptions!$E$59))</f>
        <v>0.0731</v>
      </c>
      <c r="J1388" s="31" t="n">
        <f aca="false">IF(I1671=1,$C$1351,IF(Assumptions!$I$59=1,MAX(J1349,Assumptions!$G$59)+Assumptions!$F$59+$C$1350,Assumptions!$E$59))</f>
        <v>0.0731</v>
      </c>
      <c r="K1388" s="31" t="n">
        <f aca="false">IF(J1671=1,$C$1351,IF(Assumptions!$I$59=1,MAX(K1349,Assumptions!$G$59)+Assumptions!$F$59+$C$1350,Assumptions!$E$59))</f>
        <v>0.0731</v>
      </c>
    </row>
    <row r="1389" customFormat="false" ht="15" hidden="false" customHeight="false" outlineLevel="0" collapsed="false">
      <c r="A1389" s="3" t="s">
        <v>332</v>
      </c>
      <c r="G1389" s="16" t="n">
        <f aca="false">G1385*G1388</f>
        <v>4.1903844</v>
      </c>
      <c r="H1389" s="16" t="n">
        <f aca="false">H1385*H1388</f>
        <v>4.1903844</v>
      </c>
      <c r="I1389" s="16" t="n">
        <f aca="false">I1385*I1388</f>
        <v>4.1903844</v>
      </c>
      <c r="J1389" s="16" t="n">
        <f aca="false">J1385*J1388</f>
        <v>4.1903844</v>
      </c>
      <c r="K1389" s="16" t="n">
        <f aca="false">K1385*K1388</f>
        <v>4.1903844</v>
      </c>
    </row>
    <row r="1390" customFormat="false" ht="15" hidden="false" customHeight="false" outlineLevel="0" collapsed="false">
      <c r="A1390" s="3" t="s">
        <v>333</v>
      </c>
      <c r="G1390" s="16" t="n">
        <f aca="false">G1385*Assumptions!$H$59</f>
        <v>0</v>
      </c>
      <c r="H1390" s="16" t="n">
        <f aca="false">H1385*Assumptions!$H$59</f>
        <v>0</v>
      </c>
      <c r="I1390" s="16" t="n">
        <f aca="false">I1385*Assumptions!$H$59</f>
        <v>0</v>
      </c>
      <c r="J1390" s="16" t="n">
        <f aca="false">J1385*Assumptions!$H$59</f>
        <v>0</v>
      </c>
      <c r="K1390" s="16" t="n">
        <f aca="false">K1385*Assumptions!$H$59</f>
        <v>0</v>
      </c>
    </row>
    <row r="1391" customFormat="false" ht="15" hidden="false" customHeight="false" outlineLevel="0" collapsed="false">
      <c r="A1391" s="3" t="s">
        <v>334</v>
      </c>
      <c r="G1391" s="16" t="n">
        <f aca="false">MIN(G1385,Assumptions!$L$59*Assumptions!$C$59)</f>
        <v>0</v>
      </c>
      <c r="H1391" s="16" t="n">
        <f aca="false">MIN(H1385,Assumptions!$L$59*Assumptions!$C$59)</f>
        <v>0</v>
      </c>
      <c r="I1391" s="16" t="n">
        <f aca="false">MIN(I1385,Assumptions!$L$59*Assumptions!$C$59)</f>
        <v>0</v>
      </c>
      <c r="J1391" s="16" t="n">
        <f aca="false">MIN(J1385,Assumptions!$L$59*Assumptions!$C$59)</f>
        <v>0</v>
      </c>
      <c r="K1391" s="16" t="n">
        <f aca="false">MIN(K1385,Assumptions!$L$59*Assumptions!$C$59)</f>
        <v>0</v>
      </c>
    </row>
    <row r="1392" customFormat="false" ht="15" hidden="false" customHeight="false" outlineLevel="0" collapsed="false">
      <c r="A1392" s="3" t="s">
        <v>335</v>
      </c>
      <c r="G1392" s="16" t="n">
        <f aca="false">IF(AND(Assumptions!$P$59=1,G1323&lt;Assumptions!$K$59),MIN(MAX(0,-G1539),MAX(0,Assumptions!$D$59-G1385)),0)</f>
        <v>0</v>
      </c>
      <c r="H1392" s="16" t="n">
        <f aca="false">IF(AND(Assumptions!$P$59=1,OR(H1323&lt;Assumptions!$K$59,G1671=1)),MIN(MAX(0,-H1539),MAX(0,Assumptions!$D$59-H1385)),0)</f>
        <v>0</v>
      </c>
      <c r="I1392" s="16" t="n">
        <f aca="false">IF(AND(Assumptions!$P$59=1,OR(I1323&lt;Assumptions!$K$59,H1671=1)),MIN(MAX(0,-I1539),MAX(0,Assumptions!$D$59-I1385)),0)</f>
        <v>0</v>
      </c>
      <c r="J1392" s="16" t="n">
        <f aca="false">IF(AND(Assumptions!$P$59=1,OR(J1323&lt;Assumptions!$K$59,I1671=1)),MIN(MAX(0,-J1539),MAX(0,Assumptions!$D$59-J1385)),0)</f>
        <v>0</v>
      </c>
      <c r="K1392" s="16" t="n">
        <f aca="false">IF(AND(Assumptions!$P$59=1,OR(K1323&lt;Assumptions!$K$59,J1671=1)),MIN(MAX(0,-K1539),MAX(0,Assumptions!$D$59-K1385)),0)</f>
        <v>0</v>
      </c>
    </row>
    <row r="1393" customFormat="false" ht="15" hidden="false" customHeight="false" outlineLevel="0" collapsed="false">
      <c r="A1393" s="3" t="s">
        <v>336</v>
      </c>
      <c r="G1393" s="16" t="n">
        <f aca="false">G1386*MIN(G1385-G1391+G1390,MAX(0,G1541-Assumptions!$C$12*G1357-G1367-G1380))</f>
        <v>0</v>
      </c>
      <c r="H1393" s="16" t="n">
        <f aca="false">H1386*MIN(H1385-H1391+H1390,MAX(0,H1541-Assumptions!$C$12*H1357-H1367-H1380))</f>
        <v>0</v>
      </c>
      <c r="I1393" s="16" t="n">
        <f aca="false">I1386*MIN(I1385-I1391+I1390,MAX(0,I1541-Assumptions!$C$12*I1357-I1367-I1380))</f>
        <v>0</v>
      </c>
      <c r="J1393" s="16" t="n">
        <f aca="false">J1386*MIN(J1385-J1391+J1390,MAX(0,J1541-Assumptions!$C$12*J1357-J1367-J1380))</f>
        <v>0</v>
      </c>
      <c r="K1393" s="16" t="n">
        <f aca="false">K1386*MIN(K1385-K1391+K1390,MAX(0,K1541-Assumptions!$C$12*K1357-K1367-K1380))</f>
        <v>0</v>
      </c>
    </row>
    <row r="1394" customFormat="false" ht="15" hidden="false" customHeight="false" outlineLevel="0" collapsed="false">
      <c r="A1394" s="3" t="s">
        <v>337</v>
      </c>
      <c r="G1394" s="16" t="n">
        <f aca="false">Assumptions!$N$59*MIN(G1385+G1392+G1390-G1391-G1393,MAX(0,G1545-G1368-G1381))</f>
        <v>0</v>
      </c>
      <c r="H1394" s="16" t="n">
        <f aca="false">Assumptions!$N$59*MIN(H1385+H1392+H1390-H1391-H1393,MAX(0,H1545-H1368-H1381))</f>
        <v>0</v>
      </c>
      <c r="I1394" s="16" t="n">
        <f aca="false">Assumptions!$N$59*MIN(I1385+I1392+I1390-I1391-I1393,MAX(0,I1545-I1368-I1381))</f>
        <v>0</v>
      </c>
      <c r="J1394" s="16" t="n">
        <f aca="false">Assumptions!$N$59*MIN(J1385+J1392+J1390-J1391-J1393,MAX(0,J1545-J1368-J1381))</f>
        <v>0</v>
      </c>
      <c r="K1394" s="16" t="n">
        <f aca="false">Assumptions!$N$59*MIN(K1385+K1392+K1390-K1391-K1393,MAX(0,K1545-K1368-K1381))</f>
        <v>0</v>
      </c>
    </row>
    <row r="1395" customFormat="false" ht="15" hidden="false" customHeight="false" outlineLevel="0" collapsed="false">
      <c r="A1395" s="3" t="s">
        <v>338</v>
      </c>
      <c r="G1395" s="16" t="n">
        <f aca="false">G1386*(1-G1357)*(G1385-G1391+G1390-G1393)</f>
        <v>0</v>
      </c>
      <c r="H1395" s="16" t="n">
        <f aca="false">H1386*(1-H1357)*(H1385-H1391+H1390-H1393)</f>
        <v>0</v>
      </c>
      <c r="I1395" s="16" t="n">
        <f aca="false">I1386*(1-I1357)*(I1385-I1391+I1390-I1393)</f>
        <v>0</v>
      </c>
      <c r="J1395" s="16" t="n">
        <f aca="false">J1386*(1-J1357)*(J1385-J1391+J1390-J1393)</f>
        <v>0</v>
      </c>
      <c r="K1395" s="16" t="n">
        <f aca="false">K1386*(1-K1357)*(K1385-K1391+K1390-K1393)</f>
        <v>0</v>
      </c>
    </row>
    <row r="1396" customFormat="false" ht="15" hidden="false" customHeight="false" outlineLevel="0" collapsed="false">
      <c r="A1396" s="2" t="s">
        <v>339</v>
      </c>
      <c r="F1396" s="28" t="n">
        <f aca="false">Assumptions!$C$59</f>
        <v>57.324</v>
      </c>
      <c r="G1396" s="17" t="n">
        <f aca="false">G1385+G1392+G1390-G1391-G1393-G1394</f>
        <v>57.324</v>
      </c>
      <c r="H1396" s="17" t="n">
        <f aca="false">H1385+H1392+H1390-H1391-H1393-H1394</f>
        <v>57.324</v>
      </c>
      <c r="I1396" s="17" t="n">
        <f aca="false">I1385+I1392+I1390-I1391-I1393-I1394</f>
        <v>57.324</v>
      </c>
      <c r="J1396" s="17" t="n">
        <f aca="false">J1385+J1392+J1390-J1391-J1393-J1394</f>
        <v>57.324</v>
      </c>
      <c r="K1396" s="17" t="n">
        <f aca="false">K1385+K1392+K1390-K1391-K1393-K1394</f>
        <v>57.324</v>
      </c>
    </row>
    <row r="1397" customFormat="false" ht="15" hidden="false" customHeight="false" outlineLevel="0" collapsed="false">
      <c r="A1397" s="24" t="s">
        <v>342</v>
      </c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</row>
    <row r="1398" customFormat="false" ht="15" hidden="false" customHeight="false" outlineLevel="0" collapsed="false">
      <c r="A1398" s="3" t="s">
        <v>329</v>
      </c>
      <c r="G1398" s="16" t="n">
        <f aca="false">F1409</f>
        <v>0</v>
      </c>
      <c r="H1398" s="16" t="n">
        <f aca="false">G1409</f>
        <v>0</v>
      </c>
      <c r="I1398" s="16" t="n">
        <f aca="false">H1409</f>
        <v>0</v>
      </c>
      <c r="J1398" s="16" t="n">
        <f aca="false">I1409</f>
        <v>0</v>
      </c>
      <c r="K1398" s="16" t="n">
        <f aca="false">J1409</f>
        <v>0</v>
      </c>
    </row>
    <row r="1399" customFormat="false" ht="15" hidden="false" customHeight="false" outlineLevel="0" collapsed="false">
      <c r="A1399" s="3" t="s">
        <v>330</v>
      </c>
      <c r="G1399" s="21" t="n">
        <f aca="false">IF(G1323=Assumptions!$K$60,1,0)</f>
        <v>1</v>
      </c>
      <c r="H1399" s="21" t="n">
        <f aca="false">IF(H1323=Assumptions!$K$60,1,0)</f>
        <v>0</v>
      </c>
      <c r="I1399" s="21" t="n">
        <f aca="false">IF(I1323=Assumptions!$K$60,1,0)</f>
        <v>0</v>
      </c>
      <c r="J1399" s="21" t="n">
        <f aca="false">IF(J1323=Assumptions!$K$60,1,0)</f>
        <v>0</v>
      </c>
      <c r="K1399" s="21" t="n">
        <f aca="false">IF(K1323=Assumptions!$K$60,1,0)</f>
        <v>0</v>
      </c>
    </row>
    <row r="1401" customFormat="false" ht="15" hidden="false" customHeight="false" outlineLevel="0" collapsed="false">
      <c r="A1401" s="3" t="s">
        <v>331</v>
      </c>
      <c r="G1401" s="31" t="n">
        <f aca="false">IF(Assumptions!$I$60=1,MAX(G1349,Assumptions!$G$60)+Assumptions!$F$60+$C$1350,Assumptions!$E$60)</f>
        <v>0.084</v>
      </c>
      <c r="H1401" s="31" t="n">
        <f aca="false">IF(G1672=1,$C$1351,IF(Assumptions!$I$60=1,MAX(H1349,Assumptions!$G$60)+Assumptions!$F$60+$C$1350,Assumptions!$E$60))</f>
        <v>0.0825</v>
      </c>
      <c r="I1401" s="31" t="n">
        <f aca="false">IF(H1672=1,$C$1351,IF(Assumptions!$I$60=1,MAX(I1349,Assumptions!$G$60)+Assumptions!$F$60+$C$1350,Assumptions!$E$60))</f>
        <v>0.08</v>
      </c>
      <c r="J1401" s="31" t="n">
        <f aca="false">IF(I1672=1,$C$1351,IF(Assumptions!$I$60=1,MAX(J1349,Assumptions!$G$60)+Assumptions!$F$60+$C$1350,Assumptions!$E$60))</f>
        <v>0.08</v>
      </c>
      <c r="K1401" s="31" t="n">
        <f aca="false">IF(J1672=1,$C$1351,IF(Assumptions!$I$60=1,MAX(K1349,Assumptions!$G$60)+Assumptions!$F$60+$C$1350,Assumptions!$E$60))</f>
        <v>0.08</v>
      </c>
    </row>
    <row r="1402" customFormat="false" ht="15" hidden="false" customHeight="false" outlineLevel="0" collapsed="false">
      <c r="A1402" s="3" t="s">
        <v>332</v>
      </c>
      <c r="G1402" s="16" t="n">
        <f aca="false">G1398*G1401</f>
        <v>0</v>
      </c>
      <c r="H1402" s="16" t="n">
        <f aca="false">H1398*H1401</f>
        <v>0</v>
      </c>
      <c r="I1402" s="16" t="n">
        <f aca="false">I1398*I1401</f>
        <v>0</v>
      </c>
      <c r="J1402" s="16" t="n">
        <f aca="false">J1398*J1401</f>
        <v>0</v>
      </c>
      <c r="K1402" s="16" t="n">
        <f aca="false">K1398*K1401</f>
        <v>0</v>
      </c>
    </row>
    <row r="1403" customFormat="false" ht="15" hidden="false" customHeight="false" outlineLevel="0" collapsed="false">
      <c r="A1403" s="3" t="s">
        <v>333</v>
      </c>
      <c r="G1403" s="16" t="n">
        <f aca="false">G1398*Assumptions!$H$60</f>
        <v>0</v>
      </c>
      <c r="H1403" s="16" t="n">
        <f aca="false">H1398*Assumptions!$H$60</f>
        <v>0</v>
      </c>
      <c r="I1403" s="16" t="n">
        <f aca="false">I1398*Assumptions!$H$60</f>
        <v>0</v>
      </c>
      <c r="J1403" s="16" t="n">
        <f aca="false">J1398*Assumptions!$H$60</f>
        <v>0</v>
      </c>
      <c r="K1403" s="16" t="n">
        <f aca="false">K1398*Assumptions!$H$60</f>
        <v>0</v>
      </c>
    </row>
    <row r="1404" customFormat="false" ht="15" hidden="false" customHeight="false" outlineLevel="0" collapsed="false">
      <c r="A1404" s="3" t="s">
        <v>334</v>
      </c>
      <c r="G1404" s="16" t="n">
        <f aca="false">MIN(G1398,Assumptions!$L$60*Assumptions!$C$60)</f>
        <v>0</v>
      </c>
      <c r="H1404" s="16" t="n">
        <f aca="false">MIN(H1398,Assumptions!$L$60*Assumptions!$C$60)</f>
        <v>0</v>
      </c>
      <c r="I1404" s="16" t="n">
        <f aca="false">MIN(I1398,Assumptions!$L$60*Assumptions!$C$60)</f>
        <v>0</v>
      </c>
      <c r="J1404" s="16" t="n">
        <f aca="false">MIN(J1398,Assumptions!$L$60*Assumptions!$C$60)</f>
        <v>0</v>
      </c>
      <c r="K1404" s="16" t="n">
        <f aca="false">MIN(K1398,Assumptions!$L$60*Assumptions!$C$60)</f>
        <v>0</v>
      </c>
    </row>
    <row r="1405" customFormat="false" ht="15" hidden="false" customHeight="false" outlineLevel="0" collapsed="false">
      <c r="A1405" s="3" t="s">
        <v>335</v>
      </c>
      <c r="G1405" s="16" t="n">
        <f aca="false">IF(AND(Assumptions!$P$60=1,G1323&lt;Assumptions!$K$60),MIN(MAX(0,-G1539),MAX(0,Assumptions!$D$60-G1398)),0)</f>
        <v>0</v>
      </c>
      <c r="H1405" s="16" t="n">
        <f aca="false">IF(AND(Assumptions!$P$60=1,OR(H1323&lt;Assumptions!$K$60,G1672=1)),MIN(MAX(0,-H1539),MAX(0,Assumptions!$D$60-H1398)),0)</f>
        <v>0</v>
      </c>
      <c r="I1405" s="16" t="n">
        <f aca="false">IF(AND(Assumptions!$P$60=1,OR(I1323&lt;Assumptions!$K$60,H1672=1)),MIN(MAX(0,-I1539),MAX(0,Assumptions!$D$60-I1398)),0)</f>
        <v>0</v>
      </c>
      <c r="J1405" s="16" t="n">
        <f aca="false">IF(AND(Assumptions!$P$60=1,OR(J1323&lt;Assumptions!$K$60,I1672=1)),MIN(MAX(0,-J1539),MAX(0,Assumptions!$D$60-J1398)),0)</f>
        <v>0</v>
      </c>
      <c r="K1405" s="16" t="n">
        <f aca="false">IF(AND(Assumptions!$P$60=1,OR(K1323&lt;Assumptions!$K$60,J1672=1)),MIN(MAX(0,-K1539),MAX(0,Assumptions!$D$60-K1398)),0)</f>
        <v>0</v>
      </c>
    </row>
    <row r="1406" customFormat="false" ht="15" hidden="false" customHeight="false" outlineLevel="0" collapsed="false">
      <c r="A1406" s="3" t="s">
        <v>336</v>
      </c>
      <c r="G1406" s="16" t="n">
        <f aca="false">G1399*MIN(G1398-G1404+G1403,MAX(0,G1541-Assumptions!$C$12*G1357-G1367-G1380-G1393))</f>
        <v>0</v>
      </c>
      <c r="H1406" s="16" t="n">
        <f aca="false">H1399*MIN(H1398-H1404+H1403,MAX(0,H1541-Assumptions!$C$12*H1357-H1367-H1380-H1393))</f>
        <v>0</v>
      </c>
      <c r="I1406" s="16" t="n">
        <f aca="false">I1399*MIN(I1398-I1404+I1403,MAX(0,I1541-Assumptions!$C$12*I1357-I1367-I1380-I1393))</f>
        <v>0</v>
      </c>
      <c r="J1406" s="16" t="n">
        <f aca="false">J1399*MIN(J1398-J1404+J1403,MAX(0,J1541-Assumptions!$C$12*J1357-J1367-J1380-J1393))</f>
        <v>0</v>
      </c>
      <c r="K1406" s="16" t="n">
        <f aca="false">K1399*MIN(K1398-K1404+K1403,MAX(0,K1541-Assumptions!$C$12*K1357-K1367-K1380-K1393))</f>
        <v>0</v>
      </c>
    </row>
    <row r="1407" customFormat="false" ht="15" hidden="false" customHeight="false" outlineLevel="0" collapsed="false">
      <c r="A1407" s="3" t="s">
        <v>337</v>
      </c>
      <c r="G1407" s="16" t="n">
        <f aca="false">Assumptions!$N$60*MIN(G1398+G1405+G1403-G1404-G1406,MAX(0,G1545-G1368-G1381-G1394))</f>
        <v>0</v>
      </c>
      <c r="H1407" s="16" t="n">
        <f aca="false">Assumptions!$N$60*MIN(H1398+H1405+H1403-H1404-H1406,MAX(0,H1545-H1368-H1381-H1394))</f>
        <v>0</v>
      </c>
      <c r="I1407" s="16" t="n">
        <f aca="false">Assumptions!$N$60*MIN(I1398+I1405+I1403-I1404-I1406,MAX(0,I1545-I1368-I1381-I1394))</f>
        <v>0</v>
      </c>
      <c r="J1407" s="16" t="n">
        <f aca="false">Assumptions!$N$60*MIN(J1398+J1405+J1403-J1404-J1406,MAX(0,J1545-J1368-J1381-J1394))</f>
        <v>0</v>
      </c>
      <c r="K1407" s="16" t="n">
        <f aca="false">Assumptions!$N$60*MIN(K1398+K1405+K1403-K1404-K1406,MAX(0,K1545-K1368-K1381-K1394))</f>
        <v>0</v>
      </c>
    </row>
    <row r="1408" customFormat="false" ht="15" hidden="false" customHeight="false" outlineLevel="0" collapsed="false">
      <c r="A1408" s="3" t="s">
        <v>338</v>
      </c>
      <c r="G1408" s="16" t="n">
        <f aca="false">G1399*(1-G1357)*(G1398-G1404+G1403-G1406)</f>
        <v>0</v>
      </c>
      <c r="H1408" s="16" t="n">
        <f aca="false">H1399*(1-H1357)*(H1398-H1404+H1403-H1406)</f>
        <v>0</v>
      </c>
      <c r="I1408" s="16" t="n">
        <f aca="false">I1399*(1-I1357)*(I1398-I1404+I1403-I1406)</f>
        <v>0</v>
      </c>
      <c r="J1408" s="16" t="n">
        <f aca="false">J1399*(1-J1357)*(J1398-J1404+J1403-J1406)</f>
        <v>0</v>
      </c>
      <c r="K1408" s="16" t="n">
        <f aca="false">K1399*(1-K1357)*(K1398-K1404+K1403-K1406)</f>
        <v>0</v>
      </c>
    </row>
    <row r="1409" customFormat="false" ht="15" hidden="false" customHeight="false" outlineLevel="0" collapsed="false">
      <c r="A1409" s="2" t="s">
        <v>339</v>
      </c>
      <c r="F1409" s="28" t="n">
        <f aca="false">Assumptions!$C$60</f>
        <v>0</v>
      </c>
      <c r="G1409" s="17" t="n">
        <f aca="false">G1398+G1405+G1403-G1404-G1406-G1407</f>
        <v>0</v>
      </c>
      <c r="H1409" s="17" t="n">
        <f aca="false">H1398+H1405+H1403-H1404-H1406-H1407</f>
        <v>0</v>
      </c>
      <c r="I1409" s="17" t="n">
        <f aca="false">I1398+I1405+I1403-I1404-I1406-I1407</f>
        <v>0</v>
      </c>
      <c r="J1409" s="17" t="n">
        <f aca="false">J1398+J1405+J1403-J1404-J1406-J1407</f>
        <v>0</v>
      </c>
      <c r="K1409" s="17" t="n">
        <f aca="false">K1398+K1405+K1403-K1404-K1406-K1407</f>
        <v>0</v>
      </c>
    </row>
    <row r="1410" customFormat="false" ht="15" hidden="false" customHeight="false" outlineLevel="0" collapsed="false">
      <c r="A1410" s="24" t="s">
        <v>343</v>
      </c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</row>
    <row r="1411" customFormat="false" ht="15" hidden="false" customHeight="false" outlineLevel="0" collapsed="false">
      <c r="A1411" s="3" t="s">
        <v>329</v>
      </c>
      <c r="G1411" s="16" t="n">
        <f aca="false">F1422</f>
        <v>450</v>
      </c>
      <c r="H1411" s="16" t="n">
        <f aca="false">G1422</f>
        <v>450</v>
      </c>
      <c r="I1411" s="16" t="n">
        <f aca="false">H1422</f>
        <v>434.9547587</v>
      </c>
      <c r="J1411" s="16" t="n">
        <f aca="false">I1422</f>
        <v>434.9547587</v>
      </c>
      <c r="K1411" s="16" t="n">
        <f aca="false">J1422</f>
        <v>434.9547587</v>
      </c>
    </row>
    <row r="1412" customFormat="false" ht="15" hidden="false" customHeight="false" outlineLevel="0" collapsed="false">
      <c r="A1412" s="3" t="s">
        <v>330</v>
      </c>
      <c r="G1412" s="21" t="n">
        <f aca="false">IF(G1323=Assumptions!$K$61,1,0)</f>
        <v>0</v>
      </c>
      <c r="H1412" s="21" t="n">
        <f aca="false">IF(H1323=Assumptions!$K$61,1,0)</f>
        <v>1</v>
      </c>
      <c r="I1412" s="21" t="n">
        <f aca="false">IF(I1323=Assumptions!$K$61,1,0)</f>
        <v>0</v>
      </c>
      <c r="J1412" s="21" t="n">
        <f aca="false">IF(J1323=Assumptions!$K$61,1,0)</f>
        <v>0</v>
      </c>
      <c r="K1412" s="21" t="n">
        <f aca="false">IF(K1323=Assumptions!$K$61,1,0)</f>
        <v>0</v>
      </c>
    </row>
    <row r="1414" customFormat="false" ht="15" hidden="false" customHeight="false" outlineLevel="0" collapsed="false">
      <c r="A1414" s="3" t="s">
        <v>331</v>
      </c>
      <c r="G1414" s="31" t="n">
        <f aca="false">IF(Assumptions!$I$61=1,MAX(G1349,Assumptions!$G$61)+Assumptions!$F$61+$C$1350,Assumptions!$E$61)</f>
        <v>0.0395</v>
      </c>
      <c r="H1414" s="31" t="n">
        <f aca="false">IF(G1673=1,$C$1351,IF(Assumptions!$I$61=1,MAX(H1349,Assumptions!$G$61)+Assumptions!$F$61+$C$1350,Assumptions!$E$61))</f>
        <v>0.0395</v>
      </c>
      <c r="I1414" s="31" t="n">
        <f aca="false">IF(H1673=1,$C$1351,IF(Assumptions!$I$61=1,MAX(I1349,Assumptions!$G$61)+Assumptions!$F$61+$C$1350,Assumptions!$E$61))</f>
        <v>0.0395</v>
      </c>
      <c r="J1414" s="31" t="n">
        <f aca="false">IF(I1673=1,$C$1351,IF(Assumptions!$I$61=1,MAX(J1349,Assumptions!$G$61)+Assumptions!$F$61+$C$1350,Assumptions!$E$61))</f>
        <v>0.0395</v>
      </c>
      <c r="K1414" s="31" t="n">
        <f aca="false">IF(J1673=1,$C$1351,IF(Assumptions!$I$61=1,MAX(K1349,Assumptions!$G$61)+Assumptions!$F$61+$C$1350,Assumptions!$E$61))</f>
        <v>0.0395</v>
      </c>
    </row>
    <row r="1415" customFormat="false" ht="15" hidden="false" customHeight="false" outlineLevel="0" collapsed="false">
      <c r="A1415" s="3" t="s">
        <v>332</v>
      </c>
      <c r="G1415" s="16" t="n">
        <f aca="false">G1411*G1414</f>
        <v>17.775</v>
      </c>
      <c r="H1415" s="16" t="n">
        <f aca="false">H1411*H1414</f>
        <v>17.775</v>
      </c>
      <c r="I1415" s="16" t="n">
        <f aca="false">I1411*I1414</f>
        <v>17.18071296865</v>
      </c>
      <c r="J1415" s="16" t="n">
        <f aca="false">J1411*J1414</f>
        <v>17.18071296865</v>
      </c>
      <c r="K1415" s="16" t="n">
        <f aca="false">K1411*K1414</f>
        <v>17.18071296865</v>
      </c>
    </row>
    <row r="1416" customFormat="false" ht="15" hidden="false" customHeight="false" outlineLevel="0" collapsed="false">
      <c r="A1416" s="3" t="s">
        <v>333</v>
      </c>
      <c r="G1416" s="16" t="n">
        <f aca="false">G1411*Assumptions!$H$61</f>
        <v>0</v>
      </c>
      <c r="H1416" s="16" t="n">
        <f aca="false">H1411*Assumptions!$H$61</f>
        <v>0</v>
      </c>
      <c r="I1416" s="16" t="n">
        <f aca="false">I1411*Assumptions!$H$61</f>
        <v>0</v>
      </c>
      <c r="J1416" s="16" t="n">
        <f aca="false">J1411*Assumptions!$H$61</f>
        <v>0</v>
      </c>
      <c r="K1416" s="16" t="n">
        <f aca="false">K1411*Assumptions!$H$61</f>
        <v>0</v>
      </c>
    </row>
    <row r="1417" customFormat="false" ht="15" hidden="false" customHeight="false" outlineLevel="0" collapsed="false">
      <c r="A1417" s="3" t="s">
        <v>334</v>
      </c>
      <c r="G1417" s="16" t="n">
        <f aca="false">MIN(G1411,Assumptions!$L$61*Assumptions!$C$61)</f>
        <v>0</v>
      </c>
      <c r="H1417" s="16" t="n">
        <f aca="false">MIN(H1411,Assumptions!$L$61*Assumptions!$C$61)</f>
        <v>0</v>
      </c>
      <c r="I1417" s="16" t="n">
        <f aca="false">MIN(I1411,Assumptions!$L$61*Assumptions!$C$61)</f>
        <v>0</v>
      </c>
      <c r="J1417" s="16" t="n">
        <f aca="false">MIN(J1411,Assumptions!$L$61*Assumptions!$C$61)</f>
        <v>0</v>
      </c>
      <c r="K1417" s="16" t="n">
        <f aca="false">MIN(K1411,Assumptions!$L$61*Assumptions!$C$61)</f>
        <v>0</v>
      </c>
    </row>
    <row r="1418" customFormat="false" ht="15" hidden="false" customHeight="false" outlineLevel="0" collapsed="false">
      <c r="A1418" s="3" t="s">
        <v>335</v>
      </c>
      <c r="G1418" s="16" t="n">
        <f aca="false">IF(AND(Assumptions!$P$61=1,G1323&lt;Assumptions!$K$61),MIN(MAX(0,-G1539),MAX(0,Assumptions!$D$61-G1411)),0)</f>
        <v>0</v>
      </c>
      <c r="H1418" s="16" t="n">
        <f aca="false">IF(AND(Assumptions!$P$61=1,OR(H1323&lt;Assumptions!$K$61,G1673=1)),MIN(MAX(0,-H1539),MAX(0,Assumptions!$D$61-H1411)),0)</f>
        <v>0</v>
      </c>
      <c r="I1418" s="16" t="n">
        <f aca="false">IF(AND(Assumptions!$P$61=1,OR(I1323&lt;Assumptions!$K$61,H1673=1)),MIN(MAX(0,-I1539),MAX(0,Assumptions!$D$61-I1411)),0)</f>
        <v>0</v>
      </c>
      <c r="J1418" s="16" t="n">
        <f aca="false">IF(AND(Assumptions!$P$61=1,OR(J1323&lt;Assumptions!$K$61,I1673=1)),MIN(MAX(0,-J1539),MAX(0,Assumptions!$D$61-J1411)),0)</f>
        <v>0</v>
      </c>
      <c r="K1418" s="16" t="n">
        <f aca="false">IF(AND(Assumptions!$P$61=1,OR(K1323&lt;Assumptions!$K$61,J1673=1)),MIN(MAX(0,-K1539),MAX(0,Assumptions!$D$61-K1411)),0)</f>
        <v>0</v>
      </c>
    </row>
    <row r="1419" customFormat="false" ht="15" hidden="false" customHeight="false" outlineLevel="0" collapsed="false">
      <c r="A1419" s="3" t="s">
        <v>336</v>
      </c>
      <c r="G1419" s="16" t="n">
        <f aca="false">G1412*MIN(G1411-G1417+G1416,MAX(0,G1541-Assumptions!$C$12*G1357-G1367-G1380-G1393-G1406))</f>
        <v>0</v>
      </c>
      <c r="H1419" s="16" t="n">
        <f aca="false">H1412*MIN(H1411-H1417+H1416,MAX(0,H1541-Assumptions!$C$12*H1357-H1367-H1380-H1393-H1406))</f>
        <v>15.0452413</v>
      </c>
      <c r="I1419" s="16" t="n">
        <f aca="false">I1412*MIN(I1411-I1417+I1416,MAX(0,I1541-Assumptions!$C$12*I1357-I1367-I1380-I1393-I1406))</f>
        <v>0</v>
      </c>
      <c r="J1419" s="16" t="n">
        <f aca="false">J1412*MIN(J1411-J1417+J1416,MAX(0,J1541-Assumptions!$C$12*J1357-J1367-J1380-J1393-J1406))</f>
        <v>0</v>
      </c>
      <c r="K1419" s="16" t="n">
        <f aca="false">K1412*MIN(K1411-K1417+K1416,MAX(0,K1541-Assumptions!$C$12*K1357-K1367-K1380-K1393-K1406))</f>
        <v>0</v>
      </c>
    </row>
    <row r="1420" customFormat="false" ht="15" hidden="false" customHeight="false" outlineLevel="0" collapsed="false">
      <c r="A1420" s="3" t="s">
        <v>337</v>
      </c>
      <c r="G1420" s="16" t="n">
        <f aca="false">Assumptions!$N$61*MIN(G1411+G1418+G1416-G1417-G1419,MAX(0,G1545-G1368-G1381-G1394-G1407))</f>
        <v>0</v>
      </c>
      <c r="H1420" s="16" t="n">
        <f aca="false">Assumptions!$N$61*MIN(H1411+H1418+H1416-H1417-H1419,MAX(0,H1545-H1368-H1381-H1394-H1407))</f>
        <v>0</v>
      </c>
      <c r="I1420" s="16" t="n">
        <f aca="false">Assumptions!$N$61*MIN(I1411+I1418+I1416-I1417-I1419,MAX(0,I1545-I1368-I1381-I1394-I1407))</f>
        <v>0</v>
      </c>
      <c r="J1420" s="16" t="n">
        <f aca="false">Assumptions!$N$61*MIN(J1411+J1418+J1416-J1417-J1419,MAX(0,J1545-J1368-J1381-J1394-J1407))</f>
        <v>0</v>
      </c>
      <c r="K1420" s="16" t="n">
        <f aca="false">Assumptions!$N$61*MIN(K1411+K1418+K1416-K1417-K1419,MAX(0,K1545-K1368-K1381-K1394-K1407))</f>
        <v>0</v>
      </c>
    </row>
    <row r="1421" customFormat="false" ht="15" hidden="false" customHeight="false" outlineLevel="0" collapsed="false">
      <c r="A1421" s="3" t="s">
        <v>338</v>
      </c>
      <c r="G1421" s="16" t="n">
        <f aca="false">G1412*(1-G1357)*(G1411-G1417+G1416-G1419)</f>
        <v>0</v>
      </c>
      <c r="H1421" s="16" t="n">
        <f aca="false">H1412*(1-H1357)*(H1411-H1417+H1416-H1419)</f>
        <v>434.9547587</v>
      </c>
      <c r="I1421" s="16" t="n">
        <f aca="false">I1412*(1-I1357)*(I1411-I1417+I1416-I1419)</f>
        <v>0</v>
      </c>
      <c r="J1421" s="16" t="n">
        <f aca="false">J1412*(1-J1357)*(J1411-J1417+J1416-J1419)</f>
        <v>0</v>
      </c>
      <c r="K1421" s="16" t="n">
        <f aca="false">K1412*(1-K1357)*(K1411-K1417+K1416-K1419)</f>
        <v>0</v>
      </c>
    </row>
    <row r="1422" customFormat="false" ht="15" hidden="false" customHeight="false" outlineLevel="0" collapsed="false">
      <c r="A1422" s="2" t="s">
        <v>339</v>
      </c>
      <c r="F1422" s="28" t="n">
        <f aca="false">Assumptions!$C$61</f>
        <v>450</v>
      </c>
      <c r="G1422" s="17" t="n">
        <f aca="false">G1411+G1418+G1416-G1417-G1419-G1420</f>
        <v>450</v>
      </c>
      <c r="H1422" s="17" t="n">
        <f aca="false">H1411+H1418+H1416-H1417-H1419-H1420</f>
        <v>434.9547587</v>
      </c>
      <c r="I1422" s="17" t="n">
        <f aca="false">I1411+I1418+I1416-I1417-I1419-I1420</f>
        <v>434.9547587</v>
      </c>
      <c r="J1422" s="17" t="n">
        <f aca="false">J1411+J1418+J1416-J1417-J1419-J1420</f>
        <v>434.9547587</v>
      </c>
      <c r="K1422" s="17" t="n">
        <f aca="false">K1411+K1418+K1416-K1417-K1419-K1420</f>
        <v>434.9547587</v>
      </c>
    </row>
    <row r="1423" customFormat="false" ht="15" hidden="false" customHeight="false" outlineLevel="0" collapsed="false">
      <c r="A1423" s="24" t="s">
        <v>344</v>
      </c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</row>
    <row r="1424" customFormat="false" ht="15" hidden="false" customHeight="false" outlineLevel="0" collapsed="false">
      <c r="A1424" s="3" t="s">
        <v>329</v>
      </c>
      <c r="G1424" s="16" t="n">
        <f aca="false">F1435</f>
        <v>350</v>
      </c>
      <c r="H1424" s="16" t="n">
        <f aca="false">G1435</f>
        <v>350</v>
      </c>
      <c r="I1424" s="16" t="n">
        <f aca="false">H1435</f>
        <v>350</v>
      </c>
      <c r="J1424" s="16" t="n">
        <f aca="false">I1435</f>
        <v>350</v>
      </c>
      <c r="K1424" s="16" t="n">
        <f aca="false">J1435</f>
        <v>350</v>
      </c>
    </row>
    <row r="1425" customFormat="false" ht="15" hidden="false" customHeight="false" outlineLevel="0" collapsed="false">
      <c r="A1425" s="3" t="s">
        <v>330</v>
      </c>
      <c r="G1425" s="21" t="n">
        <f aca="false">IF(G1323=Assumptions!$K$62,1,0)</f>
        <v>0</v>
      </c>
      <c r="H1425" s="21" t="n">
        <f aca="false">IF(H1323=Assumptions!$K$62,1,0)</f>
        <v>1</v>
      </c>
      <c r="I1425" s="21" t="n">
        <f aca="false">IF(I1323=Assumptions!$K$62,1,0)</f>
        <v>0</v>
      </c>
      <c r="J1425" s="21" t="n">
        <f aca="false">IF(J1323=Assumptions!$K$62,1,0)</f>
        <v>0</v>
      </c>
      <c r="K1425" s="21" t="n">
        <f aca="false">IF(K1323=Assumptions!$K$62,1,0)</f>
        <v>0</v>
      </c>
    </row>
    <row r="1427" customFormat="false" ht="15" hidden="false" customHeight="false" outlineLevel="0" collapsed="false">
      <c r="A1427" s="3" t="s">
        <v>331</v>
      </c>
      <c r="G1427" s="31" t="n">
        <f aca="false">IF(Assumptions!$I$62=1,MAX(G1349,Assumptions!$G$62)+Assumptions!$F$62+$C$1350,Assumptions!$E$62)</f>
        <v>0.083</v>
      </c>
      <c r="H1427" s="31" t="n">
        <f aca="false">IF(G1674=1,$C$1351,IF(Assumptions!$I$62=1,MAX(H1349,Assumptions!$G$62)+Assumptions!$F$62+$C$1350,Assumptions!$E$62))</f>
        <v>0.083</v>
      </c>
      <c r="I1427" s="31" t="n">
        <f aca="false">IF(H1674=1,$C$1351,IF(Assumptions!$I$62=1,MAX(I1349,Assumptions!$G$62)+Assumptions!$F$62+$C$1350,Assumptions!$E$62))</f>
        <v>0.083</v>
      </c>
      <c r="J1427" s="31" t="n">
        <f aca="false">IF(I1674=1,$C$1351,IF(Assumptions!$I$62=1,MAX(J1349,Assumptions!$G$62)+Assumptions!$F$62+$C$1350,Assumptions!$E$62))</f>
        <v>0.083</v>
      </c>
      <c r="K1427" s="31" t="n">
        <f aca="false">IF(J1674=1,$C$1351,IF(Assumptions!$I$62=1,MAX(K1349,Assumptions!$G$62)+Assumptions!$F$62+$C$1350,Assumptions!$E$62))</f>
        <v>0.083</v>
      </c>
    </row>
    <row r="1428" customFormat="false" ht="15" hidden="false" customHeight="false" outlineLevel="0" collapsed="false">
      <c r="A1428" s="3" t="s">
        <v>332</v>
      </c>
      <c r="G1428" s="16" t="n">
        <f aca="false">G1424*G1427</f>
        <v>29.05</v>
      </c>
      <c r="H1428" s="16" t="n">
        <f aca="false">H1424*H1427</f>
        <v>29.05</v>
      </c>
      <c r="I1428" s="16" t="n">
        <f aca="false">I1424*I1427</f>
        <v>29.05</v>
      </c>
      <c r="J1428" s="16" t="n">
        <f aca="false">J1424*J1427</f>
        <v>29.05</v>
      </c>
      <c r="K1428" s="16" t="n">
        <f aca="false">K1424*K1427</f>
        <v>29.05</v>
      </c>
    </row>
    <row r="1429" customFormat="false" ht="15" hidden="false" customHeight="false" outlineLevel="0" collapsed="false">
      <c r="A1429" s="3" t="s">
        <v>333</v>
      </c>
      <c r="G1429" s="16" t="n">
        <f aca="false">G1424*Assumptions!$H$62</f>
        <v>0</v>
      </c>
      <c r="H1429" s="16" t="n">
        <f aca="false">H1424*Assumptions!$H$62</f>
        <v>0</v>
      </c>
      <c r="I1429" s="16" t="n">
        <f aca="false">I1424*Assumptions!$H$62</f>
        <v>0</v>
      </c>
      <c r="J1429" s="16" t="n">
        <f aca="false">J1424*Assumptions!$H$62</f>
        <v>0</v>
      </c>
      <c r="K1429" s="16" t="n">
        <f aca="false">K1424*Assumptions!$H$62</f>
        <v>0</v>
      </c>
    </row>
    <row r="1430" customFormat="false" ht="15" hidden="false" customHeight="false" outlineLevel="0" collapsed="false">
      <c r="A1430" s="3" t="s">
        <v>334</v>
      </c>
      <c r="G1430" s="16" t="n">
        <f aca="false">MIN(G1424,Assumptions!$L$62*Assumptions!$C$62)</f>
        <v>0</v>
      </c>
      <c r="H1430" s="16" t="n">
        <f aca="false">MIN(H1424,Assumptions!$L$62*Assumptions!$C$62)</f>
        <v>0</v>
      </c>
      <c r="I1430" s="16" t="n">
        <f aca="false">MIN(I1424,Assumptions!$L$62*Assumptions!$C$62)</f>
        <v>0</v>
      </c>
      <c r="J1430" s="16" t="n">
        <f aca="false">MIN(J1424,Assumptions!$L$62*Assumptions!$C$62)</f>
        <v>0</v>
      </c>
      <c r="K1430" s="16" t="n">
        <f aca="false">MIN(K1424,Assumptions!$L$62*Assumptions!$C$62)</f>
        <v>0</v>
      </c>
    </row>
    <row r="1431" customFormat="false" ht="15" hidden="false" customHeight="false" outlineLevel="0" collapsed="false">
      <c r="A1431" s="3" t="s">
        <v>335</v>
      </c>
      <c r="G1431" s="16" t="n">
        <f aca="false">IF(AND(Assumptions!$P$62=1,G1323&lt;Assumptions!$K$62),MIN(MAX(0,-G1539),MAX(0,Assumptions!$D$62-G1424)),0)</f>
        <v>0</v>
      </c>
      <c r="H1431" s="16" t="n">
        <f aca="false">IF(AND(Assumptions!$P$62=1,OR(H1323&lt;Assumptions!$K$62,G1674=1)),MIN(MAX(0,-H1539),MAX(0,Assumptions!$D$62-H1424)),0)</f>
        <v>0</v>
      </c>
      <c r="I1431" s="16" t="n">
        <f aca="false">IF(AND(Assumptions!$P$62=1,OR(I1323&lt;Assumptions!$K$62,H1674=1)),MIN(MAX(0,-I1539),MAX(0,Assumptions!$D$62-I1424)),0)</f>
        <v>0</v>
      </c>
      <c r="J1431" s="16" t="n">
        <f aca="false">IF(AND(Assumptions!$P$62=1,OR(J1323&lt;Assumptions!$K$62,I1674=1)),MIN(MAX(0,-J1539),MAX(0,Assumptions!$D$62-J1424)),0)</f>
        <v>0</v>
      </c>
      <c r="K1431" s="16" t="n">
        <f aca="false">IF(AND(Assumptions!$P$62=1,OR(K1323&lt;Assumptions!$K$62,J1674=1)),MIN(MAX(0,-K1539),MAX(0,Assumptions!$D$62-K1424)),0)</f>
        <v>0</v>
      </c>
    </row>
    <row r="1432" customFormat="false" ht="15" hidden="false" customHeight="false" outlineLevel="0" collapsed="false">
      <c r="A1432" s="3" t="s">
        <v>336</v>
      </c>
      <c r="G1432" s="16" t="n">
        <f aca="false">G1425*MIN(G1424-G1430+G1429,MAX(0,G1541-Assumptions!$C$12*G1357-G1367-G1380-G1393-G1406-G1419))</f>
        <v>0</v>
      </c>
      <c r="H1432" s="16" t="n">
        <f aca="false">H1425*MIN(H1424-H1430+H1429,MAX(0,H1541-Assumptions!$C$12*H1357-H1367-H1380-H1393-H1406-H1419))</f>
        <v>0</v>
      </c>
      <c r="I1432" s="16" t="n">
        <f aca="false">I1425*MIN(I1424-I1430+I1429,MAX(0,I1541-Assumptions!$C$12*I1357-I1367-I1380-I1393-I1406-I1419))</f>
        <v>0</v>
      </c>
      <c r="J1432" s="16" t="n">
        <f aca="false">J1425*MIN(J1424-J1430+J1429,MAX(0,J1541-Assumptions!$C$12*J1357-J1367-J1380-J1393-J1406-J1419))</f>
        <v>0</v>
      </c>
      <c r="K1432" s="16" t="n">
        <f aca="false">K1425*MIN(K1424-K1430+K1429,MAX(0,K1541-Assumptions!$C$12*K1357-K1367-K1380-K1393-K1406-K1419))</f>
        <v>0</v>
      </c>
    </row>
    <row r="1433" customFormat="false" ht="15" hidden="false" customHeight="false" outlineLevel="0" collapsed="false">
      <c r="A1433" s="3" t="s">
        <v>337</v>
      </c>
      <c r="G1433" s="16" t="n">
        <f aca="false">Assumptions!$N$62*MIN(G1424+G1431+G1429-G1430-G1432,MAX(0,G1545-G1368-G1381-G1394-G1407-G1420))</f>
        <v>0</v>
      </c>
      <c r="H1433" s="16" t="n">
        <f aca="false">Assumptions!$N$62*MIN(H1424+H1431+H1429-H1430-H1432,MAX(0,H1545-H1368-H1381-H1394-H1407-H1420))</f>
        <v>0</v>
      </c>
      <c r="I1433" s="16" t="n">
        <f aca="false">Assumptions!$N$62*MIN(I1424+I1431+I1429-I1430-I1432,MAX(0,I1545-I1368-I1381-I1394-I1407-I1420))</f>
        <v>0</v>
      </c>
      <c r="J1433" s="16" t="n">
        <f aca="false">Assumptions!$N$62*MIN(J1424+J1431+J1429-J1430-J1432,MAX(0,J1545-J1368-J1381-J1394-J1407-J1420))</f>
        <v>0</v>
      </c>
      <c r="K1433" s="16" t="n">
        <f aca="false">Assumptions!$N$62*MIN(K1424+K1431+K1429-K1430-K1432,MAX(0,K1545-K1368-K1381-K1394-K1407-K1420))</f>
        <v>0</v>
      </c>
    </row>
    <row r="1434" customFormat="false" ht="15" hidden="false" customHeight="false" outlineLevel="0" collapsed="false">
      <c r="A1434" s="3" t="s">
        <v>338</v>
      </c>
      <c r="G1434" s="16" t="n">
        <f aca="false">G1425*(1-G1357)*(G1424-G1430+G1429-G1432)</f>
        <v>0</v>
      </c>
      <c r="H1434" s="16" t="n">
        <f aca="false">H1425*(1-H1357)*(H1424-H1430+H1429-H1432)</f>
        <v>350</v>
      </c>
      <c r="I1434" s="16" t="n">
        <f aca="false">I1425*(1-I1357)*(I1424-I1430+I1429-I1432)</f>
        <v>0</v>
      </c>
      <c r="J1434" s="16" t="n">
        <f aca="false">J1425*(1-J1357)*(J1424-J1430+J1429-J1432)</f>
        <v>0</v>
      </c>
      <c r="K1434" s="16" t="n">
        <f aca="false">K1425*(1-K1357)*(K1424-K1430+K1429-K1432)</f>
        <v>0</v>
      </c>
    </row>
    <row r="1435" customFormat="false" ht="15" hidden="false" customHeight="false" outlineLevel="0" collapsed="false">
      <c r="A1435" s="2" t="s">
        <v>339</v>
      </c>
      <c r="F1435" s="28" t="n">
        <f aca="false">Assumptions!$C$62</f>
        <v>350</v>
      </c>
      <c r="G1435" s="17" t="n">
        <f aca="false">G1424+G1431+G1429-G1430-G1432-G1433</f>
        <v>350</v>
      </c>
      <c r="H1435" s="17" t="n">
        <f aca="false">H1424+H1431+H1429-H1430-H1432-H1433</f>
        <v>350</v>
      </c>
      <c r="I1435" s="17" t="n">
        <f aca="false">I1424+I1431+I1429-I1430-I1432-I1433</f>
        <v>350</v>
      </c>
      <c r="J1435" s="17" t="n">
        <f aca="false">J1424+J1431+J1429-J1430-J1432-J1433</f>
        <v>350</v>
      </c>
      <c r="K1435" s="17" t="n">
        <f aca="false">K1424+K1431+K1429-K1430-K1432-K1433</f>
        <v>350</v>
      </c>
    </row>
    <row r="1436" customFormat="false" ht="15" hidden="false" customHeight="false" outlineLevel="0" collapsed="false">
      <c r="A1436" s="24" t="s">
        <v>345</v>
      </c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</row>
    <row r="1437" customFormat="false" ht="15" hidden="false" customHeight="false" outlineLevel="0" collapsed="false">
      <c r="A1437" s="3" t="s">
        <v>329</v>
      </c>
      <c r="G1437" s="16" t="n">
        <f aca="false">F1448</f>
        <v>550</v>
      </c>
      <c r="H1437" s="16" t="n">
        <f aca="false">G1448</f>
        <v>550</v>
      </c>
      <c r="I1437" s="16" t="n">
        <f aca="false">H1448</f>
        <v>550</v>
      </c>
      <c r="J1437" s="16" t="n">
        <f aca="false">I1448</f>
        <v>550</v>
      </c>
      <c r="K1437" s="16" t="n">
        <f aca="false">J1448</f>
        <v>550</v>
      </c>
    </row>
    <row r="1438" customFormat="false" ht="15" hidden="false" customHeight="false" outlineLevel="0" collapsed="false">
      <c r="A1438" s="3" t="s">
        <v>330</v>
      </c>
      <c r="G1438" s="21" t="n">
        <f aca="false">IF(G1323=Assumptions!$K$63,1,0)</f>
        <v>0</v>
      </c>
      <c r="H1438" s="21" t="n">
        <f aca="false">IF(H1323=Assumptions!$K$63,1,0)</f>
        <v>0</v>
      </c>
      <c r="I1438" s="21" t="n">
        <f aca="false">IF(I1323=Assumptions!$K$63,1,0)</f>
        <v>1</v>
      </c>
      <c r="J1438" s="21" t="n">
        <f aca="false">IF(J1323=Assumptions!$K$63,1,0)</f>
        <v>0</v>
      </c>
      <c r="K1438" s="21" t="n">
        <f aca="false">IF(K1323=Assumptions!$K$63,1,0)</f>
        <v>0</v>
      </c>
    </row>
    <row r="1440" customFormat="false" ht="15" hidden="false" customHeight="false" outlineLevel="0" collapsed="false">
      <c r="A1440" s="3" t="s">
        <v>331</v>
      </c>
      <c r="G1440" s="31" t="n">
        <f aca="false">IF(Assumptions!$I$63=1,MAX(G1349,Assumptions!$G$63)+Assumptions!$F$63+$C$1350,Assumptions!$E$63)</f>
        <v>0.08875</v>
      </c>
      <c r="H1440" s="31" t="n">
        <f aca="false">IF(G1675=1,$C$1351,IF(Assumptions!$I$63=1,MAX(H1349,Assumptions!$G$63)+Assumptions!$F$63+$C$1350,Assumptions!$E$63))</f>
        <v>0.08875</v>
      </c>
      <c r="I1440" s="31" t="n">
        <f aca="false">IF(H1675=1,$C$1351,IF(Assumptions!$I$63=1,MAX(I1349,Assumptions!$G$63)+Assumptions!$F$63+$C$1350,Assumptions!$E$63))</f>
        <v>0.08875</v>
      </c>
      <c r="J1440" s="31" t="n">
        <f aca="false">IF(I1675=1,$C$1351,IF(Assumptions!$I$63=1,MAX(J1349,Assumptions!$G$63)+Assumptions!$F$63+$C$1350,Assumptions!$E$63))</f>
        <v>0.08875</v>
      </c>
      <c r="K1440" s="31" t="n">
        <f aca="false">IF(J1675=1,$C$1351,IF(Assumptions!$I$63=1,MAX(K1349,Assumptions!$G$63)+Assumptions!$F$63+$C$1350,Assumptions!$E$63))</f>
        <v>0.08875</v>
      </c>
    </row>
    <row r="1441" customFormat="false" ht="15" hidden="false" customHeight="false" outlineLevel="0" collapsed="false">
      <c r="A1441" s="3" t="s">
        <v>332</v>
      </c>
      <c r="G1441" s="16" t="n">
        <f aca="false">G1437*G1440</f>
        <v>48.8125</v>
      </c>
      <c r="H1441" s="16" t="n">
        <f aca="false">H1437*H1440</f>
        <v>48.8125</v>
      </c>
      <c r="I1441" s="16" t="n">
        <f aca="false">I1437*I1440</f>
        <v>48.8125</v>
      </c>
      <c r="J1441" s="16" t="n">
        <f aca="false">J1437*J1440</f>
        <v>48.8125</v>
      </c>
      <c r="K1441" s="16" t="n">
        <f aca="false">K1437*K1440</f>
        <v>48.8125</v>
      </c>
    </row>
    <row r="1442" customFormat="false" ht="15" hidden="false" customHeight="false" outlineLevel="0" collapsed="false">
      <c r="A1442" s="3" t="s">
        <v>333</v>
      </c>
      <c r="G1442" s="16" t="n">
        <f aca="false">G1437*Assumptions!$H$63</f>
        <v>0</v>
      </c>
      <c r="H1442" s="16" t="n">
        <f aca="false">H1437*Assumptions!$H$63</f>
        <v>0</v>
      </c>
      <c r="I1442" s="16" t="n">
        <f aca="false">I1437*Assumptions!$H$63</f>
        <v>0</v>
      </c>
      <c r="J1442" s="16" t="n">
        <f aca="false">J1437*Assumptions!$H$63</f>
        <v>0</v>
      </c>
      <c r="K1442" s="16" t="n">
        <f aca="false">K1437*Assumptions!$H$63</f>
        <v>0</v>
      </c>
    </row>
    <row r="1443" customFormat="false" ht="15" hidden="false" customHeight="false" outlineLevel="0" collapsed="false">
      <c r="A1443" s="3" t="s">
        <v>334</v>
      </c>
      <c r="G1443" s="16" t="n">
        <f aca="false">MIN(G1437,Assumptions!$L$63*Assumptions!$C$63)</f>
        <v>0</v>
      </c>
      <c r="H1443" s="16" t="n">
        <f aca="false">MIN(H1437,Assumptions!$L$63*Assumptions!$C$63)</f>
        <v>0</v>
      </c>
      <c r="I1443" s="16" t="n">
        <f aca="false">MIN(I1437,Assumptions!$L$63*Assumptions!$C$63)</f>
        <v>0</v>
      </c>
      <c r="J1443" s="16" t="n">
        <f aca="false">MIN(J1437,Assumptions!$L$63*Assumptions!$C$63)</f>
        <v>0</v>
      </c>
      <c r="K1443" s="16" t="n">
        <f aca="false">MIN(K1437,Assumptions!$L$63*Assumptions!$C$63)</f>
        <v>0</v>
      </c>
    </row>
    <row r="1444" customFormat="false" ht="15" hidden="false" customHeight="false" outlineLevel="0" collapsed="false">
      <c r="A1444" s="3" t="s">
        <v>335</v>
      </c>
      <c r="G1444" s="16" t="n">
        <f aca="false">IF(AND(Assumptions!$P$63=1,G1323&lt;Assumptions!$K$63),MIN(MAX(0,-G1539),MAX(0,Assumptions!$D$63-G1437)),0)</f>
        <v>0</v>
      </c>
      <c r="H1444" s="16" t="n">
        <f aca="false">IF(AND(Assumptions!$P$63=1,OR(H1323&lt;Assumptions!$K$63,G1675=1)),MIN(MAX(0,-H1539),MAX(0,Assumptions!$D$63-H1437)),0)</f>
        <v>0</v>
      </c>
      <c r="I1444" s="16" t="n">
        <f aca="false">IF(AND(Assumptions!$P$63=1,OR(I1323&lt;Assumptions!$K$63,H1675=1)),MIN(MAX(0,-I1539),MAX(0,Assumptions!$D$63-I1437)),0)</f>
        <v>0</v>
      </c>
      <c r="J1444" s="16" t="n">
        <f aca="false">IF(AND(Assumptions!$P$63=1,OR(J1323&lt;Assumptions!$K$63,I1675=1)),MIN(MAX(0,-J1539),MAX(0,Assumptions!$D$63-J1437)),0)</f>
        <v>0</v>
      </c>
      <c r="K1444" s="16" t="n">
        <f aca="false">IF(AND(Assumptions!$P$63=1,OR(K1323&lt;Assumptions!$K$63,J1675=1)),MIN(MAX(0,-K1539),MAX(0,Assumptions!$D$63-K1437)),0)</f>
        <v>0</v>
      </c>
    </row>
    <row r="1445" customFormat="false" ht="15" hidden="false" customHeight="false" outlineLevel="0" collapsed="false">
      <c r="A1445" s="3" t="s">
        <v>336</v>
      </c>
      <c r="G1445" s="16" t="n">
        <f aca="false">G1438*MIN(G1437-G1443+G1442,MAX(0,G1541-Assumptions!$C$12*G1357-G1367-G1380-G1393-G1406-G1419-G1432))</f>
        <v>0</v>
      </c>
      <c r="H1445" s="16" t="n">
        <f aca="false">H1438*MIN(H1437-H1443+H1442,MAX(0,H1541-Assumptions!$C$12*H1357-H1367-H1380-H1393-H1406-H1419-H1432))</f>
        <v>0</v>
      </c>
      <c r="I1445" s="16" t="n">
        <f aca="false">I1438*MIN(I1437-I1443+I1442,MAX(0,I1541-Assumptions!$C$12*I1357-I1367-I1380-I1393-I1406-I1419-I1432))</f>
        <v>0</v>
      </c>
      <c r="J1445" s="16" t="n">
        <f aca="false">J1438*MIN(J1437-J1443+J1442,MAX(0,J1541-Assumptions!$C$12*J1357-J1367-J1380-J1393-J1406-J1419-J1432))</f>
        <v>0</v>
      </c>
      <c r="K1445" s="16" t="n">
        <f aca="false">K1438*MIN(K1437-K1443+K1442,MAX(0,K1541-Assumptions!$C$12*K1357-K1367-K1380-K1393-K1406-K1419-K1432))</f>
        <v>0</v>
      </c>
    </row>
    <row r="1446" customFormat="false" ht="15" hidden="false" customHeight="false" outlineLevel="0" collapsed="false">
      <c r="A1446" s="3" t="s">
        <v>337</v>
      </c>
      <c r="G1446" s="16" t="n">
        <f aca="false">Assumptions!$N$63*MIN(G1437+G1444+G1442-G1443-G1445,MAX(0,G1545-G1368-G1381-G1394-G1407-G1420-G1433))</f>
        <v>0</v>
      </c>
      <c r="H1446" s="16" t="n">
        <f aca="false">Assumptions!$N$63*MIN(H1437+H1444+H1442-H1443-H1445,MAX(0,H1545-H1368-H1381-H1394-H1407-H1420-H1433))</f>
        <v>0</v>
      </c>
      <c r="I1446" s="16" t="n">
        <f aca="false">Assumptions!$N$63*MIN(I1437+I1444+I1442-I1443-I1445,MAX(0,I1545-I1368-I1381-I1394-I1407-I1420-I1433))</f>
        <v>0</v>
      </c>
      <c r="J1446" s="16" t="n">
        <f aca="false">Assumptions!$N$63*MIN(J1437+J1444+J1442-J1443-J1445,MAX(0,J1545-J1368-J1381-J1394-J1407-J1420-J1433))</f>
        <v>0</v>
      </c>
      <c r="K1446" s="16" t="n">
        <f aca="false">Assumptions!$N$63*MIN(K1437+K1444+K1442-K1443-K1445,MAX(0,K1545-K1368-K1381-K1394-K1407-K1420-K1433))</f>
        <v>0</v>
      </c>
    </row>
    <row r="1447" customFormat="false" ht="15" hidden="false" customHeight="false" outlineLevel="0" collapsed="false">
      <c r="A1447" s="3" t="s">
        <v>338</v>
      </c>
      <c r="G1447" s="16" t="n">
        <f aca="false">G1438*(1-G1357)*(G1437-G1443+G1442-G1445)</f>
        <v>0</v>
      </c>
      <c r="H1447" s="16" t="n">
        <f aca="false">H1438*(1-H1357)*(H1437-H1443+H1442-H1445)</f>
        <v>0</v>
      </c>
      <c r="I1447" s="16" t="n">
        <f aca="false">I1438*(1-I1357)*(I1437-I1443+I1442-I1445)</f>
        <v>550</v>
      </c>
      <c r="J1447" s="16" t="n">
        <f aca="false">J1438*(1-J1357)*(J1437-J1443+J1442-J1445)</f>
        <v>0</v>
      </c>
      <c r="K1447" s="16" t="n">
        <f aca="false">K1438*(1-K1357)*(K1437-K1443+K1442-K1445)</f>
        <v>0</v>
      </c>
    </row>
    <row r="1448" customFormat="false" ht="15" hidden="false" customHeight="false" outlineLevel="0" collapsed="false">
      <c r="A1448" s="2" t="s">
        <v>339</v>
      </c>
      <c r="F1448" s="28" t="n">
        <f aca="false">Assumptions!$C$63</f>
        <v>550</v>
      </c>
      <c r="G1448" s="17" t="n">
        <f aca="false">G1437+G1444+G1442-G1443-G1445-G1446</f>
        <v>550</v>
      </c>
      <c r="H1448" s="17" t="n">
        <f aca="false">H1437+H1444+H1442-H1443-H1445-H1446</f>
        <v>550</v>
      </c>
      <c r="I1448" s="17" t="n">
        <f aca="false">I1437+I1444+I1442-I1443-I1445-I1446</f>
        <v>550</v>
      </c>
      <c r="J1448" s="17" t="n">
        <f aca="false">J1437+J1444+J1442-J1443-J1445-J1446</f>
        <v>550</v>
      </c>
      <c r="K1448" s="17" t="n">
        <f aca="false">K1437+K1444+K1442-K1443-K1445-K1446</f>
        <v>550</v>
      </c>
    </row>
    <row r="1449" customFormat="false" ht="15" hidden="false" customHeight="false" outlineLevel="0" collapsed="false">
      <c r="A1449" s="24" t="s">
        <v>346</v>
      </c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</row>
    <row r="1450" customFormat="false" ht="15" hidden="false" customHeight="false" outlineLevel="0" collapsed="false">
      <c r="A1450" s="3" t="s">
        <v>329</v>
      </c>
      <c r="G1450" s="16" t="n">
        <f aca="false">F1461</f>
        <v>350</v>
      </c>
      <c r="H1450" s="16" t="n">
        <f aca="false">G1461</f>
        <v>350</v>
      </c>
      <c r="I1450" s="16" t="n">
        <f aca="false">H1461</f>
        <v>350</v>
      </c>
      <c r="J1450" s="16" t="n">
        <f aca="false">I1461</f>
        <v>350</v>
      </c>
      <c r="K1450" s="16" t="n">
        <f aca="false">J1461</f>
        <v>350</v>
      </c>
    </row>
    <row r="1451" customFormat="false" ht="15" hidden="false" customHeight="false" outlineLevel="0" collapsed="false">
      <c r="A1451" s="3" t="s">
        <v>330</v>
      </c>
      <c r="G1451" s="21" t="n">
        <f aca="false">IF(G1323=Assumptions!$K$64,1,0)</f>
        <v>0</v>
      </c>
      <c r="H1451" s="21" t="n">
        <f aca="false">IF(H1323=Assumptions!$K$64,1,0)</f>
        <v>0</v>
      </c>
      <c r="I1451" s="21" t="n">
        <f aca="false">IF(I1323=Assumptions!$K$64,1,0)</f>
        <v>0</v>
      </c>
      <c r="J1451" s="21" t="n">
        <f aca="false">IF(J1323=Assumptions!$K$64,1,0)</f>
        <v>1</v>
      </c>
      <c r="K1451" s="21" t="n">
        <f aca="false">IF(K1323=Assumptions!$K$64,1,0)</f>
        <v>0</v>
      </c>
    </row>
    <row r="1453" customFormat="false" ht="15" hidden="false" customHeight="false" outlineLevel="0" collapsed="false">
      <c r="A1453" s="3" t="s">
        <v>331</v>
      </c>
      <c r="G1453" s="31" t="n">
        <f aca="false">IF(Assumptions!$I$64=1,MAX(G1349,Assumptions!$G$64)+Assumptions!$F$64+$C$1350,Assumptions!$E$64)</f>
        <v>0.0455</v>
      </c>
      <c r="H1453" s="31" t="n">
        <f aca="false">IF(G1676=1,$C$1351,IF(Assumptions!$I$64=1,MAX(H1349,Assumptions!$G$64)+Assumptions!$F$64+$C$1350,Assumptions!$E$64))</f>
        <v>0.0455</v>
      </c>
      <c r="I1453" s="31" t="n">
        <f aca="false">IF(H1676=1,$C$1351,IF(Assumptions!$I$64=1,MAX(I1349,Assumptions!$G$64)+Assumptions!$F$64+$C$1350,Assumptions!$E$64))</f>
        <v>0.0455</v>
      </c>
      <c r="J1453" s="31" t="n">
        <f aca="false">IF(I1676=1,$C$1351,IF(Assumptions!$I$64=1,MAX(J1349,Assumptions!$G$64)+Assumptions!$F$64+$C$1350,Assumptions!$E$64))</f>
        <v>0.0455</v>
      </c>
      <c r="K1453" s="31" t="n">
        <f aca="false">IF(J1676=1,$C$1351,IF(Assumptions!$I$64=1,MAX(K1349,Assumptions!$G$64)+Assumptions!$F$64+$C$1350,Assumptions!$E$64))</f>
        <v>0.0455</v>
      </c>
    </row>
    <row r="1454" customFormat="false" ht="15" hidden="false" customHeight="false" outlineLevel="0" collapsed="false">
      <c r="A1454" s="3" t="s">
        <v>332</v>
      </c>
      <c r="G1454" s="16" t="n">
        <f aca="false">G1450*G1453</f>
        <v>15.925</v>
      </c>
      <c r="H1454" s="16" t="n">
        <f aca="false">H1450*H1453</f>
        <v>15.925</v>
      </c>
      <c r="I1454" s="16" t="n">
        <f aca="false">I1450*I1453</f>
        <v>15.925</v>
      </c>
      <c r="J1454" s="16" t="n">
        <f aca="false">J1450*J1453</f>
        <v>15.925</v>
      </c>
      <c r="K1454" s="16" t="n">
        <f aca="false">K1450*K1453</f>
        <v>15.925</v>
      </c>
    </row>
    <row r="1455" customFormat="false" ht="15" hidden="false" customHeight="false" outlineLevel="0" collapsed="false">
      <c r="A1455" s="3" t="s">
        <v>333</v>
      </c>
      <c r="G1455" s="16" t="n">
        <f aca="false">G1450*Assumptions!$H$64</f>
        <v>0</v>
      </c>
      <c r="H1455" s="16" t="n">
        <f aca="false">H1450*Assumptions!$H$64</f>
        <v>0</v>
      </c>
      <c r="I1455" s="16" t="n">
        <f aca="false">I1450*Assumptions!$H$64</f>
        <v>0</v>
      </c>
      <c r="J1455" s="16" t="n">
        <f aca="false">J1450*Assumptions!$H$64</f>
        <v>0</v>
      </c>
      <c r="K1455" s="16" t="n">
        <f aca="false">K1450*Assumptions!$H$64</f>
        <v>0</v>
      </c>
    </row>
    <row r="1456" customFormat="false" ht="15" hidden="false" customHeight="false" outlineLevel="0" collapsed="false">
      <c r="A1456" s="3" t="s">
        <v>334</v>
      </c>
      <c r="G1456" s="16" t="n">
        <f aca="false">MIN(G1450,Assumptions!$L$64*Assumptions!$C$64)</f>
        <v>0</v>
      </c>
      <c r="H1456" s="16" t="n">
        <f aca="false">MIN(H1450,Assumptions!$L$64*Assumptions!$C$64)</f>
        <v>0</v>
      </c>
      <c r="I1456" s="16" t="n">
        <f aca="false">MIN(I1450,Assumptions!$L$64*Assumptions!$C$64)</f>
        <v>0</v>
      </c>
      <c r="J1456" s="16" t="n">
        <f aca="false">MIN(J1450,Assumptions!$L$64*Assumptions!$C$64)</f>
        <v>0</v>
      </c>
      <c r="K1456" s="16" t="n">
        <f aca="false">MIN(K1450,Assumptions!$L$64*Assumptions!$C$64)</f>
        <v>0</v>
      </c>
    </row>
    <row r="1457" customFormat="false" ht="15" hidden="false" customHeight="false" outlineLevel="0" collapsed="false">
      <c r="A1457" s="3" t="s">
        <v>335</v>
      </c>
      <c r="G1457" s="16" t="n">
        <f aca="false">IF(AND(Assumptions!$P$64=1,G1323&lt;Assumptions!$K$64),MIN(MAX(0,-G1539),MAX(0,Assumptions!$D$64-G1450)),0)</f>
        <v>0</v>
      </c>
      <c r="H1457" s="16" t="n">
        <f aca="false">IF(AND(Assumptions!$P$64=1,OR(H1323&lt;Assumptions!$K$64,G1676=1)),MIN(MAX(0,-H1539),MAX(0,Assumptions!$D$64-H1450)),0)</f>
        <v>0</v>
      </c>
      <c r="I1457" s="16" t="n">
        <f aca="false">IF(AND(Assumptions!$P$64=1,OR(I1323&lt;Assumptions!$K$64,H1676=1)),MIN(MAX(0,-I1539),MAX(0,Assumptions!$D$64-I1450)),0)</f>
        <v>0</v>
      </c>
      <c r="J1457" s="16" t="n">
        <f aca="false">IF(AND(Assumptions!$P$64=1,OR(J1323&lt;Assumptions!$K$64,I1676=1)),MIN(MAX(0,-J1539),MAX(0,Assumptions!$D$64-J1450)),0)</f>
        <v>0</v>
      </c>
      <c r="K1457" s="16" t="n">
        <f aca="false">IF(AND(Assumptions!$P$64=1,OR(K1323&lt;Assumptions!$K$64,J1676=1)),MIN(MAX(0,-K1539),MAX(0,Assumptions!$D$64-K1450)),0)</f>
        <v>0</v>
      </c>
    </row>
    <row r="1458" customFormat="false" ht="15" hidden="false" customHeight="false" outlineLevel="0" collapsed="false">
      <c r="A1458" s="3" t="s">
        <v>336</v>
      </c>
      <c r="G1458" s="16" t="n">
        <f aca="false">G1451*MIN(G1450-G1456+G1455,MAX(0,G1541-Assumptions!$C$12*G1357-G1367-G1380-G1393-G1406-G1419-G1432-G1445))</f>
        <v>0</v>
      </c>
      <c r="H1458" s="16" t="n">
        <f aca="false">H1451*MIN(H1450-H1456+H1455,MAX(0,H1541-Assumptions!$C$12*H1357-H1367-H1380-H1393-H1406-H1419-H1432-H1445))</f>
        <v>0</v>
      </c>
      <c r="I1458" s="16" t="n">
        <f aca="false">I1451*MIN(I1450-I1456+I1455,MAX(0,I1541-Assumptions!$C$12*I1357-I1367-I1380-I1393-I1406-I1419-I1432-I1445))</f>
        <v>0</v>
      </c>
      <c r="J1458" s="16" t="n">
        <f aca="false">J1451*MIN(J1450-J1456+J1455,MAX(0,J1541-Assumptions!$C$12*J1357-J1367-J1380-J1393-J1406-J1419-J1432-J1445))</f>
        <v>0</v>
      </c>
      <c r="K1458" s="16" t="n">
        <f aca="false">K1451*MIN(K1450-K1456+K1455,MAX(0,K1541-Assumptions!$C$12*K1357-K1367-K1380-K1393-K1406-K1419-K1432-K1445))</f>
        <v>0</v>
      </c>
    </row>
    <row r="1459" customFormat="false" ht="15" hidden="false" customHeight="false" outlineLevel="0" collapsed="false">
      <c r="A1459" s="3" t="s">
        <v>337</v>
      </c>
      <c r="G1459" s="16" t="n">
        <f aca="false">Assumptions!$N$64*MIN(G1450+G1457+G1455-G1456-G1458,MAX(0,G1545-G1368-G1381-G1394-G1407-G1420-G1433-G1446))</f>
        <v>0</v>
      </c>
      <c r="H1459" s="16" t="n">
        <f aca="false">Assumptions!$N$64*MIN(H1450+H1457+H1455-H1456-H1458,MAX(0,H1545-H1368-H1381-H1394-H1407-H1420-H1433-H1446))</f>
        <v>0</v>
      </c>
      <c r="I1459" s="16" t="n">
        <f aca="false">Assumptions!$N$64*MIN(I1450+I1457+I1455-I1456-I1458,MAX(0,I1545-I1368-I1381-I1394-I1407-I1420-I1433-I1446))</f>
        <v>0</v>
      </c>
      <c r="J1459" s="16" t="n">
        <f aca="false">Assumptions!$N$64*MIN(J1450+J1457+J1455-J1456-J1458,MAX(0,J1545-J1368-J1381-J1394-J1407-J1420-J1433-J1446))</f>
        <v>0</v>
      </c>
      <c r="K1459" s="16" t="n">
        <f aca="false">Assumptions!$N$64*MIN(K1450+K1457+K1455-K1456-K1458,MAX(0,K1545-K1368-K1381-K1394-K1407-K1420-K1433-K1446))</f>
        <v>0</v>
      </c>
    </row>
    <row r="1460" customFormat="false" ht="15" hidden="false" customHeight="false" outlineLevel="0" collapsed="false">
      <c r="A1460" s="3" t="s">
        <v>338</v>
      </c>
      <c r="G1460" s="16" t="n">
        <f aca="false">G1451*(1-G1357)*(G1450-G1456+G1455-G1458)</f>
        <v>0</v>
      </c>
      <c r="H1460" s="16" t="n">
        <f aca="false">H1451*(1-H1357)*(H1450-H1456+H1455-H1458)</f>
        <v>0</v>
      </c>
      <c r="I1460" s="16" t="n">
        <f aca="false">I1451*(1-I1357)*(I1450-I1456+I1455-I1458)</f>
        <v>0</v>
      </c>
      <c r="J1460" s="16" t="n">
        <f aca="false">J1451*(1-J1357)*(J1450-J1456+J1455-J1458)</f>
        <v>350</v>
      </c>
      <c r="K1460" s="16" t="n">
        <f aca="false">K1451*(1-K1357)*(K1450-K1456+K1455-K1458)</f>
        <v>0</v>
      </c>
    </row>
    <row r="1461" customFormat="false" ht="15" hidden="false" customHeight="false" outlineLevel="0" collapsed="false">
      <c r="A1461" s="2" t="s">
        <v>339</v>
      </c>
      <c r="F1461" s="28" t="n">
        <f aca="false">Assumptions!$C$64</f>
        <v>350</v>
      </c>
      <c r="G1461" s="17" t="n">
        <f aca="false">G1450+G1457+G1455-G1456-G1458-G1459</f>
        <v>350</v>
      </c>
      <c r="H1461" s="17" t="n">
        <f aca="false">H1450+H1457+H1455-H1456-H1458-H1459</f>
        <v>350</v>
      </c>
      <c r="I1461" s="17" t="n">
        <f aca="false">I1450+I1457+I1455-I1456-I1458-I1459</f>
        <v>350</v>
      </c>
      <c r="J1461" s="17" t="n">
        <f aca="false">J1450+J1457+J1455-J1456-J1458-J1459</f>
        <v>350</v>
      </c>
      <c r="K1461" s="17" t="n">
        <f aca="false">K1450+K1457+K1455-K1456-K1458-K1459</f>
        <v>350</v>
      </c>
    </row>
    <row r="1462" customFormat="false" ht="15" hidden="false" customHeight="false" outlineLevel="0" collapsed="false">
      <c r="A1462" s="24" t="s">
        <v>347</v>
      </c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</row>
    <row r="1463" customFormat="false" ht="15" hidden="false" customHeight="false" outlineLevel="0" collapsed="false">
      <c r="A1463" s="3" t="s">
        <v>329</v>
      </c>
      <c r="G1463" s="16" t="n">
        <f aca="false">F1474</f>
        <v>300</v>
      </c>
      <c r="H1463" s="16" t="n">
        <f aca="false">G1474</f>
        <v>300</v>
      </c>
      <c r="I1463" s="16" t="n">
        <f aca="false">H1474</f>
        <v>300</v>
      </c>
      <c r="J1463" s="16" t="n">
        <f aca="false">I1474</f>
        <v>300</v>
      </c>
      <c r="K1463" s="16" t="n">
        <f aca="false">J1474</f>
        <v>300</v>
      </c>
    </row>
    <row r="1464" customFormat="false" ht="15" hidden="false" customHeight="false" outlineLevel="0" collapsed="false">
      <c r="A1464" s="3" t="s">
        <v>330</v>
      </c>
      <c r="G1464" s="21" t="n">
        <f aca="false">IF(G1323=Assumptions!$K$65,1,0)</f>
        <v>0</v>
      </c>
      <c r="H1464" s="21" t="n">
        <f aca="false">IF(H1323=Assumptions!$K$65,1,0)</f>
        <v>0</v>
      </c>
      <c r="I1464" s="21" t="n">
        <f aca="false">IF(I1323=Assumptions!$K$65,1,0)</f>
        <v>0</v>
      </c>
      <c r="J1464" s="21" t="n">
        <f aca="false">IF(J1323=Assumptions!$K$65,1,0)</f>
        <v>0</v>
      </c>
      <c r="K1464" s="21" t="n">
        <f aca="false">IF(K1323=Assumptions!$K$65,1,0)</f>
        <v>1</v>
      </c>
    </row>
    <row r="1466" customFormat="false" ht="15" hidden="false" customHeight="false" outlineLevel="0" collapsed="false">
      <c r="A1466" s="3" t="s">
        <v>331</v>
      </c>
      <c r="G1466" s="31" t="n">
        <f aca="false">IF(Assumptions!$I$65=1,MAX(G1349,Assumptions!$G$65)+Assumptions!$F$65+$C$1350,Assumptions!$E$65)</f>
        <v>0.06125</v>
      </c>
      <c r="H1466" s="31" t="n">
        <f aca="false">IF(G1677=1,$C$1351,IF(Assumptions!$I$65=1,MAX(H1349,Assumptions!$G$65)+Assumptions!$F$65+$C$1350,Assumptions!$E$65))</f>
        <v>0.06125</v>
      </c>
      <c r="I1466" s="31" t="n">
        <f aca="false">IF(H1677=1,$C$1351,IF(Assumptions!$I$65=1,MAX(I1349,Assumptions!$G$65)+Assumptions!$F$65+$C$1350,Assumptions!$E$65))</f>
        <v>0.06125</v>
      </c>
      <c r="J1466" s="31" t="n">
        <f aca="false">IF(I1677=1,$C$1351,IF(Assumptions!$I$65=1,MAX(J1349,Assumptions!$G$65)+Assumptions!$F$65+$C$1350,Assumptions!$E$65))</f>
        <v>0.06125</v>
      </c>
      <c r="K1466" s="31" t="n">
        <f aca="false">IF(J1677=1,$C$1351,IF(Assumptions!$I$65=1,MAX(K1349,Assumptions!$G$65)+Assumptions!$F$65+$C$1350,Assumptions!$E$65))</f>
        <v>0.06125</v>
      </c>
    </row>
    <row r="1467" customFormat="false" ht="15" hidden="false" customHeight="false" outlineLevel="0" collapsed="false">
      <c r="A1467" s="3" t="s">
        <v>332</v>
      </c>
      <c r="G1467" s="16" t="n">
        <f aca="false">G1463*G1466</f>
        <v>18.375</v>
      </c>
      <c r="H1467" s="16" t="n">
        <f aca="false">H1463*H1466</f>
        <v>18.375</v>
      </c>
      <c r="I1467" s="16" t="n">
        <f aca="false">I1463*I1466</f>
        <v>18.375</v>
      </c>
      <c r="J1467" s="16" t="n">
        <f aca="false">J1463*J1466</f>
        <v>18.375</v>
      </c>
      <c r="K1467" s="16" t="n">
        <f aca="false">K1463*K1466</f>
        <v>18.375</v>
      </c>
    </row>
    <row r="1468" customFormat="false" ht="15" hidden="false" customHeight="false" outlineLevel="0" collapsed="false">
      <c r="A1468" s="3" t="s">
        <v>333</v>
      </c>
      <c r="G1468" s="16" t="n">
        <f aca="false">G1463*Assumptions!$H$65</f>
        <v>0</v>
      </c>
      <c r="H1468" s="16" t="n">
        <f aca="false">H1463*Assumptions!$H$65</f>
        <v>0</v>
      </c>
      <c r="I1468" s="16" t="n">
        <f aca="false">I1463*Assumptions!$H$65</f>
        <v>0</v>
      </c>
      <c r="J1468" s="16" t="n">
        <f aca="false">J1463*Assumptions!$H$65</f>
        <v>0</v>
      </c>
      <c r="K1468" s="16" t="n">
        <f aca="false">K1463*Assumptions!$H$65</f>
        <v>0</v>
      </c>
    </row>
    <row r="1469" customFormat="false" ht="15" hidden="false" customHeight="false" outlineLevel="0" collapsed="false">
      <c r="A1469" s="3" t="s">
        <v>334</v>
      </c>
      <c r="G1469" s="16" t="n">
        <f aca="false">MIN(G1463,Assumptions!$L$65*Assumptions!$C$65)</f>
        <v>0</v>
      </c>
      <c r="H1469" s="16" t="n">
        <f aca="false">MIN(H1463,Assumptions!$L$65*Assumptions!$C$65)</f>
        <v>0</v>
      </c>
      <c r="I1469" s="16" t="n">
        <f aca="false">MIN(I1463,Assumptions!$L$65*Assumptions!$C$65)</f>
        <v>0</v>
      </c>
      <c r="J1469" s="16" t="n">
        <f aca="false">MIN(J1463,Assumptions!$L$65*Assumptions!$C$65)</f>
        <v>0</v>
      </c>
      <c r="K1469" s="16" t="n">
        <f aca="false">MIN(K1463,Assumptions!$L$65*Assumptions!$C$65)</f>
        <v>0</v>
      </c>
    </row>
    <row r="1470" customFormat="false" ht="15" hidden="false" customHeight="false" outlineLevel="0" collapsed="false">
      <c r="A1470" s="3" t="s">
        <v>335</v>
      </c>
      <c r="G1470" s="16" t="n">
        <f aca="false">IF(AND(Assumptions!$P$65=1,G1323&lt;Assumptions!$K$65),MIN(MAX(0,-G1539),MAX(0,Assumptions!$D$65-G1463)),0)</f>
        <v>0</v>
      </c>
      <c r="H1470" s="16" t="n">
        <f aca="false">IF(AND(Assumptions!$P$65=1,OR(H1323&lt;Assumptions!$K$65,G1677=1)),MIN(MAX(0,-H1539),MAX(0,Assumptions!$D$65-H1463)),0)</f>
        <v>0</v>
      </c>
      <c r="I1470" s="16" t="n">
        <f aca="false">IF(AND(Assumptions!$P$65=1,OR(I1323&lt;Assumptions!$K$65,H1677=1)),MIN(MAX(0,-I1539),MAX(0,Assumptions!$D$65-I1463)),0)</f>
        <v>0</v>
      </c>
      <c r="J1470" s="16" t="n">
        <f aca="false">IF(AND(Assumptions!$P$65=1,OR(J1323&lt;Assumptions!$K$65,I1677=1)),MIN(MAX(0,-J1539),MAX(0,Assumptions!$D$65-J1463)),0)</f>
        <v>0</v>
      </c>
      <c r="K1470" s="16" t="n">
        <f aca="false">IF(AND(Assumptions!$P$65=1,OR(K1323&lt;Assumptions!$K$65,J1677=1)),MIN(MAX(0,-K1539),MAX(0,Assumptions!$D$65-K1463)),0)</f>
        <v>0</v>
      </c>
    </row>
    <row r="1471" customFormat="false" ht="15" hidden="false" customHeight="false" outlineLevel="0" collapsed="false">
      <c r="A1471" s="3" t="s">
        <v>336</v>
      </c>
      <c r="G1471" s="16" t="n">
        <f aca="false">G1464*MIN(G1463-G1469+G1468,MAX(0,G1541-Assumptions!$C$12*G1357-G1367-G1380-G1393-G1406-G1419-G1432-G1445-G1458))</f>
        <v>0</v>
      </c>
      <c r="H1471" s="16" t="n">
        <f aca="false">H1464*MIN(H1463-H1469+H1468,MAX(0,H1541-Assumptions!$C$12*H1357-H1367-H1380-H1393-H1406-H1419-H1432-H1445-H1458))</f>
        <v>0</v>
      </c>
      <c r="I1471" s="16" t="n">
        <f aca="false">I1464*MIN(I1463-I1469+I1468,MAX(0,I1541-Assumptions!$C$12*I1357-I1367-I1380-I1393-I1406-I1419-I1432-I1445-I1458))</f>
        <v>0</v>
      </c>
      <c r="J1471" s="16" t="n">
        <f aca="false">J1464*MIN(J1463-J1469+J1468,MAX(0,J1541-Assumptions!$C$12*J1357-J1367-J1380-J1393-J1406-J1419-J1432-J1445-J1458))</f>
        <v>0</v>
      </c>
      <c r="K1471" s="16" t="n">
        <f aca="false">K1464*MIN(K1463-K1469+K1468,MAX(0,K1541-Assumptions!$C$12*K1357-K1367-K1380-K1393-K1406-K1419-K1432-K1445-K1458))</f>
        <v>0</v>
      </c>
    </row>
    <row r="1472" customFormat="false" ht="15" hidden="false" customHeight="false" outlineLevel="0" collapsed="false">
      <c r="A1472" s="3" t="s">
        <v>337</v>
      </c>
      <c r="G1472" s="16" t="n">
        <f aca="false">Assumptions!$N$65*MIN(G1463+G1470+G1468-G1469-G1471,MAX(0,G1545-G1368-G1381-G1394-G1407-G1420-G1433-G1446-G1459))</f>
        <v>0</v>
      </c>
      <c r="H1472" s="16" t="n">
        <f aca="false">Assumptions!$N$65*MIN(H1463+H1470+H1468-H1469-H1471,MAX(0,H1545-H1368-H1381-H1394-H1407-H1420-H1433-H1446-H1459))</f>
        <v>0</v>
      </c>
      <c r="I1472" s="16" t="n">
        <f aca="false">Assumptions!$N$65*MIN(I1463+I1470+I1468-I1469-I1471,MAX(0,I1545-I1368-I1381-I1394-I1407-I1420-I1433-I1446-I1459))</f>
        <v>0</v>
      </c>
      <c r="J1472" s="16" t="n">
        <f aca="false">Assumptions!$N$65*MIN(J1463+J1470+J1468-J1469-J1471,MAX(0,J1545-J1368-J1381-J1394-J1407-J1420-J1433-J1446-J1459))</f>
        <v>0</v>
      </c>
      <c r="K1472" s="16" t="n">
        <f aca="false">Assumptions!$N$65*MIN(K1463+K1470+K1468-K1469-K1471,MAX(0,K1545-K1368-K1381-K1394-K1407-K1420-K1433-K1446-K1459))</f>
        <v>0</v>
      </c>
    </row>
    <row r="1473" customFormat="false" ht="15" hidden="false" customHeight="false" outlineLevel="0" collapsed="false">
      <c r="A1473" s="3" t="s">
        <v>338</v>
      </c>
      <c r="G1473" s="16" t="n">
        <f aca="false">G1464*(1-G1357)*(G1463-G1469+G1468-G1471)</f>
        <v>0</v>
      </c>
      <c r="H1473" s="16" t="n">
        <f aca="false">H1464*(1-H1357)*(H1463-H1469+H1468-H1471)</f>
        <v>0</v>
      </c>
      <c r="I1473" s="16" t="n">
        <f aca="false">I1464*(1-I1357)*(I1463-I1469+I1468-I1471)</f>
        <v>0</v>
      </c>
      <c r="J1473" s="16" t="n">
        <f aca="false">J1464*(1-J1357)*(J1463-J1469+J1468-J1471)</f>
        <v>0</v>
      </c>
      <c r="K1473" s="16" t="n">
        <f aca="false">K1464*(1-K1357)*(K1463-K1469+K1468-K1471)</f>
        <v>300</v>
      </c>
    </row>
    <row r="1474" customFormat="false" ht="15" hidden="false" customHeight="false" outlineLevel="0" collapsed="false">
      <c r="A1474" s="2" t="s">
        <v>339</v>
      </c>
      <c r="F1474" s="28" t="n">
        <f aca="false">Assumptions!$C$65</f>
        <v>300</v>
      </c>
      <c r="G1474" s="17" t="n">
        <f aca="false">G1463+G1470+G1468-G1469-G1471-G1472</f>
        <v>300</v>
      </c>
      <c r="H1474" s="17" t="n">
        <f aca="false">H1463+H1470+H1468-H1469-H1471-H1472</f>
        <v>300</v>
      </c>
      <c r="I1474" s="17" t="n">
        <f aca="false">I1463+I1470+I1468-I1469-I1471-I1472</f>
        <v>300</v>
      </c>
      <c r="J1474" s="17" t="n">
        <f aca="false">J1463+J1470+J1468-J1469-J1471-J1472</f>
        <v>300</v>
      </c>
      <c r="K1474" s="17" t="n">
        <f aca="false">K1463+K1470+K1468-K1469-K1471-K1472</f>
        <v>300</v>
      </c>
    </row>
    <row r="1475" customFormat="false" ht="15" hidden="false" customHeight="false" outlineLevel="0" collapsed="false">
      <c r="A1475" s="24" t="s">
        <v>348</v>
      </c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</row>
    <row r="1476" customFormat="false" ht="15" hidden="false" customHeight="false" outlineLevel="0" collapsed="false">
      <c r="A1476" s="3" t="s">
        <v>329</v>
      </c>
      <c r="G1476" s="16" t="n">
        <f aca="false">F1487</f>
        <v>78.61</v>
      </c>
      <c r="H1476" s="16" t="n">
        <f aca="false">G1487</f>
        <v>78.61</v>
      </c>
      <c r="I1476" s="16" t="n">
        <f aca="false">H1487</f>
        <v>78.61</v>
      </c>
      <c r="J1476" s="16" t="n">
        <f aca="false">I1487</f>
        <v>78.61</v>
      </c>
      <c r="K1476" s="16" t="n">
        <f aca="false">J1487</f>
        <v>78.61</v>
      </c>
    </row>
    <row r="1477" customFormat="false" ht="15" hidden="false" customHeight="false" outlineLevel="0" collapsed="false">
      <c r="A1477" s="3" t="s">
        <v>330</v>
      </c>
      <c r="G1477" s="21" t="n">
        <f aca="false">IF(G1323=Assumptions!$K$66,1,0)</f>
        <v>0</v>
      </c>
      <c r="H1477" s="21" t="n">
        <f aca="false">IF(H1323=Assumptions!$K$66,1,0)</f>
        <v>0</v>
      </c>
      <c r="I1477" s="21" t="n">
        <f aca="false">IF(I1323=Assumptions!$K$66,1,0)</f>
        <v>0</v>
      </c>
      <c r="J1477" s="21" t="n">
        <f aca="false">IF(J1323=Assumptions!$K$66,1,0)</f>
        <v>0</v>
      </c>
      <c r="K1477" s="21" t="n">
        <f aca="false">IF(K1323=Assumptions!$K$66,1,0)</f>
        <v>0</v>
      </c>
    </row>
    <row r="1479" customFormat="false" ht="15" hidden="false" customHeight="false" outlineLevel="0" collapsed="false">
      <c r="A1479" s="3" t="s">
        <v>331</v>
      </c>
      <c r="G1479" s="31" t="n">
        <f aca="false">IF(Assumptions!$I$66=1,MAX(G1349,Assumptions!$G$66)+Assumptions!$F$66+$C$1350,Assumptions!$E$66)</f>
        <v>0.0841</v>
      </c>
      <c r="H1479" s="31" t="n">
        <f aca="false">IF(G1678=1,$C$1351,IF(Assumptions!$I$66=1,MAX(H1349,Assumptions!$G$66)+Assumptions!$F$66+$C$1350,Assumptions!$E$66))</f>
        <v>0.0826</v>
      </c>
      <c r="I1479" s="31" t="n">
        <f aca="false">IF(H1678=1,$C$1351,IF(Assumptions!$I$66=1,MAX(I1349,Assumptions!$G$66)+Assumptions!$F$66+$C$1350,Assumptions!$E$66))</f>
        <v>0.0801</v>
      </c>
      <c r="J1479" s="31" t="n">
        <f aca="false">IF(I1678=1,$C$1351,IF(Assumptions!$I$66=1,MAX(J1349,Assumptions!$G$66)+Assumptions!$F$66+$C$1350,Assumptions!$E$66))</f>
        <v>0.0801</v>
      </c>
      <c r="K1479" s="31" t="n">
        <f aca="false">IF(J1678=1,$C$1351,IF(Assumptions!$I$66=1,MAX(K1349,Assumptions!$G$66)+Assumptions!$F$66+$C$1350,Assumptions!$E$66))</f>
        <v>0.0801</v>
      </c>
    </row>
    <row r="1480" customFormat="false" ht="15" hidden="false" customHeight="false" outlineLevel="0" collapsed="false">
      <c r="A1480" s="3" t="s">
        <v>332</v>
      </c>
      <c r="G1480" s="16" t="n">
        <f aca="false">G1476*G1479</f>
        <v>6.611101</v>
      </c>
      <c r="H1480" s="16" t="n">
        <f aca="false">H1476*H1479</f>
        <v>6.493186</v>
      </c>
      <c r="I1480" s="16" t="n">
        <f aca="false">I1476*I1479</f>
        <v>6.296661</v>
      </c>
      <c r="J1480" s="16" t="n">
        <f aca="false">J1476*J1479</f>
        <v>6.296661</v>
      </c>
      <c r="K1480" s="16" t="n">
        <f aca="false">K1476*K1479</f>
        <v>6.296661</v>
      </c>
    </row>
    <row r="1481" customFormat="false" ht="15" hidden="false" customHeight="false" outlineLevel="0" collapsed="false">
      <c r="A1481" s="3" t="s">
        <v>333</v>
      </c>
      <c r="G1481" s="16" t="n">
        <f aca="false">G1476*Assumptions!$H$66</f>
        <v>0</v>
      </c>
      <c r="H1481" s="16" t="n">
        <f aca="false">H1476*Assumptions!$H$66</f>
        <v>0</v>
      </c>
      <c r="I1481" s="16" t="n">
        <f aca="false">I1476*Assumptions!$H$66</f>
        <v>0</v>
      </c>
      <c r="J1481" s="16" t="n">
        <f aca="false">J1476*Assumptions!$H$66</f>
        <v>0</v>
      </c>
      <c r="K1481" s="16" t="n">
        <f aca="false">K1476*Assumptions!$H$66</f>
        <v>0</v>
      </c>
    </row>
    <row r="1482" customFormat="false" ht="15" hidden="false" customHeight="false" outlineLevel="0" collapsed="false">
      <c r="A1482" s="3" t="s">
        <v>334</v>
      </c>
      <c r="G1482" s="16" t="n">
        <f aca="false">MIN(G1476,Assumptions!$L$66*Assumptions!$C$66)</f>
        <v>0</v>
      </c>
      <c r="H1482" s="16" t="n">
        <f aca="false">MIN(H1476,Assumptions!$L$66*Assumptions!$C$66)</f>
        <v>0</v>
      </c>
      <c r="I1482" s="16" t="n">
        <f aca="false">MIN(I1476,Assumptions!$L$66*Assumptions!$C$66)</f>
        <v>0</v>
      </c>
      <c r="J1482" s="16" t="n">
        <f aca="false">MIN(J1476,Assumptions!$L$66*Assumptions!$C$66)</f>
        <v>0</v>
      </c>
      <c r="K1482" s="16" t="n">
        <f aca="false">MIN(K1476,Assumptions!$L$66*Assumptions!$C$66)</f>
        <v>0</v>
      </c>
    </row>
    <row r="1483" customFormat="false" ht="15" hidden="false" customHeight="false" outlineLevel="0" collapsed="false">
      <c r="A1483" s="3" t="s">
        <v>335</v>
      </c>
      <c r="G1483" s="16" t="n">
        <f aca="false">IF(AND(Assumptions!$P$66=1,G1323&lt;Assumptions!$K$66),MIN(MAX(0,-G1539),MAX(0,Assumptions!$D$66-G1476)),0)</f>
        <v>0</v>
      </c>
      <c r="H1483" s="16" t="n">
        <f aca="false">IF(AND(Assumptions!$P$66=1,OR(H1323&lt;Assumptions!$K$66,G1678=1)),MIN(MAX(0,-H1539),MAX(0,Assumptions!$D$66-H1476)),0)</f>
        <v>0</v>
      </c>
      <c r="I1483" s="16" t="n">
        <f aca="false">IF(AND(Assumptions!$P$66=1,OR(I1323&lt;Assumptions!$K$66,H1678=1)),MIN(MAX(0,-I1539),MAX(0,Assumptions!$D$66-I1476)),0)</f>
        <v>0</v>
      </c>
      <c r="J1483" s="16" t="n">
        <f aca="false">IF(AND(Assumptions!$P$66=1,OR(J1323&lt;Assumptions!$K$66,I1678=1)),MIN(MAX(0,-J1539),MAX(0,Assumptions!$D$66-J1476)),0)</f>
        <v>0</v>
      </c>
      <c r="K1483" s="16" t="n">
        <f aca="false">IF(AND(Assumptions!$P$66=1,OR(K1323&lt;Assumptions!$K$66,J1678=1)),MIN(MAX(0,-K1539),MAX(0,Assumptions!$D$66-K1476)),0)</f>
        <v>0</v>
      </c>
    </row>
    <row r="1484" customFormat="false" ht="15" hidden="false" customHeight="false" outlineLevel="0" collapsed="false">
      <c r="A1484" s="3" t="s">
        <v>336</v>
      </c>
      <c r="G1484" s="16" t="n">
        <f aca="false">G1477*MIN(G1476-G1482+G1481,MAX(0,G1541-Assumptions!$C$12*G1357-G1367-G1380-G1393-G1406-G1419-G1432-G1445-G1458-G1471))</f>
        <v>0</v>
      </c>
      <c r="H1484" s="16" t="n">
        <f aca="false">H1477*MIN(H1476-H1482+H1481,MAX(0,H1541-Assumptions!$C$12*H1357-H1367-H1380-H1393-H1406-H1419-H1432-H1445-H1458-H1471))</f>
        <v>0</v>
      </c>
      <c r="I1484" s="16" t="n">
        <f aca="false">I1477*MIN(I1476-I1482+I1481,MAX(0,I1541-Assumptions!$C$12*I1357-I1367-I1380-I1393-I1406-I1419-I1432-I1445-I1458-I1471))</f>
        <v>0</v>
      </c>
      <c r="J1484" s="16" t="n">
        <f aca="false">J1477*MIN(J1476-J1482+J1481,MAX(0,J1541-Assumptions!$C$12*J1357-J1367-J1380-J1393-J1406-J1419-J1432-J1445-J1458-J1471))</f>
        <v>0</v>
      </c>
      <c r="K1484" s="16" t="n">
        <f aca="false">K1477*MIN(K1476-K1482+K1481,MAX(0,K1541-Assumptions!$C$12*K1357-K1367-K1380-K1393-K1406-K1419-K1432-K1445-K1458-K1471))</f>
        <v>0</v>
      </c>
    </row>
    <row r="1485" customFormat="false" ht="15" hidden="false" customHeight="false" outlineLevel="0" collapsed="false">
      <c r="A1485" s="3" t="s">
        <v>337</v>
      </c>
      <c r="G1485" s="16" t="n">
        <f aca="false">Assumptions!$N$66*MIN(G1476+G1483+G1481-G1482-G1484,MAX(0,G1545-G1368-G1381-G1394-G1407-G1420-G1433-G1446-G1459-G1472))</f>
        <v>0</v>
      </c>
      <c r="H1485" s="16" t="n">
        <f aca="false">Assumptions!$N$66*MIN(H1476+H1483+H1481-H1482-H1484,MAX(0,H1545-H1368-H1381-H1394-H1407-H1420-H1433-H1446-H1459-H1472))</f>
        <v>0</v>
      </c>
      <c r="I1485" s="16" t="n">
        <f aca="false">Assumptions!$N$66*MIN(I1476+I1483+I1481-I1482-I1484,MAX(0,I1545-I1368-I1381-I1394-I1407-I1420-I1433-I1446-I1459-I1472))</f>
        <v>0</v>
      </c>
      <c r="J1485" s="16" t="n">
        <f aca="false">Assumptions!$N$66*MIN(J1476+J1483+J1481-J1482-J1484,MAX(0,J1545-J1368-J1381-J1394-J1407-J1420-J1433-J1446-J1459-J1472))</f>
        <v>0</v>
      </c>
      <c r="K1485" s="16" t="n">
        <f aca="false">Assumptions!$N$66*MIN(K1476+K1483+K1481-K1482-K1484,MAX(0,K1545-K1368-K1381-K1394-K1407-K1420-K1433-K1446-K1459-K1472))</f>
        <v>0</v>
      </c>
    </row>
    <row r="1486" customFormat="false" ht="15" hidden="false" customHeight="false" outlineLevel="0" collapsed="false">
      <c r="A1486" s="3" t="s">
        <v>338</v>
      </c>
      <c r="G1486" s="16" t="n">
        <f aca="false">G1477*(1-G1357)*(G1476-G1482+G1481-G1484)</f>
        <v>0</v>
      </c>
      <c r="H1486" s="16" t="n">
        <f aca="false">H1477*(1-H1357)*(H1476-H1482+H1481-H1484)</f>
        <v>0</v>
      </c>
      <c r="I1486" s="16" t="n">
        <f aca="false">I1477*(1-I1357)*(I1476-I1482+I1481-I1484)</f>
        <v>0</v>
      </c>
      <c r="J1486" s="16" t="n">
        <f aca="false">J1477*(1-J1357)*(J1476-J1482+J1481-J1484)</f>
        <v>0</v>
      </c>
      <c r="K1486" s="16" t="n">
        <f aca="false">K1477*(1-K1357)*(K1476-K1482+K1481-K1484)</f>
        <v>0</v>
      </c>
    </row>
    <row r="1487" customFormat="false" ht="15" hidden="false" customHeight="false" outlineLevel="0" collapsed="false">
      <c r="A1487" s="2" t="s">
        <v>339</v>
      </c>
      <c r="F1487" s="28" t="n">
        <f aca="false">Assumptions!$C$66</f>
        <v>78.61</v>
      </c>
      <c r="G1487" s="17" t="n">
        <f aca="false">G1476+G1483+G1481-G1482-G1484-G1485</f>
        <v>78.61</v>
      </c>
      <c r="H1487" s="17" t="n">
        <f aca="false">H1476+H1483+H1481-H1482-H1484-H1485</f>
        <v>78.61</v>
      </c>
      <c r="I1487" s="17" t="n">
        <f aca="false">I1476+I1483+I1481-I1482-I1484-I1485</f>
        <v>78.61</v>
      </c>
      <c r="J1487" s="17" t="n">
        <f aca="false">J1476+J1483+J1481-J1482-J1484-J1485</f>
        <v>78.61</v>
      </c>
      <c r="K1487" s="17" t="n">
        <f aca="false">K1476+K1483+K1481-K1482-K1484-K1485</f>
        <v>78.61</v>
      </c>
    </row>
    <row r="1488" customFormat="false" ht="15" hidden="false" customHeight="false" outlineLevel="0" collapsed="false">
      <c r="A1488" s="24" t="s">
        <v>349</v>
      </c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</row>
    <row r="1489" customFormat="false" ht="15" hidden="false" customHeight="false" outlineLevel="0" collapsed="false">
      <c r="A1489" s="2" t="s">
        <v>350</v>
      </c>
      <c r="F1489" s="17" t="n">
        <f aca="false">F1370+F1383+F1396+F1409+F1422+F1435+F1448+F1461+F1474+F1487</f>
        <v>2625.934</v>
      </c>
      <c r="G1489" s="17" t="n">
        <f aca="false">G1370+G1383+G1396+G1409+G1422+G1435+G1448+G1461+G1474+G1487</f>
        <v>2621.934</v>
      </c>
      <c r="H1489" s="17" t="n">
        <f aca="false">H1370+H1383+H1396+H1409+H1422+H1435+H1448+H1461+H1474+H1487</f>
        <v>2602.8887587</v>
      </c>
      <c r="I1489" s="17" t="n">
        <f aca="false">I1370+I1383+I1396+I1409+I1422+I1435+I1448+I1461+I1474+I1487</f>
        <v>2598.8887587</v>
      </c>
      <c r="J1489" s="17" t="n">
        <f aca="false">J1370+J1383+J1396+J1409+J1422+J1435+J1448+J1461+J1474+J1487</f>
        <v>2594.8887587</v>
      </c>
      <c r="K1489" s="17" t="n">
        <f aca="false">K1370+K1383+K1396+K1409+K1422+K1435+K1448+K1461+K1474+K1487</f>
        <v>2590.8887587</v>
      </c>
    </row>
    <row r="1490" customFormat="false" ht="15" hidden="false" customHeight="false" outlineLevel="0" collapsed="false">
      <c r="A1490" s="3" t="s">
        <v>351</v>
      </c>
      <c r="G1490" s="16" t="n">
        <f aca="false">G1360*Assumptions!$C$57+G1373*Assumptions!$C$58+G1386*Assumptions!$C$59+G1399*Assumptions!$C$60+G1412*Assumptions!$C$61+G1425*Assumptions!$C$62+G1438*Assumptions!$C$63+G1451*Assumptions!$C$64+G1464*Assumptions!$C$65+G1477*Assumptions!$C$66</f>
        <v>0</v>
      </c>
      <c r="H1490" s="16" t="n">
        <f aca="false">H1360*Assumptions!$C$57+H1373*Assumptions!$C$58+H1386*Assumptions!$C$59+H1399*Assumptions!$C$60+H1412*Assumptions!$C$61+H1425*Assumptions!$C$62+H1438*Assumptions!$C$63+H1451*Assumptions!$C$64+H1464*Assumptions!$C$65+H1477*Assumptions!$C$66</f>
        <v>800</v>
      </c>
      <c r="I1490" s="16" t="n">
        <f aca="false">I1360*Assumptions!$C$57+I1373*Assumptions!$C$58+I1386*Assumptions!$C$59+I1399*Assumptions!$C$60+I1412*Assumptions!$C$61+I1425*Assumptions!$C$62+I1438*Assumptions!$C$63+I1451*Assumptions!$C$64+I1464*Assumptions!$C$65+I1477*Assumptions!$C$66</f>
        <v>550</v>
      </c>
      <c r="J1490" s="16" t="n">
        <f aca="false">J1360*Assumptions!$C$57+J1373*Assumptions!$C$58+J1386*Assumptions!$C$59+J1399*Assumptions!$C$60+J1412*Assumptions!$C$61+J1425*Assumptions!$C$62+J1438*Assumptions!$C$63+J1451*Assumptions!$C$64+J1464*Assumptions!$C$65+J1477*Assumptions!$C$66</f>
        <v>350</v>
      </c>
      <c r="K1490" s="16" t="n">
        <f aca="false">K1360*Assumptions!$C$57+K1373*Assumptions!$C$58+K1386*Assumptions!$C$59+K1399*Assumptions!$C$60+K1412*Assumptions!$C$61+K1425*Assumptions!$C$62+K1438*Assumptions!$C$63+K1451*Assumptions!$C$64+K1464*Assumptions!$C$65+K1477*Assumptions!$C$66</f>
        <v>700</v>
      </c>
    </row>
    <row r="1491" customFormat="false" ht="15" hidden="false" customHeight="false" outlineLevel="0" collapsed="false">
      <c r="A1491" s="24" t="s">
        <v>352</v>
      </c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</row>
    <row r="1492" customFormat="false" ht="15" hidden="false" customHeight="false" outlineLevel="0" collapsed="false">
      <c r="A1492" s="3" t="s">
        <v>353</v>
      </c>
      <c r="C1492" s="16" t="n">
        <f aca="false">SUMPRODUCT($G$1360:$K$1360,$G$1359:$K$1359-$G$1365:$K$1365+$G$1364:$K$1364)</f>
        <v>380</v>
      </c>
    </row>
    <row r="1493" customFormat="false" ht="15" hidden="false" customHeight="false" outlineLevel="0" collapsed="false">
      <c r="A1493" s="3" t="s">
        <v>354</v>
      </c>
      <c r="C1493" s="16" t="n">
        <f aca="false">SUMPRODUCT($G$1360:$K$1360,$G$1367:$K$1367)</f>
        <v>0</v>
      </c>
    </row>
    <row r="1494" customFormat="false" ht="15" hidden="false" customHeight="false" outlineLevel="0" collapsed="false">
      <c r="A1494" s="3" t="s">
        <v>355</v>
      </c>
      <c r="C1494" s="3" t="str">
        <f aca="false">IF(SUM($G$1360:$K$1360)=0,"n/a (beyond horizon)",IF(SUMPRODUCT($G$1360:$K$1360,$G$1357:$K$1357)&gt;0,"REFINANCING PASS","REFINANCING FAILURE"))</f>
        <v>REFINANCING FAILURE</v>
      </c>
    </row>
    <row r="1495" customFormat="false" ht="15" hidden="false" customHeight="false" outlineLevel="0" collapsed="false">
      <c r="A1495" s="3" t="s">
        <v>356</v>
      </c>
      <c r="C1495" s="3" t="str">
        <f aca="false">IF(SUM($G$1360:$K$1360)=0,"n/a",IF(C1493&gt;=C1492-0.001,"Repaid from cash",IF(SUMPRODUCT($G$1360:$K$1360,$G$1357:$K$1357)&gt;0,IF(C1493&gt;0,"Partly repaid; remainder refinanced","Refinanced"),IF(SUM($G$1369:$K$1369)&gt;0.001,IF(C1493&gt;0,"Partial repayment; PAYMENT DEFAULT","PAYMENT DEFAULT"),"Repaid from cash"))))</f>
        <v>PAYMENT DEFAULT</v>
      </c>
    </row>
    <row r="1496" customFormat="false" ht="15" hidden="false" customHeight="false" outlineLevel="0" collapsed="false">
      <c r="A1496" s="3" t="s">
        <v>357</v>
      </c>
      <c r="C1496" s="16" t="n">
        <f aca="false">SUMPRODUCT($G$1373:$K$1373,$G$1372:$K$1372-$G$1378:$K$1378+$G$1377:$K$1377)</f>
        <v>0</v>
      </c>
    </row>
    <row r="1497" customFormat="false" ht="15" hidden="false" customHeight="false" outlineLevel="0" collapsed="false">
      <c r="A1497" s="3" t="s">
        <v>358</v>
      </c>
      <c r="C1497" s="16" t="n">
        <f aca="false">SUMPRODUCT($G$1373:$K$1373,$G$1380:$K$1380)</f>
        <v>0</v>
      </c>
    </row>
    <row r="1498" customFormat="false" ht="15" hidden="false" customHeight="false" outlineLevel="0" collapsed="false">
      <c r="A1498" s="3" t="s">
        <v>359</v>
      </c>
      <c r="C1498" s="3" t="str">
        <f aca="false">IF(SUM($G$1373:$K$1373)=0,"n/a (beyond horizon)",IF(SUMPRODUCT($G$1373:$K$1373,$G$1357:$K$1357)&gt;0,"REFINANCING PASS","REFINANCING FAILURE"))</f>
        <v>n/a (beyond horizon)</v>
      </c>
    </row>
    <row r="1499" customFormat="false" ht="15" hidden="false" customHeight="false" outlineLevel="0" collapsed="false">
      <c r="A1499" s="3" t="s">
        <v>360</v>
      </c>
      <c r="C1499" s="3" t="str">
        <f aca="false">IF(SUM($G$1373:$K$1373)=0,"n/a",IF(C1497&gt;=C1496-0.001,"Repaid from cash",IF(SUMPRODUCT($G$1373:$K$1373,$G$1357:$K$1357)&gt;0,IF(C1497&gt;0,"Partly repaid; remainder refinanced","Refinanced"),IF(SUM($G$1382:$K$1382)&gt;0.001,IF(C1497&gt;0,"Partial repayment; PAYMENT DEFAULT","PAYMENT DEFAULT"),"Repaid from cash"))))</f>
        <v>n/a</v>
      </c>
    </row>
    <row r="1500" customFormat="false" ht="15" hidden="false" customHeight="false" outlineLevel="0" collapsed="false">
      <c r="A1500" s="3" t="s">
        <v>361</v>
      </c>
      <c r="C1500" s="16" t="n">
        <f aca="false">SUMPRODUCT($G$1386:$K$1386,$G$1385:$K$1385-$G$1391:$K$1391+$G$1390:$K$1390)</f>
        <v>0</v>
      </c>
    </row>
    <row r="1501" customFormat="false" ht="15" hidden="false" customHeight="false" outlineLevel="0" collapsed="false">
      <c r="A1501" s="3" t="s">
        <v>362</v>
      </c>
      <c r="C1501" s="16" t="n">
        <f aca="false">SUMPRODUCT($G$1386:$K$1386,$G$1393:$K$1393)</f>
        <v>0</v>
      </c>
    </row>
    <row r="1502" customFormat="false" ht="15" hidden="false" customHeight="false" outlineLevel="0" collapsed="false">
      <c r="A1502" s="3" t="s">
        <v>363</v>
      </c>
      <c r="C1502" s="3" t="str">
        <f aca="false">IF(SUM($G$1386:$K$1386)=0,"n/a (beyond horizon)",IF(SUMPRODUCT($G$1386:$K$1386,$G$1357:$K$1357)&gt;0,"REFINANCING PASS","REFINANCING FAILURE"))</f>
        <v>n/a (beyond horizon)</v>
      </c>
    </row>
    <row r="1503" customFormat="false" ht="15" hidden="false" customHeight="false" outlineLevel="0" collapsed="false">
      <c r="A1503" s="3" t="s">
        <v>364</v>
      </c>
      <c r="C1503" s="3" t="str">
        <f aca="false">IF(SUM($G$1386:$K$1386)=0,"n/a",IF(C1501&gt;=C1500-0.001,"Repaid from cash",IF(SUMPRODUCT($G$1386:$K$1386,$G$1357:$K$1357)&gt;0,IF(C1501&gt;0,"Partly repaid; remainder refinanced","Refinanced"),IF(SUM($G$1395:$K$1395)&gt;0.001,IF(C1501&gt;0,"Partial repayment; PAYMENT DEFAULT","PAYMENT DEFAULT"),"Repaid from cash"))))</f>
        <v>n/a</v>
      </c>
    </row>
    <row r="1504" customFormat="false" ht="15" hidden="false" customHeight="false" outlineLevel="0" collapsed="false">
      <c r="A1504" s="3" t="s">
        <v>365</v>
      </c>
      <c r="C1504" s="16" t="n">
        <f aca="false">SUMPRODUCT($G$1399:$K$1399,$G$1398:$K$1398-$G$1404:$K$1404+$G$1403:$K$1403)</f>
        <v>0</v>
      </c>
    </row>
    <row r="1505" customFormat="false" ht="15" hidden="false" customHeight="false" outlineLevel="0" collapsed="false">
      <c r="A1505" s="3" t="s">
        <v>366</v>
      </c>
      <c r="C1505" s="16" t="n">
        <f aca="false">SUMPRODUCT($G$1399:$K$1399,$G$1406:$K$1406)</f>
        <v>0</v>
      </c>
    </row>
    <row r="1506" customFormat="false" ht="15" hidden="false" customHeight="false" outlineLevel="0" collapsed="false">
      <c r="A1506" s="3" t="s">
        <v>367</v>
      </c>
      <c r="C1506" s="3" t="str">
        <f aca="false">IF(SUM($G$1399:$K$1399)=0,"n/a (beyond horizon)",IF(SUMPRODUCT($G$1399:$K$1399,$G$1357:$K$1357)&gt;0,"REFINANCING PASS","REFINANCING FAILURE"))</f>
        <v>REFINANCING FAILURE</v>
      </c>
    </row>
    <row r="1507" customFormat="false" ht="15" hidden="false" customHeight="false" outlineLevel="0" collapsed="false">
      <c r="A1507" s="3" t="s">
        <v>368</v>
      </c>
      <c r="C1507" s="3" t="str">
        <f aca="false">IF(SUM($G$1399:$K$1399)=0,"n/a",IF(C1505&gt;=C1504-0.001,"Repaid from cash",IF(SUMPRODUCT($G$1399:$K$1399,$G$1357:$K$1357)&gt;0,IF(C1505&gt;0,"Partly repaid; remainder refinanced","Refinanced"),IF(SUM($G$1408:$K$1408)&gt;0.001,IF(C1505&gt;0,"Partial repayment; PAYMENT DEFAULT","PAYMENT DEFAULT"),"Repaid from cash"))))</f>
        <v>Repaid from cash</v>
      </c>
    </row>
    <row r="1508" customFormat="false" ht="15" hidden="false" customHeight="false" outlineLevel="0" collapsed="false">
      <c r="A1508" s="3" t="s">
        <v>369</v>
      </c>
      <c r="C1508" s="16" t="n">
        <f aca="false">SUMPRODUCT($G$1412:$K$1412,$G$1411:$K$1411-$G$1417:$K$1417+$G$1416:$K$1416)</f>
        <v>450</v>
      </c>
    </row>
    <row r="1509" customFormat="false" ht="15" hidden="false" customHeight="false" outlineLevel="0" collapsed="false">
      <c r="A1509" s="3" t="s">
        <v>370</v>
      </c>
      <c r="C1509" s="16" t="n">
        <f aca="false">SUMPRODUCT($G$1412:$K$1412,$G$1419:$K$1419)</f>
        <v>15.0452413</v>
      </c>
    </row>
    <row r="1510" customFormat="false" ht="15" hidden="false" customHeight="false" outlineLevel="0" collapsed="false">
      <c r="A1510" s="3" t="s">
        <v>371</v>
      </c>
      <c r="C1510" s="3" t="str">
        <f aca="false">IF(SUM($G$1412:$K$1412)=0,"n/a (beyond horizon)",IF(SUMPRODUCT($G$1412:$K$1412,$G$1357:$K$1357)&gt;0,"REFINANCING PASS","REFINANCING FAILURE"))</f>
        <v>REFINANCING FAILURE</v>
      </c>
    </row>
    <row r="1511" customFormat="false" ht="15" hidden="false" customHeight="false" outlineLevel="0" collapsed="false">
      <c r="A1511" s="3" t="s">
        <v>372</v>
      </c>
      <c r="C1511" s="3" t="str">
        <f aca="false">IF(SUM($G$1412:$K$1412)=0,"n/a",IF(C1509&gt;=C1508-0.001,"Repaid from cash",IF(SUMPRODUCT($G$1412:$K$1412,$G$1357:$K$1357)&gt;0,IF(C1509&gt;0,"Partly repaid; remainder refinanced","Refinanced"),IF(SUM($G$1421:$K$1421)&gt;0.001,IF(C1509&gt;0,"Partial repayment; PAYMENT DEFAULT","PAYMENT DEFAULT"),"Repaid from cash"))))</f>
        <v>Partial repayment; PAYMENT DEFAULT</v>
      </c>
    </row>
    <row r="1512" customFormat="false" ht="15" hidden="false" customHeight="false" outlineLevel="0" collapsed="false">
      <c r="A1512" s="3" t="s">
        <v>373</v>
      </c>
      <c r="C1512" s="16" t="n">
        <f aca="false">SUMPRODUCT($G$1425:$K$1425,$G$1424:$K$1424-$G$1430:$K$1430+$G$1429:$K$1429)</f>
        <v>350</v>
      </c>
    </row>
    <row r="1513" customFormat="false" ht="15" hidden="false" customHeight="false" outlineLevel="0" collapsed="false">
      <c r="A1513" s="3" t="s">
        <v>374</v>
      </c>
      <c r="C1513" s="16" t="n">
        <f aca="false">SUMPRODUCT($G$1425:$K$1425,$G$1432:$K$1432)</f>
        <v>0</v>
      </c>
    </row>
    <row r="1514" customFormat="false" ht="15" hidden="false" customHeight="false" outlineLevel="0" collapsed="false">
      <c r="A1514" s="3" t="s">
        <v>375</v>
      </c>
      <c r="C1514" s="3" t="str">
        <f aca="false">IF(SUM($G$1425:$K$1425)=0,"n/a (beyond horizon)",IF(SUMPRODUCT($G$1425:$K$1425,$G$1357:$K$1357)&gt;0,"REFINANCING PASS","REFINANCING FAILURE"))</f>
        <v>REFINANCING FAILURE</v>
      </c>
    </row>
    <row r="1515" customFormat="false" ht="15" hidden="false" customHeight="false" outlineLevel="0" collapsed="false">
      <c r="A1515" s="3" t="s">
        <v>376</v>
      </c>
      <c r="C1515" s="3" t="str">
        <f aca="false">IF(SUM($G$1425:$K$1425)=0,"n/a",IF(C1513&gt;=C1512-0.001,"Repaid from cash",IF(SUMPRODUCT($G$1425:$K$1425,$G$1357:$K$1357)&gt;0,IF(C1513&gt;0,"Partly repaid; remainder refinanced","Refinanced"),IF(SUM($G$1434:$K$1434)&gt;0.001,IF(C1513&gt;0,"Partial repayment; PAYMENT DEFAULT","PAYMENT DEFAULT"),"Repaid from cash"))))</f>
        <v>PAYMENT DEFAULT</v>
      </c>
    </row>
    <row r="1516" customFormat="false" ht="15" hidden="false" customHeight="false" outlineLevel="0" collapsed="false">
      <c r="A1516" s="3" t="s">
        <v>377</v>
      </c>
      <c r="C1516" s="16" t="n">
        <f aca="false">SUMPRODUCT($G$1438:$K$1438,$G$1437:$K$1437-$G$1443:$K$1443+$G$1442:$K$1442)</f>
        <v>550</v>
      </c>
    </row>
    <row r="1517" customFormat="false" ht="15" hidden="false" customHeight="false" outlineLevel="0" collapsed="false">
      <c r="A1517" s="3" t="s">
        <v>378</v>
      </c>
      <c r="C1517" s="16" t="n">
        <f aca="false">SUMPRODUCT($G$1438:$K$1438,$G$1445:$K$1445)</f>
        <v>0</v>
      </c>
    </row>
    <row r="1518" customFormat="false" ht="15" hidden="false" customHeight="false" outlineLevel="0" collapsed="false">
      <c r="A1518" s="3" t="s">
        <v>379</v>
      </c>
      <c r="C1518" s="3" t="str">
        <f aca="false">IF(SUM($G$1438:$K$1438)=0,"n/a (beyond horizon)",IF(SUMPRODUCT($G$1438:$K$1438,$G$1357:$K$1357)&gt;0,"REFINANCING PASS","REFINANCING FAILURE"))</f>
        <v>REFINANCING FAILURE</v>
      </c>
    </row>
    <row r="1519" customFormat="false" ht="15" hidden="false" customHeight="false" outlineLevel="0" collapsed="false">
      <c r="A1519" s="3" t="s">
        <v>380</v>
      </c>
      <c r="C1519" s="3" t="str">
        <f aca="false">IF(SUM($G$1438:$K$1438)=0,"n/a",IF(C1517&gt;=C1516-0.001,"Repaid from cash",IF(SUMPRODUCT($G$1438:$K$1438,$G$1357:$K$1357)&gt;0,IF(C1517&gt;0,"Partly repaid; remainder refinanced","Refinanced"),IF(SUM($G$1447:$K$1447)&gt;0.001,IF(C1517&gt;0,"Partial repayment; PAYMENT DEFAULT","PAYMENT DEFAULT"),"Repaid from cash"))))</f>
        <v>PAYMENT DEFAULT</v>
      </c>
    </row>
    <row r="1520" customFormat="false" ht="15" hidden="false" customHeight="false" outlineLevel="0" collapsed="false">
      <c r="A1520" s="3" t="s">
        <v>381</v>
      </c>
      <c r="C1520" s="16" t="n">
        <f aca="false">SUMPRODUCT($G$1451:$K$1451,$G$1450:$K$1450-$G$1456:$K$1456+$G$1455:$K$1455)</f>
        <v>350</v>
      </c>
    </row>
    <row r="1521" customFormat="false" ht="15" hidden="false" customHeight="false" outlineLevel="0" collapsed="false">
      <c r="A1521" s="3" t="s">
        <v>382</v>
      </c>
      <c r="C1521" s="16" t="n">
        <f aca="false">SUMPRODUCT($G$1451:$K$1451,$G$1458:$K$1458)</f>
        <v>0</v>
      </c>
    </row>
    <row r="1522" customFormat="false" ht="15" hidden="false" customHeight="false" outlineLevel="0" collapsed="false">
      <c r="A1522" s="3" t="s">
        <v>383</v>
      </c>
      <c r="C1522" s="3" t="str">
        <f aca="false">IF(SUM($G$1451:$K$1451)=0,"n/a (beyond horizon)",IF(SUMPRODUCT($G$1451:$K$1451,$G$1357:$K$1357)&gt;0,"REFINANCING PASS","REFINANCING FAILURE"))</f>
        <v>REFINANCING FAILURE</v>
      </c>
    </row>
    <row r="1523" customFormat="false" ht="15" hidden="false" customHeight="false" outlineLevel="0" collapsed="false">
      <c r="A1523" s="3" t="s">
        <v>384</v>
      </c>
      <c r="C1523" s="3" t="str">
        <f aca="false">IF(SUM($G$1451:$K$1451)=0,"n/a",IF(C1521&gt;=C1520-0.001,"Repaid from cash",IF(SUMPRODUCT($G$1451:$K$1451,$G$1357:$K$1357)&gt;0,IF(C1521&gt;0,"Partly repaid; remainder refinanced","Refinanced"),IF(SUM($G$1460:$K$1460)&gt;0.001,IF(C1521&gt;0,"Partial repayment; PAYMENT DEFAULT","PAYMENT DEFAULT"),"Repaid from cash"))))</f>
        <v>PAYMENT DEFAULT</v>
      </c>
    </row>
    <row r="1524" customFormat="false" ht="15" hidden="false" customHeight="false" outlineLevel="0" collapsed="false">
      <c r="A1524" s="3" t="s">
        <v>385</v>
      </c>
      <c r="C1524" s="16" t="n">
        <f aca="false">SUMPRODUCT($G$1464:$K$1464,$G$1463:$K$1463-$G$1469:$K$1469+$G$1468:$K$1468)</f>
        <v>300</v>
      </c>
    </row>
    <row r="1525" customFormat="false" ht="15" hidden="false" customHeight="false" outlineLevel="0" collapsed="false">
      <c r="A1525" s="3" t="s">
        <v>386</v>
      </c>
      <c r="C1525" s="16" t="n">
        <f aca="false">SUMPRODUCT($G$1464:$K$1464,$G$1471:$K$1471)</f>
        <v>0</v>
      </c>
    </row>
    <row r="1526" customFormat="false" ht="15" hidden="false" customHeight="false" outlineLevel="0" collapsed="false">
      <c r="A1526" s="3" t="s">
        <v>387</v>
      </c>
      <c r="C1526" s="3" t="str">
        <f aca="false">IF(SUM($G$1464:$K$1464)=0,"n/a (beyond horizon)",IF(SUMPRODUCT($G$1464:$K$1464,$G$1357:$K$1357)&gt;0,"REFINANCING PASS","REFINANCING FAILURE"))</f>
        <v>REFINANCING FAILURE</v>
      </c>
    </row>
    <row r="1527" customFormat="false" ht="15" hidden="false" customHeight="false" outlineLevel="0" collapsed="false">
      <c r="A1527" s="3" t="s">
        <v>388</v>
      </c>
      <c r="C1527" s="3" t="str">
        <f aca="false">IF(SUM($G$1464:$K$1464)=0,"n/a",IF(C1525&gt;=C1524-0.001,"Repaid from cash",IF(SUMPRODUCT($G$1464:$K$1464,$G$1357:$K$1357)&gt;0,IF(C1525&gt;0,"Partly repaid; remainder refinanced","Refinanced"),IF(SUM($G$1473:$K$1473)&gt;0.001,IF(C1525&gt;0,"Partial repayment; PAYMENT DEFAULT","PAYMENT DEFAULT"),"Repaid from cash"))))</f>
        <v>PAYMENT DEFAULT</v>
      </c>
    </row>
    <row r="1528" customFormat="false" ht="15" hidden="false" customHeight="false" outlineLevel="0" collapsed="false">
      <c r="A1528" s="3" t="s">
        <v>389</v>
      </c>
      <c r="C1528" s="16" t="n">
        <f aca="false">SUMPRODUCT($G$1477:$K$1477,$G$1476:$K$1476-$G$1482:$K$1482+$G$1481:$K$1481)</f>
        <v>0</v>
      </c>
    </row>
    <row r="1529" customFormat="false" ht="15" hidden="false" customHeight="false" outlineLevel="0" collapsed="false">
      <c r="A1529" s="3" t="s">
        <v>390</v>
      </c>
      <c r="C1529" s="16" t="n">
        <f aca="false">SUMPRODUCT($G$1477:$K$1477,$G$1484:$K$1484)</f>
        <v>0</v>
      </c>
    </row>
    <row r="1530" customFormat="false" ht="15" hidden="false" customHeight="false" outlineLevel="0" collapsed="false">
      <c r="A1530" s="3" t="s">
        <v>391</v>
      </c>
      <c r="C1530" s="3" t="str">
        <f aca="false">IF(SUM($G$1477:$K$1477)=0,"n/a (beyond horizon)",IF(SUMPRODUCT($G$1477:$K$1477,$G$1357:$K$1357)&gt;0,"REFINANCING PASS","REFINANCING FAILURE"))</f>
        <v>n/a (beyond horizon)</v>
      </c>
    </row>
    <row r="1531" customFormat="false" ht="15" hidden="false" customHeight="false" outlineLevel="0" collapsed="false">
      <c r="A1531" s="3" t="s">
        <v>392</v>
      </c>
      <c r="C1531" s="3" t="str">
        <f aca="false">IF(SUM($G$1477:$K$1477)=0,"n/a",IF(C1529&gt;=C1528-0.001,"Repaid from cash",IF(SUMPRODUCT($G$1477:$K$1477,$G$1357:$K$1357)&gt;0,IF(C1529&gt;0,"Partly repaid; remainder refinanced","Refinanced"),IF(SUM($G$1486:$K$1486)&gt;0.001,IF(C1529&gt;0,"Partial repayment; PAYMENT DEFAULT","PAYMENT DEFAULT"),"Repaid from cash"))))</f>
        <v>n/a</v>
      </c>
    </row>
    <row r="1532" customFormat="false" ht="15" hidden="false" customHeight="false" outlineLevel="0" collapsed="false">
      <c r="A1532" s="3" t="s">
        <v>393</v>
      </c>
      <c r="C1532" s="21" t="n">
        <f aca="false">IF(C1494="REFINANCING FAILURE",1,0)+IF(C1498="REFINANCING FAILURE",1,0)+IF(C1502="REFINANCING FAILURE",1,0)+IF(C1506="REFINANCING FAILURE",1,0)+IF(C1510="REFINANCING FAILURE",1,0)+IF(C1514="REFINANCING FAILURE",1,0)+IF(C1518="REFINANCING FAILURE",1,0)+IF(C1522="REFINANCING FAILURE",1,0)+IF(C1526="REFINANCING FAILURE",1,0)+IF(C1530="REFINANCING FAILURE",1,0)</f>
        <v>7</v>
      </c>
    </row>
    <row r="1534" customFormat="false" ht="15" hidden="false" customHeight="false" outlineLevel="0" collapsed="false">
      <c r="A1534" s="24" t="s">
        <v>395</v>
      </c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</row>
    <row r="1535" customFormat="false" ht="15" hidden="false" customHeight="false" outlineLevel="0" collapsed="false">
      <c r="A1535" s="3" t="s">
        <v>325</v>
      </c>
      <c r="G1535" s="16" t="n">
        <f aca="false">F1547</f>
        <v>37.87</v>
      </c>
      <c r="H1535" s="16" t="n">
        <f aca="false">G1547</f>
        <v>87.2944416</v>
      </c>
      <c r="I1535" s="16" t="n">
        <f aca="false">H1547</f>
        <v>0</v>
      </c>
      <c r="J1535" s="16" t="n">
        <f aca="false">I1547</f>
        <v>-75.7748017716</v>
      </c>
      <c r="K1535" s="16" t="n">
        <f aca="false">J1547</f>
        <v>-149.05681614325</v>
      </c>
    </row>
    <row r="1536" customFormat="false" ht="15" hidden="false" customHeight="false" outlineLevel="0" collapsed="false">
      <c r="A1536" s="3" t="s">
        <v>396</v>
      </c>
      <c r="G1536" s="16" t="n">
        <f aca="false">G1346</f>
        <v>-46.5755584</v>
      </c>
      <c r="H1536" s="16" t="n">
        <f aca="false">H1346</f>
        <v>-68.2492003</v>
      </c>
      <c r="I1536" s="16" t="n">
        <f aca="false">I1346</f>
        <v>-71.7748017716</v>
      </c>
      <c r="J1536" s="16" t="n">
        <f aca="false">J1346</f>
        <v>-69.28201437165</v>
      </c>
      <c r="K1536" s="16" t="n">
        <f aca="false">K1346</f>
        <v>-63.512311383781</v>
      </c>
    </row>
    <row r="1537" customFormat="false" ht="15" hidden="false" customHeight="false" outlineLevel="0" collapsed="false">
      <c r="A1537" s="3" t="s">
        <v>397</v>
      </c>
      <c r="G1537" s="16" t="n">
        <f aca="false">CHOOSE($C$1316,Assumptions!$G$82,Assumptions!$G$101,Assumptions!$G$120)</f>
        <v>100</v>
      </c>
      <c r="H1537" s="16" t="n">
        <f aca="false">CHOOSE($C$1316,Assumptions!$H$82,Assumptions!$H$101,Assumptions!$H$120)</f>
        <v>0</v>
      </c>
      <c r="I1537" s="16" t="n">
        <f aca="false">CHOOSE($C$1316,Assumptions!$I$82,Assumptions!$I$101,Assumptions!$I$120)</f>
        <v>0</v>
      </c>
      <c r="J1537" s="16" t="n">
        <f aca="false">CHOOSE($C$1316,Assumptions!$J$82,Assumptions!$J$101,Assumptions!$J$120)</f>
        <v>0</v>
      </c>
      <c r="K1537" s="16" t="n">
        <f aca="false">CHOOSE($C$1316,Assumptions!$K$82,Assumptions!$K$101,Assumptions!$K$120)</f>
        <v>0</v>
      </c>
    </row>
    <row r="1538" customFormat="false" ht="15" hidden="false" customHeight="false" outlineLevel="0" collapsed="false">
      <c r="A1538" s="3" t="s">
        <v>398</v>
      </c>
      <c r="G1538" s="16" t="n">
        <f aca="false">G1365+G1378+G1391+G1404+G1417+G1430+G1443+G1456+G1469+G1482</f>
        <v>4</v>
      </c>
      <c r="H1538" s="16" t="n">
        <f aca="false">H1365+H1378+H1391+H1404+H1417+H1430+H1443+H1456+H1469+H1482</f>
        <v>4</v>
      </c>
      <c r="I1538" s="16" t="n">
        <f aca="false">I1365+I1378+I1391+I1404+I1417+I1430+I1443+I1456+I1469+I1482</f>
        <v>4</v>
      </c>
      <c r="J1538" s="16" t="n">
        <f aca="false">J1365+J1378+J1391+J1404+J1417+J1430+J1443+J1456+J1469+J1482</f>
        <v>4</v>
      </c>
      <c r="K1538" s="16" t="n">
        <f aca="false">K1365+K1378+K1391+K1404+K1417+K1430+K1443+K1456+K1469+K1482</f>
        <v>4</v>
      </c>
    </row>
    <row r="1539" customFormat="false" ht="15" hidden="false" customHeight="false" outlineLevel="0" collapsed="false">
      <c r="A1539" s="2" t="s">
        <v>399</v>
      </c>
      <c r="G1539" s="17" t="n">
        <f aca="false">G1535+G1536+G1537-G1538</f>
        <v>87.2944416</v>
      </c>
      <c r="H1539" s="17" t="n">
        <f aca="false">H1535+H1536+H1537-H1538</f>
        <v>15.0452413</v>
      </c>
      <c r="I1539" s="17" t="n">
        <f aca="false">I1535+I1536+I1537-I1538</f>
        <v>-75.7748017716</v>
      </c>
      <c r="J1539" s="17" t="n">
        <f aca="false">J1535+J1536+J1537-J1538</f>
        <v>-149.05681614325</v>
      </c>
      <c r="K1539" s="17" t="n">
        <f aca="false">K1535+K1536+K1537-K1538</f>
        <v>-216.569127527031</v>
      </c>
    </row>
    <row r="1540" customFormat="false" ht="15" hidden="false" customHeight="false" outlineLevel="0" collapsed="false">
      <c r="A1540" s="3" t="s">
        <v>400</v>
      </c>
      <c r="G1540" s="16" t="n">
        <f aca="false">G1366+G1379+G1392+G1405+G1418+G1431+G1444+G1457+G1470+G1483</f>
        <v>0</v>
      </c>
      <c r="H1540" s="16" t="n">
        <f aca="false">H1366+H1379+H1392+H1405+H1418+H1431+H1444+H1457+H1470+H1483</f>
        <v>0</v>
      </c>
      <c r="I1540" s="16" t="n">
        <f aca="false">I1366+I1379+I1392+I1405+I1418+I1431+I1444+I1457+I1470+I1483</f>
        <v>0</v>
      </c>
      <c r="J1540" s="16" t="n">
        <f aca="false">J1366+J1379+J1392+J1405+J1418+J1431+J1444+J1457+J1470+J1483</f>
        <v>0</v>
      </c>
      <c r="K1540" s="16" t="n">
        <f aca="false">K1366+K1379+K1392+K1405+K1418+K1431+K1444+K1457+K1470+K1483</f>
        <v>0</v>
      </c>
    </row>
    <row r="1541" customFormat="false" ht="15" hidden="false" customHeight="false" outlineLevel="0" collapsed="false">
      <c r="A1541" s="2" t="s">
        <v>401</v>
      </c>
      <c r="G1541" s="17" t="n">
        <f aca="false">G1539+G1540</f>
        <v>87.2944416</v>
      </c>
      <c r="H1541" s="17" t="n">
        <f aca="false">H1539+H1540</f>
        <v>15.0452413</v>
      </c>
      <c r="I1541" s="17" t="n">
        <f aca="false">I1539+I1540</f>
        <v>-75.7748017716</v>
      </c>
      <c r="J1541" s="17" t="n">
        <f aca="false">J1539+J1540</f>
        <v>-149.05681614325</v>
      </c>
      <c r="K1541" s="17" t="n">
        <f aca="false">K1539+K1540</f>
        <v>-216.569127527031</v>
      </c>
    </row>
    <row r="1542" customFormat="false" ht="15" hidden="false" customHeight="false" outlineLevel="0" collapsed="false">
      <c r="A1542" s="3" t="s">
        <v>402</v>
      </c>
      <c r="G1542" s="16" t="n">
        <f aca="false">G1367+G1380+G1393+G1406+G1419+G1432+G1445+G1458+G1471+G1484</f>
        <v>0</v>
      </c>
      <c r="H1542" s="16" t="n">
        <f aca="false">H1367+H1380+H1393+H1406+H1419+H1432+H1445+H1458+H1471+H1484</f>
        <v>15.0452413</v>
      </c>
      <c r="I1542" s="16" t="n">
        <f aca="false">I1367+I1380+I1393+I1406+I1419+I1432+I1445+I1458+I1471+I1484</f>
        <v>0</v>
      </c>
      <c r="J1542" s="16" t="n">
        <f aca="false">J1367+J1380+J1393+J1406+J1419+J1432+J1445+J1458+J1471+J1484</f>
        <v>0</v>
      </c>
      <c r="K1542" s="16" t="n">
        <f aca="false">K1367+K1380+K1393+K1406+K1419+K1432+K1445+K1458+K1471+K1484</f>
        <v>0</v>
      </c>
    </row>
    <row r="1543" customFormat="false" ht="15" hidden="false" customHeight="false" outlineLevel="0" collapsed="false">
      <c r="A1543" s="2" t="s">
        <v>403</v>
      </c>
      <c r="G1543" s="17" t="n">
        <f aca="false">G1541-G1542</f>
        <v>87.2944416</v>
      </c>
      <c r="H1543" s="17" t="n">
        <f aca="false">H1541-H1542</f>
        <v>0</v>
      </c>
      <c r="I1543" s="17" t="n">
        <f aca="false">I1541-I1542</f>
        <v>-75.7748017716</v>
      </c>
      <c r="J1543" s="17" t="n">
        <f aca="false">J1541-J1542</f>
        <v>-149.05681614325</v>
      </c>
      <c r="K1543" s="17" t="n">
        <f aca="false">K1541-K1542</f>
        <v>-216.569127527031</v>
      </c>
    </row>
    <row r="1544" customFormat="false" ht="15" hidden="false" customHeight="false" outlineLevel="0" collapsed="false">
      <c r="A1544" s="3" t="s">
        <v>404</v>
      </c>
      <c r="G1544" s="16" t="n">
        <f aca="false">MAX(0,-G1543)</f>
        <v>0</v>
      </c>
      <c r="H1544" s="16" t="n">
        <f aca="false">MAX(0,-H1543)</f>
        <v>-0</v>
      </c>
      <c r="I1544" s="16" t="n">
        <f aca="false">MAX(0,-I1543)</f>
        <v>75.7748017716</v>
      </c>
      <c r="J1544" s="16" t="n">
        <f aca="false">MAX(0,-J1543)</f>
        <v>149.05681614325</v>
      </c>
      <c r="K1544" s="16" t="n">
        <f aca="false">MAX(0,-K1543)</f>
        <v>216.569127527031</v>
      </c>
    </row>
    <row r="1545" customFormat="false" ht="15" hidden="false" customHeight="false" outlineLevel="0" collapsed="false">
      <c r="A1545" s="3" t="s">
        <v>405</v>
      </c>
      <c r="G1545" s="16" t="n">
        <f aca="false">MAX(0,G1543-Assumptions!$C$12)*Assumptions!$C$13</f>
        <v>0</v>
      </c>
      <c r="H1545" s="16" t="n">
        <f aca="false">MAX(0,H1543-Assumptions!$C$12)*Assumptions!$C$13</f>
        <v>0</v>
      </c>
      <c r="I1545" s="16" t="n">
        <f aca="false">MAX(0,I1543-Assumptions!$C$12)*Assumptions!$C$13</f>
        <v>0</v>
      </c>
      <c r="J1545" s="16" t="n">
        <f aca="false">MAX(0,J1543-Assumptions!$C$12)*Assumptions!$C$13</f>
        <v>0</v>
      </c>
      <c r="K1545" s="16" t="n">
        <f aca="false">MAX(0,K1543-Assumptions!$C$12)*Assumptions!$C$13</f>
        <v>0</v>
      </c>
    </row>
    <row r="1546" customFormat="false" ht="15" hidden="false" customHeight="false" outlineLevel="0" collapsed="false">
      <c r="A1546" s="3" t="s">
        <v>406</v>
      </c>
      <c r="G1546" s="16" t="n">
        <f aca="false">G1368+G1381+G1394+G1407+G1420+G1433+G1446+G1459+G1472+G1485</f>
        <v>0</v>
      </c>
      <c r="H1546" s="16" t="n">
        <f aca="false">H1368+H1381+H1394+H1407+H1420+H1433+H1446+H1459+H1472+H1485</f>
        <v>0</v>
      </c>
      <c r="I1546" s="16" t="n">
        <f aca="false">I1368+I1381+I1394+I1407+I1420+I1433+I1446+I1459+I1472+I1485</f>
        <v>0</v>
      </c>
      <c r="J1546" s="16" t="n">
        <f aca="false">J1368+J1381+J1394+J1407+J1420+J1433+J1446+J1459+J1472+J1485</f>
        <v>0</v>
      </c>
      <c r="K1546" s="16" t="n">
        <f aca="false">K1368+K1381+K1394+K1407+K1420+K1433+K1446+K1459+K1472+K1485</f>
        <v>0</v>
      </c>
    </row>
    <row r="1547" customFormat="false" ht="15" hidden="false" customHeight="false" outlineLevel="0" collapsed="false">
      <c r="A1547" s="2" t="s">
        <v>407</v>
      </c>
      <c r="F1547" s="28" t="n">
        <f aca="false">Assumptions!$C$11</f>
        <v>37.87</v>
      </c>
      <c r="G1547" s="17" t="n">
        <f aca="false">G1543-G1546</f>
        <v>87.2944416</v>
      </c>
      <c r="H1547" s="17" t="n">
        <f aca="false">H1543-H1546</f>
        <v>0</v>
      </c>
      <c r="I1547" s="17" t="n">
        <f aca="false">I1543-I1546</f>
        <v>-75.7748017716</v>
      </c>
      <c r="J1547" s="17" t="n">
        <f aca="false">J1543-J1546</f>
        <v>-149.05681614325</v>
      </c>
      <c r="K1547" s="17" t="n">
        <f aca="false">K1543-K1546</f>
        <v>-216.569127527031</v>
      </c>
    </row>
    <row r="1548" customFormat="false" ht="15" hidden="false" customHeight="false" outlineLevel="0" collapsed="false">
      <c r="A1548" s="3" t="s">
        <v>408</v>
      </c>
      <c r="G1548" s="16" t="n">
        <f aca="false">G1369+G1382+G1395+G1408+G1421+G1434+G1447+G1460+G1473+G1486</f>
        <v>0</v>
      </c>
      <c r="H1548" s="16" t="n">
        <f aca="false">H1369+H1382+H1395+H1408+H1421+H1434+H1447+H1460+H1473+H1486</f>
        <v>784.9547587</v>
      </c>
      <c r="I1548" s="16" t="n">
        <f aca="false">I1369+I1382+I1395+I1408+I1421+I1434+I1447+I1460+I1473+I1486</f>
        <v>550</v>
      </c>
      <c r="J1548" s="16" t="n">
        <f aca="false">J1369+J1382+J1395+J1408+J1421+J1434+J1447+J1460+J1473+J1486</f>
        <v>350</v>
      </c>
      <c r="K1548" s="16" t="n">
        <f aca="false">K1369+K1382+K1395+K1408+K1421+K1434+K1447+K1460+K1473+K1486</f>
        <v>680</v>
      </c>
    </row>
    <row r="1549" customFormat="false" ht="15" hidden="false" customHeight="false" outlineLevel="0" collapsed="false">
      <c r="A1549" s="3" t="s">
        <v>409</v>
      </c>
      <c r="G1549" s="21" t="n">
        <f aca="false">IF(OR(G1544&gt;0.001,G1548&gt;0.001),1,0)</f>
        <v>0</v>
      </c>
      <c r="H1549" s="21" t="n">
        <f aca="false">IF(OR(H1544&gt;0.001,H1548&gt;0.001),1,0)</f>
        <v>1</v>
      </c>
      <c r="I1549" s="21" t="n">
        <f aca="false">IF(OR(I1544&gt;0.001,I1548&gt;0.001),1,0)</f>
        <v>1</v>
      </c>
      <c r="J1549" s="21" t="n">
        <f aca="false">IF(OR(J1544&gt;0.001,J1548&gt;0.001),1,0)</f>
        <v>1</v>
      </c>
      <c r="K1549" s="21" t="n">
        <f aca="false">IF(OR(K1544&gt;0.001,K1548&gt;0.001),1,0)</f>
        <v>1</v>
      </c>
    </row>
    <row r="1550" customFormat="false" ht="15" hidden="false" customHeight="false" outlineLevel="0" collapsed="false">
      <c r="A1550" s="3" t="s">
        <v>410</v>
      </c>
      <c r="G1550" s="21" t="n">
        <f aca="false">IF(G1549=1,1,0)</f>
        <v>0</v>
      </c>
      <c r="H1550" s="21" t="n">
        <f aca="false">IF(AND(H1549=1,SUM($G$1549:G1549)=0),1,0)</f>
        <v>1</v>
      </c>
      <c r="I1550" s="21" t="n">
        <f aca="false">IF(AND(I1549=1,SUM($G$1549:H1549)=0),1,0)</f>
        <v>0</v>
      </c>
      <c r="J1550" s="21" t="n">
        <f aca="false">IF(AND(J1549=1,SUM($G$1549:I1549)=0),1,0)</f>
        <v>0</v>
      </c>
      <c r="K1550" s="21" t="n">
        <f aca="false">IF(AND(K1549=1,SUM($G$1549:J1549)=0),1,0)</f>
        <v>0</v>
      </c>
    </row>
    <row r="1551" customFormat="false" ht="15" hidden="false" customHeight="false" outlineLevel="0" collapsed="false">
      <c r="A1551" s="3" t="s">
        <v>411</v>
      </c>
      <c r="G1551" s="16" t="n">
        <f aca="false">(G1489-F1489)-(G1540+G1338-G1538-G1542-G1546)</f>
        <v>0</v>
      </c>
      <c r="H1551" s="16" t="n">
        <f aca="false">(H1489-G1489)-(H1540+H1338-H1538-H1542-H1546)</f>
        <v>-2.27373675443232E-013</v>
      </c>
      <c r="I1551" s="16" t="n">
        <f aca="false">(I1489-H1489)-(I1540+I1338-I1538-I1542-I1546)</f>
        <v>0</v>
      </c>
      <c r="J1551" s="16" t="n">
        <f aca="false">(J1489-I1489)-(J1540+J1338-J1538-J1542-J1546)</f>
        <v>0</v>
      </c>
      <c r="K1551" s="16" t="n">
        <f aca="false">(K1489-J1489)-(K1540+K1338-K1538-K1542-K1546)</f>
        <v>0</v>
      </c>
    </row>
    <row r="1553" customFormat="false" ht="15" hidden="false" customHeight="false" outlineLevel="0" collapsed="false">
      <c r="A1553" s="24" t="s">
        <v>413</v>
      </c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</row>
    <row r="1554" customFormat="false" ht="15" hidden="false" customHeight="false" outlineLevel="0" collapsed="false">
      <c r="A1554" s="3" t="s">
        <v>414</v>
      </c>
      <c r="G1554" s="16" t="n">
        <f aca="false">G1489</f>
        <v>2621.934</v>
      </c>
      <c r="H1554" s="16" t="n">
        <f aca="false">H1489</f>
        <v>2602.8887587</v>
      </c>
      <c r="I1554" s="16" t="n">
        <f aca="false">I1489</f>
        <v>2598.8887587</v>
      </c>
      <c r="J1554" s="16" t="n">
        <f aca="false">J1489</f>
        <v>2594.8887587</v>
      </c>
      <c r="K1554" s="16" t="n">
        <f aca="false">K1489</f>
        <v>2590.8887587</v>
      </c>
    </row>
    <row r="1555" customFormat="false" ht="15" hidden="false" customHeight="false" outlineLevel="0" collapsed="false">
      <c r="A1555" s="3" t="s">
        <v>415</v>
      </c>
      <c r="G1555" s="16" t="n">
        <f aca="false">Assumptions!$O$57*G1370+Assumptions!$O$58*G1383+Assumptions!$O$59*G1396+Assumptions!$O$60*G1409+Assumptions!$O$61*G1422+Assumptions!$O$62*G1435+Assumptions!$O$63*G1448+Assumptions!$O$64*G1461+Assumptions!$O$65*G1474+Assumptions!$O$66*G1487</f>
        <v>543.324</v>
      </c>
      <c r="H1555" s="16" t="n">
        <f aca="false">Assumptions!$O$57*H1370+Assumptions!$O$58*H1383+Assumptions!$O$59*H1396+Assumptions!$O$60*H1409+Assumptions!$O$61*H1422+Assumptions!$O$62*H1435+Assumptions!$O$63*H1448+Assumptions!$O$64*H1461+Assumptions!$O$65*H1474+Assumptions!$O$66*H1487</f>
        <v>539.324</v>
      </c>
      <c r="I1555" s="16" t="n">
        <f aca="false">Assumptions!$O$57*I1370+Assumptions!$O$58*I1383+Assumptions!$O$59*I1396+Assumptions!$O$60*I1409+Assumptions!$O$61*I1422+Assumptions!$O$62*I1435+Assumptions!$O$63*I1448+Assumptions!$O$64*I1461+Assumptions!$O$65*I1474+Assumptions!$O$66*I1487</f>
        <v>535.324</v>
      </c>
      <c r="J1555" s="16" t="n">
        <f aca="false">Assumptions!$O$57*J1370+Assumptions!$O$58*J1383+Assumptions!$O$59*J1396+Assumptions!$O$60*J1409+Assumptions!$O$61*J1422+Assumptions!$O$62*J1435+Assumptions!$O$63*J1448+Assumptions!$O$64*J1461+Assumptions!$O$65*J1474+Assumptions!$O$66*J1487</f>
        <v>531.324</v>
      </c>
      <c r="K1555" s="16" t="n">
        <f aca="false">Assumptions!$O$57*K1370+Assumptions!$O$58*K1383+Assumptions!$O$59*K1396+Assumptions!$O$60*K1409+Assumptions!$O$61*K1422+Assumptions!$O$62*K1435+Assumptions!$O$63*K1448+Assumptions!$O$64*K1461+Assumptions!$O$65*K1474+Assumptions!$O$66*K1487</f>
        <v>527.324</v>
      </c>
    </row>
    <row r="1556" customFormat="false" ht="15" hidden="false" customHeight="false" outlineLevel="0" collapsed="false">
      <c r="A1556" s="3" t="s">
        <v>416</v>
      </c>
      <c r="G1556" s="16" t="n">
        <f aca="false">G1554-G1547</f>
        <v>2534.6395584</v>
      </c>
      <c r="H1556" s="16" t="n">
        <f aca="false">H1554-H1547</f>
        <v>2602.8887587</v>
      </c>
      <c r="I1556" s="16" t="n">
        <f aca="false">I1554-I1547</f>
        <v>2674.6635604716</v>
      </c>
      <c r="J1556" s="16" t="n">
        <f aca="false">J1554-J1547</f>
        <v>2743.94557484325</v>
      </c>
      <c r="K1556" s="16" t="n">
        <f aca="false">K1554-K1547</f>
        <v>2807.45788622703</v>
      </c>
    </row>
    <row r="1557" customFormat="false" ht="15" hidden="false" customHeight="false" outlineLevel="0" collapsed="false">
      <c r="A1557" s="3" t="s">
        <v>417</v>
      </c>
      <c r="G1557" s="32" t="n">
        <f aca="false">IF(G1333&gt;0,G1554/G1333,0)</f>
        <v>12.7097898879239</v>
      </c>
      <c r="H1557" s="32" t="n">
        <f aca="false">IF(H1333&gt;0,H1554/H1333,0)</f>
        <v>14.5137170159321</v>
      </c>
      <c r="I1557" s="32" t="n">
        <f aca="false">IF(I1333&gt;0,I1554/I1333,0)</f>
        <v>15.1153610447715</v>
      </c>
      <c r="J1557" s="32" t="n">
        <f aca="false">IF(J1333&gt;0,J1554/J1333,0)</f>
        <v>14.9166072034602</v>
      </c>
      <c r="K1557" s="32" t="n">
        <f aca="false">IF(K1333&gt;0,K1554/K1333,0)</f>
        <v>14.4110120408369</v>
      </c>
    </row>
    <row r="1558" customFormat="false" ht="15" hidden="false" customHeight="false" outlineLevel="0" collapsed="false">
      <c r="A1558" s="3" t="s">
        <v>418</v>
      </c>
      <c r="G1558" s="32" t="n">
        <f aca="false">IF(G1333&gt;0,G1556/G1333,0)</f>
        <v>12.2866312534504</v>
      </c>
      <c r="H1558" s="32" t="n">
        <f aca="false">IF(H1333&gt;0,H1556/H1333,0)</f>
        <v>14.5137170159321</v>
      </c>
      <c r="I1558" s="32" t="n">
        <f aca="false">IF(I1333&gt;0,I1556/I1333,0)</f>
        <v>15.5560738236619</v>
      </c>
      <c r="J1558" s="32" t="n">
        <f aca="false">IF(J1333&gt;0,J1556/J1333,0)</f>
        <v>15.7734539449449</v>
      </c>
      <c r="K1558" s="32" t="n">
        <f aca="false">IF(K1333&gt;0,K1556/K1333,0)</f>
        <v>15.6156103833885</v>
      </c>
    </row>
    <row r="1559" customFormat="false" ht="15" hidden="false" customHeight="false" outlineLevel="0" collapsed="false">
      <c r="A1559" s="3" t="s">
        <v>419</v>
      </c>
      <c r="G1559" s="32" t="n">
        <f aca="false">IF(G1337&gt;0,G1333/G1337,0)</f>
        <v>1.06025908412371</v>
      </c>
      <c r="H1559" s="32" t="n">
        <f aca="false">IF(H1337&gt;0,H1333/H1337,0)</f>
        <v>0.927444011573365</v>
      </c>
      <c r="I1559" s="32" t="n">
        <f aca="false">IF(I1337&gt;0,I1333/I1337,0)</f>
        <v>0.899631625108658</v>
      </c>
      <c r="J1559" s="32" t="n">
        <f aca="false">IF(J1337&gt;0,J1333/J1337,0)</f>
        <v>0.912459444554051</v>
      </c>
      <c r="K1559" s="32" t="n">
        <f aca="false">IF(K1337&gt;0,K1333/K1337,0)</f>
        <v>0.945346751531936</v>
      </c>
    </row>
    <row r="1560" customFormat="false" ht="15" hidden="false" customHeight="false" outlineLevel="0" collapsed="false">
      <c r="A1560" s="3" t="s">
        <v>420</v>
      </c>
      <c r="G1560" s="32" t="n">
        <f aca="false">IF(G1337&gt;0,G1336/G1337,0)</f>
        <v>0.20316175818306</v>
      </c>
      <c r="H1560" s="32" t="n">
        <f aca="false">IF(H1337&gt;0,H1336/H1337,0)</f>
        <v>0.125405512651662</v>
      </c>
      <c r="I1560" s="32" t="n">
        <f aca="false">IF(I1337&gt;0,I1336/I1337,0)</f>
        <v>0.112492039835566</v>
      </c>
      <c r="J1560" s="32" t="n">
        <f aca="false">IF(J1337&gt;0,J1336/J1337,0)</f>
        <v>0.123379355508513</v>
      </c>
      <c r="K1560" s="32" t="n">
        <f aca="false">IF(K1337&gt;0,K1336/K1337,0)</f>
        <v>0.146406265534401</v>
      </c>
    </row>
    <row r="1561" customFormat="false" ht="15" hidden="false" customHeight="false" outlineLevel="0" collapsed="false">
      <c r="A1561" s="3" t="s">
        <v>213</v>
      </c>
      <c r="G1561" s="22" t="n">
        <f aca="false">IF(G1554&gt;0,G1346/G1554,0)</f>
        <v>-0.0177638180060978</v>
      </c>
      <c r="H1561" s="22" t="n">
        <f aca="false">IF(H1554&gt;0,H1346/H1554,0)</f>
        <v>-0.0262205597806979</v>
      </c>
      <c r="I1561" s="22" t="n">
        <f aca="false">IF(I1554&gt;0,I1346/I1554,0)</f>
        <v>-0.0276174967209842</v>
      </c>
      <c r="J1561" s="22" t="n">
        <f aca="false">IF(J1554&gt;0,J1346/J1554,0)</f>
        <v>-0.0266994159727908</v>
      </c>
      <c r="K1561" s="22" t="n">
        <f aca="false">IF(K1554&gt;0,K1346/K1554,0)</f>
        <v>-0.0245137160638455</v>
      </c>
    </row>
    <row r="1562" customFormat="false" ht="15" hidden="false" customHeight="false" outlineLevel="0" collapsed="false">
      <c r="A1562" s="3" t="s">
        <v>421</v>
      </c>
      <c r="G1562" s="32" t="n">
        <f aca="false">IF(G1337+G1538&gt;0,(G1333-G1344-G1341)/(G1337+G1538),0)</f>
        <v>0.745298526859104</v>
      </c>
      <c r="H1562" s="32" t="n">
        <f aca="false">IF(H1337+H1538&gt;0,(H1333-H1344-H1341)/(H1337+H1538),0)</f>
        <v>0.633940444194116</v>
      </c>
      <c r="I1562" s="32" t="n">
        <f aca="false">IF(I1337+I1538&gt;0,(I1333-I1344-I1341)/(I1337+I1538),0)</f>
        <v>0.611648781339491</v>
      </c>
      <c r="J1562" s="32" t="n">
        <f aca="false">IF(J1337+J1538&gt;0,(J1333-J1344-J1341)/(J1337+J1538),0)</f>
        <v>0.623517628652559</v>
      </c>
      <c r="K1562" s="32" t="n">
        <f aca="false">IF(K1337+K1538&gt;0,(K1333-K1344-K1341)/(K1337+K1538),0)</f>
        <v>0.652319655812009</v>
      </c>
    </row>
    <row r="1563" customFormat="false" ht="15" hidden="false" customHeight="false" outlineLevel="0" collapsed="false">
      <c r="A1563" s="3" t="s">
        <v>422</v>
      </c>
      <c r="G1563" s="16" t="n">
        <f aca="false">MAX(0,G1547)+Assumptions!$P$57*MAX(0,Assumptions!$D$57-G1370)+Assumptions!$P$58*MAX(0,Assumptions!$D$58-G1383)+Assumptions!$P$59*MAX(0,Assumptions!$D$59-G1396)+Assumptions!$P$60*MAX(0,Assumptions!$D$60-G1409)+Assumptions!$P$61*MAX(0,Assumptions!$D$61-G1422)+Assumptions!$P$62*MAX(0,Assumptions!$D$62-G1435)+Assumptions!$P$63*MAX(0,Assumptions!$D$63-G1448)+Assumptions!$P$64*MAX(0,Assumptions!$D$64-G1461)+Assumptions!$P$65*MAX(0,Assumptions!$D$65-G1474)+Assumptions!$P$66*MAX(0,Assumptions!$D$66-G1487)</f>
        <v>661.7944416</v>
      </c>
      <c r="H1563" s="16" t="n">
        <f aca="false">MAX(0,H1547)+Assumptions!$P$57*MAX(0,Assumptions!$D$57-H1370)+Assumptions!$P$58*MAX(0,Assumptions!$D$58-H1383)+Assumptions!$P$59*MAX(0,Assumptions!$D$59-H1396)+Assumptions!$P$60*MAX(0,Assumptions!$D$60-H1409)+Assumptions!$P$61*MAX(0,Assumptions!$D$61-H1422)+Assumptions!$P$62*MAX(0,Assumptions!$D$62-H1435)+Assumptions!$P$63*MAX(0,Assumptions!$D$63-H1448)+Assumptions!$P$64*MAX(0,Assumptions!$D$64-H1461)+Assumptions!$P$65*MAX(0,Assumptions!$D$65-H1474)+Assumptions!$P$66*MAX(0,Assumptions!$D$66-H1487)</f>
        <v>574.5</v>
      </c>
      <c r="I1563" s="16" t="n">
        <f aca="false">MAX(0,I1547)+Assumptions!$P$57*MAX(0,Assumptions!$D$57-I1370)+Assumptions!$P$58*MAX(0,Assumptions!$D$58-I1383)+Assumptions!$P$59*MAX(0,Assumptions!$D$59-I1396)+Assumptions!$P$60*MAX(0,Assumptions!$D$60-I1409)+Assumptions!$P$61*MAX(0,Assumptions!$D$61-I1422)+Assumptions!$P$62*MAX(0,Assumptions!$D$62-I1435)+Assumptions!$P$63*MAX(0,Assumptions!$D$63-I1448)+Assumptions!$P$64*MAX(0,Assumptions!$D$64-I1461)+Assumptions!$P$65*MAX(0,Assumptions!$D$65-I1474)+Assumptions!$P$66*MAX(0,Assumptions!$D$66-I1487)</f>
        <v>574.5</v>
      </c>
      <c r="J1563" s="16" t="n">
        <f aca="false">MAX(0,J1547)+Assumptions!$P$57*MAX(0,Assumptions!$D$57-J1370)+Assumptions!$P$58*MAX(0,Assumptions!$D$58-J1383)+Assumptions!$P$59*MAX(0,Assumptions!$D$59-J1396)+Assumptions!$P$60*MAX(0,Assumptions!$D$60-J1409)+Assumptions!$P$61*MAX(0,Assumptions!$D$61-J1422)+Assumptions!$P$62*MAX(0,Assumptions!$D$62-J1435)+Assumptions!$P$63*MAX(0,Assumptions!$D$63-J1448)+Assumptions!$P$64*MAX(0,Assumptions!$D$64-J1461)+Assumptions!$P$65*MAX(0,Assumptions!$D$65-J1474)+Assumptions!$P$66*MAX(0,Assumptions!$D$66-J1487)</f>
        <v>574.5</v>
      </c>
      <c r="K1563" s="16" t="n">
        <f aca="false">MAX(0,K1547)+Assumptions!$P$57*MAX(0,Assumptions!$D$57-K1370)+Assumptions!$P$58*MAX(0,Assumptions!$D$58-K1383)+Assumptions!$P$59*MAX(0,Assumptions!$D$59-K1396)+Assumptions!$P$60*MAX(0,Assumptions!$D$60-K1409)+Assumptions!$P$61*MAX(0,Assumptions!$D$61-K1422)+Assumptions!$P$62*MAX(0,Assumptions!$D$62-K1435)+Assumptions!$P$63*MAX(0,Assumptions!$D$63-K1448)+Assumptions!$P$64*MAX(0,Assumptions!$D$64-K1461)+Assumptions!$P$65*MAX(0,Assumptions!$D$65-K1474)+Assumptions!$P$66*MAX(0,Assumptions!$D$66-K1487)</f>
        <v>574.5</v>
      </c>
    </row>
    <row r="1564" customFormat="false" ht="15" hidden="false" customHeight="false" outlineLevel="0" collapsed="false">
      <c r="A1564" s="3" t="s">
        <v>423</v>
      </c>
      <c r="G1564" s="22" t="n">
        <f aca="false">IF(G1554&gt;0,G1554/(G1554+MAX(0,G1333*CHOOSE($C$1316,Assumptions!$C$90,Assumptions!$C$109,Assumptions!$C$128)-G1556)),0)</f>
        <v>1</v>
      </c>
      <c r="H1564" s="22" t="n">
        <f aca="false">IF(H1554&gt;0,H1554/(H1554+MAX(0,H1333*CHOOSE($C$1316,Assumptions!$C$90,Assumptions!$C$109,Assumptions!$C$128)-H1556)),0)</f>
        <v>1</v>
      </c>
      <c r="I1564" s="22" t="n">
        <f aca="false">IF(I1554&gt;0,I1554/(I1554+MAX(0,I1333*CHOOSE($C$1316,Assumptions!$C$90,Assumptions!$C$109,Assumptions!$C$128)-I1556)),0)</f>
        <v>1</v>
      </c>
      <c r="J1564" s="22" t="n">
        <f aca="false">IF(J1554&gt;0,J1554/(J1554+MAX(0,J1333*CHOOSE($C$1316,Assumptions!$C$90,Assumptions!$C$109,Assumptions!$C$128)-J1556)),0)</f>
        <v>1</v>
      </c>
      <c r="K1564" s="22" t="n">
        <f aca="false">IF(K1554&gt;0,K1554/(K1554+MAX(0,K1333*CHOOSE($C$1316,Assumptions!$C$90,Assumptions!$C$109,Assumptions!$C$128)-K1556)),0)</f>
        <v>1</v>
      </c>
    </row>
    <row r="1565" customFormat="false" ht="15" hidden="false" customHeight="false" outlineLevel="0" collapsed="false">
      <c r="A1565" s="3" t="s">
        <v>424</v>
      </c>
      <c r="G1565" s="22" t="n">
        <f aca="false">IF(G1554&gt;0,MAX(0,G1547)/G1554,0)</f>
        <v>0.0332939126614171</v>
      </c>
      <c r="H1565" s="22" t="n">
        <f aca="false">IF(H1554&gt;0,MAX(0,H1547)/H1554,0)</f>
        <v>0</v>
      </c>
      <c r="I1565" s="22" t="n">
        <f aca="false">IF(I1554&gt;0,MAX(0,I1547)/I1554,0)</f>
        <v>0</v>
      </c>
      <c r="J1565" s="22" t="n">
        <f aca="false">IF(J1554&gt;0,MAX(0,J1547)/J1554,0)</f>
        <v>0</v>
      </c>
      <c r="K1565" s="22" t="n">
        <f aca="false">IF(K1554&gt;0,MAX(0,K1547)/K1554,0)</f>
        <v>0</v>
      </c>
    </row>
    <row r="1566" customFormat="false" ht="15" hidden="false" customHeight="false" outlineLevel="0" collapsed="false">
      <c r="A1566" s="3" t="s">
        <v>425</v>
      </c>
      <c r="G1566" s="16" t="n">
        <f aca="false">Assumptions!$C$31*(1-CHOOSE($C$1316,Assumptions!$C$93,Assumptions!$C$112,Assumptions!$C$131))</f>
        <v>3162.39046666667</v>
      </c>
      <c r="H1566" s="16" t="n">
        <f aca="false">Assumptions!$C$31*(1-CHOOSE($C$1316,Assumptions!$C$93,Assumptions!$C$112,Assumptions!$C$131))</f>
        <v>3162.39046666667</v>
      </c>
      <c r="I1566" s="16" t="n">
        <f aca="false">Assumptions!$C$31*(1-CHOOSE($C$1316,Assumptions!$C$93,Assumptions!$C$112,Assumptions!$C$131))</f>
        <v>3162.39046666667</v>
      </c>
      <c r="J1566" s="16" t="n">
        <f aca="false">Assumptions!$C$31*(1-CHOOSE($C$1316,Assumptions!$C$93,Assumptions!$C$112,Assumptions!$C$131))</f>
        <v>3162.39046666667</v>
      </c>
      <c r="K1566" s="16" t="n">
        <f aca="false">Assumptions!$C$31*(1-CHOOSE($C$1316,Assumptions!$C$93,Assumptions!$C$112,Assumptions!$C$131))</f>
        <v>3162.39046666667</v>
      </c>
    </row>
    <row r="1567" customFormat="false" ht="15" hidden="false" customHeight="false" outlineLevel="0" collapsed="false">
      <c r="A1567" s="24" t="s">
        <v>426</v>
      </c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</row>
    <row r="1568" customFormat="false" ht="15" hidden="false" customHeight="false" outlineLevel="0" collapsed="false">
      <c r="A1568" s="24" t="s">
        <v>427</v>
      </c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</row>
    <row r="1569" customFormat="false" ht="15" hidden="false" customHeight="false" outlineLevel="0" collapsed="false">
      <c r="A1569" s="3" t="s">
        <v>428</v>
      </c>
      <c r="G1569" s="22" t="n">
        <f aca="false">IF(G1566&gt;0,G1554/G1566,99)</f>
        <v>0.829098755399318</v>
      </c>
      <c r="H1569" s="22" t="n">
        <f aca="false">IF(H1566&gt;0,H1554/H1566,99)</f>
        <v>0.823076336124801</v>
      </c>
      <c r="I1569" s="22" t="n">
        <f aca="false">IF(I1566&gt;0,I1554/I1566,99)</f>
        <v>0.821811470181724</v>
      </c>
      <c r="J1569" s="22" t="n">
        <f aca="false">IF(J1566&gt;0,J1554/J1566,99)</f>
        <v>0.820546604238646</v>
      </c>
      <c r="K1569" s="22" t="n">
        <f aca="false">IF(K1566&gt;0,K1554/K1566,99)</f>
        <v>0.819281738295568</v>
      </c>
    </row>
    <row r="1570" customFormat="false" ht="15" hidden="false" customHeight="false" outlineLevel="0" collapsed="false">
      <c r="A1570" s="3" t="s">
        <v>429</v>
      </c>
      <c r="G1570" s="33" t="n">
        <f aca="false">Assumptions!$G$71</f>
        <v>0.6</v>
      </c>
      <c r="H1570" s="33" t="n">
        <f aca="false">Assumptions!$H$71</f>
        <v>0.6</v>
      </c>
      <c r="I1570" s="33" t="n">
        <f aca="false">Assumptions!$I$71</f>
        <v>0.6</v>
      </c>
      <c r="J1570" s="33" t="n">
        <f aca="false">Assumptions!$J$71</f>
        <v>0.6</v>
      </c>
      <c r="K1570" s="33" t="n">
        <f aca="false">Assumptions!$K$71</f>
        <v>0.6</v>
      </c>
    </row>
    <row r="1571" customFormat="false" ht="15" hidden="false" customHeight="false" outlineLevel="0" collapsed="false">
      <c r="A1571" s="3" t="s">
        <v>430</v>
      </c>
      <c r="G1571" s="22" t="n">
        <f aca="false">G1570-G1569</f>
        <v>-0.229098755399318</v>
      </c>
      <c r="H1571" s="22" t="n">
        <f aca="false">H1570-H1569</f>
        <v>-0.223076336124801</v>
      </c>
      <c r="I1571" s="22" t="n">
        <f aca="false">I1570-I1569</f>
        <v>-0.221811470181724</v>
      </c>
      <c r="J1571" s="22" t="n">
        <f aca="false">J1570-J1569</f>
        <v>-0.220546604238646</v>
      </c>
      <c r="K1571" s="22" t="n">
        <f aca="false">K1570-K1569</f>
        <v>-0.219281738295568</v>
      </c>
    </row>
    <row r="1572" customFormat="false" ht="15" hidden="false" customHeight="false" outlineLevel="0" collapsed="false">
      <c r="A1572" s="3" t="s">
        <v>431</v>
      </c>
      <c r="G1572" s="22" t="n">
        <f aca="false">IF(G1570=0,0,G1571/ABS(G1570))</f>
        <v>-0.381831258998863</v>
      </c>
      <c r="H1572" s="22" t="n">
        <f aca="false">IF(H1570=0,0,H1571/ABS(H1570))</f>
        <v>-0.371793893541335</v>
      </c>
      <c r="I1572" s="22" t="n">
        <f aca="false">IF(I1570=0,0,I1571/ABS(I1570))</f>
        <v>-0.369685783636206</v>
      </c>
      <c r="J1572" s="22" t="n">
        <f aca="false">IF(J1570=0,0,J1571/ABS(J1570))</f>
        <v>-0.367577673731077</v>
      </c>
      <c r="K1572" s="22" t="n">
        <f aca="false">IF(K1570=0,0,K1571/ABS(K1570))</f>
        <v>-0.365469563825947</v>
      </c>
    </row>
    <row r="1573" customFormat="false" ht="15" hidden="false" customHeight="false" outlineLevel="0" collapsed="false">
      <c r="A1573" s="3" t="s">
        <v>432</v>
      </c>
      <c r="G1573" s="21" t="n">
        <f aca="false">IF(G1571&lt;0,1,0)</f>
        <v>1</v>
      </c>
      <c r="H1573" s="21" t="n">
        <f aca="false">IF(H1571&lt;0,1,0)</f>
        <v>1</v>
      </c>
      <c r="I1573" s="21" t="n">
        <f aca="false">IF(I1571&lt;0,1,0)</f>
        <v>1</v>
      </c>
      <c r="J1573" s="21" t="n">
        <f aca="false">IF(J1571&lt;0,1,0)</f>
        <v>1</v>
      </c>
      <c r="K1573" s="21" t="n">
        <f aca="false">IF(K1571&lt;0,1,0)</f>
        <v>1</v>
      </c>
    </row>
    <row r="1574" customFormat="false" ht="15" hidden="false" customHeight="false" outlineLevel="0" collapsed="false">
      <c r="A1574" s="3" t="s">
        <v>433</v>
      </c>
      <c r="C1574" s="21" t="n">
        <f aca="false">IFERROR(INDEX($G$1323:$K$1323,MATCH(1,$G$1573:$K$1573,0)),0)</f>
        <v>2027</v>
      </c>
    </row>
    <row r="1575" customFormat="false" ht="15" hidden="false" customHeight="false" outlineLevel="0" collapsed="false">
      <c r="A1575" s="3" t="s">
        <v>434</v>
      </c>
      <c r="C1575" s="22" t="n">
        <f aca="false">MIN($G$1572:$K$1572)</f>
        <v>-0.381831258998863</v>
      </c>
    </row>
    <row r="1576" customFormat="false" ht="15" hidden="false" customHeight="false" outlineLevel="0" collapsed="false">
      <c r="A1576" s="24" t="s">
        <v>435</v>
      </c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</row>
    <row r="1577" customFormat="false" ht="15" hidden="false" customHeight="false" outlineLevel="0" collapsed="false">
      <c r="A1577" s="3" t="s">
        <v>428</v>
      </c>
      <c r="G1577" s="32" t="n">
        <f aca="false">IF(G1337&gt;0,G1333/G1337,99)</f>
        <v>1.06025908412371</v>
      </c>
      <c r="H1577" s="32" t="n">
        <f aca="false">IF(H1337&gt;0,H1333/H1337,99)</f>
        <v>0.927444011573365</v>
      </c>
      <c r="I1577" s="32" t="n">
        <f aca="false">IF(I1337&gt;0,I1333/I1337,99)</f>
        <v>0.899631625108658</v>
      </c>
      <c r="J1577" s="32" t="n">
        <f aca="false">IF(J1337&gt;0,J1333/J1337,99)</f>
        <v>0.912459444554051</v>
      </c>
      <c r="K1577" s="32" t="n">
        <f aca="false">IF(K1337&gt;0,K1333/K1337,99)</f>
        <v>0.945346751531936</v>
      </c>
    </row>
    <row r="1578" customFormat="false" ht="15" hidden="false" customHeight="false" outlineLevel="0" collapsed="false">
      <c r="A1578" s="3" t="s">
        <v>429</v>
      </c>
      <c r="G1578" s="34" t="n">
        <f aca="false">Assumptions!$G$72</f>
        <v>1.5</v>
      </c>
      <c r="H1578" s="34" t="n">
        <f aca="false">Assumptions!$H$72</f>
        <v>1.5</v>
      </c>
      <c r="I1578" s="34" t="n">
        <f aca="false">Assumptions!$I$72</f>
        <v>1.5</v>
      </c>
      <c r="J1578" s="34" t="n">
        <f aca="false">Assumptions!$J$72</f>
        <v>1.5</v>
      </c>
      <c r="K1578" s="34" t="n">
        <f aca="false">Assumptions!$K$72</f>
        <v>1.5</v>
      </c>
    </row>
    <row r="1579" customFormat="false" ht="15" hidden="false" customHeight="false" outlineLevel="0" collapsed="false">
      <c r="A1579" s="3" t="s">
        <v>430</v>
      </c>
      <c r="G1579" s="32" t="n">
        <f aca="false">G1577-G1578</f>
        <v>-0.439740915876287</v>
      </c>
      <c r="H1579" s="32" t="n">
        <f aca="false">H1577-H1578</f>
        <v>-0.572555988426635</v>
      </c>
      <c r="I1579" s="32" t="n">
        <f aca="false">I1577-I1578</f>
        <v>-0.600368374891342</v>
      </c>
      <c r="J1579" s="32" t="n">
        <f aca="false">J1577-J1578</f>
        <v>-0.58754055544595</v>
      </c>
      <c r="K1579" s="32" t="n">
        <f aca="false">K1577-K1578</f>
        <v>-0.554653248468064</v>
      </c>
    </row>
    <row r="1580" customFormat="false" ht="15" hidden="false" customHeight="false" outlineLevel="0" collapsed="false">
      <c r="A1580" s="3" t="s">
        <v>431</v>
      </c>
      <c r="G1580" s="22" t="n">
        <f aca="false">IF(G1578=0,0,G1579/ABS(G1578))</f>
        <v>-0.293160610584191</v>
      </c>
      <c r="H1580" s="22" t="n">
        <f aca="false">IF(H1578=0,0,H1579/ABS(H1578))</f>
        <v>-0.381703992284423</v>
      </c>
      <c r="I1580" s="22" t="n">
        <f aca="false">IF(I1578=0,0,I1579/ABS(I1578))</f>
        <v>-0.400245583260895</v>
      </c>
      <c r="J1580" s="22" t="n">
        <f aca="false">IF(J1578=0,0,J1579/ABS(J1578))</f>
        <v>-0.391693703630633</v>
      </c>
      <c r="K1580" s="22" t="n">
        <f aca="false">IF(K1578=0,0,K1579/ABS(K1578))</f>
        <v>-0.369768832312043</v>
      </c>
    </row>
    <row r="1581" customFormat="false" ht="15" hidden="false" customHeight="false" outlineLevel="0" collapsed="false">
      <c r="A1581" s="3" t="s">
        <v>432</v>
      </c>
      <c r="G1581" s="21" t="n">
        <f aca="false">IF(G1579&lt;0,1,0)</f>
        <v>1</v>
      </c>
      <c r="H1581" s="21" t="n">
        <f aca="false">IF(H1579&lt;0,1,0)</f>
        <v>1</v>
      </c>
      <c r="I1581" s="21" t="n">
        <f aca="false">IF(I1579&lt;0,1,0)</f>
        <v>1</v>
      </c>
      <c r="J1581" s="21" t="n">
        <f aca="false">IF(J1579&lt;0,1,0)</f>
        <v>1</v>
      </c>
      <c r="K1581" s="21" t="n">
        <f aca="false">IF(K1579&lt;0,1,0)</f>
        <v>1</v>
      </c>
    </row>
    <row r="1582" customFormat="false" ht="15" hidden="false" customHeight="false" outlineLevel="0" collapsed="false">
      <c r="A1582" s="3" t="s">
        <v>433</v>
      </c>
      <c r="C1582" s="21" t="n">
        <f aca="false">IFERROR(INDEX($G$1323:$K$1323,MATCH(1,$G$1581:$K$1581,0)),0)</f>
        <v>2027</v>
      </c>
    </row>
    <row r="1583" customFormat="false" ht="15" hidden="false" customHeight="false" outlineLevel="0" collapsed="false">
      <c r="A1583" s="3" t="s">
        <v>434</v>
      </c>
      <c r="C1583" s="22" t="n">
        <f aca="false">MIN($G$1580:$K$1580)</f>
        <v>-0.400245583260895</v>
      </c>
    </row>
    <row r="1584" customFormat="false" ht="15" hidden="false" customHeight="false" outlineLevel="0" collapsed="false">
      <c r="A1584" s="24" t="s">
        <v>436</v>
      </c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</row>
    <row r="1585" customFormat="false" ht="15" hidden="false" customHeight="false" outlineLevel="0" collapsed="false">
      <c r="A1585" s="3" t="s">
        <v>428</v>
      </c>
      <c r="G1585" s="22" t="n">
        <f aca="false">IF(G1566&gt;0,G1555/G1566,99)</f>
        <v>0.171808005914176</v>
      </c>
      <c r="H1585" s="22" t="n">
        <f aca="false">IF(H1566&gt;0,H1555/H1566,99)</f>
        <v>0.170543139971098</v>
      </c>
      <c r="I1585" s="22" t="n">
        <f aca="false">IF(I1566&gt;0,I1555/I1566,99)</f>
        <v>0.169278274028021</v>
      </c>
      <c r="J1585" s="22" t="n">
        <f aca="false">IF(J1566&gt;0,J1555/J1566,99)</f>
        <v>0.168013408084943</v>
      </c>
      <c r="K1585" s="22" t="n">
        <f aca="false">IF(K1566&gt;0,K1555/K1566,99)</f>
        <v>0.166748542141865</v>
      </c>
    </row>
    <row r="1586" customFormat="false" ht="15" hidden="false" customHeight="false" outlineLevel="0" collapsed="false">
      <c r="A1586" s="3" t="s">
        <v>429</v>
      </c>
      <c r="G1586" s="33" t="n">
        <f aca="false">Assumptions!$G$73</f>
        <v>0.4</v>
      </c>
      <c r="H1586" s="33" t="n">
        <f aca="false">Assumptions!$H$73</f>
        <v>0.4</v>
      </c>
      <c r="I1586" s="33" t="n">
        <f aca="false">Assumptions!$I$73</f>
        <v>0.4</v>
      </c>
      <c r="J1586" s="33" t="n">
        <f aca="false">Assumptions!$J$73</f>
        <v>0.4</v>
      </c>
      <c r="K1586" s="33" t="n">
        <f aca="false">Assumptions!$K$73</f>
        <v>0.4</v>
      </c>
    </row>
    <row r="1587" customFormat="false" ht="15" hidden="false" customHeight="false" outlineLevel="0" collapsed="false">
      <c r="A1587" s="3" t="s">
        <v>430</v>
      </c>
      <c r="G1587" s="22" t="n">
        <f aca="false">G1586-G1585</f>
        <v>0.228191994085824</v>
      </c>
      <c r="H1587" s="22" t="n">
        <f aca="false">H1586-H1585</f>
        <v>0.229456860028902</v>
      </c>
      <c r="I1587" s="22" t="n">
        <f aca="false">I1586-I1585</f>
        <v>0.230721725971979</v>
      </c>
      <c r="J1587" s="22" t="n">
        <f aca="false">J1586-J1585</f>
        <v>0.231986591915057</v>
      </c>
      <c r="K1587" s="22" t="n">
        <f aca="false">K1586-K1585</f>
        <v>0.233251457858135</v>
      </c>
    </row>
    <row r="1588" customFormat="false" ht="15" hidden="false" customHeight="false" outlineLevel="0" collapsed="false">
      <c r="A1588" s="3" t="s">
        <v>431</v>
      </c>
      <c r="G1588" s="22" t="n">
        <f aca="false">IF(G1586=0,0,G1587/ABS(G1586))</f>
        <v>0.57047998521456</v>
      </c>
      <c r="H1588" s="22" t="n">
        <f aca="false">IF(H1586=0,0,H1587/ABS(H1586))</f>
        <v>0.573642150072254</v>
      </c>
      <c r="I1588" s="22" t="n">
        <f aca="false">IF(I1586=0,0,I1587/ABS(I1586))</f>
        <v>0.576804314929948</v>
      </c>
      <c r="J1588" s="22" t="n">
        <f aca="false">IF(J1586=0,0,J1587/ABS(J1586))</f>
        <v>0.579966479787643</v>
      </c>
      <c r="K1588" s="22" t="n">
        <f aca="false">IF(K1586=0,0,K1587/ABS(K1586))</f>
        <v>0.583128644645337</v>
      </c>
    </row>
    <row r="1589" customFormat="false" ht="15" hidden="false" customHeight="false" outlineLevel="0" collapsed="false">
      <c r="A1589" s="3" t="s">
        <v>432</v>
      </c>
      <c r="G1589" s="21" t="n">
        <f aca="false">IF(G1587&lt;0,1,0)</f>
        <v>0</v>
      </c>
      <c r="H1589" s="21" t="n">
        <f aca="false">IF(H1587&lt;0,1,0)</f>
        <v>0</v>
      </c>
      <c r="I1589" s="21" t="n">
        <f aca="false">IF(I1587&lt;0,1,0)</f>
        <v>0</v>
      </c>
      <c r="J1589" s="21" t="n">
        <f aca="false">IF(J1587&lt;0,1,0)</f>
        <v>0</v>
      </c>
      <c r="K1589" s="21" t="n">
        <f aca="false">IF(K1587&lt;0,1,0)</f>
        <v>0</v>
      </c>
    </row>
    <row r="1590" customFormat="false" ht="15" hidden="false" customHeight="false" outlineLevel="0" collapsed="false">
      <c r="A1590" s="3" t="s">
        <v>433</v>
      </c>
      <c r="C1590" s="21" t="n">
        <f aca="false">IFERROR(INDEX($G$1323:$K$1323,MATCH(1,$G$1589:$K$1589,0)),0)</f>
        <v>0</v>
      </c>
    </row>
    <row r="1591" customFormat="false" ht="15" hidden="false" customHeight="false" outlineLevel="0" collapsed="false">
      <c r="A1591" s="3" t="s">
        <v>434</v>
      </c>
      <c r="C1591" s="22" t="n">
        <f aca="false">MIN($G$1588:$K$1588)</f>
        <v>0.57047998521456</v>
      </c>
    </row>
    <row r="1592" customFormat="false" ht="15" hidden="false" customHeight="false" outlineLevel="0" collapsed="false">
      <c r="A1592" s="24" t="s">
        <v>437</v>
      </c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</row>
    <row r="1593" customFormat="false" ht="15" hidden="false" customHeight="false" outlineLevel="0" collapsed="false">
      <c r="A1593" s="3" t="s">
        <v>428</v>
      </c>
      <c r="G1593" s="16" t="n">
        <f aca="false">G1563</f>
        <v>661.7944416</v>
      </c>
      <c r="H1593" s="16" t="n">
        <f aca="false">H1563</f>
        <v>574.5</v>
      </c>
      <c r="I1593" s="16" t="n">
        <f aca="false">I1563</f>
        <v>574.5</v>
      </c>
      <c r="J1593" s="16" t="n">
        <f aca="false">J1563</f>
        <v>574.5</v>
      </c>
      <c r="K1593" s="16" t="n">
        <f aca="false">K1563</f>
        <v>574.5</v>
      </c>
    </row>
    <row r="1594" customFormat="false" ht="15" hidden="false" customHeight="false" outlineLevel="0" collapsed="false">
      <c r="A1594" s="3" t="s">
        <v>429</v>
      </c>
      <c r="G1594" s="29" t="n">
        <f aca="false">Assumptions!$G$74</f>
        <v>100</v>
      </c>
      <c r="H1594" s="29" t="n">
        <f aca="false">Assumptions!$H$74</f>
        <v>100</v>
      </c>
      <c r="I1594" s="29" t="n">
        <f aca="false">Assumptions!$I$74</f>
        <v>100</v>
      </c>
      <c r="J1594" s="29" t="n">
        <f aca="false">Assumptions!$J$74</f>
        <v>100</v>
      </c>
      <c r="K1594" s="29" t="n">
        <f aca="false">Assumptions!$K$74</f>
        <v>100</v>
      </c>
    </row>
    <row r="1595" customFormat="false" ht="15" hidden="false" customHeight="false" outlineLevel="0" collapsed="false">
      <c r="A1595" s="3" t="s">
        <v>430</v>
      </c>
      <c r="G1595" s="16" t="n">
        <f aca="false">G1593-G1594</f>
        <v>561.7944416</v>
      </c>
      <c r="H1595" s="16" t="n">
        <f aca="false">H1593-H1594</f>
        <v>474.5</v>
      </c>
      <c r="I1595" s="16" t="n">
        <f aca="false">I1593-I1594</f>
        <v>474.5</v>
      </c>
      <c r="J1595" s="16" t="n">
        <f aca="false">J1593-J1594</f>
        <v>474.5</v>
      </c>
      <c r="K1595" s="16" t="n">
        <f aca="false">K1593-K1594</f>
        <v>474.5</v>
      </c>
    </row>
    <row r="1596" customFormat="false" ht="15" hidden="false" customHeight="false" outlineLevel="0" collapsed="false">
      <c r="A1596" s="3" t="s">
        <v>431</v>
      </c>
      <c r="G1596" s="22" t="n">
        <f aca="false">IF(G1594=0,0,G1595/ABS(G1594))</f>
        <v>5.617944416</v>
      </c>
      <c r="H1596" s="22" t="n">
        <f aca="false">IF(H1594=0,0,H1595/ABS(H1594))</f>
        <v>4.745</v>
      </c>
      <c r="I1596" s="22" t="n">
        <f aca="false">IF(I1594=0,0,I1595/ABS(I1594))</f>
        <v>4.745</v>
      </c>
      <c r="J1596" s="22" t="n">
        <f aca="false">IF(J1594=0,0,J1595/ABS(J1594))</f>
        <v>4.745</v>
      </c>
      <c r="K1596" s="22" t="n">
        <f aca="false">IF(K1594=0,0,K1595/ABS(K1594))</f>
        <v>4.745</v>
      </c>
    </row>
    <row r="1597" customFormat="false" ht="15" hidden="false" customHeight="false" outlineLevel="0" collapsed="false">
      <c r="A1597" s="3" t="s">
        <v>432</v>
      </c>
      <c r="G1597" s="21" t="n">
        <f aca="false">IF(G1595&lt;0,1,0)</f>
        <v>0</v>
      </c>
      <c r="H1597" s="21" t="n">
        <f aca="false">IF(H1595&lt;0,1,0)</f>
        <v>0</v>
      </c>
      <c r="I1597" s="21" t="n">
        <f aca="false">IF(I1595&lt;0,1,0)</f>
        <v>0</v>
      </c>
      <c r="J1597" s="21" t="n">
        <f aca="false">IF(J1595&lt;0,1,0)</f>
        <v>0</v>
      </c>
      <c r="K1597" s="21" t="n">
        <f aca="false">IF(K1595&lt;0,1,0)</f>
        <v>0</v>
      </c>
    </row>
    <row r="1598" customFormat="false" ht="15" hidden="false" customHeight="false" outlineLevel="0" collapsed="false">
      <c r="A1598" s="3" t="s">
        <v>433</v>
      </c>
      <c r="C1598" s="21" t="n">
        <f aca="false">IFERROR(INDEX($G$1323:$K$1323,MATCH(1,$G$1597:$K$1597,0)),0)</f>
        <v>0</v>
      </c>
    </row>
    <row r="1599" customFormat="false" ht="15" hidden="false" customHeight="false" outlineLevel="0" collapsed="false">
      <c r="A1599" s="3" t="s">
        <v>434</v>
      </c>
      <c r="C1599" s="22" t="n">
        <f aca="false">MIN($G$1596:$K$1596)</f>
        <v>4.745</v>
      </c>
    </row>
    <row r="1600" customFormat="false" ht="15" hidden="false" customHeight="false" outlineLevel="0" collapsed="false">
      <c r="A1600" s="24" t="s">
        <v>438</v>
      </c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</row>
    <row r="1601" customFormat="false" ht="15" hidden="false" customHeight="false" outlineLevel="0" collapsed="false">
      <c r="A1601" s="3" t="s">
        <v>428</v>
      </c>
      <c r="G1601" s="32" t="n">
        <f aca="false">IF(G1333&gt;0,G1556/G1333,99)</f>
        <v>12.2866312534504</v>
      </c>
      <c r="H1601" s="32" t="n">
        <f aca="false">IF(H1333&gt;0,H1556/H1333,99)</f>
        <v>14.5137170159321</v>
      </c>
      <c r="I1601" s="32" t="n">
        <f aca="false">IF(I1333&gt;0,I1556/I1333,99)</f>
        <v>15.5560738236619</v>
      </c>
      <c r="J1601" s="32" t="n">
        <f aca="false">IF(J1333&gt;0,J1556/J1333,99)</f>
        <v>15.7734539449449</v>
      </c>
      <c r="K1601" s="32" t="n">
        <f aca="false">IF(K1333&gt;0,K1556/K1333,99)</f>
        <v>15.6156103833885</v>
      </c>
    </row>
    <row r="1602" customFormat="false" ht="15" hidden="false" customHeight="false" outlineLevel="0" collapsed="false">
      <c r="A1602" s="3" t="s">
        <v>429</v>
      </c>
      <c r="G1602" s="34" t="n">
        <f aca="false">Assumptions!$G$75</f>
        <v>10.5</v>
      </c>
      <c r="H1602" s="34" t="n">
        <f aca="false">Assumptions!$H$75</f>
        <v>10.5</v>
      </c>
      <c r="I1602" s="34" t="n">
        <f aca="false">Assumptions!$I$75</f>
        <v>10</v>
      </c>
      <c r="J1602" s="34" t="n">
        <f aca="false">Assumptions!$J$75</f>
        <v>10</v>
      </c>
      <c r="K1602" s="34" t="n">
        <f aca="false">Assumptions!$K$75</f>
        <v>9.5</v>
      </c>
    </row>
    <row r="1603" customFormat="false" ht="15" hidden="false" customHeight="false" outlineLevel="0" collapsed="false">
      <c r="A1603" s="3" t="s">
        <v>430</v>
      </c>
      <c r="G1603" s="32" t="n">
        <f aca="false">G1602-G1601</f>
        <v>-1.78663125345038</v>
      </c>
      <c r="H1603" s="32" t="n">
        <f aca="false">H1602-H1601</f>
        <v>-4.01371701593214</v>
      </c>
      <c r="I1603" s="32" t="n">
        <f aca="false">I1602-I1601</f>
        <v>-5.55607382366189</v>
      </c>
      <c r="J1603" s="32" t="n">
        <f aca="false">J1602-J1601</f>
        <v>-5.7734539449449</v>
      </c>
      <c r="K1603" s="32" t="n">
        <f aca="false">K1602-K1601</f>
        <v>-6.11561038338853</v>
      </c>
    </row>
    <row r="1604" customFormat="false" ht="15" hidden="false" customHeight="false" outlineLevel="0" collapsed="false">
      <c r="A1604" s="3" t="s">
        <v>431</v>
      </c>
      <c r="G1604" s="22" t="n">
        <f aca="false">IF(G1602=0,0,G1603/ABS(G1602))</f>
        <v>-0.170155357471464</v>
      </c>
      <c r="H1604" s="22" t="n">
        <f aca="false">IF(H1602=0,0,H1603/ABS(H1602))</f>
        <v>-0.382258763422108</v>
      </c>
      <c r="I1604" s="22" t="n">
        <f aca="false">IF(I1602=0,0,I1603/ABS(I1602))</f>
        <v>-0.555607382366189</v>
      </c>
      <c r="J1604" s="22" t="n">
        <f aca="false">IF(J1602=0,0,J1603/ABS(J1602))</f>
        <v>-0.57734539449449</v>
      </c>
      <c r="K1604" s="22" t="n">
        <f aca="false">IF(K1602=0,0,K1603/ABS(K1602))</f>
        <v>-0.643748461409318</v>
      </c>
    </row>
    <row r="1605" customFormat="false" ht="15" hidden="false" customHeight="false" outlineLevel="0" collapsed="false">
      <c r="A1605" s="3" t="s">
        <v>432</v>
      </c>
      <c r="G1605" s="21" t="n">
        <f aca="false">IF(G1603&lt;0,1,0)</f>
        <v>1</v>
      </c>
      <c r="H1605" s="21" t="n">
        <f aca="false">IF(H1603&lt;0,1,0)</f>
        <v>1</v>
      </c>
      <c r="I1605" s="21" t="n">
        <f aca="false">IF(I1603&lt;0,1,0)</f>
        <v>1</v>
      </c>
      <c r="J1605" s="21" t="n">
        <f aca="false">IF(J1603&lt;0,1,0)</f>
        <v>1</v>
      </c>
      <c r="K1605" s="21" t="n">
        <f aca="false">IF(K1603&lt;0,1,0)</f>
        <v>1</v>
      </c>
    </row>
    <row r="1606" customFormat="false" ht="15" hidden="false" customHeight="false" outlineLevel="0" collapsed="false">
      <c r="A1606" s="3" t="s">
        <v>433</v>
      </c>
      <c r="C1606" s="21" t="n">
        <f aca="false">IFERROR(INDEX($G$1323:$K$1323,MATCH(1,$G$1605:$K$1605,0)),0)</f>
        <v>2027</v>
      </c>
    </row>
    <row r="1607" customFormat="false" ht="15" hidden="false" customHeight="false" outlineLevel="0" collapsed="false">
      <c r="A1607" s="3" t="s">
        <v>434</v>
      </c>
      <c r="C1607" s="22" t="n">
        <f aca="false">MIN($G$1604:$K$1604)</f>
        <v>-0.643748461409318</v>
      </c>
    </row>
    <row r="1608" customFormat="false" ht="15" hidden="false" customHeight="false" outlineLevel="0" collapsed="false">
      <c r="A1608" s="3" t="s">
        <v>439</v>
      </c>
      <c r="G1608" s="21" t="n">
        <f aca="false">G1573+G1581+G1589+G1597+G1605</f>
        <v>3</v>
      </c>
      <c r="H1608" s="21" t="n">
        <f aca="false">H1573+H1581+H1589+H1597+H1605</f>
        <v>3</v>
      </c>
      <c r="I1608" s="21" t="n">
        <f aca="false">I1573+I1581+I1589+I1597+I1605</f>
        <v>3</v>
      </c>
      <c r="J1608" s="21" t="n">
        <f aca="false">J1573+J1581+J1589+J1597+J1605</f>
        <v>3</v>
      </c>
      <c r="K1608" s="21" t="n">
        <f aca="false">K1573+K1581+K1589+K1597+K1605</f>
        <v>3</v>
      </c>
    </row>
    <row r="1609" customFormat="false" ht="15" hidden="false" customHeight="false" outlineLevel="0" collapsed="false">
      <c r="A1609" s="3" t="s">
        <v>440</v>
      </c>
      <c r="C1609" s="21" t="n">
        <f aca="false">SUM($G$1608:$K$1608)</f>
        <v>15</v>
      </c>
    </row>
    <row r="1610" customFormat="false" ht="15" hidden="false" customHeight="false" outlineLevel="0" collapsed="false">
      <c r="A1610" s="3" t="s">
        <v>441</v>
      </c>
      <c r="C1610" s="22" t="n">
        <f aca="false">MIN(C1575,C1583,C1591,C1599,C1607)</f>
        <v>-0.643748461409318</v>
      </c>
    </row>
    <row r="1612" customFormat="false" ht="15" hidden="false" customHeight="false" outlineLevel="0" collapsed="false">
      <c r="A1612" s="24" t="s">
        <v>543</v>
      </c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</row>
    <row r="1613" customFormat="false" ht="15" hidden="false" customHeight="false" outlineLevel="0" collapsed="false">
      <c r="A1613" s="3" t="s">
        <v>544</v>
      </c>
      <c r="G1613" s="21" t="n">
        <f aca="false">IF($C$1614=1,G1550,IF(G1333=MIN($G$1333:$K$1333),1,0))</f>
        <v>0</v>
      </c>
      <c r="H1613" s="21" t="n">
        <f aca="false">IF($C$1614=1,H1550,IF(AND(H1333=MIN($G$1333:$K$1333),SUM($G$1613:G1613)=0),1,0))</f>
        <v>1</v>
      </c>
      <c r="I1613" s="21" t="n">
        <f aca="false">IF($C$1614=1,I1550,IF(AND(I1333=MIN($G$1333:$K$1333),SUM($G$1613:H1613)=0),1,0))</f>
        <v>0</v>
      </c>
      <c r="J1613" s="21" t="n">
        <f aca="false">IF($C$1614=1,J1550,IF(AND(J1333=MIN($G$1333:$K$1333),SUM($G$1613:I1613)=0),1,0))</f>
        <v>0</v>
      </c>
      <c r="K1613" s="21" t="n">
        <f aca="false">IF($C$1614=1,K1550,IF(AND(K1333=MIN($G$1333:$K$1333),SUM($G$1613:J1613)=0),1,0))</f>
        <v>0</v>
      </c>
    </row>
    <row r="1614" customFormat="false" ht="15" hidden="false" customHeight="false" outlineLevel="0" collapsed="false">
      <c r="A1614" s="3" t="s">
        <v>545</v>
      </c>
      <c r="C1614" s="21" t="n">
        <f aca="false">IF(SUM($G$1550:$K$1550)&gt;0,1,0)</f>
        <v>1</v>
      </c>
    </row>
    <row r="1615" customFormat="false" ht="15" hidden="false" customHeight="false" outlineLevel="0" collapsed="false">
      <c r="A1615" s="3" t="s">
        <v>546</v>
      </c>
      <c r="C1615" s="21" t="n">
        <f aca="false">SUMPRODUCT($G$1613:$K$1613,$G$1323:$K$1323)</f>
        <v>2028</v>
      </c>
    </row>
    <row r="1616" customFormat="false" ht="15" hidden="false" customHeight="false" outlineLevel="0" collapsed="false">
      <c r="A1616" s="3" t="s">
        <v>547</v>
      </c>
      <c r="C1616" s="16" t="n">
        <f aca="false">SUMPRODUCT($G$1613:$K$1613,$G$1333:$K$1333)</f>
        <v>179.33991381</v>
      </c>
    </row>
    <row r="1617" customFormat="false" ht="15" hidden="false" customHeight="false" outlineLevel="0" collapsed="false">
      <c r="A1617" s="3" t="s">
        <v>548</v>
      </c>
      <c r="C1617" s="16" t="n">
        <f aca="false">MAX(0,SUMPRODUCT($G$1613:$K$1613,$G$1547:$K$1547))</f>
        <v>0</v>
      </c>
    </row>
    <row r="1618" customFormat="false" ht="15" hidden="false" customHeight="false" outlineLevel="0" collapsed="false">
      <c r="A1618" s="3" t="s">
        <v>549</v>
      </c>
      <c r="C1618" s="16" t="n">
        <f aca="false">(CHOOSE($C$1316,Assumptions!$C$92,Assumptions!$C$111,Assumptions!$C$130)+$C$1320)*C1616</f>
        <v>1434.71931048</v>
      </c>
    </row>
    <row r="1619" customFormat="false" ht="15" hidden="false" customHeight="false" outlineLevel="0" collapsed="false">
      <c r="A1619" s="3" t="s">
        <v>550</v>
      </c>
      <c r="C1619" s="16" t="n">
        <f aca="false">Assumptions!$C$31*(1-CHOOSE($C$1316,Assumptions!$C$93,Assumptions!$C$112,Assumptions!$C$131))*CHOOSE($C$1316,Assumptions!$C$94,Assumptions!$C$113,Assumptions!$C$132)</f>
        <v>2688.03189666667</v>
      </c>
    </row>
    <row r="1620" customFormat="false" ht="15" hidden="false" customHeight="false" outlineLevel="0" collapsed="false">
      <c r="A1620" s="3" t="s">
        <v>551</v>
      </c>
      <c r="C1620" s="16" t="n">
        <f aca="false">MAX(C1618,C1619)+C1617</f>
        <v>2688.03189666667</v>
      </c>
    </row>
    <row r="1621" customFormat="false" ht="15" hidden="false" customHeight="false" outlineLevel="0" collapsed="false">
      <c r="A1621" s="2" t="s">
        <v>552</v>
      </c>
      <c r="C1621" s="17" t="n">
        <f aca="false">IF(ISNUMBER(Assumptions!$C$14),Assumptions!$C$14,C1620)</f>
        <v>2688.03189666667</v>
      </c>
    </row>
    <row r="1622" customFormat="false" ht="15" hidden="false" customHeight="false" outlineLevel="0" collapsed="false">
      <c r="A1622" s="3" t="s">
        <v>553</v>
      </c>
      <c r="C1622" s="16" t="n">
        <f aca="false">C1621*Assumptions!$C$15</f>
        <v>107.521275866667</v>
      </c>
    </row>
    <row r="1623" customFormat="false" ht="15" hidden="false" customHeight="false" outlineLevel="0" collapsed="false">
      <c r="A1623" s="2" t="s">
        <v>554</v>
      </c>
      <c r="C1623" s="17" t="n">
        <f aca="false">C1621-C1622</f>
        <v>2580.5106208</v>
      </c>
    </row>
    <row r="1624" customFormat="false" ht="15" hidden="false" customHeight="false" outlineLevel="0" collapsed="false">
      <c r="A1624" s="24" t="s">
        <v>555</v>
      </c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</row>
    <row r="1625" customFormat="false" ht="15" hidden="false" customHeight="false" outlineLevel="0" collapsed="false">
      <c r="A1625" s="3" t="s">
        <v>556</v>
      </c>
      <c r="C1625" s="16" t="n">
        <f aca="false">SUMPRODUCT($G$1613:$K$1613,$G$1370:$K$1370)*(1+SUMPRODUCT($G$1613:$K$1613,$G$1362:$K$1362)*Assumptions!$C$16/12)</f>
        <v>403.76</v>
      </c>
    </row>
    <row r="1626" customFormat="false" ht="15" hidden="false" customHeight="false" outlineLevel="0" collapsed="false">
      <c r="A1626" s="3" t="s">
        <v>557</v>
      </c>
      <c r="C1626" s="16" t="n">
        <f aca="false">SUMPRODUCT($G$1613:$K$1613,$G$1383:$K$1383)*(1+SUMPRODUCT($G$1613:$K$1613,$G$1375:$K$1375)*Assumptions!$C$16/12)</f>
        <v>91.30725</v>
      </c>
    </row>
    <row r="1627" customFormat="false" ht="15" hidden="false" customHeight="false" outlineLevel="0" collapsed="false">
      <c r="A1627" s="3" t="s">
        <v>558</v>
      </c>
      <c r="C1627" s="16" t="n">
        <f aca="false">SUMPRODUCT($G$1613:$K$1613,$G$1396:$K$1396)*(1+SUMPRODUCT($G$1613:$K$1613,$G$1388:$K$1388)*Assumptions!$C$16/12)</f>
        <v>58.3715961</v>
      </c>
    </row>
    <row r="1628" customFormat="false" ht="15" hidden="false" customHeight="false" outlineLevel="0" collapsed="false">
      <c r="A1628" s="3" t="s">
        <v>559</v>
      </c>
      <c r="C1628" s="16" t="n">
        <f aca="false">SUMPRODUCT($G$1613:$K$1613,$G$1409:$K$1409)*(1+SUMPRODUCT($G$1613:$K$1613,$G$1401:$K$1401)*Assumptions!$C$16/12)</f>
        <v>0</v>
      </c>
    </row>
    <row r="1629" customFormat="false" ht="15" hidden="false" customHeight="false" outlineLevel="0" collapsed="false">
      <c r="A1629" s="3" t="s">
        <v>560</v>
      </c>
      <c r="C1629" s="16" t="n">
        <f aca="false">SUMPRODUCT($G$1613:$K$1613,$G$1422:$K$1422)*(1+SUMPRODUCT($G$1613:$K$1613,$G$1414:$K$1414)*Assumptions!$C$16/12)</f>
        <v>439.249936942163</v>
      </c>
    </row>
    <row r="1630" customFormat="false" ht="15" hidden="false" customHeight="false" outlineLevel="0" collapsed="false">
      <c r="A1630" s="3" t="s">
        <v>561</v>
      </c>
      <c r="C1630" s="16" t="n">
        <f aca="false">SUMPRODUCT($G$1613:$K$1613,$G$1435:$K$1435)*(1+SUMPRODUCT($G$1613:$K$1613,$G$1427:$K$1427)*Assumptions!$C$16/12)</f>
        <v>357.2625</v>
      </c>
    </row>
    <row r="1631" customFormat="false" ht="15" hidden="false" customHeight="false" outlineLevel="0" collapsed="false">
      <c r="A1631" s="3" t="s">
        <v>562</v>
      </c>
      <c r="C1631" s="16" t="n">
        <f aca="false">SUMPRODUCT($G$1613:$K$1613,$G$1448:$K$1448)*(1+SUMPRODUCT($G$1613:$K$1613,$G$1440:$K$1440)*Assumptions!$C$16/12)</f>
        <v>562.203125</v>
      </c>
    </row>
    <row r="1632" customFormat="false" ht="15" hidden="false" customHeight="false" outlineLevel="0" collapsed="false">
      <c r="A1632" s="3" t="s">
        <v>563</v>
      </c>
      <c r="C1632" s="16" t="n">
        <f aca="false">SUMPRODUCT($G$1613:$K$1613,$G$1461:$K$1461)*(1+SUMPRODUCT($G$1613:$K$1613,$G$1453:$K$1453)*Assumptions!$C$16/12)</f>
        <v>353.98125</v>
      </c>
    </row>
    <row r="1633" customFormat="false" ht="15" hidden="false" customHeight="false" outlineLevel="0" collapsed="false">
      <c r="A1633" s="3" t="s">
        <v>564</v>
      </c>
      <c r="C1633" s="16" t="n">
        <f aca="false">SUMPRODUCT($G$1613:$K$1613,$G$1474:$K$1474)*(1+SUMPRODUCT($G$1613:$K$1613,$G$1466:$K$1466)*Assumptions!$C$16/12)</f>
        <v>304.59375</v>
      </c>
    </row>
    <row r="1634" customFormat="false" ht="15" hidden="false" customHeight="false" outlineLevel="0" collapsed="false">
      <c r="A1634" s="3" t="s">
        <v>565</v>
      </c>
      <c r="C1634" s="16" t="n">
        <f aca="false">SUMPRODUCT($G$1613:$K$1613,$G$1487:$K$1487)*(1+SUMPRODUCT($G$1613:$K$1613,$G$1479:$K$1479)*Assumptions!$C$16/12)</f>
        <v>80.2332965</v>
      </c>
    </row>
    <row r="1635" customFormat="false" ht="15" hidden="false" customHeight="false" outlineLevel="0" collapsed="false">
      <c r="A1635" s="24" t="s">
        <v>566</v>
      </c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</row>
    <row r="1636" customFormat="false" ht="15" hidden="false" customHeight="false" outlineLevel="0" collapsed="false">
      <c r="A1636" s="3" t="s">
        <v>556</v>
      </c>
      <c r="C1636" s="27" t="n">
        <f aca="false">Assumptions!$M$57</f>
        <v>1</v>
      </c>
    </row>
    <row r="1637" customFormat="false" ht="15" hidden="false" customHeight="false" outlineLevel="0" collapsed="false">
      <c r="A1637" s="3" t="s">
        <v>557</v>
      </c>
      <c r="C1637" s="27" t="n">
        <f aca="false">Assumptions!$M$58</f>
        <v>1</v>
      </c>
    </row>
    <row r="1638" customFormat="false" ht="15" hidden="false" customHeight="false" outlineLevel="0" collapsed="false">
      <c r="A1638" s="3" t="s">
        <v>558</v>
      </c>
      <c r="C1638" s="27" t="n">
        <f aca="false">Assumptions!$M$59</f>
        <v>1</v>
      </c>
    </row>
    <row r="1639" customFormat="false" ht="15" hidden="false" customHeight="false" outlineLevel="0" collapsed="false">
      <c r="A1639" s="3" t="s">
        <v>559</v>
      </c>
      <c r="C1639" s="27" t="n">
        <f aca="false">Assumptions!$M$60</f>
        <v>2</v>
      </c>
    </row>
    <row r="1640" customFormat="false" ht="15" hidden="false" customHeight="false" outlineLevel="0" collapsed="false">
      <c r="A1640" s="3" t="s">
        <v>560</v>
      </c>
      <c r="C1640" s="27" t="n">
        <f aca="false">Assumptions!$M$61</f>
        <v>2</v>
      </c>
    </row>
    <row r="1641" customFormat="false" ht="15" hidden="false" customHeight="false" outlineLevel="0" collapsed="false">
      <c r="A1641" s="3" t="s">
        <v>561</v>
      </c>
      <c r="C1641" s="27" t="n">
        <f aca="false">Assumptions!$M$62</f>
        <v>2</v>
      </c>
    </row>
    <row r="1642" customFormat="false" ht="15" hidden="false" customHeight="false" outlineLevel="0" collapsed="false">
      <c r="A1642" s="3" t="s">
        <v>562</v>
      </c>
      <c r="C1642" s="27" t="n">
        <f aca="false">Assumptions!$M$63</f>
        <v>2</v>
      </c>
    </row>
    <row r="1643" customFormat="false" ht="15" hidden="false" customHeight="false" outlineLevel="0" collapsed="false">
      <c r="A1643" s="3" t="s">
        <v>563</v>
      </c>
      <c r="C1643" s="27" t="n">
        <f aca="false">Assumptions!$M$64</f>
        <v>2</v>
      </c>
    </row>
    <row r="1644" customFormat="false" ht="15" hidden="false" customHeight="false" outlineLevel="0" collapsed="false">
      <c r="A1644" s="3" t="s">
        <v>564</v>
      </c>
      <c r="C1644" s="27" t="n">
        <f aca="false">Assumptions!$M$65</f>
        <v>2</v>
      </c>
    </row>
    <row r="1645" customFormat="false" ht="15" hidden="false" customHeight="false" outlineLevel="0" collapsed="false">
      <c r="A1645" s="3" t="s">
        <v>565</v>
      </c>
      <c r="C1645" s="27" t="n">
        <f aca="false">Assumptions!$M$66</f>
        <v>3</v>
      </c>
    </row>
    <row r="1646" customFormat="false" ht="15" hidden="false" customHeight="false" outlineLevel="0" collapsed="false">
      <c r="A1646" s="24" t="s">
        <v>567</v>
      </c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</row>
    <row r="1647" customFormat="false" ht="15" hidden="false" customHeight="false" outlineLevel="0" collapsed="false">
      <c r="A1647" s="3" t="s">
        <v>556</v>
      </c>
      <c r="C1647" s="33" t="n">
        <f aca="false">Assumptions!$Q$57</f>
        <v>0.3</v>
      </c>
    </row>
    <row r="1648" customFormat="false" ht="15" hidden="false" customHeight="false" outlineLevel="0" collapsed="false">
      <c r="A1648" s="3" t="s">
        <v>557</v>
      </c>
      <c r="C1648" s="33" t="n">
        <f aca="false">Assumptions!$Q$58</f>
        <v>0.033</v>
      </c>
    </row>
    <row r="1649" customFormat="false" ht="15" hidden="false" customHeight="false" outlineLevel="0" collapsed="false">
      <c r="A1649" s="3" t="s">
        <v>558</v>
      </c>
      <c r="C1649" s="33" t="n">
        <f aca="false">Assumptions!$Q$59</f>
        <v>0.021</v>
      </c>
    </row>
    <row r="1650" customFormat="false" ht="15" hidden="false" customHeight="false" outlineLevel="0" collapsed="false">
      <c r="A1650" s="3" t="s">
        <v>559</v>
      </c>
      <c r="C1650" s="33" t="n">
        <f aca="false">Assumptions!$Q$60</f>
        <v>0</v>
      </c>
    </row>
    <row r="1651" customFormat="false" ht="15" hidden="false" customHeight="false" outlineLevel="0" collapsed="false">
      <c r="A1651" s="3" t="s">
        <v>560</v>
      </c>
      <c r="C1651" s="33" t="n">
        <f aca="false">Assumptions!$Q$61</f>
        <v>0</v>
      </c>
    </row>
    <row r="1652" customFormat="false" ht="15" hidden="false" customHeight="false" outlineLevel="0" collapsed="false">
      <c r="A1652" s="3" t="s">
        <v>561</v>
      </c>
      <c r="C1652" s="33" t="n">
        <f aca="false">Assumptions!$Q$62</f>
        <v>0</v>
      </c>
    </row>
    <row r="1653" customFormat="false" ht="15" hidden="false" customHeight="false" outlineLevel="0" collapsed="false">
      <c r="A1653" s="3" t="s">
        <v>562</v>
      </c>
      <c r="C1653" s="33" t="n">
        <f aca="false">Assumptions!$Q$63</f>
        <v>0</v>
      </c>
    </row>
    <row r="1654" customFormat="false" ht="15" hidden="false" customHeight="false" outlineLevel="0" collapsed="false">
      <c r="A1654" s="3" t="s">
        <v>563</v>
      </c>
      <c r="C1654" s="33" t="n">
        <f aca="false">Assumptions!$Q$64</f>
        <v>0</v>
      </c>
    </row>
    <row r="1655" customFormat="false" ht="15" hidden="false" customHeight="false" outlineLevel="0" collapsed="false">
      <c r="A1655" s="3" t="s">
        <v>564</v>
      </c>
      <c r="C1655" s="33" t="n">
        <f aca="false">Assumptions!$Q$65</f>
        <v>0</v>
      </c>
    </row>
    <row r="1656" customFormat="false" ht="15" hidden="false" customHeight="false" outlineLevel="0" collapsed="false">
      <c r="A1656" s="3" t="s">
        <v>565</v>
      </c>
      <c r="C1656" s="33" t="n">
        <f aca="false">Assumptions!$Q$66</f>
        <v>0</v>
      </c>
    </row>
    <row r="1657" customFormat="false" ht="15" hidden="false" customHeight="false" outlineLevel="0" collapsed="false">
      <c r="A1657" s="24" t="s">
        <v>568</v>
      </c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</row>
    <row r="1658" customFormat="false" ht="15" hidden="false" customHeight="false" outlineLevel="0" collapsed="false">
      <c r="A1658" s="3" t="s">
        <v>556</v>
      </c>
      <c r="C1658" s="16" t="n">
        <f aca="false">IF(C1647&gt;0,MIN(C1625,C1647*$C$1623),0)</f>
        <v>403.76</v>
      </c>
    </row>
    <row r="1659" customFormat="false" ht="15" hidden="false" customHeight="false" outlineLevel="0" collapsed="false">
      <c r="A1659" s="3" t="s">
        <v>557</v>
      </c>
      <c r="C1659" s="16" t="n">
        <f aca="false">IF(C1648&gt;0,MIN(C1626,C1648*$C$1623),0)</f>
        <v>85.1568504864</v>
      </c>
    </row>
    <row r="1660" customFormat="false" ht="15" hidden="false" customHeight="false" outlineLevel="0" collapsed="false">
      <c r="A1660" s="3" t="s">
        <v>558</v>
      </c>
      <c r="C1660" s="16" t="n">
        <f aca="false">IF(C1649&gt;0,MIN(C1627,C1649*$C$1623),0)</f>
        <v>54.1907230368</v>
      </c>
    </row>
    <row r="1661" customFormat="false" ht="15" hidden="false" customHeight="false" outlineLevel="0" collapsed="false">
      <c r="A1661" s="3" t="s">
        <v>559</v>
      </c>
      <c r="C1661" s="16" t="n">
        <f aca="false">IF(C1650&gt;0,MIN(C1628,C1650*$C$1623),0)</f>
        <v>0</v>
      </c>
    </row>
    <row r="1662" customFormat="false" ht="15" hidden="false" customHeight="false" outlineLevel="0" collapsed="false">
      <c r="A1662" s="3" t="s">
        <v>560</v>
      </c>
      <c r="C1662" s="16" t="n">
        <f aca="false">IF(C1651&gt;0,MIN(C1629,C1651*$C$1623),0)</f>
        <v>0</v>
      </c>
    </row>
    <row r="1663" customFormat="false" ht="15" hidden="false" customHeight="false" outlineLevel="0" collapsed="false">
      <c r="A1663" s="3" t="s">
        <v>561</v>
      </c>
      <c r="C1663" s="16" t="n">
        <f aca="false">IF(C1652&gt;0,MIN(C1630,C1652*$C$1623),0)</f>
        <v>0</v>
      </c>
    </row>
    <row r="1664" customFormat="false" ht="15" hidden="false" customHeight="false" outlineLevel="0" collapsed="false">
      <c r="A1664" s="3" t="s">
        <v>562</v>
      </c>
      <c r="C1664" s="16" t="n">
        <f aca="false">IF(C1653&gt;0,MIN(C1631,C1653*$C$1623),0)</f>
        <v>0</v>
      </c>
    </row>
    <row r="1665" customFormat="false" ht="15" hidden="false" customHeight="false" outlineLevel="0" collapsed="false">
      <c r="A1665" s="3" t="s">
        <v>563</v>
      </c>
      <c r="C1665" s="16" t="n">
        <f aca="false">IF(C1654&gt;0,MIN(C1632,C1654*$C$1623),0)</f>
        <v>0</v>
      </c>
    </row>
    <row r="1666" customFormat="false" ht="15" hidden="false" customHeight="false" outlineLevel="0" collapsed="false">
      <c r="A1666" s="3" t="s">
        <v>564</v>
      </c>
      <c r="C1666" s="16" t="n">
        <f aca="false">IF(C1655&gt;0,MIN(C1633,C1655*$C$1623),0)</f>
        <v>0</v>
      </c>
    </row>
    <row r="1667" customFormat="false" ht="15" hidden="false" customHeight="false" outlineLevel="0" collapsed="false">
      <c r="A1667" s="3" t="s">
        <v>565</v>
      </c>
      <c r="C1667" s="16" t="n">
        <f aca="false">IF(C1656&gt;0,MIN(C1634,C1656*$C$1623),0)</f>
        <v>0</v>
      </c>
    </row>
    <row r="1668" customFormat="false" ht="15" hidden="false" customHeight="false" outlineLevel="0" collapsed="false">
      <c r="A1668" s="24" t="s">
        <v>569</v>
      </c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</row>
    <row r="1669" customFormat="false" ht="15" hidden="false" customHeight="false" outlineLevel="0" collapsed="false">
      <c r="A1669" s="3" t="s">
        <v>556</v>
      </c>
      <c r="C1669" s="16" t="n">
        <f aca="false">IF(C1647&gt;0,C1625-C1658,0)</f>
        <v>0</v>
      </c>
      <c r="G1669" s="21" t="n">
        <f aca="false">IF(AND(G1360=1,G1357=1),1,0)</f>
        <v>0</v>
      </c>
      <c r="H1669" s="21" t="n">
        <f aca="false">IF(G1669=1,1,IF(AND(H1360=1,H1357=1),1,0))</f>
        <v>0</v>
      </c>
      <c r="I1669" s="21" t="n">
        <f aca="false">IF(H1669=1,1,IF(AND(I1360=1,I1357=1),1,0))</f>
        <v>0</v>
      </c>
      <c r="J1669" s="21" t="n">
        <f aca="false">IF(I1669=1,1,IF(AND(J1360=1,J1357=1),1,0))</f>
        <v>0</v>
      </c>
      <c r="K1669" s="21" t="n">
        <f aca="false">IF(J1669=1,1,IF(AND(K1360=1,K1357=1),1,0))</f>
        <v>0</v>
      </c>
    </row>
    <row r="1670" customFormat="false" ht="15" hidden="false" customHeight="false" outlineLevel="0" collapsed="false">
      <c r="A1670" s="3" t="s">
        <v>557</v>
      </c>
      <c r="C1670" s="16" t="n">
        <f aca="false">IF(C1648&gt;0,C1626-C1659,0)</f>
        <v>6.15039951360001</v>
      </c>
      <c r="G1670" s="21" t="n">
        <f aca="false">IF(AND(G1373=1,G1357=1),1,0)</f>
        <v>0</v>
      </c>
      <c r="H1670" s="21" t="n">
        <f aca="false">IF(G1670=1,1,IF(AND(H1373=1,H1357=1),1,0))</f>
        <v>0</v>
      </c>
      <c r="I1670" s="21" t="n">
        <f aca="false">IF(H1670=1,1,IF(AND(I1373=1,I1357=1),1,0))</f>
        <v>0</v>
      </c>
      <c r="J1670" s="21" t="n">
        <f aca="false">IF(I1670=1,1,IF(AND(J1373=1,J1357=1),1,0))</f>
        <v>0</v>
      </c>
      <c r="K1670" s="21" t="n">
        <f aca="false">IF(J1670=1,1,IF(AND(K1373=1,K1357=1),1,0))</f>
        <v>0</v>
      </c>
    </row>
    <row r="1671" customFormat="false" ht="15" hidden="false" customHeight="false" outlineLevel="0" collapsed="false">
      <c r="A1671" s="3" t="s">
        <v>558</v>
      </c>
      <c r="C1671" s="16" t="n">
        <f aca="false">IF(C1649&gt;0,C1627-C1660,0)</f>
        <v>4.1808730632</v>
      </c>
      <c r="G1671" s="21" t="n">
        <f aca="false">IF(AND(G1386=1,G1357=1),1,0)</f>
        <v>0</v>
      </c>
      <c r="H1671" s="21" t="n">
        <f aca="false">IF(G1671=1,1,IF(AND(H1386=1,H1357=1),1,0))</f>
        <v>0</v>
      </c>
      <c r="I1671" s="21" t="n">
        <f aca="false">IF(H1671=1,1,IF(AND(I1386=1,I1357=1),1,0))</f>
        <v>0</v>
      </c>
      <c r="J1671" s="21" t="n">
        <f aca="false">IF(I1671=1,1,IF(AND(J1386=1,J1357=1),1,0))</f>
        <v>0</v>
      </c>
      <c r="K1671" s="21" t="n">
        <f aca="false">IF(J1671=1,1,IF(AND(K1386=1,K1357=1),1,0))</f>
        <v>0</v>
      </c>
    </row>
    <row r="1672" customFormat="false" ht="15" hidden="false" customHeight="false" outlineLevel="0" collapsed="false">
      <c r="A1672" s="3" t="s">
        <v>559</v>
      </c>
      <c r="C1672" s="16" t="n">
        <f aca="false">IF(C1650&gt;0,C1628-C1661,0)</f>
        <v>0</v>
      </c>
      <c r="G1672" s="21" t="n">
        <f aca="false">IF(AND(G1399=1,G1357=1),1,0)</f>
        <v>0</v>
      </c>
      <c r="H1672" s="21" t="n">
        <f aca="false">IF(G1672=1,1,IF(AND(H1399=1,H1357=1),1,0))</f>
        <v>0</v>
      </c>
      <c r="I1672" s="21" t="n">
        <f aca="false">IF(H1672=1,1,IF(AND(I1399=1,I1357=1),1,0))</f>
        <v>0</v>
      </c>
      <c r="J1672" s="21" t="n">
        <f aca="false">IF(I1672=1,1,IF(AND(J1399=1,J1357=1),1,0))</f>
        <v>0</v>
      </c>
      <c r="K1672" s="21" t="n">
        <f aca="false">IF(J1672=1,1,IF(AND(K1399=1,K1357=1),1,0))</f>
        <v>0</v>
      </c>
    </row>
    <row r="1673" customFormat="false" ht="15" hidden="false" customHeight="false" outlineLevel="0" collapsed="false">
      <c r="A1673" s="3" t="s">
        <v>560</v>
      </c>
      <c r="C1673" s="16" t="n">
        <f aca="false">IF(C1651&gt;0,C1629-C1662,0)</f>
        <v>0</v>
      </c>
      <c r="G1673" s="21" t="n">
        <f aca="false">IF(AND(G1412=1,G1357=1),1,0)</f>
        <v>0</v>
      </c>
      <c r="H1673" s="21" t="n">
        <f aca="false">IF(G1673=1,1,IF(AND(H1412=1,H1357=1),1,0))</f>
        <v>0</v>
      </c>
      <c r="I1673" s="21" t="n">
        <f aca="false">IF(H1673=1,1,IF(AND(I1412=1,I1357=1),1,0))</f>
        <v>0</v>
      </c>
      <c r="J1673" s="21" t="n">
        <f aca="false">IF(I1673=1,1,IF(AND(J1412=1,J1357=1),1,0))</f>
        <v>0</v>
      </c>
      <c r="K1673" s="21" t="n">
        <f aca="false">IF(J1673=1,1,IF(AND(K1412=1,K1357=1),1,0))</f>
        <v>0</v>
      </c>
    </row>
    <row r="1674" customFormat="false" ht="15" hidden="false" customHeight="false" outlineLevel="0" collapsed="false">
      <c r="A1674" s="3" t="s">
        <v>561</v>
      </c>
      <c r="C1674" s="16" t="n">
        <f aca="false">IF(C1652&gt;0,C1630-C1663,0)</f>
        <v>0</v>
      </c>
      <c r="G1674" s="21" t="n">
        <f aca="false">IF(AND(G1425=1,G1357=1),1,0)</f>
        <v>0</v>
      </c>
      <c r="H1674" s="21" t="n">
        <f aca="false">IF(G1674=1,1,IF(AND(H1425=1,H1357=1),1,0))</f>
        <v>0</v>
      </c>
      <c r="I1674" s="21" t="n">
        <f aca="false">IF(H1674=1,1,IF(AND(I1425=1,I1357=1),1,0))</f>
        <v>0</v>
      </c>
      <c r="J1674" s="21" t="n">
        <f aca="false">IF(I1674=1,1,IF(AND(J1425=1,J1357=1),1,0))</f>
        <v>0</v>
      </c>
      <c r="K1674" s="21" t="n">
        <f aca="false">IF(J1674=1,1,IF(AND(K1425=1,K1357=1),1,0))</f>
        <v>0</v>
      </c>
    </row>
    <row r="1675" customFormat="false" ht="15" hidden="false" customHeight="false" outlineLevel="0" collapsed="false">
      <c r="A1675" s="3" t="s">
        <v>562</v>
      </c>
      <c r="C1675" s="16" t="n">
        <f aca="false">IF(C1653&gt;0,C1631-C1664,0)</f>
        <v>0</v>
      </c>
      <c r="G1675" s="21" t="n">
        <f aca="false">IF(AND(G1438=1,G1357=1),1,0)</f>
        <v>0</v>
      </c>
      <c r="H1675" s="21" t="n">
        <f aca="false">IF(G1675=1,1,IF(AND(H1438=1,H1357=1),1,0))</f>
        <v>0</v>
      </c>
      <c r="I1675" s="21" t="n">
        <f aca="false">IF(H1675=1,1,IF(AND(I1438=1,I1357=1),1,0))</f>
        <v>0</v>
      </c>
      <c r="J1675" s="21" t="n">
        <f aca="false">IF(I1675=1,1,IF(AND(J1438=1,J1357=1),1,0))</f>
        <v>0</v>
      </c>
      <c r="K1675" s="21" t="n">
        <f aca="false">IF(J1675=1,1,IF(AND(K1438=1,K1357=1),1,0))</f>
        <v>0</v>
      </c>
    </row>
    <row r="1676" customFormat="false" ht="15" hidden="false" customHeight="false" outlineLevel="0" collapsed="false">
      <c r="A1676" s="3" t="s">
        <v>563</v>
      </c>
      <c r="C1676" s="16" t="n">
        <f aca="false">IF(C1654&gt;0,C1632-C1665,0)</f>
        <v>0</v>
      </c>
      <c r="G1676" s="21" t="n">
        <f aca="false">IF(AND(G1451=1,G1357=1),1,0)</f>
        <v>0</v>
      </c>
      <c r="H1676" s="21" t="n">
        <f aca="false">IF(G1676=1,1,IF(AND(H1451=1,H1357=1),1,0))</f>
        <v>0</v>
      </c>
      <c r="I1676" s="21" t="n">
        <f aca="false">IF(H1676=1,1,IF(AND(I1451=1,I1357=1),1,0))</f>
        <v>0</v>
      </c>
      <c r="J1676" s="21" t="n">
        <f aca="false">IF(I1676=1,1,IF(AND(J1451=1,J1357=1),1,0))</f>
        <v>0</v>
      </c>
      <c r="K1676" s="21" t="n">
        <f aca="false">IF(J1676=1,1,IF(AND(K1451=1,K1357=1),1,0))</f>
        <v>0</v>
      </c>
    </row>
    <row r="1677" customFormat="false" ht="15" hidden="false" customHeight="false" outlineLevel="0" collapsed="false">
      <c r="A1677" s="3" t="s">
        <v>564</v>
      </c>
      <c r="C1677" s="16" t="n">
        <f aca="false">IF(C1655&gt;0,C1633-C1666,0)</f>
        <v>0</v>
      </c>
      <c r="G1677" s="21" t="n">
        <f aca="false">IF(AND(G1464=1,G1357=1),1,0)</f>
        <v>0</v>
      </c>
      <c r="H1677" s="21" t="n">
        <f aca="false">IF(G1677=1,1,IF(AND(H1464=1,H1357=1),1,0))</f>
        <v>0</v>
      </c>
      <c r="I1677" s="21" t="n">
        <f aca="false">IF(H1677=1,1,IF(AND(I1464=1,I1357=1),1,0))</f>
        <v>0</v>
      </c>
      <c r="J1677" s="21" t="n">
        <f aca="false">IF(I1677=1,1,IF(AND(J1464=1,J1357=1),1,0))</f>
        <v>0</v>
      </c>
      <c r="K1677" s="21" t="n">
        <f aca="false">IF(J1677=1,1,IF(AND(K1464=1,K1357=1),1,0))</f>
        <v>0</v>
      </c>
    </row>
    <row r="1678" customFormat="false" ht="15" hidden="false" customHeight="false" outlineLevel="0" collapsed="false">
      <c r="A1678" s="3" t="s">
        <v>565</v>
      </c>
      <c r="C1678" s="16" t="n">
        <f aca="false">IF(C1656&gt;0,C1634-C1667,0)</f>
        <v>0</v>
      </c>
      <c r="G1678" s="21" t="n">
        <f aca="false">IF(AND(G1477=1,G1357=1),1,0)</f>
        <v>0</v>
      </c>
      <c r="H1678" s="21" t="n">
        <f aca="false">IF(G1678=1,1,IF(AND(H1477=1,H1357=1),1,0))</f>
        <v>0</v>
      </c>
      <c r="I1678" s="21" t="n">
        <f aca="false">IF(H1678=1,1,IF(AND(I1477=1,I1357=1),1,0))</f>
        <v>0</v>
      </c>
      <c r="J1678" s="21" t="n">
        <f aca="false">IF(I1678=1,1,IF(AND(J1477=1,J1357=1),1,0))</f>
        <v>0</v>
      </c>
      <c r="K1678" s="21" t="n">
        <f aca="false">IF(J1678=1,1,IF(AND(K1477=1,K1357=1),1,0))</f>
        <v>0</v>
      </c>
    </row>
    <row r="1679" customFormat="false" ht="15" hidden="false" customHeight="false" outlineLevel="0" collapsed="false">
      <c r="A1679" s="24" t="s">
        <v>570</v>
      </c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</row>
    <row r="1680" customFormat="false" ht="15" hidden="false" customHeight="false" outlineLevel="0" collapsed="false">
      <c r="A1680" s="3" t="s">
        <v>556</v>
      </c>
      <c r="C1680" s="16" t="n">
        <f aca="false">IF(C1647&gt;0,C1669,C1625)</f>
        <v>0</v>
      </c>
    </row>
    <row r="1681" customFormat="false" ht="15" hidden="false" customHeight="false" outlineLevel="0" collapsed="false">
      <c r="A1681" s="3" t="s">
        <v>557</v>
      </c>
      <c r="C1681" s="16" t="n">
        <f aca="false">IF(C1648&gt;0,C1670,C1626)</f>
        <v>6.15039951360001</v>
      </c>
    </row>
    <row r="1682" customFormat="false" ht="15" hidden="false" customHeight="false" outlineLevel="0" collapsed="false">
      <c r="A1682" s="3" t="s">
        <v>558</v>
      </c>
      <c r="C1682" s="16" t="n">
        <f aca="false">IF(C1649&gt;0,C1671,C1627)</f>
        <v>4.1808730632</v>
      </c>
    </row>
    <row r="1683" customFormat="false" ht="15" hidden="false" customHeight="false" outlineLevel="0" collapsed="false">
      <c r="A1683" s="3" t="s">
        <v>559</v>
      </c>
      <c r="C1683" s="16" t="n">
        <f aca="false">IF(C1650&gt;0,C1672,C1628)</f>
        <v>0</v>
      </c>
    </row>
    <row r="1684" customFormat="false" ht="15" hidden="false" customHeight="false" outlineLevel="0" collapsed="false">
      <c r="A1684" s="3" t="s">
        <v>560</v>
      </c>
      <c r="C1684" s="16" t="n">
        <f aca="false">IF(C1651&gt;0,C1673,C1629)</f>
        <v>439.249936942163</v>
      </c>
    </row>
    <row r="1685" customFormat="false" ht="15" hidden="false" customHeight="false" outlineLevel="0" collapsed="false">
      <c r="A1685" s="3" t="s">
        <v>561</v>
      </c>
      <c r="C1685" s="16" t="n">
        <f aca="false">IF(C1652&gt;0,C1674,C1630)</f>
        <v>357.2625</v>
      </c>
    </row>
    <row r="1686" customFormat="false" ht="15" hidden="false" customHeight="false" outlineLevel="0" collapsed="false">
      <c r="A1686" s="3" t="s">
        <v>562</v>
      </c>
      <c r="C1686" s="16" t="n">
        <f aca="false">IF(C1653&gt;0,C1675,C1631)</f>
        <v>562.203125</v>
      </c>
    </row>
    <row r="1687" customFormat="false" ht="15" hidden="false" customHeight="false" outlineLevel="0" collapsed="false">
      <c r="A1687" s="3" t="s">
        <v>563</v>
      </c>
      <c r="C1687" s="16" t="n">
        <f aca="false">IF(C1654&gt;0,C1676,C1632)</f>
        <v>353.98125</v>
      </c>
    </row>
    <row r="1688" customFormat="false" ht="15" hidden="false" customHeight="false" outlineLevel="0" collapsed="false">
      <c r="A1688" s="3" t="s">
        <v>564</v>
      </c>
      <c r="C1688" s="16" t="n">
        <f aca="false">IF(C1655&gt;0,C1677,C1633)</f>
        <v>304.59375</v>
      </c>
    </row>
    <row r="1689" customFormat="false" ht="15" hidden="false" customHeight="false" outlineLevel="0" collapsed="false">
      <c r="A1689" s="3" t="s">
        <v>565</v>
      </c>
      <c r="C1689" s="16" t="n">
        <f aca="false">IF(C1656&gt;0,C1678,C1634)</f>
        <v>80.2332965</v>
      </c>
    </row>
    <row r="1690" customFormat="false" ht="15" hidden="false" customHeight="false" outlineLevel="0" collapsed="false">
      <c r="A1690" s="24" t="s">
        <v>571</v>
      </c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</row>
    <row r="1691" customFormat="false" ht="15" hidden="false" customHeight="false" outlineLevel="0" collapsed="false">
      <c r="A1691" s="3" t="s">
        <v>556</v>
      </c>
      <c r="C1691" s="21" t="n">
        <f aca="false">IF(C1647&gt;0,Assumptions!$C$17,C1636)</f>
        <v>99</v>
      </c>
    </row>
    <row r="1692" customFormat="false" ht="15" hidden="false" customHeight="false" outlineLevel="0" collapsed="false">
      <c r="A1692" s="3" t="s">
        <v>557</v>
      </c>
      <c r="C1692" s="21" t="n">
        <f aca="false">IF(C1648&gt;0,Assumptions!$C$17,C1637)</f>
        <v>99</v>
      </c>
    </row>
    <row r="1693" customFormat="false" ht="15" hidden="false" customHeight="false" outlineLevel="0" collapsed="false">
      <c r="A1693" s="3" t="s">
        <v>558</v>
      </c>
      <c r="C1693" s="21" t="n">
        <f aca="false">IF(C1649&gt;0,Assumptions!$C$17,C1638)</f>
        <v>99</v>
      </c>
    </row>
    <row r="1694" customFormat="false" ht="15" hidden="false" customHeight="false" outlineLevel="0" collapsed="false">
      <c r="A1694" s="3" t="s">
        <v>559</v>
      </c>
      <c r="C1694" s="21" t="n">
        <f aca="false">IF(C1650&gt;0,Assumptions!$C$17,C1639)</f>
        <v>2</v>
      </c>
    </row>
    <row r="1695" customFormat="false" ht="15" hidden="false" customHeight="false" outlineLevel="0" collapsed="false">
      <c r="A1695" s="3" t="s">
        <v>560</v>
      </c>
      <c r="C1695" s="21" t="n">
        <f aca="false">IF(C1651&gt;0,Assumptions!$C$17,C1640)</f>
        <v>2</v>
      </c>
    </row>
    <row r="1696" customFormat="false" ht="15" hidden="false" customHeight="false" outlineLevel="0" collapsed="false">
      <c r="A1696" s="3" t="s">
        <v>561</v>
      </c>
      <c r="C1696" s="21" t="n">
        <f aca="false">IF(C1652&gt;0,Assumptions!$C$17,C1641)</f>
        <v>2</v>
      </c>
    </row>
    <row r="1697" customFormat="false" ht="15" hidden="false" customHeight="false" outlineLevel="0" collapsed="false">
      <c r="A1697" s="3" t="s">
        <v>562</v>
      </c>
      <c r="C1697" s="21" t="n">
        <f aca="false">IF(C1653&gt;0,Assumptions!$C$17,C1642)</f>
        <v>2</v>
      </c>
    </row>
    <row r="1698" customFormat="false" ht="15" hidden="false" customHeight="false" outlineLevel="0" collapsed="false">
      <c r="A1698" s="3" t="s">
        <v>563</v>
      </c>
      <c r="C1698" s="21" t="n">
        <f aca="false">IF(C1654&gt;0,Assumptions!$C$17,C1643)</f>
        <v>2</v>
      </c>
    </row>
    <row r="1699" customFormat="false" ht="15" hidden="false" customHeight="false" outlineLevel="0" collapsed="false">
      <c r="A1699" s="3" t="s">
        <v>564</v>
      </c>
      <c r="C1699" s="21" t="n">
        <f aca="false">IF(C1655&gt;0,Assumptions!$C$17,C1644)</f>
        <v>2</v>
      </c>
    </row>
    <row r="1700" customFormat="false" ht="15" hidden="false" customHeight="false" outlineLevel="0" collapsed="false">
      <c r="A1700" s="3" t="s">
        <v>565</v>
      </c>
      <c r="C1700" s="21" t="n">
        <f aca="false">IF(C1656&gt;0,Assumptions!$C$17,C1645)</f>
        <v>3</v>
      </c>
    </row>
    <row r="1701" customFormat="false" ht="15" hidden="false" customHeight="false" outlineLevel="0" collapsed="false">
      <c r="A1701" s="24" t="s">
        <v>572</v>
      </c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</row>
    <row r="1702" customFormat="false" ht="15" hidden="false" customHeight="false" outlineLevel="0" collapsed="false">
      <c r="A1702" s="3" t="s">
        <v>556</v>
      </c>
      <c r="C1702" s="16" t="n">
        <f aca="false">SUMPRODUCT(($C$1691:$C$1700&lt;C1691)*$C$1680:$C$1689)</f>
        <v>2097.52385844216</v>
      </c>
    </row>
    <row r="1703" customFormat="false" ht="15" hidden="false" customHeight="false" outlineLevel="0" collapsed="false">
      <c r="A1703" s="3" t="s">
        <v>557</v>
      </c>
      <c r="C1703" s="16" t="n">
        <f aca="false">SUMPRODUCT(($C$1691:$C$1700&lt;C1692)*$C$1680:$C$1689)</f>
        <v>2097.52385844216</v>
      </c>
    </row>
    <row r="1704" customFormat="false" ht="15" hidden="false" customHeight="false" outlineLevel="0" collapsed="false">
      <c r="A1704" s="3" t="s">
        <v>558</v>
      </c>
      <c r="C1704" s="16" t="n">
        <f aca="false">SUMPRODUCT(($C$1691:$C$1700&lt;C1693)*$C$1680:$C$1689)</f>
        <v>2097.52385844216</v>
      </c>
    </row>
    <row r="1705" customFormat="false" ht="15" hidden="false" customHeight="false" outlineLevel="0" collapsed="false">
      <c r="A1705" s="3" t="s">
        <v>559</v>
      </c>
      <c r="C1705" s="16" t="n">
        <f aca="false">SUMPRODUCT(($C$1691:$C$1700&lt;C1694)*$C$1680:$C$1689)</f>
        <v>0</v>
      </c>
    </row>
    <row r="1706" customFormat="false" ht="15" hidden="false" customHeight="false" outlineLevel="0" collapsed="false">
      <c r="A1706" s="3" t="s">
        <v>560</v>
      </c>
      <c r="C1706" s="16" t="n">
        <f aca="false">SUMPRODUCT(($C$1691:$C$1700&lt;C1695)*$C$1680:$C$1689)</f>
        <v>0</v>
      </c>
    </row>
    <row r="1707" customFormat="false" ht="15" hidden="false" customHeight="false" outlineLevel="0" collapsed="false">
      <c r="A1707" s="3" t="s">
        <v>561</v>
      </c>
      <c r="C1707" s="16" t="n">
        <f aca="false">SUMPRODUCT(($C$1691:$C$1700&lt;C1696)*$C$1680:$C$1689)</f>
        <v>0</v>
      </c>
    </row>
    <row r="1708" customFormat="false" ht="15" hidden="false" customHeight="false" outlineLevel="0" collapsed="false">
      <c r="A1708" s="3" t="s">
        <v>562</v>
      </c>
      <c r="C1708" s="16" t="n">
        <f aca="false">SUMPRODUCT(($C$1691:$C$1700&lt;C1697)*$C$1680:$C$1689)</f>
        <v>0</v>
      </c>
    </row>
    <row r="1709" customFormat="false" ht="15" hidden="false" customHeight="false" outlineLevel="0" collapsed="false">
      <c r="A1709" s="3" t="s">
        <v>563</v>
      </c>
      <c r="C1709" s="16" t="n">
        <f aca="false">SUMPRODUCT(($C$1691:$C$1700&lt;C1698)*$C$1680:$C$1689)</f>
        <v>0</v>
      </c>
    </row>
    <row r="1710" customFormat="false" ht="15" hidden="false" customHeight="false" outlineLevel="0" collapsed="false">
      <c r="A1710" s="3" t="s">
        <v>564</v>
      </c>
      <c r="C1710" s="16" t="n">
        <f aca="false">SUMPRODUCT(($C$1691:$C$1700&lt;C1699)*$C$1680:$C$1689)</f>
        <v>0</v>
      </c>
    </row>
    <row r="1711" customFormat="false" ht="15" hidden="false" customHeight="false" outlineLevel="0" collapsed="false">
      <c r="A1711" s="3" t="s">
        <v>565</v>
      </c>
      <c r="C1711" s="16" t="n">
        <f aca="false">SUMPRODUCT(($C$1691:$C$1700&lt;C1700)*$C$1680:$C$1689)</f>
        <v>2017.29056194216</v>
      </c>
    </row>
    <row r="1712" customFormat="false" ht="15" hidden="false" customHeight="false" outlineLevel="0" collapsed="false">
      <c r="A1712" s="24" t="s">
        <v>573</v>
      </c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</row>
    <row r="1713" customFormat="false" ht="15" hidden="false" customHeight="false" outlineLevel="0" collapsed="false">
      <c r="A1713" s="3" t="s">
        <v>556</v>
      </c>
      <c r="C1713" s="16" t="n">
        <f aca="false">SUMPRODUCT(($C$1691:$C$1700=C1691)*$C$1680:$C$1689)</f>
        <v>10.3312725768</v>
      </c>
    </row>
    <row r="1714" customFormat="false" ht="15" hidden="false" customHeight="false" outlineLevel="0" collapsed="false">
      <c r="A1714" s="3" t="s">
        <v>557</v>
      </c>
      <c r="C1714" s="16" t="n">
        <f aca="false">SUMPRODUCT(($C$1691:$C$1700=C1692)*$C$1680:$C$1689)</f>
        <v>10.3312725768</v>
      </c>
    </row>
    <row r="1715" customFormat="false" ht="15" hidden="false" customHeight="false" outlineLevel="0" collapsed="false">
      <c r="A1715" s="3" t="s">
        <v>558</v>
      </c>
      <c r="C1715" s="16" t="n">
        <f aca="false">SUMPRODUCT(($C$1691:$C$1700=C1693)*$C$1680:$C$1689)</f>
        <v>10.3312725768</v>
      </c>
    </row>
    <row r="1716" customFormat="false" ht="15" hidden="false" customHeight="false" outlineLevel="0" collapsed="false">
      <c r="A1716" s="3" t="s">
        <v>559</v>
      </c>
      <c r="C1716" s="16" t="n">
        <f aca="false">SUMPRODUCT(($C$1691:$C$1700=C1694)*$C$1680:$C$1689)</f>
        <v>2017.29056194216</v>
      </c>
    </row>
    <row r="1717" customFormat="false" ht="15" hidden="false" customHeight="false" outlineLevel="0" collapsed="false">
      <c r="A1717" s="3" t="s">
        <v>560</v>
      </c>
      <c r="C1717" s="16" t="n">
        <f aca="false">SUMPRODUCT(($C$1691:$C$1700=C1695)*$C$1680:$C$1689)</f>
        <v>2017.29056194216</v>
      </c>
    </row>
    <row r="1718" customFormat="false" ht="15" hidden="false" customHeight="false" outlineLevel="0" collapsed="false">
      <c r="A1718" s="3" t="s">
        <v>561</v>
      </c>
      <c r="C1718" s="16" t="n">
        <f aca="false">SUMPRODUCT(($C$1691:$C$1700=C1696)*$C$1680:$C$1689)</f>
        <v>2017.29056194216</v>
      </c>
    </row>
    <row r="1719" customFormat="false" ht="15" hidden="false" customHeight="false" outlineLevel="0" collapsed="false">
      <c r="A1719" s="3" t="s">
        <v>562</v>
      </c>
      <c r="C1719" s="16" t="n">
        <f aca="false">SUMPRODUCT(($C$1691:$C$1700=C1697)*$C$1680:$C$1689)</f>
        <v>2017.29056194216</v>
      </c>
    </row>
    <row r="1720" customFormat="false" ht="15" hidden="false" customHeight="false" outlineLevel="0" collapsed="false">
      <c r="A1720" s="3" t="s">
        <v>563</v>
      </c>
      <c r="C1720" s="16" t="n">
        <f aca="false">SUMPRODUCT(($C$1691:$C$1700=C1698)*$C$1680:$C$1689)</f>
        <v>2017.29056194216</v>
      </c>
    </row>
    <row r="1721" customFormat="false" ht="15" hidden="false" customHeight="false" outlineLevel="0" collapsed="false">
      <c r="A1721" s="3" t="s">
        <v>564</v>
      </c>
      <c r="C1721" s="16" t="n">
        <f aca="false">SUMPRODUCT(($C$1691:$C$1700=C1699)*$C$1680:$C$1689)</f>
        <v>2017.29056194216</v>
      </c>
    </row>
    <row r="1722" customFormat="false" ht="15" hidden="false" customHeight="false" outlineLevel="0" collapsed="false">
      <c r="A1722" s="3" t="s">
        <v>565</v>
      </c>
      <c r="C1722" s="16" t="n">
        <f aca="false">SUMPRODUCT(($C$1691:$C$1700=C1700)*$C$1680:$C$1689)</f>
        <v>80.2332965</v>
      </c>
    </row>
    <row r="1723" customFormat="false" ht="15" hidden="false" customHeight="false" outlineLevel="0" collapsed="false">
      <c r="A1723" s="24" t="s">
        <v>574</v>
      </c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</row>
    <row r="1724" customFormat="false" ht="15" hidden="false" customHeight="false" outlineLevel="0" collapsed="false">
      <c r="A1724" s="3" t="s">
        <v>556</v>
      </c>
      <c r="C1724" s="16" t="n">
        <f aca="false">IF(C1713=0,0,C1680/C1713*MAX(0,MIN(C1713,$C$1623-SUM($C$1658:$C$1667)-C1702)))</f>
        <v>0</v>
      </c>
    </row>
    <row r="1725" customFormat="false" ht="15" hidden="false" customHeight="false" outlineLevel="0" collapsed="false">
      <c r="A1725" s="3" t="s">
        <v>557</v>
      </c>
      <c r="C1725" s="16" t="n">
        <f aca="false">IF(C1714=0,0,C1681/C1714*MAX(0,MIN(C1714,$C$1623-SUM($C$1658:$C$1667)-C1703)))</f>
        <v>0</v>
      </c>
    </row>
    <row r="1726" customFormat="false" ht="15" hidden="false" customHeight="false" outlineLevel="0" collapsed="false">
      <c r="A1726" s="3" t="s">
        <v>558</v>
      </c>
      <c r="C1726" s="16" t="n">
        <f aca="false">IF(C1715=0,0,C1682/C1715*MAX(0,MIN(C1715,$C$1623-SUM($C$1658:$C$1667)-C1704)))</f>
        <v>0</v>
      </c>
    </row>
    <row r="1727" customFormat="false" ht="15" hidden="false" customHeight="false" outlineLevel="0" collapsed="false">
      <c r="A1727" s="3" t="s">
        <v>559</v>
      </c>
      <c r="C1727" s="16" t="n">
        <f aca="false">IF(C1716=0,0,C1683/C1716*MAX(0,MIN(C1716,$C$1623-SUM($C$1658:$C$1667)-C1705)))</f>
        <v>0</v>
      </c>
    </row>
    <row r="1728" customFormat="false" ht="15" hidden="false" customHeight="false" outlineLevel="0" collapsed="false">
      <c r="A1728" s="3" t="s">
        <v>560</v>
      </c>
      <c r="C1728" s="16" t="n">
        <f aca="false">IF(C1717=0,0,C1684/C1717*MAX(0,MIN(C1717,$C$1623-SUM($C$1658:$C$1667)-C1706)))</f>
        <v>439.249936942163</v>
      </c>
    </row>
    <row r="1729" customFormat="false" ht="15" hidden="false" customHeight="false" outlineLevel="0" collapsed="false">
      <c r="A1729" s="3" t="s">
        <v>561</v>
      </c>
      <c r="C1729" s="16" t="n">
        <f aca="false">IF(C1718=0,0,C1685/C1718*MAX(0,MIN(C1718,$C$1623-SUM($C$1658:$C$1667)-C1707)))</f>
        <v>357.2625</v>
      </c>
    </row>
    <row r="1730" customFormat="false" ht="15" hidden="false" customHeight="false" outlineLevel="0" collapsed="false">
      <c r="A1730" s="3" t="s">
        <v>562</v>
      </c>
      <c r="C1730" s="16" t="n">
        <f aca="false">IF(C1719=0,0,C1686/C1719*MAX(0,MIN(C1719,$C$1623-SUM($C$1658:$C$1667)-C1708)))</f>
        <v>562.203125</v>
      </c>
    </row>
    <row r="1731" customFormat="false" ht="15" hidden="false" customHeight="false" outlineLevel="0" collapsed="false">
      <c r="A1731" s="3" t="s">
        <v>563</v>
      </c>
      <c r="C1731" s="16" t="n">
        <f aca="false">IF(C1720=0,0,C1687/C1720*MAX(0,MIN(C1720,$C$1623-SUM($C$1658:$C$1667)-C1709)))</f>
        <v>353.98125</v>
      </c>
    </row>
    <row r="1732" customFormat="false" ht="15" hidden="false" customHeight="false" outlineLevel="0" collapsed="false">
      <c r="A1732" s="3" t="s">
        <v>564</v>
      </c>
      <c r="C1732" s="16" t="n">
        <f aca="false">IF(C1721=0,0,C1688/C1721*MAX(0,MIN(C1721,$C$1623-SUM($C$1658:$C$1667)-C1710)))</f>
        <v>304.59375</v>
      </c>
    </row>
    <row r="1733" customFormat="false" ht="15" hidden="false" customHeight="false" outlineLevel="0" collapsed="false">
      <c r="A1733" s="3" t="s">
        <v>565</v>
      </c>
      <c r="C1733" s="16" t="n">
        <f aca="false">IF(C1722=0,0,C1689/C1722*MAX(0,MIN(C1722,$C$1623-SUM($C$1658:$C$1667)-C1711)))</f>
        <v>20.1124853346373</v>
      </c>
    </row>
    <row r="1734" customFormat="false" ht="15" hidden="false" customHeight="false" outlineLevel="0" collapsed="false">
      <c r="A1734" s="24" t="s">
        <v>575</v>
      </c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</row>
    <row r="1735" customFormat="false" ht="15" hidden="false" customHeight="false" outlineLevel="0" collapsed="false">
      <c r="A1735" s="2" t="s">
        <v>556</v>
      </c>
      <c r="C1735" s="17" t="n">
        <f aca="false">C1658+C1724</f>
        <v>403.76</v>
      </c>
    </row>
    <row r="1736" customFormat="false" ht="15" hidden="false" customHeight="false" outlineLevel="0" collapsed="false">
      <c r="A1736" s="2" t="s">
        <v>557</v>
      </c>
      <c r="C1736" s="17" t="n">
        <f aca="false">C1659+C1725</f>
        <v>85.1568504864</v>
      </c>
    </row>
    <row r="1737" customFormat="false" ht="15" hidden="false" customHeight="false" outlineLevel="0" collapsed="false">
      <c r="A1737" s="2" t="s">
        <v>558</v>
      </c>
      <c r="C1737" s="17" t="n">
        <f aca="false">C1660+C1726</f>
        <v>54.1907230368</v>
      </c>
    </row>
    <row r="1738" customFormat="false" ht="15" hidden="false" customHeight="false" outlineLevel="0" collapsed="false">
      <c r="A1738" s="2" t="s">
        <v>559</v>
      </c>
      <c r="C1738" s="17" t="n">
        <f aca="false">C1661+C1727</f>
        <v>0</v>
      </c>
    </row>
    <row r="1739" customFormat="false" ht="15" hidden="false" customHeight="false" outlineLevel="0" collapsed="false">
      <c r="A1739" s="2" t="s">
        <v>560</v>
      </c>
      <c r="C1739" s="17" t="n">
        <f aca="false">C1662+C1728</f>
        <v>439.249936942163</v>
      </c>
    </row>
    <row r="1740" customFormat="false" ht="15" hidden="false" customHeight="false" outlineLevel="0" collapsed="false">
      <c r="A1740" s="2" t="s">
        <v>561</v>
      </c>
      <c r="C1740" s="17" t="n">
        <f aca="false">C1663+C1729</f>
        <v>357.2625</v>
      </c>
    </row>
    <row r="1741" customFormat="false" ht="15" hidden="false" customHeight="false" outlineLevel="0" collapsed="false">
      <c r="A1741" s="2" t="s">
        <v>562</v>
      </c>
      <c r="C1741" s="17" t="n">
        <f aca="false">C1664+C1730</f>
        <v>562.203125</v>
      </c>
    </row>
    <row r="1742" customFormat="false" ht="15" hidden="false" customHeight="false" outlineLevel="0" collapsed="false">
      <c r="A1742" s="2" t="s">
        <v>563</v>
      </c>
      <c r="C1742" s="17" t="n">
        <f aca="false">C1665+C1731</f>
        <v>353.98125</v>
      </c>
    </row>
    <row r="1743" customFormat="false" ht="15" hidden="false" customHeight="false" outlineLevel="0" collapsed="false">
      <c r="A1743" s="2" t="s">
        <v>564</v>
      </c>
      <c r="C1743" s="17" t="n">
        <f aca="false">C1666+C1732</f>
        <v>304.59375</v>
      </c>
    </row>
    <row r="1744" customFormat="false" ht="15" hidden="false" customHeight="false" outlineLevel="0" collapsed="false">
      <c r="A1744" s="2" t="s">
        <v>565</v>
      </c>
      <c r="C1744" s="17" t="n">
        <f aca="false">C1667+C1733</f>
        <v>20.1124853346373</v>
      </c>
    </row>
    <row r="1745" customFormat="false" ht="15" hidden="false" customHeight="false" outlineLevel="0" collapsed="false">
      <c r="A1745" s="24" t="s">
        <v>576</v>
      </c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</row>
    <row r="1746" customFormat="false" ht="15" hidden="false" customHeight="false" outlineLevel="0" collapsed="false">
      <c r="A1746" s="3" t="s">
        <v>556</v>
      </c>
      <c r="C1746" s="22" t="n">
        <f aca="false">IF(C1625=0,1,C1735/C1625)</f>
        <v>1</v>
      </c>
    </row>
    <row r="1747" customFormat="false" ht="15" hidden="false" customHeight="false" outlineLevel="0" collapsed="false">
      <c r="A1747" s="3" t="s">
        <v>557</v>
      </c>
      <c r="C1747" s="22" t="n">
        <f aca="false">IF(C1626=0,1,C1736/C1626)</f>
        <v>0.932640622583639</v>
      </c>
    </row>
    <row r="1748" customFormat="false" ht="15" hidden="false" customHeight="false" outlineLevel="0" collapsed="false">
      <c r="A1748" s="3" t="s">
        <v>558</v>
      </c>
      <c r="C1748" s="22" t="n">
        <f aca="false">IF(C1627=0,1,C1737/C1627)</f>
        <v>0.928374871640695</v>
      </c>
    </row>
    <row r="1749" customFormat="false" ht="15" hidden="false" customHeight="false" outlineLevel="0" collapsed="false">
      <c r="A1749" s="3" t="s">
        <v>559</v>
      </c>
      <c r="C1749" s="22" t="n">
        <f aca="false">IF(C1628=0,1,C1738/C1628)</f>
        <v>1</v>
      </c>
    </row>
    <row r="1750" customFormat="false" ht="15" hidden="false" customHeight="false" outlineLevel="0" collapsed="false">
      <c r="A1750" s="3" t="s">
        <v>560</v>
      </c>
      <c r="C1750" s="22" t="n">
        <f aca="false">IF(C1629=0,1,C1739/C1629)</f>
        <v>1</v>
      </c>
    </row>
    <row r="1751" customFormat="false" ht="15" hidden="false" customHeight="false" outlineLevel="0" collapsed="false">
      <c r="A1751" s="3" t="s">
        <v>561</v>
      </c>
      <c r="C1751" s="22" t="n">
        <f aca="false">IF(C1630=0,1,C1740/C1630)</f>
        <v>1</v>
      </c>
    </row>
    <row r="1752" customFormat="false" ht="15" hidden="false" customHeight="false" outlineLevel="0" collapsed="false">
      <c r="A1752" s="3" t="s">
        <v>562</v>
      </c>
      <c r="C1752" s="22" t="n">
        <f aca="false">IF(C1631=0,1,C1741/C1631)</f>
        <v>1</v>
      </c>
    </row>
    <row r="1753" customFormat="false" ht="15" hidden="false" customHeight="false" outlineLevel="0" collapsed="false">
      <c r="A1753" s="3" t="s">
        <v>563</v>
      </c>
      <c r="C1753" s="22" t="n">
        <f aca="false">IF(C1632=0,1,C1742/C1632)</f>
        <v>1</v>
      </c>
    </row>
    <row r="1754" customFormat="false" ht="15" hidden="false" customHeight="false" outlineLevel="0" collapsed="false">
      <c r="A1754" s="3" t="s">
        <v>564</v>
      </c>
      <c r="C1754" s="22" t="n">
        <f aca="false">IF(C1633=0,1,C1743/C1633)</f>
        <v>1</v>
      </c>
    </row>
    <row r="1755" customFormat="false" ht="15" hidden="false" customHeight="false" outlineLevel="0" collapsed="false">
      <c r="A1755" s="3" t="s">
        <v>565</v>
      </c>
      <c r="C1755" s="22" t="n">
        <f aca="false">IF(C1634=0,1,C1744/C1634)</f>
        <v>0.250675046545511</v>
      </c>
    </row>
    <row r="1756" customFormat="false" ht="15" hidden="false" customHeight="false" outlineLevel="0" collapsed="false">
      <c r="A1756" s="24" t="s">
        <v>577</v>
      </c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</row>
    <row r="1757" customFormat="false" ht="15" hidden="false" customHeight="false" outlineLevel="0" collapsed="false">
      <c r="A1757" s="3" t="s">
        <v>556</v>
      </c>
      <c r="C1757" s="16" t="n">
        <f aca="false">C1625-C1735</f>
        <v>0</v>
      </c>
    </row>
    <row r="1758" customFormat="false" ht="15" hidden="false" customHeight="false" outlineLevel="0" collapsed="false">
      <c r="A1758" s="3" t="s">
        <v>557</v>
      </c>
      <c r="C1758" s="16" t="n">
        <f aca="false">C1626-C1736</f>
        <v>6.15039951360001</v>
      </c>
    </row>
    <row r="1759" customFormat="false" ht="15" hidden="false" customHeight="false" outlineLevel="0" collapsed="false">
      <c r="A1759" s="3" t="s">
        <v>558</v>
      </c>
      <c r="C1759" s="16" t="n">
        <f aca="false">C1627-C1737</f>
        <v>4.1808730632</v>
      </c>
    </row>
    <row r="1760" customFormat="false" ht="15" hidden="false" customHeight="false" outlineLevel="0" collapsed="false">
      <c r="A1760" s="3" t="s">
        <v>559</v>
      </c>
      <c r="C1760" s="16" t="n">
        <f aca="false">C1628-C1738</f>
        <v>0</v>
      </c>
    </row>
    <row r="1761" customFormat="false" ht="15" hidden="false" customHeight="false" outlineLevel="0" collapsed="false">
      <c r="A1761" s="3" t="s">
        <v>560</v>
      </c>
      <c r="C1761" s="16" t="n">
        <f aca="false">C1629-C1739</f>
        <v>0</v>
      </c>
    </row>
    <row r="1762" customFormat="false" ht="15" hidden="false" customHeight="false" outlineLevel="0" collapsed="false">
      <c r="A1762" s="3" t="s">
        <v>561</v>
      </c>
      <c r="C1762" s="16" t="n">
        <f aca="false">C1630-C1740</f>
        <v>0</v>
      </c>
    </row>
    <row r="1763" customFormat="false" ht="15" hidden="false" customHeight="false" outlineLevel="0" collapsed="false">
      <c r="A1763" s="3" t="s">
        <v>562</v>
      </c>
      <c r="C1763" s="16" t="n">
        <f aca="false">C1631-C1741</f>
        <v>0</v>
      </c>
    </row>
    <row r="1764" customFormat="false" ht="15" hidden="false" customHeight="false" outlineLevel="0" collapsed="false">
      <c r="A1764" s="3" t="s">
        <v>563</v>
      </c>
      <c r="C1764" s="16" t="n">
        <f aca="false">C1632-C1742</f>
        <v>0</v>
      </c>
    </row>
    <row r="1765" customFormat="false" ht="15" hidden="false" customHeight="false" outlineLevel="0" collapsed="false">
      <c r="A1765" s="3" t="s">
        <v>564</v>
      </c>
      <c r="C1765" s="16" t="n">
        <f aca="false">C1633-C1743</f>
        <v>0</v>
      </c>
    </row>
    <row r="1766" customFormat="false" ht="15" hidden="false" customHeight="false" outlineLevel="0" collapsed="false">
      <c r="A1766" s="3" t="s">
        <v>565</v>
      </c>
      <c r="C1766" s="16" t="n">
        <f aca="false">C1634-C1744</f>
        <v>60.1208111653627</v>
      </c>
    </row>
    <row r="1767" customFormat="false" ht="15" hidden="false" customHeight="false" outlineLevel="0" collapsed="false">
      <c r="A1767" s="24" t="s">
        <v>578</v>
      </c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</row>
    <row r="1768" customFormat="false" ht="15" hidden="false" customHeight="false" outlineLevel="0" collapsed="false">
      <c r="A1768" s="3" t="s">
        <v>556</v>
      </c>
      <c r="C1768" s="22" t="n">
        <f aca="false">IF(C1625=0,0,C1757/C1625)</f>
        <v>0</v>
      </c>
    </row>
    <row r="1769" customFormat="false" ht="15" hidden="false" customHeight="false" outlineLevel="0" collapsed="false">
      <c r="A1769" s="3" t="s">
        <v>557</v>
      </c>
      <c r="C1769" s="22" t="n">
        <f aca="false">IF(C1626=0,0,C1758/C1626)</f>
        <v>0.0673593774163608</v>
      </c>
    </row>
    <row r="1770" customFormat="false" ht="15" hidden="false" customHeight="false" outlineLevel="0" collapsed="false">
      <c r="A1770" s="3" t="s">
        <v>558</v>
      </c>
      <c r="C1770" s="22" t="n">
        <f aca="false">IF(C1627=0,0,C1759/C1627)</f>
        <v>0.0716251283593048</v>
      </c>
    </row>
    <row r="1771" customFormat="false" ht="15" hidden="false" customHeight="false" outlineLevel="0" collapsed="false">
      <c r="A1771" s="3" t="s">
        <v>559</v>
      </c>
      <c r="C1771" s="22" t="n">
        <f aca="false">IF(C1628=0,0,C1760/C1628)</f>
        <v>0</v>
      </c>
    </row>
    <row r="1772" customFormat="false" ht="15" hidden="false" customHeight="false" outlineLevel="0" collapsed="false">
      <c r="A1772" s="3" t="s">
        <v>560</v>
      </c>
      <c r="C1772" s="22" t="n">
        <f aca="false">IF(C1629=0,0,C1761/C1629)</f>
        <v>0</v>
      </c>
    </row>
    <row r="1773" customFormat="false" ht="15" hidden="false" customHeight="false" outlineLevel="0" collapsed="false">
      <c r="A1773" s="3" t="s">
        <v>561</v>
      </c>
      <c r="C1773" s="22" t="n">
        <f aca="false">IF(C1630=0,0,C1762/C1630)</f>
        <v>0</v>
      </c>
    </row>
    <row r="1774" customFormat="false" ht="15" hidden="false" customHeight="false" outlineLevel="0" collapsed="false">
      <c r="A1774" s="3" t="s">
        <v>562</v>
      </c>
      <c r="C1774" s="22" t="n">
        <f aca="false">IF(C1631=0,0,C1763/C1631)</f>
        <v>0</v>
      </c>
    </row>
    <row r="1775" customFormat="false" ht="15" hidden="false" customHeight="false" outlineLevel="0" collapsed="false">
      <c r="A1775" s="3" t="s">
        <v>563</v>
      </c>
      <c r="C1775" s="22" t="n">
        <f aca="false">IF(C1632=0,0,C1764/C1632)</f>
        <v>0</v>
      </c>
    </row>
    <row r="1776" customFormat="false" ht="15" hidden="false" customHeight="false" outlineLevel="0" collapsed="false">
      <c r="A1776" s="3" t="s">
        <v>564</v>
      </c>
      <c r="C1776" s="22" t="n">
        <f aca="false">IF(C1633=0,0,C1765/C1633)</f>
        <v>0</v>
      </c>
    </row>
    <row r="1777" customFormat="false" ht="15" hidden="false" customHeight="false" outlineLevel="0" collapsed="false">
      <c r="A1777" s="3" t="s">
        <v>565</v>
      </c>
      <c r="C1777" s="22" t="n">
        <f aca="false">IF(C1634=0,0,C1766/C1634)</f>
        <v>0.749324953454489</v>
      </c>
    </row>
    <row r="1778" customFormat="false" ht="15" hidden="false" customHeight="false" outlineLevel="0" collapsed="false">
      <c r="A1778" s="2" t="s">
        <v>579</v>
      </c>
      <c r="C1778" s="17" t="n">
        <f aca="false">MAX(0,$C$1623-SUM($C$1658:$C$1667)-SUM($C$1680:$C$1689))</f>
        <v>0</v>
      </c>
    </row>
    <row r="1779" customFormat="false" ht="15" hidden="false" customHeight="false" outlineLevel="0" collapsed="false">
      <c r="A1779" s="3" t="s">
        <v>580</v>
      </c>
      <c r="C1779" s="16" t="n">
        <f aca="false">SUM($C$1735:$C$1744)+C1778+C1622-C1621</f>
        <v>0</v>
      </c>
    </row>
    <row r="1781" customFormat="false" ht="15" hidden="false" customHeight="false" outlineLevel="0" collapsed="false">
      <c r="A1781" s="24" t="s">
        <v>583</v>
      </c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</row>
    <row r="1782" customFormat="false" ht="15" hidden="false" customHeight="false" outlineLevel="0" collapsed="false">
      <c r="A1782" s="3" t="s">
        <v>584</v>
      </c>
      <c r="C1782" s="27" t="n">
        <f aca="false">Assumptions!$C$34</f>
        <v>1</v>
      </c>
    </row>
    <row r="1783" customFormat="false" ht="15" hidden="false" customHeight="false" outlineLevel="0" collapsed="false">
      <c r="A1783" s="3" t="s">
        <v>585</v>
      </c>
      <c r="C1783" s="29" t="n">
        <f aca="false">Assumptions!$C$35</f>
        <v>100</v>
      </c>
    </row>
    <row r="1784" customFormat="false" ht="15" hidden="false" customHeight="false" outlineLevel="0" collapsed="false">
      <c r="A1784" s="3" t="s">
        <v>586</v>
      </c>
      <c r="C1784" s="40" t="n">
        <f aca="false">Assumptions!$C$36</f>
        <v>98</v>
      </c>
    </row>
    <row r="1785" customFormat="false" ht="15" hidden="false" customHeight="false" outlineLevel="0" collapsed="false">
      <c r="A1785" s="3" t="s">
        <v>587</v>
      </c>
      <c r="C1785" s="16" t="n">
        <f aca="false">C1783*C1784/100*(1+Assumptions!$C$37)</f>
        <v>98.49</v>
      </c>
    </row>
    <row r="1786" customFormat="false" ht="15" hidden="false" customHeight="false" outlineLevel="0" collapsed="false">
      <c r="A1786" s="3" t="s">
        <v>588</v>
      </c>
      <c r="C1786" s="27" t="n">
        <f aca="false">Assumptions!$C$38</f>
        <v>3</v>
      </c>
    </row>
    <row r="1787" customFormat="false" ht="15" hidden="false" customHeight="false" outlineLevel="0" collapsed="false">
      <c r="A1787" s="3" t="s">
        <v>589</v>
      </c>
      <c r="C1787" s="21" t="n">
        <f aca="false">IF(C1614=1,SUMPRODUCT($G$1550:$K$1550,$G$1324:$K$1324),0)</f>
        <v>2</v>
      </c>
    </row>
    <row r="1788" customFormat="false" ht="15" hidden="false" customHeight="false" outlineLevel="0" collapsed="false">
      <c r="A1788" s="3" t="s">
        <v>590</v>
      </c>
      <c r="C1788" s="22" t="n">
        <f aca="false">IFERROR(C1783/CHOOSE(C1782,SUMPRODUCT($G$1613:$K$1613,$G$1370:$K$1370),SUMPRODUCT($G$1613:$K$1613,$G$1383:$K$1383),SUMPRODUCT($G$1613:$K$1613,$G$1396:$K$1396),SUMPRODUCT($G$1613:$K$1613,$G$1409:$K$1409),SUMPRODUCT($G$1613:$K$1613,$G$1422:$K$1422),SUMPRODUCT($G$1613:$K$1613,$G$1435:$K$1435),SUMPRODUCT($G$1613:$K$1613,$G$1448:$K$1448),SUMPRODUCT($G$1613:$K$1613,$G$1461:$K$1461),SUMPRODUCT($G$1613:$K$1613,$G$1474:$K$1474),SUMPRODUCT($G$1613:$K$1613,$G$1487:$K$1487)),0)</f>
        <v>0.255102040816327</v>
      </c>
    </row>
    <row r="1789" customFormat="false" ht="15" hidden="false" customHeight="false" outlineLevel="0" collapsed="false">
      <c r="A1789" s="3" t="s">
        <v>591</v>
      </c>
      <c r="C1789" s="16" t="n">
        <f aca="false">CHOOSE(C1782,C1735,C1736,C1737,C1738,C1739,C1740,C1741,C1742,C1743,C1744)*C1788</f>
        <v>103</v>
      </c>
    </row>
    <row r="1790" customFormat="false" ht="15" hidden="false" customHeight="false" outlineLevel="0" collapsed="false">
      <c r="A1790" s="3" t="s">
        <v>592</v>
      </c>
      <c r="C1790" s="22" t="n">
        <f aca="false">CHOOSE(C1782,C1746,C1747,C1748,C1749,C1750,C1751,C1752,C1753,C1754,C1755)</f>
        <v>1</v>
      </c>
    </row>
    <row r="1791" customFormat="false" ht="15" hidden="false" customHeight="false" outlineLevel="0" collapsed="false">
      <c r="A1791" s="3" t="s">
        <v>593</v>
      </c>
      <c r="C1791" s="21" t="n">
        <f aca="false">IF(C1614=1,C1787,C1786)</f>
        <v>2</v>
      </c>
    </row>
    <row r="1792" customFormat="false" ht="15" hidden="false" customHeight="false" outlineLevel="0" collapsed="false">
      <c r="A1792" s="3" t="s">
        <v>594</v>
      </c>
      <c r="C1792" s="35" t="n">
        <f aca="false">CHOOSE($C$1316,Assumptions!$C$91,Assumptions!$C$110,Assumptions!$C$129)</f>
        <v>85</v>
      </c>
    </row>
    <row r="1793" customFormat="false" ht="15" hidden="false" customHeight="false" outlineLevel="0" collapsed="false">
      <c r="A1793" s="3" t="s">
        <v>595</v>
      </c>
      <c r="C1793" s="16" t="n">
        <f aca="false">INDEX($G$1333:$K$1333,C1786)*CHOOSE($C$1316,Assumptions!$C$90,Assumptions!$C$109,Assumptions!$C$128)+MAX(0,INDEX($G$1547:$K$1547,C1786))</f>
        <v>1633.40082545963</v>
      </c>
    </row>
    <row r="1794" customFormat="false" ht="15" hidden="false" customHeight="false" outlineLevel="0" collapsed="false">
      <c r="A1794" s="24" t="s">
        <v>596</v>
      </c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</row>
    <row r="1795" customFormat="false" ht="15" hidden="false" customHeight="false" outlineLevel="0" collapsed="false">
      <c r="A1795" s="3" t="s">
        <v>556</v>
      </c>
      <c r="C1795" s="16" t="n">
        <f aca="false">INDEX($G$1370:$K$1370,C1786)</f>
        <v>388</v>
      </c>
    </row>
    <row r="1796" customFormat="false" ht="15" hidden="false" customHeight="false" outlineLevel="0" collapsed="false">
      <c r="A1796" s="3" t="s">
        <v>557</v>
      </c>
      <c r="C1796" s="16" t="n">
        <f aca="false">INDEX($G$1383:$K$1383,C1786)</f>
        <v>90</v>
      </c>
    </row>
    <row r="1797" customFormat="false" ht="15" hidden="false" customHeight="false" outlineLevel="0" collapsed="false">
      <c r="A1797" s="3" t="s">
        <v>558</v>
      </c>
      <c r="C1797" s="16" t="n">
        <f aca="false">INDEX($G$1396:$K$1396,C1786)</f>
        <v>57.324</v>
      </c>
    </row>
    <row r="1798" customFormat="false" ht="15" hidden="false" customHeight="false" outlineLevel="0" collapsed="false">
      <c r="A1798" s="3" t="s">
        <v>559</v>
      </c>
      <c r="C1798" s="16" t="n">
        <f aca="false">INDEX($G$1409:$K$1409,C1786)</f>
        <v>0</v>
      </c>
    </row>
    <row r="1799" customFormat="false" ht="15" hidden="false" customHeight="false" outlineLevel="0" collapsed="false">
      <c r="A1799" s="3" t="s">
        <v>560</v>
      </c>
      <c r="C1799" s="16" t="n">
        <f aca="false">INDEX($G$1422:$K$1422,C1786)</f>
        <v>434.9547587</v>
      </c>
    </row>
    <row r="1800" customFormat="false" ht="15" hidden="false" customHeight="false" outlineLevel="0" collapsed="false">
      <c r="A1800" s="3" t="s">
        <v>561</v>
      </c>
      <c r="C1800" s="16" t="n">
        <f aca="false">INDEX($G$1435:$K$1435,C1786)</f>
        <v>350</v>
      </c>
    </row>
    <row r="1801" customFormat="false" ht="15" hidden="false" customHeight="false" outlineLevel="0" collapsed="false">
      <c r="A1801" s="3" t="s">
        <v>562</v>
      </c>
      <c r="C1801" s="16" t="n">
        <f aca="false">INDEX($G$1448:$K$1448,C1786)</f>
        <v>550</v>
      </c>
    </row>
    <row r="1802" customFormat="false" ht="15" hidden="false" customHeight="false" outlineLevel="0" collapsed="false">
      <c r="A1802" s="3" t="s">
        <v>563</v>
      </c>
      <c r="C1802" s="16" t="n">
        <f aca="false">INDEX($G$1461:$K$1461,C1786)</f>
        <v>350</v>
      </c>
    </row>
    <row r="1803" customFormat="false" ht="15" hidden="false" customHeight="false" outlineLevel="0" collapsed="false">
      <c r="A1803" s="3" t="s">
        <v>564</v>
      </c>
      <c r="C1803" s="16" t="n">
        <f aca="false">INDEX($G$1474:$K$1474,C1786)</f>
        <v>300</v>
      </c>
    </row>
    <row r="1804" customFormat="false" ht="15" hidden="false" customHeight="false" outlineLevel="0" collapsed="false">
      <c r="A1804" s="3" t="s">
        <v>565</v>
      </c>
      <c r="C1804" s="16" t="n">
        <f aca="false">INDEX($G$1487:$K$1487,C1786)</f>
        <v>78.61</v>
      </c>
    </row>
    <row r="1805" customFormat="false" ht="15" hidden="false" customHeight="false" outlineLevel="0" collapsed="false">
      <c r="A1805" s="24" t="s">
        <v>566</v>
      </c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</row>
    <row r="1806" customFormat="false" ht="15" hidden="false" customHeight="false" outlineLevel="0" collapsed="false">
      <c r="A1806" s="3" t="s">
        <v>556</v>
      </c>
      <c r="C1806" s="27" t="n">
        <f aca="false">Assumptions!$M$57</f>
        <v>1</v>
      </c>
    </row>
    <row r="1807" customFormat="false" ht="15" hidden="false" customHeight="false" outlineLevel="0" collapsed="false">
      <c r="A1807" s="3" t="s">
        <v>557</v>
      </c>
      <c r="C1807" s="27" t="n">
        <f aca="false">Assumptions!$M$58</f>
        <v>1</v>
      </c>
    </row>
    <row r="1808" customFormat="false" ht="15" hidden="false" customHeight="false" outlineLevel="0" collapsed="false">
      <c r="A1808" s="3" t="s">
        <v>558</v>
      </c>
      <c r="C1808" s="27" t="n">
        <f aca="false">Assumptions!$M$59</f>
        <v>1</v>
      </c>
    </row>
    <row r="1809" customFormat="false" ht="15" hidden="false" customHeight="false" outlineLevel="0" collapsed="false">
      <c r="A1809" s="3" t="s">
        <v>559</v>
      </c>
      <c r="C1809" s="27" t="n">
        <f aca="false">Assumptions!$M$60</f>
        <v>2</v>
      </c>
    </row>
    <row r="1810" customFormat="false" ht="15" hidden="false" customHeight="false" outlineLevel="0" collapsed="false">
      <c r="A1810" s="3" t="s">
        <v>560</v>
      </c>
      <c r="C1810" s="27" t="n">
        <f aca="false">Assumptions!$M$61</f>
        <v>2</v>
      </c>
    </row>
    <row r="1811" customFormat="false" ht="15" hidden="false" customHeight="false" outlineLevel="0" collapsed="false">
      <c r="A1811" s="3" t="s">
        <v>561</v>
      </c>
      <c r="C1811" s="27" t="n">
        <f aca="false">Assumptions!$M$62</f>
        <v>2</v>
      </c>
    </row>
    <row r="1812" customFormat="false" ht="15" hidden="false" customHeight="false" outlineLevel="0" collapsed="false">
      <c r="A1812" s="3" t="s">
        <v>562</v>
      </c>
      <c r="C1812" s="27" t="n">
        <f aca="false">Assumptions!$M$63</f>
        <v>2</v>
      </c>
    </row>
    <row r="1813" customFormat="false" ht="15" hidden="false" customHeight="false" outlineLevel="0" collapsed="false">
      <c r="A1813" s="3" t="s">
        <v>563</v>
      </c>
      <c r="C1813" s="27" t="n">
        <f aca="false">Assumptions!$M$64</f>
        <v>2</v>
      </c>
    </row>
    <row r="1814" customFormat="false" ht="15" hidden="false" customHeight="false" outlineLevel="0" collapsed="false">
      <c r="A1814" s="3" t="s">
        <v>564</v>
      </c>
      <c r="C1814" s="27" t="n">
        <f aca="false">Assumptions!$M$65</f>
        <v>2</v>
      </c>
    </row>
    <row r="1815" customFormat="false" ht="15" hidden="false" customHeight="false" outlineLevel="0" collapsed="false">
      <c r="A1815" s="3" t="s">
        <v>565</v>
      </c>
      <c r="C1815" s="27" t="n">
        <f aca="false">Assumptions!$M$66</f>
        <v>3</v>
      </c>
    </row>
    <row r="1816" customFormat="false" ht="15" hidden="false" customHeight="false" outlineLevel="0" collapsed="false">
      <c r="A1816" s="24" t="s">
        <v>567</v>
      </c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</row>
    <row r="1817" customFormat="false" ht="15" hidden="false" customHeight="false" outlineLevel="0" collapsed="false">
      <c r="A1817" s="3" t="s">
        <v>556</v>
      </c>
      <c r="C1817" s="33" t="n">
        <f aca="false">Assumptions!$Q$57</f>
        <v>0.3</v>
      </c>
    </row>
    <row r="1818" customFormat="false" ht="15" hidden="false" customHeight="false" outlineLevel="0" collapsed="false">
      <c r="A1818" s="3" t="s">
        <v>557</v>
      </c>
      <c r="C1818" s="33" t="n">
        <f aca="false">Assumptions!$Q$58</f>
        <v>0.033</v>
      </c>
    </row>
    <row r="1819" customFormat="false" ht="15" hidden="false" customHeight="false" outlineLevel="0" collapsed="false">
      <c r="A1819" s="3" t="s">
        <v>558</v>
      </c>
      <c r="C1819" s="33" t="n">
        <f aca="false">Assumptions!$Q$59</f>
        <v>0.021</v>
      </c>
    </row>
    <row r="1820" customFormat="false" ht="15" hidden="false" customHeight="false" outlineLevel="0" collapsed="false">
      <c r="A1820" s="3" t="s">
        <v>559</v>
      </c>
      <c r="C1820" s="33" t="n">
        <f aca="false">Assumptions!$Q$60</f>
        <v>0</v>
      </c>
    </row>
    <row r="1821" customFormat="false" ht="15" hidden="false" customHeight="false" outlineLevel="0" collapsed="false">
      <c r="A1821" s="3" t="s">
        <v>560</v>
      </c>
      <c r="C1821" s="33" t="n">
        <f aca="false">Assumptions!$Q$61</f>
        <v>0</v>
      </c>
    </row>
    <row r="1822" customFormat="false" ht="15" hidden="false" customHeight="false" outlineLevel="0" collapsed="false">
      <c r="A1822" s="3" t="s">
        <v>561</v>
      </c>
      <c r="C1822" s="33" t="n">
        <f aca="false">Assumptions!$Q$62</f>
        <v>0</v>
      </c>
    </row>
    <row r="1823" customFormat="false" ht="15" hidden="false" customHeight="false" outlineLevel="0" collapsed="false">
      <c r="A1823" s="3" t="s">
        <v>562</v>
      </c>
      <c r="C1823" s="33" t="n">
        <f aca="false">Assumptions!$Q$63</f>
        <v>0</v>
      </c>
    </row>
    <row r="1824" customFormat="false" ht="15" hidden="false" customHeight="false" outlineLevel="0" collapsed="false">
      <c r="A1824" s="3" t="s">
        <v>563</v>
      </c>
      <c r="C1824" s="33" t="n">
        <f aca="false">Assumptions!$Q$64</f>
        <v>0</v>
      </c>
    </row>
    <row r="1825" customFormat="false" ht="15" hidden="false" customHeight="false" outlineLevel="0" collapsed="false">
      <c r="A1825" s="3" t="s">
        <v>564</v>
      </c>
      <c r="C1825" s="33" t="n">
        <f aca="false">Assumptions!$Q$65</f>
        <v>0</v>
      </c>
    </row>
    <row r="1826" customFormat="false" ht="15" hidden="false" customHeight="false" outlineLevel="0" collapsed="false">
      <c r="A1826" s="3" t="s">
        <v>565</v>
      </c>
      <c r="C1826" s="33" t="n">
        <f aca="false">Assumptions!$Q$66</f>
        <v>0</v>
      </c>
    </row>
    <row r="1827" customFormat="false" ht="15" hidden="false" customHeight="false" outlineLevel="0" collapsed="false">
      <c r="A1827" s="24" t="s">
        <v>568</v>
      </c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</row>
    <row r="1828" customFormat="false" ht="15" hidden="false" customHeight="false" outlineLevel="0" collapsed="false">
      <c r="A1828" s="3" t="s">
        <v>556</v>
      </c>
      <c r="C1828" s="16" t="n">
        <f aca="false">IF(C1817&gt;0,MIN(C1795,C1817*$C$1793),0)</f>
        <v>388</v>
      </c>
    </row>
    <row r="1829" customFormat="false" ht="15" hidden="false" customHeight="false" outlineLevel="0" collapsed="false">
      <c r="A1829" s="3" t="s">
        <v>557</v>
      </c>
      <c r="C1829" s="16" t="n">
        <f aca="false">IF(C1818&gt;0,MIN(C1796,C1818*$C$1793),0)</f>
        <v>53.9022272401676</v>
      </c>
    </row>
    <row r="1830" customFormat="false" ht="15" hidden="false" customHeight="false" outlineLevel="0" collapsed="false">
      <c r="A1830" s="3" t="s">
        <v>558</v>
      </c>
      <c r="C1830" s="16" t="n">
        <f aca="false">IF(C1819&gt;0,MIN(C1797,C1819*$C$1793),0)</f>
        <v>34.3014173346521</v>
      </c>
    </row>
    <row r="1831" customFormat="false" ht="15" hidden="false" customHeight="false" outlineLevel="0" collapsed="false">
      <c r="A1831" s="3" t="s">
        <v>559</v>
      </c>
      <c r="C1831" s="16" t="n">
        <f aca="false">IF(C1820&gt;0,MIN(C1798,C1820*$C$1793),0)</f>
        <v>0</v>
      </c>
    </row>
    <row r="1832" customFormat="false" ht="15" hidden="false" customHeight="false" outlineLevel="0" collapsed="false">
      <c r="A1832" s="3" t="s">
        <v>560</v>
      </c>
      <c r="C1832" s="16" t="n">
        <f aca="false">IF(C1821&gt;0,MIN(C1799,C1821*$C$1793),0)</f>
        <v>0</v>
      </c>
    </row>
    <row r="1833" customFormat="false" ht="15" hidden="false" customHeight="false" outlineLevel="0" collapsed="false">
      <c r="A1833" s="3" t="s">
        <v>561</v>
      </c>
      <c r="C1833" s="16" t="n">
        <f aca="false">IF(C1822&gt;0,MIN(C1800,C1822*$C$1793),0)</f>
        <v>0</v>
      </c>
    </row>
    <row r="1834" customFormat="false" ht="15" hidden="false" customHeight="false" outlineLevel="0" collapsed="false">
      <c r="A1834" s="3" t="s">
        <v>562</v>
      </c>
      <c r="C1834" s="16" t="n">
        <f aca="false">IF(C1823&gt;0,MIN(C1801,C1823*$C$1793),0)</f>
        <v>0</v>
      </c>
    </row>
    <row r="1835" customFormat="false" ht="15" hidden="false" customHeight="false" outlineLevel="0" collapsed="false">
      <c r="A1835" s="3" t="s">
        <v>563</v>
      </c>
      <c r="C1835" s="16" t="n">
        <f aca="false">IF(C1824&gt;0,MIN(C1802,C1824*$C$1793),0)</f>
        <v>0</v>
      </c>
    </row>
    <row r="1836" customFormat="false" ht="15" hidden="false" customHeight="false" outlineLevel="0" collapsed="false">
      <c r="A1836" s="3" t="s">
        <v>564</v>
      </c>
      <c r="C1836" s="16" t="n">
        <f aca="false">IF(C1825&gt;0,MIN(C1803,C1825*$C$1793),0)</f>
        <v>0</v>
      </c>
    </row>
    <row r="1837" customFormat="false" ht="15" hidden="false" customHeight="false" outlineLevel="0" collapsed="false">
      <c r="A1837" s="3" t="s">
        <v>565</v>
      </c>
      <c r="C1837" s="16" t="n">
        <f aca="false">IF(C1826&gt;0,MIN(C1804,C1826*$C$1793),0)</f>
        <v>0</v>
      </c>
    </row>
    <row r="1838" customFormat="false" ht="15" hidden="false" customHeight="false" outlineLevel="0" collapsed="false">
      <c r="A1838" s="24" t="s">
        <v>569</v>
      </c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</row>
    <row r="1839" customFormat="false" ht="15" hidden="false" customHeight="false" outlineLevel="0" collapsed="false">
      <c r="A1839" s="3" t="s">
        <v>556</v>
      </c>
      <c r="C1839" s="16" t="n">
        <f aca="false">IF(C1817&gt;0,C1795-C1828,0)</f>
        <v>0</v>
      </c>
    </row>
    <row r="1840" customFormat="false" ht="15" hidden="false" customHeight="false" outlineLevel="0" collapsed="false">
      <c r="A1840" s="3" t="s">
        <v>557</v>
      </c>
      <c r="C1840" s="16" t="n">
        <f aca="false">IF(C1818&gt;0,C1796-C1829,0)</f>
        <v>36.0977727598324</v>
      </c>
    </row>
    <row r="1841" customFormat="false" ht="15" hidden="false" customHeight="false" outlineLevel="0" collapsed="false">
      <c r="A1841" s="3" t="s">
        <v>558</v>
      </c>
      <c r="C1841" s="16" t="n">
        <f aca="false">IF(C1819&gt;0,C1797-C1830,0)</f>
        <v>23.0225826653479</v>
      </c>
    </row>
    <row r="1842" customFormat="false" ht="15" hidden="false" customHeight="false" outlineLevel="0" collapsed="false">
      <c r="A1842" s="3" t="s">
        <v>559</v>
      </c>
      <c r="C1842" s="16" t="n">
        <f aca="false">IF(C1820&gt;0,C1798-C1831,0)</f>
        <v>0</v>
      </c>
    </row>
    <row r="1843" customFormat="false" ht="15" hidden="false" customHeight="false" outlineLevel="0" collapsed="false">
      <c r="A1843" s="3" t="s">
        <v>560</v>
      </c>
      <c r="C1843" s="16" t="n">
        <f aca="false">IF(C1821&gt;0,C1799-C1832,0)</f>
        <v>0</v>
      </c>
    </row>
    <row r="1844" customFormat="false" ht="15" hidden="false" customHeight="false" outlineLevel="0" collapsed="false">
      <c r="A1844" s="3" t="s">
        <v>561</v>
      </c>
      <c r="C1844" s="16" t="n">
        <f aca="false">IF(C1822&gt;0,C1800-C1833,0)</f>
        <v>0</v>
      </c>
    </row>
    <row r="1845" customFormat="false" ht="15" hidden="false" customHeight="false" outlineLevel="0" collapsed="false">
      <c r="A1845" s="3" t="s">
        <v>562</v>
      </c>
      <c r="C1845" s="16" t="n">
        <f aca="false">IF(C1823&gt;0,C1801-C1834,0)</f>
        <v>0</v>
      </c>
    </row>
    <row r="1846" customFormat="false" ht="15" hidden="false" customHeight="false" outlineLevel="0" collapsed="false">
      <c r="A1846" s="3" t="s">
        <v>563</v>
      </c>
      <c r="C1846" s="16" t="n">
        <f aca="false">IF(C1824&gt;0,C1802-C1835,0)</f>
        <v>0</v>
      </c>
    </row>
    <row r="1847" customFormat="false" ht="15" hidden="false" customHeight="false" outlineLevel="0" collapsed="false">
      <c r="A1847" s="3" t="s">
        <v>564</v>
      </c>
      <c r="C1847" s="16" t="n">
        <f aca="false">IF(C1825&gt;0,C1803-C1836,0)</f>
        <v>0</v>
      </c>
    </row>
    <row r="1848" customFormat="false" ht="15" hidden="false" customHeight="false" outlineLevel="0" collapsed="false">
      <c r="A1848" s="3" t="s">
        <v>565</v>
      </c>
      <c r="C1848" s="16" t="n">
        <f aca="false">IF(C1826&gt;0,C1804-C1837,0)</f>
        <v>0</v>
      </c>
    </row>
    <row r="1849" customFormat="false" ht="15" hidden="false" customHeight="false" outlineLevel="0" collapsed="false">
      <c r="A1849" s="24" t="s">
        <v>570</v>
      </c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</row>
    <row r="1850" customFormat="false" ht="15" hidden="false" customHeight="false" outlineLevel="0" collapsed="false">
      <c r="A1850" s="3" t="s">
        <v>556</v>
      </c>
      <c r="C1850" s="16" t="n">
        <f aca="false">IF(C1817&gt;0,C1839,C1795)</f>
        <v>0</v>
      </c>
    </row>
    <row r="1851" customFormat="false" ht="15" hidden="false" customHeight="false" outlineLevel="0" collapsed="false">
      <c r="A1851" s="3" t="s">
        <v>557</v>
      </c>
      <c r="C1851" s="16" t="n">
        <f aca="false">IF(C1818&gt;0,C1840,C1796)</f>
        <v>36.0977727598324</v>
      </c>
    </row>
    <row r="1852" customFormat="false" ht="15" hidden="false" customHeight="false" outlineLevel="0" collapsed="false">
      <c r="A1852" s="3" t="s">
        <v>558</v>
      </c>
      <c r="C1852" s="16" t="n">
        <f aca="false">IF(C1819&gt;0,C1841,C1797)</f>
        <v>23.0225826653479</v>
      </c>
    </row>
    <row r="1853" customFormat="false" ht="15" hidden="false" customHeight="false" outlineLevel="0" collapsed="false">
      <c r="A1853" s="3" t="s">
        <v>559</v>
      </c>
      <c r="C1853" s="16" t="n">
        <f aca="false">IF(C1820&gt;0,C1842,C1798)</f>
        <v>0</v>
      </c>
    </row>
    <row r="1854" customFormat="false" ht="15" hidden="false" customHeight="false" outlineLevel="0" collapsed="false">
      <c r="A1854" s="3" t="s">
        <v>560</v>
      </c>
      <c r="C1854" s="16" t="n">
        <f aca="false">IF(C1821&gt;0,C1843,C1799)</f>
        <v>434.9547587</v>
      </c>
    </row>
    <row r="1855" customFormat="false" ht="15" hidden="false" customHeight="false" outlineLevel="0" collapsed="false">
      <c r="A1855" s="3" t="s">
        <v>561</v>
      </c>
      <c r="C1855" s="16" t="n">
        <f aca="false">IF(C1822&gt;0,C1844,C1800)</f>
        <v>350</v>
      </c>
    </row>
    <row r="1856" customFormat="false" ht="15" hidden="false" customHeight="false" outlineLevel="0" collapsed="false">
      <c r="A1856" s="3" t="s">
        <v>562</v>
      </c>
      <c r="C1856" s="16" t="n">
        <f aca="false">IF(C1823&gt;0,C1845,C1801)</f>
        <v>550</v>
      </c>
    </row>
    <row r="1857" customFormat="false" ht="15" hidden="false" customHeight="false" outlineLevel="0" collapsed="false">
      <c r="A1857" s="3" t="s">
        <v>563</v>
      </c>
      <c r="C1857" s="16" t="n">
        <f aca="false">IF(C1824&gt;0,C1846,C1802)</f>
        <v>350</v>
      </c>
    </row>
    <row r="1858" customFormat="false" ht="15" hidden="false" customHeight="false" outlineLevel="0" collapsed="false">
      <c r="A1858" s="3" t="s">
        <v>564</v>
      </c>
      <c r="C1858" s="16" t="n">
        <f aca="false">IF(C1825&gt;0,C1847,C1803)</f>
        <v>300</v>
      </c>
    </row>
    <row r="1859" customFormat="false" ht="15" hidden="false" customHeight="false" outlineLevel="0" collapsed="false">
      <c r="A1859" s="3" t="s">
        <v>565</v>
      </c>
      <c r="C1859" s="16" t="n">
        <f aca="false">IF(C1826&gt;0,C1848,C1804)</f>
        <v>78.61</v>
      </c>
    </row>
    <row r="1860" customFormat="false" ht="15" hidden="false" customHeight="false" outlineLevel="0" collapsed="false">
      <c r="A1860" s="24" t="s">
        <v>571</v>
      </c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</row>
    <row r="1861" customFormat="false" ht="15" hidden="false" customHeight="false" outlineLevel="0" collapsed="false">
      <c r="A1861" s="3" t="s">
        <v>556</v>
      </c>
      <c r="C1861" s="21" t="n">
        <f aca="false">IF(C1817&gt;0,Assumptions!$C$17,C1806)</f>
        <v>99</v>
      </c>
    </row>
    <row r="1862" customFormat="false" ht="15" hidden="false" customHeight="false" outlineLevel="0" collapsed="false">
      <c r="A1862" s="3" t="s">
        <v>557</v>
      </c>
      <c r="C1862" s="21" t="n">
        <f aca="false">IF(C1818&gt;0,Assumptions!$C$17,C1807)</f>
        <v>99</v>
      </c>
    </row>
    <row r="1863" customFormat="false" ht="15" hidden="false" customHeight="false" outlineLevel="0" collapsed="false">
      <c r="A1863" s="3" t="s">
        <v>558</v>
      </c>
      <c r="C1863" s="21" t="n">
        <f aca="false">IF(C1819&gt;0,Assumptions!$C$17,C1808)</f>
        <v>99</v>
      </c>
    </row>
    <row r="1864" customFormat="false" ht="15" hidden="false" customHeight="false" outlineLevel="0" collapsed="false">
      <c r="A1864" s="3" t="s">
        <v>559</v>
      </c>
      <c r="C1864" s="21" t="n">
        <f aca="false">IF(C1820&gt;0,Assumptions!$C$17,C1809)</f>
        <v>2</v>
      </c>
    </row>
    <row r="1865" customFormat="false" ht="15" hidden="false" customHeight="false" outlineLevel="0" collapsed="false">
      <c r="A1865" s="3" t="s">
        <v>560</v>
      </c>
      <c r="C1865" s="21" t="n">
        <f aca="false">IF(C1821&gt;0,Assumptions!$C$17,C1810)</f>
        <v>2</v>
      </c>
    </row>
    <row r="1866" customFormat="false" ht="15" hidden="false" customHeight="false" outlineLevel="0" collapsed="false">
      <c r="A1866" s="3" t="s">
        <v>561</v>
      </c>
      <c r="C1866" s="21" t="n">
        <f aca="false">IF(C1822&gt;0,Assumptions!$C$17,C1811)</f>
        <v>2</v>
      </c>
    </row>
    <row r="1867" customFormat="false" ht="15" hidden="false" customHeight="false" outlineLevel="0" collapsed="false">
      <c r="A1867" s="3" t="s">
        <v>562</v>
      </c>
      <c r="C1867" s="21" t="n">
        <f aca="false">IF(C1823&gt;0,Assumptions!$C$17,C1812)</f>
        <v>2</v>
      </c>
    </row>
    <row r="1868" customFormat="false" ht="15" hidden="false" customHeight="false" outlineLevel="0" collapsed="false">
      <c r="A1868" s="3" t="s">
        <v>563</v>
      </c>
      <c r="C1868" s="21" t="n">
        <f aca="false">IF(C1824&gt;0,Assumptions!$C$17,C1813)</f>
        <v>2</v>
      </c>
    </row>
    <row r="1869" customFormat="false" ht="15" hidden="false" customHeight="false" outlineLevel="0" collapsed="false">
      <c r="A1869" s="3" t="s">
        <v>564</v>
      </c>
      <c r="C1869" s="21" t="n">
        <f aca="false">IF(C1825&gt;0,Assumptions!$C$17,C1814)</f>
        <v>2</v>
      </c>
    </row>
    <row r="1870" customFormat="false" ht="15" hidden="false" customHeight="false" outlineLevel="0" collapsed="false">
      <c r="A1870" s="3" t="s">
        <v>565</v>
      </c>
      <c r="C1870" s="21" t="n">
        <f aca="false">IF(C1826&gt;0,Assumptions!$C$17,C1815)</f>
        <v>3</v>
      </c>
    </row>
    <row r="1871" customFormat="false" ht="15" hidden="false" customHeight="false" outlineLevel="0" collapsed="false">
      <c r="A1871" s="24" t="s">
        <v>572</v>
      </c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</row>
    <row r="1872" customFormat="false" ht="15" hidden="false" customHeight="false" outlineLevel="0" collapsed="false">
      <c r="A1872" s="3" t="s">
        <v>556</v>
      </c>
      <c r="C1872" s="16" t="n">
        <f aca="false">SUMPRODUCT(($C$1861:$C$1870&lt;C1861)*$C$1850:$C$1859)</f>
        <v>2063.5647587</v>
      </c>
    </row>
    <row r="1873" customFormat="false" ht="15" hidden="false" customHeight="false" outlineLevel="0" collapsed="false">
      <c r="A1873" s="3" t="s">
        <v>557</v>
      </c>
      <c r="C1873" s="16" t="n">
        <f aca="false">SUMPRODUCT(($C$1861:$C$1870&lt;C1862)*$C$1850:$C$1859)</f>
        <v>2063.5647587</v>
      </c>
    </row>
    <row r="1874" customFormat="false" ht="15" hidden="false" customHeight="false" outlineLevel="0" collapsed="false">
      <c r="A1874" s="3" t="s">
        <v>558</v>
      </c>
      <c r="C1874" s="16" t="n">
        <f aca="false">SUMPRODUCT(($C$1861:$C$1870&lt;C1863)*$C$1850:$C$1859)</f>
        <v>2063.5647587</v>
      </c>
    </row>
    <row r="1875" customFormat="false" ht="15" hidden="false" customHeight="false" outlineLevel="0" collapsed="false">
      <c r="A1875" s="3" t="s">
        <v>559</v>
      </c>
      <c r="C1875" s="16" t="n">
        <f aca="false">SUMPRODUCT(($C$1861:$C$1870&lt;C1864)*$C$1850:$C$1859)</f>
        <v>0</v>
      </c>
    </row>
    <row r="1876" customFormat="false" ht="15" hidden="false" customHeight="false" outlineLevel="0" collapsed="false">
      <c r="A1876" s="3" t="s">
        <v>560</v>
      </c>
      <c r="C1876" s="16" t="n">
        <f aca="false">SUMPRODUCT(($C$1861:$C$1870&lt;C1865)*$C$1850:$C$1859)</f>
        <v>0</v>
      </c>
    </row>
    <row r="1877" customFormat="false" ht="15" hidden="false" customHeight="false" outlineLevel="0" collapsed="false">
      <c r="A1877" s="3" t="s">
        <v>561</v>
      </c>
      <c r="C1877" s="16" t="n">
        <f aca="false">SUMPRODUCT(($C$1861:$C$1870&lt;C1866)*$C$1850:$C$1859)</f>
        <v>0</v>
      </c>
    </row>
    <row r="1878" customFormat="false" ht="15" hidden="false" customHeight="false" outlineLevel="0" collapsed="false">
      <c r="A1878" s="3" t="s">
        <v>562</v>
      </c>
      <c r="C1878" s="16" t="n">
        <f aca="false">SUMPRODUCT(($C$1861:$C$1870&lt;C1867)*$C$1850:$C$1859)</f>
        <v>0</v>
      </c>
    </row>
    <row r="1879" customFormat="false" ht="15" hidden="false" customHeight="false" outlineLevel="0" collapsed="false">
      <c r="A1879" s="3" t="s">
        <v>563</v>
      </c>
      <c r="C1879" s="16" t="n">
        <f aca="false">SUMPRODUCT(($C$1861:$C$1870&lt;C1868)*$C$1850:$C$1859)</f>
        <v>0</v>
      </c>
    </row>
    <row r="1880" customFormat="false" ht="15" hidden="false" customHeight="false" outlineLevel="0" collapsed="false">
      <c r="A1880" s="3" t="s">
        <v>564</v>
      </c>
      <c r="C1880" s="16" t="n">
        <f aca="false">SUMPRODUCT(($C$1861:$C$1870&lt;C1869)*$C$1850:$C$1859)</f>
        <v>0</v>
      </c>
    </row>
    <row r="1881" customFormat="false" ht="15" hidden="false" customHeight="false" outlineLevel="0" collapsed="false">
      <c r="A1881" s="3" t="s">
        <v>565</v>
      </c>
      <c r="C1881" s="16" t="n">
        <f aca="false">SUMPRODUCT(($C$1861:$C$1870&lt;C1870)*$C$1850:$C$1859)</f>
        <v>1984.9547587</v>
      </c>
    </row>
    <row r="1882" customFormat="false" ht="15" hidden="false" customHeight="false" outlineLevel="0" collapsed="false">
      <c r="A1882" s="24" t="s">
        <v>573</v>
      </c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</row>
    <row r="1883" customFormat="false" ht="15" hidden="false" customHeight="false" outlineLevel="0" collapsed="false">
      <c r="A1883" s="3" t="s">
        <v>556</v>
      </c>
      <c r="C1883" s="16" t="n">
        <f aca="false">SUMPRODUCT(($C$1861:$C$1870=C1861)*$C$1850:$C$1859)</f>
        <v>59.1203554251802</v>
      </c>
    </row>
    <row r="1884" customFormat="false" ht="15" hidden="false" customHeight="false" outlineLevel="0" collapsed="false">
      <c r="A1884" s="3" t="s">
        <v>557</v>
      </c>
      <c r="C1884" s="16" t="n">
        <f aca="false">SUMPRODUCT(($C$1861:$C$1870=C1862)*$C$1850:$C$1859)</f>
        <v>59.1203554251802</v>
      </c>
    </row>
    <row r="1885" customFormat="false" ht="15" hidden="false" customHeight="false" outlineLevel="0" collapsed="false">
      <c r="A1885" s="3" t="s">
        <v>558</v>
      </c>
      <c r="C1885" s="16" t="n">
        <f aca="false">SUMPRODUCT(($C$1861:$C$1870=C1863)*$C$1850:$C$1859)</f>
        <v>59.1203554251802</v>
      </c>
    </row>
    <row r="1886" customFormat="false" ht="15" hidden="false" customHeight="false" outlineLevel="0" collapsed="false">
      <c r="A1886" s="3" t="s">
        <v>559</v>
      </c>
      <c r="C1886" s="16" t="n">
        <f aca="false">SUMPRODUCT(($C$1861:$C$1870=C1864)*$C$1850:$C$1859)</f>
        <v>1984.9547587</v>
      </c>
    </row>
    <row r="1887" customFormat="false" ht="15" hidden="false" customHeight="false" outlineLevel="0" collapsed="false">
      <c r="A1887" s="3" t="s">
        <v>560</v>
      </c>
      <c r="C1887" s="16" t="n">
        <f aca="false">SUMPRODUCT(($C$1861:$C$1870=C1865)*$C$1850:$C$1859)</f>
        <v>1984.9547587</v>
      </c>
    </row>
    <row r="1888" customFormat="false" ht="15" hidden="false" customHeight="false" outlineLevel="0" collapsed="false">
      <c r="A1888" s="3" t="s">
        <v>561</v>
      </c>
      <c r="C1888" s="16" t="n">
        <f aca="false">SUMPRODUCT(($C$1861:$C$1870=C1866)*$C$1850:$C$1859)</f>
        <v>1984.9547587</v>
      </c>
    </row>
    <row r="1889" customFormat="false" ht="15" hidden="false" customHeight="false" outlineLevel="0" collapsed="false">
      <c r="A1889" s="3" t="s">
        <v>562</v>
      </c>
      <c r="C1889" s="16" t="n">
        <f aca="false">SUMPRODUCT(($C$1861:$C$1870=C1867)*$C$1850:$C$1859)</f>
        <v>1984.9547587</v>
      </c>
    </row>
    <row r="1890" customFormat="false" ht="15" hidden="false" customHeight="false" outlineLevel="0" collapsed="false">
      <c r="A1890" s="3" t="s">
        <v>563</v>
      </c>
      <c r="C1890" s="16" t="n">
        <f aca="false">SUMPRODUCT(($C$1861:$C$1870=C1868)*$C$1850:$C$1859)</f>
        <v>1984.9547587</v>
      </c>
    </row>
    <row r="1891" customFormat="false" ht="15" hidden="false" customHeight="false" outlineLevel="0" collapsed="false">
      <c r="A1891" s="3" t="s">
        <v>564</v>
      </c>
      <c r="C1891" s="16" t="n">
        <f aca="false">SUMPRODUCT(($C$1861:$C$1870=C1869)*$C$1850:$C$1859)</f>
        <v>1984.9547587</v>
      </c>
    </row>
    <row r="1892" customFormat="false" ht="15" hidden="false" customHeight="false" outlineLevel="0" collapsed="false">
      <c r="A1892" s="3" t="s">
        <v>565</v>
      </c>
      <c r="C1892" s="16" t="n">
        <f aca="false">SUMPRODUCT(($C$1861:$C$1870=C1870)*$C$1850:$C$1859)</f>
        <v>78.61</v>
      </c>
    </row>
    <row r="1893" customFormat="false" ht="15" hidden="false" customHeight="false" outlineLevel="0" collapsed="false">
      <c r="A1893" s="24" t="s">
        <v>574</v>
      </c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</row>
    <row r="1894" customFormat="false" ht="15" hidden="false" customHeight="false" outlineLevel="0" collapsed="false">
      <c r="A1894" s="3" t="s">
        <v>556</v>
      </c>
      <c r="C1894" s="16" t="n">
        <f aca="false">IF(C1883=0,0,C1850/C1883*MAX(0,MIN(C1883,$C$1793-SUM($C$1828:$C$1837)-C1872)))</f>
        <v>0</v>
      </c>
    </row>
    <row r="1895" customFormat="false" ht="15" hidden="false" customHeight="false" outlineLevel="0" collapsed="false">
      <c r="A1895" s="3" t="s">
        <v>557</v>
      </c>
      <c r="C1895" s="16" t="n">
        <f aca="false">IF(C1884=0,0,C1851/C1884*MAX(0,MIN(C1884,$C$1793-SUM($C$1828:$C$1837)-C1873)))</f>
        <v>0</v>
      </c>
    </row>
    <row r="1896" customFormat="false" ht="15" hidden="false" customHeight="false" outlineLevel="0" collapsed="false">
      <c r="A1896" s="3" t="s">
        <v>558</v>
      </c>
      <c r="C1896" s="16" t="n">
        <f aca="false">IF(C1885=0,0,C1852/C1885*MAX(0,MIN(C1885,$C$1793-SUM($C$1828:$C$1837)-C1874)))</f>
        <v>0</v>
      </c>
    </row>
    <row r="1897" customFormat="false" ht="15" hidden="false" customHeight="false" outlineLevel="0" collapsed="false">
      <c r="A1897" s="3" t="s">
        <v>559</v>
      </c>
      <c r="C1897" s="16" t="n">
        <f aca="false">IF(C1886=0,0,C1853/C1886*MAX(0,MIN(C1886,$C$1793-SUM($C$1828:$C$1837)-C1875)))</f>
        <v>0</v>
      </c>
    </row>
    <row r="1898" customFormat="false" ht="15" hidden="false" customHeight="false" outlineLevel="0" collapsed="false">
      <c r="A1898" s="3" t="s">
        <v>560</v>
      </c>
      <c r="C1898" s="16" t="n">
        <f aca="false">IF(C1887=0,0,C1854/C1887*MAX(0,MIN(C1887,$C$1793-SUM($C$1828:$C$1837)-C1876)))</f>
        <v>253.571734254394</v>
      </c>
    </row>
    <row r="1899" customFormat="false" ht="15" hidden="false" customHeight="false" outlineLevel="0" collapsed="false">
      <c r="A1899" s="3" t="s">
        <v>561</v>
      </c>
      <c r="C1899" s="16" t="n">
        <f aca="false">IF(C1888=0,0,C1855/C1888*MAX(0,MIN(C1888,$C$1793-SUM($C$1828:$C$1837)-C1877)))</f>
        <v>204.044455690738</v>
      </c>
    </row>
    <row r="1900" customFormat="false" ht="15" hidden="false" customHeight="false" outlineLevel="0" collapsed="false">
      <c r="A1900" s="3" t="s">
        <v>562</v>
      </c>
      <c r="C1900" s="16" t="n">
        <f aca="false">IF(C1889=0,0,C1856/C1889*MAX(0,MIN(C1889,$C$1793-SUM($C$1828:$C$1837)-C1878)))</f>
        <v>320.641287514017</v>
      </c>
    </row>
    <row r="1901" customFormat="false" ht="15" hidden="false" customHeight="false" outlineLevel="0" collapsed="false">
      <c r="A1901" s="3" t="s">
        <v>563</v>
      </c>
      <c r="C1901" s="16" t="n">
        <f aca="false">IF(C1890=0,0,C1857/C1890*MAX(0,MIN(C1890,$C$1793-SUM($C$1828:$C$1837)-C1879)))</f>
        <v>204.044455690738</v>
      </c>
    </row>
    <row r="1902" customFormat="false" ht="15" hidden="false" customHeight="false" outlineLevel="0" collapsed="false">
      <c r="A1902" s="3" t="s">
        <v>564</v>
      </c>
      <c r="C1902" s="16" t="n">
        <f aca="false">IF(C1891=0,0,C1858/C1891*MAX(0,MIN(C1891,$C$1793-SUM($C$1828:$C$1837)-C1880)))</f>
        <v>174.895247734918</v>
      </c>
    </row>
    <row r="1903" customFormat="false" ht="15" hidden="false" customHeight="false" outlineLevel="0" collapsed="false">
      <c r="A1903" s="3" t="s">
        <v>565</v>
      </c>
      <c r="C1903" s="16" t="n">
        <f aca="false">IF(C1892=0,0,C1859/C1892*MAX(0,MIN(C1892,$C$1793-SUM($C$1828:$C$1837)-C1881)))</f>
        <v>0</v>
      </c>
    </row>
    <row r="1904" customFormat="false" ht="15" hidden="false" customHeight="false" outlineLevel="0" collapsed="false">
      <c r="A1904" s="24" t="s">
        <v>575</v>
      </c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</row>
    <row r="1905" customFormat="false" ht="15" hidden="false" customHeight="false" outlineLevel="0" collapsed="false">
      <c r="A1905" s="2" t="s">
        <v>556</v>
      </c>
      <c r="C1905" s="17" t="n">
        <f aca="false">C1828+C1894</f>
        <v>388</v>
      </c>
    </row>
    <row r="1906" customFormat="false" ht="15" hidden="false" customHeight="false" outlineLevel="0" collapsed="false">
      <c r="A1906" s="2" t="s">
        <v>557</v>
      </c>
      <c r="C1906" s="17" t="n">
        <f aca="false">C1829+C1895</f>
        <v>53.9022272401676</v>
      </c>
    </row>
    <row r="1907" customFormat="false" ht="15" hidden="false" customHeight="false" outlineLevel="0" collapsed="false">
      <c r="A1907" s="2" t="s">
        <v>558</v>
      </c>
      <c r="C1907" s="17" t="n">
        <f aca="false">C1830+C1896</f>
        <v>34.3014173346521</v>
      </c>
    </row>
    <row r="1908" customFormat="false" ht="15" hidden="false" customHeight="false" outlineLevel="0" collapsed="false">
      <c r="A1908" s="2" t="s">
        <v>559</v>
      </c>
      <c r="C1908" s="17" t="n">
        <f aca="false">C1831+C1897</f>
        <v>0</v>
      </c>
    </row>
    <row r="1909" customFormat="false" ht="15" hidden="false" customHeight="false" outlineLevel="0" collapsed="false">
      <c r="A1909" s="2" t="s">
        <v>560</v>
      </c>
      <c r="C1909" s="17" t="n">
        <f aca="false">C1832+C1898</f>
        <v>253.571734254394</v>
      </c>
    </row>
    <row r="1910" customFormat="false" ht="15" hidden="false" customHeight="false" outlineLevel="0" collapsed="false">
      <c r="A1910" s="2" t="s">
        <v>561</v>
      </c>
      <c r="C1910" s="17" t="n">
        <f aca="false">C1833+C1899</f>
        <v>204.044455690738</v>
      </c>
    </row>
    <row r="1911" customFormat="false" ht="15" hidden="false" customHeight="false" outlineLevel="0" collapsed="false">
      <c r="A1911" s="2" t="s">
        <v>562</v>
      </c>
      <c r="C1911" s="17" t="n">
        <f aca="false">C1834+C1900</f>
        <v>320.641287514017</v>
      </c>
    </row>
    <row r="1912" customFormat="false" ht="15" hidden="false" customHeight="false" outlineLevel="0" collapsed="false">
      <c r="A1912" s="2" t="s">
        <v>563</v>
      </c>
      <c r="C1912" s="17" t="n">
        <f aca="false">C1835+C1901</f>
        <v>204.044455690738</v>
      </c>
    </row>
    <row r="1913" customFormat="false" ht="15" hidden="false" customHeight="false" outlineLevel="0" collapsed="false">
      <c r="A1913" s="2" t="s">
        <v>564</v>
      </c>
      <c r="C1913" s="17" t="n">
        <f aca="false">C1836+C1902</f>
        <v>174.895247734918</v>
      </c>
    </row>
    <row r="1914" customFormat="false" ht="15" hidden="false" customHeight="false" outlineLevel="0" collapsed="false">
      <c r="A1914" s="2" t="s">
        <v>565</v>
      </c>
      <c r="C1914" s="17" t="n">
        <f aca="false">C1837+C1903</f>
        <v>0</v>
      </c>
    </row>
    <row r="1915" customFormat="false" ht="15" hidden="false" customHeight="false" outlineLevel="0" collapsed="false">
      <c r="A1915" s="24" t="s">
        <v>576</v>
      </c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</row>
    <row r="1916" customFormat="false" ht="15" hidden="false" customHeight="false" outlineLevel="0" collapsed="false">
      <c r="A1916" s="3" t="s">
        <v>556</v>
      </c>
      <c r="C1916" s="22" t="n">
        <f aca="false">IF(C1795=0,1,C1905/C1795)</f>
        <v>1</v>
      </c>
    </row>
    <row r="1917" customFormat="false" ht="15" hidden="false" customHeight="false" outlineLevel="0" collapsed="false">
      <c r="A1917" s="3" t="s">
        <v>557</v>
      </c>
      <c r="C1917" s="22" t="n">
        <f aca="false">IF(C1796=0,1,C1906/C1796)</f>
        <v>0.598913636001863</v>
      </c>
    </row>
    <row r="1918" customFormat="false" ht="15" hidden="false" customHeight="false" outlineLevel="0" collapsed="false">
      <c r="A1918" s="3" t="s">
        <v>558</v>
      </c>
      <c r="C1918" s="22" t="n">
        <f aca="false">IF(C1797=0,1,C1907/C1797)</f>
        <v>0.598377945269907</v>
      </c>
    </row>
    <row r="1919" customFormat="false" ht="15" hidden="false" customHeight="false" outlineLevel="0" collapsed="false">
      <c r="A1919" s="3" t="s">
        <v>559</v>
      </c>
      <c r="C1919" s="22" t="n">
        <f aca="false">IF(C1798=0,1,C1908/C1798)</f>
        <v>1</v>
      </c>
    </row>
    <row r="1920" customFormat="false" ht="15" hidden="false" customHeight="false" outlineLevel="0" collapsed="false">
      <c r="A1920" s="3" t="s">
        <v>560</v>
      </c>
      <c r="C1920" s="22" t="n">
        <f aca="false">IF(C1799=0,1,C1909/C1799)</f>
        <v>0.582984159116395</v>
      </c>
    </row>
    <row r="1921" customFormat="false" ht="15" hidden="false" customHeight="false" outlineLevel="0" collapsed="false">
      <c r="A1921" s="3" t="s">
        <v>561</v>
      </c>
      <c r="C1921" s="22" t="n">
        <f aca="false">IF(C1800=0,1,C1910/C1800)</f>
        <v>0.582984159116395</v>
      </c>
    </row>
    <row r="1922" customFormat="false" ht="15" hidden="false" customHeight="false" outlineLevel="0" collapsed="false">
      <c r="A1922" s="3" t="s">
        <v>562</v>
      </c>
      <c r="C1922" s="22" t="n">
        <f aca="false">IF(C1801=0,1,C1911/C1801)</f>
        <v>0.582984159116395</v>
      </c>
    </row>
    <row r="1923" customFormat="false" ht="15" hidden="false" customHeight="false" outlineLevel="0" collapsed="false">
      <c r="A1923" s="3" t="s">
        <v>563</v>
      </c>
      <c r="C1923" s="22" t="n">
        <f aca="false">IF(C1802=0,1,C1912/C1802)</f>
        <v>0.582984159116395</v>
      </c>
    </row>
    <row r="1924" customFormat="false" ht="15" hidden="false" customHeight="false" outlineLevel="0" collapsed="false">
      <c r="A1924" s="3" t="s">
        <v>564</v>
      </c>
      <c r="C1924" s="22" t="n">
        <f aca="false">IF(C1803=0,1,C1913/C1803)</f>
        <v>0.582984159116395</v>
      </c>
    </row>
    <row r="1925" customFormat="false" ht="15" hidden="false" customHeight="false" outlineLevel="0" collapsed="false">
      <c r="A1925" s="3" t="s">
        <v>565</v>
      </c>
      <c r="C1925" s="22" t="n">
        <f aca="false">IF(C1804=0,1,C1914/C1804)</f>
        <v>0</v>
      </c>
    </row>
    <row r="1926" customFormat="false" ht="15" hidden="false" customHeight="false" outlineLevel="0" collapsed="false">
      <c r="A1926" s="24" t="s">
        <v>577</v>
      </c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</row>
    <row r="1927" customFormat="false" ht="15" hidden="false" customHeight="false" outlineLevel="0" collapsed="false">
      <c r="A1927" s="3" t="s">
        <v>556</v>
      </c>
      <c r="C1927" s="16" t="n">
        <f aca="false">C1795-C1905</f>
        <v>0</v>
      </c>
    </row>
    <row r="1928" customFormat="false" ht="15" hidden="false" customHeight="false" outlineLevel="0" collapsed="false">
      <c r="A1928" s="3" t="s">
        <v>557</v>
      </c>
      <c r="C1928" s="16" t="n">
        <f aca="false">C1796-C1906</f>
        <v>36.0977727598324</v>
      </c>
    </row>
    <row r="1929" customFormat="false" ht="15" hidden="false" customHeight="false" outlineLevel="0" collapsed="false">
      <c r="A1929" s="3" t="s">
        <v>558</v>
      </c>
      <c r="C1929" s="16" t="n">
        <f aca="false">C1797-C1907</f>
        <v>23.0225826653479</v>
      </c>
    </row>
    <row r="1930" customFormat="false" ht="15" hidden="false" customHeight="false" outlineLevel="0" collapsed="false">
      <c r="A1930" s="3" t="s">
        <v>559</v>
      </c>
      <c r="C1930" s="16" t="n">
        <f aca="false">C1798-C1908</f>
        <v>0</v>
      </c>
    </row>
    <row r="1931" customFormat="false" ht="15" hidden="false" customHeight="false" outlineLevel="0" collapsed="false">
      <c r="A1931" s="3" t="s">
        <v>560</v>
      </c>
      <c r="C1931" s="16" t="n">
        <f aca="false">C1799-C1909</f>
        <v>181.383024445606</v>
      </c>
    </row>
    <row r="1932" customFormat="false" ht="15" hidden="false" customHeight="false" outlineLevel="0" collapsed="false">
      <c r="A1932" s="3" t="s">
        <v>561</v>
      </c>
      <c r="C1932" s="16" t="n">
        <f aca="false">C1800-C1910</f>
        <v>145.955544309262</v>
      </c>
    </row>
    <row r="1933" customFormat="false" ht="15" hidden="false" customHeight="false" outlineLevel="0" collapsed="false">
      <c r="A1933" s="3" t="s">
        <v>562</v>
      </c>
      <c r="C1933" s="16" t="n">
        <f aca="false">C1801-C1911</f>
        <v>229.358712485983</v>
      </c>
    </row>
    <row r="1934" customFormat="false" ht="15" hidden="false" customHeight="false" outlineLevel="0" collapsed="false">
      <c r="A1934" s="3" t="s">
        <v>563</v>
      </c>
      <c r="C1934" s="16" t="n">
        <f aca="false">C1802-C1912</f>
        <v>145.955544309262</v>
      </c>
    </row>
    <row r="1935" customFormat="false" ht="15" hidden="false" customHeight="false" outlineLevel="0" collapsed="false">
      <c r="A1935" s="3" t="s">
        <v>564</v>
      </c>
      <c r="C1935" s="16" t="n">
        <f aca="false">C1803-C1913</f>
        <v>125.104752265082</v>
      </c>
    </row>
    <row r="1936" customFormat="false" ht="15" hidden="false" customHeight="false" outlineLevel="0" collapsed="false">
      <c r="A1936" s="3" t="s">
        <v>565</v>
      </c>
      <c r="C1936" s="16" t="n">
        <f aca="false">C1804-C1914</f>
        <v>78.61</v>
      </c>
    </row>
    <row r="1937" customFormat="false" ht="15" hidden="false" customHeight="false" outlineLevel="0" collapsed="false">
      <c r="A1937" s="24" t="s">
        <v>578</v>
      </c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</row>
    <row r="1938" customFormat="false" ht="15" hidden="false" customHeight="false" outlineLevel="0" collapsed="false">
      <c r="A1938" s="3" t="s">
        <v>556</v>
      </c>
      <c r="C1938" s="22" t="n">
        <f aca="false">IF(C1795=0,0,C1927/C1795)</f>
        <v>0</v>
      </c>
    </row>
    <row r="1939" customFormat="false" ht="15" hidden="false" customHeight="false" outlineLevel="0" collapsed="false">
      <c r="A1939" s="3" t="s">
        <v>557</v>
      </c>
      <c r="C1939" s="22" t="n">
        <f aca="false">IF(C1796=0,0,C1928/C1796)</f>
        <v>0.401086363998137</v>
      </c>
    </row>
    <row r="1940" customFormat="false" ht="15" hidden="false" customHeight="false" outlineLevel="0" collapsed="false">
      <c r="A1940" s="3" t="s">
        <v>558</v>
      </c>
      <c r="C1940" s="22" t="n">
        <f aca="false">IF(C1797=0,0,C1929/C1797)</f>
        <v>0.401622054730093</v>
      </c>
    </row>
    <row r="1941" customFormat="false" ht="15" hidden="false" customHeight="false" outlineLevel="0" collapsed="false">
      <c r="A1941" s="3" t="s">
        <v>559</v>
      </c>
      <c r="C1941" s="22" t="n">
        <f aca="false">IF(C1798=0,0,C1930/C1798)</f>
        <v>0</v>
      </c>
    </row>
    <row r="1942" customFormat="false" ht="15" hidden="false" customHeight="false" outlineLevel="0" collapsed="false">
      <c r="A1942" s="3" t="s">
        <v>560</v>
      </c>
      <c r="C1942" s="22" t="n">
        <f aca="false">IF(C1799=0,0,C1931/C1799)</f>
        <v>0.417015840883605</v>
      </c>
    </row>
    <row r="1943" customFormat="false" ht="15" hidden="false" customHeight="false" outlineLevel="0" collapsed="false">
      <c r="A1943" s="3" t="s">
        <v>561</v>
      </c>
      <c r="C1943" s="22" t="n">
        <f aca="false">IF(C1800=0,0,C1932/C1800)</f>
        <v>0.417015840883605</v>
      </c>
    </row>
    <row r="1944" customFormat="false" ht="15" hidden="false" customHeight="false" outlineLevel="0" collapsed="false">
      <c r="A1944" s="3" t="s">
        <v>562</v>
      </c>
      <c r="C1944" s="22" t="n">
        <f aca="false">IF(C1801=0,0,C1933/C1801)</f>
        <v>0.417015840883605</v>
      </c>
    </row>
    <row r="1945" customFormat="false" ht="15" hidden="false" customHeight="false" outlineLevel="0" collapsed="false">
      <c r="A1945" s="3" t="s">
        <v>563</v>
      </c>
      <c r="C1945" s="22" t="n">
        <f aca="false">IF(C1802=0,0,C1934/C1802)</f>
        <v>0.417015840883605</v>
      </c>
    </row>
    <row r="1946" customFormat="false" ht="15" hidden="false" customHeight="false" outlineLevel="0" collapsed="false">
      <c r="A1946" s="3" t="s">
        <v>564</v>
      </c>
      <c r="C1946" s="22" t="n">
        <f aca="false">IF(C1803=0,0,C1935/C1803)</f>
        <v>0.417015840883605</v>
      </c>
    </row>
    <row r="1947" customFormat="false" ht="15" hidden="false" customHeight="false" outlineLevel="0" collapsed="false">
      <c r="A1947" s="3" t="s">
        <v>565</v>
      </c>
      <c r="C1947" s="22" t="n">
        <f aca="false">IF(C1804=0,0,C1936/C1804)</f>
        <v>1</v>
      </c>
    </row>
    <row r="1948" customFormat="false" ht="15" hidden="false" customHeight="false" outlineLevel="0" collapsed="false">
      <c r="A1948" s="2" t="s">
        <v>579</v>
      </c>
      <c r="C1948" s="17" t="n">
        <f aca="false">MAX(0,$C$1793-SUM($C$1828:$C$1837)-SUM($C$1850:$C$1859))</f>
        <v>0</v>
      </c>
    </row>
    <row r="1949" customFormat="false" ht="15" hidden="false" customHeight="false" outlineLevel="0" collapsed="false">
      <c r="A1949" s="3" t="s">
        <v>597</v>
      </c>
      <c r="C1949" s="35" t="n">
        <f aca="false">MIN(C1792,100*CHOOSE(C1782,C1916,C1917,C1918,C1919,C1920,C1921,C1922,C1923,C1924,C1925))</f>
        <v>85</v>
      </c>
    </row>
    <row r="1950" customFormat="false" ht="15" hidden="false" customHeight="false" outlineLevel="0" collapsed="false">
      <c r="A1950" s="3" t="s">
        <v>598</v>
      </c>
      <c r="C1950" s="21" t="n">
        <f aca="false">IF(C1614=1,C1787+Assumptions!$C$40,C1786)</f>
        <v>3</v>
      </c>
    </row>
    <row r="1951" customFormat="false" ht="15" hidden="false" customHeight="false" outlineLevel="0" collapsed="false">
      <c r="A1951" s="24" t="s">
        <v>599</v>
      </c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</row>
    <row r="1952" customFormat="false" ht="15" hidden="false" customHeight="false" outlineLevel="0" collapsed="false">
      <c r="A1952" s="3" t="s">
        <v>600</v>
      </c>
      <c r="C1952" s="21" t="n">
        <f aca="false">COLUMN()-COLUMN($C$1)</f>
        <v>0</v>
      </c>
      <c r="D1952" s="21" t="n">
        <f aca="false">COLUMN()-COLUMN($C$1)</f>
        <v>1</v>
      </c>
      <c r="E1952" s="21" t="n">
        <f aca="false">COLUMN()-COLUMN($C$1)</f>
        <v>2</v>
      </c>
      <c r="F1952" s="21" t="n">
        <f aca="false">COLUMN()-COLUMN($C$1)</f>
        <v>3</v>
      </c>
      <c r="G1952" s="21" t="n">
        <f aca="false">COLUMN()-COLUMN($C$1)</f>
        <v>4</v>
      </c>
      <c r="H1952" s="21" t="n">
        <f aca="false">COLUMN()-COLUMN($C$1)</f>
        <v>5</v>
      </c>
      <c r="I1952" s="21" t="n">
        <f aca="false">COLUMN()-COLUMN($C$1)</f>
        <v>6</v>
      </c>
    </row>
    <row r="1953" customFormat="false" ht="15" hidden="false" customHeight="false" outlineLevel="0" collapsed="false">
      <c r="A1953" s="3" t="s">
        <v>601</v>
      </c>
      <c r="D1953" s="31" t="n">
        <f aca="false">CHOOSE($C$1782,G1362,G1375,G1388,G1401,G1414,G1427,G1440,G1453,G1466,G1479)</f>
        <v>0.1215</v>
      </c>
      <c r="E1953" s="31" t="n">
        <f aca="false">CHOOSE($C$1782,H1362,H1375,H1388,H1401,H1414,H1427,H1440,H1453,H1466,H1479)</f>
        <v>0.12</v>
      </c>
      <c r="F1953" s="31" t="n">
        <f aca="false">CHOOSE($C$1782,I1362,I1375,I1388,I1401,I1414,I1427,I1440,I1453,I1466,I1479)</f>
        <v>0.1175</v>
      </c>
      <c r="G1953" s="31" t="n">
        <f aca="false">CHOOSE($C$1782,J1362,J1375,J1388,J1401,J1414,J1427,J1440,J1453,J1466,J1479)</f>
        <v>0.1175</v>
      </c>
      <c r="H1953" s="31" t="n">
        <f aca="false">CHOOSE($C$1782,K1362,K1375,K1388,K1401,K1414,K1427,K1440,K1453,K1466,K1479)</f>
        <v>0.1175</v>
      </c>
    </row>
    <row r="1954" customFormat="false" ht="15" hidden="false" customHeight="false" outlineLevel="0" collapsed="false">
      <c r="A1954" s="3" t="s">
        <v>602</v>
      </c>
      <c r="D1954" s="16" t="n">
        <f aca="false">IF(D1952&lt;=$C$1791,$C$1783*D1953,0)</f>
        <v>12.15</v>
      </c>
      <c r="E1954" s="16" t="n">
        <f aca="false">IF(E1952&lt;=$C$1791,$C$1783*E1953,0)</f>
        <v>12</v>
      </c>
      <c r="F1954" s="16" t="n">
        <f aca="false">IF(F1952&lt;=$C$1791,$C$1783*F1953,0)</f>
        <v>0</v>
      </c>
      <c r="G1954" s="16" t="n">
        <f aca="false">IF(G1952&lt;=$C$1791,$C$1783*G1953,0)</f>
        <v>0</v>
      </c>
      <c r="H1954" s="16" t="n">
        <f aca="false">IF(H1952&lt;=$C$1791,$C$1783*H1953,0)</f>
        <v>0</v>
      </c>
    </row>
    <row r="1955" customFormat="false" ht="15" hidden="false" customHeight="false" outlineLevel="0" collapsed="false">
      <c r="A1955" s="3" t="s">
        <v>603</v>
      </c>
      <c r="D1955" s="16" t="n">
        <f aca="false">IF(AND($C$1614=0,D1952=$C$1786),$C$1783*$C$1949/100,0)+IF(AND($C$1614=1,D1952=$C$1950),$C$1789,0)</f>
        <v>0</v>
      </c>
      <c r="E1955" s="16" t="n">
        <f aca="false">IF(AND($C$1614=0,E1952=$C$1786),$C$1783*$C$1949/100,0)+IF(AND($C$1614=1,E1952=$C$1950),$C$1789,0)</f>
        <v>0</v>
      </c>
      <c r="F1955" s="16" t="n">
        <f aca="false">IF(AND($C$1614=0,F1952=$C$1786),$C$1783*$C$1949/100,0)+IF(AND($C$1614=1,F1952=$C$1950),$C$1789,0)</f>
        <v>103</v>
      </c>
      <c r="G1955" s="16" t="n">
        <f aca="false">IF(AND($C$1614=0,G1952=$C$1786),$C$1783*$C$1949/100,0)+IF(AND($C$1614=1,G1952=$C$1950),$C$1789,0)</f>
        <v>0</v>
      </c>
      <c r="H1955" s="16" t="n">
        <f aca="false">IF(AND($C$1614=0,H1952=$C$1786),$C$1783*$C$1949/100,0)+IF(AND($C$1614=1,H1952=$C$1950),$C$1789,0)</f>
        <v>0</v>
      </c>
      <c r="I1955" s="16" t="n">
        <f aca="false">IF(AND($C$1614=0,I1952=$C$1786),$C$1783*$C$1949/100,0)+IF(AND($C$1614=1,I1952=$C$1950),$C$1789,0)</f>
        <v>0</v>
      </c>
    </row>
    <row r="1956" customFormat="false" ht="15" hidden="false" customHeight="false" outlineLevel="0" collapsed="false">
      <c r="A1956" s="2" t="s">
        <v>604</v>
      </c>
      <c r="C1956" s="17" t="n">
        <f aca="false">-$C$1785</f>
        <v>-98.49</v>
      </c>
      <c r="D1956" s="17" t="n">
        <f aca="false">D1954+D1955</f>
        <v>12.15</v>
      </c>
      <c r="E1956" s="17" t="n">
        <f aca="false">E1954+E1955</f>
        <v>12</v>
      </c>
      <c r="F1956" s="17" t="n">
        <f aca="false">F1954+F1955</f>
        <v>103</v>
      </c>
      <c r="G1956" s="17" t="n">
        <f aca="false">G1954+G1955</f>
        <v>0</v>
      </c>
      <c r="H1956" s="17" t="n">
        <f aca="false">H1954+H1955</f>
        <v>0</v>
      </c>
      <c r="I1956" s="17" t="n">
        <f aca="false">I1954+I1955</f>
        <v>0</v>
      </c>
    </row>
    <row r="1957" customFormat="false" ht="15" hidden="false" customHeight="false" outlineLevel="0" collapsed="false">
      <c r="A1957" s="3" t="s">
        <v>605</v>
      </c>
      <c r="C1957" s="16" t="n">
        <f aca="false">SUM($C$1954:$I$1954)</f>
        <v>24.15</v>
      </c>
    </row>
    <row r="1958" customFormat="false" ht="15" hidden="false" customHeight="false" outlineLevel="0" collapsed="false">
      <c r="A1958" s="3" t="s">
        <v>606</v>
      </c>
      <c r="C1958" s="16" t="n">
        <f aca="false">SUM($C$1955:$I$1955)</f>
        <v>103</v>
      </c>
    </row>
    <row r="1959" customFormat="false" ht="15" hidden="false" customHeight="false" outlineLevel="0" collapsed="false">
      <c r="A1959" s="3" t="s">
        <v>607</v>
      </c>
      <c r="C1959" s="16" t="n">
        <f aca="false">C1957+C1958</f>
        <v>127.15</v>
      </c>
    </row>
    <row r="1960" customFormat="false" ht="15" hidden="false" customHeight="false" outlineLevel="0" collapsed="false">
      <c r="A1960" s="3" t="s">
        <v>608</v>
      </c>
      <c r="C1960" s="16" t="n">
        <f aca="false">C1958-C1783*C1784/100</f>
        <v>5</v>
      </c>
    </row>
    <row r="1961" customFormat="false" ht="15" hidden="false" customHeight="false" outlineLevel="0" collapsed="false">
      <c r="A1961" s="3" t="s">
        <v>609</v>
      </c>
      <c r="C1961" s="16" t="n">
        <f aca="false">C1959-C1785</f>
        <v>28.66</v>
      </c>
    </row>
    <row r="1962" customFormat="false" ht="15" hidden="false" customHeight="false" outlineLevel="0" collapsed="false">
      <c r="A1962" s="2" t="s">
        <v>484</v>
      </c>
      <c r="C1962" s="44" t="n">
        <f aca="false">C1959/C1785</f>
        <v>1.29099400954412</v>
      </c>
    </row>
    <row r="1963" customFormat="false" ht="15" hidden="false" customHeight="false" outlineLevel="0" collapsed="false">
      <c r="A1963" s="2" t="s">
        <v>483</v>
      </c>
      <c r="C1963" s="42" t="n">
        <f aca="false">IF(C1959&lt;=0,-1,IFERROR(IRR($C$1956:$I$1956,MAX(-0.9,C1962^(1/C1950)-1)),IRR($C$1956:$I$1956,0.1)))</f>
        <v>0.0994077590660149</v>
      </c>
    </row>
    <row r="1964" customFormat="false" ht="15" hidden="false" customHeight="false" outlineLevel="0" collapsed="false">
      <c r="A1964" s="3" t="s">
        <v>610</v>
      </c>
      <c r="C1964" s="32" t="n">
        <f aca="false">MAX($G$1558:$K$1558)</f>
        <v>15.7734539449449</v>
      </c>
    </row>
    <row r="1965" customFormat="false" ht="15" hidden="false" customHeight="false" outlineLevel="0" collapsed="false">
      <c r="A1965" s="3" t="s">
        <v>611</v>
      </c>
      <c r="C1965" s="32" t="n">
        <f aca="false">MIN($G$1559:$K$1559)</f>
        <v>0.899631625108658</v>
      </c>
    </row>
    <row r="1966" customFormat="false" ht="15" hidden="false" customHeight="false" outlineLevel="0" collapsed="false">
      <c r="A1966" s="3" t="s">
        <v>612</v>
      </c>
      <c r="C1966" s="16" t="n">
        <f aca="false">SUM($G$1346:$K$1346)</f>
        <v>-319.393886227031</v>
      </c>
    </row>
    <row r="1970" customFormat="false" ht="15" hidden="false" customHeight="false" outlineLevel="0" collapsed="false">
      <c r="A1970" s="9" t="s">
        <v>1133</v>
      </c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</row>
    <row r="1971" customFormat="false" ht="15" hidden="false" customHeight="false" outlineLevel="0" collapsed="false">
      <c r="A1971" s="3" t="s">
        <v>1126</v>
      </c>
      <c r="C1971" s="11" t="n">
        <v>1</v>
      </c>
    </row>
    <row r="1972" customFormat="false" ht="15" hidden="false" customHeight="false" outlineLevel="0" collapsed="false">
      <c r="A1972" s="3" t="s">
        <v>1127</v>
      </c>
      <c r="C1972" s="19" t="n">
        <v>0</v>
      </c>
    </row>
    <row r="1973" customFormat="false" ht="15" hidden="false" customHeight="false" outlineLevel="0" collapsed="false">
      <c r="A1973" s="3" t="s">
        <v>1128</v>
      </c>
      <c r="C1973" s="30" t="n">
        <f aca="false">Sensitivities!$A$30</f>
        <v>-0.04</v>
      </c>
    </row>
    <row r="1974" customFormat="false" ht="15" hidden="false" customHeight="false" outlineLevel="0" collapsed="false">
      <c r="A1974" s="3" t="s">
        <v>1129</v>
      </c>
      <c r="C1974" s="19" t="n">
        <v>0</v>
      </c>
    </row>
    <row r="1975" customFormat="false" ht="15" hidden="false" customHeight="false" outlineLevel="0" collapsed="false">
      <c r="A1975" s="3" t="s">
        <v>1130</v>
      </c>
      <c r="C1975" s="15" t="n">
        <v>0</v>
      </c>
    </row>
    <row r="1977" customFormat="false" ht="15" hidden="false" customHeight="false" outlineLevel="0" collapsed="false">
      <c r="A1977" s="24" t="s">
        <v>301</v>
      </c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</row>
    <row r="1978" customFormat="false" ht="15" hidden="false" customHeight="false" outlineLevel="0" collapsed="false">
      <c r="A1978" s="3" t="s">
        <v>302</v>
      </c>
      <c r="F1978" s="27" t="n">
        <f aca="false">Assumptions!$C$6</f>
        <v>2026</v>
      </c>
      <c r="G1978" s="21" t="n">
        <f aca="false">F1978+1</f>
        <v>2027</v>
      </c>
      <c r="H1978" s="21" t="n">
        <f aca="false">G1978+1</f>
        <v>2028</v>
      </c>
      <c r="I1978" s="21" t="n">
        <f aca="false">H1978+1</f>
        <v>2029</v>
      </c>
      <c r="J1978" s="21" t="n">
        <f aca="false">I1978+1</f>
        <v>2030</v>
      </c>
      <c r="K1978" s="21" t="n">
        <f aca="false">J1978+1</f>
        <v>2031</v>
      </c>
    </row>
    <row r="1979" customFormat="false" ht="15" hidden="false" customHeight="false" outlineLevel="0" collapsed="false">
      <c r="A1979" s="3" t="s">
        <v>303</v>
      </c>
      <c r="G1979" s="21" t="n">
        <f aca="false">G1978-Assumptions!$C$6</f>
        <v>1</v>
      </c>
      <c r="H1979" s="21" t="n">
        <f aca="false">H1978-Assumptions!$C$6</f>
        <v>2</v>
      </c>
      <c r="I1979" s="21" t="n">
        <f aca="false">I1978-Assumptions!$C$6</f>
        <v>3</v>
      </c>
      <c r="J1979" s="21" t="n">
        <f aca="false">J1978-Assumptions!$C$6</f>
        <v>4</v>
      </c>
      <c r="K1979" s="21" t="n">
        <f aca="false">K1978-Assumptions!$C$6</f>
        <v>5</v>
      </c>
    </row>
    <row r="1980" customFormat="false" ht="15" hidden="false" customHeight="false" outlineLevel="0" collapsed="false">
      <c r="A1980" s="3" t="s">
        <v>180</v>
      </c>
      <c r="G1980" s="22" t="n">
        <f aca="false">CHOOSE($C$1971,Assumptions!$G$79,Assumptions!$G$98,Assumptions!$G$117)+$C$1972</f>
        <v>-0.03</v>
      </c>
      <c r="H1980" s="22" t="n">
        <f aca="false">CHOOSE($C$1971,Assumptions!$H$79,Assumptions!$H$98,Assumptions!$H$117)+$C$1972</f>
        <v>0.02</v>
      </c>
      <c r="I1980" s="22" t="n">
        <f aca="false">CHOOSE($C$1971,Assumptions!$I$79,Assumptions!$I$98,Assumptions!$I$117)+$C$1972</f>
        <v>0.02</v>
      </c>
      <c r="J1980" s="22" t="n">
        <f aca="false">CHOOSE($C$1971,Assumptions!$J$79,Assumptions!$J$98,Assumptions!$J$117)+$C$1972</f>
        <v>0.02</v>
      </c>
      <c r="K1980" s="22" t="n">
        <f aca="false">CHOOSE($C$1971,Assumptions!$K$79,Assumptions!$K$98,Assumptions!$K$117)+$C$1972</f>
        <v>0.02</v>
      </c>
    </row>
    <row r="1981" customFormat="false" ht="15" hidden="false" customHeight="false" outlineLevel="0" collapsed="false">
      <c r="A1981" s="3" t="s">
        <v>181</v>
      </c>
      <c r="G1981" s="22" t="n">
        <f aca="false">CHOOSE($C$1971,Assumptions!$G$80,Assumptions!$G$99,Assumptions!$G$118)</f>
        <v>0.603920660818678</v>
      </c>
      <c r="H1981" s="22" t="n">
        <f aca="false">CHOOSE($C$1971,Assumptions!$H$80,Assumptions!$H$99,Assumptions!$H$118)</f>
        <v>0.606920660818678</v>
      </c>
      <c r="I1981" s="22" t="n">
        <f aca="false">CHOOSE($C$1971,Assumptions!$I$80,Assumptions!$I$99,Assumptions!$I$118)</f>
        <v>0.609920660818678</v>
      </c>
      <c r="J1981" s="22" t="n">
        <f aca="false">CHOOSE($C$1971,Assumptions!$J$80,Assumptions!$J$99,Assumptions!$J$118)</f>
        <v>0.611920660818678</v>
      </c>
      <c r="K1981" s="22" t="n">
        <f aca="false">CHOOSE($C$1971,Assumptions!$K$80,Assumptions!$K$99,Assumptions!$K$118)</f>
        <v>0.613920660818678</v>
      </c>
    </row>
    <row r="1982" customFormat="false" ht="15" hidden="false" customHeight="false" outlineLevel="0" collapsed="false">
      <c r="A1982" s="3" t="s">
        <v>182</v>
      </c>
      <c r="G1982" s="22" t="n">
        <f aca="false">CHOOSE($C$1971,Assumptions!$G$81,Assumptions!$G$100,Assumptions!$G$119)+$C$1973</f>
        <v>0.49</v>
      </c>
      <c r="H1982" s="22" t="n">
        <f aca="false">CHOOSE($C$1971,Assumptions!$H$81,Assumptions!$H$100,Assumptions!$H$119)+$C$1973</f>
        <v>0.493</v>
      </c>
      <c r="I1982" s="22" t="n">
        <f aca="false">CHOOSE($C$1971,Assumptions!$I$81,Assumptions!$I$100,Assumptions!$I$119)+$C$1973</f>
        <v>0.496</v>
      </c>
      <c r="J1982" s="22" t="n">
        <f aca="false">CHOOSE($C$1971,Assumptions!$J$81,Assumptions!$J$100,Assumptions!$J$119)+$C$1973</f>
        <v>0.498</v>
      </c>
      <c r="K1982" s="22" t="n">
        <f aca="false">CHOOSE($C$1971,Assumptions!$K$81,Assumptions!$K$100,Assumptions!$K$119)+$C$1973</f>
        <v>0.5</v>
      </c>
    </row>
    <row r="1983" customFormat="false" ht="15" hidden="false" customHeight="false" outlineLevel="0" collapsed="false">
      <c r="A1983" s="24" t="s">
        <v>304</v>
      </c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</row>
    <row r="1984" customFormat="false" ht="15" hidden="false" customHeight="false" outlineLevel="0" collapsed="false">
      <c r="A1984" s="2" t="s">
        <v>275</v>
      </c>
      <c r="F1984" s="28" t="n">
        <f aca="false">'Historical Financials'!G25</f>
        <v>498.291</v>
      </c>
      <c r="G1984" s="17" t="n">
        <f aca="false">F1984*(1+G1980)</f>
        <v>483.34227</v>
      </c>
      <c r="H1984" s="17" t="n">
        <f aca="false">G1984*(1+H1980)</f>
        <v>493.0091154</v>
      </c>
      <c r="I1984" s="17" t="n">
        <f aca="false">H1984*(1+I1980)</f>
        <v>502.869297708</v>
      </c>
      <c r="J1984" s="17" t="n">
        <f aca="false">I1984*(1+J1980)</f>
        <v>512.92668366216</v>
      </c>
      <c r="K1984" s="17" t="n">
        <f aca="false">J1984*(1+K1980)</f>
        <v>523.185217335403</v>
      </c>
    </row>
    <row r="1985" customFormat="false" ht="15" hidden="false" customHeight="false" outlineLevel="0" collapsed="false">
      <c r="A1985" s="3" t="s">
        <v>276</v>
      </c>
      <c r="G1985" s="16" t="n">
        <f aca="false">G1984*(1-G1981)</f>
        <v>191.4418869</v>
      </c>
      <c r="H1985" s="16" t="n">
        <f aca="false">H1984*(1-H1981)</f>
        <v>193.7916972918</v>
      </c>
      <c r="I1985" s="16" t="n">
        <f aca="false">I1984*(1-I1981)</f>
        <v>196.158923344512</v>
      </c>
      <c r="J1985" s="16" t="n">
        <f aca="false">J1984*(1-J1981)</f>
        <v>199.056248444078</v>
      </c>
      <c r="K1985" s="16" t="n">
        <f aca="false">K1984*(1-K1981)</f>
        <v>201.991002978289</v>
      </c>
    </row>
    <row r="1986" customFormat="false" ht="15" hidden="false" customHeight="false" outlineLevel="0" collapsed="false">
      <c r="A1986" s="2" t="s">
        <v>277</v>
      </c>
      <c r="G1986" s="17" t="n">
        <f aca="false">G1984-G1985</f>
        <v>291.9003831</v>
      </c>
      <c r="H1986" s="17" t="n">
        <f aca="false">H1984-H1985</f>
        <v>299.2174181082</v>
      </c>
      <c r="I1986" s="17" t="n">
        <f aca="false">I1984-I1985</f>
        <v>306.710374363488</v>
      </c>
      <c r="J1986" s="17" t="n">
        <f aca="false">J1984-J1985</f>
        <v>313.870435218082</v>
      </c>
      <c r="K1986" s="17" t="n">
        <f aca="false">K1984-K1985</f>
        <v>321.194214357115</v>
      </c>
    </row>
    <row r="1987" customFormat="false" ht="15" hidden="false" customHeight="false" outlineLevel="0" collapsed="false">
      <c r="A1987" s="3" t="s">
        <v>305</v>
      </c>
      <c r="G1987" s="16" t="n">
        <f aca="false">G1986-G1988</f>
        <v>55.0626708</v>
      </c>
      <c r="H1987" s="16" t="n">
        <f aca="false">H1986-H1988</f>
        <v>56.163924216</v>
      </c>
      <c r="I1987" s="16" t="n">
        <f aca="false">I1986-I1988</f>
        <v>57.28720270032</v>
      </c>
      <c r="J1987" s="16" t="n">
        <f aca="false">J1986-J1988</f>
        <v>58.4329467543264</v>
      </c>
      <c r="K1987" s="16" t="n">
        <f aca="false">K1986-K1988</f>
        <v>59.601605689413</v>
      </c>
    </row>
    <row r="1988" customFormat="false" ht="15" hidden="false" customHeight="false" outlineLevel="0" collapsed="false">
      <c r="A1988" s="2" t="s">
        <v>306</v>
      </c>
      <c r="G1988" s="17" t="n">
        <f aca="false">G1984*G1982</f>
        <v>236.8377123</v>
      </c>
      <c r="H1988" s="17" t="n">
        <f aca="false">H1984*H1982</f>
        <v>243.0534938922</v>
      </c>
      <c r="I1988" s="17" t="n">
        <f aca="false">I1984*I1982</f>
        <v>249.423171663168</v>
      </c>
      <c r="J1988" s="17" t="n">
        <f aca="false">J1984*J1982</f>
        <v>255.437488463756</v>
      </c>
      <c r="K1988" s="17" t="n">
        <f aca="false">K1984*K1982</f>
        <v>261.592608667702</v>
      </c>
    </row>
    <row r="1989" customFormat="false" ht="15" hidden="false" customHeight="false" outlineLevel="0" collapsed="false">
      <c r="A1989" s="3" t="s">
        <v>307</v>
      </c>
      <c r="G1989" s="16" t="n">
        <f aca="false">G1984*'Historical Financials'!G30/'Historical Financials'!G25</f>
        <v>179.73421</v>
      </c>
      <c r="H1989" s="16" t="n">
        <f aca="false">H1984*'Historical Financials'!G30/'Historical Financials'!G25</f>
        <v>183.3288942</v>
      </c>
      <c r="I1989" s="16" t="n">
        <f aca="false">I1984*'Historical Financials'!G30/'Historical Financials'!G25</f>
        <v>186.995472084</v>
      </c>
      <c r="J1989" s="16" t="n">
        <f aca="false">J1984*'Historical Financials'!G30/'Historical Financials'!G25</f>
        <v>190.73538152568</v>
      </c>
      <c r="K1989" s="16" t="n">
        <f aca="false">K1984*'Historical Financials'!G30/'Historical Financials'!G25</f>
        <v>194.550089156194</v>
      </c>
    </row>
    <row r="1990" customFormat="false" ht="15" hidden="false" customHeight="false" outlineLevel="0" collapsed="false">
      <c r="A1990" s="3" t="s">
        <v>308</v>
      </c>
      <c r="G1990" s="16" t="n">
        <f aca="false">G1984*'Historical Financials'!G31/'Historical Financials'!G25</f>
        <v>0</v>
      </c>
      <c r="H1990" s="16" t="n">
        <f aca="false">H1984*'Historical Financials'!G31/'Historical Financials'!G25</f>
        <v>0</v>
      </c>
      <c r="I1990" s="16" t="n">
        <f aca="false">I1984*'Historical Financials'!G31/'Historical Financials'!G25</f>
        <v>0</v>
      </c>
      <c r="J1990" s="16" t="n">
        <f aca="false">J1984*'Historical Financials'!G31/'Historical Financials'!G25</f>
        <v>0</v>
      </c>
      <c r="K1990" s="16" t="n">
        <f aca="false">K1984*'Historical Financials'!G31/'Historical Financials'!G25</f>
        <v>0</v>
      </c>
    </row>
    <row r="1991" customFormat="false" ht="15" hidden="false" customHeight="false" outlineLevel="0" collapsed="false">
      <c r="A1991" s="2" t="s">
        <v>309</v>
      </c>
      <c r="G1991" s="17" t="n">
        <f aca="false">G1988-G1989-G1990</f>
        <v>57.1035023000001</v>
      </c>
      <c r="H1991" s="17" t="n">
        <f aca="false">H1988-H1989-H1990</f>
        <v>59.7245996922001</v>
      </c>
      <c r="I1991" s="17" t="n">
        <f aca="false">I1988-I1989-I1990</f>
        <v>62.427699579168</v>
      </c>
      <c r="J1991" s="17" t="n">
        <f aca="false">J1988-J1989-J1990</f>
        <v>64.7021069380757</v>
      </c>
      <c r="K1991" s="17" t="n">
        <f aca="false">K1988-K1989-K1990</f>
        <v>67.042519511508</v>
      </c>
    </row>
    <row r="1992" customFormat="false" ht="15" hidden="false" customHeight="false" outlineLevel="0" collapsed="false">
      <c r="A1992" s="3" t="s">
        <v>310</v>
      </c>
      <c r="G1992" s="16" t="n">
        <f aca="false">G2018+G2031+G2044+G2057+G2070+G2083+G2096+G2109+G2122+G2135</f>
        <v>180.2096854</v>
      </c>
      <c r="H1992" s="16" t="n">
        <f aca="false">H2018+H2031+H2044+H2057+H2070+H2083+H2096+H2109+H2122+H2135</f>
        <v>179.1317704</v>
      </c>
      <c r="I1992" s="16" t="n">
        <f aca="false">I2018+I2031+I2044+I2057+I2070+I2083+I2096+I2109+I2122+I2135</f>
        <v>194.512341943184</v>
      </c>
      <c r="J1992" s="16" t="n">
        <f aca="false">J2018+J2031+J2044+J2057+J2070+J2083+J2096+J2109+J2122+J2135</f>
        <v>196.552725025076</v>
      </c>
      <c r="K1992" s="16" t="n">
        <f aca="false">K2018+K2031+K2044+K2057+K2070+K2083+K2096+K2109+K2122+K2135</f>
        <v>217.428208398663</v>
      </c>
    </row>
    <row r="1993" customFormat="false" ht="15" hidden="false" customHeight="false" outlineLevel="0" collapsed="false">
      <c r="A1993" s="3" t="s">
        <v>311</v>
      </c>
      <c r="G1993" s="16" t="n">
        <f aca="false">G2019+G2032+G2045+G2058+G2071+G2084+G2097+G2110+G2123+G2136</f>
        <v>0</v>
      </c>
      <c r="H1993" s="16" t="n">
        <f aca="false">H2019+H2032+H2045+H2058+H2071+H2084+H2097+H2110+H2123+H2136</f>
        <v>0</v>
      </c>
      <c r="I1993" s="16" t="n">
        <f aca="false">I2019+I2032+I2045+I2058+I2071+I2084+I2097+I2110+I2123+I2136</f>
        <v>0</v>
      </c>
      <c r="J1993" s="16" t="n">
        <f aca="false">J2019+J2032+J2045+J2058+J2071+J2084+J2097+J2110+J2123+J2136</f>
        <v>0</v>
      </c>
      <c r="K1993" s="16" t="n">
        <f aca="false">K2019+K2032+K2045+K2058+K2071+K2084+K2097+K2110+K2123+K2136</f>
        <v>0</v>
      </c>
    </row>
    <row r="1994" customFormat="false" ht="15" hidden="false" customHeight="false" outlineLevel="0" collapsed="false">
      <c r="A1994" s="3" t="s">
        <v>283</v>
      </c>
      <c r="G1994" s="16" t="n">
        <f aca="false">G1992+G1993</f>
        <v>180.2096854</v>
      </c>
      <c r="H1994" s="16" t="n">
        <f aca="false">H1992+H1993</f>
        <v>179.1317704</v>
      </c>
      <c r="I1994" s="16" t="n">
        <f aca="false">I1992+I1993</f>
        <v>194.512341943184</v>
      </c>
      <c r="J1994" s="16" t="n">
        <f aca="false">J1992+J1993</f>
        <v>196.552725025076</v>
      </c>
      <c r="K1994" s="16" t="n">
        <f aca="false">K1992+K1993</f>
        <v>217.428208398663</v>
      </c>
    </row>
    <row r="1995" customFormat="false" ht="15" hidden="false" customHeight="false" outlineLevel="0" collapsed="false">
      <c r="A1995" s="2" t="s">
        <v>284</v>
      </c>
      <c r="G1995" s="17" t="n">
        <f aca="false">G1991-G1994</f>
        <v>-123.1061831</v>
      </c>
      <c r="H1995" s="17" t="n">
        <f aca="false">H1991-H1994</f>
        <v>-119.4071707078</v>
      </c>
      <c r="I1995" s="17" t="n">
        <f aca="false">I1991-I1994</f>
        <v>-132.084642364016</v>
      </c>
      <c r="J1995" s="17" t="n">
        <f aca="false">J1991-J1994</f>
        <v>-131.850618087001</v>
      </c>
      <c r="K1995" s="17" t="n">
        <f aca="false">K1991-K1994</f>
        <v>-150.385688887155</v>
      </c>
    </row>
    <row r="1996" customFormat="false" ht="15" hidden="false" customHeight="false" outlineLevel="0" collapsed="false">
      <c r="A1996" s="3" t="s">
        <v>312</v>
      </c>
      <c r="G1996" s="16" t="n">
        <f aca="false">MAX(0,G1995)*Assumptions!$C$9</f>
        <v>0</v>
      </c>
      <c r="H1996" s="16" t="n">
        <f aca="false">MAX(0,H1995)*Assumptions!$C$9</f>
        <v>0</v>
      </c>
      <c r="I1996" s="16" t="n">
        <f aca="false">MAX(0,I1995)*Assumptions!$C$9</f>
        <v>0</v>
      </c>
      <c r="J1996" s="16" t="n">
        <f aca="false">MAX(0,J1995)*Assumptions!$C$9</f>
        <v>0</v>
      </c>
      <c r="K1996" s="16" t="n">
        <f aca="false">MAX(0,K1995)*Assumptions!$C$9</f>
        <v>0</v>
      </c>
    </row>
    <row r="1997" customFormat="false" ht="15" hidden="false" customHeight="false" outlineLevel="0" collapsed="false">
      <c r="A1997" s="2" t="s">
        <v>313</v>
      </c>
      <c r="G1997" s="17" t="n">
        <f aca="false">G1995-G1996</f>
        <v>-123.1061831</v>
      </c>
      <c r="H1997" s="17" t="n">
        <f aca="false">H1995-H1996</f>
        <v>-119.4071707078</v>
      </c>
      <c r="I1997" s="17" t="n">
        <f aca="false">I1995-I1996</f>
        <v>-132.084642364016</v>
      </c>
      <c r="J1997" s="17" t="n">
        <f aca="false">J1995-J1996</f>
        <v>-131.850618087001</v>
      </c>
      <c r="K1997" s="17" t="n">
        <f aca="false">K1995-K1996</f>
        <v>-150.385688887155</v>
      </c>
    </row>
    <row r="1998" customFormat="false" ht="15" hidden="false" customHeight="false" outlineLevel="0" collapsed="false">
      <c r="A1998" s="24" t="s">
        <v>314</v>
      </c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</row>
    <row r="1999" customFormat="false" ht="15" hidden="false" customHeight="false" outlineLevel="0" collapsed="false">
      <c r="A1999" s="3" t="s">
        <v>184</v>
      </c>
      <c r="G1999" s="16" t="n">
        <f aca="false">G1984*CHOOSE($C$1971,Assumptions!$C$83,Assumptions!$C$102,Assumptions!$C$121)</f>
        <v>106.3352994</v>
      </c>
      <c r="H1999" s="16" t="n">
        <f aca="false">H1984*CHOOSE($C$1971,Assumptions!$C$83,Assumptions!$C$102,Assumptions!$C$121)</f>
        <v>108.462005388</v>
      </c>
      <c r="I1999" s="16" t="n">
        <f aca="false">I1984*CHOOSE($C$1971,Assumptions!$C$83,Assumptions!$C$102,Assumptions!$C$121)</f>
        <v>110.63124549576</v>
      </c>
      <c r="J1999" s="16" t="n">
        <f aca="false">J1984*CHOOSE($C$1971,Assumptions!$C$83,Assumptions!$C$102,Assumptions!$C$121)</f>
        <v>112.843870405675</v>
      </c>
      <c r="K1999" s="16" t="n">
        <f aca="false">K1984*CHOOSE($C$1971,Assumptions!$C$83,Assumptions!$C$102,Assumptions!$C$121)</f>
        <v>115.100747813789</v>
      </c>
    </row>
    <row r="2000" customFormat="false" ht="15" hidden="false" customHeight="false" outlineLevel="0" collapsed="false">
      <c r="A2000" s="3" t="s">
        <v>315</v>
      </c>
      <c r="G2000" s="16" t="n">
        <f aca="false">CHOOSE($C$1971,Assumptions!$C$84,Assumptions!$C$103,Assumptions!$C$122)*(G1984-F1984)+CHOOSE($C$1971,Assumptions!$C$85,Assumptions!$C$104,Assumptions!$C$123)*G1984</f>
        <v>53.1676497</v>
      </c>
      <c r="H2000" s="16" t="n">
        <f aca="false">CHOOSE($C$1971,Assumptions!$C$84,Assumptions!$C$103,Assumptions!$C$122)*(H1984-G1984)+CHOOSE($C$1971,Assumptions!$C$85,Assumptions!$C$104,Assumptions!$C$123)*H1984</f>
        <v>54.231002694</v>
      </c>
      <c r="I2000" s="16" t="n">
        <f aca="false">CHOOSE($C$1971,Assumptions!$C$84,Assumptions!$C$103,Assumptions!$C$122)*(I1984-H1984)+CHOOSE($C$1971,Assumptions!$C$85,Assumptions!$C$104,Assumptions!$C$123)*I1984</f>
        <v>55.31562274788</v>
      </c>
      <c r="J2000" s="16" t="n">
        <f aca="false">CHOOSE($C$1971,Assumptions!$C$84,Assumptions!$C$103,Assumptions!$C$122)*(J1984-I1984)+CHOOSE($C$1971,Assumptions!$C$85,Assumptions!$C$104,Assumptions!$C$123)*J1984</f>
        <v>56.4219352028376</v>
      </c>
      <c r="K2000" s="16" t="n">
        <f aca="false">CHOOSE($C$1971,Assumptions!$C$84,Assumptions!$C$103,Assumptions!$C$122)*(K1984-J1984)+CHOOSE($C$1971,Assumptions!$C$85,Assumptions!$C$104,Assumptions!$C$123)*K1984</f>
        <v>57.5503739068944</v>
      </c>
    </row>
    <row r="2001" customFormat="false" ht="15" hidden="false" customHeight="false" outlineLevel="0" collapsed="false">
      <c r="A2001" s="2" t="s">
        <v>316</v>
      </c>
      <c r="G2001" s="17" t="n">
        <f aca="false">G1997+G1989+G1990+G1993-G1999-G2000</f>
        <v>-102.8749222</v>
      </c>
      <c r="H2001" s="17" t="n">
        <f aca="false">H1997+H1989+H1990+H1993-H1999-H2000</f>
        <v>-98.7712845898</v>
      </c>
      <c r="I2001" s="17" t="n">
        <f aca="false">I1997+I1989+I1990+I1993-I1999-I2000</f>
        <v>-111.036038523656</v>
      </c>
      <c r="J2001" s="17" t="n">
        <f aca="false">J1997+J1989+J1990+J1993-J1999-J2000</f>
        <v>-110.381042169834</v>
      </c>
      <c r="K2001" s="17" t="n">
        <f aca="false">K1997+K1989+K1990+K1993-K1999-K2000</f>
        <v>-128.486721451645</v>
      </c>
    </row>
    <row r="2003" customFormat="false" ht="15" hidden="false" customHeight="false" outlineLevel="0" collapsed="false">
      <c r="A2003" s="24" t="s">
        <v>318</v>
      </c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</row>
    <row r="2004" customFormat="false" ht="15" hidden="false" customHeight="false" outlineLevel="0" collapsed="false">
      <c r="A2004" s="3" t="s">
        <v>319</v>
      </c>
      <c r="G2004" s="30" t="n">
        <f aca="false">Assumptions!$G$53</f>
        <v>0.039</v>
      </c>
      <c r="H2004" s="30" t="n">
        <f aca="false">Assumptions!$H$53</f>
        <v>0.0375</v>
      </c>
      <c r="I2004" s="30" t="n">
        <f aca="false">Assumptions!$I$53</f>
        <v>0.035</v>
      </c>
      <c r="J2004" s="30" t="n">
        <f aca="false">Assumptions!$J$53</f>
        <v>0.035</v>
      </c>
      <c r="K2004" s="30" t="n">
        <f aca="false">Assumptions!$K$53</f>
        <v>0.035</v>
      </c>
    </row>
    <row r="2005" customFormat="false" ht="15" hidden="false" customHeight="false" outlineLevel="0" collapsed="false">
      <c r="A2005" s="3" t="s">
        <v>320</v>
      </c>
      <c r="C2005" s="31" t="n">
        <f aca="false">CHOOSE($C$1971,Assumptions!$C$86,Assumptions!$C$105,Assumptions!$C$124)+$C$1974</f>
        <v>0</v>
      </c>
    </row>
    <row r="2006" customFormat="false" ht="15" hidden="false" customHeight="false" outlineLevel="0" collapsed="false">
      <c r="A2006" s="3" t="s">
        <v>321</v>
      </c>
      <c r="C2006" s="31" t="n">
        <f aca="false">CHOOSE($C$1971,Assumptions!$C$87,Assumptions!$C$106,Assumptions!$C$125)</f>
        <v>0.08</v>
      </c>
    </row>
    <row r="2007" customFormat="false" ht="15" hidden="false" customHeight="false" outlineLevel="0" collapsed="false">
      <c r="A2007" s="3" t="s">
        <v>322</v>
      </c>
      <c r="C2007" s="32" t="n">
        <f aca="false">CHOOSE($C$1971,Assumptions!$C$88,Assumptions!$C$107,Assumptions!$C$126)</f>
        <v>11</v>
      </c>
    </row>
    <row r="2008" customFormat="false" ht="15" hidden="false" customHeight="false" outlineLevel="0" collapsed="false">
      <c r="A2008" s="3" t="s">
        <v>323</v>
      </c>
      <c r="C2008" s="32" t="n">
        <f aca="false">CHOOSE($C$1971,Assumptions!$C$89,Assumptions!$C$108,Assumptions!$C$127)</f>
        <v>1.2</v>
      </c>
    </row>
    <row r="2009" customFormat="false" ht="15" hidden="false" customHeight="false" outlineLevel="0" collapsed="false">
      <c r="A2009" s="3" t="s">
        <v>324</v>
      </c>
      <c r="G2009" s="16" t="n">
        <f aca="false">G2014+G2027+G2040+G2053+G2066+G2079+G2092+G2105+G2118+G2131</f>
        <v>2625.934</v>
      </c>
      <c r="H2009" s="16" t="n">
        <f aca="false">H2014+H2027+H2040+H2053+H2066+H2079+H2092+H2105+H2118+H2131</f>
        <v>2621.934</v>
      </c>
      <c r="I2009" s="16" t="n">
        <f aca="false">I2014+I2027+I2040+I2053+I2066+I2079+I2092+I2105+I2118+I2131</f>
        <v>2614.7102067898</v>
      </c>
      <c r="J2009" s="16" t="n">
        <f aca="false">J2014+J2027+J2040+J2053+J2066+J2079+J2092+J2105+J2118+J2131</f>
        <v>2700.74624531346</v>
      </c>
      <c r="K2009" s="16" t="n">
        <f aca="false">K2014+K2027+K2040+K2053+K2066+K2079+K2092+K2105+K2118+K2131</f>
        <v>2811.12728748329</v>
      </c>
    </row>
    <row r="2010" customFormat="false" ht="15" hidden="false" customHeight="false" outlineLevel="0" collapsed="false">
      <c r="A2010" s="3" t="s">
        <v>325</v>
      </c>
      <c r="G2010" s="16" t="n">
        <f aca="false">F2202</f>
        <v>37.87</v>
      </c>
      <c r="H2010" s="16" t="n">
        <f aca="false">G2202</f>
        <v>130.9950778</v>
      </c>
      <c r="I2010" s="16" t="n">
        <f aca="false">H2202</f>
        <v>25</v>
      </c>
      <c r="J2010" s="16" t="n">
        <f aca="false">I2202</f>
        <v>0</v>
      </c>
      <c r="K2010" s="16" t="n">
        <f aca="false">J2202</f>
        <v>0</v>
      </c>
    </row>
    <row r="2011" customFormat="false" ht="15" hidden="false" customHeight="false" outlineLevel="0" collapsed="false">
      <c r="A2011" s="3" t="s">
        <v>326</v>
      </c>
      <c r="G2011" s="16" t="n">
        <f aca="false">G2014*IF(G2015=1,$C$2006,IF(Assumptions!$I$57=1,MAX(G2004,Assumptions!$G$57)+Assumptions!$F$57+$C$2005,Assumptions!$E$57))+G2027*IF(G2028=1,$C$2006,IF(Assumptions!$I$58=1,MAX(G2004,Assumptions!$G$58)+Assumptions!$F$58+$C$2005,Assumptions!$E$58))+G2040*IF(G2041=1,$C$2006,IF(Assumptions!$I$59=1,MAX(G2004,Assumptions!$G$59)+Assumptions!$F$59+$C$2005,Assumptions!$E$59))+G2053*IF(G2054=1,$C$2006,IF(Assumptions!$I$60=1,MAX(G2004,Assumptions!$G$60)+Assumptions!$F$60+$C$2005,Assumptions!$E$60))+G2066*IF(G2067=1,$C$2006,IF(Assumptions!$I$61=1,MAX(G2004,Assumptions!$G$61)+Assumptions!$F$61+$C$2005,Assumptions!$E$61))+G2079*IF(G2080=1,$C$2006,IF(Assumptions!$I$62=1,MAX(G2004,Assumptions!$G$62)+Assumptions!$F$62+$C$2005,Assumptions!$E$62))+G2092*IF(G2093=1,$C$2006,IF(Assumptions!$I$63=1,MAX(G2004,Assumptions!$G$63)+Assumptions!$F$63+$C$2005,Assumptions!$E$63))+G2105*IF(G2106=1,$C$2006,IF(Assumptions!$I$64=1,MAX(G2004,Assumptions!$G$64)+Assumptions!$F$64+$C$2005,Assumptions!$E$64))+G2118*IF(G2119=1,$C$2006,IF(Assumptions!$I$65=1,MAX(G2004,Assumptions!$G$65)+Assumptions!$F$65+$C$2005,Assumptions!$E$65))+G2131*IF(G2132=1,$C$2006,IF(Assumptions!$I$66=1,MAX(G2004,Assumptions!$G$66)+Assumptions!$F$66+$C$2005,Assumptions!$E$66))</f>
        <v>180.2096854</v>
      </c>
      <c r="H2011" s="16" t="n">
        <f aca="false">H2014*IF(OR(H2015=1,G2324=1),$C$2006,IF(Assumptions!$I$57=1,MAX(H2004,Assumptions!$G$57)+Assumptions!$F$57+$C$2005,Assumptions!$E$57))+H2027*IF(OR(H2028=1,G2325=1),$C$2006,IF(Assumptions!$I$58=1,MAX(H2004,Assumptions!$G$58)+Assumptions!$F$58+$C$2005,Assumptions!$E$58))+H2040*IF(OR(H2041=1,G2326=1),$C$2006,IF(Assumptions!$I$59=1,MAX(H2004,Assumptions!$G$59)+Assumptions!$F$59+$C$2005,Assumptions!$E$59))+H2053*IF(OR(H2054=1,G2327=1),$C$2006,IF(Assumptions!$I$60=1,MAX(H2004,Assumptions!$G$60)+Assumptions!$F$60+$C$2005,Assumptions!$E$60))+H2066*IF(OR(H2067=1,G2328=1),$C$2006,IF(Assumptions!$I$61=1,MAX(H2004,Assumptions!$G$61)+Assumptions!$F$61+$C$2005,Assumptions!$E$61))+H2079*IF(OR(H2080=1,G2329=1),$C$2006,IF(Assumptions!$I$62=1,MAX(H2004,Assumptions!$G$62)+Assumptions!$F$62+$C$2005,Assumptions!$E$62))+H2092*IF(OR(H2093=1,G2330=1),$C$2006,IF(Assumptions!$I$63=1,MAX(H2004,Assumptions!$G$63)+Assumptions!$F$63+$C$2005,Assumptions!$E$63))+H2105*IF(OR(H2106=1,G2331=1),$C$2006,IF(Assumptions!$I$64=1,MAX(H2004,Assumptions!$G$64)+Assumptions!$F$64+$C$2005,Assumptions!$E$64))+H2118*IF(OR(H2119=1,G2332=1),$C$2006,IF(Assumptions!$I$65=1,MAX(H2004,Assumptions!$G$65)+Assumptions!$F$65+$C$2005,Assumptions!$E$65))+H2131*IF(OR(H2132=1,G2333=1),$C$2006,IF(Assumptions!$I$66=1,MAX(H2004,Assumptions!$G$66)+Assumptions!$F$66+$C$2005,Assumptions!$E$66))</f>
        <v>196.3067704</v>
      </c>
      <c r="I2011" s="16" t="n">
        <f aca="false">I2014*IF(OR(I2015=1,H2324=1),$C$2006,IF(Assumptions!$I$57=1,MAX(I2004,Assumptions!$G$57)+Assumptions!$F$57+$C$2005,Assumptions!$E$57))+I2027*IF(OR(I2028=1,H2325=1),$C$2006,IF(Assumptions!$I$58=1,MAX(I2004,Assumptions!$G$58)+Assumptions!$F$58+$C$2005,Assumptions!$E$58))+I2040*IF(OR(I2041=1,H2326=1),$C$2006,IF(Assumptions!$I$59=1,MAX(I2004,Assumptions!$G$59)+Assumptions!$F$59+$C$2005,Assumptions!$E$59))+I2053*IF(OR(I2054=1,H2327=1),$C$2006,IF(Assumptions!$I$60=1,MAX(I2004,Assumptions!$G$60)+Assumptions!$F$60+$C$2005,Assumptions!$E$60))+I2066*IF(OR(I2067=1,H2328=1),$C$2006,IF(Assumptions!$I$61=1,MAX(I2004,Assumptions!$G$61)+Assumptions!$F$61+$C$2005,Assumptions!$E$61))+I2079*IF(OR(I2080=1,H2329=1),$C$2006,IF(Assumptions!$I$62=1,MAX(I2004,Assumptions!$G$62)+Assumptions!$F$62+$C$2005,Assumptions!$E$62))+I2092*IF(OR(I2093=1,H2330=1),$C$2006,IF(Assumptions!$I$63=1,MAX(I2004,Assumptions!$G$63)+Assumptions!$F$63+$C$2005,Assumptions!$E$63))+I2105*IF(OR(I2106=1,H2331=1),$C$2006,IF(Assumptions!$I$64=1,MAX(I2004,Assumptions!$G$64)+Assumptions!$F$64+$C$2005,Assumptions!$E$64))+I2118*IF(OR(I2119=1,H2332=1),$C$2006,IF(Assumptions!$I$65=1,MAX(I2004,Assumptions!$G$65)+Assumptions!$F$65+$C$2005,Assumptions!$E$65))+I2131*IF(OR(I2132=1,H2333=1),$C$2006,IF(Assumptions!$I$66=1,MAX(I2004,Assumptions!$G$66)+Assumptions!$F$66+$C$2005,Assumptions!$E$66))</f>
        <v>189.699841943184</v>
      </c>
      <c r="J2011" s="16" t="n">
        <f aca="false">J2014*IF(OR(J2015=1,I2324=1),$C$2006,IF(Assumptions!$I$57=1,MAX(J2004,Assumptions!$G$57)+Assumptions!$F$57+$C$2005,Assumptions!$E$57))+J2027*IF(OR(J2028=1,I2325=1),$C$2006,IF(Assumptions!$I$58=1,MAX(J2004,Assumptions!$G$58)+Assumptions!$F$58+$C$2005,Assumptions!$E$58))+J2040*IF(OR(J2041=1,I2326=1),$C$2006,IF(Assumptions!$I$59=1,MAX(J2004,Assumptions!$G$59)+Assumptions!$F$59+$C$2005,Assumptions!$E$59))+J2053*IF(OR(J2054=1,I2327=1),$C$2006,IF(Assumptions!$I$60=1,MAX(J2004,Assumptions!$G$60)+Assumptions!$F$60+$C$2005,Assumptions!$E$60))+J2066*IF(OR(J2067=1,I2328=1),$C$2006,IF(Assumptions!$I$61=1,MAX(J2004,Assumptions!$G$61)+Assumptions!$F$61+$C$2005,Assumptions!$E$61))+J2079*IF(OR(J2080=1,I2329=1),$C$2006,IF(Assumptions!$I$62=1,MAX(J2004,Assumptions!$G$62)+Assumptions!$F$62+$C$2005,Assumptions!$E$62))+J2092*IF(OR(J2093=1,I2330=1),$C$2006,IF(Assumptions!$I$63=1,MAX(J2004,Assumptions!$G$63)+Assumptions!$F$63+$C$2005,Assumptions!$E$63))+J2105*IF(OR(J2106=1,I2331=1),$C$2006,IF(Assumptions!$I$64=1,MAX(J2004,Assumptions!$G$64)+Assumptions!$F$64+$C$2005,Assumptions!$E$64))+J2118*IF(OR(J2119=1,I2332=1),$C$2006,IF(Assumptions!$I$65=1,MAX(J2004,Assumptions!$G$65)+Assumptions!$F$65+$C$2005,Assumptions!$E$65))+J2131*IF(OR(J2132=1,I2333=1),$C$2006,IF(Assumptions!$I$66=1,MAX(J2004,Assumptions!$G$66)+Assumptions!$F$66+$C$2005,Assumptions!$E$66))</f>
        <v>208.627725025076</v>
      </c>
      <c r="K2011" s="16" t="n">
        <f aca="false">K2014*IF(OR(K2015=1,J2324=1),$C$2006,IF(Assumptions!$I$57=1,MAX(K2004,Assumptions!$G$57)+Assumptions!$F$57+$C$2005,Assumptions!$E$57))+K2027*IF(OR(K2028=1,J2325=1),$C$2006,IF(Assumptions!$I$58=1,MAX(K2004,Assumptions!$G$58)+Assumptions!$F$58+$C$2005,Assumptions!$E$58))+K2040*IF(OR(K2041=1,J2326=1),$C$2006,IF(Assumptions!$I$59=1,MAX(K2004,Assumptions!$G$59)+Assumptions!$F$59+$C$2005,Assumptions!$E$59))+K2053*IF(OR(K2054=1,J2327=1),$C$2006,IF(Assumptions!$I$60=1,MAX(K2004,Assumptions!$G$60)+Assumptions!$F$60+$C$2005,Assumptions!$E$60))+K2066*IF(OR(K2067=1,J2328=1),$C$2006,IF(Assumptions!$I$61=1,MAX(K2004,Assumptions!$G$61)+Assumptions!$F$61+$C$2005,Assumptions!$E$61))+K2079*IF(OR(K2080=1,J2329=1),$C$2006,IF(Assumptions!$I$62=1,MAX(K2004,Assumptions!$G$62)+Assumptions!$F$62+$C$2005,Assumptions!$E$62))+K2092*IF(OR(K2093=1,J2330=1),$C$2006,IF(Assumptions!$I$63=1,MAX(K2004,Assumptions!$G$63)+Assumptions!$F$63+$C$2005,Assumptions!$E$63))+K2105*IF(OR(K2106=1,J2331=1),$C$2006,IF(Assumptions!$I$64=1,MAX(K2004,Assumptions!$G$64)+Assumptions!$F$64+$C$2005,Assumptions!$E$64))+K2118*IF(OR(K2119=1,J2332=1),$C$2006,IF(Assumptions!$I$65=1,MAX(K2004,Assumptions!$G$65)+Assumptions!$F$65+$C$2005,Assumptions!$E$65))+K2131*IF(OR(K2132=1,J2333=1),$C$2006,IF(Assumptions!$I$66=1,MAX(K2004,Assumptions!$G$66)+Assumptions!$F$66+$C$2005,Assumptions!$E$66))</f>
        <v>220.173208398663</v>
      </c>
    </row>
    <row r="2012" customFormat="false" ht="15" hidden="false" customHeight="false" outlineLevel="0" collapsed="false">
      <c r="A2012" s="3" t="s">
        <v>327</v>
      </c>
      <c r="G2012" s="21" t="n">
        <f aca="false">IF(G1988&lt;=0,0,IF(AND((G2009-G2010)/G1988&lt;=$C$2007,G1988/G2011&gt;=$C$2008),1,0))</f>
        <v>1</v>
      </c>
      <c r="H2012" s="21" t="n">
        <f aca="false">IF(H1988&lt;=0,0,IF(AND((H2009-H2010)/H1988&lt;=$C$2007,H1988/H2011&gt;=$C$2008),1,0))</f>
        <v>1</v>
      </c>
      <c r="I2012" s="21" t="n">
        <f aca="false">IF(I1988&lt;=0,0,IF(AND((I2009-I2010)/I1988&lt;=$C$2007,I1988/I2011&gt;=$C$2008),1,0))</f>
        <v>1</v>
      </c>
      <c r="J2012" s="21" t="n">
        <f aca="false">IF(J1988&lt;=0,0,IF(AND((J2009-J2010)/J1988&lt;=$C$2007,J1988/J2011&gt;=$C$2008),1,0))</f>
        <v>1</v>
      </c>
      <c r="K2012" s="21" t="n">
        <f aca="false">IF(K1988&lt;=0,0,IF(AND((K2009-K2010)/K1988&lt;=$C$2007,K1988/K2011&gt;=$C$2008),1,0))</f>
        <v>0</v>
      </c>
    </row>
    <row r="2013" customFormat="false" ht="15" hidden="false" customHeight="false" outlineLevel="0" collapsed="false">
      <c r="A2013" s="24" t="s">
        <v>328</v>
      </c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</row>
    <row r="2014" customFormat="false" ht="15" hidden="false" customHeight="false" outlineLevel="0" collapsed="false">
      <c r="A2014" s="3" t="s">
        <v>329</v>
      </c>
      <c r="G2014" s="16" t="n">
        <f aca="false">F2025</f>
        <v>400</v>
      </c>
      <c r="H2014" s="16" t="n">
        <f aca="false">G2025</f>
        <v>396</v>
      </c>
      <c r="I2014" s="16" t="n">
        <f aca="false">H2025</f>
        <v>392</v>
      </c>
      <c r="J2014" s="16" t="n">
        <f aca="false">I2025</f>
        <v>388</v>
      </c>
      <c r="K2014" s="16" t="n">
        <f aca="false">J2025</f>
        <v>384</v>
      </c>
    </row>
    <row r="2015" customFormat="false" ht="15" hidden="false" customHeight="false" outlineLevel="0" collapsed="false">
      <c r="A2015" s="3" t="s">
        <v>330</v>
      </c>
      <c r="G2015" s="21" t="n">
        <f aca="false">IF(G1978=Assumptions!$K$57,1,0)</f>
        <v>0</v>
      </c>
      <c r="H2015" s="21" t="n">
        <f aca="false">IF(H1978=Assumptions!$K$57,1,0)</f>
        <v>0</v>
      </c>
      <c r="I2015" s="21" t="n">
        <f aca="false">IF(I1978=Assumptions!$K$57,1,0)</f>
        <v>0</v>
      </c>
      <c r="J2015" s="21" t="n">
        <f aca="false">IF(J1978=Assumptions!$K$57,1,0)</f>
        <v>0</v>
      </c>
      <c r="K2015" s="21" t="n">
        <f aca="false">IF(K1978=Assumptions!$K$57,1,0)</f>
        <v>1</v>
      </c>
    </row>
    <row r="2017" customFormat="false" ht="15" hidden="false" customHeight="false" outlineLevel="0" collapsed="false">
      <c r="A2017" s="3" t="s">
        <v>331</v>
      </c>
      <c r="G2017" s="31" t="n">
        <f aca="false">IF(Assumptions!$I$57=1,MAX(G2004,Assumptions!$G$57)+Assumptions!$F$57+$C$2005,Assumptions!$E$57)</f>
        <v>0.0915</v>
      </c>
      <c r="H2017" s="31" t="n">
        <f aca="false">IF(G2324=1,$C$2006,IF(Assumptions!$I$57=1,MAX(H2004,Assumptions!$G$57)+Assumptions!$F$57+$C$2005,Assumptions!$E$57))</f>
        <v>0.09</v>
      </c>
      <c r="I2017" s="31" t="n">
        <f aca="false">IF(H2324=1,$C$2006,IF(Assumptions!$I$57=1,MAX(I2004,Assumptions!$G$57)+Assumptions!$F$57+$C$2005,Assumptions!$E$57))</f>
        <v>0.0875</v>
      </c>
      <c r="J2017" s="31" t="n">
        <f aca="false">IF(I2324=1,$C$2006,IF(Assumptions!$I$57=1,MAX(J2004,Assumptions!$G$57)+Assumptions!$F$57+$C$2005,Assumptions!$E$57))</f>
        <v>0.0875</v>
      </c>
      <c r="K2017" s="31" t="n">
        <f aca="false">IF(J2324=1,$C$2006,IF(Assumptions!$I$57=1,MAX(K2004,Assumptions!$G$57)+Assumptions!$F$57+$C$2005,Assumptions!$E$57))</f>
        <v>0.0875</v>
      </c>
    </row>
    <row r="2018" customFormat="false" ht="15" hidden="false" customHeight="false" outlineLevel="0" collapsed="false">
      <c r="A2018" s="3" t="s">
        <v>332</v>
      </c>
      <c r="G2018" s="16" t="n">
        <f aca="false">G2014*G2017</f>
        <v>36.6</v>
      </c>
      <c r="H2018" s="16" t="n">
        <f aca="false">H2014*H2017</f>
        <v>35.64</v>
      </c>
      <c r="I2018" s="16" t="n">
        <f aca="false">I2014*I2017</f>
        <v>34.3</v>
      </c>
      <c r="J2018" s="16" t="n">
        <f aca="false">J2014*J2017</f>
        <v>33.95</v>
      </c>
      <c r="K2018" s="16" t="n">
        <f aca="false">K2014*K2017</f>
        <v>33.6</v>
      </c>
    </row>
    <row r="2019" customFormat="false" ht="15" hidden="false" customHeight="false" outlineLevel="0" collapsed="false">
      <c r="A2019" s="3" t="s">
        <v>333</v>
      </c>
      <c r="G2019" s="16" t="n">
        <f aca="false">G2014*Assumptions!$H$57</f>
        <v>0</v>
      </c>
      <c r="H2019" s="16" t="n">
        <f aca="false">H2014*Assumptions!$H$57</f>
        <v>0</v>
      </c>
      <c r="I2019" s="16" t="n">
        <f aca="false">I2014*Assumptions!$H$57</f>
        <v>0</v>
      </c>
      <c r="J2019" s="16" t="n">
        <f aca="false">J2014*Assumptions!$H$57</f>
        <v>0</v>
      </c>
      <c r="K2019" s="16" t="n">
        <f aca="false">K2014*Assumptions!$H$57</f>
        <v>0</v>
      </c>
    </row>
    <row r="2020" customFormat="false" ht="15" hidden="false" customHeight="false" outlineLevel="0" collapsed="false">
      <c r="A2020" s="3" t="s">
        <v>334</v>
      </c>
      <c r="G2020" s="16" t="n">
        <f aca="false">MIN(G2014,Assumptions!$L$57*Assumptions!$C$57)</f>
        <v>4</v>
      </c>
      <c r="H2020" s="16" t="n">
        <f aca="false">MIN(H2014,Assumptions!$L$57*Assumptions!$C$57)</f>
        <v>4</v>
      </c>
      <c r="I2020" s="16" t="n">
        <f aca="false">MIN(I2014,Assumptions!$L$57*Assumptions!$C$57)</f>
        <v>4</v>
      </c>
      <c r="J2020" s="16" t="n">
        <f aca="false">MIN(J2014,Assumptions!$L$57*Assumptions!$C$57)</f>
        <v>4</v>
      </c>
      <c r="K2020" s="16" t="n">
        <f aca="false">MIN(K2014,Assumptions!$L$57*Assumptions!$C$57)</f>
        <v>4</v>
      </c>
    </row>
    <row r="2021" customFormat="false" ht="15" hidden="false" customHeight="false" outlineLevel="0" collapsed="false">
      <c r="A2021" s="3" t="s">
        <v>335</v>
      </c>
      <c r="G2021" s="16" t="n">
        <f aca="false">IF(AND(Assumptions!$P$57=1,G1978&lt;Assumptions!$K$57),MIN(MAX(0,-G2194),MAX(0,Assumptions!$D$57-G2014)),0)</f>
        <v>0</v>
      </c>
      <c r="H2021" s="16" t="n">
        <f aca="false">IF(AND(Assumptions!$P$57=1,OR(H1978&lt;Assumptions!$K$57,G2324=1)),MIN(MAX(0,-H2194),MAX(0,Assumptions!$D$57-H2014)),0)</f>
        <v>0</v>
      </c>
      <c r="I2021" s="16" t="n">
        <f aca="false">IF(AND(Assumptions!$P$57=1,OR(I1978&lt;Assumptions!$K$57,H2324=1)),MIN(MAX(0,-I2194),MAX(0,Assumptions!$D$57-I2014)),0)</f>
        <v>0</v>
      </c>
      <c r="J2021" s="16" t="n">
        <f aca="false">IF(AND(Assumptions!$P$57=1,OR(J1978&lt;Assumptions!$K$57,I2324=1)),MIN(MAX(0,-J2194),MAX(0,Assumptions!$D$57-J2014)),0)</f>
        <v>0</v>
      </c>
      <c r="K2021" s="16" t="n">
        <f aca="false">IF(AND(Assumptions!$P$57=1,OR(K1978&lt;Assumptions!$K$57,J2324=1)),MIN(MAX(0,-K2194),MAX(0,Assumptions!$D$57-K2014)),0)</f>
        <v>0</v>
      </c>
    </row>
    <row r="2022" customFormat="false" ht="15" hidden="false" customHeight="false" outlineLevel="0" collapsed="false">
      <c r="A2022" s="3" t="s">
        <v>336</v>
      </c>
      <c r="G2022" s="16" t="n">
        <f aca="false">G2015*MIN(G2014-G2020+G2019,MAX(0,G2196-Assumptions!$C$12*G2012))</f>
        <v>0</v>
      </c>
      <c r="H2022" s="16" t="n">
        <f aca="false">H2015*MIN(H2014-H2020+H2019,MAX(0,H2196-Assumptions!$C$12*H2012))</f>
        <v>0</v>
      </c>
      <c r="I2022" s="16" t="n">
        <f aca="false">I2015*MIN(I2014-I2020+I2019,MAX(0,I2196-Assumptions!$C$12*I2012))</f>
        <v>0</v>
      </c>
      <c r="J2022" s="16" t="n">
        <f aca="false">J2015*MIN(J2014-J2020+J2019,MAX(0,J2196-Assumptions!$C$12*J2012))</f>
        <v>0</v>
      </c>
      <c r="K2022" s="16" t="n">
        <f aca="false">K2015*MIN(K2014-K2020+K2019,MAX(0,K2196-Assumptions!$C$12*K2012))</f>
        <v>0</v>
      </c>
    </row>
    <row r="2023" customFormat="false" ht="15" hidden="false" customHeight="false" outlineLevel="0" collapsed="false">
      <c r="A2023" s="3" t="s">
        <v>337</v>
      </c>
      <c r="G2023" s="16" t="n">
        <f aca="false">Assumptions!$N$57*MIN(G2014+G2021+G2019-G2020-G2022,MAX(0,G2200))</f>
        <v>0</v>
      </c>
      <c r="H2023" s="16" t="n">
        <f aca="false">Assumptions!$N$57*MIN(H2014+H2021+H2019-H2020-H2022,MAX(0,H2200))</f>
        <v>0</v>
      </c>
      <c r="I2023" s="16" t="n">
        <f aca="false">Assumptions!$N$57*MIN(I2014+I2021+I2019-I2020-I2022,MAX(0,I2200))</f>
        <v>0</v>
      </c>
      <c r="J2023" s="16" t="n">
        <f aca="false">Assumptions!$N$57*MIN(J2014+J2021+J2019-J2020-J2022,MAX(0,J2200))</f>
        <v>0</v>
      </c>
      <c r="K2023" s="16" t="n">
        <f aca="false">Assumptions!$N$57*MIN(K2014+K2021+K2019-K2020-K2022,MAX(0,K2200))</f>
        <v>0</v>
      </c>
    </row>
    <row r="2024" customFormat="false" ht="15" hidden="false" customHeight="false" outlineLevel="0" collapsed="false">
      <c r="A2024" s="3" t="s">
        <v>338</v>
      </c>
      <c r="G2024" s="16" t="n">
        <f aca="false">G2015*(1-G2012)*(G2014-G2020+G2019-G2022)</f>
        <v>0</v>
      </c>
      <c r="H2024" s="16" t="n">
        <f aca="false">H2015*(1-H2012)*(H2014-H2020+H2019-H2022)</f>
        <v>0</v>
      </c>
      <c r="I2024" s="16" t="n">
        <f aca="false">I2015*(1-I2012)*(I2014-I2020+I2019-I2022)</f>
        <v>0</v>
      </c>
      <c r="J2024" s="16" t="n">
        <f aca="false">J2015*(1-J2012)*(J2014-J2020+J2019-J2022)</f>
        <v>0</v>
      </c>
      <c r="K2024" s="16" t="n">
        <f aca="false">K2015*(1-K2012)*(K2014-K2020+K2019-K2022)</f>
        <v>380</v>
      </c>
    </row>
    <row r="2025" customFormat="false" ht="15" hidden="false" customHeight="false" outlineLevel="0" collapsed="false">
      <c r="A2025" s="2" t="s">
        <v>339</v>
      </c>
      <c r="F2025" s="28" t="n">
        <f aca="false">Assumptions!$C$57</f>
        <v>400</v>
      </c>
      <c r="G2025" s="17" t="n">
        <f aca="false">G2014+G2021+G2019-G2020-G2022-G2023</f>
        <v>396</v>
      </c>
      <c r="H2025" s="17" t="n">
        <f aca="false">H2014+H2021+H2019-H2020-H2022-H2023</f>
        <v>392</v>
      </c>
      <c r="I2025" s="17" t="n">
        <f aca="false">I2014+I2021+I2019-I2020-I2022-I2023</f>
        <v>388</v>
      </c>
      <c r="J2025" s="17" t="n">
        <f aca="false">J2014+J2021+J2019-J2020-J2022-J2023</f>
        <v>384</v>
      </c>
      <c r="K2025" s="17" t="n">
        <f aca="false">K2014+K2021+K2019-K2020-K2022-K2023</f>
        <v>380</v>
      </c>
    </row>
    <row r="2026" customFormat="false" ht="15" hidden="false" customHeight="false" outlineLevel="0" collapsed="false">
      <c r="A2026" s="24" t="s">
        <v>340</v>
      </c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</row>
    <row r="2027" customFormat="false" ht="15" hidden="false" customHeight="false" outlineLevel="0" collapsed="false">
      <c r="A2027" s="3" t="s">
        <v>329</v>
      </c>
      <c r="G2027" s="16" t="n">
        <f aca="false">F2038</f>
        <v>90</v>
      </c>
      <c r="H2027" s="16" t="n">
        <f aca="false">G2038</f>
        <v>90</v>
      </c>
      <c r="I2027" s="16" t="n">
        <f aca="false">H2038</f>
        <v>90</v>
      </c>
      <c r="J2027" s="16" t="n">
        <f aca="false">I2038</f>
        <v>90</v>
      </c>
      <c r="K2027" s="16" t="n">
        <f aca="false">J2038</f>
        <v>90</v>
      </c>
    </row>
    <row r="2028" customFormat="false" ht="15" hidden="false" customHeight="false" outlineLevel="0" collapsed="false">
      <c r="A2028" s="3" t="s">
        <v>330</v>
      </c>
      <c r="G2028" s="21" t="n">
        <f aca="false">IF(G1978=Assumptions!$K$58,1,0)</f>
        <v>0</v>
      </c>
      <c r="H2028" s="21" t="n">
        <f aca="false">IF(H1978=Assumptions!$K$58,1,0)</f>
        <v>0</v>
      </c>
      <c r="I2028" s="21" t="n">
        <f aca="false">IF(I1978=Assumptions!$K$58,1,0)</f>
        <v>0</v>
      </c>
      <c r="J2028" s="21" t="n">
        <f aca="false">IF(J1978=Assumptions!$K$58,1,0)</f>
        <v>0</v>
      </c>
      <c r="K2028" s="21" t="n">
        <f aca="false">IF(K1978=Assumptions!$K$58,1,0)</f>
        <v>0</v>
      </c>
    </row>
    <row r="2030" customFormat="false" ht="15" hidden="false" customHeight="false" outlineLevel="0" collapsed="false">
      <c r="A2030" s="3" t="s">
        <v>331</v>
      </c>
      <c r="G2030" s="31" t="n">
        <f aca="false">IF(Assumptions!$I$58=1,MAX(G2004,Assumptions!$G$58)+Assumptions!$F$58+$C$2005,Assumptions!$E$58)</f>
        <v>0.0581</v>
      </c>
      <c r="H2030" s="31" t="n">
        <f aca="false">IF(G2325=1,$C$2006,IF(Assumptions!$I$58=1,MAX(H2004,Assumptions!$G$58)+Assumptions!$F$58+$C$2005,Assumptions!$E$58))</f>
        <v>0.0581</v>
      </c>
      <c r="I2030" s="31" t="n">
        <f aca="false">IF(H2325=1,$C$2006,IF(Assumptions!$I$58=1,MAX(I2004,Assumptions!$G$58)+Assumptions!$F$58+$C$2005,Assumptions!$E$58))</f>
        <v>0.0581</v>
      </c>
      <c r="J2030" s="31" t="n">
        <f aca="false">IF(I2325=1,$C$2006,IF(Assumptions!$I$58=1,MAX(J2004,Assumptions!$G$58)+Assumptions!$F$58+$C$2005,Assumptions!$E$58))</f>
        <v>0.0581</v>
      </c>
      <c r="K2030" s="31" t="n">
        <f aca="false">IF(J2325=1,$C$2006,IF(Assumptions!$I$58=1,MAX(K2004,Assumptions!$G$58)+Assumptions!$F$58+$C$2005,Assumptions!$E$58))</f>
        <v>0.0581</v>
      </c>
    </row>
    <row r="2031" customFormat="false" ht="15" hidden="false" customHeight="false" outlineLevel="0" collapsed="false">
      <c r="A2031" s="3" t="s">
        <v>332</v>
      </c>
      <c r="G2031" s="16" t="n">
        <f aca="false">G2027*G2030</f>
        <v>5.229</v>
      </c>
      <c r="H2031" s="16" t="n">
        <f aca="false">H2027*H2030</f>
        <v>5.229</v>
      </c>
      <c r="I2031" s="16" t="n">
        <f aca="false">I2027*I2030</f>
        <v>5.229</v>
      </c>
      <c r="J2031" s="16" t="n">
        <f aca="false">J2027*J2030</f>
        <v>5.229</v>
      </c>
      <c r="K2031" s="16" t="n">
        <f aca="false">K2027*K2030</f>
        <v>5.229</v>
      </c>
    </row>
    <row r="2032" customFormat="false" ht="15" hidden="false" customHeight="false" outlineLevel="0" collapsed="false">
      <c r="A2032" s="3" t="s">
        <v>333</v>
      </c>
      <c r="G2032" s="16" t="n">
        <f aca="false">G2027*Assumptions!$H$58</f>
        <v>0</v>
      </c>
      <c r="H2032" s="16" t="n">
        <f aca="false">H2027*Assumptions!$H$58</f>
        <v>0</v>
      </c>
      <c r="I2032" s="16" t="n">
        <f aca="false">I2027*Assumptions!$H$58</f>
        <v>0</v>
      </c>
      <c r="J2032" s="16" t="n">
        <f aca="false">J2027*Assumptions!$H$58</f>
        <v>0</v>
      </c>
      <c r="K2032" s="16" t="n">
        <f aca="false">K2027*Assumptions!$H$58</f>
        <v>0</v>
      </c>
    </row>
    <row r="2033" customFormat="false" ht="15" hidden="false" customHeight="false" outlineLevel="0" collapsed="false">
      <c r="A2033" s="3" t="s">
        <v>334</v>
      </c>
      <c r="G2033" s="16" t="n">
        <f aca="false">MIN(G2027,Assumptions!$L$58*Assumptions!$C$58)</f>
        <v>0</v>
      </c>
      <c r="H2033" s="16" t="n">
        <f aca="false">MIN(H2027,Assumptions!$L$58*Assumptions!$C$58)</f>
        <v>0</v>
      </c>
      <c r="I2033" s="16" t="n">
        <f aca="false">MIN(I2027,Assumptions!$L$58*Assumptions!$C$58)</f>
        <v>0</v>
      </c>
      <c r="J2033" s="16" t="n">
        <f aca="false">MIN(J2027,Assumptions!$L$58*Assumptions!$C$58)</f>
        <v>0</v>
      </c>
      <c r="K2033" s="16" t="n">
        <f aca="false">MIN(K2027,Assumptions!$L$58*Assumptions!$C$58)</f>
        <v>0</v>
      </c>
    </row>
    <row r="2034" customFormat="false" ht="15" hidden="false" customHeight="false" outlineLevel="0" collapsed="false">
      <c r="A2034" s="3" t="s">
        <v>335</v>
      </c>
      <c r="G2034" s="16" t="n">
        <f aca="false">IF(AND(Assumptions!$P$58=1,G1978&lt;Assumptions!$K$58),MIN(MAX(0,-G2194),MAX(0,Assumptions!$D$58-G2027)),0)</f>
        <v>0</v>
      </c>
      <c r="H2034" s="16" t="n">
        <f aca="false">IF(AND(Assumptions!$P$58=1,OR(H1978&lt;Assumptions!$K$58,G2325=1)),MIN(MAX(0,-H2194),MAX(0,Assumptions!$D$58-H2027)),0)</f>
        <v>0</v>
      </c>
      <c r="I2034" s="16" t="n">
        <f aca="false">IF(AND(Assumptions!$P$58=1,OR(I1978&lt;Assumptions!$K$58,H2325=1)),MIN(MAX(0,-I2194),MAX(0,Assumptions!$D$58-I2027)),0)</f>
        <v>0</v>
      </c>
      <c r="J2034" s="16" t="n">
        <f aca="false">IF(AND(Assumptions!$P$58=1,OR(J1978&lt;Assumptions!$K$58,I2325=1)),MIN(MAX(0,-J2194),MAX(0,Assumptions!$D$58-J2027)),0)</f>
        <v>0</v>
      </c>
      <c r="K2034" s="16" t="n">
        <f aca="false">IF(AND(Assumptions!$P$58=1,OR(K1978&lt;Assumptions!$K$58,J2325=1)),MIN(MAX(0,-K2194),MAX(0,Assumptions!$D$58-K2027)),0)</f>
        <v>0</v>
      </c>
    </row>
    <row r="2035" customFormat="false" ht="15" hidden="false" customHeight="false" outlineLevel="0" collapsed="false">
      <c r="A2035" s="3" t="s">
        <v>336</v>
      </c>
      <c r="G2035" s="16" t="n">
        <f aca="false">G2028*MIN(G2027-G2033+G2032,MAX(0,G2196-Assumptions!$C$12*G2012-G2022))</f>
        <v>0</v>
      </c>
      <c r="H2035" s="16" t="n">
        <f aca="false">H2028*MIN(H2027-H2033+H2032,MAX(0,H2196-Assumptions!$C$12*H2012-H2022))</f>
        <v>0</v>
      </c>
      <c r="I2035" s="16" t="n">
        <f aca="false">I2028*MIN(I2027-I2033+I2032,MAX(0,I2196-Assumptions!$C$12*I2012-I2022))</f>
        <v>0</v>
      </c>
      <c r="J2035" s="16" t="n">
        <f aca="false">J2028*MIN(J2027-J2033+J2032,MAX(0,J2196-Assumptions!$C$12*J2012-J2022))</f>
        <v>0</v>
      </c>
      <c r="K2035" s="16" t="n">
        <f aca="false">K2028*MIN(K2027-K2033+K2032,MAX(0,K2196-Assumptions!$C$12*K2012-K2022))</f>
        <v>0</v>
      </c>
    </row>
    <row r="2036" customFormat="false" ht="15" hidden="false" customHeight="false" outlineLevel="0" collapsed="false">
      <c r="A2036" s="3" t="s">
        <v>337</v>
      </c>
      <c r="G2036" s="16" t="n">
        <f aca="false">Assumptions!$N$58*MIN(G2027+G2034+G2032-G2033-G2035,MAX(0,G2200-G2023))</f>
        <v>0</v>
      </c>
      <c r="H2036" s="16" t="n">
        <f aca="false">Assumptions!$N$58*MIN(H2027+H2034+H2032-H2033-H2035,MAX(0,H2200-H2023))</f>
        <v>0</v>
      </c>
      <c r="I2036" s="16" t="n">
        <f aca="false">Assumptions!$N$58*MIN(I2027+I2034+I2032-I2033-I2035,MAX(0,I2200-I2023))</f>
        <v>0</v>
      </c>
      <c r="J2036" s="16" t="n">
        <f aca="false">Assumptions!$N$58*MIN(J2027+J2034+J2032-J2033-J2035,MAX(0,J2200-J2023))</f>
        <v>0</v>
      </c>
      <c r="K2036" s="16" t="n">
        <f aca="false">Assumptions!$N$58*MIN(K2027+K2034+K2032-K2033-K2035,MAX(0,K2200-K2023))</f>
        <v>0</v>
      </c>
    </row>
    <row r="2037" customFormat="false" ht="15" hidden="false" customHeight="false" outlineLevel="0" collapsed="false">
      <c r="A2037" s="3" t="s">
        <v>338</v>
      </c>
      <c r="G2037" s="16" t="n">
        <f aca="false">G2028*(1-G2012)*(G2027-G2033+G2032-G2035)</f>
        <v>0</v>
      </c>
      <c r="H2037" s="16" t="n">
        <f aca="false">H2028*(1-H2012)*(H2027-H2033+H2032-H2035)</f>
        <v>0</v>
      </c>
      <c r="I2037" s="16" t="n">
        <f aca="false">I2028*(1-I2012)*(I2027-I2033+I2032-I2035)</f>
        <v>0</v>
      </c>
      <c r="J2037" s="16" t="n">
        <f aca="false">J2028*(1-J2012)*(J2027-J2033+J2032-J2035)</f>
        <v>0</v>
      </c>
      <c r="K2037" s="16" t="n">
        <f aca="false">K2028*(1-K2012)*(K2027-K2033+K2032-K2035)</f>
        <v>0</v>
      </c>
    </row>
    <row r="2038" customFormat="false" ht="15" hidden="false" customHeight="false" outlineLevel="0" collapsed="false">
      <c r="A2038" s="2" t="s">
        <v>339</v>
      </c>
      <c r="F2038" s="28" t="n">
        <f aca="false">Assumptions!$C$58</f>
        <v>90</v>
      </c>
      <c r="G2038" s="17" t="n">
        <f aca="false">G2027+G2034+G2032-G2033-G2035-G2036</f>
        <v>90</v>
      </c>
      <c r="H2038" s="17" t="n">
        <f aca="false">H2027+H2034+H2032-H2033-H2035-H2036</f>
        <v>90</v>
      </c>
      <c r="I2038" s="17" t="n">
        <f aca="false">I2027+I2034+I2032-I2033-I2035-I2036</f>
        <v>90</v>
      </c>
      <c r="J2038" s="17" t="n">
        <f aca="false">J2027+J2034+J2032-J2033-J2035-J2036</f>
        <v>90</v>
      </c>
      <c r="K2038" s="17" t="n">
        <f aca="false">K2027+K2034+K2032-K2033-K2035-K2036</f>
        <v>90</v>
      </c>
    </row>
    <row r="2039" customFormat="false" ht="15" hidden="false" customHeight="false" outlineLevel="0" collapsed="false">
      <c r="A2039" s="24" t="s">
        <v>341</v>
      </c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</row>
    <row r="2040" customFormat="false" ht="15" hidden="false" customHeight="false" outlineLevel="0" collapsed="false">
      <c r="A2040" s="3" t="s">
        <v>329</v>
      </c>
      <c r="G2040" s="16" t="n">
        <f aca="false">F2051</f>
        <v>57.324</v>
      </c>
      <c r="H2040" s="16" t="n">
        <f aca="false">G2051</f>
        <v>57.324</v>
      </c>
      <c r="I2040" s="16" t="n">
        <f aca="false">H2051</f>
        <v>57.324</v>
      </c>
      <c r="J2040" s="16" t="n">
        <f aca="false">I2051</f>
        <v>57.324</v>
      </c>
      <c r="K2040" s="16" t="n">
        <f aca="false">J2051</f>
        <v>57.324</v>
      </c>
    </row>
    <row r="2041" customFormat="false" ht="15" hidden="false" customHeight="false" outlineLevel="0" collapsed="false">
      <c r="A2041" s="3" t="s">
        <v>330</v>
      </c>
      <c r="G2041" s="21" t="n">
        <f aca="false">IF(G1978=Assumptions!$K$59,1,0)</f>
        <v>0</v>
      </c>
      <c r="H2041" s="21" t="n">
        <f aca="false">IF(H1978=Assumptions!$K$59,1,0)</f>
        <v>0</v>
      </c>
      <c r="I2041" s="21" t="n">
        <f aca="false">IF(I1978=Assumptions!$K$59,1,0)</f>
        <v>0</v>
      </c>
      <c r="J2041" s="21" t="n">
        <f aca="false">IF(J1978=Assumptions!$K$59,1,0)</f>
        <v>0</v>
      </c>
      <c r="K2041" s="21" t="n">
        <f aca="false">IF(K1978=Assumptions!$K$59,1,0)</f>
        <v>0</v>
      </c>
    </row>
    <row r="2043" customFormat="false" ht="15" hidden="false" customHeight="false" outlineLevel="0" collapsed="false">
      <c r="A2043" s="3" t="s">
        <v>331</v>
      </c>
      <c r="G2043" s="31" t="n">
        <f aca="false">IF(Assumptions!$I$59=1,MAX(G2004,Assumptions!$G$59)+Assumptions!$F$59+$C$2005,Assumptions!$E$59)</f>
        <v>0.0731</v>
      </c>
      <c r="H2043" s="31" t="n">
        <f aca="false">IF(G2326=1,$C$2006,IF(Assumptions!$I$59=1,MAX(H2004,Assumptions!$G$59)+Assumptions!$F$59+$C$2005,Assumptions!$E$59))</f>
        <v>0.0731</v>
      </c>
      <c r="I2043" s="31" t="n">
        <f aca="false">IF(H2326=1,$C$2006,IF(Assumptions!$I$59=1,MAX(I2004,Assumptions!$G$59)+Assumptions!$F$59+$C$2005,Assumptions!$E$59))</f>
        <v>0.0731</v>
      </c>
      <c r="J2043" s="31" t="n">
        <f aca="false">IF(I2326=1,$C$2006,IF(Assumptions!$I$59=1,MAX(J2004,Assumptions!$G$59)+Assumptions!$F$59+$C$2005,Assumptions!$E$59))</f>
        <v>0.0731</v>
      </c>
      <c r="K2043" s="31" t="n">
        <f aca="false">IF(J2326=1,$C$2006,IF(Assumptions!$I$59=1,MAX(K2004,Assumptions!$G$59)+Assumptions!$F$59+$C$2005,Assumptions!$E$59))</f>
        <v>0.0731</v>
      </c>
    </row>
    <row r="2044" customFormat="false" ht="15" hidden="false" customHeight="false" outlineLevel="0" collapsed="false">
      <c r="A2044" s="3" t="s">
        <v>332</v>
      </c>
      <c r="G2044" s="16" t="n">
        <f aca="false">G2040*G2043</f>
        <v>4.1903844</v>
      </c>
      <c r="H2044" s="16" t="n">
        <f aca="false">H2040*H2043</f>
        <v>4.1903844</v>
      </c>
      <c r="I2044" s="16" t="n">
        <f aca="false">I2040*I2043</f>
        <v>4.1903844</v>
      </c>
      <c r="J2044" s="16" t="n">
        <f aca="false">J2040*J2043</f>
        <v>4.1903844</v>
      </c>
      <c r="K2044" s="16" t="n">
        <f aca="false">K2040*K2043</f>
        <v>4.1903844</v>
      </c>
    </row>
    <row r="2045" customFormat="false" ht="15" hidden="false" customHeight="false" outlineLevel="0" collapsed="false">
      <c r="A2045" s="3" t="s">
        <v>333</v>
      </c>
      <c r="G2045" s="16" t="n">
        <f aca="false">G2040*Assumptions!$H$59</f>
        <v>0</v>
      </c>
      <c r="H2045" s="16" t="n">
        <f aca="false">H2040*Assumptions!$H$59</f>
        <v>0</v>
      </c>
      <c r="I2045" s="16" t="n">
        <f aca="false">I2040*Assumptions!$H$59</f>
        <v>0</v>
      </c>
      <c r="J2045" s="16" t="n">
        <f aca="false">J2040*Assumptions!$H$59</f>
        <v>0</v>
      </c>
      <c r="K2045" s="16" t="n">
        <f aca="false">K2040*Assumptions!$H$59</f>
        <v>0</v>
      </c>
    </row>
    <row r="2046" customFormat="false" ht="15" hidden="false" customHeight="false" outlineLevel="0" collapsed="false">
      <c r="A2046" s="3" t="s">
        <v>334</v>
      </c>
      <c r="G2046" s="16" t="n">
        <f aca="false">MIN(G2040,Assumptions!$L$59*Assumptions!$C$59)</f>
        <v>0</v>
      </c>
      <c r="H2046" s="16" t="n">
        <f aca="false">MIN(H2040,Assumptions!$L$59*Assumptions!$C$59)</f>
        <v>0</v>
      </c>
      <c r="I2046" s="16" t="n">
        <f aca="false">MIN(I2040,Assumptions!$L$59*Assumptions!$C$59)</f>
        <v>0</v>
      </c>
      <c r="J2046" s="16" t="n">
        <f aca="false">MIN(J2040,Assumptions!$L$59*Assumptions!$C$59)</f>
        <v>0</v>
      </c>
      <c r="K2046" s="16" t="n">
        <f aca="false">MIN(K2040,Assumptions!$L$59*Assumptions!$C$59)</f>
        <v>0</v>
      </c>
    </row>
    <row r="2047" customFormat="false" ht="15" hidden="false" customHeight="false" outlineLevel="0" collapsed="false">
      <c r="A2047" s="3" t="s">
        <v>335</v>
      </c>
      <c r="G2047" s="16" t="n">
        <f aca="false">IF(AND(Assumptions!$P$59=1,G1978&lt;Assumptions!$K$59),MIN(MAX(0,-G2194),MAX(0,Assumptions!$D$59-G2040)),0)</f>
        <v>0</v>
      </c>
      <c r="H2047" s="16" t="n">
        <f aca="false">IF(AND(Assumptions!$P$59=1,OR(H1978&lt;Assumptions!$K$59,G2326=1)),MIN(MAX(0,-H2194),MAX(0,Assumptions!$D$59-H2040)),0)</f>
        <v>0</v>
      </c>
      <c r="I2047" s="16" t="n">
        <f aca="false">IF(AND(Assumptions!$P$59=1,OR(I1978&lt;Assumptions!$K$59,H2326=1)),MIN(MAX(0,-I2194),MAX(0,Assumptions!$D$59-I2040)),0)</f>
        <v>0</v>
      </c>
      <c r="J2047" s="16" t="n">
        <f aca="false">IF(AND(Assumptions!$P$59=1,OR(J1978&lt;Assumptions!$K$59,I2326=1)),MIN(MAX(0,-J2194),MAX(0,Assumptions!$D$59-J2040)),0)</f>
        <v>0</v>
      </c>
      <c r="K2047" s="16" t="n">
        <f aca="false">IF(AND(Assumptions!$P$59=1,OR(K1978&lt;Assumptions!$K$59,J2326=1)),MIN(MAX(0,-K2194),MAX(0,Assumptions!$D$59-K2040)),0)</f>
        <v>0</v>
      </c>
    </row>
    <row r="2048" customFormat="false" ht="15" hidden="false" customHeight="false" outlineLevel="0" collapsed="false">
      <c r="A2048" s="3" t="s">
        <v>336</v>
      </c>
      <c r="G2048" s="16" t="n">
        <f aca="false">G2041*MIN(G2040-G2046+G2045,MAX(0,G2196-Assumptions!$C$12*G2012-G2022-G2035))</f>
        <v>0</v>
      </c>
      <c r="H2048" s="16" t="n">
        <f aca="false">H2041*MIN(H2040-H2046+H2045,MAX(0,H2196-Assumptions!$C$12*H2012-H2022-H2035))</f>
        <v>0</v>
      </c>
      <c r="I2048" s="16" t="n">
        <f aca="false">I2041*MIN(I2040-I2046+I2045,MAX(0,I2196-Assumptions!$C$12*I2012-I2022-I2035))</f>
        <v>0</v>
      </c>
      <c r="J2048" s="16" t="n">
        <f aca="false">J2041*MIN(J2040-J2046+J2045,MAX(0,J2196-Assumptions!$C$12*J2012-J2022-J2035))</f>
        <v>0</v>
      </c>
      <c r="K2048" s="16" t="n">
        <f aca="false">K2041*MIN(K2040-K2046+K2045,MAX(0,K2196-Assumptions!$C$12*K2012-K2022-K2035))</f>
        <v>0</v>
      </c>
    </row>
    <row r="2049" customFormat="false" ht="15" hidden="false" customHeight="false" outlineLevel="0" collapsed="false">
      <c r="A2049" s="3" t="s">
        <v>337</v>
      </c>
      <c r="G2049" s="16" t="n">
        <f aca="false">Assumptions!$N$59*MIN(G2040+G2047+G2045-G2046-G2048,MAX(0,G2200-G2023-G2036))</f>
        <v>0</v>
      </c>
      <c r="H2049" s="16" t="n">
        <f aca="false">Assumptions!$N$59*MIN(H2040+H2047+H2045-H2046-H2048,MAX(0,H2200-H2023-H2036))</f>
        <v>0</v>
      </c>
      <c r="I2049" s="16" t="n">
        <f aca="false">Assumptions!$N$59*MIN(I2040+I2047+I2045-I2046-I2048,MAX(0,I2200-I2023-I2036))</f>
        <v>0</v>
      </c>
      <c r="J2049" s="16" t="n">
        <f aca="false">Assumptions!$N$59*MIN(J2040+J2047+J2045-J2046-J2048,MAX(0,J2200-J2023-J2036))</f>
        <v>0</v>
      </c>
      <c r="K2049" s="16" t="n">
        <f aca="false">Assumptions!$N$59*MIN(K2040+K2047+K2045-K2046-K2048,MAX(0,K2200-K2023-K2036))</f>
        <v>0</v>
      </c>
    </row>
    <row r="2050" customFormat="false" ht="15" hidden="false" customHeight="false" outlineLevel="0" collapsed="false">
      <c r="A2050" s="3" t="s">
        <v>338</v>
      </c>
      <c r="G2050" s="16" t="n">
        <f aca="false">G2041*(1-G2012)*(G2040-G2046+G2045-G2048)</f>
        <v>0</v>
      </c>
      <c r="H2050" s="16" t="n">
        <f aca="false">H2041*(1-H2012)*(H2040-H2046+H2045-H2048)</f>
        <v>0</v>
      </c>
      <c r="I2050" s="16" t="n">
        <f aca="false">I2041*(1-I2012)*(I2040-I2046+I2045-I2048)</f>
        <v>0</v>
      </c>
      <c r="J2050" s="16" t="n">
        <f aca="false">J2041*(1-J2012)*(J2040-J2046+J2045-J2048)</f>
        <v>0</v>
      </c>
      <c r="K2050" s="16" t="n">
        <f aca="false">K2041*(1-K2012)*(K2040-K2046+K2045-K2048)</f>
        <v>0</v>
      </c>
    </row>
    <row r="2051" customFormat="false" ht="15" hidden="false" customHeight="false" outlineLevel="0" collapsed="false">
      <c r="A2051" s="2" t="s">
        <v>339</v>
      </c>
      <c r="F2051" s="28" t="n">
        <f aca="false">Assumptions!$C$59</f>
        <v>57.324</v>
      </c>
      <c r="G2051" s="17" t="n">
        <f aca="false">G2040+G2047+G2045-G2046-G2048-G2049</f>
        <v>57.324</v>
      </c>
      <c r="H2051" s="17" t="n">
        <f aca="false">H2040+H2047+H2045-H2046-H2048-H2049</f>
        <v>57.324</v>
      </c>
      <c r="I2051" s="17" t="n">
        <f aca="false">I2040+I2047+I2045-I2046-I2048-I2049</f>
        <v>57.324</v>
      </c>
      <c r="J2051" s="17" t="n">
        <f aca="false">J2040+J2047+J2045-J2046-J2048-J2049</f>
        <v>57.324</v>
      </c>
      <c r="K2051" s="17" t="n">
        <f aca="false">K2040+K2047+K2045-K2046-K2048-K2049</f>
        <v>57.324</v>
      </c>
    </row>
    <row r="2052" customFormat="false" ht="15" hidden="false" customHeight="false" outlineLevel="0" collapsed="false">
      <c r="A2052" s="24" t="s">
        <v>342</v>
      </c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</row>
    <row r="2053" customFormat="false" ht="15" hidden="false" customHeight="false" outlineLevel="0" collapsed="false">
      <c r="A2053" s="3" t="s">
        <v>329</v>
      </c>
      <c r="G2053" s="16" t="n">
        <f aca="false">F2064</f>
        <v>0</v>
      </c>
      <c r="H2053" s="16" t="n">
        <f aca="false">G2064</f>
        <v>0</v>
      </c>
      <c r="I2053" s="16" t="n">
        <f aca="false">H2064</f>
        <v>0</v>
      </c>
      <c r="J2053" s="16" t="n">
        <f aca="false">I2064</f>
        <v>90.036038523656</v>
      </c>
      <c r="K2053" s="16" t="n">
        <f aca="false">J2064</f>
        <v>204.41708069349</v>
      </c>
    </row>
    <row r="2054" customFormat="false" ht="15" hidden="false" customHeight="false" outlineLevel="0" collapsed="false">
      <c r="A2054" s="3" t="s">
        <v>330</v>
      </c>
      <c r="G2054" s="21" t="n">
        <f aca="false">IF(G1978=Assumptions!$K$60,1,0)</f>
        <v>1</v>
      </c>
      <c r="H2054" s="21" t="n">
        <f aca="false">IF(H1978=Assumptions!$K$60,1,0)</f>
        <v>0</v>
      </c>
      <c r="I2054" s="21" t="n">
        <f aca="false">IF(I1978=Assumptions!$K$60,1,0)</f>
        <v>0</v>
      </c>
      <c r="J2054" s="21" t="n">
        <f aca="false">IF(J1978=Assumptions!$K$60,1,0)</f>
        <v>0</v>
      </c>
      <c r="K2054" s="21" t="n">
        <f aca="false">IF(K1978=Assumptions!$K$60,1,0)</f>
        <v>0</v>
      </c>
    </row>
    <row r="2056" customFormat="false" ht="15" hidden="false" customHeight="false" outlineLevel="0" collapsed="false">
      <c r="A2056" s="3" t="s">
        <v>331</v>
      </c>
      <c r="G2056" s="31" t="n">
        <f aca="false">IF(Assumptions!$I$60=1,MAX(G2004,Assumptions!$G$60)+Assumptions!$F$60+$C$2005,Assumptions!$E$60)</f>
        <v>0.054</v>
      </c>
      <c r="H2056" s="31" t="n">
        <f aca="false">IF(G2327=1,$C$2006,IF(Assumptions!$I$60=1,MAX(H2004,Assumptions!$G$60)+Assumptions!$F$60+$C$2005,Assumptions!$E$60))</f>
        <v>0.08</v>
      </c>
      <c r="I2056" s="31" t="n">
        <f aca="false">IF(H2327=1,$C$2006,IF(Assumptions!$I$60=1,MAX(I2004,Assumptions!$G$60)+Assumptions!$F$60+$C$2005,Assumptions!$E$60))</f>
        <v>0.08</v>
      </c>
      <c r="J2056" s="31" t="n">
        <f aca="false">IF(I2327=1,$C$2006,IF(Assumptions!$I$60=1,MAX(J2004,Assumptions!$G$60)+Assumptions!$F$60+$C$2005,Assumptions!$E$60))</f>
        <v>0.08</v>
      </c>
      <c r="K2056" s="31" t="n">
        <f aca="false">IF(J2327=1,$C$2006,IF(Assumptions!$I$60=1,MAX(K2004,Assumptions!$G$60)+Assumptions!$F$60+$C$2005,Assumptions!$E$60))</f>
        <v>0.08</v>
      </c>
    </row>
    <row r="2057" customFormat="false" ht="15" hidden="false" customHeight="false" outlineLevel="0" collapsed="false">
      <c r="A2057" s="3" t="s">
        <v>332</v>
      </c>
      <c r="G2057" s="16" t="n">
        <f aca="false">G2053*G2056</f>
        <v>0</v>
      </c>
      <c r="H2057" s="16" t="n">
        <f aca="false">H2053*H2056</f>
        <v>0</v>
      </c>
      <c r="I2057" s="16" t="n">
        <f aca="false">I2053*I2056</f>
        <v>0</v>
      </c>
      <c r="J2057" s="16" t="n">
        <f aca="false">J2053*J2056</f>
        <v>7.20288308189248</v>
      </c>
      <c r="K2057" s="16" t="n">
        <f aca="false">K2053*K2056</f>
        <v>16.3533664554792</v>
      </c>
    </row>
    <row r="2058" customFormat="false" ht="15" hidden="false" customHeight="false" outlineLevel="0" collapsed="false">
      <c r="A2058" s="3" t="s">
        <v>333</v>
      </c>
      <c r="G2058" s="16" t="n">
        <f aca="false">G2053*Assumptions!$H$60</f>
        <v>0</v>
      </c>
      <c r="H2058" s="16" t="n">
        <f aca="false">H2053*Assumptions!$H$60</f>
        <v>0</v>
      </c>
      <c r="I2058" s="16" t="n">
        <f aca="false">I2053*Assumptions!$H$60</f>
        <v>0</v>
      </c>
      <c r="J2058" s="16" t="n">
        <f aca="false">J2053*Assumptions!$H$60</f>
        <v>0</v>
      </c>
      <c r="K2058" s="16" t="n">
        <f aca="false">K2053*Assumptions!$H$60</f>
        <v>0</v>
      </c>
    </row>
    <row r="2059" customFormat="false" ht="15" hidden="false" customHeight="false" outlineLevel="0" collapsed="false">
      <c r="A2059" s="3" t="s">
        <v>334</v>
      </c>
      <c r="G2059" s="16" t="n">
        <f aca="false">MIN(G2053,Assumptions!$L$60*Assumptions!$C$60)</f>
        <v>0</v>
      </c>
      <c r="H2059" s="16" t="n">
        <f aca="false">MIN(H2053,Assumptions!$L$60*Assumptions!$C$60)</f>
        <v>0</v>
      </c>
      <c r="I2059" s="16" t="n">
        <f aca="false">MIN(I2053,Assumptions!$L$60*Assumptions!$C$60)</f>
        <v>0</v>
      </c>
      <c r="J2059" s="16" t="n">
        <f aca="false">MIN(J2053,Assumptions!$L$60*Assumptions!$C$60)</f>
        <v>0</v>
      </c>
      <c r="K2059" s="16" t="n">
        <f aca="false">MIN(K2053,Assumptions!$L$60*Assumptions!$C$60)</f>
        <v>0</v>
      </c>
    </row>
    <row r="2060" customFormat="false" ht="15" hidden="false" customHeight="false" outlineLevel="0" collapsed="false">
      <c r="A2060" s="3" t="s">
        <v>335</v>
      </c>
      <c r="G2060" s="16" t="n">
        <f aca="false">IF(AND(Assumptions!$P$60=1,G1978&lt;Assumptions!$K$60),MIN(MAX(0,-G2194),MAX(0,Assumptions!$D$60-G2053)),0)</f>
        <v>0</v>
      </c>
      <c r="H2060" s="16" t="n">
        <f aca="false">IF(AND(Assumptions!$P$60=1,OR(H1978&lt;Assumptions!$K$60,G2327=1)),MIN(MAX(0,-H2194),MAX(0,Assumptions!$D$60-H2053)),0)</f>
        <v>0</v>
      </c>
      <c r="I2060" s="16" t="n">
        <f aca="false">IF(AND(Assumptions!$P$60=1,OR(I1978&lt;Assumptions!$K$60,H2327=1)),MIN(MAX(0,-I2194),MAX(0,Assumptions!$D$60-I2053)),0)</f>
        <v>90.036038523656</v>
      </c>
      <c r="J2060" s="16" t="n">
        <f aca="false">IF(AND(Assumptions!$P$60=1,OR(J1978&lt;Assumptions!$K$60,I2327=1)),MIN(MAX(0,-J2194),MAX(0,Assumptions!$D$60-J2053)),0)</f>
        <v>114.381042169834</v>
      </c>
      <c r="K2060" s="16" t="n">
        <f aca="false">IF(AND(Assumptions!$P$60=1,OR(K1978&lt;Assumptions!$K$60,J2327=1)),MIN(MAX(0,-K2194),MAX(0,Assumptions!$D$60-K2053)),0)</f>
        <v>132.486721451645</v>
      </c>
    </row>
    <row r="2061" customFormat="false" ht="15" hidden="false" customHeight="false" outlineLevel="0" collapsed="false">
      <c r="A2061" s="3" t="s">
        <v>336</v>
      </c>
      <c r="G2061" s="16" t="n">
        <f aca="false">G2054*MIN(G2053-G2059+G2058,MAX(0,G2196-Assumptions!$C$12*G2012-G2022-G2035-G2048))</f>
        <v>0</v>
      </c>
      <c r="H2061" s="16" t="n">
        <f aca="false">H2054*MIN(H2053-H2059+H2058,MAX(0,H2196-Assumptions!$C$12*H2012-H2022-H2035-H2048))</f>
        <v>0</v>
      </c>
      <c r="I2061" s="16" t="n">
        <f aca="false">I2054*MIN(I2053-I2059+I2058,MAX(0,I2196-Assumptions!$C$12*I2012-I2022-I2035-I2048))</f>
        <v>0</v>
      </c>
      <c r="J2061" s="16" t="n">
        <f aca="false">J2054*MIN(J2053-J2059+J2058,MAX(0,J2196-Assumptions!$C$12*J2012-J2022-J2035-J2048))</f>
        <v>0</v>
      </c>
      <c r="K2061" s="16" t="n">
        <f aca="false">K2054*MIN(K2053-K2059+K2058,MAX(0,K2196-Assumptions!$C$12*K2012-K2022-K2035-K2048))</f>
        <v>0</v>
      </c>
    </row>
    <row r="2062" customFormat="false" ht="15" hidden="false" customHeight="false" outlineLevel="0" collapsed="false">
      <c r="A2062" s="3" t="s">
        <v>337</v>
      </c>
      <c r="G2062" s="16" t="n">
        <f aca="false">Assumptions!$N$60*MIN(G2053+G2060+G2058-G2059-G2061,MAX(0,G2200-G2023-G2036-G2049))</f>
        <v>0</v>
      </c>
      <c r="H2062" s="16" t="n">
        <f aca="false">Assumptions!$N$60*MIN(H2053+H2060+H2058-H2059-H2061,MAX(0,H2200-H2023-H2036-H2049))</f>
        <v>0</v>
      </c>
      <c r="I2062" s="16" t="n">
        <f aca="false">Assumptions!$N$60*MIN(I2053+I2060+I2058-I2059-I2061,MAX(0,I2200-I2023-I2036-I2049))</f>
        <v>0</v>
      </c>
      <c r="J2062" s="16" t="n">
        <f aca="false">Assumptions!$N$60*MIN(J2053+J2060+J2058-J2059-J2061,MAX(0,J2200-J2023-J2036-J2049))</f>
        <v>0</v>
      </c>
      <c r="K2062" s="16" t="n">
        <f aca="false">Assumptions!$N$60*MIN(K2053+K2060+K2058-K2059-K2061,MAX(0,K2200-K2023-K2036-K2049))</f>
        <v>0</v>
      </c>
    </row>
    <row r="2063" customFormat="false" ht="15" hidden="false" customHeight="false" outlineLevel="0" collapsed="false">
      <c r="A2063" s="3" t="s">
        <v>338</v>
      </c>
      <c r="G2063" s="16" t="n">
        <f aca="false">G2054*(1-G2012)*(G2053-G2059+G2058-G2061)</f>
        <v>0</v>
      </c>
      <c r="H2063" s="16" t="n">
        <f aca="false">H2054*(1-H2012)*(H2053-H2059+H2058-H2061)</f>
        <v>0</v>
      </c>
      <c r="I2063" s="16" t="n">
        <f aca="false">I2054*(1-I2012)*(I2053-I2059+I2058-I2061)</f>
        <v>0</v>
      </c>
      <c r="J2063" s="16" t="n">
        <f aca="false">J2054*(1-J2012)*(J2053-J2059+J2058-J2061)</f>
        <v>0</v>
      </c>
      <c r="K2063" s="16" t="n">
        <f aca="false">K2054*(1-K2012)*(K2053-K2059+K2058-K2061)</f>
        <v>0</v>
      </c>
    </row>
    <row r="2064" customFormat="false" ht="15" hidden="false" customHeight="false" outlineLevel="0" collapsed="false">
      <c r="A2064" s="2" t="s">
        <v>339</v>
      </c>
      <c r="F2064" s="28" t="n">
        <f aca="false">Assumptions!$C$60</f>
        <v>0</v>
      </c>
      <c r="G2064" s="17" t="n">
        <f aca="false">G2053+G2060+G2058-G2059-G2061-G2062</f>
        <v>0</v>
      </c>
      <c r="H2064" s="17" t="n">
        <f aca="false">H2053+H2060+H2058-H2059-H2061-H2062</f>
        <v>0</v>
      </c>
      <c r="I2064" s="17" t="n">
        <f aca="false">I2053+I2060+I2058-I2059-I2061-I2062</f>
        <v>90.036038523656</v>
      </c>
      <c r="J2064" s="17" t="n">
        <f aca="false">J2053+J2060+J2058-J2059-J2061-J2062</f>
        <v>204.41708069349</v>
      </c>
      <c r="K2064" s="17" t="n">
        <f aca="false">K2053+K2060+K2058-K2059-K2061-K2062</f>
        <v>336.903802145134</v>
      </c>
    </row>
    <row r="2065" customFormat="false" ht="15" hidden="false" customHeight="false" outlineLevel="0" collapsed="false">
      <c r="A2065" s="24" t="s">
        <v>343</v>
      </c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</row>
    <row r="2066" customFormat="false" ht="15" hidden="false" customHeight="false" outlineLevel="0" collapsed="false">
      <c r="A2066" s="3" t="s">
        <v>329</v>
      </c>
      <c r="G2066" s="16" t="n">
        <f aca="false">F2077</f>
        <v>450</v>
      </c>
      <c r="H2066" s="16" t="n">
        <f aca="false">G2077</f>
        <v>450</v>
      </c>
      <c r="I2066" s="16" t="n">
        <f aca="false">H2077</f>
        <v>446.7762067898</v>
      </c>
      <c r="J2066" s="16" t="n">
        <f aca="false">I2077</f>
        <v>446.7762067898</v>
      </c>
      <c r="K2066" s="16" t="n">
        <f aca="false">J2077</f>
        <v>446.7762067898</v>
      </c>
    </row>
    <row r="2067" customFormat="false" ht="15" hidden="false" customHeight="false" outlineLevel="0" collapsed="false">
      <c r="A2067" s="3" t="s">
        <v>330</v>
      </c>
      <c r="G2067" s="21" t="n">
        <f aca="false">IF(G1978=Assumptions!$K$61,1,0)</f>
        <v>0</v>
      </c>
      <c r="H2067" s="21" t="n">
        <f aca="false">IF(H1978=Assumptions!$K$61,1,0)</f>
        <v>1</v>
      </c>
      <c r="I2067" s="21" t="n">
        <f aca="false">IF(I1978=Assumptions!$K$61,1,0)</f>
        <v>0</v>
      </c>
      <c r="J2067" s="21" t="n">
        <f aca="false">IF(J1978=Assumptions!$K$61,1,0)</f>
        <v>0</v>
      </c>
      <c r="K2067" s="21" t="n">
        <f aca="false">IF(K1978=Assumptions!$K$61,1,0)</f>
        <v>0</v>
      </c>
    </row>
    <row r="2069" customFormat="false" ht="15" hidden="false" customHeight="false" outlineLevel="0" collapsed="false">
      <c r="A2069" s="3" t="s">
        <v>331</v>
      </c>
      <c r="G2069" s="31" t="n">
        <f aca="false">IF(Assumptions!$I$61=1,MAX(G2004,Assumptions!$G$61)+Assumptions!$F$61+$C$2005,Assumptions!$E$61)</f>
        <v>0.0395</v>
      </c>
      <c r="H2069" s="31" t="n">
        <f aca="false">IF(G2328=1,$C$2006,IF(Assumptions!$I$61=1,MAX(H2004,Assumptions!$G$61)+Assumptions!$F$61+$C$2005,Assumptions!$E$61))</f>
        <v>0.0395</v>
      </c>
      <c r="I2069" s="31" t="n">
        <f aca="false">IF(H2328=1,$C$2006,IF(Assumptions!$I$61=1,MAX(I2004,Assumptions!$G$61)+Assumptions!$F$61+$C$2005,Assumptions!$E$61))</f>
        <v>0.08</v>
      </c>
      <c r="J2069" s="31" t="n">
        <f aca="false">IF(I2328=1,$C$2006,IF(Assumptions!$I$61=1,MAX(J2004,Assumptions!$G$61)+Assumptions!$F$61+$C$2005,Assumptions!$E$61))</f>
        <v>0.08</v>
      </c>
      <c r="K2069" s="31" t="n">
        <f aca="false">IF(J2328=1,$C$2006,IF(Assumptions!$I$61=1,MAX(K2004,Assumptions!$G$61)+Assumptions!$F$61+$C$2005,Assumptions!$E$61))</f>
        <v>0.08</v>
      </c>
    </row>
    <row r="2070" customFormat="false" ht="15" hidden="false" customHeight="false" outlineLevel="0" collapsed="false">
      <c r="A2070" s="3" t="s">
        <v>332</v>
      </c>
      <c r="G2070" s="16" t="n">
        <f aca="false">G2066*G2069</f>
        <v>17.775</v>
      </c>
      <c r="H2070" s="16" t="n">
        <f aca="false">H2066*H2069</f>
        <v>17.775</v>
      </c>
      <c r="I2070" s="16" t="n">
        <f aca="false">I2066*I2069</f>
        <v>35.742096543184</v>
      </c>
      <c r="J2070" s="16" t="n">
        <f aca="false">J2066*J2069</f>
        <v>35.742096543184</v>
      </c>
      <c r="K2070" s="16" t="n">
        <f aca="false">K2066*K2069</f>
        <v>35.742096543184</v>
      </c>
    </row>
    <row r="2071" customFormat="false" ht="15" hidden="false" customHeight="false" outlineLevel="0" collapsed="false">
      <c r="A2071" s="3" t="s">
        <v>333</v>
      </c>
      <c r="G2071" s="16" t="n">
        <f aca="false">G2066*Assumptions!$H$61</f>
        <v>0</v>
      </c>
      <c r="H2071" s="16" t="n">
        <f aca="false">H2066*Assumptions!$H$61</f>
        <v>0</v>
      </c>
      <c r="I2071" s="16" t="n">
        <f aca="false">I2066*Assumptions!$H$61</f>
        <v>0</v>
      </c>
      <c r="J2071" s="16" t="n">
        <f aca="false">J2066*Assumptions!$H$61</f>
        <v>0</v>
      </c>
      <c r="K2071" s="16" t="n">
        <f aca="false">K2066*Assumptions!$H$61</f>
        <v>0</v>
      </c>
    </row>
    <row r="2072" customFormat="false" ht="15" hidden="false" customHeight="false" outlineLevel="0" collapsed="false">
      <c r="A2072" s="3" t="s">
        <v>334</v>
      </c>
      <c r="G2072" s="16" t="n">
        <f aca="false">MIN(G2066,Assumptions!$L$61*Assumptions!$C$61)</f>
        <v>0</v>
      </c>
      <c r="H2072" s="16" t="n">
        <f aca="false">MIN(H2066,Assumptions!$L$61*Assumptions!$C$61)</f>
        <v>0</v>
      </c>
      <c r="I2072" s="16" t="n">
        <f aca="false">MIN(I2066,Assumptions!$L$61*Assumptions!$C$61)</f>
        <v>0</v>
      </c>
      <c r="J2072" s="16" t="n">
        <f aca="false">MIN(J2066,Assumptions!$L$61*Assumptions!$C$61)</f>
        <v>0</v>
      </c>
      <c r="K2072" s="16" t="n">
        <f aca="false">MIN(K2066,Assumptions!$L$61*Assumptions!$C$61)</f>
        <v>0</v>
      </c>
    </row>
    <row r="2073" customFormat="false" ht="15" hidden="false" customHeight="false" outlineLevel="0" collapsed="false">
      <c r="A2073" s="3" t="s">
        <v>335</v>
      </c>
      <c r="G2073" s="16" t="n">
        <f aca="false">IF(AND(Assumptions!$P$61=1,G1978&lt;Assumptions!$K$61),MIN(MAX(0,-G2194),MAX(0,Assumptions!$D$61-G2066)),0)</f>
        <v>0</v>
      </c>
      <c r="H2073" s="16" t="n">
        <f aca="false">IF(AND(Assumptions!$P$61=1,OR(H1978&lt;Assumptions!$K$61,G2328=1)),MIN(MAX(0,-H2194),MAX(0,Assumptions!$D$61-H2066)),0)</f>
        <v>0</v>
      </c>
      <c r="I2073" s="16" t="n">
        <f aca="false">IF(AND(Assumptions!$P$61=1,OR(I1978&lt;Assumptions!$K$61,H2328=1)),MIN(MAX(0,-I2194),MAX(0,Assumptions!$D$61-I2066)),0)</f>
        <v>0</v>
      </c>
      <c r="J2073" s="16" t="n">
        <f aca="false">IF(AND(Assumptions!$P$61=1,OR(J1978&lt;Assumptions!$K$61,I2328=1)),MIN(MAX(0,-J2194),MAX(0,Assumptions!$D$61-J2066)),0)</f>
        <v>0</v>
      </c>
      <c r="K2073" s="16" t="n">
        <f aca="false">IF(AND(Assumptions!$P$61=1,OR(K1978&lt;Assumptions!$K$61,J2328=1)),MIN(MAX(0,-K2194),MAX(0,Assumptions!$D$61-K2066)),0)</f>
        <v>0</v>
      </c>
    </row>
    <row r="2074" customFormat="false" ht="15" hidden="false" customHeight="false" outlineLevel="0" collapsed="false">
      <c r="A2074" s="3" t="s">
        <v>336</v>
      </c>
      <c r="G2074" s="16" t="n">
        <f aca="false">G2067*MIN(G2066-G2072+G2071,MAX(0,G2196-Assumptions!$C$12*G2012-G2022-G2035-G2048-G2061))</f>
        <v>0</v>
      </c>
      <c r="H2074" s="16" t="n">
        <f aca="false">H2067*MIN(H2066-H2072+H2071,MAX(0,H2196-Assumptions!$C$12*H2012-H2022-H2035-H2048-H2061))</f>
        <v>3.22379321020006</v>
      </c>
      <c r="I2074" s="16" t="n">
        <f aca="false">I2067*MIN(I2066-I2072+I2071,MAX(0,I2196-Assumptions!$C$12*I2012-I2022-I2035-I2048-I2061))</f>
        <v>0</v>
      </c>
      <c r="J2074" s="16" t="n">
        <f aca="false">J2067*MIN(J2066-J2072+J2071,MAX(0,J2196-Assumptions!$C$12*J2012-J2022-J2035-J2048-J2061))</f>
        <v>0</v>
      </c>
      <c r="K2074" s="16" t="n">
        <f aca="false">K2067*MIN(K2066-K2072+K2071,MAX(0,K2196-Assumptions!$C$12*K2012-K2022-K2035-K2048-K2061))</f>
        <v>0</v>
      </c>
    </row>
    <row r="2075" customFormat="false" ht="15" hidden="false" customHeight="false" outlineLevel="0" collapsed="false">
      <c r="A2075" s="3" t="s">
        <v>337</v>
      </c>
      <c r="G2075" s="16" t="n">
        <f aca="false">Assumptions!$N$61*MIN(G2066+G2073+G2071-G2072-G2074,MAX(0,G2200-G2023-G2036-G2049-G2062))</f>
        <v>0</v>
      </c>
      <c r="H2075" s="16" t="n">
        <f aca="false">Assumptions!$N$61*MIN(H2066+H2073+H2071-H2072-H2074,MAX(0,H2200-H2023-H2036-H2049-H2062))</f>
        <v>0</v>
      </c>
      <c r="I2075" s="16" t="n">
        <f aca="false">Assumptions!$N$61*MIN(I2066+I2073+I2071-I2072-I2074,MAX(0,I2200-I2023-I2036-I2049-I2062))</f>
        <v>0</v>
      </c>
      <c r="J2075" s="16" t="n">
        <f aca="false">Assumptions!$N$61*MIN(J2066+J2073+J2071-J2072-J2074,MAX(0,J2200-J2023-J2036-J2049-J2062))</f>
        <v>0</v>
      </c>
      <c r="K2075" s="16" t="n">
        <f aca="false">Assumptions!$N$61*MIN(K2066+K2073+K2071-K2072-K2074,MAX(0,K2200-K2023-K2036-K2049-K2062))</f>
        <v>0</v>
      </c>
    </row>
    <row r="2076" customFormat="false" ht="15" hidden="false" customHeight="false" outlineLevel="0" collapsed="false">
      <c r="A2076" s="3" t="s">
        <v>338</v>
      </c>
      <c r="G2076" s="16" t="n">
        <f aca="false">G2067*(1-G2012)*(G2066-G2072+G2071-G2074)</f>
        <v>0</v>
      </c>
      <c r="H2076" s="16" t="n">
        <f aca="false">H2067*(1-H2012)*(H2066-H2072+H2071-H2074)</f>
        <v>0</v>
      </c>
      <c r="I2076" s="16" t="n">
        <f aca="false">I2067*(1-I2012)*(I2066-I2072+I2071-I2074)</f>
        <v>0</v>
      </c>
      <c r="J2076" s="16" t="n">
        <f aca="false">J2067*(1-J2012)*(J2066-J2072+J2071-J2074)</f>
        <v>0</v>
      </c>
      <c r="K2076" s="16" t="n">
        <f aca="false">K2067*(1-K2012)*(K2066-K2072+K2071-K2074)</f>
        <v>0</v>
      </c>
    </row>
    <row r="2077" customFormat="false" ht="15" hidden="false" customHeight="false" outlineLevel="0" collapsed="false">
      <c r="A2077" s="2" t="s">
        <v>339</v>
      </c>
      <c r="F2077" s="28" t="n">
        <f aca="false">Assumptions!$C$61</f>
        <v>450</v>
      </c>
      <c r="G2077" s="17" t="n">
        <f aca="false">G2066+G2073+G2071-G2072-G2074-G2075</f>
        <v>450</v>
      </c>
      <c r="H2077" s="17" t="n">
        <f aca="false">H2066+H2073+H2071-H2072-H2074-H2075</f>
        <v>446.7762067898</v>
      </c>
      <c r="I2077" s="17" t="n">
        <f aca="false">I2066+I2073+I2071-I2072-I2074-I2075</f>
        <v>446.7762067898</v>
      </c>
      <c r="J2077" s="17" t="n">
        <f aca="false">J2066+J2073+J2071-J2072-J2074-J2075</f>
        <v>446.7762067898</v>
      </c>
      <c r="K2077" s="17" t="n">
        <f aca="false">K2066+K2073+K2071-K2072-K2074-K2075</f>
        <v>446.7762067898</v>
      </c>
    </row>
    <row r="2078" customFormat="false" ht="15" hidden="false" customHeight="false" outlineLevel="0" collapsed="false">
      <c r="A2078" s="24" t="s">
        <v>344</v>
      </c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</row>
    <row r="2079" customFormat="false" ht="15" hidden="false" customHeight="false" outlineLevel="0" collapsed="false">
      <c r="A2079" s="3" t="s">
        <v>329</v>
      </c>
      <c r="G2079" s="16" t="n">
        <f aca="false">F2090</f>
        <v>350</v>
      </c>
      <c r="H2079" s="16" t="n">
        <f aca="false">G2090</f>
        <v>350</v>
      </c>
      <c r="I2079" s="16" t="n">
        <f aca="false">H2090</f>
        <v>350</v>
      </c>
      <c r="J2079" s="16" t="n">
        <f aca="false">I2090</f>
        <v>350</v>
      </c>
      <c r="K2079" s="16" t="n">
        <f aca="false">J2090</f>
        <v>350</v>
      </c>
    </row>
    <row r="2080" customFormat="false" ht="15" hidden="false" customHeight="false" outlineLevel="0" collapsed="false">
      <c r="A2080" s="3" t="s">
        <v>330</v>
      </c>
      <c r="G2080" s="21" t="n">
        <f aca="false">IF(G1978=Assumptions!$K$62,1,0)</f>
        <v>0</v>
      </c>
      <c r="H2080" s="21" t="n">
        <f aca="false">IF(H1978=Assumptions!$K$62,1,0)</f>
        <v>1</v>
      </c>
      <c r="I2080" s="21" t="n">
        <f aca="false">IF(I1978=Assumptions!$K$62,1,0)</f>
        <v>0</v>
      </c>
      <c r="J2080" s="21" t="n">
        <f aca="false">IF(J1978=Assumptions!$K$62,1,0)</f>
        <v>0</v>
      </c>
      <c r="K2080" s="21" t="n">
        <f aca="false">IF(K1978=Assumptions!$K$62,1,0)</f>
        <v>0</v>
      </c>
    </row>
    <row r="2082" customFormat="false" ht="15" hidden="false" customHeight="false" outlineLevel="0" collapsed="false">
      <c r="A2082" s="3" t="s">
        <v>331</v>
      </c>
      <c r="G2082" s="31" t="n">
        <f aca="false">IF(Assumptions!$I$62=1,MAX(G2004,Assumptions!$G$62)+Assumptions!$F$62+$C$2005,Assumptions!$E$62)</f>
        <v>0.083</v>
      </c>
      <c r="H2082" s="31" t="n">
        <f aca="false">IF(G2329=1,$C$2006,IF(Assumptions!$I$62=1,MAX(H2004,Assumptions!$G$62)+Assumptions!$F$62+$C$2005,Assumptions!$E$62))</f>
        <v>0.083</v>
      </c>
      <c r="I2082" s="31" t="n">
        <f aca="false">IF(H2329=1,$C$2006,IF(Assumptions!$I$62=1,MAX(I2004,Assumptions!$G$62)+Assumptions!$F$62+$C$2005,Assumptions!$E$62))</f>
        <v>0.08</v>
      </c>
      <c r="J2082" s="31" t="n">
        <f aca="false">IF(I2329=1,$C$2006,IF(Assumptions!$I$62=1,MAX(J2004,Assumptions!$G$62)+Assumptions!$F$62+$C$2005,Assumptions!$E$62))</f>
        <v>0.08</v>
      </c>
      <c r="K2082" s="31" t="n">
        <f aca="false">IF(J2329=1,$C$2006,IF(Assumptions!$I$62=1,MAX(K2004,Assumptions!$G$62)+Assumptions!$F$62+$C$2005,Assumptions!$E$62))</f>
        <v>0.08</v>
      </c>
    </row>
    <row r="2083" customFormat="false" ht="15" hidden="false" customHeight="false" outlineLevel="0" collapsed="false">
      <c r="A2083" s="3" t="s">
        <v>332</v>
      </c>
      <c r="G2083" s="16" t="n">
        <f aca="false">G2079*G2082</f>
        <v>29.05</v>
      </c>
      <c r="H2083" s="16" t="n">
        <f aca="false">H2079*H2082</f>
        <v>29.05</v>
      </c>
      <c r="I2083" s="16" t="n">
        <f aca="false">I2079*I2082</f>
        <v>28</v>
      </c>
      <c r="J2083" s="16" t="n">
        <f aca="false">J2079*J2082</f>
        <v>28</v>
      </c>
      <c r="K2083" s="16" t="n">
        <f aca="false">K2079*K2082</f>
        <v>28</v>
      </c>
    </row>
    <row r="2084" customFormat="false" ht="15" hidden="false" customHeight="false" outlineLevel="0" collapsed="false">
      <c r="A2084" s="3" t="s">
        <v>333</v>
      </c>
      <c r="G2084" s="16" t="n">
        <f aca="false">G2079*Assumptions!$H$62</f>
        <v>0</v>
      </c>
      <c r="H2084" s="16" t="n">
        <f aca="false">H2079*Assumptions!$H$62</f>
        <v>0</v>
      </c>
      <c r="I2084" s="16" t="n">
        <f aca="false">I2079*Assumptions!$H$62</f>
        <v>0</v>
      </c>
      <c r="J2084" s="16" t="n">
        <f aca="false">J2079*Assumptions!$H$62</f>
        <v>0</v>
      </c>
      <c r="K2084" s="16" t="n">
        <f aca="false">K2079*Assumptions!$H$62</f>
        <v>0</v>
      </c>
    </row>
    <row r="2085" customFormat="false" ht="15" hidden="false" customHeight="false" outlineLevel="0" collapsed="false">
      <c r="A2085" s="3" t="s">
        <v>334</v>
      </c>
      <c r="G2085" s="16" t="n">
        <f aca="false">MIN(G2079,Assumptions!$L$62*Assumptions!$C$62)</f>
        <v>0</v>
      </c>
      <c r="H2085" s="16" t="n">
        <f aca="false">MIN(H2079,Assumptions!$L$62*Assumptions!$C$62)</f>
        <v>0</v>
      </c>
      <c r="I2085" s="16" t="n">
        <f aca="false">MIN(I2079,Assumptions!$L$62*Assumptions!$C$62)</f>
        <v>0</v>
      </c>
      <c r="J2085" s="16" t="n">
        <f aca="false">MIN(J2079,Assumptions!$L$62*Assumptions!$C$62)</f>
        <v>0</v>
      </c>
      <c r="K2085" s="16" t="n">
        <f aca="false">MIN(K2079,Assumptions!$L$62*Assumptions!$C$62)</f>
        <v>0</v>
      </c>
    </row>
    <row r="2086" customFormat="false" ht="15" hidden="false" customHeight="false" outlineLevel="0" collapsed="false">
      <c r="A2086" s="3" t="s">
        <v>335</v>
      </c>
      <c r="G2086" s="16" t="n">
        <f aca="false">IF(AND(Assumptions!$P$62=1,G1978&lt;Assumptions!$K$62),MIN(MAX(0,-G2194),MAX(0,Assumptions!$D$62-G2079)),0)</f>
        <v>0</v>
      </c>
      <c r="H2086" s="16" t="n">
        <f aca="false">IF(AND(Assumptions!$P$62=1,OR(H1978&lt;Assumptions!$K$62,G2329=1)),MIN(MAX(0,-H2194),MAX(0,Assumptions!$D$62-H2079)),0)</f>
        <v>0</v>
      </c>
      <c r="I2086" s="16" t="n">
        <f aca="false">IF(AND(Assumptions!$P$62=1,OR(I1978&lt;Assumptions!$K$62,H2329=1)),MIN(MAX(0,-I2194),MAX(0,Assumptions!$D$62-I2079)),0)</f>
        <v>0</v>
      </c>
      <c r="J2086" s="16" t="n">
        <f aca="false">IF(AND(Assumptions!$P$62=1,OR(J1978&lt;Assumptions!$K$62,I2329=1)),MIN(MAX(0,-J2194),MAX(0,Assumptions!$D$62-J2079)),0)</f>
        <v>0</v>
      </c>
      <c r="K2086" s="16" t="n">
        <f aca="false">IF(AND(Assumptions!$P$62=1,OR(K1978&lt;Assumptions!$K$62,J2329=1)),MIN(MAX(0,-K2194),MAX(0,Assumptions!$D$62-K2079)),0)</f>
        <v>0</v>
      </c>
    </row>
    <row r="2087" customFormat="false" ht="15" hidden="false" customHeight="false" outlineLevel="0" collapsed="false">
      <c r="A2087" s="3" t="s">
        <v>336</v>
      </c>
      <c r="G2087" s="16" t="n">
        <f aca="false">G2080*MIN(G2079-G2085+G2084,MAX(0,G2196-Assumptions!$C$12*G2012-G2022-G2035-G2048-G2061-G2074))</f>
        <v>0</v>
      </c>
      <c r="H2087" s="16" t="n">
        <f aca="false">H2080*MIN(H2079-H2085+H2084,MAX(0,H2196-Assumptions!$C$12*H2012-H2022-H2035-H2048-H2061-H2074))</f>
        <v>0</v>
      </c>
      <c r="I2087" s="16" t="n">
        <f aca="false">I2080*MIN(I2079-I2085+I2084,MAX(0,I2196-Assumptions!$C$12*I2012-I2022-I2035-I2048-I2061-I2074))</f>
        <v>0</v>
      </c>
      <c r="J2087" s="16" t="n">
        <f aca="false">J2080*MIN(J2079-J2085+J2084,MAX(0,J2196-Assumptions!$C$12*J2012-J2022-J2035-J2048-J2061-J2074))</f>
        <v>0</v>
      </c>
      <c r="K2087" s="16" t="n">
        <f aca="false">K2080*MIN(K2079-K2085+K2084,MAX(0,K2196-Assumptions!$C$12*K2012-K2022-K2035-K2048-K2061-K2074))</f>
        <v>0</v>
      </c>
    </row>
    <row r="2088" customFormat="false" ht="15" hidden="false" customHeight="false" outlineLevel="0" collapsed="false">
      <c r="A2088" s="3" t="s">
        <v>337</v>
      </c>
      <c r="G2088" s="16" t="n">
        <f aca="false">Assumptions!$N$62*MIN(G2079+G2086+G2084-G2085-G2087,MAX(0,G2200-G2023-G2036-G2049-G2062-G2075))</f>
        <v>0</v>
      </c>
      <c r="H2088" s="16" t="n">
        <f aca="false">Assumptions!$N$62*MIN(H2079+H2086+H2084-H2085-H2087,MAX(0,H2200-H2023-H2036-H2049-H2062-H2075))</f>
        <v>0</v>
      </c>
      <c r="I2088" s="16" t="n">
        <f aca="false">Assumptions!$N$62*MIN(I2079+I2086+I2084-I2085-I2087,MAX(0,I2200-I2023-I2036-I2049-I2062-I2075))</f>
        <v>0</v>
      </c>
      <c r="J2088" s="16" t="n">
        <f aca="false">Assumptions!$N$62*MIN(J2079+J2086+J2084-J2085-J2087,MAX(0,J2200-J2023-J2036-J2049-J2062-J2075))</f>
        <v>0</v>
      </c>
      <c r="K2088" s="16" t="n">
        <f aca="false">Assumptions!$N$62*MIN(K2079+K2086+K2084-K2085-K2087,MAX(0,K2200-K2023-K2036-K2049-K2062-K2075))</f>
        <v>0</v>
      </c>
    </row>
    <row r="2089" customFormat="false" ht="15" hidden="false" customHeight="false" outlineLevel="0" collapsed="false">
      <c r="A2089" s="3" t="s">
        <v>338</v>
      </c>
      <c r="G2089" s="16" t="n">
        <f aca="false">G2080*(1-G2012)*(G2079-G2085+G2084-G2087)</f>
        <v>0</v>
      </c>
      <c r="H2089" s="16" t="n">
        <f aca="false">H2080*(1-H2012)*(H2079-H2085+H2084-H2087)</f>
        <v>0</v>
      </c>
      <c r="I2089" s="16" t="n">
        <f aca="false">I2080*(1-I2012)*(I2079-I2085+I2084-I2087)</f>
        <v>0</v>
      </c>
      <c r="J2089" s="16" t="n">
        <f aca="false">J2080*(1-J2012)*(J2079-J2085+J2084-J2087)</f>
        <v>0</v>
      </c>
      <c r="K2089" s="16" t="n">
        <f aca="false">K2080*(1-K2012)*(K2079-K2085+K2084-K2087)</f>
        <v>0</v>
      </c>
    </row>
    <row r="2090" customFormat="false" ht="15" hidden="false" customHeight="false" outlineLevel="0" collapsed="false">
      <c r="A2090" s="2" t="s">
        <v>339</v>
      </c>
      <c r="F2090" s="28" t="n">
        <f aca="false">Assumptions!$C$62</f>
        <v>350</v>
      </c>
      <c r="G2090" s="17" t="n">
        <f aca="false">G2079+G2086+G2084-G2085-G2087-G2088</f>
        <v>350</v>
      </c>
      <c r="H2090" s="17" t="n">
        <f aca="false">H2079+H2086+H2084-H2085-H2087-H2088</f>
        <v>350</v>
      </c>
      <c r="I2090" s="17" t="n">
        <f aca="false">I2079+I2086+I2084-I2085-I2087-I2088</f>
        <v>350</v>
      </c>
      <c r="J2090" s="17" t="n">
        <f aca="false">J2079+J2086+J2084-J2085-J2087-J2088</f>
        <v>350</v>
      </c>
      <c r="K2090" s="17" t="n">
        <f aca="false">K2079+K2086+K2084-K2085-K2087-K2088</f>
        <v>350</v>
      </c>
    </row>
    <row r="2091" customFormat="false" ht="15" hidden="false" customHeight="false" outlineLevel="0" collapsed="false">
      <c r="A2091" s="24" t="s">
        <v>345</v>
      </c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</row>
    <row r="2092" customFormat="false" ht="15" hidden="false" customHeight="false" outlineLevel="0" collapsed="false">
      <c r="A2092" s="3" t="s">
        <v>329</v>
      </c>
      <c r="G2092" s="16" t="n">
        <f aca="false">F2103</f>
        <v>550</v>
      </c>
      <c r="H2092" s="16" t="n">
        <f aca="false">G2103</f>
        <v>550</v>
      </c>
      <c r="I2092" s="16" t="n">
        <f aca="false">H2103</f>
        <v>550</v>
      </c>
      <c r="J2092" s="16" t="n">
        <f aca="false">I2103</f>
        <v>550</v>
      </c>
      <c r="K2092" s="16" t="n">
        <f aca="false">J2103</f>
        <v>550</v>
      </c>
    </row>
    <row r="2093" customFormat="false" ht="15" hidden="false" customHeight="false" outlineLevel="0" collapsed="false">
      <c r="A2093" s="3" t="s">
        <v>330</v>
      </c>
      <c r="G2093" s="21" t="n">
        <f aca="false">IF(G1978=Assumptions!$K$63,1,0)</f>
        <v>0</v>
      </c>
      <c r="H2093" s="21" t="n">
        <f aca="false">IF(H1978=Assumptions!$K$63,1,0)</f>
        <v>0</v>
      </c>
      <c r="I2093" s="21" t="n">
        <f aca="false">IF(I1978=Assumptions!$K$63,1,0)</f>
        <v>1</v>
      </c>
      <c r="J2093" s="21" t="n">
        <f aca="false">IF(J1978=Assumptions!$K$63,1,0)</f>
        <v>0</v>
      </c>
      <c r="K2093" s="21" t="n">
        <f aca="false">IF(K1978=Assumptions!$K$63,1,0)</f>
        <v>0</v>
      </c>
    </row>
    <row r="2095" customFormat="false" ht="15" hidden="false" customHeight="false" outlineLevel="0" collapsed="false">
      <c r="A2095" s="3" t="s">
        <v>331</v>
      </c>
      <c r="G2095" s="31" t="n">
        <f aca="false">IF(Assumptions!$I$63=1,MAX(G2004,Assumptions!$G$63)+Assumptions!$F$63+$C$2005,Assumptions!$E$63)</f>
        <v>0.08875</v>
      </c>
      <c r="H2095" s="31" t="n">
        <f aca="false">IF(G2330=1,$C$2006,IF(Assumptions!$I$63=1,MAX(H2004,Assumptions!$G$63)+Assumptions!$F$63+$C$2005,Assumptions!$E$63))</f>
        <v>0.08875</v>
      </c>
      <c r="I2095" s="31" t="n">
        <f aca="false">IF(H2330=1,$C$2006,IF(Assumptions!$I$63=1,MAX(I2004,Assumptions!$G$63)+Assumptions!$F$63+$C$2005,Assumptions!$E$63))</f>
        <v>0.08875</v>
      </c>
      <c r="J2095" s="31" t="n">
        <f aca="false">IF(I2330=1,$C$2006,IF(Assumptions!$I$63=1,MAX(J2004,Assumptions!$G$63)+Assumptions!$F$63+$C$2005,Assumptions!$E$63))</f>
        <v>0.08</v>
      </c>
      <c r="K2095" s="31" t="n">
        <f aca="false">IF(J2330=1,$C$2006,IF(Assumptions!$I$63=1,MAX(K2004,Assumptions!$G$63)+Assumptions!$F$63+$C$2005,Assumptions!$E$63))</f>
        <v>0.08</v>
      </c>
    </row>
    <row r="2096" customFormat="false" ht="15" hidden="false" customHeight="false" outlineLevel="0" collapsed="false">
      <c r="A2096" s="3" t="s">
        <v>332</v>
      </c>
      <c r="G2096" s="16" t="n">
        <f aca="false">G2092*G2095</f>
        <v>48.8125</v>
      </c>
      <c r="H2096" s="16" t="n">
        <f aca="false">H2092*H2095</f>
        <v>48.8125</v>
      </c>
      <c r="I2096" s="16" t="n">
        <f aca="false">I2092*I2095</f>
        <v>48.8125</v>
      </c>
      <c r="J2096" s="16" t="n">
        <f aca="false">J2092*J2095</f>
        <v>44</v>
      </c>
      <c r="K2096" s="16" t="n">
        <f aca="false">K2092*K2095</f>
        <v>44</v>
      </c>
    </row>
    <row r="2097" customFormat="false" ht="15" hidden="false" customHeight="false" outlineLevel="0" collapsed="false">
      <c r="A2097" s="3" t="s">
        <v>333</v>
      </c>
      <c r="G2097" s="16" t="n">
        <f aca="false">G2092*Assumptions!$H$63</f>
        <v>0</v>
      </c>
      <c r="H2097" s="16" t="n">
        <f aca="false">H2092*Assumptions!$H$63</f>
        <v>0</v>
      </c>
      <c r="I2097" s="16" t="n">
        <f aca="false">I2092*Assumptions!$H$63</f>
        <v>0</v>
      </c>
      <c r="J2097" s="16" t="n">
        <f aca="false">J2092*Assumptions!$H$63</f>
        <v>0</v>
      </c>
      <c r="K2097" s="16" t="n">
        <f aca="false">K2092*Assumptions!$H$63</f>
        <v>0</v>
      </c>
    </row>
    <row r="2098" customFormat="false" ht="15" hidden="false" customHeight="false" outlineLevel="0" collapsed="false">
      <c r="A2098" s="3" t="s">
        <v>334</v>
      </c>
      <c r="G2098" s="16" t="n">
        <f aca="false">MIN(G2092,Assumptions!$L$63*Assumptions!$C$63)</f>
        <v>0</v>
      </c>
      <c r="H2098" s="16" t="n">
        <f aca="false">MIN(H2092,Assumptions!$L$63*Assumptions!$C$63)</f>
        <v>0</v>
      </c>
      <c r="I2098" s="16" t="n">
        <f aca="false">MIN(I2092,Assumptions!$L$63*Assumptions!$C$63)</f>
        <v>0</v>
      </c>
      <c r="J2098" s="16" t="n">
        <f aca="false">MIN(J2092,Assumptions!$L$63*Assumptions!$C$63)</f>
        <v>0</v>
      </c>
      <c r="K2098" s="16" t="n">
        <f aca="false">MIN(K2092,Assumptions!$L$63*Assumptions!$C$63)</f>
        <v>0</v>
      </c>
    </row>
    <row r="2099" customFormat="false" ht="15" hidden="false" customHeight="false" outlineLevel="0" collapsed="false">
      <c r="A2099" s="3" t="s">
        <v>335</v>
      </c>
      <c r="G2099" s="16" t="n">
        <f aca="false">IF(AND(Assumptions!$P$63=1,G1978&lt;Assumptions!$K$63),MIN(MAX(0,-G2194),MAX(0,Assumptions!$D$63-G2092)),0)</f>
        <v>0</v>
      </c>
      <c r="H2099" s="16" t="n">
        <f aca="false">IF(AND(Assumptions!$P$63=1,OR(H1978&lt;Assumptions!$K$63,G2330=1)),MIN(MAX(0,-H2194),MAX(0,Assumptions!$D$63-H2092)),0)</f>
        <v>0</v>
      </c>
      <c r="I2099" s="16" t="n">
        <f aca="false">IF(AND(Assumptions!$P$63=1,OR(I1978&lt;Assumptions!$K$63,H2330=1)),MIN(MAX(0,-I2194),MAX(0,Assumptions!$D$63-I2092)),0)</f>
        <v>0</v>
      </c>
      <c r="J2099" s="16" t="n">
        <f aca="false">IF(AND(Assumptions!$P$63=1,OR(J1978&lt;Assumptions!$K$63,I2330=1)),MIN(MAX(0,-J2194),MAX(0,Assumptions!$D$63-J2092)),0)</f>
        <v>0</v>
      </c>
      <c r="K2099" s="16" t="n">
        <f aca="false">IF(AND(Assumptions!$P$63=1,OR(K1978&lt;Assumptions!$K$63,J2330=1)),MIN(MAX(0,-K2194),MAX(0,Assumptions!$D$63-K2092)),0)</f>
        <v>0</v>
      </c>
    </row>
    <row r="2100" customFormat="false" ht="15" hidden="false" customHeight="false" outlineLevel="0" collapsed="false">
      <c r="A2100" s="3" t="s">
        <v>336</v>
      </c>
      <c r="G2100" s="16" t="n">
        <f aca="false">G2093*MIN(G2092-G2098+G2097,MAX(0,G2196-Assumptions!$C$12*G2012-G2022-G2035-G2048-G2061-G2074-G2087))</f>
        <v>0</v>
      </c>
      <c r="H2100" s="16" t="n">
        <f aca="false">H2093*MIN(H2092-H2098+H2097,MAX(0,H2196-Assumptions!$C$12*H2012-H2022-H2035-H2048-H2061-H2074-H2087))</f>
        <v>0</v>
      </c>
      <c r="I2100" s="16" t="n">
        <f aca="false">I2093*MIN(I2092-I2098+I2097,MAX(0,I2196-Assumptions!$C$12*I2012-I2022-I2035-I2048-I2061-I2074-I2087))</f>
        <v>0</v>
      </c>
      <c r="J2100" s="16" t="n">
        <f aca="false">J2093*MIN(J2092-J2098+J2097,MAX(0,J2196-Assumptions!$C$12*J2012-J2022-J2035-J2048-J2061-J2074-J2087))</f>
        <v>0</v>
      </c>
      <c r="K2100" s="16" t="n">
        <f aca="false">K2093*MIN(K2092-K2098+K2097,MAX(0,K2196-Assumptions!$C$12*K2012-K2022-K2035-K2048-K2061-K2074-K2087))</f>
        <v>0</v>
      </c>
    </row>
    <row r="2101" customFormat="false" ht="15" hidden="false" customHeight="false" outlineLevel="0" collapsed="false">
      <c r="A2101" s="3" t="s">
        <v>337</v>
      </c>
      <c r="G2101" s="16" t="n">
        <f aca="false">Assumptions!$N$63*MIN(G2092+G2099+G2097-G2098-G2100,MAX(0,G2200-G2023-G2036-G2049-G2062-G2075-G2088))</f>
        <v>0</v>
      </c>
      <c r="H2101" s="16" t="n">
        <f aca="false">Assumptions!$N$63*MIN(H2092+H2099+H2097-H2098-H2100,MAX(0,H2200-H2023-H2036-H2049-H2062-H2075-H2088))</f>
        <v>0</v>
      </c>
      <c r="I2101" s="16" t="n">
        <f aca="false">Assumptions!$N$63*MIN(I2092+I2099+I2097-I2098-I2100,MAX(0,I2200-I2023-I2036-I2049-I2062-I2075-I2088))</f>
        <v>0</v>
      </c>
      <c r="J2101" s="16" t="n">
        <f aca="false">Assumptions!$N$63*MIN(J2092+J2099+J2097-J2098-J2100,MAX(0,J2200-J2023-J2036-J2049-J2062-J2075-J2088))</f>
        <v>0</v>
      </c>
      <c r="K2101" s="16" t="n">
        <f aca="false">Assumptions!$N$63*MIN(K2092+K2099+K2097-K2098-K2100,MAX(0,K2200-K2023-K2036-K2049-K2062-K2075-K2088))</f>
        <v>0</v>
      </c>
    </row>
    <row r="2102" customFormat="false" ht="15" hidden="false" customHeight="false" outlineLevel="0" collapsed="false">
      <c r="A2102" s="3" t="s">
        <v>338</v>
      </c>
      <c r="G2102" s="16" t="n">
        <f aca="false">G2093*(1-G2012)*(G2092-G2098+G2097-G2100)</f>
        <v>0</v>
      </c>
      <c r="H2102" s="16" t="n">
        <f aca="false">H2093*(1-H2012)*(H2092-H2098+H2097-H2100)</f>
        <v>0</v>
      </c>
      <c r="I2102" s="16" t="n">
        <f aca="false">I2093*(1-I2012)*(I2092-I2098+I2097-I2100)</f>
        <v>0</v>
      </c>
      <c r="J2102" s="16" t="n">
        <f aca="false">J2093*(1-J2012)*(J2092-J2098+J2097-J2100)</f>
        <v>0</v>
      </c>
      <c r="K2102" s="16" t="n">
        <f aca="false">K2093*(1-K2012)*(K2092-K2098+K2097-K2100)</f>
        <v>0</v>
      </c>
    </row>
    <row r="2103" customFormat="false" ht="15" hidden="false" customHeight="false" outlineLevel="0" collapsed="false">
      <c r="A2103" s="2" t="s">
        <v>339</v>
      </c>
      <c r="F2103" s="28" t="n">
        <f aca="false">Assumptions!$C$63</f>
        <v>550</v>
      </c>
      <c r="G2103" s="17" t="n">
        <f aca="false">G2092+G2099+G2097-G2098-G2100-G2101</f>
        <v>550</v>
      </c>
      <c r="H2103" s="17" t="n">
        <f aca="false">H2092+H2099+H2097-H2098-H2100-H2101</f>
        <v>550</v>
      </c>
      <c r="I2103" s="17" t="n">
        <f aca="false">I2092+I2099+I2097-I2098-I2100-I2101</f>
        <v>550</v>
      </c>
      <c r="J2103" s="17" t="n">
        <f aca="false">J2092+J2099+J2097-J2098-J2100-J2101</f>
        <v>550</v>
      </c>
      <c r="K2103" s="17" t="n">
        <f aca="false">K2092+K2099+K2097-K2098-K2100-K2101</f>
        <v>550</v>
      </c>
    </row>
    <row r="2104" customFormat="false" ht="15" hidden="false" customHeight="false" outlineLevel="0" collapsed="false">
      <c r="A2104" s="24" t="s">
        <v>346</v>
      </c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</row>
    <row r="2105" customFormat="false" ht="15" hidden="false" customHeight="false" outlineLevel="0" collapsed="false">
      <c r="A2105" s="3" t="s">
        <v>329</v>
      </c>
      <c r="G2105" s="16" t="n">
        <f aca="false">F2116</f>
        <v>350</v>
      </c>
      <c r="H2105" s="16" t="n">
        <f aca="false">G2116</f>
        <v>350</v>
      </c>
      <c r="I2105" s="16" t="n">
        <f aca="false">H2116</f>
        <v>350</v>
      </c>
      <c r="J2105" s="16" t="n">
        <f aca="false">I2116</f>
        <v>350</v>
      </c>
      <c r="K2105" s="16" t="n">
        <f aca="false">J2116</f>
        <v>350</v>
      </c>
    </row>
    <row r="2106" customFormat="false" ht="15" hidden="false" customHeight="false" outlineLevel="0" collapsed="false">
      <c r="A2106" s="3" t="s">
        <v>330</v>
      </c>
      <c r="G2106" s="21" t="n">
        <f aca="false">IF(G1978=Assumptions!$K$64,1,0)</f>
        <v>0</v>
      </c>
      <c r="H2106" s="21" t="n">
        <f aca="false">IF(H1978=Assumptions!$K$64,1,0)</f>
        <v>0</v>
      </c>
      <c r="I2106" s="21" t="n">
        <f aca="false">IF(I1978=Assumptions!$K$64,1,0)</f>
        <v>0</v>
      </c>
      <c r="J2106" s="21" t="n">
        <f aca="false">IF(J1978=Assumptions!$K$64,1,0)</f>
        <v>1</v>
      </c>
      <c r="K2106" s="21" t="n">
        <f aca="false">IF(K1978=Assumptions!$K$64,1,0)</f>
        <v>0</v>
      </c>
    </row>
    <row r="2108" customFormat="false" ht="15" hidden="false" customHeight="false" outlineLevel="0" collapsed="false">
      <c r="A2108" s="3" t="s">
        <v>331</v>
      </c>
      <c r="G2108" s="31" t="n">
        <f aca="false">IF(Assumptions!$I$64=1,MAX(G2004,Assumptions!$G$64)+Assumptions!$F$64+$C$2005,Assumptions!$E$64)</f>
        <v>0.0455</v>
      </c>
      <c r="H2108" s="31" t="n">
        <f aca="false">IF(G2331=1,$C$2006,IF(Assumptions!$I$64=1,MAX(H2004,Assumptions!$G$64)+Assumptions!$F$64+$C$2005,Assumptions!$E$64))</f>
        <v>0.0455</v>
      </c>
      <c r="I2108" s="31" t="n">
        <f aca="false">IF(H2331=1,$C$2006,IF(Assumptions!$I$64=1,MAX(I2004,Assumptions!$G$64)+Assumptions!$F$64+$C$2005,Assumptions!$E$64))</f>
        <v>0.0455</v>
      </c>
      <c r="J2108" s="31" t="n">
        <f aca="false">IF(I2331=1,$C$2006,IF(Assumptions!$I$64=1,MAX(J2004,Assumptions!$G$64)+Assumptions!$F$64+$C$2005,Assumptions!$E$64))</f>
        <v>0.0455</v>
      </c>
      <c r="K2108" s="31" t="n">
        <f aca="false">IF(J2331=1,$C$2006,IF(Assumptions!$I$64=1,MAX(K2004,Assumptions!$G$64)+Assumptions!$F$64+$C$2005,Assumptions!$E$64))</f>
        <v>0.08</v>
      </c>
    </row>
    <row r="2109" customFormat="false" ht="15" hidden="false" customHeight="false" outlineLevel="0" collapsed="false">
      <c r="A2109" s="3" t="s">
        <v>332</v>
      </c>
      <c r="G2109" s="16" t="n">
        <f aca="false">G2105*G2108</f>
        <v>15.925</v>
      </c>
      <c r="H2109" s="16" t="n">
        <f aca="false">H2105*H2108</f>
        <v>15.925</v>
      </c>
      <c r="I2109" s="16" t="n">
        <f aca="false">I2105*I2108</f>
        <v>15.925</v>
      </c>
      <c r="J2109" s="16" t="n">
        <f aca="false">J2105*J2108</f>
        <v>15.925</v>
      </c>
      <c r="K2109" s="16" t="n">
        <f aca="false">K2105*K2108</f>
        <v>28</v>
      </c>
    </row>
    <row r="2110" customFormat="false" ht="15" hidden="false" customHeight="false" outlineLevel="0" collapsed="false">
      <c r="A2110" s="3" t="s">
        <v>333</v>
      </c>
      <c r="G2110" s="16" t="n">
        <f aca="false">G2105*Assumptions!$H$64</f>
        <v>0</v>
      </c>
      <c r="H2110" s="16" t="n">
        <f aca="false">H2105*Assumptions!$H$64</f>
        <v>0</v>
      </c>
      <c r="I2110" s="16" t="n">
        <f aca="false">I2105*Assumptions!$H$64</f>
        <v>0</v>
      </c>
      <c r="J2110" s="16" t="n">
        <f aca="false">J2105*Assumptions!$H$64</f>
        <v>0</v>
      </c>
      <c r="K2110" s="16" t="n">
        <f aca="false">K2105*Assumptions!$H$64</f>
        <v>0</v>
      </c>
    </row>
    <row r="2111" customFormat="false" ht="15" hidden="false" customHeight="false" outlineLevel="0" collapsed="false">
      <c r="A2111" s="3" t="s">
        <v>334</v>
      </c>
      <c r="G2111" s="16" t="n">
        <f aca="false">MIN(G2105,Assumptions!$L$64*Assumptions!$C$64)</f>
        <v>0</v>
      </c>
      <c r="H2111" s="16" t="n">
        <f aca="false">MIN(H2105,Assumptions!$L$64*Assumptions!$C$64)</f>
        <v>0</v>
      </c>
      <c r="I2111" s="16" t="n">
        <f aca="false">MIN(I2105,Assumptions!$L$64*Assumptions!$C$64)</f>
        <v>0</v>
      </c>
      <c r="J2111" s="16" t="n">
        <f aca="false">MIN(J2105,Assumptions!$L$64*Assumptions!$C$64)</f>
        <v>0</v>
      </c>
      <c r="K2111" s="16" t="n">
        <f aca="false">MIN(K2105,Assumptions!$L$64*Assumptions!$C$64)</f>
        <v>0</v>
      </c>
    </row>
    <row r="2112" customFormat="false" ht="15" hidden="false" customHeight="false" outlineLevel="0" collapsed="false">
      <c r="A2112" s="3" t="s">
        <v>335</v>
      </c>
      <c r="G2112" s="16" t="n">
        <f aca="false">IF(AND(Assumptions!$P$64=1,G1978&lt;Assumptions!$K$64),MIN(MAX(0,-G2194),MAX(0,Assumptions!$D$64-G2105)),0)</f>
        <v>0</v>
      </c>
      <c r="H2112" s="16" t="n">
        <f aca="false">IF(AND(Assumptions!$P$64=1,OR(H1978&lt;Assumptions!$K$64,G2331=1)),MIN(MAX(0,-H2194),MAX(0,Assumptions!$D$64-H2105)),0)</f>
        <v>0</v>
      </c>
      <c r="I2112" s="16" t="n">
        <f aca="false">IF(AND(Assumptions!$P$64=1,OR(I1978&lt;Assumptions!$K$64,H2331=1)),MIN(MAX(0,-I2194),MAX(0,Assumptions!$D$64-I2105)),0)</f>
        <v>0</v>
      </c>
      <c r="J2112" s="16" t="n">
        <f aca="false">IF(AND(Assumptions!$P$64=1,OR(J1978&lt;Assumptions!$K$64,I2331=1)),MIN(MAX(0,-J2194),MAX(0,Assumptions!$D$64-J2105)),0)</f>
        <v>0</v>
      </c>
      <c r="K2112" s="16" t="n">
        <f aca="false">IF(AND(Assumptions!$P$64=1,OR(K1978&lt;Assumptions!$K$64,J2331=1)),MIN(MAX(0,-K2194),MAX(0,Assumptions!$D$64-K2105)),0)</f>
        <v>0</v>
      </c>
    </row>
    <row r="2113" customFormat="false" ht="15" hidden="false" customHeight="false" outlineLevel="0" collapsed="false">
      <c r="A2113" s="3" t="s">
        <v>336</v>
      </c>
      <c r="G2113" s="16" t="n">
        <f aca="false">G2106*MIN(G2105-G2111+G2110,MAX(0,G2196-Assumptions!$C$12*G2012-G2022-G2035-G2048-G2061-G2074-G2087-G2100))</f>
        <v>0</v>
      </c>
      <c r="H2113" s="16" t="n">
        <f aca="false">H2106*MIN(H2105-H2111+H2110,MAX(0,H2196-Assumptions!$C$12*H2012-H2022-H2035-H2048-H2061-H2074-H2087-H2100))</f>
        <v>0</v>
      </c>
      <c r="I2113" s="16" t="n">
        <f aca="false">I2106*MIN(I2105-I2111+I2110,MAX(0,I2196-Assumptions!$C$12*I2012-I2022-I2035-I2048-I2061-I2074-I2087-I2100))</f>
        <v>0</v>
      </c>
      <c r="J2113" s="16" t="n">
        <f aca="false">J2106*MIN(J2105-J2111+J2110,MAX(0,J2196-Assumptions!$C$12*J2012-J2022-J2035-J2048-J2061-J2074-J2087-J2100))</f>
        <v>0</v>
      </c>
      <c r="K2113" s="16" t="n">
        <f aca="false">K2106*MIN(K2105-K2111+K2110,MAX(0,K2196-Assumptions!$C$12*K2012-K2022-K2035-K2048-K2061-K2074-K2087-K2100))</f>
        <v>0</v>
      </c>
    </row>
    <row r="2114" customFormat="false" ht="15" hidden="false" customHeight="false" outlineLevel="0" collapsed="false">
      <c r="A2114" s="3" t="s">
        <v>337</v>
      </c>
      <c r="G2114" s="16" t="n">
        <f aca="false">Assumptions!$N$64*MIN(G2105+G2112+G2110-G2111-G2113,MAX(0,G2200-G2023-G2036-G2049-G2062-G2075-G2088-G2101))</f>
        <v>0</v>
      </c>
      <c r="H2114" s="16" t="n">
        <f aca="false">Assumptions!$N$64*MIN(H2105+H2112+H2110-H2111-H2113,MAX(0,H2200-H2023-H2036-H2049-H2062-H2075-H2088-H2101))</f>
        <v>0</v>
      </c>
      <c r="I2114" s="16" t="n">
        <f aca="false">Assumptions!$N$64*MIN(I2105+I2112+I2110-I2111-I2113,MAX(0,I2200-I2023-I2036-I2049-I2062-I2075-I2088-I2101))</f>
        <v>0</v>
      </c>
      <c r="J2114" s="16" t="n">
        <f aca="false">Assumptions!$N$64*MIN(J2105+J2112+J2110-J2111-J2113,MAX(0,J2200-J2023-J2036-J2049-J2062-J2075-J2088-J2101))</f>
        <v>0</v>
      </c>
      <c r="K2114" s="16" t="n">
        <f aca="false">Assumptions!$N$64*MIN(K2105+K2112+K2110-K2111-K2113,MAX(0,K2200-K2023-K2036-K2049-K2062-K2075-K2088-K2101))</f>
        <v>0</v>
      </c>
    </row>
    <row r="2115" customFormat="false" ht="15" hidden="false" customHeight="false" outlineLevel="0" collapsed="false">
      <c r="A2115" s="3" t="s">
        <v>338</v>
      </c>
      <c r="G2115" s="16" t="n">
        <f aca="false">G2106*(1-G2012)*(G2105-G2111+G2110-G2113)</f>
        <v>0</v>
      </c>
      <c r="H2115" s="16" t="n">
        <f aca="false">H2106*(1-H2012)*(H2105-H2111+H2110-H2113)</f>
        <v>0</v>
      </c>
      <c r="I2115" s="16" t="n">
        <f aca="false">I2106*(1-I2012)*(I2105-I2111+I2110-I2113)</f>
        <v>0</v>
      </c>
      <c r="J2115" s="16" t="n">
        <f aca="false">J2106*(1-J2012)*(J2105-J2111+J2110-J2113)</f>
        <v>0</v>
      </c>
      <c r="K2115" s="16" t="n">
        <f aca="false">K2106*(1-K2012)*(K2105-K2111+K2110-K2113)</f>
        <v>0</v>
      </c>
    </row>
    <row r="2116" customFormat="false" ht="15" hidden="false" customHeight="false" outlineLevel="0" collapsed="false">
      <c r="A2116" s="2" t="s">
        <v>339</v>
      </c>
      <c r="F2116" s="28" t="n">
        <f aca="false">Assumptions!$C$64</f>
        <v>350</v>
      </c>
      <c r="G2116" s="17" t="n">
        <f aca="false">G2105+G2112+G2110-G2111-G2113-G2114</f>
        <v>350</v>
      </c>
      <c r="H2116" s="17" t="n">
        <f aca="false">H2105+H2112+H2110-H2111-H2113-H2114</f>
        <v>350</v>
      </c>
      <c r="I2116" s="17" t="n">
        <f aca="false">I2105+I2112+I2110-I2111-I2113-I2114</f>
        <v>350</v>
      </c>
      <c r="J2116" s="17" t="n">
        <f aca="false">J2105+J2112+J2110-J2111-J2113-J2114</f>
        <v>350</v>
      </c>
      <c r="K2116" s="17" t="n">
        <f aca="false">K2105+K2112+K2110-K2111-K2113-K2114</f>
        <v>350</v>
      </c>
    </row>
    <row r="2117" customFormat="false" ht="15" hidden="false" customHeight="false" outlineLevel="0" collapsed="false">
      <c r="A2117" s="24" t="s">
        <v>347</v>
      </c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</row>
    <row r="2118" customFormat="false" ht="15" hidden="false" customHeight="false" outlineLevel="0" collapsed="false">
      <c r="A2118" s="3" t="s">
        <v>329</v>
      </c>
      <c r="G2118" s="16" t="n">
        <f aca="false">F2129</f>
        <v>300</v>
      </c>
      <c r="H2118" s="16" t="n">
        <f aca="false">G2129</f>
        <v>300</v>
      </c>
      <c r="I2118" s="16" t="n">
        <f aca="false">H2129</f>
        <v>300</v>
      </c>
      <c r="J2118" s="16" t="n">
        <f aca="false">I2129</f>
        <v>300</v>
      </c>
      <c r="K2118" s="16" t="n">
        <f aca="false">J2129</f>
        <v>300</v>
      </c>
    </row>
    <row r="2119" customFormat="false" ht="15" hidden="false" customHeight="false" outlineLevel="0" collapsed="false">
      <c r="A2119" s="3" t="s">
        <v>330</v>
      </c>
      <c r="G2119" s="21" t="n">
        <f aca="false">IF(G1978=Assumptions!$K$65,1,0)</f>
        <v>0</v>
      </c>
      <c r="H2119" s="21" t="n">
        <f aca="false">IF(H1978=Assumptions!$K$65,1,0)</f>
        <v>0</v>
      </c>
      <c r="I2119" s="21" t="n">
        <f aca="false">IF(I1978=Assumptions!$K$65,1,0)</f>
        <v>0</v>
      </c>
      <c r="J2119" s="21" t="n">
        <f aca="false">IF(J1978=Assumptions!$K$65,1,0)</f>
        <v>0</v>
      </c>
      <c r="K2119" s="21" t="n">
        <f aca="false">IF(K1978=Assumptions!$K$65,1,0)</f>
        <v>1</v>
      </c>
    </row>
    <row r="2121" customFormat="false" ht="15" hidden="false" customHeight="false" outlineLevel="0" collapsed="false">
      <c r="A2121" s="3" t="s">
        <v>331</v>
      </c>
      <c r="G2121" s="31" t="n">
        <f aca="false">IF(Assumptions!$I$65=1,MAX(G2004,Assumptions!$G$65)+Assumptions!$F$65+$C$2005,Assumptions!$E$65)</f>
        <v>0.06125</v>
      </c>
      <c r="H2121" s="31" t="n">
        <f aca="false">IF(G2332=1,$C$2006,IF(Assumptions!$I$65=1,MAX(H2004,Assumptions!$G$65)+Assumptions!$F$65+$C$2005,Assumptions!$E$65))</f>
        <v>0.06125</v>
      </c>
      <c r="I2121" s="31" t="n">
        <f aca="false">IF(H2332=1,$C$2006,IF(Assumptions!$I$65=1,MAX(I2004,Assumptions!$G$65)+Assumptions!$F$65+$C$2005,Assumptions!$E$65))</f>
        <v>0.06125</v>
      </c>
      <c r="J2121" s="31" t="n">
        <f aca="false">IF(I2332=1,$C$2006,IF(Assumptions!$I$65=1,MAX(J2004,Assumptions!$G$65)+Assumptions!$F$65+$C$2005,Assumptions!$E$65))</f>
        <v>0.06125</v>
      </c>
      <c r="K2121" s="31" t="n">
        <f aca="false">IF(J2332=1,$C$2006,IF(Assumptions!$I$65=1,MAX(K2004,Assumptions!$G$65)+Assumptions!$F$65+$C$2005,Assumptions!$E$65))</f>
        <v>0.06125</v>
      </c>
    </row>
    <row r="2122" customFormat="false" ht="15" hidden="false" customHeight="false" outlineLevel="0" collapsed="false">
      <c r="A2122" s="3" t="s">
        <v>332</v>
      </c>
      <c r="G2122" s="16" t="n">
        <f aca="false">G2118*G2121</f>
        <v>18.375</v>
      </c>
      <c r="H2122" s="16" t="n">
        <f aca="false">H2118*H2121</f>
        <v>18.375</v>
      </c>
      <c r="I2122" s="16" t="n">
        <f aca="false">I2118*I2121</f>
        <v>18.375</v>
      </c>
      <c r="J2122" s="16" t="n">
        <f aca="false">J2118*J2121</f>
        <v>18.375</v>
      </c>
      <c r="K2122" s="16" t="n">
        <f aca="false">K2118*K2121</f>
        <v>18.375</v>
      </c>
    </row>
    <row r="2123" customFormat="false" ht="15" hidden="false" customHeight="false" outlineLevel="0" collapsed="false">
      <c r="A2123" s="3" t="s">
        <v>333</v>
      </c>
      <c r="G2123" s="16" t="n">
        <f aca="false">G2118*Assumptions!$H$65</f>
        <v>0</v>
      </c>
      <c r="H2123" s="16" t="n">
        <f aca="false">H2118*Assumptions!$H$65</f>
        <v>0</v>
      </c>
      <c r="I2123" s="16" t="n">
        <f aca="false">I2118*Assumptions!$H$65</f>
        <v>0</v>
      </c>
      <c r="J2123" s="16" t="n">
        <f aca="false">J2118*Assumptions!$H$65</f>
        <v>0</v>
      </c>
      <c r="K2123" s="16" t="n">
        <f aca="false">K2118*Assumptions!$H$65</f>
        <v>0</v>
      </c>
    </row>
    <row r="2124" customFormat="false" ht="15" hidden="false" customHeight="false" outlineLevel="0" collapsed="false">
      <c r="A2124" s="3" t="s">
        <v>334</v>
      </c>
      <c r="G2124" s="16" t="n">
        <f aca="false">MIN(G2118,Assumptions!$L$65*Assumptions!$C$65)</f>
        <v>0</v>
      </c>
      <c r="H2124" s="16" t="n">
        <f aca="false">MIN(H2118,Assumptions!$L$65*Assumptions!$C$65)</f>
        <v>0</v>
      </c>
      <c r="I2124" s="16" t="n">
        <f aca="false">MIN(I2118,Assumptions!$L$65*Assumptions!$C$65)</f>
        <v>0</v>
      </c>
      <c r="J2124" s="16" t="n">
        <f aca="false">MIN(J2118,Assumptions!$L$65*Assumptions!$C$65)</f>
        <v>0</v>
      </c>
      <c r="K2124" s="16" t="n">
        <f aca="false">MIN(K2118,Assumptions!$L$65*Assumptions!$C$65)</f>
        <v>0</v>
      </c>
    </row>
    <row r="2125" customFormat="false" ht="15" hidden="false" customHeight="false" outlineLevel="0" collapsed="false">
      <c r="A2125" s="3" t="s">
        <v>335</v>
      </c>
      <c r="G2125" s="16" t="n">
        <f aca="false">IF(AND(Assumptions!$P$65=1,G1978&lt;Assumptions!$K$65),MIN(MAX(0,-G2194),MAX(0,Assumptions!$D$65-G2118)),0)</f>
        <v>0</v>
      </c>
      <c r="H2125" s="16" t="n">
        <f aca="false">IF(AND(Assumptions!$P$65=1,OR(H1978&lt;Assumptions!$K$65,G2332=1)),MIN(MAX(0,-H2194),MAX(0,Assumptions!$D$65-H2118)),0)</f>
        <v>0</v>
      </c>
      <c r="I2125" s="16" t="n">
        <f aca="false">IF(AND(Assumptions!$P$65=1,OR(I1978&lt;Assumptions!$K$65,H2332=1)),MIN(MAX(0,-I2194),MAX(0,Assumptions!$D$65-I2118)),0)</f>
        <v>0</v>
      </c>
      <c r="J2125" s="16" t="n">
        <f aca="false">IF(AND(Assumptions!$P$65=1,OR(J1978&lt;Assumptions!$K$65,I2332=1)),MIN(MAX(0,-J2194),MAX(0,Assumptions!$D$65-J2118)),0)</f>
        <v>0</v>
      </c>
      <c r="K2125" s="16" t="n">
        <f aca="false">IF(AND(Assumptions!$P$65=1,OR(K1978&lt;Assumptions!$K$65,J2332=1)),MIN(MAX(0,-K2194),MAX(0,Assumptions!$D$65-K2118)),0)</f>
        <v>0</v>
      </c>
    </row>
    <row r="2126" customFormat="false" ht="15" hidden="false" customHeight="false" outlineLevel="0" collapsed="false">
      <c r="A2126" s="3" t="s">
        <v>336</v>
      </c>
      <c r="G2126" s="16" t="n">
        <f aca="false">G2119*MIN(G2118-G2124+G2123,MAX(0,G2196-Assumptions!$C$12*G2012-G2022-G2035-G2048-G2061-G2074-G2087-G2100-G2113))</f>
        <v>0</v>
      </c>
      <c r="H2126" s="16" t="n">
        <f aca="false">H2119*MIN(H2118-H2124+H2123,MAX(0,H2196-Assumptions!$C$12*H2012-H2022-H2035-H2048-H2061-H2074-H2087-H2100-H2113))</f>
        <v>0</v>
      </c>
      <c r="I2126" s="16" t="n">
        <f aca="false">I2119*MIN(I2118-I2124+I2123,MAX(0,I2196-Assumptions!$C$12*I2012-I2022-I2035-I2048-I2061-I2074-I2087-I2100-I2113))</f>
        <v>0</v>
      </c>
      <c r="J2126" s="16" t="n">
        <f aca="false">J2119*MIN(J2118-J2124+J2123,MAX(0,J2196-Assumptions!$C$12*J2012-J2022-J2035-J2048-J2061-J2074-J2087-J2100-J2113))</f>
        <v>0</v>
      </c>
      <c r="K2126" s="16" t="n">
        <f aca="false">K2119*MIN(K2118-K2124+K2123,MAX(0,K2196-Assumptions!$C$12*K2012-K2022-K2035-K2048-K2061-K2074-K2087-K2100-K2113))</f>
        <v>0</v>
      </c>
    </row>
    <row r="2127" customFormat="false" ht="15" hidden="false" customHeight="false" outlineLevel="0" collapsed="false">
      <c r="A2127" s="3" t="s">
        <v>337</v>
      </c>
      <c r="G2127" s="16" t="n">
        <f aca="false">Assumptions!$N$65*MIN(G2118+G2125+G2123-G2124-G2126,MAX(0,G2200-G2023-G2036-G2049-G2062-G2075-G2088-G2101-G2114))</f>
        <v>0</v>
      </c>
      <c r="H2127" s="16" t="n">
        <f aca="false">Assumptions!$N$65*MIN(H2118+H2125+H2123-H2124-H2126,MAX(0,H2200-H2023-H2036-H2049-H2062-H2075-H2088-H2101-H2114))</f>
        <v>0</v>
      </c>
      <c r="I2127" s="16" t="n">
        <f aca="false">Assumptions!$N$65*MIN(I2118+I2125+I2123-I2124-I2126,MAX(0,I2200-I2023-I2036-I2049-I2062-I2075-I2088-I2101-I2114))</f>
        <v>0</v>
      </c>
      <c r="J2127" s="16" t="n">
        <f aca="false">Assumptions!$N$65*MIN(J2118+J2125+J2123-J2124-J2126,MAX(0,J2200-J2023-J2036-J2049-J2062-J2075-J2088-J2101-J2114))</f>
        <v>0</v>
      </c>
      <c r="K2127" s="16" t="n">
        <f aca="false">Assumptions!$N$65*MIN(K2118+K2125+K2123-K2124-K2126,MAX(0,K2200-K2023-K2036-K2049-K2062-K2075-K2088-K2101-K2114))</f>
        <v>0</v>
      </c>
    </row>
    <row r="2128" customFormat="false" ht="15" hidden="false" customHeight="false" outlineLevel="0" collapsed="false">
      <c r="A2128" s="3" t="s">
        <v>338</v>
      </c>
      <c r="G2128" s="16" t="n">
        <f aca="false">G2119*(1-G2012)*(G2118-G2124+G2123-G2126)</f>
        <v>0</v>
      </c>
      <c r="H2128" s="16" t="n">
        <f aca="false">H2119*(1-H2012)*(H2118-H2124+H2123-H2126)</f>
        <v>0</v>
      </c>
      <c r="I2128" s="16" t="n">
        <f aca="false">I2119*(1-I2012)*(I2118-I2124+I2123-I2126)</f>
        <v>0</v>
      </c>
      <c r="J2128" s="16" t="n">
        <f aca="false">J2119*(1-J2012)*(J2118-J2124+J2123-J2126)</f>
        <v>0</v>
      </c>
      <c r="K2128" s="16" t="n">
        <f aca="false">K2119*(1-K2012)*(K2118-K2124+K2123-K2126)</f>
        <v>300</v>
      </c>
    </row>
    <row r="2129" customFormat="false" ht="15" hidden="false" customHeight="false" outlineLevel="0" collapsed="false">
      <c r="A2129" s="2" t="s">
        <v>339</v>
      </c>
      <c r="F2129" s="28" t="n">
        <f aca="false">Assumptions!$C$65</f>
        <v>300</v>
      </c>
      <c r="G2129" s="17" t="n">
        <f aca="false">G2118+G2125+G2123-G2124-G2126-G2127</f>
        <v>300</v>
      </c>
      <c r="H2129" s="17" t="n">
        <f aca="false">H2118+H2125+H2123-H2124-H2126-H2127</f>
        <v>300</v>
      </c>
      <c r="I2129" s="17" t="n">
        <f aca="false">I2118+I2125+I2123-I2124-I2126-I2127</f>
        <v>300</v>
      </c>
      <c r="J2129" s="17" t="n">
        <f aca="false">J2118+J2125+J2123-J2124-J2126-J2127</f>
        <v>300</v>
      </c>
      <c r="K2129" s="17" t="n">
        <f aca="false">K2118+K2125+K2123-K2124-K2126-K2127</f>
        <v>300</v>
      </c>
    </row>
    <row r="2130" customFormat="false" ht="15" hidden="false" customHeight="false" outlineLevel="0" collapsed="false">
      <c r="A2130" s="24" t="s">
        <v>348</v>
      </c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</row>
    <row r="2131" customFormat="false" ht="15" hidden="false" customHeight="false" outlineLevel="0" collapsed="false">
      <c r="A2131" s="3" t="s">
        <v>329</v>
      </c>
      <c r="G2131" s="16" t="n">
        <f aca="false">F2142</f>
        <v>78.61</v>
      </c>
      <c r="H2131" s="16" t="n">
        <f aca="false">G2142</f>
        <v>78.61</v>
      </c>
      <c r="I2131" s="16" t="n">
        <f aca="false">H2142</f>
        <v>78.61</v>
      </c>
      <c r="J2131" s="16" t="n">
        <f aca="false">I2142</f>
        <v>78.61</v>
      </c>
      <c r="K2131" s="16" t="n">
        <f aca="false">J2142</f>
        <v>78.61</v>
      </c>
    </row>
    <row r="2132" customFormat="false" ht="15" hidden="false" customHeight="false" outlineLevel="0" collapsed="false">
      <c r="A2132" s="3" t="s">
        <v>330</v>
      </c>
      <c r="G2132" s="21" t="n">
        <f aca="false">IF(G1978=Assumptions!$K$66,1,0)</f>
        <v>0</v>
      </c>
      <c r="H2132" s="21" t="n">
        <f aca="false">IF(H1978=Assumptions!$K$66,1,0)</f>
        <v>0</v>
      </c>
      <c r="I2132" s="21" t="n">
        <f aca="false">IF(I1978=Assumptions!$K$66,1,0)</f>
        <v>0</v>
      </c>
      <c r="J2132" s="21" t="n">
        <f aca="false">IF(J1978=Assumptions!$K$66,1,0)</f>
        <v>0</v>
      </c>
      <c r="K2132" s="21" t="n">
        <f aca="false">IF(K1978=Assumptions!$K$66,1,0)</f>
        <v>0</v>
      </c>
    </row>
    <row r="2134" customFormat="false" ht="15" hidden="false" customHeight="false" outlineLevel="0" collapsed="false">
      <c r="A2134" s="3" t="s">
        <v>331</v>
      </c>
      <c r="G2134" s="31" t="n">
        <f aca="false">IF(Assumptions!$I$66=1,MAX(G2004,Assumptions!$G$66)+Assumptions!$F$66+$C$2005,Assumptions!$E$66)</f>
        <v>0.0541</v>
      </c>
      <c r="H2134" s="31" t="n">
        <f aca="false">IF(G2333=1,$C$2006,IF(Assumptions!$I$66=1,MAX(H2004,Assumptions!$G$66)+Assumptions!$F$66+$C$2005,Assumptions!$E$66))</f>
        <v>0.0526</v>
      </c>
      <c r="I2134" s="31" t="n">
        <f aca="false">IF(H2333=1,$C$2006,IF(Assumptions!$I$66=1,MAX(I2004,Assumptions!$G$66)+Assumptions!$F$66+$C$2005,Assumptions!$E$66))</f>
        <v>0.0501</v>
      </c>
      <c r="J2134" s="31" t="n">
        <f aca="false">IF(I2333=1,$C$2006,IF(Assumptions!$I$66=1,MAX(J2004,Assumptions!$G$66)+Assumptions!$F$66+$C$2005,Assumptions!$E$66))</f>
        <v>0.0501</v>
      </c>
      <c r="K2134" s="31" t="n">
        <f aca="false">IF(J2333=1,$C$2006,IF(Assumptions!$I$66=1,MAX(K2004,Assumptions!$G$66)+Assumptions!$F$66+$C$2005,Assumptions!$E$66))</f>
        <v>0.0501</v>
      </c>
    </row>
    <row r="2135" customFormat="false" ht="15" hidden="false" customHeight="false" outlineLevel="0" collapsed="false">
      <c r="A2135" s="3" t="s">
        <v>332</v>
      </c>
      <c r="G2135" s="16" t="n">
        <f aca="false">G2131*G2134</f>
        <v>4.252801</v>
      </c>
      <c r="H2135" s="16" t="n">
        <f aca="false">H2131*H2134</f>
        <v>4.134886</v>
      </c>
      <c r="I2135" s="16" t="n">
        <f aca="false">I2131*I2134</f>
        <v>3.938361</v>
      </c>
      <c r="J2135" s="16" t="n">
        <f aca="false">J2131*J2134</f>
        <v>3.938361</v>
      </c>
      <c r="K2135" s="16" t="n">
        <f aca="false">K2131*K2134</f>
        <v>3.938361</v>
      </c>
    </row>
    <row r="2136" customFormat="false" ht="15" hidden="false" customHeight="false" outlineLevel="0" collapsed="false">
      <c r="A2136" s="3" t="s">
        <v>333</v>
      </c>
      <c r="G2136" s="16" t="n">
        <f aca="false">G2131*Assumptions!$H$66</f>
        <v>0</v>
      </c>
      <c r="H2136" s="16" t="n">
        <f aca="false">H2131*Assumptions!$H$66</f>
        <v>0</v>
      </c>
      <c r="I2136" s="16" t="n">
        <f aca="false">I2131*Assumptions!$H$66</f>
        <v>0</v>
      </c>
      <c r="J2136" s="16" t="n">
        <f aca="false">J2131*Assumptions!$H$66</f>
        <v>0</v>
      </c>
      <c r="K2136" s="16" t="n">
        <f aca="false">K2131*Assumptions!$H$66</f>
        <v>0</v>
      </c>
    </row>
    <row r="2137" customFormat="false" ht="15" hidden="false" customHeight="false" outlineLevel="0" collapsed="false">
      <c r="A2137" s="3" t="s">
        <v>334</v>
      </c>
      <c r="G2137" s="16" t="n">
        <f aca="false">MIN(G2131,Assumptions!$L$66*Assumptions!$C$66)</f>
        <v>0</v>
      </c>
      <c r="H2137" s="16" t="n">
        <f aca="false">MIN(H2131,Assumptions!$L$66*Assumptions!$C$66)</f>
        <v>0</v>
      </c>
      <c r="I2137" s="16" t="n">
        <f aca="false">MIN(I2131,Assumptions!$L$66*Assumptions!$C$66)</f>
        <v>0</v>
      </c>
      <c r="J2137" s="16" t="n">
        <f aca="false">MIN(J2131,Assumptions!$L$66*Assumptions!$C$66)</f>
        <v>0</v>
      </c>
      <c r="K2137" s="16" t="n">
        <f aca="false">MIN(K2131,Assumptions!$L$66*Assumptions!$C$66)</f>
        <v>0</v>
      </c>
    </row>
    <row r="2138" customFormat="false" ht="15" hidden="false" customHeight="false" outlineLevel="0" collapsed="false">
      <c r="A2138" s="3" t="s">
        <v>335</v>
      </c>
      <c r="G2138" s="16" t="n">
        <f aca="false">IF(AND(Assumptions!$P$66=1,G1978&lt;Assumptions!$K$66),MIN(MAX(0,-G2194),MAX(0,Assumptions!$D$66-G2131)),0)</f>
        <v>0</v>
      </c>
      <c r="H2138" s="16" t="n">
        <f aca="false">IF(AND(Assumptions!$P$66=1,OR(H1978&lt;Assumptions!$K$66,G2333=1)),MIN(MAX(0,-H2194),MAX(0,Assumptions!$D$66-H2131)),0)</f>
        <v>0</v>
      </c>
      <c r="I2138" s="16" t="n">
        <f aca="false">IF(AND(Assumptions!$P$66=1,OR(I1978&lt;Assumptions!$K$66,H2333=1)),MIN(MAX(0,-I2194),MAX(0,Assumptions!$D$66-I2131)),0)</f>
        <v>0</v>
      </c>
      <c r="J2138" s="16" t="n">
        <f aca="false">IF(AND(Assumptions!$P$66=1,OR(J1978&lt;Assumptions!$K$66,I2333=1)),MIN(MAX(0,-J2194),MAX(0,Assumptions!$D$66-J2131)),0)</f>
        <v>0</v>
      </c>
      <c r="K2138" s="16" t="n">
        <f aca="false">IF(AND(Assumptions!$P$66=1,OR(K1978&lt;Assumptions!$K$66,J2333=1)),MIN(MAX(0,-K2194),MAX(0,Assumptions!$D$66-K2131)),0)</f>
        <v>0</v>
      </c>
    </row>
    <row r="2139" customFormat="false" ht="15" hidden="false" customHeight="false" outlineLevel="0" collapsed="false">
      <c r="A2139" s="3" t="s">
        <v>336</v>
      </c>
      <c r="G2139" s="16" t="n">
        <f aca="false">G2132*MIN(G2131-G2137+G2136,MAX(0,G2196-Assumptions!$C$12*G2012-G2022-G2035-G2048-G2061-G2074-G2087-G2100-G2113-G2126))</f>
        <v>0</v>
      </c>
      <c r="H2139" s="16" t="n">
        <f aca="false">H2132*MIN(H2131-H2137+H2136,MAX(0,H2196-Assumptions!$C$12*H2012-H2022-H2035-H2048-H2061-H2074-H2087-H2100-H2113-H2126))</f>
        <v>0</v>
      </c>
      <c r="I2139" s="16" t="n">
        <f aca="false">I2132*MIN(I2131-I2137+I2136,MAX(0,I2196-Assumptions!$C$12*I2012-I2022-I2035-I2048-I2061-I2074-I2087-I2100-I2113-I2126))</f>
        <v>0</v>
      </c>
      <c r="J2139" s="16" t="n">
        <f aca="false">J2132*MIN(J2131-J2137+J2136,MAX(0,J2196-Assumptions!$C$12*J2012-J2022-J2035-J2048-J2061-J2074-J2087-J2100-J2113-J2126))</f>
        <v>0</v>
      </c>
      <c r="K2139" s="16" t="n">
        <f aca="false">K2132*MIN(K2131-K2137+K2136,MAX(0,K2196-Assumptions!$C$12*K2012-K2022-K2035-K2048-K2061-K2074-K2087-K2100-K2113-K2126))</f>
        <v>0</v>
      </c>
    </row>
    <row r="2140" customFormat="false" ht="15" hidden="false" customHeight="false" outlineLevel="0" collapsed="false">
      <c r="A2140" s="3" t="s">
        <v>337</v>
      </c>
      <c r="G2140" s="16" t="n">
        <f aca="false">Assumptions!$N$66*MIN(G2131+G2138+G2136-G2137-G2139,MAX(0,G2200-G2023-G2036-G2049-G2062-G2075-G2088-G2101-G2114-G2127))</f>
        <v>0</v>
      </c>
      <c r="H2140" s="16" t="n">
        <f aca="false">Assumptions!$N$66*MIN(H2131+H2138+H2136-H2137-H2139,MAX(0,H2200-H2023-H2036-H2049-H2062-H2075-H2088-H2101-H2114-H2127))</f>
        <v>0</v>
      </c>
      <c r="I2140" s="16" t="n">
        <f aca="false">Assumptions!$N$66*MIN(I2131+I2138+I2136-I2137-I2139,MAX(0,I2200-I2023-I2036-I2049-I2062-I2075-I2088-I2101-I2114-I2127))</f>
        <v>0</v>
      </c>
      <c r="J2140" s="16" t="n">
        <f aca="false">Assumptions!$N$66*MIN(J2131+J2138+J2136-J2137-J2139,MAX(0,J2200-J2023-J2036-J2049-J2062-J2075-J2088-J2101-J2114-J2127))</f>
        <v>0</v>
      </c>
      <c r="K2140" s="16" t="n">
        <f aca="false">Assumptions!$N$66*MIN(K2131+K2138+K2136-K2137-K2139,MAX(0,K2200-K2023-K2036-K2049-K2062-K2075-K2088-K2101-K2114-K2127))</f>
        <v>0</v>
      </c>
    </row>
    <row r="2141" customFormat="false" ht="15" hidden="false" customHeight="false" outlineLevel="0" collapsed="false">
      <c r="A2141" s="3" t="s">
        <v>338</v>
      </c>
      <c r="G2141" s="16" t="n">
        <f aca="false">G2132*(1-G2012)*(G2131-G2137+G2136-G2139)</f>
        <v>0</v>
      </c>
      <c r="H2141" s="16" t="n">
        <f aca="false">H2132*(1-H2012)*(H2131-H2137+H2136-H2139)</f>
        <v>0</v>
      </c>
      <c r="I2141" s="16" t="n">
        <f aca="false">I2132*(1-I2012)*(I2131-I2137+I2136-I2139)</f>
        <v>0</v>
      </c>
      <c r="J2141" s="16" t="n">
        <f aca="false">J2132*(1-J2012)*(J2131-J2137+J2136-J2139)</f>
        <v>0</v>
      </c>
      <c r="K2141" s="16" t="n">
        <f aca="false">K2132*(1-K2012)*(K2131-K2137+K2136-K2139)</f>
        <v>0</v>
      </c>
    </row>
    <row r="2142" customFormat="false" ht="15" hidden="false" customHeight="false" outlineLevel="0" collapsed="false">
      <c r="A2142" s="2" t="s">
        <v>339</v>
      </c>
      <c r="F2142" s="28" t="n">
        <f aca="false">Assumptions!$C$66</f>
        <v>78.61</v>
      </c>
      <c r="G2142" s="17" t="n">
        <f aca="false">G2131+G2138+G2136-G2137-G2139-G2140</f>
        <v>78.61</v>
      </c>
      <c r="H2142" s="17" t="n">
        <f aca="false">H2131+H2138+H2136-H2137-H2139-H2140</f>
        <v>78.61</v>
      </c>
      <c r="I2142" s="17" t="n">
        <f aca="false">I2131+I2138+I2136-I2137-I2139-I2140</f>
        <v>78.61</v>
      </c>
      <c r="J2142" s="17" t="n">
        <f aca="false">J2131+J2138+J2136-J2137-J2139-J2140</f>
        <v>78.61</v>
      </c>
      <c r="K2142" s="17" t="n">
        <f aca="false">K2131+K2138+K2136-K2137-K2139-K2140</f>
        <v>78.61</v>
      </c>
    </row>
    <row r="2143" customFormat="false" ht="15" hidden="false" customHeight="false" outlineLevel="0" collapsed="false">
      <c r="A2143" s="24" t="s">
        <v>349</v>
      </c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</row>
    <row r="2144" customFormat="false" ht="15" hidden="false" customHeight="false" outlineLevel="0" collapsed="false">
      <c r="A2144" s="2" t="s">
        <v>350</v>
      </c>
      <c r="F2144" s="17" t="n">
        <f aca="false">F2025+F2038+F2051+F2064+F2077+F2090+F2103+F2116+F2129+F2142</f>
        <v>2625.934</v>
      </c>
      <c r="G2144" s="17" t="n">
        <f aca="false">G2025+G2038+G2051+G2064+G2077+G2090+G2103+G2116+G2129+G2142</f>
        <v>2621.934</v>
      </c>
      <c r="H2144" s="17" t="n">
        <f aca="false">H2025+H2038+H2051+H2064+H2077+H2090+H2103+H2116+H2129+H2142</f>
        <v>2614.7102067898</v>
      </c>
      <c r="I2144" s="17" t="n">
        <f aca="false">I2025+I2038+I2051+I2064+I2077+I2090+I2103+I2116+I2129+I2142</f>
        <v>2700.74624531346</v>
      </c>
      <c r="J2144" s="17" t="n">
        <f aca="false">J2025+J2038+J2051+J2064+J2077+J2090+J2103+J2116+J2129+J2142</f>
        <v>2811.12728748329</v>
      </c>
      <c r="K2144" s="17" t="n">
        <f aca="false">K2025+K2038+K2051+K2064+K2077+K2090+K2103+K2116+K2129+K2142</f>
        <v>2939.61400893493</v>
      </c>
    </row>
    <row r="2145" customFormat="false" ht="15" hidden="false" customHeight="false" outlineLevel="0" collapsed="false">
      <c r="A2145" s="3" t="s">
        <v>351</v>
      </c>
      <c r="G2145" s="16" t="n">
        <f aca="false">G2015*Assumptions!$C$57+G2028*Assumptions!$C$58+G2041*Assumptions!$C$59+G2054*Assumptions!$C$60+G2067*Assumptions!$C$61+G2080*Assumptions!$C$62+G2093*Assumptions!$C$63+G2106*Assumptions!$C$64+G2119*Assumptions!$C$65+G2132*Assumptions!$C$66</f>
        <v>0</v>
      </c>
      <c r="H2145" s="16" t="n">
        <f aca="false">H2015*Assumptions!$C$57+H2028*Assumptions!$C$58+H2041*Assumptions!$C$59+H2054*Assumptions!$C$60+H2067*Assumptions!$C$61+H2080*Assumptions!$C$62+H2093*Assumptions!$C$63+H2106*Assumptions!$C$64+H2119*Assumptions!$C$65+H2132*Assumptions!$C$66</f>
        <v>800</v>
      </c>
      <c r="I2145" s="16" t="n">
        <f aca="false">I2015*Assumptions!$C$57+I2028*Assumptions!$C$58+I2041*Assumptions!$C$59+I2054*Assumptions!$C$60+I2067*Assumptions!$C$61+I2080*Assumptions!$C$62+I2093*Assumptions!$C$63+I2106*Assumptions!$C$64+I2119*Assumptions!$C$65+I2132*Assumptions!$C$66</f>
        <v>550</v>
      </c>
      <c r="J2145" s="16" t="n">
        <f aca="false">J2015*Assumptions!$C$57+J2028*Assumptions!$C$58+J2041*Assumptions!$C$59+J2054*Assumptions!$C$60+J2067*Assumptions!$C$61+J2080*Assumptions!$C$62+J2093*Assumptions!$C$63+J2106*Assumptions!$C$64+J2119*Assumptions!$C$65+J2132*Assumptions!$C$66</f>
        <v>350</v>
      </c>
      <c r="K2145" s="16" t="n">
        <f aca="false">K2015*Assumptions!$C$57+K2028*Assumptions!$C$58+K2041*Assumptions!$C$59+K2054*Assumptions!$C$60+K2067*Assumptions!$C$61+K2080*Assumptions!$C$62+K2093*Assumptions!$C$63+K2106*Assumptions!$C$64+K2119*Assumptions!$C$65+K2132*Assumptions!$C$66</f>
        <v>700</v>
      </c>
    </row>
    <row r="2146" customFormat="false" ht="15" hidden="false" customHeight="false" outlineLevel="0" collapsed="false">
      <c r="A2146" s="24" t="s">
        <v>352</v>
      </c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</row>
    <row r="2147" customFormat="false" ht="15" hidden="false" customHeight="false" outlineLevel="0" collapsed="false">
      <c r="A2147" s="3" t="s">
        <v>353</v>
      </c>
      <c r="C2147" s="16" t="n">
        <f aca="false">SUMPRODUCT($G$2015:$K$2015,$G$2014:$K$2014-$G$2020:$K$2020+$G$2019:$K$2019)</f>
        <v>380</v>
      </c>
    </row>
    <row r="2148" customFormat="false" ht="15" hidden="false" customHeight="false" outlineLevel="0" collapsed="false">
      <c r="A2148" s="3" t="s">
        <v>354</v>
      </c>
      <c r="C2148" s="16" t="n">
        <f aca="false">SUMPRODUCT($G$2015:$K$2015,$G$2022:$K$2022)</f>
        <v>0</v>
      </c>
    </row>
    <row r="2149" customFormat="false" ht="15" hidden="false" customHeight="false" outlineLevel="0" collapsed="false">
      <c r="A2149" s="3" t="s">
        <v>355</v>
      </c>
      <c r="C2149" s="3" t="str">
        <f aca="false">IF(SUM($G$2015:$K$2015)=0,"n/a (beyond horizon)",IF(SUMPRODUCT($G$2015:$K$2015,$G$2012:$K$2012)&gt;0,"REFINANCING PASS","REFINANCING FAILURE"))</f>
        <v>REFINANCING FAILURE</v>
      </c>
    </row>
    <row r="2150" customFormat="false" ht="15" hidden="false" customHeight="false" outlineLevel="0" collapsed="false">
      <c r="A2150" s="3" t="s">
        <v>356</v>
      </c>
      <c r="C2150" s="3" t="str">
        <f aca="false">IF(SUM($G$2015:$K$2015)=0,"n/a",IF(C2148&gt;=C2147-0.001,"Repaid from cash",IF(SUMPRODUCT($G$2015:$K$2015,$G$2012:$K$2012)&gt;0,IF(C2148&gt;0,"Partly repaid; remainder refinanced","Refinanced"),IF(SUM($G$2024:$K$2024)&gt;0.001,IF(C2148&gt;0,"Partial repayment; PAYMENT DEFAULT","PAYMENT DEFAULT"),"Repaid from cash"))))</f>
        <v>PAYMENT DEFAULT</v>
      </c>
    </row>
    <row r="2151" customFormat="false" ht="15" hidden="false" customHeight="false" outlineLevel="0" collapsed="false">
      <c r="A2151" s="3" t="s">
        <v>357</v>
      </c>
      <c r="C2151" s="16" t="n">
        <f aca="false">SUMPRODUCT($G$2028:$K$2028,$G$2027:$K$2027-$G$2033:$K$2033+$G$2032:$K$2032)</f>
        <v>0</v>
      </c>
    </row>
    <row r="2152" customFormat="false" ht="15" hidden="false" customHeight="false" outlineLevel="0" collapsed="false">
      <c r="A2152" s="3" t="s">
        <v>358</v>
      </c>
      <c r="C2152" s="16" t="n">
        <f aca="false">SUMPRODUCT($G$2028:$K$2028,$G$2035:$K$2035)</f>
        <v>0</v>
      </c>
    </row>
    <row r="2153" customFormat="false" ht="15" hidden="false" customHeight="false" outlineLevel="0" collapsed="false">
      <c r="A2153" s="3" t="s">
        <v>359</v>
      </c>
      <c r="C2153" s="3" t="str">
        <f aca="false">IF(SUM($G$2028:$K$2028)=0,"n/a (beyond horizon)",IF(SUMPRODUCT($G$2028:$K$2028,$G$2012:$K$2012)&gt;0,"REFINANCING PASS","REFINANCING FAILURE"))</f>
        <v>n/a (beyond horizon)</v>
      </c>
    </row>
    <row r="2154" customFormat="false" ht="15" hidden="false" customHeight="false" outlineLevel="0" collapsed="false">
      <c r="A2154" s="3" t="s">
        <v>360</v>
      </c>
      <c r="C2154" s="3" t="str">
        <f aca="false">IF(SUM($G$2028:$K$2028)=0,"n/a",IF(C2152&gt;=C2151-0.001,"Repaid from cash",IF(SUMPRODUCT($G$2028:$K$2028,$G$2012:$K$2012)&gt;0,IF(C2152&gt;0,"Partly repaid; remainder refinanced","Refinanced"),IF(SUM($G$2037:$K$2037)&gt;0.001,IF(C2152&gt;0,"Partial repayment; PAYMENT DEFAULT","PAYMENT DEFAULT"),"Repaid from cash"))))</f>
        <v>n/a</v>
      </c>
    </row>
    <row r="2155" customFormat="false" ht="15" hidden="false" customHeight="false" outlineLevel="0" collapsed="false">
      <c r="A2155" s="3" t="s">
        <v>361</v>
      </c>
      <c r="C2155" s="16" t="n">
        <f aca="false">SUMPRODUCT($G$2041:$K$2041,$G$2040:$K$2040-$G$2046:$K$2046+$G$2045:$K$2045)</f>
        <v>0</v>
      </c>
    </row>
    <row r="2156" customFormat="false" ht="15" hidden="false" customHeight="false" outlineLevel="0" collapsed="false">
      <c r="A2156" s="3" t="s">
        <v>362</v>
      </c>
      <c r="C2156" s="16" t="n">
        <f aca="false">SUMPRODUCT($G$2041:$K$2041,$G$2048:$K$2048)</f>
        <v>0</v>
      </c>
    </row>
    <row r="2157" customFormat="false" ht="15" hidden="false" customHeight="false" outlineLevel="0" collapsed="false">
      <c r="A2157" s="3" t="s">
        <v>363</v>
      </c>
      <c r="C2157" s="3" t="str">
        <f aca="false">IF(SUM($G$2041:$K$2041)=0,"n/a (beyond horizon)",IF(SUMPRODUCT($G$2041:$K$2041,$G$2012:$K$2012)&gt;0,"REFINANCING PASS","REFINANCING FAILURE"))</f>
        <v>n/a (beyond horizon)</v>
      </c>
    </row>
    <row r="2158" customFormat="false" ht="15" hidden="false" customHeight="false" outlineLevel="0" collapsed="false">
      <c r="A2158" s="3" t="s">
        <v>364</v>
      </c>
      <c r="C2158" s="3" t="str">
        <f aca="false">IF(SUM($G$2041:$K$2041)=0,"n/a",IF(C2156&gt;=C2155-0.001,"Repaid from cash",IF(SUMPRODUCT($G$2041:$K$2041,$G$2012:$K$2012)&gt;0,IF(C2156&gt;0,"Partly repaid; remainder refinanced","Refinanced"),IF(SUM($G$2050:$K$2050)&gt;0.001,IF(C2156&gt;0,"Partial repayment; PAYMENT DEFAULT","PAYMENT DEFAULT"),"Repaid from cash"))))</f>
        <v>n/a</v>
      </c>
    </row>
    <row r="2159" customFormat="false" ht="15" hidden="false" customHeight="false" outlineLevel="0" collapsed="false">
      <c r="A2159" s="3" t="s">
        <v>365</v>
      </c>
      <c r="C2159" s="16" t="n">
        <f aca="false">SUMPRODUCT($G$2054:$K$2054,$G$2053:$K$2053-$G$2059:$K$2059+$G$2058:$K$2058)</f>
        <v>0</v>
      </c>
    </row>
    <row r="2160" customFormat="false" ht="15" hidden="false" customHeight="false" outlineLevel="0" collapsed="false">
      <c r="A2160" s="3" t="s">
        <v>366</v>
      </c>
      <c r="C2160" s="16" t="n">
        <f aca="false">SUMPRODUCT($G$2054:$K$2054,$G$2061:$K$2061)</f>
        <v>0</v>
      </c>
    </row>
    <row r="2161" customFormat="false" ht="15" hidden="false" customHeight="false" outlineLevel="0" collapsed="false">
      <c r="A2161" s="3" t="s">
        <v>367</v>
      </c>
      <c r="C2161" s="3" t="str">
        <f aca="false">IF(SUM($G$2054:$K$2054)=0,"n/a (beyond horizon)",IF(SUMPRODUCT($G$2054:$K$2054,$G$2012:$K$2012)&gt;0,"REFINANCING PASS","REFINANCING FAILURE"))</f>
        <v>REFINANCING PASS</v>
      </c>
    </row>
    <row r="2162" customFormat="false" ht="15" hidden="false" customHeight="false" outlineLevel="0" collapsed="false">
      <c r="A2162" s="3" t="s">
        <v>368</v>
      </c>
      <c r="C2162" s="3" t="str">
        <f aca="false">IF(SUM($G$2054:$K$2054)=0,"n/a",IF(C2160&gt;=C2159-0.001,"Repaid from cash",IF(SUMPRODUCT($G$2054:$K$2054,$G$2012:$K$2012)&gt;0,IF(C2160&gt;0,"Partly repaid; remainder refinanced","Refinanced"),IF(SUM($G$2063:$K$2063)&gt;0.001,IF(C2160&gt;0,"Partial repayment; PAYMENT DEFAULT","PAYMENT DEFAULT"),"Repaid from cash"))))</f>
        <v>Repaid from cash</v>
      </c>
    </row>
    <row r="2163" customFormat="false" ht="15" hidden="false" customHeight="false" outlineLevel="0" collapsed="false">
      <c r="A2163" s="3" t="s">
        <v>369</v>
      </c>
      <c r="C2163" s="16" t="n">
        <f aca="false">SUMPRODUCT($G$2067:$K$2067,$G$2066:$K$2066-$G$2072:$K$2072+$G$2071:$K$2071)</f>
        <v>450</v>
      </c>
    </row>
    <row r="2164" customFormat="false" ht="15" hidden="false" customHeight="false" outlineLevel="0" collapsed="false">
      <c r="A2164" s="3" t="s">
        <v>370</v>
      </c>
      <c r="C2164" s="16" t="n">
        <f aca="false">SUMPRODUCT($G$2067:$K$2067,$G$2074:$K$2074)</f>
        <v>3.22379321020006</v>
      </c>
    </row>
    <row r="2165" customFormat="false" ht="15" hidden="false" customHeight="false" outlineLevel="0" collapsed="false">
      <c r="A2165" s="3" t="s">
        <v>371</v>
      </c>
      <c r="C2165" s="3" t="str">
        <f aca="false">IF(SUM($G$2067:$K$2067)=0,"n/a (beyond horizon)",IF(SUMPRODUCT($G$2067:$K$2067,$G$2012:$K$2012)&gt;0,"REFINANCING PASS","REFINANCING FAILURE"))</f>
        <v>REFINANCING PASS</v>
      </c>
    </row>
    <row r="2166" customFormat="false" ht="15" hidden="false" customHeight="false" outlineLevel="0" collapsed="false">
      <c r="A2166" s="3" t="s">
        <v>372</v>
      </c>
      <c r="C2166" s="3" t="str">
        <f aca="false">IF(SUM($G$2067:$K$2067)=0,"n/a",IF(C2164&gt;=C2163-0.001,"Repaid from cash",IF(SUMPRODUCT($G$2067:$K$2067,$G$2012:$K$2012)&gt;0,IF(C2164&gt;0,"Partly repaid; remainder refinanced","Refinanced"),IF(SUM($G$2076:$K$2076)&gt;0.001,IF(C2164&gt;0,"Partial repayment; PAYMENT DEFAULT","PAYMENT DEFAULT"),"Repaid from cash"))))</f>
        <v>Partly repaid; remainder refinanced</v>
      </c>
    </row>
    <row r="2167" customFormat="false" ht="15" hidden="false" customHeight="false" outlineLevel="0" collapsed="false">
      <c r="A2167" s="3" t="s">
        <v>373</v>
      </c>
      <c r="C2167" s="16" t="n">
        <f aca="false">SUMPRODUCT($G$2080:$K$2080,$G$2079:$K$2079-$G$2085:$K$2085+$G$2084:$K$2084)</f>
        <v>350</v>
      </c>
    </row>
    <row r="2168" customFormat="false" ht="15" hidden="false" customHeight="false" outlineLevel="0" collapsed="false">
      <c r="A2168" s="3" t="s">
        <v>374</v>
      </c>
      <c r="C2168" s="16" t="n">
        <f aca="false">SUMPRODUCT($G$2080:$K$2080,$G$2087:$K$2087)</f>
        <v>0</v>
      </c>
    </row>
    <row r="2169" customFormat="false" ht="15" hidden="false" customHeight="false" outlineLevel="0" collapsed="false">
      <c r="A2169" s="3" t="s">
        <v>375</v>
      </c>
      <c r="C2169" s="3" t="str">
        <f aca="false">IF(SUM($G$2080:$K$2080)=0,"n/a (beyond horizon)",IF(SUMPRODUCT($G$2080:$K$2080,$G$2012:$K$2012)&gt;0,"REFINANCING PASS","REFINANCING FAILURE"))</f>
        <v>REFINANCING PASS</v>
      </c>
    </row>
    <row r="2170" customFormat="false" ht="15" hidden="false" customHeight="false" outlineLevel="0" collapsed="false">
      <c r="A2170" s="3" t="s">
        <v>376</v>
      </c>
      <c r="C2170" s="3" t="str">
        <f aca="false">IF(SUM($G$2080:$K$2080)=0,"n/a",IF(C2168&gt;=C2167-0.001,"Repaid from cash",IF(SUMPRODUCT($G$2080:$K$2080,$G$2012:$K$2012)&gt;0,IF(C2168&gt;0,"Partly repaid; remainder refinanced","Refinanced"),IF(SUM($G$2089:$K$2089)&gt;0.001,IF(C2168&gt;0,"Partial repayment; PAYMENT DEFAULT","PAYMENT DEFAULT"),"Repaid from cash"))))</f>
        <v>Refinanced</v>
      </c>
    </row>
    <row r="2171" customFormat="false" ht="15" hidden="false" customHeight="false" outlineLevel="0" collapsed="false">
      <c r="A2171" s="3" t="s">
        <v>377</v>
      </c>
      <c r="C2171" s="16" t="n">
        <f aca="false">SUMPRODUCT($G$2093:$K$2093,$G$2092:$K$2092-$G$2098:$K$2098+$G$2097:$K$2097)</f>
        <v>550</v>
      </c>
    </row>
    <row r="2172" customFormat="false" ht="15" hidden="false" customHeight="false" outlineLevel="0" collapsed="false">
      <c r="A2172" s="3" t="s">
        <v>378</v>
      </c>
      <c r="C2172" s="16" t="n">
        <f aca="false">SUMPRODUCT($G$2093:$K$2093,$G$2100:$K$2100)</f>
        <v>0</v>
      </c>
    </row>
    <row r="2173" customFormat="false" ht="15" hidden="false" customHeight="false" outlineLevel="0" collapsed="false">
      <c r="A2173" s="3" t="s">
        <v>379</v>
      </c>
      <c r="C2173" s="3" t="str">
        <f aca="false">IF(SUM($G$2093:$K$2093)=0,"n/a (beyond horizon)",IF(SUMPRODUCT($G$2093:$K$2093,$G$2012:$K$2012)&gt;0,"REFINANCING PASS","REFINANCING FAILURE"))</f>
        <v>REFINANCING PASS</v>
      </c>
    </row>
    <row r="2174" customFormat="false" ht="15" hidden="false" customHeight="false" outlineLevel="0" collapsed="false">
      <c r="A2174" s="3" t="s">
        <v>380</v>
      </c>
      <c r="C2174" s="3" t="str">
        <f aca="false">IF(SUM($G$2093:$K$2093)=0,"n/a",IF(C2172&gt;=C2171-0.001,"Repaid from cash",IF(SUMPRODUCT($G$2093:$K$2093,$G$2012:$K$2012)&gt;0,IF(C2172&gt;0,"Partly repaid; remainder refinanced","Refinanced"),IF(SUM($G$2102:$K$2102)&gt;0.001,IF(C2172&gt;0,"Partial repayment; PAYMENT DEFAULT","PAYMENT DEFAULT"),"Repaid from cash"))))</f>
        <v>Refinanced</v>
      </c>
    </row>
    <row r="2175" customFormat="false" ht="15" hidden="false" customHeight="false" outlineLevel="0" collapsed="false">
      <c r="A2175" s="3" t="s">
        <v>381</v>
      </c>
      <c r="C2175" s="16" t="n">
        <f aca="false">SUMPRODUCT($G$2106:$K$2106,$G$2105:$K$2105-$G$2111:$K$2111+$G$2110:$K$2110)</f>
        <v>350</v>
      </c>
    </row>
    <row r="2176" customFormat="false" ht="15" hidden="false" customHeight="false" outlineLevel="0" collapsed="false">
      <c r="A2176" s="3" t="s">
        <v>382</v>
      </c>
      <c r="C2176" s="16" t="n">
        <f aca="false">SUMPRODUCT($G$2106:$K$2106,$G$2113:$K$2113)</f>
        <v>0</v>
      </c>
    </row>
    <row r="2177" customFormat="false" ht="15" hidden="false" customHeight="false" outlineLevel="0" collapsed="false">
      <c r="A2177" s="3" t="s">
        <v>383</v>
      </c>
      <c r="C2177" s="3" t="str">
        <f aca="false">IF(SUM($G$2106:$K$2106)=0,"n/a (beyond horizon)",IF(SUMPRODUCT($G$2106:$K$2106,$G$2012:$K$2012)&gt;0,"REFINANCING PASS","REFINANCING FAILURE"))</f>
        <v>REFINANCING PASS</v>
      </c>
    </row>
    <row r="2178" customFormat="false" ht="15" hidden="false" customHeight="false" outlineLevel="0" collapsed="false">
      <c r="A2178" s="3" t="s">
        <v>384</v>
      </c>
      <c r="C2178" s="3" t="str">
        <f aca="false">IF(SUM($G$2106:$K$2106)=0,"n/a",IF(C2176&gt;=C2175-0.001,"Repaid from cash",IF(SUMPRODUCT($G$2106:$K$2106,$G$2012:$K$2012)&gt;0,IF(C2176&gt;0,"Partly repaid; remainder refinanced","Refinanced"),IF(SUM($G$2115:$K$2115)&gt;0.001,IF(C2176&gt;0,"Partial repayment; PAYMENT DEFAULT","PAYMENT DEFAULT"),"Repaid from cash"))))</f>
        <v>Refinanced</v>
      </c>
    </row>
    <row r="2179" customFormat="false" ht="15" hidden="false" customHeight="false" outlineLevel="0" collapsed="false">
      <c r="A2179" s="3" t="s">
        <v>385</v>
      </c>
      <c r="C2179" s="16" t="n">
        <f aca="false">SUMPRODUCT($G$2119:$K$2119,$G$2118:$K$2118-$G$2124:$K$2124+$G$2123:$K$2123)</f>
        <v>300</v>
      </c>
    </row>
    <row r="2180" customFormat="false" ht="15" hidden="false" customHeight="false" outlineLevel="0" collapsed="false">
      <c r="A2180" s="3" t="s">
        <v>386</v>
      </c>
      <c r="C2180" s="16" t="n">
        <f aca="false">SUMPRODUCT($G$2119:$K$2119,$G$2126:$K$2126)</f>
        <v>0</v>
      </c>
    </row>
    <row r="2181" customFormat="false" ht="15" hidden="false" customHeight="false" outlineLevel="0" collapsed="false">
      <c r="A2181" s="3" t="s">
        <v>387</v>
      </c>
      <c r="C2181" s="3" t="str">
        <f aca="false">IF(SUM($G$2119:$K$2119)=0,"n/a (beyond horizon)",IF(SUMPRODUCT($G$2119:$K$2119,$G$2012:$K$2012)&gt;0,"REFINANCING PASS","REFINANCING FAILURE"))</f>
        <v>REFINANCING FAILURE</v>
      </c>
    </row>
    <row r="2182" customFormat="false" ht="15" hidden="false" customHeight="false" outlineLevel="0" collapsed="false">
      <c r="A2182" s="3" t="s">
        <v>388</v>
      </c>
      <c r="C2182" s="3" t="str">
        <f aca="false">IF(SUM($G$2119:$K$2119)=0,"n/a",IF(C2180&gt;=C2179-0.001,"Repaid from cash",IF(SUMPRODUCT($G$2119:$K$2119,$G$2012:$K$2012)&gt;0,IF(C2180&gt;0,"Partly repaid; remainder refinanced","Refinanced"),IF(SUM($G$2128:$K$2128)&gt;0.001,IF(C2180&gt;0,"Partial repayment; PAYMENT DEFAULT","PAYMENT DEFAULT"),"Repaid from cash"))))</f>
        <v>PAYMENT DEFAULT</v>
      </c>
    </row>
    <row r="2183" customFormat="false" ht="15" hidden="false" customHeight="false" outlineLevel="0" collapsed="false">
      <c r="A2183" s="3" t="s">
        <v>389</v>
      </c>
      <c r="C2183" s="16" t="n">
        <f aca="false">SUMPRODUCT($G$2132:$K$2132,$G$2131:$K$2131-$G$2137:$K$2137+$G$2136:$K$2136)</f>
        <v>0</v>
      </c>
    </row>
    <row r="2184" customFormat="false" ht="15" hidden="false" customHeight="false" outlineLevel="0" collapsed="false">
      <c r="A2184" s="3" t="s">
        <v>390</v>
      </c>
      <c r="C2184" s="16" t="n">
        <f aca="false">SUMPRODUCT($G$2132:$K$2132,$G$2139:$K$2139)</f>
        <v>0</v>
      </c>
    </row>
    <row r="2185" customFormat="false" ht="15" hidden="false" customHeight="false" outlineLevel="0" collapsed="false">
      <c r="A2185" s="3" t="s">
        <v>391</v>
      </c>
      <c r="C2185" s="3" t="str">
        <f aca="false">IF(SUM($G$2132:$K$2132)=0,"n/a (beyond horizon)",IF(SUMPRODUCT($G$2132:$K$2132,$G$2012:$K$2012)&gt;0,"REFINANCING PASS","REFINANCING FAILURE"))</f>
        <v>n/a (beyond horizon)</v>
      </c>
    </row>
    <row r="2186" customFormat="false" ht="15" hidden="false" customHeight="false" outlineLevel="0" collapsed="false">
      <c r="A2186" s="3" t="s">
        <v>392</v>
      </c>
      <c r="C2186" s="3" t="str">
        <f aca="false">IF(SUM($G$2132:$K$2132)=0,"n/a",IF(C2184&gt;=C2183-0.001,"Repaid from cash",IF(SUMPRODUCT($G$2132:$K$2132,$G$2012:$K$2012)&gt;0,IF(C2184&gt;0,"Partly repaid; remainder refinanced","Refinanced"),IF(SUM($G$2141:$K$2141)&gt;0.001,IF(C2184&gt;0,"Partial repayment; PAYMENT DEFAULT","PAYMENT DEFAULT"),"Repaid from cash"))))</f>
        <v>n/a</v>
      </c>
    </row>
    <row r="2187" customFormat="false" ht="15" hidden="false" customHeight="false" outlineLevel="0" collapsed="false">
      <c r="A2187" s="3" t="s">
        <v>393</v>
      </c>
      <c r="C2187" s="21" t="n">
        <f aca="false">IF(C2149="REFINANCING FAILURE",1,0)+IF(C2153="REFINANCING FAILURE",1,0)+IF(C2157="REFINANCING FAILURE",1,0)+IF(C2161="REFINANCING FAILURE",1,0)+IF(C2165="REFINANCING FAILURE",1,0)+IF(C2169="REFINANCING FAILURE",1,0)+IF(C2173="REFINANCING FAILURE",1,0)+IF(C2177="REFINANCING FAILURE",1,0)+IF(C2181="REFINANCING FAILURE",1,0)+IF(C2185="REFINANCING FAILURE",1,0)</f>
        <v>2</v>
      </c>
    </row>
    <row r="2189" customFormat="false" ht="15" hidden="false" customHeight="false" outlineLevel="0" collapsed="false">
      <c r="A2189" s="24" t="s">
        <v>395</v>
      </c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</row>
    <row r="2190" customFormat="false" ht="15" hidden="false" customHeight="false" outlineLevel="0" collapsed="false">
      <c r="A2190" s="3" t="s">
        <v>325</v>
      </c>
      <c r="G2190" s="16" t="n">
        <f aca="false">F2202</f>
        <v>37.87</v>
      </c>
      <c r="H2190" s="16" t="n">
        <f aca="false">G2202</f>
        <v>130.9950778</v>
      </c>
      <c r="I2190" s="16" t="n">
        <f aca="false">H2202</f>
        <v>25</v>
      </c>
      <c r="J2190" s="16" t="n">
        <f aca="false">I2202</f>
        <v>0</v>
      </c>
      <c r="K2190" s="16" t="n">
        <f aca="false">J2202</f>
        <v>0</v>
      </c>
    </row>
    <row r="2191" customFormat="false" ht="15" hidden="false" customHeight="false" outlineLevel="0" collapsed="false">
      <c r="A2191" s="3" t="s">
        <v>396</v>
      </c>
      <c r="G2191" s="16" t="n">
        <f aca="false">G2001</f>
        <v>-102.8749222</v>
      </c>
      <c r="H2191" s="16" t="n">
        <f aca="false">H2001</f>
        <v>-98.7712845898</v>
      </c>
      <c r="I2191" s="16" t="n">
        <f aca="false">I2001</f>
        <v>-111.036038523656</v>
      </c>
      <c r="J2191" s="16" t="n">
        <f aca="false">J2001</f>
        <v>-110.381042169834</v>
      </c>
      <c r="K2191" s="16" t="n">
        <f aca="false">K2001</f>
        <v>-128.486721451645</v>
      </c>
    </row>
    <row r="2192" customFormat="false" ht="15" hidden="false" customHeight="false" outlineLevel="0" collapsed="false">
      <c r="A2192" s="3" t="s">
        <v>397</v>
      </c>
      <c r="G2192" s="16" t="n">
        <f aca="false">CHOOSE($C$1971,Assumptions!$G$82,Assumptions!$G$101,Assumptions!$G$120)</f>
        <v>200</v>
      </c>
      <c r="H2192" s="16" t="n">
        <f aca="false">CHOOSE($C$1971,Assumptions!$H$82,Assumptions!$H$101,Assumptions!$H$120)</f>
        <v>0</v>
      </c>
      <c r="I2192" s="16" t="n">
        <f aca="false">CHOOSE($C$1971,Assumptions!$I$82,Assumptions!$I$101,Assumptions!$I$120)</f>
        <v>0</v>
      </c>
      <c r="J2192" s="16" t="n">
        <f aca="false">CHOOSE($C$1971,Assumptions!$J$82,Assumptions!$J$101,Assumptions!$J$120)</f>
        <v>0</v>
      </c>
      <c r="K2192" s="16" t="n">
        <f aca="false">CHOOSE($C$1971,Assumptions!$K$82,Assumptions!$K$101,Assumptions!$K$120)</f>
        <v>0</v>
      </c>
    </row>
    <row r="2193" customFormat="false" ht="15" hidden="false" customHeight="false" outlineLevel="0" collapsed="false">
      <c r="A2193" s="3" t="s">
        <v>398</v>
      </c>
      <c r="G2193" s="16" t="n">
        <f aca="false">G2020+G2033+G2046+G2059+G2072+G2085+G2098+G2111+G2124+G2137</f>
        <v>4</v>
      </c>
      <c r="H2193" s="16" t="n">
        <f aca="false">H2020+H2033+H2046+H2059+H2072+H2085+H2098+H2111+H2124+H2137</f>
        <v>4</v>
      </c>
      <c r="I2193" s="16" t="n">
        <f aca="false">I2020+I2033+I2046+I2059+I2072+I2085+I2098+I2111+I2124+I2137</f>
        <v>4</v>
      </c>
      <c r="J2193" s="16" t="n">
        <f aca="false">J2020+J2033+J2046+J2059+J2072+J2085+J2098+J2111+J2124+J2137</f>
        <v>4</v>
      </c>
      <c r="K2193" s="16" t="n">
        <f aca="false">K2020+K2033+K2046+K2059+K2072+K2085+K2098+K2111+K2124+K2137</f>
        <v>4</v>
      </c>
    </row>
    <row r="2194" customFormat="false" ht="15" hidden="false" customHeight="false" outlineLevel="0" collapsed="false">
      <c r="A2194" s="2" t="s">
        <v>399</v>
      </c>
      <c r="G2194" s="17" t="n">
        <f aca="false">G2190+G2191+G2192-G2193</f>
        <v>130.9950778</v>
      </c>
      <c r="H2194" s="17" t="n">
        <f aca="false">H2190+H2191+H2192-H2193</f>
        <v>28.2237932102001</v>
      </c>
      <c r="I2194" s="17" t="n">
        <f aca="false">I2190+I2191+I2192-I2193</f>
        <v>-90.036038523656</v>
      </c>
      <c r="J2194" s="17" t="n">
        <f aca="false">J2190+J2191+J2192-J2193</f>
        <v>-114.381042169834</v>
      </c>
      <c r="K2194" s="17" t="n">
        <f aca="false">K2190+K2191+K2192-K2193</f>
        <v>-132.486721451645</v>
      </c>
    </row>
    <row r="2195" customFormat="false" ht="15" hidden="false" customHeight="false" outlineLevel="0" collapsed="false">
      <c r="A2195" s="3" t="s">
        <v>400</v>
      </c>
      <c r="G2195" s="16" t="n">
        <f aca="false">G2021+G2034+G2047+G2060+G2073+G2086+G2099+G2112+G2125+G2138</f>
        <v>0</v>
      </c>
      <c r="H2195" s="16" t="n">
        <f aca="false">H2021+H2034+H2047+H2060+H2073+H2086+H2099+H2112+H2125+H2138</f>
        <v>0</v>
      </c>
      <c r="I2195" s="16" t="n">
        <f aca="false">I2021+I2034+I2047+I2060+I2073+I2086+I2099+I2112+I2125+I2138</f>
        <v>90.036038523656</v>
      </c>
      <c r="J2195" s="16" t="n">
        <f aca="false">J2021+J2034+J2047+J2060+J2073+J2086+J2099+J2112+J2125+J2138</f>
        <v>114.381042169834</v>
      </c>
      <c r="K2195" s="16" t="n">
        <f aca="false">K2021+K2034+K2047+K2060+K2073+K2086+K2099+K2112+K2125+K2138</f>
        <v>132.486721451645</v>
      </c>
    </row>
    <row r="2196" customFormat="false" ht="15" hidden="false" customHeight="false" outlineLevel="0" collapsed="false">
      <c r="A2196" s="2" t="s">
        <v>401</v>
      </c>
      <c r="G2196" s="17" t="n">
        <f aca="false">G2194+G2195</f>
        <v>130.9950778</v>
      </c>
      <c r="H2196" s="17" t="n">
        <f aca="false">H2194+H2195</f>
        <v>28.2237932102001</v>
      </c>
      <c r="I2196" s="17" t="n">
        <f aca="false">I2194+I2195</f>
        <v>0</v>
      </c>
      <c r="J2196" s="17" t="n">
        <f aca="false">J2194+J2195</f>
        <v>0</v>
      </c>
      <c r="K2196" s="17" t="n">
        <f aca="false">K2194+K2195</f>
        <v>0</v>
      </c>
    </row>
    <row r="2197" customFormat="false" ht="15" hidden="false" customHeight="false" outlineLevel="0" collapsed="false">
      <c r="A2197" s="3" t="s">
        <v>402</v>
      </c>
      <c r="G2197" s="16" t="n">
        <f aca="false">G2022+G2035+G2048+G2061+G2074+G2087+G2100+G2113+G2126+G2139</f>
        <v>0</v>
      </c>
      <c r="H2197" s="16" t="n">
        <f aca="false">H2022+H2035+H2048+H2061+H2074+H2087+H2100+H2113+H2126+H2139</f>
        <v>3.22379321020006</v>
      </c>
      <c r="I2197" s="16" t="n">
        <f aca="false">I2022+I2035+I2048+I2061+I2074+I2087+I2100+I2113+I2126+I2139</f>
        <v>0</v>
      </c>
      <c r="J2197" s="16" t="n">
        <f aca="false">J2022+J2035+J2048+J2061+J2074+J2087+J2100+J2113+J2126+J2139</f>
        <v>0</v>
      </c>
      <c r="K2197" s="16" t="n">
        <f aca="false">K2022+K2035+K2048+K2061+K2074+K2087+K2100+K2113+K2126+K2139</f>
        <v>0</v>
      </c>
    </row>
    <row r="2198" customFormat="false" ht="15" hidden="false" customHeight="false" outlineLevel="0" collapsed="false">
      <c r="A2198" s="2" t="s">
        <v>403</v>
      </c>
      <c r="G2198" s="17" t="n">
        <f aca="false">G2196-G2197</f>
        <v>130.9950778</v>
      </c>
      <c r="H2198" s="17" t="n">
        <f aca="false">H2196-H2197</f>
        <v>25</v>
      </c>
      <c r="I2198" s="17" t="n">
        <f aca="false">I2196-I2197</f>
        <v>0</v>
      </c>
      <c r="J2198" s="17" t="n">
        <f aca="false">J2196-J2197</f>
        <v>0</v>
      </c>
      <c r="K2198" s="17" t="n">
        <f aca="false">K2196-K2197</f>
        <v>0</v>
      </c>
    </row>
    <row r="2199" customFormat="false" ht="15" hidden="false" customHeight="false" outlineLevel="0" collapsed="false">
      <c r="A2199" s="3" t="s">
        <v>404</v>
      </c>
      <c r="G2199" s="16" t="n">
        <f aca="false">MAX(0,-G2198)</f>
        <v>0</v>
      </c>
      <c r="H2199" s="16" t="n">
        <f aca="false">MAX(0,-H2198)</f>
        <v>0</v>
      </c>
      <c r="I2199" s="16" t="n">
        <f aca="false">MAX(0,-I2198)</f>
        <v>-0</v>
      </c>
      <c r="J2199" s="16" t="n">
        <f aca="false">MAX(0,-J2198)</f>
        <v>-0</v>
      </c>
      <c r="K2199" s="16" t="n">
        <f aca="false">MAX(0,-K2198)</f>
        <v>-0</v>
      </c>
    </row>
    <row r="2200" customFormat="false" ht="15" hidden="false" customHeight="false" outlineLevel="0" collapsed="false">
      <c r="A2200" s="3" t="s">
        <v>405</v>
      </c>
      <c r="G2200" s="16" t="n">
        <f aca="false">MAX(0,G2198-Assumptions!$C$12)*Assumptions!$C$13</f>
        <v>0</v>
      </c>
      <c r="H2200" s="16" t="n">
        <f aca="false">MAX(0,H2198-Assumptions!$C$12)*Assumptions!$C$13</f>
        <v>0</v>
      </c>
      <c r="I2200" s="16" t="n">
        <f aca="false">MAX(0,I2198-Assumptions!$C$12)*Assumptions!$C$13</f>
        <v>0</v>
      </c>
      <c r="J2200" s="16" t="n">
        <f aca="false">MAX(0,J2198-Assumptions!$C$12)*Assumptions!$C$13</f>
        <v>0</v>
      </c>
      <c r="K2200" s="16" t="n">
        <f aca="false">MAX(0,K2198-Assumptions!$C$12)*Assumptions!$C$13</f>
        <v>0</v>
      </c>
    </row>
    <row r="2201" customFormat="false" ht="15" hidden="false" customHeight="false" outlineLevel="0" collapsed="false">
      <c r="A2201" s="3" t="s">
        <v>406</v>
      </c>
      <c r="G2201" s="16" t="n">
        <f aca="false">G2023+G2036+G2049+G2062+G2075+G2088+G2101+G2114+G2127+G2140</f>
        <v>0</v>
      </c>
      <c r="H2201" s="16" t="n">
        <f aca="false">H2023+H2036+H2049+H2062+H2075+H2088+H2101+H2114+H2127+H2140</f>
        <v>0</v>
      </c>
      <c r="I2201" s="16" t="n">
        <f aca="false">I2023+I2036+I2049+I2062+I2075+I2088+I2101+I2114+I2127+I2140</f>
        <v>0</v>
      </c>
      <c r="J2201" s="16" t="n">
        <f aca="false">J2023+J2036+J2049+J2062+J2075+J2088+J2101+J2114+J2127+J2140</f>
        <v>0</v>
      </c>
      <c r="K2201" s="16" t="n">
        <f aca="false">K2023+K2036+K2049+K2062+K2075+K2088+K2101+K2114+K2127+K2140</f>
        <v>0</v>
      </c>
    </row>
    <row r="2202" customFormat="false" ht="15" hidden="false" customHeight="false" outlineLevel="0" collapsed="false">
      <c r="A2202" s="2" t="s">
        <v>407</v>
      </c>
      <c r="F2202" s="28" t="n">
        <f aca="false">Assumptions!$C$11</f>
        <v>37.87</v>
      </c>
      <c r="G2202" s="17" t="n">
        <f aca="false">G2198-G2201</f>
        <v>130.9950778</v>
      </c>
      <c r="H2202" s="17" t="n">
        <f aca="false">H2198-H2201</f>
        <v>25</v>
      </c>
      <c r="I2202" s="17" t="n">
        <f aca="false">I2198-I2201</f>
        <v>0</v>
      </c>
      <c r="J2202" s="17" t="n">
        <f aca="false">J2198-J2201</f>
        <v>0</v>
      </c>
      <c r="K2202" s="17" t="n">
        <f aca="false">K2198-K2201</f>
        <v>0</v>
      </c>
    </row>
    <row r="2203" customFormat="false" ht="15" hidden="false" customHeight="false" outlineLevel="0" collapsed="false">
      <c r="A2203" s="3" t="s">
        <v>408</v>
      </c>
      <c r="G2203" s="16" t="n">
        <f aca="false">G2024+G2037+G2050+G2063+G2076+G2089+G2102+G2115+G2128+G2141</f>
        <v>0</v>
      </c>
      <c r="H2203" s="16" t="n">
        <f aca="false">H2024+H2037+H2050+H2063+H2076+H2089+H2102+H2115+H2128+H2141</f>
        <v>0</v>
      </c>
      <c r="I2203" s="16" t="n">
        <f aca="false">I2024+I2037+I2050+I2063+I2076+I2089+I2102+I2115+I2128+I2141</f>
        <v>0</v>
      </c>
      <c r="J2203" s="16" t="n">
        <f aca="false">J2024+J2037+J2050+J2063+J2076+J2089+J2102+J2115+J2128+J2141</f>
        <v>0</v>
      </c>
      <c r="K2203" s="16" t="n">
        <f aca="false">K2024+K2037+K2050+K2063+K2076+K2089+K2102+K2115+K2128+K2141</f>
        <v>680</v>
      </c>
    </row>
    <row r="2204" customFormat="false" ht="15" hidden="false" customHeight="false" outlineLevel="0" collapsed="false">
      <c r="A2204" s="3" t="s">
        <v>409</v>
      </c>
      <c r="G2204" s="21" t="n">
        <f aca="false">IF(OR(G2199&gt;0.001,G2203&gt;0.001),1,0)</f>
        <v>0</v>
      </c>
      <c r="H2204" s="21" t="n">
        <f aca="false">IF(OR(H2199&gt;0.001,H2203&gt;0.001),1,0)</f>
        <v>0</v>
      </c>
      <c r="I2204" s="21" t="n">
        <f aca="false">IF(OR(I2199&gt;0.001,I2203&gt;0.001),1,0)</f>
        <v>0</v>
      </c>
      <c r="J2204" s="21" t="n">
        <f aca="false">IF(OR(J2199&gt;0.001,J2203&gt;0.001),1,0)</f>
        <v>0</v>
      </c>
      <c r="K2204" s="21" t="n">
        <f aca="false">IF(OR(K2199&gt;0.001,K2203&gt;0.001),1,0)</f>
        <v>1</v>
      </c>
    </row>
    <row r="2205" customFormat="false" ht="15" hidden="false" customHeight="false" outlineLevel="0" collapsed="false">
      <c r="A2205" s="3" t="s">
        <v>410</v>
      </c>
      <c r="G2205" s="21" t="n">
        <f aca="false">IF(G2204=1,1,0)</f>
        <v>0</v>
      </c>
      <c r="H2205" s="21" t="n">
        <f aca="false">IF(AND(H2204=1,SUM($G$2204:G2204)=0),1,0)</f>
        <v>0</v>
      </c>
      <c r="I2205" s="21" t="n">
        <f aca="false">IF(AND(I2204=1,SUM($G$2204:H2204)=0),1,0)</f>
        <v>0</v>
      </c>
      <c r="J2205" s="21" t="n">
        <f aca="false">IF(AND(J2204=1,SUM($G$2204:I2204)=0),1,0)</f>
        <v>0</v>
      </c>
      <c r="K2205" s="21" t="n">
        <f aca="false">IF(AND(K2204=1,SUM($G$2204:J2204)=0),1,0)</f>
        <v>1</v>
      </c>
    </row>
    <row r="2206" customFormat="false" ht="15" hidden="false" customHeight="false" outlineLevel="0" collapsed="false">
      <c r="A2206" s="3" t="s">
        <v>411</v>
      </c>
      <c r="G2206" s="16" t="n">
        <f aca="false">(G2144-F2144)-(G2195+G1993-G2193-G2197-G2201)</f>
        <v>0</v>
      </c>
      <c r="H2206" s="16" t="n">
        <f aca="false">(H2144-G2144)-(H2195+H1993-H2193-H2197-H2201)</f>
        <v>-1.98951966012828E-013</v>
      </c>
      <c r="I2206" s="16" t="n">
        <f aca="false">(I2144-H2144)-(I2195+I1993-I2193-I2197-I2201)</f>
        <v>3.12638803734444E-013</v>
      </c>
      <c r="J2206" s="16" t="n">
        <f aca="false">(J2144-I2144)-(J2195+J1993-J2193-J2197-J2201)</f>
        <v>0</v>
      </c>
      <c r="K2206" s="16" t="n">
        <f aca="false">(K2144-J2144)-(K2195+K1993-K2193-K2197-K2201)</f>
        <v>0</v>
      </c>
    </row>
    <row r="2208" customFormat="false" ht="15" hidden="false" customHeight="false" outlineLevel="0" collapsed="false">
      <c r="A2208" s="24" t="s">
        <v>413</v>
      </c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</row>
    <row r="2209" customFormat="false" ht="15" hidden="false" customHeight="false" outlineLevel="0" collapsed="false">
      <c r="A2209" s="3" t="s">
        <v>414</v>
      </c>
      <c r="G2209" s="16" t="n">
        <f aca="false">G2144</f>
        <v>2621.934</v>
      </c>
      <c r="H2209" s="16" t="n">
        <f aca="false">H2144</f>
        <v>2614.7102067898</v>
      </c>
      <c r="I2209" s="16" t="n">
        <f aca="false">I2144</f>
        <v>2700.74624531346</v>
      </c>
      <c r="J2209" s="16" t="n">
        <f aca="false">J2144</f>
        <v>2811.12728748329</v>
      </c>
      <c r="K2209" s="16" t="n">
        <f aca="false">K2144</f>
        <v>2939.61400893493</v>
      </c>
    </row>
    <row r="2210" customFormat="false" ht="15" hidden="false" customHeight="false" outlineLevel="0" collapsed="false">
      <c r="A2210" s="3" t="s">
        <v>415</v>
      </c>
      <c r="G2210" s="16" t="n">
        <f aca="false">Assumptions!$O$57*G2025+Assumptions!$O$58*G2038+Assumptions!$O$59*G2051+Assumptions!$O$60*G2064+Assumptions!$O$61*G2077+Assumptions!$O$62*G2090+Assumptions!$O$63*G2103+Assumptions!$O$64*G2116+Assumptions!$O$65*G2129+Assumptions!$O$66*G2142</f>
        <v>543.324</v>
      </c>
      <c r="H2210" s="16" t="n">
        <f aca="false">Assumptions!$O$57*H2025+Assumptions!$O$58*H2038+Assumptions!$O$59*H2051+Assumptions!$O$60*H2064+Assumptions!$O$61*H2077+Assumptions!$O$62*H2090+Assumptions!$O$63*H2103+Assumptions!$O$64*H2116+Assumptions!$O$65*H2129+Assumptions!$O$66*H2142</f>
        <v>539.324</v>
      </c>
      <c r="I2210" s="16" t="n">
        <f aca="false">Assumptions!$O$57*I2025+Assumptions!$O$58*I2038+Assumptions!$O$59*I2051+Assumptions!$O$60*I2064+Assumptions!$O$61*I2077+Assumptions!$O$62*I2090+Assumptions!$O$63*I2103+Assumptions!$O$64*I2116+Assumptions!$O$65*I2129+Assumptions!$O$66*I2142</f>
        <v>535.324</v>
      </c>
      <c r="J2210" s="16" t="n">
        <f aca="false">Assumptions!$O$57*J2025+Assumptions!$O$58*J2038+Assumptions!$O$59*J2051+Assumptions!$O$60*J2064+Assumptions!$O$61*J2077+Assumptions!$O$62*J2090+Assumptions!$O$63*J2103+Assumptions!$O$64*J2116+Assumptions!$O$65*J2129+Assumptions!$O$66*J2142</f>
        <v>531.324</v>
      </c>
      <c r="K2210" s="16" t="n">
        <f aca="false">Assumptions!$O$57*K2025+Assumptions!$O$58*K2038+Assumptions!$O$59*K2051+Assumptions!$O$60*K2064+Assumptions!$O$61*K2077+Assumptions!$O$62*K2090+Assumptions!$O$63*K2103+Assumptions!$O$64*K2116+Assumptions!$O$65*K2129+Assumptions!$O$66*K2142</f>
        <v>527.324</v>
      </c>
    </row>
    <row r="2211" customFormat="false" ht="15" hidden="false" customHeight="false" outlineLevel="0" collapsed="false">
      <c r="A2211" s="3" t="s">
        <v>416</v>
      </c>
      <c r="G2211" s="16" t="n">
        <f aca="false">G2209-G2202</f>
        <v>2490.9389222</v>
      </c>
      <c r="H2211" s="16" t="n">
        <f aca="false">H2209-H2202</f>
        <v>2589.7102067898</v>
      </c>
      <c r="I2211" s="16" t="n">
        <f aca="false">I2209-I2202</f>
        <v>2700.74624531346</v>
      </c>
      <c r="J2211" s="16" t="n">
        <f aca="false">J2209-J2202</f>
        <v>2811.12728748329</v>
      </c>
      <c r="K2211" s="16" t="n">
        <f aca="false">K2209-K2202</f>
        <v>2939.61400893493</v>
      </c>
    </row>
    <row r="2212" customFormat="false" ht="15" hidden="false" customHeight="false" outlineLevel="0" collapsed="false">
      <c r="A2212" s="3" t="s">
        <v>417</v>
      </c>
      <c r="G2212" s="32" t="n">
        <f aca="false">IF(G1988&gt;0,G2209/G1988,0)</f>
        <v>11.0705933381033</v>
      </c>
      <c r="H2212" s="32" t="n">
        <f aca="false">IF(H1988&gt;0,H2209/H1988,0)</f>
        <v>10.7577561010067</v>
      </c>
      <c r="I2212" s="32" t="n">
        <f aca="false">IF(I1988&gt;0,I2209/I1988,0)</f>
        <v>10.8279684974925</v>
      </c>
      <c r="J2212" s="32" t="n">
        <f aca="false">IF(J1988&gt;0,J2209/J1988,0)</f>
        <v>11.0051476953907</v>
      </c>
      <c r="K2212" s="32" t="n">
        <f aca="false">IF(K1988&gt;0,K2209/K1988,0)</f>
        <v>11.2373741135366</v>
      </c>
    </row>
    <row r="2213" customFormat="false" ht="15" hidden="false" customHeight="false" outlineLevel="0" collapsed="false">
      <c r="A2213" s="3" t="s">
        <v>418</v>
      </c>
      <c r="G2213" s="32" t="n">
        <f aca="false">IF(G1988&gt;0,G2211/G1988,0)</f>
        <v>10.5174927506678</v>
      </c>
      <c r="H2213" s="32" t="n">
        <f aca="false">IF(H1988&gt;0,H2211/H1988,0)</f>
        <v>10.6548980856798</v>
      </c>
      <c r="I2213" s="32" t="n">
        <f aca="false">IF(I1988&gt;0,I2211/I1988,0)</f>
        <v>10.8279684974925</v>
      </c>
      <c r="J2213" s="32" t="n">
        <f aca="false">IF(J1988&gt;0,J2211/J1988,0)</f>
        <v>11.0051476953907</v>
      </c>
      <c r="K2213" s="32" t="n">
        <f aca="false">IF(K1988&gt;0,K2211/K1988,0)</f>
        <v>11.2373741135366</v>
      </c>
    </row>
    <row r="2214" customFormat="false" ht="15" hidden="false" customHeight="false" outlineLevel="0" collapsed="false">
      <c r="A2214" s="3" t="s">
        <v>419</v>
      </c>
      <c r="G2214" s="32" t="n">
        <f aca="false">IF(G1992&gt;0,G1988/G1992,0)</f>
        <v>1.31423409221489</v>
      </c>
      <c r="H2214" s="32" t="n">
        <f aca="false">IF(H1992&gt;0,H1988/H1992,0)</f>
        <v>1.35684191223848</v>
      </c>
      <c r="I2214" s="32" t="n">
        <f aca="false">IF(I1992&gt;0,I1988/I1992,0)</f>
        <v>1.28229997732495</v>
      </c>
      <c r="J2214" s="32" t="n">
        <f aca="false">IF(J1992&gt;0,J1988/J1992,0)</f>
        <v>1.29958762174967</v>
      </c>
      <c r="K2214" s="32" t="n">
        <f aca="false">IF(K1992&gt;0,K1988/K1992,0)</f>
        <v>1.20312175956517</v>
      </c>
    </row>
    <row r="2215" customFormat="false" ht="15" hidden="false" customHeight="false" outlineLevel="0" collapsed="false">
      <c r="A2215" s="3" t="s">
        <v>420</v>
      </c>
      <c r="G2215" s="32" t="n">
        <f aca="false">IF(G1992&gt;0,G1991/G1992,0)</f>
        <v>0.316872548627179</v>
      </c>
      <c r="H2215" s="32" t="n">
        <f aca="false">IF(H1992&gt;0,H1991/H1992,0)</f>
        <v>0.333411541452616</v>
      </c>
      <c r="I2215" s="32" t="n">
        <f aca="false">IF(I1992&gt;0,I1991/I1992,0)</f>
        <v>0.320944670942283</v>
      </c>
      <c r="J2215" s="32" t="n">
        <f aca="false">IF(J1992&gt;0,J1991/J1992,0)</f>
        <v>0.329184481821969</v>
      </c>
      <c r="K2215" s="32" t="n">
        <f aca="false">IF(K1992&gt;0,K1991/K1992,0)</f>
        <v>0.308343245824769</v>
      </c>
    </row>
    <row r="2216" customFormat="false" ht="15" hidden="false" customHeight="false" outlineLevel="0" collapsed="false">
      <c r="A2216" s="3" t="s">
        <v>213</v>
      </c>
      <c r="G2216" s="22" t="n">
        <f aca="false">IF(G2209&gt;0,G2001/G2209,0)</f>
        <v>-0.0392362745210215</v>
      </c>
      <c r="H2216" s="22" t="n">
        <f aca="false">IF(H2209&gt;0,H2001/H2209,0)</f>
        <v>-0.0377752319677009</v>
      </c>
      <c r="I2216" s="22" t="n">
        <f aca="false">IF(I2209&gt;0,I2001/I2209,0)</f>
        <v>-0.0411130955810211</v>
      </c>
      <c r="J2216" s="22" t="n">
        <f aca="false">IF(J2209&gt;0,J2001/J2209,0)</f>
        <v>-0.0392657574281007</v>
      </c>
      <c r="K2216" s="22" t="n">
        <f aca="false">IF(K2209&gt;0,K2001/K2209,0)</f>
        <v>-0.0437087049732074</v>
      </c>
    </row>
    <row r="2217" customFormat="false" ht="15" hidden="false" customHeight="false" outlineLevel="0" collapsed="false">
      <c r="A2217" s="3" t="s">
        <v>421</v>
      </c>
      <c r="G2217" s="32" t="n">
        <f aca="false">IF(G1992+G2193&gt;0,(G1988-G1999-G1996)/(G1992+G2193),0)</f>
        <v>0.708444904059317</v>
      </c>
      <c r="H2217" s="32" t="n">
        <f aca="false">IF(H1992+H2193&gt;0,(H1988-H1999-H1996)/(H1992+H2193),0)</f>
        <v>0.734943413751872</v>
      </c>
      <c r="I2217" s="32" t="n">
        <f aca="false">IF(I1992+I2193&gt;0,(I1988-I1999-I1996)/(I1992+I2193),0)</f>
        <v>0.699160187264989</v>
      </c>
      <c r="J2217" s="32" t="n">
        <f aca="false">IF(J1992+J2193&gt;0,(J1988-J1999-J1996)/(J1992+J2193),0)</f>
        <v>0.71100314413704</v>
      </c>
      <c r="K2217" s="32" t="n">
        <f aca="false">IF(K1992+K2193&gt;0,(K1988-K1999-K1996)/(K1992+K2193),0)</f>
        <v>0.661577230441058</v>
      </c>
    </row>
    <row r="2218" customFormat="false" ht="15" hidden="false" customHeight="false" outlineLevel="0" collapsed="false">
      <c r="A2218" s="3" t="s">
        <v>422</v>
      </c>
      <c r="G2218" s="16" t="n">
        <f aca="false">MAX(0,G2202)+Assumptions!$P$57*MAX(0,Assumptions!$D$57-G2025)+Assumptions!$P$58*MAX(0,Assumptions!$D$58-G2038)+Assumptions!$P$59*MAX(0,Assumptions!$D$59-G2051)+Assumptions!$P$60*MAX(0,Assumptions!$D$60-G2064)+Assumptions!$P$61*MAX(0,Assumptions!$D$61-G2077)+Assumptions!$P$62*MAX(0,Assumptions!$D$62-G2090)+Assumptions!$P$63*MAX(0,Assumptions!$D$63-G2103)+Assumptions!$P$64*MAX(0,Assumptions!$D$64-G2116)+Assumptions!$P$65*MAX(0,Assumptions!$D$65-G2129)+Assumptions!$P$66*MAX(0,Assumptions!$D$66-G2142)</f>
        <v>705.4950778</v>
      </c>
      <c r="H2218" s="16" t="n">
        <f aca="false">MAX(0,H2202)+Assumptions!$P$57*MAX(0,Assumptions!$D$57-H2025)+Assumptions!$P$58*MAX(0,Assumptions!$D$58-H2038)+Assumptions!$P$59*MAX(0,Assumptions!$D$59-H2051)+Assumptions!$P$60*MAX(0,Assumptions!$D$60-H2064)+Assumptions!$P$61*MAX(0,Assumptions!$D$61-H2077)+Assumptions!$P$62*MAX(0,Assumptions!$D$62-H2090)+Assumptions!$P$63*MAX(0,Assumptions!$D$63-H2103)+Assumptions!$P$64*MAX(0,Assumptions!$D$64-H2116)+Assumptions!$P$65*MAX(0,Assumptions!$D$65-H2129)+Assumptions!$P$66*MAX(0,Assumptions!$D$66-H2142)</f>
        <v>599.5</v>
      </c>
      <c r="I2218" s="16" t="n">
        <f aca="false">MAX(0,I2202)+Assumptions!$P$57*MAX(0,Assumptions!$D$57-I2025)+Assumptions!$P$58*MAX(0,Assumptions!$D$58-I2038)+Assumptions!$P$59*MAX(0,Assumptions!$D$59-I2051)+Assumptions!$P$60*MAX(0,Assumptions!$D$60-I2064)+Assumptions!$P$61*MAX(0,Assumptions!$D$61-I2077)+Assumptions!$P$62*MAX(0,Assumptions!$D$62-I2090)+Assumptions!$P$63*MAX(0,Assumptions!$D$63-I2103)+Assumptions!$P$64*MAX(0,Assumptions!$D$64-I2116)+Assumptions!$P$65*MAX(0,Assumptions!$D$65-I2129)+Assumptions!$P$66*MAX(0,Assumptions!$D$66-I2142)</f>
        <v>484.463961476344</v>
      </c>
      <c r="J2218" s="16" t="n">
        <f aca="false">MAX(0,J2202)+Assumptions!$P$57*MAX(0,Assumptions!$D$57-J2025)+Assumptions!$P$58*MAX(0,Assumptions!$D$58-J2038)+Assumptions!$P$59*MAX(0,Assumptions!$D$59-J2051)+Assumptions!$P$60*MAX(0,Assumptions!$D$60-J2064)+Assumptions!$P$61*MAX(0,Assumptions!$D$61-J2077)+Assumptions!$P$62*MAX(0,Assumptions!$D$62-J2090)+Assumptions!$P$63*MAX(0,Assumptions!$D$63-J2103)+Assumptions!$P$64*MAX(0,Assumptions!$D$64-J2116)+Assumptions!$P$65*MAX(0,Assumptions!$D$65-J2129)+Assumptions!$P$66*MAX(0,Assumptions!$D$66-J2142)</f>
        <v>370.08291930651</v>
      </c>
      <c r="K2218" s="16" t="n">
        <f aca="false">MAX(0,K2202)+Assumptions!$P$57*MAX(0,Assumptions!$D$57-K2025)+Assumptions!$P$58*MAX(0,Assumptions!$D$58-K2038)+Assumptions!$P$59*MAX(0,Assumptions!$D$59-K2051)+Assumptions!$P$60*MAX(0,Assumptions!$D$60-K2064)+Assumptions!$P$61*MAX(0,Assumptions!$D$61-K2077)+Assumptions!$P$62*MAX(0,Assumptions!$D$62-K2090)+Assumptions!$P$63*MAX(0,Assumptions!$D$63-K2103)+Assumptions!$P$64*MAX(0,Assumptions!$D$64-K2116)+Assumptions!$P$65*MAX(0,Assumptions!$D$65-K2129)+Assumptions!$P$66*MAX(0,Assumptions!$D$66-K2142)</f>
        <v>237.596197854866</v>
      </c>
    </row>
    <row r="2219" customFormat="false" ht="15" hidden="false" customHeight="false" outlineLevel="0" collapsed="false">
      <c r="A2219" s="3" t="s">
        <v>423</v>
      </c>
      <c r="G2219" s="22" t="n">
        <f aca="false">IF(G2209&gt;0,G2209/(G2209+MAX(0,G1988*CHOOSE($C$1971,Assumptions!$C$90,Assumptions!$C$109,Assumptions!$C$128)-G2211)),0)</f>
        <v>0.848119821336511</v>
      </c>
      <c r="H2219" s="22" t="n">
        <f aca="false">IF(H2209&gt;0,H2209/(H2209+MAX(0,H1988*CHOOSE($C$1971,Assumptions!$C$90,Assumptions!$C$109,Assumptions!$C$128)-H2211)),0)</f>
        <v>0.853596548332429</v>
      </c>
      <c r="I2219" s="22" t="n">
        <f aca="false">IF(I2209&gt;0,I2209/(I2209+MAX(0,I1988*CHOOSE($C$1971,Assumptions!$C$90,Assumptions!$C$109,Assumptions!$C$128)-I2211)),0)</f>
        <v>0.866237479799403</v>
      </c>
      <c r="J2219" s="22" t="n">
        <f aca="false">IF(J2209&gt;0,J2209/(J2209+MAX(0,J1988*CHOOSE($C$1971,Assumptions!$C$90,Assumptions!$C$109,Assumptions!$C$128)-J2211)),0)</f>
        <v>0.880411815631256</v>
      </c>
      <c r="K2219" s="22" t="n">
        <f aca="false">IF(K2209&gt;0,K2209/(K2209+MAX(0,K1988*CHOOSE($C$1971,Assumptions!$C$90,Assumptions!$C$109,Assumptions!$C$128)-K2211)),0)</f>
        <v>0.898989929082926</v>
      </c>
    </row>
    <row r="2220" customFormat="false" ht="15" hidden="false" customHeight="false" outlineLevel="0" collapsed="false">
      <c r="A2220" s="3" t="s">
        <v>424</v>
      </c>
      <c r="G2220" s="22" t="n">
        <f aca="false">IF(G2209&gt;0,MAX(0,G2202)/G2209,0)</f>
        <v>0.0499612415110373</v>
      </c>
      <c r="H2220" s="22" t="n">
        <f aca="false">IF(H2209&gt;0,MAX(0,H2202)/H2209,0)</f>
        <v>0.00956128902357162</v>
      </c>
      <c r="I2220" s="22" t="n">
        <f aca="false">IF(I2209&gt;0,MAX(0,I2202)/I2209,0)</f>
        <v>0</v>
      </c>
      <c r="J2220" s="22" t="n">
        <f aca="false">IF(J2209&gt;0,MAX(0,J2202)/J2209,0)</f>
        <v>0</v>
      </c>
      <c r="K2220" s="22" t="n">
        <f aca="false">IF(K2209&gt;0,MAX(0,K2202)/K2209,0)</f>
        <v>0</v>
      </c>
    </row>
    <row r="2221" customFormat="false" ht="15" hidden="false" customHeight="false" outlineLevel="0" collapsed="false">
      <c r="A2221" s="3" t="s">
        <v>425</v>
      </c>
      <c r="G2221" s="16" t="n">
        <f aca="false">Assumptions!$C$31*(1-CHOOSE($C$1971,Assumptions!$C$93,Assumptions!$C$112,Assumptions!$C$131))</f>
        <v>4517.70066666667</v>
      </c>
      <c r="H2221" s="16" t="n">
        <f aca="false">Assumptions!$C$31*(1-CHOOSE($C$1971,Assumptions!$C$93,Assumptions!$C$112,Assumptions!$C$131))</f>
        <v>4517.70066666667</v>
      </c>
      <c r="I2221" s="16" t="n">
        <f aca="false">Assumptions!$C$31*(1-CHOOSE($C$1971,Assumptions!$C$93,Assumptions!$C$112,Assumptions!$C$131))</f>
        <v>4517.70066666667</v>
      </c>
      <c r="J2221" s="16" t="n">
        <f aca="false">Assumptions!$C$31*(1-CHOOSE($C$1971,Assumptions!$C$93,Assumptions!$C$112,Assumptions!$C$131))</f>
        <v>4517.70066666667</v>
      </c>
      <c r="K2221" s="16" t="n">
        <f aca="false">Assumptions!$C$31*(1-CHOOSE($C$1971,Assumptions!$C$93,Assumptions!$C$112,Assumptions!$C$131))</f>
        <v>4517.70066666667</v>
      </c>
    </row>
    <row r="2222" customFormat="false" ht="15" hidden="false" customHeight="false" outlineLevel="0" collapsed="false">
      <c r="A2222" s="24" t="s">
        <v>426</v>
      </c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</row>
    <row r="2223" customFormat="false" ht="15" hidden="false" customHeight="false" outlineLevel="0" collapsed="false">
      <c r="A2223" s="24" t="s">
        <v>427</v>
      </c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</row>
    <row r="2224" customFormat="false" ht="15" hidden="false" customHeight="false" outlineLevel="0" collapsed="false">
      <c r="A2224" s="3" t="s">
        <v>428</v>
      </c>
      <c r="G2224" s="22" t="n">
        <f aca="false">IF(G2221&gt;0,G2209/G2221,99)</f>
        <v>0.580369128779522</v>
      </c>
      <c r="H2224" s="22" t="n">
        <f aca="false">IF(H2221&gt;0,H2209/H2221,99)</f>
        <v>0.578770131027524</v>
      </c>
      <c r="I2224" s="22" t="n">
        <f aca="false">IF(I2221&gt;0,I2209/I2221,99)</f>
        <v>0.597814340653554</v>
      </c>
      <c r="J2224" s="22" t="n">
        <f aca="false">IF(J2221&gt;0,J2209/J2221,99)</f>
        <v>0.622247354328911</v>
      </c>
      <c r="K2224" s="22" t="n">
        <f aca="false">IF(K2221&gt;0,K2209/K2221,99)</f>
        <v>0.650688087996741</v>
      </c>
    </row>
    <row r="2225" customFormat="false" ht="15" hidden="false" customHeight="false" outlineLevel="0" collapsed="false">
      <c r="A2225" s="3" t="s">
        <v>429</v>
      </c>
      <c r="G2225" s="33" t="n">
        <f aca="false">Assumptions!$G$71</f>
        <v>0.6</v>
      </c>
      <c r="H2225" s="33" t="n">
        <f aca="false">Assumptions!$H$71</f>
        <v>0.6</v>
      </c>
      <c r="I2225" s="33" t="n">
        <f aca="false">Assumptions!$I$71</f>
        <v>0.6</v>
      </c>
      <c r="J2225" s="33" t="n">
        <f aca="false">Assumptions!$J$71</f>
        <v>0.6</v>
      </c>
      <c r="K2225" s="33" t="n">
        <f aca="false">Assumptions!$K$71</f>
        <v>0.6</v>
      </c>
    </row>
    <row r="2226" customFormat="false" ht="15" hidden="false" customHeight="false" outlineLevel="0" collapsed="false">
      <c r="A2226" s="3" t="s">
        <v>430</v>
      </c>
      <c r="G2226" s="22" t="n">
        <f aca="false">G2225-G2224</f>
        <v>0.0196308712204777</v>
      </c>
      <c r="H2226" s="22" t="n">
        <f aca="false">H2225-H2224</f>
        <v>0.0212298689724758</v>
      </c>
      <c r="I2226" s="22" t="n">
        <f aca="false">I2225-I2224</f>
        <v>0.00218565934644566</v>
      </c>
      <c r="J2226" s="22" t="n">
        <f aca="false">J2225-J2224</f>
        <v>-0.0222473543289108</v>
      </c>
      <c r="K2226" s="22" t="n">
        <f aca="false">K2225-K2224</f>
        <v>-0.0506880879967407</v>
      </c>
    </row>
    <row r="2227" customFormat="false" ht="15" hidden="false" customHeight="false" outlineLevel="0" collapsed="false">
      <c r="A2227" s="3" t="s">
        <v>431</v>
      </c>
      <c r="G2227" s="22" t="n">
        <f aca="false">IF(G2225=0,0,G2226/ABS(G2225))</f>
        <v>0.0327181187007962</v>
      </c>
      <c r="H2227" s="22" t="n">
        <f aca="false">IF(H2225=0,0,H2226/ABS(H2225))</f>
        <v>0.0353831149541264</v>
      </c>
      <c r="I2227" s="22" t="n">
        <f aca="false">IF(I2225=0,0,I2226/ABS(I2225))</f>
        <v>0.00364276557740943</v>
      </c>
      <c r="J2227" s="22" t="n">
        <f aca="false">IF(J2225=0,0,J2226/ABS(J2225))</f>
        <v>-0.037078923881518</v>
      </c>
      <c r="K2227" s="22" t="n">
        <f aca="false">IF(K2225=0,0,K2226/ABS(K2225))</f>
        <v>-0.0844801466612346</v>
      </c>
    </row>
    <row r="2228" customFormat="false" ht="15" hidden="false" customHeight="false" outlineLevel="0" collapsed="false">
      <c r="A2228" s="3" t="s">
        <v>432</v>
      </c>
      <c r="G2228" s="21" t="n">
        <f aca="false">IF(G2226&lt;0,1,0)</f>
        <v>0</v>
      </c>
      <c r="H2228" s="21" t="n">
        <f aca="false">IF(H2226&lt;0,1,0)</f>
        <v>0</v>
      </c>
      <c r="I2228" s="21" t="n">
        <f aca="false">IF(I2226&lt;0,1,0)</f>
        <v>0</v>
      </c>
      <c r="J2228" s="21" t="n">
        <f aca="false">IF(J2226&lt;0,1,0)</f>
        <v>1</v>
      </c>
      <c r="K2228" s="21" t="n">
        <f aca="false">IF(K2226&lt;0,1,0)</f>
        <v>1</v>
      </c>
    </row>
    <row r="2229" customFormat="false" ht="15" hidden="false" customHeight="false" outlineLevel="0" collapsed="false">
      <c r="A2229" s="3" t="s">
        <v>433</v>
      </c>
      <c r="C2229" s="21" t="n">
        <f aca="false">IFERROR(INDEX($G$1978:$K$1978,MATCH(1,$G$2228:$K$2228,0)),0)</f>
        <v>2030</v>
      </c>
    </row>
    <row r="2230" customFormat="false" ht="15" hidden="false" customHeight="false" outlineLevel="0" collapsed="false">
      <c r="A2230" s="3" t="s">
        <v>434</v>
      </c>
      <c r="C2230" s="22" t="n">
        <f aca="false">MIN($G$2227:$K$2227)</f>
        <v>-0.0844801466612346</v>
      </c>
    </row>
    <row r="2231" customFormat="false" ht="15" hidden="false" customHeight="false" outlineLevel="0" collapsed="false">
      <c r="A2231" s="24" t="s">
        <v>435</v>
      </c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</row>
    <row r="2232" customFormat="false" ht="15" hidden="false" customHeight="false" outlineLevel="0" collapsed="false">
      <c r="A2232" s="3" t="s">
        <v>428</v>
      </c>
      <c r="G2232" s="32" t="n">
        <f aca="false">IF(G1992&gt;0,G1988/G1992,99)</f>
        <v>1.31423409221489</v>
      </c>
      <c r="H2232" s="32" t="n">
        <f aca="false">IF(H1992&gt;0,H1988/H1992,99)</f>
        <v>1.35684191223848</v>
      </c>
      <c r="I2232" s="32" t="n">
        <f aca="false">IF(I1992&gt;0,I1988/I1992,99)</f>
        <v>1.28229997732495</v>
      </c>
      <c r="J2232" s="32" t="n">
        <f aca="false">IF(J1992&gt;0,J1988/J1992,99)</f>
        <v>1.29958762174967</v>
      </c>
      <c r="K2232" s="32" t="n">
        <f aca="false">IF(K1992&gt;0,K1988/K1992,99)</f>
        <v>1.20312175956517</v>
      </c>
    </row>
    <row r="2233" customFormat="false" ht="15" hidden="false" customHeight="false" outlineLevel="0" collapsed="false">
      <c r="A2233" s="3" t="s">
        <v>429</v>
      </c>
      <c r="G2233" s="34" t="n">
        <f aca="false">Assumptions!$G$72</f>
        <v>1.5</v>
      </c>
      <c r="H2233" s="34" t="n">
        <f aca="false">Assumptions!$H$72</f>
        <v>1.5</v>
      </c>
      <c r="I2233" s="34" t="n">
        <f aca="false">Assumptions!$I$72</f>
        <v>1.5</v>
      </c>
      <c r="J2233" s="34" t="n">
        <f aca="false">Assumptions!$J$72</f>
        <v>1.5</v>
      </c>
      <c r="K2233" s="34" t="n">
        <f aca="false">Assumptions!$K$72</f>
        <v>1.5</v>
      </c>
    </row>
    <row r="2234" customFormat="false" ht="15" hidden="false" customHeight="false" outlineLevel="0" collapsed="false">
      <c r="A2234" s="3" t="s">
        <v>430</v>
      </c>
      <c r="G2234" s="32" t="n">
        <f aca="false">G2232-G2233</f>
        <v>-0.185765907785109</v>
      </c>
      <c r="H2234" s="32" t="n">
        <f aca="false">H2232-H2233</f>
        <v>-0.143158087761522</v>
      </c>
      <c r="I2234" s="32" t="n">
        <f aca="false">I2232-I2233</f>
        <v>-0.217700022675049</v>
      </c>
      <c r="J2234" s="32" t="n">
        <f aca="false">J2232-J2233</f>
        <v>-0.200412378250331</v>
      </c>
      <c r="K2234" s="32" t="n">
        <f aca="false">K2232-K2233</f>
        <v>-0.296878240434832</v>
      </c>
    </row>
    <row r="2235" customFormat="false" ht="15" hidden="false" customHeight="false" outlineLevel="0" collapsed="false">
      <c r="A2235" s="3" t="s">
        <v>431</v>
      </c>
      <c r="G2235" s="22" t="n">
        <f aca="false">IF(G2233=0,0,G2234/ABS(G2233))</f>
        <v>-0.123843938523406</v>
      </c>
      <c r="H2235" s="22" t="n">
        <f aca="false">IF(H2233=0,0,H2234/ABS(H2233))</f>
        <v>-0.0954387251743478</v>
      </c>
      <c r="I2235" s="22" t="n">
        <f aca="false">IF(I2233=0,0,I2234/ABS(I2233))</f>
        <v>-0.145133348450032</v>
      </c>
      <c r="J2235" s="22" t="n">
        <f aca="false">IF(J2233=0,0,J2234/ABS(J2233))</f>
        <v>-0.133608252166888</v>
      </c>
      <c r="K2235" s="22" t="n">
        <f aca="false">IF(K2233=0,0,K2234/ABS(K2233))</f>
        <v>-0.197918826956555</v>
      </c>
    </row>
    <row r="2236" customFormat="false" ht="15" hidden="false" customHeight="false" outlineLevel="0" collapsed="false">
      <c r="A2236" s="3" t="s">
        <v>432</v>
      </c>
      <c r="G2236" s="21" t="n">
        <f aca="false">IF(G2234&lt;0,1,0)</f>
        <v>1</v>
      </c>
      <c r="H2236" s="21" t="n">
        <f aca="false">IF(H2234&lt;0,1,0)</f>
        <v>1</v>
      </c>
      <c r="I2236" s="21" t="n">
        <f aca="false">IF(I2234&lt;0,1,0)</f>
        <v>1</v>
      </c>
      <c r="J2236" s="21" t="n">
        <f aca="false">IF(J2234&lt;0,1,0)</f>
        <v>1</v>
      </c>
      <c r="K2236" s="21" t="n">
        <f aca="false">IF(K2234&lt;0,1,0)</f>
        <v>1</v>
      </c>
    </row>
    <row r="2237" customFormat="false" ht="15" hidden="false" customHeight="false" outlineLevel="0" collapsed="false">
      <c r="A2237" s="3" t="s">
        <v>433</v>
      </c>
      <c r="C2237" s="21" t="n">
        <f aca="false">IFERROR(INDEX($G$1978:$K$1978,MATCH(1,$G$2236:$K$2236,0)),0)</f>
        <v>2027</v>
      </c>
    </row>
    <row r="2238" customFormat="false" ht="15" hidden="false" customHeight="false" outlineLevel="0" collapsed="false">
      <c r="A2238" s="3" t="s">
        <v>434</v>
      </c>
      <c r="C2238" s="22" t="n">
        <f aca="false">MIN($G$2235:$K$2235)</f>
        <v>-0.197918826956555</v>
      </c>
    </row>
    <row r="2239" customFormat="false" ht="15" hidden="false" customHeight="false" outlineLevel="0" collapsed="false">
      <c r="A2239" s="24" t="s">
        <v>436</v>
      </c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</row>
    <row r="2240" customFormat="false" ht="15" hidden="false" customHeight="false" outlineLevel="0" collapsed="false">
      <c r="A2240" s="3" t="s">
        <v>428</v>
      </c>
      <c r="G2240" s="22" t="n">
        <f aca="false">IF(G2221&gt;0,G2210/G2221,99)</f>
        <v>0.120265604139923</v>
      </c>
      <c r="H2240" s="22" t="n">
        <f aca="false">IF(H2221&gt;0,H2210/H2221,99)</f>
        <v>0.119380197979769</v>
      </c>
      <c r="I2240" s="22" t="n">
        <f aca="false">IF(I2221&gt;0,I2210/I2221,99)</f>
        <v>0.118494791819614</v>
      </c>
      <c r="J2240" s="22" t="n">
        <f aca="false">IF(J2221&gt;0,J2210/J2221,99)</f>
        <v>0.11760938565946</v>
      </c>
      <c r="K2240" s="22" t="n">
        <f aca="false">IF(K2221&gt;0,K2210/K2221,99)</f>
        <v>0.116723979499306</v>
      </c>
    </row>
    <row r="2241" customFormat="false" ht="15" hidden="false" customHeight="false" outlineLevel="0" collapsed="false">
      <c r="A2241" s="3" t="s">
        <v>429</v>
      </c>
      <c r="G2241" s="33" t="n">
        <f aca="false">Assumptions!$G$73</f>
        <v>0.4</v>
      </c>
      <c r="H2241" s="33" t="n">
        <f aca="false">Assumptions!$H$73</f>
        <v>0.4</v>
      </c>
      <c r="I2241" s="33" t="n">
        <f aca="false">Assumptions!$I$73</f>
        <v>0.4</v>
      </c>
      <c r="J2241" s="33" t="n">
        <f aca="false">Assumptions!$J$73</f>
        <v>0.4</v>
      </c>
      <c r="K2241" s="33" t="n">
        <f aca="false">Assumptions!$K$73</f>
        <v>0.4</v>
      </c>
    </row>
    <row r="2242" customFormat="false" ht="15" hidden="false" customHeight="false" outlineLevel="0" collapsed="false">
      <c r="A2242" s="3" t="s">
        <v>430</v>
      </c>
      <c r="G2242" s="22" t="n">
        <f aca="false">G2241-G2240</f>
        <v>0.279734395860077</v>
      </c>
      <c r="H2242" s="22" t="n">
        <f aca="false">H2241-H2240</f>
        <v>0.280619802020231</v>
      </c>
      <c r="I2242" s="22" t="n">
        <f aca="false">I2241-I2240</f>
        <v>0.281505208180386</v>
      </c>
      <c r="J2242" s="22" t="n">
        <f aca="false">J2241-J2240</f>
        <v>0.28239061434054</v>
      </c>
      <c r="K2242" s="22" t="n">
        <f aca="false">K2241-K2240</f>
        <v>0.283276020500694</v>
      </c>
    </row>
    <row r="2243" customFormat="false" ht="15" hidden="false" customHeight="false" outlineLevel="0" collapsed="false">
      <c r="A2243" s="3" t="s">
        <v>431</v>
      </c>
      <c r="G2243" s="22" t="n">
        <f aca="false">IF(G2241=0,0,G2242/ABS(G2241))</f>
        <v>0.699335989650192</v>
      </c>
      <c r="H2243" s="22" t="n">
        <f aca="false">IF(H2241=0,0,H2242/ABS(H2241))</f>
        <v>0.701549505050578</v>
      </c>
      <c r="I2243" s="22" t="n">
        <f aca="false">IF(I2241=0,0,I2242/ABS(I2241))</f>
        <v>0.703763020450964</v>
      </c>
      <c r="J2243" s="22" t="n">
        <f aca="false">IF(J2241=0,0,J2242/ABS(J2241))</f>
        <v>0.70597653585135</v>
      </c>
      <c r="K2243" s="22" t="n">
        <f aca="false">IF(K2241=0,0,K2242/ABS(K2241))</f>
        <v>0.708190051251736</v>
      </c>
    </row>
    <row r="2244" customFormat="false" ht="15" hidden="false" customHeight="false" outlineLevel="0" collapsed="false">
      <c r="A2244" s="3" t="s">
        <v>432</v>
      </c>
      <c r="G2244" s="21" t="n">
        <f aca="false">IF(G2242&lt;0,1,0)</f>
        <v>0</v>
      </c>
      <c r="H2244" s="21" t="n">
        <f aca="false">IF(H2242&lt;0,1,0)</f>
        <v>0</v>
      </c>
      <c r="I2244" s="21" t="n">
        <f aca="false">IF(I2242&lt;0,1,0)</f>
        <v>0</v>
      </c>
      <c r="J2244" s="21" t="n">
        <f aca="false">IF(J2242&lt;0,1,0)</f>
        <v>0</v>
      </c>
      <c r="K2244" s="21" t="n">
        <f aca="false">IF(K2242&lt;0,1,0)</f>
        <v>0</v>
      </c>
    </row>
    <row r="2245" customFormat="false" ht="15" hidden="false" customHeight="false" outlineLevel="0" collapsed="false">
      <c r="A2245" s="3" t="s">
        <v>433</v>
      </c>
      <c r="C2245" s="21" t="n">
        <f aca="false">IFERROR(INDEX($G$1978:$K$1978,MATCH(1,$G$2244:$K$2244,0)),0)</f>
        <v>0</v>
      </c>
    </row>
    <row r="2246" customFormat="false" ht="15" hidden="false" customHeight="false" outlineLevel="0" collapsed="false">
      <c r="A2246" s="3" t="s">
        <v>434</v>
      </c>
      <c r="C2246" s="22" t="n">
        <f aca="false">MIN($G$2243:$K$2243)</f>
        <v>0.699335989650192</v>
      </c>
    </row>
    <row r="2247" customFormat="false" ht="15" hidden="false" customHeight="false" outlineLevel="0" collapsed="false">
      <c r="A2247" s="24" t="s">
        <v>437</v>
      </c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</row>
    <row r="2248" customFormat="false" ht="15" hidden="false" customHeight="false" outlineLevel="0" collapsed="false">
      <c r="A2248" s="3" t="s">
        <v>428</v>
      </c>
      <c r="G2248" s="16" t="n">
        <f aca="false">G2218</f>
        <v>705.4950778</v>
      </c>
      <c r="H2248" s="16" t="n">
        <f aca="false">H2218</f>
        <v>599.5</v>
      </c>
      <c r="I2248" s="16" t="n">
        <f aca="false">I2218</f>
        <v>484.463961476344</v>
      </c>
      <c r="J2248" s="16" t="n">
        <f aca="false">J2218</f>
        <v>370.08291930651</v>
      </c>
      <c r="K2248" s="16" t="n">
        <f aca="false">K2218</f>
        <v>237.596197854866</v>
      </c>
    </row>
    <row r="2249" customFormat="false" ht="15" hidden="false" customHeight="false" outlineLevel="0" collapsed="false">
      <c r="A2249" s="3" t="s">
        <v>429</v>
      </c>
      <c r="G2249" s="29" t="n">
        <f aca="false">Assumptions!$G$74</f>
        <v>100</v>
      </c>
      <c r="H2249" s="29" t="n">
        <f aca="false">Assumptions!$H$74</f>
        <v>100</v>
      </c>
      <c r="I2249" s="29" t="n">
        <f aca="false">Assumptions!$I$74</f>
        <v>100</v>
      </c>
      <c r="J2249" s="29" t="n">
        <f aca="false">Assumptions!$J$74</f>
        <v>100</v>
      </c>
      <c r="K2249" s="29" t="n">
        <f aca="false">Assumptions!$K$74</f>
        <v>100</v>
      </c>
    </row>
    <row r="2250" customFormat="false" ht="15" hidden="false" customHeight="false" outlineLevel="0" collapsed="false">
      <c r="A2250" s="3" t="s">
        <v>430</v>
      </c>
      <c r="G2250" s="16" t="n">
        <f aca="false">G2248-G2249</f>
        <v>605.4950778</v>
      </c>
      <c r="H2250" s="16" t="n">
        <f aca="false">H2248-H2249</f>
        <v>499.5</v>
      </c>
      <c r="I2250" s="16" t="n">
        <f aca="false">I2248-I2249</f>
        <v>384.463961476344</v>
      </c>
      <c r="J2250" s="16" t="n">
        <f aca="false">J2248-J2249</f>
        <v>270.08291930651</v>
      </c>
      <c r="K2250" s="16" t="n">
        <f aca="false">K2248-K2249</f>
        <v>137.596197854866</v>
      </c>
    </row>
    <row r="2251" customFormat="false" ht="15" hidden="false" customHeight="false" outlineLevel="0" collapsed="false">
      <c r="A2251" s="3" t="s">
        <v>431</v>
      </c>
      <c r="G2251" s="22" t="n">
        <f aca="false">IF(G2249=0,0,G2250/ABS(G2249))</f>
        <v>6.054950778</v>
      </c>
      <c r="H2251" s="22" t="n">
        <f aca="false">IF(H2249=0,0,H2250/ABS(H2249))</f>
        <v>4.995</v>
      </c>
      <c r="I2251" s="22" t="n">
        <f aca="false">IF(I2249=0,0,I2250/ABS(I2249))</f>
        <v>3.84463961476344</v>
      </c>
      <c r="J2251" s="22" t="n">
        <f aca="false">IF(J2249=0,0,J2250/ABS(J2249))</f>
        <v>2.7008291930651</v>
      </c>
      <c r="K2251" s="22" t="n">
        <f aca="false">IF(K2249=0,0,K2250/ABS(K2249))</f>
        <v>1.37596197854866</v>
      </c>
    </row>
    <row r="2252" customFormat="false" ht="15" hidden="false" customHeight="false" outlineLevel="0" collapsed="false">
      <c r="A2252" s="3" t="s">
        <v>432</v>
      </c>
      <c r="G2252" s="21" t="n">
        <f aca="false">IF(G2250&lt;0,1,0)</f>
        <v>0</v>
      </c>
      <c r="H2252" s="21" t="n">
        <f aca="false">IF(H2250&lt;0,1,0)</f>
        <v>0</v>
      </c>
      <c r="I2252" s="21" t="n">
        <f aca="false">IF(I2250&lt;0,1,0)</f>
        <v>0</v>
      </c>
      <c r="J2252" s="21" t="n">
        <f aca="false">IF(J2250&lt;0,1,0)</f>
        <v>0</v>
      </c>
      <c r="K2252" s="21" t="n">
        <f aca="false">IF(K2250&lt;0,1,0)</f>
        <v>0</v>
      </c>
    </row>
    <row r="2253" customFormat="false" ht="15" hidden="false" customHeight="false" outlineLevel="0" collapsed="false">
      <c r="A2253" s="3" t="s">
        <v>433</v>
      </c>
      <c r="C2253" s="21" t="n">
        <f aca="false">IFERROR(INDEX($G$1978:$K$1978,MATCH(1,$G$2252:$K$2252,0)),0)</f>
        <v>0</v>
      </c>
    </row>
    <row r="2254" customFormat="false" ht="15" hidden="false" customHeight="false" outlineLevel="0" collapsed="false">
      <c r="A2254" s="3" t="s">
        <v>434</v>
      </c>
      <c r="C2254" s="22" t="n">
        <f aca="false">MIN($G$2251:$K$2251)</f>
        <v>1.37596197854866</v>
      </c>
    </row>
    <row r="2255" customFormat="false" ht="15" hidden="false" customHeight="false" outlineLevel="0" collapsed="false">
      <c r="A2255" s="24" t="s">
        <v>438</v>
      </c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</row>
    <row r="2256" customFormat="false" ht="15" hidden="false" customHeight="false" outlineLevel="0" collapsed="false">
      <c r="A2256" s="3" t="s">
        <v>428</v>
      </c>
      <c r="G2256" s="32" t="n">
        <f aca="false">IF(G1988&gt;0,G2211/G1988,99)</f>
        <v>10.5174927506678</v>
      </c>
      <c r="H2256" s="32" t="n">
        <f aca="false">IF(H1988&gt;0,H2211/H1988,99)</f>
        <v>10.6548980856798</v>
      </c>
      <c r="I2256" s="32" t="n">
        <f aca="false">IF(I1988&gt;0,I2211/I1988,99)</f>
        <v>10.8279684974925</v>
      </c>
      <c r="J2256" s="32" t="n">
        <f aca="false">IF(J1988&gt;0,J2211/J1988,99)</f>
        <v>11.0051476953907</v>
      </c>
      <c r="K2256" s="32" t="n">
        <f aca="false">IF(K1988&gt;0,K2211/K1988,99)</f>
        <v>11.2373741135366</v>
      </c>
    </row>
    <row r="2257" customFormat="false" ht="15" hidden="false" customHeight="false" outlineLevel="0" collapsed="false">
      <c r="A2257" s="3" t="s">
        <v>429</v>
      </c>
      <c r="G2257" s="34" t="n">
        <f aca="false">Assumptions!$G$75</f>
        <v>10.5</v>
      </c>
      <c r="H2257" s="34" t="n">
        <f aca="false">Assumptions!$H$75</f>
        <v>10.5</v>
      </c>
      <c r="I2257" s="34" t="n">
        <f aca="false">Assumptions!$I$75</f>
        <v>10</v>
      </c>
      <c r="J2257" s="34" t="n">
        <f aca="false">Assumptions!$J$75</f>
        <v>10</v>
      </c>
      <c r="K2257" s="34" t="n">
        <f aca="false">Assumptions!$K$75</f>
        <v>9.5</v>
      </c>
    </row>
    <row r="2258" customFormat="false" ht="15" hidden="false" customHeight="false" outlineLevel="0" collapsed="false">
      <c r="A2258" s="3" t="s">
        <v>430</v>
      </c>
      <c r="G2258" s="32" t="n">
        <f aca="false">G2257-G2256</f>
        <v>-0.0174927506678149</v>
      </c>
      <c r="H2258" s="32" t="n">
        <f aca="false">H2257-H2256</f>
        <v>-0.154898085679845</v>
      </c>
      <c r="I2258" s="32" t="n">
        <f aca="false">I2257-I2256</f>
        <v>-0.827968497492535</v>
      </c>
      <c r="J2258" s="32" t="n">
        <f aca="false">J2257-J2256</f>
        <v>-1.0051476953907</v>
      </c>
      <c r="K2258" s="32" t="n">
        <f aca="false">K2257-K2256</f>
        <v>-1.73737411353658</v>
      </c>
    </row>
    <row r="2259" customFormat="false" ht="15" hidden="false" customHeight="false" outlineLevel="0" collapsed="false">
      <c r="A2259" s="3" t="s">
        <v>431</v>
      </c>
      <c r="G2259" s="22" t="n">
        <f aca="false">IF(G2257=0,0,G2258/ABS(G2257))</f>
        <v>-0.00166597625407761</v>
      </c>
      <c r="H2259" s="22" t="n">
        <f aca="false">IF(H2257=0,0,H2258/ABS(H2257))</f>
        <v>-0.0147521986361757</v>
      </c>
      <c r="I2259" s="22" t="n">
        <f aca="false">IF(I2257=0,0,I2258/ABS(I2257))</f>
        <v>-0.0827968497492535</v>
      </c>
      <c r="J2259" s="22" t="n">
        <f aca="false">IF(J2257=0,0,J2258/ABS(J2257))</f>
        <v>-0.10051476953907</v>
      </c>
      <c r="K2259" s="22" t="n">
        <f aca="false">IF(K2257=0,0,K2258/ABS(K2257))</f>
        <v>-0.182881485635429</v>
      </c>
    </row>
    <row r="2260" customFormat="false" ht="15" hidden="false" customHeight="false" outlineLevel="0" collapsed="false">
      <c r="A2260" s="3" t="s">
        <v>432</v>
      </c>
      <c r="G2260" s="21" t="n">
        <f aca="false">IF(G2258&lt;0,1,0)</f>
        <v>1</v>
      </c>
      <c r="H2260" s="21" t="n">
        <f aca="false">IF(H2258&lt;0,1,0)</f>
        <v>1</v>
      </c>
      <c r="I2260" s="21" t="n">
        <f aca="false">IF(I2258&lt;0,1,0)</f>
        <v>1</v>
      </c>
      <c r="J2260" s="21" t="n">
        <f aca="false">IF(J2258&lt;0,1,0)</f>
        <v>1</v>
      </c>
      <c r="K2260" s="21" t="n">
        <f aca="false">IF(K2258&lt;0,1,0)</f>
        <v>1</v>
      </c>
    </row>
    <row r="2261" customFormat="false" ht="15" hidden="false" customHeight="false" outlineLevel="0" collapsed="false">
      <c r="A2261" s="3" t="s">
        <v>433</v>
      </c>
      <c r="C2261" s="21" t="n">
        <f aca="false">IFERROR(INDEX($G$1978:$K$1978,MATCH(1,$G$2260:$K$2260,0)),0)</f>
        <v>2027</v>
      </c>
    </row>
    <row r="2262" customFormat="false" ht="15" hidden="false" customHeight="false" outlineLevel="0" collapsed="false">
      <c r="A2262" s="3" t="s">
        <v>434</v>
      </c>
      <c r="C2262" s="22" t="n">
        <f aca="false">MIN($G$2259:$K$2259)</f>
        <v>-0.182881485635429</v>
      </c>
    </row>
    <row r="2263" customFormat="false" ht="15" hidden="false" customHeight="false" outlineLevel="0" collapsed="false">
      <c r="A2263" s="3" t="s">
        <v>439</v>
      </c>
      <c r="G2263" s="21" t="n">
        <f aca="false">G2228+G2236+G2244+G2252+G2260</f>
        <v>2</v>
      </c>
      <c r="H2263" s="21" t="n">
        <f aca="false">H2228+H2236+H2244+H2252+H2260</f>
        <v>2</v>
      </c>
      <c r="I2263" s="21" t="n">
        <f aca="false">I2228+I2236+I2244+I2252+I2260</f>
        <v>2</v>
      </c>
      <c r="J2263" s="21" t="n">
        <f aca="false">J2228+J2236+J2244+J2252+J2260</f>
        <v>3</v>
      </c>
      <c r="K2263" s="21" t="n">
        <f aca="false">K2228+K2236+K2244+K2252+K2260</f>
        <v>3</v>
      </c>
    </row>
    <row r="2264" customFormat="false" ht="15" hidden="false" customHeight="false" outlineLevel="0" collapsed="false">
      <c r="A2264" s="3" t="s">
        <v>440</v>
      </c>
      <c r="C2264" s="21" t="n">
        <f aca="false">SUM($G$2263:$K$2263)</f>
        <v>12</v>
      </c>
    </row>
    <row r="2265" customFormat="false" ht="15" hidden="false" customHeight="false" outlineLevel="0" collapsed="false">
      <c r="A2265" s="3" t="s">
        <v>441</v>
      </c>
      <c r="C2265" s="22" t="n">
        <f aca="false">MIN(C2230,C2238,C2246,C2254,C2262)</f>
        <v>-0.197918826956555</v>
      </c>
    </row>
    <row r="2267" customFormat="false" ht="15" hidden="false" customHeight="false" outlineLevel="0" collapsed="false">
      <c r="A2267" s="24" t="s">
        <v>543</v>
      </c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</row>
    <row r="2268" customFormat="false" ht="15" hidden="false" customHeight="false" outlineLevel="0" collapsed="false">
      <c r="A2268" s="3" t="s">
        <v>544</v>
      </c>
      <c r="G2268" s="21" t="n">
        <f aca="false">IF($C$2269=1,G2205,IF(G1988=MIN($G$1988:$K$1988),1,0))</f>
        <v>0</v>
      </c>
      <c r="H2268" s="21" t="n">
        <f aca="false">IF($C$2269=1,H2205,IF(AND(H1988=MIN($G$1988:$K$1988),SUM($G$2268:G2268)=0),1,0))</f>
        <v>0</v>
      </c>
      <c r="I2268" s="21" t="n">
        <f aca="false">IF($C$2269=1,I2205,IF(AND(I1988=MIN($G$1988:$K$1988),SUM($G$2268:H2268)=0),1,0))</f>
        <v>0</v>
      </c>
      <c r="J2268" s="21" t="n">
        <f aca="false">IF($C$2269=1,J2205,IF(AND(J1988=MIN($G$1988:$K$1988),SUM($G$2268:I2268)=0),1,0))</f>
        <v>0</v>
      </c>
      <c r="K2268" s="21" t="n">
        <f aca="false">IF($C$2269=1,K2205,IF(AND(K1988=MIN($G$1988:$K$1988),SUM($G$2268:J2268)=0),1,0))</f>
        <v>1</v>
      </c>
    </row>
    <row r="2269" customFormat="false" ht="15" hidden="false" customHeight="false" outlineLevel="0" collapsed="false">
      <c r="A2269" s="3" t="s">
        <v>545</v>
      </c>
      <c r="C2269" s="21" t="n">
        <f aca="false">IF(SUM($G$2205:$K$2205)&gt;0,1,0)</f>
        <v>1</v>
      </c>
    </row>
    <row r="2270" customFormat="false" ht="15" hidden="false" customHeight="false" outlineLevel="0" collapsed="false">
      <c r="A2270" s="3" t="s">
        <v>546</v>
      </c>
      <c r="C2270" s="21" t="n">
        <f aca="false">SUMPRODUCT($G$2268:$K$2268,$G$1978:$K$1978)</f>
        <v>2031</v>
      </c>
    </row>
    <row r="2271" customFormat="false" ht="15" hidden="false" customHeight="false" outlineLevel="0" collapsed="false">
      <c r="A2271" s="3" t="s">
        <v>547</v>
      </c>
      <c r="C2271" s="16" t="n">
        <f aca="false">SUMPRODUCT($G$2268:$K$2268,$G$1988:$K$1988)</f>
        <v>261.592608667702</v>
      </c>
    </row>
    <row r="2272" customFormat="false" ht="15" hidden="false" customHeight="false" outlineLevel="0" collapsed="false">
      <c r="A2272" s="3" t="s">
        <v>548</v>
      </c>
      <c r="C2272" s="16" t="n">
        <f aca="false">MAX(0,SUMPRODUCT($G$2268:$K$2268,$G$2202:$K$2202))</f>
        <v>0</v>
      </c>
    </row>
    <row r="2273" customFormat="false" ht="15" hidden="false" customHeight="false" outlineLevel="0" collapsed="false">
      <c r="A2273" s="3" t="s">
        <v>549</v>
      </c>
      <c r="C2273" s="16" t="n">
        <f aca="false">(CHOOSE($C$1971,Assumptions!$C$92,Assumptions!$C$111,Assumptions!$C$130)+$C$1975)*C2271</f>
        <v>2615.92608667702</v>
      </c>
    </row>
    <row r="2274" customFormat="false" ht="15" hidden="false" customHeight="false" outlineLevel="0" collapsed="false">
      <c r="A2274" s="3" t="s">
        <v>550</v>
      </c>
      <c r="C2274" s="16" t="n">
        <f aca="false">Assumptions!$C$31*(1-CHOOSE($C$1971,Assumptions!$C$93,Assumptions!$C$112,Assumptions!$C$131))*CHOOSE($C$1971,Assumptions!$C$94,Assumptions!$C$113,Assumptions!$C$132)</f>
        <v>3840.04556666667</v>
      </c>
    </row>
    <row r="2275" customFormat="false" ht="15" hidden="false" customHeight="false" outlineLevel="0" collapsed="false">
      <c r="A2275" s="3" t="s">
        <v>551</v>
      </c>
      <c r="C2275" s="16" t="n">
        <f aca="false">MAX(C2273,C2274)+C2272</f>
        <v>3840.04556666667</v>
      </c>
    </row>
    <row r="2276" customFormat="false" ht="15" hidden="false" customHeight="false" outlineLevel="0" collapsed="false">
      <c r="A2276" s="2" t="s">
        <v>552</v>
      </c>
      <c r="C2276" s="17" t="n">
        <f aca="false">IF(ISNUMBER(Assumptions!$C$14),Assumptions!$C$14,C2275)</f>
        <v>3840.04556666667</v>
      </c>
    </row>
    <row r="2277" customFormat="false" ht="15" hidden="false" customHeight="false" outlineLevel="0" collapsed="false">
      <c r="A2277" s="3" t="s">
        <v>553</v>
      </c>
      <c r="C2277" s="16" t="n">
        <f aca="false">C2276*Assumptions!$C$15</f>
        <v>153.601822666667</v>
      </c>
    </row>
    <row r="2278" customFormat="false" ht="15" hidden="false" customHeight="false" outlineLevel="0" collapsed="false">
      <c r="A2278" s="2" t="s">
        <v>554</v>
      </c>
      <c r="C2278" s="17" t="n">
        <f aca="false">C2276-C2277</f>
        <v>3686.443744</v>
      </c>
    </row>
    <row r="2279" customFormat="false" ht="15" hidden="false" customHeight="false" outlineLevel="0" collapsed="false">
      <c r="A2279" s="24" t="s">
        <v>555</v>
      </c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</row>
    <row r="2280" customFormat="false" ht="15" hidden="false" customHeight="false" outlineLevel="0" collapsed="false">
      <c r="A2280" s="3" t="s">
        <v>556</v>
      </c>
      <c r="C2280" s="16" t="n">
        <f aca="false">SUMPRODUCT($G$2268:$K$2268,$G$2025:$K$2025)*(1+SUMPRODUCT($G$2268:$K$2268,$G$2017:$K$2017)*Assumptions!$C$16/12)</f>
        <v>388.3125</v>
      </c>
    </row>
    <row r="2281" customFormat="false" ht="15" hidden="false" customHeight="false" outlineLevel="0" collapsed="false">
      <c r="A2281" s="3" t="s">
        <v>557</v>
      </c>
      <c r="C2281" s="16" t="n">
        <f aca="false">SUMPRODUCT($G$2268:$K$2268,$G$2038:$K$2038)*(1+SUMPRODUCT($G$2268:$K$2268,$G$2030:$K$2030)*Assumptions!$C$16/12)</f>
        <v>91.30725</v>
      </c>
    </row>
    <row r="2282" customFormat="false" ht="15" hidden="false" customHeight="false" outlineLevel="0" collapsed="false">
      <c r="A2282" s="3" t="s">
        <v>558</v>
      </c>
      <c r="C2282" s="16" t="n">
        <f aca="false">SUMPRODUCT($G$2268:$K$2268,$G$2051:$K$2051)*(1+SUMPRODUCT($G$2268:$K$2268,$G$2043:$K$2043)*Assumptions!$C$16/12)</f>
        <v>58.3715961</v>
      </c>
    </row>
    <row r="2283" customFormat="false" ht="15" hidden="false" customHeight="false" outlineLevel="0" collapsed="false">
      <c r="A2283" s="3" t="s">
        <v>559</v>
      </c>
      <c r="C2283" s="16" t="n">
        <f aca="false">SUMPRODUCT($G$2268:$K$2268,$G$2064:$K$2064)*(1+SUMPRODUCT($G$2268:$K$2268,$G$2056:$K$2056)*Assumptions!$C$16/12)</f>
        <v>343.641878188037</v>
      </c>
    </row>
    <row r="2284" customFormat="false" ht="15" hidden="false" customHeight="false" outlineLevel="0" collapsed="false">
      <c r="A2284" s="3" t="s">
        <v>560</v>
      </c>
      <c r="C2284" s="16" t="n">
        <f aca="false">SUMPRODUCT($G$2268:$K$2268,$G$2077:$K$2077)*(1+SUMPRODUCT($G$2268:$K$2268,$G$2069:$K$2069)*Assumptions!$C$16/12)</f>
        <v>455.711730925596</v>
      </c>
    </row>
    <row r="2285" customFormat="false" ht="15" hidden="false" customHeight="false" outlineLevel="0" collapsed="false">
      <c r="A2285" s="3" t="s">
        <v>561</v>
      </c>
      <c r="C2285" s="16" t="n">
        <f aca="false">SUMPRODUCT($G$2268:$K$2268,$G$2090:$K$2090)*(1+SUMPRODUCT($G$2268:$K$2268,$G$2082:$K$2082)*Assumptions!$C$16/12)</f>
        <v>357</v>
      </c>
    </row>
    <row r="2286" customFormat="false" ht="15" hidden="false" customHeight="false" outlineLevel="0" collapsed="false">
      <c r="A2286" s="3" t="s">
        <v>562</v>
      </c>
      <c r="C2286" s="16" t="n">
        <f aca="false">SUMPRODUCT($G$2268:$K$2268,$G$2103:$K$2103)*(1+SUMPRODUCT($G$2268:$K$2268,$G$2095:$K$2095)*Assumptions!$C$16/12)</f>
        <v>561</v>
      </c>
    </row>
    <row r="2287" customFormat="false" ht="15" hidden="false" customHeight="false" outlineLevel="0" collapsed="false">
      <c r="A2287" s="3" t="s">
        <v>563</v>
      </c>
      <c r="C2287" s="16" t="n">
        <f aca="false">SUMPRODUCT($G$2268:$K$2268,$G$2116:$K$2116)*(1+SUMPRODUCT($G$2268:$K$2268,$G$2108:$K$2108)*Assumptions!$C$16/12)</f>
        <v>357</v>
      </c>
    </row>
    <row r="2288" customFormat="false" ht="15" hidden="false" customHeight="false" outlineLevel="0" collapsed="false">
      <c r="A2288" s="3" t="s">
        <v>564</v>
      </c>
      <c r="C2288" s="16" t="n">
        <f aca="false">SUMPRODUCT($G$2268:$K$2268,$G$2129:$K$2129)*(1+SUMPRODUCT($G$2268:$K$2268,$G$2121:$K$2121)*Assumptions!$C$16/12)</f>
        <v>304.59375</v>
      </c>
    </row>
    <row r="2289" customFormat="false" ht="15" hidden="false" customHeight="false" outlineLevel="0" collapsed="false">
      <c r="A2289" s="3" t="s">
        <v>565</v>
      </c>
      <c r="C2289" s="16" t="n">
        <f aca="false">SUMPRODUCT($G$2268:$K$2268,$G$2142:$K$2142)*(1+SUMPRODUCT($G$2268:$K$2268,$G$2134:$K$2134)*Assumptions!$C$16/12)</f>
        <v>79.59459025</v>
      </c>
    </row>
    <row r="2290" customFormat="false" ht="15" hidden="false" customHeight="false" outlineLevel="0" collapsed="false">
      <c r="A2290" s="24" t="s">
        <v>566</v>
      </c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</row>
    <row r="2291" customFormat="false" ht="15" hidden="false" customHeight="false" outlineLevel="0" collapsed="false">
      <c r="A2291" s="3" t="s">
        <v>556</v>
      </c>
      <c r="C2291" s="27" t="n">
        <f aca="false">Assumptions!$M$57</f>
        <v>1</v>
      </c>
    </row>
    <row r="2292" customFormat="false" ht="15" hidden="false" customHeight="false" outlineLevel="0" collapsed="false">
      <c r="A2292" s="3" t="s">
        <v>557</v>
      </c>
      <c r="C2292" s="27" t="n">
        <f aca="false">Assumptions!$M$58</f>
        <v>1</v>
      </c>
    </row>
    <row r="2293" customFormat="false" ht="15" hidden="false" customHeight="false" outlineLevel="0" collapsed="false">
      <c r="A2293" s="3" t="s">
        <v>558</v>
      </c>
      <c r="C2293" s="27" t="n">
        <f aca="false">Assumptions!$M$59</f>
        <v>1</v>
      </c>
    </row>
    <row r="2294" customFormat="false" ht="15" hidden="false" customHeight="false" outlineLevel="0" collapsed="false">
      <c r="A2294" s="3" t="s">
        <v>559</v>
      </c>
      <c r="C2294" s="27" t="n">
        <f aca="false">Assumptions!$M$60</f>
        <v>2</v>
      </c>
    </row>
    <row r="2295" customFormat="false" ht="15" hidden="false" customHeight="false" outlineLevel="0" collapsed="false">
      <c r="A2295" s="3" t="s">
        <v>560</v>
      </c>
      <c r="C2295" s="27" t="n">
        <f aca="false">Assumptions!$M$61</f>
        <v>2</v>
      </c>
    </row>
    <row r="2296" customFormat="false" ht="15" hidden="false" customHeight="false" outlineLevel="0" collapsed="false">
      <c r="A2296" s="3" t="s">
        <v>561</v>
      </c>
      <c r="C2296" s="27" t="n">
        <f aca="false">Assumptions!$M$62</f>
        <v>2</v>
      </c>
    </row>
    <row r="2297" customFormat="false" ht="15" hidden="false" customHeight="false" outlineLevel="0" collapsed="false">
      <c r="A2297" s="3" t="s">
        <v>562</v>
      </c>
      <c r="C2297" s="27" t="n">
        <f aca="false">Assumptions!$M$63</f>
        <v>2</v>
      </c>
    </row>
    <row r="2298" customFormat="false" ht="15" hidden="false" customHeight="false" outlineLevel="0" collapsed="false">
      <c r="A2298" s="3" t="s">
        <v>563</v>
      </c>
      <c r="C2298" s="27" t="n">
        <f aca="false">Assumptions!$M$64</f>
        <v>2</v>
      </c>
    </row>
    <row r="2299" customFormat="false" ht="15" hidden="false" customHeight="false" outlineLevel="0" collapsed="false">
      <c r="A2299" s="3" t="s">
        <v>564</v>
      </c>
      <c r="C2299" s="27" t="n">
        <f aca="false">Assumptions!$M$65</f>
        <v>2</v>
      </c>
    </row>
    <row r="2300" customFormat="false" ht="15" hidden="false" customHeight="false" outlineLevel="0" collapsed="false">
      <c r="A2300" s="3" t="s">
        <v>565</v>
      </c>
      <c r="C2300" s="27" t="n">
        <f aca="false">Assumptions!$M$66</f>
        <v>3</v>
      </c>
    </row>
    <row r="2301" customFormat="false" ht="15" hidden="false" customHeight="false" outlineLevel="0" collapsed="false">
      <c r="A2301" s="24" t="s">
        <v>567</v>
      </c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</row>
    <row r="2302" customFormat="false" ht="15" hidden="false" customHeight="false" outlineLevel="0" collapsed="false">
      <c r="A2302" s="3" t="s">
        <v>556</v>
      </c>
      <c r="C2302" s="33" t="n">
        <f aca="false">Assumptions!$Q$57</f>
        <v>0.3</v>
      </c>
    </row>
    <row r="2303" customFormat="false" ht="15" hidden="false" customHeight="false" outlineLevel="0" collapsed="false">
      <c r="A2303" s="3" t="s">
        <v>557</v>
      </c>
      <c r="C2303" s="33" t="n">
        <f aca="false">Assumptions!$Q$58</f>
        <v>0.033</v>
      </c>
    </row>
    <row r="2304" customFormat="false" ht="15" hidden="false" customHeight="false" outlineLevel="0" collapsed="false">
      <c r="A2304" s="3" t="s">
        <v>558</v>
      </c>
      <c r="C2304" s="33" t="n">
        <f aca="false">Assumptions!$Q$59</f>
        <v>0.021</v>
      </c>
    </row>
    <row r="2305" customFormat="false" ht="15" hidden="false" customHeight="false" outlineLevel="0" collapsed="false">
      <c r="A2305" s="3" t="s">
        <v>559</v>
      </c>
      <c r="C2305" s="33" t="n">
        <f aca="false">Assumptions!$Q$60</f>
        <v>0</v>
      </c>
    </row>
    <row r="2306" customFormat="false" ht="15" hidden="false" customHeight="false" outlineLevel="0" collapsed="false">
      <c r="A2306" s="3" t="s">
        <v>560</v>
      </c>
      <c r="C2306" s="33" t="n">
        <f aca="false">Assumptions!$Q$61</f>
        <v>0</v>
      </c>
    </row>
    <row r="2307" customFormat="false" ht="15" hidden="false" customHeight="false" outlineLevel="0" collapsed="false">
      <c r="A2307" s="3" t="s">
        <v>561</v>
      </c>
      <c r="C2307" s="33" t="n">
        <f aca="false">Assumptions!$Q$62</f>
        <v>0</v>
      </c>
    </row>
    <row r="2308" customFormat="false" ht="15" hidden="false" customHeight="false" outlineLevel="0" collapsed="false">
      <c r="A2308" s="3" t="s">
        <v>562</v>
      </c>
      <c r="C2308" s="33" t="n">
        <f aca="false">Assumptions!$Q$63</f>
        <v>0</v>
      </c>
    </row>
    <row r="2309" customFormat="false" ht="15" hidden="false" customHeight="false" outlineLevel="0" collapsed="false">
      <c r="A2309" s="3" t="s">
        <v>563</v>
      </c>
      <c r="C2309" s="33" t="n">
        <f aca="false">Assumptions!$Q$64</f>
        <v>0</v>
      </c>
    </row>
    <row r="2310" customFormat="false" ht="15" hidden="false" customHeight="false" outlineLevel="0" collapsed="false">
      <c r="A2310" s="3" t="s">
        <v>564</v>
      </c>
      <c r="C2310" s="33" t="n">
        <f aca="false">Assumptions!$Q$65</f>
        <v>0</v>
      </c>
    </row>
    <row r="2311" customFormat="false" ht="15" hidden="false" customHeight="false" outlineLevel="0" collapsed="false">
      <c r="A2311" s="3" t="s">
        <v>565</v>
      </c>
      <c r="C2311" s="33" t="n">
        <f aca="false">Assumptions!$Q$66</f>
        <v>0</v>
      </c>
    </row>
    <row r="2312" customFormat="false" ht="15" hidden="false" customHeight="false" outlineLevel="0" collapsed="false">
      <c r="A2312" s="24" t="s">
        <v>568</v>
      </c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</row>
    <row r="2313" customFormat="false" ht="15" hidden="false" customHeight="false" outlineLevel="0" collapsed="false">
      <c r="A2313" s="3" t="s">
        <v>556</v>
      </c>
      <c r="C2313" s="16" t="n">
        <f aca="false">IF(C2302&gt;0,MIN(C2280,C2302*$C$2278),0)</f>
        <v>388.3125</v>
      </c>
    </row>
    <row r="2314" customFormat="false" ht="15" hidden="false" customHeight="false" outlineLevel="0" collapsed="false">
      <c r="A2314" s="3" t="s">
        <v>557</v>
      </c>
      <c r="C2314" s="16" t="n">
        <f aca="false">IF(C2303&gt;0,MIN(C2281,C2303*$C$2278),0)</f>
        <v>91.30725</v>
      </c>
    </row>
    <row r="2315" customFormat="false" ht="15" hidden="false" customHeight="false" outlineLevel="0" collapsed="false">
      <c r="A2315" s="3" t="s">
        <v>558</v>
      </c>
      <c r="C2315" s="16" t="n">
        <f aca="false">IF(C2304&gt;0,MIN(C2282,C2304*$C$2278),0)</f>
        <v>58.3715961</v>
      </c>
    </row>
    <row r="2316" customFormat="false" ht="15" hidden="false" customHeight="false" outlineLevel="0" collapsed="false">
      <c r="A2316" s="3" t="s">
        <v>559</v>
      </c>
      <c r="C2316" s="16" t="n">
        <f aca="false">IF(C2305&gt;0,MIN(C2283,C2305*$C$2278),0)</f>
        <v>0</v>
      </c>
    </row>
    <row r="2317" customFormat="false" ht="15" hidden="false" customHeight="false" outlineLevel="0" collapsed="false">
      <c r="A2317" s="3" t="s">
        <v>560</v>
      </c>
      <c r="C2317" s="16" t="n">
        <f aca="false">IF(C2306&gt;0,MIN(C2284,C2306*$C$2278),0)</f>
        <v>0</v>
      </c>
    </row>
    <row r="2318" customFormat="false" ht="15" hidden="false" customHeight="false" outlineLevel="0" collapsed="false">
      <c r="A2318" s="3" t="s">
        <v>561</v>
      </c>
      <c r="C2318" s="16" t="n">
        <f aca="false">IF(C2307&gt;0,MIN(C2285,C2307*$C$2278),0)</f>
        <v>0</v>
      </c>
    </row>
    <row r="2319" customFormat="false" ht="15" hidden="false" customHeight="false" outlineLevel="0" collapsed="false">
      <c r="A2319" s="3" t="s">
        <v>562</v>
      </c>
      <c r="C2319" s="16" t="n">
        <f aca="false">IF(C2308&gt;0,MIN(C2286,C2308*$C$2278),0)</f>
        <v>0</v>
      </c>
    </row>
    <row r="2320" customFormat="false" ht="15" hidden="false" customHeight="false" outlineLevel="0" collapsed="false">
      <c r="A2320" s="3" t="s">
        <v>563</v>
      </c>
      <c r="C2320" s="16" t="n">
        <f aca="false">IF(C2309&gt;0,MIN(C2287,C2309*$C$2278),0)</f>
        <v>0</v>
      </c>
    </row>
    <row r="2321" customFormat="false" ht="15" hidden="false" customHeight="false" outlineLevel="0" collapsed="false">
      <c r="A2321" s="3" t="s">
        <v>564</v>
      </c>
      <c r="C2321" s="16" t="n">
        <f aca="false">IF(C2310&gt;0,MIN(C2288,C2310*$C$2278),0)</f>
        <v>0</v>
      </c>
    </row>
    <row r="2322" customFormat="false" ht="15" hidden="false" customHeight="false" outlineLevel="0" collapsed="false">
      <c r="A2322" s="3" t="s">
        <v>565</v>
      </c>
      <c r="C2322" s="16" t="n">
        <f aca="false">IF(C2311&gt;0,MIN(C2289,C2311*$C$2278),0)</f>
        <v>0</v>
      </c>
    </row>
    <row r="2323" customFormat="false" ht="15" hidden="false" customHeight="false" outlineLevel="0" collapsed="false">
      <c r="A2323" s="24" t="s">
        <v>569</v>
      </c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</row>
    <row r="2324" customFormat="false" ht="15" hidden="false" customHeight="false" outlineLevel="0" collapsed="false">
      <c r="A2324" s="3" t="s">
        <v>556</v>
      </c>
      <c r="C2324" s="16" t="n">
        <f aca="false">IF(C2302&gt;0,C2280-C2313,0)</f>
        <v>0</v>
      </c>
      <c r="G2324" s="21" t="n">
        <f aca="false">IF(AND(G2015=1,G2012=1),1,0)</f>
        <v>0</v>
      </c>
      <c r="H2324" s="21" t="n">
        <f aca="false">IF(G2324=1,1,IF(AND(H2015=1,H2012=1),1,0))</f>
        <v>0</v>
      </c>
      <c r="I2324" s="21" t="n">
        <f aca="false">IF(H2324=1,1,IF(AND(I2015=1,I2012=1),1,0))</f>
        <v>0</v>
      </c>
      <c r="J2324" s="21" t="n">
        <f aca="false">IF(I2324=1,1,IF(AND(J2015=1,J2012=1),1,0))</f>
        <v>0</v>
      </c>
      <c r="K2324" s="21" t="n">
        <f aca="false">IF(J2324=1,1,IF(AND(K2015=1,K2012=1),1,0))</f>
        <v>0</v>
      </c>
    </row>
    <row r="2325" customFormat="false" ht="15" hidden="false" customHeight="false" outlineLevel="0" collapsed="false">
      <c r="A2325" s="3" t="s">
        <v>557</v>
      </c>
      <c r="C2325" s="16" t="n">
        <f aca="false">IF(C2303&gt;0,C2281-C2314,0)</f>
        <v>0</v>
      </c>
      <c r="G2325" s="21" t="n">
        <f aca="false">IF(AND(G2028=1,G2012=1),1,0)</f>
        <v>0</v>
      </c>
      <c r="H2325" s="21" t="n">
        <f aca="false">IF(G2325=1,1,IF(AND(H2028=1,H2012=1),1,0))</f>
        <v>0</v>
      </c>
      <c r="I2325" s="21" t="n">
        <f aca="false">IF(H2325=1,1,IF(AND(I2028=1,I2012=1),1,0))</f>
        <v>0</v>
      </c>
      <c r="J2325" s="21" t="n">
        <f aca="false">IF(I2325=1,1,IF(AND(J2028=1,J2012=1),1,0))</f>
        <v>0</v>
      </c>
      <c r="K2325" s="21" t="n">
        <f aca="false">IF(J2325=1,1,IF(AND(K2028=1,K2012=1),1,0))</f>
        <v>0</v>
      </c>
    </row>
    <row r="2326" customFormat="false" ht="15" hidden="false" customHeight="false" outlineLevel="0" collapsed="false">
      <c r="A2326" s="3" t="s">
        <v>558</v>
      </c>
      <c r="C2326" s="16" t="n">
        <f aca="false">IF(C2304&gt;0,C2282-C2315,0)</f>
        <v>0</v>
      </c>
      <c r="G2326" s="21" t="n">
        <f aca="false">IF(AND(G2041=1,G2012=1),1,0)</f>
        <v>0</v>
      </c>
      <c r="H2326" s="21" t="n">
        <f aca="false">IF(G2326=1,1,IF(AND(H2041=1,H2012=1),1,0))</f>
        <v>0</v>
      </c>
      <c r="I2326" s="21" t="n">
        <f aca="false">IF(H2326=1,1,IF(AND(I2041=1,I2012=1),1,0))</f>
        <v>0</v>
      </c>
      <c r="J2326" s="21" t="n">
        <f aca="false">IF(I2326=1,1,IF(AND(J2041=1,J2012=1),1,0))</f>
        <v>0</v>
      </c>
      <c r="K2326" s="21" t="n">
        <f aca="false">IF(J2326=1,1,IF(AND(K2041=1,K2012=1),1,0))</f>
        <v>0</v>
      </c>
    </row>
    <row r="2327" customFormat="false" ht="15" hidden="false" customHeight="false" outlineLevel="0" collapsed="false">
      <c r="A2327" s="3" t="s">
        <v>559</v>
      </c>
      <c r="C2327" s="16" t="n">
        <f aca="false">IF(C2305&gt;0,C2283-C2316,0)</f>
        <v>0</v>
      </c>
      <c r="G2327" s="21" t="n">
        <f aca="false">IF(AND(G2054=1,G2012=1),1,0)</f>
        <v>1</v>
      </c>
      <c r="H2327" s="21" t="n">
        <f aca="false">IF(G2327=1,1,IF(AND(H2054=1,H2012=1),1,0))</f>
        <v>1</v>
      </c>
      <c r="I2327" s="21" t="n">
        <f aca="false">IF(H2327=1,1,IF(AND(I2054=1,I2012=1),1,0))</f>
        <v>1</v>
      </c>
      <c r="J2327" s="21" t="n">
        <f aca="false">IF(I2327=1,1,IF(AND(J2054=1,J2012=1),1,0))</f>
        <v>1</v>
      </c>
      <c r="K2327" s="21" t="n">
        <f aca="false">IF(J2327=1,1,IF(AND(K2054=1,K2012=1),1,0))</f>
        <v>1</v>
      </c>
    </row>
    <row r="2328" customFormat="false" ht="15" hidden="false" customHeight="false" outlineLevel="0" collapsed="false">
      <c r="A2328" s="3" t="s">
        <v>560</v>
      </c>
      <c r="C2328" s="16" t="n">
        <f aca="false">IF(C2306&gt;0,C2284-C2317,0)</f>
        <v>0</v>
      </c>
      <c r="G2328" s="21" t="n">
        <f aca="false">IF(AND(G2067=1,G2012=1),1,0)</f>
        <v>0</v>
      </c>
      <c r="H2328" s="21" t="n">
        <f aca="false">IF(G2328=1,1,IF(AND(H2067=1,H2012=1),1,0))</f>
        <v>1</v>
      </c>
      <c r="I2328" s="21" t="n">
        <f aca="false">IF(H2328=1,1,IF(AND(I2067=1,I2012=1),1,0))</f>
        <v>1</v>
      </c>
      <c r="J2328" s="21" t="n">
        <f aca="false">IF(I2328=1,1,IF(AND(J2067=1,J2012=1),1,0))</f>
        <v>1</v>
      </c>
      <c r="K2328" s="21" t="n">
        <f aca="false">IF(J2328=1,1,IF(AND(K2067=1,K2012=1),1,0))</f>
        <v>1</v>
      </c>
    </row>
    <row r="2329" customFormat="false" ht="15" hidden="false" customHeight="false" outlineLevel="0" collapsed="false">
      <c r="A2329" s="3" t="s">
        <v>561</v>
      </c>
      <c r="C2329" s="16" t="n">
        <f aca="false">IF(C2307&gt;0,C2285-C2318,0)</f>
        <v>0</v>
      </c>
      <c r="G2329" s="21" t="n">
        <f aca="false">IF(AND(G2080=1,G2012=1),1,0)</f>
        <v>0</v>
      </c>
      <c r="H2329" s="21" t="n">
        <f aca="false">IF(G2329=1,1,IF(AND(H2080=1,H2012=1),1,0))</f>
        <v>1</v>
      </c>
      <c r="I2329" s="21" t="n">
        <f aca="false">IF(H2329=1,1,IF(AND(I2080=1,I2012=1),1,0))</f>
        <v>1</v>
      </c>
      <c r="J2329" s="21" t="n">
        <f aca="false">IF(I2329=1,1,IF(AND(J2080=1,J2012=1),1,0))</f>
        <v>1</v>
      </c>
      <c r="K2329" s="21" t="n">
        <f aca="false">IF(J2329=1,1,IF(AND(K2080=1,K2012=1),1,0))</f>
        <v>1</v>
      </c>
    </row>
    <row r="2330" customFormat="false" ht="15" hidden="false" customHeight="false" outlineLevel="0" collapsed="false">
      <c r="A2330" s="3" t="s">
        <v>562</v>
      </c>
      <c r="C2330" s="16" t="n">
        <f aca="false">IF(C2308&gt;0,C2286-C2319,0)</f>
        <v>0</v>
      </c>
      <c r="G2330" s="21" t="n">
        <f aca="false">IF(AND(G2093=1,G2012=1),1,0)</f>
        <v>0</v>
      </c>
      <c r="H2330" s="21" t="n">
        <f aca="false">IF(G2330=1,1,IF(AND(H2093=1,H2012=1),1,0))</f>
        <v>0</v>
      </c>
      <c r="I2330" s="21" t="n">
        <f aca="false">IF(H2330=1,1,IF(AND(I2093=1,I2012=1),1,0))</f>
        <v>1</v>
      </c>
      <c r="J2330" s="21" t="n">
        <f aca="false">IF(I2330=1,1,IF(AND(J2093=1,J2012=1),1,0))</f>
        <v>1</v>
      </c>
      <c r="K2330" s="21" t="n">
        <f aca="false">IF(J2330=1,1,IF(AND(K2093=1,K2012=1),1,0))</f>
        <v>1</v>
      </c>
    </row>
    <row r="2331" customFormat="false" ht="15" hidden="false" customHeight="false" outlineLevel="0" collapsed="false">
      <c r="A2331" s="3" t="s">
        <v>563</v>
      </c>
      <c r="C2331" s="16" t="n">
        <f aca="false">IF(C2309&gt;0,C2287-C2320,0)</f>
        <v>0</v>
      </c>
      <c r="G2331" s="21" t="n">
        <f aca="false">IF(AND(G2106=1,G2012=1),1,0)</f>
        <v>0</v>
      </c>
      <c r="H2331" s="21" t="n">
        <f aca="false">IF(G2331=1,1,IF(AND(H2106=1,H2012=1),1,0))</f>
        <v>0</v>
      </c>
      <c r="I2331" s="21" t="n">
        <f aca="false">IF(H2331=1,1,IF(AND(I2106=1,I2012=1),1,0))</f>
        <v>0</v>
      </c>
      <c r="J2331" s="21" t="n">
        <f aca="false">IF(I2331=1,1,IF(AND(J2106=1,J2012=1),1,0))</f>
        <v>1</v>
      </c>
      <c r="K2331" s="21" t="n">
        <f aca="false">IF(J2331=1,1,IF(AND(K2106=1,K2012=1),1,0))</f>
        <v>1</v>
      </c>
    </row>
    <row r="2332" customFormat="false" ht="15" hidden="false" customHeight="false" outlineLevel="0" collapsed="false">
      <c r="A2332" s="3" t="s">
        <v>564</v>
      </c>
      <c r="C2332" s="16" t="n">
        <f aca="false">IF(C2310&gt;0,C2288-C2321,0)</f>
        <v>0</v>
      </c>
      <c r="G2332" s="21" t="n">
        <f aca="false">IF(AND(G2119=1,G2012=1),1,0)</f>
        <v>0</v>
      </c>
      <c r="H2332" s="21" t="n">
        <f aca="false">IF(G2332=1,1,IF(AND(H2119=1,H2012=1),1,0))</f>
        <v>0</v>
      </c>
      <c r="I2332" s="21" t="n">
        <f aca="false">IF(H2332=1,1,IF(AND(I2119=1,I2012=1),1,0))</f>
        <v>0</v>
      </c>
      <c r="J2332" s="21" t="n">
        <f aca="false">IF(I2332=1,1,IF(AND(J2119=1,J2012=1),1,0))</f>
        <v>0</v>
      </c>
      <c r="K2332" s="21" t="n">
        <f aca="false">IF(J2332=1,1,IF(AND(K2119=1,K2012=1),1,0))</f>
        <v>0</v>
      </c>
    </row>
    <row r="2333" customFormat="false" ht="15" hidden="false" customHeight="false" outlineLevel="0" collapsed="false">
      <c r="A2333" s="3" t="s">
        <v>565</v>
      </c>
      <c r="C2333" s="16" t="n">
        <f aca="false">IF(C2311&gt;0,C2289-C2322,0)</f>
        <v>0</v>
      </c>
      <c r="G2333" s="21" t="n">
        <f aca="false">IF(AND(G2132=1,G2012=1),1,0)</f>
        <v>0</v>
      </c>
      <c r="H2333" s="21" t="n">
        <f aca="false">IF(G2333=1,1,IF(AND(H2132=1,H2012=1),1,0))</f>
        <v>0</v>
      </c>
      <c r="I2333" s="21" t="n">
        <f aca="false">IF(H2333=1,1,IF(AND(I2132=1,I2012=1),1,0))</f>
        <v>0</v>
      </c>
      <c r="J2333" s="21" t="n">
        <f aca="false">IF(I2333=1,1,IF(AND(J2132=1,J2012=1),1,0))</f>
        <v>0</v>
      </c>
      <c r="K2333" s="21" t="n">
        <f aca="false">IF(J2333=1,1,IF(AND(K2132=1,K2012=1),1,0))</f>
        <v>0</v>
      </c>
    </row>
    <row r="2334" customFormat="false" ht="15" hidden="false" customHeight="false" outlineLevel="0" collapsed="false">
      <c r="A2334" s="24" t="s">
        <v>570</v>
      </c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</row>
    <row r="2335" customFormat="false" ht="15" hidden="false" customHeight="false" outlineLevel="0" collapsed="false">
      <c r="A2335" s="3" t="s">
        <v>556</v>
      </c>
      <c r="C2335" s="16" t="n">
        <f aca="false">IF(C2302&gt;0,C2324,C2280)</f>
        <v>0</v>
      </c>
    </row>
    <row r="2336" customFormat="false" ht="15" hidden="false" customHeight="false" outlineLevel="0" collapsed="false">
      <c r="A2336" s="3" t="s">
        <v>557</v>
      </c>
      <c r="C2336" s="16" t="n">
        <f aca="false">IF(C2303&gt;0,C2325,C2281)</f>
        <v>0</v>
      </c>
    </row>
    <row r="2337" customFormat="false" ht="15" hidden="false" customHeight="false" outlineLevel="0" collapsed="false">
      <c r="A2337" s="3" t="s">
        <v>558</v>
      </c>
      <c r="C2337" s="16" t="n">
        <f aca="false">IF(C2304&gt;0,C2326,C2282)</f>
        <v>0</v>
      </c>
    </row>
    <row r="2338" customFormat="false" ht="15" hidden="false" customHeight="false" outlineLevel="0" collapsed="false">
      <c r="A2338" s="3" t="s">
        <v>559</v>
      </c>
      <c r="C2338" s="16" t="n">
        <f aca="false">IF(C2305&gt;0,C2327,C2283)</f>
        <v>343.641878188037</v>
      </c>
    </row>
    <row r="2339" customFormat="false" ht="15" hidden="false" customHeight="false" outlineLevel="0" collapsed="false">
      <c r="A2339" s="3" t="s">
        <v>560</v>
      </c>
      <c r="C2339" s="16" t="n">
        <f aca="false">IF(C2306&gt;0,C2328,C2284)</f>
        <v>455.711730925596</v>
      </c>
    </row>
    <row r="2340" customFormat="false" ht="15" hidden="false" customHeight="false" outlineLevel="0" collapsed="false">
      <c r="A2340" s="3" t="s">
        <v>561</v>
      </c>
      <c r="C2340" s="16" t="n">
        <f aca="false">IF(C2307&gt;0,C2329,C2285)</f>
        <v>357</v>
      </c>
    </row>
    <row r="2341" customFormat="false" ht="15" hidden="false" customHeight="false" outlineLevel="0" collapsed="false">
      <c r="A2341" s="3" t="s">
        <v>562</v>
      </c>
      <c r="C2341" s="16" t="n">
        <f aca="false">IF(C2308&gt;0,C2330,C2286)</f>
        <v>561</v>
      </c>
    </row>
    <row r="2342" customFormat="false" ht="15" hidden="false" customHeight="false" outlineLevel="0" collapsed="false">
      <c r="A2342" s="3" t="s">
        <v>563</v>
      </c>
      <c r="C2342" s="16" t="n">
        <f aca="false">IF(C2309&gt;0,C2331,C2287)</f>
        <v>357</v>
      </c>
    </row>
    <row r="2343" customFormat="false" ht="15" hidden="false" customHeight="false" outlineLevel="0" collapsed="false">
      <c r="A2343" s="3" t="s">
        <v>564</v>
      </c>
      <c r="C2343" s="16" t="n">
        <f aca="false">IF(C2310&gt;0,C2332,C2288)</f>
        <v>304.59375</v>
      </c>
    </row>
    <row r="2344" customFormat="false" ht="15" hidden="false" customHeight="false" outlineLevel="0" collapsed="false">
      <c r="A2344" s="3" t="s">
        <v>565</v>
      </c>
      <c r="C2344" s="16" t="n">
        <f aca="false">IF(C2311&gt;0,C2333,C2289)</f>
        <v>79.59459025</v>
      </c>
    </row>
    <row r="2345" customFormat="false" ht="15" hidden="false" customHeight="false" outlineLevel="0" collapsed="false">
      <c r="A2345" s="24" t="s">
        <v>571</v>
      </c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</row>
    <row r="2346" customFormat="false" ht="15" hidden="false" customHeight="false" outlineLevel="0" collapsed="false">
      <c r="A2346" s="3" t="s">
        <v>556</v>
      </c>
      <c r="C2346" s="21" t="n">
        <f aca="false">IF(C2302&gt;0,Assumptions!$C$17,C2291)</f>
        <v>99</v>
      </c>
    </row>
    <row r="2347" customFormat="false" ht="15" hidden="false" customHeight="false" outlineLevel="0" collapsed="false">
      <c r="A2347" s="3" t="s">
        <v>557</v>
      </c>
      <c r="C2347" s="21" t="n">
        <f aca="false">IF(C2303&gt;0,Assumptions!$C$17,C2292)</f>
        <v>99</v>
      </c>
    </row>
    <row r="2348" customFormat="false" ht="15" hidden="false" customHeight="false" outlineLevel="0" collapsed="false">
      <c r="A2348" s="3" t="s">
        <v>558</v>
      </c>
      <c r="C2348" s="21" t="n">
        <f aca="false">IF(C2304&gt;0,Assumptions!$C$17,C2293)</f>
        <v>99</v>
      </c>
    </row>
    <row r="2349" customFormat="false" ht="15" hidden="false" customHeight="false" outlineLevel="0" collapsed="false">
      <c r="A2349" s="3" t="s">
        <v>559</v>
      </c>
      <c r="C2349" s="21" t="n">
        <f aca="false">IF(C2305&gt;0,Assumptions!$C$17,C2294)</f>
        <v>2</v>
      </c>
    </row>
    <row r="2350" customFormat="false" ht="15" hidden="false" customHeight="false" outlineLevel="0" collapsed="false">
      <c r="A2350" s="3" t="s">
        <v>560</v>
      </c>
      <c r="C2350" s="21" t="n">
        <f aca="false">IF(C2306&gt;0,Assumptions!$C$17,C2295)</f>
        <v>2</v>
      </c>
    </row>
    <row r="2351" customFormat="false" ht="15" hidden="false" customHeight="false" outlineLevel="0" collapsed="false">
      <c r="A2351" s="3" t="s">
        <v>561</v>
      </c>
      <c r="C2351" s="21" t="n">
        <f aca="false">IF(C2307&gt;0,Assumptions!$C$17,C2296)</f>
        <v>2</v>
      </c>
    </row>
    <row r="2352" customFormat="false" ht="15" hidden="false" customHeight="false" outlineLevel="0" collapsed="false">
      <c r="A2352" s="3" t="s">
        <v>562</v>
      </c>
      <c r="C2352" s="21" t="n">
        <f aca="false">IF(C2308&gt;0,Assumptions!$C$17,C2297)</f>
        <v>2</v>
      </c>
    </row>
    <row r="2353" customFormat="false" ht="15" hidden="false" customHeight="false" outlineLevel="0" collapsed="false">
      <c r="A2353" s="3" t="s">
        <v>563</v>
      </c>
      <c r="C2353" s="21" t="n">
        <f aca="false">IF(C2309&gt;0,Assumptions!$C$17,C2298)</f>
        <v>2</v>
      </c>
    </row>
    <row r="2354" customFormat="false" ht="15" hidden="false" customHeight="false" outlineLevel="0" collapsed="false">
      <c r="A2354" s="3" t="s">
        <v>564</v>
      </c>
      <c r="C2354" s="21" t="n">
        <f aca="false">IF(C2310&gt;0,Assumptions!$C$17,C2299)</f>
        <v>2</v>
      </c>
    </row>
    <row r="2355" customFormat="false" ht="15" hidden="false" customHeight="false" outlineLevel="0" collapsed="false">
      <c r="A2355" s="3" t="s">
        <v>565</v>
      </c>
      <c r="C2355" s="21" t="n">
        <f aca="false">IF(C2311&gt;0,Assumptions!$C$17,C2300)</f>
        <v>3</v>
      </c>
    </row>
    <row r="2356" customFormat="false" ht="15" hidden="false" customHeight="false" outlineLevel="0" collapsed="false">
      <c r="A2356" s="24" t="s">
        <v>572</v>
      </c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</row>
    <row r="2357" customFormat="false" ht="15" hidden="false" customHeight="false" outlineLevel="0" collapsed="false">
      <c r="A2357" s="3" t="s">
        <v>556</v>
      </c>
      <c r="C2357" s="16" t="n">
        <f aca="false">SUMPRODUCT(($C$2346:$C$2355&lt;C2346)*$C$2335:$C$2344)</f>
        <v>2458.54194936363</v>
      </c>
    </row>
    <row r="2358" customFormat="false" ht="15" hidden="false" customHeight="false" outlineLevel="0" collapsed="false">
      <c r="A2358" s="3" t="s">
        <v>557</v>
      </c>
      <c r="C2358" s="16" t="n">
        <f aca="false">SUMPRODUCT(($C$2346:$C$2355&lt;C2347)*$C$2335:$C$2344)</f>
        <v>2458.54194936363</v>
      </c>
    </row>
    <row r="2359" customFormat="false" ht="15" hidden="false" customHeight="false" outlineLevel="0" collapsed="false">
      <c r="A2359" s="3" t="s">
        <v>558</v>
      </c>
      <c r="C2359" s="16" t="n">
        <f aca="false">SUMPRODUCT(($C$2346:$C$2355&lt;C2348)*$C$2335:$C$2344)</f>
        <v>2458.54194936363</v>
      </c>
    </row>
    <row r="2360" customFormat="false" ht="15" hidden="false" customHeight="false" outlineLevel="0" collapsed="false">
      <c r="A2360" s="3" t="s">
        <v>559</v>
      </c>
      <c r="C2360" s="16" t="n">
        <f aca="false">SUMPRODUCT(($C$2346:$C$2355&lt;C2349)*$C$2335:$C$2344)</f>
        <v>0</v>
      </c>
    </row>
    <row r="2361" customFormat="false" ht="15" hidden="false" customHeight="false" outlineLevel="0" collapsed="false">
      <c r="A2361" s="3" t="s">
        <v>560</v>
      </c>
      <c r="C2361" s="16" t="n">
        <f aca="false">SUMPRODUCT(($C$2346:$C$2355&lt;C2350)*$C$2335:$C$2344)</f>
        <v>0</v>
      </c>
    </row>
    <row r="2362" customFormat="false" ht="15" hidden="false" customHeight="false" outlineLevel="0" collapsed="false">
      <c r="A2362" s="3" t="s">
        <v>561</v>
      </c>
      <c r="C2362" s="16" t="n">
        <f aca="false">SUMPRODUCT(($C$2346:$C$2355&lt;C2351)*$C$2335:$C$2344)</f>
        <v>0</v>
      </c>
    </row>
    <row r="2363" customFormat="false" ht="15" hidden="false" customHeight="false" outlineLevel="0" collapsed="false">
      <c r="A2363" s="3" t="s">
        <v>562</v>
      </c>
      <c r="C2363" s="16" t="n">
        <f aca="false">SUMPRODUCT(($C$2346:$C$2355&lt;C2352)*$C$2335:$C$2344)</f>
        <v>0</v>
      </c>
    </row>
    <row r="2364" customFormat="false" ht="15" hidden="false" customHeight="false" outlineLevel="0" collapsed="false">
      <c r="A2364" s="3" t="s">
        <v>563</v>
      </c>
      <c r="C2364" s="16" t="n">
        <f aca="false">SUMPRODUCT(($C$2346:$C$2355&lt;C2353)*$C$2335:$C$2344)</f>
        <v>0</v>
      </c>
    </row>
    <row r="2365" customFormat="false" ht="15" hidden="false" customHeight="false" outlineLevel="0" collapsed="false">
      <c r="A2365" s="3" t="s">
        <v>564</v>
      </c>
      <c r="C2365" s="16" t="n">
        <f aca="false">SUMPRODUCT(($C$2346:$C$2355&lt;C2354)*$C$2335:$C$2344)</f>
        <v>0</v>
      </c>
    </row>
    <row r="2366" customFormat="false" ht="15" hidden="false" customHeight="false" outlineLevel="0" collapsed="false">
      <c r="A2366" s="3" t="s">
        <v>565</v>
      </c>
      <c r="C2366" s="16" t="n">
        <f aca="false">SUMPRODUCT(($C$2346:$C$2355&lt;C2355)*$C$2335:$C$2344)</f>
        <v>2378.94735911363</v>
      </c>
    </row>
    <row r="2367" customFormat="false" ht="15" hidden="false" customHeight="false" outlineLevel="0" collapsed="false">
      <c r="A2367" s="24" t="s">
        <v>573</v>
      </c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</row>
    <row r="2368" customFormat="false" ht="15" hidden="false" customHeight="false" outlineLevel="0" collapsed="false">
      <c r="A2368" s="3" t="s">
        <v>556</v>
      </c>
      <c r="C2368" s="16" t="n">
        <f aca="false">SUMPRODUCT(($C$2346:$C$2355=C2346)*$C$2335:$C$2344)</f>
        <v>0</v>
      </c>
    </row>
    <row r="2369" customFormat="false" ht="15" hidden="false" customHeight="false" outlineLevel="0" collapsed="false">
      <c r="A2369" s="3" t="s">
        <v>557</v>
      </c>
      <c r="C2369" s="16" t="n">
        <f aca="false">SUMPRODUCT(($C$2346:$C$2355=C2347)*$C$2335:$C$2344)</f>
        <v>0</v>
      </c>
    </row>
    <row r="2370" customFormat="false" ht="15" hidden="false" customHeight="false" outlineLevel="0" collapsed="false">
      <c r="A2370" s="3" t="s">
        <v>558</v>
      </c>
      <c r="C2370" s="16" t="n">
        <f aca="false">SUMPRODUCT(($C$2346:$C$2355=C2348)*$C$2335:$C$2344)</f>
        <v>0</v>
      </c>
    </row>
    <row r="2371" customFormat="false" ht="15" hidden="false" customHeight="false" outlineLevel="0" collapsed="false">
      <c r="A2371" s="3" t="s">
        <v>559</v>
      </c>
      <c r="C2371" s="16" t="n">
        <f aca="false">SUMPRODUCT(($C$2346:$C$2355=C2349)*$C$2335:$C$2344)</f>
        <v>2378.94735911363</v>
      </c>
    </row>
    <row r="2372" customFormat="false" ht="15" hidden="false" customHeight="false" outlineLevel="0" collapsed="false">
      <c r="A2372" s="3" t="s">
        <v>560</v>
      </c>
      <c r="C2372" s="16" t="n">
        <f aca="false">SUMPRODUCT(($C$2346:$C$2355=C2350)*$C$2335:$C$2344)</f>
        <v>2378.94735911363</v>
      </c>
    </row>
    <row r="2373" customFormat="false" ht="15" hidden="false" customHeight="false" outlineLevel="0" collapsed="false">
      <c r="A2373" s="3" t="s">
        <v>561</v>
      </c>
      <c r="C2373" s="16" t="n">
        <f aca="false">SUMPRODUCT(($C$2346:$C$2355=C2351)*$C$2335:$C$2344)</f>
        <v>2378.94735911363</v>
      </c>
    </row>
    <row r="2374" customFormat="false" ht="15" hidden="false" customHeight="false" outlineLevel="0" collapsed="false">
      <c r="A2374" s="3" t="s">
        <v>562</v>
      </c>
      <c r="C2374" s="16" t="n">
        <f aca="false">SUMPRODUCT(($C$2346:$C$2355=C2352)*$C$2335:$C$2344)</f>
        <v>2378.94735911363</v>
      </c>
    </row>
    <row r="2375" customFormat="false" ht="15" hidden="false" customHeight="false" outlineLevel="0" collapsed="false">
      <c r="A2375" s="3" t="s">
        <v>563</v>
      </c>
      <c r="C2375" s="16" t="n">
        <f aca="false">SUMPRODUCT(($C$2346:$C$2355=C2353)*$C$2335:$C$2344)</f>
        <v>2378.94735911363</v>
      </c>
    </row>
    <row r="2376" customFormat="false" ht="15" hidden="false" customHeight="false" outlineLevel="0" collapsed="false">
      <c r="A2376" s="3" t="s">
        <v>564</v>
      </c>
      <c r="C2376" s="16" t="n">
        <f aca="false">SUMPRODUCT(($C$2346:$C$2355=C2354)*$C$2335:$C$2344)</f>
        <v>2378.94735911363</v>
      </c>
    </row>
    <row r="2377" customFormat="false" ht="15" hidden="false" customHeight="false" outlineLevel="0" collapsed="false">
      <c r="A2377" s="3" t="s">
        <v>565</v>
      </c>
      <c r="C2377" s="16" t="n">
        <f aca="false">SUMPRODUCT(($C$2346:$C$2355=C2355)*$C$2335:$C$2344)</f>
        <v>79.59459025</v>
      </c>
    </row>
    <row r="2378" customFormat="false" ht="15" hidden="false" customHeight="false" outlineLevel="0" collapsed="false">
      <c r="A2378" s="24" t="s">
        <v>574</v>
      </c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</row>
    <row r="2379" customFormat="false" ht="15" hidden="false" customHeight="false" outlineLevel="0" collapsed="false">
      <c r="A2379" s="3" t="s">
        <v>556</v>
      </c>
      <c r="C2379" s="16" t="n">
        <f aca="false">IF(C2368=0,0,C2335/C2368*MAX(0,MIN(C2368,$C$2278-SUM($C$2313:$C$2322)-C2357)))</f>
        <v>0</v>
      </c>
    </row>
    <row r="2380" customFormat="false" ht="15" hidden="false" customHeight="false" outlineLevel="0" collapsed="false">
      <c r="A2380" s="3" t="s">
        <v>557</v>
      </c>
      <c r="C2380" s="16" t="n">
        <f aca="false">IF(C2369=0,0,C2336/C2369*MAX(0,MIN(C2369,$C$2278-SUM($C$2313:$C$2322)-C2358)))</f>
        <v>0</v>
      </c>
    </row>
    <row r="2381" customFormat="false" ht="15" hidden="false" customHeight="false" outlineLevel="0" collapsed="false">
      <c r="A2381" s="3" t="s">
        <v>558</v>
      </c>
      <c r="C2381" s="16" t="n">
        <f aca="false">IF(C2370=0,0,C2337/C2370*MAX(0,MIN(C2370,$C$2278-SUM($C$2313:$C$2322)-C2359)))</f>
        <v>0</v>
      </c>
    </row>
    <row r="2382" customFormat="false" ht="15" hidden="false" customHeight="false" outlineLevel="0" collapsed="false">
      <c r="A2382" s="3" t="s">
        <v>559</v>
      </c>
      <c r="C2382" s="16" t="n">
        <f aca="false">IF(C2371=0,0,C2338/C2371*MAX(0,MIN(C2371,$C$2278-SUM($C$2313:$C$2322)-C2360)))</f>
        <v>343.641878188037</v>
      </c>
    </row>
    <row r="2383" customFormat="false" ht="15" hidden="false" customHeight="false" outlineLevel="0" collapsed="false">
      <c r="A2383" s="3" t="s">
        <v>560</v>
      </c>
      <c r="C2383" s="16" t="n">
        <f aca="false">IF(C2372=0,0,C2339/C2372*MAX(0,MIN(C2372,$C$2278-SUM($C$2313:$C$2322)-C2361)))</f>
        <v>455.711730925596</v>
      </c>
    </row>
    <row r="2384" customFormat="false" ht="15" hidden="false" customHeight="false" outlineLevel="0" collapsed="false">
      <c r="A2384" s="3" t="s">
        <v>561</v>
      </c>
      <c r="C2384" s="16" t="n">
        <f aca="false">IF(C2373=0,0,C2340/C2373*MAX(0,MIN(C2373,$C$2278-SUM($C$2313:$C$2322)-C2362)))</f>
        <v>357</v>
      </c>
    </row>
    <row r="2385" customFormat="false" ht="15" hidden="false" customHeight="false" outlineLevel="0" collapsed="false">
      <c r="A2385" s="3" t="s">
        <v>562</v>
      </c>
      <c r="C2385" s="16" t="n">
        <f aca="false">IF(C2374=0,0,C2341/C2374*MAX(0,MIN(C2374,$C$2278-SUM($C$2313:$C$2322)-C2363)))</f>
        <v>561</v>
      </c>
    </row>
    <row r="2386" customFormat="false" ht="15" hidden="false" customHeight="false" outlineLevel="0" collapsed="false">
      <c r="A2386" s="3" t="s">
        <v>563</v>
      </c>
      <c r="C2386" s="16" t="n">
        <f aca="false">IF(C2375=0,0,C2342/C2375*MAX(0,MIN(C2375,$C$2278-SUM($C$2313:$C$2322)-C2364)))</f>
        <v>357</v>
      </c>
    </row>
    <row r="2387" customFormat="false" ht="15" hidden="false" customHeight="false" outlineLevel="0" collapsed="false">
      <c r="A2387" s="3" t="s">
        <v>564</v>
      </c>
      <c r="C2387" s="16" t="n">
        <f aca="false">IF(C2376=0,0,C2343/C2376*MAX(0,MIN(C2376,$C$2278-SUM($C$2313:$C$2322)-C2365)))</f>
        <v>304.59375</v>
      </c>
    </row>
    <row r="2388" customFormat="false" ht="15" hidden="false" customHeight="false" outlineLevel="0" collapsed="false">
      <c r="A2388" s="3" t="s">
        <v>565</v>
      </c>
      <c r="C2388" s="16" t="n">
        <f aca="false">IF(C2377=0,0,C2344/C2377*MAX(0,MIN(C2377,$C$2278-SUM($C$2313:$C$2322)-C2366)))</f>
        <v>79.59459025</v>
      </c>
    </row>
    <row r="2389" customFormat="false" ht="15" hidden="false" customHeight="false" outlineLevel="0" collapsed="false">
      <c r="A2389" s="24" t="s">
        <v>575</v>
      </c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</row>
    <row r="2390" customFormat="false" ht="15" hidden="false" customHeight="false" outlineLevel="0" collapsed="false">
      <c r="A2390" s="2" t="s">
        <v>556</v>
      </c>
      <c r="C2390" s="17" t="n">
        <f aca="false">C2313+C2379</f>
        <v>388.3125</v>
      </c>
    </row>
    <row r="2391" customFormat="false" ht="15" hidden="false" customHeight="false" outlineLevel="0" collapsed="false">
      <c r="A2391" s="2" t="s">
        <v>557</v>
      </c>
      <c r="C2391" s="17" t="n">
        <f aca="false">C2314+C2380</f>
        <v>91.30725</v>
      </c>
    </row>
    <row r="2392" customFormat="false" ht="15" hidden="false" customHeight="false" outlineLevel="0" collapsed="false">
      <c r="A2392" s="2" t="s">
        <v>558</v>
      </c>
      <c r="C2392" s="17" t="n">
        <f aca="false">C2315+C2381</f>
        <v>58.3715961</v>
      </c>
    </row>
    <row r="2393" customFormat="false" ht="15" hidden="false" customHeight="false" outlineLevel="0" collapsed="false">
      <c r="A2393" s="2" t="s">
        <v>559</v>
      </c>
      <c r="C2393" s="17" t="n">
        <f aca="false">C2316+C2382</f>
        <v>343.641878188037</v>
      </c>
    </row>
    <row r="2394" customFormat="false" ht="15" hidden="false" customHeight="false" outlineLevel="0" collapsed="false">
      <c r="A2394" s="2" t="s">
        <v>560</v>
      </c>
      <c r="C2394" s="17" t="n">
        <f aca="false">C2317+C2383</f>
        <v>455.711730925596</v>
      </c>
    </row>
    <row r="2395" customFormat="false" ht="15" hidden="false" customHeight="false" outlineLevel="0" collapsed="false">
      <c r="A2395" s="2" t="s">
        <v>561</v>
      </c>
      <c r="C2395" s="17" t="n">
        <f aca="false">C2318+C2384</f>
        <v>357</v>
      </c>
    </row>
    <row r="2396" customFormat="false" ht="15" hidden="false" customHeight="false" outlineLevel="0" collapsed="false">
      <c r="A2396" s="2" t="s">
        <v>562</v>
      </c>
      <c r="C2396" s="17" t="n">
        <f aca="false">C2319+C2385</f>
        <v>561</v>
      </c>
    </row>
    <row r="2397" customFormat="false" ht="15" hidden="false" customHeight="false" outlineLevel="0" collapsed="false">
      <c r="A2397" s="2" t="s">
        <v>563</v>
      </c>
      <c r="C2397" s="17" t="n">
        <f aca="false">C2320+C2386</f>
        <v>357</v>
      </c>
    </row>
    <row r="2398" customFormat="false" ht="15" hidden="false" customHeight="false" outlineLevel="0" collapsed="false">
      <c r="A2398" s="2" t="s">
        <v>564</v>
      </c>
      <c r="C2398" s="17" t="n">
        <f aca="false">C2321+C2387</f>
        <v>304.59375</v>
      </c>
    </row>
    <row r="2399" customFormat="false" ht="15" hidden="false" customHeight="false" outlineLevel="0" collapsed="false">
      <c r="A2399" s="2" t="s">
        <v>565</v>
      </c>
      <c r="C2399" s="17" t="n">
        <f aca="false">C2322+C2388</f>
        <v>79.59459025</v>
      </c>
    </row>
    <row r="2400" customFormat="false" ht="15" hidden="false" customHeight="false" outlineLevel="0" collapsed="false">
      <c r="A2400" s="24" t="s">
        <v>576</v>
      </c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</row>
    <row r="2401" customFormat="false" ht="15" hidden="false" customHeight="false" outlineLevel="0" collapsed="false">
      <c r="A2401" s="3" t="s">
        <v>556</v>
      </c>
      <c r="C2401" s="22" t="n">
        <f aca="false">IF(C2280=0,1,C2390/C2280)</f>
        <v>1</v>
      </c>
    </row>
    <row r="2402" customFormat="false" ht="15" hidden="false" customHeight="false" outlineLevel="0" collapsed="false">
      <c r="A2402" s="3" t="s">
        <v>557</v>
      </c>
      <c r="C2402" s="22" t="n">
        <f aca="false">IF(C2281=0,1,C2391/C2281)</f>
        <v>1</v>
      </c>
    </row>
    <row r="2403" customFormat="false" ht="15" hidden="false" customHeight="false" outlineLevel="0" collapsed="false">
      <c r="A2403" s="3" t="s">
        <v>558</v>
      </c>
      <c r="C2403" s="22" t="n">
        <f aca="false">IF(C2282=0,1,C2392/C2282)</f>
        <v>1</v>
      </c>
    </row>
    <row r="2404" customFormat="false" ht="15" hidden="false" customHeight="false" outlineLevel="0" collapsed="false">
      <c r="A2404" s="3" t="s">
        <v>559</v>
      </c>
      <c r="C2404" s="22" t="n">
        <f aca="false">IF(C2283=0,1,C2393/C2283)</f>
        <v>1</v>
      </c>
    </row>
    <row r="2405" customFormat="false" ht="15" hidden="false" customHeight="false" outlineLevel="0" collapsed="false">
      <c r="A2405" s="3" t="s">
        <v>560</v>
      </c>
      <c r="C2405" s="22" t="n">
        <f aca="false">IF(C2284=0,1,C2394/C2284)</f>
        <v>1</v>
      </c>
    </row>
    <row r="2406" customFormat="false" ht="15" hidden="false" customHeight="false" outlineLevel="0" collapsed="false">
      <c r="A2406" s="3" t="s">
        <v>561</v>
      </c>
      <c r="C2406" s="22" t="n">
        <f aca="false">IF(C2285=0,1,C2395/C2285)</f>
        <v>1</v>
      </c>
    </row>
    <row r="2407" customFormat="false" ht="15" hidden="false" customHeight="false" outlineLevel="0" collapsed="false">
      <c r="A2407" s="3" t="s">
        <v>562</v>
      </c>
      <c r="C2407" s="22" t="n">
        <f aca="false">IF(C2286=0,1,C2396/C2286)</f>
        <v>1</v>
      </c>
    </row>
    <row r="2408" customFormat="false" ht="15" hidden="false" customHeight="false" outlineLevel="0" collapsed="false">
      <c r="A2408" s="3" t="s">
        <v>563</v>
      </c>
      <c r="C2408" s="22" t="n">
        <f aca="false">IF(C2287=0,1,C2397/C2287)</f>
        <v>1</v>
      </c>
    </row>
    <row r="2409" customFormat="false" ht="15" hidden="false" customHeight="false" outlineLevel="0" collapsed="false">
      <c r="A2409" s="3" t="s">
        <v>564</v>
      </c>
      <c r="C2409" s="22" t="n">
        <f aca="false">IF(C2288=0,1,C2398/C2288)</f>
        <v>1</v>
      </c>
    </row>
    <row r="2410" customFormat="false" ht="15" hidden="false" customHeight="false" outlineLevel="0" collapsed="false">
      <c r="A2410" s="3" t="s">
        <v>565</v>
      </c>
      <c r="C2410" s="22" t="n">
        <f aca="false">IF(C2289=0,1,C2399/C2289)</f>
        <v>1</v>
      </c>
    </row>
    <row r="2411" customFormat="false" ht="15" hidden="false" customHeight="false" outlineLevel="0" collapsed="false">
      <c r="A2411" s="24" t="s">
        <v>577</v>
      </c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</row>
    <row r="2412" customFormat="false" ht="15" hidden="false" customHeight="false" outlineLevel="0" collapsed="false">
      <c r="A2412" s="3" t="s">
        <v>556</v>
      </c>
      <c r="C2412" s="16" t="n">
        <f aca="false">C2280-C2390</f>
        <v>0</v>
      </c>
    </row>
    <row r="2413" customFormat="false" ht="15" hidden="false" customHeight="false" outlineLevel="0" collapsed="false">
      <c r="A2413" s="3" t="s">
        <v>557</v>
      </c>
      <c r="C2413" s="16" t="n">
        <f aca="false">C2281-C2391</f>
        <v>0</v>
      </c>
    </row>
    <row r="2414" customFormat="false" ht="15" hidden="false" customHeight="false" outlineLevel="0" collapsed="false">
      <c r="A2414" s="3" t="s">
        <v>558</v>
      </c>
      <c r="C2414" s="16" t="n">
        <f aca="false">C2282-C2392</f>
        <v>0</v>
      </c>
    </row>
    <row r="2415" customFormat="false" ht="15" hidden="false" customHeight="false" outlineLevel="0" collapsed="false">
      <c r="A2415" s="3" t="s">
        <v>559</v>
      </c>
      <c r="C2415" s="16" t="n">
        <f aca="false">C2283-C2393</f>
        <v>0</v>
      </c>
    </row>
    <row r="2416" customFormat="false" ht="15" hidden="false" customHeight="false" outlineLevel="0" collapsed="false">
      <c r="A2416" s="3" t="s">
        <v>560</v>
      </c>
      <c r="C2416" s="16" t="n">
        <f aca="false">C2284-C2394</f>
        <v>0</v>
      </c>
    </row>
    <row r="2417" customFormat="false" ht="15" hidden="false" customHeight="false" outlineLevel="0" collapsed="false">
      <c r="A2417" s="3" t="s">
        <v>561</v>
      </c>
      <c r="C2417" s="16" t="n">
        <f aca="false">C2285-C2395</f>
        <v>0</v>
      </c>
    </row>
    <row r="2418" customFormat="false" ht="15" hidden="false" customHeight="false" outlineLevel="0" collapsed="false">
      <c r="A2418" s="3" t="s">
        <v>562</v>
      </c>
      <c r="C2418" s="16" t="n">
        <f aca="false">C2286-C2396</f>
        <v>0</v>
      </c>
    </row>
    <row r="2419" customFormat="false" ht="15" hidden="false" customHeight="false" outlineLevel="0" collapsed="false">
      <c r="A2419" s="3" t="s">
        <v>563</v>
      </c>
      <c r="C2419" s="16" t="n">
        <f aca="false">C2287-C2397</f>
        <v>0</v>
      </c>
    </row>
    <row r="2420" customFormat="false" ht="15" hidden="false" customHeight="false" outlineLevel="0" collapsed="false">
      <c r="A2420" s="3" t="s">
        <v>564</v>
      </c>
      <c r="C2420" s="16" t="n">
        <f aca="false">C2288-C2398</f>
        <v>0</v>
      </c>
    </row>
    <row r="2421" customFormat="false" ht="15" hidden="false" customHeight="false" outlineLevel="0" collapsed="false">
      <c r="A2421" s="3" t="s">
        <v>565</v>
      </c>
      <c r="C2421" s="16" t="n">
        <f aca="false">C2289-C2399</f>
        <v>0</v>
      </c>
    </row>
    <row r="2422" customFormat="false" ht="15" hidden="false" customHeight="false" outlineLevel="0" collapsed="false">
      <c r="A2422" s="24" t="s">
        <v>578</v>
      </c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</row>
    <row r="2423" customFormat="false" ht="15" hidden="false" customHeight="false" outlineLevel="0" collapsed="false">
      <c r="A2423" s="3" t="s">
        <v>556</v>
      </c>
      <c r="C2423" s="22" t="n">
        <f aca="false">IF(C2280=0,0,C2412/C2280)</f>
        <v>0</v>
      </c>
    </row>
    <row r="2424" customFormat="false" ht="15" hidden="false" customHeight="false" outlineLevel="0" collapsed="false">
      <c r="A2424" s="3" t="s">
        <v>557</v>
      </c>
      <c r="C2424" s="22" t="n">
        <f aca="false">IF(C2281=0,0,C2413/C2281)</f>
        <v>0</v>
      </c>
    </row>
    <row r="2425" customFormat="false" ht="15" hidden="false" customHeight="false" outlineLevel="0" collapsed="false">
      <c r="A2425" s="3" t="s">
        <v>558</v>
      </c>
      <c r="C2425" s="22" t="n">
        <f aca="false">IF(C2282=0,0,C2414/C2282)</f>
        <v>0</v>
      </c>
    </row>
    <row r="2426" customFormat="false" ht="15" hidden="false" customHeight="false" outlineLevel="0" collapsed="false">
      <c r="A2426" s="3" t="s">
        <v>559</v>
      </c>
      <c r="C2426" s="22" t="n">
        <f aca="false">IF(C2283=0,0,C2415/C2283)</f>
        <v>0</v>
      </c>
    </row>
    <row r="2427" customFormat="false" ht="15" hidden="false" customHeight="false" outlineLevel="0" collapsed="false">
      <c r="A2427" s="3" t="s">
        <v>560</v>
      </c>
      <c r="C2427" s="22" t="n">
        <f aca="false">IF(C2284=0,0,C2416/C2284)</f>
        <v>0</v>
      </c>
    </row>
    <row r="2428" customFormat="false" ht="15" hidden="false" customHeight="false" outlineLevel="0" collapsed="false">
      <c r="A2428" s="3" t="s">
        <v>561</v>
      </c>
      <c r="C2428" s="22" t="n">
        <f aca="false">IF(C2285=0,0,C2417/C2285)</f>
        <v>0</v>
      </c>
    </row>
    <row r="2429" customFormat="false" ht="15" hidden="false" customHeight="false" outlineLevel="0" collapsed="false">
      <c r="A2429" s="3" t="s">
        <v>562</v>
      </c>
      <c r="C2429" s="22" t="n">
        <f aca="false">IF(C2286=0,0,C2418/C2286)</f>
        <v>0</v>
      </c>
    </row>
    <row r="2430" customFormat="false" ht="15" hidden="false" customHeight="false" outlineLevel="0" collapsed="false">
      <c r="A2430" s="3" t="s">
        <v>563</v>
      </c>
      <c r="C2430" s="22" t="n">
        <f aca="false">IF(C2287=0,0,C2419/C2287)</f>
        <v>0</v>
      </c>
    </row>
    <row r="2431" customFormat="false" ht="15" hidden="false" customHeight="false" outlineLevel="0" collapsed="false">
      <c r="A2431" s="3" t="s">
        <v>564</v>
      </c>
      <c r="C2431" s="22" t="n">
        <f aca="false">IF(C2288=0,0,C2420/C2288)</f>
        <v>0</v>
      </c>
    </row>
    <row r="2432" customFormat="false" ht="15" hidden="false" customHeight="false" outlineLevel="0" collapsed="false">
      <c r="A2432" s="3" t="s">
        <v>565</v>
      </c>
      <c r="C2432" s="22" t="n">
        <f aca="false">IF(C2289=0,0,C2421/C2289)</f>
        <v>0</v>
      </c>
    </row>
    <row r="2433" customFormat="false" ht="15" hidden="false" customHeight="false" outlineLevel="0" collapsed="false">
      <c r="A2433" s="2" t="s">
        <v>579</v>
      </c>
      <c r="C2433" s="17" t="n">
        <f aca="false">MAX(0,$C$2278-SUM($C$2313:$C$2322)-SUM($C$2335:$C$2344))</f>
        <v>689.910448536367</v>
      </c>
    </row>
    <row r="2434" customFormat="false" ht="15" hidden="false" customHeight="false" outlineLevel="0" collapsed="false">
      <c r="A2434" s="3" t="s">
        <v>580</v>
      </c>
      <c r="C2434" s="16" t="n">
        <f aca="false">SUM($C$2390:$C$2399)+C2433+C2277-C2276</f>
        <v>0</v>
      </c>
    </row>
    <row r="2436" customFormat="false" ht="15" hidden="false" customHeight="false" outlineLevel="0" collapsed="false">
      <c r="A2436" s="24" t="s">
        <v>583</v>
      </c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</row>
    <row r="2437" customFormat="false" ht="15" hidden="false" customHeight="false" outlineLevel="0" collapsed="false">
      <c r="A2437" s="3" t="s">
        <v>584</v>
      </c>
      <c r="C2437" s="27" t="n">
        <f aca="false">Assumptions!$C$34</f>
        <v>1</v>
      </c>
    </row>
    <row r="2438" customFormat="false" ht="15" hidden="false" customHeight="false" outlineLevel="0" collapsed="false">
      <c r="A2438" s="3" t="s">
        <v>585</v>
      </c>
      <c r="C2438" s="29" t="n">
        <f aca="false">Assumptions!$C$35</f>
        <v>100</v>
      </c>
    </row>
    <row r="2439" customFormat="false" ht="15" hidden="false" customHeight="false" outlineLevel="0" collapsed="false">
      <c r="A2439" s="3" t="s">
        <v>586</v>
      </c>
      <c r="C2439" s="40" t="n">
        <f aca="false">Assumptions!$C$36</f>
        <v>98</v>
      </c>
    </row>
    <row r="2440" customFormat="false" ht="15" hidden="false" customHeight="false" outlineLevel="0" collapsed="false">
      <c r="A2440" s="3" t="s">
        <v>587</v>
      </c>
      <c r="C2440" s="16" t="n">
        <f aca="false">C2438*C2439/100*(1+Assumptions!$C$37)</f>
        <v>98.49</v>
      </c>
    </row>
    <row r="2441" customFormat="false" ht="15" hidden="false" customHeight="false" outlineLevel="0" collapsed="false">
      <c r="A2441" s="3" t="s">
        <v>588</v>
      </c>
      <c r="C2441" s="27" t="n">
        <f aca="false">Assumptions!$C$38</f>
        <v>3</v>
      </c>
    </row>
    <row r="2442" customFormat="false" ht="15" hidden="false" customHeight="false" outlineLevel="0" collapsed="false">
      <c r="A2442" s="3" t="s">
        <v>589</v>
      </c>
      <c r="C2442" s="21" t="n">
        <f aca="false">IF(C2269=1,SUMPRODUCT($G$2205:$K$2205,$G$1979:$K$1979),0)</f>
        <v>5</v>
      </c>
    </row>
    <row r="2443" customFormat="false" ht="15" hidden="false" customHeight="false" outlineLevel="0" collapsed="false">
      <c r="A2443" s="3" t="s">
        <v>590</v>
      </c>
      <c r="C2443" s="22" t="n">
        <f aca="false">IFERROR(C2438/CHOOSE(C2437,SUMPRODUCT($G$2268:$K$2268,$G$2025:$K$2025),SUMPRODUCT($G$2268:$K$2268,$G$2038:$K$2038),SUMPRODUCT($G$2268:$K$2268,$G$2051:$K$2051),SUMPRODUCT($G$2268:$K$2268,$G$2064:$K$2064),SUMPRODUCT($G$2268:$K$2268,$G$2077:$K$2077),SUMPRODUCT($G$2268:$K$2268,$G$2090:$K$2090),SUMPRODUCT($G$2268:$K$2268,$G$2103:$K$2103),SUMPRODUCT($G$2268:$K$2268,$G$2116:$K$2116),SUMPRODUCT($G$2268:$K$2268,$G$2129:$K$2129),SUMPRODUCT($G$2268:$K$2268,$G$2142:$K$2142)),0)</f>
        <v>0.263157894736842</v>
      </c>
    </row>
    <row r="2444" customFormat="false" ht="15" hidden="false" customHeight="false" outlineLevel="0" collapsed="false">
      <c r="A2444" s="3" t="s">
        <v>591</v>
      </c>
      <c r="C2444" s="16" t="n">
        <f aca="false">CHOOSE(C2437,C2390,C2391,C2392,C2393,C2394,C2395,C2396,C2397,C2398,C2399)*C2443</f>
        <v>102.1875</v>
      </c>
    </row>
    <row r="2445" customFormat="false" ht="15" hidden="false" customHeight="false" outlineLevel="0" collapsed="false">
      <c r="A2445" s="3" t="s">
        <v>592</v>
      </c>
      <c r="C2445" s="22" t="n">
        <f aca="false">CHOOSE(C2437,C2401,C2402,C2403,C2404,C2405,C2406,C2407,C2408,C2409,C2410)</f>
        <v>1</v>
      </c>
    </row>
    <row r="2446" customFormat="false" ht="15" hidden="false" customHeight="false" outlineLevel="0" collapsed="false">
      <c r="A2446" s="3" t="s">
        <v>593</v>
      </c>
      <c r="C2446" s="21" t="n">
        <f aca="false">IF(C2269=1,C2442,C2441)</f>
        <v>5</v>
      </c>
    </row>
    <row r="2447" customFormat="false" ht="15" hidden="false" customHeight="false" outlineLevel="0" collapsed="false">
      <c r="A2447" s="3" t="s">
        <v>594</v>
      </c>
      <c r="C2447" s="35" t="n">
        <f aca="false">CHOOSE($C$1971,Assumptions!$C$91,Assumptions!$C$110,Assumptions!$C$129)</f>
        <v>100</v>
      </c>
    </row>
    <row r="2448" customFormat="false" ht="15" hidden="false" customHeight="false" outlineLevel="0" collapsed="false">
      <c r="A2448" s="3" t="s">
        <v>595</v>
      </c>
      <c r="C2448" s="16" t="n">
        <f aca="false">INDEX($G$1988:$K$1988,C2441)*CHOOSE($C$1971,Assumptions!$C$90,Assumptions!$C$109,Assumptions!$C$128)+MAX(0,INDEX($G$2202:$K$2202,C2441))</f>
        <v>3117.7896457896</v>
      </c>
    </row>
    <row r="2449" customFormat="false" ht="15" hidden="false" customHeight="false" outlineLevel="0" collapsed="false">
      <c r="A2449" s="24" t="s">
        <v>596</v>
      </c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</row>
    <row r="2450" customFormat="false" ht="15" hidden="false" customHeight="false" outlineLevel="0" collapsed="false">
      <c r="A2450" s="3" t="s">
        <v>556</v>
      </c>
      <c r="C2450" s="16" t="n">
        <f aca="false">INDEX($G$2025:$K$2025,C2441)</f>
        <v>388</v>
      </c>
    </row>
    <row r="2451" customFormat="false" ht="15" hidden="false" customHeight="false" outlineLevel="0" collapsed="false">
      <c r="A2451" s="3" t="s">
        <v>557</v>
      </c>
      <c r="C2451" s="16" t="n">
        <f aca="false">INDEX($G$2038:$K$2038,C2441)</f>
        <v>90</v>
      </c>
    </row>
    <row r="2452" customFormat="false" ht="15" hidden="false" customHeight="false" outlineLevel="0" collapsed="false">
      <c r="A2452" s="3" t="s">
        <v>558</v>
      </c>
      <c r="C2452" s="16" t="n">
        <f aca="false">INDEX($G$2051:$K$2051,C2441)</f>
        <v>57.324</v>
      </c>
    </row>
    <row r="2453" customFormat="false" ht="15" hidden="false" customHeight="false" outlineLevel="0" collapsed="false">
      <c r="A2453" s="3" t="s">
        <v>559</v>
      </c>
      <c r="C2453" s="16" t="n">
        <f aca="false">INDEX($G$2064:$K$2064,C2441)</f>
        <v>90.036038523656</v>
      </c>
    </row>
    <row r="2454" customFormat="false" ht="15" hidden="false" customHeight="false" outlineLevel="0" collapsed="false">
      <c r="A2454" s="3" t="s">
        <v>560</v>
      </c>
      <c r="C2454" s="16" t="n">
        <f aca="false">INDEX($G$2077:$K$2077,C2441)</f>
        <v>446.7762067898</v>
      </c>
    </row>
    <row r="2455" customFormat="false" ht="15" hidden="false" customHeight="false" outlineLevel="0" collapsed="false">
      <c r="A2455" s="3" t="s">
        <v>561</v>
      </c>
      <c r="C2455" s="16" t="n">
        <f aca="false">INDEX($G$2090:$K$2090,C2441)</f>
        <v>350</v>
      </c>
    </row>
    <row r="2456" customFormat="false" ht="15" hidden="false" customHeight="false" outlineLevel="0" collapsed="false">
      <c r="A2456" s="3" t="s">
        <v>562</v>
      </c>
      <c r="C2456" s="16" t="n">
        <f aca="false">INDEX($G$2103:$K$2103,C2441)</f>
        <v>550</v>
      </c>
    </row>
    <row r="2457" customFormat="false" ht="15" hidden="false" customHeight="false" outlineLevel="0" collapsed="false">
      <c r="A2457" s="3" t="s">
        <v>563</v>
      </c>
      <c r="C2457" s="16" t="n">
        <f aca="false">INDEX($G$2116:$K$2116,C2441)</f>
        <v>350</v>
      </c>
    </row>
    <row r="2458" customFormat="false" ht="15" hidden="false" customHeight="false" outlineLevel="0" collapsed="false">
      <c r="A2458" s="3" t="s">
        <v>564</v>
      </c>
      <c r="C2458" s="16" t="n">
        <f aca="false">INDEX($G$2129:$K$2129,C2441)</f>
        <v>300</v>
      </c>
    </row>
    <row r="2459" customFormat="false" ht="15" hidden="false" customHeight="false" outlineLevel="0" collapsed="false">
      <c r="A2459" s="3" t="s">
        <v>565</v>
      </c>
      <c r="C2459" s="16" t="n">
        <f aca="false">INDEX($G$2142:$K$2142,C2441)</f>
        <v>78.61</v>
      </c>
    </row>
    <row r="2460" customFormat="false" ht="15" hidden="false" customHeight="false" outlineLevel="0" collapsed="false">
      <c r="A2460" s="24" t="s">
        <v>566</v>
      </c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</row>
    <row r="2461" customFormat="false" ht="15" hidden="false" customHeight="false" outlineLevel="0" collapsed="false">
      <c r="A2461" s="3" t="s">
        <v>556</v>
      </c>
      <c r="C2461" s="27" t="n">
        <f aca="false">Assumptions!$M$57</f>
        <v>1</v>
      </c>
    </row>
    <row r="2462" customFormat="false" ht="15" hidden="false" customHeight="false" outlineLevel="0" collapsed="false">
      <c r="A2462" s="3" t="s">
        <v>557</v>
      </c>
      <c r="C2462" s="27" t="n">
        <f aca="false">Assumptions!$M$58</f>
        <v>1</v>
      </c>
    </row>
    <row r="2463" customFormat="false" ht="15" hidden="false" customHeight="false" outlineLevel="0" collapsed="false">
      <c r="A2463" s="3" t="s">
        <v>558</v>
      </c>
      <c r="C2463" s="27" t="n">
        <f aca="false">Assumptions!$M$59</f>
        <v>1</v>
      </c>
    </row>
    <row r="2464" customFormat="false" ht="15" hidden="false" customHeight="false" outlineLevel="0" collapsed="false">
      <c r="A2464" s="3" t="s">
        <v>559</v>
      </c>
      <c r="C2464" s="27" t="n">
        <f aca="false">Assumptions!$M$60</f>
        <v>2</v>
      </c>
    </row>
    <row r="2465" customFormat="false" ht="15" hidden="false" customHeight="false" outlineLevel="0" collapsed="false">
      <c r="A2465" s="3" t="s">
        <v>560</v>
      </c>
      <c r="C2465" s="27" t="n">
        <f aca="false">Assumptions!$M$61</f>
        <v>2</v>
      </c>
    </row>
    <row r="2466" customFormat="false" ht="15" hidden="false" customHeight="false" outlineLevel="0" collapsed="false">
      <c r="A2466" s="3" t="s">
        <v>561</v>
      </c>
      <c r="C2466" s="27" t="n">
        <f aca="false">Assumptions!$M$62</f>
        <v>2</v>
      </c>
    </row>
    <row r="2467" customFormat="false" ht="15" hidden="false" customHeight="false" outlineLevel="0" collapsed="false">
      <c r="A2467" s="3" t="s">
        <v>562</v>
      </c>
      <c r="C2467" s="27" t="n">
        <f aca="false">Assumptions!$M$63</f>
        <v>2</v>
      </c>
    </row>
    <row r="2468" customFormat="false" ht="15" hidden="false" customHeight="false" outlineLevel="0" collapsed="false">
      <c r="A2468" s="3" t="s">
        <v>563</v>
      </c>
      <c r="C2468" s="27" t="n">
        <f aca="false">Assumptions!$M$64</f>
        <v>2</v>
      </c>
    </row>
    <row r="2469" customFormat="false" ht="15" hidden="false" customHeight="false" outlineLevel="0" collapsed="false">
      <c r="A2469" s="3" t="s">
        <v>564</v>
      </c>
      <c r="C2469" s="27" t="n">
        <f aca="false">Assumptions!$M$65</f>
        <v>2</v>
      </c>
    </row>
    <row r="2470" customFormat="false" ht="15" hidden="false" customHeight="false" outlineLevel="0" collapsed="false">
      <c r="A2470" s="3" t="s">
        <v>565</v>
      </c>
      <c r="C2470" s="27" t="n">
        <f aca="false">Assumptions!$M$66</f>
        <v>3</v>
      </c>
    </row>
    <row r="2471" customFormat="false" ht="15" hidden="false" customHeight="false" outlineLevel="0" collapsed="false">
      <c r="A2471" s="24" t="s">
        <v>567</v>
      </c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</row>
    <row r="2472" customFormat="false" ht="15" hidden="false" customHeight="false" outlineLevel="0" collapsed="false">
      <c r="A2472" s="3" t="s">
        <v>556</v>
      </c>
      <c r="C2472" s="33" t="n">
        <f aca="false">Assumptions!$Q$57</f>
        <v>0.3</v>
      </c>
    </row>
    <row r="2473" customFormat="false" ht="15" hidden="false" customHeight="false" outlineLevel="0" collapsed="false">
      <c r="A2473" s="3" t="s">
        <v>557</v>
      </c>
      <c r="C2473" s="33" t="n">
        <f aca="false">Assumptions!$Q$58</f>
        <v>0.033</v>
      </c>
    </row>
    <row r="2474" customFormat="false" ht="15" hidden="false" customHeight="false" outlineLevel="0" collapsed="false">
      <c r="A2474" s="3" t="s">
        <v>558</v>
      </c>
      <c r="C2474" s="33" t="n">
        <f aca="false">Assumptions!$Q$59</f>
        <v>0.021</v>
      </c>
    </row>
    <row r="2475" customFormat="false" ht="15" hidden="false" customHeight="false" outlineLevel="0" collapsed="false">
      <c r="A2475" s="3" t="s">
        <v>559</v>
      </c>
      <c r="C2475" s="33" t="n">
        <f aca="false">Assumptions!$Q$60</f>
        <v>0</v>
      </c>
    </row>
    <row r="2476" customFormat="false" ht="15" hidden="false" customHeight="false" outlineLevel="0" collapsed="false">
      <c r="A2476" s="3" t="s">
        <v>560</v>
      </c>
      <c r="C2476" s="33" t="n">
        <f aca="false">Assumptions!$Q$61</f>
        <v>0</v>
      </c>
    </row>
    <row r="2477" customFormat="false" ht="15" hidden="false" customHeight="false" outlineLevel="0" collapsed="false">
      <c r="A2477" s="3" t="s">
        <v>561</v>
      </c>
      <c r="C2477" s="33" t="n">
        <f aca="false">Assumptions!$Q$62</f>
        <v>0</v>
      </c>
    </row>
    <row r="2478" customFormat="false" ht="15" hidden="false" customHeight="false" outlineLevel="0" collapsed="false">
      <c r="A2478" s="3" t="s">
        <v>562</v>
      </c>
      <c r="C2478" s="33" t="n">
        <f aca="false">Assumptions!$Q$63</f>
        <v>0</v>
      </c>
    </row>
    <row r="2479" customFormat="false" ht="15" hidden="false" customHeight="false" outlineLevel="0" collapsed="false">
      <c r="A2479" s="3" t="s">
        <v>563</v>
      </c>
      <c r="C2479" s="33" t="n">
        <f aca="false">Assumptions!$Q$64</f>
        <v>0</v>
      </c>
    </row>
    <row r="2480" customFormat="false" ht="15" hidden="false" customHeight="false" outlineLevel="0" collapsed="false">
      <c r="A2480" s="3" t="s">
        <v>564</v>
      </c>
      <c r="C2480" s="33" t="n">
        <f aca="false">Assumptions!$Q$65</f>
        <v>0</v>
      </c>
    </row>
    <row r="2481" customFormat="false" ht="15" hidden="false" customHeight="false" outlineLevel="0" collapsed="false">
      <c r="A2481" s="3" t="s">
        <v>565</v>
      </c>
      <c r="C2481" s="33" t="n">
        <f aca="false">Assumptions!$Q$66</f>
        <v>0</v>
      </c>
    </row>
    <row r="2482" customFormat="false" ht="15" hidden="false" customHeight="false" outlineLevel="0" collapsed="false">
      <c r="A2482" s="24" t="s">
        <v>568</v>
      </c>
      <c r="B2482" s="25"/>
      <c r="C2482" s="25"/>
      <c r="D2482" s="25"/>
      <c r="E2482" s="25"/>
      <c r="F2482" s="25"/>
      <c r="G2482" s="25"/>
      <c r="H2482" s="25"/>
      <c r="I2482" s="25"/>
      <c r="J2482" s="25"/>
      <c r="K2482" s="25"/>
    </row>
    <row r="2483" customFormat="false" ht="15" hidden="false" customHeight="false" outlineLevel="0" collapsed="false">
      <c r="A2483" s="3" t="s">
        <v>556</v>
      </c>
      <c r="C2483" s="16" t="n">
        <f aca="false">IF(C2472&gt;0,MIN(C2450,C2472*$C$2448),0)</f>
        <v>388</v>
      </c>
    </row>
    <row r="2484" customFormat="false" ht="15" hidden="false" customHeight="false" outlineLevel="0" collapsed="false">
      <c r="A2484" s="3" t="s">
        <v>557</v>
      </c>
      <c r="C2484" s="16" t="n">
        <f aca="false">IF(C2473&gt;0,MIN(C2451,C2473*$C$2448),0)</f>
        <v>90</v>
      </c>
    </row>
    <row r="2485" customFormat="false" ht="15" hidden="false" customHeight="false" outlineLevel="0" collapsed="false">
      <c r="A2485" s="3" t="s">
        <v>558</v>
      </c>
      <c r="C2485" s="16" t="n">
        <f aca="false">IF(C2474&gt;0,MIN(C2452,C2474*$C$2448),0)</f>
        <v>57.324</v>
      </c>
    </row>
    <row r="2486" customFormat="false" ht="15" hidden="false" customHeight="false" outlineLevel="0" collapsed="false">
      <c r="A2486" s="3" t="s">
        <v>559</v>
      </c>
      <c r="C2486" s="16" t="n">
        <f aca="false">IF(C2475&gt;0,MIN(C2453,C2475*$C$2448),0)</f>
        <v>0</v>
      </c>
    </row>
    <row r="2487" customFormat="false" ht="15" hidden="false" customHeight="false" outlineLevel="0" collapsed="false">
      <c r="A2487" s="3" t="s">
        <v>560</v>
      </c>
      <c r="C2487" s="16" t="n">
        <f aca="false">IF(C2476&gt;0,MIN(C2454,C2476*$C$2448),0)</f>
        <v>0</v>
      </c>
    </row>
    <row r="2488" customFormat="false" ht="15" hidden="false" customHeight="false" outlineLevel="0" collapsed="false">
      <c r="A2488" s="3" t="s">
        <v>561</v>
      </c>
      <c r="C2488" s="16" t="n">
        <f aca="false">IF(C2477&gt;0,MIN(C2455,C2477*$C$2448),0)</f>
        <v>0</v>
      </c>
    </row>
    <row r="2489" customFormat="false" ht="15" hidden="false" customHeight="false" outlineLevel="0" collapsed="false">
      <c r="A2489" s="3" t="s">
        <v>562</v>
      </c>
      <c r="C2489" s="16" t="n">
        <f aca="false">IF(C2478&gt;0,MIN(C2456,C2478*$C$2448),0)</f>
        <v>0</v>
      </c>
    </row>
    <row r="2490" customFormat="false" ht="15" hidden="false" customHeight="false" outlineLevel="0" collapsed="false">
      <c r="A2490" s="3" t="s">
        <v>563</v>
      </c>
      <c r="C2490" s="16" t="n">
        <f aca="false">IF(C2479&gt;0,MIN(C2457,C2479*$C$2448),0)</f>
        <v>0</v>
      </c>
    </row>
    <row r="2491" customFormat="false" ht="15" hidden="false" customHeight="false" outlineLevel="0" collapsed="false">
      <c r="A2491" s="3" t="s">
        <v>564</v>
      </c>
      <c r="C2491" s="16" t="n">
        <f aca="false">IF(C2480&gt;0,MIN(C2458,C2480*$C$2448),0)</f>
        <v>0</v>
      </c>
    </row>
    <row r="2492" customFormat="false" ht="15" hidden="false" customHeight="false" outlineLevel="0" collapsed="false">
      <c r="A2492" s="3" t="s">
        <v>565</v>
      </c>
      <c r="C2492" s="16" t="n">
        <f aca="false">IF(C2481&gt;0,MIN(C2459,C2481*$C$2448),0)</f>
        <v>0</v>
      </c>
    </row>
    <row r="2493" customFormat="false" ht="15" hidden="false" customHeight="false" outlineLevel="0" collapsed="false">
      <c r="A2493" s="24" t="s">
        <v>569</v>
      </c>
      <c r="B2493" s="25"/>
      <c r="C2493" s="25"/>
      <c r="D2493" s="25"/>
      <c r="E2493" s="25"/>
      <c r="F2493" s="25"/>
      <c r="G2493" s="25"/>
      <c r="H2493" s="25"/>
      <c r="I2493" s="25"/>
      <c r="J2493" s="25"/>
      <c r="K2493" s="25"/>
    </row>
    <row r="2494" customFormat="false" ht="15" hidden="false" customHeight="false" outlineLevel="0" collapsed="false">
      <c r="A2494" s="3" t="s">
        <v>556</v>
      </c>
      <c r="C2494" s="16" t="n">
        <f aca="false">IF(C2472&gt;0,C2450-C2483,0)</f>
        <v>0</v>
      </c>
    </row>
    <row r="2495" customFormat="false" ht="15" hidden="false" customHeight="false" outlineLevel="0" collapsed="false">
      <c r="A2495" s="3" t="s">
        <v>557</v>
      </c>
      <c r="C2495" s="16" t="n">
        <f aca="false">IF(C2473&gt;0,C2451-C2484,0)</f>
        <v>0</v>
      </c>
    </row>
    <row r="2496" customFormat="false" ht="15" hidden="false" customHeight="false" outlineLevel="0" collapsed="false">
      <c r="A2496" s="3" t="s">
        <v>558</v>
      </c>
      <c r="C2496" s="16" t="n">
        <f aca="false">IF(C2474&gt;0,C2452-C2485,0)</f>
        <v>0</v>
      </c>
    </row>
    <row r="2497" customFormat="false" ht="15" hidden="false" customHeight="false" outlineLevel="0" collapsed="false">
      <c r="A2497" s="3" t="s">
        <v>559</v>
      </c>
      <c r="C2497" s="16" t="n">
        <f aca="false">IF(C2475&gt;0,C2453-C2486,0)</f>
        <v>0</v>
      </c>
    </row>
    <row r="2498" customFormat="false" ht="15" hidden="false" customHeight="false" outlineLevel="0" collapsed="false">
      <c r="A2498" s="3" t="s">
        <v>560</v>
      </c>
      <c r="C2498" s="16" t="n">
        <f aca="false">IF(C2476&gt;0,C2454-C2487,0)</f>
        <v>0</v>
      </c>
    </row>
    <row r="2499" customFormat="false" ht="15" hidden="false" customHeight="false" outlineLevel="0" collapsed="false">
      <c r="A2499" s="3" t="s">
        <v>561</v>
      </c>
      <c r="C2499" s="16" t="n">
        <f aca="false">IF(C2477&gt;0,C2455-C2488,0)</f>
        <v>0</v>
      </c>
    </row>
    <row r="2500" customFormat="false" ht="15" hidden="false" customHeight="false" outlineLevel="0" collapsed="false">
      <c r="A2500" s="3" t="s">
        <v>562</v>
      </c>
      <c r="C2500" s="16" t="n">
        <f aca="false">IF(C2478&gt;0,C2456-C2489,0)</f>
        <v>0</v>
      </c>
    </row>
    <row r="2501" customFormat="false" ht="15" hidden="false" customHeight="false" outlineLevel="0" collapsed="false">
      <c r="A2501" s="3" t="s">
        <v>563</v>
      </c>
      <c r="C2501" s="16" t="n">
        <f aca="false">IF(C2479&gt;0,C2457-C2490,0)</f>
        <v>0</v>
      </c>
    </row>
    <row r="2502" customFormat="false" ht="15" hidden="false" customHeight="false" outlineLevel="0" collapsed="false">
      <c r="A2502" s="3" t="s">
        <v>564</v>
      </c>
      <c r="C2502" s="16" t="n">
        <f aca="false">IF(C2480&gt;0,C2458-C2491,0)</f>
        <v>0</v>
      </c>
    </row>
    <row r="2503" customFormat="false" ht="15" hidden="false" customHeight="false" outlineLevel="0" collapsed="false">
      <c r="A2503" s="3" t="s">
        <v>565</v>
      </c>
      <c r="C2503" s="16" t="n">
        <f aca="false">IF(C2481&gt;0,C2459-C2492,0)</f>
        <v>0</v>
      </c>
    </row>
    <row r="2504" customFormat="false" ht="15" hidden="false" customHeight="false" outlineLevel="0" collapsed="false">
      <c r="A2504" s="24" t="s">
        <v>570</v>
      </c>
      <c r="B2504" s="25"/>
      <c r="C2504" s="25"/>
      <c r="D2504" s="25"/>
      <c r="E2504" s="25"/>
      <c r="F2504" s="25"/>
      <c r="G2504" s="25"/>
      <c r="H2504" s="25"/>
      <c r="I2504" s="25"/>
      <c r="J2504" s="25"/>
      <c r="K2504" s="25"/>
    </row>
    <row r="2505" customFormat="false" ht="15" hidden="false" customHeight="false" outlineLevel="0" collapsed="false">
      <c r="A2505" s="3" t="s">
        <v>556</v>
      </c>
      <c r="C2505" s="16" t="n">
        <f aca="false">IF(C2472&gt;0,C2494,C2450)</f>
        <v>0</v>
      </c>
    </row>
    <row r="2506" customFormat="false" ht="15" hidden="false" customHeight="false" outlineLevel="0" collapsed="false">
      <c r="A2506" s="3" t="s">
        <v>557</v>
      </c>
      <c r="C2506" s="16" t="n">
        <f aca="false">IF(C2473&gt;0,C2495,C2451)</f>
        <v>0</v>
      </c>
    </row>
    <row r="2507" customFormat="false" ht="15" hidden="false" customHeight="false" outlineLevel="0" collapsed="false">
      <c r="A2507" s="3" t="s">
        <v>558</v>
      </c>
      <c r="C2507" s="16" t="n">
        <f aca="false">IF(C2474&gt;0,C2496,C2452)</f>
        <v>0</v>
      </c>
    </row>
    <row r="2508" customFormat="false" ht="15" hidden="false" customHeight="false" outlineLevel="0" collapsed="false">
      <c r="A2508" s="3" t="s">
        <v>559</v>
      </c>
      <c r="C2508" s="16" t="n">
        <f aca="false">IF(C2475&gt;0,C2497,C2453)</f>
        <v>90.036038523656</v>
      </c>
    </row>
    <row r="2509" customFormat="false" ht="15" hidden="false" customHeight="false" outlineLevel="0" collapsed="false">
      <c r="A2509" s="3" t="s">
        <v>560</v>
      </c>
      <c r="C2509" s="16" t="n">
        <f aca="false">IF(C2476&gt;0,C2498,C2454)</f>
        <v>446.7762067898</v>
      </c>
    </row>
    <row r="2510" customFormat="false" ht="15" hidden="false" customHeight="false" outlineLevel="0" collapsed="false">
      <c r="A2510" s="3" t="s">
        <v>561</v>
      </c>
      <c r="C2510" s="16" t="n">
        <f aca="false">IF(C2477&gt;0,C2499,C2455)</f>
        <v>350</v>
      </c>
    </row>
    <row r="2511" customFormat="false" ht="15" hidden="false" customHeight="false" outlineLevel="0" collapsed="false">
      <c r="A2511" s="3" t="s">
        <v>562</v>
      </c>
      <c r="C2511" s="16" t="n">
        <f aca="false">IF(C2478&gt;0,C2500,C2456)</f>
        <v>550</v>
      </c>
    </row>
    <row r="2512" customFormat="false" ht="15" hidden="false" customHeight="false" outlineLevel="0" collapsed="false">
      <c r="A2512" s="3" t="s">
        <v>563</v>
      </c>
      <c r="C2512" s="16" t="n">
        <f aca="false">IF(C2479&gt;0,C2501,C2457)</f>
        <v>350</v>
      </c>
    </row>
    <row r="2513" customFormat="false" ht="15" hidden="false" customHeight="false" outlineLevel="0" collapsed="false">
      <c r="A2513" s="3" t="s">
        <v>564</v>
      </c>
      <c r="C2513" s="16" t="n">
        <f aca="false">IF(C2480&gt;0,C2502,C2458)</f>
        <v>300</v>
      </c>
    </row>
    <row r="2514" customFormat="false" ht="15" hidden="false" customHeight="false" outlineLevel="0" collapsed="false">
      <c r="A2514" s="3" t="s">
        <v>565</v>
      </c>
      <c r="C2514" s="16" t="n">
        <f aca="false">IF(C2481&gt;0,C2503,C2459)</f>
        <v>78.61</v>
      </c>
    </row>
    <row r="2515" customFormat="false" ht="15" hidden="false" customHeight="false" outlineLevel="0" collapsed="false">
      <c r="A2515" s="24" t="s">
        <v>571</v>
      </c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</row>
    <row r="2516" customFormat="false" ht="15" hidden="false" customHeight="false" outlineLevel="0" collapsed="false">
      <c r="A2516" s="3" t="s">
        <v>556</v>
      </c>
      <c r="C2516" s="21" t="n">
        <f aca="false">IF(C2472&gt;0,Assumptions!$C$17,C2461)</f>
        <v>99</v>
      </c>
    </row>
    <row r="2517" customFormat="false" ht="15" hidden="false" customHeight="false" outlineLevel="0" collapsed="false">
      <c r="A2517" s="3" t="s">
        <v>557</v>
      </c>
      <c r="C2517" s="21" t="n">
        <f aca="false">IF(C2473&gt;0,Assumptions!$C$17,C2462)</f>
        <v>99</v>
      </c>
    </row>
    <row r="2518" customFormat="false" ht="15" hidden="false" customHeight="false" outlineLevel="0" collapsed="false">
      <c r="A2518" s="3" t="s">
        <v>558</v>
      </c>
      <c r="C2518" s="21" t="n">
        <f aca="false">IF(C2474&gt;0,Assumptions!$C$17,C2463)</f>
        <v>99</v>
      </c>
    </row>
    <row r="2519" customFormat="false" ht="15" hidden="false" customHeight="false" outlineLevel="0" collapsed="false">
      <c r="A2519" s="3" t="s">
        <v>559</v>
      </c>
      <c r="C2519" s="21" t="n">
        <f aca="false">IF(C2475&gt;0,Assumptions!$C$17,C2464)</f>
        <v>2</v>
      </c>
    </row>
    <row r="2520" customFormat="false" ht="15" hidden="false" customHeight="false" outlineLevel="0" collapsed="false">
      <c r="A2520" s="3" t="s">
        <v>560</v>
      </c>
      <c r="C2520" s="21" t="n">
        <f aca="false">IF(C2476&gt;0,Assumptions!$C$17,C2465)</f>
        <v>2</v>
      </c>
    </row>
    <row r="2521" customFormat="false" ht="15" hidden="false" customHeight="false" outlineLevel="0" collapsed="false">
      <c r="A2521" s="3" t="s">
        <v>561</v>
      </c>
      <c r="C2521" s="21" t="n">
        <f aca="false">IF(C2477&gt;0,Assumptions!$C$17,C2466)</f>
        <v>2</v>
      </c>
    </row>
    <row r="2522" customFormat="false" ht="15" hidden="false" customHeight="false" outlineLevel="0" collapsed="false">
      <c r="A2522" s="3" t="s">
        <v>562</v>
      </c>
      <c r="C2522" s="21" t="n">
        <f aca="false">IF(C2478&gt;0,Assumptions!$C$17,C2467)</f>
        <v>2</v>
      </c>
    </row>
    <row r="2523" customFormat="false" ht="15" hidden="false" customHeight="false" outlineLevel="0" collapsed="false">
      <c r="A2523" s="3" t="s">
        <v>563</v>
      </c>
      <c r="C2523" s="21" t="n">
        <f aca="false">IF(C2479&gt;0,Assumptions!$C$17,C2468)</f>
        <v>2</v>
      </c>
    </row>
    <row r="2524" customFormat="false" ht="15" hidden="false" customHeight="false" outlineLevel="0" collapsed="false">
      <c r="A2524" s="3" t="s">
        <v>564</v>
      </c>
      <c r="C2524" s="21" t="n">
        <f aca="false">IF(C2480&gt;0,Assumptions!$C$17,C2469)</f>
        <v>2</v>
      </c>
    </row>
    <row r="2525" customFormat="false" ht="15" hidden="false" customHeight="false" outlineLevel="0" collapsed="false">
      <c r="A2525" s="3" t="s">
        <v>565</v>
      </c>
      <c r="C2525" s="21" t="n">
        <f aca="false">IF(C2481&gt;0,Assumptions!$C$17,C2470)</f>
        <v>3</v>
      </c>
    </row>
    <row r="2526" customFormat="false" ht="15" hidden="false" customHeight="false" outlineLevel="0" collapsed="false">
      <c r="A2526" s="24" t="s">
        <v>572</v>
      </c>
      <c r="B2526" s="25"/>
      <c r="C2526" s="25"/>
      <c r="D2526" s="25"/>
      <c r="E2526" s="25"/>
      <c r="F2526" s="25"/>
      <c r="G2526" s="25"/>
      <c r="H2526" s="25"/>
      <c r="I2526" s="25"/>
      <c r="J2526" s="25"/>
      <c r="K2526" s="25"/>
    </row>
    <row r="2527" customFormat="false" ht="15" hidden="false" customHeight="false" outlineLevel="0" collapsed="false">
      <c r="A2527" s="3" t="s">
        <v>556</v>
      </c>
      <c r="C2527" s="16" t="n">
        <f aca="false">SUMPRODUCT(($C$2516:$C$2525&lt;C2516)*$C$2505:$C$2514)</f>
        <v>2165.42224531346</v>
      </c>
    </row>
    <row r="2528" customFormat="false" ht="15" hidden="false" customHeight="false" outlineLevel="0" collapsed="false">
      <c r="A2528" s="3" t="s">
        <v>557</v>
      </c>
      <c r="C2528" s="16" t="n">
        <f aca="false">SUMPRODUCT(($C$2516:$C$2525&lt;C2517)*$C$2505:$C$2514)</f>
        <v>2165.42224531346</v>
      </c>
    </row>
    <row r="2529" customFormat="false" ht="15" hidden="false" customHeight="false" outlineLevel="0" collapsed="false">
      <c r="A2529" s="3" t="s">
        <v>558</v>
      </c>
      <c r="C2529" s="16" t="n">
        <f aca="false">SUMPRODUCT(($C$2516:$C$2525&lt;C2518)*$C$2505:$C$2514)</f>
        <v>2165.42224531346</v>
      </c>
    </row>
    <row r="2530" customFormat="false" ht="15" hidden="false" customHeight="false" outlineLevel="0" collapsed="false">
      <c r="A2530" s="3" t="s">
        <v>559</v>
      </c>
      <c r="C2530" s="16" t="n">
        <f aca="false">SUMPRODUCT(($C$2516:$C$2525&lt;C2519)*$C$2505:$C$2514)</f>
        <v>0</v>
      </c>
    </row>
    <row r="2531" customFormat="false" ht="15" hidden="false" customHeight="false" outlineLevel="0" collapsed="false">
      <c r="A2531" s="3" t="s">
        <v>560</v>
      </c>
      <c r="C2531" s="16" t="n">
        <f aca="false">SUMPRODUCT(($C$2516:$C$2525&lt;C2520)*$C$2505:$C$2514)</f>
        <v>0</v>
      </c>
    </row>
    <row r="2532" customFormat="false" ht="15" hidden="false" customHeight="false" outlineLevel="0" collapsed="false">
      <c r="A2532" s="3" t="s">
        <v>561</v>
      </c>
      <c r="C2532" s="16" t="n">
        <f aca="false">SUMPRODUCT(($C$2516:$C$2525&lt;C2521)*$C$2505:$C$2514)</f>
        <v>0</v>
      </c>
    </row>
    <row r="2533" customFormat="false" ht="15" hidden="false" customHeight="false" outlineLevel="0" collapsed="false">
      <c r="A2533" s="3" t="s">
        <v>562</v>
      </c>
      <c r="C2533" s="16" t="n">
        <f aca="false">SUMPRODUCT(($C$2516:$C$2525&lt;C2522)*$C$2505:$C$2514)</f>
        <v>0</v>
      </c>
    </row>
    <row r="2534" customFormat="false" ht="15" hidden="false" customHeight="false" outlineLevel="0" collapsed="false">
      <c r="A2534" s="3" t="s">
        <v>563</v>
      </c>
      <c r="C2534" s="16" t="n">
        <f aca="false">SUMPRODUCT(($C$2516:$C$2525&lt;C2523)*$C$2505:$C$2514)</f>
        <v>0</v>
      </c>
    </row>
    <row r="2535" customFormat="false" ht="15" hidden="false" customHeight="false" outlineLevel="0" collapsed="false">
      <c r="A2535" s="3" t="s">
        <v>564</v>
      </c>
      <c r="C2535" s="16" t="n">
        <f aca="false">SUMPRODUCT(($C$2516:$C$2525&lt;C2524)*$C$2505:$C$2514)</f>
        <v>0</v>
      </c>
    </row>
    <row r="2536" customFormat="false" ht="15" hidden="false" customHeight="false" outlineLevel="0" collapsed="false">
      <c r="A2536" s="3" t="s">
        <v>565</v>
      </c>
      <c r="C2536" s="16" t="n">
        <f aca="false">SUMPRODUCT(($C$2516:$C$2525&lt;C2525)*$C$2505:$C$2514)</f>
        <v>2086.81224531346</v>
      </c>
    </row>
    <row r="2537" customFormat="false" ht="15" hidden="false" customHeight="false" outlineLevel="0" collapsed="false">
      <c r="A2537" s="24" t="s">
        <v>573</v>
      </c>
      <c r="B2537" s="25"/>
      <c r="C2537" s="25"/>
      <c r="D2537" s="25"/>
      <c r="E2537" s="25"/>
      <c r="F2537" s="25"/>
      <c r="G2537" s="25"/>
      <c r="H2537" s="25"/>
      <c r="I2537" s="25"/>
      <c r="J2537" s="25"/>
      <c r="K2537" s="25"/>
    </row>
    <row r="2538" customFormat="false" ht="15" hidden="false" customHeight="false" outlineLevel="0" collapsed="false">
      <c r="A2538" s="3" t="s">
        <v>556</v>
      </c>
      <c r="C2538" s="16" t="n">
        <f aca="false">SUMPRODUCT(($C$2516:$C$2525=C2516)*$C$2505:$C$2514)</f>
        <v>0</v>
      </c>
    </row>
    <row r="2539" customFormat="false" ht="15" hidden="false" customHeight="false" outlineLevel="0" collapsed="false">
      <c r="A2539" s="3" t="s">
        <v>557</v>
      </c>
      <c r="C2539" s="16" t="n">
        <f aca="false">SUMPRODUCT(($C$2516:$C$2525=C2517)*$C$2505:$C$2514)</f>
        <v>0</v>
      </c>
    </row>
    <row r="2540" customFormat="false" ht="15" hidden="false" customHeight="false" outlineLevel="0" collapsed="false">
      <c r="A2540" s="3" t="s">
        <v>558</v>
      </c>
      <c r="C2540" s="16" t="n">
        <f aca="false">SUMPRODUCT(($C$2516:$C$2525=C2518)*$C$2505:$C$2514)</f>
        <v>0</v>
      </c>
    </row>
    <row r="2541" customFormat="false" ht="15" hidden="false" customHeight="false" outlineLevel="0" collapsed="false">
      <c r="A2541" s="3" t="s">
        <v>559</v>
      </c>
      <c r="C2541" s="16" t="n">
        <f aca="false">SUMPRODUCT(($C$2516:$C$2525=C2519)*$C$2505:$C$2514)</f>
        <v>2086.81224531346</v>
      </c>
    </row>
    <row r="2542" customFormat="false" ht="15" hidden="false" customHeight="false" outlineLevel="0" collapsed="false">
      <c r="A2542" s="3" t="s">
        <v>560</v>
      </c>
      <c r="C2542" s="16" t="n">
        <f aca="false">SUMPRODUCT(($C$2516:$C$2525=C2520)*$C$2505:$C$2514)</f>
        <v>2086.81224531346</v>
      </c>
    </row>
    <row r="2543" customFormat="false" ht="15" hidden="false" customHeight="false" outlineLevel="0" collapsed="false">
      <c r="A2543" s="3" t="s">
        <v>561</v>
      </c>
      <c r="C2543" s="16" t="n">
        <f aca="false">SUMPRODUCT(($C$2516:$C$2525=C2521)*$C$2505:$C$2514)</f>
        <v>2086.81224531346</v>
      </c>
    </row>
    <row r="2544" customFormat="false" ht="15" hidden="false" customHeight="false" outlineLevel="0" collapsed="false">
      <c r="A2544" s="3" t="s">
        <v>562</v>
      </c>
      <c r="C2544" s="16" t="n">
        <f aca="false">SUMPRODUCT(($C$2516:$C$2525=C2522)*$C$2505:$C$2514)</f>
        <v>2086.81224531346</v>
      </c>
    </row>
    <row r="2545" customFormat="false" ht="15" hidden="false" customHeight="false" outlineLevel="0" collapsed="false">
      <c r="A2545" s="3" t="s">
        <v>563</v>
      </c>
      <c r="C2545" s="16" t="n">
        <f aca="false">SUMPRODUCT(($C$2516:$C$2525=C2523)*$C$2505:$C$2514)</f>
        <v>2086.81224531346</v>
      </c>
    </row>
    <row r="2546" customFormat="false" ht="15" hidden="false" customHeight="false" outlineLevel="0" collapsed="false">
      <c r="A2546" s="3" t="s">
        <v>564</v>
      </c>
      <c r="C2546" s="16" t="n">
        <f aca="false">SUMPRODUCT(($C$2516:$C$2525=C2524)*$C$2505:$C$2514)</f>
        <v>2086.81224531346</v>
      </c>
    </row>
    <row r="2547" customFormat="false" ht="15" hidden="false" customHeight="false" outlineLevel="0" collapsed="false">
      <c r="A2547" s="3" t="s">
        <v>565</v>
      </c>
      <c r="C2547" s="16" t="n">
        <f aca="false">SUMPRODUCT(($C$2516:$C$2525=C2525)*$C$2505:$C$2514)</f>
        <v>78.61</v>
      </c>
    </row>
    <row r="2548" customFormat="false" ht="15" hidden="false" customHeight="false" outlineLevel="0" collapsed="false">
      <c r="A2548" s="24" t="s">
        <v>574</v>
      </c>
      <c r="B2548" s="25"/>
      <c r="C2548" s="25"/>
      <c r="D2548" s="25"/>
      <c r="E2548" s="25"/>
      <c r="F2548" s="25"/>
      <c r="G2548" s="25"/>
      <c r="H2548" s="25"/>
      <c r="I2548" s="25"/>
      <c r="J2548" s="25"/>
      <c r="K2548" s="25"/>
    </row>
    <row r="2549" customFormat="false" ht="15" hidden="false" customHeight="false" outlineLevel="0" collapsed="false">
      <c r="A2549" s="3" t="s">
        <v>556</v>
      </c>
      <c r="C2549" s="16" t="n">
        <f aca="false">IF(C2538=0,0,C2505/C2538*MAX(0,MIN(C2538,$C$2448-SUM($C$2483:$C$2492)-C2527)))</f>
        <v>0</v>
      </c>
    </row>
    <row r="2550" customFormat="false" ht="15" hidden="false" customHeight="false" outlineLevel="0" collapsed="false">
      <c r="A2550" s="3" t="s">
        <v>557</v>
      </c>
      <c r="C2550" s="16" t="n">
        <f aca="false">IF(C2539=0,0,C2506/C2539*MAX(0,MIN(C2539,$C$2448-SUM($C$2483:$C$2492)-C2528)))</f>
        <v>0</v>
      </c>
    </row>
    <row r="2551" customFormat="false" ht="15" hidden="false" customHeight="false" outlineLevel="0" collapsed="false">
      <c r="A2551" s="3" t="s">
        <v>558</v>
      </c>
      <c r="C2551" s="16" t="n">
        <f aca="false">IF(C2540=0,0,C2507/C2540*MAX(0,MIN(C2540,$C$2448-SUM($C$2483:$C$2492)-C2529)))</f>
        <v>0</v>
      </c>
    </row>
    <row r="2552" customFormat="false" ht="15" hidden="false" customHeight="false" outlineLevel="0" collapsed="false">
      <c r="A2552" s="3" t="s">
        <v>559</v>
      </c>
      <c r="C2552" s="16" t="n">
        <f aca="false">IF(C2541=0,0,C2508/C2541*MAX(0,MIN(C2541,$C$2448-SUM($C$2483:$C$2492)-C2530)))</f>
        <v>90.036038523656</v>
      </c>
    </row>
    <row r="2553" customFormat="false" ht="15" hidden="false" customHeight="false" outlineLevel="0" collapsed="false">
      <c r="A2553" s="3" t="s">
        <v>560</v>
      </c>
      <c r="C2553" s="16" t="n">
        <f aca="false">IF(C2542=0,0,C2509/C2542*MAX(0,MIN(C2542,$C$2448-SUM($C$2483:$C$2492)-C2531)))</f>
        <v>446.7762067898</v>
      </c>
    </row>
    <row r="2554" customFormat="false" ht="15" hidden="false" customHeight="false" outlineLevel="0" collapsed="false">
      <c r="A2554" s="3" t="s">
        <v>561</v>
      </c>
      <c r="C2554" s="16" t="n">
        <f aca="false">IF(C2543=0,0,C2510/C2543*MAX(0,MIN(C2543,$C$2448-SUM($C$2483:$C$2492)-C2532)))</f>
        <v>350</v>
      </c>
    </row>
    <row r="2555" customFormat="false" ht="15" hidden="false" customHeight="false" outlineLevel="0" collapsed="false">
      <c r="A2555" s="3" t="s">
        <v>562</v>
      </c>
      <c r="C2555" s="16" t="n">
        <f aca="false">IF(C2544=0,0,C2511/C2544*MAX(0,MIN(C2544,$C$2448-SUM($C$2483:$C$2492)-C2533)))</f>
        <v>550</v>
      </c>
    </row>
    <row r="2556" customFormat="false" ht="15" hidden="false" customHeight="false" outlineLevel="0" collapsed="false">
      <c r="A2556" s="3" t="s">
        <v>563</v>
      </c>
      <c r="C2556" s="16" t="n">
        <f aca="false">IF(C2545=0,0,C2512/C2545*MAX(0,MIN(C2545,$C$2448-SUM($C$2483:$C$2492)-C2534)))</f>
        <v>350</v>
      </c>
    </row>
    <row r="2557" customFormat="false" ht="15" hidden="false" customHeight="false" outlineLevel="0" collapsed="false">
      <c r="A2557" s="3" t="s">
        <v>564</v>
      </c>
      <c r="C2557" s="16" t="n">
        <f aca="false">IF(C2546=0,0,C2513/C2546*MAX(0,MIN(C2546,$C$2448-SUM($C$2483:$C$2492)-C2535)))</f>
        <v>300</v>
      </c>
    </row>
    <row r="2558" customFormat="false" ht="15" hidden="false" customHeight="false" outlineLevel="0" collapsed="false">
      <c r="A2558" s="3" t="s">
        <v>565</v>
      </c>
      <c r="C2558" s="16" t="n">
        <f aca="false">IF(C2547=0,0,C2514/C2547*MAX(0,MIN(C2547,$C$2448-SUM($C$2483:$C$2492)-C2536)))</f>
        <v>78.61</v>
      </c>
    </row>
    <row r="2559" customFormat="false" ht="15" hidden="false" customHeight="false" outlineLevel="0" collapsed="false">
      <c r="A2559" s="24" t="s">
        <v>575</v>
      </c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</row>
    <row r="2560" customFormat="false" ht="15" hidden="false" customHeight="false" outlineLevel="0" collapsed="false">
      <c r="A2560" s="2" t="s">
        <v>556</v>
      </c>
      <c r="C2560" s="17" t="n">
        <f aca="false">C2483+C2549</f>
        <v>388</v>
      </c>
    </row>
    <row r="2561" customFormat="false" ht="15" hidden="false" customHeight="false" outlineLevel="0" collapsed="false">
      <c r="A2561" s="2" t="s">
        <v>557</v>
      </c>
      <c r="C2561" s="17" t="n">
        <f aca="false">C2484+C2550</f>
        <v>90</v>
      </c>
    </row>
    <row r="2562" customFormat="false" ht="15" hidden="false" customHeight="false" outlineLevel="0" collapsed="false">
      <c r="A2562" s="2" t="s">
        <v>558</v>
      </c>
      <c r="C2562" s="17" t="n">
        <f aca="false">C2485+C2551</f>
        <v>57.324</v>
      </c>
    </row>
    <row r="2563" customFormat="false" ht="15" hidden="false" customHeight="false" outlineLevel="0" collapsed="false">
      <c r="A2563" s="2" t="s">
        <v>559</v>
      </c>
      <c r="C2563" s="17" t="n">
        <f aca="false">C2486+C2552</f>
        <v>90.036038523656</v>
      </c>
    </row>
    <row r="2564" customFormat="false" ht="15" hidden="false" customHeight="false" outlineLevel="0" collapsed="false">
      <c r="A2564" s="2" t="s">
        <v>560</v>
      </c>
      <c r="C2564" s="17" t="n">
        <f aca="false">C2487+C2553</f>
        <v>446.7762067898</v>
      </c>
    </row>
    <row r="2565" customFormat="false" ht="15" hidden="false" customHeight="false" outlineLevel="0" collapsed="false">
      <c r="A2565" s="2" t="s">
        <v>561</v>
      </c>
      <c r="C2565" s="17" t="n">
        <f aca="false">C2488+C2554</f>
        <v>350</v>
      </c>
    </row>
    <row r="2566" customFormat="false" ht="15" hidden="false" customHeight="false" outlineLevel="0" collapsed="false">
      <c r="A2566" s="2" t="s">
        <v>562</v>
      </c>
      <c r="C2566" s="17" t="n">
        <f aca="false">C2489+C2555</f>
        <v>550</v>
      </c>
    </row>
    <row r="2567" customFormat="false" ht="15" hidden="false" customHeight="false" outlineLevel="0" collapsed="false">
      <c r="A2567" s="2" t="s">
        <v>563</v>
      </c>
      <c r="C2567" s="17" t="n">
        <f aca="false">C2490+C2556</f>
        <v>350</v>
      </c>
    </row>
    <row r="2568" customFormat="false" ht="15" hidden="false" customHeight="false" outlineLevel="0" collapsed="false">
      <c r="A2568" s="2" t="s">
        <v>564</v>
      </c>
      <c r="C2568" s="17" t="n">
        <f aca="false">C2491+C2557</f>
        <v>300</v>
      </c>
    </row>
    <row r="2569" customFormat="false" ht="15" hidden="false" customHeight="false" outlineLevel="0" collapsed="false">
      <c r="A2569" s="2" t="s">
        <v>565</v>
      </c>
      <c r="C2569" s="17" t="n">
        <f aca="false">C2492+C2558</f>
        <v>78.61</v>
      </c>
    </row>
    <row r="2570" customFormat="false" ht="15" hidden="false" customHeight="false" outlineLevel="0" collapsed="false">
      <c r="A2570" s="24" t="s">
        <v>576</v>
      </c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</row>
    <row r="2571" customFormat="false" ht="15" hidden="false" customHeight="false" outlineLevel="0" collapsed="false">
      <c r="A2571" s="3" t="s">
        <v>556</v>
      </c>
      <c r="C2571" s="22" t="n">
        <f aca="false">IF(C2450=0,1,C2560/C2450)</f>
        <v>1</v>
      </c>
    </row>
    <row r="2572" customFormat="false" ht="15" hidden="false" customHeight="false" outlineLevel="0" collapsed="false">
      <c r="A2572" s="3" t="s">
        <v>557</v>
      </c>
      <c r="C2572" s="22" t="n">
        <f aca="false">IF(C2451=0,1,C2561/C2451)</f>
        <v>1</v>
      </c>
    </row>
    <row r="2573" customFormat="false" ht="15" hidden="false" customHeight="false" outlineLevel="0" collapsed="false">
      <c r="A2573" s="3" t="s">
        <v>558</v>
      </c>
      <c r="C2573" s="22" t="n">
        <f aca="false">IF(C2452=0,1,C2562/C2452)</f>
        <v>1</v>
      </c>
    </row>
    <row r="2574" customFormat="false" ht="15" hidden="false" customHeight="false" outlineLevel="0" collapsed="false">
      <c r="A2574" s="3" t="s">
        <v>559</v>
      </c>
      <c r="C2574" s="22" t="n">
        <f aca="false">IF(C2453=0,1,C2563/C2453)</f>
        <v>1</v>
      </c>
    </row>
    <row r="2575" customFormat="false" ht="15" hidden="false" customHeight="false" outlineLevel="0" collapsed="false">
      <c r="A2575" s="3" t="s">
        <v>560</v>
      </c>
      <c r="C2575" s="22" t="n">
        <f aca="false">IF(C2454=0,1,C2564/C2454)</f>
        <v>1</v>
      </c>
    </row>
    <row r="2576" customFormat="false" ht="15" hidden="false" customHeight="false" outlineLevel="0" collapsed="false">
      <c r="A2576" s="3" t="s">
        <v>561</v>
      </c>
      <c r="C2576" s="22" t="n">
        <f aca="false">IF(C2455=0,1,C2565/C2455)</f>
        <v>1</v>
      </c>
    </row>
    <row r="2577" customFormat="false" ht="15" hidden="false" customHeight="false" outlineLevel="0" collapsed="false">
      <c r="A2577" s="3" t="s">
        <v>562</v>
      </c>
      <c r="C2577" s="22" t="n">
        <f aca="false">IF(C2456=0,1,C2566/C2456)</f>
        <v>1</v>
      </c>
    </row>
    <row r="2578" customFormat="false" ht="15" hidden="false" customHeight="false" outlineLevel="0" collapsed="false">
      <c r="A2578" s="3" t="s">
        <v>563</v>
      </c>
      <c r="C2578" s="22" t="n">
        <f aca="false">IF(C2457=0,1,C2567/C2457)</f>
        <v>1</v>
      </c>
    </row>
    <row r="2579" customFormat="false" ht="15" hidden="false" customHeight="false" outlineLevel="0" collapsed="false">
      <c r="A2579" s="3" t="s">
        <v>564</v>
      </c>
      <c r="C2579" s="22" t="n">
        <f aca="false">IF(C2458=0,1,C2568/C2458)</f>
        <v>1</v>
      </c>
    </row>
    <row r="2580" customFormat="false" ht="15" hidden="false" customHeight="false" outlineLevel="0" collapsed="false">
      <c r="A2580" s="3" t="s">
        <v>565</v>
      </c>
      <c r="C2580" s="22" t="n">
        <f aca="false">IF(C2459=0,1,C2569/C2459)</f>
        <v>1</v>
      </c>
    </row>
    <row r="2581" customFormat="false" ht="15" hidden="false" customHeight="false" outlineLevel="0" collapsed="false">
      <c r="A2581" s="24" t="s">
        <v>577</v>
      </c>
      <c r="B2581" s="25"/>
      <c r="C2581" s="25"/>
      <c r="D2581" s="25"/>
      <c r="E2581" s="25"/>
      <c r="F2581" s="25"/>
      <c r="G2581" s="25"/>
      <c r="H2581" s="25"/>
      <c r="I2581" s="25"/>
      <c r="J2581" s="25"/>
      <c r="K2581" s="25"/>
    </row>
    <row r="2582" customFormat="false" ht="15" hidden="false" customHeight="false" outlineLevel="0" collapsed="false">
      <c r="A2582" s="3" t="s">
        <v>556</v>
      </c>
      <c r="C2582" s="16" t="n">
        <f aca="false">C2450-C2560</f>
        <v>0</v>
      </c>
    </row>
    <row r="2583" customFormat="false" ht="15" hidden="false" customHeight="false" outlineLevel="0" collapsed="false">
      <c r="A2583" s="3" t="s">
        <v>557</v>
      </c>
      <c r="C2583" s="16" t="n">
        <f aca="false">C2451-C2561</f>
        <v>0</v>
      </c>
    </row>
    <row r="2584" customFormat="false" ht="15" hidden="false" customHeight="false" outlineLevel="0" collapsed="false">
      <c r="A2584" s="3" t="s">
        <v>558</v>
      </c>
      <c r="C2584" s="16" t="n">
        <f aca="false">C2452-C2562</f>
        <v>0</v>
      </c>
    </row>
    <row r="2585" customFormat="false" ht="15" hidden="false" customHeight="false" outlineLevel="0" collapsed="false">
      <c r="A2585" s="3" t="s">
        <v>559</v>
      </c>
      <c r="C2585" s="16" t="n">
        <f aca="false">C2453-C2563</f>
        <v>0</v>
      </c>
    </row>
    <row r="2586" customFormat="false" ht="15" hidden="false" customHeight="false" outlineLevel="0" collapsed="false">
      <c r="A2586" s="3" t="s">
        <v>560</v>
      </c>
      <c r="C2586" s="16" t="n">
        <f aca="false">C2454-C2564</f>
        <v>0</v>
      </c>
    </row>
    <row r="2587" customFormat="false" ht="15" hidden="false" customHeight="false" outlineLevel="0" collapsed="false">
      <c r="A2587" s="3" t="s">
        <v>561</v>
      </c>
      <c r="C2587" s="16" t="n">
        <f aca="false">C2455-C2565</f>
        <v>0</v>
      </c>
    </row>
    <row r="2588" customFormat="false" ht="15" hidden="false" customHeight="false" outlineLevel="0" collapsed="false">
      <c r="A2588" s="3" t="s">
        <v>562</v>
      </c>
      <c r="C2588" s="16" t="n">
        <f aca="false">C2456-C2566</f>
        <v>0</v>
      </c>
    </row>
    <row r="2589" customFormat="false" ht="15" hidden="false" customHeight="false" outlineLevel="0" collapsed="false">
      <c r="A2589" s="3" t="s">
        <v>563</v>
      </c>
      <c r="C2589" s="16" t="n">
        <f aca="false">C2457-C2567</f>
        <v>0</v>
      </c>
    </row>
    <row r="2590" customFormat="false" ht="15" hidden="false" customHeight="false" outlineLevel="0" collapsed="false">
      <c r="A2590" s="3" t="s">
        <v>564</v>
      </c>
      <c r="C2590" s="16" t="n">
        <f aca="false">C2458-C2568</f>
        <v>0</v>
      </c>
    </row>
    <row r="2591" customFormat="false" ht="15" hidden="false" customHeight="false" outlineLevel="0" collapsed="false">
      <c r="A2591" s="3" t="s">
        <v>565</v>
      </c>
      <c r="C2591" s="16" t="n">
        <f aca="false">C2459-C2569</f>
        <v>0</v>
      </c>
    </row>
    <row r="2592" customFormat="false" ht="15" hidden="false" customHeight="false" outlineLevel="0" collapsed="false">
      <c r="A2592" s="24" t="s">
        <v>578</v>
      </c>
      <c r="B2592" s="25"/>
      <c r="C2592" s="25"/>
      <c r="D2592" s="25"/>
      <c r="E2592" s="25"/>
      <c r="F2592" s="25"/>
      <c r="G2592" s="25"/>
      <c r="H2592" s="25"/>
      <c r="I2592" s="25"/>
      <c r="J2592" s="25"/>
      <c r="K2592" s="25"/>
    </row>
    <row r="2593" customFormat="false" ht="15" hidden="false" customHeight="false" outlineLevel="0" collapsed="false">
      <c r="A2593" s="3" t="s">
        <v>556</v>
      </c>
      <c r="C2593" s="22" t="n">
        <f aca="false">IF(C2450=0,0,C2582/C2450)</f>
        <v>0</v>
      </c>
    </row>
    <row r="2594" customFormat="false" ht="15" hidden="false" customHeight="false" outlineLevel="0" collapsed="false">
      <c r="A2594" s="3" t="s">
        <v>557</v>
      </c>
      <c r="C2594" s="22" t="n">
        <f aca="false">IF(C2451=0,0,C2583/C2451)</f>
        <v>0</v>
      </c>
    </row>
    <row r="2595" customFormat="false" ht="15" hidden="false" customHeight="false" outlineLevel="0" collapsed="false">
      <c r="A2595" s="3" t="s">
        <v>558</v>
      </c>
      <c r="C2595" s="22" t="n">
        <f aca="false">IF(C2452=0,0,C2584/C2452)</f>
        <v>0</v>
      </c>
    </row>
    <row r="2596" customFormat="false" ht="15" hidden="false" customHeight="false" outlineLevel="0" collapsed="false">
      <c r="A2596" s="3" t="s">
        <v>559</v>
      </c>
      <c r="C2596" s="22" t="n">
        <f aca="false">IF(C2453=0,0,C2585/C2453)</f>
        <v>0</v>
      </c>
    </row>
    <row r="2597" customFormat="false" ht="15" hidden="false" customHeight="false" outlineLevel="0" collapsed="false">
      <c r="A2597" s="3" t="s">
        <v>560</v>
      </c>
      <c r="C2597" s="22" t="n">
        <f aca="false">IF(C2454=0,0,C2586/C2454)</f>
        <v>0</v>
      </c>
    </row>
    <row r="2598" customFormat="false" ht="15" hidden="false" customHeight="false" outlineLevel="0" collapsed="false">
      <c r="A2598" s="3" t="s">
        <v>561</v>
      </c>
      <c r="C2598" s="22" t="n">
        <f aca="false">IF(C2455=0,0,C2587/C2455)</f>
        <v>0</v>
      </c>
    </row>
    <row r="2599" customFormat="false" ht="15" hidden="false" customHeight="false" outlineLevel="0" collapsed="false">
      <c r="A2599" s="3" t="s">
        <v>562</v>
      </c>
      <c r="C2599" s="22" t="n">
        <f aca="false">IF(C2456=0,0,C2588/C2456)</f>
        <v>0</v>
      </c>
    </row>
    <row r="2600" customFormat="false" ht="15" hidden="false" customHeight="false" outlineLevel="0" collapsed="false">
      <c r="A2600" s="3" t="s">
        <v>563</v>
      </c>
      <c r="C2600" s="22" t="n">
        <f aca="false">IF(C2457=0,0,C2589/C2457)</f>
        <v>0</v>
      </c>
    </row>
    <row r="2601" customFormat="false" ht="15" hidden="false" customHeight="false" outlineLevel="0" collapsed="false">
      <c r="A2601" s="3" t="s">
        <v>564</v>
      </c>
      <c r="C2601" s="22" t="n">
        <f aca="false">IF(C2458=0,0,C2590/C2458)</f>
        <v>0</v>
      </c>
    </row>
    <row r="2602" customFormat="false" ht="15" hidden="false" customHeight="false" outlineLevel="0" collapsed="false">
      <c r="A2602" s="3" t="s">
        <v>565</v>
      </c>
      <c r="C2602" s="22" t="n">
        <f aca="false">IF(C2459=0,0,C2591/C2459)</f>
        <v>0</v>
      </c>
    </row>
    <row r="2603" customFormat="false" ht="15" hidden="false" customHeight="false" outlineLevel="0" collapsed="false">
      <c r="A2603" s="2" t="s">
        <v>579</v>
      </c>
      <c r="C2603" s="17" t="n">
        <f aca="false">MAX(0,$C$2448-SUM($C$2483:$C$2492)-SUM($C$2505:$C$2514))</f>
        <v>417.043400476144</v>
      </c>
    </row>
    <row r="2604" customFormat="false" ht="15" hidden="false" customHeight="false" outlineLevel="0" collapsed="false">
      <c r="A2604" s="3" t="s">
        <v>597</v>
      </c>
      <c r="C2604" s="35" t="n">
        <f aca="false">MIN(C2447,100*CHOOSE(C2437,C2571,C2572,C2573,C2574,C2575,C2576,C2577,C2578,C2579,C2580))</f>
        <v>100</v>
      </c>
    </row>
    <row r="2605" customFormat="false" ht="15" hidden="false" customHeight="false" outlineLevel="0" collapsed="false">
      <c r="A2605" s="3" t="s">
        <v>598</v>
      </c>
      <c r="C2605" s="21" t="n">
        <f aca="false">IF(C2269=1,C2442+Assumptions!$C$40,C2441)</f>
        <v>6</v>
      </c>
    </row>
    <row r="2606" customFormat="false" ht="15" hidden="false" customHeight="false" outlineLevel="0" collapsed="false">
      <c r="A2606" s="24" t="s">
        <v>599</v>
      </c>
      <c r="B2606" s="25"/>
      <c r="C2606" s="25"/>
      <c r="D2606" s="25"/>
      <c r="E2606" s="25"/>
      <c r="F2606" s="25"/>
      <c r="G2606" s="25"/>
      <c r="H2606" s="25"/>
      <c r="I2606" s="25"/>
      <c r="J2606" s="25"/>
      <c r="K2606" s="25"/>
    </row>
    <row r="2607" customFormat="false" ht="15" hidden="false" customHeight="false" outlineLevel="0" collapsed="false">
      <c r="A2607" s="3" t="s">
        <v>600</v>
      </c>
      <c r="C2607" s="21" t="n">
        <f aca="false">COLUMN()-COLUMN($C$1)</f>
        <v>0</v>
      </c>
      <c r="D2607" s="21" t="n">
        <f aca="false">COLUMN()-COLUMN($C$1)</f>
        <v>1</v>
      </c>
      <c r="E2607" s="21" t="n">
        <f aca="false">COLUMN()-COLUMN($C$1)</f>
        <v>2</v>
      </c>
      <c r="F2607" s="21" t="n">
        <f aca="false">COLUMN()-COLUMN($C$1)</f>
        <v>3</v>
      </c>
      <c r="G2607" s="21" t="n">
        <f aca="false">COLUMN()-COLUMN($C$1)</f>
        <v>4</v>
      </c>
      <c r="H2607" s="21" t="n">
        <f aca="false">COLUMN()-COLUMN($C$1)</f>
        <v>5</v>
      </c>
      <c r="I2607" s="21" t="n">
        <f aca="false">COLUMN()-COLUMN($C$1)</f>
        <v>6</v>
      </c>
    </row>
    <row r="2608" customFormat="false" ht="15" hidden="false" customHeight="false" outlineLevel="0" collapsed="false">
      <c r="A2608" s="3" t="s">
        <v>601</v>
      </c>
      <c r="D2608" s="31" t="n">
        <f aca="false">CHOOSE($C$2437,G2017,G2030,G2043,G2056,G2069,G2082,G2095,G2108,G2121,G2134)</f>
        <v>0.0915</v>
      </c>
      <c r="E2608" s="31" t="n">
        <f aca="false">CHOOSE($C$2437,H2017,H2030,H2043,H2056,H2069,H2082,H2095,H2108,H2121,H2134)</f>
        <v>0.09</v>
      </c>
      <c r="F2608" s="31" t="n">
        <f aca="false">CHOOSE($C$2437,I2017,I2030,I2043,I2056,I2069,I2082,I2095,I2108,I2121,I2134)</f>
        <v>0.0875</v>
      </c>
      <c r="G2608" s="31" t="n">
        <f aca="false">CHOOSE($C$2437,J2017,J2030,J2043,J2056,J2069,J2082,J2095,J2108,J2121,J2134)</f>
        <v>0.0875</v>
      </c>
      <c r="H2608" s="31" t="n">
        <f aca="false">CHOOSE($C$2437,K2017,K2030,K2043,K2056,K2069,K2082,K2095,K2108,K2121,K2134)</f>
        <v>0.0875</v>
      </c>
    </row>
    <row r="2609" customFormat="false" ht="15" hidden="false" customHeight="false" outlineLevel="0" collapsed="false">
      <c r="A2609" s="3" t="s">
        <v>602</v>
      </c>
      <c r="D2609" s="16" t="n">
        <f aca="false">IF(D2607&lt;=$C$2446,$C$2438*D2608,0)</f>
        <v>9.15</v>
      </c>
      <c r="E2609" s="16" t="n">
        <f aca="false">IF(E2607&lt;=$C$2446,$C$2438*E2608,0)</f>
        <v>9</v>
      </c>
      <c r="F2609" s="16" t="n">
        <f aca="false">IF(F2607&lt;=$C$2446,$C$2438*F2608,0)</f>
        <v>8.75</v>
      </c>
      <c r="G2609" s="16" t="n">
        <f aca="false">IF(G2607&lt;=$C$2446,$C$2438*G2608,0)</f>
        <v>8.75</v>
      </c>
      <c r="H2609" s="16" t="n">
        <f aca="false">IF(H2607&lt;=$C$2446,$C$2438*H2608,0)</f>
        <v>8.75</v>
      </c>
    </row>
    <row r="2610" customFormat="false" ht="15" hidden="false" customHeight="false" outlineLevel="0" collapsed="false">
      <c r="A2610" s="3" t="s">
        <v>603</v>
      </c>
      <c r="D2610" s="16" t="n">
        <f aca="false">IF(AND($C$2269=0,D2607=$C$2441),$C$2438*$C$2604/100,0)+IF(AND($C$2269=1,D2607=$C$2605),$C$2444,0)</f>
        <v>0</v>
      </c>
      <c r="E2610" s="16" t="n">
        <f aca="false">IF(AND($C$2269=0,E2607=$C$2441),$C$2438*$C$2604/100,0)+IF(AND($C$2269=1,E2607=$C$2605),$C$2444,0)</f>
        <v>0</v>
      </c>
      <c r="F2610" s="16" t="n">
        <f aca="false">IF(AND($C$2269=0,F2607=$C$2441),$C$2438*$C$2604/100,0)+IF(AND($C$2269=1,F2607=$C$2605),$C$2444,0)</f>
        <v>0</v>
      </c>
      <c r="G2610" s="16" t="n">
        <f aca="false">IF(AND($C$2269=0,G2607=$C$2441),$C$2438*$C$2604/100,0)+IF(AND($C$2269=1,G2607=$C$2605),$C$2444,0)</f>
        <v>0</v>
      </c>
      <c r="H2610" s="16" t="n">
        <f aca="false">IF(AND($C$2269=0,H2607=$C$2441),$C$2438*$C$2604/100,0)+IF(AND($C$2269=1,H2607=$C$2605),$C$2444,0)</f>
        <v>0</v>
      </c>
      <c r="I2610" s="16" t="n">
        <f aca="false">IF(AND($C$2269=0,I2607=$C$2441),$C$2438*$C$2604/100,0)+IF(AND($C$2269=1,I2607=$C$2605),$C$2444,0)</f>
        <v>102.1875</v>
      </c>
    </row>
    <row r="2611" customFormat="false" ht="15" hidden="false" customHeight="false" outlineLevel="0" collapsed="false">
      <c r="A2611" s="2" t="s">
        <v>604</v>
      </c>
      <c r="C2611" s="17" t="n">
        <f aca="false">-$C$2440</f>
        <v>-98.49</v>
      </c>
      <c r="D2611" s="17" t="n">
        <f aca="false">D2609+D2610</f>
        <v>9.15</v>
      </c>
      <c r="E2611" s="17" t="n">
        <f aca="false">E2609+E2610</f>
        <v>9</v>
      </c>
      <c r="F2611" s="17" t="n">
        <f aca="false">F2609+F2610</f>
        <v>8.75</v>
      </c>
      <c r="G2611" s="17" t="n">
        <f aca="false">G2609+G2610</f>
        <v>8.75</v>
      </c>
      <c r="H2611" s="17" t="n">
        <f aca="false">H2609+H2610</f>
        <v>8.75</v>
      </c>
      <c r="I2611" s="17" t="n">
        <f aca="false">I2609+I2610</f>
        <v>102.1875</v>
      </c>
    </row>
    <row r="2612" customFormat="false" ht="15" hidden="false" customHeight="false" outlineLevel="0" collapsed="false">
      <c r="A2612" s="3" t="s">
        <v>605</v>
      </c>
      <c r="C2612" s="16" t="n">
        <f aca="false">SUM($C$2609:$I$2609)</f>
        <v>44.4</v>
      </c>
    </row>
    <row r="2613" customFormat="false" ht="15" hidden="false" customHeight="false" outlineLevel="0" collapsed="false">
      <c r="A2613" s="3" t="s">
        <v>606</v>
      </c>
      <c r="C2613" s="16" t="n">
        <f aca="false">SUM($C$2610:$I$2610)</f>
        <v>102.1875</v>
      </c>
    </row>
    <row r="2614" customFormat="false" ht="15" hidden="false" customHeight="false" outlineLevel="0" collapsed="false">
      <c r="A2614" s="3" t="s">
        <v>607</v>
      </c>
      <c r="C2614" s="16" t="n">
        <f aca="false">C2612+C2613</f>
        <v>146.5875</v>
      </c>
    </row>
    <row r="2615" customFormat="false" ht="15" hidden="false" customHeight="false" outlineLevel="0" collapsed="false">
      <c r="A2615" s="3" t="s">
        <v>608</v>
      </c>
      <c r="C2615" s="16" t="n">
        <f aca="false">C2613-C2438*C2439/100</f>
        <v>4.18750000000001</v>
      </c>
    </row>
    <row r="2616" customFormat="false" ht="15" hidden="false" customHeight="false" outlineLevel="0" collapsed="false">
      <c r="A2616" s="3" t="s">
        <v>609</v>
      </c>
      <c r="C2616" s="16" t="n">
        <f aca="false">C2614-C2440</f>
        <v>48.0975</v>
      </c>
    </row>
    <row r="2617" customFormat="false" ht="15" hidden="false" customHeight="false" outlineLevel="0" collapsed="false">
      <c r="A2617" s="2" t="s">
        <v>484</v>
      </c>
      <c r="C2617" s="44" t="n">
        <f aca="false">C2614/C2440</f>
        <v>1.48834907097167</v>
      </c>
    </row>
    <row r="2618" customFormat="false" ht="15" hidden="false" customHeight="false" outlineLevel="0" collapsed="false">
      <c r="A2618" s="2" t="s">
        <v>483</v>
      </c>
      <c r="C2618" s="42" t="n">
        <f aca="false">IF(C2614&lt;=0,-1,IFERROR(IRR($C$2611:$I$2611,MAX(-0.9,C2617^(1/C2605)-1)),IRR($C$2611:$I$2611,0.1)))</f>
        <v>0.0831961742620141</v>
      </c>
    </row>
    <row r="2619" customFormat="false" ht="15" hidden="false" customHeight="false" outlineLevel="0" collapsed="false">
      <c r="A2619" s="3" t="s">
        <v>610</v>
      </c>
      <c r="C2619" s="32" t="n">
        <f aca="false">MAX($G$2213:$K$2213)</f>
        <v>11.2373741135366</v>
      </c>
    </row>
    <row r="2620" customFormat="false" ht="15" hidden="false" customHeight="false" outlineLevel="0" collapsed="false">
      <c r="A2620" s="3" t="s">
        <v>611</v>
      </c>
      <c r="C2620" s="32" t="n">
        <f aca="false">MIN($G$2214:$K$2214)</f>
        <v>1.20312175956517</v>
      </c>
    </row>
    <row r="2621" customFormat="false" ht="15" hidden="false" customHeight="false" outlineLevel="0" collapsed="false">
      <c r="A2621" s="3" t="s">
        <v>612</v>
      </c>
      <c r="C2621" s="16" t="n">
        <f aca="false">SUM($G$2001:$K$2001)</f>
        <v>-551.550008934934</v>
      </c>
    </row>
    <row r="2625" customFormat="false" ht="15" hidden="false" customHeight="false" outlineLevel="0" collapsed="false">
      <c r="A2625" s="9" t="s">
        <v>1134</v>
      </c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</row>
    <row r="2626" customFormat="false" ht="15" hidden="false" customHeight="false" outlineLevel="0" collapsed="false">
      <c r="A2626" s="3" t="s">
        <v>1126</v>
      </c>
      <c r="C2626" s="11" t="n">
        <v>1</v>
      </c>
    </row>
    <row r="2627" customFormat="false" ht="15" hidden="false" customHeight="false" outlineLevel="0" collapsed="false">
      <c r="A2627" s="3" t="s">
        <v>1127</v>
      </c>
      <c r="C2627" s="19" t="n">
        <v>0</v>
      </c>
    </row>
    <row r="2628" customFormat="false" ht="15" hidden="false" customHeight="false" outlineLevel="0" collapsed="false">
      <c r="A2628" s="3" t="s">
        <v>1128</v>
      </c>
      <c r="C2628" s="30" t="n">
        <f aca="false">Sensitivities!$A$31</f>
        <v>-0.02</v>
      </c>
    </row>
    <row r="2629" customFormat="false" ht="15" hidden="false" customHeight="false" outlineLevel="0" collapsed="false">
      <c r="A2629" s="3" t="s">
        <v>1129</v>
      </c>
      <c r="C2629" s="19" t="n">
        <v>0</v>
      </c>
    </row>
    <row r="2630" customFormat="false" ht="15" hidden="false" customHeight="false" outlineLevel="0" collapsed="false">
      <c r="A2630" s="3" t="s">
        <v>1130</v>
      </c>
      <c r="C2630" s="15" t="n">
        <v>0</v>
      </c>
    </row>
    <row r="2632" customFormat="false" ht="15" hidden="false" customHeight="false" outlineLevel="0" collapsed="false">
      <c r="A2632" s="24" t="s">
        <v>301</v>
      </c>
      <c r="B2632" s="25"/>
      <c r="C2632" s="25"/>
      <c r="D2632" s="25"/>
      <c r="E2632" s="25"/>
      <c r="F2632" s="25"/>
      <c r="G2632" s="25"/>
      <c r="H2632" s="25"/>
      <c r="I2632" s="25"/>
      <c r="J2632" s="25"/>
      <c r="K2632" s="25"/>
    </row>
    <row r="2633" customFormat="false" ht="15" hidden="false" customHeight="false" outlineLevel="0" collapsed="false">
      <c r="A2633" s="3" t="s">
        <v>302</v>
      </c>
      <c r="F2633" s="27" t="n">
        <f aca="false">Assumptions!$C$6</f>
        <v>2026</v>
      </c>
      <c r="G2633" s="21" t="n">
        <f aca="false">F2633+1</f>
        <v>2027</v>
      </c>
      <c r="H2633" s="21" t="n">
        <f aca="false">G2633+1</f>
        <v>2028</v>
      </c>
      <c r="I2633" s="21" t="n">
        <f aca="false">H2633+1</f>
        <v>2029</v>
      </c>
      <c r="J2633" s="21" t="n">
        <f aca="false">I2633+1</f>
        <v>2030</v>
      </c>
      <c r="K2633" s="21" t="n">
        <f aca="false">J2633+1</f>
        <v>2031</v>
      </c>
    </row>
    <row r="2634" customFormat="false" ht="15" hidden="false" customHeight="false" outlineLevel="0" collapsed="false">
      <c r="A2634" s="3" t="s">
        <v>303</v>
      </c>
      <c r="G2634" s="21" t="n">
        <f aca="false">G2633-Assumptions!$C$6</f>
        <v>1</v>
      </c>
      <c r="H2634" s="21" t="n">
        <f aca="false">H2633-Assumptions!$C$6</f>
        <v>2</v>
      </c>
      <c r="I2634" s="21" t="n">
        <f aca="false">I2633-Assumptions!$C$6</f>
        <v>3</v>
      </c>
      <c r="J2634" s="21" t="n">
        <f aca="false">J2633-Assumptions!$C$6</f>
        <v>4</v>
      </c>
      <c r="K2634" s="21" t="n">
        <f aca="false">K2633-Assumptions!$C$6</f>
        <v>5</v>
      </c>
    </row>
    <row r="2635" customFormat="false" ht="15" hidden="false" customHeight="false" outlineLevel="0" collapsed="false">
      <c r="A2635" s="3" t="s">
        <v>180</v>
      </c>
      <c r="G2635" s="22" t="n">
        <f aca="false">CHOOSE($C$2626,Assumptions!$G$79,Assumptions!$G$98,Assumptions!$G$117)+$C$2627</f>
        <v>-0.03</v>
      </c>
      <c r="H2635" s="22" t="n">
        <f aca="false">CHOOSE($C$2626,Assumptions!$H$79,Assumptions!$H$98,Assumptions!$H$117)+$C$2627</f>
        <v>0.02</v>
      </c>
      <c r="I2635" s="22" t="n">
        <f aca="false">CHOOSE($C$2626,Assumptions!$I$79,Assumptions!$I$98,Assumptions!$I$117)+$C$2627</f>
        <v>0.02</v>
      </c>
      <c r="J2635" s="22" t="n">
        <f aca="false">CHOOSE($C$2626,Assumptions!$J$79,Assumptions!$J$98,Assumptions!$J$117)+$C$2627</f>
        <v>0.02</v>
      </c>
      <c r="K2635" s="22" t="n">
        <f aca="false">CHOOSE($C$2626,Assumptions!$K$79,Assumptions!$K$98,Assumptions!$K$117)+$C$2627</f>
        <v>0.02</v>
      </c>
    </row>
    <row r="2636" customFormat="false" ht="15" hidden="false" customHeight="false" outlineLevel="0" collapsed="false">
      <c r="A2636" s="3" t="s">
        <v>181</v>
      </c>
      <c r="G2636" s="22" t="n">
        <f aca="false">CHOOSE($C$2626,Assumptions!$G$80,Assumptions!$G$99,Assumptions!$G$118)</f>
        <v>0.603920660818678</v>
      </c>
      <c r="H2636" s="22" t="n">
        <f aca="false">CHOOSE($C$2626,Assumptions!$H$80,Assumptions!$H$99,Assumptions!$H$118)</f>
        <v>0.606920660818678</v>
      </c>
      <c r="I2636" s="22" t="n">
        <f aca="false">CHOOSE($C$2626,Assumptions!$I$80,Assumptions!$I$99,Assumptions!$I$118)</f>
        <v>0.609920660818678</v>
      </c>
      <c r="J2636" s="22" t="n">
        <f aca="false">CHOOSE($C$2626,Assumptions!$J$80,Assumptions!$J$99,Assumptions!$J$118)</f>
        <v>0.611920660818678</v>
      </c>
      <c r="K2636" s="22" t="n">
        <f aca="false">CHOOSE($C$2626,Assumptions!$K$80,Assumptions!$K$99,Assumptions!$K$118)</f>
        <v>0.613920660818678</v>
      </c>
    </row>
    <row r="2637" customFormat="false" ht="15" hidden="false" customHeight="false" outlineLevel="0" collapsed="false">
      <c r="A2637" s="3" t="s">
        <v>182</v>
      </c>
      <c r="G2637" s="22" t="n">
        <f aca="false">CHOOSE($C$2626,Assumptions!$G$81,Assumptions!$G$100,Assumptions!$G$119)+$C$2628</f>
        <v>0.51</v>
      </c>
      <c r="H2637" s="22" t="n">
        <f aca="false">CHOOSE($C$2626,Assumptions!$H$81,Assumptions!$H$100,Assumptions!$H$119)+$C$2628</f>
        <v>0.513</v>
      </c>
      <c r="I2637" s="22" t="n">
        <f aca="false">CHOOSE($C$2626,Assumptions!$I$81,Assumptions!$I$100,Assumptions!$I$119)+$C$2628</f>
        <v>0.516</v>
      </c>
      <c r="J2637" s="22" t="n">
        <f aca="false">CHOOSE($C$2626,Assumptions!$J$81,Assumptions!$J$100,Assumptions!$J$119)+$C$2628</f>
        <v>0.518</v>
      </c>
      <c r="K2637" s="22" t="n">
        <f aca="false">CHOOSE($C$2626,Assumptions!$K$81,Assumptions!$K$100,Assumptions!$K$119)+$C$2628</f>
        <v>0.52</v>
      </c>
    </row>
    <row r="2638" customFormat="false" ht="15" hidden="false" customHeight="false" outlineLevel="0" collapsed="false">
      <c r="A2638" s="24" t="s">
        <v>304</v>
      </c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</row>
    <row r="2639" customFormat="false" ht="15" hidden="false" customHeight="false" outlineLevel="0" collapsed="false">
      <c r="A2639" s="2" t="s">
        <v>275</v>
      </c>
      <c r="F2639" s="28" t="n">
        <f aca="false">'Historical Financials'!G25</f>
        <v>498.291</v>
      </c>
      <c r="G2639" s="17" t="n">
        <f aca="false">F2639*(1+G2635)</f>
        <v>483.34227</v>
      </c>
      <c r="H2639" s="17" t="n">
        <f aca="false">G2639*(1+H2635)</f>
        <v>493.0091154</v>
      </c>
      <c r="I2639" s="17" t="n">
        <f aca="false">H2639*(1+I2635)</f>
        <v>502.869297708</v>
      </c>
      <c r="J2639" s="17" t="n">
        <f aca="false">I2639*(1+J2635)</f>
        <v>512.92668366216</v>
      </c>
      <c r="K2639" s="17" t="n">
        <f aca="false">J2639*(1+K2635)</f>
        <v>523.185217335403</v>
      </c>
    </row>
    <row r="2640" customFormat="false" ht="15" hidden="false" customHeight="false" outlineLevel="0" collapsed="false">
      <c r="A2640" s="3" t="s">
        <v>276</v>
      </c>
      <c r="G2640" s="16" t="n">
        <f aca="false">G2639*(1-G2636)</f>
        <v>191.4418869</v>
      </c>
      <c r="H2640" s="16" t="n">
        <f aca="false">H2639*(1-H2636)</f>
        <v>193.7916972918</v>
      </c>
      <c r="I2640" s="16" t="n">
        <f aca="false">I2639*(1-I2636)</f>
        <v>196.158923344512</v>
      </c>
      <c r="J2640" s="16" t="n">
        <f aca="false">J2639*(1-J2636)</f>
        <v>199.056248444078</v>
      </c>
      <c r="K2640" s="16" t="n">
        <f aca="false">K2639*(1-K2636)</f>
        <v>201.991002978289</v>
      </c>
    </row>
    <row r="2641" customFormat="false" ht="15" hidden="false" customHeight="false" outlineLevel="0" collapsed="false">
      <c r="A2641" s="2" t="s">
        <v>277</v>
      </c>
      <c r="G2641" s="17" t="n">
        <f aca="false">G2639-G2640</f>
        <v>291.9003831</v>
      </c>
      <c r="H2641" s="17" t="n">
        <f aca="false">H2639-H2640</f>
        <v>299.2174181082</v>
      </c>
      <c r="I2641" s="17" t="n">
        <f aca="false">I2639-I2640</f>
        <v>306.710374363488</v>
      </c>
      <c r="J2641" s="17" t="n">
        <f aca="false">J2639-J2640</f>
        <v>313.870435218082</v>
      </c>
      <c r="K2641" s="17" t="n">
        <f aca="false">K2639-K2640</f>
        <v>321.194214357115</v>
      </c>
    </row>
    <row r="2642" customFormat="false" ht="15" hidden="false" customHeight="false" outlineLevel="0" collapsed="false">
      <c r="A2642" s="3" t="s">
        <v>305</v>
      </c>
      <c r="G2642" s="16" t="n">
        <f aca="false">G2641-G2643</f>
        <v>45.3958254</v>
      </c>
      <c r="H2642" s="16" t="n">
        <f aca="false">H2641-H2643</f>
        <v>46.303741908</v>
      </c>
      <c r="I2642" s="16" t="n">
        <f aca="false">I2641-I2643</f>
        <v>47.22981674616</v>
      </c>
      <c r="J2642" s="16" t="n">
        <f aca="false">J2641-J2643</f>
        <v>48.1744130810832</v>
      </c>
      <c r="K2642" s="16" t="n">
        <f aca="false">K2641-K2643</f>
        <v>49.1379013427049</v>
      </c>
    </row>
    <row r="2643" customFormat="false" ht="15" hidden="false" customHeight="false" outlineLevel="0" collapsed="false">
      <c r="A2643" s="2" t="s">
        <v>306</v>
      </c>
      <c r="G2643" s="17" t="n">
        <f aca="false">G2639*G2637</f>
        <v>246.5045577</v>
      </c>
      <c r="H2643" s="17" t="n">
        <f aca="false">H2639*H2637</f>
        <v>252.9136762002</v>
      </c>
      <c r="I2643" s="17" t="n">
        <f aca="false">I2639*I2637</f>
        <v>259.480557617328</v>
      </c>
      <c r="J2643" s="17" t="n">
        <f aca="false">J2639*J2637</f>
        <v>265.696022136999</v>
      </c>
      <c r="K2643" s="17" t="n">
        <f aca="false">K2639*K2637</f>
        <v>272.05631301441</v>
      </c>
    </row>
    <row r="2644" customFormat="false" ht="15" hidden="false" customHeight="false" outlineLevel="0" collapsed="false">
      <c r="A2644" s="3" t="s">
        <v>307</v>
      </c>
      <c r="G2644" s="16" t="n">
        <f aca="false">G2639*'Historical Financials'!G30/'Historical Financials'!G25</f>
        <v>179.73421</v>
      </c>
      <c r="H2644" s="16" t="n">
        <f aca="false">H2639*'Historical Financials'!G30/'Historical Financials'!G25</f>
        <v>183.3288942</v>
      </c>
      <c r="I2644" s="16" t="n">
        <f aca="false">I2639*'Historical Financials'!G30/'Historical Financials'!G25</f>
        <v>186.995472084</v>
      </c>
      <c r="J2644" s="16" t="n">
        <f aca="false">J2639*'Historical Financials'!G30/'Historical Financials'!G25</f>
        <v>190.73538152568</v>
      </c>
      <c r="K2644" s="16" t="n">
        <f aca="false">K2639*'Historical Financials'!G30/'Historical Financials'!G25</f>
        <v>194.550089156194</v>
      </c>
    </row>
    <row r="2645" customFormat="false" ht="15" hidden="false" customHeight="false" outlineLevel="0" collapsed="false">
      <c r="A2645" s="3" t="s">
        <v>308</v>
      </c>
      <c r="G2645" s="16" t="n">
        <f aca="false">G2639*'Historical Financials'!G31/'Historical Financials'!G25</f>
        <v>0</v>
      </c>
      <c r="H2645" s="16" t="n">
        <f aca="false">H2639*'Historical Financials'!G31/'Historical Financials'!G25</f>
        <v>0</v>
      </c>
      <c r="I2645" s="16" t="n">
        <f aca="false">I2639*'Historical Financials'!G31/'Historical Financials'!G25</f>
        <v>0</v>
      </c>
      <c r="J2645" s="16" t="n">
        <f aca="false">J2639*'Historical Financials'!G31/'Historical Financials'!G25</f>
        <v>0</v>
      </c>
      <c r="K2645" s="16" t="n">
        <f aca="false">K2639*'Historical Financials'!G31/'Historical Financials'!G25</f>
        <v>0</v>
      </c>
    </row>
    <row r="2646" customFormat="false" ht="15" hidden="false" customHeight="false" outlineLevel="0" collapsed="false">
      <c r="A2646" s="2" t="s">
        <v>309</v>
      </c>
      <c r="G2646" s="17" t="n">
        <f aca="false">G2643-G2644-G2645</f>
        <v>66.7703477</v>
      </c>
      <c r="H2646" s="17" t="n">
        <f aca="false">H2643-H2644-H2645</f>
        <v>69.5847820002001</v>
      </c>
      <c r="I2646" s="17" t="n">
        <f aca="false">I2643-I2644-I2645</f>
        <v>72.485085533328</v>
      </c>
      <c r="J2646" s="17" t="n">
        <f aca="false">J2643-J2644-J2645</f>
        <v>74.9606406113189</v>
      </c>
      <c r="K2646" s="17" t="n">
        <f aca="false">K2643-K2644-K2645</f>
        <v>77.5062238582161</v>
      </c>
    </row>
    <row r="2647" customFormat="false" ht="15" hidden="false" customHeight="false" outlineLevel="0" collapsed="false">
      <c r="A2647" s="3" t="s">
        <v>310</v>
      </c>
      <c r="G2647" s="16" t="n">
        <f aca="false">G2673+G2686+G2699+G2712+G2725+G2738+G2751+G2764+G2777+G2790</f>
        <v>180.2096854</v>
      </c>
      <c r="H2647" s="16" t="n">
        <f aca="false">H2673+H2686+H2699+H2712+H2725+H2738+H2751+H2764+H2777+H2790</f>
        <v>179.1317704</v>
      </c>
      <c r="I2647" s="16" t="n">
        <f aca="false">I2673+I2686+I2699+I2712+I2725+I2738+I2751+I2764+I2777+I2790</f>
        <v>192.950179726544</v>
      </c>
      <c r="J2647" s="16" t="n">
        <f aca="false">J2673+J2686+J2699+J2712+J2725+J2738+J2751+J2764+J2777+J2790</f>
        <v>194.060998954772</v>
      </c>
      <c r="K2647" s="16" t="n">
        <f aca="false">K2673+K2686+K2699+K2712+K2725+K2738+K2751+K2764+K2777+K2790</f>
        <v>213.916461548875</v>
      </c>
    </row>
    <row r="2648" customFormat="false" ht="15" hidden="false" customHeight="false" outlineLevel="0" collapsed="false">
      <c r="A2648" s="3" t="s">
        <v>311</v>
      </c>
      <c r="G2648" s="16" t="n">
        <f aca="false">G2674+G2687+G2700+G2713+G2726+G2739+G2752+G2765+G2778+G2791</f>
        <v>0</v>
      </c>
      <c r="H2648" s="16" t="n">
        <f aca="false">H2674+H2687+H2700+H2713+H2726+H2739+H2752+H2765+H2778+H2791</f>
        <v>0</v>
      </c>
      <c r="I2648" s="16" t="n">
        <f aca="false">I2674+I2687+I2700+I2713+I2726+I2739+I2752+I2765+I2778+I2791</f>
        <v>0</v>
      </c>
      <c r="J2648" s="16" t="n">
        <f aca="false">J2674+J2687+J2700+J2713+J2726+J2739+J2752+J2765+J2778+J2791</f>
        <v>0</v>
      </c>
      <c r="K2648" s="16" t="n">
        <f aca="false">K2674+K2687+K2700+K2713+K2726+K2739+K2752+K2765+K2778+K2791</f>
        <v>0</v>
      </c>
    </row>
    <row r="2649" customFormat="false" ht="15" hidden="false" customHeight="false" outlineLevel="0" collapsed="false">
      <c r="A2649" s="3" t="s">
        <v>283</v>
      </c>
      <c r="G2649" s="16" t="n">
        <f aca="false">G2647+G2648</f>
        <v>180.2096854</v>
      </c>
      <c r="H2649" s="16" t="n">
        <f aca="false">H2647+H2648</f>
        <v>179.1317704</v>
      </c>
      <c r="I2649" s="16" t="n">
        <f aca="false">I2647+I2648</f>
        <v>192.950179726544</v>
      </c>
      <c r="J2649" s="16" t="n">
        <f aca="false">J2647+J2648</f>
        <v>194.060998954772</v>
      </c>
      <c r="K2649" s="16" t="n">
        <f aca="false">K2647+K2648</f>
        <v>213.916461548875</v>
      </c>
    </row>
    <row r="2650" customFormat="false" ht="15" hidden="false" customHeight="false" outlineLevel="0" collapsed="false">
      <c r="A2650" s="2" t="s">
        <v>284</v>
      </c>
      <c r="G2650" s="17" t="n">
        <f aca="false">G2646-G2649</f>
        <v>-113.4393377</v>
      </c>
      <c r="H2650" s="17" t="n">
        <f aca="false">H2646-H2649</f>
        <v>-109.5469883998</v>
      </c>
      <c r="I2650" s="17" t="n">
        <f aca="false">I2646-I2649</f>
        <v>-120.465094193216</v>
      </c>
      <c r="J2650" s="17" t="n">
        <f aca="false">J2646-J2649</f>
        <v>-119.100358343454</v>
      </c>
      <c r="K2650" s="17" t="n">
        <f aca="false">K2646-K2649</f>
        <v>-136.410237690659</v>
      </c>
    </row>
    <row r="2651" customFormat="false" ht="15" hidden="false" customHeight="false" outlineLevel="0" collapsed="false">
      <c r="A2651" s="3" t="s">
        <v>312</v>
      </c>
      <c r="G2651" s="16" t="n">
        <f aca="false">MAX(0,G2650)*Assumptions!$C$9</f>
        <v>0</v>
      </c>
      <c r="H2651" s="16" t="n">
        <f aca="false">MAX(0,H2650)*Assumptions!$C$9</f>
        <v>0</v>
      </c>
      <c r="I2651" s="16" t="n">
        <f aca="false">MAX(0,I2650)*Assumptions!$C$9</f>
        <v>0</v>
      </c>
      <c r="J2651" s="16" t="n">
        <f aca="false">MAX(0,J2650)*Assumptions!$C$9</f>
        <v>0</v>
      </c>
      <c r="K2651" s="16" t="n">
        <f aca="false">MAX(0,K2650)*Assumptions!$C$9</f>
        <v>0</v>
      </c>
    </row>
    <row r="2652" customFormat="false" ht="15" hidden="false" customHeight="false" outlineLevel="0" collapsed="false">
      <c r="A2652" s="2" t="s">
        <v>313</v>
      </c>
      <c r="G2652" s="17" t="n">
        <f aca="false">G2650-G2651</f>
        <v>-113.4393377</v>
      </c>
      <c r="H2652" s="17" t="n">
        <f aca="false">H2650-H2651</f>
        <v>-109.5469883998</v>
      </c>
      <c r="I2652" s="17" t="n">
        <f aca="false">I2650-I2651</f>
        <v>-120.465094193216</v>
      </c>
      <c r="J2652" s="17" t="n">
        <f aca="false">J2650-J2651</f>
        <v>-119.100358343454</v>
      </c>
      <c r="K2652" s="17" t="n">
        <f aca="false">K2650-K2651</f>
        <v>-136.410237690659</v>
      </c>
    </row>
    <row r="2653" customFormat="false" ht="15" hidden="false" customHeight="false" outlineLevel="0" collapsed="false">
      <c r="A2653" s="24" t="s">
        <v>314</v>
      </c>
      <c r="B2653" s="25"/>
      <c r="C2653" s="25"/>
      <c r="D2653" s="25"/>
      <c r="E2653" s="25"/>
      <c r="F2653" s="25"/>
      <c r="G2653" s="25"/>
      <c r="H2653" s="25"/>
      <c r="I2653" s="25"/>
      <c r="J2653" s="25"/>
      <c r="K2653" s="25"/>
    </row>
    <row r="2654" customFormat="false" ht="15" hidden="false" customHeight="false" outlineLevel="0" collapsed="false">
      <c r="A2654" s="3" t="s">
        <v>184</v>
      </c>
      <c r="G2654" s="16" t="n">
        <f aca="false">G2639*CHOOSE($C$2626,Assumptions!$C$83,Assumptions!$C$102,Assumptions!$C$121)</f>
        <v>106.3352994</v>
      </c>
      <c r="H2654" s="16" t="n">
        <f aca="false">H2639*CHOOSE($C$2626,Assumptions!$C$83,Assumptions!$C$102,Assumptions!$C$121)</f>
        <v>108.462005388</v>
      </c>
      <c r="I2654" s="16" t="n">
        <f aca="false">I2639*CHOOSE($C$2626,Assumptions!$C$83,Assumptions!$C$102,Assumptions!$C$121)</f>
        <v>110.63124549576</v>
      </c>
      <c r="J2654" s="16" t="n">
        <f aca="false">J2639*CHOOSE($C$2626,Assumptions!$C$83,Assumptions!$C$102,Assumptions!$C$121)</f>
        <v>112.843870405675</v>
      </c>
      <c r="K2654" s="16" t="n">
        <f aca="false">K2639*CHOOSE($C$2626,Assumptions!$C$83,Assumptions!$C$102,Assumptions!$C$121)</f>
        <v>115.100747813789</v>
      </c>
    </row>
    <row r="2655" customFormat="false" ht="15" hidden="false" customHeight="false" outlineLevel="0" collapsed="false">
      <c r="A2655" s="3" t="s">
        <v>315</v>
      </c>
      <c r="G2655" s="16" t="n">
        <f aca="false">CHOOSE($C$2626,Assumptions!$C$84,Assumptions!$C$103,Assumptions!$C$122)*(G2639-F2639)+CHOOSE($C$2626,Assumptions!$C$85,Assumptions!$C$104,Assumptions!$C$123)*G2639</f>
        <v>53.1676497</v>
      </c>
      <c r="H2655" s="16" t="n">
        <f aca="false">CHOOSE($C$2626,Assumptions!$C$84,Assumptions!$C$103,Assumptions!$C$122)*(H2639-G2639)+CHOOSE($C$2626,Assumptions!$C$85,Assumptions!$C$104,Assumptions!$C$123)*H2639</f>
        <v>54.231002694</v>
      </c>
      <c r="I2655" s="16" t="n">
        <f aca="false">CHOOSE($C$2626,Assumptions!$C$84,Assumptions!$C$103,Assumptions!$C$122)*(I2639-H2639)+CHOOSE($C$2626,Assumptions!$C$85,Assumptions!$C$104,Assumptions!$C$123)*I2639</f>
        <v>55.31562274788</v>
      </c>
      <c r="J2655" s="16" t="n">
        <f aca="false">CHOOSE($C$2626,Assumptions!$C$84,Assumptions!$C$103,Assumptions!$C$122)*(J2639-I2639)+CHOOSE($C$2626,Assumptions!$C$85,Assumptions!$C$104,Assumptions!$C$123)*J2639</f>
        <v>56.4219352028376</v>
      </c>
      <c r="K2655" s="16" t="n">
        <f aca="false">CHOOSE($C$2626,Assumptions!$C$84,Assumptions!$C$103,Assumptions!$C$122)*(K2639-J2639)+CHOOSE($C$2626,Assumptions!$C$85,Assumptions!$C$104,Assumptions!$C$123)*K2639</f>
        <v>57.5503739068944</v>
      </c>
    </row>
    <row r="2656" customFormat="false" ht="15" hidden="false" customHeight="false" outlineLevel="0" collapsed="false">
      <c r="A2656" s="2" t="s">
        <v>316</v>
      </c>
      <c r="G2656" s="17" t="n">
        <f aca="false">G2652+G2644+G2645+G2648-G2654-G2655</f>
        <v>-93.2080768</v>
      </c>
      <c r="H2656" s="17" t="n">
        <f aca="false">H2652+H2644+H2645+H2648-H2654-H2655</f>
        <v>-88.9111022818</v>
      </c>
      <c r="I2656" s="17" t="n">
        <f aca="false">I2652+I2644+I2645+I2648-I2654-I2655</f>
        <v>-99.416490352856</v>
      </c>
      <c r="J2656" s="17" t="n">
        <f aca="false">J2652+J2644+J2645+J2648-J2654-J2655</f>
        <v>-97.6307824262863</v>
      </c>
      <c r="K2656" s="17" t="n">
        <f aca="false">K2652+K2644+K2645+K2648-K2654-K2655</f>
        <v>-114.511270255149</v>
      </c>
    </row>
    <row r="2658" customFormat="false" ht="15" hidden="false" customHeight="false" outlineLevel="0" collapsed="false">
      <c r="A2658" s="24" t="s">
        <v>318</v>
      </c>
      <c r="B2658" s="25"/>
      <c r="C2658" s="25"/>
      <c r="D2658" s="25"/>
      <c r="E2658" s="25"/>
      <c r="F2658" s="25"/>
      <c r="G2658" s="25"/>
      <c r="H2658" s="25"/>
      <c r="I2658" s="25"/>
      <c r="J2658" s="25"/>
      <c r="K2658" s="25"/>
    </row>
    <row r="2659" customFormat="false" ht="15" hidden="false" customHeight="false" outlineLevel="0" collapsed="false">
      <c r="A2659" s="3" t="s">
        <v>319</v>
      </c>
      <c r="G2659" s="30" t="n">
        <f aca="false">Assumptions!$G$53</f>
        <v>0.039</v>
      </c>
      <c r="H2659" s="30" t="n">
        <f aca="false">Assumptions!$H$53</f>
        <v>0.0375</v>
      </c>
      <c r="I2659" s="30" t="n">
        <f aca="false">Assumptions!$I$53</f>
        <v>0.035</v>
      </c>
      <c r="J2659" s="30" t="n">
        <f aca="false">Assumptions!$J$53</f>
        <v>0.035</v>
      </c>
      <c r="K2659" s="30" t="n">
        <f aca="false">Assumptions!$K$53</f>
        <v>0.035</v>
      </c>
    </row>
    <row r="2660" customFormat="false" ht="15" hidden="false" customHeight="false" outlineLevel="0" collapsed="false">
      <c r="A2660" s="3" t="s">
        <v>320</v>
      </c>
      <c r="C2660" s="31" t="n">
        <f aca="false">CHOOSE($C$2626,Assumptions!$C$86,Assumptions!$C$105,Assumptions!$C$124)+$C$2629</f>
        <v>0</v>
      </c>
    </row>
    <row r="2661" customFormat="false" ht="15" hidden="false" customHeight="false" outlineLevel="0" collapsed="false">
      <c r="A2661" s="3" t="s">
        <v>321</v>
      </c>
      <c r="C2661" s="31" t="n">
        <f aca="false">CHOOSE($C$2626,Assumptions!$C$87,Assumptions!$C$106,Assumptions!$C$125)</f>
        <v>0.08</v>
      </c>
    </row>
    <row r="2662" customFormat="false" ht="15" hidden="false" customHeight="false" outlineLevel="0" collapsed="false">
      <c r="A2662" s="3" t="s">
        <v>322</v>
      </c>
      <c r="C2662" s="32" t="n">
        <f aca="false">CHOOSE($C$2626,Assumptions!$C$88,Assumptions!$C$107,Assumptions!$C$126)</f>
        <v>11</v>
      </c>
    </row>
    <row r="2663" customFormat="false" ht="15" hidden="false" customHeight="false" outlineLevel="0" collapsed="false">
      <c r="A2663" s="3" t="s">
        <v>323</v>
      </c>
      <c r="C2663" s="32" t="n">
        <f aca="false">CHOOSE($C$2626,Assumptions!$C$89,Assumptions!$C$108,Assumptions!$C$127)</f>
        <v>1.2</v>
      </c>
    </row>
    <row r="2664" customFormat="false" ht="15" hidden="false" customHeight="false" outlineLevel="0" collapsed="false">
      <c r="A2664" s="3" t="s">
        <v>324</v>
      </c>
      <c r="G2664" s="16" t="n">
        <f aca="false">G2669+G2682+G2695+G2708+G2721+G2734+G2747+G2760+G2773+G2786</f>
        <v>2625.934</v>
      </c>
      <c r="H2664" s="16" t="n">
        <f aca="false">H2669+H2682+H2695+H2708+H2721+H2734+H2747+H2760+H2773+H2786</f>
        <v>2621.934</v>
      </c>
      <c r="I2664" s="16" t="n">
        <f aca="false">I2669+I2682+I2695+I2708+I2721+I2734+I2747+I2760+I2773+I2786</f>
        <v>2595.1831790818</v>
      </c>
      <c r="J2664" s="16" t="n">
        <f aca="false">J2669+J2682+J2695+J2708+J2721+J2734+J2747+J2760+J2773+J2786</f>
        <v>2669.59966943466</v>
      </c>
      <c r="K2664" s="16" t="n">
        <f aca="false">K2669+K2682+K2695+K2708+K2721+K2734+K2747+K2760+K2773+K2786</f>
        <v>2767.23045186094</v>
      </c>
    </row>
    <row r="2665" customFormat="false" ht="15" hidden="false" customHeight="false" outlineLevel="0" collapsed="false">
      <c r="A2665" s="3" t="s">
        <v>325</v>
      </c>
      <c r="G2665" s="16" t="n">
        <f aca="false">F2857</f>
        <v>37.87</v>
      </c>
      <c r="H2665" s="16" t="n">
        <f aca="false">G2857</f>
        <v>140.6619232</v>
      </c>
      <c r="I2665" s="16" t="n">
        <f aca="false">H2857</f>
        <v>25</v>
      </c>
      <c r="J2665" s="16" t="n">
        <f aca="false">I2857</f>
        <v>0</v>
      </c>
      <c r="K2665" s="16" t="n">
        <f aca="false">J2857</f>
        <v>0</v>
      </c>
    </row>
    <row r="2666" customFormat="false" ht="15" hidden="false" customHeight="false" outlineLevel="0" collapsed="false">
      <c r="A2666" s="3" t="s">
        <v>326</v>
      </c>
      <c r="G2666" s="16" t="n">
        <f aca="false">G2669*IF(G2670=1,$C$2661,IF(Assumptions!$I$57=1,MAX(G2659,Assumptions!$G$57)+Assumptions!$F$57+$C$2660,Assumptions!$E$57))+G2682*IF(G2683=1,$C$2661,IF(Assumptions!$I$58=1,MAX(G2659,Assumptions!$G$58)+Assumptions!$F$58+$C$2660,Assumptions!$E$58))+G2695*IF(G2696=1,$C$2661,IF(Assumptions!$I$59=1,MAX(G2659,Assumptions!$G$59)+Assumptions!$F$59+$C$2660,Assumptions!$E$59))+G2708*IF(G2709=1,$C$2661,IF(Assumptions!$I$60=1,MAX(G2659,Assumptions!$G$60)+Assumptions!$F$60+$C$2660,Assumptions!$E$60))+G2721*IF(G2722=1,$C$2661,IF(Assumptions!$I$61=1,MAX(G2659,Assumptions!$G$61)+Assumptions!$F$61+$C$2660,Assumptions!$E$61))+G2734*IF(G2735=1,$C$2661,IF(Assumptions!$I$62=1,MAX(G2659,Assumptions!$G$62)+Assumptions!$F$62+$C$2660,Assumptions!$E$62))+G2747*IF(G2748=1,$C$2661,IF(Assumptions!$I$63=1,MAX(G2659,Assumptions!$G$63)+Assumptions!$F$63+$C$2660,Assumptions!$E$63))+G2760*IF(G2761=1,$C$2661,IF(Assumptions!$I$64=1,MAX(G2659,Assumptions!$G$64)+Assumptions!$F$64+$C$2660,Assumptions!$E$64))+G2773*IF(G2774=1,$C$2661,IF(Assumptions!$I$65=1,MAX(G2659,Assumptions!$G$65)+Assumptions!$F$65+$C$2660,Assumptions!$E$65))+G2786*IF(G2787=1,$C$2661,IF(Assumptions!$I$66=1,MAX(G2659,Assumptions!$G$66)+Assumptions!$F$66+$C$2660,Assumptions!$E$66))</f>
        <v>180.2096854</v>
      </c>
      <c r="H2666" s="16" t="n">
        <f aca="false">H2669*IF(OR(H2670=1,G2979=1),$C$2661,IF(Assumptions!$I$57=1,MAX(H2659,Assumptions!$G$57)+Assumptions!$F$57+$C$2660,Assumptions!$E$57))+H2682*IF(OR(H2683=1,G2980=1),$C$2661,IF(Assumptions!$I$58=1,MAX(H2659,Assumptions!$G$58)+Assumptions!$F$58+$C$2660,Assumptions!$E$58))+H2695*IF(OR(H2696=1,G2981=1),$C$2661,IF(Assumptions!$I$59=1,MAX(H2659,Assumptions!$G$59)+Assumptions!$F$59+$C$2660,Assumptions!$E$59))+H2708*IF(OR(H2709=1,G2982=1),$C$2661,IF(Assumptions!$I$60=1,MAX(H2659,Assumptions!$G$60)+Assumptions!$F$60+$C$2660,Assumptions!$E$60))+H2721*IF(OR(H2722=1,G2983=1),$C$2661,IF(Assumptions!$I$61=1,MAX(H2659,Assumptions!$G$61)+Assumptions!$F$61+$C$2660,Assumptions!$E$61))+H2734*IF(OR(H2735=1,G2984=1),$C$2661,IF(Assumptions!$I$62=1,MAX(H2659,Assumptions!$G$62)+Assumptions!$F$62+$C$2660,Assumptions!$E$62))+H2747*IF(OR(H2748=1,G2985=1),$C$2661,IF(Assumptions!$I$63=1,MAX(H2659,Assumptions!$G$63)+Assumptions!$F$63+$C$2660,Assumptions!$E$63))+H2760*IF(OR(H2761=1,G2986=1),$C$2661,IF(Assumptions!$I$64=1,MAX(H2659,Assumptions!$G$64)+Assumptions!$F$64+$C$2660,Assumptions!$E$64))+H2773*IF(OR(H2774=1,G2987=1),$C$2661,IF(Assumptions!$I$65=1,MAX(H2659,Assumptions!$G$65)+Assumptions!$F$65+$C$2660,Assumptions!$E$65))+H2786*IF(OR(H2787=1,G2988=1),$C$2661,IF(Assumptions!$I$66=1,MAX(H2659,Assumptions!$G$66)+Assumptions!$F$66+$C$2660,Assumptions!$E$66))</f>
        <v>196.3067704</v>
      </c>
      <c r="I2666" s="16" t="n">
        <f aca="false">I2669*IF(OR(I2670=1,H2979=1),$C$2661,IF(Assumptions!$I$57=1,MAX(I2659,Assumptions!$G$57)+Assumptions!$F$57+$C$2660,Assumptions!$E$57))+I2682*IF(OR(I2683=1,H2980=1),$C$2661,IF(Assumptions!$I$58=1,MAX(I2659,Assumptions!$G$58)+Assumptions!$F$58+$C$2660,Assumptions!$E$58))+I2695*IF(OR(I2696=1,H2981=1),$C$2661,IF(Assumptions!$I$59=1,MAX(I2659,Assumptions!$G$59)+Assumptions!$F$59+$C$2660,Assumptions!$E$59))+I2708*IF(OR(I2709=1,H2982=1),$C$2661,IF(Assumptions!$I$60=1,MAX(I2659,Assumptions!$G$60)+Assumptions!$F$60+$C$2660,Assumptions!$E$60))+I2721*IF(OR(I2722=1,H2983=1),$C$2661,IF(Assumptions!$I$61=1,MAX(I2659,Assumptions!$G$61)+Assumptions!$F$61+$C$2660,Assumptions!$E$61))+I2734*IF(OR(I2735=1,H2984=1),$C$2661,IF(Assumptions!$I$62=1,MAX(I2659,Assumptions!$G$62)+Assumptions!$F$62+$C$2660,Assumptions!$E$62))+I2747*IF(OR(I2748=1,H2985=1),$C$2661,IF(Assumptions!$I$63=1,MAX(I2659,Assumptions!$G$63)+Assumptions!$F$63+$C$2660,Assumptions!$E$63))+I2760*IF(OR(I2761=1,H2986=1),$C$2661,IF(Assumptions!$I$64=1,MAX(I2659,Assumptions!$G$64)+Assumptions!$F$64+$C$2660,Assumptions!$E$64))+I2773*IF(OR(I2774=1,H2987=1),$C$2661,IF(Assumptions!$I$65=1,MAX(I2659,Assumptions!$G$65)+Assumptions!$F$65+$C$2660,Assumptions!$E$65))+I2786*IF(OR(I2787=1,H2988=1),$C$2661,IF(Assumptions!$I$66=1,MAX(I2659,Assumptions!$G$66)+Assumptions!$F$66+$C$2660,Assumptions!$E$66))</f>
        <v>188.137679726544</v>
      </c>
      <c r="J2666" s="16" t="n">
        <f aca="false">J2669*IF(OR(J2670=1,I2979=1),$C$2661,IF(Assumptions!$I$57=1,MAX(J2659,Assumptions!$G$57)+Assumptions!$F$57+$C$2660,Assumptions!$E$57))+J2682*IF(OR(J2683=1,I2980=1),$C$2661,IF(Assumptions!$I$58=1,MAX(J2659,Assumptions!$G$58)+Assumptions!$F$58+$C$2660,Assumptions!$E$58))+J2695*IF(OR(J2696=1,I2981=1),$C$2661,IF(Assumptions!$I$59=1,MAX(J2659,Assumptions!$G$59)+Assumptions!$F$59+$C$2660,Assumptions!$E$59))+J2708*IF(OR(J2709=1,I2982=1),$C$2661,IF(Assumptions!$I$60=1,MAX(J2659,Assumptions!$G$60)+Assumptions!$F$60+$C$2660,Assumptions!$E$60))+J2721*IF(OR(J2722=1,I2983=1),$C$2661,IF(Assumptions!$I$61=1,MAX(J2659,Assumptions!$G$61)+Assumptions!$F$61+$C$2660,Assumptions!$E$61))+J2734*IF(OR(J2735=1,I2984=1),$C$2661,IF(Assumptions!$I$62=1,MAX(J2659,Assumptions!$G$62)+Assumptions!$F$62+$C$2660,Assumptions!$E$62))+J2747*IF(OR(J2748=1,I2985=1),$C$2661,IF(Assumptions!$I$63=1,MAX(J2659,Assumptions!$G$63)+Assumptions!$F$63+$C$2660,Assumptions!$E$63))+J2760*IF(OR(J2761=1,I2986=1),$C$2661,IF(Assumptions!$I$64=1,MAX(J2659,Assumptions!$G$64)+Assumptions!$F$64+$C$2660,Assumptions!$E$64))+J2773*IF(OR(J2774=1,I2987=1),$C$2661,IF(Assumptions!$I$65=1,MAX(J2659,Assumptions!$G$65)+Assumptions!$F$65+$C$2660,Assumptions!$E$65))+J2786*IF(OR(J2787=1,I2988=1),$C$2661,IF(Assumptions!$I$66=1,MAX(J2659,Assumptions!$G$66)+Assumptions!$F$66+$C$2660,Assumptions!$E$66))</f>
        <v>206.135998954772</v>
      </c>
      <c r="K2666" s="16" t="n">
        <f aca="false">K2669*IF(OR(K2670=1,J2979=1),$C$2661,IF(Assumptions!$I$57=1,MAX(K2659,Assumptions!$G$57)+Assumptions!$F$57+$C$2660,Assumptions!$E$57))+K2682*IF(OR(K2683=1,J2980=1),$C$2661,IF(Assumptions!$I$58=1,MAX(K2659,Assumptions!$G$58)+Assumptions!$F$58+$C$2660,Assumptions!$E$58))+K2695*IF(OR(K2696=1,J2981=1),$C$2661,IF(Assumptions!$I$59=1,MAX(K2659,Assumptions!$G$59)+Assumptions!$F$59+$C$2660,Assumptions!$E$59))+K2708*IF(OR(K2709=1,J2982=1),$C$2661,IF(Assumptions!$I$60=1,MAX(K2659,Assumptions!$G$60)+Assumptions!$F$60+$C$2660,Assumptions!$E$60))+K2721*IF(OR(K2722=1,J2983=1),$C$2661,IF(Assumptions!$I$61=1,MAX(K2659,Assumptions!$G$61)+Assumptions!$F$61+$C$2660,Assumptions!$E$61))+K2734*IF(OR(K2735=1,J2984=1),$C$2661,IF(Assumptions!$I$62=1,MAX(K2659,Assumptions!$G$62)+Assumptions!$F$62+$C$2660,Assumptions!$E$62))+K2747*IF(OR(K2748=1,J2985=1),$C$2661,IF(Assumptions!$I$63=1,MAX(K2659,Assumptions!$G$63)+Assumptions!$F$63+$C$2660,Assumptions!$E$63))+K2760*IF(OR(K2761=1,J2986=1),$C$2661,IF(Assumptions!$I$64=1,MAX(K2659,Assumptions!$G$64)+Assumptions!$F$64+$C$2660,Assumptions!$E$64))+K2773*IF(OR(K2774=1,J2987=1),$C$2661,IF(Assumptions!$I$65=1,MAX(K2659,Assumptions!$G$65)+Assumptions!$F$65+$C$2660,Assumptions!$E$65))+K2786*IF(OR(K2787=1,J2988=1),$C$2661,IF(Assumptions!$I$66=1,MAX(K2659,Assumptions!$G$66)+Assumptions!$F$66+$C$2660,Assumptions!$E$66))</f>
        <v>216.661461548875</v>
      </c>
    </row>
    <row r="2667" customFormat="false" ht="15" hidden="false" customHeight="false" outlineLevel="0" collapsed="false">
      <c r="A2667" s="3" t="s">
        <v>327</v>
      </c>
      <c r="G2667" s="21" t="n">
        <f aca="false">IF(G2643&lt;=0,0,IF(AND((G2664-G2665)/G2643&lt;=$C$2662,G2643/G2666&gt;=$C$2663),1,0))</f>
        <v>1</v>
      </c>
      <c r="H2667" s="21" t="n">
        <f aca="false">IF(H2643&lt;=0,0,IF(AND((H2664-H2665)/H2643&lt;=$C$2662,H2643/H2666&gt;=$C$2663),1,0))</f>
        <v>1</v>
      </c>
      <c r="I2667" s="21" t="n">
        <f aca="false">IF(I2643&lt;=0,0,IF(AND((I2664-I2665)/I2643&lt;=$C$2662,I2643/I2666&gt;=$C$2663),1,0))</f>
        <v>1</v>
      </c>
      <c r="J2667" s="21" t="n">
        <f aca="false">IF(J2643&lt;=0,0,IF(AND((J2664-J2665)/J2643&lt;=$C$2662,J2643/J2666&gt;=$C$2663),1,0))</f>
        <v>1</v>
      </c>
      <c r="K2667" s="21" t="n">
        <f aca="false">IF(K2643&lt;=0,0,IF(AND((K2664-K2665)/K2643&lt;=$C$2662,K2643/K2666&gt;=$C$2663),1,0))</f>
        <v>1</v>
      </c>
    </row>
    <row r="2668" customFormat="false" ht="15" hidden="false" customHeight="false" outlineLevel="0" collapsed="false">
      <c r="A2668" s="24" t="s">
        <v>328</v>
      </c>
      <c r="B2668" s="25"/>
      <c r="C2668" s="25"/>
      <c r="D2668" s="25"/>
      <c r="E2668" s="25"/>
      <c r="F2668" s="25"/>
      <c r="G2668" s="25"/>
      <c r="H2668" s="25"/>
      <c r="I2668" s="25"/>
      <c r="J2668" s="25"/>
      <c r="K2668" s="25"/>
    </row>
    <row r="2669" customFormat="false" ht="15" hidden="false" customHeight="false" outlineLevel="0" collapsed="false">
      <c r="A2669" s="3" t="s">
        <v>329</v>
      </c>
      <c r="G2669" s="16" t="n">
        <f aca="false">F2680</f>
        <v>400</v>
      </c>
      <c r="H2669" s="16" t="n">
        <f aca="false">G2680</f>
        <v>396</v>
      </c>
      <c r="I2669" s="16" t="n">
        <f aca="false">H2680</f>
        <v>392</v>
      </c>
      <c r="J2669" s="16" t="n">
        <f aca="false">I2680</f>
        <v>388</v>
      </c>
      <c r="K2669" s="16" t="n">
        <f aca="false">J2680</f>
        <v>384</v>
      </c>
    </row>
    <row r="2670" customFormat="false" ht="15" hidden="false" customHeight="false" outlineLevel="0" collapsed="false">
      <c r="A2670" s="3" t="s">
        <v>330</v>
      </c>
      <c r="G2670" s="21" t="n">
        <f aca="false">IF(G2633=Assumptions!$K$57,1,0)</f>
        <v>0</v>
      </c>
      <c r="H2670" s="21" t="n">
        <f aca="false">IF(H2633=Assumptions!$K$57,1,0)</f>
        <v>0</v>
      </c>
      <c r="I2670" s="21" t="n">
        <f aca="false">IF(I2633=Assumptions!$K$57,1,0)</f>
        <v>0</v>
      </c>
      <c r="J2670" s="21" t="n">
        <f aca="false">IF(J2633=Assumptions!$K$57,1,0)</f>
        <v>0</v>
      </c>
      <c r="K2670" s="21" t="n">
        <f aca="false">IF(K2633=Assumptions!$K$57,1,0)</f>
        <v>1</v>
      </c>
    </row>
    <row r="2672" customFormat="false" ht="15" hidden="false" customHeight="false" outlineLevel="0" collapsed="false">
      <c r="A2672" s="3" t="s">
        <v>331</v>
      </c>
      <c r="G2672" s="31" t="n">
        <f aca="false">IF(Assumptions!$I$57=1,MAX(G2659,Assumptions!$G$57)+Assumptions!$F$57+$C$2660,Assumptions!$E$57)</f>
        <v>0.0915</v>
      </c>
      <c r="H2672" s="31" t="n">
        <f aca="false">IF(G2979=1,$C$2661,IF(Assumptions!$I$57=1,MAX(H2659,Assumptions!$G$57)+Assumptions!$F$57+$C$2660,Assumptions!$E$57))</f>
        <v>0.09</v>
      </c>
      <c r="I2672" s="31" t="n">
        <f aca="false">IF(H2979=1,$C$2661,IF(Assumptions!$I$57=1,MAX(I2659,Assumptions!$G$57)+Assumptions!$F$57+$C$2660,Assumptions!$E$57))</f>
        <v>0.0875</v>
      </c>
      <c r="J2672" s="31" t="n">
        <f aca="false">IF(I2979=1,$C$2661,IF(Assumptions!$I$57=1,MAX(J2659,Assumptions!$G$57)+Assumptions!$F$57+$C$2660,Assumptions!$E$57))</f>
        <v>0.0875</v>
      </c>
      <c r="K2672" s="31" t="n">
        <f aca="false">IF(J2979=1,$C$2661,IF(Assumptions!$I$57=1,MAX(K2659,Assumptions!$G$57)+Assumptions!$F$57+$C$2660,Assumptions!$E$57))</f>
        <v>0.0875</v>
      </c>
    </row>
    <row r="2673" customFormat="false" ht="15" hidden="false" customHeight="false" outlineLevel="0" collapsed="false">
      <c r="A2673" s="3" t="s">
        <v>332</v>
      </c>
      <c r="G2673" s="16" t="n">
        <f aca="false">G2669*G2672</f>
        <v>36.6</v>
      </c>
      <c r="H2673" s="16" t="n">
        <f aca="false">H2669*H2672</f>
        <v>35.64</v>
      </c>
      <c r="I2673" s="16" t="n">
        <f aca="false">I2669*I2672</f>
        <v>34.3</v>
      </c>
      <c r="J2673" s="16" t="n">
        <f aca="false">J2669*J2672</f>
        <v>33.95</v>
      </c>
      <c r="K2673" s="16" t="n">
        <f aca="false">K2669*K2672</f>
        <v>33.6</v>
      </c>
    </row>
    <row r="2674" customFormat="false" ht="15" hidden="false" customHeight="false" outlineLevel="0" collapsed="false">
      <c r="A2674" s="3" t="s">
        <v>333</v>
      </c>
      <c r="G2674" s="16" t="n">
        <f aca="false">G2669*Assumptions!$H$57</f>
        <v>0</v>
      </c>
      <c r="H2674" s="16" t="n">
        <f aca="false">H2669*Assumptions!$H$57</f>
        <v>0</v>
      </c>
      <c r="I2674" s="16" t="n">
        <f aca="false">I2669*Assumptions!$H$57</f>
        <v>0</v>
      </c>
      <c r="J2674" s="16" t="n">
        <f aca="false">J2669*Assumptions!$H$57</f>
        <v>0</v>
      </c>
      <c r="K2674" s="16" t="n">
        <f aca="false">K2669*Assumptions!$H$57</f>
        <v>0</v>
      </c>
    </row>
    <row r="2675" customFormat="false" ht="15" hidden="false" customHeight="false" outlineLevel="0" collapsed="false">
      <c r="A2675" s="3" t="s">
        <v>334</v>
      </c>
      <c r="G2675" s="16" t="n">
        <f aca="false">MIN(G2669,Assumptions!$L$57*Assumptions!$C$57)</f>
        <v>4</v>
      </c>
      <c r="H2675" s="16" t="n">
        <f aca="false">MIN(H2669,Assumptions!$L$57*Assumptions!$C$57)</f>
        <v>4</v>
      </c>
      <c r="I2675" s="16" t="n">
        <f aca="false">MIN(I2669,Assumptions!$L$57*Assumptions!$C$57)</f>
        <v>4</v>
      </c>
      <c r="J2675" s="16" t="n">
        <f aca="false">MIN(J2669,Assumptions!$L$57*Assumptions!$C$57)</f>
        <v>4</v>
      </c>
      <c r="K2675" s="16" t="n">
        <f aca="false">MIN(K2669,Assumptions!$L$57*Assumptions!$C$57)</f>
        <v>4</v>
      </c>
    </row>
    <row r="2676" customFormat="false" ht="15" hidden="false" customHeight="false" outlineLevel="0" collapsed="false">
      <c r="A2676" s="3" t="s">
        <v>335</v>
      </c>
      <c r="G2676" s="16" t="n">
        <f aca="false">IF(AND(Assumptions!$P$57=1,G2633&lt;Assumptions!$K$57),MIN(MAX(0,-G2849),MAX(0,Assumptions!$D$57-G2669)),0)</f>
        <v>0</v>
      </c>
      <c r="H2676" s="16" t="n">
        <f aca="false">IF(AND(Assumptions!$P$57=1,OR(H2633&lt;Assumptions!$K$57,G2979=1)),MIN(MAX(0,-H2849),MAX(0,Assumptions!$D$57-H2669)),0)</f>
        <v>0</v>
      </c>
      <c r="I2676" s="16" t="n">
        <f aca="false">IF(AND(Assumptions!$P$57=1,OR(I2633&lt;Assumptions!$K$57,H2979=1)),MIN(MAX(0,-I2849),MAX(0,Assumptions!$D$57-I2669)),0)</f>
        <v>0</v>
      </c>
      <c r="J2676" s="16" t="n">
        <f aca="false">IF(AND(Assumptions!$P$57=1,OR(J2633&lt;Assumptions!$K$57,I2979=1)),MIN(MAX(0,-J2849),MAX(0,Assumptions!$D$57-J2669)),0)</f>
        <v>0</v>
      </c>
      <c r="K2676" s="16" t="n">
        <f aca="false">IF(AND(Assumptions!$P$57=1,OR(K2633&lt;Assumptions!$K$57,J2979=1)),MIN(MAX(0,-K2849),MAX(0,Assumptions!$D$57-K2669)),0)</f>
        <v>0</v>
      </c>
    </row>
    <row r="2677" customFormat="false" ht="15" hidden="false" customHeight="false" outlineLevel="0" collapsed="false">
      <c r="A2677" s="3" t="s">
        <v>336</v>
      </c>
      <c r="G2677" s="16" t="n">
        <f aca="false">G2670*MIN(G2669-G2675+G2674,MAX(0,G2851-Assumptions!$C$12*G2667))</f>
        <v>0</v>
      </c>
      <c r="H2677" s="16" t="n">
        <f aca="false">H2670*MIN(H2669-H2675+H2674,MAX(0,H2851-Assumptions!$C$12*H2667))</f>
        <v>0</v>
      </c>
      <c r="I2677" s="16" t="n">
        <f aca="false">I2670*MIN(I2669-I2675+I2674,MAX(0,I2851-Assumptions!$C$12*I2667))</f>
        <v>0</v>
      </c>
      <c r="J2677" s="16" t="n">
        <f aca="false">J2670*MIN(J2669-J2675+J2674,MAX(0,J2851-Assumptions!$C$12*J2667))</f>
        <v>0</v>
      </c>
      <c r="K2677" s="16" t="n">
        <f aca="false">K2670*MIN(K2669-K2675+K2674,MAX(0,K2851-Assumptions!$C$12*K2667))</f>
        <v>0</v>
      </c>
    </row>
    <row r="2678" customFormat="false" ht="15" hidden="false" customHeight="false" outlineLevel="0" collapsed="false">
      <c r="A2678" s="3" t="s">
        <v>337</v>
      </c>
      <c r="G2678" s="16" t="n">
        <f aca="false">Assumptions!$N$57*MIN(G2669+G2676+G2674-G2675-G2677,MAX(0,G2855))</f>
        <v>0</v>
      </c>
      <c r="H2678" s="16" t="n">
        <f aca="false">Assumptions!$N$57*MIN(H2669+H2676+H2674-H2675-H2677,MAX(0,H2855))</f>
        <v>0</v>
      </c>
      <c r="I2678" s="16" t="n">
        <f aca="false">Assumptions!$N$57*MIN(I2669+I2676+I2674-I2675-I2677,MAX(0,I2855))</f>
        <v>0</v>
      </c>
      <c r="J2678" s="16" t="n">
        <f aca="false">Assumptions!$N$57*MIN(J2669+J2676+J2674-J2675-J2677,MAX(0,J2855))</f>
        <v>0</v>
      </c>
      <c r="K2678" s="16" t="n">
        <f aca="false">Assumptions!$N$57*MIN(K2669+K2676+K2674-K2675-K2677,MAX(0,K2855))</f>
        <v>0</v>
      </c>
    </row>
    <row r="2679" customFormat="false" ht="15" hidden="false" customHeight="false" outlineLevel="0" collapsed="false">
      <c r="A2679" s="3" t="s">
        <v>338</v>
      </c>
      <c r="G2679" s="16" t="n">
        <f aca="false">G2670*(1-G2667)*(G2669-G2675+G2674-G2677)</f>
        <v>0</v>
      </c>
      <c r="H2679" s="16" t="n">
        <f aca="false">H2670*(1-H2667)*(H2669-H2675+H2674-H2677)</f>
        <v>0</v>
      </c>
      <c r="I2679" s="16" t="n">
        <f aca="false">I2670*(1-I2667)*(I2669-I2675+I2674-I2677)</f>
        <v>0</v>
      </c>
      <c r="J2679" s="16" t="n">
        <f aca="false">J2670*(1-J2667)*(J2669-J2675+J2674-J2677)</f>
        <v>0</v>
      </c>
      <c r="K2679" s="16" t="n">
        <f aca="false">K2670*(1-K2667)*(K2669-K2675+K2674-K2677)</f>
        <v>0</v>
      </c>
    </row>
    <row r="2680" customFormat="false" ht="15" hidden="false" customHeight="false" outlineLevel="0" collapsed="false">
      <c r="A2680" s="2" t="s">
        <v>339</v>
      </c>
      <c r="F2680" s="28" t="n">
        <f aca="false">Assumptions!$C$57</f>
        <v>400</v>
      </c>
      <c r="G2680" s="17" t="n">
        <f aca="false">G2669+G2676+G2674-G2675-G2677-G2678</f>
        <v>396</v>
      </c>
      <c r="H2680" s="17" t="n">
        <f aca="false">H2669+H2676+H2674-H2675-H2677-H2678</f>
        <v>392</v>
      </c>
      <c r="I2680" s="17" t="n">
        <f aca="false">I2669+I2676+I2674-I2675-I2677-I2678</f>
        <v>388</v>
      </c>
      <c r="J2680" s="17" t="n">
        <f aca="false">J2669+J2676+J2674-J2675-J2677-J2678</f>
        <v>384</v>
      </c>
      <c r="K2680" s="17" t="n">
        <f aca="false">K2669+K2676+K2674-K2675-K2677-K2678</f>
        <v>380</v>
      </c>
    </row>
    <row r="2681" customFormat="false" ht="15" hidden="false" customHeight="false" outlineLevel="0" collapsed="false">
      <c r="A2681" s="24" t="s">
        <v>340</v>
      </c>
      <c r="B2681" s="25"/>
      <c r="C2681" s="25"/>
      <c r="D2681" s="25"/>
      <c r="E2681" s="25"/>
      <c r="F2681" s="25"/>
      <c r="G2681" s="25"/>
      <c r="H2681" s="25"/>
      <c r="I2681" s="25"/>
      <c r="J2681" s="25"/>
      <c r="K2681" s="25"/>
    </row>
    <row r="2682" customFormat="false" ht="15" hidden="false" customHeight="false" outlineLevel="0" collapsed="false">
      <c r="A2682" s="3" t="s">
        <v>329</v>
      </c>
      <c r="G2682" s="16" t="n">
        <f aca="false">F2693</f>
        <v>90</v>
      </c>
      <c r="H2682" s="16" t="n">
        <f aca="false">G2693</f>
        <v>90</v>
      </c>
      <c r="I2682" s="16" t="n">
        <f aca="false">H2693</f>
        <v>90</v>
      </c>
      <c r="J2682" s="16" t="n">
        <f aca="false">I2693</f>
        <v>90</v>
      </c>
      <c r="K2682" s="16" t="n">
        <f aca="false">J2693</f>
        <v>90</v>
      </c>
    </row>
    <row r="2683" customFormat="false" ht="15" hidden="false" customHeight="false" outlineLevel="0" collapsed="false">
      <c r="A2683" s="3" t="s">
        <v>330</v>
      </c>
      <c r="G2683" s="21" t="n">
        <f aca="false">IF(G2633=Assumptions!$K$58,1,0)</f>
        <v>0</v>
      </c>
      <c r="H2683" s="21" t="n">
        <f aca="false">IF(H2633=Assumptions!$K$58,1,0)</f>
        <v>0</v>
      </c>
      <c r="I2683" s="21" t="n">
        <f aca="false">IF(I2633=Assumptions!$K$58,1,0)</f>
        <v>0</v>
      </c>
      <c r="J2683" s="21" t="n">
        <f aca="false">IF(J2633=Assumptions!$K$58,1,0)</f>
        <v>0</v>
      </c>
      <c r="K2683" s="21" t="n">
        <f aca="false">IF(K2633=Assumptions!$K$58,1,0)</f>
        <v>0</v>
      </c>
    </row>
    <row r="2685" customFormat="false" ht="15" hidden="false" customHeight="false" outlineLevel="0" collapsed="false">
      <c r="A2685" s="3" t="s">
        <v>331</v>
      </c>
      <c r="G2685" s="31" t="n">
        <f aca="false">IF(Assumptions!$I$58=1,MAX(G2659,Assumptions!$G$58)+Assumptions!$F$58+$C$2660,Assumptions!$E$58)</f>
        <v>0.0581</v>
      </c>
      <c r="H2685" s="31" t="n">
        <f aca="false">IF(G2980=1,$C$2661,IF(Assumptions!$I$58=1,MAX(H2659,Assumptions!$G$58)+Assumptions!$F$58+$C$2660,Assumptions!$E$58))</f>
        <v>0.0581</v>
      </c>
      <c r="I2685" s="31" t="n">
        <f aca="false">IF(H2980=1,$C$2661,IF(Assumptions!$I$58=1,MAX(I2659,Assumptions!$G$58)+Assumptions!$F$58+$C$2660,Assumptions!$E$58))</f>
        <v>0.0581</v>
      </c>
      <c r="J2685" s="31" t="n">
        <f aca="false">IF(I2980=1,$C$2661,IF(Assumptions!$I$58=1,MAX(J2659,Assumptions!$G$58)+Assumptions!$F$58+$C$2660,Assumptions!$E$58))</f>
        <v>0.0581</v>
      </c>
      <c r="K2685" s="31" t="n">
        <f aca="false">IF(J2980=1,$C$2661,IF(Assumptions!$I$58=1,MAX(K2659,Assumptions!$G$58)+Assumptions!$F$58+$C$2660,Assumptions!$E$58))</f>
        <v>0.0581</v>
      </c>
    </row>
    <row r="2686" customFormat="false" ht="15" hidden="false" customHeight="false" outlineLevel="0" collapsed="false">
      <c r="A2686" s="3" t="s">
        <v>332</v>
      </c>
      <c r="G2686" s="16" t="n">
        <f aca="false">G2682*G2685</f>
        <v>5.229</v>
      </c>
      <c r="H2686" s="16" t="n">
        <f aca="false">H2682*H2685</f>
        <v>5.229</v>
      </c>
      <c r="I2686" s="16" t="n">
        <f aca="false">I2682*I2685</f>
        <v>5.229</v>
      </c>
      <c r="J2686" s="16" t="n">
        <f aca="false">J2682*J2685</f>
        <v>5.229</v>
      </c>
      <c r="K2686" s="16" t="n">
        <f aca="false">K2682*K2685</f>
        <v>5.229</v>
      </c>
    </row>
    <row r="2687" customFormat="false" ht="15" hidden="false" customHeight="false" outlineLevel="0" collapsed="false">
      <c r="A2687" s="3" t="s">
        <v>333</v>
      </c>
      <c r="G2687" s="16" t="n">
        <f aca="false">G2682*Assumptions!$H$58</f>
        <v>0</v>
      </c>
      <c r="H2687" s="16" t="n">
        <f aca="false">H2682*Assumptions!$H$58</f>
        <v>0</v>
      </c>
      <c r="I2687" s="16" t="n">
        <f aca="false">I2682*Assumptions!$H$58</f>
        <v>0</v>
      </c>
      <c r="J2687" s="16" t="n">
        <f aca="false">J2682*Assumptions!$H$58</f>
        <v>0</v>
      </c>
      <c r="K2687" s="16" t="n">
        <f aca="false">K2682*Assumptions!$H$58</f>
        <v>0</v>
      </c>
    </row>
    <row r="2688" customFormat="false" ht="15" hidden="false" customHeight="false" outlineLevel="0" collapsed="false">
      <c r="A2688" s="3" t="s">
        <v>334</v>
      </c>
      <c r="G2688" s="16" t="n">
        <f aca="false">MIN(G2682,Assumptions!$L$58*Assumptions!$C$58)</f>
        <v>0</v>
      </c>
      <c r="H2688" s="16" t="n">
        <f aca="false">MIN(H2682,Assumptions!$L$58*Assumptions!$C$58)</f>
        <v>0</v>
      </c>
      <c r="I2688" s="16" t="n">
        <f aca="false">MIN(I2682,Assumptions!$L$58*Assumptions!$C$58)</f>
        <v>0</v>
      </c>
      <c r="J2688" s="16" t="n">
        <f aca="false">MIN(J2682,Assumptions!$L$58*Assumptions!$C$58)</f>
        <v>0</v>
      </c>
      <c r="K2688" s="16" t="n">
        <f aca="false">MIN(K2682,Assumptions!$L$58*Assumptions!$C$58)</f>
        <v>0</v>
      </c>
    </row>
    <row r="2689" customFormat="false" ht="15" hidden="false" customHeight="false" outlineLevel="0" collapsed="false">
      <c r="A2689" s="3" t="s">
        <v>335</v>
      </c>
      <c r="G2689" s="16" t="n">
        <f aca="false">IF(AND(Assumptions!$P$58=1,G2633&lt;Assumptions!$K$58),MIN(MAX(0,-G2849),MAX(0,Assumptions!$D$58-G2682)),0)</f>
        <v>0</v>
      </c>
      <c r="H2689" s="16" t="n">
        <f aca="false">IF(AND(Assumptions!$P$58=1,OR(H2633&lt;Assumptions!$K$58,G2980=1)),MIN(MAX(0,-H2849),MAX(0,Assumptions!$D$58-H2682)),0)</f>
        <v>0</v>
      </c>
      <c r="I2689" s="16" t="n">
        <f aca="false">IF(AND(Assumptions!$P$58=1,OR(I2633&lt;Assumptions!$K$58,H2980=1)),MIN(MAX(0,-I2849),MAX(0,Assumptions!$D$58-I2682)),0)</f>
        <v>0</v>
      </c>
      <c r="J2689" s="16" t="n">
        <f aca="false">IF(AND(Assumptions!$P$58=1,OR(J2633&lt;Assumptions!$K$58,I2980=1)),MIN(MAX(0,-J2849),MAX(0,Assumptions!$D$58-J2682)),0)</f>
        <v>0</v>
      </c>
      <c r="K2689" s="16" t="n">
        <f aca="false">IF(AND(Assumptions!$P$58=1,OR(K2633&lt;Assumptions!$K$58,J2980=1)),MIN(MAX(0,-K2849),MAX(0,Assumptions!$D$58-K2682)),0)</f>
        <v>0</v>
      </c>
    </row>
    <row r="2690" customFormat="false" ht="15" hidden="false" customHeight="false" outlineLevel="0" collapsed="false">
      <c r="A2690" s="3" t="s">
        <v>336</v>
      </c>
      <c r="G2690" s="16" t="n">
        <f aca="false">G2683*MIN(G2682-G2688+G2687,MAX(0,G2851-Assumptions!$C$12*G2667-G2677))</f>
        <v>0</v>
      </c>
      <c r="H2690" s="16" t="n">
        <f aca="false">H2683*MIN(H2682-H2688+H2687,MAX(0,H2851-Assumptions!$C$12*H2667-H2677))</f>
        <v>0</v>
      </c>
      <c r="I2690" s="16" t="n">
        <f aca="false">I2683*MIN(I2682-I2688+I2687,MAX(0,I2851-Assumptions!$C$12*I2667-I2677))</f>
        <v>0</v>
      </c>
      <c r="J2690" s="16" t="n">
        <f aca="false">J2683*MIN(J2682-J2688+J2687,MAX(0,J2851-Assumptions!$C$12*J2667-J2677))</f>
        <v>0</v>
      </c>
      <c r="K2690" s="16" t="n">
        <f aca="false">K2683*MIN(K2682-K2688+K2687,MAX(0,K2851-Assumptions!$C$12*K2667-K2677))</f>
        <v>0</v>
      </c>
    </row>
    <row r="2691" customFormat="false" ht="15" hidden="false" customHeight="false" outlineLevel="0" collapsed="false">
      <c r="A2691" s="3" t="s">
        <v>337</v>
      </c>
      <c r="G2691" s="16" t="n">
        <f aca="false">Assumptions!$N$58*MIN(G2682+G2689+G2687-G2688-G2690,MAX(0,G2855-G2678))</f>
        <v>0</v>
      </c>
      <c r="H2691" s="16" t="n">
        <f aca="false">Assumptions!$N$58*MIN(H2682+H2689+H2687-H2688-H2690,MAX(0,H2855-H2678))</f>
        <v>0</v>
      </c>
      <c r="I2691" s="16" t="n">
        <f aca="false">Assumptions!$N$58*MIN(I2682+I2689+I2687-I2688-I2690,MAX(0,I2855-I2678))</f>
        <v>0</v>
      </c>
      <c r="J2691" s="16" t="n">
        <f aca="false">Assumptions!$N$58*MIN(J2682+J2689+J2687-J2688-J2690,MAX(0,J2855-J2678))</f>
        <v>0</v>
      </c>
      <c r="K2691" s="16" t="n">
        <f aca="false">Assumptions!$N$58*MIN(K2682+K2689+K2687-K2688-K2690,MAX(0,K2855-K2678))</f>
        <v>0</v>
      </c>
    </row>
    <row r="2692" customFormat="false" ht="15" hidden="false" customHeight="false" outlineLevel="0" collapsed="false">
      <c r="A2692" s="3" t="s">
        <v>338</v>
      </c>
      <c r="G2692" s="16" t="n">
        <f aca="false">G2683*(1-G2667)*(G2682-G2688+G2687-G2690)</f>
        <v>0</v>
      </c>
      <c r="H2692" s="16" t="n">
        <f aca="false">H2683*(1-H2667)*(H2682-H2688+H2687-H2690)</f>
        <v>0</v>
      </c>
      <c r="I2692" s="16" t="n">
        <f aca="false">I2683*(1-I2667)*(I2682-I2688+I2687-I2690)</f>
        <v>0</v>
      </c>
      <c r="J2692" s="16" t="n">
        <f aca="false">J2683*(1-J2667)*(J2682-J2688+J2687-J2690)</f>
        <v>0</v>
      </c>
      <c r="K2692" s="16" t="n">
        <f aca="false">K2683*(1-K2667)*(K2682-K2688+K2687-K2690)</f>
        <v>0</v>
      </c>
    </row>
    <row r="2693" customFormat="false" ht="15" hidden="false" customHeight="false" outlineLevel="0" collapsed="false">
      <c r="A2693" s="2" t="s">
        <v>339</v>
      </c>
      <c r="F2693" s="28" t="n">
        <f aca="false">Assumptions!$C$58</f>
        <v>90</v>
      </c>
      <c r="G2693" s="17" t="n">
        <f aca="false">G2682+G2689+G2687-G2688-G2690-G2691</f>
        <v>90</v>
      </c>
      <c r="H2693" s="17" t="n">
        <f aca="false">H2682+H2689+H2687-H2688-H2690-H2691</f>
        <v>90</v>
      </c>
      <c r="I2693" s="17" t="n">
        <f aca="false">I2682+I2689+I2687-I2688-I2690-I2691</f>
        <v>90</v>
      </c>
      <c r="J2693" s="17" t="n">
        <f aca="false">J2682+J2689+J2687-J2688-J2690-J2691</f>
        <v>90</v>
      </c>
      <c r="K2693" s="17" t="n">
        <f aca="false">K2682+K2689+K2687-K2688-K2690-K2691</f>
        <v>90</v>
      </c>
    </row>
    <row r="2694" customFormat="false" ht="15" hidden="false" customHeight="false" outlineLevel="0" collapsed="false">
      <c r="A2694" s="24" t="s">
        <v>341</v>
      </c>
      <c r="B2694" s="25"/>
      <c r="C2694" s="25"/>
      <c r="D2694" s="25"/>
      <c r="E2694" s="25"/>
      <c r="F2694" s="25"/>
      <c r="G2694" s="25"/>
      <c r="H2694" s="25"/>
      <c r="I2694" s="25"/>
      <c r="J2694" s="25"/>
      <c r="K2694" s="25"/>
    </row>
    <row r="2695" customFormat="false" ht="15" hidden="false" customHeight="false" outlineLevel="0" collapsed="false">
      <c r="A2695" s="3" t="s">
        <v>329</v>
      </c>
      <c r="G2695" s="16" t="n">
        <f aca="false">F2706</f>
        <v>57.324</v>
      </c>
      <c r="H2695" s="16" t="n">
        <f aca="false">G2706</f>
        <v>57.324</v>
      </c>
      <c r="I2695" s="16" t="n">
        <f aca="false">H2706</f>
        <v>57.324</v>
      </c>
      <c r="J2695" s="16" t="n">
        <f aca="false">I2706</f>
        <v>57.324</v>
      </c>
      <c r="K2695" s="16" t="n">
        <f aca="false">J2706</f>
        <v>57.324</v>
      </c>
    </row>
    <row r="2696" customFormat="false" ht="15" hidden="false" customHeight="false" outlineLevel="0" collapsed="false">
      <c r="A2696" s="3" t="s">
        <v>330</v>
      </c>
      <c r="G2696" s="21" t="n">
        <f aca="false">IF(G2633=Assumptions!$K$59,1,0)</f>
        <v>0</v>
      </c>
      <c r="H2696" s="21" t="n">
        <f aca="false">IF(H2633=Assumptions!$K$59,1,0)</f>
        <v>0</v>
      </c>
      <c r="I2696" s="21" t="n">
        <f aca="false">IF(I2633=Assumptions!$K$59,1,0)</f>
        <v>0</v>
      </c>
      <c r="J2696" s="21" t="n">
        <f aca="false">IF(J2633=Assumptions!$K$59,1,0)</f>
        <v>0</v>
      </c>
      <c r="K2696" s="21" t="n">
        <f aca="false">IF(K2633=Assumptions!$K$59,1,0)</f>
        <v>0</v>
      </c>
    </row>
    <row r="2698" customFormat="false" ht="15" hidden="false" customHeight="false" outlineLevel="0" collapsed="false">
      <c r="A2698" s="3" t="s">
        <v>331</v>
      </c>
      <c r="G2698" s="31" t="n">
        <f aca="false">IF(Assumptions!$I$59=1,MAX(G2659,Assumptions!$G$59)+Assumptions!$F$59+$C$2660,Assumptions!$E$59)</f>
        <v>0.0731</v>
      </c>
      <c r="H2698" s="31" t="n">
        <f aca="false">IF(G2981=1,$C$2661,IF(Assumptions!$I$59=1,MAX(H2659,Assumptions!$G$59)+Assumptions!$F$59+$C$2660,Assumptions!$E$59))</f>
        <v>0.0731</v>
      </c>
      <c r="I2698" s="31" t="n">
        <f aca="false">IF(H2981=1,$C$2661,IF(Assumptions!$I$59=1,MAX(I2659,Assumptions!$G$59)+Assumptions!$F$59+$C$2660,Assumptions!$E$59))</f>
        <v>0.0731</v>
      </c>
      <c r="J2698" s="31" t="n">
        <f aca="false">IF(I2981=1,$C$2661,IF(Assumptions!$I$59=1,MAX(J2659,Assumptions!$G$59)+Assumptions!$F$59+$C$2660,Assumptions!$E$59))</f>
        <v>0.0731</v>
      </c>
      <c r="K2698" s="31" t="n">
        <f aca="false">IF(J2981=1,$C$2661,IF(Assumptions!$I$59=1,MAX(K2659,Assumptions!$G$59)+Assumptions!$F$59+$C$2660,Assumptions!$E$59))</f>
        <v>0.0731</v>
      </c>
    </row>
    <row r="2699" customFormat="false" ht="15" hidden="false" customHeight="false" outlineLevel="0" collapsed="false">
      <c r="A2699" s="3" t="s">
        <v>332</v>
      </c>
      <c r="G2699" s="16" t="n">
        <f aca="false">G2695*G2698</f>
        <v>4.1903844</v>
      </c>
      <c r="H2699" s="16" t="n">
        <f aca="false">H2695*H2698</f>
        <v>4.1903844</v>
      </c>
      <c r="I2699" s="16" t="n">
        <f aca="false">I2695*I2698</f>
        <v>4.1903844</v>
      </c>
      <c r="J2699" s="16" t="n">
        <f aca="false">J2695*J2698</f>
        <v>4.1903844</v>
      </c>
      <c r="K2699" s="16" t="n">
        <f aca="false">K2695*K2698</f>
        <v>4.1903844</v>
      </c>
    </row>
    <row r="2700" customFormat="false" ht="15" hidden="false" customHeight="false" outlineLevel="0" collapsed="false">
      <c r="A2700" s="3" t="s">
        <v>333</v>
      </c>
      <c r="G2700" s="16" t="n">
        <f aca="false">G2695*Assumptions!$H$59</f>
        <v>0</v>
      </c>
      <c r="H2700" s="16" t="n">
        <f aca="false">H2695*Assumptions!$H$59</f>
        <v>0</v>
      </c>
      <c r="I2700" s="16" t="n">
        <f aca="false">I2695*Assumptions!$H$59</f>
        <v>0</v>
      </c>
      <c r="J2700" s="16" t="n">
        <f aca="false">J2695*Assumptions!$H$59</f>
        <v>0</v>
      </c>
      <c r="K2700" s="16" t="n">
        <f aca="false">K2695*Assumptions!$H$59</f>
        <v>0</v>
      </c>
    </row>
    <row r="2701" customFormat="false" ht="15" hidden="false" customHeight="false" outlineLevel="0" collapsed="false">
      <c r="A2701" s="3" t="s">
        <v>334</v>
      </c>
      <c r="G2701" s="16" t="n">
        <f aca="false">MIN(G2695,Assumptions!$L$59*Assumptions!$C$59)</f>
        <v>0</v>
      </c>
      <c r="H2701" s="16" t="n">
        <f aca="false">MIN(H2695,Assumptions!$L$59*Assumptions!$C$59)</f>
        <v>0</v>
      </c>
      <c r="I2701" s="16" t="n">
        <f aca="false">MIN(I2695,Assumptions!$L$59*Assumptions!$C$59)</f>
        <v>0</v>
      </c>
      <c r="J2701" s="16" t="n">
        <f aca="false">MIN(J2695,Assumptions!$L$59*Assumptions!$C$59)</f>
        <v>0</v>
      </c>
      <c r="K2701" s="16" t="n">
        <f aca="false">MIN(K2695,Assumptions!$L$59*Assumptions!$C$59)</f>
        <v>0</v>
      </c>
    </row>
    <row r="2702" customFormat="false" ht="15" hidden="false" customHeight="false" outlineLevel="0" collapsed="false">
      <c r="A2702" s="3" t="s">
        <v>335</v>
      </c>
      <c r="G2702" s="16" t="n">
        <f aca="false">IF(AND(Assumptions!$P$59=1,G2633&lt;Assumptions!$K$59),MIN(MAX(0,-G2849),MAX(0,Assumptions!$D$59-G2695)),0)</f>
        <v>0</v>
      </c>
      <c r="H2702" s="16" t="n">
        <f aca="false">IF(AND(Assumptions!$P$59=1,OR(H2633&lt;Assumptions!$K$59,G2981=1)),MIN(MAX(0,-H2849),MAX(0,Assumptions!$D$59-H2695)),0)</f>
        <v>0</v>
      </c>
      <c r="I2702" s="16" t="n">
        <f aca="false">IF(AND(Assumptions!$P$59=1,OR(I2633&lt;Assumptions!$K$59,H2981=1)),MIN(MAX(0,-I2849),MAX(0,Assumptions!$D$59-I2695)),0)</f>
        <v>0</v>
      </c>
      <c r="J2702" s="16" t="n">
        <f aca="false">IF(AND(Assumptions!$P$59=1,OR(J2633&lt;Assumptions!$K$59,I2981=1)),MIN(MAX(0,-J2849),MAX(0,Assumptions!$D$59-J2695)),0)</f>
        <v>0</v>
      </c>
      <c r="K2702" s="16" t="n">
        <f aca="false">IF(AND(Assumptions!$P$59=1,OR(K2633&lt;Assumptions!$K$59,J2981=1)),MIN(MAX(0,-K2849),MAX(0,Assumptions!$D$59-K2695)),0)</f>
        <v>0</v>
      </c>
    </row>
    <row r="2703" customFormat="false" ht="15" hidden="false" customHeight="false" outlineLevel="0" collapsed="false">
      <c r="A2703" s="3" t="s">
        <v>336</v>
      </c>
      <c r="G2703" s="16" t="n">
        <f aca="false">G2696*MIN(G2695-G2701+G2700,MAX(0,G2851-Assumptions!$C$12*G2667-G2677-G2690))</f>
        <v>0</v>
      </c>
      <c r="H2703" s="16" t="n">
        <f aca="false">H2696*MIN(H2695-H2701+H2700,MAX(0,H2851-Assumptions!$C$12*H2667-H2677-H2690))</f>
        <v>0</v>
      </c>
      <c r="I2703" s="16" t="n">
        <f aca="false">I2696*MIN(I2695-I2701+I2700,MAX(0,I2851-Assumptions!$C$12*I2667-I2677-I2690))</f>
        <v>0</v>
      </c>
      <c r="J2703" s="16" t="n">
        <f aca="false">J2696*MIN(J2695-J2701+J2700,MAX(0,J2851-Assumptions!$C$12*J2667-J2677-J2690))</f>
        <v>0</v>
      </c>
      <c r="K2703" s="16" t="n">
        <f aca="false">K2696*MIN(K2695-K2701+K2700,MAX(0,K2851-Assumptions!$C$12*K2667-K2677-K2690))</f>
        <v>0</v>
      </c>
    </row>
    <row r="2704" customFormat="false" ht="15" hidden="false" customHeight="false" outlineLevel="0" collapsed="false">
      <c r="A2704" s="3" t="s">
        <v>337</v>
      </c>
      <c r="G2704" s="16" t="n">
        <f aca="false">Assumptions!$N$59*MIN(G2695+G2702+G2700-G2701-G2703,MAX(0,G2855-G2678-G2691))</f>
        <v>0</v>
      </c>
      <c r="H2704" s="16" t="n">
        <f aca="false">Assumptions!$N$59*MIN(H2695+H2702+H2700-H2701-H2703,MAX(0,H2855-H2678-H2691))</f>
        <v>0</v>
      </c>
      <c r="I2704" s="16" t="n">
        <f aca="false">Assumptions!$N$59*MIN(I2695+I2702+I2700-I2701-I2703,MAX(0,I2855-I2678-I2691))</f>
        <v>0</v>
      </c>
      <c r="J2704" s="16" t="n">
        <f aca="false">Assumptions!$N$59*MIN(J2695+J2702+J2700-J2701-J2703,MAX(0,J2855-J2678-J2691))</f>
        <v>0</v>
      </c>
      <c r="K2704" s="16" t="n">
        <f aca="false">Assumptions!$N$59*MIN(K2695+K2702+K2700-K2701-K2703,MAX(0,K2855-K2678-K2691))</f>
        <v>0</v>
      </c>
    </row>
    <row r="2705" customFormat="false" ht="15" hidden="false" customHeight="false" outlineLevel="0" collapsed="false">
      <c r="A2705" s="3" t="s">
        <v>338</v>
      </c>
      <c r="G2705" s="16" t="n">
        <f aca="false">G2696*(1-G2667)*(G2695-G2701+G2700-G2703)</f>
        <v>0</v>
      </c>
      <c r="H2705" s="16" t="n">
        <f aca="false">H2696*(1-H2667)*(H2695-H2701+H2700-H2703)</f>
        <v>0</v>
      </c>
      <c r="I2705" s="16" t="n">
        <f aca="false">I2696*(1-I2667)*(I2695-I2701+I2700-I2703)</f>
        <v>0</v>
      </c>
      <c r="J2705" s="16" t="n">
        <f aca="false">J2696*(1-J2667)*(J2695-J2701+J2700-J2703)</f>
        <v>0</v>
      </c>
      <c r="K2705" s="16" t="n">
        <f aca="false">K2696*(1-K2667)*(K2695-K2701+K2700-K2703)</f>
        <v>0</v>
      </c>
    </row>
    <row r="2706" customFormat="false" ht="15" hidden="false" customHeight="false" outlineLevel="0" collapsed="false">
      <c r="A2706" s="2" t="s">
        <v>339</v>
      </c>
      <c r="F2706" s="28" t="n">
        <f aca="false">Assumptions!$C$59</f>
        <v>57.324</v>
      </c>
      <c r="G2706" s="17" t="n">
        <f aca="false">G2695+G2702+G2700-G2701-G2703-G2704</f>
        <v>57.324</v>
      </c>
      <c r="H2706" s="17" t="n">
        <f aca="false">H2695+H2702+H2700-H2701-H2703-H2704</f>
        <v>57.324</v>
      </c>
      <c r="I2706" s="17" t="n">
        <f aca="false">I2695+I2702+I2700-I2701-I2703-I2704</f>
        <v>57.324</v>
      </c>
      <c r="J2706" s="17" t="n">
        <f aca="false">J2695+J2702+J2700-J2701-J2703-J2704</f>
        <v>57.324</v>
      </c>
      <c r="K2706" s="17" t="n">
        <f aca="false">K2695+K2702+K2700-K2701-K2703-K2704</f>
        <v>57.324</v>
      </c>
    </row>
    <row r="2707" customFormat="false" ht="15" hidden="false" customHeight="false" outlineLevel="0" collapsed="false">
      <c r="A2707" s="24" t="s">
        <v>342</v>
      </c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</row>
    <row r="2708" customFormat="false" ht="15" hidden="false" customHeight="false" outlineLevel="0" collapsed="false">
      <c r="A2708" s="3" t="s">
        <v>329</v>
      </c>
      <c r="G2708" s="16" t="n">
        <f aca="false">F2719</f>
        <v>0</v>
      </c>
      <c r="H2708" s="16" t="n">
        <f aca="false">G2719</f>
        <v>0</v>
      </c>
      <c r="I2708" s="16" t="n">
        <f aca="false">H2719</f>
        <v>0</v>
      </c>
      <c r="J2708" s="16" t="n">
        <f aca="false">I2719</f>
        <v>78.416490352856</v>
      </c>
      <c r="K2708" s="16" t="n">
        <f aca="false">J2719</f>
        <v>180.047272779142</v>
      </c>
    </row>
    <row r="2709" customFormat="false" ht="15" hidden="false" customHeight="false" outlineLevel="0" collapsed="false">
      <c r="A2709" s="3" t="s">
        <v>330</v>
      </c>
      <c r="G2709" s="21" t="n">
        <f aca="false">IF(G2633=Assumptions!$K$60,1,0)</f>
        <v>1</v>
      </c>
      <c r="H2709" s="21" t="n">
        <f aca="false">IF(H2633=Assumptions!$K$60,1,0)</f>
        <v>0</v>
      </c>
      <c r="I2709" s="21" t="n">
        <f aca="false">IF(I2633=Assumptions!$K$60,1,0)</f>
        <v>0</v>
      </c>
      <c r="J2709" s="21" t="n">
        <f aca="false">IF(J2633=Assumptions!$K$60,1,0)</f>
        <v>0</v>
      </c>
      <c r="K2709" s="21" t="n">
        <f aca="false">IF(K2633=Assumptions!$K$60,1,0)</f>
        <v>0</v>
      </c>
    </row>
    <row r="2711" customFormat="false" ht="15" hidden="false" customHeight="false" outlineLevel="0" collapsed="false">
      <c r="A2711" s="3" t="s">
        <v>331</v>
      </c>
      <c r="G2711" s="31" t="n">
        <f aca="false">IF(Assumptions!$I$60=1,MAX(G2659,Assumptions!$G$60)+Assumptions!$F$60+$C$2660,Assumptions!$E$60)</f>
        <v>0.054</v>
      </c>
      <c r="H2711" s="31" t="n">
        <f aca="false">IF(G2982=1,$C$2661,IF(Assumptions!$I$60=1,MAX(H2659,Assumptions!$G$60)+Assumptions!$F$60+$C$2660,Assumptions!$E$60))</f>
        <v>0.08</v>
      </c>
      <c r="I2711" s="31" t="n">
        <f aca="false">IF(H2982=1,$C$2661,IF(Assumptions!$I$60=1,MAX(I2659,Assumptions!$G$60)+Assumptions!$F$60+$C$2660,Assumptions!$E$60))</f>
        <v>0.08</v>
      </c>
      <c r="J2711" s="31" t="n">
        <f aca="false">IF(I2982=1,$C$2661,IF(Assumptions!$I$60=1,MAX(J2659,Assumptions!$G$60)+Assumptions!$F$60+$C$2660,Assumptions!$E$60))</f>
        <v>0.08</v>
      </c>
      <c r="K2711" s="31" t="n">
        <f aca="false">IF(J2982=1,$C$2661,IF(Assumptions!$I$60=1,MAX(K2659,Assumptions!$G$60)+Assumptions!$F$60+$C$2660,Assumptions!$E$60))</f>
        <v>0.08</v>
      </c>
    </row>
    <row r="2712" customFormat="false" ht="15" hidden="false" customHeight="false" outlineLevel="0" collapsed="false">
      <c r="A2712" s="3" t="s">
        <v>332</v>
      </c>
      <c r="G2712" s="16" t="n">
        <f aca="false">G2708*G2711</f>
        <v>0</v>
      </c>
      <c r="H2712" s="16" t="n">
        <f aca="false">H2708*H2711</f>
        <v>0</v>
      </c>
      <c r="I2712" s="16" t="n">
        <f aca="false">I2708*I2711</f>
        <v>0</v>
      </c>
      <c r="J2712" s="16" t="n">
        <f aca="false">J2708*J2711</f>
        <v>6.27331922822848</v>
      </c>
      <c r="K2712" s="16" t="n">
        <f aca="false">K2708*K2711</f>
        <v>14.4037818223314</v>
      </c>
    </row>
    <row r="2713" customFormat="false" ht="15" hidden="false" customHeight="false" outlineLevel="0" collapsed="false">
      <c r="A2713" s="3" t="s">
        <v>333</v>
      </c>
      <c r="G2713" s="16" t="n">
        <f aca="false">G2708*Assumptions!$H$60</f>
        <v>0</v>
      </c>
      <c r="H2713" s="16" t="n">
        <f aca="false">H2708*Assumptions!$H$60</f>
        <v>0</v>
      </c>
      <c r="I2713" s="16" t="n">
        <f aca="false">I2708*Assumptions!$H$60</f>
        <v>0</v>
      </c>
      <c r="J2713" s="16" t="n">
        <f aca="false">J2708*Assumptions!$H$60</f>
        <v>0</v>
      </c>
      <c r="K2713" s="16" t="n">
        <f aca="false">K2708*Assumptions!$H$60</f>
        <v>0</v>
      </c>
    </row>
    <row r="2714" customFormat="false" ht="15" hidden="false" customHeight="false" outlineLevel="0" collapsed="false">
      <c r="A2714" s="3" t="s">
        <v>334</v>
      </c>
      <c r="G2714" s="16" t="n">
        <f aca="false">MIN(G2708,Assumptions!$L$60*Assumptions!$C$60)</f>
        <v>0</v>
      </c>
      <c r="H2714" s="16" t="n">
        <f aca="false">MIN(H2708,Assumptions!$L$60*Assumptions!$C$60)</f>
        <v>0</v>
      </c>
      <c r="I2714" s="16" t="n">
        <f aca="false">MIN(I2708,Assumptions!$L$60*Assumptions!$C$60)</f>
        <v>0</v>
      </c>
      <c r="J2714" s="16" t="n">
        <f aca="false">MIN(J2708,Assumptions!$L$60*Assumptions!$C$60)</f>
        <v>0</v>
      </c>
      <c r="K2714" s="16" t="n">
        <f aca="false">MIN(K2708,Assumptions!$L$60*Assumptions!$C$60)</f>
        <v>0</v>
      </c>
    </row>
    <row r="2715" customFormat="false" ht="15" hidden="false" customHeight="false" outlineLevel="0" collapsed="false">
      <c r="A2715" s="3" t="s">
        <v>335</v>
      </c>
      <c r="G2715" s="16" t="n">
        <f aca="false">IF(AND(Assumptions!$P$60=1,G2633&lt;Assumptions!$K$60),MIN(MAX(0,-G2849),MAX(0,Assumptions!$D$60-G2708)),0)</f>
        <v>0</v>
      </c>
      <c r="H2715" s="16" t="n">
        <f aca="false">IF(AND(Assumptions!$P$60=1,OR(H2633&lt;Assumptions!$K$60,G2982=1)),MIN(MAX(0,-H2849),MAX(0,Assumptions!$D$60-H2708)),0)</f>
        <v>0</v>
      </c>
      <c r="I2715" s="16" t="n">
        <f aca="false">IF(AND(Assumptions!$P$60=1,OR(I2633&lt;Assumptions!$K$60,H2982=1)),MIN(MAX(0,-I2849),MAX(0,Assumptions!$D$60-I2708)),0)</f>
        <v>78.416490352856</v>
      </c>
      <c r="J2715" s="16" t="n">
        <f aca="false">IF(AND(Assumptions!$P$60=1,OR(J2633&lt;Assumptions!$K$60,I2982=1)),MIN(MAX(0,-J2849),MAX(0,Assumptions!$D$60-J2708)),0)</f>
        <v>101.630782426286</v>
      </c>
      <c r="K2715" s="16" t="n">
        <f aca="false">IF(AND(Assumptions!$P$60=1,OR(K2633&lt;Assumptions!$K$60,J2982=1)),MIN(MAX(0,-K2849),MAX(0,Assumptions!$D$60-K2708)),0)</f>
        <v>118.511270255149</v>
      </c>
    </row>
    <row r="2716" customFormat="false" ht="15" hidden="false" customHeight="false" outlineLevel="0" collapsed="false">
      <c r="A2716" s="3" t="s">
        <v>336</v>
      </c>
      <c r="G2716" s="16" t="n">
        <f aca="false">G2709*MIN(G2708-G2714+G2713,MAX(0,G2851-Assumptions!$C$12*G2667-G2677-G2690-G2703))</f>
        <v>0</v>
      </c>
      <c r="H2716" s="16" t="n">
        <f aca="false">H2709*MIN(H2708-H2714+H2713,MAX(0,H2851-Assumptions!$C$12*H2667-H2677-H2690-H2703))</f>
        <v>0</v>
      </c>
      <c r="I2716" s="16" t="n">
        <f aca="false">I2709*MIN(I2708-I2714+I2713,MAX(0,I2851-Assumptions!$C$12*I2667-I2677-I2690-I2703))</f>
        <v>0</v>
      </c>
      <c r="J2716" s="16" t="n">
        <f aca="false">J2709*MIN(J2708-J2714+J2713,MAX(0,J2851-Assumptions!$C$12*J2667-J2677-J2690-J2703))</f>
        <v>0</v>
      </c>
      <c r="K2716" s="16" t="n">
        <f aca="false">K2709*MIN(K2708-K2714+K2713,MAX(0,K2851-Assumptions!$C$12*K2667-K2677-K2690-K2703))</f>
        <v>0</v>
      </c>
    </row>
    <row r="2717" customFormat="false" ht="15" hidden="false" customHeight="false" outlineLevel="0" collapsed="false">
      <c r="A2717" s="3" t="s">
        <v>337</v>
      </c>
      <c r="G2717" s="16" t="n">
        <f aca="false">Assumptions!$N$60*MIN(G2708+G2715+G2713-G2714-G2716,MAX(0,G2855-G2678-G2691-G2704))</f>
        <v>0</v>
      </c>
      <c r="H2717" s="16" t="n">
        <f aca="false">Assumptions!$N$60*MIN(H2708+H2715+H2713-H2714-H2716,MAX(0,H2855-H2678-H2691-H2704))</f>
        <v>0</v>
      </c>
      <c r="I2717" s="16" t="n">
        <f aca="false">Assumptions!$N$60*MIN(I2708+I2715+I2713-I2714-I2716,MAX(0,I2855-I2678-I2691-I2704))</f>
        <v>0</v>
      </c>
      <c r="J2717" s="16" t="n">
        <f aca="false">Assumptions!$N$60*MIN(J2708+J2715+J2713-J2714-J2716,MAX(0,J2855-J2678-J2691-J2704))</f>
        <v>0</v>
      </c>
      <c r="K2717" s="16" t="n">
        <f aca="false">Assumptions!$N$60*MIN(K2708+K2715+K2713-K2714-K2716,MAX(0,K2855-K2678-K2691-K2704))</f>
        <v>0</v>
      </c>
    </row>
    <row r="2718" customFormat="false" ht="15" hidden="false" customHeight="false" outlineLevel="0" collapsed="false">
      <c r="A2718" s="3" t="s">
        <v>338</v>
      </c>
      <c r="G2718" s="16" t="n">
        <f aca="false">G2709*(1-G2667)*(G2708-G2714+G2713-G2716)</f>
        <v>0</v>
      </c>
      <c r="H2718" s="16" t="n">
        <f aca="false">H2709*(1-H2667)*(H2708-H2714+H2713-H2716)</f>
        <v>0</v>
      </c>
      <c r="I2718" s="16" t="n">
        <f aca="false">I2709*(1-I2667)*(I2708-I2714+I2713-I2716)</f>
        <v>0</v>
      </c>
      <c r="J2718" s="16" t="n">
        <f aca="false">J2709*(1-J2667)*(J2708-J2714+J2713-J2716)</f>
        <v>0</v>
      </c>
      <c r="K2718" s="16" t="n">
        <f aca="false">K2709*(1-K2667)*(K2708-K2714+K2713-K2716)</f>
        <v>0</v>
      </c>
    </row>
    <row r="2719" customFormat="false" ht="15" hidden="false" customHeight="false" outlineLevel="0" collapsed="false">
      <c r="A2719" s="2" t="s">
        <v>339</v>
      </c>
      <c r="F2719" s="28" t="n">
        <f aca="false">Assumptions!$C$60</f>
        <v>0</v>
      </c>
      <c r="G2719" s="17" t="n">
        <f aca="false">G2708+G2715+G2713-G2714-G2716-G2717</f>
        <v>0</v>
      </c>
      <c r="H2719" s="17" t="n">
        <f aca="false">H2708+H2715+H2713-H2714-H2716-H2717</f>
        <v>0</v>
      </c>
      <c r="I2719" s="17" t="n">
        <f aca="false">I2708+I2715+I2713-I2714-I2716-I2717</f>
        <v>78.416490352856</v>
      </c>
      <c r="J2719" s="17" t="n">
        <f aca="false">J2708+J2715+J2713-J2714-J2716-J2717</f>
        <v>180.047272779142</v>
      </c>
      <c r="K2719" s="17" t="n">
        <f aca="false">K2708+K2715+K2713-K2714-K2716-K2717</f>
        <v>298.558543034291</v>
      </c>
    </row>
    <row r="2720" customFormat="false" ht="15" hidden="false" customHeight="false" outlineLevel="0" collapsed="false">
      <c r="A2720" s="24" t="s">
        <v>343</v>
      </c>
      <c r="B2720" s="25"/>
      <c r="C2720" s="25"/>
      <c r="D2720" s="25"/>
      <c r="E2720" s="25"/>
      <c r="F2720" s="25"/>
      <c r="G2720" s="25"/>
      <c r="H2720" s="25"/>
      <c r="I2720" s="25"/>
      <c r="J2720" s="25"/>
      <c r="K2720" s="25"/>
    </row>
    <row r="2721" customFormat="false" ht="15" hidden="false" customHeight="false" outlineLevel="0" collapsed="false">
      <c r="A2721" s="3" t="s">
        <v>329</v>
      </c>
      <c r="G2721" s="16" t="n">
        <f aca="false">F2732</f>
        <v>450</v>
      </c>
      <c r="H2721" s="16" t="n">
        <f aca="false">G2732</f>
        <v>450</v>
      </c>
      <c r="I2721" s="16" t="n">
        <f aca="false">H2732</f>
        <v>427.2491790818</v>
      </c>
      <c r="J2721" s="16" t="n">
        <f aca="false">I2732</f>
        <v>427.2491790818</v>
      </c>
      <c r="K2721" s="16" t="n">
        <f aca="false">J2732</f>
        <v>427.2491790818</v>
      </c>
    </row>
    <row r="2722" customFormat="false" ht="15" hidden="false" customHeight="false" outlineLevel="0" collapsed="false">
      <c r="A2722" s="3" t="s">
        <v>330</v>
      </c>
      <c r="G2722" s="21" t="n">
        <f aca="false">IF(G2633=Assumptions!$K$61,1,0)</f>
        <v>0</v>
      </c>
      <c r="H2722" s="21" t="n">
        <f aca="false">IF(H2633=Assumptions!$K$61,1,0)</f>
        <v>1</v>
      </c>
      <c r="I2722" s="21" t="n">
        <f aca="false">IF(I2633=Assumptions!$K$61,1,0)</f>
        <v>0</v>
      </c>
      <c r="J2722" s="21" t="n">
        <f aca="false">IF(J2633=Assumptions!$K$61,1,0)</f>
        <v>0</v>
      </c>
      <c r="K2722" s="21" t="n">
        <f aca="false">IF(K2633=Assumptions!$K$61,1,0)</f>
        <v>0</v>
      </c>
    </row>
    <row r="2724" customFormat="false" ht="15" hidden="false" customHeight="false" outlineLevel="0" collapsed="false">
      <c r="A2724" s="3" t="s">
        <v>331</v>
      </c>
      <c r="G2724" s="31" t="n">
        <f aca="false">IF(Assumptions!$I$61=1,MAX(G2659,Assumptions!$G$61)+Assumptions!$F$61+$C$2660,Assumptions!$E$61)</f>
        <v>0.0395</v>
      </c>
      <c r="H2724" s="31" t="n">
        <f aca="false">IF(G2983=1,$C$2661,IF(Assumptions!$I$61=1,MAX(H2659,Assumptions!$G$61)+Assumptions!$F$61+$C$2660,Assumptions!$E$61))</f>
        <v>0.0395</v>
      </c>
      <c r="I2724" s="31" t="n">
        <f aca="false">IF(H2983=1,$C$2661,IF(Assumptions!$I$61=1,MAX(I2659,Assumptions!$G$61)+Assumptions!$F$61+$C$2660,Assumptions!$E$61))</f>
        <v>0.08</v>
      </c>
      <c r="J2724" s="31" t="n">
        <f aca="false">IF(I2983=1,$C$2661,IF(Assumptions!$I$61=1,MAX(J2659,Assumptions!$G$61)+Assumptions!$F$61+$C$2660,Assumptions!$E$61))</f>
        <v>0.08</v>
      </c>
      <c r="K2724" s="31" t="n">
        <f aca="false">IF(J2983=1,$C$2661,IF(Assumptions!$I$61=1,MAX(K2659,Assumptions!$G$61)+Assumptions!$F$61+$C$2660,Assumptions!$E$61))</f>
        <v>0.08</v>
      </c>
    </row>
    <row r="2725" customFormat="false" ht="15" hidden="false" customHeight="false" outlineLevel="0" collapsed="false">
      <c r="A2725" s="3" t="s">
        <v>332</v>
      </c>
      <c r="G2725" s="16" t="n">
        <f aca="false">G2721*G2724</f>
        <v>17.775</v>
      </c>
      <c r="H2725" s="16" t="n">
        <f aca="false">H2721*H2724</f>
        <v>17.775</v>
      </c>
      <c r="I2725" s="16" t="n">
        <f aca="false">I2721*I2724</f>
        <v>34.179934326544</v>
      </c>
      <c r="J2725" s="16" t="n">
        <f aca="false">J2721*J2724</f>
        <v>34.179934326544</v>
      </c>
      <c r="K2725" s="16" t="n">
        <f aca="false">K2721*K2724</f>
        <v>34.179934326544</v>
      </c>
    </row>
    <row r="2726" customFormat="false" ht="15" hidden="false" customHeight="false" outlineLevel="0" collapsed="false">
      <c r="A2726" s="3" t="s">
        <v>333</v>
      </c>
      <c r="G2726" s="16" t="n">
        <f aca="false">G2721*Assumptions!$H$61</f>
        <v>0</v>
      </c>
      <c r="H2726" s="16" t="n">
        <f aca="false">H2721*Assumptions!$H$61</f>
        <v>0</v>
      </c>
      <c r="I2726" s="16" t="n">
        <f aca="false">I2721*Assumptions!$H$61</f>
        <v>0</v>
      </c>
      <c r="J2726" s="16" t="n">
        <f aca="false">J2721*Assumptions!$H$61</f>
        <v>0</v>
      </c>
      <c r="K2726" s="16" t="n">
        <f aca="false">K2721*Assumptions!$H$61</f>
        <v>0</v>
      </c>
    </row>
    <row r="2727" customFormat="false" ht="15" hidden="false" customHeight="false" outlineLevel="0" collapsed="false">
      <c r="A2727" s="3" t="s">
        <v>334</v>
      </c>
      <c r="G2727" s="16" t="n">
        <f aca="false">MIN(G2721,Assumptions!$L$61*Assumptions!$C$61)</f>
        <v>0</v>
      </c>
      <c r="H2727" s="16" t="n">
        <f aca="false">MIN(H2721,Assumptions!$L$61*Assumptions!$C$61)</f>
        <v>0</v>
      </c>
      <c r="I2727" s="16" t="n">
        <f aca="false">MIN(I2721,Assumptions!$L$61*Assumptions!$C$61)</f>
        <v>0</v>
      </c>
      <c r="J2727" s="16" t="n">
        <f aca="false">MIN(J2721,Assumptions!$L$61*Assumptions!$C$61)</f>
        <v>0</v>
      </c>
      <c r="K2727" s="16" t="n">
        <f aca="false">MIN(K2721,Assumptions!$L$61*Assumptions!$C$61)</f>
        <v>0</v>
      </c>
    </row>
    <row r="2728" customFormat="false" ht="15" hidden="false" customHeight="false" outlineLevel="0" collapsed="false">
      <c r="A2728" s="3" t="s">
        <v>335</v>
      </c>
      <c r="G2728" s="16" t="n">
        <f aca="false">IF(AND(Assumptions!$P$61=1,G2633&lt;Assumptions!$K$61),MIN(MAX(0,-G2849),MAX(0,Assumptions!$D$61-G2721)),0)</f>
        <v>0</v>
      </c>
      <c r="H2728" s="16" t="n">
        <f aca="false">IF(AND(Assumptions!$P$61=1,OR(H2633&lt;Assumptions!$K$61,G2983=1)),MIN(MAX(0,-H2849),MAX(0,Assumptions!$D$61-H2721)),0)</f>
        <v>0</v>
      </c>
      <c r="I2728" s="16" t="n">
        <f aca="false">IF(AND(Assumptions!$P$61=1,OR(I2633&lt;Assumptions!$K$61,H2983=1)),MIN(MAX(0,-I2849),MAX(0,Assumptions!$D$61-I2721)),0)</f>
        <v>0</v>
      </c>
      <c r="J2728" s="16" t="n">
        <f aca="false">IF(AND(Assumptions!$P$61=1,OR(J2633&lt;Assumptions!$K$61,I2983=1)),MIN(MAX(0,-J2849),MAX(0,Assumptions!$D$61-J2721)),0)</f>
        <v>0</v>
      </c>
      <c r="K2728" s="16" t="n">
        <f aca="false">IF(AND(Assumptions!$P$61=1,OR(K2633&lt;Assumptions!$K$61,J2983=1)),MIN(MAX(0,-K2849),MAX(0,Assumptions!$D$61-K2721)),0)</f>
        <v>0</v>
      </c>
    </row>
    <row r="2729" customFormat="false" ht="15" hidden="false" customHeight="false" outlineLevel="0" collapsed="false">
      <c r="A2729" s="3" t="s">
        <v>336</v>
      </c>
      <c r="G2729" s="16" t="n">
        <f aca="false">G2722*MIN(G2721-G2727+G2726,MAX(0,G2851-Assumptions!$C$12*G2667-G2677-G2690-G2703-G2716))</f>
        <v>0</v>
      </c>
      <c r="H2729" s="16" t="n">
        <f aca="false">H2722*MIN(H2721-H2727+H2726,MAX(0,H2851-Assumptions!$C$12*H2667-H2677-H2690-H2703-H2716))</f>
        <v>22.7508209182</v>
      </c>
      <c r="I2729" s="16" t="n">
        <f aca="false">I2722*MIN(I2721-I2727+I2726,MAX(0,I2851-Assumptions!$C$12*I2667-I2677-I2690-I2703-I2716))</f>
        <v>0</v>
      </c>
      <c r="J2729" s="16" t="n">
        <f aca="false">J2722*MIN(J2721-J2727+J2726,MAX(0,J2851-Assumptions!$C$12*J2667-J2677-J2690-J2703-J2716))</f>
        <v>0</v>
      </c>
      <c r="K2729" s="16" t="n">
        <f aca="false">K2722*MIN(K2721-K2727+K2726,MAX(0,K2851-Assumptions!$C$12*K2667-K2677-K2690-K2703-K2716))</f>
        <v>0</v>
      </c>
    </row>
    <row r="2730" customFormat="false" ht="15" hidden="false" customHeight="false" outlineLevel="0" collapsed="false">
      <c r="A2730" s="3" t="s">
        <v>337</v>
      </c>
      <c r="G2730" s="16" t="n">
        <f aca="false">Assumptions!$N$61*MIN(G2721+G2728+G2726-G2727-G2729,MAX(0,G2855-G2678-G2691-G2704-G2717))</f>
        <v>0</v>
      </c>
      <c r="H2730" s="16" t="n">
        <f aca="false">Assumptions!$N$61*MIN(H2721+H2728+H2726-H2727-H2729,MAX(0,H2855-H2678-H2691-H2704-H2717))</f>
        <v>0</v>
      </c>
      <c r="I2730" s="16" t="n">
        <f aca="false">Assumptions!$N$61*MIN(I2721+I2728+I2726-I2727-I2729,MAX(0,I2855-I2678-I2691-I2704-I2717))</f>
        <v>0</v>
      </c>
      <c r="J2730" s="16" t="n">
        <f aca="false">Assumptions!$N$61*MIN(J2721+J2728+J2726-J2727-J2729,MAX(0,J2855-J2678-J2691-J2704-J2717))</f>
        <v>0</v>
      </c>
      <c r="K2730" s="16" t="n">
        <f aca="false">Assumptions!$N$61*MIN(K2721+K2728+K2726-K2727-K2729,MAX(0,K2855-K2678-K2691-K2704-K2717))</f>
        <v>0</v>
      </c>
    </row>
    <row r="2731" customFormat="false" ht="15" hidden="false" customHeight="false" outlineLevel="0" collapsed="false">
      <c r="A2731" s="3" t="s">
        <v>338</v>
      </c>
      <c r="G2731" s="16" t="n">
        <f aca="false">G2722*(1-G2667)*(G2721-G2727+G2726-G2729)</f>
        <v>0</v>
      </c>
      <c r="H2731" s="16" t="n">
        <f aca="false">H2722*(1-H2667)*(H2721-H2727+H2726-H2729)</f>
        <v>0</v>
      </c>
      <c r="I2731" s="16" t="n">
        <f aca="false">I2722*(1-I2667)*(I2721-I2727+I2726-I2729)</f>
        <v>0</v>
      </c>
      <c r="J2731" s="16" t="n">
        <f aca="false">J2722*(1-J2667)*(J2721-J2727+J2726-J2729)</f>
        <v>0</v>
      </c>
      <c r="K2731" s="16" t="n">
        <f aca="false">K2722*(1-K2667)*(K2721-K2727+K2726-K2729)</f>
        <v>0</v>
      </c>
    </row>
    <row r="2732" customFormat="false" ht="15" hidden="false" customHeight="false" outlineLevel="0" collapsed="false">
      <c r="A2732" s="2" t="s">
        <v>339</v>
      </c>
      <c r="F2732" s="28" t="n">
        <f aca="false">Assumptions!$C$61</f>
        <v>450</v>
      </c>
      <c r="G2732" s="17" t="n">
        <f aca="false">G2721+G2728+G2726-G2727-G2729-G2730</f>
        <v>450</v>
      </c>
      <c r="H2732" s="17" t="n">
        <f aca="false">H2721+H2728+H2726-H2727-H2729-H2730</f>
        <v>427.2491790818</v>
      </c>
      <c r="I2732" s="17" t="n">
        <f aca="false">I2721+I2728+I2726-I2727-I2729-I2730</f>
        <v>427.2491790818</v>
      </c>
      <c r="J2732" s="17" t="n">
        <f aca="false">J2721+J2728+J2726-J2727-J2729-J2730</f>
        <v>427.2491790818</v>
      </c>
      <c r="K2732" s="17" t="n">
        <f aca="false">K2721+K2728+K2726-K2727-K2729-K2730</f>
        <v>427.2491790818</v>
      </c>
    </row>
    <row r="2733" customFormat="false" ht="15" hidden="false" customHeight="false" outlineLevel="0" collapsed="false">
      <c r="A2733" s="24" t="s">
        <v>344</v>
      </c>
      <c r="B2733" s="25"/>
      <c r="C2733" s="25"/>
      <c r="D2733" s="25"/>
      <c r="E2733" s="25"/>
      <c r="F2733" s="25"/>
      <c r="G2733" s="25"/>
      <c r="H2733" s="25"/>
      <c r="I2733" s="25"/>
      <c r="J2733" s="25"/>
      <c r="K2733" s="25"/>
    </row>
    <row r="2734" customFormat="false" ht="15" hidden="false" customHeight="false" outlineLevel="0" collapsed="false">
      <c r="A2734" s="3" t="s">
        <v>329</v>
      </c>
      <c r="G2734" s="16" t="n">
        <f aca="false">F2745</f>
        <v>350</v>
      </c>
      <c r="H2734" s="16" t="n">
        <f aca="false">G2745</f>
        <v>350</v>
      </c>
      <c r="I2734" s="16" t="n">
        <f aca="false">H2745</f>
        <v>350</v>
      </c>
      <c r="J2734" s="16" t="n">
        <f aca="false">I2745</f>
        <v>350</v>
      </c>
      <c r="K2734" s="16" t="n">
        <f aca="false">J2745</f>
        <v>350</v>
      </c>
    </row>
    <row r="2735" customFormat="false" ht="15" hidden="false" customHeight="false" outlineLevel="0" collapsed="false">
      <c r="A2735" s="3" t="s">
        <v>330</v>
      </c>
      <c r="G2735" s="21" t="n">
        <f aca="false">IF(G2633=Assumptions!$K$62,1,0)</f>
        <v>0</v>
      </c>
      <c r="H2735" s="21" t="n">
        <f aca="false">IF(H2633=Assumptions!$K$62,1,0)</f>
        <v>1</v>
      </c>
      <c r="I2735" s="21" t="n">
        <f aca="false">IF(I2633=Assumptions!$K$62,1,0)</f>
        <v>0</v>
      </c>
      <c r="J2735" s="21" t="n">
        <f aca="false">IF(J2633=Assumptions!$K$62,1,0)</f>
        <v>0</v>
      </c>
      <c r="K2735" s="21" t="n">
        <f aca="false">IF(K2633=Assumptions!$K$62,1,0)</f>
        <v>0</v>
      </c>
    </row>
    <row r="2737" customFormat="false" ht="15" hidden="false" customHeight="false" outlineLevel="0" collapsed="false">
      <c r="A2737" s="3" t="s">
        <v>331</v>
      </c>
      <c r="G2737" s="31" t="n">
        <f aca="false">IF(Assumptions!$I$62=1,MAX(G2659,Assumptions!$G$62)+Assumptions!$F$62+$C$2660,Assumptions!$E$62)</f>
        <v>0.083</v>
      </c>
      <c r="H2737" s="31" t="n">
        <f aca="false">IF(G2984=1,$C$2661,IF(Assumptions!$I$62=1,MAX(H2659,Assumptions!$G$62)+Assumptions!$F$62+$C$2660,Assumptions!$E$62))</f>
        <v>0.083</v>
      </c>
      <c r="I2737" s="31" t="n">
        <f aca="false">IF(H2984=1,$C$2661,IF(Assumptions!$I$62=1,MAX(I2659,Assumptions!$G$62)+Assumptions!$F$62+$C$2660,Assumptions!$E$62))</f>
        <v>0.08</v>
      </c>
      <c r="J2737" s="31" t="n">
        <f aca="false">IF(I2984=1,$C$2661,IF(Assumptions!$I$62=1,MAX(J2659,Assumptions!$G$62)+Assumptions!$F$62+$C$2660,Assumptions!$E$62))</f>
        <v>0.08</v>
      </c>
      <c r="K2737" s="31" t="n">
        <f aca="false">IF(J2984=1,$C$2661,IF(Assumptions!$I$62=1,MAX(K2659,Assumptions!$G$62)+Assumptions!$F$62+$C$2660,Assumptions!$E$62))</f>
        <v>0.08</v>
      </c>
    </row>
    <row r="2738" customFormat="false" ht="15" hidden="false" customHeight="false" outlineLevel="0" collapsed="false">
      <c r="A2738" s="3" t="s">
        <v>332</v>
      </c>
      <c r="G2738" s="16" t="n">
        <f aca="false">G2734*G2737</f>
        <v>29.05</v>
      </c>
      <c r="H2738" s="16" t="n">
        <f aca="false">H2734*H2737</f>
        <v>29.05</v>
      </c>
      <c r="I2738" s="16" t="n">
        <f aca="false">I2734*I2737</f>
        <v>28</v>
      </c>
      <c r="J2738" s="16" t="n">
        <f aca="false">J2734*J2737</f>
        <v>28</v>
      </c>
      <c r="K2738" s="16" t="n">
        <f aca="false">K2734*K2737</f>
        <v>28</v>
      </c>
    </row>
    <row r="2739" customFormat="false" ht="15" hidden="false" customHeight="false" outlineLevel="0" collapsed="false">
      <c r="A2739" s="3" t="s">
        <v>333</v>
      </c>
      <c r="G2739" s="16" t="n">
        <f aca="false">G2734*Assumptions!$H$62</f>
        <v>0</v>
      </c>
      <c r="H2739" s="16" t="n">
        <f aca="false">H2734*Assumptions!$H$62</f>
        <v>0</v>
      </c>
      <c r="I2739" s="16" t="n">
        <f aca="false">I2734*Assumptions!$H$62</f>
        <v>0</v>
      </c>
      <c r="J2739" s="16" t="n">
        <f aca="false">J2734*Assumptions!$H$62</f>
        <v>0</v>
      </c>
      <c r="K2739" s="16" t="n">
        <f aca="false">K2734*Assumptions!$H$62</f>
        <v>0</v>
      </c>
    </row>
    <row r="2740" customFormat="false" ht="15" hidden="false" customHeight="false" outlineLevel="0" collapsed="false">
      <c r="A2740" s="3" t="s">
        <v>334</v>
      </c>
      <c r="G2740" s="16" t="n">
        <f aca="false">MIN(G2734,Assumptions!$L$62*Assumptions!$C$62)</f>
        <v>0</v>
      </c>
      <c r="H2740" s="16" t="n">
        <f aca="false">MIN(H2734,Assumptions!$L$62*Assumptions!$C$62)</f>
        <v>0</v>
      </c>
      <c r="I2740" s="16" t="n">
        <f aca="false">MIN(I2734,Assumptions!$L$62*Assumptions!$C$62)</f>
        <v>0</v>
      </c>
      <c r="J2740" s="16" t="n">
        <f aca="false">MIN(J2734,Assumptions!$L$62*Assumptions!$C$62)</f>
        <v>0</v>
      </c>
      <c r="K2740" s="16" t="n">
        <f aca="false">MIN(K2734,Assumptions!$L$62*Assumptions!$C$62)</f>
        <v>0</v>
      </c>
    </row>
    <row r="2741" customFormat="false" ht="15" hidden="false" customHeight="false" outlineLevel="0" collapsed="false">
      <c r="A2741" s="3" t="s">
        <v>335</v>
      </c>
      <c r="G2741" s="16" t="n">
        <f aca="false">IF(AND(Assumptions!$P$62=1,G2633&lt;Assumptions!$K$62),MIN(MAX(0,-G2849),MAX(0,Assumptions!$D$62-G2734)),0)</f>
        <v>0</v>
      </c>
      <c r="H2741" s="16" t="n">
        <f aca="false">IF(AND(Assumptions!$P$62=1,OR(H2633&lt;Assumptions!$K$62,G2984=1)),MIN(MAX(0,-H2849),MAX(0,Assumptions!$D$62-H2734)),0)</f>
        <v>0</v>
      </c>
      <c r="I2741" s="16" t="n">
        <f aca="false">IF(AND(Assumptions!$P$62=1,OR(I2633&lt;Assumptions!$K$62,H2984=1)),MIN(MAX(0,-I2849),MAX(0,Assumptions!$D$62-I2734)),0)</f>
        <v>0</v>
      </c>
      <c r="J2741" s="16" t="n">
        <f aca="false">IF(AND(Assumptions!$P$62=1,OR(J2633&lt;Assumptions!$K$62,I2984=1)),MIN(MAX(0,-J2849),MAX(0,Assumptions!$D$62-J2734)),0)</f>
        <v>0</v>
      </c>
      <c r="K2741" s="16" t="n">
        <f aca="false">IF(AND(Assumptions!$P$62=1,OR(K2633&lt;Assumptions!$K$62,J2984=1)),MIN(MAX(0,-K2849),MAX(0,Assumptions!$D$62-K2734)),0)</f>
        <v>0</v>
      </c>
    </row>
    <row r="2742" customFormat="false" ht="15" hidden="false" customHeight="false" outlineLevel="0" collapsed="false">
      <c r="A2742" s="3" t="s">
        <v>336</v>
      </c>
      <c r="G2742" s="16" t="n">
        <f aca="false">G2735*MIN(G2734-G2740+G2739,MAX(0,G2851-Assumptions!$C$12*G2667-G2677-G2690-G2703-G2716-G2729))</f>
        <v>0</v>
      </c>
      <c r="H2742" s="16" t="n">
        <f aca="false">H2735*MIN(H2734-H2740+H2739,MAX(0,H2851-Assumptions!$C$12*H2667-H2677-H2690-H2703-H2716-H2729))</f>
        <v>0</v>
      </c>
      <c r="I2742" s="16" t="n">
        <f aca="false">I2735*MIN(I2734-I2740+I2739,MAX(0,I2851-Assumptions!$C$12*I2667-I2677-I2690-I2703-I2716-I2729))</f>
        <v>0</v>
      </c>
      <c r="J2742" s="16" t="n">
        <f aca="false">J2735*MIN(J2734-J2740+J2739,MAX(0,J2851-Assumptions!$C$12*J2667-J2677-J2690-J2703-J2716-J2729))</f>
        <v>0</v>
      </c>
      <c r="K2742" s="16" t="n">
        <f aca="false">K2735*MIN(K2734-K2740+K2739,MAX(0,K2851-Assumptions!$C$12*K2667-K2677-K2690-K2703-K2716-K2729))</f>
        <v>0</v>
      </c>
    </row>
    <row r="2743" customFormat="false" ht="15" hidden="false" customHeight="false" outlineLevel="0" collapsed="false">
      <c r="A2743" s="3" t="s">
        <v>337</v>
      </c>
      <c r="G2743" s="16" t="n">
        <f aca="false">Assumptions!$N$62*MIN(G2734+G2741+G2739-G2740-G2742,MAX(0,G2855-G2678-G2691-G2704-G2717-G2730))</f>
        <v>0</v>
      </c>
      <c r="H2743" s="16" t="n">
        <f aca="false">Assumptions!$N$62*MIN(H2734+H2741+H2739-H2740-H2742,MAX(0,H2855-H2678-H2691-H2704-H2717-H2730))</f>
        <v>0</v>
      </c>
      <c r="I2743" s="16" t="n">
        <f aca="false">Assumptions!$N$62*MIN(I2734+I2741+I2739-I2740-I2742,MAX(0,I2855-I2678-I2691-I2704-I2717-I2730))</f>
        <v>0</v>
      </c>
      <c r="J2743" s="16" t="n">
        <f aca="false">Assumptions!$N$62*MIN(J2734+J2741+J2739-J2740-J2742,MAX(0,J2855-J2678-J2691-J2704-J2717-J2730))</f>
        <v>0</v>
      </c>
      <c r="K2743" s="16" t="n">
        <f aca="false">Assumptions!$N$62*MIN(K2734+K2741+K2739-K2740-K2742,MAX(0,K2855-K2678-K2691-K2704-K2717-K2730))</f>
        <v>0</v>
      </c>
    </row>
    <row r="2744" customFormat="false" ht="15" hidden="false" customHeight="false" outlineLevel="0" collapsed="false">
      <c r="A2744" s="3" t="s">
        <v>338</v>
      </c>
      <c r="G2744" s="16" t="n">
        <f aca="false">G2735*(1-G2667)*(G2734-G2740+G2739-G2742)</f>
        <v>0</v>
      </c>
      <c r="H2744" s="16" t="n">
        <f aca="false">H2735*(1-H2667)*(H2734-H2740+H2739-H2742)</f>
        <v>0</v>
      </c>
      <c r="I2744" s="16" t="n">
        <f aca="false">I2735*(1-I2667)*(I2734-I2740+I2739-I2742)</f>
        <v>0</v>
      </c>
      <c r="J2744" s="16" t="n">
        <f aca="false">J2735*(1-J2667)*(J2734-J2740+J2739-J2742)</f>
        <v>0</v>
      </c>
      <c r="K2744" s="16" t="n">
        <f aca="false">K2735*(1-K2667)*(K2734-K2740+K2739-K2742)</f>
        <v>0</v>
      </c>
    </row>
    <row r="2745" customFormat="false" ht="15" hidden="false" customHeight="false" outlineLevel="0" collapsed="false">
      <c r="A2745" s="2" t="s">
        <v>339</v>
      </c>
      <c r="F2745" s="28" t="n">
        <f aca="false">Assumptions!$C$62</f>
        <v>350</v>
      </c>
      <c r="G2745" s="17" t="n">
        <f aca="false">G2734+G2741+G2739-G2740-G2742-G2743</f>
        <v>350</v>
      </c>
      <c r="H2745" s="17" t="n">
        <f aca="false">H2734+H2741+H2739-H2740-H2742-H2743</f>
        <v>350</v>
      </c>
      <c r="I2745" s="17" t="n">
        <f aca="false">I2734+I2741+I2739-I2740-I2742-I2743</f>
        <v>350</v>
      </c>
      <c r="J2745" s="17" t="n">
        <f aca="false">J2734+J2741+J2739-J2740-J2742-J2743</f>
        <v>350</v>
      </c>
      <c r="K2745" s="17" t="n">
        <f aca="false">K2734+K2741+K2739-K2740-K2742-K2743</f>
        <v>350</v>
      </c>
    </row>
    <row r="2746" customFormat="false" ht="15" hidden="false" customHeight="false" outlineLevel="0" collapsed="false">
      <c r="A2746" s="24" t="s">
        <v>345</v>
      </c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</row>
    <row r="2747" customFormat="false" ht="15" hidden="false" customHeight="false" outlineLevel="0" collapsed="false">
      <c r="A2747" s="3" t="s">
        <v>329</v>
      </c>
      <c r="G2747" s="16" t="n">
        <f aca="false">F2758</f>
        <v>550</v>
      </c>
      <c r="H2747" s="16" t="n">
        <f aca="false">G2758</f>
        <v>550</v>
      </c>
      <c r="I2747" s="16" t="n">
        <f aca="false">H2758</f>
        <v>550</v>
      </c>
      <c r="J2747" s="16" t="n">
        <f aca="false">I2758</f>
        <v>550</v>
      </c>
      <c r="K2747" s="16" t="n">
        <f aca="false">J2758</f>
        <v>550</v>
      </c>
    </row>
    <row r="2748" customFormat="false" ht="15" hidden="false" customHeight="false" outlineLevel="0" collapsed="false">
      <c r="A2748" s="3" t="s">
        <v>330</v>
      </c>
      <c r="G2748" s="21" t="n">
        <f aca="false">IF(G2633=Assumptions!$K$63,1,0)</f>
        <v>0</v>
      </c>
      <c r="H2748" s="21" t="n">
        <f aca="false">IF(H2633=Assumptions!$K$63,1,0)</f>
        <v>0</v>
      </c>
      <c r="I2748" s="21" t="n">
        <f aca="false">IF(I2633=Assumptions!$K$63,1,0)</f>
        <v>1</v>
      </c>
      <c r="J2748" s="21" t="n">
        <f aca="false">IF(J2633=Assumptions!$K$63,1,0)</f>
        <v>0</v>
      </c>
      <c r="K2748" s="21" t="n">
        <f aca="false">IF(K2633=Assumptions!$K$63,1,0)</f>
        <v>0</v>
      </c>
    </row>
    <row r="2750" customFormat="false" ht="15" hidden="false" customHeight="false" outlineLevel="0" collapsed="false">
      <c r="A2750" s="3" t="s">
        <v>331</v>
      </c>
      <c r="G2750" s="31" t="n">
        <f aca="false">IF(Assumptions!$I$63=1,MAX(G2659,Assumptions!$G$63)+Assumptions!$F$63+$C$2660,Assumptions!$E$63)</f>
        <v>0.08875</v>
      </c>
      <c r="H2750" s="31" t="n">
        <f aca="false">IF(G2985=1,$C$2661,IF(Assumptions!$I$63=1,MAX(H2659,Assumptions!$G$63)+Assumptions!$F$63+$C$2660,Assumptions!$E$63))</f>
        <v>0.08875</v>
      </c>
      <c r="I2750" s="31" t="n">
        <f aca="false">IF(H2985=1,$C$2661,IF(Assumptions!$I$63=1,MAX(I2659,Assumptions!$G$63)+Assumptions!$F$63+$C$2660,Assumptions!$E$63))</f>
        <v>0.08875</v>
      </c>
      <c r="J2750" s="31" t="n">
        <f aca="false">IF(I2985=1,$C$2661,IF(Assumptions!$I$63=1,MAX(J2659,Assumptions!$G$63)+Assumptions!$F$63+$C$2660,Assumptions!$E$63))</f>
        <v>0.08</v>
      </c>
      <c r="K2750" s="31" t="n">
        <f aca="false">IF(J2985=1,$C$2661,IF(Assumptions!$I$63=1,MAX(K2659,Assumptions!$G$63)+Assumptions!$F$63+$C$2660,Assumptions!$E$63))</f>
        <v>0.08</v>
      </c>
    </row>
    <row r="2751" customFormat="false" ht="15" hidden="false" customHeight="false" outlineLevel="0" collapsed="false">
      <c r="A2751" s="3" t="s">
        <v>332</v>
      </c>
      <c r="G2751" s="16" t="n">
        <f aca="false">G2747*G2750</f>
        <v>48.8125</v>
      </c>
      <c r="H2751" s="16" t="n">
        <f aca="false">H2747*H2750</f>
        <v>48.8125</v>
      </c>
      <c r="I2751" s="16" t="n">
        <f aca="false">I2747*I2750</f>
        <v>48.8125</v>
      </c>
      <c r="J2751" s="16" t="n">
        <f aca="false">J2747*J2750</f>
        <v>44</v>
      </c>
      <c r="K2751" s="16" t="n">
        <f aca="false">K2747*K2750</f>
        <v>44</v>
      </c>
    </row>
    <row r="2752" customFormat="false" ht="15" hidden="false" customHeight="false" outlineLevel="0" collapsed="false">
      <c r="A2752" s="3" t="s">
        <v>333</v>
      </c>
      <c r="G2752" s="16" t="n">
        <f aca="false">G2747*Assumptions!$H$63</f>
        <v>0</v>
      </c>
      <c r="H2752" s="16" t="n">
        <f aca="false">H2747*Assumptions!$H$63</f>
        <v>0</v>
      </c>
      <c r="I2752" s="16" t="n">
        <f aca="false">I2747*Assumptions!$H$63</f>
        <v>0</v>
      </c>
      <c r="J2752" s="16" t="n">
        <f aca="false">J2747*Assumptions!$H$63</f>
        <v>0</v>
      </c>
      <c r="K2752" s="16" t="n">
        <f aca="false">K2747*Assumptions!$H$63</f>
        <v>0</v>
      </c>
    </row>
    <row r="2753" customFormat="false" ht="15" hidden="false" customHeight="false" outlineLevel="0" collapsed="false">
      <c r="A2753" s="3" t="s">
        <v>334</v>
      </c>
      <c r="G2753" s="16" t="n">
        <f aca="false">MIN(G2747,Assumptions!$L$63*Assumptions!$C$63)</f>
        <v>0</v>
      </c>
      <c r="H2753" s="16" t="n">
        <f aca="false">MIN(H2747,Assumptions!$L$63*Assumptions!$C$63)</f>
        <v>0</v>
      </c>
      <c r="I2753" s="16" t="n">
        <f aca="false">MIN(I2747,Assumptions!$L$63*Assumptions!$C$63)</f>
        <v>0</v>
      </c>
      <c r="J2753" s="16" t="n">
        <f aca="false">MIN(J2747,Assumptions!$L$63*Assumptions!$C$63)</f>
        <v>0</v>
      </c>
      <c r="K2753" s="16" t="n">
        <f aca="false">MIN(K2747,Assumptions!$L$63*Assumptions!$C$63)</f>
        <v>0</v>
      </c>
    </row>
    <row r="2754" customFormat="false" ht="15" hidden="false" customHeight="false" outlineLevel="0" collapsed="false">
      <c r="A2754" s="3" t="s">
        <v>335</v>
      </c>
      <c r="G2754" s="16" t="n">
        <f aca="false">IF(AND(Assumptions!$P$63=1,G2633&lt;Assumptions!$K$63),MIN(MAX(0,-G2849),MAX(0,Assumptions!$D$63-G2747)),0)</f>
        <v>0</v>
      </c>
      <c r="H2754" s="16" t="n">
        <f aca="false">IF(AND(Assumptions!$P$63=1,OR(H2633&lt;Assumptions!$K$63,G2985=1)),MIN(MAX(0,-H2849),MAX(0,Assumptions!$D$63-H2747)),0)</f>
        <v>0</v>
      </c>
      <c r="I2754" s="16" t="n">
        <f aca="false">IF(AND(Assumptions!$P$63=1,OR(I2633&lt;Assumptions!$K$63,H2985=1)),MIN(MAX(0,-I2849),MAX(0,Assumptions!$D$63-I2747)),0)</f>
        <v>0</v>
      </c>
      <c r="J2754" s="16" t="n">
        <f aca="false">IF(AND(Assumptions!$P$63=1,OR(J2633&lt;Assumptions!$K$63,I2985=1)),MIN(MAX(0,-J2849),MAX(0,Assumptions!$D$63-J2747)),0)</f>
        <v>0</v>
      </c>
      <c r="K2754" s="16" t="n">
        <f aca="false">IF(AND(Assumptions!$P$63=1,OR(K2633&lt;Assumptions!$K$63,J2985=1)),MIN(MAX(0,-K2849),MAX(0,Assumptions!$D$63-K2747)),0)</f>
        <v>0</v>
      </c>
    </row>
    <row r="2755" customFormat="false" ht="15" hidden="false" customHeight="false" outlineLevel="0" collapsed="false">
      <c r="A2755" s="3" t="s">
        <v>336</v>
      </c>
      <c r="G2755" s="16" t="n">
        <f aca="false">G2748*MIN(G2747-G2753+G2752,MAX(0,G2851-Assumptions!$C$12*G2667-G2677-G2690-G2703-G2716-G2729-G2742))</f>
        <v>0</v>
      </c>
      <c r="H2755" s="16" t="n">
        <f aca="false">H2748*MIN(H2747-H2753+H2752,MAX(0,H2851-Assumptions!$C$12*H2667-H2677-H2690-H2703-H2716-H2729-H2742))</f>
        <v>0</v>
      </c>
      <c r="I2755" s="16" t="n">
        <f aca="false">I2748*MIN(I2747-I2753+I2752,MAX(0,I2851-Assumptions!$C$12*I2667-I2677-I2690-I2703-I2716-I2729-I2742))</f>
        <v>0</v>
      </c>
      <c r="J2755" s="16" t="n">
        <f aca="false">J2748*MIN(J2747-J2753+J2752,MAX(0,J2851-Assumptions!$C$12*J2667-J2677-J2690-J2703-J2716-J2729-J2742))</f>
        <v>0</v>
      </c>
      <c r="K2755" s="16" t="n">
        <f aca="false">K2748*MIN(K2747-K2753+K2752,MAX(0,K2851-Assumptions!$C$12*K2667-K2677-K2690-K2703-K2716-K2729-K2742))</f>
        <v>0</v>
      </c>
    </row>
    <row r="2756" customFormat="false" ht="15" hidden="false" customHeight="false" outlineLevel="0" collapsed="false">
      <c r="A2756" s="3" t="s">
        <v>337</v>
      </c>
      <c r="G2756" s="16" t="n">
        <f aca="false">Assumptions!$N$63*MIN(G2747+G2754+G2752-G2753-G2755,MAX(0,G2855-G2678-G2691-G2704-G2717-G2730-G2743))</f>
        <v>0</v>
      </c>
      <c r="H2756" s="16" t="n">
        <f aca="false">Assumptions!$N$63*MIN(H2747+H2754+H2752-H2753-H2755,MAX(0,H2855-H2678-H2691-H2704-H2717-H2730-H2743))</f>
        <v>0</v>
      </c>
      <c r="I2756" s="16" t="n">
        <f aca="false">Assumptions!$N$63*MIN(I2747+I2754+I2752-I2753-I2755,MAX(0,I2855-I2678-I2691-I2704-I2717-I2730-I2743))</f>
        <v>0</v>
      </c>
      <c r="J2756" s="16" t="n">
        <f aca="false">Assumptions!$N$63*MIN(J2747+J2754+J2752-J2753-J2755,MAX(0,J2855-J2678-J2691-J2704-J2717-J2730-J2743))</f>
        <v>0</v>
      </c>
      <c r="K2756" s="16" t="n">
        <f aca="false">Assumptions!$N$63*MIN(K2747+K2754+K2752-K2753-K2755,MAX(0,K2855-K2678-K2691-K2704-K2717-K2730-K2743))</f>
        <v>0</v>
      </c>
    </row>
    <row r="2757" customFormat="false" ht="15" hidden="false" customHeight="false" outlineLevel="0" collapsed="false">
      <c r="A2757" s="3" t="s">
        <v>338</v>
      </c>
      <c r="G2757" s="16" t="n">
        <f aca="false">G2748*(1-G2667)*(G2747-G2753+G2752-G2755)</f>
        <v>0</v>
      </c>
      <c r="H2757" s="16" t="n">
        <f aca="false">H2748*(1-H2667)*(H2747-H2753+H2752-H2755)</f>
        <v>0</v>
      </c>
      <c r="I2757" s="16" t="n">
        <f aca="false">I2748*(1-I2667)*(I2747-I2753+I2752-I2755)</f>
        <v>0</v>
      </c>
      <c r="J2757" s="16" t="n">
        <f aca="false">J2748*(1-J2667)*(J2747-J2753+J2752-J2755)</f>
        <v>0</v>
      </c>
      <c r="K2757" s="16" t="n">
        <f aca="false">K2748*(1-K2667)*(K2747-K2753+K2752-K2755)</f>
        <v>0</v>
      </c>
    </row>
    <row r="2758" customFormat="false" ht="15" hidden="false" customHeight="false" outlineLevel="0" collapsed="false">
      <c r="A2758" s="2" t="s">
        <v>339</v>
      </c>
      <c r="F2758" s="28" t="n">
        <f aca="false">Assumptions!$C$63</f>
        <v>550</v>
      </c>
      <c r="G2758" s="17" t="n">
        <f aca="false">G2747+G2754+G2752-G2753-G2755-G2756</f>
        <v>550</v>
      </c>
      <c r="H2758" s="17" t="n">
        <f aca="false">H2747+H2754+H2752-H2753-H2755-H2756</f>
        <v>550</v>
      </c>
      <c r="I2758" s="17" t="n">
        <f aca="false">I2747+I2754+I2752-I2753-I2755-I2756</f>
        <v>550</v>
      </c>
      <c r="J2758" s="17" t="n">
        <f aca="false">J2747+J2754+J2752-J2753-J2755-J2756</f>
        <v>550</v>
      </c>
      <c r="K2758" s="17" t="n">
        <f aca="false">K2747+K2754+K2752-K2753-K2755-K2756</f>
        <v>550</v>
      </c>
    </row>
    <row r="2759" customFormat="false" ht="15" hidden="false" customHeight="false" outlineLevel="0" collapsed="false">
      <c r="A2759" s="24" t="s">
        <v>346</v>
      </c>
      <c r="B2759" s="25"/>
      <c r="C2759" s="25"/>
      <c r="D2759" s="25"/>
      <c r="E2759" s="25"/>
      <c r="F2759" s="25"/>
      <c r="G2759" s="25"/>
      <c r="H2759" s="25"/>
      <c r="I2759" s="25"/>
      <c r="J2759" s="25"/>
      <c r="K2759" s="25"/>
    </row>
    <row r="2760" customFormat="false" ht="15" hidden="false" customHeight="false" outlineLevel="0" collapsed="false">
      <c r="A2760" s="3" t="s">
        <v>329</v>
      </c>
      <c r="G2760" s="16" t="n">
        <f aca="false">F2771</f>
        <v>350</v>
      </c>
      <c r="H2760" s="16" t="n">
        <f aca="false">G2771</f>
        <v>350</v>
      </c>
      <c r="I2760" s="16" t="n">
        <f aca="false">H2771</f>
        <v>350</v>
      </c>
      <c r="J2760" s="16" t="n">
        <f aca="false">I2771</f>
        <v>350</v>
      </c>
      <c r="K2760" s="16" t="n">
        <f aca="false">J2771</f>
        <v>350</v>
      </c>
    </row>
    <row r="2761" customFormat="false" ht="15" hidden="false" customHeight="false" outlineLevel="0" collapsed="false">
      <c r="A2761" s="3" t="s">
        <v>330</v>
      </c>
      <c r="G2761" s="21" t="n">
        <f aca="false">IF(G2633=Assumptions!$K$64,1,0)</f>
        <v>0</v>
      </c>
      <c r="H2761" s="21" t="n">
        <f aca="false">IF(H2633=Assumptions!$K$64,1,0)</f>
        <v>0</v>
      </c>
      <c r="I2761" s="21" t="n">
        <f aca="false">IF(I2633=Assumptions!$K$64,1,0)</f>
        <v>0</v>
      </c>
      <c r="J2761" s="21" t="n">
        <f aca="false">IF(J2633=Assumptions!$K$64,1,0)</f>
        <v>1</v>
      </c>
      <c r="K2761" s="21" t="n">
        <f aca="false">IF(K2633=Assumptions!$K$64,1,0)</f>
        <v>0</v>
      </c>
    </row>
    <row r="2763" customFormat="false" ht="15" hidden="false" customHeight="false" outlineLevel="0" collapsed="false">
      <c r="A2763" s="3" t="s">
        <v>331</v>
      </c>
      <c r="G2763" s="31" t="n">
        <f aca="false">IF(Assumptions!$I$64=1,MAX(G2659,Assumptions!$G$64)+Assumptions!$F$64+$C$2660,Assumptions!$E$64)</f>
        <v>0.0455</v>
      </c>
      <c r="H2763" s="31" t="n">
        <f aca="false">IF(G2986=1,$C$2661,IF(Assumptions!$I$64=1,MAX(H2659,Assumptions!$G$64)+Assumptions!$F$64+$C$2660,Assumptions!$E$64))</f>
        <v>0.0455</v>
      </c>
      <c r="I2763" s="31" t="n">
        <f aca="false">IF(H2986=1,$C$2661,IF(Assumptions!$I$64=1,MAX(I2659,Assumptions!$G$64)+Assumptions!$F$64+$C$2660,Assumptions!$E$64))</f>
        <v>0.0455</v>
      </c>
      <c r="J2763" s="31" t="n">
        <f aca="false">IF(I2986=1,$C$2661,IF(Assumptions!$I$64=1,MAX(J2659,Assumptions!$G$64)+Assumptions!$F$64+$C$2660,Assumptions!$E$64))</f>
        <v>0.0455</v>
      </c>
      <c r="K2763" s="31" t="n">
        <f aca="false">IF(J2986=1,$C$2661,IF(Assumptions!$I$64=1,MAX(K2659,Assumptions!$G$64)+Assumptions!$F$64+$C$2660,Assumptions!$E$64))</f>
        <v>0.08</v>
      </c>
    </row>
    <row r="2764" customFormat="false" ht="15" hidden="false" customHeight="false" outlineLevel="0" collapsed="false">
      <c r="A2764" s="3" t="s">
        <v>332</v>
      </c>
      <c r="G2764" s="16" t="n">
        <f aca="false">G2760*G2763</f>
        <v>15.925</v>
      </c>
      <c r="H2764" s="16" t="n">
        <f aca="false">H2760*H2763</f>
        <v>15.925</v>
      </c>
      <c r="I2764" s="16" t="n">
        <f aca="false">I2760*I2763</f>
        <v>15.925</v>
      </c>
      <c r="J2764" s="16" t="n">
        <f aca="false">J2760*J2763</f>
        <v>15.925</v>
      </c>
      <c r="K2764" s="16" t="n">
        <f aca="false">K2760*K2763</f>
        <v>28</v>
      </c>
    </row>
    <row r="2765" customFormat="false" ht="15" hidden="false" customHeight="false" outlineLevel="0" collapsed="false">
      <c r="A2765" s="3" t="s">
        <v>333</v>
      </c>
      <c r="G2765" s="16" t="n">
        <f aca="false">G2760*Assumptions!$H$64</f>
        <v>0</v>
      </c>
      <c r="H2765" s="16" t="n">
        <f aca="false">H2760*Assumptions!$H$64</f>
        <v>0</v>
      </c>
      <c r="I2765" s="16" t="n">
        <f aca="false">I2760*Assumptions!$H$64</f>
        <v>0</v>
      </c>
      <c r="J2765" s="16" t="n">
        <f aca="false">J2760*Assumptions!$H$64</f>
        <v>0</v>
      </c>
      <c r="K2765" s="16" t="n">
        <f aca="false">K2760*Assumptions!$H$64</f>
        <v>0</v>
      </c>
    </row>
    <row r="2766" customFormat="false" ht="15" hidden="false" customHeight="false" outlineLevel="0" collapsed="false">
      <c r="A2766" s="3" t="s">
        <v>334</v>
      </c>
      <c r="G2766" s="16" t="n">
        <f aca="false">MIN(G2760,Assumptions!$L$64*Assumptions!$C$64)</f>
        <v>0</v>
      </c>
      <c r="H2766" s="16" t="n">
        <f aca="false">MIN(H2760,Assumptions!$L$64*Assumptions!$C$64)</f>
        <v>0</v>
      </c>
      <c r="I2766" s="16" t="n">
        <f aca="false">MIN(I2760,Assumptions!$L$64*Assumptions!$C$64)</f>
        <v>0</v>
      </c>
      <c r="J2766" s="16" t="n">
        <f aca="false">MIN(J2760,Assumptions!$L$64*Assumptions!$C$64)</f>
        <v>0</v>
      </c>
      <c r="K2766" s="16" t="n">
        <f aca="false">MIN(K2760,Assumptions!$L$64*Assumptions!$C$64)</f>
        <v>0</v>
      </c>
    </row>
    <row r="2767" customFormat="false" ht="15" hidden="false" customHeight="false" outlineLevel="0" collapsed="false">
      <c r="A2767" s="3" t="s">
        <v>335</v>
      </c>
      <c r="G2767" s="16" t="n">
        <f aca="false">IF(AND(Assumptions!$P$64=1,G2633&lt;Assumptions!$K$64),MIN(MAX(0,-G2849),MAX(0,Assumptions!$D$64-G2760)),0)</f>
        <v>0</v>
      </c>
      <c r="H2767" s="16" t="n">
        <f aca="false">IF(AND(Assumptions!$P$64=1,OR(H2633&lt;Assumptions!$K$64,G2986=1)),MIN(MAX(0,-H2849),MAX(0,Assumptions!$D$64-H2760)),0)</f>
        <v>0</v>
      </c>
      <c r="I2767" s="16" t="n">
        <f aca="false">IF(AND(Assumptions!$P$64=1,OR(I2633&lt;Assumptions!$K$64,H2986=1)),MIN(MAX(0,-I2849),MAX(0,Assumptions!$D$64-I2760)),0)</f>
        <v>0</v>
      </c>
      <c r="J2767" s="16" t="n">
        <f aca="false">IF(AND(Assumptions!$P$64=1,OR(J2633&lt;Assumptions!$K$64,I2986=1)),MIN(MAX(0,-J2849),MAX(0,Assumptions!$D$64-J2760)),0)</f>
        <v>0</v>
      </c>
      <c r="K2767" s="16" t="n">
        <f aca="false">IF(AND(Assumptions!$P$64=1,OR(K2633&lt;Assumptions!$K$64,J2986=1)),MIN(MAX(0,-K2849),MAX(0,Assumptions!$D$64-K2760)),0)</f>
        <v>0</v>
      </c>
    </row>
    <row r="2768" customFormat="false" ht="15" hidden="false" customHeight="false" outlineLevel="0" collapsed="false">
      <c r="A2768" s="3" t="s">
        <v>336</v>
      </c>
      <c r="G2768" s="16" t="n">
        <f aca="false">G2761*MIN(G2760-G2766+G2765,MAX(0,G2851-Assumptions!$C$12*G2667-G2677-G2690-G2703-G2716-G2729-G2742-G2755))</f>
        <v>0</v>
      </c>
      <c r="H2768" s="16" t="n">
        <f aca="false">H2761*MIN(H2760-H2766+H2765,MAX(0,H2851-Assumptions!$C$12*H2667-H2677-H2690-H2703-H2716-H2729-H2742-H2755))</f>
        <v>0</v>
      </c>
      <c r="I2768" s="16" t="n">
        <f aca="false">I2761*MIN(I2760-I2766+I2765,MAX(0,I2851-Assumptions!$C$12*I2667-I2677-I2690-I2703-I2716-I2729-I2742-I2755))</f>
        <v>0</v>
      </c>
      <c r="J2768" s="16" t="n">
        <f aca="false">J2761*MIN(J2760-J2766+J2765,MAX(0,J2851-Assumptions!$C$12*J2667-J2677-J2690-J2703-J2716-J2729-J2742-J2755))</f>
        <v>0</v>
      </c>
      <c r="K2768" s="16" t="n">
        <f aca="false">K2761*MIN(K2760-K2766+K2765,MAX(0,K2851-Assumptions!$C$12*K2667-K2677-K2690-K2703-K2716-K2729-K2742-K2755))</f>
        <v>0</v>
      </c>
    </row>
    <row r="2769" customFormat="false" ht="15" hidden="false" customHeight="false" outlineLevel="0" collapsed="false">
      <c r="A2769" s="3" t="s">
        <v>337</v>
      </c>
      <c r="G2769" s="16" t="n">
        <f aca="false">Assumptions!$N$64*MIN(G2760+G2767+G2765-G2766-G2768,MAX(0,G2855-G2678-G2691-G2704-G2717-G2730-G2743-G2756))</f>
        <v>0</v>
      </c>
      <c r="H2769" s="16" t="n">
        <f aca="false">Assumptions!$N$64*MIN(H2760+H2767+H2765-H2766-H2768,MAX(0,H2855-H2678-H2691-H2704-H2717-H2730-H2743-H2756))</f>
        <v>0</v>
      </c>
      <c r="I2769" s="16" t="n">
        <f aca="false">Assumptions!$N$64*MIN(I2760+I2767+I2765-I2766-I2768,MAX(0,I2855-I2678-I2691-I2704-I2717-I2730-I2743-I2756))</f>
        <v>0</v>
      </c>
      <c r="J2769" s="16" t="n">
        <f aca="false">Assumptions!$N$64*MIN(J2760+J2767+J2765-J2766-J2768,MAX(0,J2855-J2678-J2691-J2704-J2717-J2730-J2743-J2756))</f>
        <v>0</v>
      </c>
      <c r="K2769" s="16" t="n">
        <f aca="false">Assumptions!$N$64*MIN(K2760+K2767+K2765-K2766-K2768,MAX(0,K2855-K2678-K2691-K2704-K2717-K2730-K2743-K2756))</f>
        <v>0</v>
      </c>
    </row>
    <row r="2770" customFormat="false" ht="15" hidden="false" customHeight="false" outlineLevel="0" collapsed="false">
      <c r="A2770" s="3" t="s">
        <v>338</v>
      </c>
      <c r="G2770" s="16" t="n">
        <f aca="false">G2761*(1-G2667)*(G2760-G2766+G2765-G2768)</f>
        <v>0</v>
      </c>
      <c r="H2770" s="16" t="n">
        <f aca="false">H2761*(1-H2667)*(H2760-H2766+H2765-H2768)</f>
        <v>0</v>
      </c>
      <c r="I2770" s="16" t="n">
        <f aca="false">I2761*(1-I2667)*(I2760-I2766+I2765-I2768)</f>
        <v>0</v>
      </c>
      <c r="J2770" s="16" t="n">
        <f aca="false">J2761*(1-J2667)*(J2760-J2766+J2765-J2768)</f>
        <v>0</v>
      </c>
      <c r="K2770" s="16" t="n">
        <f aca="false">K2761*(1-K2667)*(K2760-K2766+K2765-K2768)</f>
        <v>0</v>
      </c>
    </row>
    <row r="2771" customFormat="false" ht="15" hidden="false" customHeight="false" outlineLevel="0" collapsed="false">
      <c r="A2771" s="2" t="s">
        <v>339</v>
      </c>
      <c r="F2771" s="28" t="n">
        <f aca="false">Assumptions!$C$64</f>
        <v>350</v>
      </c>
      <c r="G2771" s="17" t="n">
        <f aca="false">G2760+G2767+G2765-G2766-G2768-G2769</f>
        <v>350</v>
      </c>
      <c r="H2771" s="17" t="n">
        <f aca="false">H2760+H2767+H2765-H2766-H2768-H2769</f>
        <v>350</v>
      </c>
      <c r="I2771" s="17" t="n">
        <f aca="false">I2760+I2767+I2765-I2766-I2768-I2769</f>
        <v>350</v>
      </c>
      <c r="J2771" s="17" t="n">
        <f aca="false">J2760+J2767+J2765-J2766-J2768-J2769</f>
        <v>350</v>
      </c>
      <c r="K2771" s="17" t="n">
        <f aca="false">K2760+K2767+K2765-K2766-K2768-K2769</f>
        <v>350</v>
      </c>
    </row>
    <row r="2772" customFormat="false" ht="15" hidden="false" customHeight="false" outlineLevel="0" collapsed="false">
      <c r="A2772" s="24" t="s">
        <v>347</v>
      </c>
      <c r="B2772" s="25"/>
      <c r="C2772" s="25"/>
      <c r="D2772" s="25"/>
      <c r="E2772" s="25"/>
      <c r="F2772" s="25"/>
      <c r="G2772" s="25"/>
      <c r="H2772" s="25"/>
      <c r="I2772" s="25"/>
      <c r="J2772" s="25"/>
      <c r="K2772" s="25"/>
    </row>
    <row r="2773" customFormat="false" ht="15" hidden="false" customHeight="false" outlineLevel="0" collapsed="false">
      <c r="A2773" s="3" t="s">
        <v>329</v>
      </c>
      <c r="G2773" s="16" t="n">
        <f aca="false">F2784</f>
        <v>300</v>
      </c>
      <c r="H2773" s="16" t="n">
        <f aca="false">G2784</f>
        <v>300</v>
      </c>
      <c r="I2773" s="16" t="n">
        <f aca="false">H2784</f>
        <v>300</v>
      </c>
      <c r="J2773" s="16" t="n">
        <f aca="false">I2784</f>
        <v>300</v>
      </c>
      <c r="K2773" s="16" t="n">
        <f aca="false">J2784</f>
        <v>300</v>
      </c>
    </row>
    <row r="2774" customFormat="false" ht="15" hidden="false" customHeight="false" outlineLevel="0" collapsed="false">
      <c r="A2774" s="3" t="s">
        <v>330</v>
      </c>
      <c r="G2774" s="21" t="n">
        <f aca="false">IF(G2633=Assumptions!$K$65,1,0)</f>
        <v>0</v>
      </c>
      <c r="H2774" s="21" t="n">
        <f aca="false">IF(H2633=Assumptions!$K$65,1,0)</f>
        <v>0</v>
      </c>
      <c r="I2774" s="21" t="n">
        <f aca="false">IF(I2633=Assumptions!$K$65,1,0)</f>
        <v>0</v>
      </c>
      <c r="J2774" s="21" t="n">
        <f aca="false">IF(J2633=Assumptions!$K$65,1,0)</f>
        <v>0</v>
      </c>
      <c r="K2774" s="21" t="n">
        <f aca="false">IF(K2633=Assumptions!$K$65,1,0)</f>
        <v>1</v>
      </c>
    </row>
    <row r="2776" customFormat="false" ht="15" hidden="false" customHeight="false" outlineLevel="0" collapsed="false">
      <c r="A2776" s="3" t="s">
        <v>331</v>
      </c>
      <c r="G2776" s="31" t="n">
        <f aca="false">IF(Assumptions!$I$65=1,MAX(G2659,Assumptions!$G$65)+Assumptions!$F$65+$C$2660,Assumptions!$E$65)</f>
        <v>0.06125</v>
      </c>
      <c r="H2776" s="31" t="n">
        <f aca="false">IF(G2987=1,$C$2661,IF(Assumptions!$I$65=1,MAX(H2659,Assumptions!$G$65)+Assumptions!$F$65+$C$2660,Assumptions!$E$65))</f>
        <v>0.06125</v>
      </c>
      <c r="I2776" s="31" t="n">
        <f aca="false">IF(H2987=1,$C$2661,IF(Assumptions!$I$65=1,MAX(I2659,Assumptions!$G$65)+Assumptions!$F$65+$C$2660,Assumptions!$E$65))</f>
        <v>0.06125</v>
      </c>
      <c r="J2776" s="31" t="n">
        <f aca="false">IF(I2987=1,$C$2661,IF(Assumptions!$I$65=1,MAX(J2659,Assumptions!$G$65)+Assumptions!$F$65+$C$2660,Assumptions!$E$65))</f>
        <v>0.06125</v>
      </c>
      <c r="K2776" s="31" t="n">
        <f aca="false">IF(J2987=1,$C$2661,IF(Assumptions!$I$65=1,MAX(K2659,Assumptions!$G$65)+Assumptions!$F$65+$C$2660,Assumptions!$E$65))</f>
        <v>0.06125</v>
      </c>
    </row>
    <row r="2777" customFormat="false" ht="15" hidden="false" customHeight="false" outlineLevel="0" collapsed="false">
      <c r="A2777" s="3" t="s">
        <v>332</v>
      </c>
      <c r="G2777" s="16" t="n">
        <f aca="false">G2773*G2776</f>
        <v>18.375</v>
      </c>
      <c r="H2777" s="16" t="n">
        <f aca="false">H2773*H2776</f>
        <v>18.375</v>
      </c>
      <c r="I2777" s="16" t="n">
        <f aca="false">I2773*I2776</f>
        <v>18.375</v>
      </c>
      <c r="J2777" s="16" t="n">
        <f aca="false">J2773*J2776</f>
        <v>18.375</v>
      </c>
      <c r="K2777" s="16" t="n">
        <f aca="false">K2773*K2776</f>
        <v>18.375</v>
      </c>
    </row>
    <row r="2778" customFormat="false" ht="15" hidden="false" customHeight="false" outlineLevel="0" collapsed="false">
      <c r="A2778" s="3" t="s">
        <v>333</v>
      </c>
      <c r="G2778" s="16" t="n">
        <f aca="false">G2773*Assumptions!$H$65</f>
        <v>0</v>
      </c>
      <c r="H2778" s="16" t="n">
        <f aca="false">H2773*Assumptions!$H$65</f>
        <v>0</v>
      </c>
      <c r="I2778" s="16" t="n">
        <f aca="false">I2773*Assumptions!$H$65</f>
        <v>0</v>
      </c>
      <c r="J2778" s="16" t="n">
        <f aca="false">J2773*Assumptions!$H$65</f>
        <v>0</v>
      </c>
      <c r="K2778" s="16" t="n">
        <f aca="false">K2773*Assumptions!$H$65</f>
        <v>0</v>
      </c>
    </row>
    <row r="2779" customFormat="false" ht="15" hidden="false" customHeight="false" outlineLevel="0" collapsed="false">
      <c r="A2779" s="3" t="s">
        <v>334</v>
      </c>
      <c r="G2779" s="16" t="n">
        <f aca="false">MIN(G2773,Assumptions!$L$65*Assumptions!$C$65)</f>
        <v>0</v>
      </c>
      <c r="H2779" s="16" t="n">
        <f aca="false">MIN(H2773,Assumptions!$L$65*Assumptions!$C$65)</f>
        <v>0</v>
      </c>
      <c r="I2779" s="16" t="n">
        <f aca="false">MIN(I2773,Assumptions!$L$65*Assumptions!$C$65)</f>
        <v>0</v>
      </c>
      <c r="J2779" s="16" t="n">
        <f aca="false">MIN(J2773,Assumptions!$L$65*Assumptions!$C$65)</f>
        <v>0</v>
      </c>
      <c r="K2779" s="16" t="n">
        <f aca="false">MIN(K2773,Assumptions!$L$65*Assumptions!$C$65)</f>
        <v>0</v>
      </c>
    </row>
    <row r="2780" customFormat="false" ht="15" hidden="false" customHeight="false" outlineLevel="0" collapsed="false">
      <c r="A2780" s="3" t="s">
        <v>335</v>
      </c>
      <c r="G2780" s="16" t="n">
        <f aca="false">IF(AND(Assumptions!$P$65=1,G2633&lt;Assumptions!$K$65),MIN(MAX(0,-G2849),MAX(0,Assumptions!$D$65-G2773)),0)</f>
        <v>0</v>
      </c>
      <c r="H2780" s="16" t="n">
        <f aca="false">IF(AND(Assumptions!$P$65=1,OR(H2633&lt;Assumptions!$K$65,G2987=1)),MIN(MAX(0,-H2849),MAX(0,Assumptions!$D$65-H2773)),0)</f>
        <v>0</v>
      </c>
      <c r="I2780" s="16" t="n">
        <f aca="false">IF(AND(Assumptions!$P$65=1,OR(I2633&lt;Assumptions!$K$65,H2987=1)),MIN(MAX(0,-I2849),MAX(0,Assumptions!$D$65-I2773)),0)</f>
        <v>0</v>
      </c>
      <c r="J2780" s="16" t="n">
        <f aca="false">IF(AND(Assumptions!$P$65=1,OR(J2633&lt;Assumptions!$K$65,I2987=1)),MIN(MAX(0,-J2849),MAX(0,Assumptions!$D$65-J2773)),0)</f>
        <v>0</v>
      </c>
      <c r="K2780" s="16" t="n">
        <f aca="false">IF(AND(Assumptions!$P$65=1,OR(K2633&lt;Assumptions!$K$65,J2987=1)),MIN(MAX(0,-K2849),MAX(0,Assumptions!$D$65-K2773)),0)</f>
        <v>0</v>
      </c>
    </row>
    <row r="2781" customFormat="false" ht="15" hidden="false" customHeight="false" outlineLevel="0" collapsed="false">
      <c r="A2781" s="3" t="s">
        <v>336</v>
      </c>
      <c r="G2781" s="16" t="n">
        <f aca="false">G2774*MIN(G2773-G2779+G2778,MAX(0,G2851-Assumptions!$C$12*G2667-G2677-G2690-G2703-G2716-G2729-G2742-G2755-G2768))</f>
        <v>0</v>
      </c>
      <c r="H2781" s="16" t="n">
        <f aca="false">H2774*MIN(H2773-H2779+H2778,MAX(0,H2851-Assumptions!$C$12*H2667-H2677-H2690-H2703-H2716-H2729-H2742-H2755-H2768))</f>
        <v>0</v>
      </c>
      <c r="I2781" s="16" t="n">
        <f aca="false">I2774*MIN(I2773-I2779+I2778,MAX(0,I2851-Assumptions!$C$12*I2667-I2677-I2690-I2703-I2716-I2729-I2742-I2755-I2768))</f>
        <v>0</v>
      </c>
      <c r="J2781" s="16" t="n">
        <f aca="false">J2774*MIN(J2773-J2779+J2778,MAX(0,J2851-Assumptions!$C$12*J2667-J2677-J2690-J2703-J2716-J2729-J2742-J2755-J2768))</f>
        <v>0</v>
      </c>
      <c r="K2781" s="16" t="n">
        <f aca="false">K2774*MIN(K2773-K2779+K2778,MAX(0,K2851-Assumptions!$C$12*K2667-K2677-K2690-K2703-K2716-K2729-K2742-K2755-K2768))</f>
        <v>0</v>
      </c>
    </row>
    <row r="2782" customFormat="false" ht="15" hidden="false" customHeight="false" outlineLevel="0" collapsed="false">
      <c r="A2782" s="3" t="s">
        <v>337</v>
      </c>
      <c r="G2782" s="16" t="n">
        <f aca="false">Assumptions!$N$65*MIN(G2773+G2780+G2778-G2779-G2781,MAX(0,G2855-G2678-G2691-G2704-G2717-G2730-G2743-G2756-G2769))</f>
        <v>0</v>
      </c>
      <c r="H2782" s="16" t="n">
        <f aca="false">Assumptions!$N$65*MIN(H2773+H2780+H2778-H2779-H2781,MAX(0,H2855-H2678-H2691-H2704-H2717-H2730-H2743-H2756-H2769))</f>
        <v>0</v>
      </c>
      <c r="I2782" s="16" t="n">
        <f aca="false">Assumptions!$N$65*MIN(I2773+I2780+I2778-I2779-I2781,MAX(0,I2855-I2678-I2691-I2704-I2717-I2730-I2743-I2756-I2769))</f>
        <v>0</v>
      </c>
      <c r="J2782" s="16" t="n">
        <f aca="false">Assumptions!$N$65*MIN(J2773+J2780+J2778-J2779-J2781,MAX(0,J2855-J2678-J2691-J2704-J2717-J2730-J2743-J2756-J2769))</f>
        <v>0</v>
      </c>
      <c r="K2782" s="16" t="n">
        <f aca="false">Assumptions!$N$65*MIN(K2773+K2780+K2778-K2779-K2781,MAX(0,K2855-K2678-K2691-K2704-K2717-K2730-K2743-K2756-K2769))</f>
        <v>0</v>
      </c>
    </row>
    <row r="2783" customFormat="false" ht="15" hidden="false" customHeight="false" outlineLevel="0" collapsed="false">
      <c r="A2783" s="3" t="s">
        <v>338</v>
      </c>
      <c r="G2783" s="16" t="n">
        <f aca="false">G2774*(1-G2667)*(G2773-G2779+G2778-G2781)</f>
        <v>0</v>
      </c>
      <c r="H2783" s="16" t="n">
        <f aca="false">H2774*(1-H2667)*(H2773-H2779+H2778-H2781)</f>
        <v>0</v>
      </c>
      <c r="I2783" s="16" t="n">
        <f aca="false">I2774*(1-I2667)*(I2773-I2779+I2778-I2781)</f>
        <v>0</v>
      </c>
      <c r="J2783" s="16" t="n">
        <f aca="false">J2774*(1-J2667)*(J2773-J2779+J2778-J2781)</f>
        <v>0</v>
      </c>
      <c r="K2783" s="16" t="n">
        <f aca="false">K2774*(1-K2667)*(K2773-K2779+K2778-K2781)</f>
        <v>0</v>
      </c>
    </row>
    <row r="2784" customFormat="false" ht="15" hidden="false" customHeight="false" outlineLevel="0" collapsed="false">
      <c r="A2784" s="2" t="s">
        <v>339</v>
      </c>
      <c r="F2784" s="28" t="n">
        <f aca="false">Assumptions!$C$65</f>
        <v>300</v>
      </c>
      <c r="G2784" s="17" t="n">
        <f aca="false">G2773+G2780+G2778-G2779-G2781-G2782</f>
        <v>300</v>
      </c>
      <c r="H2784" s="17" t="n">
        <f aca="false">H2773+H2780+H2778-H2779-H2781-H2782</f>
        <v>300</v>
      </c>
      <c r="I2784" s="17" t="n">
        <f aca="false">I2773+I2780+I2778-I2779-I2781-I2782</f>
        <v>300</v>
      </c>
      <c r="J2784" s="17" t="n">
        <f aca="false">J2773+J2780+J2778-J2779-J2781-J2782</f>
        <v>300</v>
      </c>
      <c r="K2784" s="17" t="n">
        <f aca="false">K2773+K2780+K2778-K2779-K2781-K2782</f>
        <v>300</v>
      </c>
    </row>
    <row r="2785" customFormat="false" ht="15" hidden="false" customHeight="false" outlineLevel="0" collapsed="false">
      <c r="A2785" s="24" t="s">
        <v>348</v>
      </c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</row>
    <row r="2786" customFormat="false" ht="15" hidden="false" customHeight="false" outlineLevel="0" collapsed="false">
      <c r="A2786" s="3" t="s">
        <v>329</v>
      </c>
      <c r="G2786" s="16" t="n">
        <f aca="false">F2797</f>
        <v>78.61</v>
      </c>
      <c r="H2786" s="16" t="n">
        <f aca="false">G2797</f>
        <v>78.61</v>
      </c>
      <c r="I2786" s="16" t="n">
        <f aca="false">H2797</f>
        <v>78.61</v>
      </c>
      <c r="J2786" s="16" t="n">
        <f aca="false">I2797</f>
        <v>78.61</v>
      </c>
      <c r="K2786" s="16" t="n">
        <f aca="false">J2797</f>
        <v>78.61</v>
      </c>
    </row>
    <row r="2787" customFormat="false" ht="15" hidden="false" customHeight="false" outlineLevel="0" collapsed="false">
      <c r="A2787" s="3" t="s">
        <v>330</v>
      </c>
      <c r="G2787" s="21" t="n">
        <f aca="false">IF(G2633=Assumptions!$K$66,1,0)</f>
        <v>0</v>
      </c>
      <c r="H2787" s="21" t="n">
        <f aca="false">IF(H2633=Assumptions!$K$66,1,0)</f>
        <v>0</v>
      </c>
      <c r="I2787" s="21" t="n">
        <f aca="false">IF(I2633=Assumptions!$K$66,1,0)</f>
        <v>0</v>
      </c>
      <c r="J2787" s="21" t="n">
        <f aca="false">IF(J2633=Assumptions!$K$66,1,0)</f>
        <v>0</v>
      </c>
      <c r="K2787" s="21" t="n">
        <f aca="false">IF(K2633=Assumptions!$K$66,1,0)</f>
        <v>0</v>
      </c>
    </row>
    <row r="2789" customFormat="false" ht="15" hidden="false" customHeight="false" outlineLevel="0" collapsed="false">
      <c r="A2789" s="3" t="s">
        <v>331</v>
      </c>
      <c r="G2789" s="31" t="n">
        <f aca="false">IF(Assumptions!$I$66=1,MAX(G2659,Assumptions!$G$66)+Assumptions!$F$66+$C$2660,Assumptions!$E$66)</f>
        <v>0.0541</v>
      </c>
      <c r="H2789" s="31" t="n">
        <f aca="false">IF(G2988=1,$C$2661,IF(Assumptions!$I$66=1,MAX(H2659,Assumptions!$G$66)+Assumptions!$F$66+$C$2660,Assumptions!$E$66))</f>
        <v>0.0526</v>
      </c>
      <c r="I2789" s="31" t="n">
        <f aca="false">IF(H2988=1,$C$2661,IF(Assumptions!$I$66=1,MAX(I2659,Assumptions!$G$66)+Assumptions!$F$66+$C$2660,Assumptions!$E$66))</f>
        <v>0.0501</v>
      </c>
      <c r="J2789" s="31" t="n">
        <f aca="false">IF(I2988=1,$C$2661,IF(Assumptions!$I$66=1,MAX(J2659,Assumptions!$G$66)+Assumptions!$F$66+$C$2660,Assumptions!$E$66))</f>
        <v>0.0501</v>
      </c>
      <c r="K2789" s="31" t="n">
        <f aca="false">IF(J2988=1,$C$2661,IF(Assumptions!$I$66=1,MAX(K2659,Assumptions!$G$66)+Assumptions!$F$66+$C$2660,Assumptions!$E$66))</f>
        <v>0.0501</v>
      </c>
    </row>
    <row r="2790" customFormat="false" ht="15" hidden="false" customHeight="false" outlineLevel="0" collapsed="false">
      <c r="A2790" s="3" t="s">
        <v>332</v>
      </c>
      <c r="G2790" s="16" t="n">
        <f aca="false">G2786*G2789</f>
        <v>4.252801</v>
      </c>
      <c r="H2790" s="16" t="n">
        <f aca="false">H2786*H2789</f>
        <v>4.134886</v>
      </c>
      <c r="I2790" s="16" t="n">
        <f aca="false">I2786*I2789</f>
        <v>3.938361</v>
      </c>
      <c r="J2790" s="16" t="n">
        <f aca="false">J2786*J2789</f>
        <v>3.938361</v>
      </c>
      <c r="K2790" s="16" t="n">
        <f aca="false">K2786*K2789</f>
        <v>3.938361</v>
      </c>
    </row>
    <row r="2791" customFormat="false" ht="15" hidden="false" customHeight="false" outlineLevel="0" collapsed="false">
      <c r="A2791" s="3" t="s">
        <v>333</v>
      </c>
      <c r="G2791" s="16" t="n">
        <f aca="false">G2786*Assumptions!$H$66</f>
        <v>0</v>
      </c>
      <c r="H2791" s="16" t="n">
        <f aca="false">H2786*Assumptions!$H$66</f>
        <v>0</v>
      </c>
      <c r="I2791" s="16" t="n">
        <f aca="false">I2786*Assumptions!$H$66</f>
        <v>0</v>
      </c>
      <c r="J2791" s="16" t="n">
        <f aca="false">J2786*Assumptions!$H$66</f>
        <v>0</v>
      </c>
      <c r="K2791" s="16" t="n">
        <f aca="false">K2786*Assumptions!$H$66</f>
        <v>0</v>
      </c>
    </row>
    <row r="2792" customFormat="false" ht="15" hidden="false" customHeight="false" outlineLevel="0" collapsed="false">
      <c r="A2792" s="3" t="s">
        <v>334</v>
      </c>
      <c r="G2792" s="16" t="n">
        <f aca="false">MIN(G2786,Assumptions!$L$66*Assumptions!$C$66)</f>
        <v>0</v>
      </c>
      <c r="H2792" s="16" t="n">
        <f aca="false">MIN(H2786,Assumptions!$L$66*Assumptions!$C$66)</f>
        <v>0</v>
      </c>
      <c r="I2792" s="16" t="n">
        <f aca="false">MIN(I2786,Assumptions!$L$66*Assumptions!$C$66)</f>
        <v>0</v>
      </c>
      <c r="J2792" s="16" t="n">
        <f aca="false">MIN(J2786,Assumptions!$L$66*Assumptions!$C$66)</f>
        <v>0</v>
      </c>
      <c r="K2792" s="16" t="n">
        <f aca="false">MIN(K2786,Assumptions!$L$66*Assumptions!$C$66)</f>
        <v>0</v>
      </c>
    </row>
    <row r="2793" customFormat="false" ht="15" hidden="false" customHeight="false" outlineLevel="0" collapsed="false">
      <c r="A2793" s="3" t="s">
        <v>335</v>
      </c>
      <c r="G2793" s="16" t="n">
        <f aca="false">IF(AND(Assumptions!$P$66=1,G2633&lt;Assumptions!$K$66),MIN(MAX(0,-G2849),MAX(0,Assumptions!$D$66-G2786)),0)</f>
        <v>0</v>
      </c>
      <c r="H2793" s="16" t="n">
        <f aca="false">IF(AND(Assumptions!$P$66=1,OR(H2633&lt;Assumptions!$K$66,G2988=1)),MIN(MAX(0,-H2849),MAX(0,Assumptions!$D$66-H2786)),0)</f>
        <v>0</v>
      </c>
      <c r="I2793" s="16" t="n">
        <f aca="false">IF(AND(Assumptions!$P$66=1,OR(I2633&lt;Assumptions!$K$66,H2988=1)),MIN(MAX(0,-I2849),MAX(0,Assumptions!$D$66-I2786)),0)</f>
        <v>0</v>
      </c>
      <c r="J2793" s="16" t="n">
        <f aca="false">IF(AND(Assumptions!$P$66=1,OR(J2633&lt;Assumptions!$K$66,I2988=1)),MIN(MAX(0,-J2849),MAX(0,Assumptions!$D$66-J2786)),0)</f>
        <v>0</v>
      </c>
      <c r="K2793" s="16" t="n">
        <f aca="false">IF(AND(Assumptions!$P$66=1,OR(K2633&lt;Assumptions!$K$66,J2988=1)),MIN(MAX(0,-K2849),MAX(0,Assumptions!$D$66-K2786)),0)</f>
        <v>0</v>
      </c>
    </row>
    <row r="2794" customFormat="false" ht="15" hidden="false" customHeight="false" outlineLevel="0" collapsed="false">
      <c r="A2794" s="3" t="s">
        <v>336</v>
      </c>
      <c r="G2794" s="16" t="n">
        <f aca="false">G2787*MIN(G2786-G2792+G2791,MAX(0,G2851-Assumptions!$C$12*G2667-G2677-G2690-G2703-G2716-G2729-G2742-G2755-G2768-G2781))</f>
        <v>0</v>
      </c>
      <c r="H2794" s="16" t="n">
        <f aca="false">H2787*MIN(H2786-H2792+H2791,MAX(0,H2851-Assumptions!$C$12*H2667-H2677-H2690-H2703-H2716-H2729-H2742-H2755-H2768-H2781))</f>
        <v>0</v>
      </c>
      <c r="I2794" s="16" t="n">
        <f aca="false">I2787*MIN(I2786-I2792+I2791,MAX(0,I2851-Assumptions!$C$12*I2667-I2677-I2690-I2703-I2716-I2729-I2742-I2755-I2768-I2781))</f>
        <v>0</v>
      </c>
      <c r="J2794" s="16" t="n">
        <f aca="false">J2787*MIN(J2786-J2792+J2791,MAX(0,J2851-Assumptions!$C$12*J2667-J2677-J2690-J2703-J2716-J2729-J2742-J2755-J2768-J2781))</f>
        <v>0</v>
      </c>
      <c r="K2794" s="16" t="n">
        <f aca="false">K2787*MIN(K2786-K2792+K2791,MAX(0,K2851-Assumptions!$C$12*K2667-K2677-K2690-K2703-K2716-K2729-K2742-K2755-K2768-K2781))</f>
        <v>0</v>
      </c>
    </row>
    <row r="2795" customFormat="false" ht="15" hidden="false" customHeight="false" outlineLevel="0" collapsed="false">
      <c r="A2795" s="3" t="s">
        <v>337</v>
      </c>
      <c r="G2795" s="16" t="n">
        <f aca="false">Assumptions!$N$66*MIN(G2786+G2793+G2791-G2792-G2794,MAX(0,G2855-G2678-G2691-G2704-G2717-G2730-G2743-G2756-G2769-G2782))</f>
        <v>0</v>
      </c>
      <c r="H2795" s="16" t="n">
        <f aca="false">Assumptions!$N$66*MIN(H2786+H2793+H2791-H2792-H2794,MAX(0,H2855-H2678-H2691-H2704-H2717-H2730-H2743-H2756-H2769-H2782))</f>
        <v>0</v>
      </c>
      <c r="I2795" s="16" t="n">
        <f aca="false">Assumptions!$N$66*MIN(I2786+I2793+I2791-I2792-I2794,MAX(0,I2855-I2678-I2691-I2704-I2717-I2730-I2743-I2756-I2769-I2782))</f>
        <v>0</v>
      </c>
      <c r="J2795" s="16" t="n">
        <f aca="false">Assumptions!$N$66*MIN(J2786+J2793+J2791-J2792-J2794,MAX(0,J2855-J2678-J2691-J2704-J2717-J2730-J2743-J2756-J2769-J2782))</f>
        <v>0</v>
      </c>
      <c r="K2795" s="16" t="n">
        <f aca="false">Assumptions!$N$66*MIN(K2786+K2793+K2791-K2792-K2794,MAX(0,K2855-K2678-K2691-K2704-K2717-K2730-K2743-K2756-K2769-K2782))</f>
        <v>0</v>
      </c>
    </row>
    <row r="2796" customFormat="false" ht="15" hidden="false" customHeight="false" outlineLevel="0" collapsed="false">
      <c r="A2796" s="3" t="s">
        <v>338</v>
      </c>
      <c r="G2796" s="16" t="n">
        <f aca="false">G2787*(1-G2667)*(G2786-G2792+G2791-G2794)</f>
        <v>0</v>
      </c>
      <c r="H2796" s="16" t="n">
        <f aca="false">H2787*(1-H2667)*(H2786-H2792+H2791-H2794)</f>
        <v>0</v>
      </c>
      <c r="I2796" s="16" t="n">
        <f aca="false">I2787*(1-I2667)*(I2786-I2792+I2791-I2794)</f>
        <v>0</v>
      </c>
      <c r="J2796" s="16" t="n">
        <f aca="false">J2787*(1-J2667)*(J2786-J2792+J2791-J2794)</f>
        <v>0</v>
      </c>
      <c r="K2796" s="16" t="n">
        <f aca="false">K2787*(1-K2667)*(K2786-K2792+K2791-K2794)</f>
        <v>0</v>
      </c>
    </row>
    <row r="2797" customFormat="false" ht="15" hidden="false" customHeight="false" outlineLevel="0" collapsed="false">
      <c r="A2797" s="2" t="s">
        <v>339</v>
      </c>
      <c r="F2797" s="28" t="n">
        <f aca="false">Assumptions!$C$66</f>
        <v>78.61</v>
      </c>
      <c r="G2797" s="17" t="n">
        <f aca="false">G2786+G2793+G2791-G2792-G2794-G2795</f>
        <v>78.61</v>
      </c>
      <c r="H2797" s="17" t="n">
        <f aca="false">H2786+H2793+H2791-H2792-H2794-H2795</f>
        <v>78.61</v>
      </c>
      <c r="I2797" s="17" t="n">
        <f aca="false">I2786+I2793+I2791-I2792-I2794-I2795</f>
        <v>78.61</v>
      </c>
      <c r="J2797" s="17" t="n">
        <f aca="false">J2786+J2793+J2791-J2792-J2794-J2795</f>
        <v>78.61</v>
      </c>
      <c r="K2797" s="17" t="n">
        <f aca="false">K2786+K2793+K2791-K2792-K2794-K2795</f>
        <v>78.61</v>
      </c>
    </row>
    <row r="2798" customFormat="false" ht="15" hidden="false" customHeight="false" outlineLevel="0" collapsed="false">
      <c r="A2798" s="24" t="s">
        <v>349</v>
      </c>
      <c r="B2798" s="25"/>
      <c r="C2798" s="25"/>
      <c r="D2798" s="25"/>
      <c r="E2798" s="25"/>
      <c r="F2798" s="25"/>
      <c r="G2798" s="25"/>
      <c r="H2798" s="25"/>
      <c r="I2798" s="25"/>
      <c r="J2798" s="25"/>
      <c r="K2798" s="25"/>
    </row>
    <row r="2799" customFormat="false" ht="15" hidden="false" customHeight="false" outlineLevel="0" collapsed="false">
      <c r="A2799" s="2" t="s">
        <v>350</v>
      </c>
      <c r="F2799" s="17" t="n">
        <f aca="false">F2680+F2693+F2706+F2719+F2732+F2745+F2758+F2771+F2784+F2797</f>
        <v>2625.934</v>
      </c>
      <c r="G2799" s="17" t="n">
        <f aca="false">G2680+G2693+G2706+G2719+G2732+G2745+G2758+G2771+G2784+G2797</f>
        <v>2621.934</v>
      </c>
      <c r="H2799" s="17" t="n">
        <f aca="false">H2680+H2693+H2706+H2719+H2732+H2745+H2758+H2771+H2784+H2797</f>
        <v>2595.1831790818</v>
      </c>
      <c r="I2799" s="17" t="n">
        <f aca="false">I2680+I2693+I2706+I2719+I2732+I2745+I2758+I2771+I2784+I2797</f>
        <v>2669.59966943466</v>
      </c>
      <c r="J2799" s="17" t="n">
        <f aca="false">J2680+J2693+J2706+J2719+J2732+J2745+J2758+J2771+J2784+J2797</f>
        <v>2767.23045186094</v>
      </c>
      <c r="K2799" s="17" t="n">
        <f aca="false">K2680+K2693+K2706+K2719+K2732+K2745+K2758+K2771+K2784+K2797</f>
        <v>2881.74172211609</v>
      </c>
    </row>
    <row r="2800" customFormat="false" ht="15" hidden="false" customHeight="false" outlineLevel="0" collapsed="false">
      <c r="A2800" s="3" t="s">
        <v>351</v>
      </c>
      <c r="G2800" s="16" t="n">
        <f aca="false">G2670*Assumptions!$C$57+G2683*Assumptions!$C$58+G2696*Assumptions!$C$59+G2709*Assumptions!$C$60+G2722*Assumptions!$C$61+G2735*Assumptions!$C$62+G2748*Assumptions!$C$63+G2761*Assumptions!$C$64+G2774*Assumptions!$C$65+G2787*Assumptions!$C$66</f>
        <v>0</v>
      </c>
      <c r="H2800" s="16" t="n">
        <f aca="false">H2670*Assumptions!$C$57+H2683*Assumptions!$C$58+H2696*Assumptions!$C$59+H2709*Assumptions!$C$60+H2722*Assumptions!$C$61+H2735*Assumptions!$C$62+H2748*Assumptions!$C$63+H2761*Assumptions!$C$64+H2774*Assumptions!$C$65+H2787*Assumptions!$C$66</f>
        <v>800</v>
      </c>
      <c r="I2800" s="16" t="n">
        <f aca="false">I2670*Assumptions!$C$57+I2683*Assumptions!$C$58+I2696*Assumptions!$C$59+I2709*Assumptions!$C$60+I2722*Assumptions!$C$61+I2735*Assumptions!$C$62+I2748*Assumptions!$C$63+I2761*Assumptions!$C$64+I2774*Assumptions!$C$65+I2787*Assumptions!$C$66</f>
        <v>550</v>
      </c>
      <c r="J2800" s="16" t="n">
        <f aca="false">J2670*Assumptions!$C$57+J2683*Assumptions!$C$58+J2696*Assumptions!$C$59+J2709*Assumptions!$C$60+J2722*Assumptions!$C$61+J2735*Assumptions!$C$62+J2748*Assumptions!$C$63+J2761*Assumptions!$C$64+J2774*Assumptions!$C$65+J2787*Assumptions!$C$66</f>
        <v>350</v>
      </c>
      <c r="K2800" s="16" t="n">
        <f aca="false">K2670*Assumptions!$C$57+K2683*Assumptions!$C$58+K2696*Assumptions!$C$59+K2709*Assumptions!$C$60+K2722*Assumptions!$C$61+K2735*Assumptions!$C$62+K2748*Assumptions!$C$63+K2761*Assumptions!$C$64+K2774*Assumptions!$C$65+K2787*Assumptions!$C$66</f>
        <v>700</v>
      </c>
    </row>
    <row r="2801" customFormat="false" ht="15" hidden="false" customHeight="false" outlineLevel="0" collapsed="false">
      <c r="A2801" s="24" t="s">
        <v>352</v>
      </c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</row>
    <row r="2802" customFormat="false" ht="15" hidden="false" customHeight="false" outlineLevel="0" collapsed="false">
      <c r="A2802" s="3" t="s">
        <v>353</v>
      </c>
      <c r="C2802" s="16" t="n">
        <f aca="false">SUMPRODUCT($G$2670:$K$2670,$G$2669:$K$2669-$G$2675:$K$2675+$G$2674:$K$2674)</f>
        <v>380</v>
      </c>
    </row>
    <row r="2803" customFormat="false" ht="15" hidden="false" customHeight="false" outlineLevel="0" collapsed="false">
      <c r="A2803" s="3" t="s">
        <v>354</v>
      </c>
      <c r="C2803" s="16" t="n">
        <f aca="false">SUMPRODUCT($G$2670:$K$2670,$G$2677:$K$2677)</f>
        <v>0</v>
      </c>
    </row>
    <row r="2804" customFormat="false" ht="15" hidden="false" customHeight="false" outlineLevel="0" collapsed="false">
      <c r="A2804" s="3" t="s">
        <v>355</v>
      </c>
      <c r="C2804" s="3" t="str">
        <f aca="false">IF(SUM($G$2670:$K$2670)=0,"n/a (beyond horizon)",IF(SUMPRODUCT($G$2670:$K$2670,$G$2667:$K$2667)&gt;0,"REFINANCING PASS","REFINANCING FAILURE"))</f>
        <v>REFINANCING PASS</v>
      </c>
    </row>
    <row r="2805" customFormat="false" ht="15" hidden="false" customHeight="false" outlineLevel="0" collapsed="false">
      <c r="A2805" s="3" t="s">
        <v>356</v>
      </c>
      <c r="C2805" s="3" t="str">
        <f aca="false">IF(SUM($G$2670:$K$2670)=0,"n/a",IF(C2803&gt;=C2802-0.001,"Repaid from cash",IF(SUMPRODUCT($G$2670:$K$2670,$G$2667:$K$2667)&gt;0,IF(C2803&gt;0,"Partly repaid; remainder refinanced","Refinanced"),IF(SUM($G$2679:$K$2679)&gt;0.001,IF(C2803&gt;0,"Partial repayment; PAYMENT DEFAULT","PAYMENT DEFAULT"),"Repaid from cash"))))</f>
        <v>Refinanced</v>
      </c>
    </row>
    <row r="2806" customFormat="false" ht="15" hidden="false" customHeight="false" outlineLevel="0" collapsed="false">
      <c r="A2806" s="3" t="s">
        <v>357</v>
      </c>
      <c r="C2806" s="16" t="n">
        <f aca="false">SUMPRODUCT($G$2683:$K$2683,$G$2682:$K$2682-$G$2688:$K$2688+$G$2687:$K$2687)</f>
        <v>0</v>
      </c>
    </row>
    <row r="2807" customFormat="false" ht="15" hidden="false" customHeight="false" outlineLevel="0" collapsed="false">
      <c r="A2807" s="3" t="s">
        <v>358</v>
      </c>
      <c r="C2807" s="16" t="n">
        <f aca="false">SUMPRODUCT($G$2683:$K$2683,$G$2690:$K$2690)</f>
        <v>0</v>
      </c>
    </row>
    <row r="2808" customFormat="false" ht="15" hidden="false" customHeight="false" outlineLevel="0" collapsed="false">
      <c r="A2808" s="3" t="s">
        <v>359</v>
      </c>
      <c r="C2808" s="3" t="str">
        <f aca="false">IF(SUM($G$2683:$K$2683)=0,"n/a (beyond horizon)",IF(SUMPRODUCT($G$2683:$K$2683,$G$2667:$K$2667)&gt;0,"REFINANCING PASS","REFINANCING FAILURE"))</f>
        <v>n/a (beyond horizon)</v>
      </c>
    </row>
    <row r="2809" customFormat="false" ht="15" hidden="false" customHeight="false" outlineLevel="0" collapsed="false">
      <c r="A2809" s="3" t="s">
        <v>360</v>
      </c>
      <c r="C2809" s="3" t="str">
        <f aca="false">IF(SUM($G$2683:$K$2683)=0,"n/a",IF(C2807&gt;=C2806-0.001,"Repaid from cash",IF(SUMPRODUCT($G$2683:$K$2683,$G$2667:$K$2667)&gt;0,IF(C2807&gt;0,"Partly repaid; remainder refinanced","Refinanced"),IF(SUM($G$2692:$K$2692)&gt;0.001,IF(C2807&gt;0,"Partial repayment; PAYMENT DEFAULT","PAYMENT DEFAULT"),"Repaid from cash"))))</f>
        <v>n/a</v>
      </c>
    </row>
    <row r="2810" customFormat="false" ht="15" hidden="false" customHeight="false" outlineLevel="0" collapsed="false">
      <c r="A2810" s="3" t="s">
        <v>361</v>
      </c>
      <c r="C2810" s="16" t="n">
        <f aca="false">SUMPRODUCT($G$2696:$K$2696,$G$2695:$K$2695-$G$2701:$K$2701+$G$2700:$K$2700)</f>
        <v>0</v>
      </c>
    </row>
    <row r="2811" customFormat="false" ht="15" hidden="false" customHeight="false" outlineLevel="0" collapsed="false">
      <c r="A2811" s="3" t="s">
        <v>362</v>
      </c>
      <c r="C2811" s="16" t="n">
        <f aca="false">SUMPRODUCT($G$2696:$K$2696,$G$2703:$K$2703)</f>
        <v>0</v>
      </c>
    </row>
    <row r="2812" customFormat="false" ht="15" hidden="false" customHeight="false" outlineLevel="0" collapsed="false">
      <c r="A2812" s="3" t="s">
        <v>363</v>
      </c>
      <c r="C2812" s="3" t="str">
        <f aca="false">IF(SUM($G$2696:$K$2696)=0,"n/a (beyond horizon)",IF(SUMPRODUCT($G$2696:$K$2696,$G$2667:$K$2667)&gt;0,"REFINANCING PASS","REFINANCING FAILURE"))</f>
        <v>n/a (beyond horizon)</v>
      </c>
    </row>
    <row r="2813" customFormat="false" ht="15" hidden="false" customHeight="false" outlineLevel="0" collapsed="false">
      <c r="A2813" s="3" t="s">
        <v>364</v>
      </c>
      <c r="C2813" s="3" t="str">
        <f aca="false">IF(SUM($G$2696:$K$2696)=0,"n/a",IF(C2811&gt;=C2810-0.001,"Repaid from cash",IF(SUMPRODUCT($G$2696:$K$2696,$G$2667:$K$2667)&gt;0,IF(C2811&gt;0,"Partly repaid; remainder refinanced","Refinanced"),IF(SUM($G$2705:$K$2705)&gt;0.001,IF(C2811&gt;0,"Partial repayment; PAYMENT DEFAULT","PAYMENT DEFAULT"),"Repaid from cash"))))</f>
        <v>n/a</v>
      </c>
    </row>
    <row r="2814" customFormat="false" ht="15" hidden="false" customHeight="false" outlineLevel="0" collapsed="false">
      <c r="A2814" s="3" t="s">
        <v>365</v>
      </c>
      <c r="C2814" s="16" t="n">
        <f aca="false">SUMPRODUCT($G$2709:$K$2709,$G$2708:$K$2708-$G$2714:$K$2714+$G$2713:$K$2713)</f>
        <v>0</v>
      </c>
    </row>
    <row r="2815" customFormat="false" ht="15" hidden="false" customHeight="false" outlineLevel="0" collapsed="false">
      <c r="A2815" s="3" t="s">
        <v>366</v>
      </c>
      <c r="C2815" s="16" t="n">
        <f aca="false">SUMPRODUCT($G$2709:$K$2709,$G$2716:$K$2716)</f>
        <v>0</v>
      </c>
    </row>
    <row r="2816" customFormat="false" ht="15" hidden="false" customHeight="false" outlineLevel="0" collapsed="false">
      <c r="A2816" s="3" t="s">
        <v>367</v>
      </c>
      <c r="C2816" s="3" t="str">
        <f aca="false">IF(SUM($G$2709:$K$2709)=0,"n/a (beyond horizon)",IF(SUMPRODUCT($G$2709:$K$2709,$G$2667:$K$2667)&gt;0,"REFINANCING PASS","REFINANCING FAILURE"))</f>
        <v>REFINANCING PASS</v>
      </c>
    </row>
    <row r="2817" customFormat="false" ht="15" hidden="false" customHeight="false" outlineLevel="0" collapsed="false">
      <c r="A2817" s="3" t="s">
        <v>368</v>
      </c>
      <c r="C2817" s="3" t="str">
        <f aca="false">IF(SUM($G$2709:$K$2709)=0,"n/a",IF(C2815&gt;=C2814-0.001,"Repaid from cash",IF(SUMPRODUCT($G$2709:$K$2709,$G$2667:$K$2667)&gt;0,IF(C2815&gt;0,"Partly repaid; remainder refinanced","Refinanced"),IF(SUM($G$2718:$K$2718)&gt;0.001,IF(C2815&gt;0,"Partial repayment; PAYMENT DEFAULT","PAYMENT DEFAULT"),"Repaid from cash"))))</f>
        <v>Repaid from cash</v>
      </c>
    </row>
    <row r="2818" customFormat="false" ht="15" hidden="false" customHeight="false" outlineLevel="0" collapsed="false">
      <c r="A2818" s="3" t="s">
        <v>369</v>
      </c>
      <c r="C2818" s="16" t="n">
        <f aca="false">SUMPRODUCT($G$2722:$K$2722,$G$2721:$K$2721-$G$2727:$K$2727+$G$2726:$K$2726)</f>
        <v>450</v>
      </c>
    </row>
    <row r="2819" customFormat="false" ht="15" hidden="false" customHeight="false" outlineLevel="0" collapsed="false">
      <c r="A2819" s="3" t="s">
        <v>370</v>
      </c>
      <c r="C2819" s="16" t="n">
        <f aca="false">SUMPRODUCT($G$2722:$K$2722,$G$2729:$K$2729)</f>
        <v>22.7508209182</v>
      </c>
    </row>
    <row r="2820" customFormat="false" ht="15" hidden="false" customHeight="false" outlineLevel="0" collapsed="false">
      <c r="A2820" s="3" t="s">
        <v>371</v>
      </c>
      <c r="C2820" s="3" t="str">
        <f aca="false">IF(SUM($G$2722:$K$2722)=0,"n/a (beyond horizon)",IF(SUMPRODUCT($G$2722:$K$2722,$G$2667:$K$2667)&gt;0,"REFINANCING PASS","REFINANCING FAILURE"))</f>
        <v>REFINANCING PASS</v>
      </c>
    </row>
    <row r="2821" customFormat="false" ht="15" hidden="false" customHeight="false" outlineLevel="0" collapsed="false">
      <c r="A2821" s="3" t="s">
        <v>372</v>
      </c>
      <c r="C2821" s="3" t="str">
        <f aca="false">IF(SUM($G$2722:$K$2722)=0,"n/a",IF(C2819&gt;=C2818-0.001,"Repaid from cash",IF(SUMPRODUCT($G$2722:$K$2722,$G$2667:$K$2667)&gt;0,IF(C2819&gt;0,"Partly repaid; remainder refinanced","Refinanced"),IF(SUM($G$2731:$K$2731)&gt;0.001,IF(C2819&gt;0,"Partial repayment; PAYMENT DEFAULT","PAYMENT DEFAULT"),"Repaid from cash"))))</f>
        <v>Partly repaid; remainder refinanced</v>
      </c>
    </row>
    <row r="2822" customFormat="false" ht="15" hidden="false" customHeight="false" outlineLevel="0" collapsed="false">
      <c r="A2822" s="3" t="s">
        <v>373</v>
      </c>
      <c r="C2822" s="16" t="n">
        <f aca="false">SUMPRODUCT($G$2735:$K$2735,$G$2734:$K$2734-$G$2740:$K$2740+$G$2739:$K$2739)</f>
        <v>350</v>
      </c>
    </row>
    <row r="2823" customFormat="false" ht="15" hidden="false" customHeight="false" outlineLevel="0" collapsed="false">
      <c r="A2823" s="3" t="s">
        <v>374</v>
      </c>
      <c r="C2823" s="16" t="n">
        <f aca="false">SUMPRODUCT($G$2735:$K$2735,$G$2742:$K$2742)</f>
        <v>0</v>
      </c>
    </row>
    <row r="2824" customFormat="false" ht="15" hidden="false" customHeight="false" outlineLevel="0" collapsed="false">
      <c r="A2824" s="3" t="s">
        <v>375</v>
      </c>
      <c r="C2824" s="3" t="str">
        <f aca="false">IF(SUM($G$2735:$K$2735)=0,"n/a (beyond horizon)",IF(SUMPRODUCT($G$2735:$K$2735,$G$2667:$K$2667)&gt;0,"REFINANCING PASS","REFINANCING FAILURE"))</f>
        <v>REFINANCING PASS</v>
      </c>
    </row>
    <row r="2825" customFormat="false" ht="15" hidden="false" customHeight="false" outlineLevel="0" collapsed="false">
      <c r="A2825" s="3" t="s">
        <v>376</v>
      </c>
      <c r="C2825" s="3" t="str">
        <f aca="false">IF(SUM($G$2735:$K$2735)=0,"n/a",IF(C2823&gt;=C2822-0.001,"Repaid from cash",IF(SUMPRODUCT($G$2735:$K$2735,$G$2667:$K$2667)&gt;0,IF(C2823&gt;0,"Partly repaid; remainder refinanced","Refinanced"),IF(SUM($G$2744:$K$2744)&gt;0.001,IF(C2823&gt;0,"Partial repayment; PAYMENT DEFAULT","PAYMENT DEFAULT"),"Repaid from cash"))))</f>
        <v>Refinanced</v>
      </c>
    </row>
    <row r="2826" customFormat="false" ht="15" hidden="false" customHeight="false" outlineLevel="0" collapsed="false">
      <c r="A2826" s="3" t="s">
        <v>377</v>
      </c>
      <c r="C2826" s="16" t="n">
        <f aca="false">SUMPRODUCT($G$2748:$K$2748,$G$2747:$K$2747-$G$2753:$K$2753+$G$2752:$K$2752)</f>
        <v>550</v>
      </c>
    </row>
    <row r="2827" customFormat="false" ht="15" hidden="false" customHeight="false" outlineLevel="0" collapsed="false">
      <c r="A2827" s="3" t="s">
        <v>378</v>
      </c>
      <c r="C2827" s="16" t="n">
        <f aca="false">SUMPRODUCT($G$2748:$K$2748,$G$2755:$K$2755)</f>
        <v>0</v>
      </c>
    </row>
    <row r="2828" customFormat="false" ht="15" hidden="false" customHeight="false" outlineLevel="0" collapsed="false">
      <c r="A2828" s="3" t="s">
        <v>379</v>
      </c>
      <c r="C2828" s="3" t="str">
        <f aca="false">IF(SUM($G$2748:$K$2748)=0,"n/a (beyond horizon)",IF(SUMPRODUCT($G$2748:$K$2748,$G$2667:$K$2667)&gt;0,"REFINANCING PASS","REFINANCING FAILURE"))</f>
        <v>REFINANCING PASS</v>
      </c>
    </row>
    <row r="2829" customFormat="false" ht="15" hidden="false" customHeight="false" outlineLevel="0" collapsed="false">
      <c r="A2829" s="3" t="s">
        <v>380</v>
      </c>
      <c r="C2829" s="3" t="str">
        <f aca="false">IF(SUM($G$2748:$K$2748)=0,"n/a",IF(C2827&gt;=C2826-0.001,"Repaid from cash",IF(SUMPRODUCT($G$2748:$K$2748,$G$2667:$K$2667)&gt;0,IF(C2827&gt;0,"Partly repaid; remainder refinanced","Refinanced"),IF(SUM($G$2757:$K$2757)&gt;0.001,IF(C2827&gt;0,"Partial repayment; PAYMENT DEFAULT","PAYMENT DEFAULT"),"Repaid from cash"))))</f>
        <v>Refinanced</v>
      </c>
    </row>
    <row r="2830" customFormat="false" ht="15" hidden="false" customHeight="false" outlineLevel="0" collapsed="false">
      <c r="A2830" s="3" t="s">
        <v>381</v>
      </c>
      <c r="C2830" s="16" t="n">
        <f aca="false">SUMPRODUCT($G$2761:$K$2761,$G$2760:$K$2760-$G$2766:$K$2766+$G$2765:$K$2765)</f>
        <v>350</v>
      </c>
    </row>
    <row r="2831" customFormat="false" ht="15" hidden="false" customHeight="false" outlineLevel="0" collapsed="false">
      <c r="A2831" s="3" t="s">
        <v>382</v>
      </c>
      <c r="C2831" s="16" t="n">
        <f aca="false">SUMPRODUCT($G$2761:$K$2761,$G$2768:$K$2768)</f>
        <v>0</v>
      </c>
    </row>
    <row r="2832" customFormat="false" ht="15" hidden="false" customHeight="false" outlineLevel="0" collapsed="false">
      <c r="A2832" s="3" t="s">
        <v>383</v>
      </c>
      <c r="C2832" s="3" t="str">
        <f aca="false">IF(SUM($G$2761:$K$2761)=0,"n/a (beyond horizon)",IF(SUMPRODUCT($G$2761:$K$2761,$G$2667:$K$2667)&gt;0,"REFINANCING PASS","REFINANCING FAILURE"))</f>
        <v>REFINANCING PASS</v>
      </c>
    </row>
    <row r="2833" customFormat="false" ht="15" hidden="false" customHeight="false" outlineLevel="0" collapsed="false">
      <c r="A2833" s="3" t="s">
        <v>384</v>
      </c>
      <c r="C2833" s="3" t="str">
        <f aca="false">IF(SUM($G$2761:$K$2761)=0,"n/a",IF(C2831&gt;=C2830-0.001,"Repaid from cash",IF(SUMPRODUCT($G$2761:$K$2761,$G$2667:$K$2667)&gt;0,IF(C2831&gt;0,"Partly repaid; remainder refinanced","Refinanced"),IF(SUM($G$2770:$K$2770)&gt;0.001,IF(C2831&gt;0,"Partial repayment; PAYMENT DEFAULT","PAYMENT DEFAULT"),"Repaid from cash"))))</f>
        <v>Refinanced</v>
      </c>
    </row>
    <row r="2834" customFormat="false" ht="15" hidden="false" customHeight="false" outlineLevel="0" collapsed="false">
      <c r="A2834" s="3" t="s">
        <v>385</v>
      </c>
      <c r="C2834" s="16" t="n">
        <f aca="false">SUMPRODUCT($G$2774:$K$2774,$G$2773:$K$2773-$G$2779:$K$2779+$G$2778:$K$2778)</f>
        <v>300</v>
      </c>
    </row>
    <row r="2835" customFormat="false" ht="15" hidden="false" customHeight="false" outlineLevel="0" collapsed="false">
      <c r="A2835" s="3" t="s">
        <v>386</v>
      </c>
      <c r="C2835" s="16" t="n">
        <f aca="false">SUMPRODUCT($G$2774:$K$2774,$G$2781:$K$2781)</f>
        <v>0</v>
      </c>
    </row>
    <row r="2836" customFormat="false" ht="15" hidden="false" customHeight="false" outlineLevel="0" collapsed="false">
      <c r="A2836" s="3" t="s">
        <v>387</v>
      </c>
      <c r="C2836" s="3" t="str">
        <f aca="false">IF(SUM($G$2774:$K$2774)=0,"n/a (beyond horizon)",IF(SUMPRODUCT($G$2774:$K$2774,$G$2667:$K$2667)&gt;0,"REFINANCING PASS","REFINANCING FAILURE"))</f>
        <v>REFINANCING PASS</v>
      </c>
    </row>
    <row r="2837" customFormat="false" ht="15" hidden="false" customHeight="false" outlineLevel="0" collapsed="false">
      <c r="A2837" s="3" t="s">
        <v>388</v>
      </c>
      <c r="C2837" s="3" t="str">
        <f aca="false">IF(SUM($G$2774:$K$2774)=0,"n/a",IF(C2835&gt;=C2834-0.001,"Repaid from cash",IF(SUMPRODUCT($G$2774:$K$2774,$G$2667:$K$2667)&gt;0,IF(C2835&gt;0,"Partly repaid; remainder refinanced","Refinanced"),IF(SUM($G$2783:$K$2783)&gt;0.001,IF(C2835&gt;0,"Partial repayment; PAYMENT DEFAULT","PAYMENT DEFAULT"),"Repaid from cash"))))</f>
        <v>Refinanced</v>
      </c>
    </row>
    <row r="2838" customFormat="false" ht="15" hidden="false" customHeight="false" outlineLevel="0" collapsed="false">
      <c r="A2838" s="3" t="s">
        <v>389</v>
      </c>
      <c r="C2838" s="16" t="n">
        <f aca="false">SUMPRODUCT($G$2787:$K$2787,$G$2786:$K$2786-$G$2792:$K$2792+$G$2791:$K$2791)</f>
        <v>0</v>
      </c>
    </row>
    <row r="2839" customFormat="false" ht="15" hidden="false" customHeight="false" outlineLevel="0" collapsed="false">
      <c r="A2839" s="3" t="s">
        <v>390</v>
      </c>
      <c r="C2839" s="16" t="n">
        <f aca="false">SUMPRODUCT($G$2787:$K$2787,$G$2794:$K$2794)</f>
        <v>0</v>
      </c>
    </row>
    <row r="2840" customFormat="false" ht="15" hidden="false" customHeight="false" outlineLevel="0" collapsed="false">
      <c r="A2840" s="3" t="s">
        <v>391</v>
      </c>
      <c r="C2840" s="3" t="str">
        <f aca="false">IF(SUM($G$2787:$K$2787)=0,"n/a (beyond horizon)",IF(SUMPRODUCT($G$2787:$K$2787,$G$2667:$K$2667)&gt;0,"REFINANCING PASS","REFINANCING FAILURE"))</f>
        <v>n/a (beyond horizon)</v>
      </c>
    </row>
    <row r="2841" customFormat="false" ht="15" hidden="false" customHeight="false" outlineLevel="0" collapsed="false">
      <c r="A2841" s="3" t="s">
        <v>392</v>
      </c>
      <c r="C2841" s="3" t="str">
        <f aca="false">IF(SUM($G$2787:$K$2787)=0,"n/a",IF(C2839&gt;=C2838-0.001,"Repaid from cash",IF(SUMPRODUCT($G$2787:$K$2787,$G$2667:$K$2667)&gt;0,IF(C2839&gt;0,"Partly repaid; remainder refinanced","Refinanced"),IF(SUM($G$2796:$K$2796)&gt;0.001,IF(C2839&gt;0,"Partial repayment; PAYMENT DEFAULT","PAYMENT DEFAULT"),"Repaid from cash"))))</f>
        <v>n/a</v>
      </c>
    </row>
    <row r="2842" customFormat="false" ht="15" hidden="false" customHeight="false" outlineLevel="0" collapsed="false">
      <c r="A2842" s="3" t="s">
        <v>393</v>
      </c>
      <c r="C2842" s="21" t="n">
        <f aca="false">IF(C2804="REFINANCING FAILURE",1,0)+IF(C2808="REFINANCING FAILURE",1,0)+IF(C2812="REFINANCING FAILURE",1,0)+IF(C2816="REFINANCING FAILURE",1,0)+IF(C2820="REFINANCING FAILURE",1,0)+IF(C2824="REFINANCING FAILURE",1,0)+IF(C2828="REFINANCING FAILURE",1,0)+IF(C2832="REFINANCING FAILURE",1,0)+IF(C2836="REFINANCING FAILURE",1,0)+IF(C2840="REFINANCING FAILURE",1,0)</f>
        <v>0</v>
      </c>
    </row>
    <row r="2844" customFormat="false" ht="15" hidden="false" customHeight="false" outlineLevel="0" collapsed="false">
      <c r="A2844" s="24" t="s">
        <v>395</v>
      </c>
      <c r="B2844" s="25"/>
      <c r="C2844" s="25"/>
      <c r="D2844" s="25"/>
      <c r="E2844" s="25"/>
      <c r="F2844" s="25"/>
      <c r="G2844" s="25"/>
      <c r="H2844" s="25"/>
      <c r="I2844" s="25"/>
      <c r="J2844" s="25"/>
      <c r="K2844" s="25"/>
    </row>
    <row r="2845" customFormat="false" ht="15" hidden="false" customHeight="false" outlineLevel="0" collapsed="false">
      <c r="A2845" s="3" t="s">
        <v>325</v>
      </c>
      <c r="G2845" s="16" t="n">
        <f aca="false">F2857</f>
        <v>37.87</v>
      </c>
      <c r="H2845" s="16" t="n">
        <f aca="false">G2857</f>
        <v>140.6619232</v>
      </c>
      <c r="I2845" s="16" t="n">
        <f aca="false">H2857</f>
        <v>25</v>
      </c>
      <c r="J2845" s="16" t="n">
        <f aca="false">I2857</f>
        <v>0</v>
      </c>
      <c r="K2845" s="16" t="n">
        <f aca="false">J2857</f>
        <v>0</v>
      </c>
    </row>
    <row r="2846" customFormat="false" ht="15" hidden="false" customHeight="false" outlineLevel="0" collapsed="false">
      <c r="A2846" s="3" t="s">
        <v>396</v>
      </c>
      <c r="G2846" s="16" t="n">
        <f aca="false">G2656</f>
        <v>-93.2080768</v>
      </c>
      <c r="H2846" s="16" t="n">
        <f aca="false">H2656</f>
        <v>-88.9111022818</v>
      </c>
      <c r="I2846" s="16" t="n">
        <f aca="false">I2656</f>
        <v>-99.416490352856</v>
      </c>
      <c r="J2846" s="16" t="n">
        <f aca="false">J2656</f>
        <v>-97.6307824262863</v>
      </c>
      <c r="K2846" s="16" t="n">
        <f aca="false">K2656</f>
        <v>-114.511270255149</v>
      </c>
    </row>
    <row r="2847" customFormat="false" ht="15" hidden="false" customHeight="false" outlineLevel="0" collapsed="false">
      <c r="A2847" s="3" t="s">
        <v>397</v>
      </c>
      <c r="G2847" s="16" t="n">
        <f aca="false">CHOOSE($C$2626,Assumptions!$G$82,Assumptions!$G$101,Assumptions!$G$120)</f>
        <v>200</v>
      </c>
      <c r="H2847" s="16" t="n">
        <f aca="false">CHOOSE($C$2626,Assumptions!$H$82,Assumptions!$H$101,Assumptions!$H$120)</f>
        <v>0</v>
      </c>
      <c r="I2847" s="16" t="n">
        <f aca="false">CHOOSE($C$2626,Assumptions!$I$82,Assumptions!$I$101,Assumptions!$I$120)</f>
        <v>0</v>
      </c>
      <c r="J2847" s="16" t="n">
        <f aca="false">CHOOSE($C$2626,Assumptions!$J$82,Assumptions!$J$101,Assumptions!$J$120)</f>
        <v>0</v>
      </c>
      <c r="K2847" s="16" t="n">
        <f aca="false">CHOOSE($C$2626,Assumptions!$K$82,Assumptions!$K$101,Assumptions!$K$120)</f>
        <v>0</v>
      </c>
    </row>
    <row r="2848" customFormat="false" ht="15" hidden="false" customHeight="false" outlineLevel="0" collapsed="false">
      <c r="A2848" s="3" t="s">
        <v>398</v>
      </c>
      <c r="G2848" s="16" t="n">
        <f aca="false">G2675+G2688+G2701+G2714+G2727+G2740+G2753+G2766+G2779+G2792</f>
        <v>4</v>
      </c>
      <c r="H2848" s="16" t="n">
        <f aca="false">H2675+H2688+H2701+H2714+H2727+H2740+H2753+H2766+H2779+H2792</f>
        <v>4</v>
      </c>
      <c r="I2848" s="16" t="n">
        <f aca="false">I2675+I2688+I2701+I2714+I2727+I2740+I2753+I2766+I2779+I2792</f>
        <v>4</v>
      </c>
      <c r="J2848" s="16" t="n">
        <f aca="false">J2675+J2688+J2701+J2714+J2727+J2740+J2753+J2766+J2779+J2792</f>
        <v>4</v>
      </c>
      <c r="K2848" s="16" t="n">
        <f aca="false">K2675+K2688+K2701+K2714+K2727+K2740+K2753+K2766+K2779+K2792</f>
        <v>4</v>
      </c>
    </row>
    <row r="2849" customFormat="false" ht="15" hidden="false" customHeight="false" outlineLevel="0" collapsed="false">
      <c r="A2849" s="2" t="s">
        <v>399</v>
      </c>
      <c r="G2849" s="17" t="n">
        <f aca="false">G2845+G2846+G2847-G2848</f>
        <v>140.6619232</v>
      </c>
      <c r="H2849" s="17" t="n">
        <f aca="false">H2845+H2846+H2847-H2848</f>
        <v>47.7508209182</v>
      </c>
      <c r="I2849" s="17" t="n">
        <f aca="false">I2845+I2846+I2847-I2848</f>
        <v>-78.416490352856</v>
      </c>
      <c r="J2849" s="17" t="n">
        <f aca="false">J2845+J2846+J2847-J2848</f>
        <v>-101.630782426286</v>
      </c>
      <c r="K2849" s="17" t="n">
        <f aca="false">K2845+K2846+K2847-K2848</f>
        <v>-118.511270255149</v>
      </c>
    </row>
    <row r="2850" customFormat="false" ht="15" hidden="false" customHeight="false" outlineLevel="0" collapsed="false">
      <c r="A2850" s="3" t="s">
        <v>400</v>
      </c>
      <c r="G2850" s="16" t="n">
        <f aca="false">G2676+G2689+G2702+G2715+G2728+G2741+G2754+G2767+G2780+G2793</f>
        <v>0</v>
      </c>
      <c r="H2850" s="16" t="n">
        <f aca="false">H2676+H2689+H2702+H2715+H2728+H2741+H2754+H2767+H2780+H2793</f>
        <v>0</v>
      </c>
      <c r="I2850" s="16" t="n">
        <f aca="false">I2676+I2689+I2702+I2715+I2728+I2741+I2754+I2767+I2780+I2793</f>
        <v>78.416490352856</v>
      </c>
      <c r="J2850" s="16" t="n">
        <f aca="false">J2676+J2689+J2702+J2715+J2728+J2741+J2754+J2767+J2780+J2793</f>
        <v>101.630782426286</v>
      </c>
      <c r="K2850" s="16" t="n">
        <f aca="false">K2676+K2689+K2702+K2715+K2728+K2741+K2754+K2767+K2780+K2793</f>
        <v>118.511270255149</v>
      </c>
    </row>
    <row r="2851" customFormat="false" ht="15" hidden="false" customHeight="false" outlineLevel="0" collapsed="false">
      <c r="A2851" s="2" t="s">
        <v>401</v>
      </c>
      <c r="G2851" s="17" t="n">
        <f aca="false">G2849+G2850</f>
        <v>140.6619232</v>
      </c>
      <c r="H2851" s="17" t="n">
        <f aca="false">H2849+H2850</f>
        <v>47.7508209182</v>
      </c>
      <c r="I2851" s="17" t="n">
        <f aca="false">I2849+I2850</f>
        <v>0</v>
      </c>
      <c r="J2851" s="17" t="n">
        <f aca="false">J2849+J2850</f>
        <v>0</v>
      </c>
      <c r="K2851" s="17" t="n">
        <f aca="false">K2849+K2850</f>
        <v>0</v>
      </c>
    </row>
    <row r="2852" customFormat="false" ht="15" hidden="false" customHeight="false" outlineLevel="0" collapsed="false">
      <c r="A2852" s="3" t="s">
        <v>402</v>
      </c>
      <c r="G2852" s="16" t="n">
        <f aca="false">G2677+G2690+G2703+G2716+G2729+G2742+G2755+G2768+G2781+G2794</f>
        <v>0</v>
      </c>
      <c r="H2852" s="16" t="n">
        <f aca="false">H2677+H2690+H2703+H2716+H2729+H2742+H2755+H2768+H2781+H2794</f>
        <v>22.7508209182</v>
      </c>
      <c r="I2852" s="16" t="n">
        <f aca="false">I2677+I2690+I2703+I2716+I2729+I2742+I2755+I2768+I2781+I2794</f>
        <v>0</v>
      </c>
      <c r="J2852" s="16" t="n">
        <f aca="false">J2677+J2690+J2703+J2716+J2729+J2742+J2755+J2768+J2781+J2794</f>
        <v>0</v>
      </c>
      <c r="K2852" s="16" t="n">
        <f aca="false">K2677+K2690+K2703+K2716+K2729+K2742+K2755+K2768+K2781+K2794</f>
        <v>0</v>
      </c>
    </row>
    <row r="2853" customFormat="false" ht="15" hidden="false" customHeight="false" outlineLevel="0" collapsed="false">
      <c r="A2853" s="2" t="s">
        <v>403</v>
      </c>
      <c r="G2853" s="17" t="n">
        <f aca="false">G2851-G2852</f>
        <v>140.6619232</v>
      </c>
      <c r="H2853" s="17" t="n">
        <f aca="false">H2851-H2852</f>
        <v>25</v>
      </c>
      <c r="I2853" s="17" t="n">
        <f aca="false">I2851-I2852</f>
        <v>0</v>
      </c>
      <c r="J2853" s="17" t="n">
        <f aca="false">J2851-J2852</f>
        <v>0</v>
      </c>
      <c r="K2853" s="17" t="n">
        <f aca="false">K2851-K2852</f>
        <v>0</v>
      </c>
    </row>
    <row r="2854" customFormat="false" ht="15" hidden="false" customHeight="false" outlineLevel="0" collapsed="false">
      <c r="A2854" s="3" t="s">
        <v>404</v>
      </c>
      <c r="G2854" s="16" t="n">
        <f aca="false">MAX(0,-G2853)</f>
        <v>0</v>
      </c>
      <c r="H2854" s="16" t="n">
        <f aca="false">MAX(0,-H2853)</f>
        <v>0</v>
      </c>
      <c r="I2854" s="16" t="n">
        <f aca="false">MAX(0,-I2853)</f>
        <v>-0</v>
      </c>
      <c r="J2854" s="16" t="n">
        <f aca="false">MAX(0,-J2853)</f>
        <v>-0</v>
      </c>
      <c r="K2854" s="16" t="n">
        <f aca="false">MAX(0,-K2853)</f>
        <v>-0</v>
      </c>
    </row>
    <row r="2855" customFormat="false" ht="15" hidden="false" customHeight="false" outlineLevel="0" collapsed="false">
      <c r="A2855" s="3" t="s">
        <v>405</v>
      </c>
      <c r="G2855" s="16" t="n">
        <f aca="false">MAX(0,G2853-Assumptions!$C$12)*Assumptions!$C$13</f>
        <v>0</v>
      </c>
      <c r="H2855" s="16" t="n">
        <f aca="false">MAX(0,H2853-Assumptions!$C$12)*Assumptions!$C$13</f>
        <v>0</v>
      </c>
      <c r="I2855" s="16" t="n">
        <f aca="false">MAX(0,I2853-Assumptions!$C$12)*Assumptions!$C$13</f>
        <v>0</v>
      </c>
      <c r="J2855" s="16" t="n">
        <f aca="false">MAX(0,J2853-Assumptions!$C$12)*Assumptions!$C$13</f>
        <v>0</v>
      </c>
      <c r="K2855" s="16" t="n">
        <f aca="false">MAX(0,K2853-Assumptions!$C$12)*Assumptions!$C$13</f>
        <v>0</v>
      </c>
    </row>
    <row r="2856" customFormat="false" ht="15" hidden="false" customHeight="false" outlineLevel="0" collapsed="false">
      <c r="A2856" s="3" t="s">
        <v>406</v>
      </c>
      <c r="G2856" s="16" t="n">
        <f aca="false">G2678+G2691+G2704+G2717+G2730+G2743+G2756+G2769+G2782+G2795</f>
        <v>0</v>
      </c>
      <c r="H2856" s="16" t="n">
        <f aca="false">H2678+H2691+H2704+H2717+H2730+H2743+H2756+H2769+H2782+H2795</f>
        <v>0</v>
      </c>
      <c r="I2856" s="16" t="n">
        <f aca="false">I2678+I2691+I2704+I2717+I2730+I2743+I2756+I2769+I2782+I2795</f>
        <v>0</v>
      </c>
      <c r="J2856" s="16" t="n">
        <f aca="false">J2678+J2691+J2704+J2717+J2730+J2743+J2756+J2769+J2782+J2795</f>
        <v>0</v>
      </c>
      <c r="K2856" s="16" t="n">
        <f aca="false">K2678+K2691+K2704+K2717+K2730+K2743+K2756+K2769+K2782+K2795</f>
        <v>0</v>
      </c>
    </row>
    <row r="2857" customFormat="false" ht="15" hidden="false" customHeight="false" outlineLevel="0" collapsed="false">
      <c r="A2857" s="2" t="s">
        <v>407</v>
      </c>
      <c r="F2857" s="28" t="n">
        <f aca="false">Assumptions!$C$11</f>
        <v>37.87</v>
      </c>
      <c r="G2857" s="17" t="n">
        <f aca="false">G2853-G2856</f>
        <v>140.6619232</v>
      </c>
      <c r="H2857" s="17" t="n">
        <f aca="false">H2853-H2856</f>
        <v>25</v>
      </c>
      <c r="I2857" s="17" t="n">
        <f aca="false">I2853-I2856</f>
        <v>0</v>
      </c>
      <c r="J2857" s="17" t="n">
        <f aca="false">J2853-J2856</f>
        <v>0</v>
      </c>
      <c r="K2857" s="17" t="n">
        <f aca="false">K2853-K2856</f>
        <v>0</v>
      </c>
    </row>
    <row r="2858" customFormat="false" ht="15" hidden="false" customHeight="false" outlineLevel="0" collapsed="false">
      <c r="A2858" s="3" t="s">
        <v>408</v>
      </c>
      <c r="G2858" s="16" t="n">
        <f aca="false">G2679+G2692+G2705+G2718+G2731+G2744+G2757+G2770+G2783+G2796</f>
        <v>0</v>
      </c>
      <c r="H2858" s="16" t="n">
        <f aca="false">H2679+H2692+H2705+H2718+H2731+H2744+H2757+H2770+H2783+H2796</f>
        <v>0</v>
      </c>
      <c r="I2858" s="16" t="n">
        <f aca="false">I2679+I2692+I2705+I2718+I2731+I2744+I2757+I2770+I2783+I2796</f>
        <v>0</v>
      </c>
      <c r="J2858" s="16" t="n">
        <f aca="false">J2679+J2692+J2705+J2718+J2731+J2744+J2757+J2770+J2783+J2796</f>
        <v>0</v>
      </c>
      <c r="K2858" s="16" t="n">
        <f aca="false">K2679+K2692+K2705+K2718+K2731+K2744+K2757+K2770+K2783+K2796</f>
        <v>0</v>
      </c>
    </row>
    <row r="2859" customFormat="false" ht="15" hidden="false" customHeight="false" outlineLevel="0" collapsed="false">
      <c r="A2859" s="3" t="s">
        <v>409</v>
      </c>
      <c r="G2859" s="21" t="n">
        <f aca="false">IF(OR(G2854&gt;0.001,G2858&gt;0.001),1,0)</f>
        <v>0</v>
      </c>
      <c r="H2859" s="21" t="n">
        <f aca="false">IF(OR(H2854&gt;0.001,H2858&gt;0.001),1,0)</f>
        <v>0</v>
      </c>
      <c r="I2859" s="21" t="n">
        <f aca="false">IF(OR(I2854&gt;0.001,I2858&gt;0.001),1,0)</f>
        <v>0</v>
      </c>
      <c r="J2859" s="21" t="n">
        <f aca="false">IF(OR(J2854&gt;0.001,J2858&gt;0.001),1,0)</f>
        <v>0</v>
      </c>
      <c r="K2859" s="21" t="n">
        <f aca="false">IF(OR(K2854&gt;0.001,K2858&gt;0.001),1,0)</f>
        <v>0</v>
      </c>
    </row>
    <row r="2860" customFormat="false" ht="15" hidden="false" customHeight="false" outlineLevel="0" collapsed="false">
      <c r="A2860" s="3" t="s">
        <v>410</v>
      </c>
      <c r="G2860" s="21" t="n">
        <f aca="false">IF(G2859=1,1,0)</f>
        <v>0</v>
      </c>
      <c r="H2860" s="21" t="n">
        <f aca="false">IF(AND(H2859=1,SUM($G$2859:G2859)=0),1,0)</f>
        <v>0</v>
      </c>
      <c r="I2860" s="21" t="n">
        <f aca="false">IF(AND(I2859=1,SUM($G$2859:H2859)=0),1,0)</f>
        <v>0</v>
      </c>
      <c r="J2860" s="21" t="n">
        <f aca="false">IF(AND(J2859=1,SUM($G$2859:I2859)=0),1,0)</f>
        <v>0</v>
      </c>
      <c r="K2860" s="21" t="n">
        <f aca="false">IF(AND(K2859=1,SUM($G$2859:J2859)=0),1,0)</f>
        <v>0</v>
      </c>
    </row>
    <row r="2861" customFormat="false" ht="15" hidden="false" customHeight="false" outlineLevel="0" collapsed="false">
      <c r="A2861" s="3" t="s">
        <v>411</v>
      </c>
      <c r="G2861" s="16" t="n">
        <f aca="false">(G2799-F2799)-(G2850+G2648-G2848-G2852-G2856)</f>
        <v>0</v>
      </c>
      <c r="H2861" s="16" t="n">
        <f aca="false">(H2799-G2799)-(H2850+H2648-H2848-H2852-H2856)</f>
        <v>-1.13686837721616E-013</v>
      </c>
      <c r="I2861" s="16" t="n">
        <f aca="false">(I2799-H2799)-(I2850+I2648-I2848-I2852-I2856)</f>
        <v>0</v>
      </c>
      <c r="J2861" s="16" t="n">
        <f aca="false">(J2799-I2799)-(J2850+J2648-J2848-J2852-J2856)</f>
        <v>0</v>
      </c>
      <c r="K2861" s="16" t="n">
        <f aca="false">(K2799-J2799)-(K2850+K2648-K2848-K2852-K2856)</f>
        <v>0</v>
      </c>
    </row>
    <row r="2863" customFormat="false" ht="15" hidden="false" customHeight="false" outlineLevel="0" collapsed="false">
      <c r="A2863" s="24" t="s">
        <v>413</v>
      </c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</row>
    <row r="2864" customFormat="false" ht="15" hidden="false" customHeight="false" outlineLevel="0" collapsed="false">
      <c r="A2864" s="3" t="s">
        <v>414</v>
      </c>
      <c r="G2864" s="16" t="n">
        <f aca="false">G2799</f>
        <v>2621.934</v>
      </c>
      <c r="H2864" s="16" t="n">
        <f aca="false">H2799</f>
        <v>2595.1831790818</v>
      </c>
      <c r="I2864" s="16" t="n">
        <f aca="false">I2799</f>
        <v>2669.59966943466</v>
      </c>
      <c r="J2864" s="16" t="n">
        <f aca="false">J2799</f>
        <v>2767.23045186094</v>
      </c>
      <c r="K2864" s="16" t="n">
        <f aca="false">K2799</f>
        <v>2881.74172211609</v>
      </c>
    </row>
    <row r="2865" customFormat="false" ht="15" hidden="false" customHeight="false" outlineLevel="0" collapsed="false">
      <c r="A2865" s="3" t="s">
        <v>415</v>
      </c>
      <c r="G2865" s="16" t="n">
        <f aca="false">Assumptions!$O$57*G2680+Assumptions!$O$58*G2693+Assumptions!$O$59*G2706+Assumptions!$O$60*G2719+Assumptions!$O$61*G2732+Assumptions!$O$62*G2745+Assumptions!$O$63*G2758+Assumptions!$O$64*G2771+Assumptions!$O$65*G2784+Assumptions!$O$66*G2797</f>
        <v>543.324</v>
      </c>
      <c r="H2865" s="16" t="n">
        <f aca="false">Assumptions!$O$57*H2680+Assumptions!$O$58*H2693+Assumptions!$O$59*H2706+Assumptions!$O$60*H2719+Assumptions!$O$61*H2732+Assumptions!$O$62*H2745+Assumptions!$O$63*H2758+Assumptions!$O$64*H2771+Assumptions!$O$65*H2784+Assumptions!$O$66*H2797</f>
        <v>539.324</v>
      </c>
      <c r="I2865" s="16" t="n">
        <f aca="false">Assumptions!$O$57*I2680+Assumptions!$O$58*I2693+Assumptions!$O$59*I2706+Assumptions!$O$60*I2719+Assumptions!$O$61*I2732+Assumptions!$O$62*I2745+Assumptions!$O$63*I2758+Assumptions!$O$64*I2771+Assumptions!$O$65*I2784+Assumptions!$O$66*I2797</f>
        <v>535.324</v>
      </c>
      <c r="J2865" s="16" t="n">
        <f aca="false">Assumptions!$O$57*J2680+Assumptions!$O$58*J2693+Assumptions!$O$59*J2706+Assumptions!$O$60*J2719+Assumptions!$O$61*J2732+Assumptions!$O$62*J2745+Assumptions!$O$63*J2758+Assumptions!$O$64*J2771+Assumptions!$O$65*J2784+Assumptions!$O$66*J2797</f>
        <v>531.324</v>
      </c>
      <c r="K2865" s="16" t="n">
        <f aca="false">Assumptions!$O$57*K2680+Assumptions!$O$58*K2693+Assumptions!$O$59*K2706+Assumptions!$O$60*K2719+Assumptions!$O$61*K2732+Assumptions!$O$62*K2745+Assumptions!$O$63*K2758+Assumptions!$O$64*K2771+Assumptions!$O$65*K2784+Assumptions!$O$66*K2797</f>
        <v>527.324</v>
      </c>
    </row>
    <row r="2866" customFormat="false" ht="15" hidden="false" customHeight="false" outlineLevel="0" collapsed="false">
      <c r="A2866" s="3" t="s">
        <v>416</v>
      </c>
      <c r="G2866" s="16" t="n">
        <f aca="false">G2864-G2857</f>
        <v>2481.2720768</v>
      </c>
      <c r="H2866" s="16" t="n">
        <f aca="false">H2864-H2857</f>
        <v>2570.1831790818</v>
      </c>
      <c r="I2866" s="16" t="n">
        <f aca="false">I2864-I2857</f>
        <v>2669.59966943466</v>
      </c>
      <c r="J2866" s="16" t="n">
        <f aca="false">J2864-J2857</f>
        <v>2767.23045186094</v>
      </c>
      <c r="K2866" s="16" t="n">
        <f aca="false">K2864-K2857</f>
        <v>2881.74172211609</v>
      </c>
    </row>
    <row r="2867" customFormat="false" ht="15" hidden="false" customHeight="false" outlineLevel="0" collapsed="false">
      <c r="A2867" s="3" t="s">
        <v>417</v>
      </c>
      <c r="G2867" s="32" t="n">
        <f aca="false">IF(G2643&gt;0,G2864/G2643,0)</f>
        <v>10.6364524228835</v>
      </c>
      <c r="H2867" s="32" t="n">
        <f aca="false">IF(H2643&gt;0,H2864/H2643,0)</f>
        <v>10.2611421338383</v>
      </c>
      <c r="I2867" s="32" t="n">
        <f aca="false">IF(I2643&gt;0,I2864/I2643,0)</f>
        <v>10.2882454621964</v>
      </c>
      <c r="J2867" s="32" t="n">
        <f aca="false">IF(J2643&gt;0,J2864/J2643,0)</f>
        <v>10.4150240173114</v>
      </c>
      <c r="K2867" s="32" t="n">
        <f aca="false">IF(K2643&gt;0,K2864/K2643,0)</f>
        <v>10.5924456969446</v>
      </c>
    </row>
    <row r="2868" customFormat="false" ht="15" hidden="false" customHeight="false" outlineLevel="0" collapsed="false">
      <c r="A2868" s="3" t="s">
        <v>418</v>
      </c>
      <c r="G2868" s="32" t="n">
        <f aca="false">IF(G2643&gt;0,G2866/G2643,0)</f>
        <v>10.0658263682887</v>
      </c>
      <c r="H2868" s="32" t="n">
        <f aca="false">IF(H2643&gt;0,H2866/H2643,0)</f>
        <v>10.1622941775885</v>
      </c>
      <c r="I2868" s="32" t="n">
        <f aca="false">IF(I2643&gt;0,I2866/I2643,0)</f>
        <v>10.2882454621964</v>
      </c>
      <c r="J2868" s="32" t="n">
        <f aca="false">IF(J2643&gt;0,J2866/J2643,0)</f>
        <v>10.4150240173114</v>
      </c>
      <c r="K2868" s="32" t="n">
        <f aca="false">IF(K2643&gt;0,K2866/K2643,0)</f>
        <v>10.5924456969446</v>
      </c>
    </row>
    <row r="2869" customFormat="false" ht="15" hidden="false" customHeight="false" outlineLevel="0" collapsed="false">
      <c r="A2869" s="3" t="s">
        <v>419</v>
      </c>
      <c r="G2869" s="32" t="n">
        <f aca="false">IF(G2647&gt;0,G2643/G2647,0)</f>
        <v>1.3678763000604</v>
      </c>
      <c r="H2869" s="32" t="n">
        <f aca="false">IF(H2647&gt;0,H2643/H2647,0)</f>
        <v>1.41188620888101</v>
      </c>
      <c r="I2869" s="32" t="n">
        <f aca="false">IF(I2647&gt;0,I2643/I2647,0)</f>
        <v>1.34480599077479</v>
      </c>
      <c r="J2869" s="32" t="n">
        <f aca="false">IF(J2647&gt;0,J2643/J2647,0)</f>
        <v>1.36913663007023</v>
      </c>
      <c r="K2869" s="32" t="n">
        <f aca="false">IF(K2647&gt;0,K2643/K2647,0)</f>
        <v>1.27178764572193</v>
      </c>
    </row>
    <row r="2870" customFormat="false" ht="15" hidden="false" customHeight="false" outlineLevel="0" collapsed="false">
      <c r="A2870" s="3" t="s">
        <v>420</v>
      </c>
      <c r="G2870" s="32" t="n">
        <f aca="false">IF(G2647&gt;0,G2646/G2647,0)</f>
        <v>0.370514756472684</v>
      </c>
      <c r="H2870" s="32" t="n">
        <f aca="false">IF(H2647&gt;0,H2646/H2647,0)</f>
        <v>0.38845583809515</v>
      </c>
      <c r="I2870" s="32" t="n">
        <f aca="false">IF(I2647&gt;0,I2646/I2647,0)</f>
        <v>0.375667364684793</v>
      </c>
      <c r="J2870" s="32" t="n">
        <f aca="false">IF(J2647&gt;0,J2646/J2647,0)</f>
        <v>0.386273599615908</v>
      </c>
      <c r="K2870" s="32" t="n">
        <f aca="false">IF(K2647&gt;0,K2646/K2647,0)</f>
        <v>0.362320053805245</v>
      </c>
    </row>
    <row r="2871" customFormat="false" ht="15" hidden="false" customHeight="false" outlineLevel="0" collapsed="false">
      <c r="A2871" s="3" t="s">
        <v>213</v>
      </c>
      <c r="G2871" s="22" t="n">
        <f aca="false">IF(G2864&gt;0,G2656/G2864,0)</f>
        <v>-0.0355493604339392</v>
      </c>
      <c r="H2871" s="22" t="n">
        <f aca="false">IF(H2864&gt;0,H2656/H2864,0)</f>
        <v>-0.0342600487697587</v>
      </c>
      <c r="I2871" s="22" t="n">
        <f aca="false">IF(I2864&gt;0,I2656/I2864,0)</f>
        <v>-0.0372402242520166</v>
      </c>
      <c r="J2871" s="22" t="n">
        <f aca="false">IF(J2864&gt;0,J2656/J2864,0)</f>
        <v>-0.0352810451188228</v>
      </c>
      <c r="K2871" s="22" t="n">
        <f aca="false">IF(K2864&gt;0,K2656/K2864,0)</f>
        <v>-0.0397368263006797</v>
      </c>
    </row>
    <row r="2872" customFormat="false" ht="15" hidden="false" customHeight="false" outlineLevel="0" collapsed="false">
      <c r="A2872" s="3" t="s">
        <v>421</v>
      </c>
      <c r="G2872" s="32" t="n">
        <f aca="false">IF(G2647+G2848&gt;0,(G2643-G2654-G2651)/(G2647+G2848),0)</f>
        <v>0.760922304360007</v>
      </c>
      <c r="H2872" s="32" t="n">
        <f aca="false">IF(H2647+H2848&gt;0,(H2643-H2654-H2651)/(H2647+H2848),0)</f>
        <v>0.788785422085342</v>
      </c>
      <c r="I2872" s="32" t="n">
        <f aca="false">IF(I2647+I2848&gt;0,(I2643-I2654-I2651)/(I2647+I2848),0)</f>
        <v>0.755771395224103</v>
      </c>
      <c r="J2872" s="32" t="n">
        <f aca="false">IF(J2647+J2848&gt;0,(J2643-J2654-J2651)/(J2647+J2848),0)</f>
        <v>0.771742809225292</v>
      </c>
      <c r="K2872" s="32" t="n">
        <f aca="false">IF(K2647+K2848&gt;0,(K2643-K2654-K2651)/(K2647+K2848),0)</f>
        <v>0.720255661665185</v>
      </c>
    </row>
    <row r="2873" customFormat="false" ht="15" hidden="false" customHeight="false" outlineLevel="0" collapsed="false">
      <c r="A2873" s="3" t="s">
        <v>422</v>
      </c>
      <c r="G2873" s="16" t="n">
        <f aca="false">MAX(0,G2857)+Assumptions!$P$57*MAX(0,Assumptions!$D$57-G2680)+Assumptions!$P$58*MAX(0,Assumptions!$D$58-G2693)+Assumptions!$P$59*MAX(0,Assumptions!$D$59-G2706)+Assumptions!$P$60*MAX(0,Assumptions!$D$60-G2719)+Assumptions!$P$61*MAX(0,Assumptions!$D$61-G2732)+Assumptions!$P$62*MAX(0,Assumptions!$D$62-G2745)+Assumptions!$P$63*MAX(0,Assumptions!$D$63-G2758)+Assumptions!$P$64*MAX(0,Assumptions!$D$64-G2771)+Assumptions!$P$65*MAX(0,Assumptions!$D$65-G2784)+Assumptions!$P$66*MAX(0,Assumptions!$D$66-G2797)</f>
        <v>715.1619232</v>
      </c>
      <c r="H2873" s="16" t="n">
        <f aca="false">MAX(0,H2857)+Assumptions!$P$57*MAX(0,Assumptions!$D$57-H2680)+Assumptions!$P$58*MAX(0,Assumptions!$D$58-H2693)+Assumptions!$P$59*MAX(0,Assumptions!$D$59-H2706)+Assumptions!$P$60*MAX(0,Assumptions!$D$60-H2719)+Assumptions!$P$61*MAX(0,Assumptions!$D$61-H2732)+Assumptions!$P$62*MAX(0,Assumptions!$D$62-H2745)+Assumptions!$P$63*MAX(0,Assumptions!$D$63-H2758)+Assumptions!$P$64*MAX(0,Assumptions!$D$64-H2771)+Assumptions!$P$65*MAX(0,Assumptions!$D$65-H2784)+Assumptions!$P$66*MAX(0,Assumptions!$D$66-H2797)</f>
        <v>599.5</v>
      </c>
      <c r="I2873" s="16" t="n">
        <f aca="false">MAX(0,I2857)+Assumptions!$P$57*MAX(0,Assumptions!$D$57-I2680)+Assumptions!$P$58*MAX(0,Assumptions!$D$58-I2693)+Assumptions!$P$59*MAX(0,Assumptions!$D$59-I2706)+Assumptions!$P$60*MAX(0,Assumptions!$D$60-I2719)+Assumptions!$P$61*MAX(0,Assumptions!$D$61-I2732)+Assumptions!$P$62*MAX(0,Assumptions!$D$62-I2745)+Assumptions!$P$63*MAX(0,Assumptions!$D$63-I2758)+Assumptions!$P$64*MAX(0,Assumptions!$D$64-I2771)+Assumptions!$P$65*MAX(0,Assumptions!$D$65-I2784)+Assumptions!$P$66*MAX(0,Assumptions!$D$66-I2797)</f>
        <v>496.083509647144</v>
      </c>
      <c r="J2873" s="16" t="n">
        <f aca="false">MAX(0,J2857)+Assumptions!$P$57*MAX(0,Assumptions!$D$57-J2680)+Assumptions!$P$58*MAX(0,Assumptions!$D$58-J2693)+Assumptions!$P$59*MAX(0,Assumptions!$D$59-J2706)+Assumptions!$P$60*MAX(0,Assumptions!$D$60-J2719)+Assumptions!$P$61*MAX(0,Assumptions!$D$61-J2732)+Assumptions!$P$62*MAX(0,Assumptions!$D$62-J2745)+Assumptions!$P$63*MAX(0,Assumptions!$D$63-J2758)+Assumptions!$P$64*MAX(0,Assumptions!$D$64-J2771)+Assumptions!$P$65*MAX(0,Assumptions!$D$65-J2784)+Assumptions!$P$66*MAX(0,Assumptions!$D$66-J2797)</f>
        <v>394.452727220858</v>
      </c>
      <c r="K2873" s="16" t="n">
        <f aca="false">MAX(0,K2857)+Assumptions!$P$57*MAX(0,Assumptions!$D$57-K2680)+Assumptions!$P$58*MAX(0,Assumptions!$D$58-K2693)+Assumptions!$P$59*MAX(0,Assumptions!$D$59-K2706)+Assumptions!$P$60*MAX(0,Assumptions!$D$60-K2719)+Assumptions!$P$61*MAX(0,Assumptions!$D$61-K2732)+Assumptions!$P$62*MAX(0,Assumptions!$D$62-K2745)+Assumptions!$P$63*MAX(0,Assumptions!$D$63-K2758)+Assumptions!$P$64*MAX(0,Assumptions!$D$64-K2771)+Assumptions!$P$65*MAX(0,Assumptions!$D$65-K2784)+Assumptions!$P$66*MAX(0,Assumptions!$D$66-K2797)</f>
        <v>275.941456965709</v>
      </c>
    </row>
    <row r="2874" customFormat="false" ht="15" hidden="false" customHeight="false" outlineLevel="0" collapsed="false">
      <c r="A2874" s="3" t="s">
        <v>423</v>
      </c>
      <c r="G2874" s="22" t="n">
        <f aca="false">IF(G2864&gt;0,G2864/(G2864+MAX(0,G2643*CHOOSE($C$2626,Assumptions!$C$90,Assumptions!$C$109,Assumptions!$C$128)-G2866)),0)</f>
        <v>0.813767632740468</v>
      </c>
      <c r="H2874" s="22" t="n">
        <f aca="false">IF(H2864&gt;0,H2864/(H2864+MAX(0,H2643*CHOOSE($C$2626,Assumptions!$C$90,Assumptions!$C$109,Assumptions!$C$128)-H2866)),0)</f>
        <v>0.814450826731991</v>
      </c>
      <c r="I2874" s="22" t="n">
        <f aca="false">IF(I2864&gt;0,I2864/(I2864+MAX(0,I2643*CHOOSE($C$2626,Assumptions!$C$90,Assumptions!$C$109,Assumptions!$C$128)-I2866)),0)</f>
        <v>0.823059636975709</v>
      </c>
      <c r="J2874" s="22" t="n">
        <f aca="false">IF(J2864&gt;0,J2864/(J2864+MAX(0,J2643*CHOOSE($C$2626,Assumptions!$C$90,Assumptions!$C$109,Assumptions!$C$128)-J2866)),0)</f>
        <v>0.833201921384911</v>
      </c>
      <c r="K2874" s="22" t="n">
        <f aca="false">IF(K2864&gt;0,K2864/(K2864+MAX(0,K2643*CHOOSE($C$2626,Assumptions!$C$90,Assumptions!$C$109,Assumptions!$C$128)-K2866)),0)</f>
        <v>0.847395655755566</v>
      </c>
    </row>
    <row r="2875" customFormat="false" ht="15" hidden="false" customHeight="false" outlineLevel="0" collapsed="false">
      <c r="A2875" s="3" t="s">
        <v>424</v>
      </c>
      <c r="G2875" s="22" t="n">
        <f aca="false">IF(G2864&gt;0,MAX(0,G2857)/G2864,0)</f>
        <v>0.0536481555981196</v>
      </c>
      <c r="H2875" s="22" t="n">
        <f aca="false">IF(H2864&gt;0,MAX(0,H2857)/H2864,0)</f>
        <v>0.00963323136551973</v>
      </c>
      <c r="I2875" s="22" t="n">
        <f aca="false">IF(I2864&gt;0,MAX(0,I2857)/I2864,0)</f>
        <v>0</v>
      </c>
      <c r="J2875" s="22" t="n">
        <f aca="false">IF(J2864&gt;0,MAX(0,J2857)/J2864,0)</f>
        <v>0</v>
      </c>
      <c r="K2875" s="22" t="n">
        <f aca="false">IF(K2864&gt;0,MAX(0,K2857)/K2864,0)</f>
        <v>0</v>
      </c>
    </row>
    <row r="2876" customFormat="false" ht="15" hidden="false" customHeight="false" outlineLevel="0" collapsed="false">
      <c r="A2876" s="3" t="s">
        <v>425</v>
      </c>
      <c r="G2876" s="16" t="n">
        <f aca="false">Assumptions!$C$31*(1-CHOOSE($C$2626,Assumptions!$C$93,Assumptions!$C$112,Assumptions!$C$131))</f>
        <v>4517.70066666667</v>
      </c>
      <c r="H2876" s="16" t="n">
        <f aca="false">Assumptions!$C$31*(1-CHOOSE($C$2626,Assumptions!$C$93,Assumptions!$C$112,Assumptions!$C$131))</f>
        <v>4517.70066666667</v>
      </c>
      <c r="I2876" s="16" t="n">
        <f aca="false">Assumptions!$C$31*(1-CHOOSE($C$2626,Assumptions!$C$93,Assumptions!$C$112,Assumptions!$C$131))</f>
        <v>4517.70066666667</v>
      </c>
      <c r="J2876" s="16" t="n">
        <f aca="false">Assumptions!$C$31*(1-CHOOSE($C$2626,Assumptions!$C$93,Assumptions!$C$112,Assumptions!$C$131))</f>
        <v>4517.70066666667</v>
      </c>
      <c r="K2876" s="16" t="n">
        <f aca="false">Assumptions!$C$31*(1-CHOOSE($C$2626,Assumptions!$C$93,Assumptions!$C$112,Assumptions!$C$131))</f>
        <v>4517.70066666667</v>
      </c>
    </row>
    <row r="2877" customFormat="false" ht="15" hidden="false" customHeight="false" outlineLevel="0" collapsed="false">
      <c r="A2877" s="24" t="s">
        <v>426</v>
      </c>
      <c r="B2877" s="25"/>
      <c r="C2877" s="25"/>
      <c r="D2877" s="25"/>
      <c r="E2877" s="25"/>
      <c r="F2877" s="25"/>
      <c r="G2877" s="25"/>
      <c r="H2877" s="25"/>
      <c r="I2877" s="25"/>
      <c r="J2877" s="25"/>
      <c r="K2877" s="25"/>
    </row>
    <row r="2878" customFormat="false" ht="15" hidden="false" customHeight="false" outlineLevel="0" collapsed="false">
      <c r="A2878" s="24" t="s">
        <v>427</v>
      </c>
      <c r="B2878" s="25"/>
      <c r="C2878" s="25"/>
      <c r="D2878" s="25"/>
      <c r="E2878" s="25"/>
      <c r="F2878" s="25"/>
      <c r="G2878" s="25"/>
      <c r="H2878" s="25"/>
      <c r="I2878" s="25"/>
      <c r="J2878" s="25"/>
      <c r="K2878" s="25"/>
    </row>
    <row r="2879" customFormat="false" ht="15" hidden="false" customHeight="false" outlineLevel="0" collapsed="false">
      <c r="A2879" s="3" t="s">
        <v>428</v>
      </c>
      <c r="G2879" s="22" t="n">
        <f aca="false">IF(G2876&gt;0,G2864/G2876,99)</f>
        <v>0.580369128779522</v>
      </c>
      <c r="H2879" s="22" t="n">
        <f aca="false">IF(H2876&gt;0,H2864/H2876,99)</f>
        <v>0.574447793371982</v>
      </c>
      <c r="I2879" s="22" t="n">
        <f aca="false">IF(I2876&gt;0,I2864/I2876,99)</f>
        <v>0.590919998115853</v>
      </c>
      <c r="J2879" s="22" t="n">
        <f aca="false">IF(J2876&gt;0,J2864/J2876,99)</f>
        <v>0.612530722161084</v>
      </c>
      <c r="K2879" s="22" t="n">
        <f aca="false">IF(K2876&gt;0,K2864/K2876,99)</f>
        <v>0.637877968183835</v>
      </c>
    </row>
    <row r="2880" customFormat="false" ht="15" hidden="false" customHeight="false" outlineLevel="0" collapsed="false">
      <c r="A2880" s="3" t="s">
        <v>429</v>
      </c>
      <c r="G2880" s="33" t="n">
        <f aca="false">Assumptions!$G$71</f>
        <v>0.6</v>
      </c>
      <c r="H2880" s="33" t="n">
        <f aca="false">Assumptions!$H$71</f>
        <v>0.6</v>
      </c>
      <c r="I2880" s="33" t="n">
        <f aca="false">Assumptions!$I$71</f>
        <v>0.6</v>
      </c>
      <c r="J2880" s="33" t="n">
        <f aca="false">Assumptions!$J$71</f>
        <v>0.6</v>
      </c>
      <c r="K2880" s="33" t="n">
        <f aca="false">Assumptions!$K$71</f>
        <v>0.6</v>
      </c>
    </row>
    <row r="2881" customFormat="false" ht="15" hidden="false" customHeight="false" outlineLevel="0" collapsed="false">
      <c r="A2881" s="3" t="s">
        <v>430</v>
      </c>
      <c r="G2881" s="22" t="n">
        <f aca="false">G2880-G2879</f>
        <v>0.0196308712204777</v>
      </c>
      <c r="H2881" s="22" t="n">
        <f aca="false">H2880-H2879</f>
        <v>0.0255522066280177</v>
      </c>
      <c r="I2881" s="22" t="n">
        <f aca="false">I2880-I2879</f>
        <v>0.00908000188414671</v>
      </c>
      <c r="J2881" s="22" t="n">
        <f aca="false">J2880-J2879</f>
        <v>-0.0125307221610836</v>
      </c>
      <c r="K2881" s="22" t="n">
        <f aca="false">K2880-K2879</f>
        <v>-0.0378779681838352</v>
      </c>
    </row>
    <row r="2882" customFormat="false" ht="15" hidden="false" customHeight="false" outlineLevel="0" collapsed="false">
      <c r="A2882" s="3" t="s">
        <v>431</v>
      </c>
      <c r="G2882" s="22" t="n">
        <f aca="false">IF(G2880=0,0,G2881/ABS(G2880))</f>
        <v>0.0327181187007962</v>
      </c>
      <c r="H2882" s="22" t="n">
        <f aca="false">IF(H2880=0,0,H2881/ABS(H2880))</f>
        <v>0.0425870110466962</v>
      </c>
      <c r="I2882" s="22" t="n">
        <f aca="false">IF(I2880=0,0,I2881/ABS(I2880))</f>
        <v>0.0151333364735778</v>
      </c>
      <c r="J2882" s="22" t="n">
        <f aca="false">IF(J2880=0,0,J2881/ABS(J2880))</f>
        <v>-0.0208845369351394</v>
      </c>
      <c r="K2882" s="22" t="n">
        <f aca="false">IF(K2880=0,0,K2881/ABS(K2880))</f>
        <v>-0.0631299469730586</v>
      </c>
    </row>
    <row r="2883" customFormat="false" ht="15" hidden="false" customHeight="false" outlineLevel="0" collapsed="false">
      <c r="A2883" s="3" t="s">
        <v>432</v>
      </c>
      <c r="G2883" s="21" t="n">
        <f aca="false">IF(G2881&lt;0,1,0)</f>
        <v>0</v>
      </c>
      <c r="H2883" s="21" t="n">
        <f aca="false">IF(H2881&lt;0,1,0)</f>
        <v>0</v>
      </c>
      <c r="I2883" s="21" t="n">
        <f aca="false">IF(I2881&lt;0,1,0)</f>
        <v>0</v>
      </c>
      <c r="J2883" s="21" t="n">
        <f aca="false">IF(J2881&lt;0,1,0)</f>
        <v>1</v>
      </c>
      <c r="K2883" s="21" t="n">
        <f aca="false">IF(K2881&lt;0,1,0)</f>
        <v>1</v>
      </c>
    </row>
    <row r="2884" customFormat="false" ht="15" hidden="false" customHeight="false" outlineLevel="0" collapsed="false">
      <c r="A2884" s="3" t="s">
        <v>433</v>
      </c>
      <c r="C2884" s="21" t="n">
        <f aca="false">IFERROR(INDEX($G$2633:$K$2633,MATCH(1,$G$2883:$K$2883,0)),0)</f>
        <v>2030</v>
      </c>
    </row>
    <row r="2885" customFormat="false" ht="15" hidden="false" customHeight="false" outlineLevel="0" collapsed="false">
      <c r="A2885" s="3" t="s">
        <v>434</v>
      </c>
      <c r="C2885" s="22" t="n">
        <f aca="false">MIN($G$2882:$K$2882)</f>
        <v>-0.0631299469730586</v>
      </c>
    </row>
    <row r="2886" customFormat="false" ht="15" hidden="false" customHeight="false" outlineLevel="0" collapsed="false">
      <c r="A2886" s="24" t="s">
        <v>435</v>
      </c>
      <c r="B2886" s="25"/>
      <c r="C2886" s="25"/>
      <c r="D2886" s="25"/>
      <c r="E2886" s="25"/>
      <c r="F2886" s="25"/>
      <c r="G2886" s="25"/>
      <c r="H2886" s="25"/>
      <c r="I2886" s="25"/>
      <c r="J2886" s="25"/>
      <c r="K2886" s="25"/>
    </row>
    <row r="2887" customFormat="false" ht="15" hidden="false" customHeight="false" outlineLevel="0" collapsed="false">
      <c r="A2887" s="3" t="s">
        <v>428</v>
      </c>
      <c r="G2887" s="32" t="n">
        <f aca="false">IF(G2647&gt;0,G2643/G2647,99)</f>
        <v>1.3678763000604</v>
      </c>
      <c r="H2887" s="32" t="n">
        <f aca="false">IF(H2647&gt;0,H2643/H2647,99)</f>
        <v>1.41188620888101</v>
      </c>
      <c r="I2887" s="32" t="n">
        <f aca="false">IF(I2647&gt;0,I2643/I2647,99)</f>
        <v>1.34480599077479</v>
      </c>
      <c r="J2887" s="32" t="n">
        <f aca="false">IF(J2647&gt;0,J2643/J2647,99)</f>
        <v>1.36913663007023</v>
      </c>
      <c r="K2887" s="32" t="n">
        <f aca="false">IF(K2647&gt;0,K2643/K2647,99)</f>
        <v>1.27178764572193</v>
      </c>
    </row>
    <row r="2888" customFormat="false" ht="15" hidden="false" customHeight="false" outlineLevel="0" collapsed="false">
      <c r="A2888" s="3" t="s">
        <v>429</v>
      </c>
      <c r="G2888" s="34" t="n">
        <f aca="false">Assumptions!$G$72</f>
        <v>1.5</v>
      </c>
      <c r="H2888" s="34" t="n">
        <f aca="false">Assumptions!$H$72</f>
        <v>1.5</v>
      </c>
      <c r="I2888" s="34" t="n">
        <f aca="false">Assumptions!$I$72</f>
        <v>1.5</v>
      </c>
      <c r="J2888" s="34" t="n">
        <f aca="false">Assumptions!$J$72</f>
        <v>1.5</v>
      </c>
      <c r="K2888" s="34" t="n">
        <f aca="false">Assumptions!$K$72</f>
        <v>1.5</v>
      </c>
    </row>
    <row r="2889" customFormat="false" ht="15" hidden="false" customHeight="false" outlineLevel="0" collapsed="false">
      <c r="A2889" s="3" t="s">
        <v>430</v>
      </c>
      <c r="G2889" s="32" t="n">
        <f aca="false">G2887-G2888</f>
        <v>-0.132123699939604</v>
      </c>
      <c r="H2889" s="32" t="n">
        <f aca="false">H2887-H2888</f>
        <v>-0.0881137911189871</v>
      </c>
      <c r="I2889" s="32" t="n">
        <f aca="false">I2887-I2888</f>
        <v>-0.155194009225214</v>
      </c>
      <c r="J2889" s="32" t="n">
        <f aca="false">J2887-J2888</f>
        <v>-0.130863369929773</v>
      </c>
      <c r="K2889" s="32" t="n">
        <f aca="false">K2887-K2888</f>
        <v>-0.228212354278071</v>
      </c>
    </row>
    <row r="2890" customFormat="false" ht="15" hidden="false" customHeight="false" outlineLevel="0" collapsed="false">
      <c r="A2890" s="3" t="s">
        <v>431</v>
      </c>
      <c r="G2890" s="22" t="n">
        <f aca="false">IF(G2888=0,0,G2889/ABS(G2888))</f>
        <v>-0.0880824666264026</v>
      </c>
      <c r="H2890" s="22" t="n">
        <f aca="false">IF(H2888=0,0,H2889/ABS(H2888))</f>
        <v>-0.0587425274126581</v>
      </c>
      <c r="I2890" s="22" t="n">
        <f aca="false">IF(I2888=0,0,I2889/ABS(I2888))</f>
        <v>-0.103462672816809</v>
      </c>
      <c r="J2890" s="22" t="n">
        <f aca="false">IF(J2888=0,0,J2889/ABS(J2888))</f>
        <v>-0.087242246619849</v>
      </c>
      <c r="K2890" s="22" t="n">
        <f aca="false">IF(K2888=0,0,K2889/ABS(K2888))</f>
        <v>-0.152141569518714</v>
      </c>
    </row>
    <row r="2891" customFormat="false" ht="15" hidden="false" customHeight="false" outlineLevel="0" collapsed="false">
      <c r="A2891" s="3" t="s">
        <v>432</v>
      </c>
      <c r="G2891" s="21" t="n">
        <f aca="false">IF(G2889&lt;0,1,0)</f>
        <v>1</v>
      </c>
      <c r="H2891" s="21" t="n">
        <f aca="false">IF(H2889&lt;0,1,0)</f>
        <v>1</v>
      </c>
      <c r="I2891" s="21" t="n">
        <f aca="false">IF(I2889&lt;0,1,0)</f>
        <v>1</v>
      </c>
      <c r="J2891" s="21" t="n">
        <f aca="false">IF(J2889&lt;0,1,0)</f>
        <v>1</v>
      </c>
      <c r="K2891" s="21" t="n">
        <f aca="false">IF(K2889&lt;0,1,0)</f>
        <v>1</v>
      </c>
    </row>
    <row r="2892" customFormat="false" ht="15" hidden="false" customHeight="false" outlineLevel="0" collapsed="false">
      <c r="A2892" s="3" t="s">
        <v>433</v>
      </c>
      <c r="C2892" s="21" t="n">
        <f aca="false">IFERROR(INDEX($G$2633:$K$2633,MATCH(1,$G$2891:$K$2891,0)),0)</f>
        <v>2027</v>
      </c>
    </row>
    <row r="2893" customFormat="false" ht="15" hidden="false" customHeight="false" outlineLevel="0" collapsed="false">
      <c r="A2893" s="3" t="s">
        <v>434</v>
      </c>
      <c r="C2893" s="22" t="n">
        <f aca="false">MIN($G$2890:$K$2890)</f>
        <v>-0.152141569518714</v>
      </c>
    </row>
    <row r="2894" customFormat="false" ht="15" hidden="false" customHeight="false" outlineLevel="0" collapsed="false">
      <c r="A2894" s="24" t="s">
        <v>436</v>
      </c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</row>
    <row r="2895" customFormat="false" ht="15" hidden="false" customHeight="false" outlineLevel="0" collapsed="false">
      <c r="A2895" s="3" t="s">
        <v>428</v>
      </c>
      <c r="G2895" s="22" t="n">
        <f aca="false">IF(G2876&gt;0,G2865/G2876,99)</f>
        <v>0.120265604139923</v>
      </c>
      <c r="H2895" s="22" t="n">
        <f aca="false">IF(H2876&gt;0,H2865/H2876,99)</f>
        <v>0.119380197979769</v>
      </c>
      <c r="I2895" s="22" t="n">
        <f aca="false">IF(I2876&gt;0,I2865/I2876,99)</f>
        <v>0.118494791819614</v>
      </c>
      <c r="J2895" s="22" t="n">
        <f aca="false">IF(J2876&gt;0,J2865/J2876,99)</f>
        <v>0.11760938565946</v>
      </c>
      <c r="K2895" s="22" t="n">
        <f aca="false">IF(K2876&gt;0,K2865/K2876,99)</f>
        <v>0.116723979499306</v>
      </c>
    </row>
    <row r="2896" customFormat="false" ht="15" hidden="false" customHeight="false" outlineLevel="0" collapsed="false">
      <c r="A2896" s="3" t="s">
        <v>429</v>
      </c>
      <c r="G2896" s="33" t="n">
        <f aca="false">Assumptions!$G$73</f>
        <v>0.4</v>
      </c>
      <c r="H2896" s="33" t="n">
        <f aca="false">Assumptions!$H$73</f>
        <v>0.4</v>
      </c>
      <c r="I2896" s="33" t="n">
        <f aca="false">Assumptions!$I$73</f>
        <v>0.4</v>
      </c>
      <c r="J2896" s="33" t="n">
        <f aca="false">Assumptions!$J$73</f>
        <v>0.4</v>
      </c>
      <c r="K2896" s="33" t="n">
        <f aca="false">Assumptions!$K$73</f>
        <v>0.4</v>
      </c>
    </row>
    <row r="2897" customFormat="false" ht="15" hidden="false" customHeight="false" outlineLevel="0" collapsed="false">
      <c r="A2897" s="3" t="s">
        <v>430</v>
      </c>
      <c r="G2897" s="22" t="n">
        <f aca="false">G2896-G2895</f>
        <v>0.279734395860077</v>
      </c>
      <c r="H2897" s="22" t="n">
        <f aca="false">H2896-H2895</f>
        <v>0.280619802020231</v>
      </c>
      <c r="I2897" s="22" t="n">
        <f aca="false">I2896-I2895</f>
        <v>0.281505208180386</v>
      </c>
      <c r="J2897" s="22" t="n">
        <f aca="false">J2896-J2895</f>
        <v>0.28239061434054</v>
      </c>
      <c r="K2897" s="22" t="n">
        <f aca="false">K2896-K2895</f>
        <v>0.283276020500694</v>
      </c>
    </row>
    <row r="2898" customFormat="false" ht="15" hidden="false" customHeight="false" outlineLevel="0" collapsed="false">
      <c r="A2898" s="3" t="s">
        <v>431</v>
      </c>
      <c r="G2898" s="22" t="n">
        <f aca="false">IF(G2896=0,0,G2897/ABS(G2896))</f>
        <v>0.699335989650192</v>
      </c>
      <c r="H2898" s="22" t="n">
        <f aca="false">IF(H2896=0,0,H2897/ABS(H2896))</f>
        <v>0.701549505050578</v>
      </c>
      <c r="I2898" s="22" t="n">
        <f aca="false">IF(I2896=0,0,I2897/ABS(I2896))</f>
        <v>0.703763020450964</v>
      </c>
      <c r="J2898" s="22" t="n">
        <f aca="false">IF(J2896=0,0,J2897/ABS(J2896))</f>
        <v>0.70597653585135</v>
      </c>
      <c r="K2898" s="22" t="n">
        <f aca="false">IF(K2896=0,0,K2897/ABS(K2896))</f>
        <v>0.708190051251736</v>
      </c>
    </row>
    <row r="2899" customFormat="false" ht="15" hidden="false" customHeight="false" outlineLevel="0" collapsed="false">
      <c r="A2899" s="3" t="s">
        <v>432</v>
      </c>
      <c r="G2899" s="21" t="n">
        <f aca="false">IF(G2897&lt;0,1,0)</f>
        <v>0</v>
      </c>
      <c r="H2899" s="21" t="n">
        <f aca="false">IF(H2897&lt;0,1,0)</f>
        <v>0</v>
      </c>
      <c r="I2899" s="21" t="n">
        <f aca="false">IF(I2897&lt;0,1,0)</f>
        <v>0</v>
      </c>
      <c r="J2899" s="21" t="n">
        <f aca="false">IF(J2897&lt;0,1,0)</f>
        <v>0</v>
      </c>
      <c r="K2899" s="21" t="n">
        <f aca="false">IF(K2897&lt;0,1,0)</f>
        <v>0</v>
      </c>
    </row>
    <row r="2900" customFormat="false" ht="15" hidden="false" customHeight="false" outlineLevel="0" collapsed="false">
      <c r="A2900" s="3" t="s">
        <v>433</v>
      </c>
      <c r="C2900" s="21" t="n">
        <f aca="false">IFERROR(INDEX($G$2633:$K$2633,MATCH(1,$G$2899:$K$2899,0)),0)</f>
        <v>0</v>
      </c>
    </row>
    <row r="2901" customFormat="false" ht="15" hidden="false" customHeight="false" outlineLevel="0" collapsed="false">
      <c r="A2901" s="3" t="s">
        <v>434</v>
      </c>
      <c r="C2901" s="22" t="n">
        <f aca="false">MIN($G$2898:$K$2898)</f>
        <v>0.699335989650192</v>
      </c>
    </row>
    <row r="2902" customFormat="false" ht="15" hidden="false" customHeight="false" outlineLevel="0" collapsed="false">
      <c r="A2902" s="24" t="s">
        <v>437</v>
      </c>
      <c r="B2902" s="25"/>
      <c r="C2902" s="25"/>
      <c r="D2902" s="25"/>
      <c r="E2902" s="25"/>
      <c r="F2902" s="25"/>
      <c r="G2902" s="25"/>
      <c r="H2902" s="25"/>
      <c r="I2902" s="25"/>
      <c r="J2902" s="25"/>
      <c r="K2902" s="25"/>
    </row>
    <row r="2903" customFormat="false" ht="15" hidden="false" customHeight="false" outlineLevel="0" collapsed="false">
      <c r="A2903" s="3" t="s">
        <v>428</v>
      </c>
      <c r="G2903" s="16" t="n">
        <f aca="false">G2873</f>
        <v>715.1619232</v>
      </c>
      <c r="H2903" s="16" t="n">
        <f aca="false">H2873</f>
        <v>599.5</v>
      </c>
      <c r="I2903" s="16" t="n">
        <f aca="false">I2873</f>
        <v>496.083509647144</v>
      </c>
      <c r="J2903" s="16" t="n">
        <f aca="false">J2873</f>
        <v>394.452727220858</v>
      </c>
      <c r="K2903" s="16" t="n">
        <f aca="false">K2873</f>
        <v>275.941456965709</v>
      </c>
    </row>
    <row r="2904" customFormat="false" ht="15" hidden="false" customHeight="false" outlineLevel="0" collapsed="false">
      <c r="A2904" s="3" t="s">
        <v>429</v>
      </c>
      <c r="G2904" s="29" t="n">
        <f aca="false">Assumptions!$G$74</f>
        <v>100</v>
      </c>
      <c r="H2904" s="29" t="n">
        <f aca="false">Assumptions!$H$74</f>
        <v>100</v>
      </c>
      <c r="I2904" s="29" t="n">
        <f aca="false">Assumptions!$I$74</f>
        <v>100</v>
      </c>
      <c r="J2904" s="29" t="n">
        <f aca="false">Assumptions!$J$74</f>
        <v>100</v>
      </c>
      <c r="K2904" s="29" t="n">
        <f aca="false">Assumptions!$K$74</f>
        <v>100</v>
      </c>
    </row>
    <row r="2905" customFormat="false" ht="15" hidden="false" customHeight="false" outlineLevel="0" collapsed="false">
      <c r="A2905" s="3" t="s">
        <v>430</v>
      </c>
      <c r="G2905" s="16" t="n">
        <f aca="false">G2903-G2904</f>
        <v>615.1619232</v>
      </c>
      <c r="H2905" s="16" t="n">
        <f aca="false">H2903-H2904</f>
        <v>499.5</v>
      </c>
      <c r="I2905" s="16" t="n">
        <f aca="false">I2903-I2904</f>
        <v>396.083509647144</v>
      </c>
      <c r="J2905" s="16" t="n">
        <f aca="false">J2903-J2904</f>
        <v>294.452727220858</v>
      </c>
      <c r="K2905" s="16" t="n">
        <f aca="false">K2903-K2904</f>
        <v>175.941456965709</v>
      </c>
    </row>
    <row r="2906" customFormat="false" ht="15" hidden="false" customHeight="false" outlineLevel="0" collapsed="false">
      <c r="A2906" s="3" t="s">
        <v>431</v>
      </c>
      <c r="G2906" s="22" t="n">
        <f aca="false">IF(G2904=0,0,G2905/ABS(G2904))</f>
        <v>6.151619232</v>
      </c>
      <c r="H2906" s="22" t="n">
        <f aca="false">IF(H2904=0,0,H2905/ABS(H2904))</f>
        <v>4.995</v>
      </c>
      <c r="I2906" s="22" t="n">
        <f aca="false">IF(I2904=0,0,I2905/ABS(I2904))</f>
        <v>3.96083509647144</v>
      </c>
      <c r="J2906" s="22" t="n">
        <f aca="false">IF(J2904=0,0,J2905/ABS(J2904))</f>
        <v>2.94452727220858</v>
      </c>
      <c r="K2906" s="22" t="n">
        <f aca="false">IF(K2904=0,0,K2905/ABS(K2904))</f>
        <v>1.75941456965709</v>
      </c>
    </row>
    <row r="2907" customFormat="false" ht="15" hidden="false" customHeight="false" outlineLevel="0" collapsed="false">
      <c r="A2907" s="3" t="s">
        <v>432</v>
      </c>
      <c r="G2907" s="21" t="n">
        <f aca="false">IF(G2905&lt;0,1,0)</f>
        <v>0</v>
      </c>
      <c r="H2907" s="21" t="n">
        <f aca="false">IF(H2905&lt;0,1,0)</f>
        <v>0</v>
      </c>
      <c r="I2907" s="21" t="n">
        <f aca="false">IF(I2905&lt;0,1,0)</f>
        <v>0</v>
      </c>
      <c r="J2907" s="21" t="n">
        <f aca="false">IF(J2905&lt;0,1,0)</f>
        <v>0</v>
      </c>
      <c r="K2907" s="21" t="n">
        <f aca="false">IF(K2905&lt;0,1,0)</f>
        <v>0</v>
      </c>
    </row>
    <row r="2908" customFormat="false" ht="15" hidden="false" customHeight="false" outlineLevel="0" collapsed="false">
      <c r="A2908" s="3" t="s">
        <v>433</v>
      </c>
      <c r="C2908" s="21" t="n">
        <f aca="false">IFERROR(INDEX($G$2633:$K$2633,MATCH(1,$G$2907:$K$2907,0)),0)</f>
        <v>0</v>
      </c>
    </row>
    <row r="2909" customFormat="false" ht="15" hidden="false" customHeight="false" outlineLevel="0" collapsed="false">
      <c r="A2909" s="3" t="s">
        <v>434</v>
      </c>
      <c r="C2909" s="22" t="n">
        <f aca="false">MIN($G$2906:$K$2906)</f>
        <v>1.75941456965709</v>
      </c>
    </row>
    <row r="2910" customFormat="false" ht="15" hidden="false" customHeight="false" outlineLevel="0" collapsed="false">
      <c r="A2910" s="24" t="s">
        <v>438</v>
      </c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</row>
    <row r="2911" customFormat="false" ht="15" hidden="false" customHeight="false" outlineLevel="0" collapsed="false">
      <c r="A2911" s="3" t="s">
        <v>428</v>
      </c>
      <c r="G2911" s="32" t="n">
        <f aca="false">IF(G2643&gt;0,G2866/G2643,99)</f>
        <v>10.0658263682887</v>
      </c>
      <c r="H2911" s="32" t="n">
        <f aca="false">IF(H2643&gt;0,H2866/H2643,99)</f>
        <v>10.1622941775885</v>
      </c>
      <c r="I2911" s="32" t="n">
        <f aca="false">IF(I2643&gt;0,I2866/I2643,99)</f>
        <v>10.2882454621964</v>
      </c>
      <c r="J2911" s="32" t="n">
        <f aca="false">IF(J2643&gt;0,J2866/J2643,99)</f>
        <v>10.4150240173114</v>
      </c>
      <c r="K2911" s="32" t="n">
        <f aca="false">IF(K2643&gt;0,K2866/K2643,99)</f>
        <v>10.5924456969446</v>
      </c>
    </row>
    <row r="2912" customFormat="false" ht="15" hidden="false" customHeight="false" outlineLevel="0" collapsed="false">
      <c r="A2912" s="3" t="s">
        <v>429</v>
      </c>
      <c r="G2912" s="34" t="n">
        <f aca="false">Assumptions!$G$75</f>
        <v>10.5</v>
      </c>
      <c r="H2912" s="34" t="n">
        <f aca="false">Assumptions!$H$75</f>
        <v>10.5</v>
      </c>
      <c r="I2912" s="34" t="n">
        <f aca="false">Assumptions!$I$75</f>
        <v>10</v>
      </c>
      <c r="J2912" s="34" t="n">
        <f aca="false">Assumptions!$J$75</f>
        <v>10</v>
      </c>
      <c r="K2912" s="34" t="n">
        <f aca="false">Assumptions!$K$75</f>
        <v>9.5</v>
      </c>
    </row>
    <row r="2913" customFormat="false" ht="15" hidden="false" customHeight="false" outlineLevel="0" collapsed="false">
      <c r="A2913" s="3" t="s">
        <v>430</v>
      </c>
      <c r="G2913" s="32" t="n">
        <f aca="false">G2912-G2911</f>
        <v>0.434173631711312</v>
      </c>
      <c r="H2913" s="32" t="n">
        <f aca="false">H2912-H2911</f>
        <v>0.337705822411484</v>
      </c>
      <c r="I2913" s="32" t="n">
        <f aca="false">I2912-I2911</f>
        <v>-0.288245462196359</v>
      </c>
      <c r="J2913" s="32" t="n">
        <f aca="false">J2912-J2911</f>
        <v>-0.415024017311389</v>
      </c>
      <c r="K2913" s="32" t="n">
        <f aca="false">K2912-K2911</f>
        <v>-1.09244569694458</v>
      </c>
    </row>
    <row r="2914" customFormat="false" ht="15" hidden="false" customHeight="false" outlineLevel="0" collapsed="false">
      <c r="A2914" s="3" t="s">
        <v>431</v>
      </c>
      <c r="G2914" s="22" t="n">
        <f aca="false">IF(G2912=0,0,G2913/ABS(G2912))</f>
        <v>0.0413498696867916</v>
      </c>
      <c r="H2914" s="22" t="n">
        <f aca="false">IF(H2912=0,0,H2913/ABS(H2912))</f>
        <v>0.0321624592772842</v>
      </c>
      <c r="I2914" s="22" t="n">
        <f aca="false">IF(I2912=0,0,I2913/ABS(I2912))</f>
        <v>-0.0288245462196359</v>
      </c>
      <c r="J2914" s="22" t="n">
        <f aca="false">IF(J2912=0,0,J2913/ABS(J2912))</f>
        <v>-0.0415024017311389</v>
      </c>
      <c r="K2914" s="22" t="n">
        <f aca="false">IF(K2912=0,0,K2913/ABS(K2912))</f>
        <v>-0.114994283888903</v>
      </c>
    </row>
    <row r="2915" customFormat="false" ht="15" hidden="false" customHeight="false" outlineLevel="0" collapsed="false">
      <c r="A2915" s="3" t="s">
        <v>432</v>
      </c>
      <c r="G2915" s="21" t="n">
        <f aca="false">IF(G2913&lt;0,1,0)</f>
        <v>0</v>
      </c>
      <c r="H2915" s="21" t="n">
        <f aca="false">IF(H2913&lt;0,1,0)</f>
        <v>0</v>
      </c>
      <c r="I2915" s="21" t="n">
        <f aca="false">IF(I2913&lt;0,1,0)</f>
        <v>1</v>
      </c>
      <c r="J2915" s="21" t="n">
        <f aca="false">IF(J2913&lt;0,1,0)</f>
        <v>1</v>
      </c>
      <c r="K2915" s="21" t="n">
        <f aca="false">IF(K2913&lt;0,1,0)</f>
        <v>1</v>
      </c>
    </row>
    <row r="2916" customFormat="false" ht="15" hidden="false" customHeight="false" outlineLevel="0" collapsed="false">
      <c r="A2916" s="3" t="s">
        <v>433</v>
      </c>
      <c r="C2916" s="21" t="n">
        <f aca="false">IFERROR(INDEX($G$2633:$K$2633,MATCH(1,$G$2915:$K$2915,0)),0)</f>
        <v>2029</v>
      </c>
    </row>
    <row r="2917" customFormat="false" ht="15" hidden="false" customHeight="false" outlineLevel="0" collapsed="false">
      <c r="A2917" s="3" t="s">
        <v>434</v>
      </c>
      <c r="C2917" s="22" t="n">
        <f aca="false">MIN($G$2914:$K$2914)</f>
        <v>-0.114994283888903</v>
      </c>
    </row>
    <row r="2918" customFormat="false" ht="15" hidden="false" customHeight="false" outlineLevel="0" collapsed="false">
      <c r="A2918" s="3" t="s">
        <v>439</v>
      </c>
      <c r="G2918" s="21" t="n">
        <f aca="false">G2883+G2891+G2899+G2907+G2915</f>
        <v>1</v>
      </c>
      <c r="H2918" s="21" t="n">
        <f aca="false">H2883+H2891+H2899+H2907+H2915</f>
        <v>1</v>
      </c>
      <c r="I2918" s="21" t="n">
        <f aca="false">I2883+I2891+I2899+I2907+I2915</f>
        <v>2</v>
      </c>
      <c r="J2918" s="21" t="n">
        <f aca="false">J2883+J2891+J2899+J2907+J2915</f>
        <v>3</v>
      </c>
      <c r="K2918" s="21" t="n">
        <f aca="false">K2883+K2891+K2899+K2907+K2915</f>
        <v>3</v>
      </c>
    </row>
    <row r="2919" customFormat="false" ht="15" hidden="false" customHeight="false" outlineLevel="0" collapsed="false">
      <c r="A2919" s="3" t="s">
        <v>440</v>
      </c>
      <c r="C2919" s="21" t="n">
        <f aca="false">SUM($G$2918:$K$2918)</f>
        <v>10</v>
      </c>
    </row>
    <row r="2920" customFormat="false" ht="15" hidden="false" customHeight="false" outlineLevel="0" collapsed="false">
      <c r="A2920" s="3" t="s">
        <v>441</v>
      </c>
      <c r="C2920" s="22" t="n">
        <f aca="false">MIN(C2885,C2893,C2901,C2909,C2917)</f>
        <v>-0.152141569518714</v>
      </c>
    </row>
    <row r="2922" customFormat="false" ht="15" hidden="false" customHeight="false" outlineLevel="0" collapsed="false">
      <c r="A2922" s="24" t="s">
        <v>543</v>
      </c>
      <c r="B2922" s="25"/>
      <c r="C2922" s="25"/>
      <c r="D2922" s="25"/>
      <c r="E2922" s="25"/>
      <c r="F2922" s="25"/>
      <c r="G2922" s="25"/>
      <c r="H2922" s="25"/>
      <c r="I2922" s="25"/>
      <c r="J2922" s="25"/>
      <c r="K2922" s="25"/>
    </row>
    <row r="2923" customFormat="false" ht="15" hidden="false" customHeight="false" outlineLevel="0" collapsed="false">
      <c r="A2923" s="3" t="s">
        <v>544</v>
      </c>
      <c r="G2923" s="21" t="n">
        <f aca="false">IF($C$2924=1,G2860,IF(G2643=MIN($G$2643:$K$2643),1,0))</f>
        <v>1</v>
      </c>
      <c r="H2923" s="21" t="n">
        <f aca="false">IF($C$2924=1,H2860,IF(AND(H2643=MIN($G$2643:$K$2643),SUM($G$2923:G2923)=0),1,0))</f>
        <v>0</v>
      </c>
      <c r="I2923" s="21" t="n">
        <f aca="false">IF($C$2924=1,I2860,IF(AND(I2643=MIN($G$2643:$K$2643),SUM($G$2923:H2923)=0),1,0))</f>
        <v>0</v>
      </c>
      <c r="J2923" s="21" t="n">
        <f aca="false">IF($C$2924=1,J2860,IF(AND(J2643=MIN($G$2643:$K$2643),SUM($G$2923:I2923)=0),1,0))</f>
        <v>0</v>
      </c>
      <c r="K2923" s="21" t="n">
        <f aca="false">IF($C$2924=1,K2860,IF(AND(K2643=MIN($G$2643:$K$2643),SUM($G$2923:J2923)=0),1,0))</f>
        <v>0</v>
      </c>
    </row>
    <row r="2924" customFormat="false" ht="15" hidden="false" customHeight="false" outlineLevel="0" collapsed="false">
      <c r="A2924" s="3" t="s">
        <v>545</v>
      </c>
      <c r="C2924" s="21" t="n">
        <f aca="false">IF(SUM($G$2860:$K$2860)&gt;0,1,0)</f>
        <v>0</v>
      </c>
    </row>
    <row r="2925" customFormat="false" ht="15" hidden="false" customHeight="false" outlineLevel="0" collapsed="false">
      <c r="A2925" s="3" t="s">
        <v>546</v>
      </c>
      <c r="C2925" s="21" t="n">
        <f aca="false">SUMPRODUCT($G$2923:$K$2923,$G$2633:$K$2633)</f>
        <v>2027</v>
      </c>
    </row>
    <row r="2926" customFormat="false" ht="15" hidden="false" customHeight="false" outlineLevel="0" collapsed="false">
      <c r="A2926" s="3" t="s">
        <v>547</v>
      </c>
      <c r="C2926" s="16" t="n">
        <f aca="false">SUMPRODUCT($G$2923:$K$2923,$G$2643:$K$2643)</f>
        <v>246.5045577</v>
      </c>
    </row>
    <row r="2927" customFormat="false" ht="15" hidden="false" customHeight="false" outlineLevel="0" collapsed="false">
      <c r="A2927" s="3" t="s">
        <v>548</v>
      </c>
      <c r="C2927" s="16" t="n">
        <f aca="false">MAX(0,SUMPRODUCT($G$2923:$K$2923,$G$2857:$K$2857))</f>
        <v>140.6619232</v>
      </c>
    </row>
    <row r="2928" customFormat="false" ht="15" hidden="false" customHeight="false" outlineLevel="0" collapsed="false">
      <c r="A2928" s="3" t="s">
        <v>549</v>
      </c>
      <c r="C2928" s="16" t="n">
        <f aca="false">(CHOOSE($C$2626,Assumptions!$C$92,Assumptions!$C$111,Assumptions!$C$130)+$C$2630)*C2926</f>
        <v>2465.045577</v>
      </c>
    </row>
    <row r="2929" customFormat="false" ht="15" hidden="false" customHeight="false" outlineLevel="0" collapsed="false">
      <c r="A2929" s="3" t="s">
        <v>550</v>
      </c>
      <c r="C2929" s="16" t="n">
        <f aca="false">Assumptions!$C$31*(1-CHOOSE($C$2626,Assumptions!$C$93,Assumptions!$C$112,Assumptions!$C$131))*CHOOSE($C$2626,Assumptions!$C$94,Assumptions!$C$113,Assumptions!$C$132)</f>
        <v>3840.04556666667</v>
      </c>
    </row>
    <row r="2930" customFormat="false" ht="15" hidden="false" customHeight="false" outlineLevel="0" collapsed="false">
      <c r="A2930" s="3" t="s">
        <v>551</v>
      </c>
      <c r="C2930" s="16" t="n">
        <f aca="false">MAX(C2928,C2929)+C2927</f>
        <v>3980.70748986667</v>
      </c>
    </row>
    <row r="2931" customFormat="false" ht="15" hidden="false" customHeight="false" outlineLevel="0" collapsed="false">
      <c r="A2931" s="2" t="s">
        <v>552</v>
      </c>
      <c r="C2931" s="17" t="n">
        <f aca="false">IF(ISNUMBER(Assumptions!$C$14),Assumptions!$C$14,C2930)</f>
        <v>3980.70748986667</v>
      </c>
    </row>
    <row r="2932" customFormat="false" ht="15" hidden="false" customHeight="false" outlineLevel="0" collapsed="false">
      <c r="A2932" s="3" t="s">
        <v>553</v>
      </c>
      <c r="C2932" s="16" t="n">
        <f aca="false">C2931*Assumptions!$C$15</f>
        <v>159.228299594667</v>
      </c>
    </row>
    <row r="2933" customFormat="false" ht="15" hidden="false" customHeight="false" outlineLevel="0" collapsed="false">
      <c r="A2933" s="2" t="s">
        <v>554</v>
      </c>
      <c r="C2933" s="17" t="n">
        <f aca="false">C2931-C2932</f>
        <v>3821.479190272</v>
      </c>
    </row>
    <row r="2934" customFormat="false" ht="15" hidden="false" customHeight="false" outlineLevel="0" collapsed="false">
      <c r="A2934" s="24" t="s">
        <v>555</v>
      </c>
      <c r="B2934" s="25"/>
      <c r="C2934" s="25"/>
      <c r="D2934" s="25"/>
      <c r="E2934" s="25"/>
      <c r="F2934" s="25"/>
      <c r="G2934" s="25"/>
      <c r="H2934" s="25"/>
      <c r="I2934" s="25"/>
      <c r="J2934" s="25"/>
      <c r="K2934" s="25"/>
    </row>
    <row r="2935" customFormat="false" ht="15" hidden="false" customHeight="false" outlineLevel="0" collapsed="false">
      <c r="A2935" s="3" t="s">
        <v>556</v>
      </c>
      <c r="C2935" s="16" t="n">
        <f aca="false">SUMPRODUCT($G$2923:$K$2923,$G$2680:$K$2680)*(1+SUMPRODUCT($G$2923:$K$2923,$G$2672:$K$2672)*Assumptions!$C$16/12)</f>
        <v>405.0585</v>
      </c>
    </row>
    <row r="2936" customFormat="false" ht="15" hidden="false" customHeight="false" outlineLevel="0" collapsed="false">
      <c r="A2936" s="3" t="s">
        <v>557</v>
      </c>
      <c r="C2936" s="16" t="n">
        <f aca="false">SUMPRODUCT($G$2923:$K$2923,$G$2693:$K$2693)*(1+SUMPRODUCT($G$2923:$K$2923,$G$2685:$K$2685)*Assumptions!$C$16/12)</f>
        <v>91.30725</v>
      </c>
    </row>
    <row r="2937" customFormat="false" ht="15" hidden="false" customHeight="false" outlineLevel="0" collapsed="false">
      <c r="A2937" s="3" t="s">
        <v>558</v>
      </c>
      <c r="C2937" s="16" t="n">
        <f aca="false">SUMPRODUCT($G$2923:$K$2923,$G$2706:$K$2706)*(1+SUMPRODUCT($G$2923:$K$2923,$G$2698:$K$2698)*Assumptions!$C$16/12)</f>
        <v>58.3715961</v>
      </c>
    </row>
    <row r="2938" customFormat="false" ht="15" hidden="false" customHeight="false" outlineLevel="0" collapsed="false">
      <c r="A2938" s="3" t="s">
        <v>559</v>
      </c>
      <c r="C2938" s="16" t="n">
        <f aca="false">SUMPRODUCT($G$2923:$K$2923,$G$2719:$K$2719)*(1+SUMPRODUCT($G$2923:$K$2923,$G$2711:$K$2711)*Assumptions!$C$16/12)</f>
        <v>0</v>
      </c>
    </row>
    <row r="2939" customFormat="false" ht="15" hidden="false" customHeight="false" outlineLevel="0" collapsed="false">
      <c r="A2939" s="3" t="s">
        <v>560</v>
      </c>
      <c r="C2939" s="16" t="n">
        <f aca="false">SUMPRODUCT($G$2923:$K$2923,$G$2732:$K$2732)*(1+SUMPRODUCT($G$2923:$K$2923,$G$2724:$K$2724)*Assumptions!$C$16/12)</f>
        <v>454.44375</v>
      </c>
    </row>
    <row r="2940" customFormat="false" ht="15" hidden="false" customHeight="false" outlineLevel="0" collapsed="false">
      <c r="A2940" s="3" t="s">
        <v>561</v>
      </c>
      <c r="C2940" s="16" t="n">
        <f aca="false">SUMPRODUCT($G$2923:$K$2923,$G$2745:$K$2745)*(1+SUMPRODUCT($G$2923:$K$2923,$G$2737:$K$2737)*Assumptions!$C$16/12)</f>
        <v>357.2625</v>
      </c>
    </row>
    <row r="2941" customFormat="false" ht="15" hidden="false" customHeight="false" outlineLevel="0" collapsed="false">
      <c r="A2941" s="3" t="s">
        <v>562</v>
      </c>
      <c r="C2941" s="16" t="n">
        <f aca="false">SUMPRODUCT($G$2923:$K$2923,$G$2758:$K$2758)*(1+SUMPRODUCT($G$2923:$K$2923,$G$2750:$K$2750)*Assumptions!$C$16/12)</f>
        <v>562.203125</v>
      </c>
    </row>
    <row r="2942" customFormat="false" ht="15" hidden="false" customHeight="false" outlineLevel="0" collapsed="false">
      <c r="A2942" s="3" t="s">
        <v>563</v>
      </c>
      <c r="C2942" s="16" t="n">
        <f aca="false">SUMPRODUCT($G$2923:$K$2923,$G$2771:$K$2771)*(1+SUMPRODUCT($G$2923:$K$2923,$G$2763:$K$2763)*Assumptions!$C$16/12)</f>
        <v>353.98125</v>
      </c>
    </row>
    <row r="2943" customFormat="false" ht="15" hidden="false" customHeight="false" outlineLevel="0" collapsed="false">
      <c r="A2943" s="3" t="s">
        <v>564</v>
      </c>
      <c r="C2943" s="16" t="n">
        <f aca="false">SUMPRODUCT($G$2923:$K$2923,$G$2784:$K$2784)*(1+SUMPRODUCT($G$2923:$K$2923,$G$2776:$K$2776)*Assumptions!$C$16/12)</f>
        <v>304.59375</v>
      </c>
    </row>
    <row r="2944" customFormat="false" ht="15" hidden="false" customHeight="false" outlineLevel="0" collapsed="false">
      <c r="A2944" s="3" t="s">
        <v>565</v>
      </c>
      <c r="C2944" s="16" t="n">
        <f aca="false">SUMPRODUCT($G$2923:$K$2923,$G$2797:$K$2797)*(1+SUMPRODUCT($G$2923:$K$2923,$G$2789:$K$2789)*Assumptions!$C$16/12)</f>
        <v>79.67320025</v>
      </c>
    </row>
    <row r="2945" customFormat="false" ht="15" hidden="false" customHeight="false" outlineLevel="0" collapsed="false">
      <c r="A2945" s="24" t="s">
        <v>566</v>
      </c>
      <c r="B2945" s="25"/>
      <c r="C2945" s="25"/>
      <c r="D2945" s="25"/>
      <c r="E2945" s="25"/>
      <c r="F2945" s="25"/>
      <c r="G2945" s="25"/>
      <c r="H2945" s="25"/>
      <c r="I2945" s="25"/>
      <c r="J2945" s="25"/>
      <c r="K2945" s="25"/>
    </row>
    <row r="2946" customFormat="false" ht="15" hidden="false" customHeight="false" outlineLevel="0" collapsed="false">
      <c r="A2946" s="3" t="s">
        <v>556</v>
      </c>
      <c r="C2946" s="27" t="n">
        <f aca="false">Assumptions!$M$57</f>
        <v>1</v>
      </c>
    </row>
    <row r="2947" customFormat="false" ht="15" hidden="false" customHeight="false" outlineLevel="0" collapsed="false">
      <c r="A2947" s="3" t="s">
        <v>557</v>
      </c>
      <c r="C2947" s="27" t="n">
        <f aca="false">Assumptions!$M$58</f>
        <v>1</v>
      </c>
    </row>
    <row r="2948" customFormat="false" ht="15" hidden="false" customHeight="false" outlineLevel="0" collapsed="false">
      <c r="A2948" s="3" t="s">
        <v>558</v>
      </c>
      <c r="C2948" s="27" t="n">
        <f aca="false">Assumptions!$M$59</f>
        <v>1</v>
      </c>
    </row>
    <row r="2949" customFormat="false" ht="15" hidden="false" customHeight="false" outlineLevel="0" collapsed="false">
      <c r="A2949" s="3" t="s">
        <v>559</v>
      </c>
      <c r="C2949" s="27" t="n">
        <f aca="false">Assumptions!$M$60</f>
        <v>2</v>
      </c>
    </row>
    <row r="2950" customFormat="false" ht="15" hidden="false" customHeight="false" outlineLevel="0" collapsed="false">
      <c r="A2950" s="3" t="s">
        <v>560</v>
      </c>
      <c r="C2950" s="27" t="n">
        <f aca="false">Assumptions!$M$61</f>
        <v>2</v>
      </c>
    </row>
    <row r="2951" customFormat="false" ht="15" hidden="false" customHeight="false" outlineLevel="0" collapsed="false">
      <c r="A2951" s="3" t="s">
        <v>561</v>
      </c>
      <c r="C2951" s="27" t="n">
        <f aca="false">Assumptions!$M$62</f>
        <v>2</v>
      </c>
    </row>
    <row r="2952" customFormat="false" ht="15" hidden="false" customHeight="false" outlineLevel="0" collapsed="false">
      <c r="A2952" s="3" t="s">
        <v>562</v>
      </c>
      <c r="C2952" s="27" t="n">
        <f aca="false">Assumptions!$M$63</f>
        <v>2</v>
      </c>
    </row>
    <row r="2953" customFormat="false" ht="15" hidden="false" customHeight="false" outlineLevel="0" collapsed="false">
      <c r="A2953" s="3" t="s">
        <v>563</v>
      </c>
      <c r="C2953" s="27" t="n">
        <f aca="false">Assumptions!$M$64</f>
        <v>2</v>
      </c>
    </row>
    <row r="2954" customFormat="false" ht="15" hidden="false" customHeight="false" outlineLevel="0" collapsed="false">
      <c r="A2954" s="3" t="s">
        <v>564</v>
      </c>
      <c r="C2954" s="27" t="n">
        <f aca="false">Assumptions!$M$65</f>
        <v>2</v>
      </c>
    </row>
    <row r="2955" customFormat="false" ht="15" hidden="false" customHeight="false" outlineLevel="0" collapsed="false">
      <c r="A2955" s="3" t="s">
        <v>565</v>
      </c>
      <c r="C2955" s="27" t="n">
        <f aca="false">Assumptions!$M$66</f>
        <v>3</v>
      </c>
    </row>
    <row r="2956" customFormat="false" ht="15" hidden="false" customHeight="false" outlineLevel="0" collapsed="false">
      <c r="A2956" s="24" t="s">
        <v>567</v>
      </c>
      <c r="B2956" s="25"/>
      <c r="C2956" s="25"/>
      <c r="D2956" s="25"/>
      <c r="E2956" s="25"/>
      <c r="F2956" s="25"/>
      <c r="G2956" s="25"/>
      <c r="H2956" s="25"/>
      <c r="I2956" s="25"/>
      <c r="J2956" s="25"/>
      <c r="K2956" s="25"/>
    </row>
    <row r="2957" customFormat="false" ht="15" hidden="false" customHeight="false" outlineLevel="0" collapsed="false">
      <c r="A2957" s="3" t="s">
        <v>556</v>
      </c>
      <c r="C2957" s="33" t="n">
        <f aca="false">Assumptions!$Q$57</f>
        <v>0.3</v>
      </c>
    </row>
    <row r="2958" customFormat="false" ht="15" hidden="false" customHeight="false" outlineLevel="0" collapsed="false">
      <c r="A2958" s="3" t="s">
        <v>557</v>
      </c>
      <c r="C2958" s="33" t="n">
        <f aca="false">Assumptions!$Q$58</f>
        <v>0.033</v>
      </c>
    </row>
    <row r="2959" customFormat="false" ht="15" hidden="false" customHeight="false" outlineLevel="0" collapsed="false">
      <c r="A2959" s="3" t="s">
        <v>558</v>
      </c>
      <c r="C2959" s="33" t="n">
        <f aca="false">Assumptions!$Q$59</f>
        <v>0.021</v>
      </c>
    </row>
    <row r="2960" customFormat="false" ht="15" hidden="false" customHeight="false" outlineLevel="0" collapsed="false">
      <c r="A2960" s="3" t="s">
        <v>559</v>
      </c>
      <c r="C2960" s="33" t="n">
        <f aca="false">Assumptions!$Q$60</f>
        <v>0</v>
      </c>
    </row>
    <row r="2961" customFormat="false" ht="15" hidden="false" customHeight="false" outlineLevel="0" collapsed="false">
      <c r="A2961" s="3" t="s">
        <v>560</v>
      </c>
      <c r="C2961" s="33" t="n">
        <f aca="false">Assumptions!$Q$61</f>
        <v>0</v>
      </c>
    </row>
    <row r="2962" customFormat="false" ht="15" hidden="false" customHeight="false" outlineLevel="0" collapsed="false">
      <c r="A2962" s="3" t="s">
        <v>561</v>
      </c>
      <c r="C2962" s="33" t="n">
        <f aca="false">Assumptions!$Q$62</f>
        <v>0</v>
      </c>
    </row>
    <row r="2963" customFormat="false" ht="15" hidden="false" customHeight="false" outlineLevel="0" collapsed="false">
      <c r="A2963" s="3" t="s">
        <v>562</v>
      </c>
      <c r="C2963" s="33" t="n">
        <f aca="false">Assumptions!$Q$63</f>
        <v>0</v>
      </c>
    </row>
    <row r="2964" customFormat="false" ht="15" hidden="false" customHeight="false" outlineLevel="0" collapsed="false">
      <c r="A2964" s="3" t="s">
        <v>563</v>
      </c>
      <c r="C2964" s="33" t="n">
        <f aca="false">Assumptions!$Q$64</f>
        <v>0</v>
      </c>
    </row>
    <row r="2965" customFormat="false" ht="15" hidden="false" customHeight="false" outlineLevel="0" collapsed="false">
      <c r="A2965" s="3" t="s">
        <v>564</v>
      </c>
      <c r="C2965" s="33" t="n">
        <f aca="false">Assumptions!$Q$65</f>
        <v>0</v>
      </c>
    </row>
    <row r="2966" customFormat="false" ht="15" hidden="false" customHeight="false" outlineLevel="0" collapsed="false">
      <c r="A2966" s="3" t="s">
        <v>565</v>
      </c>
      <c r="C2966" s="33" t="n">
        <f aca="false">Assumptions!$Q$66</f>
        <v>0</v>
      </c>
    </row>
    <row r="2967" customFormat="false" ht="15" hidden="false" customHeight="false" outlineLevel="0" collapsed="false">
      <c r="A2967" s="24" t="s">
        <v>568</v>
      </c>
      <c r="B2967" s="25"/>
      <c r="C2967" s="25"/>
      <c r="D2967" s="25"/>
      <c r="E2967" s="25"/>
      <c r="F2967" s="25"/>
      <c r="G2967" s="25"/>
      <c r="H2967" s="25"/>
      <c r="I2967" s="25"/>
      <c r="J2967" s="25"/>
      <c r="K2967" s="25"/>
    </row>
    <row r="2968" customFormat="false" ht="15" hidden="false" customHeight="false" outlineLevel="0" collapsed="false">
      <c r="A2968" s="3" t="s">
        <v>556</v>
      </c>
      <c r="C2968" s="16" t="n">
        <f aca="false">IF(C2957&gt;0,MIN(C2935,C2957*$C$2933),0)</f>
        <v>405.0585</v>
      </c>
    </row>
    <row r="2969" customFormat="false" ht="15" hidden="false" customHeight="false" outlineLevel="0" collapsed="false">
      <c r="A2969" s="3" t="s">
        <v>557</v>
      </c>
      <c r="C2969" s="16" t="n">
        <f aca="false">IF(C2958&gt;0,MIN(C2936,C2958*$C$2933),0)</f>
        <v>91.30725</v>
      </c>
    </row>
    <row r="2970" customFormat="false" ht="15" hidden="false" customHeight="false" outlineLevel="0" collapsed="false">
      <c r="A2970" s="3" t="s">
        <v>558</v>
      </c>
      <c r="C2970" s="16" t="n">
        <f aca="false">IF(C2959&gt;0,MIN(C2937,C2959*$C$2933),0)</f>
        <v>58.3715961</v>
      </c>
    </row>
    <row r="2971" customFormat="false" ht="15" hidden="false" customHeight="false" outlineLevel="0" collapsed="false">
      <c r="A2971" s="3" t="s">
        <v>559</v>
      </c>
      <c r="C2971" s="16" t="n">
        <f aca="false">IF(C2960&gt;0,MIN(C2938,C2960*$C$2933),0)</f>
        <v>0</v>
      </c>
    </row>
    <row r="2972" customFormat="false" ht="15" hidden="false" customHeight="false" outlineLevel="0" collapsed="false">
      <c r="A2972" s="3" t="s">
        <v>560</v>
      </c>
      <c r="C2972" s="16" t="n">
        <f aca="false">IF(C2961&gt;0,MIN(C2939,C2961*$C$2933),0)</f>
        <v>0</v>
      </c>
    </row>
    <row r="2973" customFormat="false" ht="15" hidden="false" customHeight="false" outlineLevel="0" collapsed="false">
      <c r="A2973" s="3" t="s">
        <v>561</v>
      </c>
      <c r="C2973" s="16" t="n">
        <f aca="false">IF(C2962&gt;0,MIN(C2940,C2962*$C$2933),0)</f>
        <v>0</v>
      </c>
    </row>
    <row r="2974" customFormat="false" ht="15" hidden="false" customHeight="false" outlineLevel="0" collapsed="false">
      <c r="A2974" s="3" t="s">
        <v>562</v>
      </c>
      <c r="C2974" s="16" t="n">
        <f aca="false">IF(C2963&gt;0,MIN(C2941,C2963*$C$2933),0)</f>
        <v>0</v>
      </c>
    </row>
    <row r="2975" customFormat="false" ht="15" hidden="false" customHeight="false" outlineLevel="0" collapsed="false">
      <c r="A2975" s="3" t="s">
        <v>563</v>
      </c>
      <c r="C2975" s="16" t="n">
        <f aca="false">IF(C2964&gt;0,MIN(C2942,C2964*$C$2933),0)</f>
        <v>0</v>
      </c>
    </row>
    <row r="2976" customFormat="false" ht="15" hidden="false" customHeight="false" outlineLevel="0" collapsed="false">
      <c r="A2976" s="3" t="s">
        <v>564</v>
      </c>
      <c r="C2976" s="16" t="n">
        <f aca="false">IF(C2965&gt;0,MIN(C2943,C2965*$C$2933),0)</f>
        <v>0</v>
      </c>
    </row>
    <row r="2977" customFormat="false" ht="15" hidden="false" customHeight="false" outlineLevel="0" collapsed="false">
      <c r="A2977" s="3" t="s">
        <v>565</v>
      </c>
      <c r="C2977" s="16" t="n">
        <f aca="false">IF(C2966&gt;0,MIN(C2944,C2966*$C$2933),0)</f>
        <v>0</v>
      </c>
    </row>
    <row r="2978" customFormat="false" ht="15" hidden="false" customHeight="false" outlineLevel="0" collapsed="false">
      <c r="A2978" s="24" t="s">
        <v>569</v>
      </c>
      <c r="B2978" s="25"/>
      <c r="C2978" s="25"/>
      <c r="D2978" s="25"/>
      <c r="E2978" s="25"/>
      <c r="F2978" s="25"/>
      <c r="G2978" s="25"/>
      <c r="H2978" s="25"/>
      <c r="I2978" s="25"/>
      <c r="J2978" s="25"/>
      <c r="K2978" s="25"/>
    </row>
    <row r="2979" customFormat="false" ht="15" hidden="false" customHeight="false" outlineLevel="0" collapsed="false">
      <c r="A2979" s="3" t="s">
        <v>556</v>
      </c>
      <c r="C2979" s="16" t="n">
        <f aca="false">IF(C2957&gt;0,C2935-C2968,0)</f>
        <v>0</v>
      </c>
      <c r="G2979" s="21" t="n">
        <f aca="false">IF(AND(G2670=1,G2667=1),1,0)</f>
        <v>0</v>
      </c>
      <c r="H2979" s="21" t="n">
        <f aca="false">IF(G2979=1,1,IF(AND(H2670=1,H2667=1),1,0))</f>
        <v>0</v>
      </c>
      <c r="I2979" s="21" t="n">
        <f aca="false">IF(H2979=1,1,IF(AND(I2670=1,I2667=1),1,0))</f>
        <v>0</v>
      </c>
      <c r="J2979" s="21" t="n">
        <f aca="false">IF(I2979=1,1,IF(AND(J2670=1,J2667=1),1,0))</f>
        <v>0</v>
      </c>
      <c r="K2979" s="21" t="n">
        <f aca="false">IF(J2979=1,1,IF(AND(K2670=1,K2667=1),1,0))</f>
        <v>1</v>
      </c>
    </row>
    <row r="2980" customFormat="false" ht="15" hidden="false" customHeight="false" outlineLevel="0" collapsed="false">
      <c r="A2980" s="3" t="s">
        <v>557</v>
      </c>
      <c r="C2980" s="16" t="n">
        <f aca="false">IF(C2958&gt;0,C2936-C2969,0)</f>
        <v>0</v>
      </c>
      <c r="G2980" s="21" t="n">
        <f aca="false">IF(AND(G2683=1,G2667=1),1,0)</f>
        <v>0</v>
      </c>
      <c r="H2980" s="21" t="n">
        <f aca="false">IF(G2980=1,1,IF(AND(H2683=1,H2667=1),1,0))</f>
        <v>0</v>
      </c>
      <c r="I2980" s="21" t="n">
        <f aca="false">IF(H2980=1,1,IF(AND(I2683=1,I2667=1),1,0))</f>
        <v>0</v>
      </c>
      <c r="J2980" s="21" t="n">
        <f aca="false">IF(I2980=1,1,IF(AND(J2683=1,J2667=1),1,0))</f>
        <v>0</v>
      </c>
      <c r="K2980" s="21" t="n">
        <f aca="false">IF(J2980=1,1,IF(AND(K2683=1,K2667=1),1,0))</f>
        <v>0</v>
      </c>
    </row>
    <row r="2981" customFormat="false" ht="15" hidden="false" customHeight="false" outlineLevel="0" collapsed="false">
      <c r="A2981" s="3" t="s">
        <v>558</v>
      </c>
      <c r="C2981" s="16" t="n">
        <f aca="false">IF(C2959&gt;0,C2937-C2970,0)</f>
        <v>0</v>
      </c>
      <c r="G2981" s="21" t="n">
        <f aca="false">IF(AND(G2696=1,G2667=1),1,0)</f>
        <v>0</v>
      </c>
      <c r="H2981" s="21" t="n">
        <f aca="false">IF(G2981=1,1,IF(AND(H2696=1,H2667=1),1,0))</f>
        <v>0</v>
      </c>
      <c r="I2981" s="21" t="n">
        <f aca="false">IF(H2981=1,1,IF(AND(I2696=1,I2667=1),1,0))</f>
        <v>0</v>
      </c>
      <c r="J2981" s="21" t="n">
        <f aca="false">IF(I2981=1,1,IF(AND(J2696=1,J2667=1),1,0))</f>
        <v>0</v>
      </c>
      <c r="K2981" s="21" t="n">
        <f aca="false">IF(J2981=1,1,IF(AND(K2696=1,K2667=1),1,0))</f>
        <v>0</v>
      </c>
    </row>
    <row r="2982" customFormat="false" ht="15" hidden="false" customHeight="false" outlineLevel="0" collapsed="false">
      <c r="A2982" s="3" t="s">
        <v>559</v>
      </c>
      <c r="C2982" s="16" t="n">
        <f aca="false">IF(C2960&gt;0,C2938-C2971,0)</f>
        <v>0</v>
      </c>
      <c r="G2982" s="21" t="n">
        <f aca="false">IF(AND(G2709=1,G2667=1),1,0)</f>
        <v>1</v>
      </c>
      <c r="H2982" s="21" t="n">
        <f aca="false">IF(G2982=1,1,IF(AND(H2709=1,H2667=1),1,0))</f>
        <v>1</v>
      </c>
      <c r="I2982" s="21" t="n">
        <f aca="false">IF(H2982=1,1,IF(AND(I2709=1,I2667=1),1,0))</f>
        <v>1</v>
      </c>
      <c r="J2982" s="21" t="n">
        <f aca="false">IF(I2982=1,1,IF(AND(J2709=1,J2667=1),1,0))</f>
        <v>1</v>
      </c>
      <c r="K2982" s="21" t="n">
        <f aca="false">IF(J2982=1,1,IF(AND(K2709=1,K2667=1),1,0))</f>
        <v>1</v>
      </c>
    </row>
    <row r="2983" customFormat="false" ht="15" hidden="false" customHeight="false" outlineLevel="0" collapsed="false">
      <c r="A2983" s="3" t="s">
        <v>560</v>
      </c>
      <c r="C2983" s="16" t="n">
        <f aca="false">IF(C2961&gt;0,C2939-C2972,0)</f>
        <v>0</v>
      </c>
      <c r="G2983" s="21" t="n">
        <f aca="false">IF(AND(G2722=1,G2667=1),1,0)</f>
        <v>0</v>
      </c>
      <c r="H2983" s="21" t="n">
        <f aca="false">IF(G2983=1,1,IF(AND(H2722=1,H2667=1),1,0))</f>
        <v>1</v>
      </c>
      <c r="I2983" s="21" t="n">
        <f aca="false">IF(H2983=1,1,IF(AND(I2722=1,I2667=1),1,0))</f>
        <v>1</v>
      </c>
      <c r="J2983" s="21" t="n">
        <f aca="false">IF(I2983=1,1,IF(AND(J2722=1,J2667=1),1,0))</f>
        <v>1</v>
      </c>
      <c r="K2983" s="21" t="n">
        <f aca="false">IF(J2983=1,1,IF(AND(K2722=1,K2667=1),1,0))</f>
        <v>1</v>
      </c>
    </row>
    <row r="2984" customFormat="false" ht="15" hidden="false" customHeight="false" outlineLevel="0" collapsed="false">
      <c r="A2984" s="3" t="s">
        <v>561</v>
      </c>
      <c r="C2984" s="16" t="n">
        <f aca="false">IF(C2962&gt;0,C2940-C2973,0)</f>
        <v>0</v>
      </c>
      <c r="G2984" s="21" t="n">
        <f aca="false">IF(AND(G2735=1,G2667=1),1,0)</f>
        <v>0</v>
      </c>
      <c r="H2984" s="21" t="n">
        <f aca="false">IF(G2984=1,1,IF(AND(H2735=1,H2667=1),1,0))</f>
        <v>1</v>
      </c>
      <c r="I2984" s="21" t="n">
        <f aca="false">IF(H2984=1,1,IF(AND(I2735=1,I2667=1),1,0))</f>
        <v>1</v>
      </c>
      <c r="J2984" s="21" t="n">
        <f aca="false">IF(I2984=1,1,IF(AND(J2735=1,J2667=1),1,0))</f>
        <v>1</v>
      </c>
      <c r="K2984" s="21" t="n">
        <f aca="false">IF(J2984=1,1,IF(AND(K2735=1,K2667=1),1,0))</f>
        <v>1</v>
      </c>
    </row>
    <row r="2985" customFormat="false" ht="15" hidden="false" customHeight="false" outlineLevel="0" collapsed="false">
      <c r="A2985" s="3" t="s">
        <v>562</v>
      </c>
      <c r="C2985" s="16" t="n">
        <f aca="false">IF(C2963&gt;0,C2941-C2974,0)</f>
        <v>0</v>
      </c>
      <c r="G2985" s="21" t="n">
        <f aca="false">IF(AND(G2748=1,G2667=1),1,0)</f>
        <v>0</v>
      </c>
      <c r="H2985" s="21" t="n">
        <f aca="false">IF(G2985=1,1,IF(AND(H2748=1,H2667=1),1,0))</f>
        <v>0</v>
      </c>
      <c r="I2985" s="21" t="n">
        <f aca="false">IF(H2985=1,1,IF(AND(I2748=1,I2667=1),1,0))</f>
        <v>1</v>
      </c>
      <c r="J2985" s="21" t="n">
        <f aca="false">IF(I2985=1,1,IF(AND(J2748=1,J2667=1),1,0))</f>
        <v>1</v>
      </c>
      <c r="K2985" s="21" t="n">
        <f aca="false">IF(J2985=1,1,IF(AND(K2748=1,K2667=1),1,0))</f>
        <v>1</v>
      </c>
    </row>
    <row r="2986" customFormat="false" ht="15" hidden="false" customHeight="false" outlineLevel="0" collapsed="false">
      <c r="A2986" s="3" t="s">
        <v>563</v>
      </c>
      <c r="C2986" s="16" t="n">
        <f aca="false">IF(C2964&gt;0,C2942-C2975,0)</f>
        <v>0</v>
      </c>
      <c r="G2986" s="21" t="n">
        <f aca="false">IF(AND(G2761=1,G2667=1),1,0)</f>
        <v>0</v>
      </c>
      <c r="H2986" s="21" t="n">
        <f aca="false">IF(G2986=1,1,IF(AND(H2761=1,H2667=1),1,0))</f>
        <v>0</v>
      </c>
      <c r="I2986" s="21" t="n">
        <f aca="false">IF(H2986=1,1,IF(AND(I2761=1,I2667=1),1,0))</f>
        <v>0</v>
      </c>
      <c r="J2986" s="21" t="n">
        <f aca="false">IF(I2986=1,1,IF(AND(J2761=1,J2667=1),1,0))</f>
        <v>1</v>
      </c>
      <c r="K2986" s="21" t="n">
        <f aca="false">IF(J2986=1,1,IF(AND(K2761=1,K2667=1),1,0))</f>
        <v>1</v>
      </c>
    </row>
    <row r="2987" customFormat="false" ht="15" hidden="false" customHeight="false" outlineLevel="0" collapsed="false">
      <c r="A2987" s="3" t="s">
        <v>564</v>
      </c>
      <c r="C2987" s="16" t="n">
        <f aca="false">IF(C2965&gt;0,C2943-C2976,0)</f>
        <v>0</v>
      </c>
      <c r="G2987" s="21" t="n">
        <f aca="false">IF(AND(G2774=1,G2667=1),1,0)</f>
        <v>0</v>
      </c>
      <c r="H2987" s="21" t="n">
        <f aca="false">IF(G2987=1,1,IF(AND(H2774=1,H2667=1),1,0))</f>
        <v>0</v>
      </c>
      <c r="I2987" s="21" t="n">
        <f aca="false">IF(H2987=1,1,IF(AND(I2774=1,I2667=1),1,0))</f>
        <v>0</v>
      </c>
      <c r="J2987" s="21" t="n">
        <f aca="false">IF(I2987=1,1,IF(AND(J2774=1,J2667=1),1,0))</f>
        <v>0</v>
      </c>
      <c r="K2987" s="21" t="n">
        <f aca="false">IF(J2987=1,1,IF(AND(K2774=1,K2667=1),1,0))</f>
        <v>1</v>
      </c>
    </row>
    <row r="2988" customFormat="false" ht="15" hidden="false" customHeight="false" outlineLevel="0" collapsed="false">
      <c r="A2988" s="3" t="s">
        <v>565</v>
      </c>
      <c r="C2988" s="16" t="n">
        <f aca="false">IF(C2966&gt;0,C2944-C2977,0)</f>
        <v>0</v>
      </c>
      <c r="G2988" s="21" t="n">
        <f aca="false">IF(AND(G2787=1,G2667=1),1,0)</f>
        <v>0</v>
      </c>
      <c r="H2988" s="21" t="n">
        <f aca="false">IF(G2988=1,1,IF(AND(H2787=1,H2667=1),1,0))</f>
        <v>0</v>
      </c>
      <c r="I2988" s="21" t="n">
        <f aca="false">IF(H2988=1,1,IF(AND(I2787=1,I2667=1),1,0))</f>
        <v>0</v>
      </c>
      <c r="J2988" s="21" t="n">
        <f aca="false">IF(I2988=1,1,IF(AND(J2787=1,J2667=1),1,0))</f>
        <v>0</v>
      </c>
      <c r="K2988" s="21" t="n">
        <f aca="false">IF(J2988=1,1,IF(AND(K2787=1,K2667=1),1,0))</f>
        <v>0</v>
      </c>
    </row>
    <row r="2989" customFormat="false" ht="15" hidden="false" customHeight="false" outlineLevel="0" collapsed="false">
      <c r="A2989" s="24" t="s">
        <v>570</v>
      </c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</row>
    <row r="2990" customFormat="false" ht="15" hidden="false" customHeight="false" outlineLevel="0" collapsed="false">
      <c r="A2990" s="3" t="s">
        <v>556</v>
      </c>
      <c r="C2990" s="16" t="n">
        <f aca="false">IF(C2957&gt;0,C2979,C2935)</f>
        <v>0</v>
      </c>
    </row>
    <row r="2991" customFormat="false" ht="15" hidden="false" customHeight="false" outlineLevel="0" collapsed="false">
      <c r="A2991" s="3" t="s">
        <v>557</v>
      </c>
      <c r="C2991" s="16" t="n">
        <f aca="false">IF(C2958&gt;0,C2980,C2936)</f>
        <v>0</v>
      </c>
    </row>
    <row r="2992" customFormat="false" ht="15" hidden="false" customHeight="false" outlineLevel="0" collapsed="false">
      <c r="A2992" s="3" t="s">
        <v>558</v>
      </c>
      <c r="C2992" s="16" t="n">
        <f aca="false">IF(C2959&gt;0,C2981,C2937)</f>
        <v>0</v>
      </c>
    </row>
    <row r="2993" customFormat="false" ht="15" hidden="false" customHeight="false" outlineLevel="0" collapsed="false">
      <c r="A2993" s="3" t="s">
        <v>559</v>
      </c>
      <c r="C2993" s="16" t="n">
        <f aca="false">IF(C2960&gt;0,C2982,C2938)</f>
        <v>0</v>
      </c>
    </row>
    <row r="2994" customFormat="false" ht="15" hidden="false" customHeight="false" outlineLevel="0" collapsed="false">
      <c r="A2994" s="3" t="s">
        <v>560</v>
      </c>
      <c r="C2994" s="16" t="n">
        <f aca="false">IF(C2961&gt;0,C2983,C2939)</f>
        <v>454.44375</v>
      </c>
    </row>
    <row r="2995" customFormat="false" ht="15" hidden="false" customHeight="false" outlineLevel="0" collapsed="false">
      <c r="A2995" s="3" t="s">
        <v>561</v>
      </c>
      <c r="C2995" s="16" t="n">
        <f aca="false">IF(C2962&gt;0,C2984,C2940)</f>
        <v>357.2625</v>
      </c>
    </row>
    <row r="2996" customFormat="false" ht="15" hidden="false" customHeight="false" outlineLevel="0" collapsed="false">
      <c r="A2996" s="3" t="s">
        <v>562</v>
      </c>
      <c r="C2996" s="16" t="n">
        <f aca="false">IF(C2963&gt;0,C2985,C2941)</f>
        <v>562.203125</v>
      </c>
    </row>
    <row r="2997" customFormat="false" ht="15" hidden="false" customHeight="false" outlineLevel="0" collapsed="false">
      <c r="A2997" s="3" t="s">
        <v>563</v>
      </c>
      <c r="C2997" s="16" t="n">
        <f aca="false">IF(C2964&gt;0,C2986,C2942)</f>
        <v>353.98125</v>
      </c>
    </row>
    <row r="2998" customFormat="false" ht="15" hidden="false" customHeight="false" outlineLevel="0" collapsed="false">
      <c r="A2998" s="3" t="s">
        <v>564</v>
      </c>
      <c r="C2998" s="16" t="n">
        <f aca="false">IF(C2965&gt;0,C2987,C2943)</f>
        <v>304.59375</v>
      </c>
    </row>
    <row r="2999" customFormat="false" ht="15" hidden="false" customHeight="false" outlineLevel="0" collapsed="false">
      <c r="A2999" s="3" t="s">
        <v>565</v>
      </c>
      <c r="C2999" s="16" t="n">
        <f aca="false">IF(C2966&gt;0,C2988,C2944)</f>
        <v>79.67320025</v>
      </c>
    </row>
    <row r="3000" customFormat="false" ht="15" hidden="false" customHeight="false" outlineLevel="0" collapsed="false">
      <c r="A3000" s="24" t="s">
        <v>571</v>
      </c>
      <c r="B3000" s="25"/>
      <c r="C3000" s="25"/>
      <c r="D3000" s="25"/>
      <c r="E3000" s="25"/>
      <c r="F3000" s="25"/>
      <c r="G3000" s="25"/>
      <c r="H3000" s="25"/>
      <c r="I3000" s="25"/>
      <c r="J3000" s="25"/>
      <c r="K3000" s="25"/>
    </row>
    <row r="3001" customFormat="false" ht="15" hidden="false" customHeight="false" outlineLevel="0" collapsed="false">
      <c r="A3001" s="3" t="s">
        <v>556</v>
      </c>
      <c r="C3001" s="21" t="n">
        <f aca="false">IF(C2957&gt;0,Assumptions!$C$17,C2946)</f>
        <v>99</v>
      </c>
    </row>
    <row r="3002" customFormat="false" ht="15" hidden="false" customHeight="false" outlineLevel="0" collapsed="false">
      <c r="A3002" s="3" t="s">
        <v>557</v>
      </c>
      <c r="C3002" s="21" t="n">
        <f aca="false">IF(C2958&gt;0,Assumptions!$C$17,C2947)</f>
        <v>99</v>
      </c>
    </row>
    <row r="3003" customFormat="false" ht="15" hidden="false" customHeight="false" outlineLevel="0" collapsed="false">
      <c r="A3003" s="3" t="s">
        <v>558</v>
      </c>
      <c r="C3003" s="21" t="n">
        <f aca="false">IF(C2959&gt;0,Assumptions!$C$17,C2948)</f>
        <v>99</v>
      </c>
    </row>
    <row r="3004" customFormat="false" ht="15" hidden="false" customHeight="false" outlineLevel="0" collapsed="false">
      <c r="A3004" s="3" t="s">
        <v>559</v>
      </c>
      <c r="C3004" s="21" t="n">
        <f aca="false">IF(C2960&gt;0,Assumptions!$C$17,C2949)</f>
        <v>2</v>
      </c>
    </row>
    <row r="3005" customFormat="false" ht="15" hidden="false" customHeight="false" outlineLevel="0" collapsed="false">
      <c r="A3005" s="3" t="s">
        <v>560</v>
      </c>
      <c r="C3005" s="21" t="n">
        <f aca="false">IF(C2961&gt;0,Assumptions!$C$17,C2950)</f>
        <v>2</v>
      </c>
    </row>
    <row r="3006" customFormat="false" ht="15" hidden="false" customHeight="false" outlineLevel="0" collapsed="false">
      <c r="A3006" s="3" t="s">
        <v>561</v>
      </c>
      <c r="C3006" s="21" t="n">
        <f aca="false">IF(C2962&gt;0,Assumptions!$C$17,C2951)</f>
        <v>2</v>
      </c>
    </row>
    <row r="3007" customFormat="false" ht="15" hidden="false" customHeight="false" outlineLevel="0" collapsed="false">
      <c r="A3007" s="3" t="s">
        <v>562</v>
      </c>
      <c r="C3007" s="21" t="n">
        <f aca="false">IF(C2963&gt;0,Assumptions!$C$17,C2952)</f>
        <v>2</v>
      </c>
    </row>
    <row r="3008" customFormat="false" ht="15" hidden="false" customHeight="false" outlineLevel="0" collapsed="false">
      <c r="A3008" s="3" t="s">
        <v>563</v>
      </c>
      <c r="C3008" s="21" t="n">
        <f aca="false">IF(C2964&gt;0,Assumptions!$C$17,C2953)</f>
        <v>2</v>
      </c>
    </row>
    <row r="3009" customFormat="false" ht="15" hidden="false" customHeight="false" outlineLevel="0" collapsed="false">
      <c r="A3009" s="3" t="s">
        <v>564</v>
      </c>
      <c r="C3009" s="21" t="n">
        <f aca="false">IF(C2965&gt;0,Assumptions!$C$17,C2954)</f>
        <v>2</v>
      </c>
    </row>
    <row r="3010" customFormat="false" ht="15" hidden="false" customHeight="false" outlineLevel="0" collapsed="false">
      <c r="A3010" s="3" t="s">
        <v>565</v>
      </c>
      <c r="C3010" s="21" t="n">
        <f aca="false">IF(C2966&gt;0,Assumptions!$C$17,C2955)</f>
        <v>3</v>
      </c>
    </row>
    <row r="3011" customFormat="false" ht="15" hidden="false" customHeight="false" outlineLevel="0" collapsed="false">
      <c r="A3011" s="24" t="s">
        <v>572</v>
      </c>
      <c r="B3011" s="25"/>
      <c r="C3011" s="25"/>
      <c r="D3011" s="25"/>
      <c r="E3011" s="25"/>
      <c r="F3011" s="25"/>
      <c r="G3011" s="25"/>
      <c r="H3011" s="25"/>
      <c r="I3011" s="25"/>
      <c r="J3011" s="25"/>
      <c r="K3011" s="25"/>
    </row>
    <row r="3012" customFormat="false" ht="15" hidden="false" customHeight="false" outlineLevel="0" collapsed="false">
      <c r="A3012" s="3" t="s">
        <v>556</v>
      </c>
      <c r="C3012" s="16" t="n">
        <f aca="false">SUMPRODUCT(($C$3001:$C$3010&lt;C3001)*$C$2990:$C$2999)</f>
        <v>2112.15757525</v>
      </c>
    </row>
    <row r="3013" customFormat="false" ht="15" hidden="false" customHeight="false" outlineLevel="0" collapsed="false">
      <c r="A3013" s="3" t="s">
        <v>557</v>
      </c>
      <c r="C3013" s="16" t="n">
        <f aca="false">SUMPRODUCT(($C$3001:$C$3010&lt;C3002)*$C$2990:$C$2999)</f>
        <v>2112.15757525</v>
      </c>
    </row>
    <row r="3014" customFormat="false" ht="15" hidden="false" customHeight="false" outlineLevel="0" collapsed="false">
      <c r="A3014" s="3" t="s">
        <v>558</v>
      </c>
      <c r="C3014" s="16" t="n">
        <f aca="false">SUMPRODUCT(($C$3001:$C$3010&lt;C3003)*$C$2990:$C$2999)</f>
        <v>2112.15757525</v>
      </c>
    </row>
    <row r="3015" customFormat="false" ht="15" hidden="false" customHeight="false" outlineLevel="0" collapsed="false">
      <c r="A3015" s="3" t="s">
        <v>559</v>
      </c>
      <c r="C3015" s="16" t="n">
        <f aca="false">SUMPRODUCT(($C$3001:$C$3010&lt;C3004)*$C$2990:$C$2999)</f>
        <v>0</v>
      </c>
    </row>
    <row r="3016" customFormat="false" ht="15" hidden="false" customHeight="false" outlineLevel="0" collapsed="false">
      <c r="A3016" s="3" t="s">
        <v>560</v>
      </c>
      <c r="C3016" s="16" t="n">
        <f aca="false">SUMPRODUCT(($C$3001:$C$3010&lt;C3005)*$C$2990:$C$2999)</f>
        <v>0</v>
      </c>
    </row>
    <row r="3017" customFormat="false" ht="15" hidden="false" customHeight="false" outlineLevel="0" collapsed="false">
      <c r="A3017" s="3" t="s">
        <v>561</v>
      </c>
      <c r="C3017" s="16" t="n">
        <f aca="false">SUMPRODUCT(($C$3001:$C$3010&lt;C3006)*$C$2990:$C$2999)</f>
        <v>0</v>
      </c>
    </row>
    <row r="3018" customFormat="false" ht="15" hidden="false" customHeight="false" outlineLevel="0" collapsed="false">
      <c r="A3018" s="3" t="s">
        <v>562</v>
      </c>
      <c r="C3018" s="16" t="n">
        <f aca="false">SUMPRODUCT(($C$3001:$C$3010&lt;C3007)*$C$2990:$C$2999)</f>
        <v>0</v>
      </c>
    </row>
    <row r="3019" customFormat="false" ht="15" hidden="false" customHeight="false" outlineLevel="0" collapsed="false">
      <c r="A3019" s="3" t="s">
        <v>563</v>
      </c>
      <c r="C3019" s="16" t="n">
        <f aca="false">SUMPRODUCT(($C$3001:$C$3010&lt;C3008)*$C$2990:$C$2999)</f>
        <v>0</v>
      </c>
    </row>
    <row r="3020" customFormat="false" ht="15" hidden="false" customHeight="false" outlineLevel="0" collapsed="false">
      <c r="A3020" s="3" t="s">
        <v>564</v>
      </c>
      <c r="C3020" s="16" t="n">
        <f aca="false">SUMPRODUCT(($C$3001:$C$3010&lt;C3009)*$C$2990:$C$2999)</f>
        <v>0</v>
      </c>
    </row>
    <row r="3021" customFormat="false" ht="15" hidden="false" customHeight="false" outlineLevel="0" collapsed="false">
      <c r="A3021" s="3" t="s">
        <v>565</v>
      </c>
      <c r="C3021" s="16" t="n">
        <f aca="false">SUMPRODUCT(($C$3001:$C$3010&lt;C3010)*$C$2990:$C$2999)</f>
        <v>2032.484375</v>
      </c>
    </row>
    <row r="3022" customFormat="false" ht="15" hidden="false" customHeight="false" outlineLevel="0" collapsed="false">
      <c r="A3022" s="24" t="s">
        <v>573</v>
      </c>
      <c r="B3022" s="25"/>
      <c r="C3022" s="25"/>
      <c r="D3022" s="25"/>
      <c r="E3022" s="25"/>
      <c r="F3022" s="25"/>
      <c r="G3022" s="25"/>
      <c r="H3022" s="25"/>
      <c r="I3022" s="25"/>
      <c r="J3022" s="25"/>
      <c r="K3022" s="25"/>
    </row>
    <row r="3023" customFormat="false" ht="15" hidden="false" customHeight="false" outlineLevel="0" collapsed="false">
      <c r="A3023" s="3" t="s">
        <v>556</v>
      </c>
      <c r="C3023" s="16" t="n">
        <f aca="false">SUMPRODUCT(($C$3001:$C$3010=C3001)*$C$2990:$C$2999)</f>
        <v>0</v>
      </c>
    </row>
    <row r="3024" customFormat="false" ht="15" hidden="false" customHeight="false" outlineLevel="0" collapsed="false">
      <c r="A3024" s="3" t="s">
        <v>557</v>
      </c>
      <c r="C3024" s="16" t="n">
        <f aca="false">SUMPRODUCT(($C$3001:$C$3010=C3002)*$C$2990:$C$2999)</f>
        <v>0</v>
      </c>
    </row>
    <row r="3025" customFormat="false" ht="15" hidden="false" customHeight="false" outlineLevel="0" collapsed="false">
      <c r="A3025" s="3" t="s">
        <v>558</v>
      </c>
      <c r="C3025" s="16" t="n">
        <f aca="false">SUMPRODUCT(($C$3001:$C$3010=C3003)*$C$2990:$C$2999)</f>
        <v>0</v>
      </c>
    </row>
    <row r="3026" customFormat="false" ht="15" hidden="false" customHeight="false" outlineLevel="0" collapsed="false">
      <c r="A3026" s="3" t="s">
        <v>559</v>
      </c>
      <c r="C3026" s="16" t="n">
        <f aca="false">SUMPRODUCT(($C$3001:$C$3010=C3004)*$C$2990:$C$2999)</f>
        <v>2032.484375</v>
      </c>
    </row>
    <row r="3027" customFormat="false" ht="15" hidden="false" customHeight="false" outlineLevel="0" collapsed="false">
      <c r="A3027" s="3" t="s">
        <v>560</v>
      </c>
      <c r="C3027" s="16" t="n">
        <f aca="false">SUMPRODUCT(($C$3001:$C$3010=C3005)*$C$2990:$C$2999)</f>
        <v>2032.484375</v>
      </c>
    </row>
    <row r="3028" customFormat="false" ht="15" hidden="false" customHeight="false" outlineLevel="0" collapsed="false">
      <c r="A3028" s="3" t="s">
        <v>561</v>
      </c>
      <c r="C3028" s="16" t="n">
        <f aca="false">SUMPRODUCT(($C$3001:$C$3010=C3006)*$C$2990:$C$2999)</f>
        <v>2032.484375</v>
      </c>
    </row>
    <row r="3029" customFormat="false" ht="15" hidden="false" customHeight="false" outlineLevel="0" collapsed="false">
      <c r="A3029" s="3" t="s">
        <v>562</v>
      </c>
      <c r="C3029" s="16" t="n">
        <f aca="false">SUMPRODUCT(($C$3001:$C$3010=C3007)*$C$2990:$C$2999)</f>
        <v>2032.484375</v>
      </c>
    </row>
    <row r="3030" customFormat="false" ht="15" hidden="false" customHeight="false" outlineLevel="0" collapsed="false">
      <c r="A3030" s="3" t="s">
        <v>563</v>
      </c>
      <c r="C3030" s="16" t="n">
        <f aca="false">SUMPRODUCT(($C$3001:$C$3010=C3008)*$C$2990:$C$2999)</f>
        <v>2032.484375</v>
      </c>
    </row>
    <row r="3031" customFormat="false" ht="15" hidden="false" customHeight="false" outlineLevel="0" collapsed="false">
      <c r="A3031" s="3" t="s">
        <v>564</v>
      </c>
      <c r="C3031" s="16" t="n">
        <f aca="false">SUMPRODUCT(($C$3001:$C$3010=C3009)*$C$2990:$C$2999)</f>
        <v>2032.484375</v>
      </c>
    </row>
    <row r="3032" customFormat="false" ht="15" hidden="false" customHeight="false" outlineLevel="0" collapsed="false">
      <c r="A3032" s="3" t="s">
        <v>565</v>
      </c>
      <c r="C3032" s="16" t="n">
        <f aca="false">SUMPRODUCT(($C$3001:$C$3010=C3010)*$C$2990:$C$2999)</f>
        <v>79.67320025</v>
      </c>
    </row>
    <row r="3033" customFormat="false" ht="15" hidden="false" customHeight="false" outlineLevel="0" collapsed="false">
      <c r="A3033" s="24" t="s">
        <v>574</v>
      </c>
      <c r="B3033" s="25"/>
      <c r="C3033" s="25"/>
      <c r="D3033" s="25"/>
      <c r="E3033" s="25"/>
      <c r="F3033" s="25"/>
      <c r="G3033" s="25"/>
      <c r="H3033" s="25"/>
      <c r="I3033" s="25"/>
      <c r="J3033" s="25"/>
      <c r="K3033" s="25"/>
    </row>
    <row r="3034" customFormat="false" ht="15" hidden="false" customHeight="false" outlineLevel="0" collapsed="false">
      <c r="A3034" s="3" t="s">
        <v>556</v>
      </c>
      <c r="C3034" s="16" t="n">
        <f aca="false">IF(C3023=0,0,C2990/C3023*MAX(0,MIN(C3023,$C$2933-SUM($C$2968:$C$2977)-C3012)))</f>
        <v>0</v>
      </c>
    </row>
    <row r="3035" customFormat="false" ht="15" hidden="false" customHeight="false" outlineLevel="0" collapsed="false">
      <c r="A3035" s="3" t="s">
        <v>557</v>
      </c>
      <c r="C3035" s="16" t="n">
        <f aca="false">IF(C3024=0,0,C2991/C3024*MAX(0,MIN(C3024,$C$2933-SUM($C$2968:$C$2977)-C3013)))</f>
        <v>0</v>
      </c>
    </row>
    <row r="3036" customFormat="false" ht="15" hidden="false" customHeight="false" outlineLevel="0" collapsed="false">
      <c r="A3036" s="3" t="s">
        <v>558</v>
      </c>
      <c r="C3036" s="16" t="n">
        <f aca="false">IF(C3025=0,0,C2992/C3025*MAX(0,MIN(C3025,$C$2933-SUM($C$2968:$C$2977)-C3014)))</f>
        <v>0</v>
      </c>
    </row>
    <row r="3037" customFormat="false" ht="15" hidden="false" customHeight="false" outlineLevel="0" collapsed="false">
      <c r="A3037" s="3" t="s">
        <v>559</v>
      </c>
      <c r="C3037" s="16" t="n">
        <f aca="false">IF(C3026=0,0,C2993/C3026*MAX(0,MIN(C3026,$C$2933-SUM($C$2968:$C$2977)-C3015)))</f>
        <v>0</v>
      </c>
    </row>
    <row r="3038" customFormat="false" ht="15" hidden="false" customHeight="false" outlineLevel="0" collapsed="false">
      <c r="A3038" s="3" t="s">
        <v>560</v>
      </c>
      <c r="C3038" s="16" t="n">
        <f aca="false">IF(C3027=0,0,C2994/C3027*MAX(0,MIN(C3027,$C$2933-SUM($C$2968:$C$2977)-C3016)))</f>
        <v>454.44375</v>
      </c>
    </row>
    <row r="3039" customFormat="false" ht="15" hidden="false" customHeight="false" outlineLevel="0" collapsed="false">
      <c r="A3039" s="3" t="s">
        <v>561</v>
      </c>
      <c r="C3039" s="16" t="n">
        <f aca="false">IF(C3028=0,0,C2995/C3028*MAX(0,MIN(C3028,$C$2933-SUM($C$2968:$C$2977)-C3017)))</f>
        <v>357.2625</v>
      </c>
    </row>
    <row r="3040" customFormat="false" ht="15" hidden="false" customHeight="false" outlineLevel="0" collapsed="false">
      <c r="A3040" s="3" t="s">
        <v>562</v>
      </c>
      <c r="C3040" s="16" t="n">
        <f aca="false">IF(C3029=0,0,C2996/C3029*MAX(0,MIN(C3029,$C$2933-SUM($C$2968:$C$2977)-C3018)))</f>
        <v>562.203125</v>
      </c>
    </row>
    <row r="3041" customFormat="false" ht="15" hidden="false" customHeight="false" outlineLevel="0" collapsed="false">
      <c r="A3041" s="3" t="s">
        <v>563</v>
      </c>
      <c r="C3041" s="16" t="n">
        <f aca="false">IF(C3030=0,0,C2997/C3030*MAX(0,MIN(C3030,$C$2933-SUM($C$2968:$C$2977)-C3019)))</f>
        <v>353.98125</v>
      </c>
    </row>
    <row r="3042" customFormat="false" ht="15" hidden="false" customHeight="false" outlineLevel="0" collapsed="false">
      <c r="A3042" s="3" t="s">
        <v>564</v>
      </c>
      <c r="C3042" s="16" t="n">
        <f aca="false">IF(C3031=0,0,C2998/C3031*MAX(0,MIN(C3031,$C$2933-SUM($C$2968:$C$2977)-C3020)))</f>
        <v>304.59375</v>
      </c>
    </row>
    <row r="3043" customFormat="false" ht="15" hidden="false" customHeight="false" outlineLevel="0" collapsed="false">
      <c r="A3043" s="3" t="s">
        <v>565</v>
      </c>
      <c r="C3043" s="16" t="n">
        <f aca="false">IF(C3032=0,0,C2999/C3032*MAX(0,MIN(C3032,$C$2933-SUM($C$2968:$C$2977)-C3021)))</f>
        <v>79.67320025</v>
      </c>
    </row>
    <row r="3044" customFormat="false" ht="15" hidden="false" customHeight="false" outlineLevel="0" collapsed="false">
      <c r="A3044" s="24" t="s">
        <v>575</v>
      </c>
      <c r="B3044" s="25"/>
      <c r="C3044" s="25"/>
      <c r="D3044" s="25"/>
      <c r="E3044" s="25"/>
      <c r="F3044" s="25"/>
      <c r="G3044" s="25"/>
      <c r="H3044" s="25"/>
      <c r="I3044" s="25"/>
      <c r="J3044" s="25"/>
      <c r="K3044" s="25"/>
    </row>
    <row r="3045" customFormat="false" ht="15" hidden="false" customHeight="false" outlineLevel="0" collapsed="false">
      <c r="A3045" s="2" t="s">
        <v>556</v>
      </c>
      <c r="C3045" s="17" t="n">
        <f aca="false">C2968+C3034</f>
        <v>405.0585</v>
      </c>
    </row>
    <row r="3046" customFormat="false" ht="15" hidden="false" customHeight="false" outlineLevel="0" collapsed="false">
      <c r="A3046" s="2" t="s">
        <v>557</v>
      </c>
      <c r="C3046" s="17" t="n">
        <f aca="false">C2969+C3035</f>
        <v>91.30725</v>
      </c>
    </row>
    <row r="3047" customFormat="false" ht="15" hidden="false" customHeight="false" outlineLevel="0" collapsed="false">
      <c r="A3047" s="2" t="s">
        <v>558</v>
      </c>
      <c r="C3047" s="17" t="n">
        <f aca="false">C2970+C3036</f>
        <v>58.3715961</v>
      </c>
    </row>
    <row r="3048" customFormat="false" ht="15" hidden="false" customHeight="false" outlineLevel="0" collapsed="false">
      <c r="A3048" s="2" t="s">
        <v>559</v>
      </c>
      <c r="C3048" s="17" t="n">
        <f aca="false">C2971+C3037</f>
        <v>0</v>
      </c>
    </row>
    <row r="3049" customFormat="false" ht="15" hidden="false" customHeight="false" outlineLevel="0" collapsed="false">
      <c r="A3049" s="2" t="s">
        <v>560</v>
      </c>
      <c r="C3049" s="17" t="n">
        <f aca="false">C2972+C3038</f>
        <v>454.44375</v>
      </c>
    </row>
    <row r="3050" customFormat="false" ht="15" hidden="false" customHeight="false" outlineLevel="0" collapsed="false">
      <c r="A3050" s="2" t="s">
        <v>561</v>
      </c>
      <c r="C3050" s="17" t="n">
        <f aca="false">C2973+C3039</f>
        <v>357.2625</v>
      </c>
    </row>
    <row r="3051" customFormat="false" ht="15" hidden="false" customHeight="false" outlineLevel="0" collapsed="false">
      <c r="A3051" s="2" t="s">
        <v>562</v>
      </c>
      <c r="C3051" s="17" t="n">
        <f aca="false">C2974+C3040</f>
        <v>562.203125</v>
      </c>
    </row>
    <row r="3052" customFormat="false" ht="15" hidden="false" customHeight="false" outlineLevel="0" collapsed="false">
      <c r="A3052" s="2" t="s">
        <v>563</v>
      </c>
      <c r="C3052" s="17" t="n">
        <f aca="false">C2975+C3041</f>
        <v>353.98125</v>
      </c>
    </row>
    <row r="3053" customFormat="false" ht="15" hidden="false" customHeight="false" outlineLevel="0" collapsed="false">
      <c r="A3053" s="2" t="s">
        <v>564</v>
      </c>
      <c r="C3053" s="17" t="n">
        <f aca="false">C2976+C3042</f>
        <v>304.59375</v>
      </c>
    </row>
    <row r="3054" customFormat="false" ht="15" hidden="false" customHeight="false" outlineLevel="0" collapsed="false">
      <c r="A3054" s="2" t="s">
        <v>565</v>
      </c>
      <c r="C3054" s="17" t="n">
        <f aca="false">C2977+C3043</f>
        <v>79.67320025</v>
      </c>
    </row>
    <row r="3055" customFormat="false" ht="15" hidden="false" customHeight="false" outlineLevel="0" collapsed="false">
      <c r="A3055" s="24" t="s">
        <v>576</v>
      </c>
      <c r="B3055" s="25"/>
      <c r="C3055" s="25"/>
      <c r="D3055" s="25"/>
      <c r="E3055" s="25"/>
      <c r="F3055" s="25"/>
      <c r="G3055" s="25"/>
      <c r="H3055" s="25"/>
      <c r="I3055" s="25"/>
      <c r="J3055" s="25"/>
      <c r="K3055" s="25"/>
    </row>
    <row r="3056" customFormat="false" ht="15" hidden="false" customHeight="false" outlineLevel="0" collapsed="false">
      <c r="A3056" s="3" t="s">
        <v>556</v>
      </c>
      <c r="C3056" s="22" t="n">
        <f aca="false">IF(C2935=0,1,C3045/C2935)</f>
        <v>1</v>
      </c>
    </row>
    <row r="3057" customFormat="false" ht="15" hidden="false" customHeight="false" outlineLevel="0" collapsed="false">
      <c r="A3057" s="3" t="s">
        <v>557</v>
      </c>
      <c r="C3057" s="22" t="n">
        <f aca="false">IF(C2936=0,1,C3046/C2936)</f>
        <v>1</v>
      </c>
    </row>
    <row r="3058" customFormat="false" ht="15" hidden="false" customHeight="false" outlineLevel="0" collapsed="false">
      <c r="A3058" s="3" t="s">
        <v>558</v>
      </c>
      <c r="C3058" s="22" t="n">
        <f aca="false">IF(C2937=0,1,C3047/C2937)</f>
        <v>1</v>
      </c>
    </row>
    <row r="3059" customFormat="false" ht="15" hidden="false" customHeight="false" outlineLevel="0" collapsed="false">
      <c r="A3059" s="3" t="s">
        <v>559</v>
      </c>
      <c r="C3059" s="22" t="n">
        <f aca="false">IF(C2938=0,1,C3048/C2938)</f>
        <v>1</v>
      </c>
    </row>
    <row r="3060" customFormat="false" ht="15" hidden="false" customHeight="false" outlineLevel="0" collapsed="false">
      <c r="A3060" s="3" t="s">
        <v>560</v>
      </c>
      <c r="C3060" s="22" t="n">
        <f aca="false">IF(C2939=0,1,C3049/C2939)</f>
        <v>1</v>
      </c>
    </row>
    <row r="3061" customFormat="false" ht="15" hidden="false" customHeight="false" outlineLevel="0" collapsed="false">
      <c r="A3061" s="3" t="s">
        <v>561</v>
      </c>
      <c r="C3061" s="22" t="n">
        <f aca="false">IF(C2940=0,1,C3050/C2940)</f>
        <v>1</v>
      </c>
    </row>
    <row r="3062" customFormat="false" ht="15" hidden="false" customHeight="false" outlineLevel="0" collapsed="false">
      <c r="A3062" s="3" t="s">
        <v>562</v>
      </c>
      <c r="C3062" s="22" t="n">
        <f aca="false">IF(C2941=0,1,C3051/C2941)</f>
        <v>1</v>
      </c>
    </row>
    <row r="3063" customFormat="false" ht="15" hidden="false" customHeight="false" outlineLevel="0" collapsed="false">
      <c r="A3063" s="3" t="s">
        <v>563</v>
      </c>
      <c r="C3063" s="22" t="n">
        <f aca="false">IF(C2942=0,1,C3052/C2942)</f>
        <v>1</v>
      </c>
    </row>
    <row r="3064" customFormat="false" ht="15" hidden="false" customHeight="false" outlineLevel="0" collapsed="false">
      <c r="A3064" s="3" t="s">
        <v>564</v>
      </c>
      <c r="C3064" s="22" t="n">
        <f aca="false">IF(C2943=0,1,C3053/C2943)</f>
        <v>1</v>
      </c>
    </row>
    <row r="3065" customFormat="false" ht="15" hidden="false" customHeight="false" outlineLevel="0" collapsed="false">
      <c r="A3065" s="3" t="s">
        <v>565</v>
      </c>
      <c r="C3065" s="22" t="n">
        <f aca="false">IF(C2944=0,1,C3054/C2944)</f>
        <v>1</v>
      </c>
    </row>
    <row r="3066" customFormat="false" ht="15" hidden="false" customHeight="false" outlineLevel="0" collapsed="false">
      <c r="A3066" s="24" t="s">
        <v>577</v>
      </c>
      <c r="B3066" s="25"/>
      <c r="C3066" s="25"/>
      <c r="D3066" s="25"/>
      <c r="E3066" s="25"/>
      <c r="F3066" s="25"/>
      <c r="G3066" s="25"/>
      <c r="H3066" s="25"/>
      <c r="I3066" s="25"/>
      <c r="J3066" s="25"/>
      <c r="K3066" s="25"/>
    </row>
    <row r="3067" customFormat="false" ht="15" hidden="false" customHeight="false" outlineLevel="0" collapsed="false">
      <c r="A3067" s="3" t="s">
        <v>556</v>
      </c>
      <c r="C3067" s="16" t="n">
        <f aca="false">C2935-C3045</f>
        <v>0</v>
      </c>
    </row>
    <row r="3068" customFormat="false" ht="15" hidden="false" customHeight="false" outlineLevel="0" collapsed="false">
      <c r="A3068" s="3" t="s">
        <v>557</v>
      </c>
      <c r="C3068" s="16" t="n">
        <f aca="false">C2936-C3046</f>
        <v>0</v>
      </c>
    </row>
    <row r="3069" customFormat="false" ht="15" hidden="false" customHeight="false" outlineLevel="0" collapsed="false">
      <c r="A3069" s="3" t="s">
        <v>558</v>
      </c>
      <c r="C3069" s="16" t="n">
        <f aca="false">C2937-C3047</f>
        <v>0</v>
      </c>
    </row>
    <row r="3070" customFormat="false" ht="15" hidden="false" customHeight="false" outlineLevel="0" collapsed="false">
      <c r="A3070" s="3" t="s">
        <v>559</v>
      </c>
      <c r="C3070" s="16" t="n">
        <f aca="false">C2938-C3048</f>
        <v>0</v>
      </c>
    </row>
    <row r="3071" customFormat="false" ht="15" hidden="false" customHeight="false" outlineLevel="0" collapsed="false">
      <c r="A3071" s="3" t="s">
        <v>560</v>
      </c>
      <c r="C3071" s="16" t="n">
        <f aca="false">C2939-C3049</f>
        <v>0</v>
      </c>
    </row>
    <row r="3072" customFormat="false" ht="15" hidden="false" customHeight="false" outlineLevel="0" collapsed="false">
      <c r="A3072" s="3" t="s">
        <v>561</v>
      </c>
      <c r="C3072" s="16" t="n">
        <f aca="false">C2940-C3050</f>
        <v>0</v>
      </c>
    </row>
    <row r="3073" customFormat="false" ht="15" hidden="false" customHeight="false" outlineLevel="0" collapsed="false">
      <c r="A3073" s="3" t="s">
        <v>562</v>
      </c>
      <c r="C3073" s="16" t="n">
        <f aca="false">C2941-C3051</f>
        <v>0</v>
      </c>
    </row>
    <row r="3074" customFormat="false" ht="15" hidden="false" customHeight="false" outlineLevel="0" collapsed="false">
      <c r="A3074" s="3" t="s">
        <v>563</v>
      </c>
      <c r="C3074" s="16" t="n">
        <f aca="false">C2942-C3052</f>
        <v>0</v>
      </c>
    </row>
    <row r="3075" customFormat="false" ht="15" hidden="false" customHeight="false" outlineLevel="0" collapsed="false">
      <c r="A3075" s="3" t="s">
        <v>564</v>
      </c>
      <c r="C3075" s="16" t="n">
        <f aca="false">C2943-C3053</f>
        <v>0</v>
      </c>
    </row>
    <row r="3076" customFormat="false" ht="15" hidden="false" customHeight="false" outlineLevel="0" collapsed="false">
      <c r="A3076" s="3" t="s">
        <v>565</v>
      </c>
      <c r="C3076" s="16" t="n">
        <f aca="false">C2944-C3054</f>
        <v>0</v>
      </c>
    </row>
    <row r="3077" customFormat="false" ht="15" hidden="false" customHeight="false" outlineLevel="0" collapsed="false">
      <c r="A3077" s="24" t="s">
        <v>578</v>
      </c>
      <c r="B3077" s="25"/>
      <c r="C3077" s="25"/>
      <c r="D3077" s="25"/>
      <c r="E3077" s="25"/>
      <c r="F3077" s="25"/>
      <c r="G3077" s="25"/>
      <c r="H3077" s="25"/>
      <c r="I3077" s="25"/>
      <c r="J3077" s="25"/>
      <c r="K3077" s="25"/>
    </row>
    <row r="3078" customFormat="false" ht="15" hidden="false" customHeight="false" outlineLevel="0" collapsed="false">
      <c r="A3078" s="3" t="s">
        <v>556</v>
      </c>
      <c r="C3078" s="22" t="n">
        <f aca="false">IF(C2935=0,0,C3067/C2935)</f>
        <v>0</v>
      </c>
    </row>
    <row r="3079" customFormat="false" ht="15" hidden="false" customHeight="false" outlineLevel="0" collapsed="false">
      <c r="A3079" s="3" t="s">
        <v>557</v>
      </c>
      <c r="C3079" s="22" t="n">
        <f aca="false">IF(C2936=0,0,C3068/C2936)</f>
        <v>0</v>
      </c>
    </row>
    <row r="3080" customFormat="false" ht="15" hidden="false" customHeight="false" outlineLevel="0" collapsed="false">
      <c r="A3080" s="3" t="s">
        <v>558</v>
      </c>
      <c r="C3080" s="22" t="n">
        <f aca="false">IF(C2937=0,0,C3069/C2937)</f>
        <v>0</v>
      </c>
    </row>
    <row r="3081" customFormat="false" ht="15" hidden="false" customHeight="false" outlineLevel="0" collapsed="false">
      <c r="A3081" s="3" t="s">
        <v>559</v>
      </c>
      <c r="C3081" s="22" t="n">
        <f aca="false">IF(C2938=0,0,C3070/C2938)</f>
        <v>0</v>
      </c>
    </row>
    <row r="3082" customFormat="false" ht="15" hidden="false" customHeight="false" outlineLevel="0" collapsed="false">
      <c r="A3082" s="3" t="s">
        <v>560</v>
      </c>
      <c r="C3082" s="22" t="n">
        <f aca="false">IF(C2939=0,0,C3071/C2939)</f>
        <v>0</v>
      </c>
    </row>
    <row r="3083" customFormat="false" ht="15" hidden="false" customHeight="false" outlineLevel="0" collapsed="false">
      <c r="A3083" s="3" t="s">
        <v>561</v>
      </c>
      <c r="C3083" s="22" t="n">
        <f aca="false">IF(C2940=0,0,C3072/C2940)</f>
        <v>0</v>
      </c>
    </row>
    <row r="3084" customFormat="false" ht="15" hidden="false" customHeight="false" outlineLevel="0" collapsed="false">
      <c r="A3084" s="3" t="s">
        <v>562</v>
      </c>
      <c r="C3084" s="22" t="n">
        <f aca="false">IF(C2941=0,0,C3073/C2941)</f>
        <v>0</v>
      </c>
    </row>
    <row r="3085" customFormat="false" ht="15" hidden="false" customHeight="false" outlineLevel="0" collapsed="false">
      <c r="A3085" s="3" t="s">
        <v>563</v>
      </c>
      <c r="C3085" s="22" t="n">
        <f aca="false">IF(C2942=0,0,C3074/C2942)</f>
        <v>0</v>
      </c>
    </row>
    <row r="3086" customFormat="false" ht="15" hidden="false" customHeight="false" outlineLevel="0" collapsed="false">
      <c r="A3086" s="3" t="s">
        <v>564</v>
      </c>
      <c r="C3086" s="22" t="n">
        <f aca="false">IF(C2943=0,0,C3075/C2943)</f>
        <v>0</v>
      </c>
    </row>
    <row r="3087" customFormat="false" ht="15" hidden="false" customHeight="false" outlineLevel="0" collapsed="false">
      <c r="A3087" s="3" t="s">
        <v>565</v>
      </c>
      <c r="C3087" s="22" t="n">
        <f aca="false">IF(C2944=0,0,C3076/C2944)</f>
        <v>0</v>
      </c>
    </row>
    <row r="3088" customFormat="false" ht="15" hidden="false" customHeight="false" outlineLevel="0" collapsed="false">
      <c r="A3088" s="2" t="s">
        <v>579</v>
      </c>
      <c r="C3088" s="17" t="n">
        <f aca="false">MAX(0,$C$2933-SUM($C$2968:$C$2977)-SUM($C$2990:$C$2999))</f>
        <v>1154.584268922</v>
      </c>
    </row>
    <row r="3089" customFormat="false" ht="15" hidden="false" customHeight="false" outlineLevel="0" collapsed="false">
      <c r="A3089" s="3" t="s">
        <v>580</v>
      </c>
      <c r="C3089" s="16" t="n">
        <f aca="false">SUM($C$3045:$C$3054)+C3088+C2932-C2931</f>
        <v>0</v>
      </c>
    </row>
    <row r="3091" customFormat="false" ht="15" hidden="false" customHeight="false" outlineLevel="0" collapsed="false">
      <c r="A3091" s="24" t="s">
        <v>583</v>
      </c>
      <c r="B3091" s="25"/>
      <c r="C3091" s="25"/>
      <c r="D3091" s="25"/>
      <c r="E3091" s="25"/>
      <c r="F3091" s="25"/>
      <c r="G3091" s="25"/>
      <c r="H3091" s="25"/>
      <c r="I3091" s="25"/>
      <c r="J3091" s="25"/>
      <c r="K3091" s="25"/>
    </row>
    <row r="3092" customFormat="false" ht="15" hidden="false" customHeight="false" outlineLevel="0" collapsed="false">
      <c r="A3092" s="3" t="s">
        <v>584</v>
      </c>
      <c r="C3092" s="27" t="n">
        <f aca="false">Assumptions!$C$34</f>
        <v>1</v>
      </c>
    </row>
    <row r="3093" customFormat="false" ht="15" hidden="false" customHeight="false" outlineLevel="0" collapsed="false">
      <c r="A3093" s="3" t="s">
        <v>585</v>
      </c>
      <c r="C3093" s="29" t="n">
        <f aca="false">Assumptions!$C$35</f>
        <v>100</v>
      </c>
    </row>
    <row r="3094" customFormat="false" ht="15" hidden="false" customHeight="false" outlineLevel="0" collapsed="false">
      <c r="A3094" s="3" t="s">
        <v>586</v>
      </c>
      <c r="C3094" s="40" t="n">
        <f aca="false">Assumptions!$C$36</f>
        <v>98</v>
      </c>
    </row>
    <row r="3095" customFormat="false" ht="15" hidden="false" customHeight="false" outlineLevel="0" collapsed="false">
      <c r="A3095" s="3" t="s">
        <v>587</v>
      </c>
      <c r="C3095" s="16" t="n">
        <f aca="false">C3093*C3094/100*(1+Assumptions!$C$37)</f>
        <v>98.49</v>
      </c>
    </row>
    <row r="3096" customFormat="false" ht="15" hidden="false" customHeight="false" outlineLevel="0" collapsed="false">
      <c r="A3096" s="3" t="s">
        <v>588</v>
      </c>
      <c r="C3096" s="27" t="n">
        <f aca="false">Assumptions!$C$38</f>
        <v>3</v>
      </c>
    </row>
    <row r="3097" customFormat="false" ht="15" hidden="false" customHeight="false" outlineLevel="0" collapsed="false">
      <c r="A3097" s="3" t="s">
        <v>589</v>
      </c>
      <c r="C3097" s="21" t="n">
        <f aca="false">IF(C2924=1,SUMPRODUCT($G$2860:$K$2860,$G$2634:$K$2634),0)</f>
        <v>0</v>
      </c>
    </row>
    <row r="3098" customFormat="false" ht="15" hidden="false" customHeight="false" outlineLevel="0" collapsed="false">
      <c r="A3098" s="3" t="s">
        <v>590</v>
      </c>
      <c r="C3098" s="22" t="n">
        <f aca="false">IFERROR(C3093/CHOOSE(C3092,SUMPRODUCT($G$2923:$K$2923,$G$2680:$K$2680),SUMPRODUCT($G$2923:$K$2923,$G$2693:$K$2693),SUMPRODUCT($G$2923:$K$2923,$G$2706:$K$2706),SUMPRODUCT($G$2923:$K$2923,$G$2719:$K$2719),SUMPRODUCT($G$2923:$K$2923,$G$2732:$K$2732),SUMPRODUCT($G$2923:$K$2923,$G$2745:$K$2745),SUMPRODUCT($G$2923:$K$2923,$G$2758:$K$2758),SUMPRODUCT($G$2923:$K$2923,$G$2771:$K$2771),SUMPRODUCT($G$2923:$K$2923,$G$2784:$K$2784),SUMPRODUCT($G$2923:$K$2923,$G$2797:$K$2797)),0)</f>
        <v>0.252525252525253</v>
      </c>
    </row>
    <row r="3099" customFormat="false" ht="15" hidden="false" customHeight="false" outlineLevel="0" collapsed="false">
      <c r="A3099" s="3" t="s">
        <v>591</v>
      </c>
      <c r="C3099" s="16" t="n">
        <f aca="false">CHOOSE(C3092,C3045,C3046,C3047,C3048,C3049,C3050,C3051,C3052,C3053,C3054)*C3098</f>
        <v>102.2875</v>
      </c>
    </row>
    <row r="3100" customFormat="false" ht="15" hidden="false" customHeight="false" outlineLevel="0" collapsed="false">
      <c r="A3100" s="3" t="s">
        <v>592</v>
      </c>
      <c r="C3100" s="22" t="n">
        <f aca="false">CHOOSE(C3092,C3056,C3057,C3058,C3059,C3060,C3061,C3062,C3063,C3064,C3065)</f>
        <v>1</v>
      </c>
    </row>
    <row r="3101" customFormat="false" ht="15" hidden="false" customHeight="false" outlineLevel="0" collapsed="false">
      <c r="A3101" s="3" t="s">
        <v>593</v>
      </c>
      <c r="C3101" s="21" t="n">
        <f aca="false">IF(C2924=1,C3097,C3096)</f>
        <v>3</v>
      </c>
    </row>
    <row r="3102" customFormat="false" ht="15" hidden="false" customHeight="false" outlineLevel="0" collapsed="false">
      <c r="A3102" s="3" t="s">
        <v>594</v>
      </c>
      <c r="C3102" s="35" t="n">
        <f aca="false">CHOOSE($C$2626,Assumptions!$C$91,Assumptions!$C$110,Assumptions!$C$129)</f>
        <v>100</v>
      </c>
    </row>
    <row r="3103" customFormat="false" ht="15" hidden="false" customHeight="false" outlineLevel="0" collapsed="false">
      <c r="A3103" s="3" t="s">
        <v>595</v>
      </c>
      <c r="C3103" s="16" t="n">
        <f aca="false">INDEX($G$2643:$K$2643,C3096)*CHOOSE($C$2626,Assumptions!$C$90,Assumptions!$C$109,Assumptions!$C$128)+MAX(0,INDEX($G$2857:$K$2857,C3096))</f>
        <v>3243.5069702166</v>
      </c>
    </row>
    <row r="3104" customFormat="false" ht="15" hidden="false" customHeight="false" outlineLevel="0" collapsed="false">
      <c r="A3104" s="24" t="s">
        <v>596</v>
      </c>
      <c r="B3104" s="25"/>
      <c r="C3104" s="25"/>
      <c r="D3104" s="25"/>
      <c r="E3104" s="25"/>
      <c r="F3104" s="25"/>
      <c r="G3104" s="25"/>
      <c r="H3104" s="25"/>
      <c r="I3104" s="25"/>
      <c r="J3104" s="25"/>
      <c r="K3104" s="25"/>
    </row>
    <row r="3105" customFormat="false" ht="15" hidden="false" customHeight="false" outlineLevel="0" collapsed="false">
      <c r="A3105" s="3" t="s">
        <v>556</v>
      </c>
      <c r="C3105" s="16" t="n">
        <f aca="false">INDEX($G$2680:$K$2680,C3096)</f>
        <v>388</v>
      </c>
    </row>
    <row r="3106" customFormat="false" ht="15" hidden="false" customHeight="false" outlineLevel="0" collapsed="false">
      <c r="A3106" s="3" t="s">
        <v>557</v>
      </c>
      <c r="C3106" s="16" t="n">
        <f aca="false">INDEX($G$2693:$K$2693,C3096)</f>
        <v>90</v>
      </c>
    </row>
    <row r="3107" customFormat="false" ht="15" hidden="false" customHeight="false" outlineLevel="0" collapsed="false">
      <c r="A3107" s="3" t="s">
        <v>558</v>
      </c>
      <c r="C3107" s="16" t="n">
        <f aca="false">INDEX($G$2706:$K$2706,C3096)</f>
        <v>57.324</v>
      </c>
    </row>
    <row r="3108" customFormat="false" ht="15" hidden="false" customHeight="false" outlineLevel="0" collapsed="false">
      <c r="A3108" s="3" t="s">
        <v>559</v>
      </c>
      <c r="C3108" s="16" t="n">
        <f aca="false">INDEX($G$2719:$K$2719,C3096)</f>
        <v>78.416490352856</v>
      </c>
    </row>
    <row r="3109" customFormat="false" ht="15" hidden="false" customHeight="false" outlineLevel="0" collapsed="false">
      <c r="A3109" s="3" t="s">
        <v>560</v>
      </c>
      <c r="C3109" s="16" t="n">
        <f aca="false">INDEX($G$2732:$K$2732,C3096)</f>
        <v>427.2491790818</v>
      </c>
    </row>
    <row r="3110" customFormat="false" ht="15" hidden="false" customHeight="false" outlineLevel="0" collapsed="false">
      <c r="A3110" s="3" t="s">
        <v>561</v>
      </c>
      <c r="C3110" s="16" t="n">
        <f aca="false">INDEX($G$2745:$K$2745,C3096)</f>
        <v>350</v>
      </c>
    </row>
    <row r="3111" customFormat="false" ht="15" hidden="false" customHeight="false" outlineLevel="0" collapsed="false">
      <c r="A3111" s="3" t="s">
        <v>562</v>
      </c>
      <c r="C3111" s="16" t="n">
        <f aca="false">INDEX($G$2758:$K$2758,C3096)</f>
        <v>550</v>
      </c>
    </row>
    <row r="3112" customFormat="false" ht="15" hidden="false" customHeight="false" outlineLevel="0" collapsed="false">
      <c r="A3112" s="3" t="s">
        <v>563</v>
      </c>
      <c r="C3112" s="16" t="n">
        <f aca="false">INDEX($G$2771:$K$2771,C3096)</f>
        <v>350</v>
      </c>
    </row>
    <row r="3113" customFormat="false" ht="15" hidden="false" customHeight="false" outlineLevel="0" collapsed="false">
      <c r="A3113" s="3" t="s">
        <v>564</v>
      </c>
      <c r="C3113" s="16" t="n">
        <f aca="false">INDEX($G$2784:$K$2784,C3096)</f>
        <v>300</v>
      </c>
    </row>
    <row r="3114" customFormat="false" ht="15" hidden="false" customHeight="false" outlineLevel="0" collapsed="false">
      <c r="A3114" s="3" t="s">
        <v>565</v>
      </c>
      <c r="C3114" s="16" t="n">
        <f aca="false">INDEX($G$2797:$K$2797,C3096)</f>
        <v>78.61</v>
      </c>
    </row>
    <row r="3115" customFormat="false" ht="15" hidden="false" customHeight="false" outlineLevel="0" collapsed="false">
      <c r="A3115" s="24" t="s">
        <v>566</v>
      </c>
      <c r="B3115" s="25"/>
      <c r="C3115" s="25"/>
      <c r="D3115" s="25"/>
      <c r="E3115" s="25"/>
      <c r="F3115" s="25"/>
      <c r="G3115" s="25"/>
      <c r="H3115" s="25"/>
      <c r="I3115" s="25"/>
      <c r="J3115" s="25"/>
      <c r="K3115" s="25"/>
    </row>
    <row r="3116" customFormat="false" ht="15" hidden="false" customHeight="false" outlineLevel="0" collapsed="false">
      <c r="A3116" s="3" t="s">
        <v>556</v>
      </c>
      <c r="C3116" s="27" t="n">
        <f aca="false">Assumptions!$M$57</f>
        <v>1</v>
      </c>
    </row>
    <row r="3117" customFormat="false" ht="15" hidden="false" customHeight="false" outlineLevel="0" collapsed="false">
      <c r="A3117" s="3" t="s">
        <v>557</v>
      </c>
      <c r="C3117" s="27" t="n">
        <f aca="false">Assumptions!$M$58</f>
        <v>1</v>
      </c>
    </row>
    <row r="3118" customFormat="false" ht="15" hidden="false" customHeight="false" outlineLevel="0" collapsed="false">
      <c r="A3118" s="3" t="s">
        <v>558</v>
      </c>
      <c r="C3118" s="27" t="n">
        <f aca="false">Assumptions!$M$59</f>
        <v>1</v>
      </c>
    </row>
    <row r="3119" customFormat="false" ht="15" hidden="false" customHeight="false" outlineLevel="0" collapsed="false">
      <c r="A3119" s="3" t="s">
        <v>559</v>
      </c>
      <c r="C3119" s="27" t="n">
        <f aca="false">Assumptions!$M$60</f>
        <v>2</v>
      </c>
    </row>
    <row r="3120" customFormat="false" ht="15" hidden="false" customHeight="false" outlineLevel="0" collapsed="false">
      <c r="A3120" s="3" t="s">
        <v>560</v>
      </c>
      <c r="C3120" s="27" t="n">
        <f aca="false">Assumptions!$M$61</f>
        <v>2</v>
      </c>
    </row>
    <row r="3121" customFormat="false" ht="15" hidden="false" customHeight="false" outlineLevel="0" collapsed="false">
      <c r="A3121" s="3" t="s">
        <v>561</v>
      </c>
      <c r="C3121" s="27" t="n">
        <f aca="false">Assumptions!$M$62</f>
        <v>2</v>
      </c>
    </row>
    <row r="3122" customFormat="false" ht="15" hidden="false" customHeight="false" outlineLevel="0" collapsed="false">
      <c r="A3122" s="3" t="s">
        <v>562</v>
      </c>
      <c r="C3122" s="27" t="n">
        <f aca="false">Assumptions!$M$63</f>
        <v>2</v>
      </c>
    </row>
    <row r="3123" customFormat="false" ht="15" hidden="false" customHeight="false" outlineLevel="0" collapsed="false">
      <c r="A3123" s="3" t="s">
        <v>563</v>
      </c>
      <c r="C3123" s="27" t="n">
        <f aca="false">Assumptions!$M$64</f>
        <v>2</v>
      </c>
    </row>
    <row r="3124" customFormat="false" ht="15" hidden="false" customHeight="false" outlineLevel="0" collapsed="false">
      <c r="A3124" s="3" t="s">
        <v>564</v>
      </c>
      <c r="C3124" s="27" t="n">
        <f aca="false">Assumptions!$M$65</f>
        <v>2</v>
      </c>
    </row>
    <row r="3125" customFormat="false" ht="15" hidden="false" customHeight="false" outlineLevel="0" collapsed="false">
      <c r="A3125" s="3" t="s">
        <v>565</v>
      </c>
      <c r="C3125" s="27" t="n">
        <f aca="false">Assumptions!$M$66</f>
        <v>3</v>
      </c>
    </row>
    <row r="3126" customFormat="false" ht="15" hidden="false" customHeight="false" outlineLevel="0" collapsed="false">
      <c r="A3126" s="24" t="s">
        <v>567</v>
      </c>
      <c r="B3126" s="25"/>
      <c r="C3126" s="25"/>
      <c r="D3126" s="25"/>
      <c r="E3126" s="25"/>
      <c r="F3126" s="25"/>
      <c r="G3126" s="25"/>
      <c r="H3126" s="25"/>
      <c r="I3126" s="25"/>
      <c r="J3126" s="25"/>
      <c r="K3126" s="25"/>
    </row>
    <row r="3127" customFormat="false" ht="15" hidden="false" customHeight="false" outlineLevel="0" collapsed="false">
      <c r="A3127" s="3" t="s">
        <v>556</v>
      </c>
      <c r="C3127" s="33" t="n">
        <f aca="false">Assumptions!$Q$57</f>
        <v>0.3</v>
      </c>
    </row>
    <row r="3128" customFormat="false" ht="15" hidden="false" customHeight="false" outlineLevel="0" collapsed="false">
      <c r="A3128" s="3" t="s">
        <v>557</v>
      </c>
      <c r="C3128" s="33" t="n">
        <f aca="false">Assumptions!$Q$58</f>
        <v>0.033</v>
      </c>
    </row>
    <row r="3129" customFormat="false" ht="15" hidden="false" customHeight="false" outlineLevel="0" collapsed="false">
      <c r="A3129" s="3" t="s">
        <v>558</v>
      </c>
      <c r="C3129" s="33" t="n">
        <f aca="false">Assumptions!$Q$59</f>
        <v>0.021</v>
      </c>
    </row>
    <row r="3130" customFormat="false" ht="15" hidden="false" customHeight="false" outlineLevel="0" collapsed="false">
      <c r="A3130" s="3" t="s">
        <v>559</v>
      </c>
      <c r="C3130" s="33" t="n">
        <f aca="false">Assumptions!$Q$60</f>
        <v>0</v>
      </c>
    </row>
    <row r="3131" customFormat="false" ht="15" hidden="false" customHeight="false" outlineLevel="0" collapsed="false">
      <c r="A3131" s="3" t="s">
        <v>560</v>
      </c>
      <c r="C3131" s="33" t="n">
        <f aca="false">Assumptions!$Q$61</f>
        <v>0</v>
      </c>
    </row>
    <row r="3132" customFormat="false" ht="15" hidden="false" customHeight="false" outlineLevel="0" collapsed="false">
      <c r="A3132" s="3" t="s">
        <v>561</v>
      </c>
      <c r="C3132" s="33" t="n">
        <f aca="false">Assumptions!$Q$62</f>
        <v>0</v>
      </c>
    </row>
    <row r="3133" customFormat="false" ht="15" hidden="false" customHeight="false" outlineLevel="0" collapsed="false">
      <c r="A3133" s="3" t="s">
        <v>562</v>
      </c>
      <c r="C3133" s="33" t="n">
        <f aca="false">Assumptions!$Q$63</f>
        <v>0</v>
      </c>
    </row>
    <row r="3134" customFormat="false" ht="15" hidden="false" customHeight="false" outlineLevel="0" collapsed="false">
      <c r="A3134" s="3" t="s">
        <v>563</v>
      </c>
      <c r="C3134" s="33" t="n">
        <f aca="false">Assumptions!$Q$64</f>
        <v>0</v>
      </c>
    </row>
    <row r="3135" customFormat="false" ht="15" hidden="false" customHeight="false" outlineLevel="0" collapsed="false">
      <c r="A3135" s="3" t="s">
        <v>564</v>
      </c>
      <c r="C3135" s="33" t="n">
        <f aca="false">Assumptions!$Q$65</f>
        <v>0</v>
      </c>
    </row>
    <row r="3136" customFormat="false" ht="15" hidden="false" customHeight="false" outlineLevel="0" collapsed="false">
      <c r="A3136" s="3" t="s">
        <v>565</v>
      </c>
      <c r="C3136" s="33" t="n">
        <f aca="false">Assumptions!$Q$66</f>
        <v>0</v>
      </c>
    </row>
    <row r="3137" customFormat="false" ht="15" hidden="false" customHeight="false" outlineLevel="0" collapsed="false">
      <c r="A3137" s="24" t="s">
        <v>568</v>
      </c>
      <c r="B3137" s="25"/>
      <c r="C3137" s="25"/>
      <c r="D3137" s="25"/>
      <c r="E3137" s="25"/>
      <c r="F3137" s="25"/>
      <c r="G3137" s="25"/>
      <c r="H3137" s="25"/>
      <c r="I3137" s="25"/>
      <c r="J3137" s="25"/>
      <c r="K3137" s="25"/>
    </row>
    <row r="3138" customFormat="false" ht="15" hidden="false" customHeight="false" outlineLevel="0" collapsed="false">
      <c r="A3138" s="3" t="s">
        <v>556</v>
      </c>
      <c r="C3138" s="16" t="n">
        <f aca="false">IF(C3127&gt;0,MIN(C3105,C3127*$C$3103),0)</f>
        <v>388</v>
      </c>
    </row>
    <row r="3139" customFormat="false" ht="15" hidden="false" customHeight="false" outlineLevel="0" collapsed="false">
      <c r="A3139" s="3" t="s">
        <v>557</v>
      </c>
      <c r="C3139" s="16" t="n">
        <f aca="false">IF(C3128&gt;0,MIN(C3106,C3128*$C$3103),0)</f>
        <v>90</v>
      </c>
    </row>
    <row r="3140" customFormat="false" ht="15" hidden="false" customHeight="false" outlineLevel="0" collapsed="false">
      <c r="A3140" s="3" t="s">
        <v>558</v>
      </c>
      <c r="C3140" s="16" t="n">
        <f aca="false">IF(C3129&gt;0,MIN(C3107,C3129*$C$3103),0)</f>
        <v>57.324</v>
      </c>
    </row>
    <row r="3141" customFormat="false" ht="15" hidden="false" customHeight="false" outlineLevel="0" collapsed="false">
      <c r="A3141" s="3" t="s">
        <v>559</v>
      </c>
      <c r="C3141" s="16" t="n">
        <f aca="false">IF(C3130&gt;0,MIN(C3108,C3130*$C$3103),0)</f>
        <v>0</v>
      </c>
    </row>
    <row r="3142" customFormat="false" ht="15" hidden="false" customHeight="false" outlineLevel="0" collapsed="false">
      <c r="A3142" s="3" t="s">
        <v>560</v>
      </c>
      <c r="C3142" s="16" t="n">
        <f aca="false">IF(C3131&gt;0,MIN(C3109,C3131*$C$3103),0)</f>
        <v>0</v>
      </c>
    </row>
    <row r="3143" customFormat="false" ht="15" hidden="false" customHeight="false" outlineLevel="0" collapsed="false">
      <c r="A3143" s="3" t="s">
        <v>561</v>
      </c>
      <c r="C3143" s="16" t="n">
        <f aca="false">IF(C3132&gt;0,MIN(C3110,C3132*$C$3103),0)</f>
        <v>0</v>
      </c>
    </row>
    <row r="3144" customFormat="false" ht="15" hidden="false" customHeight="false" outlineLevel="0" collapsed="false">
      <c r="A3144" s="3" t="s">
        <v>562</v>
      </c>
      <c r="C3144" s="16" t="n">
        <f aca="false">IF(C3133&gt;0,MIN(C3111,C3133*$C$3103),0)</f>
        <v>0</v>
      </c>
    </row>
    <row r="3145" customFormat="false" ht="15" hidden="false" customHeight="false" outlineLevel="0" collapsed="false">
      <c r="A3145" s="3" t="s">
        <v>563</v>
      </c>
      <c r="C3145" s="16" t="n">
        <f aca="false">IF(C3134&gt;0,MIN(C3112,C3134*$C$3103),0)</f>
        <v>0</v>
      </c>
    </row>
    <row r="3146" customFormat="false" ht="15" hidden="false" customHeight="false" outlineLevel="0" collapsed="false">
      <c r="A3146" s="3" t="s">
        <v>564</v>
      </c>
      <c r="C3146" s="16" t="n">
        <f aca="false">IF(C3135&gt;0,MIN(C3113,C3135*$C$3103),0)</f>
        <v>0</v>
      </c>
    </row>
    <row r="3147" customFormat="false" ht="15" hidden="false" customHeight="false" outlineLevel="0" collapsed="false">
      <c r="A3147" s="3" t="s">
        <v>565</v>
      </c>
      <c r="C3147" s="16" t="n">
        <f aca="false">IF(C3136&gt;0,MIN(C3114,C3136*$C$3103),0)</f>
        <v>0</v>
      </c>
    </row>
    <row r="3148" customFormat="false" ht="15" hidden="false" customHeight="false" outlineLevel="0" collapsed="false">
      <c r="A3148" s="24" t="s">
        <v>569</v>
      </c>
      <c r="B3148" s="25"/>
      <c r="C3148" s="25"/>
      <c r="D3148" s="25"/>
      <c r="E3148" s="25"/>
      <c r="F3148" s="25"/>
      <c r="G3148" s="25"/>
      <c r="H3148" s="25"/>
      <c r="I3148" s="25"/>
      <c r="J3148" s="25"/>
      <c r="K3148" s="25"/>
    </row>
    <row r="3149" customFormat="false" ht="15" hidden="false" customHeight="false" outlineLevel="0" collapsed="false">
      <c r="A3149" s="3" t="s">
        <v>556</v>
      </c>
      <c r="C3149" s="16" t="n">
        <f aca="false">IF(C3127&gt;0,C3105-C3138,0)</f>
        <v>0</v>
      </c>
    </row>
    <row r="3150" customFormat="false" ht="15" hidden="false" customHeight="false" outlineLevel="0" collapsed="false">
      <c r="A3150" s="3" t="s">
        <v>557</v>
      </c>
      <c r="C3150" s="16" t="n">
        <f aca="false">IF(C3128&gt;0,C3106-C3139,0)</f>
        <v>0</v>
      </c>
    </row>
    <row r="3151" customFormat="false" ht="15" hidden="false" customHeight="false" outlineLevel="0" collapsed="false">
      <c r="A3151" s="3" t="s">
        <v>558</v>
      </c>
      <c r="C3151" s="16" t="n">
        <f aca="false">IF(C3129&gt;0,C3107-C3140,0)</f>
        <v>0</v>
      </c>
    </row>
    <row r="3152" customFormat="false" ht="15" hidden="false" customHeight="false" outlineLevel="0" collapsed="false">
      <c r="A3152" s="3" t="s">
        <v>559</v>
      </c>
      <c r="C3152" s="16" t="n">
        <f aca="false">IF(C3130&gt;0,C3108-C3141,0)</f>
        <v>0</v>
      </c>
    </row>
    <row r="3153" customFormat="false" ht="15" hidden="false" customHeight="false" outlineLevel="0" collapsed="false">
      <c r="A3153" s="3" t="s">
        <v>560</v>
      </c>
      <c r="C3153" s="16" t="n">
        <f aca="false">IF(C3131&gt;0,C3109-C3142,0)</f>
        <v>0</v>
      </c>
    </row>
    <row r="3154" customFormat="false" ht="15" hidden="false" customHeight="false" outlineLevel="0" collapsed="false">
      <c r="A3154" s="3" t="s">
        <v>561</v>
      </c>
      <c r="C3154" s="16" t="n">
        <f aca="false">IF(C3132&gt;0,C3110-C3143,0)</f>
        <v>0</v>
      </c>
    </row>
    <row r="3155" customFormat="false" ht="15" hidden="false" customHeight="false" outlineLevel="0" collapsed="false">
      <c r="A3155" s="3" t="s">
        <v>562</v>
      </c>
      <c r="C3155" s="16" t="n">
        <f aca="false">IF(C3133&gt;0,C3111-C3144,0)</f>
        <v>0</v>
      </c>
    </row>
    <row r="3156" customFormat="false" ht="15" hidden="false" customHeight="false" outlineLevel="0" collapsed="false">
      <c r="A3156" s="3" t="s">
        <v>563</v>
      </c>
      <c r="C3156" s="16" t="n">
        <f aca="false">IF(C3134&gt;0,C3112-C3145,0)</f>
        <v>0</v>
      </c>
    </row>
    <row r="3157" customFormat="false" ht="15" hidden="false" customHeight="false" outlineLevel="0" collapsed="false">
      <c r="A3157" s="3" t="s">
        <v>564</v>
      </c>
      <c r="C3157" s="16" t="n">
        <f aca="false">IF(C3135&gt;0,C3113-C3146,0)</f>
        <v>0</v>
      </c>
    </row>
    <row r="3158" customFormat="false" ht="15" hidden="false" customHeight="false" outlineLevel="0" collapsed="false">
      <c r="A3158" s="3" t="s">
        <v>565</v>
      </c>
      <c r="C3158" s="16" t="n">
        <f aca="false">IF(C3136&gt;0,C3114-C3147,0)</f>
        <v>0</v>
      </c>
    </row>
    <row r="3159" customFormat="false" ht="15" hidden="false" customHeight="false" outlineLevel="0" collapsed="false">
      <c r="A3159" s="24" t="s">
        <v>570</v>
      </c>
      <c r="B3159" s="25"/>
      <c r="C3159" s="25"/>
      <c r="D3159" s="25"/>
      <c r="E3159" s="25"/>
      <c r="F3159" s="25"/>
      <c r="G3159" s="25"/>
      <c r="H3159" s="25"/>
      <c r="I3159" s="25"/>
      <c r="J3159" s="25"/>
      <c r="K3159" s="25"/>
    </row>
    <row r="3160" customFormat="false" ht="15" hidden="false" customHeight="false" outlineLevel="0" collapsed="false">
      <c r="A3160" s="3" t="s">
        <v>556</v>
      </c>
      <c r="C3160" s="16" t="n">
        <f aca="false">IF(C3127&gt;0,C3149,C3105)</f>
        <v>0</v>
      </c>
    </row>
    <row r="3161" customFormat="false" ht="15" hidden="false" customHeight="false" outlineLevel="0" collapsed="false">
      <c r="A3161" s="3" t="s">
        <v>557</v>
      </c>
      <c r="C3161" s="16" t="n">
        <f aca="false">IF(C3128&gt;0,C3150,C3106)</f>
        <v>0</v>
      </c>
    </row>
    <row r="3162" customFormat="false" ht="15" hidden="false" customHeight="false" outlineLevel="0" collapsed="false">
      <c r="A3162" s="3" t="s">
        <v>558</v>
      </c>
      <c r="C3162" s="16" t="n">
        <f aca="false">IF(C3129&gt;0,C3151,C3107)</f>
        <v>0</v>
      </c>
    </row>
    <row r="3163" customFormat="false" ht="15" hidden="false" customHeight="false" outlineLevel="0" collapsed="false">
      <c r="A3163" s="3" t="s">
        <v>559</v>
      </c>
      <c r="C3163" s="16" t="n">
        <f aca="false">IF(C3130&gt;0,C3152,C3108)</f>
        <v>78.416490352856</v>
      </c>
    </row>
    <row r="3164" customFormat="false" ht="15" hidden="false" customHeight="false" outlineLevel="0" collapsed="false">
      <c r="A3164" s="3" t="s">
        <v>560</v>
      </c>
      <c r="C3164" s="16" t="n">
        <f aca="false">IF(C3131&gt;0,C3153,C3109)</f>
        <v>427.2491790818</v>
      </c>
    </row>
    <row r="3165" customFormat="false" ht="15" hidden="false" customHeight="false" outlineLevel="0" collapsed="false">
      <c r="A3165" s="3" t="s">
        <v>561</v>
      </c>
      <c r="C3165" s="16" t="n">
        <f aca="false">IF(C3132&gt;0,C3154,C3110)</f>
        <v>350</v>
      </c>
    </row>
    <row r="3166" customFormat="false" ht="15" hidden="false" customHeight="false" outlineLevel="0" collapsed="false">
      <c r="A3166" s="3" t="s">
        <v>562</v>
      </c>
      <c r="C3166" s="16" t="n">
        <f aca="false">IF(C3133&gt;0,C3155,C3111)</f>
        <v>550</v>
      </c>
    </row>
    <row r="3167" customFormat="false" ht="15" hidden="false" customHeight="false" outlineLevel="0" collapsed="false">
      <c r="A3167" s="3" t="s">
        <v>563</v>
      </c>
      <c r="C3167" s="16" t="n">
        <f aca="false">IF(C3134&gt;0,C3156,C3112)</f>
        <v>350</v>
      </c>
    </row>
    <row r="3168" customFormat="false" ht="15" hidden="false" customHeight="false" outlineLevel="0" collapsed="false">
      <c r="A3168" s="3" t="s">
        <v>564</v>
      </c>
      <c r="C3168" s="16" t="n">
        <f aca="false">IF(C3135&gt;0,C3157,C3113)</f>
        <v>300</v>
      </c>
    </row>
    <row r="3169" customFormat="false" ht="15" hidden="false" customHeight="false" outlineLevel="0" collapsed="false">
      <c r="A3169" s="3" t="s">
        <v>565</v>
      </c>
      <c r="C3169" s="16" t="n">
        <f aca="false">IF(C3136&gt;0,C3158,C3114)</f>
        <v>78.61</v>
      </c>
    </row>
    <row r="3170" customFormat="false" ht="15" hidden="false" customHeight="false" outlineLevel="0" collapsed="false">
      <c r="A3170" s="24" t="s">
        <v>571</v>
      </c>
      <c r="B3170" s="25"/>
      <c r="C3170" s="25"/>
      <c r="D3170" s="25"/>
      <c r="E3170" s="25"/>
      <c r="F3170" s="25"/>
      <c r="G3170" s="25"/>
      <c r="H3170" s="25"/>
      <c r="I3170" s="25"/>
      <c r="J3170" s="25"/>
      <c r="K3170" s="25"/>
    </row>
    <row r="3171" customFormat="false" ht="15" hidden="false" customHeight="false" outlineLevel="0" collapsed="false">
      <c r="A3171" s="3" t="s">
        <v>556</v>
      </c>
      <c r="C3171" s="21" t="n">
        <f aca="false">IF(C3127&gt;0,Assumptions!$C$17,C3116)</f>
        <v>99</v>
      </c>
    </row>
    <row r="3172" customFormat="false" ht="15" hidden="false" customHeight="false" outlineLevel="0" collapsed="false">
      <c r="A3172" s="3" t="s">
        <v>557</v>
      </c>
      <c r="C3172" s="21" t="n">
        <f aca="false">IF(C3128&gt;0,Assumptions!$C$17,C3117)</f>
        <v>99</v>
      </c>
    </row>
    <row r="3173" customFormat="false" ht="15" hidden="false" customHeight="false" outlineLevel="0" collapsed="false">
      <c r="A3173" s="3" t="s">
        <v>558</v>
      </c>
      <c r="C3173" s="21" t="n">
        <f aca="false">IF(C3129&gt;0,Assumptions!$C$17,C3118)</f>
        <v>99</v>
      </c>
    </row>
    <row r="3174" customFormat="false" ht="15" hidden="false" customHeight="false" outlineLevel="0" collapsed="false">
      <c r="A3174" s="3" t="s">
        <v>559</v>
      </c>
      <c r="C3174" s="21" t="n">
        <f aca="false">IF(C3130&gt;0,Assumptions!$C$17,C3119)</f>
        <v>2</v>
      </c>
    </row>
    <row r="3175" customFormat="false" ht="15" hidden="false" customHeight="false" outlineLevel="0" collapsed="false">
      <c r="A3175" s="3" t="s">
        <v>560</v>
      </c>
      <c r="C3175" s="21" t="n">
        <f aca="false">IF(C3131&gt;0,Assumptions!$C$17,C3120)</f>
        <v>2</v>
      </c>
    </row>
    <row r="3176" customFormat="false" ht="15" hidden="false" customHeight="false" outlineLevel="0" collapsed="false">
      <c r="A3176" s="3" t="s">
        <v>561</v>
      </c>
      <c r="C3176" s="21" t="n">
        <f aca="false">IF(C3132&gt;0,Assumptions!$C$17,C3121)</f>
        <v>2</v>
      </c>
    </row>
    <row r="3177" customFormat="false" ht="15" hidden="false" customHeight="false" outlineLevel="0" collapsed="false">
      <c r="A3177" s="3" t="s">
        <v>562</v>
      </c>
      <c r="C3177" s="21" t="n">
        <f aca="false">IF(C3133&gt;0,Assumptions!$C$17,C3122)</f>
        <v>2</v>
      </c>
    </row>
    <row r="3178" customFormat="false" ht="15" hidden="false" customHeight="false" outlineLevel="0" collapsed="false">
      <c r="A3178" s="3" t="s">
        <v>563</v>
      </c>
      <c r="C3178" s="21" t="n">
        <f aca="false">IF(C3134&gt;0,Assumptions!$C$17,C3123)</f>
        <v>2</v>
      </c>
    </row>
    <row r="3179" customFormat="false" ht="15" hidden="false" customHeight="false" outlineLevel="0" collapsed="false">
      <c r="A3179" s="3" t="s">
        <v>564</v>
      </c>
      <c r="C3179" s="21" t="n">
        <f aca="false">IF(C3135&gt;0,Assumptions!$C$17,C3124)</f>
        <v>2</v>
      </c>
    </row>
    <row r="3180" customFormat="false" ht="15" hidden="false" customHeight="false" outlineLevel="0" collapsed="false">
      <c r="A3180" s="3" t="s">
        <v>565</v>
      </c>
      <c r="C3180" s="21" t="n">
        <f aca="false">IF(C3136&gt;0,Assumptions!$C$17,C3125)</f>
        <v>3</v>
      </c>
    </row>
    <row r="3181" customFormat="false" ht="15" hidden="false" customHeight="false" outlineLevel="0" collapsed="false">
      <c r="A3181" s="24" t="s">
        <v>572</v>
      </c>
      <c r="B3181" s="25"/>
      <c r="C3181" s="25"/>
      <c r="D3181" s="25"/>
      <c r="E3181" s="25"/>
      <c r="F3181" s="25"/>
      <c r="G3181" s="25"/>
      <c r="H3181" s="25"/>
      <c r="I3181" s="25"/>
      <c r="J3181" s="25"/>
      <c r="K3181" s="25"/>
    </row>
    <row r="3182" customFormat="false" ht="15" hidden="false" customHeight="false" outlineLevel="0" collapsed="false">
      <c r="A3182" s="3" t="s">
        <v>556</v>
      </c>
      <c r="C3182" s="16" t="n">
        <f aca="false">SUMPRODUCT(($C$3171:$C$3180&lt;C3171)*$C$3160:$C$3169)</f>
        <v>2134.27566943466</v>
      </c>
    </row>
    <row r="3183" customFormat="false" ht="15" hidden="false" customHeight="false" outlineLevel="0" collapsed="false">
      <c r="A3183" s="3" t="s">
        <v>557</v>
      </c>
      <c r="C3183" s="16" t="n">
        <f aca="false">SUMPRODUCT(($C$3171:$C$3180&lt;C3172)*$C$3160:$C$3169)</f>
        <v>2134.27566943466</v>
      </c>
    </row>
    <row r="3184" customFormat="false" ht="15" hidden="false" customHeight="false" outlineLevel="0" collapsed="false">
      <c r="A3184" s="3" t="s">
        <v>558</v>
      </c>
      <c r="C3184" s="16" t="n">
        <f aca="false">SUMPRODUCT(($C$3171:$C$3180&lt;C3173)*$C$3160:$C$3169)</f>
        <v>2134.27566943466</v>
      </c>
    </row>
    <row r="3185" customFormat="false" ht="15" hidden="false" customHeight="false" outlineLevel="0" collapsed="false">
      <c r="A3185" s="3" t="s">
        <v>559</v>
      </c>
      <c r="C3185" s="16" t="n">
        <f aca="false">SUMPRODUCT(($C$3171:$C$3180&lt;C3174)*$C$3160:$C$3169)</f>
        <v>0</v>
      </c>
    </row>
    <row r="3186" customFormat="false" ht="15" hidden="false" customHeight="false" outlineLevel="0" collapsed="false">
      <c r="A3186" s="3" t="s">
        <v>560</v>
      </c>
      <c r="C3186" s="16" t="n">
        <f aca="false">SUMPRODUCT(($C$3171:$C$3180&lt;C3175)*$C$3160:$C$3169)</f>
        <v>0</v>
      </c>
    </row>
    <row r="3187" customFormat="false" ht="15" hidden="false" customHeight="false" outlineLevel="0" collapsed="false">
      <c r="A3187" s="3" t="s">
        <v>561</v>
      </c>
      <c r="C3187" s="16" t="n">
        <f aca="false">SUMPRODUCT(($C$3171:$C$3180&lt;C3176)*$C$3160:$C$3169)</f>
        <v>0</v>
      </c>
    </row>
    <row r="3188" customFormat="false" ht="15" hidden="false" customHeight="false" outlineLevel="0" collapsed="false">
      <c r="A3188" s="3" t="s">
        <v>562</v>
      </c>
      <c r="C3188" s="16" t="n">
        <f aca="false">SUMPRODUCT(($C$3171:$C$3180&lt;C3177)*$C$3160:$C$3169)</f>
        <v>0</v>
      </c>
    </row>
    <row r="3189" customFormat="false" ht="15" hidden="false" customHeight="false" outlineLevel="0" collapsed="false">
      <c r="A3189" s="3" t="s">
        <v>563</v>
      </c>
      <c r="C3189" s="16" t="n">
        <f aca="false">SUMPRODUCT(($C$3171:$C$3180&lt;C3178)*$C$3160:$C$3169)</f>
        <v>0</v>
      </c>
    </row>
    <row r="3190" customFormat="false" ht="15" hidden="false" customHeight="false" outlineLevel="0" collapsed="false">
      <c r="A3190" s="3" t="s">
        <v>564</v>
      </c>
      <c r="C3190" s="16" t="n">
        <f aca="false">SUMPRODUCT(($C$3171:$C$3180&lt;C3179)*$C$3160:$C$3169)</f>
        <v>0</v>
      </c>
    </row>
    <row r="3191" customFormat="false" ht="15" hidden="false" customHeight="false" outlineLevel="0" collapsed="false">
      <c r="A3191" s="3" t="s">
        <v>565</v>
      </c>
      <c r="C3191" s="16" t="n">
        <f aca="false">SUMPRODUCT(($C$3171:$C$3180&lt;C3180)*$C$3160:$C$3169)</f>
        <v>2055.66566943466</v>
      </c>
    </row>
    <row r="3192" customFormat="false" ht="15" hidden="false" customHeight="false" outlineLevel="0" collapsed="false">
      <c r="A3192" s="24" t="s">
        <v>573</v>
      </c>
      <c r="B3192" s="25"/>
      <c r="C3192" s="25"/>
      <c r="D3192" s="25"/>
      <c r="E3192" s="25"/>
      <c r="F3192" s="25"/>
      <c r="G3192" s="25"/>
      <c r="H3192" s="25"/>
      <c r="I3192" s="25"/>
      <c r="J3192" s="25"/>
      <c r="K3192" s="25"/>
    </row>
    <row r="3193" customFormat="false" ht="15" hidden="false" customHeight="false" outlineLevel="0" collapsed="false">
      <c r="A3193" s="3" t="s">
        <v>556</v>
      </c>
      <c r="C3193" s="16" t="n">
        <f aca="false">SUMPRODUCT(($C$3171:$C$3180=C3171)*$C$3160:$C$3169)</f>
        <v>0</v>
      </c>
    </row>
    <row r="3194" customFormat="false" ht="15" hidden="false" customHeight="false" outlineLevel="0" collapsed="false">
      <c r="A3194" s="3" t="s">
        <v>557</v>
      </c>
      <c r="C3194" s="16" t="n">
        <f aca="false">SUMPRODUCT(($C$3171:$C$3180=C3172)*$C$3160:$C$3169)</f>
        <v>0</v>
      </c>
    </row>
    <row r="3195" customFormat="false" ht="15" hidden="false" customHeight="false" outlineLevel="0" collapsed="false">
      <c r="A3195" s="3" t="s">
        <v>558</v>
      </c>
      <c r="C3195" s="16" t="n">
        <f aca="false">SUMPRODUCT(($C$3171:$C$3180=C3173)*$C$3160:$C$3169)</f>
        <v>0</v>
      </c>
    </row>
    <row r="3196" customFormat="false" ht="15" hidden="false" customHeight="false" outlineLevel="0" collapsed="false">
      <c r="A3196" s="3" t="s">
        <v>559</v>
      </c>
      <c r="C3196" s="16" t="n">
        <f aca="false">SUMPRODUCT(($C$3171:$C$3180=C3174)*$C$3160:$C$3169)</f>
        <v>2055.66566943466</v>
      </c>
    </row>
    <row r="3197" customFormat="false" ht="15" hidden="false" customHeight="false" outlineLevel="0" collapsed="false">
      <c r="A3197" s="3" t="s">
        <v>560</v>
      </c>
      <c r="C3197" s="16" t="n">
        <f aca="false">SUMPRODUCT(($C$3171:$C$3180=C3175)*$C$3160:$C$3169)</f>
        <v>2055.66566943466</v>
      </c>
    </row>
    <row r="3198" customFormat="false" ht="15" hidden="false" customHeight="false" outlineLevel="0" collapsed="false">
      <c r="A3198" s="3" t="s">
        <v>561</v>
      </c>
      <c r="C3198" s="16" t="n">
        <f aca="false">SUMPRODUCT(($C$3171:$C$3180=C3176)*$C$3160:$C$3169)</f>
        <v>2055.66566943466</v>
      </c>
    </row>
    <row r="3199" customFormat="false" ht="15" hidden="false" customHeight="false" outlineLevel="0" collapsed="false">
      <c r="A3199" s="3" t="s">
        <v>562</v>
      </c>
      <c r="C3199" s="16" t="n">
        <f aca="false">SUMPRODUCT(($C$3171:$C$3180=C3177)*$C$3160:$C$3169)</f>
        <v>2055.66566943466</v>
      </c>
    </row>
    <row r="3200" customFormat="false" ht="15" hidden="false" customHeight="false" outlineLevel="0" collapsed="false">
      <c r="A3200" s="3" t="s">
        <v>563</v>
      </c>
      <c r="C3200" s="16" t="n">
        <f aca="false">SUMPRODUCT(($C$3171:$C$3180=C3178)*$C$3160:$C$3169)</f>
        <v>2055.66566943466</v>
      </c>
    </row>
    <row r="3201" customFormat="false" ht="15" hidden="false" customHeight="false" outlineLevel="0" collapsed="false">
      <c r="A3201" s="3" t="s">
        <v>564</v>
      </c>
      <c r="C3201" s="16" t="n">
        <f aca="false">SUMPRODUCT(($C$3171:$C$3180=C3179)*$C$3160:$C$3169)</f>
        <v>2055.66566943466</v>
      </c>
    </row>
    <row r="3202" customFormat="false" ht="15" hidden="false" customHeight="false" outlineLevel="0" collapsed="false">
      <c r="A3202" s="3" t="s">
        <v>565</v>
      </c>
      <c r="C3202" s="16" t="n">
        <f aca="false">SUMPRODUCT(($C$3171:$C$3180=C3180)*$C$3160:$C$3169)</f>
        <v>78.61</v>
      </c>
    </row>
    <row r="3203" customFormat="false" ht="15" hidden="false" customHeight="false" outlineLevel="0" collapsed="false">
      <c r="A3203" s="24" t="s">
        <v>574</v>
      </c>
      <c r="B3203" s="25"/>
      <c r="C3203" s="25"/>
      <c r="D3203" s="25"/>
      <c r="E3203" s="25"/>
      <c r="F3203" s="25"/>
      <c r="G3203" s="25"/>
      <c r="H3203" s="25"/>
      <c r="I3203" s="25"/>
      <c r="J3203" s="25"/>
      <c r="K3203" s="25"/>
    </row>
    <row r="3204" customFormat="false" ht="15" hidden="false" customHeight="false" outlineLevel="0" collapsed="false">
      <c r="A3204" s="3" t="s">
        <v>556</v>
      </c>
      <c r="C3204" s="16" t="n">
        <f aca="false">IF(C3193=0,0,C3160/C3193*MAX(0,MIN(C3193,$C$3103-SUM($C$3138:$C$3147)-C3182)))</f>
        <v>0</v>
      </c>
    </row>
    <row r="3205" customFormat="false" ht="15" hidden="false" customHeight="false" outlineLevel="0" collapsed="false">
      <c r="A3205" s="3" t="s">
        <v>557</v>
      </c>
      <c r="C3205" s="16" t="n">
        <f aca="false">IF(C3194=0,0,C3161/C3194*MAX(0,MIN(C3194,$C$3103-SUM($C$3138:$C$3147)-C3183)))</f>
        <v>0</v>
      </c>
    </row>
    <row r="3206" customFormat="false" ht="15" hidden="false" customHeight="false" outlineLevel="0" collapsed="false">
      <c r="A3206" s="3" t="s">
        <v>558</v>
      </c>
      <c r="C3206" s="16" t="n">
        <f aca="false">IF(C3195=0,0,C3162/C3195*MAX(0,MIN(C3195,$C$3103-SUM($C$3138:$C$3147)-C3184)))</f>
        <v>0</v>
      </c>
    </row>
    <row r="3207" customFormat="false" ht="15" hidden="false" customHeight="false" outlineLevel="0" collapsed="false">
      <c r="A3207" s="3" t="s">
        <v>559</v>
      </c>
      <c r="C3207" s="16" t="n">
        <f aca="false">IF(C3196=0,0,C3163/C3196*MAX(0,MIN(C3196,$C$3103-SUM($C$3138:$C$3147)-C3185)))</f>
        <v>78.416490352856</v>
      </c>
    </row>
    <row r="3208" customFormat="false" ht="15" hidden="false" customHeight="false" outlineLevel="0" collapsed="false">
      <c r="A3208" s="3" t="s">
        <v>560</v>
      </c>
      <c r="C3208" s="16" t="n">
        <f aca="false">IF(C3197=0,0,C3164/C3197*MAX(0,MIN(C3197,$C$3103-SUM($C$3138:$C$3147)-C3186)))</f>
        <v>427.2491790818</v>
      </c>
    </row>
    <row r="3209" customFormat="false" ht="15" hidden="false" customHeight="false" outlineLevel="0" collapsed="false">
      <c r="A3209" s="3" t="s">
        <v>561</v>
      </c>
      <c r="C3209" s="16" t="n">
        <f aca="false">IF(C3198=0,0,C3165/C3198*MAX(0,MIN(C3198,$C$3103-SUM($C$3138:$C$3147)-C3187)))</f>
        <v>350</v>
      </c>
    </row>
    <row r="3210" customFormat="false" ht="15" hidden="false" customHeight="false" outlineLevel="0" collapsed="false">
      <c r="A3210" s="3" t="s">
        <v>562</v>
      </c>
      <c r="C3210" s="16" t="n">
        <f aca="false">IF(C3199=0,0,C3166/C3199*MAX(0,MIN(C3199,$C$3103-SUM($C$3138:$C$3147)-C3188)))</f>
        <v>550</v>
      </c>
    </row>
    <row r="3211" customFormat="false" ht="15" hidden="false" customHeight="false" outlineLevel="0" collapsed="false">
      <c r="A3211" s="3" t="s">
        <v>563</v>
      </c>
      <c r="C3211" s="16" t="n">
        <f aca="false">IF(C3200=0,0,C3167/C3200*MAX(0,MIN(C3200,$C$3103-SUM($C$3138:$C$3147)-C3189)))</f>
        <v>350</v>
      </c>
    </row>
    <row r="3212" customFormat="false" ht="15" hidden="false" customHeight="false" outlineLevel="0" collapsed="false">
      <c r="A3212" s="3" t="s">
        <v>564</v>
      </c>
      <c r="C3212" s="16" t="n">
        <f aca="false">IF(C3201=0,0,C3168/C3201*MAX(0,MIN(C3201,$C$3103-SUM($C$3138:$C$3147)-C3190)))</f>
        <v>300</v>
      </c>
    </row>
    <row r="3213" customFormat="false" ht="15" hidden="false" customHeight="false" outlineLevel="0" collapsed="false">
      <c r="A3213" s="3" t="s">
        <v>565</v>
      </c>
      <c r="C3213" s="16" t="n">
        <f aca="false">IF(C3202=0,0,C3169/C3202*MAX(0,MIN(C3202,$C$3103-SUM($C$3138:$C$3147)-C3191)))</f>
        <v>78.61</v>
      </c>
    </row>
    <row r="3214" customFormat="false" ht="15" hidden="false" customHeight="false" outlineLevel="0" collapsed="false">
      <c r="A3214" s="24" t="s">
        <v>575</v>
      </c>
      <c r="B3214" s="25"/>
      <c r="C3214" s="25"/>
      <c r="D3214" s="25"/>
      <c r="E3214" s="25"/>
      <c r="F3214" s="25"/>
      <c r="G3214" s="25"/>
      <c r="H3214" s="25"/>
      <c r="I3214" s="25"/>
      <c r="J3214" s="25"/>
      <c r="K3214" s="25"/>
    </row>
    <row r="3215" customFormat="false" ht="15" hidden="false" customHeight="false" outlineLevel="0" collapsed="false">
      <c r="A3215" s="2" t="s">
        <v>556</v>
      </c>
      <c r="C3215" s="17" t="n">
        <f aca="false">C3138+C3204</f>
        <v>388</v>
      </c>
    </row>
    <row r="3216" customFormat="false" ht="15" hidden="false" customHeight="false" outlineLevel="0" collapsed="false">
      <c r="A3216" s="2" t="s">
        <v>557</v>
      </c>
      <c r="C3216" s="17" t="n">
        <f aca="false">C3139+C3205</f>
        <v>90</v>
      </c>
    </row>
    <row r="3217" customFormat="false" ht="15" hidden="false" customHeight="false" outlineLevel="0" collapsed="false">
      <c r="A3217" s="2" t="s">
        <v>558</v>
      </c>
      <c r="C3217" s="17" t="n">
        <f aca="false">C3140+C3206</f>
        <v>57.324</v>
      </c>
    </row>
    <row r="3218" customFormat="false" ht="15" hidden="false" customHeight="false" outlineLevel="0" collapsed="false">
      <c r="A3218" s="2" t="s">
        <v>559</v>
      </c>
      <c r="C3218" s="17" t="n">
        <f aca="false">C3141+C3207</f>
        <v>78.416490352856</v>
      </c>
    </row>
    <row r="3219" customFormat="false" ht="15" hidden="false" customHeight="false" outlineLevel="0" collapsed="false">
      <c r="A3219" s="2" t="s">
        <v>560</v>
      </c>
      <c r="C3219" s="17" t="n">
        <f aca="false">C3142+C3208</f>
        <v>427.2491790818</v>
      </c>
    </row>
    <row r="3220" customFormat="false" ht="15" hidden="false" customHeight="false" outlineLevel="0" collapsed="false">
      <c r="A3220" s="2" t="s">
        <v>561</v>
      </c>
      <c r="C3220" s="17" t="n">
        <f aca="false">C3143+C3209</f>
        <v>350</v>
      </c>
    </row>
    <row r="3221" customFormat="false" ht="15" hidden="false" customHeight="false" outlineLevel="0" collapsed="false">
      <c r="A3221" s="2" t="s">
        <v>562</v>
      </c>
      <c r="C3221" s="17" t="n">
        <f aca="false">C3144+C3210</f>
        <v>550</v>
      </c>
    </row>
    <row r="3222" customFormat="false" ht="15" hidden="false" customHeight="false" outlineLevel="0" collapsed="false">
      <c r="A3222" s="2" t="s">
        <v>563</v>
      </c>
      <c r="C3222" s="17" t="n">
        <f aca="false">C3145+C3211</f>
        <v>350</v>
      </c>
    </row>
    <row r="3223" customFormat="false" ht="15" hidden="false" customHeight="false" outlineLevel="0" collapsed="false">
      <c r="A3223" s="2" t="s">
        <v>564</v>
      </c>
      <c r="C3223" s="17" t="n">
        <f aca="false">C3146+C3212</f>
        <v>300</v>
      </c>
    </row>
    <row r="3224" customFormat="false" ht="15" hidden="false" customHeight="false" outlineLevel="0" collapsed="false">
      <c r="A3224" s="2" t="s">
        <v>565</v>
      </c>
      <c r="C3224" s="17" t="n">
        <f aca="false">C3147+C3213</f>
        <v>78.61</v>
      </c>
    </row>
    <row r="3225" customFormat="false" ht="15" hidden="false" customHeight="false" outlineLevel="0" collapsed="false">
      <c r="A3225" s="24" t="s">
        <v>576</v>
      </c>
      <c r="B3225" s="25"/>
      <c r="C3225" s="25"/>
      <c r="D3225" s="25"/>
      <c r="E3225" s="25"/>
      <c r="F3225" s="25"/>
      <c r="G3225" s="25"/>
      <c r="H3225" s="25"/>
      <c r="I3225" s="25"/>
      <c r="J3225" s="25"/>
      <c r="K3225" s="25"/>
    </row>
    <row r="3226" customFormat="false" ht="15" hidden="false" customHeight="false" outlineLevel="0" collapsed="false">
      <c r="A3226" s="3" t="s">
        <v>556</v>
      </c>
      <c r="C3226" s="22" t="n">
        <f aca="false">IF(C3105=0,1,C3215/C3105)</f>
        <v>1</v>
      </c>
    </row>
    <row r="3227" customFormat="false" ht="15" hidden="false" customHeight="false" outlineLevel="0" collapsed="false">
      <c r="A3227" s="3" t="s">
        <v>557</v>
      </c>
      <c r="C3227" s="22" t="n">
        <f aca="false">IF(C3106=0,1,C3216/C3106)</f>
        <v>1</v>
      </c>
    </row>
    <row r="3228" customFormat="false" ht="15" hidden="false" customHeight="false" outlineLevel="0" collapsed="false">
      <c r="A3228" s="3" t="s">
        <v>558</v>
      </c>
      <c r="C3228" s="22" t="n">
        <f aca="false">IF(C3107=0,1,C3217/C3107)</f>
        <v>1</v>
      </c>
    </row>
    <row r="3229" customFormat="false" ht="15" hidden="false" customHeight="false" outlineLevel="0" collapsed="false">
      <c r="A3229" s="3" t="s">
        <v>559</v>
      </c>
      <c r="C3229" s="22" t="n">
        <f aca="false">IF(C3108=0,1,C3218/C3108)</f>
        <v>1</v>
      </c>
    </row>
    <row r="3230" customFormat="false" ht="15" hidden="false" customHeight="false" outlineLevel="0" collapsed="false">
      <c r="A3230" s="3" t="s">
        <v>560</v>
      </c>
      <c r="C3230" s="22" t="n">
        <f aca="false">IF(C3109=0,1,C3219/C3109)</f>
        <v>1</v>
      </c>
    </row>
    <row r="3231" customFormat="false" ht="15" hidden="false" customHeight="false" outlineLevel="0" collapsed="false">
      <c r="A3231" s="3" t="s">
        <v>561</v>
      </c>
      <c r="C3231" s="22" t="n">
        <f aca="false">IF(C3110=0,1,C3220/C3110)</f>
        <v>1</v>
      </c>
    </row>
    <row r="3232" customFormat="false" ht="15" hidden="false" customHeight="false" outlineLevel="0" collapsed="false">
      <c r="A3232" s="3" t="s">
        <v>562</v>
      </c>
      <c r="C3232" s="22" t="n">
        <f aca="false">IF(C3111=0,1,C3221/C3111)</f>
        <v>1</v>
      </c>
    </row>
    <row r="3233" customFormat="false" ht="15" hidden="false" customHeight="false" outlineLevel="0" collapsed="false">
      <c r="A3233" s="3" t="s">
        <v>563</v>
      </c>
      <c r="C3233" s="22" t="n">
        <f aca="false">IF(C3112=0,1,C3222/C3112)</f>
        <v>1</v>
      </c>
    </row>
    <row r="3234" customFormat="false" ht="15" hidden="false" customHeight="false" outlineLevel="0" collapsed="false">
      <c r="A3234" s="3" t="s">
        <v>564</v>
      </c>
      <c r="C3234" s="22" t="n">
        <f aca="false">IF(C3113=0,1,C3223/C3113)</f>
        <v>1</v>
      </c>
    </row>
    <row r="3235" customFormat="false" ht="15" hidden="false" customHeight="false" outlineLevel="0" collapsed="false">
      <c r="A3235" s="3" t="s">
        <v>565</v>
      </c>
      <c r="C3235" s="22" t="n">
        <f aca="false">IF(C3114=0,1,C3224/C3114)</f>
        <v>1</v>
      </c>
    </row>
    <row r="3236" customFormat="false" ht="15" hidden="false" customHeight="false" outlineLevel="0" collapsed="false">
      <c r="A3236" s="24" t="s">
        <v>577</v>
      </c>
      <c r="B3236" s="25"/>
      <c r="C3236" s="25"/>
      <c r="D3236" s="25"/>
      <c r="E3236" s="25"/>
      <c r="F3236" s="25"/>
      <c r="G3236" s="25"/>
      <c r="H3236" s="25"/>
      <c r="I3236" s="25"/>
      <c r="J3236" s="25"/>
      <c r="K3236" s="25"/>
    </row>
    <row r="3237" customFormat="false" ht="15" hidden="false" customHeight="false" outlineLevel="0" collapsed="false">
      <c r="A3237" s="3" t="s">
        <v>556</v>
      </c>
      <c r="C3237" s="16" t="n">
        <f aca="false">C3105-C3215</f>
        <v>0</v>
      </c>
    </row>
    <row r="3238" customFormat="false" ht="15" hidden="false" customHeight="false" outlineLevel="0" collapsed="false">
      <c r="A3238" s="3" t="s">
        <v>557</v>
      </c>
      <c r="C3238" s="16" t="n">
        <f aca="false">C3106-C3216</f>
        <v>0</v>
      </c>
    </row>
    <row r="3239" customFormat="false" ht="15" hidden="false" customHeight="false" outlineLevel="0" collapsed="false">
      <c r="A3239" s="3" t="s">
        <v>558</v>
      </c>
      <c r="C3239" s="16" t="n">
        <f aca="false">C3107-C3217</f>
        <v>0</v>
      </c>
    </row>
    <row r="3240" customFormat="false" ht="15" hidden="false" customHeight="false" outlineLevel="0" collapsed="false">
      <c r="A3240" s="3" t="s">
        <v>559</v>
      </c>
      <c r="C3240" s="16" t="n">
        <f aca="false">C3108-C3218</f>
        <v>0</v>
      </c>
    </row>
    <row r="3241" customFormat="false" ht="15" hidden="false" customHeight="false" outlineLevel="0" collapsed="false">
      <c r="A3241" s="3" t="s">
        <v>560</v>
      </c>
      <c r="C3241" s="16" t="n">
        <f aca="false">C3109-C3219</f>
        <v>0</v>
      </c>
    </row>
    <row r="3242" customFormat="false" ht="15" hidden="false" customHeight="false" outlineLevel="0" collapsed="false">
      <c r="A3242" s="3" t="s">
        <v>561</v>
      </c>
      <c r="C3242" s="16" t="n">
        <f aca="false">C3110-C3220</f>
        <v>0</v>
      </c>
    </row>
    <row r="3243" customFormat="false" ht="15" hidden="false" customHeight="false" outlineLevel="0" collapsed="false">
      <c r="A3243" s="3" t="s">
        <v>562</v>
      </c>
      <c r="C3243" s="16" t="n">
        <f aca="false">C3111-C3221</f>
        <v>0</v>
      </c>
    </row>
    <row r="3244" customFormat="false" ht="15" hidden="false" customHeight="false" outlineLevel="0" collapsed="false">
      <c r="A3244" s="3" t="s">
        <v>563</v>
      </c>
      <c r="C3244" s="16" t="n">
        <f aca="false">C3112-C3222</f>
        <v>0</v>
      </c>
    </row>
    <row r="3245" customFormat="false" ht="15" hidden="false" customHeight="false" outlineLevel="0" collapsed="false">
      <c r="A3245" s="3" t="s">
        <v>564</v>
      </c>
      <c r="C3245" s="16" t="n">
        <f aca="false">C3113-C3223</f>
        <v>0</v>
      </c>
    </row>
    <row r="3246" customFormat="false" ht="15" hidden="false" customHeight="false" outlineLevel="0" collapsed="false">
      <c r="A3246" s="3" t="s">
        <v>565</v>
      </c>
      <c r="C3246" s="16" t="n">
        <f aca="false">C3114-C3224</f>
        <v>0</v>
      </c>
    </row>
    <row r="3247" customFormat="false" ht="15" hidden="false" customHeight="false" outlineLevel="0" collapsed="false">
      <c r="A3247" s="24" t="s">
        <v>578</v>
      </c>
      <c r="B3247" s="25"/>
      <c r="C3247" s="25"/>
      <c r="D3247" s="25"/>
      <c r="E3247" s="25"/>
      <c r="F3247" s="25"/>
      <c r="G3247" s="25"/>
      <c r="H3247" s="25"/>
      <c r="I3247" s="25"/>
      <c r="J3247" s="25"/>
      <c r="K3247" s="25"/>
    </row>
    <row r="3248" customFormat="false" ht="15" hidden="false" customHeight="false" outlineLevel="0" collapsed="false">
      <c r="A3248" s="3" t="s">
        <v>556</v>
      </c>
      <c r="C3248" s="22" t="n">
        <f aca="false">IF(C3105=0,0,C3237/C3105)</f>
        <v>0</v>
      </c>
    </row>
    <row r="3249" customFormat="false" ht="15" hidden="false" customHeight="false" outlineLevel="0" collapsed="false">
      <c r="A3249" s="3" t="s">
        <v>557</v>
      </c>
      <c r="C3249" s="22" t="n">
        <f aca="false">IF(C3106=0,0,C3238/C3106)</f>
        <v>0</v>
      </c>
    </row>
    <row r="3250" customFormat="false" ht="15" hidden="false" customHeight="false" outlineLevel="0" collapsed="false">
      <c r="A3250" s="3" t="s">
        <v>558</v>
      </c>
      <c r="C3250" s="22" t="n">
        <f aca="false">IF(C3107=0,0,C3239/C3107)</f>
        <v>0</v>
      </c>
    </row>
    <row r="3251" customFormat="false" ht="15" hidden="false" customHeight="false" outlineLevel="0" collapsed="false">
      <c r="A3251" s="3" t="s">
        <v>559</v>
      </c>
      <c r="C3251" s="22" t="n">
        <f aca="false">IF(C3108=0,0,C3240/C3108)</f>
        <v>0</v>
      </c>
    </row>
    <row r="3252" customFormat="false" ht="15" hidden="false" customHeight="false" outlineLevel="0" collapsed="false">
      <c r="A3252" s="3" t="s">
        <v>560</v>
      </c>
      <c r="C3252" s="22" t="n">
        <f aca="false">IF(C3109=0,0,C3241/C3109)</f>
        <v>0</v>
      </c>
    </row>
    <row r="3253" customFormat="false" ht="15" hidden="false" customHeight="false" outlineLevel="0" collapsed="false">
      <c r="A3253" s="3" t="s">
        <v>561</v>
      </c>
      <c r="C3253" s="22" t="n">
        <f aca="false">IF(C3110=0,0,C3242/C3110)</f>
        <v>0</v>
      </c>
    </row>
    <row r="3254" customFormat="false" ht="15" hidden="false" customHeight="false" outlineLevel="0" collapsed="false">
      <c r="A3254" s="3" t="s">
        <v>562</v>
      </c>
      <c r="C3254" s="22" t="n">
        <f aca="false">IF(C3111=0,0,C3243/C3111)</f>
        <v>0</v>
      </c>
    </row>
    <row r="3255" customFormat="false" ht="15" hidden="false" customHeight="false" outlineLevel="0" collapsed="false">
      <c r="A3255" s="3" t="s">
        <v>563</v>
      </c>
      <c r="C3255" s="22" t="n">
        <f aca="false">IF(C3112=0,0,C3244/C3112)</f>
        <v>0</v>
      </c>
    </row>
    <row r="3256" customFormat="false" ht="15" hidden="false" customHeight="false" outlineLevel="0" collapsed="false">
      <c r="A3256" s="3" t="s">
        <v>564</v>
      </c>
      <c r="C3256" s="22" t="n">
        <f aca="false">IF(C3113=0,0,C3245/C3113)</f>
        <v>0</v>
      </c>
    </row>
    <row r="3257" customFormat="false" ht="15" hidden="false" customHeight="false" outlineLevel="0" collapsed="false">
      <c r="A3257" s="3" t="s">
        <v>565</v>
      </c>
      <c r="C3257" s="22" t="n">
        <f aca="false">IF(C3114=0,0,C3246/C3114)</f>
        <v>0</v>
      </c>
    </row>
    <row r="3258" customFormat="false" ht="15" hidden="false" customHeight="false" outlineLevel="0" collapsed="false">
      <c r="A3258" s="2" t="s">
        <v>579</v>
      </c>
      <c r="C3258" s="17" t="n">
        <f aca="false">MAX(0,$C$3103-SUM($C$3138:$C$3147)-SUM($C$3160:$C$3169))</f>
        <v>573.907300781944</v>
      </c>
    </row>
    <row r="3259" customFormat="false" ht="15" hidden="false" customHeight="false" outlineLevel="0" collapsed="false">
      <c r="A3259" s="3" t="s">
        <v>597</v>
      </c>
      <c r="C3259" s="35" t="n">
        <f aca="false">MIN(C3102,100*CHOOSE(C3092,C3226,C3227,C3228,C3229,C3230,C3231,C3232,C3233,C3234,C3235))</f>
        <v>100</v>
      </c>
    </row>
    <row r="3260" customFormat="false" ht="15" hidden="false" customHeight="false" outlineLevel="0" collapsed="false">
      <c r="A3260" s="3" t="s">
        <v>598</v>
      </c>
      <c r="C3260" s="21" t="n">
        <f aca="false">IF(C2924=1,C3097+Assumptions!$C$40,C3096)</f>
        <v>3</v>
      </c>
    </row>
    <row r="3261" customFormat="false" ht="15" hidden="false" customHeight="false" outlineLevel="0" collapsed="false">
      <c r="A3261" s="24" t="s">
        <v>599</v>
      </c>
      <c r="B3261" s="25"/>
      <c r="C3261" s="25"/>
      <c r="D3261" s="25"/>
      <c r="E3261" s="25"/>
      <c r="F3261" s="25"/>
      <c r="G3261" s="25"/>
      <c r="H3261" s="25"/>
      <c r="I3261" s="25"/>
      <c r="J3261" s="25"/>
      <c r="K3261" s="25"/>
    </row>
    <row r="3262" customFormat="false" ht="15" hidden="false" customHeight="false" outlineLevel="0" collapsed="false">
      <c r="A3262" s="3" t="s">
        <v>600</v>
      </c>
      <c r="C3262" s="21" t="n">
        <f aca="false">COLUMN()-COLUMN($C$1)</f>
        <v>0</v>
      </c>
      <c r="D3262" s="21" t="n">
        <f aca="false">COLUMN()-COLUMN($C$1)</f>
        <v>1</v>
      </c>
      <c r="E3262" s="21" t="n">
        <f aca="false">COLUMN()-COLUMN($C$1)</f>
        <v>2</v>
      </c>
      <c r="F3262" s="21" t="n">
        <f aca="false">COLUMN()-COLUMN($C$1)</f>
        <v>3</v>
      </c>
      <c r="G3262" s="21" t="n">
        <f aca="false">COLUMN()-COLUMN($C$1)</f>
        <v>4</v>
      </c>
      <c r="H3262" s="21" t="n">
        <f aca="false">COLUMN()-COLUMN($C$1)</f>
        <v>5</v>
      </c>
      <c r="I3262" s="21" t="n">
        <f aca="false">COLUMN()-COLUMN($C$1)</f>
        <v>6</v>
      </c>
    </row>
    <row r="3263" customFormat="false" ht="15" hidden="false" customHeight="false" outlineLevel="0" collapsed="false">
      <c r="A3263" s="3" t="s">
        <v>601</v>
      </c>
      <c r="D3263" s="31" t="n">
        <f aca="false">CHOOSE($C$3092,G2672,G2685,G2698,G2711,G2724,G2737,G2750,G2763,G2776,G2789)</f>
        <v>0.0915</v>
      </c>
      <c r="E3263" s="31" t="n">
        <f aca="false">CHOOSE($C$3092,H2672,H2685,H2698,H2711,H2724,H2737,H2750,H2763,H2776,H2789)</f>
        <v>0.09</v>
      </c>
      <c r="F3263" s="31" t="n">
        <f aca="false">CHOOSE($C$3092,I2672,I2685,I2698,I2711,I2724,I2737,I2750,I2763,I2776,I2789)</f>
        <v>0.0875</v>
      </c>
      <c r="G3263" s="31" t="n">
        <f aca="false">CHOOSE($C$3092,J2672,J2685,J2698,J2711,J2724,J2737,J2750,J2763,J2776,J2789)</f>
        <v>0.0875</v>
      </c>
      <c r="H3263" s="31" t="n">
        <f aca="false">CHOOSE($C$3092,K2672,K2685,K2698,K2711,K2724,K2737,K2750,K2763,K2776,K2789)</f>
        <v>0.0875</v>
      </c>
    </row>
    <row r="3264" customFormat="false" ht="15" hidden="false" customHeight="false" outlineLevel="0" collapsed="false">
      <c r="A3264" s="3" t="s">
        <v>602</v>
      </c>
      <c r="D3264" s="16" t="n">
        <f aca="false">IF(D3262&lt;=$C$3101,$C$3093*D3263,0)</f>
        <v>9.15</v>
      </c>
      <c r="E3264" s="16" t="n">
        <f aca="false">IF(E3262&lt;=$C$3101,$C$3093*E3263,0)</f>
        <v>9</v>
      </c>
      <c r="F3264" s="16" t="n">
        <f aca="false">IF(F3262&lt;=$C$3101,$C$3093*F3263,0)</f>
        <v>8.75</v>
      </c>
      <c r="G3264" s="16" t="n">
        <f aca="false">IF(G3262&lt;=$C$3101,$C$3093*G3263,0)</f>
        <v>0</v>
      </c>
      <c r="H3264" s="16" t="n">
        <f aca="false">IF(H3262&lt;=$C$3101,$C$3093*H3263,0)</f>
        <v>0</v>
      </c>
    </row>
    <row r="3265" customFormat="false" ht="15" hidden="false" customHeight="false" outlineLevel="0" collapsed="false">
      <c r="A3265" s="3" t="s">
        <v>603</v>
      </c>
      <c r="D3265" s="16" t="n">
        <f aca="false">IF(AND($C$2924=0,D3262=$C$3096),$C$3093*$C$3259/100,0)+IF(AND($C$2924=1,D3262=$C$3260),$C$3099,0)</f>
        <v>0</v>
      </c>
      <c r="E3265" s="16" t="n">
        <f aca="false">IF(AND($C$2924=0,E3262=$C$3096),$C$3093*$C$3259/100,0)+IF(AND($C$2924=1,E3262=$C$3260),$C$3099,0)</f>
        <v>0</v>
      </c>
      <c r="F3265" s="16" t="n">
        <f aca="false">IF(AND($C$2924=0,F3262=$C$3096),$C$3093*$C$3259/100,0)+IF(AND($C$2924=1,F3262=$C$3260),$C$3099,0)</f>
        <v>100</v>
      </c>
      <c r="G3265" s="16" t="n">
        <f aca="false">IF(AND($C$2924=0,G3262=$C$3096),$C$3093*$C$3259/100,0)+IF(AND($C$2924=1,G3262=$C$3260),$C$3099,0)</f>
        <v>0</v>
      </c>
      <c r="H3265" s="16" t="n">
        <f aca="false">IF(AND($C$2924=0,H3262=$C$3096),$C$3093*$C$3259/100,0)+IF(AND($C$2924=1,H3262=$C$3260),$C$3099,0)</f>
        <v>0</v>
      </c>
      <c r="I3265" s="16" t="n">
        <f aca="false">IF(AND($C$2924=0,I3262=$C$3096),$C$3093*$C$3259/100,0)+IF(AND($C$2924=1,I3262=$C$3260),$C$3099,0)</f>
        <v>0</v>
      </c>
    </row>
    <row r="3266" customFormat="false" ht="15" hidden="false" customHeight="false" outlineLevel="0" collapsed="false">
      <c r="A3266" s="2" t="s">
        <v>604</v>
      </c>
      <c r="C3266" s="17" t="n">
        <f aca="false">-$C$3095</f>
        <v>-98.49</v>
      </c>
      <c r="D3266" s="17" t="n">
        <f aca="false">D3264+D3265</f>
        <v>9.15</v>
      </c>
      <c r="E3266" s="17" t="n">
        <f aca="false">E3264+E3265</f>
        <v>9</v>
      </c>
      <c r="F3266" s="17" t="n">
        <f aca="false">F3264+F3265</f>
        <v>108.75</v>
      </c>
      <c r="G3266" s="17" t="n">
        <f aca="false">G3264+G3265</f>
        <v>0</v>
      </c>
      <c r="H3266" s="17" t="n">
        <f aca="false">H3264+H3265</f>
        <v>0</v>
      </c>
      <c r="I3266" s="17" t="n">
        <f aca="false">I3264+I3265</f>
        <v>0</v>
      </c>
    </row>
    <row r="3267" customFormat="false" ht="15" hidden="false" customHeight="false" outlineLevel="0" collapsed="false">
      <c r="A3267" s="3" t="s">
        <v>605</v>
      </c>
      <c r="C3267" s="16" t="n">
        <f aca="false">SUM($C$3264:$I$3264)</f>
        <v>26.9</v>
      </c>
    </row>
    <row r="3268" customFormat="false" ht="15" hidden="false" customHeight="false" outlineLevel="0" collapsed="false">
      <c r="A3268" s="3" t="s">
        <v>606</v>
      </c>
      <c r="C3268" s="16" t="n">
        <f aca="false">SUM($C$3265:$I$3265)</f>
        <v>100</v>
      </c>
    </row>
    <row r="3269" customFormat="false" ht="15" hidden="false" customHeight="false" outlineLevel="0" collapsed="false">
      <c r="A3269" s="3" t="s">
        <v>607</v>
      </c>
      <c r="C3269" s="16" t="n">
        <f aca="false">C3267+C3268</f>
        <v>126.9</v>
      </c>
    </row>
    <row r="3270" customFormat="false" ht="15" hidden="false" customHeight="false" outlineLevel="0" collapsed="false">
      <c r="A3270" s="3" t="s">
        <v>608</v>
      </c>
      <c r="C3270" s="16" t="n">
        <f aca="false">C3268-C3093*C3094/100</f>
        <v>2</v>
      </c>
    </row>
    <row r="3271" customFormat="false" ht="15" hidden="false" customHeight="false" outlineLevel="0" collapsed="false">
      <c r="A3271" s="3" t="s">
        <v>609</v>
      </c>
      <c r="C3271" s="16" t="n">
        <f aca="false">C3269-C3095</f>
        <v>28.41</v>
      </c>
    </row>
    <row r="3272" customFormat="false" ht="15" hidden="false" customHeight="false" outlineLevel="0" collapsed="false">
      <c r="A3272" s="2" t="s">
        <v>484</v>
      </c>
      <c r="C3272" s="44" t="n">
        <f aca="false">C3269/C3095</f>
        <v>1.28845568077977</v>
      </c>
    </row>
    <row r="3273" customFormat="false" ht="15" hidden="false" customHeight="false" outlineLevel="0" collapsed="false">
      <c r="A3273" s="2" t="s">
        <v>483</v>
      </c>
      <c r="C3273" s="42" t="n">
        <f aca="false">IF(C3269&lt;=0,-1,IFERROR(IRR($C$3266:$I$3266,MAX(-0.9,C3272^(1/C3260)-1)),IRR($C$3266:$I$3266,0.1)))</f>
        <v>0.0958152816969216</v>
      </c>
    </row>
    <row r="3274" customFormat="false" ht="15" hidden="false" customHeight="false" outlineLevel="0" collapsed="false">
      <c r="A3274" s="3" t="s">
        <v>610</v>
      </c>
      <c r="C3274" s="32" t="n">
        <f aca="false">MAX($G$2868:$K$2868)</f>
        <v>10.5924456969446</v>
      </c>
    </row>
    <row r="3275" customFormat="false" ht="15" hidden="false" customHeight="false" outlineLevel="0" collapsed="false">
      <c r="A3275" s="3" t="s">
        <v>611</v>
      </c>
      <c r="C3275" s="32" t="n">
        <f aca="false">MIN($G$2869:$K$2869)</f>
        <v>1.27178764572193</v>
      </c>
    </row>
    <row r="3276" customFormat="false" ht="15" hidden="false" customHeight="false" outlineLevel="0" collapsed="false">
      <c r="A3276" s="3" t="s">
        <v>612</v>
      </c>
      <c r="C3276" s="16" t="n">
        <f aca="false">SUM($G$2656:$K$2656)</f>
        <v>-493.677722116091</v>
      </c>
    </row>
    <row r="3280" customFormat="false" ht="15" hidden="false" customHeight="false" outlineLevel="0" collapsed="false">
      <c r="A3280" s="9" t="s">
        <v>1135</v>
      </c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</row>
    <row r="3281" customFormat="false" ht="15" hidden="false" customHeight="false" outlineLevel="0" collapsed="false">
      <c r="A3281" s="3" t="s">
        <v>1126</v>
      </c>
      <c r="C3281" s="11" t="n">
        <v>1</v>
      </c>
    </row>
    <row r="3282" customFormat="false" ht="15" hidden="false" customHeight="false" outlineLevel="0" collapsed="false">
      <c r="A3282" s="3" t="s">
        <v>1127</v>
      </c>
      <c r="C3282" s="19" t="n">
        <v>0</v>
      </c>
    </row>
    <row r="3283" customFormat="false" ht="15" hidden="false" customHeight="false" outlineLevel="0" collapsed="false">
      <c r="A3283" s="3" t="s">
        <v>1128</v>
      </c>
      <c r="C3283" s="30" t="n">
        <f aca="false">Sensitivities!$A$32</f>
        <v>0</v>
      </c>
    </row>
    <row r="3284" customFormat="false" ht="15" hidden="false" customHeight="false" outlineLevel="0" collapsed="false">
      <c r="A3284" s="3" t="s">
        <v>1129</v>
      </c>
      <c r="C3284" s="19" t="n">
        <v>0</v>
      </c>
    </row>
    <row r="3285" customFormat="false" ht="15" hidden="false" customHeight="false" outlineLevel="0" collapsed="false">
      <c r="A3285" s="3" t="s">
        <v>1130</v>
      </c>
      <c r="C3285" s="15" t="n">
        <v>0</v>
      </c>
    </row>
    <row r="3287" customFormat="false" ht="15" hidden="false" customHeight="false" outlineLevel="0" collapsed="false">
      <c r="A3287" s="24" t="s">
        <v>301</v>
      </c>
      <c r="B3287" s="25"/>
      <c r="C3287" s="25"/>
      <c r="D3287" s="25"/>
      <c r="E3287" s="25"/>
      <c r="F3287" s="25"/>
      <c r="G3287" s="25"/>
      <c r="H3287" s="25"/>
      <c r="I3287" s="25"/>
      <c r="J3287" s="25"/>
      <c r="K3287" s="25"/>
    </row>
    <row r="3288" customFormat="false" ht="15" hidden="false" customHeight="false" outlineLevel="0" collapsed="false">
      <c r="A3288" s="3" t="s">
        <v>302</v>
      </c>
      <c r="F3288" s="27" t="n">
        <f aca="false">Assumptions!$C$6</f>
        <v>2026</v>
      </c>
      <c r="G3288" s="21" t="n">
        <f aca="false">F3288+1</f>
        <v>2027</v>
      </c>
      <c r="H3288" s="21" t="n">
        <f aca="false">G3288+1</f>
        <v>2028</v>
      </c>
      <c r="I3288" s="21" t="n">
        <f aca="false">H3288+1</f>
        <v>2029</v>
      </c>
      <c r="J3288" s="21" t="n">
        <f aca="false">I3288+1</f>
        <v>2030</v>
      </c>
      <c r="K3288" s="21" t="n">
        <f aca="false">J3288+1</f>
        <v>2031</v>
      </c>
    </row>
    <row r="3289" customFormat="false" ht="15" hidden="false" customHeight="false" outlineLevel="0" collapsed="false">
      <c r="A3289" s="3" t="s">
        <v>303</v>
      </c>
      <c r="G3289" s="21" t="n">
        <f aca="false">G3288-Assumptions!$C$6</f>
        <v>1</v>
      </c>
      <c r="H3289" s="21" t="n">
        <f aca="false">H3288-Assumptions!$C$6</f>
        <v>2</v>
      </c>
      <c r="I3289" s="21" t="n">
        <f aca="false">I3288-Assumptions!$C$6</f>
        <v>3</v>
      </c>
      <c r="J3289" s="21" t="n">
        <f aca="false">J3288-Assumptions!$C$6</f>
        <v>4</v>
      </c>
      <c r="K3289" s="21" t="n">
        <f aca="false">K3288-Assumptions!$C$6</f>
        <v>5</v>
      </c>
    </row>
    <row r="3290" customFormat="false" ht="15" hidden="false" customHeight="false" outlineLevel="0" collapsed="false">
      <c r="A3290" s="3" t="s">
        <v>180</v>
      </c>
      <c r="G3290" s="22" t="n">
        <f aca="false">CHOOSE($C$3281,Assumptions!$G$79,Assumptions!$G$98,Assumptions!$G$117)+$C$3282</f>
        <v>-0.03</v>
      </c>
      <c r="H3290" s="22" t="n">
        <f aca="false">CHOOSE($C$3281,Assumptions!$H$79,Assumptions!$H$98,Assumptions!$H$117)+$C$3282</f>
        <v>0.02</v>
      </c>
      <c r="I3290" s="22" t="n">
        <f aca="false">CHOOSE($C$3281,Assumptions!$I$79,Assumptions!$I$98,Assumptions!$I$117)+$C$3282</f>
        <v>0.02</v>
      </c>
      <c r="J3290" s="22" t="n">
        <f aca="false">CHOOSE($C$3281,Assumptions!$J$79,Assumptions!$J$98,Assumptions!$J$117)+$C$3282</f>
        <v>0.02</v>
      </c>
      <c r="K3290" s="22" t="n">
        <f aca="false">CHOOSE($C$3281,Assumptions!$K$79,Assumptions!$K$98,Assumptions!$K$117)+$C$3282</f>
        <v>0.02</v>
      </c>
    </row>
    <row r="3291" customFormat="false" ht="15" hidden="false" customHeight="false" outlineLevel="0" collapsed="false">
      <c r="A3291" s="3" t="s">
        <v>181</v>
      </c>
      <c r="G3291" s="22" t="n">
        <f aca="false">CHOOSE($C$3281,Assumptions!$G$80,Assumptions!$G$99,Assumptions!$G$118)</f>
        <v>0.603920660818678</v>
      </c>
      <c r="H3291" s="22" t="n">
        <f aca="false">CHOOSE($C$3281,Assumptions!$H$80,Assumptions!$H$99,Assumptions!$H$118)</f>
        <v>0.606920660818678</v>
      </c>
      <c r="I3291" s="22" t="n">
        <f aca="false">CHOOSE($C$3281,Assumptions!$I$80,Assumptions!$I$99,Assumptions!$I$118)</f>
        <v>0.609920660818678</v>
      </c>
      <c r="J3291" s="22" t="n">
        <f aca="false">CHOOSE($C$3281,Assumptions!$J$80,Assumptions!$J$99,Assumptions!$J$118)</f>
        <v>0.611920660818678</v>
      </c>
      <c r="K3291" s="22" t="n">
        <f aca="false">CHOOSE($C$3281,Assumptions!$K$80,Assumptions!$K$99,Assumptions!$K$118)</f>
        <v>0.613920660818678</v>
      </c>
    </row>
    <row r="3292" customFormat="false" ht="15" hidden="false" customHeight="false" outlineLevel="0" collapsed="false">
      <c r="A3292" s="3" t="s">
        <v>182</v>
      </c>
      <c r="G3292" s="22" t="n">
        <f aca="false">CHOOSE($C$3281,Assumptions!$G$81,Assumptions!$G$100,Assumptions!$G$119)+$C$3283</f>
        <v>0.53</v>
      </c>
      <c r="H3292" s="22" t="n">
        <f aca="false">CHOOSE($C$3281,Assumptions!$H$81,Assumptions!$H$100,Assumptions!$H$119)+$C$3283</f>
        <v>0.533</v>
      </c>
      <c r="I3292" s="22" t="n">
        <f aca="false">CHOOSE($C$3281,Assumptions!$I$81,Assumptions!$I$100,Assumptions!$I$119)+$C$3283</f>
        <v>0.536</v>
      </c>
      <c r="J3292" s="22" t="n">
        <f aca="false">CHOOSE($C$3281,Assumptions!$J$81,Assumptions!$J$100,Assumptions!$J$119)+$C$3283</f>
        <v>0.538</v>
      </c>
      <c r="K3292" s="22" t="n">
        <f aca="false">CHOOSE($C$3281,Assumptions!$K$81,Assumptions!$K$100,Assumptions!$K$119)+$C$3283</f>
        <v>0.54</v>
      </c>
    </row>
    <row r="3293" customFormat="false" ht="15" hidden="false" customHeight="false" outlineLevel="0" collapsed="false">
      <c r="A3293" s="24" t="s">
        <v>304</v>
      </c>
      <c r="B3293" s="25"/>
      <c r="C3293" s="25"/>
      <c r="D3293" s="25"/>
      <c r="E3293" s="25"/>
      <c r="F3293" s="25"/>
      <c r="G3293" s="25"/>
      <c r="H3293" s="25"/>
      <c r="I3293" s="25"/>
      <c r="J3293" s="25"/>
      <c r="K3293" s="25"/>
    </row>
    <row r="3294" customFormat="false" ht="15" hidden="false" customHeight="false" outlineLevel="0" collapsed="false">
      <c r="A3294" s="2" t="s">
        <v>275</v>
      </c>
      <c r="F3294" s="28" t="n">
        <f aca="false">'Historical Financials'!G25</f>
        <v>498.291</v>
      </c>
      <c r="G3294" s="17" t="n">
        <f aca="false">F3294*(1+G3290)</f>
        <v>483.34227</v>
      </c>
      <c r="H3294" s="17" t="n">
        <f aca="false">G3294*(1+H3290)</f>
        <v>493.0091154</v>
      </c>
      <c r="I3294" s="17" t="n">
        <f aca="false">H3294*(1+I3290)</f>
        <v>502.869297708</v>
      </c>
      <c r="J3294" s="17" t="n">
        <f aca="false">I3294*(1+J3290)</f>
        <v>512.92668366216</v>
      </c>
      <c r="K3294" s="17" t="n">
        <f aca="false">J3294*(1+K3290)</f>
        <v>523.185217335403</v>
      </c>
    </row>
    <row r="3295" customFormat="false" ht="15" hidden="false" customHeight="false" outlineLevel="0" collapsed="false">
      <c r="A3295" s="3" t="s">
        <v>276</v>
      </c>
      <c r="G3295" s="16" t="n">
        <f aca="false">G3294*(1-G3291)</f>
        <v>191.4418869</v>
      </c>
      <c r="H3295" s="16" t="n">
        <f aca="false">H3294*(1-H3291)</f>
        <v>193.7916972918</v>
      </c>
      <c r="I3295" s="16" t="n">
        <f aca="false">I3294*(1-I3291)</f>
        <v>196.158923344512</v>
      </c>
      <c r="J3295" s="16" t="n">
        <f aca="false">J3294*(1-J3291)</f>
        <v>199.056248444078</v>
      </c>
      <c r="K3295" s="16" t="n">
        <f aca="false">K3294*(1-K3291)</f>
        <v>201.991002978289</v>
      </c>
    </row>
    <row r="3296" customFormat="false" ht="15" hidden="false" customHeight="false" outlineLevel="0" collapsed="false">
      <c r="A3296" s="2" t="s">
        <v>277</v>
      </c>
      <c r="G3296" s="17" t="n">
        <f aca="false">G3294-G3295</f>
        <v>291.9003831</v>
      </c>
      <c r="H3296" s="17" t="n">
        <f aca="false">H3294-H3295</f>
        <v>299.2174181082</v>
      </c>
      <c r="I3296" s="17" t="n">
        <f aca="false">I3294-I3295</f>
        <v>306.710374363488</v>
      </c>
      <c r="J3296" s="17" t="n">
        <f aca="false">J3294-J3295</f>
        <v>313.870435218082</v>
      </c>
      <c r="K3296" s="17" t="n">
        <f aca="false">K3294-K3295</f>
        <v>321.194214357115</v>
      </c>
    </row>
    <row r="3297" customFormat="false" ht="15" hidden="false" customHeight="false" outlineLevel="0" collapsed="false">
      <c r="A3297" s="3" t="s">
        <v>305</v>
      </c>
      <c r="G3297" s="16" t="n">
        <f aca="false">G3296-G3298</f>
        <v>35.72898</v>
      </c>
      <c r="H3297" s="16" t="n">
        <f aca="false">H3296-H3298</f>
        <v>36.4435596</v>
      </c>
      <c r="I3297" s="16" t="n">
        <f aca="false">I3296-I3298</f>
        <v>37.172430792</v>
      </c>
      <c r="J3297" s="16" t="n">
        <f aca="false">J3296-J3298</f>
        <v>37.91587940784</v>
      </c>
      <c r="K3297" s="16" t="n">
        <f aca="false">K3296-K3298</f>
        <v>38.6741969959968</v>
      </c>
    </row>
    <row r="3298" customFormat="false" ht="15" hidden="false" customHeight="false" outlineLevel="0" collapsed="false">
      <c r="A3298" s="2" t="s">
        <v>306</v>
      </c>
      <c r="G3298" s="17" t="n">
        <f aca="false">G3294*G3292</f>
        <v>256.1714031</v>
      </c>
      <c r="H3298" s="17" t="n">
        <f aca="false">H3294*H3292</f>
        <v>262.7738585082</v>
      </c>
      <c r="I3298" s="17" t="n">
        <f aca="false">I3294*I3292</f>
        <v>269.537943571488</v>
      </c>
      <c r="J3298" s="17" t="n">
        <f aca="false">J3294*J3292</f>
        <v>275.954555810242</v>
      </c>
      <c r="K3298" s="17" t="n">
        <f aca="false">K3294*K3292</f>
        <v>282.520017361118</v>
      </c>
    </row>
    <row r="3299" customFormat="false" ht="15" hidden="false" customHeight="false" outlineLevel="0" collapsed="false">
      <c r="A3299" s="3" t="s">
        <v>307</v>
      </c>
      <c r="G3299" s="16" t="n">
        <f aca="false">G3294*'Historical Financials'!G30/'Historical Financials'!G25</f>
        <v>179.73421</v>
      </c>
      <c r="H3299" s="16" t="n">
        <f aca="false">H3294*'Historical Financials'!G30/'Historical Financials'!G25</f>
        <v>183.3288942</v>
      </c>
      <c r="I3299" s="16" t="n">
        <f aca="false">I3294*'Historical Financials'!G30/'Historical Financials'!G25</f>
        <v>186.995472084</v>
      </c>
      <c r="J3299" s="16" t="n">
        <f aca="false">J3294*'Historical Financials'!G30/'Historical Financials'!G25</f>
        <v>190.73538152568</v>
      </c>
      <c r="K3299" s="16" t="n">
        <f aca="false">K3294*'Historical Financials'!G30/'Historical Financials'!G25</f>
        <v>194.550089156194</v>
      </c>
    </row>
    <row r="3300" customFormat="false" ht="15" hidden="false" customHeight="false" outlineLevel="0" collapsed="false">
      <c r="A3300" s="3" t="s">
        <v>308</v>
      </c>
      <c r="G3300" s="16" t="n">
        <f aca="false">G3294*'Historical Financials'!G31/'Historical Financials'!G25</f>
        <v>0</v>
      </c>
      <c r="H3300" s="16" t="n">
        <f aca="false">H3294*'Historical Financials'!G31/'Historical Financials'!G25</f>
        <v>0</v>
      </c>
      <c r="I3300" s="16" t="n">
        <f aca="false">I3294*'Historical Financials'!G31/'Historical Financials'!G25</f>
        <v>0</v>
      </c>
      <c r="J3300" s="16" t="n">
        <f aca="false">J3294*'Historical Financials'!G31/'Historical Financials'!G25</f>
        <v>0</v>
      </c>
      <c r="K3300" s="16" t="n">
        <f aca="false">K3294*'Historical Financials'!G31/'Historical Financials'!G25</f>
        <v>0</v>
      </c>
    </row>
    <row r="3301" customFormat="false" ht="15" hidden="false" customHeight="false" outlineLevel="0" collapsed="false">
      <c r="A3301" s="2" t="s">
        <v>309</v>
      </c>
      <c r="G3301" s="17" t="n">
        <f aca="false">G3298-G3299-G3300</f>
        <v>76.4371931</v>
      </c>
      <c r="H3301" s="17" t="n">
        <f aca="false">H3298-H3299-H3300</f>
        <v>79.4449643082</v>
      </c>
      <c r="I3301" s="17" t="n">
        <f aca="false">I3298-I3299-I3300</f>
        <v>82.542471487488</v>
      </c>
      <c r="J3301" s="17" t="n">
        <f aca="false">J3298-J3299-J3300</f>
        <v>85.2191742845621</v>
      </c>
      <c r="K3301" s="17" t="n">
        <f aca="false">K3298-K3299-K3300</f>
        <v>87.9699282049242</v>
      </c>
    </row>
    <row r="3302" customFormat="false" ht="15" hidden="false" customHeight="false" outlineLevel="0" collapsed="false">
      <c r="A3302" s="3" t="s">
        <v>310</v>
      </c>
      <c r="G3302" s="16" t="n">
        <f aca="false">G3328+G3341+G3354+G3367+G3380+G3393+G3406+G3419+G3432+G3445</f>
        <v>180.2096854</v>
      </c>
      <c r="H3302" s="16" t="n">
        <f aca="false">H3328+H3341+H3354+H3367+H3380+H3393+H3406+H3419+H3432+H3445</f>
        <v>179.1317704</v>
      </c>
      <c r="I3302" s="16" t="n">
        <f aca="false">I3328+I3341+I3354+I3367+I3380+I3393+I3406+I3419+I3432+I3445</f>
        <v>191.388017509904</v>
      </c>
      <c r="J3302" s="16" t="n">
        <f aca="false">J3328+J3341+J3354+J3367+J3380+J3393+J3406+J3419+J3432+J3445</f>
        <v>191.569272884469</v>
      </c>
      <c r="K3302" s="16" t="n">
        <f aca="false">K3328+K3341+K3354+K3367+K3380+K3393+K3406+K3419+K3432+K3445</f>
        <v>210.404714699088</v>
      </c>
    </row>
    <row r="3303" customFormat="false" ht="15" hidden="false" customHeight="false" outlineLevel="0" collapsed="false">
      <c r="A3303" s="3" t="s">
        <v>311</v>
      </c>
      <c r="G3303" s="16" t="n">
        <f aca="false">G3329+G3342+G3355+G3368+G3381+G3394+G3407+G3420+G3433+G3446</f>
        <v>0</v>
      </c>
      <c r="H3303" s="16" t="n">
        <f aca="false">H3329+H3342+H3355+H3368+H3381+H3394+H3407+H3420+H3433+H3446</f>
        <v>0</v>
      </c>
      <c r="I3303" s="16" t="n">
        <f aca="false">I3329+I3342+I3355+I3368+I3381+I3394+I3407+I3420+I3433+I3446</f>
        <v>0</v>
      </c>
      <c r="J3303" s="16" t="n">
        <f aca="false">J3329+J3342+J3355+J3368+J3381+J3394+J3407+J3420+J3433+J3446</f>
        <v>0</v>
      </c>
      <c r="K3303" s="16" t="n">
        <f aca="false">K3329+K3342+K3355+K3368+K3381+K3394+K3407+K3420+K3433+K3446</f>
        <v>0</v>
      </c>
    </row>
    <row r="3304" customFormat="false" ht="15" hidden="false" customHeight="false" outlineLevel="0" collapsed="false">
      <c r="A3304" s="3" t="s">
        <v>283</v>
      </c>
      <c r="G3304" s="16" t="n">
        <f aca="false">G3302+G3303</f>
        <v>180.2096854</v>
      </c>
      <c r="H3304" s="16" t="n">
        <f aca="false">H3302+H3303</f>
        <v>179.1317704</v>
      </c>
      <c r="I3304" s="16" t="n">
        <f aca="false">I3302+I3303</f>
        <v>191.388017509904</v>
      </c>
      <c r="J3304" s="16" t="n">
        <f aca="false">J3302+J3303</f>
        <v>191.569272884469</v>
      </c>
      <c r="K3304" s="16" t="n">
        <f aca="false">K3302+K3303</f>
        <v>210.404714699088</v>
      </c>
    </row>
    <row r="3305" customFormat="false" ht="15" hidden="false" customHeight="false" outlineLevel="0" collapsed="false">
      <c r="A3305" s="2" t="s">
        <v>284</v>
      </c>
      <c r="G3305" s="17" t="n">
        <f aca="false">G3301-G3304</f>
        <v>-103.7724923</v>
      </c>
      <c r="H3305" s="17" t="n">
        <f aca="false">H3301-H3304</f>
        <v>-99.6868060918</v>
      </c>
      <c r="I3305" s="17" t="n">
        <f aca="false">I3301-I3304</f>
        <v>-108.845546022416</v>
      </c>
      <c r="J3305" s="17" t="n">
        <f aca="false">J3301-J3304</f>
        <v>-106.350098599906</v>
      </c>
      <c r="K3305" s="17" t="n">
        <f aca="false">K3301-K3304</f>
        <v>-122.434786494163</v>
      </c>
    </row>
    <row r="3306" customFormat="false" ht="15" hidden="false" customHeight="false" outlineLevel="0" collapsed="false">
      <c r="A3306" s="3" t="s">
        <v>312</v>
      </c>
      <c r="G3306" s="16" t="n">
        <f aca="false">MAX(0,G3305)*Assumptions!$C$9</f>
        <v>0</v>
      </c>
      <c r="H3306" s="16" t="n">
        <f aca="false">MAX(0,H3305)*Assumptions!$C$9</f>
        <v>0</v>
      </c>
      <c r="I3306" s="16" t="n">
        <f aca="false">MAX(0,I3305)*Assumptions!$C$9</f>
        <v>0</v>
      </c>
      <c r="J3306" s="16" t="n">
        <f aca="false">MAX(0,J3305)*Assumptions!$C$9</f>
        <v>0</v>
      </c>
      <c r="K3306" s="16" t="n">
        <f aca="false">MAX(0,K3305)*Assumptions!$C$9</f>
        <v>0</v>
      </c>
    </row>
    <row r="3307" customFormat="false" ht="15" hidden="false" customHeight="false" outlineLevel="0" collapsed="false">
      <c r="A3307" s="2" t="s">
        <v>313</v>
      </c>
      <c r="G3307" s="17" t="n">
        <f aca="false">G3305-G3306</f>
        <v>-103.7724923</v>
      </c>
      <c r="H3307" s="17" t="n">
        <f aca="false">H3305-H3306</f>
        <v>-99.6868060918</v>
      </c>
      <c r="I3307" s="17" t="n">
        <f aca="false">I3305-I3306</f>
        <v>-108.845546022416</v>
      </c>
      <c r="J3307" s="17" t="n">
        <f aca="false">J3305-J3306</f>
        <v>-106.350098599906</v>
      </c>
      <c r="K3307" s="17" t="n">
        <f aca="false">K3305-K3306</f>
        <v>-122.434786494163</v>
      </c>
    </row>
    <row r="3308" customFormat="false" ht="15" hidden="false" customHeight="false" outlineLevel="0" collapsed="false">
      <c r="A3308" s="24" t="s">
        <v>314</v>
      </c>
      <c r="B3308" s="25"/>
      <c r="C3308" s="25"/>
      <c r="D3308" s="25"/>
      <c r="E3308" s="25"/>
      <c r="F3308" s="25"/>
      <c r="G3308" s="25"/>
      <c r="H3308" s="25"/>
      <c r="I3308" s="25"/>
      <c r="J3308" s="25"/>
      <c r="K3308" s="25"/>
    </row>
    <row r="3309" customFormat="false" ht="15" hidden="false" customHeight="false" outlineLevel="0" collapsed="false">
      <c r="A3309" s="3" t="s">
        <v>184</v>
      </c>
      <c r="G3309" s="16" t="n">
        <f aca="false">G3294*CHOOSE($C$3281,Assumptions!$C$83,Assumptions!$C$102,Assumptions!$C$121)</f>
        <v>106.3352994</v>
      </c>
      <c r="H3309" s="16" t="n">
        <f aca="false">H3294*CHOOSE($C$3281,Assumptions!$C$83,Assumptions!$C$102,Assumptions!$C$121)</f>
        <v>108.462005388</v>
      </c>
      <c r="I3309" s="16" t="n">
        <f aca="false">I3294*CHOOSE($C$3281,Assumptions!$C$83,Assumptions!$C$102,Assumptions!$C$121)</f>
        <v>110.63124549576</v>
      </c>
      <c r="J3309" s="16" t="n">
        <f aca="false">J3294*CHOOSE($C$3281,Assumptions!$C$83,Assumptions!$C$102,Assumptions!$C$121)</f>
        <v>112.843870405675</v>
      </c>
      <c r="K3309" s="16" t="n">
        <f aca="false">K3294*CHOOSE($C$3281,Assumptions!$C$83,Assumptions!$C$102,Assumptions!$C$121)</f>
        <v>115.100747813789</v>
      </c>
    </row>
    <row r="3310" customFormat="false" ht="15" hidden="false" customHeight="false" outlineLevel="0" collapsed="false">
      <c r="A3310" s="3" t="s">
        <v>315</v>
      </c>
      <c r="G3310" s="16" t="n">
        <f aca="false">CHOOSE($C$3281,Assumptions!$C$84,Assumptions!$C$103,Assumptions!$C$122)*(G3294-F3294)+CHOOSE($C$3281,Assumptions!$C$85,Assumptions!$C$104,Assumptions!$C$123)*G3294</f>
        <v>53.1676497</v>
      </c>
      <c r="H3310" s="16" t="n">
        <f aca="false">CHOOSE($C$3281,Assumptions!$C$84,Assumptions!$C$103,Assumptions!$C$122)*(H3294-G3294)+CHOOSE($C$3281,Assumptions!$C$85,Assumptions!$C$104,Assumptions!$C$123)*H3294</f>
        <v>54.231002694</v>
      </c>
      <c r="I3310" s="16" t="n">
        <f aca="false">CHOOSE($C$3281,Assumptions!$C$84,Assumptions!$C$103,Assumptions!$C$122)*(I3294-H3294)+CHOOSE($C$3281,Assumptions!$C$85,Assumptions!$C$104,Assumptions!$C$123)*I3294</f>
        <v>55.31562274788</v>
      </c>
      <c r="J3310" s="16" t="n">
        <f aca="false">CHOOSE($C$3281,Assumptions!$C$84,Assumptions!$C$103,Assumptions!$C$122)*(J3294-I3294)+CHOOSE($C$3281,Assumptions!$C$85,Assumptions!$C$104,Assumptions!$C$123)*J3294</f>
        <v>56.4219352028376</v>
      </c>
      <c r="K3310" s="16" t="n">
        <f aca="false">CHOOSE($C$3281,Assumptions!$C$84,Assumptions!$C$103,Assumptions!$C$122)*(K3294-J3294)+CHOOSE($C$3281,Assumptions!$C$85,Assumptions!$C$104,Assumptions!$C$123)*K3294</f>
        <v>57.5503739068944</v>
      </c>
    </row>
    <row r="3311" customFormat="false" ht="15" hidden="false" customHeight="false" outlineLevel="0" collapsed="false">
      <c r="A3311" s="2" t="s">
        <v>316</v>
      </c>
      <c r="G3311" s="17" t="n">
        <f aca="false">G3307+G3299+G3300+G3303-G3309-G3310</f>
        <v>-83.5412314</v>
      </c>
      <c r="H3311" s="17" t="n">
        <f aca="false">H3307+H3299+H3300+H3303-H3309-H3310</f>
        <v>-79.0509199738</v>
      </c>
      <c r="I3311" s="17" t="n">
        <f aca="false">I3307+I3299+I3300+I3303-I3309-I3310</f>
        <v>-87.796942182056</v>
      </c>
      <c r="J3311" s="17" t="n">
        <f aca="false">J3307+J3299+J3300+J3303-J3309-J3310</f>
        <v>-84.8805226827392</v>
      </c>
      <c r="K3311" s="17" t="n">
        <f aca="false">K3307+K3299+K3300+K3303-K3309-K3310</f>
        <v>-100.535819058653</v>
      </c>
    </row>
    <row r="3313" customFormat="false" ht="15" hidden="false" customHeight="false" outlineLevel="0" collapsed="false">
      <c r="A3313" s="24" t="s">
        <v>318</v>
      </c>
      <c r="B3313" s="25"/>
      <c r="C3313" s="25"/>
      <c r="D3313" s="25"/>
      <c r="E3313" s="25"/>
      <c r="F3313" s="25"/>
      <c r="G3313" s="25"/>
      <c r="H3313" s="25"/>
      <c r="I3313" s="25"/>
      <c r="J3313" s="25"/>
      <c r="K3313" s="25"/>
    </row>
    <row r="3314" customFormat="false" ht="15" hidden="false" customHeight="false" outlineLevel="0" collapsed="false">
      <c r="A3314" s="3" t="s">
        <v>319</v>
      </c>
      <c r="G3314" s="30" t="n">
        <f aca="false">Assumptions!$G$53</f>
        <v>0.039</v>
      </c>
      <c r="H3314" s="30" t="n">
        <f aca="false">Assumptions!$H$53</f>
        <v>0.0375</v>
      </c>
      <c r="I3314" s="30" t="n">
        <f aca="false">Assumptions!$I$53</f>
        <v>0.035</v>
      </c>
      <c r="J3314" s="30" t="n">
        <f aca="false">Assumptions!$J$53</f>
        <v>0.035</v>
      </c>
      <c r="K3314" s="30" t="n">
        <f aca="false">Assumptions!$K$53</f>
        <v>0.035</v>
      </c>
    </row>
    <row r="3315" customFormat="false" ht="15" hidden="false" customHeight="false" outlineLevel="0" collapsed="false">
      <c r="A3315" s="3" t="s">
        <v>320</v>
      </c>
      <c r="C3315" s="31" t="n">
        <f aca="false">CHOOSE($C$3281,Assumptions!$C$86,Assumptions!$C$105,Assumptions!$C$124)+$C$3284</f>
        <v>0</v>
      </c>
    </row>
    <row r="3316" customFormat="false" ht="15" hidden="false" customHeight="false" outlineLevel="0" collapsed="false">
      <c r="A3316" s="3" t="s">
        <v>321</v>
      </c>
      <c r="C3316" s="31" t="n">
        <f aca="false">CHOOSE($C$3281,Assumptions!$C$87,Assumptions!$C$106,Assumptions!$C$125)</f>
        <v>0.08</v>
      </c>
    </row>
    <row r="3317" customFormat="false" ht="15" hidden="false" customHeight="false" outlineLevel="0" collapsed="false">
      <c r="A3317" s="3" t="s">
        <v>322</v>
      </c>
      <c r="C3317" s="32" t="n">
        <f aca="false">CHOOSE($C$3281,Assumptions!$C$88,Assumptions!$C$107,Assumptions!$C$126)</f>
        <v>11</v>
      </c>
    </row>
    <row r="3318" customFormat="false" ht="15" hidden="false" customHeight="false" outlineLevel="0" collapsed="false">
      <c r="A3318" s="3" t="s">
        <v>323</v>
      </c>
      <c r="C3318" s="32" t="n">
        <f aca="false">CHOOSE($C$3281,Assumptions!$C$89,Assumptions!$C$108,Assumptions!$C$127)</f>
        <v>1.2</v>
      </c>
    </row>
    <row r="3319" customFormat="false" ht="15" hidden="false" customHeight="false" outlineLevel="0" collapsed="false">
      <c r="A3319" s="3" t="s">
        <v>324</v>
      </c>
      <c r="G3319" s="16" t="n">
        <f aca="false">G3324+G3337+G3350+G3363+G3376+G3389+G3402+G3415+G3428+G3441</f>
        <v>2625.934</v>
      </c>
      <c r="H3319" s="16" t="n">
        <f aca="false">H3324+H3337+H3350+H3363+H3376+H3389+H3402+H3415+H3428+H3441</f>
        <v>2621.934</v>
      </c>
      <c r="I3319" s="16" t="n">
        <f aca="false">I3324+I3337+I3350+I3363+I3376+I3389+I3402+I3415+I3428+I3441</f>
        <v>2575.6561513738</v>
      </c>
      <c r="J3319" s="16" t="n">
        <f aca="false">J3324+J3337+J3350+J3363+J3376+J3389+J3402+J3415+J3428+J3441</f>
        <v>2638.45309355586</v>
      </c>
      <c r="K3319" s="16" t="n">
        <f aca="false">K3324+K3337+K3350+K3363+K3376+K3389+K3402+K3415+K3428+K3441</f>
        <v>2723.3336162386</v>
      </c>
    </row>
    <row r="3320" customFormat="false" ht="15" hidden="false" customHeight="false" outlineLevel="0" collapsed="false">
      <c r="A3320" s="3" t="s">
        <v>325</v>
      </c>
      <c r="G3320" s="16" t="n">
        <f aca="false">F3512</f>
        <v>37.87</v>
      </c>
      <c r="H3320" s="16" t="n">
        <f aca="false">G3512</f>
        <v>150.3287686</v>
      </c>
      <c r="I3320" s="16" t="n">
        <f aca="false">H3512</f>
        <v>25</v>
      </c>
      <c r="J3320" s="16" t="n">
        <f aca="false">I3512</f>
        <v>0</v>
      </c>
      <c r="K3320" s="16" t="n">
        <f aca="false">J3512</f>
        <v>0</v>
      </c>
    </row>
    <row r="3321" customFormat="false" ht="15" hidden="false" customHeight="false" outlineLevel="0" collapsed="false">
      <c r="A3321" s="3" t="s">
        <v>326</v>
      </c>
      <c r="G3321" s="16" t="n">
        <f aca="false">G3324*IF(G3325=1,$C$3316,IF(Assumptions!$I$57=1,MAX(G3314,Assumptions!$G$57)+Assumptions!$F$57+$C$3315,Assumptions!$E$57))+G3337*IF(G3338=1,$C$3316,IF(Assumptions!$I$58=1,MAX(G3314,Assumptions!$G$58)+Assumptions!$F$58+$C$3315,Assumptions!$E$58))+G3350*IF(G3351=1,$C$3316,IF(Assumptions!$I$59=1,MAX(G3314,Assumptions!$G$59)+Assumptions!$F$59+$C$3315,Assumptions!$E$59))+G3363*IF(G3364=1,$C$3316,IF(Assumptions!$I$60=1,MAX(G3314,Assumptions!$G$60)+Assumptions!$F$60+$C$3315,Assumptions!$E$60))+G3376*IF(G3377=1,$C$3316,IF(Assumptions!$I$61=1,MAX(G3314,Assumptions!$G$61)+Assumptions!$F$61+$C$3315,Assumptions!$E$61))+G3389*IF(G3390=1,$C$3316,IF(Assumptions!$I$62=1,MAX(G3314,Assumptions!$G$62)+Assumptions!$F$62+$C$3315,Assumptions!$E$62))+G3402*IF(G3403=1,$C$3316,IF(Assumptions!$I$63=1,MAX(G3314,Assumptions!$G$63)+Assumptions!$F$63+$C$3315,Assumptions!$E$63))+G3415*IF(G3416=1,$C$3316,IF(Assumptions!$I$64=1,MAX(G3314,Assumptions!$G$64)+Assumptions!$F$64+$C$3315,Assumptions!$E$64))+G3428*IF(G3429=1,$C$3316,IF(Assumptions!$I$65=1,MAX(G3314,Assumptions!$G$65)+Assumptions!$F$65+$C$3315,Assumptions!$E$65))+G3441*IF(G3442=1,$C$3316,IF(Assumptions!$I$66=1,MAX(G3314,Assumptions!$G$66)+Assumptions!$F$66+$C$3315,Assumptions!$E$66))</f>
        <v>180.2096854</v>
      </c>
      <c r="H3321" s="16" t="n">
        <f aca="false">H3324*IF(OR(H3325=1,G3634=1),$C$3316,IF(Assumptions!$I$57=1,MAX(H3314,Assumptions!$G$57)+Assumptions!$F$57+$C$3315,Assumptions!$E$57))+H3337*IF(OR(H3338=1,G3635=1),$C$3316,IF(Assumptions!$I$58=1,MAX(H3314,Assumptions!$G$58)+Assumptions!$F$58+$C$3315,Assumptions!$E$58))+H3350*IF(OR(H3351=1,G3636=1),$C$3316,IF(Assumptions!$I$59=1,MAX(H3314,Assumptions!$G$59)+Assumptions!$F$59+$C$3315,Assumptions!$E$59))+H3363*IF(OR(H3364=1,G3637=1),$C$3316,IF(Assumptions!$I$60=1,MAX(H3314,Assumptions!$G$60)+Assumptions!$F$60+$C$3315,Assumptions!$E$60))+H3376*IF(OR(H3377=1,G3638=1),$C$3316,IF(Assumptions!$I$61=1,MAX(H3314,Assumptions!$G$61)+Assumptions!$F$61+$C$3315,Assumptions!$E$61))+H3389*IF(OR(H3390=1,G3639=1),$C$3316,IF(Assumptions!$I$62=1,MAX(H3314,Assumptions!$G$62)+Assumptions!$F$62+$C$3315,Assumptions!$E$62))+H3402*IF(OR(H3403=1,G3640=1),$C$3316,IF(Assumptions!$I$63=1,MAX(H3314,Assumptions!$G$63)+Assumptions!$F$63+$C$3315,Assumptions!$E$63))+H3415*IF(OR(H3416=1,G3641=1),$C$3316,IF(Assumptions!$I$64=1,MAX(H3314,Assumptions!$G$64)+Assumptions!$F$64+$C$3315,Assumptions!$E$64))+H3428*IF(OR(H3429=1,G3642=1),$C$3316,IF(Assumptions!$I$65=1,MAX(H3314,Assumptions!$G$65)+Assumptions!$F$65+$C$3315,Assumptions!$E$65))+H3441*IF(OR(H3442=1,G3643=1),$C$3316,IF(Assumptions!$I$66=1,MAX(H3314,Assumptions!$G$66)+Assumptions!$F$66+$C$3315,Assumptions!$E$66))</f>
        <v>196.3067704</v>
      </c>
      <c r="I3321" s="16" t="n">
        <f aca="false">I3324*IF(OR(I3325=1,H3634=1),$C$3316,IF(Assumptions!$I$57=1,MAX(I3314,Assumptions!$G$57)+Assumptions!$F$57+$C$3315,Assumptions!$E$57))+I3337*IF(OR(I3338=1,H3635=1),$C$3316,IF(Assumptions!$I$58=1,MAX(I3314,Assumptions!$G$58)+Assumptions!$F$58+$C$3315,Assumptions!$E$58))+I3350*IF(OR(I3351=1,H3636=1),$C$3316,IF(Assumptions!$I$59=1,MAX(I3314,Assumptions!$G$59)+Assumptions!$F$59+$C$3315,Assumptions!$E$59))+I3363*IF(OR(I3364=1,H3637=1),$C$3316,IF(Assumptions!$I$60=1,MAX(I3314,Assumptions!$G$60)+Assumptions!$F$60+$C$3315,Assumptions!$E$60))+I3376*IF(OR(I3377=1,H3638=1),$C$3316,IF(Assumptions!$I$61=1,MAX(I3314,Assumptions!$G$61)+Assumptions!$F$61+$C$3315,Assumptions!$E$61))+I3389*IF(OR(I3390=1,H3639=1),$C$3316,IF(Assumptions!$I$62=1,MAX(I3314,Assumptions!$G$62)+Assumptions!$F$62+$C$3315,Assumptions!$E$62))+I3402*IF(OR(I3403=1,H3640=1),$C$3316,IF(Assumptions!$I$63=1,MAX(I3314,Assumptions!$G$63)+Assumptions!$F$63+$C$3315,Assumptions!$E$63))+I3415*IF(OR(I3416=1,H3641=1),$C$3316,IF(Assumptions!$I$64=1,MAX(I3314,Assumptions!$G$64)+Assumptions!$F$64+$C$3315,Assumptions!$E$64))+I3428*IF(OR(I3429=1,H3642=1),$C$3316,IF(Assumptions!$I$65=1,MAX(I3314,Assumptions!$G$65)+Assumptions!$F$65+$C$3315,Assumptions!$E$65))+I3441*IF(OR(I3442=1,H3643=1),$C$3316,IF(Assumptions!$I$66=1,MAX(I3314,Assumptions!$G$66)+Assumptions!$F$66+$C$3315,Assumptions!$E$66))</f>
        <v>186.575517509904</v>
      </c>
      <c r="J3321" s="16" t="n">
        <f aca="false">J3324*IF(OR(J3325=1,I3634=1),$C$3316,IF(Assumptions!$I$57=1,MAX(J3314,Assumptions!$G$57)+Assumptions!$F$57+$C$3315,Assumptions!$E$57))+J3337*IF(OR(J3338=1,I3635=1),$C$3316,IF(Assumptions!$I$58=1,MAX(J3314,Assumptions!$G$58)+Assumptions!$F$58+$C$3315,Assumptions!$E$58))+J3350*IF(OR(J3351=1,I3636=1),$C$3316,IF(Assumptions!$I$59=1,MAX(J3314,Assumptions!$G$59)+Assumptions!$F$59+$C$3315,Assumptions!$E$59))+J3363*IF(OR(J3364=1,I3637=1),$C$3316,IF(Assumptions!$I$60=1,MAX(J3314,Assumptions!$G$60)+Assumptions!$F$60+$C$3315,Assumptions!$E$60))+J3376*IF(OR(J3377=1,I3638=1),$C$3316,IF(Assumptions!$I$61=1,MAX(J3314,Assumptions!$G$61)+Assumptions!$F$61+$C$3315,Assumptions!$E$61))+J3389*IF(OR(J3390=1,I3639=1),$C$3316,IF(Assumptions!$I$62=1,MAX(J3314,Assumptions!$G$62)+Assumptions!$F$62+$C$3315,Assumptions!$E$62))+J3402*IF(OR(J3403=1,I3640=1),$C$3316,IF(Assumptions!$I$63=1,MAX(J3314,Assumptions!$G$63)+Assumptions!$F$63+$C$3315,Assumptions!$E$63))+J3415*IF(OR(J3416=1,I3641=1),$C$3316,IF(Assumptions!$I$64=1,MAX(J3314,Assumptions!$G$64)+Assumptions!$F$64+$C$3315,Assumptions!$E$64))+J3428*IF(OR(J3429=1,I3642=1),$C$3316,IF(Assumptions!$I$65=1,MAX(J3314,Assumptions!$G$65)+Assumptions!$F$65+$C$3315,Assumptions!$E$65))+J3441*IF(OR(J3442=1,I3643=1),$C$3316,IF(Assumptions!$I$66=1,MAX(J3314,Assumptions!$G$66)+Assumptions!$F$66+$C$3315,Assumptions!$E$66))</f>
        <v>203.644272884468</v>
      </c>
      <c r="K3321" s="16" t="n">
        <f aca="false">K3324*IF(OR(K3325=1,J3634=1),$C$3316,IF(Assumptions!$I$57=1,MAX(K3314,Assumptions!$G$57)+Assumptions!$F$57+$C$3315,Assumptions!$E$57))+K3337*IF(OR(K3338=1,J3635=1),$C$3316,IF(Assumptions!$I$58=1,MAX(K3314,Assumptions!$G$58)+Assumptions!$F$58+$C$3315,Assumptions!$E$58))+K3350*IF(OR(K3351=1,J3636=1),$C$3316,IF(Assumptions!$I$59=1,MAX(K3314,Assumptions!$G$59)+Assumptions!$F$59+$C$3315,Assumptions!$E$59))+K3363*IF(OR(K3364=1,J3637=1),$C$3316,IF(Assumptions!$I$60=1,MAX(K3314,Assumptions!$G$60)+Assumptions!$F$60+$C$3315,Assumptions!$E$60))+K3376*IF(OR(K3377=1,J3638=1),$C$3316,IF(Assumptions!$I$61=1,MAX(K3314,Assumptions!$G$61)+Assumptions!$F$61+$C$3315,Assumptions!$E$61))+K3389*IF(OR(K3390=1,J3639=1),$C$3316,IF(Assumptions!$I$62=1,MAX(K3314,Assumptions!$G$62)+Assumptions!$F$62+$C$3315,Assumptions!$E$62))+K3402*IF(OR(K3403=1,J3640=1),$C$3316,IF(Assumptions!$I$63=1,MAX(K3314,Assumptions!$G$63)+Assumptions!$F$63+$C$3315,Assumptions!$E$63))+K3415*IF(OR(K3416=1,J3641=1),$C$3316,IF(Assumptions!$I$64=1,MAX(K3314,Assumptions!$G$64)+Assumptions!$F$64+$C$3315,Assumptions!$E$64))+K3428*IF(OR(K3429=1,J3642=1),$C$3316,IF(Assumptions!$I$65=1,MAX(K3314,Assumptions!$G$65)+Assumptions!$F$65+$C$3315,Assumptions!$E$65))+K3441*IF(OR(K3442=1,J3643=1),$C$3316,IF(Assumptions!$I$66=1,MAX(K3314,Assumptions!$G$66)+Assumptions!$F$66+$C$3315,Assumptions!$E$66))</f>
        <v>213.149714699088</v>
      </c>
    </row>
    <row r="3322" customFormat="false" ht="15" hidden="false" customHeight="false" outlineLevel="0" collapsed="false">
      <c r="A3322" s="3" t="s">
        <v>327</v>
      </c>
      <c r="G3322" s="21" t="n">
        <f aca="false">IF(G3298&lt;=0,0,IF(AND((G3319-G3320)/G3298&lt;=$C$3317,G3298/G3321&gt;=$C$3318),1,0))</f>
        <v>1</v>
      </c>
      <c r="H3322" s="21" t="n">
        <f aca="false">IF(H3298&lt;=0,0,IF(AND((H3319-H3320)/H3298&lt;=$C$3317,H3298/H3321&gt;=$C$3318),1,0))</f>
        <v>1</v>
      </c>
      <c r="I3322" s="21" t="n">
        <f aca="false">IF(I3298&lt;=0,0,IF(AND((I3319-I3320)/I3298&lt;=$C$3317,I3298/I3321&gt;=$C$3318),1,0))</f>
        <v>1</v>
      </c>
      <c r="J3322" s="21" t="n">
        <f aca="false">IF(J3298&lt;=0,0,IF(AND((J3319-J3320)/J3298&lt;=$C$3317,J3298/J3321&gt;=$C$3318),1,0))</f>
        <v>1</v>
      </c>
      <c r="K3322" s="21" t="n">
        <f aca="false">IF(K3298&lt;=0,0,IF(AND((K3319-K3320)/K3298&lt;=$C$3317,K3298/K3321&gt;=$C$3318),1,0))</f>
        <v>1</v>
      </c>
    </row>
    <row r="3323" customFormat="false" ht="15" hidden="false" customHeight="false" outlineLevel="0" collapsed="false">
      <c r="A3323" s="24" t="s">
        <v>328</v>
      </c>
      <c r="B3323" s="25"/>
      <c r="C3323" s="25"/>
      <c r="D3323" s="25"/>
      <c r="E3323" s="25"/>
      <c r="F3323" s="25"/>
      <c r="G3323" s="25"/>
      <c r="H3323" s="25"/>
      <c r="I3323" s="25"/>
      <c r="J3323" s="25"/>
      <c r="K3323" s="25"/>
    </row>
    <row r="3324" customFormat="false" ht="15" hidden="false" customHeight="false" outlineLevel="0" collapsed="false">
      <c r="A3324" s="3" t="s">
        <v>329</v>
      </c>
      <c r="G3324" s="16" t="n">
        <f aca="false">F3335</f>
        <v>400</v>
      </c>
      <c r="H3324" s="16" t="n">
        <f aca="false">G3335</f>
        <v>396</v>
      </c>
      <c r="I3324" s="16" t="n">
        <f aca="false">H3335</f>
        <v>392</v>
      </c>
      <c r="J3324" s="16" t="n">
        <f aca="false">I3335</f>
        <v>388</v>
      </c>
      <c r="K3324" s="16" t="n">
        <f aca="false">J3335</f>
        <v>384</v>
      </c>
    </row>
    <row r="3325" customFormat="false" ht="15" hidden="false" customHeight="false" outlineLevel="0" collapsed="false">
      <c r="A3325" s="3" t="s">
        <v>330</v>
      </c>
      <c r="G3325" s="21" t="n">
        <f aca="false">IF(G3288=Assumptions!$K$57,1,0)</f>
        <v>0</v>
      </c>
      <c r="H3325" s="21" t="n">
        <f aca="false">IF(H3288=Assumptions!$K$57,1,0)</f>
        <v>0</v>
      </c>
      <c r="I3325" s="21" t="n">
        <f aca="false">IF(I3288=Assumptions!$K$57,1,0)</f>
        <v>0</v>
      </c>
      <c r="J3325" s="21" t="n">
        <f aca="false">IF(J3288=Assumptions!$K$57,1,0)</f>
        <v>0</v>
      </c>
      <c r="K3325" s="21" t="n">
        <f aca="false">IF(K3288=Assumptions!$K$57,1,0)</f>
        <v>1</v>
      </c>
    </row>
    <row r="3327" customFormat="false" ht="15" hidden="false" customHeight="false" outlineLevel="0" collapsed="false">
      <c r="A3327" s="3" t="s">
        <v>331</v>
      </c>
      <c r="G3327" s="31" t="n">
        <f aca="false">IF(Assumptions!$I$57=1,MAX(G3314,Assumptions!$G$57)+Assumptions!$F$57+$C$3315,Assumptions!$E$57)</f>
        <v>0.0915</v>
      </c>
      <c r="H3327" s="31" t="n">
        <f aca="false">IF(G3634=1,$C$3316,IF(Assumptions!$I$57=1,MAX(H3314,Assumptions!$G$57)+Assumptions!$F$57+$C$3315,Assumptions!$E$57))</f>
        <v>0.09</v>
      </c>
      <c r="I3327" s="31" t="n">
        <f aca="false">IF(H3634=1,$C$3316,IF(Assumptions!$I$57=1,MAX(I3314,Assumptions!$G$57)+Assumptions!$F$57+$C$3315,Assumptions!$E$57))</f>
        <v>0.0875</v>
      </c>
      <c r="J3327" s="31" t="n">
        <f aca="false">IF(I3634=1,$C$3316,IF(Assumptions!$I$57=1,MAX(J3314,Assumptions!$G$57)+Assumptions!$F$57+$C$3315,Assumptions!$E$57))</f>
        <v>0.0875</v>
      </c>
      <c r="K3327" s="31" t="n">
        <f aca="false">IF(J3634=1,$C$3316,IF(Assumptions!$I$57=1,MAX(K3314,Assumptions!$G$57)+Assumptions!$F$57+$C$3315,Assumptions!$E$57))</f>
        <v>0.0875</v>
      </c>
    </row>
    <row r="3328" customFormat="false" ht="15" hidden="false" customHeight="false" outlineLevel="0" collapsed="false">
      <c r="A3328" s="3" t="s">
        <v>332</v>
      </c>
      <c r="G3328" s="16" t="n">
        <f aca="false">G3324*G3327</f>
        <v>36.6</v>
      </c>
      <c r="H3328" s="16" t="n">
        <f aca="false">H3324*H3327</f>
        <v>35.64</v>
      </c>
      <c r="I3328" s="16" t="n">
        <f aca="false">I3324*I3327</f>
        <v>34.3</v>
      </c>
      <c r="J3328" s="16" t="n">
        <f aca="false">J3324*J3327</f>
        <v>33.95</v>
      </c>
      <c r="K3328" s="16" t="n">
        <f aca="false">K3324*K3327</f>
        <v>33.6</v>
      </c>
    </row>
    <row r="3329" customFormat="false" ht="15" hidden="false" customHeight="false" outlineLevel="0" collapsed="false">
      <c r="A3329" s="3" t="s">
        <v>333</v>
      </c>
      <c r="G3329" s="16" t="n">
        <f aca="false">G3324*Assumptions!$H$57</f>
        <v>0</v>
      </c>
      <c r="H3329" s="16" t="n">
        <f aca="false">H3324*Assumptions!$H$57</f>
        <v>0</v>
      </c>
      <c r="I3329" s="16" t="n">
        <f aca="false">I3324*Assumptions!$H$57</f>
        <v>0</v>
      </c>
      <c r="J3329" s="16" t="n">
        <f aca="false">J3324*Assumptions!$H$57</f>
        <v>0</v>
      </c>
      <c r="K3329" s="16" t="n">
        <f aca="false">K3324*Assumptions!$H$57</f>
        <v>0</v>
      </c>
    </row>
    <row r="3330" customFormat="false" ht="15" hidden="false" customHeight="false" outlineLevel="0" collapsed="false">
      <c r="A3330" s="3" t="s">
        <v>334</v>
      </c>
      <c r="G3330" s="16" t="n">
        <f aca="false">MIN(G3324,Assumptions!$L$57*Assumptions!$C$57)</f>
        <v>4</v>
      </c>
      <c r="H3330" s="16" t="n">
        <f aca="false">MIN(H3324,Assumptions!$L$57*Assumptions!$C$57)</f>
        <v>4</v>
      </c>
      <c r="I3330" s="16" t="n">
        <f aca="false">MIN(I3324,Assumptions!$L$57*Assumptions!$C$57)</f>
        <v>4</v>
      </c>
      <c r="J3330" s="16" t="n">
        <f aca="false">MIN(J3324,Assumptions!$L$57*Assumptions!$C$57)</f>
        <v>4</v>
      </c>
      <c r="K3330" s="16" t="n">
        <f aca="false">MIN(K3324,Assumptions!$L$57*Assumptions!$C$57)</f>
        <v>4</v>
      </c>
    </row>
    <row r="3331" customFormat="false" ht="15" hidden="false" customHeight="false" outlineLevel="0" collapsed="false">
      <c r="A3331" s="3" t="s">
        <v>335</v>
      </c>
      <c r="G3331" s="16" t="n">
        <f aca="false">IF(AND(Assumptions!$P$57=1,G3288&lt;Assumptions!$K$57),MIN(MAX(0,-G3504),MAX(0,Assumptions!$D$57-G3324)),0)</f>
        <v>0</v>
      </c>
      <c r="H3331" s="16" t="n">
        <f aca="false">IF(AND(Assumptions!$P$57=1,OR(H3288&lt;Assumptions!$K$57,G3634=1)),MIN(MAX(0,-H3504),MAX(0,Assumptions!$D$57-H3324)),0)</f>
        <v>0</v>
      </c>
      <c r="I3331" s="16" t="n">
        <f aca="false">IF(AND(Assumptions!$P$57=1,OR(I3288&lt;Assumptions!$K$57,H3634=1)),MIN(MAX(0,-I3504),MAX(0,Assumptions!$D$57-I3324)),0)</f>
        <v>0</v>
      </c>
      <c r="J3331" s="16" t="n">
        <f aca="false">IF(AND(Assumptions!$P$57=1,OR(J3288&lt;Assumptions!$K$57,I3634=1)),MIN(MAX(0,-J3504),MAX(0,Assumptions!$D$57-J3324)),0)</f>
        <v>0</v>
      </c>
      <c r="K3331" s="16" t="n">
        <f aca="false">IF(AND(Assumptions!$P$57=1,OR(K3288&lt;Assumptions!$K$57,J3634=1)),MIN(MAX(0,-K3504),MAX(0,Assumptions!$D$57-K3324)),0)</f>
        <v>0</v>
      </c>
    </row>
    <row r="3332" customFormat="false" ht="15" hidden="false" customHeight="false" outlineLevel="0" collapsed="false">
      <c r="A3332" s="3" t="s">
        <v>336</v>
      </c>
      <c r="G3332" s="16" t="n">
        <f aca="false">G3325*MIN(G3324-G3330+G3329,MAX(0,G3506-Assumptions!$C$12*G3322))</f>
        <v>0</v>
      </c>
      <c r="H3332" s="16" t="n">
        <f aca="false">H3325*MIN(H3324-H3330+H3329,MAX(0,H3506-Assumptions!$C$12*H3322))</f>
        <v>0</v>
      </c>
      <c r="I3332" s="16" t="n">
        <f aca="false">I3325*MIN(I3324-I3330+I3329,MAX(0,I3506-Assumptions!$C$12*I3322))</f>
        <v>0</v>
      </c>
      <c r="J3332" s="16" t="n">
        <f aca="false">J3325*MIN(J3324-J3330+J3329,MAX(0,J3506-Assumptions!$C$12*J3322))</f>
        <v>0</v>
      </c>
      <c r="K3332" s="16" t="n">
        <f aca="false">K3325*MIN(K3324-K3330+K3329,MAX(0,K3506-Assumptions!$C$12*K3322))</f>
        <v>0</v>
      </c>
    </row>
    <row r="3333" customFormat="false" ht="15" hidden="false" customHeight="false" outlineLevel="0" collapsed="false">
      <c r="A3333" s="3" t="s">
        <v>337</v>
      </c>
      <c r="G3333" s="16" t="n">
        <f aca="false">Assumptions!$N$57*MIN(G3324+G3331+G3329-G3330-G3332,MAX(0,G3510))</f>
        <v>0</v>
      </c>
      <c r="H3333" s="16" t="n">
        <f aca="false">Assumptions!$N$57*MIN(H3324+H3331+H3329-H3330-H3332,MAX(0,H3510))</f>
        <v>0</v>
      </c>
      <c r="I3333" s="16" t="n">
        <f aca="false">Assumptions!$N$57*MIN(I3324+I3331+I3329-I3330-I3332,MAX(0,I3510))</f>
        <v>0</v>
      </c>
      <c r="J3333" s="16" t="n">
        <f aca="false">Assumptions!$N$57*MIN(J3324+J3331+J3329-J3330-J3332,MAX(0,J3510))</f>
        <v>0</v>
      </c>
      <c r="K3333" s="16" t="n">
        <f aca="false">Assumptions!$N$57*MIN(K3324+K3331+K3329-K3330-K3332,MAX(0,K3510))</f>
        <v>0</v>
      </c>
    </row>
    <row r="3334" customFormat="false" ht="15" hidden="false" customHeight="false" outlineLevel="0" collapsed="false">
      <c r="A3334" s="3" t="s">
        <v>338</v>
      </c>
      <c r="G3334" s="16" t="n">
        <f aca="false">G3325*(1-G3322)*(G3324-G3330+G3329-G3332)</f>
        <v>0</v>
      </c>
      <c r="H3334" s="16" t="n">
        <f aca="false">H3325*(1-H3322)*(H3324-H3330+H3329-H3332)</f>
        <v>0</v>
      </c>
      <c r="I3334" s="16" t="n">
        <f aca="false">I3325*(1-I3322)*(I3324-I3330+I3329-I3332)</f>
        <v>0</v>
      </c>
      <c r="J3334" s="16" t="n">
        <f aca="false">J3325*(1-J3322)*(J3324-J3330+J3329-J3332)</f>
        <v>0</v>
      </c>
      <c r="K3334" s="16" t="n">
        <f aca="false">K3325*(1-K3322)*(K3324-K3330+K3329-K3332)</f>
        <v>0</v>
      </c>
    </row>
    <row r="3335" customFormat="false" ht="15" hidden="false" customHeight="false" outlineLevel="0" collapsed="false">
      <c r="A3335" s="2" t="s">
        <v>339</v>
      </c>
      <c r="F3335" s="28" t="n">
        <f aca="false">Assumptions!$C$57</f>
        <v>400</v>
      </c>
      <c r="G3335" s="17" t="n">
        <f aca="false">G3324+G3331+G3329-G3330-G3332-G3333</f>
        <v>396</v>
      </c>
      <c r="H3335" s="17" t="n">
        <f aca="false">H3324+H3331+H3329-H3330-H3332-H3333</f>
        <v>392</v>
      </c>
      <c r="I3335" s="17" t="n">
        <f aca="false">I3324+I3331+I3329-I3330-I3332-I3333</f>
        <v>388</v>
      </c>
      <c r="J3335" s="17" t="n">
        <f aca="false">J3324+J3331+J3329-J3330-J3332-J3333</f>
        <v>384</v>
      </c>
      <c r="K3335" s="17" t="n">
        <f aca="false">K3324+K3331+K3329-K3330-K3332-K3333</f>
        <v>380</v>
      </c>
    </row>
    <row r="3336" customFormat="false" ht="15" hidden="false" customHeight="false" outlineLevel="0" collapsed="false">
      <c r="A3336" s="24" t="s">
        <v>340</v>
      </c>
      <c r="B3336" s="25"/>
      <c r="C3336" s="25"/>
      <c r="D3336" s="25"/>
      <c r="E3336" s="25"/>
      <c r="F3336" s="25"/>
      <c r="G3336" s="25"/>
      <c r="H3336" s="25"/>
      <c r="I3336" s="25"/>
      <c r="J3336" s="25"/>
      <c r="K3336" s="25"/>
    </row>
    <row r="3337" customFormat="false" ht="15" hidden="false" customHeight="false" outlineLevel="0" collapsed="false">
      <c r="A3337" s="3" t="s">
        <v>329</v>
      </c>
      <c r="G3337" s="16" t="n">
        <f aca="false">F3348</f>
        <v>90</v>
      </c>
      <c r="H3337" s="16" t="n">
        <f aca="false">G3348</f>
        <v>90</v>
      </c>
      <c r="I3337" s="16" t="n">
        <f aca="false">H3348</f>
        <v>90</v>
      </c>
      <c r="J3337" s="16" t="n">
        <f aca="false">I3348</f>
        <v>90</v>
      </c>
      <c r="K3337" s="16" t="n">
        <f aca="false">J3348</f>
        <v>90</v>
      </c>
    </row>
    <row r="3338" customFormat="false" ht="15" hidden="false" customHeight="false" outlineLevel="0" collapsed="false">
      <c r="A3338" s="3" t="s">
        <v>330</v>
      </c>
      <c r="G3338" s="21" t="n">
        <f aca="false">IF(G3288=Assumptions!$K$58,1,0)</f>
        <v>0</v>
      </c>
      <c r="H3338" s="21" t="n">
        <f aca="false">IF(H3288=Assumptions!$K$58,1,0)</f>
        <v>0</v>
      </c>
      <c r="I3338" s="21" t="n">
        <f aca="false">IF(I3288=Assumptions!$K$58,1,0)</f>
        <v>0</v>
      </c>
      <c r="J3338" s="21" t="n">
        <f aca="false">IF(J3288=Assumptions!$K$58,1,0)</f>
        <v>0</v>
      </c>
      <c r="K3338" s="21" t="n">
        <f aca="false">IF(K3288=Assumptions!$K$58,1,0)</f>
        <v>0</v>
      </c>
    </row>
    <row r="3340" customFormat="false" ht="15" hidden="false" customHeight="false" outlineLevel="0" collapsed="false">
      <c r="A3340" s="3" t="s">
        <v>331</v>
      </c>
      <c r="G3340" s="31" t="n">
        <f aca="false">IF(Assumptions!$I$58=1,MAX(G3314,Assumptions!$G$58)+Assumptions!$F$58+$C$3315,Assumptions!$E$58)</f>
        <v>0.0581</v>
      </c>
      <c r="H3340" s="31" t="n">
        <f aca="false">IF(G3635=1,$C$3316,IF(Assumptions!$I$58=1,MAX(H3314,Assumptions!$G$58)+Assumptions!$F$58+$C$3315,Assumptions!$E$58))</f>
        <v>0.0581</v>
      </c>
      <c r="I3340" s="31" t="n">
        <f aca="false">IF(H3635=1,$C$3316,IF(Assumptions!$I$58=1,MAX(I3314,Assumptions!$G$58)+Assumptions!$F$58+$C$3315,Assumptions!$E$58))</f>
        <v>0.0581</v>
      </c>
      <c r="J3340" s="31" t="n">
        <f aca="false">IF(I3635=1,$C$3316,IF(Assumptions!$I$58=1,MAX(J3314,Assumptions!$G$58)+Assumptions!$F$58+$C$3315,Assumptions!$E$58))</f>
        <v>0.0581</v>
      </c>
      <c r="K3340" s="31" t="n">
        <f aca="false">IF(J3635=1,$C$3316,IF(Assumptions!$I$58=1,MAX(K3314,Assumptions!$G$58)+Assumptions!$F$58+$C$3315,Assumptions!$E$58))</f>
        <v>0.0581</v>
      </c>
    </row>
    <row r="3341" customFormat="false" ht="15" hidden="false" customHeight="false" outlineLevel="0" collapsed="false">
      <c r="A3341" s="3" t="s">
        <v>332</v>
      </c>
      <c r="G3341" s="16" t="n">
        <f aca="false">G3337*G3340</f>
        <v>5.229</v>
      </c>
      <c r="H3341" s="16" t="n">
        <f aca="false">H3337*H3340</f>
        <v>5.229</v>
      </c>
      <c r="I3341" s="16" t="n">
        <f aca="false">I3337*I3340</f>
        <v>5.229</v>
      </c>
      <c r="J3341" s="16" t="n">
        <f aca="false">J3337*J3340</f>
        <v>5.229</v>
      </c>
      <c r="K3341" s="16" t="n">
        <f aca="false">K3337*K3340</f>
        <v>5.229</v>
      </c>
    </row>
    <row r="3342" customFormat="false" ht="15" hidden="false" customHeight="false" outlineLevel="0" collapsed="false">
      <c r="A3342" s="3" t="s">
        <v>333</v>
      </c>
      <c r="G3342" s="16" t="n">
        <f aca="false">G3337*Assumptions!$H$58</f>
        <v>0</v>
      </c>
      <c r="H3342" s="16" t="n">
        <f aca="false">H3337*Assumptions!$H$58</f>
        <v>0</v>
      </c>
      <c r="I3342" s="16" t="n">
        <f aca="false">I3337*Assumptions!$H$58</f>
        <v>0</v>
      </c>
      <c r="J3342" s="16" t="n">
        <f aca="false">J3337*Assumptions!$H$58</f>
        <v>0</v>
      </c>
      <c r="K3342" s="16" t="n">
        <f aca="false">K3337*Assumptions!$H$58</f>
        <v>0</v>
      </c>
    </row>
    <row r="3343" customFormat="false" ht="15" hidden="false" customHeight="false" outlineLevel="0" collapsed="false">
      <c r="A3343" s="3" t="s">
        <v>334</v>
      </c>
      <c r="G3343" s="16" t="n">
        <f aca="false">MIN(G3337,Assumptions!$L$58*Assumptions!$C$58)</f>
        <v>0</v>
      </c>
      <c r="H3343" s="16" t="n">
        <f aca="false">MIN(H3337,Assumptions!$L$58*Assumptions!$C$58)</f>
        <v>0</v>
      </c>
      <c r="I3343" s="16" t="n">
        <f aca="false">MIN(I3337,Assumptions!$L$58*Assumptions!$C$58)</f>
        <v>0</v>
      </c>
      <c r="J3343" s="16" t="n">
        <f aca="false">MIN(J3337,Assumptions!$L$58*Assumptions!$C$58)</f>
        <v>0</v>
      </c>
      <c r="K3343" s="16" t="n">
        <f aca="false">MIN(K3337,Assumptions!$L$58*Assumptions!$C$58)</f>
        <v>0</v>
      </c>
    </row>
    <row r="3344" customFormat="false" ht="15" hidden="false" customHeight="false" outlineLevel="0" collapsed="false">
      <c r="A3344" s="3" t="s">
        <v>335</v>
      </c>
      <c r="G3344" s="16" t="n">
        <f aca="false">IF(AND(Assumptions!$P$58=1,G3288&lt;Assumptions!$K$58),MIN(MAX(0,-G3504),MAX(0,Assumptions!$D$58-G3337)),0)</f>
        <v>0</v>
      </c>
      <c r="H3344" s="16" t="n">
        <f aca="false">IF(AND(Assumptions!$P$58=1,OR(H3288&lt;Assumptions!$K$58,G3635=1)),MIN(MAX(0,-H3504),MAX(0,Assumptions!$D$58-H3337)),0)</f>
        <v>0</v>
      </c>
      <c r="I3344" s="16" t="n">
        <f aca="false">IF(AND(Assumptions!$P$58=1,OR(I3288&lt;Assumptions!$K$58,H3635=1)),MIN(MAX(0,-I3504),MAX(0,Assumptions!$D$58-I3337)),0)</f>
        <v>0</v>
      </c>
      <c r="J3344" s="16" t="n">
        <f aca="false">IF(AND(Assumptions!$P$58=1,OR(J3288&lt;Assumptions!$K$58,I3635=1)),MIN(MAX(0,-J3504),MAX(0,Assumptions!$D$58-J3337)),0)</f>
        <v>0</v>
      </c>
      <c r="K3344" s="16" t="n">
        <f aca="false">IF(AND(Assumptions!$P$58=1,OR(K3288&lt;Assumptions!$K$58,J3635=1)),MIN(MAX(0,-K3504),MAX(0,Assumptions!$D$58-K3337)),0)</f>
        <v>0</v>
      </c>
    </row>
    <row r="3345" customFormat="false" ht="15" hidden="false" customHeight="false" outlineLevel="0" collapsed="false">
      <c r="A3345" s="3" t="s">
        <v>336</v>
      </c>
      <c r="G3345" s="16" t="n">
        <f aca="false">G3338*MIN(G3337-G3343+G3342,MAX(0,G3506-Assumptions!$C$12*G3322-G3332))</f>
        <v>0</v>
      </c>
      <c r="H3345" s="16" t="n">
        <f aca="false">H3338*MIN(H3337-H3343+H3342,MAX(0,H3506-Assumptions!$C$12*H3322-H3332))</f>
        <v>0</v>
      </c>
      <c r="I3345" s="16" t="n">
        <f aca="false">I3338*MIN(I3337-I3343+I3342,MAX(0,I3506-Assumptions!$C$12*I3322-I3332))</f>
        <v>0</v>
      </c>
      <c r="J3345" s="16" t="n">
        <f aca="false">J3338*MIN(J3337-J3343+J3342,MAX(0,J3506-Assumptions!$C$12*J3322-J3332))</f>
        <v>0</v>
      </c>
      <c r="K3345" s="16" t="n">
        <f aca="false">K3338*MIN(K3337-K3343+K3342,MAX(0,K3506-Assumptions!$C$12*K3322-K3332))</f>
        <v>0</v>
      </c>
    </row>
    <row r="3346" customFormat="false" ht="15" hidden="false" customHeight="false" outlineLevel="0" collapsed="false">
      <c r="A3346" s="3" t="s">
        <v>337</v>
      </c>
      <c r="G3346" s="16" t="n">
        <f aca="false">Assumptions!$N$58*MIN(G3337+G3344+G3342-G3343-G3345,MAX(0,G3510-G3333))</f>
        <v>0</v>
      </c>
      <c r="H3346" s="16" t="n">
        <f aca="false">Assumptions!$N$58*MIN(H3337+H3344+H3342-H3343-H3345,MAX(0,H3510-H3333))</f>
        <v>0</v>
      </c>
      <c r="I3346" s="16" t="n">
        <f aca="false">Assumptions!$N$58*MIN(I3337+I3344+I3342-I3343-I3345,MAX(0,I3510-I3333))</f>
        <v>0</v>
      </c>
      <c r="J3346" s="16" t="n">
        <f aca="false">Assumptions!$N$58*MIN(J3337+J3344+J3342-J3343-J3345,MAX(0,J3510-J3333))</f>
        <v>0</v>
      </c>
      <c r="K3346" s="16" t="n">
        <f aca="false">Assumptions!$N$58*MIN(K3337+K3344+K3342-K3343-K3345,MAX(0,K3510-K3333))</f>
        <v>0</v>
      </c>
    </row>
    <row r="3347" customFormat="false" ht="15" hidden="false" customHeight="false" outlineLevel="0" collapsed="false">
      <c r="A3347" s="3" t="s">
        <v>338</v>
      </c>
      <c r="G3347" s="16" t="n">
        <f aca="false">G3338*(1-G3322)*(G3337-G3343+G3342-G3345)</f>
        <v>0</v>
      </c>
      <c r="H3347" s="16" t="n">
        <f aca="false">H3338*(1-H3322)*(H3337-H3343+H3342-H3345)</f>
        <v>0</v>
      </c>
      <c r="I3347" s="16" t="n">
        <f aca="false">I3338*(1-I3322)*(I3337-I3343+I3342-I3345)</f>
        <v>0</v>
      </c>
      <c r="J3347" s="16" t="n">
        <f aca="false">J3338*(1-J3322)*(J3337-J3343+J3342-J3345)</f>
        <v>0</v>
      </c>
      <c r="K3347" s="16" t="n">
        <f aca="false">K3338*(1-K3322)*(K3337-K3343+K3342-K3345)</f>
        <v>0</v>
      </c>
    </row>
    <row r="3348" customFormat="false" ht="15" hidden="false" customHeight="false" outlineLevel="0" collapsed="false">
      <c r="A3348" s="2" t="s">
        <v>339</v>
      </c>
      <c r="F3348" s="28" t="n">
        <f aca="false">Assumptions!$C$58</f>
        <v>90</v>
      </c>
      <c r="G3348" s="17" t="n">
        <f aca="false">G3337+G3344+G3342-G3343-G3345-G3346</f>
        <v>90</v>
      </c>
      <c r="H3348" s="17" t="n">
        <f aca="false">H3337+H3344+H3342-H3343-H3345-H3346</f>
        <v>90</v>
      </c>
      <c r="I3348" s="17" t="n">
        <f aca="false">I3337+I3344+I3342-I3343-I3345-I3346</f>
        <v>90</v>
      </c>
      <c r="J3348" s="17" t="n">
        <f aca="false">J3337+J3344+J3342-J3343-J3345-J3346</f>
        <v>90</v>
      </c>
      <c r="K3348" s="17" t="n">
        <f aca="false">K3337+K3344+K3342-K3343-K3345-K3346</f>
        <v>90</v>
      </c>
    </row>
    <row r="3349" customFormat="false" ht="15" hidden="false" customHeight="false" outlineLevel="0" collapsed="false">
      <c r="A3349" s="24" t="s">
        <v>341</v>
      </c>
      <c r="B3349" s="25"/>
      <c r="C3349" s="25"/>
      <c r="D3349" s="25"/>
      <c r="E3349" s="25"/>
      <c r="F3349" s="25"/>
      <c r="G3349" s="25"/>
      <c r="H3349" s="25"/>
      <c r="I3349" s="25"/>
      <c r="J3349" s="25"/>
      <c r="K3349" s="25"/>
    </row>
    <row r="3350" customFormat="false" ht="15" hidden="false" customHeight="false" outlineLevel="0" collapsed="false">
      <c r="A3350" s="3" t="s">
        <v>329</v>
      </c>
      <c r="G3350" s="16" t="n">
        <f aca="false">F3361</f>
        <v>57.324</v>
      </c>
      <c r="H3350" s="16" t="n">
        <f aca="false">G3361</f>
        <v>57.324</v>
      </c>
      <c r="I3350" s="16" t="n">
        <f aca="false">H3361</f>
        <v>57.324</v>
      </c>
      <c r="J3350" s="16" t="n">
        <f aca="false">I3361</f>
        <v>57.324</v>
      </c>
      <c r="K3350" s="16" t="n">
        <f aca="false">J3361</f>
        <v>57.324</v>
      </c>
    </row>
    <row r="3351" customFormat="false" ht="15" hidden="false" customHeight="false" outlineLevel="0" collapsed="false">
      <c r="A3351" s="3" t="s">
        <v>330</v>
      </c>
      <c r="G3351" s="21" t="n">
        <f aca="false">IF(G3288=Assumptions!$K$59,1,0)</f>
        <v>0</v>
      </c>
      <c r="H3351" s="21" t="n">
        <f aca="false">IF(H3288=Assumptions!$K$59,1,0)</f>
        <v>0</v>
      </c>
      <c r="I3351" s="21" t="n">
        <f aca="false">IF(I3288=Assumptions!$K$59,1,0)</f>
        <v>0</v>
      </c>
      <c r="J3351" s="21" t="n">
        <f aca="false">IF(J3288=Assumptions!$K$59,1,0)</f>
        <v>0</v>
      </c>
      <c r="K3351" s="21" t="n">
        <f aca="false">IF(K3288=Assumptions!$K$59,1,0)</f>
        <v>0</v>
      </c>
    </row>
    <row r="3353" customFormat="false" ht="15" hidden="false" customHeight="false" outlineLevel="0" collapsed="false">
      <c r="A3353" s="3" t="s">
        <v>331</v>
      </c>
      <c r="G3353" s="31" t="n">
        <f aca="false">IF(Assumptions!$I$59=1,MAX(G3314,Assumptions!$G$59)+Assumptions!$F$59+$C$3315,Assumptions!$E$59)</f>
        <v>0.0731</v>
      </c>
      <c r="H3353" s="31" t="n">
        <f aca="false">IF(G3636=1,$C$3316,IF(Assumptions!$I$59=1,MAX(H3314,Assumptions!$G$59)+Assumptions!$F$59+$C$3315,Assumptions!$E$59))</f>
        <v>0.0731</v>
      </c>
      <c r="I3353" s="31" t="n">
        <f aca="false">IF(H3636=1,$C$3316,IF(Assumptions!$I$59=1,MAX(I3314,Assumptions!$G$59)+Assumptions!$F$59+$C$3315,Assumptions!$E$59))</f>
        <v>0.0731</v>
      </c>
      <c r="J3353" s="31" t="n">
        <f aca="false">IF(I3636=1,$C$3316,IF(Assumptions!$I$59=1,MAX(J3314,Assumptions!$G$59)+Assumptions!$F$59+$C$3315,Assumptions!$E$59))</f>
        <v>0.0731</v>
      </c>
      <c r="K3353" s="31" t="n">
        <f aca="false">IF(J3636=1,$C$3316,IF(Assumptions!$I$59=1,MAX(K3314,Assumptions!$G$59)+Assumptions!$F$59+$C$3315,Assumptions!$E$59))</f>
        <v>0.0731</v>
      </c>
    </row>
    <row r="3354" customFormat="false" ht="15" hidden="false" customHeight="false" outlineLevel="0" collapsed="false">
      <c r="A3354" s="3" t="s">
        <v>332</v>
      </c>
      <c r="G3354" s="16" t="n">
        <f aca="false">G3350*G3353</f>
        <v>4.1903844</v>
      </c>
      <c r="H3354" s="16" t="n">
        <f aca="false">H3350*H3353</f>
        <v>4.1903844</v>
      </c>
      <c r="I3354" s="16" t="n">
        <f aca="false">I3350*I3353</f>
        <v>4.1903844</v>
      </c>
      <c r="J3354" s="16" t="n">
        <f aca="false">J3350*J3353</f>
        <v>4.1903844</v>
      </c>
      <c r="K3354" s="16" t="n">
        <f aca="false">K3350*K3353</f>
        <v>4.1903844</v>
      </c>
    </row>
    <row r="3355" customFormat="false" ht="15" hidden="false" customHeight="false" outlineLevel="0" collapsed="false">
      <c r="A3355" s="3" t="s">
        <v>333</v>
      </c>
      <c r="G3355" s="16" t="n">
        <f aca="false">G3350*Assumptions!$H$59</f>
        <v>0</v>
      </c>
      <c r="H3355" s="16" t="n">
        <f aca="false">H3350*Assumptions!$H$59</f>
        <v>0</v>
      </c>
      <c r="I3355" s="16" t="n">
        <f aca="false">I3350*Assumptions!$H$59</f>
        <v>0</v>
      </c>
      <c r="J3355" s="16" t="n">
        <f aca="false">J3350*Assumptions!$H$59</f>
        <v>0</v>
      </c>
      <c r="K3355" s="16" t="n">
        <f aca="false">K3350*Assumptions!$H$59</f>
        <v>0</v>
      </c>
    </row>
    <row r="3356" customFormat="false" ht="15" hidden="false" customHeight="false" outlineLevel="0" collapsed="false">
      <c r="A3356" s="3" t="s">
        <v>334</v>
      </c>
      <c r="G3356" s="16" t="n">
        <f aca="false">MIN(G3350,Assumptions!$L$59*Assumptions!$C$59)</f>
        <v>0</v>
      </c>
      <c r="H3356" s="16" t="n">
        <f aca="false">MIN(H3350,Assumptions!$L$59*Assumptions!$C$59)</f>
        <v>0</v>
      </c>
      <c r="I3356" s="16" t="n">
        <f aca="false">MIN(I3350,Assumptions!$L$59*Assumptions!$C$59)</f>
        <v>0</v>
      </c>
      <c r="J3356" s="16" t="n">
        <f aca="false">MIN(J3350,Assumptions!$L$59*Assumptions!$C$59)</f>
        <v>0</v>
      </c>
      <c r="K3356" s="16" t="n">
        <f aca="false">MIN(K3350,Assumptions!$L$59*Assumptions!$C$59)</f>
        <v>0</v>
      </c>
    </row>
    <row r="3357" customFormat="false" ht="15" hidden="false" customHeight="false" outlineLevel="0" collapsed="false">
      <c r="A3357" s="3" t="s">
        <v>335</v>
      </c>
      <c r="G3357" s="16" t="n">
        <f aca="false">IF(AND(Assumptions!$P$59=1,G3288&lt;Assumptions!$K$59),MIN(MAX(0,-G3504),MAX(0,Assumptions!$D$59-G3350)),0)</f>
        <v>0</v>
      </c>
      <c r="H3357" s="16" t="n">
        <f aca="false">IF(AND(Assumptions!$P$59=1,OR(H3288&lt;Assumptions!$K$59,G3636=1)),MIN(MAX(0,-H3504),MAX(0,Assumptions!$D$59-H3350)),0)</f>
        <v>0</v>
      </c>
      <c r="I3357" s="16" t="n">
        <f aca="false">IF(AND(Assumptions!$P$59=1,OR(I3288&lt;Assumptions!$K$59,H3636=1)),MIN(MAX(0,-I3504),MAX(0,Assumptions!$D$59-I3350)),0)</f>
        <v>0</v>
      </c>
      <c r="J3357" s="16" t="n">
        <f aca="false">IF(AND(Assumptions!$P$59=1,OR(J3288&lt;Assumptions!$K$59,I3636=1)),MIN(MAX(0,-J3504),MAX(0,Assumptions!$D$59-J3350)),0)</f>
        <v>0</v>
      </c>
      <c r="K3357" s="16" t="n">
        <f aca="false">IF(AND(Assumptions!$P$59=1,OR(K3288&lt;Assumptions!$K$59,J3636=1)),MIN(MAX(0,-K3504),MAX(0,Assumptions!$D$59-K3350)),0)</f>
        <v>0</v>
      </c>
    </row>
    <row r="3358" customFormat="false" ht="15" hidden="false" customHeight="false" outlineLevel="0" collapsed="false">
      <c r="A3358" s="3" t="s">
        <v>336</v>
      </c>
      <c r="G3358" s="16" t="n">
        <f aca="false">G3351*MIN(G3350-G3356+G3355,MAX(0,G3506-Assumptions!$C$12*G3322-G3332-G3345))</f>
        <v>0</v>
      </c>
      <c r="H3358" s="16" t="n">
        <f aca="false">H3351*MIN(H3350-H3356+H3355,MAX(0,H3506-Assumptions!$C$12*H3322-H3332-H3345))</f>
        <v>0</v>
      </c>
      <c r="I3358" s="16" t="n">
        <f aca="false">I3351*MIN(I3350-I3356+I3355,MAX(0,I3506-Assumptions!$C$12*I3322-I3332-I3345))</f>
        <v>0</v>
      </c>
      <c r="J3358" s="16" t="n">
        <f aca="false">J3351*MIN(J3350-J3356+J3355,MAX(0,J3506-Assumptions!$C$12*J3322-J3332-J3345))</f>
        <v>0</v>
      </c>
      <c r="K3358" s="16" t="n">
        <f aca="false">K3351*MIN(K3350-K3356+K3355,MAX(0,K3506-Assumptions!$C$12*K3322-K3332-K3345))</f>
        <v>0</v>
      </c>
    </row>
    <row r="3359" customFormat="false" ht="15" hidden="false" customHeight="false" outlineLevel="0" collapsed="false">
      <c r="A3359" s="3" t="s">
        <v>337</v>
      </c>
      <c r="G3359" s="16" t="n">
        <f aca="false">Assumptions!$N$59*MIN(G3350+G3357+G3355-G3356-G3358,MAX(0,G3510-G3333-G3346))</f>
        <v>0</v>
      </c>
      <c r="H3359" s="16" t="n">
        <f aca="false">Assumptions!$N$59*MIN(H3350+H3357+H3355-H3356-H3358,MAX(0,H3510-H3333-H3346))</f>
        <v>0</v>
      </c>
      <c r="I3359" s="16" t="n">
        <f aca="false">Assumptions!$N$59*MIN(I3350+I3357+I3355-I3356-I3358,MAX(0,I3510-I3333-I3346))</f>
        <v>0</v>
      </c>
      <c r="J3359" s="16" t="n">
        <f aca="false">Assumptions!$N$59*MIN(J3350+J3357+J3355-J3356-J3358,MAX(0,J3510-J3333-J3346))</f>
        <v>0</v>
      </c>
      <c r="K3359" s="16" t="n">
        <f aca="false">Assumptions!$N$59*MIN(K3350+K3357+K3355-K3356-K3358,MAX(0,K3510-K3333-K3346))</f>
        <v>0</v>
      </c>
    </row>
    <row r="3360" customFormat="false" ht="15" hidden="false" customHeight="false" outlineLevel="0" collapsed="false">
      <c r="A3360" s="3" t="s">
        <v>338</v>
      </c>
      <c r="G3360" s="16" t="n">
        <f aca="false">G3351*(1-G3322)*(G3350-G3356+G3355-G3358)</f>
        <v>0</v>
      </c>
      <c r="H3360" s="16" t="n">
        <f aca="false">H3351*(1-H3322)*(H3350-H3356+H3355-H3358)</f>
        <v>0</v>
      </c>
      <c r="I3360" s="16" t="n">
        <f aca="false">I3351*(1-I3322)*(I3350-I3356+I3355-I3358)</f>
        <v>0</v>
      </c>
      <c r="J3360" s="16" t="n">
        <f aca="false">J3351*(1-J3322)*(J3350-J3356+J3355-J3358)</f>
        <v>0</v>
      </c>
      <c r="K3360" s="16" t="n">
        <f aca="false">K3351*(1-K3322)*(K3350-K3356+K3355-K3358)</f>
        <v>0</v>
      </c>
    </row>
    <row r="3361" customFormat="false" ht="15" hidden="false" customHeight="false" outlineLevel="0" collapsed="false">
      <c r="A3361" s="2" t="s">
        <v>339</v>
      </c>
      <c r="F3361" s="28" t="n">
        <f aca="false">Assumptions!$C$59</f>
        <v>57.324</v>
      </c>
      <c r="G3361" s="17" t="n">
        <f aca="false">G3350+G3357+G3355-G3356-G3358-G3359</f>
        <v>57.324</v>
      </c>
      <c r="H3361" s="17" t="n">
        <f aca="false">H3350+H3357+H3355-H3356-H3358-H3359</f>
        <v>57.324</v>
      </c>
      <c r="I3361" s="17" t="n">
        <f aca="false">I3350+I3357+I3355-I3356-I3358-I3359</f>
        <v>57.324</v>
      </c>
      <c r="J3361" s="17" t="n">
        <f aca="false">J3350+J3357+J3355-J3356-J3358-J3359</f>
        <v>57.324</v>
      </c>
      <c r="K3361" s="17" t="n">
        <f aca="false">K3350+K3357+K3355-K3356-K3358-K3359</f>
        <v>57.324</v>
      </c>
    </row>
    <row r="3362" customFormat="false" ht="15" hidden="false" customHeight="false" outlineLevel="0" collapsed="false">
      <c r="A3362" s="24" t="s">
        <v>342</v>
      </c>
      <c r="B3362" s="25"/>
      <c r="C3362" s="25"/>
      <c r="D3362" s="25"/>
      <c r="E3362" s="25"/>
      <c r="F3362" s="25"/>
      <c r="G3362" s="25"/>
      <c r="H3362" s="25"/>
      <c r="I3362" s="25"/>
      <c r="J3362" s="25"/>
      <c r="K3362" s="25"/>
    </row>
    <row r="3363" customFormat="false" ht="15" hidden="false" customHeight="false" outlineLevel="0" collapsed="false">
      <c r="A3363" s="3" t="s">
        <v>329</v>
      </c>
      <c r="G3363" s="16" t="n">
        <f aca="false">F3374</f>
        <v>0</v>
      </c>
      <c r="H3363" s="16" t="n">
        <f aca="false">G3374</f>
        <v>0</v>
      </c>
      <c r="I3363" s="16" t="n">
        <f aca="false">H3374</f>
        <v>0</v>
      </c>
      <c r="J3363" s="16" t="n">
        <f aca="false">I3374</f>
        <v>66.796942182056</v>
      </c>
      <c r="K3363" s="16" t="n">
        <f aca="false">J3374</f>
        <v>155.677464864795</v>
      </c>
    </row>
    <row r="3364" customFormat="false" ht="15" hidden="false" customHeight="false" outlineLevel="0" collapsed="false">
      <c r="A3364" s="3" t="s">
        <v>330</v>
      </c>
      <c r="G3364" s="21" t="n">
        <f aca="false">IF(G3288=Assumptions!$K$60,1,0)</f>
        <v>1</v>
      </c>
      <c r="H3364" s="21" t="n">
        <f aca="false">IF(H3288=Assumptions!$K$60,1,0)</f>
        <v>0</v>
      </c>
      <c r="I3364" s="21" t="n">
        <f aca="false">IF(I3288=Assumptions!$K$60,1,0)</f>
        <v>0</v>
      </c>
      <c r="J3364" s="21" t="n">
        <f aca="false">IF(J3288=Assumptions!$K$60,1,0)</f>
        <v>0</v>
      </c>
      <c r="K3364" s="21" t="n">
        <f aca="false">IF(K3288=Assumptions!$K$60,1,0)</f>
        <v>0</v>
      </c>
    </row>
    <row r="3366" customFormat="false" ht="15" hidden="false" customHeight="false" outlineLevel="0" collapsed="false">
      <c r="A3366" s="3" t="s">
        <v>331</v>
      </c>
      <c r="G3366" s="31" t="n">
        <f aca="false">IF(Assumptions!$I$60=1,MAX(G3314,Assumptions!$G$60)+Assumptions!$F$60+$C$3315,Assumptions!$E$60)</f>
        <v>0.054</v>
      </c>
      <c r="H3366" s="31" t="n">
        <f aca="false">IF(G3637=1,$C$3316,IF(Assumptions!$I$60=1,MAX(H3314,Assumptions!$G$60)+Assumptions!$F$60+$C$3315,Assumptions!$E$60))</f>
        <v>0.08</v>
      </c>
      <c r="I3366" s="31" t="n">
        <f aca="false">IF(H3637=1,$C$3316,IF(Assumptions!$I$60=1,MAX(I3314,Assumptions!$G$60)+Assumptions!$F$60+$C$3315,Assumptions!$E$60))</f>
        <v>0.08</v>
      </c>
      <c r="J3366" s="31" t="n">
        <f aca="false">IF(I3637=1,$C$3316,IF(Assumptions!$I$60=1,MAX(J3314,Assumptions!$G$60)+Assumptions!$F$60+$C$3315,Assumptions!$E$60))</f>
        <v>0.08</v>
      </c>
      <c r="K3366" s="31" t="n">
        <f aca="false">IF(J3637=1,$C$3316,IF(Assumptions!$I$60=1,MAX(K3314,Assumptions!$G$60)+Assumptions!$F$60+$C$3315,Assumptions!$E$60))</f>
        <v>0.08</v>
      </c>
    </row>
    <row r="3367" customFormat="false" ht="15" hidden="false" customHeight="false" outlineLevel="0" collapsed="false">
      <c r="A3367" s="3" t="s">
        <v>332</v>
      </c>
      <c r="G3367" s="16" t="n">
        <f aca="false">G3363*G3366</f>
        <v>0</v>
      </c>
      <c r="H3367" s="16" t="n">
        <f aca="false">H3363*H3366</f>
        <v>0</v>
      </c>
      <c r="I3367" s="16" t="n">
        <f aca="false">I3363*I3366</f>
        <v>0</v>
      </c>
      <c r="J3367" s="16" t="n">
        <f aca="false">J3363*J3366</f>
        <v>5.34375537456448</v>
      </c>
      <c r="K3367" s="16" t="n">
        <f aca="false">K3363*K3366</f>
        <v>12.4541971891836</v>
      </c>
    </row>
    <row r="3368" customFormat="false" ht="15" hidden="false" customHeight="false" outlineLevel="0" collapsed="false">
      <c r="A3368" s="3" t="s">
        <v>333</v>
      </c>
      <c r="G3368" s="16" t="n">
        <f aca="false">G3363*Assumptions!$H$60</f>
        <v>0</v>
      </c>
      <c r="H3368" s="16" t="n">
        <f aca="false">H3363*Assumptions!$H$60</f>
        <v>0</v>
      </c>
      <c r="I3368" s="16" t="n">
        <f aca="false">I3363*Assumptions!$H$60</f>
        <v>0</v>
      </c>
      <c r="J3368" s="16" t="n">
        <f aca="false">J3363*Assumptions!$H$60</f>
        <v>0</v>
      </c>
      <c r="K3368" s="16" t="n">
        <f aca="false">K3363*Assumptions!$H$60</f>
        <v>0</v>
      </c>
    </row>
    <row r="3369" customFormat="false" ht="15" hidden="false" customHeight="false" outlineLevel="0" collapsed="false">
      <c r="A3369" s="3" t="s">
        <v>334</v>
      </c>
      <c r="G3369" s="16" t="n">
        <f aca="false">MIN(G3363,Assumptions!$L$60*Assumptions!$C$60)</f>
        <v>0</v>
      </c>
      <c r="H3369" s="16" t="n">
        <f aca="false">MIN(H3363,Assumptions!$L$60*Assumptions!$C$60)</f>
        <v>0</v>
      </c>
      <c r="I3369" s="16" t="n">
        <f aca="false">MIN(I3363,Assumptions!$L$60*Assumptions!$C$60)</f>
        <v>0</v>
      </c>
      <c r="J3369" s="16" t="n">
        <f aca="false">MIN(J3363,Assumptions!$L$60*Assumptions!$C$60)</f>
        <v>0</v>
      </c>
      <c r="K3369" s="16" t="n">
        <f aca="false">MIN(K3363,Assumptions!$L$60*Assumptions!$C$60)</f>
        <v>0</v>
      </c>
    </row>
    <row r="3370" customFormat="false" ht="15" hidden="false" customHeight="false" outlineLevel="0" collapsed="false">
      <c r="A3370" s="3" t="s">
        <v>335</v>
      </c>
      <c r="G3370" s="16" t="n">
        <f aca="false">IF(AND(Assumptions!$P$60=1,G3288&lt;Assumptions!$K$60),MIN(MAX(0,-G3504),MAX(0,Assumptions!$D$60-G3363)),0)</f>
        <v>0</v>
      </c>
      <c r="H3370" s="16" t="n">
        <f aca="false">IF(AND(Assumptions!$P$60=1,OR(H3288&lt;Assumptions!$K$60,G3637=1)),MIN(MAX(0,-H3504),MAX(0,Assumptions!$D$60-H3363)),0)</f>
        <v>0</v>
      </c>
      <c r="I3370" s="16" t="n">
        <f aca="false">IF(AND(Assumptions!$P$60=1,OR(I3288&lt;Assumptions!$K$60,H3637=1)),MIN(MAX(0,-I3504),MAX(0,Assumptions!$D$60-I3363)),0)</f>
        <v>66.796942182056</v>
      </c>
      <c r="J3370" s="16" t="n">
        <f aca="false">IF(AND(Assumptions!$P$60=1,OR(J3288&lt;Assumptions!$K$60,I3637=1)),MIN(MAX(0,-J3504),MAX(0,Assumptions!$D$60-J3363)),0)</f>
        <v>88.8805226827392</v>
      </c>
      <c r="K3370" s="16" t="n">
        <f aca="false">IF(AND(Assumptions!$P$60=1,OR(K3288&lt;Assumptions!$K$60,J3637=1)),MIN(MAX(0,-K3504),MAX(0,Assumptions!$D$60-K3363)),0)</f>
        <v>104.535819058653</v>
      </c>
    </row>
    <row r="3371" customFormat="false" ht="15" hidden="false" customHeight="false" outlineLevel="0" collapsed="false">
      <c r="A3371" s="3" t="s">
        <v>336</v>
      </c>
      <c r="G3371" s="16" t="n">
        <f aca="false">G3364*MIN(G3363-G3369+G3368,MAX(0,G3506-Assumptions!$C$12*G3322-G3332-G3345-G3358))</f>
        <v>0</v>
      </c>
      <c r="H3371" s="16" t="n">
        <f aca="false">H3364*MIN(H3363-H3369+H3368,MAX(0,H3506-Assumptions!$C$12*H3322-H3332-H3345-H3358))</f>
        <v>0</v>
      </c>
      <c r="I3371" s="16" t="n">
        <f aca="false">I3364*MIN(I3363-I3369+I3368,MAX(0,I3506-Assumptions!$C$12*I3322-I3332-I3345-I3358))</f>
        <v>0</v>
      </c>
      <c r="J3371" s="16" t="n">
        <f aca="false">J3364*MIN(J3363-J3369+J3368,MAX(0,J3506-Assumptions!$C$12*J3322-J3332-J3345-J3358))</f>
        <v>0</v>
      </c>
      <c r="K3371" s="16" t="n">
        <f aca="false">K3364*MIN(K3363-K3369+K3368,MAX(0,K3506-Assumptions!$C$12*K3322-K3332-K3345-K3358))</f>
        <v>0</v>
      </c>
    </row>
    <row r="3372" customFormat="false" ht="15" hidden="false" customHeight="false" outlineLevel="0" collapsed="false">
      <c r="A3372" s="3" t="s">
        <v>337</v>
      </c>
      <c r="G3372" s="16" t="n">
        <f aca="false">Assumptions!$N$60*MIN(G3363+G3370+G3368-G3369-G3371,MAX(0,G3510-G3333-G3346-G3359))</f>
        <v>0</v>
      </c>
      <c r="H3372" s="16" t="n">
        <f aca="false">Assumptions!$N$60*MIN(H3363+H3370+H3368-H3369-H3371,MAX(0,H3510-H3333-H3346-H3359))</f>
        <v>0</v>
      </c>
      <c r="I3372" s="16" t="n">
        <f aca="false">Assumptions!$N$60*MIN(I3363+I3370+I3368-I3369-I3371,MAX(0,I3510-I3333-I3346-I3359))</f>
        <v>0</v>
      </c>
      <c r="J3372" s="16" t="n">
        <f aca="false">Assumptions!$N$60*MIN(J3363+J3370+J3368-J3369-J3371,MAX(0,J3510-J3333-J3346-J3359))</f>
        <v>0</v>
      </c>
      <c r="K3372" s="16" t="n">
        <f aca="false">Assumptions!$N$60*MIN(K3363+K3370+K3368-K3369-K3371,MAX(0,K3510-K3333-K3346-K3359))</f>
        <v>0</v>
      </c>
    </row>
    <row r="3373" customFormat="false" ht="15" hidden="false" customHeight="false" outlineLevel="0" collapsed="false">
      <c r="A3373" s="3" t="s">
        <v>338</v>
      </c>
      <c r="G3373" s="16" t="n">
        <f aca="false">G3364*(1-G3322)*(G3363-G3369+G3368-G3371)</f>
        <v>0</v>
      </c>
      <c r="H3373" s="16" t="n">
        <f aca="false">H3364*(1-H3322)*(H3363-H3369+H3368-H3371)</f>
        <v>0</v>
      </c>
      <c r="I3373" s="16" t="n">
        <f aca="false">I3364*(1-I3322)*(I3363-I3369+I3368-I3371)</f>
        <v>0</v>
      </c>
      <c r="J3373" s="16" t="n">
        <f aca="false">J3364*(1-J3322)*(J3363-J3369+J3368-J3371)</f>
        <v>0</v>
      </c>
      <c r="K3373" s="16" t="n">
        <f aca="false">K3364*(1-K3322)*(K3363-K3369+K3368-K3371)</f>
        <v>0</v>
      </c>
    </row>
    <row r="3374" customFormat="false" ht="15" hidden="false" customHeight="false" outlineLevel="0" collapsed="false">
      <c r="A3374" s="2" t="s">
        <v>339</v>
      </c>
      <c r="F3374" s="28" t="n">
        <f aca="false">Assumptions!$C$60</f>
        <v>0</v>
      </c>
      <c r="G3374" s="17" t="n">
        <f aca="false">G3363+G3370+G3368-G3369-G3371-G3372</f>
        <v>0</v>
      </c>
      <c r="H3374" s="17" t="n">
        <f aca="false">H3363+H3370+H3368-H3369-H3371-H3372</f>
        <v>0</v>
      </c>
      <c r="I3374" s="17" t="n">
        <f aca="false">I3363+I3370+I3368-I3369-I3371-I3372</f>
        <v>66.796942182056</v>
      </c>
      <c r="J3374" s="17" t="n">
        <f aca="false">J3363+J3370+J3368-J3369-J3371-J3372</f>
        <v>155.677464864795</v>
      </c>
      <c r="K3374" s="17" t="n">
        <f aca="false">K3363+K3370+K3368-K3369-K3371-K3372</f>
        <v>260.213283923448</v>
      </c>
    </row>
    <row r="3375" customFormat="false" ht="15" hidden="false" customHeight="false" outlineLevel="0" collapsed="false">
      <c r="A3375" s="24" t="s">
        <v>343</v>
      </c>
      <c r="B3375" s="25"/>
      <c r="C3375" s="25"/>
      <c r="D3375" s="25"/>
      <c r="E3375" s="25"/>
      <c r="F3375" s="25"/>
      <c r="G3375" s="25"/>
      <c r="H3375" s="25"/>
      <c r="I3375" s="25"/>
      <c r="J3375" s="25"/>
      <c r="K3375" s="25"/>
    </row>
    <row r="3376" customFormat="false" ht="15" hidden="false" customHeight="false" outlineLevel="0" collapsed="false">
      <c r="A3376" s="3" t="s">
        <v>329</v>
      </c>
      <c r="G3376" s="16" t="n">
        <f aca="false">F3387</f>
        <v>450</v>
      </c>
      <c r="H3376" s="16" t="n">
        <f aca="false">G3387</f>
        <v>450</v>
      </c>
      <c r="I3376" s="16" t="n">
        <f aca="false">H3387</f>
        <v>407.7221513738</v>
      </c>
      <c r="J3376" s="16" t="n">
        <f aca="false">I3387</f>
        <v>407.7221513738</v>
      </c>
      <c r="K3376" s="16" t="n">
        <f aca="false">J3387</f>
        <v>407.7221513738</v>
      </c>
    </row>
    <row r="3377" customFormat="false" ht="15" hidden="false" customHeight="false" outlineLevel="0" collapsed="false">
      <c r="A3377" s="3" t="s">
        <v>330</v>
      </c>
      <c r="G3377" s="21" t="n">
        <f aca="false">IF(G3288=Assumptions!$K$61,1,0)</f>
        <v>0</v>
      </c>
      <c r="H3377" s="21" t="n">
        <f aca="false">IF(H3288=Assumptions!$K$61,1,0)</f>
        <v>1</v>
      </c>
      <c r="I3377" s="21" t="n">
        <f aca="false">IF(I3288=Assumptions!$K$61,1,0)</f>
        <v>0</v>
      </c>
      <c r="J3377" s="21" t="n">
        <f aca="false">IF(J3288=Assumptions!$K$61,1,0)</f>
        <v>0</v>
      </c>
      <c r="K3377" s="21" t="n">
        <f aca="false">IF(K3288=Assumptions!$K$61,1,0)</f>
        <v>0</v>
      </c>
    </row>
    <row r="3379" customFormat="false" ht="15" hidden="false" customHeight="false" outlineLevel="0" collapsed="false">
      <c r="A3379" s="3" t="s">
        <v>331</v>
      </c>
      <c r="G3379" s="31" t="n">
        <f aca="false">IF(Assumptions!$I$61=1,MAX(G3314,Assumptions!$G$61)+Assumptions!$F$61+$C$3315,Assumptions!$E$61)</f>
        <v>0.0395</v>
      </c>
      <c r="H3379" s="31" t="n">
        <f aca="false">IF(G3638=1,$C$3316,IF(Assumptions!$I$61=1,MAX(H3314,Assumptions!$G$61)+Assumptions!$F$61+$C$3315,Assumptions!$E$61))</f>
        <v>0.0395</v>
      </c>
      <c r="I3379" s="31" t="n">
        <f aca="false">IF(H3638=1,$C$3316,IF(Assumptions!$I$61=1,MAX(I3314,Assumptions!$G$61)+Assumptions!$F$61+$C$3315,Assumptions!$E$61))</f>
        <v>0.08</v>
      </c>
      <c r="J3379" s="31" t="n">
        <f aca="false">IF(I3638=1,$C$3316,IF(Assumptions!$I$61=1,MAX(J3314,Assumptions!$G$61)+Assumptions!$F$61+$C$3315,Assumptions!$E$61))</f>
        <v>0.08</v>
      </c>
      <c r="K3379" s="31" t="n">
        <f aca="false">IF(J3638=1,$C$3316,IF(Assumptions!$I$61=1,MAX(K3314,Assumptions!$G$61)+Assumptions!$F$61+$C$3315,Assumptions!$E$61))</f>
        <v>0.08</v>
      </c>
    </row>
    <row r="3380" customFormat="false" ht="15" hidden="false" customHeight="false" outlineLevel="0" collapsed="false">
      <c r="A3380" s="3" t="s">
        <v>332</v>
      </c>
      <c r="G3380" s="16" t="n">
        <f aca="false">G3376*G3379</f>
        <v>17.775</v>
      </c>
      <c r="H3380" s="16" t="n">
        <f aca="false">H3376*H3379</f>
        <v>17.775</v>
      </c>
      <c r="I3380" s="16" t="n">
        <f aca="false">I3376*I3379</f>
        <v>32.617772109904</v>
      </c>
      <c r="J3380" s="16" t="n">
        <f aca="false">J3376*J3379</f>
        <v>32.617772109904</v>
      </c>
      <c r="K3380" s="16" t="n">
        <f aca="false">K3376*K3379</f>
        <v>32.617772109904</v>
      </c>
    </row>
    <row r="3381" customFormat="false" ht="15" hidden="false" customHeight="false" outlineLevel="0" collapsed="false">
      <c r="A3381" s="3" t="s">
        <v>333</v>
      </c>
      <c r="G3381" s="16" t="n">
        <f aca="false">G3376*Assumptions!$H$61</f>
        <v>0</v>
      </c>
      <c r="H3381" s="16" t="n">
        <f aca="false">H3376*Assumptions!$H$61</f>
        <v>0</v>
      </c>
      <c r="I3381" s="16" t="n">
        <f aca="false">I3376*Assumptions!$H$61</f>
        <v>0</v>
      </c>
      <c r="J3381" s="16" t="n">
        <f aca="false">J3376*Assumptions!$H$61</f>
        <v>0</v>
      </c>
      <c r="K3381" s="16" t="n">
        <f aca="false">K3376*Assumptions!$H$61</f>
        <v>0</v>
      </c>
    </row>
    <row r="3382" customFormat="false" ht="15" hidden="false" customHeight="false" outlineLevel="0" collapsed="false">
      <c r="A3382" s="3" t="s">
        <v>334</v>
      </c>
      <c r="G3382" s="16" t="n">
        <f aca="false">MIN(G3376,Assumptions!$L$61*Assumptions!$C$61)</f>
        <v>0</v>
      </c>
      <c r="H3382" s="16" t="n">
        <f aca="false">MIN(H3376,Assumptions!$L$61*Assumptions!$C$61)</f>
        <v>0</v>
      </c>
      <c r="I3382" s="16" t="n">
        <f aca="false">MIN(I3376,Assumptions!$L$61*Assumptions!$C$61)</f>
        <v>0</v>
      </c>
      <c r="J3382" s="16" t="n">
        <f aca="false">MIN(J3376,Assumptions!$L$61*Assumptions!$C$61)</f>
        <v>0</v>
      </c>
      <c r="K3382" s="16" t="n">
        <f aca="false">MIN(K3376,Assumptions!$L$61*Assumptions!$C$61)</f>
        <v>0</v>
      </c>
    </row>
    <row r="3383" customFormat="false" ht="15" hidden="false" customHeight="false" outlineLevel="0" collapsed="false">
      <c r="A3383" s="3" t="s">
        <v>335</v>
      </c>
      <c r="G3383" s="16" t="n">
        <f aca="false">IF(AND(Assumptions!$P$61=1,G3288&lt;Assumptions!$K$61),MIN(MAX(0,-G3504),MAX(0,Assumptions!$D$61-G3376)),0)</f>
        <v>0</v>
      </c>
      <c r="H3383" s="16" t="n">
        <f aca="false">IF(AND(Assumptions!$P$61=1,OR(H3288&lt;Assumptions!$K$61,G3638=1)),MIN(MAX(0,-H3504),MAX(0,Assumptions!$D$61-H3376)),0)</f>
        <v>0</v>
      </c>
      <c r="I3383" s="16" t="n">
        <f aca="false">IF(AND(Assumptions!$P$61=1,OR(I3288&lt;Assumptions!$K$61,H3638=1)),MIN(MAX(0,-I3504),MAX(0,Assumptions!$D$61-I3376)),0)</f>
        <v>0</v>
      </c>
      <c r="J3383" s="16" t="n">
        <f aca="false">IF(AND(Assumptions!$P$61=1,OR(J3288&lt;Assumptions!$K$61,I3638=1)),MIN(MAX(0,-J3504),MAX(0,Assumptions!$D$61-J3376)),0)</f>
        <v>0</v>
      </c>
      <c r="K3383" s="16" t="n">
        <f aca="false">IF(AND(Assumptions!$P$61=1,OR(K3288&lt;Assumptions!$K$61,J3638=1)),MIN(MAX(0,-K3504),MAX(0,Assumptions!$D$61-K3376)),0)</f>
        <v>0</v>
      </c>
    </row>
    <row r="3384" customFormat="false" ht="15" hidden="false" customHeight="false" outlineLevel="0" collapsed="false">
      <c r="A3384" s="3" t="s">
        <v>336</v>
      </c>
      <c r="G3384" s="16" t="n">
        <f aca="false">G3377*MIN(G3376-G3382+G3381,MAX(0,G3506-Assumptions!$C$12*G3322-G3332-G3345-G3358-G3371))</f>
        <v>0</v>
      </c>
      <c r="H3384" s="16" t="n">
        <f aca="false">H3377*MIN(H3376-H3382+H3381,MAX(0,H3506-Assumptions!$C$12*H3322-H3332-H3345-H3358-H3371))</f>
        <v>42.2778486262</v>
      </c>
      <c r="I3384" s="16" t="n">
        <f aca="false">I3377*MIN(I3376-I3382+I3381,MAX(0,I3506-Assumptions!$C$12*I3322-I3332-I3345-I3358-I3371))</f>
        <v>0</v>
      </c>
      <c r="J3384" s="16" t="n">
        <f aca="false">J3377*MIN(J3376-J3382+J3381,MAX(0,J3506-Assumptions!$C$12*J3322-J3332-J3345-J3358-J3371))</f>
        <v>0</v>
      </c>
      <c r="K3384" s="16" t="n">
        <f aca="false">K3377*MIN(K3376-K3382+K3381,MAX(0,K3506-Assumptions!$C$12*K3322-K3332-K3345-K3358-K3371))</f>
        <v>0</v>
      </c>
    </row>
    <row r="3385" customFormat="false" ht="15" hidden="false" customHeight="false" outlineLevel="0" collapsed="false">
      <c r="A3385" s="3" t="s">
        <v>337</v>
      </c>
      <c r="G3385" s="16" t="n">
        <f aca="false">Assumptions!$N$61*MIN(G3376+G3383+G3381-G3382-G3384,MAX(0,G3510-G3333-G3346-G3359-G3372))</f>
        <v>0</v>
      </c>
      <c r="H3385" s="16" t="n">
        <f aca="false">Assumptions!$N$61*MIN(H3376+H3383+H3381-H3382-H3384,MAX(0,H3510-H3333-H3346-H3359-H3372))</f>
        <v>0</v>
      </c>
      <c r="I3385" s="16" t="n">
        <f aca="false">Assumptions!$N$61*MIN(I3376+I3383+I3381-I3382-I3384,MAX(0,I3510-I3333-I3346-I3359-I3372))</f>
        <v>0</v>
      </c>
      <c r="J3385" s="16" t="n">
        <f aca="false">Assumptions!$N$61*MIN(J3376+J3383+J3381-J3382-J3384,MAX(0,J3510-J3333-J3346-J3359-J3372))</f>
        <v>0</v>
      </c>
      <c r="K3385" s="16" t="n">
        <f aca="false">Assumptions!$N$61*MIN(K3376+K3383+K3381-K3382-K3384,MAX(0,K3510-K3333-K3346-K3359-K3372))</f>
        <v>0</v>
      </c>
    </row>
    <row r="3386" customFormat="false" ht="15" hidden="false" customHeight="false" outlineLevel="0" collapsed="false">
      <c r="A3386" s="3" t="s">
        <v>338</v>
      </c>
      <c r="G3386" s="16" t="n">
        <f aca="false">G3377*(1-G3322)*(G3376-G3382+G3381-G3384)</f>
        <v>0</v>
      </c>
      <c r="H3386" s="16" t="n">
        <f aca="false">H3377*(1-H3322)*(H3376-H3382+H3381-H3384)</f>
        <v>0</v>
      </c>
      <c r="I3386" s="16" t="n">
        <f aca="false">I3377*(1-I3322)*(I3376-I3382+I3381-I3384)</f>
        <v>0</v>
      </c>
      <c r="J3386" s="16" t="n">
        <f aca="false">J3377*(1-J3322)*(J3376-J3382+J3381-J3384)</f>
        <v>0</v>
      </c>
      <c r="K3386" s="16" t="n">
        <f aca="false">K3377*(1-K3322)*(K3376-K3382+K3381-K3384)</f>
        <v>0</v>
      </c>
    </row>
    <row r="3387" customFormat="false" ht="15" hidden="false" customHeight="false" outlineLevel="0" collapsed="false">
      <c r="A3387" s="2" t="s">
        <v>339</v>
      </c>
      <c r="F3387" s="28" t="n">
        <f aca="false">Assumptions!$C$61</f>
        <v>450</v>
      </c>
      <c r="G3387" s="17" t="n">
        <f aca="false">G3376+G3383+G3381-G3382-G3384-G3385</f>
        <v>450</v>
      </c>
      <c r="H3387" s="17" t="n">
        <f aca="false">H3376+H3383+H3381-H3382-H3384-H3385</f>
        <v>407.7221513738</v>
      </c>
      <c r="I3387" s="17" t="n">
        <f aca="false">I3376+I3383+I3381-I3382-I3384-I3385</f>
        <v>407.7221513738</v>
      </c>
      <c r="J3387" s="17" t="n">
        <f aca="false">J3376+J3383+J3381-J3382-J3384-J3385</f>
        <v>407.7221513738</v>
      </c>
      <c r="K3387" s="17" t="n">
        <f aca="false">K3376+K3383+K3381-K3382-K3384-K3385</f>
        <v>407.7221513738</v>
      </c>
    </row>
    <row r="3388" customFormat="false" ht="15" hidden="false" customHeight="false" outlineLevel="0" collapsed="false">
      <c r="A3388" s="24" t="s">
        <v>344</v>
      </c>
      <c r="B3388" s="25"/>
      <c r="C3388" s="25"/>
      <c r="D3388" s="25"/>
      <c r="E3388" s="25"/>
      <c r="F3388" s="25"/>
      <c r="G3388" s="25"/>
      <c r="H3388" s="25"/>
      <c r="I3388" s="25"/>
      <c r="J3388" s="25"/>
      <c r="K3388" s="25"/>
    </row>
    <row r="3389" customFormat="false" ht="15" hidden="false" customHeight="false" outlineLevel="0" collapsed="false">
      <c r="A3389" s="3" t="s">
        <v>329</v>
      </c>
      <c r="G3389" s="16" t="n">
        <f aca="false">F3400</f>
        <v>350</v>
      </c>
      <c r="H3389" s="16" t="n">
        <f aca="false">G3400</f>
        <v>350</v>
      </c>
      <c r="I3389" s="16" t="n">
        <f aca="false">H3400</f>
        <v>350</v>
      </c>
      <c r="J3389" s="16" t="n">
        <f aca="false">I3400</f>
        <v>350</v>
      </c>
      <c r="K3389" s="16" t="n">
        <f aca="false">J3400</f>
        <v>350</v>
      </c>
    </row>
    <row r="3390" customFormat="false" ht="15" hidden="false" customHeight="false" outlineLevel="0" collapsed="false">
      <c r="A3390" s="3" t="s">
        <v>330</v>
      </c>
      <c r="G3390" s="21" t="n">
        <f aca="false">IF(G3288=Assumptions!$K$62,1,0)</f>
        <v>0</v>
      </c>
      <c r="H3390" s="21" t="n">
        <f aca="false">IF(H3288=Assumptions!$K$62,1,0)</f>
        <v>1</v>
      </c>
      <c r="I3390" s="21" t="n">
        <f aca="false">IF(I3288=Assumptions!$K$62,1,0)</f>
        <v>0</v>
      </c>
      <c r="J3390" s="21" t="n">
        <f aca="false">IF(J3288=Assumptions!$K$62,1,0)</f>
        <v>0</v>
      </c>
      <c r="K3390" s="21" t="n">
        <f aca="false">IF(K3288=Assumptions!$K$62,1,0)</f>
        <v>0</v>
      </c>
    </row>
    <row r="3392" customFormat="false" ht="15" hidden="false" customHeight="false" outlineLevel="0" collapsed="false">
      <c r="A3392" s="3" t="s">
        <v>331</v>
      </c>
      <c r="G3392" s="31" t="n">
        <f aca="false">IF(Assumptions!$I$62=1,MAX(G3314,Assumptions!$G$62)+Assumptions!$F$62+$C$3315,Assumptions!$E$62)</f>
        <v>0.083</v>
      </c>
      <c r="H3392" s="31" t="n">
        <f aca="false">IF(G3639=1,$C$3316,IF(Assumptions!$I$62=1,MAX(H3314,Assumptions!$G$62)+Assumptions!$F$62+$C$3315,Assumptions!$E$62))</f>
        <v>0.083</v>
      </c>
      <c r="I3392" s="31" t="n">
        <f aca="false">IF(H3639=1,$C$3316,IF(Assumptions!$I$62=1,MAX(I3314,Assumptions!$G$62)+Assumptions!$F$62+$C$3315,Assumptions!$E$62))</f>
        <v>0.08</v>
      </c>
      <c r="J3392" s="31" t="n">
        <f aca="false">IF(I3639=1,$C$3316,IF(Assumptions!$I$62=1,MAX(J3314,Assumptions!$G$62)+Assumptions!$F$62+$C$3315,Assumptions!$E$62))</f>
        <v>0.08</v>
      </c>
      <c r="K3392" s="31" t="n">
        <f aca="false">IF(J3639=1,$C$3316,IF(Assumptions!$I$62=1,MAX(K3314,Assumptions!$G$62)+Assumptions!$F$62+$C$3315,Assumptions!$E$62))</f>
        <v>0.08</v>
      </c>
    </row>
    <row r="3393" customFormat="false" ht="15" hidden="false" customHeight="false" outlineLevel="0" collapsed="false">
      <c r="A3393" s="3" t="s">
        <v>332</v>
      </c>
      <c r="G3393" s="16" t="n">
        <f aca="false">G3389*G3392</f>
        <v>29.05</v>
      </c>
      <c r="H3393" s="16" t="n">
        <f aca="false">H3389*H3392</f>
        <v>29.05</v>
      </c>
      <c r="I3393" s="16" t="n">
        <f aca="false">I3389*I3392</f>
        <v>28</v>
      </c>
      <c r="J3393" s="16" t="n">
        <f aca="false">J3389*J3392</f>
        <v>28</v>
      </c>
      <c r="K3393" s="16" t="n">
        <f aca="false">K3389*K3392</f>
        <v>28</v>
      </c>
    </row>
    <row r="3394" customFormat="false" ht="15" hidden="false" customHeight="false" outlineLevel="0" collapsed="false">
      <c r="A3394" s="3" t="s">
        <v>333</v>
      </c>
      <c r="G3394" s="16" t="n">
        <f aca="false">G3389*Assumptions!$H$62</f>
        <v>0</v>
      </c>
      <c r="H3394" s="16" t="n">
        <f aca="false">H3389*Assumptions!$H$62</f>
        <v>0</v>
      </c>
      <c r="I3394" s="16" t="n">
        <f aca="false">I3389*Assumptions!$H$62</f>
        <v>0</v>
      </c>
      <c r="J3394" s="16" t="n">
        <f aca="false">J3389*Assumptions!$H$62</f>
        <v>0</v>
      </c>
      <c r="K3394" s="16" t="n">
        <f aca="false">K3389*Assumptions!$H$62</f>
        <v>0</v>
      </c>
    </row>
    <row r="3395" customFormat="false" ht="15" hidden="false" customHeight="false" outlineLevel="0" collapsed="false">
      <c r="A3395" s="3" t="s">
        <v>334</v>
      </c>
      <c r="G3395" s="16" t="n">
        <f aca="false">MIN(G3389,Assumptions!$L$62*Assumptions!$C$62)</f>
        <v>0</v>
      </c>
      <c r="H3395" s="16" t="n">
        <f aca="false">MIN(H3389,Assumptions!$L$62*Assumptions!$C$62)</f>
        <v>0</v>
      </c>
      <c r="I3395" s="16" t="n">
        <f aca="false">MIN(I3389,Assumptions!$L$62*Assumptions!$C$62)</f>
        <v>0</v>
      </c>
      <c r="J3395" s="16" t="n">
        <f aca="false">MIN(J3389,Assumptions!$L$62*Assumptions!$C$62)</f>
        <v>0</v>
      </c>
      <c r="K3395" s="16" t="n">
        <f aca="false">MIN(K3389,Assumptions!$L$62*Assumptions!$C$62)</f>
        <v>0</v>
      </c>
    </row>
    <row r="3396" customFormat="false" ht="15" hidden="false" customHeight="false" outlineLevel="0" collapsed="false">
      <c r="A3396" s="3" t="s">
        <v>335</v>
      </c>
      <c r="G3396" s="16" t="n">
        <f aca="false">IF(AND(Assumptions!$P$62=1,G3288&lt;Assumptions!$K$62),MIN(MAX(0,-G3504),MAX(0,Assumptions!$D$62-G3389)),0)</f>
        <v>0</v>
      </c>
      <c r="H3396" s="16" t="n">
        <f aca="false">IF(AND(Assumptions!$P$62=1,OR(H3288&lt;Assumptions!$K$62,G3639=1)),MIN(MAX(0,-H3504),MAX(0,Assumptions!$D$62-H3389)),0)</f>
        <v>0</v>
      </c>
      <c r="I3396" s="16" t="n">
        <f aca="false">IF(AND(Assumptions!$P$62=1,OR(I3288&lt;Assumptions!$K$62,H3639=1)),MIN(MAX(0,-I3504),MAX(0,Assumptions!$D$62-I3389)),0)</f>
        <v>0</v>
      </c>
      <c r="J3396" s="16" t="n">
        <f aca="false">IF(AND(Assumptions!$P$62=1,OR(J3288&lt;Assumptions!$K$62,I3639=1)),MIN(MAX(0,-J3504),MAX(0,Assumptions!$D$62-J3389)),0)</f>
        <v>0</v>
      </c>
      <c r="K3396" s="16" t="n">
        <f aca="false">IF(AND(Assumptions!$P$62=1,OR(K3288&lt;Assumptions!$K$62,J3639=1)),MIN(MAX(0,-K3504),MAX(0,Assumptions!$D$62-K3389)),0)</f>
        <v>0</v>
      </c>
    </row>
    <row r="3397" customFormat="false" ht="15" hidden="false" customHeight="false" outlineLevel="0" collapsed="false">
      <c r="A3397" s="3" t="s">
        <v>336</v>
      </c>
      <c r="G3397" s="16" t="n">
        <f aca="false">G3390*MIN(G3389-G3395+G3394,MAX(0,G3506-Assumptions!$C$12*G3322-G3332-G3345-G3358-G3371-G3384))</f>
        <v>0</v>
      </c>
      <c r="H3397" s="16" t="n">
        <f aca="false">H3390*MIN(H3389-H3395+H3394,MAX(0,H3506-Assumptions!$C$12*H3322-H3332-H3345-H3358-H3371-H3384))</f>
        <v>0</v>
      </c>
      <c r="I3397" s="16" t="n">
        <f aca="false">I3390*MIN(I3389-I3395+I3394,MAX(0,I3506-Assumptions!$C$12*I3322-I3332-I3345-I3358-I3371-I3384))</f>
        <v>0</v>
      </c>
      <c r="J3397" s="16" t="n">
        <f aca="false">J3390*MIN(J3389-J3395+J3394,MAX(0,J3506-Assumptions!$C$12*J3322-J3332-J3345-J3358-J3371-J3384))</f>
        <v>0</v>
      </c>
      <c r="K3397" s="16" t="n">
        <f aca="false">K3390*MIN(K3389-K3395+K3394,MAX(0,K3506-Assumptions!$C$12*K3322-K3332-K3345-K3358-K3371-K3384))</f>
        <v>0</v>
      </c>
    </row>
    <row r="3398" customFormat="false" ht="15" hidden="false" customHeight="false" outlineLevel="0" collapsed="false">
      <c r="A3398" s="3" t="s">
        <v>337</v>
      </c>
      <c r="G3398" s="16" t="n">
        <f aca="false">Assumptions!$N$62*MIN(G3389+G3396+G3394-G3395-G3397,MAX(0,G3510-G3333-G3346-G3359-G3372-G3385))</f>
        <v>0</v>
      </c>
      <c r="H3398" s="16" t="n">
        <f aca="false">Assumptions!$N$62*MIN(H3389+H3396+H3394-H3395-H3397,MAX(0,H3510-H3333-H3346-H3359-H3372-H3385))</f>
        <v>0</v>
      </c>
      <c r="I3398" s="16" t="n">
        <f aca="false">Assumptions!$N$62*MIN(I3389+I3396+I3394-I3395-I3397,MAX(0,I3510-I3333-I3346-I3359-I3372-I3385))</f>
        <v>0</v>
      </c>
      <c r="J3398" s="16" t="n">
        <f aca="false">Assumptions!$N$62*MIN(J3389+J3396+J3394-J3395-J3397,MAX(0,J3510-J3333-J3346-J3359-J3372-J3385))</f>
        <v>0</v>
      </c>
      <c r="K3398" s="16" t="n">
        <f aca="false">Assumptions!$N$62*MIN(K3389+K3396+K3394-K3395-K3397,MAX(0,K3510-K3333-K3346-K3359-K3372-K3385))</f>
        <v>0</v>
      </c>
    </row>
    <row r="3399" customFormat="false" ht="15" hidden="false" customHeight="false" outlineLevel="0" collapsed="false">
      <c r="A3399" s="3" t="s">
        <v>338</v>
      </c>
      <c r="G3399" s="16" t="n">
        <f aca="false">G3390*(1-G3322)*(G3389-G3395+G3394-G3397)</f>
        <v>0</v>
      </c>
      <c r="H3399" s="16" t="n">
        <f aca="false">H3390*(1-H3322)*(H3389-H3395+H3394-H3397)</f>
        <v>0</v>
      </c>
      <c r="I3399" s="16" t="n">
        <f aca="false">I3390*(1-I3322)*(I3389-I3395+I3394-I3397)</f>
        <v>0</v>
      </c>
      <c r="J3399" s="16" t="n">
        <f aca="false">J3390*(1-J3322)*(J3389-J3395+J3394-J3397)</f>
        <v>0</v>
      </c>
      <c r="K3399" s="16" t="n">
        <f aca="false">K3390*(1-K3322)*(K3389-K3395+K3394-K3397)</f>
        <v>0</v>
      </c>
    </row>
    <row r="3400" customFormat="false" ht="15" hidden="false" customHeight="false" outlineLevel="0" collapsed="false">
      <c r="A3400" s="2" t="s">
        <v>339</v>
      </c>
      <c r="F3400" s="28" t="n">
        <f aca="false">Assumptions!$C$62</f>
        <v>350</v>
      </c>
      <c r="G3400" s="17" t="n">
        <f aca="false">G3389+G3396+G3394-G3395-G3397-G3398</f>
        <v>350</v>
      </c>
      <c r="H3400" s="17" t="n">
        <f aca="false">H3389+H3396+H3394-H3395-H3397-H3398</f>
        <v>350</v>
      </c>
      <c r="I3400" s="17" t="n">
        <f aca="false">I3389+I3396+I3394-I3395-I3397-I3398</f>
        <v>350</v>
      </c>
      <c r="J3400" s="17" t="n">
        <f aca="false">J3389+J3396+J3394-J3395-J3397-J3398</f>
        <v>350</v>
      </c>
      <c r="K3400" s="17" t="n">
        <f aca="false">K3389+K3396+K3394-K3395-K3397-K3398</f>
        <v>350</v>
      </c>
    </row>
    <row r="3401" customFormat="false" ht="15" hidden="false" customHeight="false" outlineLevel="0" collapsed="false">
      <c r="A3401" s="24" t="s">
        <v>345</v>
      </c>
      <c r="B3401" s="25"/>
      <c r="C3401" s="25"/>
      <c r="D3401" s="25"/>
      <c r="E3401" s="25"/>
      <c r="F3401" s="25"/>
      <c r="G3401" s="25"/>
      <c r="H3401" s="25"/>
      <c r="I3401" s="25"/>
      <c r="J3401" s="25"/>
      <c r="K3401" s="25"/>
    </row>
    <row r="3402" customFormat="false" ht="15" hidden="false" customHeight="false" outlineLevel="0" collapsed="false">
      <c r="A3402" s="3" t="s">
        <v>329</v>
      </c>
      <c r="G3402" s="16" t="n">
        <f aca="false">F3413</f>
        <v>550</v>
      </c>
      <c r="H3402" s="16" t="n">
        <f aca="false">G3413</f>
        <v>550</v>
      </c>
      <c r="I3402" s="16" t="n">
        <f aca="false">H3413</f>
        <v>550</v>
      </c>
      <c r="J3402" s="16" t="n">
        <f aca="false">I3413</f>
        <v>550</v>
      </c>
      <c r="K3402" s="16" t="n">
        <f aca="false">J3413</f>
        <v>550</v>
      </c>
    </row>
    <row r="3403" customFormat="false" ht="15" hidden="false" customHeight="false" outlineLevel="0" collapsed="false">
      <c r="A3403" s="3" t="s">
        <v>330</v>
      </c>
      <c r="G3403" s="21" t="n">
        <f aca="false">IF(G3288=Assumptions!$K$63,1,0)</f>
        <v>0</v>
      </c>
      <c r="H3403" s="21" t="n">
        <f aca="false">IF(H3288=Assumptions!$K$63,1,0)</f>
        <v>0</v>
      </c>
      <c r="I3403" s="21" t="n">
        <f aca="false">IF(I3288=Assumptions!$K$63,1,0)</f>
        <v>1</v>
      </c>
      <c r="J3403" s="21" t="n">
        <f aca="false">IF(J3288=Assumptions!$K$63,1,0)</f>
        <v>0</v>
      </c>
      <c r="K3403" s="21" t="n">
        <f aca="false">IF(K3288=Assumptions!$K$63,1,0)</f>
        <v>0</v>
      </c>
    </row>
    <row r="3405" customFormat="false" ht="15" hidden="false" customHeight="false" outlineLevel="0" collapsed="false">
      <c r="A3405" s="3" t="s">
        <v>331</v>
      </c>
      <c r="G3405" s="31" t="n">
        <f aca="false">IF(Assumptions!$I$63=1,MAX(G3314,Assumptions!$G$63)+Assumptions!$F$63+$C$3315,Assumptions!$E$63)</f>
        <v>0.08875</v>
      </c>
      <c r="H3405" s="31" t="n">
        <f aca="false">IF(G3640=1,$C$3316,IF(Assumptions!$I$63=1,MAX(H3314,Assumptions!$G$63)+Assumptions!$F$63+$C$3315,Assumptions!$E$63))</f>
        <v>0.08875</v>
      </c>
      <c r="I3405" s="31" t="n">
        <f aca="false">IF(H3640=1,$C$3316,IF(Assumptions!$I$63=1,MAX(I3314,Assumptions!$G$63)+Assumptions!$F$63+$C$3315,Assumptions!$E$63))</f>
        <v>0.08875</v>
      </c>
      <c r="J3405" s="31" t="n">
        <f aca="false">IF(I3640=1,$C$3316,IF(Assumptions!$I$63=1,MAX(J3314,Assumptions!$G$63)+Assumptions!$F$63+$C$3315,Assumptions!$E$63))</f>
        <v>0.08</v>
      </c>
      <c r="K3405" s="31" t="n">
        <f aca="false">IF(J3640=1,$C$3316,IF(Assumptions!$I$63=1,MAX(K3314,Assumptions!$G$63)+Assumptions!$F$63+$C$3315,Assumptions!$E$63))</f>
        <v>0.08</v>
      </c>
    </row>
    <row r="3406" customFormat="false" ht="15" hidden="false" customHeight="false" outlineLevel="0" collapsed="false">
      <c r="A3406" s="3" t="s">
        <v>332</v>
      </c>
      <c r="G3406" s="16" t="n">
        <f aca="false">G3402*G3405</f>
        <v>48.8125</v>
      </c>
      <c r="H3406" s="16" t="n">
        <f aca="false">H3402*H3405</f>
        <v>48.8125</v>
      </c>
      <c r="I3406" s="16" t="n">
        <f aca="false">I3402*I3405</f>
        <v>48.8125</v>
      </c>
      <c r="J3406" s="16" t="n">
        <f aca="false">J3402*J3405</f>
        <v>44</v>
      </c>
      <c r="K3406" s="16" t="n">
        <f aca="false">K3402*K3405</f>
        <v>44</v>
      </c>
    </row>
    <row r="3407" customFormat="false" ht="15" hidden="false" customHeight="false" outlineLevel="0" collapsed="false">
      <c r="A3407" s="3" t="s">
        <v>333</v>
      </c>
      <c r="G3407" s="16" t="n">
        <f aca="false">G3402*Assumptions!$H$63</f>
        <v>0</v>
      </c>
      <c r="H3407" s="16" t="n">
        <f aca="false">H3402*Assumptions!$H$63</f>
        <v>0</v>
      </c>
      <c r="I3407" s="16" t="n">
        <f aca="false">I3402*Assumptions!$H$63</f>
        <v>0</v>
      </c>
      <c r="J3407" s="16" t="n">
        <f aca="false">J3402*Assumptions!$H$63</f>
        <v>0</v>
      </c>
      <c r="K3407" s="16" t="n">
        <f aca="false">K3402*Assumptions!$H$63</f>
        <v>0</v>
      </c>
    </row>
    <row r="3408" customFormat="false" ht="15" hidden="false" customHeight="false" outlineLevel="0" collapsed="false">
      <c r="A3408" s="3" t="s">
        <v>334</v>
      </c>
      <c r="G3408" s="16" t="n">
        <f aca="false">MIN(G3402,Assumptions!$L$63*Assumptions!$C$63)</f>
        <v>0</v>
      </c>
      <c r="H3408" s="16" t="n">
        <f aca="false">MIN(H3402,Assumptions!$L$63*Assumptions!$C$63)</f>
        <v>0</v>
      </c>
      <c r="I3408" s="16" t="n">
        <f aca="false">MIN(I3402,Assumptions!$L$63*Assumptions!$C$63)</f>
        <v>0</v>
      </c>
      <c r="J3408" s="16" t="n">
        <f aca="false">MIN(J3402,Assumptions!$L$63*Assumptions!$C$63)</f>
        <v>0</v>
      </c>
      <c r="K3408" s="16" t="n">
        <f aca="false">MIN(K3402,Assumptions!$L$63*Assumptions!$C$63)</f>
        <v>0</v>
      </c>
    </row>
    <row r="3409" customFormat="false" ht="15" hidden="false" customHeight="false" outlineLevel="0" collapsed="false">
      <c r="A3409" s="3" t="s">
        <v>335</v>
      </c>
      <c r="G3409" s="16" t="n">
        <f aca="false">IF(AND(Assumptions!$P$63=1,G3288&lt;Assumptions!$K$63),MIN(MAX(0,-G3504),MAX(0,Assumptions!$D$63-G3402)),0)</f>
        <v>0</v>
      </c>
      <c r="H3409" s="16" t="n">
        <f aca="false">IF(AND(Assumptions!$P$63=1,OR(H3288&lt;Assumptions!$K$63,G3640=1)),MIN(MAX(0,-H3504),MAX(0,Assumptions!$D$63-H3402)),0)</f>
        <v>0</v>
      </c>
      <c r="I3409" s="16" t="n">
        <f aca="false">IF(AND(Assumptions!$P$63=1,OR(I3288&lt;Assumptions!$K$63,H3640=1)),MIN(MAX(0,-I3504),MAX(0,Assumptions!$D$63-I3402)),0)</f>
        <v>0</v>
      </c>
      <c r="J3409" s="16" t="n">
        <f aca="false">IF(AND(Assumptions!$P$63=1,OR(J3288&lt;Assumptions!$K$63,I3640=1)),MIN(MAX(0,-J3504),MAX(0,Assumptions!$D$63-J3402)),0)</f>
        <v>0</v>
      </c>
      <c r="K3409" s="16" t="n">
        <f aca="false">IF(AND(Assumptions!$P$63=1,OR(K3288&lt;Assumptions!$K$63,J3640=1)),MIN(MAX(0,-K3504),MAX(0,Assumptions!$D$63-K3402)),0)</f>
        <v>0</v>
      </c>
    </row>
    <row r="3410" customFormat="false" ht="15" hidden="false" customHeight="false" outlineLevel="0" collapsed="false">
      <c r="A3410" s="3" t="s">
        <v>336</v>
      </c>
      <c r="G3410" s="16" t="n">
        <f aca="false">G3403*MIN(G3402-G3408+G3407,MAX(0,G3506-Assumptions!$C$12*G3322-G3332-G3345-G3358-G3371-G3384-G3397))</f>
        <v>0</v>
      </c>
      <c r="H3410" s="16" t="n">
        <f aca="false">H3403*MIN(H3402-H3408+H3407,MAX(0,H3506-Assumptions!$C$12*H3322-H3332-H3345-H3358-H3371-H3384-H3397))</f>
        <v>0</v>
      </c>
      <c r="I3410" s="16" t="n">
        <f aca="false">I3403*MIN(I3402-I3408+I3407,MAX(0,I3506-Assumptions!$C$12*I3322-I3332-I3345-I3358-I3371-I3384-I3397))</f>
        <v>0</v>
      </c>
      <c r="J3410" s="16" t="n">
        <f aca="false">J3403*MIN(J3402-J3408+J3407,MAX(0,J3506-Assumptions!$C$12*J3322-J3332-J3345-J3358-J3371-J3384-J3397))</f>
        <v>0</v>
      </c>
      <c r="K3410" s="16" t="n">
        <f aca="false">K3403*MIN(K3402-K3408+K3407,MAX(0,K3506-Assumptions!$C$12*K3322-K3332-K3345-K3358-K3371-K3384-K3397))</f>
        <v>0</v>
      </c>
    </row>
    <row r="3411" customFormat="false" ht="15" hidden="false" customHeight="false" outlineLevel="0" collapsed="false">
      <c r="A3411" s="3" t="s">
        <v>337</v>
      </c>
      <c r="G3411" s="16" t="n">
        <f aca="false">Assumptions!$N$63*MIN(G3402+G3409+G3407-G3408-G3410,MAX(0,G3510-G3333-G3346-G3359-G3372-G3385-G3398))</f>
        <v>0</v>
      </c>
      <c r="H3411" s="16" t="n">
        <f aca="false">Assumptions!$N$63*MIN(H3402+H3409+H3407-H3408-H3410,MAX(0,H3510-H3333-H3346-H3359-H3372-H3385-H3398))</f>
        <v>0</v>
      </c>
      <c r="I3411" s="16" t="n">
        <f aca="false">Assumptions!$N$63*MIN(I3402+I3409+I3407-I3408-I3410,MAX(0,I3510-I3333-I3346-I3359-I3372-I3385-I3398))</f>
        <v>0</v>
      </c>
      <c r="J3411" s="16" t="n">
        <f aca="false">Assumptions!$N$63*MIN(J3402+J3409+J3407-J3408-J3410,MAX(0,J3510-J3333-J3346-J3359-J3372-J3385-J3398))</f>
        <v>0</v>
      </c>
      <c r="K3411" s="16" t="n">
        <f aca="false">Assumptions!$N$63*MIN(K3402+K3409+K3407-K3408-K3410,MAX(0,K3510-K3333-K3346-K3359-K3372-K3385-K3398))</f>
        <v>0</v>
      </c>
    </row>
    <row r="3412" customFormat="false" ht="15" hidden="false" customHeight="false" outlineLevel="0" collapsed="false">
      <c r="A3412" s="3" t="s">
        <v>338</v>
      </c>
      <c r="G3412" s="16" t="n">
        <f aca="false">G3403*(1-G3322)*(G3402-G3408+G3407-G3410)</f>
        <v>0</v>
      </c>
      <c r="H3412" s="16" t="n">
        <f aca="false">H3403*(1-H3322)*(H3402-H3408+H3407-H3410)</f>
        <v>0</v>
      </c>
      <c r="I3412" s="16" t="n">
        <f aca="false">I3403*(1-I3322)*(I3402-I3408+I3407-I3410)</f>
        <v>0</v>
      </c>
      <c r="J3412" s="16" t="n">
        <f aca="false">J3403*(1-J3322)*(J3402-J3408+J3407-J3410)</f>
        <v>0</v>
      </c>
      <c r="K3412" s="16" t="n">
        <f aca="false">K3403*(1-K3322)*(K3402-K3408+K3407-K3410)</f>
        <v>0</v>
      </c>
    </row>
    <row r="3413" customFormat="false" ht="15" hidden="false" customHeight="false" outlineLevel="0" collapsed="false">
      <c r="A3413" s="2" t="s">
        <v>339</v>
      </c>
      <c r="F3413" s="28" t="n">
        <f aca="false">Assumptions!$C$63</f>
        <v>550</v>
      </c>
      <c r="G3413" s="17" t="n">
        <f aca="false">G3402+G3409+G3407-G3408-G3410-G3411</f>
        <v>550</v>
      </c>
      <c r="H3413" s="17" t="n">
        <f aca="false">H3402+H3409+H3407-H3408-H3410-H3411</f>
        <v>550</v>
      </c>
      <c r="I3413" s="17" t="n">
        <f aca="false">I3402+I3409+I3407-I3408-I3410-I3411</f>
        <v>550</v>
      </c>
      <c r="J3413" s="17" t="n">
        <f aca="false">J3402+J3409+J3407-J3408-J3410-J3411</f>
        <v>550</v>
      </c>
      <c r="K3413" s="17" t="n">
        <f aca="false">K3402+K3409+K3407-K3408-K3410-K3411</f>
        <v>550</v>
      </c>
    </row>
    <row r="3414" customFormat="false" ht="15" hidden="false" customHeight="false" outlineLevel="0" collapsed="false">
      <c r="A3414" s="24" t="s">
        <v>346</v>
      </c>
      <c r="B3414" s="25"/>
      <c r="C3414" s="25"/>
      <c r="D3414" s="25"/>
      <c r="E3414" s="25"/>
      <c r="F3414" s="25"/>
      <c r="G3414" s="25"/>
      <c r="H3414" s="25"/>
      <c r="I3414" s="25"/>
      <c r="J3414" s="25"/>
      <c r="K3414" s="25"/>
    </row>
    <row r="3415" customFormat="false" ht="15" hidden="false" customHeight="false" outlineLevel="0" collapsed="false">
      <c r="A3415" s="3" t="s">
        <v>329</v>
      </c>
      <c r="G3415" s="16" t="n">
        <f aca="false">F3426</f>
        <v>350</v>
      </c>
      <c r="H3415" s="16" t="n">
        <f aca="false">G3426</f>
        <v>350</v>
      </c>
      <c r="I3415" s="16" t="n">
        <f aca="false">H3426</f>
        <v>350</v>
      </c>
      <c r="J3415" s="16" t="n">
        <f aca="false">I3426</f>
        <v>350</v>
      </c>
      <c r="K3415" s="16" t="n">
        <f aca="false">J3426</f>
        <v>350</v>
      </c>
    </row>
    <row r="3416" customFormat="false" ht="15" hidden="false" customHeight="false" outlineLevel="0" collapsed="false">
      <c r="A3416" s="3" t="s">
        <v>330</v>
      </c>
      <c r="G3416" s="21" t="n">
        <f aca="false">IF(G3288=Assumptions!$K$64,1,0)</f>
        <v>0</v>
      </c>
      <c r="H3416" s="21" t="n">
        <f aca="false">IF(H3288=Assumptions!$K$64,1,0)</f>
        <v>0</v>
      </c>
      <c r="I3416" s="21" t="n">
        <f aca="false">IF(I3288=Assumptions!$K$64,1,0)</f>
        <v>0</v>
      </c>
      <c r="J3416" s="21" t="n">
        <f aca="false">IF(J3288=Assumptions!$K$64,1,0)</f>
        <v>1</v>
      </c>
      <c r="K3416" s="21" t="n">
        <f aca="false">IF(K3288=Assumptions!$K$64,1,0)</f>
        <v>0</v>
      </c>
    </row>
    <row r="3418" customFormat="false" ht="15" hidden="false" customHeight="false" outlineLevel="0" collapsed="false">
      <c r="A3418" s="3" t="s">
        <v>331</v>
      </c>
      <c r="G3418" s="31" t="n">
        <f aca="false">IF(Assumptions!$I$64=1,MAX(G3314,Assumptions!$G$64)+Assumptions!$F$64+$C$3315,Assumptions!$E$64)</f>
        <v>0.0455</v>
      </c>
      <c r="H3418" s="31" t="n">
        <f aca="false">IF(G3641=1,$C$3316,IF(Assumptions!$I$64=1,MAX(H3314,Assumptions!$G$64)+Assumptions!$F$64+$C$3315,Assumptions!$E$64))</f>
        <v>0.0455</v>
      </c>
      <c r="I3418" s="31" t="n">
        <f aca="false">IF(H3641=1,$C$3316,IF(Assumptions!$I$64=1,MAX(I3314,Assumptions!$G$64)+Assumptions!$F$64+$C$3315,Assumptions!$E$64))</f>
        <v>0.0455</v>
      </c>
      <c r="J3418" s="31" t="n">
        <f aca="false">IF(I3641=1,$C$3316,IF(Assumptions!$I$64=1,MAX(J3314,Assumptions!$G$64)+Assumptions!$F$64+$C$3315,Assumptions!$E$64))</f>
        <v>0.0455</v>
      </c>
      <c r="K3418" s="31" t="n">
        <f aca="false">IF(J3641=1,$C$3316,IF(Assumptions!$I$64=1,MAX(K3314,Assumptions!$G$64)+Assumptions!$F$64+$C$3315,Assumptions!$E$64))</f>
        <v>0.08</v>
      </c>
    </row>
    <row r="3419" customFormat="false" ht="15" hidden="false" customHeight="false" outlineLevel="0" collapsed="false">
      <c r="A3419" s="3" t="s">
        <v>332</v>
      </c>
      <c r="G3419" s="16" t="n">
        <f aca="false">G3415*G3418</f>
        <v>15.925</v>
      </c>
      <c r="H3419" s="16" t="n">
        <f aca="false">H3415*H3418</f>
        <v>15.925</v>
      </c>
      <c r="I3419" s="16" t="n">
        <f aca="false">I3415*I3418</f>
        <v>15.925</v>
      </c>
      <c r="J3419" s="16" t="n">
        <f aca="false">J3415*J3418</f>
        <v>15.925</v>
      </c>
      <c r="K3419" s="16" t="n">
        <f aca="false">K3415*K3418</f>
        <v>28</v>
      </c>
    </row>
    <row r="3420" customFormat="false" ht="15" hidden="false" customHeight="false" outlineLevel="0" collapsed="false">
      <c r="A3420" s="3" t="s">
        <v>333</v>
      </c>
      <c r="G3420" s="16" t="n">
        <f aca="false">G3415*Assumptions!$H$64</f>
        <v>0</v>
      </c>
      <c r="H3420" s="16" t="n">
        <f aca="false">H3415*Assumptions!$H$64</f>
        <v>0</v>
      </c>
      <c r="I3420" s="16" t="n">
        <f aca="false">I3415*Assumptions!$H$64</f>
        <v>0</v>
      </c>
      <c r="J3420" s="16" t="n">
        <f aca="false">J3415*Assumptions!$H$64</f>
        <v>0</v>
      </c>
      <c r="K3420" s="16" t="n">
        <f aca="false">K3415*Assumptions!$H$64</f>
        <v>0</v>
      </c>
    </row>
    <row r="3421" customFormat="false" ht="15" hidden="false" customHeight="false" outlineLevel="0" collapsed="false">
      <c r="A3421" s="3" t="s">
        <v>334</v>
      </c>
      <c r="G3421" s="16" t="n">
        <f aca="false">MIN(G3415,Assumptions!$L$64*Assumptions!$C$64)</f>
        <v>0</v>
      </c>
      <c r="H3421" s="16" t="n">
        <f aca="false">MIN(H3415,Assumptions!$L$64*Assumptions!$C$64)</f>
        <v>0</v>
      </c>
      <c r="I3421" s="16" t="n">
        <f aca="false">MIN(I3415,Assumptions!$L$64*Assumptions!$C$64)</f>
        <v>0</v>
      </c>
      <c r="J3421" s="16" t="n">
        <f aca="false">MIN(J3415,Assumptions!$L$64*Assumptions!$C$64)</f>
        <v>0</v>
      </c>
      <c r="K3421" s="16" t="n">
        <f aca="false">MIN(K3415,Assumptions!$L$64*Assumptions!$C$64)</f>
        <v>0</v>
      </c>
    </row>
    <row r="3422" customFormat="false" ht="15" hidden="false" customHeight="false" outlineLevel="0" collapsed="false">
      <c r="A3422" s="3" t="s">
        <v>335</v>
      </c>
      <c r="G3422" s="16" t="n">
        <f aca="false">IF(AND(Assumptions!$P$64=1,G3288&lt;Assumptions!$K$64),MIN(MAX(0,-G3504),MAX(0,Assumptions!$D$64-G3415)),0)</f>
        <v>0</v>
      </c>
      <c r="H3422" s="16" t="n">
        <f aca="false">IF(AND(Assumptions!$P$64=1,OR(H3288&lt;Assumptions!$K$64,G3641=1)),MIN(MAX(0,-H3504),MAX(0,Assumptions!$D$64-H3415)),0)</f>
        <v>0</v>
      </c>
      <c r="I3422" s="16" t="n">
        <f aca="false">IF(AND(Assumptions!$P$64=1,OR(I3288&lt;Assumptions!$K$64,H3641=1)),MIN(MAX(0,-I3504),MAX(0,Assumptions!$D$64-I3415)),0)</f>
        <v>0</v>
      </c>
      <c r="J3422" s="16" t="n">
        <f aca="false">IF(AND(Assumptions!$P$64=1,OR(J3288&lt;Assumptions!$K$64,I3641=1)),MIN(MAX(0,-J3504),MAX(0,Assumptions!$D$64-J3415)),0)</f>
        <v>0</v>
      </c>
      <c r="K3422" s="16" t="n">
        <f aca="false">IF(AND(Assumptions!$P$64=1,OR(K3288&lt;Assumptions!$K$64,J3641=1)),MIN(MAX(0,-K3504),MAX(0,Assumptions!$D$64-K3415)),0)</f>
        <v>0</v>
      </c>
    </row>
    <row r="3423" customFormat="false" ht="15" hidden="false" customHeight="false" outlineLevel="0" collapsed="false">
      <c r="A3423" s="3" t="s">
        <v>336</v>
      </c>
      <c r="G3423" s="16" t="n">
        <f aca="false">G3416*MIN(G3415-G3421+G3420,MAX(0,G3506-Assumptions!$C$12*G3322-G3332-G3345-G3358-G3371-G3384-G3397-G3410))</f>
        <v>0</v>
      </c>
      <c r="H3423" s="16" t="n">
        <f aca="false">H3416*MIN(H3415-H3421+H3420,MAX(0,H3506-Assumptions!$C$12*H3322-H3332-H3345-H3358-H3371-H3384-H3397-H3410))</f>
        <v>0</v>
      </c>
      <c r="I3423" s="16" t="n">
        <f aca="false">I3416*MIN(I3415-I3421+I3420,MAX(0,I3506-Assumptions!$C$12*I3322-I3332-I3345-I3358-I3371-I3384-I3397-I3410))</f>
        <v>0</v>
      </c>
      <c r="J3423" s="16" t="n">
        <f aca="false">J3416*MIN(J3415-J3421+J3420,MAX(0,J3506-Assumptions!$C$12*J3322-J3332-J3345-J3358-J3371-J3384-J3397-J3410))</f>
        <v>0</v>
      </c>
      <c r="K3423" s="16" t="n">
        <f aca="false">K3416*MIN(K3415-K3421+K3420,MAX(0,K3506-Assumptions!$C$12*K3322-K3332-K3345-K3358-K3371-K3384-K3397-K3410))</f>
        <v>0</v>
      </c>
    </row>
    <row r="3424" customFormat="false" ht="15" hidden="false" customHeight="false" outlineLevel="0" collapsed="false">
      <c r="A3424" s="3" t="s">
        <v>337</v>
      </c>
      <c r="G3424" s="16" t="n">
        <f aca="false">Assumptions!$N$64*MIN(G3415+G3422+G3420-G3421-G3423,MAX(0,G3510-G3333-G3346-G3359-G3372-G3385-G3398-G3411))</f>
        <v>0</v>
      </c>
      <c r="H3424" s="16" t="n">
        <f aca="false">Assumptions!$N$64*MIN(H3415+H3422+H3420-H3421-H3423,MAX(0,H3510-H3333-H3346-H3359-H3372-H3385-H3398-H3411))</f>
        <v>0</v>
      </c>
      <c r="I3424" s="16" t="n">
        <f aca="false">Assumptions!$N$64*MIN(I3415+I3422+I3420-I3421-I3423,MAX(0,I3510-I3333-I3346-I3359-I3372-I3385-I3398-I3411))</f>
        <v>0</v>
      </c>
      <c r="J3424" s="16" t="n">
        <f aca="false">Assumptions!$N$64*MIN(J3415+J3422+J3420-J3421-J3423,MAX(0,J3510-J3333-J3346-J3359-J3372-J3385-J3398-J3411))</f>
        <v>0</v>
      </c>
      <c r="K3424" s="16" t="n">
        <f aca="false">Assumptions!$N$64*MIN(K3415+K3422+K3420-K3421-K3423,MAX(0,K3510-K3333-K3346-K3359-K3372-K3385-K3398-K3411))</f>
        <v>0</v>
      </c>
    </row>
    <row r="3425" customFormat="false" ht="15" hidden="false" customHeight="false" outlineLevel="0" collapsed="false">
      <c r="A3425" s="3" t="s">
        <v>338</v>
      </c>
      <c r="G3425" s="16" t="n">
        <f aca="false">G3416*(1-G3322)*(G3415-G3421+G3420-G3423)</f>
        <v>0</v>
      </c>
      <c r="H3425" s="16" t="n">
        <f aca="false">H3416*(1-H3322)*(H3415-H3421+H3420-H3423)</f>
        <v>0</v>
      </c>
      <c r="I3425" s="16" t="n">
        <f aca="false">I3416*(1-I3322)*(I3415-I3421+I3420-I3423)</f>
        <v>0</v>
      </c>
      <c r="J3425" s="16" t="n">
        <f aca="false">J3416*(1-J3322)*(J3415-J3421+J3420-J3423)</f>
        <v>0</v>
      </c>
      <c r="K3425" s="16" t="n">
        <f aca="false">K3416*(1-K3322)*(K3415-K3421+K3420-K3423)</f>
        <v>0</v>
      </c>
    </row>
    <row r="3426" customFormat="false" ht="15" hidden="false" customHeight="false" outlineLevel="0" collapsed="false">
      <c r="A3426" s="2" t="s">
        <v>339</v>
      </c>
      <c r="F3426" s="28" t="n">
        <f aca="false">Assumptions!$C$64</f>
        <v>350</v>
      </c>
      <c r="G3426" s="17" t="n">
        <f aca="false">G3415+G3422+G3420-G3421-G3423-G3424</f>
        <v>350</v>
      </c>
      <c r="H3426" s="17" t="n">
        <f aca="false">H3415+H3422+H3420-H3421-H3423-H3424</f>
        <v>350</v>
      </c>
      <c r="I3426" s="17" t="n">
        <f aca="false">I3415+I3422+I3420-I3421-I3423-I3424</f>
        <v>350</v>
      </c>
      <c r="J3426" s="17" t="n">
        <f aca="false">J3415+J3422+J3420-J3421-J3423-J3424</f>
        <v>350</v>
      </c>
      <c r="K3426" s="17" t="n">
        <f aca="false">K3415+K3422+K3420-K3421-K3423-K3424</f>
        <v>350</v>
      </c>
    </row>
    <row r="3427" customFormat="false" ht="15" hidden="false" customHeight="false" outlineLevel="0" collapsed="false">
      <c r="A3427" s="24" t="s">
        <v>347</v>
      </c>
      <c r="B3427" s="25"/>
      <c r="C3427" s="25"/>
      <c r="D3427" s="25"/>
      <c r="E3427" s="25"/>
      <c r="F3427" s="25"/>
      <c r="G3427" s="25"/>
      <c r="H3427" s="25"/>
      <c r="I3427" s="25"/>
      <c r="J3427" s="25"/>
      <c r="K3427" s="25"/>
    </row>
    <row r="3428" customFormat="false" ht="15" hidden="false" customHeight="false" outlineLevel="0" collapsed="false">
      <c r="A3428" s="3" t="s">
        <v>329</v>
      </c>
      <c r="G3428" s="16" t="n">
        <f aca="false">F3439</f>
        <v>300</v>
      </c>
      <c r="H3428" s="16" t="n">
        <f aca="false">G3439</f>
        <v>300</v>
      </c>
      <c r="I3428" s="16" t="n">
        <f aca="false">H3439</f>
        <v>300</v>
      </c>
      <c r="J3428" s="16" t="n">
        <f aca="false">I3439</f>
        <v>300</v>
      </c>
      <c r="K3428" s="16" t="n">
        <f aca="false">J3439</f>
        <v>300</v>
      </c>
    </row>
    <row r="3429" customFormat="false" ht="15" hidden="false" customHeight="false" outlineLevel="0" collapsed="false">
      <c r="A3429" s="3" t="s">
        <v>330</v>
      </c>
      <c r="G3429" s="21" t="n">
        <f aca="false">IF(G3288=Assumptions!$K$65,1,0)</f>
        <v>0</v>
      </c>
      <c r="H3429" s="21" t="n">
        <f aca="false">IF(H3288=Assumptions!$K$65,1,0)</f>
        <v>0</v>
      </c>
      <c r="I3429" s="21" t="n">
        <f aca="false">IF(I3288=Assumptions!$K$65,1,0)</f>
        <v>0</v>
      </c>
      <c r="J3429" s="21" t="n">
        <f aca="false">IF(J3288=Assumptions!$K$65,1,0)</f>
        <v>0</v>
      </c>
      <c r="K3429" s="21" t="n">
        <f aca="false">IF(K3288=Assumptions!$K$65,1,0)</f>
        <v>1</v>
      </c>
    </row>
    <row r="3431" customFormat="false" ht="15" hidden="false" customHeight="false" outlineLevel="0" collapsed="false">
      <c r="A3431" s="3" t="s">
        <v>331</v>
      </c>
      <c r="G3431" s="31" t="n">
        <f aca="false">IF(Assumptions!$I$65=1,MAX(G3314,Assumptions!$G$65)+Assumptions!$F$65+$C$3315,Assumptions!$E$65)</f>
        <v>0.06125</v>
      </c>
      <c r="H3431" s="31" t="n">
        <f aca="false">IF(G3642=1,$C$3316,IF(Assumptions!$I$65=1,MAX(H3314,Assumptions!$G$65)+Assumptions!$F$65+$C$3315,Assumptions!$E$65))</f>
        <v>0.06125</v>
      </c>
      <c r="I3431" s="31" t="n">
        <f aca="false">IF(H3642=1,$C$3316,IF(Assumptions!$I$65=1,MAX(I3314,Assumptions!$G$65)+Assumptions!$F$65+$C$3315,Assumptions!$E$65))</f>
        <v>0.06125</v>
      </c>
      <c r="J3431" s="31" t="n">
        <f aca="false">IF(I3642=1,$C$3316,IF(Assumptions!$I$65=1,MAX(J3314,Assumptions!$G$65)+Assumptions!$F$65+$C$3315,Assumptions!$E$65))</f>
        <v>0.06125</v>
      </c>
      <c r="K3431" s="31" t="n">
        <f aca="false">IF(J3642=1,$C$3316,IF(Assumptions!$I$65=1,MAX(K3314,Assumptions!$G$65)+Assumptions!$F$65+$C$3315,Assumptions!$E$65))</f>
        <v>0.06125</v>
      </c>
    </row>
    <row r="3432" customFormat="false" ht="15" hidden="false" customHeight="false" outlineLevel="0" collapsed="false">
      <c r="A3432" s="3" t="s">
        <v>332</v>
      </c>
      <c r="G3432" s="16" t="n">
        <f aca="false">G3428*G3431</f>
        <v>18.375</v>
      </c>
      <c r="H3432" s="16" t="n">
        <f aca="false">H3428*H3431</f>
        <v>18.375</v>
      </c>
      <c r="I3432" s="16" t="n">
        <f aca="false">I3428*I3431</f>
        <v>18.375</v>
      </c>
      <c r="J3432" s="16" t="n">
        <f aca="false">J3428*J3431</f>
        <v>18.375</v>
      </c>
      <c r="K3432" s="16" t="n">
        <f aca="false">K3428*K3431</f>
        <v>18.375</v>
      </c>
    </row>
    <row r="3433" customFormat="false" ht="15" hidden="false" customHeight="false" outlineLevel="0" collapsed="false">
      <c r="A3433" s="3" t="s">
        <v>333</v>
      </c>
      <c r="G3433" s="16" t="n">
        <f aca="false">G3428*Assumptions!$H$65</f>
        <v>0</v>
      </c>
      <c r="H3433" s="16" t="n">
        <f aca="false">H3428*Assumptions!$H$65</f>
        <v>0</v>
      </c>
      <c r="I3433" s="16" t="n">
        <f aca="false">I3428*Assumptions!$H$65</f>
        <v>0</v>
      </c>
      <c r="J3433" s="16" t="n">
        <f aca="false">J3428*Assumptions!$H$65</f>
        <v>0</v>
      </c>
      <c r="K3433" s="16" t="n">
        <f aca="false">K3428*Assumptions!$H$65</f>
        <v>0</v>
      </c>
    </row>
    <row r="3434" customFormat="false" ht="15" hidden="false" customHeight="false" outlineLevel="0" collapsed="false">
      <c r="A3434" s="3" t="s">
        <v>334</v>
      </c>
      <c r="G3434" s="16" t="n">
        <f aca="false">MIN(G3428,Assumptions!$L$65*Assumptions!$C$65)</f>
        <v>0</v>
      </c>
      <c r="H3434" s="16" t="n">
        <f aca="false">MIN(H3428,Assumptions!$L$65*Assumptions!$C$65)</f>
        <v>0</v>
      </c>
      <c r="I3434" s="16" t="n">
        <f aca="false">MIN(I3428,Assumptions!$L$65*Assumptions!$C$65)</f>
        <v>0</v>
      </c>
      <c r="J3434" s="16" t="n">
        <f aca="false">MIN(J3428,Assumptions!$L$65*Assumptions!$C$65)</f>
        <v>0</v>
      </c>
      <c r="K3434" s="16" t="n">
        <f aca="false">MIN(K3428,Assumptions!$L$65*Assumptions!$C$65)</f>
        <v>0</v>
      </c>
    </row>
    <row r="3435" customFormat="false" ht="15" hidden="false" customHeight="false" outlineLevel="0" collapsed="false">
      <c r="A3435" s="3" t="s">
        <v>335</v>
      </c>
      <c r="G3435" s="16" t="n">
        <f aca="false">IF(AND(Assumptions!$P$65=1,G3288&lt;Assumptions!$K$65),MIN(MAX(0,-G3504),MAX(0,Assumptions!$D$65-G3428)),0)</f>
        <v>0</v>
      </c>
      <c r="H3435" s="16" t="n">
        <f aca="false">IF(AND(Assumptions!$P$65=1,OR(H3288&lt;Assumptions!$K$65,G3642=1)),MIN(MAX(0,-H3504),MAX(0,Assumptions!$D$65-H3428)),0)</f>
        <v>0</v>
      </c>
      <c r="I3435" s="16" t="n">
        <f aca="false">IF(AND(Assumptions!$P$65=1,OR(I3288&lt;Assumptions!$K$65,H3642=1)),MIN(MAX(0,-I3504),MAX(0,Assumptions!$D$65-I3428)),0)</f>
        <v>0</v>
      </c>
      <c r="J3435" s="16" t="n">
        <f aca="false">IF(AND(Assumptions!$P$65=1,OR(J3288&lt;Assumptions!$K$65,I3642=1)),MIN(MAX(0,-J3504),MAX(0,Assumptions!$D$65-J3428)),0)</f>
        <v>0</v>
      </c>
      <c r="K3435" s="16" t="n">
        <f aca="false">IF(AND(Assumptions!$P$65=1,OR(K3288&lt;Assumptions!$K$65,J3642=1)),MIN(MAX(0,-K3504),MAX(0,Assumptions!$D$65-K3428)),0)</f>
        <v>0</v>
      </c>
    </row>
    <row r="3436" customFormat="false" ht="15" hidden="false" customHeight="false" outlineLevel="0" collapsed="false">
      <c r="A3436" s="3" t="s">
        <v>336</v>
      </c>
      <c r="G3436" s="16" t="n">
        <f aca="false">G3429*MIN(G3428-G3434+G3433,MAX(0,G3506-Assumptions!$C$12*G3322-G3332-G3345-G3358-G3371-G3384-G3397-G3410-G3423))</f>
        <v>0</v>
      </c>
      <c r="H3436" s="16" t="n">
        <f aca="false">H3429*MIN(H3428-H3434+H3433,MAX(0,H3506-Assumptions!$C$12*H3322-H3332-H3345-H3358-H3371-H3384-H3397-H3410-H3423))</f>
        <v>0</v>
      </c>
      <c r="I3436" s="16" t="n">
        <f aca="false">I3429*MIN(I3428-I3434+I3433,MAX(0,I3506-Assumptions!$C$12*I3322-I3332-I3345-I3358-I3371-I3384-I3397-I3410-I3423))</f>
        <v>0</v>
      </c>
      <c r="J3436" s="16" t="n">
        <f aca="false">J3429*MIN(J3428-J3434+J3433,MAX(0,J3506-Assumptions!$C$12*J3322-J3332-J3345-J3358-J3371-J3384-J3397-J3410-J3423))</f>
        <v>0</v>
      </c>
      <c r="K3436" s="16" t="n">
        <f aca="false">K3429*MIN(K3428-K3434+K3433,MAX(0,K3506-Assumptions!$C$12*K3322-K3332-K3345-K3358-K3371-K3384-K3397-K3410-K3423))</f>
        <v>0</v>
      </c>
    </row>
    <row r="3437" customFormat="false" ht="15" hidden="false" customHeight="false" outlineLevel="0" collapsed="false">
      <c r="A3437" s="3" t="s">
        <v>337</v>
      </c>
      <c r="G3437" s="16" t="n">
        <f aca="false">Assumptions!$N$65*MIN(G3428+G3435+G3433-G3434-G3436,MAX(0,G3510-G3333-G3346-G3359-G3372-G3385-G3398-G3411-G3424))</f>
        <v>0</v>
      </c>
      <c r="H3437" s="16" t="n">
        <f aca="false">Assumptions!$N$65*MIN(H3428+H3435+H3433-H3434-H3436,MAX(0,H3510-H3333-H3346-H3359-H3372-H3385-H3398-H3411-H3424))</f>
        <v>0</v>
      </c>
      <c r="I3437" s="16" t="n">
        <f aca="false">Assumptions!$N$65*MIN(I3428+I3435+I3433-I3434-I3436,MAX(0,I3510-I3333-I3346-I3359-I3372-I3385-I3398-I3411-I3424))</f>
        <v>0</v>
      </c>
      <c r="J3437" s="16" t="n">
        <f aca="false">Assumptions!$N$65*MIN(J3428+J3435+J3433-J3434-J3436,MAX(0,J3510-J3333-J3346-J3359-J3372-J3385-J3398-J3411-J3424))</f>
        <v>0</v>
      </c>
      <c r="K3437" s="16" t="n">
        <f aca="false">Assumptions!$N$65*MIN(K3428+K3435+K3433-K3434-K3436,MAX(0,K3510-K3333-K3346-K3359-K3372-K3385-K3398-K3411-K3424))</f>
        <v>0</v>
      </c>
    </row>
    <row r="3438" customFormat="false" ht="15" hidden="false" customHeight="false" outlineLevel="0" collapsed="false">
      <c r="A3438" s="3" t="s">
        <v>338</v>
      </c>
      <c r="G3438" s="16" t="n">
        <f aca="false">G3429*(1-G3322)*(G3428-G3434+G3433-G3436)</f>
        <v>0</v>
      </c>
      <c r="H3438" s="16" t="n">
        <f aca="false">H3429*(1-H3322)*(H3428-H3434+H3433-H3436)</f>
        <v>0</v>
      </c>
      <c r="I3438" s="16" t="n">
        <f aca="false">I3429*(1-I3322)*(I3428-I3434+I3433-I3436)</f>
        <v>0</v>
      </c>
      <c r="J3438" s="16" t="n">
        <f aca="false">J3429*(1-J3322)*(J3428-J3434+J3433-J3436)</f>
        <v>0</v>
      </c>
      <c r="K3438" s="16" t="n">
        <f aca="false">K3429*(1-K3322)*(K3428-K3434+K3433-K3436)</f>
        <v>0</v>
      </c>
    </row>
    <row r="3439" customFormat="false" ht="15" hidden="false" customHeight="false" outlineLevel="0" collapsed="false">
      <c r="A3439" s="2" t="s">
        <v>339</v>
      </c>
      <c r="F3439" s="28" t="n">
        <f aca="false">Assumptions!$C$65</f>
        <v>300</v>
      </c>
      <c r="G3439" s="17" t="n">
        <f aca="false">G3428+G3435+G3433-G3434-G3436-G3437</f>
        <v>300</v>
      </c>
      <c r="H3439" s="17" t="n">
        <f aca="false">H3428+H3435+H3433-H3434-H3436-H3437</f>
        <v>300</v>
      </c>
      <c r="I3439" s="17" t="n">
        <f aca="false">I3428+I3435+I3433-I3434-I3436-I3437</f>
        <v>300</v>
      </c>
      <c r="J3439" s="17" t="n">
        <f aca="false">J3428+J3435+J3433-J3434-J3436-J3437</f>
        <v>300</v>
      </c>
      <c r="K3439" s="17" t="n">
        <f aca="false">K3428+K3435+K3433-K3434-K3436-K3437</f>
        <v>300</v>
      </c>
    </row>
    <row r="3440" customFormat="false" ht="15" hidden="false" customHeight="false" outlineLevel="0" collapsed="false">
      <c r="A3440" s="24" t="s">
        <v>348</v>
      </c>
      <c r="B3440" s="25"/>
      <c r="C3440" s="25"/>
      <c r="D3440" s="25"/>
      <c r="E3440" s="25"/>
      <c r="F3440" s="25"/>
      <c r="G3440" s="25"/>
      <c r="H3440" s="25"/>
      <c r="I3440" s="25"/>
      <c r="J3440" s="25"/>
      <c r="K3440" s="25"/>
    </row>
    <row r="3441" customFormat="false" ht="15" hidden="false" customHeight="false" outlineLevel="0" collapsed="false">
      <c r="A3441" s="3" t="s">
        <v>329</v>
      </c>
      <c r="G3441" s="16" t="n">
        <f aca="false">F3452</f>
        <v>78.61</v>
      </c>
      <c r="H3441" s="16" t="n">
        <f aca="false">G3452</f>
        <v>78.61</v>
      </c>
      <c r="I3441" s="16" t="n">
        <f aca="false">H3452</f>
        <v>78.61</v>
      </c>
      <c r="J3441" s="16" t="n">
        <f aca="false">I3452</f>
        <v>78.61</v>
      </c>
      <c r="K3441" s="16" t="n">
        <f aca="false">J3452</f>
        <v>78.61</v>
      </c>
    </row>
    <row r="3442" customFormat="false" ht="15" hidden="false" customHeight="false" outlineLevel="0" collapsed="false">
      <c r="A3442" s="3" t="s">
        <v>330</v>
      </c>
      <c r="G3442" s="21" t="n">
        <f aca="false">IF(G3288=Assumptions!$K$66,1,0)</f>
        <v>0</v>
      </c>
      <c r="H3442" s="21" t="n">
        <f aca="false">IF(H3288=Assumptions!$K$66,1,0)</f>
        <v>0</v>
      </c>
      <c r="I3442" s="21" t="n">
        <f aca="false">IF(I3288=Assumptions!$K$66,1,0)</f>
        <v>0</v>
      </c>
      <c r="J3442" s="21" t="n">
        <f aca="false">IF(J3288=Assumptions!$K$66,1,0)</f>
        <v>0</v>
      </c>
      <c r="K3442" s="21" t="n">
        <f aca="false">IF(K3288=Assumptions!$K$66,1,0)</f>
        <v>0</v>
      </c>
    </row>
    <row r="3444" customFormat="false" ht="15" hidden="false" customHeight="false" outlineLevel="0" collapsed="false">
      <c r="A3444" s="3" t="s">
        <v>331</v>
      </c>
      <c r="G3444" s="31" t="n">
        <f aca="false">IF(Assumptions!$I$66=1,MAX(G3314,Assumptions!$G$66)+Assumptions!$F$66+$C$3315,Assumptions!$E$66)</f>
        <v>0.0541</v>
      </c>
      <c r="H3444" s="31" t="n">
        <f aca="false">IF(G3643=1,$C$3316,IF(Assumptions!$I$66=1,MAX(H3314,Assumptions!$G$66)+Assumptions!$F$66+$C$3315,Assumptions!$E$66))</f>
        <v>0.0526</v>
      </c>
      <c r="I3444" s="31" t="n">
        <f aca="false">IF(H3643=1,$C$3316,IF(Assumptions!$I$66=1,MAX(I3314,Assumptions!$G$66)+Assumptions!$F$66+$C$3315,Assumptions!$E$66))</f>
        <v>0.0501</v>
      </c>
      <c r="J3444" s="31" t="n">
        <f aca="false">IF(I3643=1,$C$3316,IF(Assumptions!$I$66=1,MAX(J3314,Assumptions!$G$66)+Assumptions!$F$66+$C$3315,Assumptions!$E$66))</f>
        <v>0.0501</v>
      </c>
      <c r="K3444" s="31" t="n">
        <f aca="false">IF(J3643=1,$C$3316,IF(Assumptions!$I$66=1,MAX(K3314,Assumptions!$G$66)+Assumptions!$F$66+$C$3315,Assumptions!$E$66))</f>
        <v>0.0501</v>
      </c>
    </row>
    <row r="3445" customFormat="false" ht="15" hidden="false" customHeight="false" outlineLevel="0" collapsed="false">
      <c r="A3445" s="3" t="s">
        <v>332</v>
      </c>
      <c r="G3445" s="16" t="n">
        <f aca="false">G3441*G3444</f>
        <v>4.252801</v>
      </c>
      <c r="H3445" s="16" t="n">
        <f aca="false">H3441*H3444</f>
        <v>4.134886</v>
      </c>
      <c r="I3445" s="16" t="n">
        <f aca="false">I3441*I3444</f>
        <v>3.938361</v>
      </c>
      <c r="J3445" s="16" t="n">
        <f aca="false">J3441*J3444</f>
        <v>3.938361</v>
      </c>
      <c r="K3445" s="16" t="n">
        <f aca="false">K3441*K3444</f>
        <v>3.938361</v>
      </c>
    </row>
    <row r="3446" customFormat="false" ht="15" hidden="false" customHeight="false" outlineLevel="0" collapsed="false">
      <c r="A3446" s="3" t="s">
        <v>333</v>
      </c>
      <c r="G3446" s="16" t="n">
        <f aca="false">G3441*Assumptions!$H$66</f>
        <v>0</v>
      </c>
      <c r="H3446" s="16" t="n">
        <f aca="false">H3441*Assumptions!$H$66</f>
        <v>0</v>
      </c>
      <c r="I3446" s="16" t="n">
        <f aca="false">I3441*Assumptions!$H$66</f>
        <v>0</v>
      </c>
      <c r="J3446" s="16" t="n">
        <f aca="false">J3441*Assumptions!$H$66</f>
        <v>0</v>
      </c>
      <c r="K3446" s="16" t="n">
        <f aca="false">K3441*Assumptions!$H$66</f>
        <v>0</v>
      </c>
    </row>
    <row r="3447" customFormat="false" ht="15" hidden="false" customHeight="false" outlineLevel="0" collapsed="false">
      <c r="A3447" s="3" t="s">
        <v>334</v>
      </c>
      <c r="G3447" s="16" t="n">
        <f aca="false">MIN(G3441,Assumptions!$L$66*Assumptions!$C$66)</f>
        <v>0</v>
      </c>
      <c r="H3447" s="16" t="n">
        <f aca="false">MIN(H3441,Assumptions!$L$66*Assumptions!$C$66)</f>
        <v>0</v>
      </c>
      <c r="I3447" s="16" t="n">
        <f aca="false">MIN(I3441,Assumptions!$L$66*Assumptions!$C$66)</f>
        <v>0</v>
      </c>
      <c r="J3447" s="16" t="n">
        <f aca="false">MIN(J3441,Assumptions!$L$66*Assumptions!$C$66)</f>
        <v>0</v>
      </c>
      <c r="K3447" s="16" t="n">
        <f aca="false">MIN(K3441,Assumptions!$L$66*Assumptions!$C$66)</f>
        <v>0</v>
      </c>
    </row>
    <row r="3448" customFormat="false" ht="15" hidden="false" customHeight="false" outlineLevel="0" collapsed="false">
      <c r="A3448" s="3" t="s">
        <v>335</v>
      </c>
      <c r="G3448" s="16" t="n">
        <f aca="false">IF(AND(Assumptions!$P$66=1,G3288&lt;Assumptions!$K$66),MIN(MAX(0,-G3504),MAX(0,Assumptions!$D$66-G3441)),0)</f>
        <v>0</v>
      </c>
      <c r="H3448" s="16" t="n">
        <f aca="false">IF(AND(Assumptions!$P$66=1,OR(H3288&lt;Assumptions!$K$66,G3643=1)),MIN(MAX(0,-H3504),MAX(0,Assumptions!$D$66-H3441)),0)</f>
        <v>0</v>
      </c>
      <c r="I3448" s="16" t="n">
        <f aca="false">IF(AND(Assumptions!$P$66=1,OR(I3288&lt;Assumptions!$K$66,H3643=1)),MIN(MAX(0,-I3504),MAX(0,Assumptions!$D$66-I3441)),0)</f>
        <v>0</v>
      </c>
      <c r="J3448" s="16" t="n">
        <f aca="false">IF(AND(Assumptions!$P$66=1,OR(J3288&lt;Assumptions!$K$66,I3643=1)),MIN(MAX(0,-J3504),MAX(0,Assumptions!$D$66-J3441)),0)</f>
        <v>0</v>
      </c>
      <c r="K3448" s="16" t="n">
        <f aca="false">IF(AND(Assumptions!$P$66=1,OR(K3288&lt;Assumptions!$K$66,J3643=1)),MIN(MAX(0,-K3504),MAX(0,Assumptions!$D$66-K3441)),0)</f>
        <v>0</v>
      </c>
    </row>
    <row r="3449" customFormat="false" ht="15" hidden="false" customHeight="false" outlineLevel="0" collapsed="false">
      <c r="A3449" s="3" t="s">
        <v>336</v>
      </c>
      <c r="G3449" s="16" t="n">
        <f aca="false">G3442*MIN(G3441-G3447+G3446,MAX(0,G3506-Assumptions!$C$12*G3322-G3332-G3345-G3358-G3371-G3384-G3397-G3410-G3423-G3436))</f>
        <v>0</v>
      </c>
      <c r="H3449" s="16" t="n">
        <f aca="false">H3442*MIN(H3441-H3447+H3446,MAX(0,H3506-Assumptions!$C$12*H3322-H3332-H3345-H3358-H3371-H3384-H3397-H3410-H3423-H3436))</f>
        <v>0</v>
      </c>
      <c r="I3449" s="16" t="n">
        <f aca="false">I3442*MIN(I3441-I3447+I3446,MAX(0,I3506-Assumptions!$C$12*I3322-I3332-I3345-I3358-I3371-I3384-I3397-I3410-I3423-I3436))</f>
        <v>0</v>
      </c>
      <c r="J3449" s="16" t="n">
        <f aca="false">J3442*MIN(J3441-J3447+J3446,MAX(0,J3506-Assumptions!$C$12*J3322-J3332-J3345-J3358-J3371-J3384-J3397-J3410-J3423-J3436))</f>
        <v>0</v>
      </c>
      <c r="K3449" s="16" t="n">
        <f aca="false">K3442*MIN(K3441-K3447+K3446,MAX(0,K3506-Assumptions!$C$12*K3322-K3332-K3345-K3358-K3371-K3384-K3397-K3410-K3423-K3436))</f>
        <v>0</v>
      </c>
    </row>
    <row r="3450" customFormat="false" ht="15" hidden="false" customHeight="false" outlineLevel="0" collapsed="false">
      <c r="A3450" s="3" t="s">
        <v>337</v>
      </c>
      <c r="G3450" s="16" t="n">
        <f aca="false">Assumptions!$N$66*MIN(G3441+G3448+G3446-G3447-G3449,MAX(0,G3510-G3333-G3346-G3359-G3372-G3385-G3398-G3411-G3424-G3437))</f>
        <v>0</v>
      </c>
      <c r="H3450" s="16" t="n">
        <f aca="false">Assumptions!$N$66*MIN(H3441+H3448+H3446-H3447-H3449,MAX(0,H3510-H3333-H3346-H3359-H3372-H3385-H3398-H3411-H3424-H3437))</f>
        <v>0</v>
      </c>
      <c r="I3450" s="16" t="n">
        <f aca="false">Assumptions!$N$66*MIN(I3441+I3448+I3446-I3447-I3449,MAX(0,I3510-I3333-I3346-I3359-I3372-I3385-I3398-I3411-I3424-I3437))</f>
        <v>0</v>
      </c>
      <c r="J3450" s="16" t="n">
        <f aca="false">Assumptions!$N$66*MIN(J3441+J3448+J3446-J3447-J3449,MAX(0,J3510-J3333-J3346-J3359-J3372-J3385-J3398-J3411-J3424-J3437))</f>
        <v>0</v>
      </c>
      <c r="K3450" s="16" t="n">
        <f aca="false">Assumptions!$N$66*MIN(K3441+K3448+K3446-K3447-K3449,MAX(0,K3510-K3333-K3346-K3359-K3372-K3385-K3398-K3411-K3424-K3437))</f>
        <v>0</v>
      </c>
    </row>
    <row r="3451" customFormat="false" ht="15" hidden="false" customHeight="false" outlineLevel="0" collapsed="false">
      <c r="A3451" s="3" t="s">
        <v>338</v>
      </c>
      <c r="G3451" s="16" t="n">
        <f aca="false">G3442*(1-G3322)*(G3441-G3447+G3446-G3449)</f>
        <v>0</v>
      </c>
      <c r="H3451" s="16" t="n">
        <f aca="false">H3442*(1-H3322)*(H3441-H3447+H3446-H3449)</f>
        <v>0</v>
      </c>
      <c r="I3451" s="16" t="n">
        <f aca="false">I3442*(1-I3322)*(I3441-I3447+I3446-I3449)</f>
        <v>0</v>
      </c>
      <c r="J3451" s="16" t="n">
        <f aca="false">J3442*(1-J3322)*(J3441-J3447+J3446-J3449)</f>
        <v>0</v>
      </c>
      <c r="K3451" s="16" t="n">
        <f aca="false">K3442*(1-K3322)*(K3441-K3447+K3446-K3449)</f>
        <v>0</v>
      </c>
    </row>
    <row r="3452" customFormat="false" ht="15" hidden="false" customHeight="false" outlineLevel="0" collapsed="false">
      <c r="A3452" s="2" t="s">
        <v>339</v>
      </c>
      <c r="F3452" s="28" t="n">
        <f aca="false">Assumptions!$C$66</f>
        <v>78.61</v>
      </c>
      <c r="G3452" s="17" t="n">
        <f aca="false">G3441+G3448+G3446-G3447-G3449-G3450</f>
        <v>78.61</v>
      </c>
      <c r="H3452" s="17" t="n">
        <f aca="false">H3441+H3448+H3446-H3447-H3449-H3450</f>
        <v>78.61</v>
      </c>
      <c r="I3452" s="17" t="n">
        <f aca="false">I3441+I3448+I3446-I3447-I3449-I3450</f>
        <v>78.61</v>
      </c>
      <c r="J3452" s="17" t="n">
        <f aca="false">J3441+J3448+J3446-J3447-J3449-J3450</f>
        <v>78.61</v>
      </c>
      <c r="K3452" s="17" t="n">
        <f aca="false">K3441+K3448+K3446-K3447-K3449-K3450</f>
        <v>78.61</v>
      </c>
    </row>
    <row r="3453" customFormat="false" ht="15" hidden="false" customHeight="false" outlineLevel="0" collapsed="false">
      <c r="A3453" s="24" t="s">
        <v>349</v>
      </c>
      <c r="B3453" s="25"/>
      <c r="C3453" s="25"/>
      <c r="D3453" s="25"/>
      <c r="E3453" s="25"/>
      <c r="F3453" s="25"/>
      <c r="G3453" s="25"/>
      <c r="H3453" s="25"/>
      <c r="I3453" s="25"/>
      <c r="J3453" s="25"/>
      <c r="K3453" s="25"/>
    </row>
    <row r="3454" customFormat="false" ht="15" hidden="false" customHeight="false" outlineLevel="0" collapsed="false">
      <c r="A3454" s="2" t="s">
        <v>350</v>
      </c>
      <c r="F3454" s="17" t="n">
        <f aca="false">F3335+F3348+F3361+F3374+F3387+F3400+F3413+F3426+F3439+F3452</f>
        <v>2625.934</v>
      </c>
      <c r="G3454" s="17" t="n">
        <f aca="false">G3335+G3348+G3361+G3374+G3387+G3400+G3413+G3426+G3439+G3452</f>
        <v>2621.934</v>
      </c>
      <c r="H3454" s="17" t="n">
        <f aca="false">H3335+H3348+H3361+H3374+H3387+H3400+H3413+H3426+H3439+H3452</f>
        <v>2575.6561513738</v>
      </c>
      <c r="I3454" s="17" t="n">
        <f aca="false">I3335+I3348+I3361+I3374+I3387+I3400+I3413+I3426+I3439+I3452</f>
        <v>2638.45309355586</v>
      </c>
      <c r="J3454" s="17" t="n">
        <f aca="false">J3335+J3348+J3361+J3374+J3387+J3400+J3413+J3426+J3439+J3452</f>
        <v>2723.3336162386</v>
      </c>
      <c r="K3454" s="17" t="n">
        <f aca="false">K3335+K3348+K3361+K3374+K3387+K3400+K3413+K3426+K3439+K3452</f>
        <v>2823.86943529725</v>
      </c>
    </row>
    <row r="3455" customFormat="false" ht="15" hidden="false" customHeight="false" outlineLevel="0" collapsed="false">
      <c r="A3455" s="3" t="s">
        <v>351</v>
      </c>
      <c r="G3455" s="16" t="n">
        <f aca="false">G3325*Assumptions!$C$57+G3338*Assumptions!$C$58+G3351*Assumptions!$C$59+G3364*Assumptions!$C$60+G3377*Assumptions!$C$61+G3390*Assumptions!$C$62+G3403*Assumptions!$C$63+G3416*Assumptions!$C$64+G3429*Assumptions!$C$65+G3442*Assumptions!$C$66</f>
        <v>0</v>
      </c>
      <c r="H3455" s="16" t="n">
        <f aca="false">H3325*Assumptions!$C$57+H3338*Assumptions!$C$58+H3351*Assumptions!$C$59+H3364*Assumptions!$C$60+H3377*Assumptions!$C$61+H3390*Assumptions!$C$62+H3403*Assumptions!$C$63+H3416*Assumptions!$C$64+H3429*Assumptions!$C$65+H3442*Assumptions!$C$66</f>
        <v>800</v>
      </c>
      <c r="I3455" s="16" t="n">
        <f aca="false">I3325*Assumptions!$C$57+I3338*Assumptions!$C$58+I3351*Assumptions!$C$59+I3364*Assumptions!$C$60+I3377*Assumptions!$C$61+I3390*Assumptions!$C$62+I3403*Assumptions!$C$63+I3416*Assumptions!$C$64+I3429*Assumptions!$C$65+I3442*Assumptions!$C$66</f>
        <v>550</v>
      </c>
      <c r="J3455" s="16" t="n">
        <f aca="false">J3325*Assumptions!$C$57+J3338*Assumptions!$C$58+J3351*Assumptions!$C$59+J3364*Assumptions!$C$60+J3377*Assumptions!$C$61+J3390*Assumptions!$C$62+J3403*Assumptions!$C$63+J3416*Assumptions!$C$64+J3429*Assumptions!$C$65+J3442*Assumptions!$C$66</f>
        <v>350</v>
      </c>
      <c r="K3455" s="16" t="n">
        <f aca="false">K3325*Assumptions!$C$57+K3338*Assumptions!$C$58+K3351*Assumptions!$C$59+K3364*Assumptions!$C$60+K3377*Assumptions!$C$61+K3390*Assumptions!$C$62+K3403*Assumptions!$C$63+K3416*Assumptions!$C$64+K3429*Assumptions!$C$65+K3442*Assumptions!$C$66</f>
        <v>700</v>
      </c>
    </row>
    <row r="3456" customFormat="false" ht="15" hidden="false" customHeight="false" outlineLevel="0" collapsed="false">
      <c r="A3456" s="24" t="s">
        <v>352</v>
      </c>
      <c r="B3456" s="25"/>
      <c r="C3456" s="25"/>
      <c r="D3456" s="25"/>
      <c r="E3456" s="25"/>
      <c r="F3456" s="25"/>
      <c r="G3456" s="25"/>
      <c r="H3456" s="25"/>
      <c r="I3456" s="25"/>
      <c r="J3456" s="25"/>
      <c r="K3456" s="25"/>
    </row>
    <row r="3457" customFormat="false" ht="15" hidden="false" customHeight="false" outlineLevel="0" collapsed="false">
      <c r="A3457" s="3" t="s">
        <v>353</v>
      </c>
      <c r="C3457" s="16" t="n">
        <f aca="false">SUMPRODUCT($G$3325:$K$3325,$G$3324:$K$3324-$G$3330:$K$3330+$G$3329:$K$3329)</f>
        <v>380</v>
      </c>
    </row>
    <row r="3458" customFormat="false" ht="15" hidden="false" customHeight="false" outlineLevel="0" collapsed="false">
      <c r="A3458" s="3" t="s">
        <v>354</v>
      </c>
      <c r="C3458" s="16" t="n">
        <f aca="false">SUMPRODUCT($G$3325:$K$3325,$G$3332:$K$3332)</f>
        <v>0</v>
      </c>
    </row>
    <row r="3459" customFormat="false" ht="15" hidden="false" customHeight="false" outlineLevel="0" collapsed="false">
      <c r="A3459" s="3" t="s">
        <v>355</v>
      </c>
      <c r="C3459" s="3" t="str">
        <f aca="false">IF(SUM($G$3325:$K$3325)=0,"n/a (beyond horizon)",IF(SUMPRODUCT($G$3325:$K$3325,$G$3322:$K$3322)&gt;0,"REFINANCING PASS","REFINANCING FAILURE"))</f>
        <v>REFINANCING PASS</v>
      </c>
    </row>
    <row r="3460" customFormat="false" ht="15" hidden="false" customHeight="false" outlineLevel="0" collapsed="false">
      <c r="A3460" s="3" t="s">
        <v>356</v>
      </c>
      <c r="C3460" s="3" t="str">
        <f aca="false">IF(SUM($G$3325:$K$3325)=0,"n/a",IF(C3458&gt;=C3457-0.001,"Repaid from cash",IF(SUMPRODUCT($G$3325:$K$3325,$G$3322:$K$3322)&gt;0,IF(C3458&gt;0,"Partly repaid; remainder refinanced","Refinanced"),IF(SUM($G$3334:$K$3334)&gt;0.001,IF(C3458&gt;0,"Partial repayment; PAYMENT DEFAULT","PAYMENT DEFAULT"),"Repaid from cash"))))</f>
        <v>Refinanced</v>
      </c>
    </row>
    <row r="3461" customFormat="false" ht="15" hidden="false" customHeight="false" outlineLevel="0" collapsed="false">
      <c r="A3461" s="3" t="s">
        <v>357</v>
      </c>
      <c r="C3461" s="16" t="n">
        <f aca="false">SUMPRODUCT($G$3338:$K$3338,$G$3337:$K$3337-$G$3343:$K$3343+$G$3342:$K$3342)</f>
        <v>0</v>
      </c>
    </row>
    <row r="3462" customFormat="false" ht="15" hidden="false" customHeight="false" outlineLevel="0" collapsed="false">
      <c r="A3462" s="3" t="s">
        <v>358</v>
      </c>
      <c r="C3462" s="16" t="n">
        <f aca="false">SUMPRODUCT($G$3338:$K$3338,$G$3345:$K$3345)</f>
        <v>0</v>
      </c>
    </row>
    <row r="3463" customFormat="false" ht="15" hidden="false" customHeight="false" outlineLevel="0" collapsed="false">
      <c r="A3463" s="3" t="s">
        <v>359</v>
      </c>
      <c r="C3463" s="3" t="str">
        <f aca="false">IF(SUM($G$3338:$K$3338)=0,"n/a (beyond horizon)",IF(SUMPRODUCT($G$3338:$K$3338,$G$3322:$K$3322)&gt;0,"REFINANCING PASS","REFINANCING FAILURE"))</f>
        <v>n/a (beyond horizon)</v>
      </c>
    </row>
    <row r="3464" customFormat="false" ht="15" hidden="false" customHeight="false" outlineLevel="0" collapsed="false">
      <c r="A3464" s="3" t="s">
        <v>360</v>
      </c>
      <c r="C3464" s="3" t="str">
        <f aca="false">IF(SUM($G$3338:$K$3338)=0,"n/a",IF(C3462&gt;=C3461-0.001,"Repaid from cash",IF(SUMPRODUCT($G$3338:$K$3338,$G$3322:$K$3322)&gt;0,IF(C3462&gt;0,"Partly repaid; remainder refinanced","Refinanced"),IF(SUM($G$3347:$K$3347)&gt;0.001,IF(C3462&gt;0,"Partial repayment; PAYMENT DEFAULT","PAYMENT DEFAULT"),"Repaid from cash"))))</f>
        <v>n/a</v>
      </c>
    </row>
    <row r="3465" customFormat="false" ht="15" hidden="false" customHeight="false" outlineLevel="0" collapsed="false">
      <c r="A3465" s="3" t="s">
        <v>361</v>
      </c>
      <c r="C3465" s="16" t="n">
        <f aca="false">SUMPRODUCT($G$3351:$K$3351,$G$3350:$K$3350-$G$3356:$K$3356+$G$3355:$K$3355)</f>
        <v>0</v>
      </c>
    </row>
    <row r="3466" customFormat="false" ht="15" hidden="false" customHeight="false" outlineLevel="0" collapsed="false">
      <c r="A3466" s="3" t="s">
        <v>362</v>
      </c>
      <c r="C3466" s="16" t="n">
        <f aca="false">SUMPRODUCT($G$3351:$K$3351,$G$3358:$K$3358)</f>
        <v>0</v>
      </c>
    </row>
    <row r="3467" customFormat="false" ht="15" hidden="false" customHeight="false" outlineLevel="0" collapsed="false">
      <c r="A3467" s="3" t="s">
        <v>363</v>
      </c>
      <c r="C3467" s="3" t="str">
        <f aca="false">IF(SUM($G$3351:$K$3351)=0,"n/a (beyond horizon)",IF(SUMPRODUCT($G$3351:$K$3351,$G$3322:$K$3322)&gt;0,"REFINANCING PASS","REFINANCING FAILURE"))</f>
        <v>n/a (beyond horizon)</v>
      </c>
    </row>
    <row r="3468" customFormat="false" ht="15" hidden="false" customHeight="false" outlineLevel="0" collapsed="false">
      <c r="A3468" s="3" t="s">
        <v>364</v>
      </c>
      <c r="C3468" s="3" t="str">
        <f aca="false">IF(SUM($G$3351:$K$3351)=0,"n/a",IF(C3466&gt;=C3465-0.001,"Repaid from cash",IF(SUMPRODUCT($G$3351:$K$3351,$G$3322:$K$3322)&gt;0,IF(C3466&gt;0,"Partly repaid; remainder refinanced","Refinanced"),IF(SUM($G$3360:$K$3360)&gt;0.001,IF(C3466&gt;0,"Partial repayment; PAYMENT DEFAULT","PAYMENT DEFAULT"),"Repaid from cash"))))</f>
        <v>n/a</v>
      </c>
    </row>
    <row r="3469" customFormat="false" ht="15" hidden="false" customHeight="false" outlineLevel="0" collapsed="false">
      <c r="A3469" s="3" t="s">
        <v>365</v>
      </c>
      <c r="C3469" s="16" t="n">
        <f aca="false">SUMPRODUCT($G$3364:$K$3364,$G$3363:$K$3363-$G$3369:$K$3369+$G$3368:$K$3368)</f>
        <v>0</v>
      </c>
    </row>
    <row r="3470" customFormat="false" ht="15" hidden="false" customHeight="false" outlineLevel="0" collapsed="false">
      <c r="A3470" s="3" t="s">
        <v>366</v>
      </c>
      <c r="C3470" s="16" t="n">
        <f aca="false">SUMPRODUCT($G$3364:$K$3364,$G$3371:$K$3371)</f>
        <v>0</v>
      </c>
    </row>
    <row r="3471" customFormat="false" ht="15" hidden="false" customHeight="false" outlineLevel="0" collapsed="false">
      <c r="A3471" s="3" t="s">
        <v>367</v>
      </c>
      <c r="C3471" s="3" t="str">
        <f aca="false">IF(SUM($G$3364:$K$3364)=0,"n/a (beyond horizon)",IF(SUMPRODUCT($G$3364:$K$3364,$G$3322:$K$3322)&gt;0,"REFINANCING PASS","REFINANCING FAILURE"))</f>
        <v>REFINANCING PASS</v>
      </c>
    </row>
    <row r="3472" customFormat="false" ht="15" hidden="false" customHeight="false" outlineLevel="0" collapsed="false">
      <c r="A3472" s="3" t="s">
        <v>368</v>
      </c>
      <c r="C3472" s="3" t="str">
        <f aca="false">IF(SUM($G$3364:$K$3364)=0,"n/a",IF(C3470&gt;=C3469-0.001,"Repaid from cash",IF(SUMPRODUCT($G$3364:$K$3364,$G$3322:$K$3322)&gt;0,IF(C3470&gt;0,"Partly repaid; remainder refinanced","Refinanced"),IF(SUM($G$3373:$K$3373)&gt;0.001,IF(C3470&gt;0,"Partial repayment; PAYMENT DEFAULT","PAYMENT DEFAULT"),"Repaid from cash"))))</f>
        <v>Repaid from cash</v>
      </c>
    </row>
    <row r="3473" customFormat="false" ht="15" hidden="false" customHeight="false" outlineLevel="0" collapsed="false">
      <c r="A3473" s="3" t="s">
        <v>369</v>
      </c>
      <c r="C3473" s="16" t="n">
        <f aca="false">SUMPRODUCT($G$3377:$K$3377,$G$3376:$K$3376-$G$3382:$K$3382+$G$3381:$K$3381)</f>
        <v>450</v>
      </c>
    </row>
    <row r="3474" customFormat="false" ht="15" hidden="false" customHeight="false" outlineLevel="0" collapsed="false">
      <c r="A3474" s="3" t="s">
        <v>370</v>
      </c>
      <c r="C3474" s="16" t="n">
        <f aca="false">SUMPRODUCT($G$3377:$K$3377,$G$3384:$K$3384)</f>
        <v>42.2778486262</v>
      </c>
    </row>
    <row r="3475" customFormat="false" ht="15" hidden="false" customHeight="false" outlineLevel="0" collapsed="false">
      <c r="A3475" s="3" t="s">
        <v>371</v>
      </c>
      <c r="C3475" s="3" t="str">
        <f aca="false">IF(SUM($G$3377:$K$3377)=0,"n/a (beyond horizon)",IF(SUMPRODUCT($G$3377:$K$3377,$G$3322:$K$3322)&gt;0,"REFINANCING PASS","REFINANCING FAILURE"))</f>
        <v>REFINANCING PASS</v>
      </c>
    </row>
    <row r="3476" customFormat="false" ht="15" hidden="false" customHeight="false" outlineLevel="0" collapsed="false">
      <c r="A3476" s="3" t="s">
        <v>372</v>
      </c>
      <c r="C3476" s="3" t="str">
        <f aca="false">IF(SUM($G$3377:$K$3377)=0,"n/a",IF(C3474&gt;=C3473-0.001,"Repaid from cash",IF(SUMPRODUCT($G$3377:$K$3377,$G$3322:$K$3322)&gt;0,IF(C3474&gt;0,"Partly repaid; remainder refinanced","Refinanced"),IF(SUM($G$3386:$K$3386)&gt;0.001,IF(C3474&gt;0,"Partial repayment; PAYMENT DEFAULT","PAYMENT DEFAULT"),"Repaid from cash"))))</f>
        <v>Partly repaid; remainder refinanced</v>
      </c>
    </row>
    <row r="3477" customFormat="false" ht="15" hidden="false" customHeight="false" outlineLevel="0" collapsed="false">
      <c r="A3477" s="3" t="s">
        <v>373</v>
      </c>
      <c r="C3477" s="16" t="n">
        <f aca="false">SUMPRODUCT($G$3390:$K$3390,$G$3389:$K$3389-$G$3395:$K$3395+$G$3394:$K$3394)</f>
        <v>350</v>
      </c>
    </row>
    <row r="3478" customFormat="false" ht="15" hidden="false" customHeight="false" outlineLevel="0" collapsed="false">
      <c r="A3478" s="3" t="s">
        <v>374</v>
      </c>
      <c r="C3478" s="16" t="n">
        <f aca="false">SUMPRODUCT($G$3390:$K$3390,$G$3397:$K$3397)</f>
        <v>0</v>
      </c>
    </row>
    <row r="3479" customFormat="false" ht="15" hidden="false" customHeight="false" outlineLevel="0" collapsed="false">
      <c r="A3479" s="3" t="s">
        <v>375</v>
      </c>
      <c r="C3479" s="3" t="str">
        <f aca="false">IF(SUM($G$3390:$K$3390)=0,"n/a (beyond horizon)",IF(SUMPRODUCT($G$3390:$K$3390,$G$3322:$K$3322)&gt;0,"REFINANCING PASS","REFINANCING FAILURE"))</f>
        <v>REFINANCING PASS</v>
      </c>
    </row>
    <row r="3480" customFormat="false" ht="15" hidden="false" customHeight="false" outlineLevel="0" collapsed="false">
      <c r="A3480" s="3" t="s">
        <v>376</v>
      </c>
      <c r="C3480" s="3" t="str">
        <f aca="false">IF(SUM($G$3390:$K$3390)=0,"n/a",IF(C3478&gt;=C3477-0.001,"Repaid from cash",IF(SUMPRODUCT($G$3390:$K$3390,$G$3322:$K$3322)&gt;0,IF(C3478&gt;0,"Partly repaid; remainder refinanced","Refinanced"),IF(SUM($G$3399:$K$3399)&gt;0.001,IF(C3478&gt;0,"Partial repayment; PAYMENT DEFAULT","PAYMENT DEFAULT"),"Repaid from cash"))))</f>
        <v>Refinanced</v>
      </c>
    </row>
    <row r="3481" customFormat="false" ht="15" hidden="false" customHeight="false" outlineLevel="0" collapsed="false">
      <c r="A3481" s="3" t="s">
        <v>377</v>
      </c>
      <c r="C3481" s="16" t="n">
        <f aca="false">SUMPRODUCT($G$3403:$K$3403,$G$3402:$K$3402-$G$3408:$K$3408+$G$3407:$K$3407)</f>
        <v>550</v>
      </c>
    </row>
    <row r="3482" customFormat="false" ht="15" hidden="false" customHeight="false" outlineLevel="0" collapsed="false">
      <c r="A3482" s="3" t="s">
        <v>378</v>
      </c>
      <c r="C3482" s="16" t="n">
        <f aca="false">SUMPRODUCT($G$3403:$K$3403,$G$3410:$K$3410)</f>
        <v>0</v>
      </c>
    </row>
    <row r="3483" customFormat="false" ht="15" hidden="false" customHeight="false" outlineLevel="0" collapsed="false">
      <c r="A3483" s="3" t="s">
        <v>379</v>
      </c>
      <c r="C3483" s="3" t="str">
        <f aca="false">IF(SUM($G$3403:$K$3403)=0,"n/a (beyond horizon)",IF(SUMPRODUCT($G$3403:$K$3403,$G$3322:$K$3322)&gt;0,"REFINANCING PASS","REFINANCING FAILURE"))</f>
        <v>REFINANCING PASS</v>
      </c>
    </row>
    <row r="3484" customFormat="false" ht="15" hidden="false" customHeight="false" outlineLevel="0" collapsed="false">
      <c r="A3484" s="3" t="s">
        <v>380</v>
      </c>
      <c r="C3484" s="3" t="str">
        <f aca="false">IF(SUM($G$3403:$K$3403)=0,"n/a",IF(C3482&gt;=C3481-0.001,"Repaid from cash",IF(SUMPRODUCT($G$3403:$K$3403,$G$3322:$K$3322)&gt;0,IF(C3482&gt;0,"Partly repaid; remainder refinanced","Refinanced"),IF(SUM($G$3412:$K$3412)&gt;0.001,IF(C3482&gt;0,"Partial repayment; PAYMENT DEFAULT","PAYMENT DEFAULT"),"Repaid from cash"))))</f>
        <v>Refinanced</v>
      </c>
    </row>
    <row r="3485" customFormat="false" ht="15" hidden="false" customHeight="false" outlineLevel="0" collapsed="false">
      <c r="A3485" s="3" t="s">
        <v>381</v>
      </c>
      <c r="C3485" s="16" t="n">
        <f aca="false">SUMPRODUCT($G$3416:$K$3416,$G$3415:$K$3415-$G$3421:$K$3421+$G$3420:$K$3420)</f>
        <v>350</v>
      </c>
    </row>
    <row r="3486" customFormat="false" ht="15" hidden="false" customHeight="false" outlineLevel="0" collapsed="false">
      <c r="A3486" s="3" t="s">
        <v>382</v>
      </c>
      <c r="C3486" s="16" t="n">
        <f aca="false">SUMPRODUCT($G$3416:$K$3416,$G$3423:$K$3423)</f>
        <v>0</v>
      </c>
    </row>
    <row r="3487" customFormat="false" ht="15" hidden="false" customHeight="false" outlineLevel="0" collapsed="false">
      <c r="A3487" s="3" t="s">
        <v>383</v>
      </c>
      <c r="C3487" s="3" t="str">
        <f aca="false">IF(SUM($G$3416:$K$3416)=0,"n/a (beyond horizon)",IF(SUMPRODUCT($G$3416:$K$3416,$G$3322:$K$3322)&gt;0,"REFINANCING PASS","REFINANCING FAILURE"))</f>
        <v>REFINANCING PASS</v>
      </c>
    </row>
    <row r="3488" customFormat="false" ht="15" hidden="false" customHeight="false" outlineLevel="0" collapsed="false">
      <c r="A3488" s="3" t="s">
        <v>384</v>
      </c>
      <c r="C3488" s="3" t="str">
        <f aca="false">IF(SUM($G$3416:$K$3416)=0,"n/a",IF(C3486&gt;=C3485-0.001,"Repaid from cash",IF(SUMPRODUCT($G$3416:$K$3416,$G$3322:$K$3322)&gt;0,IF(C3486&gt;0,"Partly repaid; remainder refinanced","Refinanced"),IF(SUM($G$3425:$K$3425)&gt;0.001,IF(C3486&gt;0,"Partial repayment; PAYMENT DEFAULT","PAYMENT DEFAULT"),"Repaid from cash"))))</f>
        <v>Refinanced</v>
      </c>
    </row>
    <row r="3489" customFormat="false" ht="15" hidden="false" customHeight="false" outlineLevel="0" collapsed="false">
      <c r="A3489" s="3" t="s">
        <v>385</v>
      </c>
      <c r="C3489" s="16" t="n">
        <f aca="false">SUMPRODUCT($G$3429:$K$3429,$G$3428:$K$3428-$G$3434:$K$3434+$G$3433:$K$3433)</f>
        <v>300</v>
      </c>
    </row>
    <row r="3490" customFormat="false" ht="15" hidden="false" customHeight="false" outlineLevel="0" collapsed="false">
      <c r="A3490" s="3" t="s">
        <v>386</v>
      </c>
      <c r="C3490" s="16" t="n">
        <f aca="false">SUMPRODUCT($G$3429:$K$3429,$G$3436:$K$3436)</f>
        <v>0</v>
      </c>
    </row>
    <row r="3491" customFormat="false" ht="15" hidden="false" customHeight="false" outlineLevel="0" collapsed="false">
      <c r="A3491" s="3" t="s">
        <v>387</v>
      </c>
      <c r="C3491" s="3" t="str">
        <f aca="false">IF(SUM($G$3429:$K$3429)=0,"n/a (beyond horizon)",IF(SUMPRODUCT($G$3429:$K$3429,$G$3322:$K$3322)&gt;0,"REFINANCING PASS","REFINANCING FAILURE"))</f>
        <v>REFINANCING PASS</v>
      </c>
    </row>
    <row r="3492" customFormat="false" ht="15" hidden="false" customHeight="false" outlineLevel="0" collapsed="false">
      <c r="A3492" s="3" t="s">
        <v>388</v>
      </c>
      <c r="C3492" s="3" t="str">
        <f aca="false">IF(SUM($G$3429:$K$3429)=0,"n/a",IF(C3490&gt;=C3489-0.001,"Repaid from cash",IF(SUMPRODUCT($G$3429:$K$3429,$G$3322:$K$3322)&gt;0,IF(C3490&gt;0,"Partly repaid; remainder refinanced","Refinanced"),IF(SUM($G$3438:$K$3438)&gt;0.001,IF(C3490&gt;0,"Partial repayment; PAYMENT DEFAULT","PAYMENT DEFAULT"),"Repaid from cash"))))</f>
        <v>Refinanced</v>
      </c>
    </row>
    <row r="3493" customFormat="false" ht="15" hidden="false" customHeight="false" outlineLevel="0" collapsed="false">
      <c r="A3493" s="3" t="s">
        <v>389</v>
      </c>
      <c r="C3493" s="16" t="n">
        <f aca="false">SUMPRODUCT($G$3442:$K$3442,$G$3441:$K$3441-$G$3447:$K$3447+$G$3446:$K$3446)</f>
        <v>0</v>
      </c>
    </row>
    <row r="3494" customFormat="false" ht="15" hidden="false" customHeight="false" outlineLevel="0" collapsed="false">
      <c r="A3494" s="3" t="s">
        <v>390</v>
      </c>
      <c r="C3494" s="16" t="n">
        <f aca="false">SUMPRODUCT($G$3442:$K$3442,$G$3449:$K$3449)</f>
        <v>0</v>
      </c>
    </row>
    <row r="3495" customFormat="false" ht="15" hidden="false" customHeight="false" outlineLevel="0" collapsed="false">
      <c r="A3495" s="3" t="s">
        <v>391</v>
      </c>
      <c r="C3495" s="3" t="str">
        <f aca="false">IF(SUM($G$3442:$K$3442)=0,"n/a (beyond horizon)",IF(SUMPRODUCT($G$3442:$K$3442,$G$3322:$K$3322)&gt;0,"REFINANCING PASS","REFINANCING FAILURE"))</f>
        <v>n/a (beyond horizon)</v>
      </c>
    </row>
    <row r="3496" customFormat="false" ht="15" hidden="false" customHeight="false" outlineLevel="0" collapsed="false">
      <c r="A3496" s="3" t="s">
        <v>392</v>
      </c>
      <c r="C3496" s="3" t="str">
        <f aca="false">IF(SUM($G$3442:$K$3442)=0,"n/a",IF(C3494&gt;=C3493-0.001,"Repaid from cash",IF(SUMPRODUCT($G$3442:$K$3442,$G$3322:$K$3322)&gt;0,IF(C3494&gt;0,"Partly repaid; remainder refinanced","Refinanced"),IF(SUM($G$3451:$K$3451)&gt;0.001,IF(C3494&gt;0,"Partial repayment; PAYMENT DEFAULT","PAYMENT DEFAULT"),"Repaid from cash"))))</f>
        <v>n/a</v>
      </c>
    </row>
    <row r="3497" customFormat="false" ht="15" hidden="false" customHeight="false" outlineLevel="0" collapsed="false">
      <c r="A3497" s="3" t="s">
        <v>393</v>
      </c>
      <c r="C3497" s="21" t="n">
        <f aca="false">IF(C3459="REFINANCING FAILURE",1,0)+IF(C3463="REFINANCING FAILURE",1,0)+IF(C3467="REFINANCING FAILURE",1,0)+IF(C3471="REFINANCING FAILURE",1,0)+IF(C3475="REFINANCING FAILURE",1,0)+IF(C3479="REFINANCING FAILURE",1,0)+IF(C3483="REFINANCING FAILURE",1,0)+IF(C3487="REFINANCING FAILURE",1,0)+IF(C3491="REFINANCING FAILURE",1,0)+IF(C3495="REFINANCING FAILURE",1,0)</f>
        <v>0</v>
      </c>
    </row>
    <row r="3499" customFormat="false" ht="15" hidden="false" customHeight="false" outlineLevel="0" collapsed="false">
      <c r="A3499" s="24" t="s">
        <v>395</v>
      </c>
      <c r="B3499" s="25"/>
      <c r="C3499" s="25"/>
      <c r="D3499" s="25"/>
      <c r="E3499" s="25"/>
      <c r="F3499" s="25"/>
      <c r="G3499" s="25"/>
      <c r="H3499" s="25"/>
      <c r="I3499" s="25"/>
      <c r="J3499" s="25"/>
      <c r="K3499" s="25"/>
    </row>
    <row r="3500" customFormat="false" ht="15" hidden="false" customHeight="false" outlineLevel="0" collapsed="false">
      <c r="A3500" s="3" t="s">
        <v>325</v>
      </c>
      <c r="G3500" s="16" t="n">
        <f aca="false">F3512</f>
        <v>37.87</v>
      </c>
      <c r="H3500" s="16" t="n">
        <f aca="false">G3512</f>
        <v>150.3287686</v>
      </c>
      <c r="I3500" s="16" t="n">
        <f aca="false">H3512</f>
        <v>25</v>
      </c>
      <c r="J3500" s="16" t="n">
        <f aca="false">I3512</f>
        <v>0</v>
      </c>
      <c r="K3500" s="16" t="n">
        <f aca="false">J3512</f>
        <v>0</v>
      </c>
    </row>
    <row r="3501" customFormat="false" ht="15" hidden="false" customHeight="false" outlineLevel="0" collapsed="false">
      <c r="A3501" s="3" t="s">
        <v>396</v>
      </c>
      <c r="G3501" s="16" t="n">
        <f aca="false">G3311</f>
        <v>-83.5412314</v>
      </c>
      <c r="H3501" s="16" t="n">
        <f aca="false">H3311</f>
        <v>-79.0509199738</v>
      </c>
      <c r="I3501" s="16" t="n">
        <f aca="false">I3311</f>
        <v>-87.796942182056</v>
      </c>
      <c r="J3501" s="16" t="n">
        <f aca="false">J3311</f>
        <v>-84.8805226827392</v>
      </c>
      <c r="K3501" s="16" t="n">
        <f aca="false">K3311</f>
        <v>-100.535819058653</v>
      </c>
    </row>
    <row r="3502" customFormat="false" ht="15" hidden="false" customHeight="false" outlineLevel="0" collapsed="false">
      <c r="A3502" s="3" t="s">
        <v>397</v>
      </c>
      <c r="G3502" s="16" t="n">
        <f aca="false">CHOOSE($C$3281,Assumptions!$G$82,Assumptions!$G$101,Assumptions!$G$120)</f>
        <v>200</v>
      </c>
      <c r="H3502" s="16" t="n">
        <f aca="false">CHOOSE($C$3281,Assumptions!$H$82,Assumptions!$H$101,Assumptions!$H$120)</f>
        <v>0</v>
      </c>
      <c r="I3502" s="16" t="n">
        <f aca="false">CHOOSE($C$3281,Assumptions!$I$82,Assumptions!$I$101,Assumptions!$I$120)</f>
        <v>0</v>
      </c>
      <c r="J3502" s="16" t="n">
        <f aca="false">CHOOSE($C$3281,Assumptions!$J$82,Assumptions!$J$101,Assumptions!$J$120)</f>
        <v>0</v>
      </c>
      <c r="K3502" s="16" t="n">
        <f aca="false">CHOOSE($C$3281,Assumptions!$K$82,Assumptions!$K$101,Assumptions!$K$120)</f>
        <v>0</v>
      </c>
    </row>
    <row r="3503" customFormat="false" ht="15" hidden="false" customHeight="false" outlineLevel="0" collapsed="false">
      <c r="A3503" s="3" t="s">
        <v>398</v>
      </c>
      <c r="G3503" s="16" t="n">
        <f aca="false">G3330+G3343+G3356+G3369+G3382+G3395+G3408+G3421+G3434+G3447</f>
        <v>4</v>
      </c>
      <c r="H3503" s="16" t="n">
        <f aca="false">H3330+H3343+H3356+H3369+H3382+H3395+H3408+H3421+H3434+H3447</f>
        <v>4</v>
      </c>
      <c r="I3503" s="16" t="n">
        <f aca="false">I3330+I3343+I3356+I3369+I3382+I3395+I3408+I3421+I3434+I3447</f>
        <v>4</v>
      </c>
      <c r="J3503" s="16" t="n">
        <f aca="false">J3330+J3343+J3356+J3369+J3382+J3395+J3408+J3421+J3434+J3447</f>
        <v>4</v>
      </c>
      <c r="K3503" s="16" t="n">
        <f aca="false">K3330+K3343+K3356+K3369+K3382+K3395+K3408+K3421+K3434+K3447</f>
        <v>4</v>
      </c>
    </row>
    <row r="3504" customFormat="false" ht="15" hidden="false" customHeight="false" outlineLevel="0" collapsed="false">
      <c r="A3504" s="2" t="s">
        <v>399</v>
      </c>
      <c r="G3504" s="17" t="n">
        <f aca="false">G3500+G3501+G3502-G3503</f>
        <v>150.3287686</v>
      </c>
      <c r="H3504" s="17" t="n">
        <f aca="false">H3500+H3501+H3502-H3503</f>
        <v>67.2778486262</v>
      </c>
      <c r="I3504" s="17" t="n">
        <f aca="false">I3500+I3501+I3502-I3503</f>
        <v>-66.796942182056</v>
      </c>
      <c r="J3504" s="17" t="n">
        <f aca="false">J3500+J3501+J3502-J3503</f>
        <v>-88.8805226827392</v>
      </c>
      <c r="K3504" s="17" t="n">
        <f aca="false">K3500+K3501+K3502-K3503</f>
        <v>-104.535819058653</v>
      </c>
    </row>
    <row r="3505" customFormat="false" ht="15" hidden="false" customHeight="false" outlineLevel="0" collapsed="false">
      <c r="A3505" s="3" t="s">
        <v>400</v>
      </c>
      <c r="G3505" s="16" t="n">
        <f aca="false">G3331+G3344+G3357+G3370+G3383+G3396+G3409+G3422+G3435+G3448</f>
        <v>0</v>
      </c>
      <c r="H3505" s="16" t="n">
        <f aca="false">H3331+H3344+H3357+H3370+H3383+H3396+H3409+H3422+H3435+H3448</f>
        <v>0</v>
      </c>
      <c r="I3505" s="16" t="n">
        <f aca="false">I3331+I3344+I3357+I3370+I3383+I3396+I3409+I3422+I3435+I3448</f>
        <v>66.796942182056</v>
      </c>
      <c r="J3505" s="16" t="n">
        <f aca="false">J3331+J3344+J3357+J3370+J3383+J3396+J3409+J3422+J3435+J3448</f>
        <v>88.8805226827392</v>
      </c>
      <c r="K3505" s="16" t="n">
        <f aca="false">K3331+K3344+K3357+K3370+K3383+K3396+K3409+K3422+K3435+K3448</f>
        <v>104.535819058653</v>
      </c>
    </row>
    <row r="3506" customFormat="false" ht="15" hidden="false" customHeight="false" outlineLevel="0" collapsed="false">
      <c r="A3506" s="2" t="s">
        <v>401</v>
      </c>
      <c r="G3506" s="17" t="n">
        <f aca="false">G3504+G3505</f>
        <v>150.3287686</v>
      </c>
      <c r="H3506" s="17" t="n">
        <f aca="false">H3504+H3505</f>
        <v>67.2778486262</v>
      </c>
      <c r="I3506" s="17" t="n">
        <f aca="false">I3504+I3505</f>
        <v>0</v>
      </c>
      <c r="J3506" s="17" t="n">
        <f aca="false">J3504+J3505</f>
        <v>0</v>
      </c>
      <c r="K3506" s="17" t="n">
        <f aca="false">K3504+K3505</f>
        <v>0</v>
      </c>
    </row>
    <row r="3507" customFormat="false" ht="15" hidden="false" customHeight="false" outlineLevel="0" collapsed="false">
      <c r="A3507" s="3" t="s">
        <v>402</v>
      </c>
      <c r="G3507" s="16" t="n">
        <f aca="false">G3332+G3345+G3358+G3371+G3384+G3397+G3410+G3423+G3436+G3449</f>
        <v>0</v>
      </c>
      <c r="H3507" s="16" t="n">
        <f aca="false">H3332+H3345+H3358+H3371+H3384+H3397+H3410+H3423+H3436+H3449</f>
        <v>42.2778486262</v>
      </c>
      <c r="I3507" s="16" t="n">
        <f aca="false">I3332+I3345+I3358+I3371+I3384+I3397+I3410+I3423+I3436+I3449</f>
        <v>0</v>
      </c>
      <c r="J3507" s="16" t="n">
        <f aca="false">J3332+J3345+J3358+J3371+J3384+J3397+J3410+J3423+J3436+J3449</f>
        <v>0</v>
      </c>
      <c r="K3507" s="16" t="n">
        <f aca="false">K3332+K3345+K3358+K3371+K3384+K3397+K3410+K3423+K3436+K3449</f>
        <v>0</v>
      </c>
    </row>
    <row r="3508" customFormat="false" ht="15" hidden="false" customHeight="false" outlineLevel="0" collapsed="false">
      <c r="A3508" s="2" t="s">
        <v>403</v>
      </c>
      <c r="G3508" s="17" t="n">
        <f aca="false">G3506-G3507</f>
        <v>150.3287686</v>
      </c>
      <c r="H3508" s="17" t="n">
        <f aca="false">H3506-H3507</f>
        <v>25</v>
      </c>
      <c r="I3508" s="17" t="n">
        <f aca="false">I3506-I3507</f>
        <v>0</v>
      </c>
      <c r="J3508" s="17" t="n">
        <f aca="false">J3506-J3507</f>
        <v>0</v>
      </c>
      <c r="K3508" s="17" t="n">
        <f aca="false">K3506-K3507</f>
        <v>0</v>
      </c>
    </row>
    <row r="3509" customFormat="false" ht="15" hidden="false" customHeight="false" outlineLevel="0" collapsed="false">
      <c r="A3509" s="3" t="s">
        <v>404</v>
      </c>
      <c r="G3509" s="16" t="n">
        <f aca="false">MAX(0,-G3508)</f>
        <v>0</v>
      </c>
      <c r="H3509" s="16" t="n">
        <f aca="false">MAX(0,-H3508)</f>
        <v>0</v>
      </c>
      <c r="I3509" s="16" t="n">
        <f aca="false">MAX(0,-I3508)</f>
        <v>-0</v>
      </c>
      <c r="J3509" s="16" t="n">
        <f aca="false">MAX(0,-J3508)</f>
        <v>-0</v>
      </c>
      <c r="K3509" s="16" t="n">
        <f aca="false">MAX(0,-K3508)</f>
        <v>-0</v>
      </c>
    </row>
    <row r="3510" customFormat="false" ht="15" hidden="false" customHeight="false" outlineLevel="0" collapsed="false">
      <c r="A3510" s="3" t="s">
        <v>405</v>
      </c>
      <c r="G3510" s="16" t="n">
        <f aca="false">MAX(0,G3508-Assumptions!$C$12)*Assumptions!$C$13</f>
        <v>0</v>
      </c>
      <c r="H3510" s="16" t="n">
        <f aca="false">MAX(0,H3508-Assumptions!$C$12)*Assumptions!$C$13</f>
        <v>0</v>
      </c>
      <c r="I3510" s="16" t="n">
        <f aca="false">MAX(0,I3508-Assumptions!$C$12)*Assumptions!$C$13</f>
        <v>0</v>
      </c>
      <c r="J3510" s="16" t="n">
        <f aca="false">MAX(0,J3508-Assumptions!$C$12)*Assumptions!$C$13</f>
        <v>0</v>
      </c>
      <c r="K3510" s="16" t="n">
        <f aca="false">MAX(0,K3508-Assumptions!$C$12)*Assumptions!$C$13</f>
        <v>0</v>
      </c>
    </row>
    <row r="3511" customFormat="false" ht="15" hidden="false" customHeight="false" outlineLevel="0" collapsed="false">
      <c r="A3511" s="3" t="s">
        <v>406</v>
      </c>
      <c r="G3511" s="16" t="n">
        <f aca="false">G3333+G3346+G3359+G3372+G3385+G3398+G3411+G3424+G3437+G3450</f>
        <v>0</v>
      </c>
      <c r="H3511" s="16" t="n">
        <f aca="false">H3333+H3346+H3359+H3372+H3385+H3398+H3411+H3424+H3437+H3450</f>
        <v>0</v>
      </c>
      <c r="I3511" s="16" t="n">
        <f aca="false">I3333+I3346+I3359+I3372+I3385+I3398+I3411+I3424+I3437+I3450</f>
        <v>0</v>
      </c>
      <c r="J3511" s="16" t="n">
        <f aca="false">J3333+J3346+J3359+J3372+J3385+J3398+J3411+J3424+J3437+J3450</f>
        <v>0</v>
      </c>
      <c r="K3511" s="16" t="n">
        <f aca="false">K3333+K3346+K3359+K3372+K3385+K3398+K3411+K3424+K3437+K3450</f>
        <v>0</v>
      </c>
    </row>
    <row r="3512" customFormat="false" ht="15" hidden="false" customHeight="false" outlineLevel="0" collapsed="false">
      <c r="A3512" s="2" t="s">
        <v>407</v>
      </c>
      <c r="F3512" s="28" t="n">
        <f aca="false">Assumptions!$C$11</f>
        <v>37.87</v>
      </c>
      <c r="G3512" s="17" t="n">
        <f aca="false">G3508-G3511</f>
        <v>150.3287686</v>
      </c>
      <c r="H3512" s="17" t="n">
        <f aca="false">H3508-H3511</f>
        <v>25</v>
      </c>
      <c r="I3512" s="17" t="n">
        <f aca="false">I3508-I3511</f>
        <v>0</v>
      </c>
      <c r="J3512" s="17" t="n">
        <f aca="false">J3508-J3511</f>
        <v>0</v>
      </c>
      <c r="K3512" s="17" t="n">
        <f aca="false">K3508-K3511</f>
        <v>0</v>
      </c>
    </row>
    <row r="3513" customFormat="false" ht="15" hidden="false" customHeight="false" outlineLevel="0" collapsed="false">
      <c r="A3513" s="3" t="s">
        <v>408</v>
      </c>
      <c r="G3513" s="16" t="n">
        <f aca="false">G3334+G3347+G3360+G3373+G3386+G3399+G3412+G3425+G3438+G3451</f>
        <v>0</v>
      </c>
      <c r="H3513" s="16" t="n">
        <f aca="false">H3334+H3347+H3360+H3373+H3386+H3399+H3412+H3425+H3438+H3451</f>
        <v>0</v>
      </c>
      <c r="I3513" s="16" t="n">
        <f aca="false">I3334+I3347+I3360+I3373+I3386+I3399+I3412+I3425+I3438+I3451</f>
        <v>0</v>
      </c>
      <c r="J3513" s="16" t="n">
        <f aca="false">J3334+J3347+J3360+J3373+J3386+J3399+J3412+J3425+J3438+J3451</f>
        <v>0</v>
      </c>
      <c r="K3513" s="16" t="n">
        <f aca="false">K3334+K3347+K3360+K3373+K3386+K3399+K3412+K3425+K3438+K3451</f>
        <v>0</v>
      </c>
    </row>
    <row r="3514" customFormat="false" ht="15" hidden="false" customHeight="false" outlineLevel="0" collapsed="false">
      <c r="A3514" s="3" t="s">
        <v>409</v>
      </c>
      <c r="G3514" s="21" t="n">
        <f aca="false">IF(OR(G3509&gt;0.001,G3513&gt;0.001),1,0)</f>
        <v>0</v>
      </c>
      <c r="H3514" s="21" t="n">
        <f aca="false">IF(OR(H3509&gt;0.001,H3513&gt;0.001),1,0)</f>
        <v>0</v>
      </c>
      <c r="I3514" s="21" t="n">
        <f aca="false">IF(OR(I3509&gt;0.001,I3513&gt;0.001),1,0)</f>
        <v>0</v>
      </c>
      <c r="J3514" s="21" t="n">
        <f aca="false">IF(OR(J3509&gt;0.001,J3513&gt;0.001),1,0)</f>
        <v>0</v>
      </c>
      <c r="K3514" s="21" t="n">
        <f aca="false">IF(OR(K3509&gt;0.001,K3513&gt;0.001),1,0)</f>
        <v>0</v>
      </c>
    </row>
    <row r="3515" customFormat="false" ht="15" hidden="false" customHeight="false" outlineLevel="0" collapsed="false">
      <c r="A3515" s="3" t="s">
        <v>410</v>
      </c>
      <c r="G3515" s="21" t="n">
        <f aca="false">IF(G3514=1,1,0)</f>
        <v>0</v>
      </c>
      <c r="H3515" s="21" t="n">
        <f aca="false">IF(AND(H3514=1,SUM($G$3514:G3514)=0),1,0)</f>
        <v>0</v>
      </c>
      <c r="I3515" s="21" t="n">
        <f aca="false">IF(AND(I3514=1,SUM($G$3514:H3514)=0),1,0)</f>
        <v>0</v>
      </c>
      <c r="J3515" s="21" t="n">
        <f aca="false">IF(AND(J3514=1,SUM($G$3514:I3514)=0),1,0)</f>
        <v>0</v>
      </c>
      <c r="K3515" s="21" t="n">
        <f aca="false">IF(AND(K3514=1,SUM($G$3514:J3514)=0),1,0)</f>
        <v>0</v>
      </c>
    </row>
    <row r="3516" customFormat="false" ht="15" hidden="false" customHeight="false" outlineLevel="0" collapsed="false">
      <c r="A3516" s="3" t="s">
        <v>411</v>
      </c>
      <c r="G3516" s="16" t="n">
        <f aca="false">(G3454-F3454)-(G3505+G3303-G3503-G3507-G3511)</f>
        <v>0</v>
      </c>
      <c r="H3516" s="16" t="n">
        <f aca="false">(H3454-G3454)-(H3505+H3303-H3503-H3507-H3511)</f>
        <v>0</v>
      </c>
      <c r="I3516" s="16" t="n">
        <f aca="false">(I3454-H3454)-(I3505+I3303-I3503-I3507-I3511)</f>
        <v>0</v>
      </c>
      <c r="J3516" s="16" t="n">
        <f aca="false">(J3454-I3454)-(J3505+J3303-J3503-J3507-J3511)</f>
        <v>0</v>
      </c>
      <c r="K3516" s="16" t="n">
        <f aca="false">(K3454-J3454)-(K3505+K3303-K3503-K3507-K3511)</f>
        <v>0</v>
      </c>
    </row>
    <row r="3518" customFormat="false" ht="15" hidden="false" customHeight="false" outlineLevel="0" collapsed="false">
      <c r="A3518" s="24" t="s">
        <v>413</v>
      </c>
      <c r="B3518" s="25"/>
      <c r="C3518" s="25"/>
      <c r="D3518" s="25"/>
      <c r="E3518" s="25"/>
      <c r="F3518" s="25"/>
      <c r="G3518" s="25"/>
      <c r="H3518" s="25"/>
      <c r="I3518" s="25"/>
      <c r="J3518" s="25"/>
      <c r="K3518" s="25"/>
    </row>
    <row r="3519" customFormat="false" ht="15" hidden="false" customHeight="false" outlineLevel="0" collapsed="false">
      <c r="A3519" s="3" t="s">
        <v>414</v>
      </c>
      <c r="G3519" s="16" t="n">
        <f aca="false">G3454</f>
        <v>2621.934</v>
      </c>
      <c r="H3519" s="16" t="n">
        <f aca="false">H3454</f>
        <v>2575.6561513738</v>
      </c>
      <c r="I3519" s="16" t="n">
        <f aca="false">I3454</f>
        <v>2638.45309355586</v>
      </c>
      <c r="J3519" s="16" t="n">
        <f aca="false">J3454</f>
        <v>2723.3336162386</v>
      </c>
      <c r="K3519" s="16" t="n">
        <f aca="false">K3454</f>
        <v>2823.86943529725</v>
      </c>
    </row>
    <row r="3520" customFormat="false" ht="15" hidden="false" customHeight="false" outlineLevel="0" collapsed="false">
      <c r="A3520" s="3" t="s">
        <v>415</v>
      </c>
      <c r="G3520" s="16" t="n">
        <f aca="false">Assumptions!$O$57*G3335+Assumptions!$O$58*G3348+Assumptions!$O$59*G3361+Assumptions!$O$60*G3374+Assumptions!$O$61*G3387+Assumptions!$O$62*G3400+Assumptions!$O$63*G3413+Assumptions!$O$64*G3426+Assumptions!$O$65*G3439+Assumptions!$O$66*G3452</f>
        <v>543.324</v>
      </c>
      <c r="H3520" s="16" t="n">
        <f aca="false">Assumptions!$O$57*H3335+Assumptions!$O$58*H3348+Assumptions!$O$59*H3361+Assumptions!$O$60*H3374+Assumptions!$O$61*H3387+Assumptions!$O$62*H3400+Assumptions!$O$63*H3413+Assumptions!$O$64*H3426+Assumptions!$O$65*H3439+Assumptions!$O$66*H3452</f>
        <v>539.324</v>
      </c>
      <c r="I3520" s="16" t="n">
        <f aca="false">Assumptions!$O$57*I3335+Assumptions!$O$58*I3348+Assumptions!$O$59*I3361+Assumptions!$O$60*I3374+Assumptions!$O$61*I3387+Assumptions!$O$62*I3400+Assumptions!$O$63*I3413+Assumptions!$O$64*I3426+Assumptions!$O$65*I3439+Assumptions!$O$66*I3452</f>
        <v>535.324</v>
      </c>
      <c r="J3520" s="16" t="n">
        <f aca="false">Assumptions!$O$57*J3335+Assumptions!$O$58*J3348+Assumptions!$O$59*J3361+Assumptions!$O$60*J3374+Assumptions!$O$61*J3387+Assumptions!$O$62*J3400+Assumptions!$O$63*J3413+Assumptions!$O$64*J3426+Assumptions!$O$65*J3439+Assumptions!$O$66*J3452</f>
        <v>531.324</v>
      </c>
      <c r="K3520" s="16" t="n">
        <f aca="false">Assumptions!$O$57*K3335+Assumptions!$O$58*K3348+Assumptions!$O$59*K3361+Assumptions!$O$60*K3374+Assumptions!$O$61*K3387+Assumptions!$O$62*K3400+Assumptions!$O$63*K3413+Assumptions!$O$64*K3426+Assumptions!$O$65*K3439+Assumptions!$O$66*K3452</f>
        <v>527.324</v>
      </c>
    </row>
    <row r="3521" customFormat="false" ht="15" hidden="false" customHeight="false" outlineLevel="0" collapsed="false">
      <c r="A3521" s="3" t="s">
        <v>416</v>
      </c>
      <c r="G3521" s="16" t="n">
        <f aca="false">G3519-G3512</f>
        <v>2471.6052314</v>
      </c>
      <c r="H3521" s="16" t="n">
        <f aca="false">H3519-H3512</f>
        <v>2550.6561513738</v>
      </c>
      <c r="I3521" s="16" t="n">
        <f aca="false">I3519-I3512</f>
        <v>2638.45309355586</v>
      </c>
      <c r="J3521" s="16" t="n">
        <f aca="false">J3519-J3512</f>
        <v>2723.3336162386</v>
      </c>
      <c r="K3521" s="16" t="n">
        <f aca="false">K3519-K3512</f>
        <v>2823.86943529725</v>
      </c>
    </row>
    <row r="3522" customFormat="false" ht="15" hidden="false" customHeight="false" outlineLevel="0" collapsed="false">
      <c r="A3522" s="3" t="s">
        <v>417</v>
      </c>
      <c r="G3522" s="32" t="n">
        <f aca="false">IF(G3298&gt;0,G3519/G3298,0)</f>
        <v>10.2350768597559</v>
      </c>
      <c r="H3522" s="32" t="n">
        <f aca="false">IF(H3298&gt;0,H3519/H3298,0)</f>
        <v>9.80179750754554</v>
      </c>
      <c r="I3522" s="32" t="n">
        <f aca="false">IF(I3298&gt;0,I3519/I3298,0)</f>
        <v>9.78880026535512</v>
      </c>
      <c r="J3522" s="32" t="n">
        <f aca="false">IF(J3298&gt;0,J3519/J3298,0)</f>
        <v>9.86877570563203</v>
      </c>
      <c r="K3522" s="32" t="n">
        <f aca="false">IF(K3298&gt;0,K3519/K3298,0)</f>
        <v>9.99528975565569</v>
      </c>
    </row>
    <row r="3523" customFormat="false" ht="15" hidden="false" customHeight="false" outlineLevel="0" collapsed="false">
      <c r="A3523" s="3" t="s">
        <v>418</v>
      </c>
      <c r="G3523" s="32" t="n">
        <f aca="false">IF(G3298&gt;0,G3521/G3298,0)</f>
        <v>9.64824801476836</v>
      </c>
      <c r="H3523" s="32" t="n">
        <f aca="false">IF(H3298&gt;0,H3521/H3298,0)</f>
        <v>9.70665866785301</v>
      </c>
      <c r="I3523" s="32" t="n">
        <f aca="false">IF(I3298&gt;0,I3521/I3298,0)</f>
        <v>9.78880026535512</v>
      </c>
      <c r="J3523" s="32" t="n">
        <f aca="false">IF(J3298&gt;0,J3521/J3298,0)</f>
        <v>9.86877570563203</v>
      </c>
      <c r="K3523" s="32" t="n">
        <f aca="false">IF(K3298&gt;0,K3521/K3298,0)</f>
        <v>9.99528975565569</v>
      </c>
    </row>
    <row r="3524" customFormat="false" ht="15" hidden="false" customHeight="false" outlineLevel="0" collapsed="false">
      <c r="A3524" s="3" t="s">
        <v>419</v>
      </c>
      <c r="G3524" s="32" t="n">
        <f aca="false">IF(G3302&gt;0,G3298/G3302,0)</f>
        <v>1.4215185079059</v>
      </c>
      <c r="H3524" s="32" t="n">
        <f aca="false">IF(H3302&gt;0,H3298/H3302,0)</f>
        <v>1.46693050552355</v>
      </c>
      <c r="I3524" s="32" t="n">
        <f aca="false">IF(I3302&gt;0,I3298/I3302,0)</f>
        <v>1.40833238714926</v>
      </c>
      <c r="J3524" s="32" t="n">
        <f aca="false">IF(J3302&gt;0,J3298/J3302,0)</f>
        <v>1.44049487506624</v>
      </c>
      <c r="K3524" s="32" t="n">
        <f aca="false">IF(K3302&gt;0,K3298/K3302,0)</f>
        <v>1.34274565931266</v>
      </c>
    </row>
    <row r="3525" customFormat="false" ht="15" hidden="false" customHeight="false" outlineLevel="0" collapsed="false">
      <c r="A3525" s="3" t="s">
        <v>420</v>
      </c>
      <c r="G3525" s="32" t="n">
        <f aca="false">IF(G3302&gt;0,G3301/G3302,0)</f>
        <v>0.42415696431819</v>
      </c>
      <c r="H3525" s="32" t="n">
        <f aca="false">IF(H3302&gt;0,H3301/H3302,0)</f>
        <v>0.443500134737685</v>
      </c>
      <c r="I3525" s="32" t="n">
        <f aca="false">IF(I3302&gt;0,I3301/I3302,0)</f>
        <v>0.431283382112554</v>
      </c>
      <c r="J3525" s="32" t="n">
        <f aca="false">IF(J3302&gt;0,J3301/J3302,0)</f>
        <v>0.444847824504487</v>
      </c>
      <c r="K3525" s="32" t="n">
        <f aca="false">IF(K3302&gt;0,K3301/K3302,0)</f>
        <v>0.418098654921945</v>
      </c>
    </row>
    <row r="3526" customFormat="false" ht="15" hidden="false" customHeight="false" outlineLevel="0" collapsed="false">
      <c r="A3526" s="3" t="s">
        <v>213</v>
      </c>
      <c r="G3526" s="22" t="n">
        <f aca="false">IF(G3519&gt;0,G3311/G3519,0)</f>
        <v>-0.0318624463468569</v>
      </c>
      <c r="H3526" s="22" t="n">
        <f aca="false">IF(H3519&gt;0,H3311/H3519,0)</f>
        <v>-0.0306915656935169</v>
      </c>
      <c r="I3526" s="22" t="n">
        <f aca="false">IF(I3519&gt;0,I3311/I3519,0)</f>
        <v>-0.0332759154962773</v>
      </c>
      <c r="J3526" s="22" t="n">
        <f aca="false">IF(J3519&gt;0,J3311/J3519,0)</f>
        <v>-0.0311678753482925</v>
      </c>
      <c r="K3526" s="22" t="n">
        <f aca="false">IF(K3519&gt;0,K3311/K3519,0)</f>
        <v>-0.0356021485278303</v>
      </c>
    </row>
    <row r="3527" customFormat="false" ht="15" hidden="false" customHeight="false" outlineLevel="0" collapsed="false">
      <c r="A3527" s="3" t="s">
        <v>421</v>
      </c>
      <c r="G3527" s="32" t="n">
        <f aca="false">IF(G3302+G3503&gt;0,(G3298-G3309-G3306)/(G3302+G3503),0)</f>
        <v>0.813399704660698</v>
      </c>
      <c r="H3527" s="32" t="n">
        <f aca="false">IF(H3302+H3503&gt;0,(H3298-H3309-H3306)/(H3302+H3503),0)</f>
        <v>0.842627430418813</v>
      </c>
      <c r="I3527" s="32" t="n">
        <f aca="false">IF(I3302+I3503&gt;0,(I3298-I3309-I3306)/(I3302+I3503),0)</f>
        <v>0.813287836689746</v>
      </c>
      <c r="J3527" s="32" t="n">
        <f aca="false">IF(J3302+J3503&gt;0,(J3298-J3309-J3306)/(J3302+J3503),0)</f>
        <v>0.834030228771795</v>
      </c>
      <c r="K3527" s="32" t="n">
        <f aca="false">IF(K3302+K3503&gt;0,(K3298-K3309-K3306)/(K3302+K3503),0)</f>
        <v>0.780856287522867</v>
      </c>
    </row>
    <row r="3528" customFormat="false" ht="15" hidden="false" customHeight="false" outlineLevel="0" collapsed="false">
      <c r="A3528" s="3" t="s">
        <v>422</v>
      </c>
      <c r="G3528" s="16" t="n">
        <f aca="false">MAX(0,G3512)+Assumptions!$P$57*MAX(0,Assumptions!$D$57-G3335)+Assumptions!$P$58*MAX(0,Assumptions!$D$58-G3348)+Assumptions!$P$59*MAX(0,Assumptions!$D$59-G3361)+Assumptions!$P$60*MAX(0,Assumptions!$D$60-G3374)+Assumptions!$P$61*MAX(0,Assumptions!$D$61-G3387)+Assumptions!$P$62*MAX(0,Assumptions!$D$62-G3400)+Assumptions!$P$63*MAX(0,Assumptions!$D$63-G3413)+Assumptions!$P$64*MAX(0,Assumptions!$D$64-G3426)+Assumptions!$P$65*MAX(0,Assumptions!$D$65-G3439)+Assumptions!$P$66*MAX(0,Assumptions!$D$66-G3452)</f>
        <v>724.8287686</v>
      </c>
      <c r="H3528" s="16" t="n">
        <f aca="false">MAX(0,H3512)+Assumptions!$P$57*MAX(0,Assumptions!$D$57-H3335)+Assumptions!$P$58*MAX(0,Assumptions!$D$58-H3348)+Assumptions!$P$59*MAX(0,Assumptions!$D$59-H3361)+Assumptions!$P$60*MAX(0,Assumptions!$D$60-H3374)+Assumptions!$P$61*MAX(0,Assumptions!$D$61-H3387)+Assumptions!$P$62*MAX(0,Assumptions!$D$62-H3400)+Assumptions!$P$63*MAX(0,Assumptions!$D$63-H3413)+Assumptions!$P$64*MAX(0,Assumptions!$D$64-H3426)+Assumptions!$P$65*MAX(0,Assumptions!$D$65-H3439)+Assumptions!$P$66*MAX(0,Assumptions!$D$66-H3452)</f>
        <v>599.5</v>
      </c>
      <c r="I3528" s="16" t="n">
        <f aca="false">MAX(0,I3512)+Assumptions!$P$57*MAX(0,Assumptions!$D$57-I3335)+Assumptions!$P$58*MAX(0,Assumptions!$D$58-I3348)+Assumptions!$P$59*MAX(0,Assumptions!$D$59-I3361)+Assumptions!$P$60*MAX(0,Assumptions!$D$60-I3374)+Assumptions!$P$61*MAX(0,Assumptions!$D$61-I3387)+Assumptions!$P$62*MAX(0,Assumptions!$D$62-I3400)+Assumptions!$P$63*MAX(0,Assumptions!$D$63-I3413)+Assumptions!$P$64*MAX(0,Assumptions!$D$64-I3426)+Assumptions!$P$65*MAX(0,Assumptions!$D$65-I3439)+Assumptions!$P$66*MAX(0,Assumptions!$D$66-I3452)</f>
        <v>507.703057817944</v>
      </c>
      <c r="J3528" s="16" t="n">
        <f aca="false">MAX(0,J3512)+Assumptions!$P$57*MAX(0,Assumptions!$D$57-J3335)+Assumptions!$P$58*MAX(0,Assumptions!$D$58-J3348)+Assumptions!$P$59*MAX(0,Assumptions!$D$59-J3361)+Assumptions!$P$60*MAX(0,Assumptions!$D$60-J3374)+Assumptions!$P$61*MAX(0,Assumptions!$D$61-J3387)+Assumptions!$P$62*MAX(0,Assumptions!$D$62-J3400)+Assumptions!$P$63*MAX(0,Assumptions!$D$63-J3413)+Assumptions!$P$64*MAX(0,Assumptions!$D$64-J3426)+Assumptions!$P$65*MAX(0,Assumptions!$D$65-J3439)+Assumptions!$P$66*MAX(0,Assumptions!$D$66-J3452)</f>
        <v>418.822535135205</v>
      </c>
      <c r="K3528" s="16" t="n">
        <f aca="false">MAX(0,K3512)+Assumptions!$P$57*MAX(0,Assumptions!$D$57-K3335)+Assumptions!$P$58*MAX(0,Assumptions!$D$58-K3348)+Assumptions!$P$59*MAX(0,Assumptions!$D$59-K3361)+Assumptions!$P$60*MAX(0,Assumptions!$D$60-K3374)+Assumptions!$P$61*MAX(0,Assumptions!$D$61-K3387)+Assumptions!$P$62*MAX(0,Assumptions!$D$62-K3400)+Assumptions!$P$63*MAX(0,Assumptions!$D$63-K3413)+Assumptions!$P$64*MAX(0,Assumptions!$D$64-K3426)+Assumptions!$P$65*MAX(0,Assumptions!$D$65-K3439)+Assumptions!$P$66*MAX(0,Assumptions!$D$66-K3452)</f>
        <v>314.286716076552</v>
      </c>
    </row>
    <row r="3529" customFormat="false" ht="15" hidden="false" customHeight="false" outlineLevel="0" collapsed="false">
      <c r="A3529" s="3" t="s">
        <v>423</v>
      </c>
      <c r="G3529" s="22" t="n">
        <f aca="false">IF(G3519&gt;0,G3519/(G3519+MAX(0,G3298*CHOOSE($C$3281,Assumptions!$C$90,Assumptions!$C$109,Assumptions!$C$128)-G3521)),0)</f>
        <v>0.782089915058077</v>
      </c>
      <c r="H3529" s="22" t="n">
        <f aca="false">IF(H3519&gt;0,H3519/(H3519+MAX(0,H3298*CHOOSE($C$3281,Assumptions!$C$90,Assumptions!$C$109,Assumptions!$C$128)-H3521)),0)</f>
        <v>0.778220679605055</v>
      </c>
      <c r="I3529" s="22" t="n">
        <f aca="false">IF(I3519&gt;0,I3519/(I3519+MAX(0,I3298*CHOOSE($C$3281,Assumptions!$C$90,Assumptions!$C$109,Assumptions!$C$128)-I3521)),0)</f>
        <v>0.78310402122841</v>
      </c>
      <c r="J3529" s="22" t="n">
        <f aca="false">IF(J3519&gt;0,J3519/(J3519+MAX(0,J3298*CHOOSE($C$3281,Assumptions!$C$90,Assumptions!$C$109,Assumptions!$C$128)-J3521)),0)</f>
        <v>0.789502056450562</v>
      </c>
      <c r="K3529" s="22" t="n">
        <f aca="false">IF(K3519&gt;0,K3519/(K3519+MAX(0,K3298*CHOOSE($C$3281,Assumptions!$C$90,Assumptions!$C$109,Assumptions!$C$128)-K3521)),0)</f>
        <v>0.799623180452455</v>
      </c>
    </row>
    <row r="3530" customFormat="false" ht="15" hidden="false" customHeight="false" outlineLevel="0" collapsed="false">
      <c r="A3530" s="3" t="s">
        <v>424</v>
      </c>
      <c r="G3530" s="22" t="n">
        <f aca="false">IF(G3519&gt;0,MAX(0,G3512)/G3519,0)</f>
        <v>0.0573350696852018</v>
      </c>
      <c r="H3530" s="22" t="n">
        <f aca="false">IF(H3519&gt;0,MAX(0,H3512)/H3519,0)</f>
        <v>0.00970626455191448</v>
      </c>
      <c r="I3530" s="22" t="n">
        <f aca="false">IF(I3519&gt;0,MAX(0,I3512)/I3519,0)</f>
        <v>0</v>
      </c>
      <c r="J3530" s="22" t="n">
        <f aca="false">IF(J3519&gt;0,MAX(0,J3512)/J3519,0)</f>
        <v>0</v>
      </c>
      <c r="K3530" s="22" t="n">
        <f aca="false">IF(K3519&gt;0,MAX(0,K3512)/K3519,0)</f>
        <v>0</v>
      </c>
    </row>
    <row r="3531" customFormat="false" ht="15" hidden="false" customHeight="false" outlineLevel="0" collapsed="false">
      <c r="A3531" s="3" t="s">
        <v>425</v>
      </c>
      <c r="G3531" s="16" t="n">
        <f aca="false">Assumptions!$C$31*(1-CHOOSE($C$3281,Assumptions!$C$93,Assumptions!$C$112,Assumptions!$C$131))</f>
        <v>4517.70066666667</v>
      </c>
      <c r="H3531" s="16" t="n">
        <f aca="false">Assumptions!$C$31*(1-CHOOSE($C$3281,Assumptions!$C$93,Assumptions!$C$112,Assumptions!$C$131))</f>
        <v>4517.70066666667</v>
      </c>
      <c r="I3531" s="16" t="n">
        <f aca="false">Assumptions!$C$31*(1-CHOOSE($C$3281,Assumptions!$C$93,Assumptions!$C$112,Assumptions!$C$131))</f>
        <v>4517.70066666667</v>
      </c>
      <c r="J3531" s="16" t="n">
        <f aca="false">Assumptions!$C$31*(1-CHOOSE($C$3281,Assumptions!$C$93,Assumptions!$C$112,Assumptions!$C$131))</f>
        <v>4517.70066666667</v>
      </c>
      <c r="K3531" s="16" t="n">
        <f aca="false">Assumptions!$C$31*(1-CHOOSE($C$3281,Assumptions!$C$93,Assumptions!$C$112,Assumptions!$C$131))</f>
        <v>4517.70066666667</v>
      </c>
    </row>
    <row r="3532" customFormat="false" ht="15" hidden="false" customHeight="false" outlineLevel="0" collapsed="false">
      <c r="A3532" s="24" t="s">
        <v>426</v>
      </c>
      <c r="B3532" s="25"/>
      <c r="C3532" s="25"/>
      <c r="D3532" s="25"/>
      <c r="E3532" s="25"/>
      <c r="F3532" s="25"/>
      <c r="G3532" s="25"/>
      <c r="H3532" s="25"/>
      <c r="I3532" s="25"/>
      <c r="J3532" s="25"/>
      <c r="K3532" s="25"/>
    </row>
    <row r="3533" customFormat="false" ht="15" hidden="false" customHeight="false" outlineLevel="0" collapsed="false">
      <c r="A3533" s="24" t="s">
        <v>427</v>
      </c>
      <c r="B3533" s="25"/>
      <c r="C3533" s="25"/>
      <c r="D3533" s="25"/>
      <c r="E3533" s="25"/>
      <c r="F3533" s="25"/>
      <c r="G3533" s="25"/>
      <c r="H3533" s="25"/>
      <c r="I3533" s="25"/>
      <c r="J3533" s="25"/>
      <c r="K3533" s="25"/>
    </row>
    <row r="3534" customFormat="false" ht="15" hidden="false" customHeight="false" outlineLevel="0" collapsed="false">
      <c r="A3534" s="3" t="s">
        <v>428</v>
      </c>
      <c r="G3534" s="22" t="n">
        <f aca="false">IF(G3531&gt;0,G3519/G3531,99)</f>
        <v>0.580369128779522</v>
      </c>
      <c r="H3534" s="22" t="n">
        <f aca="false">IF(H3531&gt;0,H3519/H3531,99)</f>
        <v>0.570125455716441</v>
      </c>
      <c r="I3534" s="22" t="n">
        <f aca="false">IF(I3531&gt;0,I3519/I3531,99)</f>
        <v>0.584025655578152</v>
      </c>
      <c r="J3534" s="22" t="n">
        <f aca="false">IF(J3531&gt;0,J3519/J3531,99)</f>
        <v>0.602814089993257</v>
      </c>
      <c r="K3534" s="22" t="n">
        <f aca="false">IF(K3531&gt;0,K3519/K3531,99)</f>
        <v>0.62506784837093</v>
      </c>
    </row>
    <row r="3535" customFormat="false" ht="15" hidden="false" customHeight="false" outlineLevel="0" collapsed="false">
      <c r="A3535" s="3" t="s">
        <v>429</v>
      </c>
      <c r="G3535" s="33" t="n">
        <f aca="false">Assumptions!$G$71</f>
        <v>0.6</v>
      </c>
      <c r="H3535" s="33" t="n">
        <f aca="false">Assumptions!$H$71</f>
        <v>0.6</v>
      </c>
      <c r="I3535" s="33" t="n">
        <f aca="false">Assumptions!$I$71</f>
        <v>0.6</v>
      </c>
      <c r="J3535" s="33" t="n">
        <f aca="false">Assumptions!$J$71</f>
        <v>0.6</v>
      </c>
      <c r="K3535" s="33" t="n">
        <f aca="false">Assumptions!$K$71</f>
        <v>0.6</v>
      </c>
    </row>
    <row r="3536" customFormat="false" ht="15" hidden="false" customHeight="false" outlineLevel="0" collapsed="false">
      <c r="A3536" s="3" t="s">
        <v>430</v>
      </c>
      <c r="G3536" s="22" t="n">
        <f aca="false">G3535-G3534</f>
        <v>0.0196308712204777</v>
      </c>
      <c r="H3536" s="22" t="n">
        <f aca="false">H3535-H3534</f>
        <v>0.0298745442835595</v>
      </c>
      <c r="I3536" s="22" t="n">
        <f aca="false">I3535-I3534</f>
        <v>0.0159743444218476</v>
      </c>
      <c r="J3536" s="22" t="n">
        <f aca="false">J3535-J3534</f>
        <v>-0.00281408999325661</v>
      </c>
      <c r="K3536" s="22" t="n">
        <f aca="false">K3535-K3534</f>
        <v>-0.0250678483709297</v>
      </c>
    </row>
    <row r="3537" customFormat="false" ht="15" hidden="false" customHeight="false" outlineLevel="0" collapsed="false">
      <c r="A3537" s="3" t="s">
        <v>431</v>
      </c>
      <c r="G3537" s="22" t="n">
        <f aca="false">IF(G3535=0,0,G3536/ABS(G3535))</f>
        <v>0.0327181187007962</v>
      </c>
      <c r="H3537" s="22" t="n">
        <f aca="false">IF(H3535=0,0,H3536/ABS(H3535))</f>
        <v>0.0497909071392659</v>
      </c>
      <c r="I3537" s="22" t="n">
        <f aca="false">IF(I3535=0,0,I3536/ABS(I3535))</f>
        <v>0.0266239073697461</v>
      </c>
      <c r="J3537" s="22" t="n">
        <f aca="false">IF(J3535=0,0,J3536/ABS(J3535))</f>
        <v>-0.00469014998876101</v>
      </c>
      <c r="K3537" s="22" t="n">
        <f aca="false">IF(K3535=0,0,K3536/ABS(K3535))</f>
        <v>-0.0417797472848828</v>
      </c>
    </row>
    <row r="3538" customFormat="false" ht="15" hidden="false" customHeight="false" outlineLevel="0" collapsed="false">
      <c r="A3538" s="3" t="s">
        <v>432</v>
      </c>
      <c r="G3538" s="21" t="n">
        <f aca="false">IF(G3536&lt;0,1,0)</f>
        <v>0</v>
      </c>
      <c r="H3538" s="21" t="n">
        <f aca="false">IF(H3536&lt;0,1,0)</f>
        <v>0</v>
      </c>
      <c r="I3538" s="21" t="n">
        <f aca="false">IF(I3536&lt;0,1,0)</f>
        <v>0</v>
      </c>
      <c r="J3538" s="21" t="n">
        <f aca="false">IF(J3536&lt;0,1,0)</f>
        <v>1</v>
      </c>
      <c r="K3538" s="21" t="n">
        <f aca="false">IF(K3536&lt;0,1,0)</f>
        <v>1</v>
      </c>
    </row>
    <row r="3539" customFormat="false" ht="15" hidden="false" customHeight="false" outlineLevel="0" collapsed="false">
      <c r="A3539" s="3" t="s">
        <v>433</v>
      </c>
      <c r="C3539" s="21" t="n">
        <f aca="false">IFERROR(INDEX($G$3288:$K$3288,MATCH(1,$G$3538:$K$3538,0)),0)</f>
        <v>2030</v>
      </c>
    </row>
    <row r="3540" customFormat="false" ht="15" hidden="false" customHeight="false" outlineLevel="0" collapsed="false">
      <c r="A3540" s="3" t="s">
        <v>434</v>
      </c>
      <c r="C3540" s="22" t="n">
        <f aca="false">MIN($G$3537:$K$3537)</f>
        <v>-0.0417797472848828</v>
      </c>
    </row>
    <row r="3541" customFormat="false" ht="15" hidden="false" customHeight="false" outlineLevel="0" collapsed="false">
      <c r="A3541" s="24" t="s">
        <v>435</v>
      </c>
      <c r="B3541" s="25"/>
      <c r="C3541" s="25"/>
      <c r="D3541" s="25"/>
      <c r="E3541" s="25"/>
      <c r="F3541" s="25"/>
      <c r="G3541" s="25"/>
      <c r="H3541" s="25"/>
      <c r="I3541" s="25"/>
      <c r="J3541" s="25"/>
      <c r="K3541" s="25"/>
    </row>
    <row r="3542" customFormat="false" ht="15" hidden="false" customHeight="false" outlineLevel="0" collapsed="false">
      <c r="A3542" s="3" t="s">
        <v>428</v>
      </c>
      <c r="G3542" s="32" t="n">
        <f aca="false">IF(G3302&gt;0,G3298/G3302,99)</f>
        <v>1.4215185079059</v>
      </c>
      <c r="H3542" s="32" t="n">
        <f aca="false">IF(H3302&gt;0,H3298/H3302,99)</f>
        <v>1.46693050552355</v>
      </c>
      <c r="I3542" s="32" t="n">
        <f aca="false">IF(I3302&gt;0,I3298/I3302,99)</f>
        <v>1.40833238714926</v>
      </c>
      <c r="J3542" s="32" t="n">
        <f aca="false">IF(J3302&gt;0,J3298/J3302,99)</f>
        <v>1.44049487506624</v>
      </c>
      <c r="K3542" s="32" t="n">
        <f aca="false">IF(K3302&gt;0,K3298/K3302,99)</f>
        <v>1.34274565931266</v>
      </c>
    </row>
    <row r="3543" customFormat="false" ht="15" hidden="false" customHeight="false" outlineLevel="0" collapsed="false">
      <c r="A3543" s="3" t="s">
        <v>429</v>
      </c>
      <c r="G3543" s="34" t="n">
        <f aca="false">Assumptions!$G$72</f>
        <v>1.5</v>
      </c>
      <c r="H3543" s="34" t="n">
        <f aca="false">Assumptions!$H$72</f>
        <v>1.5</v>
      </c>
      <c r="I3543" s="34" t="n">
        <f aca="false">Assumptions!$I$72</f>
        <v>1.5</v>
      </c>
      <c r="J3543" s="34" t="n">
        <f aca="false">Assumptions!$J$72</f>
        <v>1.5</v>
      </c>
      <c r="K3543" s="34" t="n">
        <f aca="false">Assumptions!$K$72</f>
        <v>1.5</v>
      </c>
    </row>
    <row r="3544" customFormat="false" ht="15" hidden="false" customHeight="false" outlineLevel="0" collapsed="false">
      <c r="A3544" s="3" t="s">
        <v>430</v>
      </c>
      <c r="G3544" s="32" t="n">
        <f aca="false">G3542-G3543</f>
        <v>-0.0784814920940982</v>
      </c>
      <c r="H3544" s="32" t="n">
        <f aca="false">H3542-H3543</f>
        <v>-0.0330694944764525</v>
      </c>
      <c r="I3544" s="32" t="n">
        <f aca="false">I3542-I3543</f>
        <v>-0.091667612850737</v>
      </c>
      <c r="J3544" s="32" t="n">
        <f aca="false">J3542-J3543</f>
        <v>-0.0595051249337639</v>
      </c>
      <c r="K3544" s="32" t="n">
        <f aca="false">K3542-K3543</f>
        <v>-0.157254340687343</v>
      </c>
    </row>
    <row r="3545" customFormat="false" ht="15" hidden="false" customHeight="false" outlineLevel="0" collapsed="false">
      <c r="A3545" s="3" t="s">
        <v>431</v>
      </c>
      <c r="G3545" s="22" t="n">
        <f aca="false">IF(G3543=0,0,G3544/ABS(G3543))</f>
        <v>-0.0523209947293988</v>
      </c>
      <c r="H3545" s="22" t="n">
        <f aca="false">IF(H3543=0,0,H3544/ABS(H3543))</f>
        <v>-0.0220463296509683</v>
      </c>
      <c r="I3545" s="22" t="n">
        <f aca="false">IF(I3543=0,0,I3544/ABS(I3543))</f>
        <v>-0.0611117419004913</v>
      </c>
      <c r="J3545" s="22" t="n">
        <f aca="false">IF(J3543=0,0,J3544/ABS(J3543))</f>
        <v>-0.039670083289176</v>
      </c>
      <c r="K3545" s="22" t="n">
        <f aca="false">IF(K3543=0,0,K3544/ABS(K3543))</f>
        <v>-0.104836227124896</v>
      </c>
    </row>
    <row r="3546" customFormat="false" ht="15" hidden="false" customHeight="false" outlineLevel="0" collapsed="false">
      <c r="A3546" s="3" t="s">
        <v>432</v>
      </c>
      <c r="G3546" s="21" t="n">
        <f aca="false">IF(G3544&lt;0,1,0)</f>
        <v>1</v>
      </c>
      <c r="H3546" s="21" t="n">
        <f aca="false">IF(H3544&lt;0,1,0)</f>
        <v>1</v>
      </c>
      <c r="I3546" s="21" t="n">
        <f aca="false">IF(I3544&lt;0,1,0)</f>
        <v>1</v>
      </c>
      <c r="J3546" s="21" t="n">
        <f aca="false">IF(J3544&lt;0,1,0)</f>
        <v>1</v>
      </c>
      <c r="K3546" s="21" t="n">
        <f aca="false">IF(K3544&lt;0,1,0)</f>
        <v>1</v>
      </c>
    </row>
    <row r="3547" customFormat="false" ht="15" hidden="false" customHeight="false" outlineLevel="0" collapsed="false">
      <c r="A3547" s="3" t="s">
        <v>433</v>
      </c>
      <c r="C3547" s="21" t="n">
        <f aca="false">IFERROR(INDEX($G$3288:$K$3288,MATCH(1,$G$3546:$K$3546,0)),0)</f>
        <v>2027</v>
      </c>
    </row>
    <row r="3548" customFormat="false" ht="15" hidden="false" customHeight="false" outlineLevel="0" collapsed="false">
      <c r="A3548" s="3" t="s">
        <v>434</v>
      </c>
      <c r="C3548" s="22" t="n">
        <f aca="false">MIN($G$3545:$K$3545)</f>
        <v>-0.104836227124896</v>
      </c>
    </row>
    <row r="3549" customFormat="false" ht="15" hidden="false" customHeight="false" outlineLevel="0" collapsed="false">
      <c r="A3549" s="24" t="s">
        <v>436</v>
      </c>
      <c r="B3549" s="25"/>
      <c r="C3549" s="25"/>
      <c r="D3549" s="25"/>
      <c r="E3549" s="25"/>
      <c r="F3549" s="25"/>
      <c r="G3549" s="25"/>
      <c r="H3549" s="25"/>
      <c r="I3549" s="25"/>
      <c r="J3549" s="25"/>
      <c r="K3549" s="25"/>
    </row>
    <row r="3550" customFormat="false" ht="15" hidden="false" customHeight="false" outlineLevel="0" collapsed="false">
      <c r="A3550" s="3" t="s">
        <v>428</v>
      </c>
      <c r="G3550" s="22" t="n">
        <f aca="false">IF(G3531&gt;0,G3520/G3531,99)</f>
        <v>0.120265604139923</v>
      </c>
      <c r="H3550" s="22" t="n">
        <f aca="false">IF(H3531&gt;0,H3520/H3531,99)</f>
        <v>0.119380197979769</v>
      </c>
      <c r="I3550" s="22" t="n">
        <f aca="false">IF(I3531&gt;0,I3520/I3531,99)</f>
        <v>0.118494791819614</v>
      </c>
      <c r="J3550" s="22" t="n">
        <f aca="false">IF(J3531&gt;0,J3520/J3531,99)</f>
        <v>0.11760938565946</v>
      </c>
      <c r="K3550" s="22" t="n">
        <f aca="false">IF(K3531&gt;0,K3520/K3531,99)</f>
        <v>0.116723979499306</v>
      </c>
    </row>
    <row r="3551" customFormat="false" ht="15" hidden="false" customHeight="false" outlineLevel="0" collapsed="false">
      <c r="A3551" s="3" t="s">
        <v>429</v>
      </c>
      <c r="G3551" s="33" t="n">
        <f aca="false">Assumptions!$G$73</f>
        <v>0.4</v>
      </c>
      <c r="H3551" s="33" t="n">
        <f aca="false">Assumptions!$H$73</f>
        <v>0.4</v>
      </c>
      <c r="I3551" s="33" t="n">
        <f aca="false">Assumptions!$I$73</f>
        <v>0.4</v>
      </c>
      <c r="J3551" s="33" t="n">
        <f aca="false">Assumptions!$J$73</f>
        <v>0.4</v>
      </c>
      <c r="K3551" s="33" t="n">
        <f aca="false">Assumptions!$K$73</f>
        <v>0.4</v>
      </c>
    </row>
    <row r="3552" customFormat="false" ht="15" hidden="false" customHeight="false" outlineLevel="0" collapsed="false">
      <c r="A3552" s="3" t="s">
        <v>430</v>
      </c>
      <c r="G3552" s="22" t="n">
        <f aca="false">G3551-G3550</f>
        <v>0.279734395860077</v>
      </c>
      <c r="H3552" s="22" t="n">
        <f aca="false">H3551-H3550</f>
        <v>0.280619802020231</v>
      </c>
      <c r="I3552" s="22" t="n">
        <f aca="false">I3551-I3550</f>
        <v>0.281505208180386</v>
      </c>
      <c r="J3552" s="22" t="n">
        <f aca="false">J3551-J3550</f>
        <v>0.28239061434054</v>
      </c>
      <c r="K3552" s="22" t="n">
        <f aca="false">K3551-K3550</f>
        <v>0.283276020500694</v>
      </c>
    </row>
    <row r="3553" customFormat="false" ht="15" hidden="false" customHeight="false" outlineLevel="0" collapsed="false">
      <c r="A3553" s="3" t="s">
        <v>431</v>
      </c>
      <c r="G3553" s="22" t="n">
        <f aca="false">IF(G3551=0,0,G3552/ABS(G3551))</f>
        <v>0.699335989650192</v>
      </c>
      <c r="H3553" s="22" t="n">
        <f aca="false">IF(H3551=0,0,H3552/ABS(H3551))</f>
        <v>0.701549505050578</v>
      </c>
      <c r="I3553" s="22" t="n">
        <f aca="false">IF(I3551=0,0,I3552/ABS(I3551))</f>
        <v>0.703763020450964</v>
      </c>
      <c r="J3553" s="22" t="n">
        <f aca="false">IF(J3551=0,0,J3552/ABS(J3551))</f>
        <v>0.70597653585135</v>
      </c>
      <c r="K3553" s="22" t="n">
        <f aca="false">IF(K3551=0,0,K3552/ABS(K3551))</f>
        <v>0.708190051251736</v>
      </c>
    </row>
    <row r="3554" customFormat="false" ht="15" hidden="false" customHeight="false" outlineLevel="0" collapsed="false">
      <c r="A3554" s="3" t="s">
        <v>432</v>
      </c>
      <c r="G3554" s="21" t="n">
        <f aca="false">IF(G3552&lt;0,1,0)</f>
        <v>0</v>
      </c>
      <c r="H3554" s="21" t="n">
        <f aca="false">IF(H3552&lt;0,1,0)</f>
        <v>0</v>
      </c>
      <c r="I3554" s="21" t="n">
        <f aca="false">IF(I3552&lt;0,1,0)</f>
        <v>0</v>
      </c>
      <c r="J3554" s="21" t="n">
        <f aca="false">IF(J3552&lt;0,1,0)</f>
        <v>0</v>
      </c>
      <c r="K3554" s="21" t="n">
        <f aca="false">IF(K3552&lt;0,1,0)</f>
        <v>0</v>
      </c>
    </row>
    <row r="3555" customFormat="false" ht="15" hidden="false" customHeight="false" outlineLevel="0" collapsed="false">
      <c r="A3555" s="3" t="s">
        <v>433</v>
      </c>
      <c r="C3555" s="21" t="n">
        <f aca="false">IFERROR(INDEX($G$3288:$K$3288,MATCH(1,$G$3554:$K$3554,0)),0)</f>
        <v>0</v>
      </c>
    </row>
    <row r="3556" customFormat="false" ht="15" hidden="false" customHeight="false" outlineLevel="0" collapsed="false">
      <c r="A3556" s="3" t="s">
        <v>434</v>
      </c>
      <c r="C3556" s="22" t="n">
        <f aca="false">MIN($G$3553:$K$3553)</f>
        <v>0.699335989650192</v>
      </c>
    </row>
    <row r="3557" customFormat="false" ht="15" hidden="false" customHeight="false" outlineLevel="0" collapsed="false">
      <c r="A3557" s="24" t="s">
        <v>437</v>
      </c>
      <c r="B3557" s="25"/>
      <c r="C3557" s="25"/>
      <c r="D3557" s="25"/>
      <c r="E3557" s="25"/>
      <c r="F3557" s="25"/>
      <c r="G3557" s="25"/>
      <c r="H3557" s="25"/>
      <c r="I3557" s="25"/>
      <c r="J3557" s="25"/>
      <c r="K3557" s="25"/>
    </row>
    <row r="3558" customFormat="false" ht="15" hidden="false" customHeight="false" outlineLevel="0" collapsed="false">
      <c r="A3558" s="3" t="s">
        <v>428</v>
      </c>
      <c r="G3558" s="16" t="n">
        <f aca="false">G3528</f>
        <v>724.8287686</v>
      </c>
      <c r="H3558" s="16" t="n">
        <f aca="false">H3528</f>
        <v>599.5</v>
      </c>
      <c r="I3558" s="16" t="n">
        <f aca="false">I3528</f>
        <v>507.703057817944</v>
      </c>
      <c r="J3558" s="16" t="n">
        <f aca="false">J3528</f>
        <v>418.822535135205</v>
      </c>
      <c r="K3558" s="16" t="n">
        <f aca="false">K3528</f>
        <v>314.286716076552</v>
      </c>
    </row>
    <row r="3559" customFormat="false" ht="15" hidden="false" customHeight="false" outlineLevel="0" collapsed="false">
      <c r="A3559" s="3" t="s">
        <v>429</v>
      </c>
      <c r="G3559" s="29" t="n">
        <f aca="false">Assumptions!$G$74</f>
        <v>100</v>
      </c>
      <c r="H3559" s="29" t="n">
        <f aca="false">Assumptions!$H$74</f>
        <v>100</v>
      </c>
      <c r="I3559" s="29" t="n">
        <f aca="false">Assumptions!$I$74</f>
        <v>100</v>
      </c>
      <c r="J3559" s="29" t="n">
        <f aca="false">Assumptions!$J$74</f>
        <v>100</v>
      </c>
      <c r="K3559" s="29" t="n">
        <f aca="false">Assumptions!$K$74</f>
        <v>100</v>
      </c>
    </row>
    <row r="3560" customFormat="false" ht="15" hidden="false" customHeight="false" outlineLevel="0" collapsed="false">
      <c r="A3560" s="3" t="s">
        <v>430</v>
      </c>
      <c r="G3560" s="16" t="n">
        <f aca="false">G3558-G3559</f>
        <v>624.8287686</v>
      </c>
      <c r="H3560" s="16" t="n">
        <f aca="false">H3558-H3559</f>
        <v>499.5</v>
      </c>
      <c r="I3560" s="16" t="n">
        <f aca="false">I3558-I3559</f>
        <v>407.703057817944</v>
      </c>
      <c r="J3560" s="16" t="n">
        <f aca="false">J3558-J3559</f>
        <v>318.822535135205</v>
      </c>
      <c r="K3560" s="16" t="n">
        <f aca="false">K3558-K3559</f>
        <v>214.286716076552</v>
      </c>
    </row>
    <row r="3561" customFormat="false" ht="15" hidden="false" customHeight="false" outlineLevel="0" collapsed="false">
      <c r="A3561" s="3" t="s">
        <v>431</v>
      </c>
      <c r="G3561" s="22" t="n">
        <f aca="false">IF(G3559=0,0,G3560/ABS(G3559))</f>
        <v>6.248287686</v>
      </c>
      <c r="H3561" s="22" t="n">
        <f aca="false">IF(H3559=0,0,H3560/ABS(H3559))</f>
        <v>4.995</v>
      </c>
      <c r="I3561" s="22" t="n">
        <f aca="false">IF(I3559=0,0,I3560/ABS(I3559))</f>
        <v>4.07703057817944</v>
      </c>
      <c r="J3561" s="22" t="n">
        <f aca="false">IF(J3559=0,0,J3560/ABS(J3559))</f>
        <v>3.18822535135205</v>
      </c>
      <c r="K3561" s="22" t="n">
        <f aca="false">IF(K3559=0,0,K3560/ABS(K3559))</f>
        <v>2.14286716076552</v>
      </c>
    </row>
    <row r="3562" customFormat="false" ht="15" hidden="false" customHeight="false" outlineLevel="0" collapsed="false">
      <c r="A3562" s="3" t="s">
        <v>432</v>
      </c>
      <c r="G3562" s="21" t="n">
        <f aca="false">IF(G3560&lt;0,1,0)</f>
        <v>0</v>
      </c>
      <c r="H3562" s="21" t="n">
        <f aca="false">IF(H3560&lt;0,1,0)</f>
        <v>0</v>
      </c>
      <c r="I3562" s="21" t="n">
        <f aca="false">IF(I3560&lt;0,1,0)</f>
        <v>0</v>
      </c>
      <c r="J3562" s="21" t="n">
        <f aca="false">IF(J3560&lt;0,1,0)</f>
        <v>0</v>
      </c>
      <c r="K3562" s="21" t="n">
        <f aca="false">IF(K3560&lt;0,1,0)</f>
        <v>0</v>
      </c>
    </row>
    <row r="3563" customFormat="false" ht="15" hidden="false" customHeight="false" outlineLevel="0" collapsed="false">
      <c r="A3563" s="3" t="s">
        <v>433</v>
      </c>
      <c r="C3563" s="21" t="n">
        <f aca="false">IFERROR(INDEX($G$3288:$K$3288,MATCH(1,$G$3562:$K$3562,0)),0)</f>
        <v>0</v>
      </c>
    </row>
    <row r="3564" customFormat="false" ht="15" hidden="false" customHeight="false" outlineLevel="0" collapsed="false">
      <c r="A3564" s="3" t="s">
        <v>434</v>
      </c>
      <c r="C3564" s="22" t="n">
        <f aca="false">MIN($G$3561:$K$3561)</f>
        <v>2.14286716076552</v>
      </c>
    </row>
    <row r="3565" customFormat="false" ht="15" hidden="false" customHeight="false" outlineLevel="0" collapsed="false">
      <c r="A3565" s="24" t="s">
        <v>438</v>
      </c>
      <c r="B3565" s="25"/>
      <c r="C3565" s="25"/>
      <c r="D3565" s="25"/>
      <c r="E3565" s="25"/>
      <c r="F3565" s="25"/>
      <c r="G3565" s="25"/>
      <c r="H3565" s="25"/>
      <c r="I3565" s="25"/>
      <c r="J3565" s="25"/>
      <c r="K3565" s="25"/>
    </row>
    <row r="3566" customFormat="false" ht="15" hidden="false" customHeight="false" outlineLevel="0" collapsed="false">
      <c r="A3566" s="3" t="s">
        <v>428</v>
      </c>
      <c r="G3566" s="32" t="n">
        <f aca="false">IF(G3298&gt;0,G3521/G3298,99)</f>
        <v>9.64824801476836</v>
      </c>
      <c r="H3566" s="32" t="n">
        <f aca="false">IF(H3298&gt;0,H3521/H3298,99)</f>
        <v>9.70665866785301</v>
      </c>
      <c r="I3566" s="32" t="n">
        <f aca="false">IF(I3298&gt;0,I3521/I3298,99)</f>
        <v>9.78880026535512</v>
      </c>
      <c r="J3566" s="32" t="n">
        <f aca="false">IF(J3298&gt;0,J3521/J3298,99)</f>
        <v>9.86877570563203</v>
      </c>
      <c r="K3566" s="32" t="n">
        <f aca="false">IF(K3298&gt;0,K3521/K3298,99)</f>
        <v>9.99528975565569</v>
      </c>
    </row>
    <row r="3567" customFormat="false" ht="15" hidden="false" customHeight="false" outlineLevel="0" collapsed="false">
      <c r="A3567" s="3" t="s">
        <v>429</v>
      </c>
      <c r="G3567" s="34" t="n">
        <f aca="false">Assumptions!$G$75</f>
        <v>10.5</v>
      </c>
      <c r="H3567" s="34" t="n">
        <f aca="false">Assumptions!$H$75</f>
        <v>10.5</v>
      </c>
      <c r="I3567" s="34" t="n">
        <f aca="false">Assumptions!$I$75</f>
        <v>10</v>
      </c>
      <c r="J3567" s="34" t="n">
        <f aca="false">Assumptions!$J$75</f>
        <v>10</v>
      </c>
      <c r="K3567" s="34" t="n">
        <f aca="false">Assumptions!$K$75</f>
        <v>9.5</v>
      </c>
    </row>
    <row r="3568" customFormat="false" ht="15" hidden="false" customHeight="false" outlineLevel="0" collapsed="false">
      <c r="A3568" s="3" t="s">
        <v>430</v>
      </c>
      <c r="G3568" s="32" t="n">
        <f aca="false">G3567-G3566</f>
        <v>0.85175198523164</v>
      </c>
      <c r="H3568" s="32" t="n">
        <f aca="false">H3567-H3566</f>
        <v>0.793341332146991</v>
      </c>
      <c r="I3568" s="32" t="n">
        <f aca="false">I3567-I3566</f>
        <v>0.211199734644877</v>
      </c>
      <c r="J3568" s="32" t="n">
        <f aca="false">J3567-J3566</f>
        <v>0.131224294367971</v>
      </c>
      <c r="K3568" s="32" t="n">
        <f aca="false">K3567-K3566</f>
        <v>-0.495289755655689</v>
      </c>
    </row>
    <row r="3569" customFormat="false" ht="15" hidden="false" customHeight="false" outlineLevel="0" collapsed="false">
      <c r="A3569" s="3" t="s">
        <v>431</v>
      </c>
      <c r="G3569" s="22" t="n">
        <f aca="false">IF(G3567=0,0,G3568/ABS(G3567))</f>
        <v>0.0811192366887277</v>
      </c>
      <c r="H3569" s="22" t="n">
        <f aca="false">IF(H3567=0,0,H3568/ABS(H3567))</f>
        <v>0.0755563173473324</v>
      </c>
      <c r="I3569" s="22" t="n">
        <f aca="false">IF(I3567=0,0,I3568/ABS(I3567))</f>
        <v>0.0211199734644877</v>
      </c>
      <c r="J3569" s="22" t="n">
        <f aca="false">IF(J3567=0,0,J3568/ABS(J3567))</f>
        <v>0.0131224294367971</v>
      </c>
      <c r="K3569" s="22" t="n">
        <f aca="false">IF(K3567=0,0,K3568/ABS(K3567))</f>
        <v>-0.0521357637532304</v>
      </c>
    </row>
    <row r="3570" customFormat="false" ht="15" hidden="false" customHeight="false" outlineLevel="0" collapsed="false">
      <c r="A3570" s="3" t="s">
        <v>432</v>
      </c>
      <c r="G3570" s="21" t="n">
        <f aca="false">IF(G3568&lt;0,1,0)</f>
        <v>0</v>
      </c>
      <c r="H3570" s="21" t="n">
        <f aca="false">IF(H3568&lt;0,1,0)</f>
        <v>0</v>
      </c>
      <c r="I3570" s="21" t="n">
        <f aca="false">IF(I3568&lt;0,1,0)</f>
        <v>0</v>
      </c>
      <c r="J3570" s="21" t="n">
        <f aca="false">IF(J3568&lt;0,1,0)</f>
        <v>0</v>
      </c>
      <c r="K3570" s="21" t="n">
        <f aca="false">IF(K3568&lt;0,1,0)</f>
        <v>1</v>
      </c>
    </row>
    <row r="3571" customFormat="false" ht="15" hidden="false" customHeight="false" outlineLevel="0" collapsed="false">
      <c r="A3571" s="3" t="s">
        <v>433</v>
      </c>
      <c r="C3571" s="21" t="n">
        <f aca="false">IFERROR(INDEX($G$3288:$K$3288,MATCH(1,$G$3570:$K$3570,0)),0)</f>
        <v>2031</v>
      </c>
    </row>
    <row r="3572" customFormat="false" ht="15" hidden="false" customHeight="false" outlineLevel="0" collapsed="false">
      <c r="A3572" s="3" t="s">
        <v>434</v>
      </c>
      <c r="C3572" s="22" t="n">
        <f aca="false">MIN($G$3569:$K$3569)</f>
        <v>-0.0521357637532304</v>
      </c>
    </row>
    <row r="3573" customFormat="false" ht="15" hidden="false" customHeight="false" outlineLevel="0" collapsed="false">
      <c r="A3573" s="3" t="s">
        <v>439</v>
      </c>
      <c r="G3573" s="21" t="n">
        <f aca="false">G3538+G3546+G3554+G3562+G3570</f>
        <v>1</v>
      </c>
      <c r="H3573" s="21" t="n">
        <f aca="false">H3538+H3546+H3554+H3562+H3570</f>
        <v>1</v>
      </c>
      <c r="I3573" s="21" t="n">
        <f aca="false">I3538+I3546+I3554+I3562+I3570</f>
        <v>1</v>
      </c>
      <c r="J3573" s="21" t="n">
        <f aca="false">J3538+J3546+J3554+J3562+J3570</f>
        <v>2</v>
      </c>
      <c r="K3573" s="21" t="n">
        <f aca="false">K3538+K3546+K3554+K3562+K3570</f>
        <v>3</v>
      </c>
    </row>
    <row r="3574" customFormat="false" ht="15" hidden="false" customHeight="false" outlineLevel="0" collapsed="false">
      <c r="A3574" s="3" t="s">
        <v>440</v>
      </c>
      <c r="C3574" s="21" t="n">
        <f aca="false">SUM($G$3573:$K$3573)</f>
        <v>8</v>
      </c>
    </row>
    <row r="3575" customFormat="false" ht="15" hidden="false" customHeight="false" outlineLevel="0" collapsed="false">
      <c r="A3575" s="3" t="s">
        <v>441</v>
      </c>
      <c r="C3575" s="22" t="n">
        <f aca="false">MIN(C3540,C3548,C3556,C3564,C3572)</f>
        <v>-0.104836227124896</v>
      </c>
    </row>
    <row r="3577" customFormat="false" ht="15" hidden="false" customHeight="false" outlineLevel="0" collapsed="false">
      <c r="A3577" s="24" t="s">
        <v>543</v>
      </c>
      <c r="B3577" s="25"/>
      <c r="C3577" s="25"/>
      <c r="D3577" s="25"/>
      <c r="E3577" s="25"/>
      <c r="F3577" s="25"/>
      <c r="G3577" s="25"/>
      <c r="H3577" s="25"/>
      <c r="I3577" s="25"/>
      <c r="J3577" s="25"/>
      <c r="K3577" s="25"/>
    </row>
    <row r="3578" customFormat="false" ht="15" hidden="false" customHeight="false" outlineLevel="0" collapsed="false">
      <c r="A3578" s="3" t="s">
        <v>544</v>
      </c>
      <c r="G3578" s="21" t="n">
        <f aca="false">IF($C$3579=1,G3515,IF(G3298=MIN($G$3298:$K$3298),1,0))</f>
        <v>1</v>
      </c>
      <c r="H3578" s="21" t="n">
        <f aca="false">IF($C$3579=1,H3515,IF(AND(H3298=MIN($G$3298:$K$3298),SUM($G$3578:G3578)=0),1,0))</f>
        <v>0</v>
      </c>
      <c r="I3578" s="21" t="n">
        <f aca="false">IF($C$3579=1,I3515,IF(AND(I3298=MIN($G$3298:$K$3298),SUM($G$3578:H3578)=0),1,0))</f>
        <v>0</v>
      </c>
      <c r="J3578" s="21" t="n">
        <f aca="false">IF($C$3579=1,J3515,IF(AND(J3298=MIN($G$3298:$K$3298),SUM($G$3578:I3578)=0),1,0))</f>
        <v>0</v>
      </c>
      <c r="K3578" s="21" t="n">
        <f aca="false">IF($C$3579=1,K3515,IF(AND(K3298=MIN($G$3298:$K$3298),SUM($G$3578:J3578)=0),1,0))</f>
        <v>0</v>
      </c>
    </row>
    <row r="3579" customFormat="false" ht="15" hidden="false" customHeight="false" outlineLevel="0" collapsed="false">
      <c r="A3579" s="3" t="s">
        <v>545</v>
      </c>
      <c r="C3579" s="21" t="n">
        <f aca="false">IF(SUM($G$3515:$K$3515)&gt;0,1,0)</f>
        <v>0</v>
      </c>
    </row>
    <row r="3580" customFormat="false" ht="15" hidden="false" customHeight="false" outlineLevel="0" collapsed="false">
      <c r="A3580" s="3" t="s">
        <v>546</v>
      </c>
      <c r="C3580" s="21" t="n">
        <f aca="false">SUMPRODUCT($G$3578:$K$3578,$G$3288:$K$3288)</f>
        <v>2027</v>
      </c>
    </row>
    <row r="3581" customFormat="false" ht="15" hidden="false" customHeight="false" outlineLevel="0" collapsed="false">
      <c r="A3581" s="3" t="s">
        <v>547</v>
      </c>
      <c r="C3581" s="16" t="n">
        <f aca="false">SUMPRODUCT($G$3578:$K$3578,$G$3298:$K$3298)</f>
        <v>256.1714031</v>
      </c>
    </row>
    <row r="3582" customFormat="false" ht="15" hidden="false" customHeight="false" outlineLevel="0" collapsed="false">
      <c r="A3582" s="3" t="s">
        <v>548</v>
      </c>
      <c r="C3582" s="16" t="n">
        <f aca="false">MAX(0,SUMPRODUCT($G$3578:$K$3578,$G$3512:$K$3512))</f>
        <v>150.3287686</v>
      </c>
    </row>
    <row r="3583" customFormat="false" ht="15" hidden="false" customHeight="false" outlineLevel="0" collapsed="false">
      <c r="A3583" s="3" t="s">
        <v>549</v>
      </c>
      <c r="C3583" s="16" t="n">
        <f aca="false">(CHOOSE($C$3281,Assumptions!$C$92,Assumptions!$C$111,Assumptions!$C$130)+$C$3285)*C3581</f>
        <v>2561.714031</v>
      </c>
    </row>
    <row r="3584" customFormat="false" ht="15" hidden="false" customHeight="false" outlineLevel="0" collapsed="false">
      <c r="A3584" s="3" t="s">
        <v>550</v>
      </c>
      <c r="C3584" s="16" t="n">
        <f aca="false">Assumptions!$C$31*(1-CHOOSE($C$3281,Assumptions!$C$93,Assumptions!$C$112,Assumptions!$C$131))*CHOOSE($C$3281,Assumptions!$C$94,Assumptions!$C$113,Assumptions!$C$132)</f>
        <v>3840.04556666667</v>
      </c>
    </row>
    <row r="3585" customFormat="false" ht="15" hidden="false" customHeight="false" outlineLevel="0" collapsed="false">
      <c r="A3585" s="3" t="s">
        <v>551</v>
      </c>
      <c r="C3585" s="16" t="n">
        <f aca="false">MAX(C3583,C3584)+C3582</f>
        <v>3990.37433526667</v>
      </c>
    </row>
    <row r="3586" customFormat="false" ht="15" hidden="false" customHeight="false" outlineLevel="0" collapsed="false">
      <c r="A3586" s="2" t="s">
        <v>552</v>
      </c>
      <c r="C3586" s="17" t="n">
        <f aca="false">IF(ISNUMBER(Assumptions!$C$14),Assumptions!$C$14,C3585)</f>
        <v>3990.37433526667</v>
      </c>
    </row>
    <row r="3587" customFormat="false" ht="15" hidden="false" customHeight="false" outlineLevel="0" collapsed="false">
      <c r="A3587" s="3" t="s">
        <v>553</v>
      </c>
      <c r="C3587" s="16" t="n">
        <f aca="false">C3586*Assumptions!$C$15</f>
        <v>159.614973410667</v>
      </c>
    </row>
    <row r="3588" customFormat="false" ht="15" hidden="false" customHeight="false" outlineLevel="0" collapsed="false">
      <c r="A3588" s="2" t="s">
        <v>554</v>
      </c>
      <c r="C3588" s="17" t="n">
        <f aca="false">C3586-C3587</f>
        <v>3830.759361856</v>
      </c>
    </row>
    <row r="3589" customFormat="false" ht="15" hidden="false" customHeight="false" outlineLevel="0" collapsed="false">
      <c r="A3589" s="24" t="s">
        <v>555</v>
      </c>
      <c r="B3589" s="25"/>
      <c r="C3589" s="25"/>
      <c r="D3589" s="25"/>
      <c r="E3589" s="25"/>
      <c r="F3589" s="25"/>
      <c r="G3589" s="25"/>
      <c r="H3589" s="25"/>
      <c r="I3589" s="25"/>
      <c r="J3589" s="25"/>
      <c r="K3589" s="25"/>
    </row>
    <row r="3590" customFormat="false" ht="15" hidden="false" customHeight="false" outlineLevel="0" collapsed="false">
      <c r="A3590" s="3" t="s">
        <v>556</v>
      </c>
      <c r="C3590" s="16" t="n">
        <f aca="false">SUMPRODUCT($G$3578:$K$3578,$G$3335:$K$3335)*(1+SUMPRODUCT($G$3578:$K$3578,$G$3327:$K$3327)*Assumptions!$C$16/12)</f>
        <v>405.0585</v>
      </c>
    </row>
    <row r="3591" customFormat="false" ht="15" hidden="false" customHeight="false" outlineLevel="0" collapsed="false">
      <c r="A3591" s="3" t="s">
        <v>557</v>
      </c>
      <c r="C3591" s="16" t="n">
        <f aca="false">SUMPRODUCT($G$3578:$K$3578,$G$3348:$K$3348)*(1+SUMPRODUCT($G$3578:$K$3578,$G$3340:$K$3340)*Assumptions!$C$16/12)</f>
        <v>91.30725</v>
      </c>
    </row>
    <row r="3592" customFormat="false" ht="15" hidden="false" customHeight="false" outlineLevel="0" collapsed="false">
      <c r="A3592" s="3" t="s">
        <v>558</v>
      </c>
      <c r="C3592" s="16" t="n">
        <f aca="false">SUMPRODUCT($G$3578:$K$3578,$G$3361:$K$3361)*(1+SUMPRODUCT($G$3578:$K$3578,$G$3353:$K$3353)*Assumptions!$C$16/12)</f>
        <v>58.3715961</v>
      </c>
    </row>
    <row r="3593" customFormat="false" ht="15" hidden="false" customHeight="false" outlineLevel="0" collapsed="false">
      <c r="A3593" s="3" t="s">
        <v>559</v>
      </c>
      <c r="C3593" s="16" t="n">
        <f aca="false">SUMPRODUCT($G$3578:$K$3578,$G$3374:$K$3374)*(1+SUMPRODUCT($G$3578:$K$3578,$G$3366:$K$3366)*Assumptions!$C$16/12)</f>
        <v>0</v>
      </c>
    </row>
    <row r="3594" customFormat="false" ht="15" hidden="false" customHeight="false" outlineLevel="0" collapsed="false">
      <c r="A3594" s="3" t="s">
        <v>560</v>
      </c>
      <c r="C3594" s="16" t="n">
        <f aca="false">SUMPRODUCT($G$3578:$K$3578,$G$3387:$K$3387)*(1+SUMPRODUCT($G$3578:$K$3578,$G$3379:$K$3379)*Assumptions!$C$16/12)</f>
        <v>454.44375</v>
      </c>
    </row>
    <row r="3595" customFormat="false" ht="15" hidden="false" customHeight="false" outlineLevel="0" collapsed="false">
      <c r="A3595" s="3" t="s">
        <v>561</v>
      </c>
      <c r="C3595" s="16" t="n">
        <f aca="false">SUMPRODUCT($G$3578:$K$3578,$G$3400:$K$3400)*(1+SUMPRODUCT($G$3578:$K$3578,$G$3392:$K$3392)*Assumptions!$C$16/12)</f>
        <v>357.2625</v>
      </c>
    </row>
    <row r="3596" customFormat="false" ht="15" hidden="false" customHeight="false" outlineLevel="0" collapsed="false">
      <c r="A3596" s="3" t="s">
        <v>562</v>
      </c>
      <c r="C3596" s="16" t="n">
        <f aca="false">SUMPRODUCT($G$3578:$K$3578,$G$3413:$K$3413)*(1+SUMPRODUCT($G$3578:$K$3578,$G$3405:$K$3405)*Assumptions!$C$16/12)</f>
        <v>562.203125</v>
      </c>
    </row>
    <row r="3597" customFormat="false" ht="15" hidden="false" customHeight="false" outlineLevel="0" collapsed="false">
      <c r="A3597" s="3" t="s">
        <v>563</v>
      </c>
      <c r="C3597" s="16" t="n">
        <f aca="false">SUMPRODUCT($G$3578:$K$3578,$G$3426:$K$3426)*(1+SUMPRODUCT($G$3578:$K$3578,$G$3418:$K$3418)*Assumptions!$C$16/12)</f>
        <v>353.98125</v>
      </c>
    </row>
    <row r="3598" customFormat="false" ht="15" hidden="false" customHeight="false" outlineLevel="0" collapsed="false">
      <c r="A3598" s="3" t="s">
        <v>564</v>
      </c>
      <c r="C3598" s="16" t="n">
        <f aca="false">SUMPRODUCT($G$3578:$K$3578,$G$3439:$K$3439)*(1+SUMPRODUCT($G$3578:$K$3578,$G$3431:$K$3431)*Assumptions!$C$16/12)</f>
        <v>304.59375</v>
      </c>
    </row>
    <row r="3599" customFormat="false" ht="15" hidden="false" customHeight="false" outlineLevel="0" collapsed="false">
      <c r="A3599" s="3" t="s">
        <v>565</v>
      </c>
      <c r="C3599" s="16" t="n">
        <f aca="false">SUMPRODUCT($G$3578:$K$3578,$G$3452:$K$3452)*(1+SUMPRODUCT($G$3578:$K$3578,$G$3444:$K$3444)*Assumptions!$C$16/12)</f>
        <v>79.67320025</v>
      </c>
    </row>
    <row r="3600" customFormat="false" ht="15" hidden="false" customHeight="false" outlineLevel="0" collapsed="false">
      <c r="A3600" s="24" t="s">
        <v>566</v>
      </c>
      <c r="B3600" s="25"/>
      <c r="C3600" s="25"/>
      <c r="D3600" s="25"/>
      <c r="E3600" s="25"/>
      <c r="F3600" s="25"/>
      <c r="G3600" s="25"/>
      <c r="H3600" s="25"/>
      <c r="I3600" s="25"/>
      <c r="J3600" s="25"/>
      <c r="K3600" s="25"/>
    </row>
    <row r="3601" customFormat="false" ht="15" hidden="false" customHeight="false" outlineLevel="0" collapsed="false">
      <c r="A3601" s="3" t="s">
        <v>556</v>
      </c>
      <c r="C3601" s="27" t="n">
        <f aca="false">Assumptions!$M$57</f>
        <v>1</v>
      </c>
    </row>
    <row r="3602" customFormat="false" ht="15" hidden="false" customHeight="false" outlineLevel="0" collapsed="false">
      <c r="A3602" s="3" t="s">
        <v>557</v>
      </c>
      <c r="C3602" s="27" t="n">
        <f aca="false">Assumptions!$M$58</f>
        <v>1</v>
      </c>
    </row>
    <row r="3603" customFormat="false" ht="15" hidden="false" customHeight="false" outlineLevel="0" collapsed="false">
      <c r="A3603" s="3" t="s">
        <v>558</v>
      </c>
      <c r="C3603" s="27" t="n">
        <f aca="false">Assumptions!$M$59</f>
        <v>1</v>
      </c>
    </row>
    <row r="3604" customFormat="false" ht="15" hidden="false" customHeight="false" outlineLevel="0" collapsed="false">
      <c r="A3604" s="3" t="s">
        <v>559</v>
      </c>
      <c r="C3604" s="27" t="n">
        <f aca="false">Assumptions!$M$60</f>
        <v>2</v>
      </c>
    </row>
    <row r="3605" customFormat="false" ht="15" hidden="false" customHeight="false" outlineLevel="0" collapsed="false">
      <c r="A3605" s="3" t="s">
        <v>560</v>
      </c>
      <c r="C3605" s="27" t="n">
        <f aca="false">Assumptions!$M$61</f>
        <v>2</v>
      </c>
    </row>
    <row r="3606" customFormat="false" ht="15" hidden="false" customHeight="false" outlineLevel="0" collapsed="false">
      <c r="A3606" s="3" t="s">
        <v>561</v>
      </c>
      <c r="C3606" s="27" t="n">
        <f aca="false">Assumptions!$M$62</f>
        <v>2</v>
      </c>
    </row>
    <row r="3607" customFormat="false" ht="15" hidden="false" customHeight="false" outlineLevel="0" collapsed="false">
      <c r="A3607" s="3" t="s">
        <v>562</v>
      </c>
      <c r="C3607" s="27" t="n">
        <f aca="false">Assumptions!$M$63</f>
        <v>2</v>
      </c>
    </row>
    <row r="3608" customFormat="false" ht="15" hidden="false" customHeight="false" outlineLevel="0" collapsed="false">
      <c r="A3608" s="3" t="s">
        <v>563</v>
      </c>
      <c r="C3608" s="27" t="n">
        <f aca="false">Assumptions!$M$64</f>
        <v>2</v>
      </c>
    </row>
    <row r="3609" customFormat="false" ht="15" hidden="false" customHeight="false" outlineLevel="0" collapsed="false">
      <c r="A3609" s="3" t="s">
        <v>564</v>
      </c>
      <c r="C3609" s="27" t="n">
        <f aca="false">Assumptions!$M$65</f>
        <v>2</v>
      </c>
    </row>
    <row r="3610" customFormat="false" ht="15" hidden="false" customHeight="false" outlineLevel="0" collapsed="false">
      <c r="A3610" s="3" t="s">
        <v>565</v>
      </c>
      <c r="C3610" s="27" t="n">
        <f aca="false">Assumptions!$M$66</f>
        <v>3</v>
      </c>
    </row>
    <row r="3611" customFormat="false" ht="15" hidden="false" customHeight="false" outlineLevel="0" collapsed="false">
      <c r="A3611" s="24" t="s">
        <v>567</v>
      </c>
      <c r="B3611" s="25"/>
      <c r="C3611" s="25"/>
      <c r="D3611" s="25"/>
      <c r="E3611" s="25"/>
      <c r="F3611" s="25"/>
      <c r="G3611" s="25"/>
      <c r="H3611" s="25"/>
      <c r="I3611" s="25"/>
      <c r="J3611" s="25"/>
      <c r="K3611" s="25"/>
    </row>
    <row r="3612" customFormat="false" ht="15" hidden="false" customHeight="false" outlineLevel="0" collapsed="false">
      <c r="A3612" s="3" t="s">
        <v>556</v>
      </c>
      <c r="C3612" s="33" t="n">
        <f aca="false">Assumptions!$Q$57</f>
        <v>0.3</v>
      </c>
    </row>
    <row r="3613" customFormat="false" ht="15" hidden="false" customHeight="false" outlineLevel="0" collapsed="false">
      <c r="A3613" s="3" t="s">
        <v>557</v>
      </c>
      <c r="C3613" s="33" t="n">
        <f aca="false">Assumptions!$Q$58</f>
        <v>0.033</v>
      </c>
    </row>
    <row r="3614" customFormat="false" ht="15" hidden="false" customHeight="false" outlineLevel="0" collapsed="false">
      <c r="A3614" s="3" t="s">
        <v>558</v>
      </c>
      <c r="C3614" s="33" t="n">
        <f aca="false">Assumptions!$Q$59</f>
        <v>0.021</v>
      </c>
    </row>
    <row r="3615" customFormat="false" ht="15" hidden="false" customHeight="false" outlineLevel="0" collapsed="false">
      <c r="A3615" s="3" t="s">
        <v>559</v>
      </c>
      <c r="C3615" s="33" t="n">
        <f aca="false">Assumptions!$Q$60</f>
        <v>0</v>
      </c>
    </row>
    <row r="3616" customFormat="false" ht="15" hidden="false" customHeight="false" outlineLevel="0" collapsed="false">
      <c r="A3616" s="3" t="s">
        <v>560</v>
      </c>
      <c r="C3616" s="33" t="n">
        <f aca="false">Assumptions!$Q$61</f>
        <v>0</v>
      </c>
    </row>
    <row r="3617" customFormat="false" ht="15" hidden="false" customHeight="false" outlineLevel="0" collapsed="false">
      <c r="A3617" s="3" t="s">
        <v>561</v>
      </c>
      <c r="C3617" s="33" t="n">
        <f aca="false">Assumptions!$Q$62</f>
        <v>0</v>
      </c>
    </row>
    <row r="3618" customFormat="false" ht="15" hidden="false" customHeight="false" outlineLevel="0" collapsed="false">
      <c r="A3618" s="3" t="s">
        <v>562</v>
      </c>
      <c r="C3618" s="33" t="n">
        <f aca="false">Assumptions!$Q$63</f>
        <v>0</v>
      </c>
    </row>
    <row r="3619" customFormat="false" ht="15" hidden="false" customHeight="false" outlineLevel="0" collapsed="false">
      <c r="A3619" s="3" t="s">
        <v>563</v>
      </c>
      <c r="C3619" s="33" t="n">
        <f aca="false">Assumptions!$Q$64</f>
        <v>0</v>
      </c>
    </row>
    <row r="3620" customFormat="false" ht="15" hidden="false" customHeight="false" outlineLevel="0" collapsed="false">
      <c r="A3620" s="3" t="s">
        <v>564</v>
      </c>
      <c r="C3620" s="33" t="n">
        <f aca="false">Assumptions!$Q$65</f>
        <v>0</v>
      </c>
    </row>
    <row r="3621" customFormat="false" ht="15" hidden="false" customHeight="false" outlineLevel="0" collapsed="false">
      <c r="A3621" s="3" t="s">
        <v>565</v>
      </c>
      <c r="C3621" s="33" t="n">
        <f aca="false">Assumptions!$Q$66</f>
        <v>0</v>
      </c>
    </row>
    <row r="3622" customFormat="false" ht="15" hidden="false" customHeight="false" outlineLevel="0" collapsed="false">
      <c r="A3622" s="24" t="s">
        <v>568</v>
      </c>
      <c r="B3622" s="25"/>
      <c r="C3622" s="25"/>
      <c r="D3622" s="25"/>
      <c r="E3622" s="25"/>
      <c r="F3622" s="25"/>
      <c r="G3622" s="25"/>
      <c r="H3622" s="25"/>
      <c r="I3622" s="25"/>
      <c r="J3622" s="25"/>
      <c r="K3622" s="25"/>
    </row>
    <row r="3623" customFormat="false" ht="15" hidden="false" customHeight="false" outlineLevel="0" collapsed="false">
      <c r="A3623" s="3" t="s">
        <v>556</v>
      </c>
      <c r="C3623" s="16" t="n">
        <f aca="false">IF(C3612&gt;0,MIN(C3590,C3612*$C$3588),0)</f>
        <v>405.0585</v>
      </c>
    </row>
    <row r="3624" customFormat="false" ht="15" hidden="false" customHeight="false" outlineLevel="0" collapsed="false">
      <c r="A3624" s="3" t="s">
        <v>557</v>
      </c>
      <c r="C3624" s="16" t="n">
        <f aca="false">IF(C3613&gt;0,MIN(C3591,C3613*$C$3588),0)</f>
        <v>91.30725</v>
      </c>
    </row>
    <row r="3625" customFormat="false" ht="15" hidden="false" customHeight="false" outlineLevel="0" collapsed="false">
      <c r="A3625" s="3" t="s">
        <v>558</v>
      </c>
      <c r="C3625" s="16" t="n">
        <f aca="false">IF(C3614&gt;0,MIN(C3592,C3614*$C$3588),0)</f>
        <v>58.3715961</v>
      </c>
    </row>
    <row r="3626" customFormat="false" ht="15" hidden="false" customHeight="false" outlineLevel="0" collapsed="false">
      <c r="A3626" s="3" t="s">
        <v>559</v>
      </c>
      <c r="C3626" s="16" t="n">
        <f aca="false">IF(C3615&gt;0,MIN(C3593,C3615*$C$3588),0)</f>
        <v>0</v>
      </c>
    </row>
    <row r="3627" customFormat="false" ht="15" hidden="false" customHeight="false" outlineLevel="0" collapsed="false">
      <c r="A3627" s="3" t="s">
        <v>560</v>
      </c>
      <c r="C3627" s="16" t="n">
        <f aca="false">IF(C3616&gt;0,MIN(C3594,C3616*$C$3588),0)</f>
        <v>0</v>
      </c>
    </row>
    <row r="3628" customFormat="false" ht="15" hidden="false" customHeight="false" outlineLevel="0" collapsed="false">
      <c r="A3628" s="3" t="s">
        <v>561</v>
      </c>
      <c r="C3628" s="16" t="n">
        <f aca="false">IF(C3617&gt;0,MIN(C3595,C3617*$C$3588),0)</f>
        <v>0</v>
      </c>
    </row>
    <row r="3629" customFormat="false" ht="15" hidden="false" customHeight="false" outlineLevel="0" collapsed="false">
      <c r="A3629" s="3" t="s">
        <v>562</v>
      </c>
      <c r="C3629" s="16" t="n">
        <f aca="false">IF(C3618&gt;0,MIN(C3596,C3618*$C$3588),0)</f>
        <v>0</v>
      </c>
    </row>
    <row r="3630" customFormat="false" ht="15" hidden="false" customHeight="false" outlineLevel="0" collapsed="false">
      <c r="A3630" s="3" t="s">
        <v>563</v>
      </c>
      <c r="C3630" s="16" t="n">
        <f aca="false">IF(C3619&gt;0,MIN(C3597,C3619*$C$3588),0)</f>
        <v>0</v>
      </c>
    </row>
    <row r="3631" customFormat="false" ht="15" hidden="false" customHeight="false" outlineLevel="0" collapsed="false">
      <c r="A3631" s="3" t="s">
        <v>564</v>
      </c>
      <c r="C3631" s="16" t="n">
        <f aca="false">IF(C3620&gt;0,MIN(C3598,C3620*$C$3588),0)</f>
        <v>0</v>
      </c>
    </row>
    <row r="3632" customFormat="false" ht="15" hidden="false" customHeight="false" outlineLevel="0" collapsed="false">
      <c r="A3632" s="3" t="s">
        <v>565</v>
      </c>
      <c r="C3632" s="16" t="n">
        <f aca="false">IF(C3621&gt;0,MIN(C3599,C3621*$C$3588),0)</f>
        <v>0</v>
      </c>
    </row>
    <row r="3633" customFormat="false" ht="15" hidden="false" customHeight="false" outlineLevel="0" collapsed="false">
      <c r="A3633" s="24" t="s">
        <v>569</v>
      </c>
      <c r="B3633" s="25"/>
      <c r="C3633" s="25"/>
      <c r="D3633" s="25"/>
      <c r="E3633" s="25"/>
      <c r="F3633" s="25"/>
      <c r="G3633" s="25"/>
      <c r="H3633" s="25"/>
      <c r="I3633" s="25"/>
      <c r="J3633" s="25"/>
      <c r="K3633" s="25"/>
    </row>
    <row r="3634" customFormat="false" ht="15" hidden="false" customHeight="false" outlineLevel="0" collapsed="false">
      <c r="A3634" s="3" t="s">
        <v>556</v>
      </c>
      <c r="C3634" s="16" t="n">
        <f aca="false">IF(C3612&gt;0,C3590-C3623,0)</f>
        <v>0</v>
      </c>
      <c r="G3634" s="21" t="n">
        <f aca="false">IF(AND(G3325=1,G3322=1),1,0)</f>
        <v>0</v>
      </c>
      <c r="H3634" s="21" t="n">
        <f aca="false">IF(G3634=1,1,IF(AND(H3325=1,H3322=1),1,0))</f>
        <v>0</v>
      </c>
      <c r="I3634" s="21" t="n">
        <f aca="false">IF(H3634=1,1,IF(AND(I3325=1,I3322=1),1,0))</f>
        <v>0</v>
      </c>
      <c r="J3634" s="21" t="n">
        <f aca="false">IF(I3634=1,1,IF(AND(J3325=1,J3322=1),1,0))</f>
        <v>0</v>
      </c>
      <c r="K3634" s="21" t="n">
        <f aca="false">IF(J3634=1,1,IF(AND(K3325=1,K3322=1),1,0))</f>
        <v>1</v>
      </c>
    </row>
    <row r="3635" customFormat="false" ht="15" hidden="false" customHeight="false" outlineLevel="0" collapsed="false">
      <c r="A3635" s="3" t="s">
        <v>557</v>
      </c>
      <c r="C3635" s="16" t="n">
        <f aca="false">IF(C3613&gt;0,C3591-C3624,0)</f>
        <v>0</v>
      </c>
      <c r="G3635" s="21" t="n">
        <f aca="false">IF(AND(G3338=1,G3322=1),1,0)</f>
        <v>0</v>
      </c>
      <c r="H3635" s="21" t="n">
        <f aca="false">IF(G3635=1,1,IF(AND(H3338=1,H3322=1),1,0))</f>
        <v>0</v>
      </c>
      <c r="I3635" s="21" t="n">
        <f aca="false">IF(H3635=1,1,IF(AND(I3338=1,I3322=1),1,0))</f>
        <v>0</v>
      </c>
      <c r="J3635" s="21" t="n">
        <f aca="false">IF(I3635=1,1,IF(AND(J3338=1,J3322=1),1,0))</f>
        <v>0</v>
      </c>
      <c r="K3635" s="21" t="n">
        <f aca="false">IF(J3635=1,1,IF(AND(K3338=1,K3322=1),1,0))</f>
        <v>0</v>
      </c>
    </row>
    <row r="3636" customFormat="false" ht="15" hidden="false" customHeight="false" outlineLevel="0" collapsed="false">
      <c r="A3636" s="3" t="s">
        <v>558</v>
      </c>
      <c r="C3636" s="16" t="n">
        <f aca="false">IF(C3614&gt;0,C3592-C3625,0)</f>
        <v>0</v>
      </c>
      <c r="G3636" s="21" t="n">
        <f aca="false">IF(AND(G3351=1,G3322=1),1,0)</f>
        <v>0</v>
      </c>
      <c r="H3636" s="21" t="n">
        <f aca="false">IF(G3636=1,1,IF(AND(H3351=1,H3322=1),1,0))</f>
        <v>0</v>
      </c>
      <c r="I3636" s="21" t="n">
        <f aca="false">IF(H3636=1,1,IF(AND(I3351=1,I3322=1),1,0))</f>
        <v>0</v>
      </c>
      <c r="J3636" s="21" t="n">
        <f aca="false">IF(I3636=1,1,IF(AND(J3351=1,J3322=1),1,0))</f>
        <v>0</v>
      </c>
      <c r="K3636" s="21" t="n">
        <f aca="false">IF(J3636=1,1,IF(AND(K3351=1,K3322=1),1,0))</f>
        <v>0</v>
      </c>
    </row>
    <row r="3637" customFormat="false" ht="15" hidden="false" customHeight="false" outlineLevel="0" collapsed="false">
      <c r="A3637" s="3" t="s">
        <v>559</v>
      </c>
      <c r="C3637" s="16" t="n">
        <f aca="false">IF(C3615&gt;0,C3593-C3626,0)</f>
        <v>0</v>
      </c>
      <c r="G3637" s="21" t="n">
        <f aca="false">IF(AND(G3364=1,G3322=1),1,0)</f>
        <v>1</v>
      </c>
      <c r="H3637" s="21" t="n">
        <f aca="false">IF(G3637=1,1,IF(AND(H3364=1,H3322=1),1,0))</f>
        <v>1</v>
      </c>
      <c r="I3637" s="21" t="n">
        <f aca="false">IF(H3637=1,1,IF(AND(I3364=1,I3322=1),1,0))</f>
        <v>1</v>
      </c>
      <c r="J3637" s="21" t="n">
        <f aca="false">IF(I3637=1,1,IF(AND(J3364=1,J3322=1),1,0))</f>
        <v>1</v>
      </c>
      <c r="K3637" s="21" t="n">
        <f aca="false">IF(J3637=1,1,IF(AND(K3364=1,K3322=1),1,0))</f>
        <v>1</v>
      </c>
    </row>
    <row r="3638" customFormat="false" ht="15" hidden="false" customHeight="false" outlineLevel="0" collapsed="false">
      <c r="A3638" s="3" t="s">
        <v>560</v>
      </c>
      <c r="C3638" s="16" t="n">
        <f aca="false">IF(C3616&gt;0,C3594-C3627,0)</f>
        <v>0</v>
      </c>
      <c r="G3638" s="21" t="n">
        <f aca="false">IF(AND(G3377=1,G3322=1),1,0)</f>
        <v>0</v>
      </c>
      <c r="H3638" s="21" t="n">
        <f aca="false">IF(G3638=1,1,IF(AND(H3377=1,H3322=1),1,0))</f>
        <v>1</v>
      </c>
      <c r="I3638" s="21" t="n">
        <f aca="false">IF(H3638=1,1,IF(AND(I3377=1,I3322=1),1,0))</f>
        <v>1</v>
      </c>
      <c r="J3638" s="21" t="n">
        <f aca="false">IF(I3638=1,1,IF(AND(J3377=1,J3322=1),1,0))</f>
        <v>1</v>
      </c>
      <c r="K3638" s="21" t="n">
        <f aca="false">IF(J3638=1,1,IF(AND(K3377=1,K3322=1),1,0))</f>
        <v>1</v>
      </c>
    </row>
    <row r="3639" customFormat="false" ht="15" hidden="false" customHeight="false" outlineLevel="0" collapsed="false">
      <c r="A3639" s="3" t="s">
        <v>561</v>
      </c>
      <c r="C3639" s="16" t="n">
        <f aca="false">IF(C3617&gt;0,C3595-C3628,0)</f>
        <v>0</v>
      </c>
      <c r="G3639" s="21" t="n">
        <f aca="false">IF(AND(G3390=1,G3322=1),1,0)</f>
        <v>0</v>
      </c>
      <c r="H3639" s="21" t="n">
        <f aca="false">IF(G3639=1,1,IF(AND(H3390=1,H3322=1),1,0))</f>
        <v>1</v>
      </c>
      <c r="I3639" s="21" t="n">
        <f aca="false">IF(H3639=1,1,IF(AND(I3390=1,I3322=1),1,0))</f>
        <v>1</v>
      </c>
      <c r="J3639" s="21" t="n">
        <f aca="false">IF(I3639=1,1,IF(AND(J3390=1,J3322=1),1,0))</f>
        <v>1</v>
      </c>
      <c r="K3639" s="21" t="n">
        <f aca="false">IF(J3639=1,1,IF(AND(K3390=1,K3322=1),1,0))</f>
        <v>1</v>
      </c>
    </row>
    <row r="3640" customFormat="false" ht="15" hidden="false" customHeight="false" outlineLevel="0" collapsed="false">
      <c r="A3640" s="3" t="s">
        <v>562</v>
      </c>
      <c r="C3640" s="16" t="n">
        <f aca="false">IF(C3618&gt;0,C3596-C3629,0)</f>
        <v>0</v>
      </c>
      <c r="G3640" s="21" t="n">
        <f aca="false">IF(AND(G3403=1,G3322=1),1,0)</f>
        <v>0</v>
      </c>
      <c r="H3640" s="21" t="n">
        <f aca="false">IF(G3640=1,1,IF(AND(H3403=1,H3322=1),1,0))</f>
        <v>0</v>
      </c>
      <c r="I3640" s="21" t="n">
        <f aca="false">IF(H3640=1,1,IF(AND(I3403=1,I3322=1),1,0))</f>
        <v>1</v>
      </c>
      <c r="J3640" s="21" t="n">
        <f aca="false">IF(I3640=1,1,IF(AND(J3403=1,J3322=1),1,0))</f>
        <v>1</v>
      </c>
      <c r="K3640" s="21" t="n">
        <f aca="false">IF(J3640=1,1,IF(AND(K3403=1,K3322=1),1,0))</f>
        <v>1</v>
      </c>
    </row>
    <row r="3641" customFormat="false" ht="15" hidden="false" customHeight="false" outlineLevel="0" collapsed="false">
      <c r="A3641" s="3" t="s">
        <v>563</v>
      </c>
      <c r="C3641" s="16" t="n">
        <f aca="false">IF(C3619&gt;0,C3597-C3630,0)</f>
        <v>0</v>
      </c>
      <c r="G3641" s="21" t="n">
        <f aca="false">IF(AND(G3416=1,G3322=1),1,0)</f>
        <v>0</v>
      </c>
      <c r="H3641" s="21" t="n">
        <f aca="false">IF(G3641=1,1,IF(AND(H3416=1,H3322=1),1,0))</f>
        <v>0</v>
      </c>
      <c r="I3641" s="21" t="n">
        <f aca="false">IF(H3641=1,1,IF(AND(I3416=1,I3322=1),1,0))</f>
        <v>0</v>
      </c>
      <c r="J3641" s="21" t="n">
        <f aca="false">IF(I3641=1,1,IF(AND(J3416=1,J3322=1),1,0))</f>
        <v>1</v>
      </c>
      <c r="K3641" s="21" t="n">
        <f aca="false">IF(J3641=1,1,IF(AND(K3416=1,K3322=1),1,0))</f>
        <v>1</v>
      </c>
    </row>
    <row r="3642" customFormat="false" ht="15" hidden="false" customHeight="false" outlineLevel="0" collapsed="false">
      <c r="A3642" s="3" t="s">
        <v>564</v>
      </c>
      <c r="C3642" s="16" t="n">
        <f aca="false">IF(C3620&gt;0,C3598-C3631,0)</f>
        <v>0</v>
      </c>
      <c r="G3642" s="21" t="n">
        <f aca="false">IF(AND(G3429=1,G3322=1),1,0)</f>
        <v>0</v>
      </c>
      <c r="H3642" s="21" t="n">
        <f aca="false">IF(G3642=1,1,IF(AND(H3429=1,H3322=1),1,0))</f>
        <v>0</v>
      </c>
      <c r="I3642" s="21" t="n">
        <f aca="false">IF(H3642=1,1,IF(AND(I3429=1,I3322=1),1,0))</f>
        <v>0</v>
      </c>
      <c r="J3642" s="21" t="n">
        <f aca="false">IF(I3642=1,1,IF(AND(J3429=1,J3322=1),1,0))</f>
        <v>0</v>
      </c>
      <c r="K3642" s="21" t="n">
        <f aca="false">IF(J3642=1,1,IF(AND(K3429=1,K3322=1),1,0))</f>
        <v>1</v>
      </c>
    </row>
    <row r="3643" customFormat="false" ht="15" hidden="false" customHeight="false" outlineLevel="0" collapsed="false">
      <c r="A3643" s="3" t="s">
        <v>565</v>
      </c>
      <c r="C3643" s="16" t="n">
        <f aca="false">IF(C3621&gt;0,C3599-C3632,0)</f>
        <v>0</v>
      </c>
      <c r="G3643" s="21" t="n">
        <f aca="false">IF(AND(G3442=1,G3322=1),1,0)</f>
        <v>0</v>
      </c>
      <c r="H3643" s="21" t="n">
        <f aca="false">IF(G3643=1,1,IF(AND(H3442=1,H3322=1),1,0))</f>
        <v>0</v>
      </c>
      <c r="I3643" s="21" t="n">
        <f aca="false">IF(H3643=1,1,IF(AND(I3442=1,I3322=1),1,0))</f>
        <v>0</v>
      </c>
      <c r="J3643" s="21" t="n">
        <f aca="false">IF(I3643=1,1,IF(AND(J3442=1,J3322=1),1,0))</f>
        <v>0</v>
      </c>
      <c r="K3643" s="21" t="n">
        <f aca="false">IF(J3643=1,1,IF(AND(K3442=1,K3322=1),1,0))</f>
        <v>0</v>
      </c>
    </row>
    <row r="3644" customFormat="false" ht="15" hidden="false" customHeight="false" outlineLevel="0" collapsed="false">
      <c r="A3644" s="24" t="s">
        <v>570</v>
      </c>
      <c r="B3644" s="25"/>
      <c r="C3644" s="25"/>
      <c r="D3644" s="25"/>
      <c r="E3644" s="25"/>
      <c r="F3644" s="25"/>
      <c r="G3644" s="25"/>
      <c r="H3644" s="25"/>
      <c r="I3644" s="25"/>
      <c r="J3644" s="25"/>
      <c r="K3644" s="25"/>
    </row>
    <row r="3645" customFormat="false" ht="15" hidden="false" customHeight="false" outlineLevel="0" collapsed="false">
      <c r="A3645" s="3" t="s">
        <v>556</v>
      </c>
      <c r="C3645" s="16" t="n">
        <f aca="false">IF(C3612&gt;0,C3634,C3590)</f>
        <v>0</v>
      </c>
    </row>
    <row r="3646" customFormat="false" ht="15" hidden="false" customHeight="false" outlineLevel="0" collapsed="false">
      <c r="A3646" s="3" t="s">
        <v>557</v>
      </c>
      <c r="C3646" s="16" t="n">
        <f aca="false">IF(C3613&gt;0,C3635,C3591)</f>
        <v>0</v>
      </c>
    </row>
    <row r="3647" customFormat="false" ht="15" hidden="false" customHeight="false" outlineLevel="0" collapsed="false">
      <c r="A3647" s="3" t="s">
        <v>558</v>
      </c>
      <c r="C3647" s="16" t="n">
        <f aca="false">IF(C3614&gt;0,C3636,C3592)</f>
        <v>0</v>
      </c>
    </row>
    <row r="3648" customFormat="false" ht="15" hidden="false" customHeight="false" outlineLevel="0" collapsed="false">
      <c r="A3648" s="3" t="s">
        <v>559</v>
      </c>
      <c r="C3648" s="16" t="n">
        <f aca="false">IF(C3615&gt;0,C3637,C3593)</f>
        <v>0</v>
      </c>
    </row>
    <row r="3649" customFormat="false" ht="15" hidden="false" customHeight="false" outlineLevel="0" collapsed="false">
      <c r="A3649" s="3" t="s">
        <v>560</v>
      </c>
      <c r="C3649" s="16" t="n">
        <f aca="false">IF(C3616&gt;0,C3638,C3594)</f>
        <v>454.44375</v>
      </c>
    </row>
    <row r="3650" customFormat="false" ht="15" hidden="false" customHeight="false" outlineLevel="0" collapsed="false">
      <c r="A3650" s="3" t="s">
        <v>561</v>
      </c>
      <c r="C3650" s="16" t="n">
        <f aca="false">IF(C3617&gt;0,C3639,C3595)</f>
        <v>357.2625</v>
      </c>
    </row>
    <row r="3651" customFormat="false" ht="15" hidden="false" customHeight="false" outlineLevel="0" collapsed="false">
      <c r="A3651" s="3" t="s">
        <v>562</v>
      </c>
      <c r="C3651" s="16" t="n">
        <f aca="false">IF(C3618&gt;0,C3640,C3596)</f>
        <v>562.203125</v>
      </c>
    </row>
    <row r="3652" customFormat="false" ht="15" hidden="false" customHeight="false" outlineLevel="0" collapsed="false">
      <c r="A3652" s="3" t="s">
        <v>563</v>
      </c>
      <c r="C3652" s="16" t="n">
        <f aca="false">IF(C3619&gt;0,C3641,C3597)</f>
        <v>353.98125</v>
      </c>
    </row>
    <row r="3653" customFormat="false" ht="15" hidden="false" customHeight="false" outlineLevel="0" collapsed="false">
      <c r="A3653" s="3" t="s">
        <v>564</v>
      </c>
      <c r="C3653" s="16" t="n">
        <f aca="false">IF(C3620&gt;0,C3642,C3598)</f>
        <v>304.59375</v>
      </c>
    </row>
    <row r="3654" customFormat="false" ht="15" hidden="false" customHeight="false" outlineLevel="0" collapsed="false">
      <c r="A3654" s="3" t="s">
        <v>565</v>
      </c>
      <c r="C3654" s="16" t="n">
        <f aca="false">IF(C3621&gt;0,C3643,C3599)</f>
        <v>79.67320025</v>
      </c>
    </row>
    <row r="3655" customFormat="false" ht="15" hidden="false" customHeight="false" outlineLevel="0" collapsed="false">
      <c r="A3655" s="24" t="s">
        <v>571</v>
      </c>
      <c r="B3655" s="25"/>
      <c r="C3655" s="25"/>
      <c r="D3655" s="25"/>
      <c r="E3655" s="25"/>
      <c r="F3655" s="25"/>
      <c r="G3655" s="25"/>
      <c r="H3655" s="25"/>
      <c r="I3655" s="25"/>
      <c r="J3655" s="25"/>
      <c r="K3655" s="25"/>
    </row>
    <row r="3656" customFormat="false" ht="15" hidden="false" customHeight="false" outlineLevel="0" collapsed="false">
      <c r="A3656" s="3" t="s">
        <v>556</v>
      </c>
      <c r="C3656" s="21" t="n">
        <f aca="false">IF(C3612&gt;0,Assumptions!$C$17,C3601)</f>
        <v>99</v>
      </c>
    </row>
    <row r="3657" customFormat="false" ht="15" hidden="false" customHeight="false" outlineLevel="0" collapsed="false">
      <c r="A3657" s="3" t="s">
        <v>557</v>
      </c>
      <c r="C3657" s="21" t="n">
        <f aca="false">IF(C3613&gt;0,Assumptions!$C$17,C3602)</f>
        <v>99</v>
      </c>
    </row>
    <row r="3658" customFormat="false" ht="15" hidden="false" customHeight="false" outlineLevel="0" collapsed="false">
      <c r="A3658" s="3" t="s">
        <v>558</v>
      </c>
      <c r="C3658" s="21" t="n">
        <f aca="false">IF(C3614&gt;0,Assumptions!$C$17,C3603)</f>
        <v>99</v>
      </c>
    </row>
    <row r="3659" customFormat="false" ht="15" hidden="false" customHeight="false" outlineLevel="0" collapsed="false">
      <c r="A3659" s="3" t="s">
        <v>559</v>
      </c>
      <c r="C3659" s="21" t="n">
        <f aca="false">IF(C3615&gt;0,Assumptions!$C$17,C3604)</f>
        <v>2</v>
      </c>
    </row>
    <row r="3660" customFormat="false" ht="15" hidden="false" customHeight="false" outlineLevel="0" collapsed="false">
      <c r="A3660" s="3" t="s">
        <v>560</v>
      </c>
      <c r="C3660" s="21" t="n">
        <f aca="false">IF(C3616&gt;0,Assumptions!$C$17,C3605)</f>
        <v>2</v>
      </c>
    </row>
    <row r="3661" customFormat="false" ht="15" hidden="false" customHeight="false" outlineLevel="0" collapsed="false">
      <c r="A3661" s="3" t="s">
        <v>561</v>
      </c>
      <c r="C3661" s="21" t="n">
        <f aca="false">IF(C3617&gt;0,Assumptions!$C$17,C3606)</f>
        <v>2</v>
      </c>
    </row>
    <row r="3662" customFormat="false" ht="15" hidden="false" customHeight="false" outlineLevel="0" collapsed="false">
      <c r="A3662" s="3" t="s">
        <v>562</v>
      </c>
      <c r="C3662" s="21" t="n">
        <f aca="false">IF(C3618&gt;0,Assumptions!$C$17,C3607)</f>
        <v>2</v>
      </c>
    </row>
    <row r="3663" customFormat="false" ht="15" hidden="false" customHeight="false" outlineLevel="0" collapsed="false">
      <c r="A3663" s="3" t="s">
        <v>563</v>
      </c>
      <c r="C3663" s="21" t="n">
        <f aca="false">IF(C3619&gt;0,Assumptions!$C$17,C3608)</f>
        <v>2</v>
      </c>
    </row>
    <row r="3664" customFormat="false" ht="15" hidden="false" customHeight="false" outlineLevel="0" collapsed="false">
      <c r="A3664" s="3" t="s">
        <v>564</v>
      </c>
      <c r="C3664" s="21" t="n">
        <f aca="false">IF(C3620&gt;0,Assumptions!$C$17,C3609)</f>
        <v>2</v>
      </c>
    </row>
    <row r="3665" customFormat="false" ht="15" hidden="false" customHeight="false" outlineLevel="0" collapsed="false">
      <c r="A3665" s="3" t="s">
        <v>565</v>
      </c>
      <c r="C3665" s="21" t="n">
        <f aca="false">IF(C3621&gt;0,Assumptions!$C$17,C3610)</f>
        <v>3</v>
      </c>
    </row>
    <row r="3666" customFormat="false" ht="15" hidden="false" customHeight="false" outlineLevel="0" collapsed="false">
      <c r="A3666" s="24" t="s">
        <v>572</v>
      </c>
      <c r="B3666" s="25"/>
      <c r="C3666" s="25"/>
      <c r="D3666" s="25"/>
      <c r="E3666" s="25"/>
      <c r="F3666" s="25"/>
      <c r="G3666" s="25"/>
      <c r="H3666" s="25"/>
      <c r="I3666" s="25"/>
      <c r="J3666" s="25"/>
      <c r="K3666" s="25"/>
    </row>
    <row r="3667" customFormat="false" ht="15" hidden="false" customHeight="false" outlineLevel="0" collapsed="false">
      <c r="A3667" s="3" t="s">
        <v>556</v>
      </c>
      <c r="C3667" s="16" t="n">
        <f aca="false">SUMPRODUCT(($C$3656:$C$3665&lt;C3656)*$C$3645:$C$3654)</f>
        <v>2112.15757525</v>
      </c>
    </row>
    <row r="3668" customFormat="false" ht="15" hidden="false" customHeight="false" outlineLevel="0" collapsed="false">
      <c r="A3668" s="3" t="s">
        <v>557</v>
      </c>
      <c r="C3668" s="16" t="n">
        <f aca="false">SUMPRODUCT(($C$3656:$C$3665&lt;C3657)*$C$3645:$C$3654)</f>
        <v>2112.15757525</v>
      </c>
    </row>
    <row r="3669" customFormat="false" ht="15" hidden="false" customHeight="false" outlineLevel="0" collapsed="false">
      <c r="A3669" s="3" t="s">
        <v>558</v>
      </c>
      <c r="C3669" s="16" t="n">
        <f aca="false">SUMPRODUCT(($C$3656:$C$3665&lt;C3658)*$C$3645:$C$3654)</f>
        <v>2112.15757525</v>
      </c>
    </row>
    <row r="3670" customFormat="false" ht="15" hidden="false" customHeight="false" outlineLevel="0" collapsed="false">
      <c r="A3670" s="3" t="s">
        <v>559</v>
      </c>
      <c r="C3670" s="16" t="n">
        <f aca="false">SUMPRODUCT(($C$3656:$C$3665&lt;C3659)*$C$3645:$C$3654)</f>
        <v>0</v>
      </c>
    </row>
    <row r="3671" customFormat="false" ht="15" hidden="false" customHeight="false" outlineLevel="0" collapsed="false">
      <c r="A3671" s="3" t="s">
        <v>560</v>
      </c>
      <c r="C3671" s="16" t="n">
        <f aca="false">SUMPRODUCT(($C$3656:$C$3665&lt;C3660)*$C$3645:$C$3654)</f>
        <v>0</v>
      </c>
    </row>
    <row r="3672" customFormat="false" ht="15" hidden="false" customHeight="false" outlineLevel="0" collapsed="false">
      <c r="A3672" s="3" t="s">
        <v>561</v>
      </c>
      <c r="C3672" s="16" t="n">
        <f aca="false">SUMPRODUCT(($C$3656:$C$3665&lt;C3661)*$C$3645:$C$3654)</f>
        <v>0</v>
      </c>
    </row>
    <row r="3673" customFormat="false" ht="15" hidden="false" customHeight="false" outlineLevel="0" collapsed="false">
      <c r="A3673" s="3" t="s">
        <v>562</v>
      </c>
      <c r="C3673" s="16" t="n">
        <f aca="false">SUMPRODUCT(($C$3656:$C$3665&lt;C3662)*$C$3645:$C$3654)</f>
        <v>0</v>
      </c>
    </row>
    <row r="3674" customFormat="false" ht="15" hidden="false" customHeight="false" outlineLevel="0" collapsed="false">
      <c r="A3674" s="3" t="s">
        <v>563</v>
      </c>
      <c r="C3674" s="16" t="n">
        <f aca="false">SUMPRODUCT(($C$3656:$C$3665&lt;C3663)*$C$3645:$C$3654)</f>
        <v>0</v>
      </c>
    </row>
    <row r="3675" customFormat="false" ht="15" hidden="false" customHeight="false" outlineLevel="0" collapsed="false">
      <c r="A3675" s="3" t="s">
        <v>564</v>
      </c>
      <c r="C3675" s="16" t="n">
        <f aca="false">SUMPRODUCT(($C$3656:$C$3665&lt;C3664)*$C$3645:$C$3654)</f>
        <v>0</v>
      </c>
    </row>
    <row r="3676" customFormat="false" ht="15" hidden="false" customHeight="false" outlineLevel="0" collapsed="false">
      <c r="A3676" s="3" t="s">
        <v>565</v>
      </c>
      <c r="C3676" s="16" t="n">
        <f aca="false">SUMPRODUCT(($C$3656:$C$3665&lt;C3665)*$C$3645:$C$3654)</f>
        <v>2032.484375</v>
      </c>
    </row>
    <row r="3677" customFormat="false" ht="15" hidden="false" customHeight="false" outlineLevel="0" collapsed="false">
      <c r="A3677" s="24" t="s">
        <v>573</v>
      </c>
      <c r="B3677" s="25"/>
      <c r="C3677" s="25"/>
      <c r="D3677" s="25"/>
      <c r="E3677" s="25"/>
      <c r="F3677" s="25"/>
      <c r="G3677" s="25"/>
      <c r="H3677" s="25"/>
      <c r="I3677" s="25"/>
      <c r="J3677" s="25"/>
      <c r="K3677" s="25"/>
    </row>
    <row r="3678" customFormat="false" ht="15" hidden="false" customHeight="false" outlineLevel="0" collapsed="false">
      <c r="A3678" s="3" t="s">
        <v>556</v>
      </c>
      <c r="C3678" s="16" t="n">
        <f aca="false">SUMPRODUCT(($C$3656:$C$3665=C3656)*$C$3645:$C$3654)</f>
        <v>0</v>
      </c>
    </row>
    <row r="3679" customFormat="false" ht="15" hidden="false" customHeight="false" outlineLevel="0" collapsed="false">
      <c r="A3679" s="3" t="s">
        <v>557</v>
      </c>
      <c r="C3679" s="16" t="n">
        <f aca="false">SUMPRODUCT(($C$3656:$C$3665=C3657)*$C$3645:$C$3654)</f>
        <v>0</v>
      </c>
    </row>
    <row r="3680" customFormat="false" ht="15" hidden="false" customHeight="false" outlineLevel="0" collapsed="false">
      <c r="A3680" s="3" t="s">
        <v>558</v>
      </c>
      <c r="C3680" s="16" t="n">
        <f aca="false">SUMPRODUCT(($C$3656:$C$3665=C3658)*$C$3645:$C$3654)</f>
        <v>0</v>
      </c>
    </row>
    <row r="3681" customFormat="false" ht="15" hidden="false" customHeight="false" outlineLevel="0" collapsed="false">
      <c r="A3681" s="3" t="s">
        <v>559</v>
      </c>
      <c r="C3681" s="16" t="n">
        <f aca="false">SUMPRODUCT(($C$3656:$C$3665=C3659)*$C$3645:$C$3654)</f>
        <v>2032.484375</v>
      </c>
    </row>
    <row r="3682" customFormat="false" ht="15" hidden="false" customHeight="false" outlineLevel="0" collapsed="false">
      <c r="A3682" s="3" t="s">
        <v>560</v>
      </c>
      <c r="C3682" s="16" t="n">
        <f aca="false">SUMPRODUCT(($C$3656:$C$3665=C3660)*$C$3645:$C$3654)</f>
        <v>2032.484375</v>
      </c>
    </row>
    <row r="3683" customFormat="false" ht="15" hidden="false" customHeight="false" outlineLevel="0" collapsed="false">
      <c r="A3683" s="3" t="s">
        <v>561</v>
      </c>
      <c r="C3683" s="16" t="n">
        <f aca="false">SUMPRODUCT(($C$3656:$C$3665=C3661)*$C$3645:$C$3654)</f>
        <v>2032.484375</v>
      </c>
    </row>
    <row r="3684" customFormat="false" ht="15" hidden="false" customHeight="false" outlineLevel="0" collapsed="false">
      <c r="A3684" s="3" t="s">
        <v>562</v>
      </c>
      <c r="C3684" s="16" t="n">
        <f aca="false">SUMPRODUCT(($C$3656:$C$3665=C3662)*$C$3645:$C$3654)</f>
        <v>2032.484375</v>
      </c>
    </row>
    <row r="3685" customFormat="false" ht="15" hidden="false" customHeight="false" outlineLevel="0" collapsed="false">
      <c r="A3685" s="3" t="s">
        <v>563</v>
      </c>
      <c r="C3685" s="16" t="n">
        <f aca="false">SUMPRODUCT(($C$3656:$C$3665=C3663)*$C$3645:$C$3654)</f>
        <v>2032.484375</v>
      </c>
    </row>
    <row r="3686" customFormat="false" ht="15" hidden="false" customHeight="false" outlineLevel="0" collapsed="false">
      <c r="A3686" s="3" t="s">
        <v>564</v>
      </c>
      <c r="C3686" s="16" t="n">
        <f aca="false">SUMPRODUCT(($C$3656:$C$3665=C3664)*$C$3645:$C$3654)</f>
        <v>2032.484375</v>
      </c>
    </row>
    <row r="3687" customFormat="false" ht="15" hidden="false" customHeight="false" outlineLevel="0" collapsed="false">
      <c r="A3687" s="3" t="s">
        <v>565</v>
      </c>
      <c r="C3687" s="16" t="n">
        <f aca="false">SUMPRODUCT(($C$3656:$C$3665=C3665)*$C$3645:$C$3654)</f>
        <v>79.67320025</v>
      </c>
    </row>
    <row r="3688" customFormat="false" ht="15" hidden="false" customHeight="false" outlineLevel="0" collapsed="false">
      <c r="A3688" s="24" t="s">
        <v>574</v>
      </c>
      <c r="B3688" s="25"/>
      <c r="C3688" s="25"/>
      <c r="D3688" s="25"/>
      <c r="E3688" s="25"/>
      <c r="F3688" s="25"/>
      <c r="G3688" s="25"/>
      <c r="H3688" s="25"/>
      <c r="I3688" s="25"/>
      <c r="J3688" s="25"/>
      <c r="K3688" s="25"/>
    </row>
    <row r="3689" customFormat="false" ht="15" hidden="false" customHeight="false" outlineLevel="0" collapsed="false">
      <c r="A3689" s="3" t="s">
        <v>556</v>
      </c>
      <c r="C3689" s="16" t="n">
        <f aca="false">IF(C3678=0,0,C3645/C3678*MAX(0,MIN(C3678,$C$3588-SUM($C$3623:$C$3632)-C3667)))</f>
        <v>0</v>
      </c>
    </row>
    <row r="3690" customFormat="false" ht="15" hidden="false" customHeight="false" outlineLevel="0" collapsed="false">
      <c r="A3690" s="3" t="s">
        <v>557</v>
      </c>
      <c r="C3690" s="16" t="n">
        <f aca="false">IF(C3679=0,0,C3646/C3679*MAX(0,MIN(C3679,$C$3588-SUM($C$3623:$C$3632)-C3668)))</f>
        <v>0</v>
      </c>
    </row>
    <row r="3691" customFormat="false" ht="15" hidden="false" customHeight="false" outlineLevel="0" collapsed="false">
      <c r="A3691" s="3" t="s">
        <v>558</v>
      </c>
      <c r="C3691" s="16" t="n">
        <f aca="false">IF(C3680=0,0,C3647/C3680*MAX(0,MIN(C3680,$C$3588-SUM($C$3623:$C$3632)-C3669)))</f>
        <v>0</v>
      </c>
    </row>
    <row r="3692" customFormat="false" ht="15" hidden="false" customHeight="false" outlineLevel="0" collapsed="false">
      <c r="A3692" s="3" t="s">
        <v>559</v>
      </c>
      <c r="C3692" s="16" t="n">
        <f aca="false">IF(C3681=0,0,C3648/C3681*MAX(0,MIN(C3681,$C$3588-SUM($C$3623:$C$3632)-C3670)))</f>
        <v>0</v>
      </c>
    </row>
    <row r="3693" customFormat="false" ht="15" hidden="false" customHeight="false" outlineLevel="0" collapsed="false">
      <c r="A3693" s="3" t="s">
        <v>560</v>
      </c>
      <c r="C3693" s="16" t="n">
        <f aca="false">IF(C3682=0,0,C3649/C3682*MAX(0,MIN(C3682,$C$3588-SUM($C$3623:$C$3632)-C3671)))</f>
        <v>454.44375</v>
      </c>
    </row>
    <row r="3694" customFormat="false" ht="15" hidden="false" customHeight="false" outlineLevel="0" collapsed="false">
      <c r="A3694" s="3" t="s">
        <v>561</v>
      </c>
      <c r="C3694" s="16" t="n">
        <f aca="false">IF(C3683=0,0,C3650/C3683*MAX(0,MIN(C3683,$C$3588-SUM($C$3623:$C$3632)-C3672)))</f>
        <v>357.2625</v>
      </c>
    </row>
    <row r="3695" customFormat="false" ht="15" hidden="false" customHeight="false" outlineLevel="0" collapsed="false">
      <c r="A3695" s="3" t="s">
        <v>562</v>
      </c>
      <c r="C3695" s="16" t="n">
        <f aca="false">IF(C3684=0,0,C3651/C3684*MAX(0,MIN(C3684,$C$3588-SUM($C$3623:$C$3632)-C3673)))</f>
        <v>562.203125</v>
      </c>
    </row>
    <row r="3696" customFormat="false" ht="15" hidden="false" customHeight="false" outlineLevel="0" collapsed="false">
      <c r="A3696" s="3" t="s">
        <v>563</v>
      </c>
      <c r="C3696" s="16" t="n">
        <f aca="false">IF(C3685=0,0,C3652/C3685*MAX(0,MIN(C3685,$C$3588-SUM($C$3623:$C$3632)-C3674)))</f>
        <v>353.98125</v>
      </c>
    </row>
    <row r="3697" customFormat="false" ht="15" hidden="false" customHeight="false" outlineLevel="0" collapsed="false">
      <c r="A3697" s="3" t="s">
        <v>564</v>
      </c>
      <c r="C3697" s="16" t="n">
        <f aca="false">IF(C3686=0,0,C3653/C3686*MAX(0,MIN(C3686,$C$3588-SUM($C$3623:$C$3632)-C3675)))</f>
        <v>304.59375</v>
      </c>
    </row>
    <row r="3698" customFormat="false" ht="15" hidden="false" customHeight="false" outlineLevel="0" collapsed="false">
      <c r="A3698" s="3" t="s">
        <v>565</v>
      </c>
      <c r="C3698" s="16" t="n">
        <f aca="false">IF(C3687=0,0,C3654/C3687*MAX(0,MIN(C3687,$C$3588-SUM($C$3623:$C$3632)-C3676)))</f>
        <v>79.67320025</v>
      </c>
    </row>
    <row r="3699" customFormat="false" ht="15" hidden="false" customHeight="false" outlineLevel="0" collapsed="false">
      <c r="A3699" s="24" t="s">
        <v>575</v>
      </c>
      <c r="B3699" s="25"/>
      <c r="C3699" s="25"/>
      <c r="D3699" s="25"/>
      <c r="E3699" s="25"/>
      <c r="F3699" s="25"/>
      <c r="G3699" s="25"/>
      <c r="H3699" s="25"/>
      <c r="I3699" s="25"/>
      <c r="J3699" s="25"/>
      <c r="K3699" s="25"/>
    </row>
    <row r="3700" customFormat="false" ht="15" hidden="false" customHeight="false" outlineLevel="0" collapsed="false">
      <c r="A3700" s="2" t="s">
        <v>556</v>
      </c>
      <c r="C3700" s="17" t="n">
        <f aca="false">C3623+C3689</f>
        <v>405.0585</v>
      </c>
    </row>
    <row r="3701" customFormat="false" ht="15" hidden="false" customHeight="false" outlineLevel="0" collapsed="false">
      <c r="A3701" s="2" t="s">
        <v>557</v>
      </c>
      <c r="C3701" s="17" t="n">
        <f aca="false">C3624+C3690</f>
        <v>91.30725</v>
      </c>
    </row>
    <row r="3702" customFormat="false" ht="15" hidden="false" customHeight="false" outlineLevel="0" collapsed="false">
      <c r="A3702" s="2" t="s">
        <v>558</v>
      </c>
      <c r="C3702" s="17" t="n">
        <f aca="false">C3625+C3691</f>
        <v>58.3715961</v>
      </c>
    </row>
    <row r="3703" customFormat="false" ht="15" hidden="false" customHeight="false" outlineLevel="0" collapsed="false">
      <c r="A3703" s="2" t="s">
        <v>559</v>
      </c>
      <c r="C3703" s="17" t="n">
        <f aca="false">C3626+C3692</f>
        <v>0</v>
      </c>
    </row>
    <row r="3704" customFormat="false" ht="15" hidden="false" customHeight="false" outlineLevel="0" collapsed="false">
      <c r="A3704" s="2" t="s">
        <v>560</v>
      </c>
      <c r="C3704" s="17" t="n">
        <f aca="false">C3627+C3693</f>
        <v>454.44375</v>
      </c>
    </row>
    <row r="3705" customFormat="false" ht="15" hidden="false" customHeight="false" outlineLevel="0" collapsed="false">
      <c r="A3705" s="2" t="s">
        <v>561</v>
      </c>
      <c r="C3705" s="17" t="n">
        <f aca="false">C3628+C3694</f>
        <v>357.2625</v>
      </c>
    </row>
    <row r="3706" customFormat="false" ht="15" hidden="false" customHeight="false" outlineLevel="0" collapsed="false">
      <c r="A3706" s="2" t="s">
        <v>562</v>
      </c>
      <c r="C3706" s="17" t="n">
        <f aca="false">C3629+C3695</f>
        <v>562.203125</v>
      </c>
    </row>
    <row r="3707" customFormat="false" ht="15" hidden="false" customHeight="false" outlineLevel="0" collapsed="false">
      <c r="A3707" s="2" t="s">
        <v>563</v>
      </c>
      <c r="C3707" s="17" t="n">
        <f aca="false">C3630+C3696</f>
        <v>353.98125</v>
      </c>
    </row>
    <row r="3708" customFormat="false" ht="15" hidden="false" customHeight="false" outlineLevel="0" collapsed="false">
      <c r="A3708" s="2" t="s">
        <v>564</v>
      </c>
      <c r="C3708" s="17" t="n">
        <f aca="false">C3631+C3697</f>
        <v>304.59375</v>
      </c>
    </row>
    <row r="3709" customFormat="false" ht="15" hidden="false" customHeight="false" outlineLevel="0" collapsed="false">
      <c r="A3709" s="2" t="s">
        <v>565</v>
      </c>
      <c r="C3709" s="17" t="n">
        <f aca="false">C3632+C3698</f>
        <v>79.67320025</v>
      </c>
    </row>
    <row r="3710" customFormat="false" ht="15" hidden="false" customHeight="false" outlineLevel="0" collapsed="false">
      <c r="A3710" s="24" t="s">
        <v>576</v>
      </c>
      <c r="B3710" s="25"/>
      <c r="C3710" s="25"/>
      <c r="D3710" s="25"/>
      <c r="E3710" s="25"/>
      <c r="F3710" s="25"/>
      <c r="G3710" s="25"/>
      <c r="H3710" s="25"/>
      <c r="I3710" s="25"/>
      <c r="J3710" s="25"/>
      <c r="K3710" s="25"/>
    </row>
    <row r="3711" customFormat="false" ht="15" hidden="false" customHeight="false" outlineLevel="0" collapsed="false">
      <c r="A3711" s="3" t="s">
        <v>556</v>
      </c>
      <c r="C3711" s="22" t="n">
        <f aca="false">IF(C3590=0,1,C3700/C3590)</f>
        <v>1</v>
      </c>
    </row>
    <row r="3712" customFormat="false" ht="15" hidden="false" customHeight="false" outlineLevel="0" collapsed="false">
      <c r="A3712" s="3" t="s">
        <v>557</v>
      </c>
      <c r="C3712" s="22" t="n">
        <f aca="false">IF(C3591=0,1,C3701/C3591)</f>
        <v>1</v>
      </c>
    </row>
    <row r="3713" customFormat="false" ht="15" hidden="false" customHeight="false" outlineLevel="0" collapsed="false">
      <c r="A3713" s="3" t="s">
        <v>558</v>
      </c>
      <c r="C3713" s="22" t="n">
        <f aca="false">IF(C3592=0,1,C3702/C3592)</f>
        <v>1</v>
      </c>
    </row>
    <row r="3714" customFormat="false" ht="15" hidden="false" customHeight="false" outlineLevel="0" collapsed="false">
      <c r="A3714" s="3" t="s">
        <v>559</v>
      </c>
      <c r="C3714" s="22" t="n">
        <f aca="false">IF(C3593=0,1,C3703/C3593)</f>
        <v>1</v>
      </c>
    </row>
    <row r="3715" customFormat="false" ht="15" hidden="false" customHeight="false" outlineLevel="0" collapsed="false">
      <c r="A3715" s="3" t="s">
        <v>560</v>
      </c>
      <c r="C3715" s="22" t="n">
        <f aca="false">IF(C3594=0,1,C3704/C3594)</f>
        <v>1</v>
      </c>
    </row>
    <row r="3716" customFormat="false" ht="15" hidden="false" customHeight="false" outlineLevel="0" collapsed="false">
      <c r="A3716" s="3" t="s">
        <v>561</v>
      </c>
      <c r="C3716" s="22" t="n">
        <f aca="false">IF(C3595=0,1,C3705/C3595)</f>
        <v>1</v>
      </c>
    </row>
    <row r="3717" customFormat="false" ht="15" hidden="false" customHeight="false" outlineLevel="0" collapsed="false">
      <c r="A3717" s="3" t="s">
        <v>562</v>
      </c>
      <c r="C3717" s="22" t="n">
        <f aca="false">IF(C3596=0,1,C3706/C3596)</f>
        <v>1</v>
      </c>
    </row>
    <row r="3718" customFormat="false" ht="15" hidden="false" customHeight="false" outlineLevel="0" collapsed="false">
      <c r="A3718" s="3" t="s">
        <v>563</v>
      </c>
      <c r="C3718" s="22" t="n">
        <f aca="false">IF(C3597=0,1,C3707/C3597)</f>
        <v>1</v>
      </c>
    </row>
    <row r="3719" customFormat="false" ht="15" hidden="false" customHeight="false" outlineLevel="0" collapsed="false">
      <c r="A3719" s="3" t="s">
        <v>564</v>
      </c>
      <c r="C3719" s="22" t="n">
        <f aca="false">IF(C3598=0,1,C3708/C3598)</f>
        <v>1</v>
      </c>
    </row>
    <row r="3720" customFormat="false" ht="15" hidden="false" customHeight="false" outlineLevel="0" collapsed="false">
      <c r="A3720" s="3" t="s">
        <v>565</v>
      </c>
      <c r="C3720" s="22" t="n">
        <f aca="false">IF(C3599=0,1,C3709/C3599)</f>
        <v>1</v>
      </c>
    </row>
    <row r="3721" customFormat="false" ht="15" hidden="false" customHeight="false" outlineLevel="0" collapsed="false">
      <c r="A3721" s="24" t="s">
        <v>577</v>
      </c>
      <c r="B3721" s="25"/>
      <c r="C3721" s="25"/>
      <c r="D3721" s="25"/>
      <c r="E3721" s="25"/>
      <c r="F3721" s="25"/>
      <c r="G3721" s="25"/>
      <c r="H3721" s="25"/>
      <c r="I3721" s="25"/>
      <c r="J3721" s="25"/>
      <c r="K3721" s="25"/>
    </row>
    <row r="3722" customFormat="false" ht="15" hidden="false" customHeight="false" outlineLevel="0" collapsed="false">
      <c r="A3722" s="3" t="s">
        <v>556</v>
      </c>
      <c r="C3722" s="16" t="n">
        <f aca="false">C3590-C3700</f>
        <v>0</v>
      </c>
    </row>
    <row r="3723" customFormat="false" ht="15" hidden="false" customHeight="false" outlineLevel="0" collapsed="false">
      <c r="A3723" s="3" t="s">
        <v>557</v>
      </c>
      <c r="C3723" s="16" t="n">
        <f aca="false">C3591-C3701</f>
        <v>0</v>
      </c>
    </row>
    <row r="3724" customFormat="false" ht="15" hidden="false" customHeight="false" outlineLevel="0" collapsed="false">
      <c r="A3724" s="3" t="s">
        <v>558</v>
      </c>
      <c r="C3724" s="16" t="n">
        <f aca="false">C3592-C3702</f>
        <v>0</v>
      </c>
    </row>
    <row r="3725" customFormat="false" ht="15" hidden="false" customHeight="false" outlineLevel="0" collapsed="false">
      <c r="A3725" s="3" t="s">
        <v>559</v>
      </c>
      <c r="C3725" s="16" t="n">
        <f aca="false">C3593-C3703</f>
        <v>0</v>
      </c>
    </row>
    <row r="3726" customFormat="false" ht="15" hidden="false" customHeight="false" outlineLevel="0" collapsed="false">
      <c r="A3726" s="3" t="s">
        <v>560</v>
      </c>
      <c r="C3726" s="16" t="n">
        <f aca="false">C3594-C3704</f>
        <v>0</v>
      </c>
    </row>
    <row r="3727" customFormat="false" ht="15" hidden="false" customHeight="false" outlineLevel="0" collapsed="false">
      <c r="A3727" s="3" t="s">
        <v>561</v>
      </c>
      <c r="C3727" s="16" t="n">
        <f aca="false">C3595-C3705</f>
        <v>0</v>
      </c>
    </row>
    <row r="3728" customFormat="false" ht="15" hidden="false" customHeight="false" outlineLevel="0" collapsed="false">
      <c r="A3728" s="3" t="s">
        <v>562</v>
      </c>
      <c r="C3728" s="16" t="n">
        <f aca="false">C3596-C3706</f>
        <v>0</v>
      </c>
    </row>
    <row r="3729" customFormat="false" ht="15" hidden="false" customHeight="false" outlineLevel="0" collapsed="false">
      <c r="A3729" s="3" t="s">
        <v>563</v>
      </c>
      <c r="C3729" s="16" t="n">
        <f aca="false">C3597-C3707</f>
        <v>0</v>
      </c>
    </row>
    <row r="3730" customFormat="false" ht="15" hidden="false" customHeight="false" outlineLevel="0" collapsed="false">
      <c r="A3730" s="3" t="s">
        <v>564</v>
      </c>
      <c r="C3730" s="16" t="n">
        <f aca="false">C3598-C3708</f>
        <v>0</v>
      </c>
    </row>
    <row r="3731" customFormat="false" ht="15" hidden="false" customHeight="false" outlineLevel="0" collapsed="false">
      <c r="A3731" s="3" t="s">
        <v>565</v>
      </c>
      <c r="C3731" s="16" t="n">
        <f aca="false">C3599-C3709</f>
        <v>0</v>
      </c>
    </row>
    <row r="3732" customFormat="false" ht="15" hidden="false" customHeight="false" outlineLevel="0" collapsed="false">
      <c r="A3732" s="24" t="s">
        <v>578</v>
      </c>
      <c r="B3732" s="25"/>
      <c r="C3732" s="25"/>
      <c r="D3732" s="25"/>
      <c r="E3732" s="25"/>
      <c r="F3732" s="25"/>
      <c r="G3732" s="25"/>
      <c r="H3732" s="25"/>
      <c r="I3732" s="25"/>
      <c r="J3732" s="25"/>
      <c r="K3732" s="25"/>
    </row>
    <row r="3733" customFormat="false" ht="15" hidden="false" customHeight="false" outlineLevel="0" collapsed="false">
      <c r="A3733" s="3" t="s">
        <v>556</v>
      </c>
      <c r="C3733" s="22" t="n">
        <f aca="false">IF(C3590=0,0,C3722/C3590)</f>
        <v>0</v>
      </c>
    </row>
    <row r="3734" customFormat="false" ht="15" hidden="false" customHeight="false" outlineLevel="0" collapsed="false">
      <c r="A3734" s="3" t="s">
        <v>557</v>
      </c>
      <c r="C3734" s="22" t="n">
        <f aca="false">IF(C3591=0,0,C3723/C3591)</f>
        <v>0</v>
      </c>
    </row>
    <row r="3735" customFormat="false" ht="15" hidden="false" customHeight="false" outlineLevel="0" collapsed="false">
      <c r="A3735" s="3" t="s">
        <v>558</v>
      </c>
      <c r="C3735" s="22" t="n">
        <f aca="false">IF(C3592=0,0,C3724/C3592)</f>
        <v>0</v>
      </c>
    </row>
    <row r="3736" customFormat="false" ht="15" hidden="false" customHeight="false" outlineLevel="0" collapsed="false">
      <c r="A3736" s="3" t="s">
        <v>559</v>
      </c>
      <c r="C3736" s="22" t="n">
        <f aca="false">IF(C3593=0,0,C3725/C3593)</f>
        <v>0</v>
      </c>
    </row>
    <row r="3737" customFormat="false" ht="15" hidden="false" customHeight="false" outlineLevel="0" collapsed="false">
      <c r="A3737" s="3" t="s">
        <v>560</v>
      </c>
      <c r="C3737" s="22" t="n">
        <f aca="false">IF(C3594=0,0,C3726/C3594)</f>
        <v>0</v>
      </c>
    </row>
    <row r="3738" customFormat="false" ht="15" hidden="false" customHeight="false" outlineLevel="0" collapsed="false">
      <c r="A3738" s="3" t="s">
        <v>561</v>
      </c>
      <c r="C3738" s="22" t="n">
        <f aca="false">IF(C3595=0,0,C3727/C3595)</f>
        <v>0</v>
      </c>
    </row>
    <row r="3739" customFormat="false" ht="15" hidden="false" customHeight="false" outlineLevel="0" collapsed="false">
      <c r="A3739" s="3" t="s">
        <v>562</v>
      </c>
      <c r="C3739" s="22" t="n">
        <f aca="false">IF(C3596=0,0,C3728/C3596)</f>
        <v>0</v>
      </c>
    </row>
    <row r="3740" customFormat="false" ht="15" hidden="false" customHeight="false" outlineLevel="0" collapsed="false">
      <c r="A3740" s="3" t="s">
        <v>563</v>
      </c>
      <c r="C3740" s="22" t="n">
        <f aca="false">IF(C3597=0,0,C3729/C3597)</f>
        <v>0</v>
      </c>
    </row>
    <row r="3741" customFormat="false" ht="15" hidden="false" customHeight="false" outlineLevel="0" collapsed="false">
      <c r="A3741" s="3" t="s">
        <v>564</v>
      </c>
      <c r="C3741" s="22" t="n">
        <f aca="false">IF(C3598=0,0,C3730/C3598)</f>
        <v>0</v>
      </c>
    </row>
    <row r="3742" customFormat="false" ht="15" hidden="false" customHeight="false" outlineLevel="0" collapsed="false">
      <c r="A3742" s="3" t="s">
        <v>565</v>
      </c>
      <c r="C3742" s="22" t="n">
        <f aca="false">IF(C3599=0,0,C3731/C3599)</f>
        <v>0</v>
      </c>
    </row>
    <row r="3743" customFormat="false" ht="15" hidden="false" customHeight="false" outlineLevel="0" collapsed="false">
      <c r="A3743" s="2" t="s">
        <v>579</v>
      </c>
      <c r="C3743" s="17" t="n">
        <f aca="false">MAX(0,$C$3588-SUM($C$3623:$C$3632)-SUM($C$3645:$C$3654))</f>
        <v>1163.864440506</v>
      </c>
    </row>
    <row r="3744" customFormat="false" ht="15" hidden="false" customHeight="false" outlineLevel="0" collapsed="false">
      <c r="A3744" s="3" t="s">
        <v>580</v>
      </c>
      <c r="C3744" s="16" t="n">
        <f aca="false">SUM($C$3700:$C$3709)+C3743+C3587-C3586</f>
        <v>0</v>
      </c>
    </row>
    <row r="3746" customFormat="false" ht="15" hidden="false" customHeight="false" outlineLevel="0" collapsed="false">
      <c r="A3746" s="24" t="s">
        <v>583</v>
      </c>
      <c r="B3746" s="25"/>
      <c r="C3746" s="25"/>
      <c r="D3746" s="25"/>
      <c r="E3746" s="25"/>
      <c r="F3746" s="25"/>
      <c r="G3746" s="25"/>
      <c r="H3746" s="25"/>
      <c r="I3746" s="25"/>
      <c r="J3746" s="25"/>
      <c r="K3746" s="25"/>
    </row>
    <row r="3747" customFormat="false" ht="15" hidden="false" customHeight="false" outlineLevel="0" collapsed="false">
      <c r="A3747" s="3" t="s">
        <v>584</v>
      </c>
      <c r="C3747" s="27" t="n">
        <f aca="false">Assumptions!$C$34</f>
        <v>1</v>
      </c>
    </row>
    <row r="3748" customFormat="false" ht="15" hidden="false" customHeight="false" outlineLevel="0" collapsed="false">
      <c r="A3748" s="3" t="s">
        <v>585</v>
      </c>
      <c r="C3748" s="29" t="n">
        <f aca="false">Assumptions!$C$35</f>
        <v>100</v>
      </c>
    </row>
    <row r="3749" customFormat="false" ht="15" hidden="false" customHeight="false" outlineLevel="0" collapsed="false">
      <c r="A3749" s="3" t="s">
        <v>586</v>
      </c>
      <c r="C3749" s="40" t="n">
        <f aca="false">Assumptions!$C$36</f>
        <v>98</v>
      </c>
    </row>
    <row r="3750" customFormat="false" ht="15" hidden="false" customHeight="false" outlineLevel="0" collapsed="false">
      <c r="A3750" s="3" t="s">
        <v>587</v>
      </c>
      <c r="C3750" s="16" t="n">
        <f aca="false">C3748*C3749/100*(1+Assumptions!$C$37)</f>
        <v>98.49</v>
      </c>
    </row>
    <row r="3751" customFormat="false" ht="15" hidden="false" customHeight="false" outlineLevel="0" collapsed="false">
      <c r="A3751" s="3" t="s">
        <v>588</v>
      </c>
      <c r="C3751" s="27" t="n">
        <f aca="false">Assumptions!$C$38</f>
        <v>3</v>
      </c>
    </row>
    <row r="3752" customFormat="false" ht="15" hidden="false" customHeight="false" outlineLevel="0" collapsed="false">
      <c r="A3752" s="3" t="s">
        <v>589</v>
      </c>
      <c r="C3752" s="21" t="n">
        <f aca="false">IF(C3579=1,SUMPRODUCT($G$3515:$K$3515,$G$3289:$K$3289),0)</f>
        <v>0</v>
      </c>
    </row>
    <row r="3753" customFormat="false" ht="15" hidden="false" customHeight="false" outlineLevel="0" collapsed="false">
      <c r="A3753" s="3" t="s">
        <v>590</v>
      </c>
      <c r="C3753" s="22" t="n">
        <f aca="false">IFERROR(C3748/CHOOSE(C3747,SUMPRODUCT($G$3578:$K$3578,$G$3335:$K$3335),SUMPRODUCT($G$3578:$K$3578,$G$3348:$K$3348),SUMPRODUCT($G$3578:$K$3578,$G$3361:$K$3361),SUMPRODUCT($G$3578:$K$3578,$G$3374:$K$3374),SUMPRODUCT($G$3578:$K$3578,$G$3387:$K$3387),SUMPRODUCT($G$3578:$K$3578,$G$3400:$K$3400),SUMPRODUCT($G$3578:$K$3578,$G$3413:$K$3413),SUMPRODUCT($G$3578:$K$3578,$G$3426:$K$3426),SUMPRODUCT($G$3578:$K$3578,$G$3439:$K$3439),SUMPRODUCT($G$3578:$K$3578,$G$3452:$K$3452)),0)</f>
        <v>0.252525252525253</v>
      </c>
    </row>
    <row r="3754" customFormat="false" ht="15" hidden="false" customHeight="false" outlineLevel="0" collapsed="false">
      <c r="A3754" s="3" t="s">
        <v>591</v>
      </c>
      <c r="C3754" s="16" t="n">
        <f aca="false">CHOOSE(C3747,C3700,C3701,C3702,C3703,C3704,C3705,C3706,C3707,C3708,C3709)*C3753</f>
        <v>102.2875</v>
      </c>
    </row>
    <row r="3755" customFormat="false" ht="15" hidden="false" customHeight="false" outlineLevel="0" collapsed="false">
      <c r="A3755" s="3" t="s">
        <v>592</v>
      </c>
      <c r="C3755" s="22" t="n">
        <f aca="false">CHOOSE(C3747,C3711,C3712,C3713,C3714,C3715,C3716,C3717,C3718,C3719,C3720)</f>
        <v>1</v>
      </c>
    </row>
    <row r="3756" customFormat="false" ht="15" hidden="false" customHeight="false" outlineLevel="0" collapsed="false">
      <c r="A3756" s="3" t="s">
        <v>593</v>
      </c>
      <c r="C3756" s="21" t="n">
        <f aca="false">IF(C3579=1,C3752,C3751)</f>
        <v>3</v>
      </c>
    </row>
    <row r="3757" customFormat="false" ht="15" hidden="false" customHeight="false" outlineLevel="0" collapsed="false">
      <c r="A3757" s="3" t="s">
        <v>594</v>
      </c>
      <c r="C3757" s="35" t="n">
        <f aca="false">CHOOSE($C$3281,Assumptions!$C$91,Assumptions!$C$110,Assumptions!$C$129)</f>
        <v>100</v>
      </c>
    </row>
    <row r="3758" customFormat="false" ht="15" hidden="false" customHeight="false" outlineLevel="0" collapsed="false">
      <c r="A3758" s="3" t="s">
        <v>595</v>
      </c>
      <c r="C3758" s="16" t="n">
        <f aca="false">INDEX($G$3298:$K$3298,C3751)*CHOOSE($C$3281,Assumptions!$C$90,Assumptions!$C$109,Assumptions!$C$128)+MAX(0,INDEX($G$3512:$K$3512,C3751))</f>
        <v>3369.2242946436</v>
      </c>
    </row>
    <row r="3759" customFormat="false" ht="15" hidden="false" customHeight="false" outlineLevel="0" collapsed="false">
      <c r="A3759" s="24" t="s">
        <v>596</v>
      </c>
      <c r="B3759" s="25"/>
      <c r="C3759" s="25"/>
      <c r="D3759" s="25"/>
      <c r="E3759" s="25"/>
      <c r="F3759" s="25"/>
      <c r="G3759" s="25"/>
      <c r="H3759" s="25"/>
      <c r="I3759" s="25"/>
      <c r="J3759" s="25"/>
      <c r="K3759" s="25"/>
    </row>
    <row r="3760" customFormat="false" ht="15" hidden="false" customHeight="false" outlineLevel="0" collapsed="false">
      <c r="A3760" s="3" t="s">
        <v>556</v>
      </c>
      <c r="C3760" s="16" t="n">
        <f aca="false">INDEX($G$3335:$K$3335,C3751)</f>
        <v>388</v>
      </c>
    </row>
    <row r="3761" customFormat="false" ht="15" hidden="false" customHeight="false" outlineLevel="0" collapsed="false">
      <c r="A3761" s="3" t="s">
        <v>557</v>
      </c>
      <c r="C3761" s="16" t="n">
        <f aca="false">INDEX($G$3348:$K$3348,C3751)</f>
        <v>90</v>
      </c>
    </row>
    <row r="3762" customFormat="false" ht="15" hidden="false" customHeight="false" outlineLevel="0" collapsed="false">
      <c r="A3762" s="3" t="s">
        <v>558</v>
      </c>
      <c r="C3762" s="16" t="n">
        <f aca="false">INDEX($G$3361:$K$3361,C3751)</f>
        <v>57.324</v>
      </c>
    </row>
    <row r="3763" customFormat="false" ht="15" hidden="false" customHeight="false" outlineLevel="0" collapsed="false">
      <c r="A3763" s="3" t="s">
        <v>559</v>
      </c>
      <c r="C3763" s="16" t="n">
        <f aca="false">INDEX($G$3374:$K$3374,C3751)</f>
        <v>66.796942182056</v>
      </c>
    </row>
    <row r="3764" customFormat="false" ht="15" hidden="false" customHeight="false" outlineLevel="0" collapsed="false">
      <c r="A3764" s="3" t="s">
        <v>560</v>
      </c>
      <c r="C3764" s="16" t="n">
        <f aca="false">INDEX($G$3387:$K$3387,C3751)</f>
        <v>407.7221513738</v>
      </c>
    </row>
    <row r="3765" customFormat="false" ht="15" hidden="false" customHeight="false" outlineLevel="0" collapsed="false">
      <c r="A3765" s="3" t="s">
        <v>561</v>
      </c>
      <c r="C3765" s="16" t="n">
        <f aca="false">INDEX($G$3400:$K$3400,C3751)</f>
        <v>350</v>
      </c>
    </row>
    <row r="3766" customFormat="false" ht="15" hidden="false" customHeight="false" outlineLevel="0" collapsed="false">
      <c r="A3766" s="3" t="s">
        <v>562</v>
      </c>
      <c r="C3766" s="16" t="n">
        <f aca="false">INDEX($G$3413:$K$3413,C3751)</f>
        <v>550</v>
      </c>
    </row>
    <row r="3767" customFormat="false" ht="15" hidden="false" customHeight="false" outlineLevel="0" collapsed="false">
      <c r="A3767" s="3" t="s">
        <v>563</v>
      </c>
      <c r="C3767" s="16" t="n">
        <f aca="false">INDEX($G$3426:$K$3426,C3751)</f>
        <v>350</v>
      </c>
    </row>
    <row r="3768" customFormat="false" ht="15" hidden="false" customHeight="false" outlineLevel="0" collapsed="false">
      <c r="A3768" s="3" t="s">
        <v>564</v>
      </c>
      <c r="C3768" s="16" t="n">
        <f aca="false">INDEX($G$3439:$K$3439,C3751)</f>
        <v>300</v>
      </c>
    </row>
    <row r="3769" customFormat="false" ht="15" hidden="false" customHeight="false" outlineLevel="0" collapsed="false">
      <c r="A3769" s="3" t="s">
        <v>565</v>
      </c>
      <c r="C3769" s="16" t="n">
        <f aca="false">INDEX($G$3452:$K$3452,C3751)</f>
        <v>78.61</v>
      </c>
    </row>
    <row r="3770" customFormat="false" ht="15" hidden="false" customHeight="false" outlineLevel="0" collapsed="false">
      <c r="A3770" s="24" t="s">
        <v>566</v>
      </c>
      <c r="B3770" s="25"/>
      <c r="C3770" s="25"/>
      <c r="D3770" s="25"/>
      <c r="E3770" s="25"/>
      <c r="F3770" s="25"/>
      <c r="G3770" s="25"/>
      <c r="H3770" s="25"/>
      <c r="I3770" s="25"/>
      <c r="J3770" s="25"/>
      <c r="K3770" s="25"/>
    </row>
    <row r="3771" customFormat="false" ht="15" hidden="false" customHeight="false" outlineLevel="0" collapsed="false">
      <c r="A3771" s="3" t="s">
        <v>556</v>
      </c>
      <c r="C3771" s="27" t="n">
        <f aca="false">Assumptions!$M$57</f>
        <v>1</v>
      </c>
    </row>
    <row r="3772" customFormat="false" ht="15" hidden="false" customHeight="false" outlineLevel="0" collapsed="false">
      <c r="A3772" s="3" t="s">
        <v>557</v>
      </c>
      <c r="C3772" s="27" t="n">
        <f aca="false">Assumptions!$M$58</f>
        <v>1</v>
      </c>
    </row>
    <row r="3773" customFormat="false" ht="15" hidden="false" customHeight="false" outlineLevel="0" collapsed="false">
      <c r="A3773" s="3" t="s">
        <v>558</v>
      </c>
      <c r="C3773" s="27" t="n">
        <f aca="false">Assumptions!$M$59</f>
        <v>1</v>
      </c>
    </row>
    <row r="3774" customFormat="false" ht="15" hidden="false" customHeight="false" outlineLevel="0" collapsed="false">
      <c r="A3774" s="3" t="s">
        <v>559</v>
      </c>
      <c r="C3774" s="27" t="n">
        <f aca="false">Assumptions!$M$60</f>
        <v>2</v>
      </c>
    </row>
    <row r="3775" customFormat="false" ht="15" hidden="false" customHeight="false" outlineLevel="0" collapsed="false">
      <c r="A3775" s="3" t="s">
        <v>560</v>
      </c>
      <c r="C3775" s="27" t="n">
        <f aca="false">Assumptions!$M$61</f>
        <v>2</v>
      </c>
    </row>
    <row r="3776" customFormat="false" ht="15" hidden="false" customHeight="false" outlineLevel="0" collapsed="false">
      <c r="A3776" s="3" t="s">
        <v>561</v>
      </c>
      <c r="C3776" s="27" t="n">
        <f aca="false">Assumptions!$M$62</f>
        <v>2</v>
      </c>
    </row>
    <row r="3777" customFormat="false" ht="15" hidden="false" customHeight="false" outlineLevel="0" collapsed="false">
      <c r="A3777" s="3" t="s">
        <v>562</v>
      </c>
      <c r="C3777" s="27" t="n">
        <f aca="false">Assumptions!$M$63</f>
        <v>2</v>
      </c>
    </row>
    <row r="3778" customFormat="false" ht="15" hidden="false" customHeight="false" outlineLevel="0" collapsed="false">
      <c r="A3778" s="3" t="s">
        <v>563</v>
      </c>
      <c r="C3778" s="27" t="n">
        <f aca="false">Assumptions!$M$64</f>
        <v>2</v>
      </c>
    </row>
    <row r="3779" customFormat="false" ht="15" hidden="false" customHeight="false" outlineLevel="0" collapsed="false">
      <c r="A3779" s="3" t="s">
        <v>564</v>
      </c>
      <c r="C3779" s="27" t="n">
        <f aca="false">Assumptions!$M$65</f>
        <v>2</v>
      </c>
    </row>
    <row r="3780" customFormat="false" ht="15" hidden="false" customHeight="false" outlineLevel="0" collapsed="false">
      <c r="A3780" s="3" t="s">
        <v>565</v>
      </c>
      <c r="C3780" s="27" t="n">
        <f aca="false">Assumptions!$M$66</f>
        <v>3</v>
      </c>
    </row>
    <row r="3781" customFormat="false" ht="15" hidden="false" customHeight="false" outlineLevel="0" collapsed="false">
      <c r="A3781" s="24" t="s">
        <v>567</v>
      </c>
      <c r="B3781" s="25"/>
      <c r="C3781" s="25"/>
      <c r="D3781" s="25"/>
      <c r="E3781" s="25"/>
      <c r="F3781" s="25"/>
      <c r="G3781" s="25"/>
      <c r="H3781" s="25"/>
      <c r="I3781" s="25"/>
      <c r="J3781" s="25"/>
      <c r="K3781" s="25"/>
    </row>
    <row r="3782" customFormat="false" ht="15" hidden="false" customHeight="false" outlineLevel="0" collapsed="false">
      <c r="A3782" s="3" t="s">
        <v>556</v>
      </c>
      <c r="C3782" s="33" t="n">
        <f aca="false">Assumptions!$Q$57</f>
        <v>0.3</v>
      </c>
    </row>
    <row r="3783" customFormat="false" ht="15" hidden="false" customHeight="false" outlineLevel="0" collapsed="false">
      <c r="A3783" s="3" t="s">
        <v>557</v>
      </c>
      <c r="C3783" s="33" t="n">
        <f aca="false">Assumptions!$Q$58</f>
        <v>0.033</v>
      </c>
    </row>
    <row r="3784" customFormat="false" ht="15" hidden="false" customHeight="false" outlineLevel="0" collapsed="false">
      <c r="A3784" s="3" t="s">
        <v>558</v>
      </c>
      <c r="C3784" s="33" t="n">
        <f aca="false">Assumptions!$Q$59</f>
        <v>0.021</v>
      </c>
    </row>
    <row r="3785" customFormat="false" ht="15" hidden="false" customHeight="false" outlineLevel="0" collapsed="false">
      <c r="A3785" s="3" t="s">
        <v>559</v>
      </c>
      <c r="C3785" s="33" t="n">
        <f aca="false">Assumptions!$Q$60</f>
        <v>0</v>
      </c>
    </row>
    <row r="3786" customFormat="false" ht="15" hidden="false" customHeight="false" outlineLevel="0" collapsed="false">
      <c r="A3786" s="3" t="s">
        <v>560</v>
      </c>
      <c r="C3786" s="33" t="n">
        <f aca="false">Assumptions!$Q$61</f>
        <v>0</v>
      </c>
    </row>
    <row r="3787" customFormat="false" ht="15" hidden="false" customHeight="false" outlineLevel="0" collapsed="false">
      <c r="A3787" s="3" t="s">
        <v>561</v>
      </c>
      <c r="C3787" s="33" t="n">
        <f aca="false">Assumptions!$Q$62</f>
        <v>0</v>
      </c>
    </row>
    <row r="3788" customFormat="false" ht="15" hidden="false" customHeight="false" outlineLevel="0" collapsed="false">
      <c r="A3788" s="3" t="s">
        <v>562</v>
      </c>
      <c r="C3788" s="33" t="n">
        <f aca="false">Assumptions!$Q$63</f>
        <v>0</v>
      </c>
    </row>
    <row r="3789" customFormat="false" ht="15" hidden="false" customHeight="false" outlineLevel="0" collapsed="false">
      <c r="A3789" s="3" t="s">
        <v>563</v>
      </c>
      <c r="C3789" s="33" t="n">
        <f aca="false">Assumptions!$Q$64</f>
        <v>0</v>
      </c>
    </row>
    <row r="3790" customFormat="false" ht="15" hidden="false" customHeight="false" outlineLevel="0" collapsed="false">
      <c r="A3790" s="3" t="s">
        <v>564</v>
      </c>
      <c r="C3790" s="33" t="n">
        <f aca="false">Assumptions!$Q$65</f>
        <v>0</v>
      </c>
    </row>
    <row r="3791" customFormat="false" ht="15" hidden="false" customHeight="false" outlineLevel="0" collapsed="false">
      <c r="A3791" s="3" t="s">
        <v>565</v>
      </c>
      <c r="C3791" s="33" t="n">
        <f aca="false">Assumptions!$Q$66</f>
        <v>0</v>
      </c>
    </row>
    <row r="3792" customFormat="false" ht="15" hidden="false" customHeight="false" outlineLevel="0" collapsed="false">
      <c r="A3792" s="24" t="s">
        <v>568</v>
      </c>
      <c r="B3792" s="25"/>
      <c r="C3792" s="25"/>
      <c r="D3792" s="25"/>
      <c r="E3792" s="25"/>
      <c r="F3792" s="25"/>
      <c r="G3792" s="25"/>
      <c r="H3792" s="25"/>
      <c r="I3792" s="25"/>
      <c r="J3792" s="25"/>
      <c r="K3792" s="25"/>
    </row>
    <row r="3793" customFormat="false" ht="15" hidden="false" customHeight="false" outlineLevel="0" collapsed="false">
      <c r="A3793" s="3" t="s">
        <v>556</v>
      </c>
      <c r="C3793" s="16" t="n">
        <f aca="false">IF(C3782&gt;0,MIN(C3760,C3782*$C$3758),0)</f>
        <v>388</v>
      </c>
    </row>
    <row r="3794" customFormat="false" ht="15" hidden="false" customHeight="false" outlineLevel="0" collapsed="false">
      <c r="A3794" s="3" t="s">
        <v>557</v>
      </c>
      <c r="C3794" s="16" t="n">
        <f aca="false">IF(C3783&gt;0,MIN(C3761,C3783*$C$3758),0)</f>
        <v>90</v>
      </c>
    </row>
    <row r="3795" customFormat="false" ht="15" hidden="false" customHeight="false" outlineLevel="0" collapsed="false">
      <c r="A3795" s="3" t="s">
        <v>558</v>
      </c>
      <c r="C3795" s="16" t="n">
        <f aca="false">IF(C3784&gt;0,MIN(C3762,C3784*$C$3758),0)</f>
        <v>57.324</v>
      </c>
    </row>
    <row r="3796" customFormat="false" ht="15" hidden="false" customHeight="false" outlineLevel="0" collapsed="false">
      <c r="A3796" s="3" t="s">
        <v>559</v>
      </c>
      <c r="C3796" s="16" t="n">
        <f aca="false">IF(C3785&gt;0,MIN(C3763,C3785*$C$3758),0)</f>
        <v>0</v>
      </c>
    </row>
    <row r="3797" customFormat="false" ht="15" hidden="false" customHeight="false" outlineLevel="0" collapsed="false">
      <c r="A3797" s="3" t="s">
        <v>560</v>
      </c>
      <c r="C3797" s="16" t="n">
        <f aca="false">IF(C3786&gt;0,MIN(C3764,C3786*$C$3758),0)</f>
        <v>0</v>
      </c>
    </row>
    <row r="3798" customFormat="false" ht="15" hidden="false" customHeight="false" outlineLevel="0" collapsed="false">
      <c r="A3798" s="3" t="s">
        <v>561</v>
      </c>
      <c r="C3798" s="16" t="n">
        <f aca="false">IF(C3787&gt;0,MIN(C3765,C3787*$C$3758),0)</f>
        <v>0</v>
      </c>
    </row>
    <row r="3799" customFormat="false" ht="15" hidden="false" customHeight="false" outlineLevel="0" collapsed="false">
      <c r="A3799" s="3" t="s">
        <v>562</v>
      </c>
      <c r="C3799" s="16" t="n">
        <f aca="false">IF(C3788&gt;0,MIN(C3766,C3788*$C$3758),0)</f>
        <v>0</v>
      </c>
    </row>
    <row r="3800" customFormat="false" ht="15" hidden="false" customHeight="false" outlineLevel="0" collapsed="false">
      <c r="A3800" s="3" t="s">
        <v>563</v>
      </c>
      <c r="C3800" s="16" t="n">
        <f aca="false">IF(C3789&gt;0,MIN(C3767,C3789*$C$3758),0)</f>
        <v>0</v>
      </c>
    </row>
    <row r="3801" customFormat="false" ht="15" hidden="false" customHeight="false" outlineLevel="0" collapsed="false">
      <c r="A3801" s="3" t="s">
        <v>564</v>
      </c>
      <c r="C3801" s="16" t="n">
        <f aca="false">IF(C3790&gt;0,MIN(C3768,C3790*$C$3758),0)</f>
        <v>0</v>
      </c>
    </row>
    <row r="3802" customFormat="false" ht="15" hidden="false" customHeight="false" outlineLevel="0" collapsed="false">
      <c r="A3802" s="3" t="s">
        <v>565</v>
      </c>
      <c r="C3802" s="16" t="n">
        <f aca="false">IF(C3791&gt;0,MIN(C3769,C3791*$C$3758),0)</f>
        <v>0</v>
      </c>
    </row>
    <row r="3803" customFormat="false" ht="15" hidden="false" customHeight="false" outlineLevel="0" collapsed="false">
      <c r="A3803" s="24" t="s">
        <v>569</v>
      </c>
      <c r="B3803" s="25"/>
      <c r="C3803" s="25"/>
      <c r="D3803" s="25"/>
      <c r="E3803" s="25"/>
      <c r="F3803" s="25"/>
      <c r="G3803" s="25"/>
      <c r="H3803" s="25"/>
      <c r="I3803" s="25"/>
      <c r="J3803" s="25"/>
      <c r="K3803" s="25"/>
    </row>
    <row r="3804" customFormat="false" ht="15" hidden="false" customHeight="false" outlineLevel="0" collapsed="false">
      <c r="A3804" s="3" t="s">
        <v>556</v>
      </c>
      <c r="C3804" s="16" t="n">
        <f aca="false">IF(C3782&gt;0,C3760-C3793,0)</f>
        <v>0</v>
      </c>
    </row>
    <row r="3805" customFormat="false" ht="15" hidden="false" customHeight="false" outlineLevel="0" collapsed="false">
      <c r="A3805" s="3" t="s">
        <v>557</v>
      </c>
      <c r="C3805" s="16" t="n">
        <f aca="false">IF(C3783&gt;0,C3761-C3794,0)</f>
        <v>0</v>
      </c>
    </row>
    <row r="3806" customFormat="false" ht="15" hidden="false" customHeight="false" outlineLevel="0" collapsed="false">
      <c r="A3806" s="3" t="s">
        <v>558</v>
      </c>
      <c r="C3806" s="16" t="n">
        <f aca="false">IF(C3784&gt;0,C3762-C3795,0)</f>
        <v>0</v>
      </c>
    </row>
    <row r="3807" customFormat="false" ht="15" hidden="false" customHeight="false" outlineLevel="0" collapsed="false">
      <c r="A3807" s="3" t="s">
        <v>559</v>
      </c>
      <c r="C3807" s="16" t="n">
        <f aca="false">IF(C3785&gt;0,C3763-C3796,0)</f>
        <v>0</v>
      </c>
    </row>
    <row r="3808" customFormat="false" ht="15" hidden="false" customHeight="false" outlineLevel="0" collapsed="false">
      <c r="A3808" s="3" t="s">
        <v>560</v>
      </c>
      <c r="C3808" s="16" t="n">
        <f aca="false">IF(C3786&gt;0,C3764-C3797,0)</f>
        <v>0</v>
      </c>
    </row>
    <row r="3809" customFormat="false" ht="15" hidden="false" customHeight="false" outlineLevel="0" collapsed="false">
      <c r="A3809" s="3" t="s">
        <v>561</v>
      </c>
      <c r="C3809" s="16" t="n">
        <f aca="false">IF(C3787&gt;0,C3765-C3798,0)</f>
        <v>0</v>
      </c>
    </row>
    <row r="3810" customFormat="false" ht="15" hidden="false" customHeight="false" outlineLevel="0" collapsed="false">
      <c r="A3810" s="3" t="s">
        <v>562</v>
      </c>
      <c r="C3810" s="16" t="n">
        <f aca="false">IF(C3788&gt;0,C3766-C3799,0)</f>
        <v>0</v>
      </c>
    </row>
    <row r="3811" customFormat="false" ht="15" hidden="false" customHeight="false" outlineLevel="0" collapsed="false">
      <c r="A3811" s="3" t="s">
        <v>563</v>
      </c>
      <c r="C3811" s="16" t="n">
        <f aca="false">IF(C3789&gt;0,C3767-C3800,0)</f>
        <v>0</v>
      </c>
    </row>
    <row r="3812" customFormat="false" ht="15" hidden="false" customHeight="false" outlineLevel="0" collapsed="false">
      <c r="A3812" s="3" t="s">
        <v>564</v>
      </c>
      <c r="C3812" s="16" t="n">
        <f aca="false">IF(C3790&gt;0,C3768-C3801,0)</f>
        <v>0</v>
      </c>
    </row>
    <row r="3813" customFormat="false" ht="15" hidden="false" customHeight="false" outlineLevel="0" collapsed="false">
      <c r="A3813" s="3" t="s">
        <v>565</v>
      </c>
      <c r="C3813" s="16" t="n">
        <f aca="false">IF(C3791&gt;0,C3769-C3802,0)</f>
        <v>0</v>
      </c>
    </row>
    <row r="3814" customFormat="false" ht="15" hidden="false" customHeight="false" outlineLevel="0" collapsed="false">
      <c r="A3814" s="24" t="s">
        <v>570</v>
      </c>
      <c r="B3814" s="25"/>
      <c r="C3814" s="25"/>
      <c r="D3814" s="25"/>
      <c r="E3814" s="25"/>
      <c r="F3814" s="25"/>
      <c r="G3814" s="25"/>
      <c r="H3814" s="25"/>
      <c r="I3814" s="25"/>
      <c r="J3814" s="25"/>
      <c r="K3814" s="25"/>
    </row>
    <row r="3815" customFormat="false" ht="15" hidden="false" customHeight="false" outlineLevel="0" collapsed="false">
      <c r="A3815" s="3" t="s">
        <v>556</v>
      </c>
      <c r="C3815" s="16" t="n">
        <f aca="false">IF(C3782&gt;0,C3804,C3760)</f>
        <v>0</v>
      </c>
    </row>
    <row r="3816" customFormat="false" ht="15" hidden="false" customHeight="false" outlineLevel="0" collapsed="false">
      <c r="A3816" s="3" t="s">
        <v>557</v>
      </c>
      <c r="C3816" s="16" t="n">
        <f aca="false">IF(C3783&gt;0,C3805,C3761)</f>
        <v>0</v>
      </c>
    </row>
    <row r="3817" customFormat="false" ht="15" hidden="false" customHeight="false" outlineLevel="0" collapsed="false">
      <c r="A3817" s="3" t="s">
        <v>558</v>
      </c>
      <c r="C3817" s="16" t="n">
        <f aca="false">IF(C3784&gt;0,C3806,C3762)</f>
        <v>0</v>
      </c>
    </row>
    <row r="3818" customFormat="false" ht="15" hidden="false" customHeight="false" outlineLevel="0" collapsed="false">
      <c r="A3818" s="3" t="s">
        <v>559</v>
      </c>
      <c r="C3818" s="16" t="n">
        <f aca="false">IF(C3785&gt;0,C3807,C3763)</f>
        <v>66.796942182056</v>
      </c>
    </row>
    <row r="3819" customFormat="false" ht="15" hidden="false" customHeight="false" outlineLevel="0" collapsed="false">
      <c r="A3819" s="3" t="s">
        <v>560</v>
      </c>
      <c r="C3819" s="16" t="n">
        <f aca="false">IF(C3786&gt;0,C3808,C3764)</f>
        <v>407.7221513738</v>
      </c>
    </row>
    <row r="3820" customFormat="false" ht="15" hidden="false" customHeight="false" outlineLevel="0" collapsed="false">
      <c r="A3820" s="3" t="s">
        <v>561</v>
      </c>
      <c r="C3820" s="16" t="n">
        <f aca="false">IF(C3787&gt;0,C3809,C3765)</f>
        <v>350</v>
      </c>
    </row>
    <row r="3821" customFormat="false" ht="15" hidden="false" customHeight="false" outlineLevel="0" collapsed="false">
      <c r="A3821" s="3" t="s">
        <v>562</v>
      </c>
      <c r="C3821" s="16" t="n">
        <f aca="false">IF(C3788&gt;0,C3810,C3766)</f>
        <v>550</v>
      </c>
    </row>
    <row r="3822" customFormat="false" ht="15" hidden="false" customHeight="false" outlineLevel="0" collapsed="false">
      <c r="A3822" s="3" t="s">
        <v>563</v>
      </c>
      <c r="C3822" s="16" t="n">
        <f aca="false">IF(C3789&gt;0,C3811,C3767)</f>
        <v>350</v>
      </c>
    </row>
    <row r="3823" customFormat="false" ht="15" hidden="false" customHeight="false" outlineLevel="0" collapsed="false">
      <c r="A3823" s="3" t="s">
        <v>564</v>
      </c>
      <c r="C3823" s="16" t="n">
        <f aca="false">IF(C3790&gt;0,C3812,C3768)</f>
        <v>300</v>
      </c>
    </row>
    <row r="3824" customFormat="false" ht="15" hidden="false" customHeight="false" outlineLevel="0" collapsed="false">
      <c r="A3824" s="3" t="s">
        <v>565</v>
      </c>
      <c r="C3824" s="16" t="n">
        <f aca="false">IF(C3791&gt;0,C3813,C3769)</f>
        <v>78.61</v>
      </c>
    </row>
    <row r="3825" customFormat="false" ht="15" hidden="false" customHeight="false" outlineLevel="0" collapsed="false">
      <c r="A3825" s="24" t="s">
        <v>571</v>
      </c>
      <c r="B3825" s="25"/>
      <c r="C3825" s="25"/>
      <c r="D3825" s="25"/>
      <c r="E3825" s="25"/>
      <c r="F3825" s="25"/>
      <c r="G3825" s="25"/>
      <c r="H3825" s="25"/>
      <c r="I3825" s="25"/>
      <c r="J3825" s="25"/>
      <c r="K3825" s="25"/>
    </row>
    <row r="3826" customFormat="false" ht="15" hidden="false" customHeight="false" outlineLevel="0" collapsed="false">
      <c r="A3826" s="3" t="s">
        <v>556</v>
      </c>
      <c r="C3826" s="21" t="n">
        <f aca="false">IF(C3782&gt;0,Assumptions!$C$17,C3771)</f>
        <v>99</v>
      </c>
    </row>
    <row r="3827" customFormat="false" ht="15" hidden="false" customHeight="false" outlineLevel="0" collapsed="false">
      <c r="A3827" s="3" t="s">
        <v>557</v>
      </c>
      <c r="C3827" s="21" t="n">
        <f aca="false">IF(C3783&gt;0,Assumptions!$C$17,C3772)</f>
        <v>99</v>
      </c>
    </row>
    <row r="3828" customFormat="false" ht="15" hidden="false" customHeight="false" outlineLevel="0" collapsed="false">
      <c r="A3828" s="3" t="s">
        <v>558</v>
      </c>
      <c r="C3828" s="21" t="n">
        <f aca="false">IF(C3784&gt;0,Assumptions!$C$17,C3773)</f>
        <v>99</v>
      </c>
    </row>
    <row r="3829" customFormat="false" ht="15" hidden="false" customHeight="false" outlineLevel="0" collapsed="false">
      <c r="A3829" s="3" t="s">
        <v>559</v>
      </c>
      <c r="C3829" s="21" t="n">
        <f aca="false">IF(C3785&gt;0,Assumptions!$C$17,C3774)</f>
        <v>2</v>
      </c>
    </row>
    <row r="3830" customFormat="false" ht="15" hidden="false" customHeight="false" outlineLevel="0" collapsed="false">
      <c r="A3830" s="3" t="s">
        <v>560</v>
      </c>
      <c r="C3830" s="21" t="n">
        <f aca="false">IF(C3786&gt;0,Assumptions!$C$17,C3775)</f>
        <v>2</v>
      </c>
    </row>
    <row r="3831" customFormat="false" ht="15" hidden="false" customHeight="false" outlineLevel="0" collapsed="false">
      <c r="A3831" s="3" t="s">
        <v>561</v>
      </c>
      <c r="C3831" s="21" t="n">
        <f aca="false">IF(C3787&gt;0,Assumptions!$C$17,C3776)</f>
        <v>2</v>
      </c>
    </row>
    <row r="3832" customFormat="false" ht="15" hidden="false" customHeight="false" outlineLevel="0" collapsed="false">
      <c r="A3832" s="3" t="s">
        <v>562</v>
      </c>
      <c r="C3832" s="21" t="n">
        <f aca="false">IF(C3788&gt;0,Assumptions!$C$17,C3777)</f>
        <v>2</v>
      </c>
    </row>
    <row r="3833" customFormat="false" ht="15" hidden="false" customHeight="false" outlineLevel="0" collapsed="false">
      <c r="A3833" s="3" t="s">
        <v>563</v>
      </c>
      <c r="C3833" s="21" t="n">
        <f aca="false">IF(C3789&gt;0,Assumptions!$C$17,C3778)</f>
        <v>2</v>
      </c>
    </row>
    <row r="3834" customFormat="false" ht="15" hidden="false" customHeight="false" outlineLevel="0" collapsed="false">
      <c r="A3834" s="3" t="s">
        <v>564</v>
      </c>
      <c r="C3834" s="21" t="n">
        <f aca="false">IF(C3790&gt;0,Assumptions!$C$17,C3779)</f>
        <v>2</v>
      </c>
    </row>
    <row r="3835" customFormat="false" ht="15" hidden="false" customHeight="false" outlineLevel="0" collapsed="false">
      <c r="A3835" s="3" t="s">
        <v>565</v>
      </c>
      <c r="C3835" s="21" t="n">
        <f aca="false">IF(C3791&gt;0,Assumptions!$C$17,C3780)</f>
        <v>3</v>
      </c>
    </row>
    <row r="3836" customFormat="false" ht="15" hidden="false" customHeight="false" outlineLevel="0" collapsed="false">
      <c r="A3836" s="24" t="s">
        <v>572</v>
      </c>
      <c r="B3836" s="25"/>
      <c r="C3836" s="25"/>
      <c r="D3836" s="25"/>
      <c r="E3836" s="25"/>
      <c r="F3836" s="25"/>
      <c r="G3836" s="25"/>
      <c r="H3836" s="25"/>
      <c r="I3836" s="25"/>
      <c r="J3836" s="25"/>
      <c r="K3836" s="25"/>
    </row>
    <row r="3837" customFormat="false" ht="15" hidden="false" customHeight="false" outlineLevel="0" collapsed="false">
      <c r="A3837" s="3" t="s">
        <v>556</v>
      </c>
      <c r="C3837" s="16" t="n">
        <f aca="false">SUMPRODUCT(($C$3826:$C$3835&lt;C3826)*$C$3815:$C$3824)</f>
        <v>2103.12909355586</v>
      </c>
    </row>
    <row r="3838" customFormat="false" ht="15" hidden="false" customHeight="false" outlineLevel="0" collapsed="false">
      <c r="A3838" s="3" t="s">
        <v>557</v>
      </c>
      <c r="C3838" s="16" t="n">
        <f aca="false">SUMPRODUCT(($C$3826:$C$3835&lt;C3827)*$C$3815:$C$3824)</f>
        <v>2103.12909355586</v>
      </c>
    </row>
    <row r="3839" customFormat="false" ht="15" hidden="false" customHeight="false" outlineLevel="0" collapsed="false">
      <c r="A3839" s="3" t="s">
        <v>558</v>
      </c>
      <c r="C3839" s="16" t="n">
        <f aca="false">SUMPRODUCT(($C$3826:$C$3835&lt;C3828)*$C$3815:$C$3824)</f>
        <v>2103.12909355586</v>
      </c>
    </row>
    <row r="3840" customFormat="false" ht="15" hidden="false" customHeight="false" outlineLevel="0" collapsed="false">
      <c r="A3840" s="3" t="s">
        <v>559</v>
      </c>
      <c r="C3840" s="16" t="n">
        <f aca="false">SUMPRODUCT(($C$3826:$C$3835&lt;C3829)*$C$3815:$C$3824)</f>
        <v>0</v>
      </c>
    </row>
    <row r="3841" customFormat="false" ht="15" hidden="false" customHeight="false" outlineLevel="0" collapsed="false">
      <c r="A3841" s="3" t="s">
        <v>560</v>
      </c>
      <c r="C3841" s="16" t="n">
        <f aca="false">SUMPRODUCT(($C$3826:$C$3835&lt;C3830)*$C$3815:$C$3824)</f>
        <v>0</v>
      </c>
    </row>
    <row r="3842" customFormat="false" ht="15" hidden="false" customHeight="false" outlineLevel="0" collapsed="false">
      <c r="A3842" s="3" t="s">
        <v>561</v>
      </c>
      <c r="C3842" s="16" t="n">
        <f aca="false">SUMPRODUCT(($C$3826:$C$3835&lt;C3831)*$C$3815:$C$3824)</f>
        <v>0</v>
      </c>
    </row>
    <row r="3843" customFormat="false" ht="15" hidden="false" customHeight="false" outlineLevel="0" collapsed="false">
      <c r="A3843" s="3" t="s">
        <v>562</v>
      </c>
      <c r="C3843" s="16" t="n">
        <f aca="false">SUMPRODUCT(($C$3826:$C$3835&lt;C3832)*$C$3815:$C$3824)</f>
        <v>0</v>
      </c>
    </row>
    <row r="3844" customFormat="false" ht="15" hidden="false" customHeight="false" outlineLevel="0" collapsed="false">
      <c r="A3844" s="3" t="s">
        <v>563</v>
      </c>
      <c r="C3844" s="16" t="n">
        <f aca="false">SUMPRODUCT(($C$3826:$C$3835&lt;C3833)*$C$3815:$C$3824)</f>
        <v>0</v>
      </c>
    </row>
    <row r="3845" customFormat="false" ht="15" hidden="false" customHeight="false" outlineLevel="0" collapsed="false">
      <c r="A3845" s="3" t="s">
        <v>564</v>
      </c>
      <c r="C3845" s="16" t="n">
        <f aca="false">SUMPRODUCT(($C$3826:$C$3835&lt;C3834)*$C$3815:$C$3824)</f>
        <v>0</v>
      </c>
    </row>
    <row r="3846" customFormat="false" ht="15" hidden="false" customHeight="false" outlineLevel="0" collapsed="false">
      <c r="A3846" s="3" t="s">
        <v>565</v>
      </c>
      <c r="C3846" s="16" t="n">
        <f aca="false">SUMPRODUCT(($C$3826:$C$3835&lt;C3835)*$C$3815:$C$3824)</f>
        <v>2024.51909355586</v>
      </c>
    </row>
    <row r="3847" customFormat="false" ht="15" hidden="false" customHeight="false" outlineLevel="0" collapsed="false">
      <c r="A3847" s="24" t="s">
        <v>573</v>
      </c>
      <c r="B3847" s="25"/>
      <c r="C3847" s="25"/>
      <c r="D3847" s="25"/>
      <c r="E3847" s="25"/>
      <c r="F3847" s="25"/>
      <c r="G3847" s="25"/>
      <c r="H3847" s="25"/>
      <c r="I3847" s="25"/>
      <c r="J3847" s="25"/>
      <c r="K3847" s="25"/>
    </row>
    <row r="3848" customFormat="false" ht="15" hidden="false" customHeight="false" outlineLevel="0" collapsed="false">
      <c r="A3848" s="3" t="s">
        <v>556</v>
      </c>
      <c r="C3848" s="16" t="n">
        <f aca="false">SUMPRODUCT(($C$3826:$C$3835=C3826)*$C$3815:$C$3824)</f>
        <v>0</v>
      </c>
    </row>
    <row r="3849" customFormat="false" ht="15" hidden="false" customHeight="false" outlineLevel="0" collapsed="false">
      <c r="A3849" s="3" t="s">
        <v>557</v>
      </c>
      <c r="C3849" s="16" t="n">
        <f aca="false">SUMPRODUCT(($C$3826:$C$3835=C3827)*$C$3815:$C$3824)</f>
        <v>0</v>
      </c>
    </row>
    <row r="3850" customFormat="false" ht="15" hidden="false" customHeight="false" outlineLevel="0" collapsed="false">
      <c r="A3850" s="3" t="s">
        <v>558</v>
      </c>
      <c r="C3850" s="16" t="n">
        <f aca="false">SUMPRODUCT(($C$3826:$C$3835=C3828)*$C$3815:$C$3824)</f>
        <v>0</v>
      </c>
    </row>
    <row r="3851" customFormat="false" ht="15" hidden="false" customHeight="false" outlineLevel="0" collapsed="false">
      <c r="A3851" s="3" t="s">
        <v>559</v>
      </c>
      <c r="C3851" s="16" t="n">
        <f aca="false">SUMPRODUCT(($C$3826:$C$3835=C3829)*$C$3815:$C$3824)</f>
        <v>2024.51909355586</v>
      </c>
    </row>
    <row r="3852" customFormat="false" ht="15" hidden="false" customHeight="false" outlineLevel="0" collapsed="false">
      <c r="A3852" s="3" t="s">
        <v>560</v>
      </c>
      <c r="C3852" s="16" t="n">
        <f aca="false">SUMPRODUCT(($C$3826:$C$3835=C3830)*$C$3815:$C$3824)</f>
        <v>2024.51909355586</v>
      </c>
    </row>
    <row r="3853" customFormat="false" ht="15" hidden="false" customHeight="false" outlineLevel="0" collapsed="false">
      <c r="A3853" s="3" t="s">
        <v>561</v>
      </c>
      <c r="C3853" s="16" t="n">
        <f aca="false">SUMPRODUCT(($C$3826:$C$3835=C3831)*$C$3815:$C$3824)</f>
        <v>2024.51909355586</v>
      </c>
    </row>
    <row r="3854" customFormat="false" ht="15" hidden="false" customHeight="false" outlineLevel="0" collapsed="false">
      <c r="A3854" s="3" t="s">
        <v>562</v>
      </c>
      <c r="C3854" s="16" t="n">
        <f aca="false">SUMPRODUCT(($C$3826:$C$3835=C3832)*$C$3815:$C$3824)</f>
        <v>2024.51909355586</v>
      </c>
    </row>
    <row r="3855" customFormat="false" ht="15" hidden="false" customHeight="false" outlineLevel="0" collapsed="false">
      <c r="A3855" s="3" t="s">
        <v>563</v>
      </c>
      <c r="C3855" s="16" t="n">
        <f aca="false">SUMPRODUCT(($C$3826:$C$3835=C3833)*$C$3815:$C$3824)</f>
        <v>2024.51909355586</v>
      </c>
    </row>
    <row r="3856" customFormat="false" ht="15" hidden="false" customHeight="false" outlineLevel="0" collapsed="false">
      <c r="A3856" s="3" t="s">
        <v>564</v>
      </c>
      <c r="C3856" s="16" t="n">
        <f aca="false">SUMPRODUCT(($C$3826:$C$3835=C3834)*$C$3815:$C$3824)</f>
        <v>2024.51909355586</v>
      </c>
    </row>
    <row r="3857" customFormat="false" ht="15" hidden="false" customHeight="false" outlineLevel="0" collapsed="false">
      <c r="A3857" s="3" t="s">
        <v>565</v>
      </c>
      <c r="C3857" s="16" t="n">
        <f aca="false">SUMPRODUCT(($C$3826:$C$3835=C3835)*$C$3815:$C$3824)</f>
        <v>78.61</v>
      </c>
    </row>
    <row r="3858" customFormat="false" ht="15" hidden="false" customHeight="false" outlineLevel="0" collapsed="false">
      <c r="A3858" s="24" t="s">
        <v>574</v>
      </c>
      <c r="B3858" s="25"/>
      <c r="C3858" s="25"/>
      <c r="D3858" s="25"/>
      <c r="E3858" s="25"/>
      <c r="F3858" s="25"/>
      <c r="G3858" s="25"/>
      <c r="H3858" s="25"/>
      <c r="I3858" s="25"/>
      <c r="J3858" s="25"/>
      <c r="K3858" s="25"/>
    </row>
    <row r="3859" customFormat="false" ht="15" hidden="false" customHeight="false" outlineLevel="0" collapsed="false">
      <c r="A3859" s="3" t="s">
        <v>556</v>
      </c>
      <c r="C3859" s="16" t="n">
        <f aca="false">IF(C3848=0,0,C3815/C3848*MAX(0,MIN(C3848,$C$3758-SUM($C$3793:$C$3802)-C3837)))</f>
        <v>0</v>
      </c>
    </row>
    <row r="3860" customFormat="false" ht="15" hidden="false" customHeight="false" outlineLevel="0" collapsed="false">
      <c r="A3860" s="3" t="s">
        <v>557</v>
      </c>
      <c r="C3860" s="16" t="n">
        <f aca="false">IF(C3849=0,0,C3816/C3849*MAX(0,MIN(C3849,$C$3758-SUM($C$3793:$C$3802)-C3838)))</f>
        <v>0</v>
      </c>
    </row>
    <row r="3861" customFormat="false" ht="15" hidden="false" customHeight="false" outlineLevel="0" collapsed="false">
      <c r="A3861" s="3" t="s">
        <v>558</v>
      </c>
      <c r="C3861" s="16" t="n">
        <f aca="false">IF(C3850=0,0,C3817/C3850*MAX(0,MIN(C3850,$C$3758-SUM($C$3793:$C$3802)-C3839)))</f>
        <v>0</v>
      </c>
    </row>
    <row r="3862" customFormat="false" ht="15" hidden="false" customHeight="false" outlineLevel="0" collapsed="false">
      <c r="A3862" s="3" t="s">
        <v>559</v>
      </c>
      <c r="C3862" s="16" t="n">
        <f aca="false">IF(C3851=0,0,C3818/C3851*MAX(0,MIN(C3851,$C$3758-SUM($C$3793:$C$3802)-C3840)))</f>
        <v>66.796942182056</v>
      </c>
    </row>
    <row r="3863" customFormat="false" ht="15" hidden="false" customHeight="false" outlineLevel="0" collapsed="false">
      <c r="A3863" s="3" t="s">
        <v>560</v>
      </c>
      <c r="C3863" s="16" t="n">
        <f aca="false">IF(C3852=0,0,C3819/C3852*MAX(0,MIN(C3852,$C$3758-SUM($C$3793:$C$3802)-C3841)))</f>
        <v>407.7221513738</v>
      </c>
    </row>
    <row r="3864" customFormat="false" ht="15" hidden="false" customHeight="false" outlineLevel="0" collapsed="false">
      <c r="A3864" s="3" t="s">
        <v>561</v>
      </c>
      <c r="C3864" s="16" t="n">
        <f aca="false">IF(C3853=0,0,C3820/C3853*MAX(0,MIN(C3853,$C$3758-SUM($C$3793:$C$3802)-C3842)))</f>
        <v>350</v>
      </c>
    </row>
    <row r="3865" customFormat="false" ht="15" hidden="false" customHeight="false" outlineLevel="0" collapsed="false">
      <c r="A3865" s="3" t="s">
        <v>562</v>
      </c>
      <c r="C3865" s="16" t="n">
        <f aca="false">IF(C3854=0,0,C3821/C3854*MAX(0,MIN(C3854,$C$3758-SUM($C$3793:$C$3802)-C3843)))</f>
        <v>550</v>
      </c>
    </row>
    <row r="3866" customFormat="false" ht="15" hidden="false" customHeight="false" outlineLevel="0" collapsed="false">
      <c r="A3866" s="3" t="s">
        <v>563</v>
      </c>
      <c r="C3866" s="16" t="n">
        <f aca="false">IF(C3855=0,0,C3822/C3855*MAX(0,MIN(C3855,$C$3758-SUM($C$3793:$C$3802)-C3844)))</f>
        <v>350</v>
      </c>
    </row>
    <row r="3867" customFormat="false" ht="15" hidden="false" customHeight="false" outlineLevel="0" collapsed="false">
      <c r="A3867" s="3" t="s">
        <v>564</v>
      </c>
      <c r="C3867" s="16" t="n">
        <f aca="false">IF(C3856=0,0,C3823/C3856*MAX(0,MIN(C3856,$C$3758-SUM($C$3793:$C$3802)-C3845)))</f>
        <v>300</v>
      </c>
    </row>
    <row r="3868" customFormat="false" ht="15" hidden="false" customHeight="false" outlineLevel="0" collapsed="false">
      <c r="A3868" s="3" t="s">
        <v>565</v>
      </c>
      <c r="C3868" s="16" t="n">
        <f aca="false">IF(C3857=0,0,C3824/C3857*MAX(0,MIN(C3857,$C$3758-SUM($C$3793:$C$3802)-C3846)))</f>
        <v>78.61</v>
      </c>
    </row>
    <row r="3869" customFormat="false" ht="15" hidden="false" customHeight="false" outlineLevel="0" collapsed="false">
      <c r="A3869" s="24" t="s">
        <v>575</v>
      </c>
      <c r="B3869" s="25"/>
      <c r="C3869" s="25"/>
      <c r="D3869" s="25"/>
      <c r="E3869" s="25"/>
      <c r="F3869" s="25"/>
      <c r="G3869" s="25"/>
      <c r="H3869" s="25"/>
      <c r="I3869" s="25"/>
      <c r="J3869" s="25"/>
      <c r="K3869" s="25"/>
    </row>
    <row r="3870" customFormat="false" ht="15" hidden="false" customHeight="false" outlineLevel="0" collapsed="false">
      <c r="A3870" s="2" t="s">
        <v>556</v>
      </c>
      <c r="C3870" s="17" t="n">
        <f aca="false">C3793+C3859</f>
        <v>388</v>
      </c>
    </row>
    <row r="3871" customFormat="false" ht="15" hidden="false" customHeight="false" outlineLevel="0" collapsed="false">
      <c r="A3871" s="2" t="s">
        <v>557</v>
      </c>
      <c r="C3871" s="17" t="n">
        <f aca="false">C3794+C3860</f>
        <v>90</v>
      </c>
    </row>
    <row r="3872" customFormat="false" ht="15" hidden="false" customHeight="false" outlineLevel="0" collapsed="false">
      <c r="A3872" s="2" t="s">
        <v>558</v>
      </c>
      <c r="C3872" s="17" t="n">
        <f aca="false">C3795+C3861</f>
        <v>57.324</v>
      </c>
    </row>
    <row r="3873" customFormat="false" ht="15" hidden="false" customHeight="false" outlineLevel="0" collapsed="false">
      <c r="A3873" s="2" t="s">
        <v>559</v>
      </c>
      <c r="C3873" s="17" t="n">
        <f aca="false">C3796+C3862</f>
        <v>66.796942182056</v>
      </c>
    </row>
    <row r="3874" customFormat="false" ht="15" hidden="false" customHeight="false" outlineLevel="0" collapsed="false">
      <c r="A3874" s="2" t="s">
        <v>560</v>
      </c>
      <c r="C3874" s="17" t="n">
        <f aca="false">C3797+C3863</f>
        <v>407.7221513738</v>
      </c>
    </row>
    <row r="3875" customFormat="false" ht="15" hidden="false" customHeight="false" outlineLevel="0" collapsed="false">
      <c r="A3875" s="2" t="s">
        <v>561</v>
      </c>
      <c r="C3875" s="17" t="n">
        <f aca="false">C3798+C3864</f>
        <v>350</v>
      </c>
    </row>
    <row r="3876" customFormat="false" ht="15" hidden="false" customHeight="false" outlineLevel="0" collapsed="false">
      <c r="A3876" s="2" t="s">
        <v>562</v>
      </c>
      <c r="C3876" s="17" t="n">
        <f aca="false">C3799+C3865</f>
        <v>550</v>
      </c>
    </row>
    <row r="3877" customFormat="false" ht="15" hidden="false" customHeight="false" outlineLevel="0" collapsed="false">
      <c r="A3877" s="2" t="s">
        <v>563</v>
      </c>
      <c r="C3877" s="17" t="n">
        <f aca="false">C3800+C3866</f>
        <v>350</v>
      </c>
    </row>
    <row r="3878" customFormat="false" ht="15" hidden="false" customHeight="false" outlineLevel="0" collapsed="false">
      <c r="A3878" s="2" t="s">
        <v>564</v>
      </c>
      <c r="C3878" s="17" t="n">
        <f aca="false">C3801+C3867</f>
        <v>300</v>
      </c>
    </row>
    <row r="3879" customFormat="false" ht="15" hidden="false" customHeight="false" outlineLevel="0" collapsed="false">
      <c r="A3879" s="2" t="s">
        <v>565</v>
      </c>
      <c r="C3879" s="17" t="n">
        <f aca="false">C3802+C3868</f>
        <v>78.61</v>
      </c>
    </row>
    <row r="3880" customFormat="false" ht="15" hidden="false" customHeight="false" outlineLevel="0" collapsed="false">
      <c r="A3880" s="24" t="s">
        <v>576</v>
      </c>
      <c r="B3880" s="25"/>
      <c r="C3880" s="25"/>
      <c r="D3880" s="25"/>
      <c r="E3880" s="25"/>
      <c r="F3880" s="25"/>
      <c r="G3880" s="25"/>
      <c r="H3880" s="25"/>
      <c r="I3880" s="25"/>
      <c r="J3880" s="25"/>
      <c r="K3880" s="25"/>
    </row>
    <row r="3881" customFormat="false" ht="15" hidden="false" customHeight="false" outlineLevel="0" collapsed="false">
      <c r="A3881" s="3" t="s">
        <v>556</v>
      </c>
      <c r="C3881" s="22" t="n">
        <f aca="false">IF(C3760=0,1,C3870/C3760)</f>
        <v>1</v>
      </c>
    </row>
    <row r="3882" customFormat="false" ht="15" hidden="false" customHeight="false" outlineLevel="0" collapsed="false">
      <c r="A3882" s="3" t="s">
        <v>557</v>
      </c>
      <c r="C3882" s="22" t="n">
        <f aca="false">IF(C3761=0,1,C3871/C3761)</f>
        <v>1</v>
      </c>
    </row>
    <row r="3883" customFormat="false" ht="15" hidden="false" customHeight="false" outlineLevel="0" collapsed="false">
      <c r="A3883" s="3" t="s">
        <v>558</v>
      </c>
      <c r="C3883" s="22" t="n">
        <f aca="false">IF(C3762=0,1,C3872/C3762)</f>
        <v>1</v>
      </c>
    </row>
    <row r="3884" customFormat="false" ht="15" hidden="false" customHeight="false" outlineLevel="0" collapsed="false">
      <c r="A3884" s="3" t="s">
        <v>559</v>
      </c>
      <c r="C3884" s="22" t="n">
        <f aca="false">IF(C3763=0,1,C3873/C3763)</f>
        <v>1</v>
      </c>
    </row>
    <row r="3885" customFormat="false" ht="15" hidden="false" customHeight="false" outlineLevel="0" collapsed="false">
      <c r="A3885" s="3" t="s">
        <v>560</v>
      </c>
      <c r="C3885" s="22" t="n">
        <f aca="false">IF(C3764=0,1,C3874/C3764)</f>
        <v>1</v>
      </c>
    </row>
    <row r="3886" customFormat="false" ht="15" hidden="false" customHeight="false" outlineLevel="0" collapsed="false">
      <c r="A3886" s="3" t="s">
        <v>561</v>
      </c>
      <c r="C3886" s="22" t="n">
        <f aca="false">IF(C3765=0,1,C3875/C3765)</f>
        <v>1</v>
      </c>
    </row>
    <row r="3887" customFormat="false" ht="15" hidden="false" customHeight="false" outlineLevel="0" collapsed="false">
      <c r="A3887" s="3" t="s">
        <v>562</v>
      </c>
      <c r="C3887" s="22" t="n">
        <f aca="false">IF(C3766=0,1,C3876/C3766)</f>
        <v>1</v>
      </c>
    </row>
    <row r="3888" customFormat="false" ht="15" hidden="false" customHeight="false" outlineLevel="0" collapsed="false">
      <c r="A3888" s="3" t="s">
        <v>563</v>
      </c>
      <c r="C3888" s="22" t="n">
        <f aca="false">IF(C3767=0,1,C3877/C3767)</f>
        <v>1</v>
      </c>
    </row>
    <row r="3889" customFormat="false" ht="15" hidden="false" customHeight="false" outlineLevel="0" collapsed="false">
      <c r="A3889" s="3" t="s">
        <v>564</v>
      </c>
      <c r="C3889" s="22" t="n">
        <f aca="false">IF(C3768=0,1,C3878/C3768)</f>
        <v>1</v>
      </c>
    </row>
    <row r="3890" customFormat="false" ht="15" hidden="false" customHeight="false" outlineLevel="0" collapsed="false">
      <c r="A3890" s="3" t="s">
        <v>565</v>
      </c>
      <c r="C3890" s="22" t="n">
        <f aca="false">IF(C3769=0,1,C3879/C3769)</f>
        <v>1</v>
      </c>
    </row>
    <row r="3891" customFormat="false" ht="15" hidden="false" customHeight="false" outlineLevel="0" collapsed="false">
      <c r="A3891" s="24" t="s">
        <v>577</v>
      </c>
      <c r="B3891" s="25"/>
      <c r="C3891" s="25"/>
      <c r="D3891" s="25"/>
      <c r="E3891" s="25"/>
      <c r="F3891" s="25"/>
      <c r="G3891" s="25"/>
      <c r="H3891" s="25"/>
      <c r="I3891" s="25"/>
      <c r="J3891" s="25"/>
      <c r="K3891" s="25"/>
    </row>
    <row r="3892" customFormat="false" ht="15" hidden="false" customHeight="false" outlineLevel="0" collapsed="false">
      <c r="A3892" s="3" t="s">
        <v>556</v>
      </c>
      <c r="C3892" s="16" t="n">
        <f aca="false">C3760-C3870</f>
        <v>0</v>
      </c>
    </row>
    <row r="3893" customFormat="false" ht="15" hidden="false" customHeight="false" outlineLevel="0" collapsed="false">
      <c r="A3893" s="3" t="s">
        <v>557</v>
      </c>
      <c r="C3893" s="16" t="n">
        <f aca="false">C3761-C3871</f>
        <v>0</v>
      </c>
    </row>
    <row r="3894" customFormat="false" ht="15" hidden="false" customHeight="false" outlineLevel="0" collapsed="false">
      <c r="A3894" s="3" t="s">
        <v>558</v>
      </c>
      <c r="C3894" s="16" t="n">
        <f aca="false">C3762-C3872</f>
        <v>0</v>
      </c>
    </row>
    <row r="3895" customFormat="false" ht="15" hidden="false" customHeight="false" outlineLevel="0" collapsed="false">
      <c r="A3895" s="3" t="s">
        <v>559</v>
      </c>
      <c r="C3895" s="16" t="n">
        <f aca="false">C3763-C3873</f>
        <v>0</v>
      </c>
    </row>
    <row r="3896" customFormat="false" ht="15" hidden="false" customHeight="false" outlineLevel="0" collapsed="false">
      <c r="A3896" s="3" t="s">
        <v>560</v>
      </c>
      <c r="C3896" s="16" t="n">
        <f aca="false">C3764-C3874</f>
        <v>0</v>
      </c>
    </row>
    <row r="3897" customFormat="false" ht="15" hidden="false" customHeight="false" outlineLevel="0" collapsed="false">
      <c r="A3897" s="3" t="s">
        <v>561</v>
      </c>
      <c r="C3897" s="16" t="n">
        <f aca="false">C3765-C3875</f>
        <v>0</v>
      </c>
    </row>
    <row r="3898" customFormat="false" ht="15" hidden="false" customHeight="false" outlineLevel="0" collapsed="false">
      <c r="A3898" s="3" t="s">
        <v>562</v>
      </c>
      <c r="C3898" s="16" t="n">
        <f aca="false">C3766-C3876</f>
        <v>0</v>
      </c>
    </row>
    <row r="3899" customFormat="false" ht="15" hidden="false" customHeight="false" outlineLevel="0" collapsed="false">
      <c r="A3899" s="3" t="s">
        <v>563</v>
      </c>
      <c r="C3899" s="16" t="n">
        <f aca="false">C3767-C3877</f>
        <v>0</v>
      </c>
    </row>
    <row r="3900" customFormat="false" ht="15" hidden="false" customHeight="false" outlineLevel="0" collapsed="false">
      <c r="A3900" s="3" t="s">
        <v>564</v>
      </c>
      <c r="C3900" s="16" t="n">
        <f aca="false">C3768-C3878</f>
        <v>0</v>
      </c>
    </row>
    <row r="3901" customFormat="false" ht="15" hidden="false" customHeight="false" outlineLevel="0" collapsed="false">
      <c r="A3901" s="3" t="s">
        <v>565</v>
      </c>
      <c r="C3901" s="16" t="n">
        <f aca="false">C3769-C3879</f>
        <v>0</v>
      </c>
    </row>
    <row r="3902" customFormat="false" ht="15" hidden="false" customHeight="false" outlineLevel="0" collapsed="false">
      <c r="A3902" s="24" t="s">
        <v>578</v>
      </c>
      <c r="B3902" s="25"/>
      <c r="C3902" s="25"/>
      <c r="D3902" s="25"/>
      <c r="E3902" s="25"/>
      <c r="F3902" s="25"/>
      <c r="G3902" s="25"/>
      <c r="H3902" s="25"/>
      <c r="I3902" s="25"/>
      <c r="J3902" s="25"/>
      <c r="K3902" s="25"/>
    </row>
    <row r="3903" customFormat="false" ht="15" hidden="false" customHeight="false" outlineLevel="0" collapsed="false">
      <c r="A3903" s="3" t="s">
        <v>556</v>
      </c>
      <c r="C3903" s="22" t="n">
        <f aca="false">IF(C3760=0,0,C3892/C3760)</f>
        <v>0</v>
      </c>
    </row>
    <row r="3904" customFormat="false" ht="15" hidden="false" customHeight="false" outlineLevel="0" collapsed="false">
      <c r="A3904" s="3" t="s">
        <v>557</v>
      </c>
      <c r="C3904" s="22" t="n">
        <f aca="false">IF(C3761=0,0,C3893/C3761)</f>
        <v>0</v>
      </c>
    </row>
    <row r="3905" customFormat="false" ht="15" hidden="false" customHeight="false" outlineLevel="0" collapsed="false">
      <c r="A3905" s="3" t="s">
        <v>558</v>
      </c>
      <c r="C3905" s="22" t="n">
        <f aca="false">IF(C3762=0,0,C3894/C3762)</f>
        <v>0</v>
      </c>
    </row>
    <row r="3906" customFormat="false" ht="15" hidden="false" customHeight="false" outlineLevel="0" collapsed="false">
      <c r="A3906" s="3" t="s">
        <v>559</v>
      </c>
      <c r="C3906" s="22" t="n">
        <f aca="false">IF(C3763=0,0,C3895/C3763)</f>
        <v>0</v>
      </c>
    </row>
    <row r="3907" customFormat="false" ht="15" hidden="false" customHeight="false" outlineLevel="0" collapsed="false">
      <c r="A3907" s="3" t="s">
        <v>560</v>
      </c>
      <c r="C3907" s="22" t="n">
        <f aca="false">IF(C3764=0,0,C3896/C3764)</f>
        <v>0</v>
      </c>
    </row>
    <row r="3908" customFormat="false" ht="15" hidden="false" customHeight="false" outlineLevel="0" collapsed="false">
      <c r="A3908" s="3" t="s">
        <v>561</v>
      </c>
      <c r="C3908" s="22" t="n">
        <f aca="false">IF(C3765=0,0,C3897/C3765)</f>
        <v>0</v>
      </c>
    </row>
    <row r="3909" customFormat="false" ht="15" hidden="false" customHeight="false" outlineLevel="0" collapsed="false">
      <c r="A3909" s="3" t="s">
        <v>562</v>
      </c>
      <c r="C3909" s="22" t="n">
        <f aca="false">IF(C3766=0,0,C3898/C3766)</f>
        <v>0</v>
      </c>
    </row>
    <row r="3910" customFormat="false" ht="15" hidden="false" customHeight="false" outlineLevel="0" collapsed="false">
      <c r="A3910" s="3" t="s">
        <v>563</v>
      </c>
      <c r="C3910" s="22" t="n">
        <f aca="false">IF(C3767=0,0,C3899/C3767)</f>
        <v>0</v>
      </c>
    </row>
    <row r="3911" customFormat="false" ht="15" hidden="false" customHeight="false" outlineLevel="0" collapsed="false">
      <c r="A3911" s="3" t="s">
        <v>564</v>
      </c>
      <c r="C3911" s="22" t="n">
        <f aca="false">IF(C3768=0,0,C3900/C3768)</f>
        <v>0</v>
      </c>
    </row>
    <row r="3912" customFormat="false" ht="15" hidden="false" customHeight="false" outlineLevel="0" collapsed="false">
      <c r="A3912" s="3" t="s">
        <v>565</v>
      </c>
      <c r="C3912" s="22" t="n">
        <f aca="false">IF(C3769=0,0,C3901/C3769)</f>
        <v>0</v>
      </c>
    </row>
    <row r="3913" customFormat="false" ht="15" hidden="false" customHeight="false" outlineLevel="0" collapsed="false">
      <c r="A3913" s="2" t="s">
        <v>579</v>
      </c>
      <c r="C3913" s="17" t="n">
        <f aca="false">MAX(0,$C$3758-SUM($C$3793:$C$3802)-SUM($C$3815:$C$3824))</f>
        <v>730.771201087744</v>
      </c>
    </row>
    <row r="3914" customFormat="false" ht="15" hidden="false" customHeight="false" outlineLevel="0" collapsed="false">
      <c r="A3914" s="3" t="s">
        <v>597</v>
      </c>
      <c r="C3914" s="35" t="n">
        <f aca="false">MIN(C3757,100*CHOOSE(C3747,C3881,C3882,C3883,C3884,C3885,C3886,C3887,C3888,C3889,C3890))</f>
        <v>100</v>
      </c>
    </row>
    <row r="3915" customFormat="false" ht="15" hidden="false" customHeight="false" outlineLevel="0" collapsed="false">
      <c r="A3915" s="3" t="s">
        <v>598</v>
      </c>
      <c r="C3915" s="21" t="n">
        <f aca="false">IF(C3579=1,C3752+Assumptions!$C$40,C3751)</f>
        <v>3</v>
      </c>
    </row>
    <row r="3916" customFormat="false" ht="15" hidden="false" customHeight="false" outlineLevel="0" collapsed="false">
      <c r="A3916" s="24" t="s">
        <v>599</v>
      </c>
      <c r="B3916" s="25"/>
      <c r="C3916" s="25"/>
      <c r="D3916" s="25"/>
      <c r="E3916" s="25"/>
      <c r="F3916" s="25"/>
      <c r="G3916" s="25"/>
      <c r="H3916" s="25"/>
      <c r="I3916" s="25"/>
      <c r="J3916" s="25"/>
      <c r="K3916" s="25"/>
    </row>
    <row r="3917" customFormat="false" ht="15" hidden="false" customHeight="false" outlineLevel="0" collapsed="false">
      <c r="A3917" s="3" t="s">
        <v>600</v>
      </c>
      <c r="C3917" s="21" t="n">
        <f aca="false">COLUMN()-COLUMN($C$1)</f>
        <v>0</v>
      </c>
      <c r="D3917" s="21" t="n">
        <f aca="false">COLUMN()-COLUMN($C$1)</f>
        <v>1</v>
      </c>
      <c r="E3917" s="21" t="n">
        <f aca="false">COLUMN()-COLUMN($C$1)</f>
        <v>2</v>
      </c>
      <c r="F3917" s="21" t="n">
        <f aca="false">COLUMN()-COLUMN($C$1)</f>
        <v>3</v>
      </c>
      <c r="G3917" s="21" t="n">
        <f aca="false">COLUMN()-COLUMN($C$1)</f>
        <v>4</v>
      </c>
      <c r="H3917" s="21" t="n">
        <f aca="false">COLUMN()-COLUMN($C$1)</f>
        <v>5</v>
      </c>
      <c r="I3917" s="21" t="n">
        <f aca="false">COLUMN()-COLUMN($C$1)</f>
        <v>6</v>
      </c>
    </row>
    <row r="3918" customFormat="false" ht="15" hidden="false" customHeight="false" outlineLevel="0" collapsed="false">
      <c r="A3918" s="3" t="s">
        <v>601</v>
      </c>
      <c r="D3918" s="31" t="n">
        <f aca="false">CHOOSE($C$3747,G3327,G3340,G3353,G3366,G3379,G3392,G3405,G3418,G3431,G3444)</f>
        <v>0.0915</v>
      </c>
      <c r="E3918" s="31" t="n">
        <f aca="false">CHOOSE($C$3747,H3327,H3340,H3353,H3366,H3379,H3392,H3405,H3418,H3431,H3444)</f>
        <v>0.09</v>
      </c>
      <c r="F3918" s="31" t="n">
        <f aca="false">CHOOSE($C$3747,I3327,I3340,I3353,I3366,I3379,I3392,I3405,I3418,I3431,I3444)</f>
        <v>0.0875</v>
      </c>
      <c r="G3918" s="31" t="n">
        <f aca="false">CHOOSE($C$3747,J3327,J3340,J3353,J3366,J3379,J3392,J3405,J3418,J3431,J3444)</f>
        <v>0.0875</v>
      </c>
      <c r="H3918" s="31" t="n">
        <f aca="false">CHOOSE($C$3747,K3327,K3340,K3353,K3366,K3379,K3392,K3405,K3418,K3431,K3444)</f>
        <v>0.0875</v>
      </c>
    </row>
    <row r="3919" customFormat="false" ht="15" hidden="false" customHeight="false" outlineLevel="0" collapsed="false">
      <c r="A3919" s="3" t="s">
        <v>602</v>
      </c>
      <c r="D3919" s="16" t="n">
        <f aca="false">IF(D3917&lt;=$C$3756,$C$3748*D3918,0)</f>
        <v>9.15</v>
      </c>
      <c r="E3919" s="16" t="n">
        <f aca="false">IF(E3917&lt;=$C$3756,$C$3748*E3918,0)</f>
        <v>9</v>
      </c>
      <c r="F3919" s="16" t="n">
        <f aca="false">IF(F3917&lt;=$C$3756,$C$3748*F3918,0)</f>
        <v>8.75</v>
      </c>
      <c r="G3919" s="16" t="n">
        <f aca="false">IF(G3917&lt;=$C$3756,$C$3748*G3918,0)</f>
        <v>0</v>
      </c>
      <c r="H3919" s="16" t="n">
        <f aca="false">IF(H3917&lt;=$C$3756,$C$3748*H3918,0)</f>
        <v>0</v>
      </c>
    </row>
    <row r="3920" customFormat="false" ht="15" hidden="false" customHeight="false" outlineLevel="0" collapsed="false">
      <c r="A3920" s="3" t="s">
        <v>603</v>
      </c>
      <c r="D3920" s="16" t="n">
        <f aca="false">IF(AND($C$3579=0,D3917=$C$3751),$C$3748*$C$3914/100,0)+IF(AND($C$3579=1,D3917=$C$3915),$C$3754,0)</f>
        <v>0</v>
      </c>
      <c r="E3920" s="16" t="n">
        <f aca="false">IF(AND($C$3579=0,E3917=$C$3751),$C$3748*$C$3914/100,0)+IF(AND($C$3579=1,E3917=$C$3915),$C$3754,0)</f>
        <v>0</v>
      </c>
      <c r="F3920" s="16" t="n">
        <f aca="false">IF(AND($C$3579=0,F3917=$C$3751),$C$3748*$C$3914/100,0)+IF(AND($C$3579=1,F3917=$C$3915),$C$3754,0)</f>
        <v>100</v>
      </c>
      <c r="G3920" s="16" t="n">
        <f aca="false">IF(AND($C$3579=0,G3917=$C$3751),$C$3748*$C$3914/100,0)+IF(AND($C$3579=1,G3917=$C$3915),$C$3754,0)</f>
        <v>0</v>
      </c>
      <c r="H3920" s="16" t="n">
        <f aca="false">IF(AND($C$3579=0,H3917=$C$3751),$C$3748*$C$3914/100,0)+IF(AND($C$3579=1,H3917=$C$3915),$C$3754,0)</f>
        <v>0</v>
      </c>
      <c r="I3920" s="16" t="n">
        <f aca="false">IF(AND($C$3579=0,I3917=$C$3751),$C$3748*$C$3914/100,0)+IF(AND($C$3579=1,I3917=$C$3915),$C$3754,0)</f>
        <v>0</v>
      </c>
    </row>
    <row r="3921" customFormat="false" ht="15" hidden="false" customHeight="false" outlineLevel="0" collapsed="false">
      <c r="A3921" s="2" t="s">
        <v>604</v>
      </c>
      <c r="C3921" s="17" t="n">
        <f aca="false">-$C$3750</f>
        <v>-98.49</v>
      </c>
      <c r="D3921" s="17" t="n">
        <f aca="false">D3919+D3920</f>
        <v>9.15</v>
      </c>
      <c r="E3921" s="17" t="n">
        <f aca="false">E3919+E3920</f>
        <v>9</v>
      </c>
      <c r="F3921" s="17" t="n">
        <f aca="false">F3919+F3920</f>
        <v>108.75</v>
      </c>
      <c r="G3921" s="17" t="n">
        <f aca="false">G3919+G3920</f>
        <v>0</v>
      </c>
      <c r="H3921" s="17" t="n">
        <f aca="false">H3919+H3920</f>
        <v>0</v>
      </c>
      <c r="I3921" s="17" t="n">
        <f aca="false">I3919+I3920</f>
        <v>0</v>
      </c>
    </row>
    <row r="3922" customFormat="false" ht="15" hidden="false" customHeight="false" outlineLevel="0" collapsed="false">
      <c r="A3922" s="3" t="s">
        <v>605</v>
      </c>
      <c r="C3922" s="16" t="n">
        <f aca="false">SUM($C$3919:$I$3919)</f>
        <v>26.9</v>
      </c>
    </row>
    <row r="3923" customFormat="false" ht="15" hidden="false" customHeight="false" outlineLevel="0" collapsed="false">
      <c r="A3923" s="3" t="s">
        <v>606</v>
      </c>
      <c r="C3923" s="16" t="n">
        <f aca="false">SUM($C$3920:$I$3920)</f>
        <v>100</v>
      </c>
    </row>
    <row r="3924" customFormat="false" ht="15" hidden="false" customHeight="false" outlineLevel="0" collapsed="false">
      <c r="A3924" s="3" t="s">
        <v>607</v>
      </c>
      <c r="C3924" s="16" t="n">
        <f aca="false">C3922+C3923</f>
        <v>126.9</v>
      </c>
    </row>
    <row r="3925" customFormat="false" ht="15" hidden="false" customHeight="false" outlineLevel="0" collapsed="false">
      <c r="A3925" s="3" t="s">
        <v>608</v>
      </c>
      <c r="C3925" s="16" t="n">
        <f aca="false">C3923-C3748*C3749/100</f>
        <v>2</v>
      </c>
    </row>
    <row r="3926" customFormat="false" ht="15" hidden="false" customHeight="false" outlineLevel="0" collapsed="false">
      <c r="A3926" s="3" t="s">
        <v>609</v>
      </c>
      <c r="C3926" s="16" t="n">
        <f aca="false">C3924-C3750</f>
        <v>28.41</v>
      </c>
    </row>
    <row r="3927" customFormat="false" ht="15" hidden="false" customHeight="false" outlineLevel="0" collapsed="false">
      <c r="A3927" s="2" t="s">
        <v>484</v>
      </c>
      <c r="C3927" s="44" t="n">
        <f aca="false">C3924/C3750</f>
        <v>1.28845568077977</v>
      </c>
    </row>
    <row r="3928" customFormat="false" ht="15" hidden="false" customHeight="false" outlineLevel="0" collapsed="false">
      <c r="A3928" s="2" t="s">
        <v>483</v>
      </c>
      <c r="C3928" s="42" t="n">
        <f aca="false">IF(C3924&lt;=0,-1,IFERROR(IRR($C$3921:$I$3921,MAX(-0.9,C3927^(1/C3915)-1)),IRR($C$3921:$I$3921,0.1)))</f>
        <v>0.0958152816969216</v>
      </c>
    </row>
    <row r="3929" customFormat="false" ht="15" hidden="false" customHeight="false" outlineLevel="0" collapsed="false">
      <c r="A3929" s="3" t="s">
        <v>610</v>
      </c>
      <c r="C3929" s="32" t="n">
        <f aca="false">MAX($G$3523:$K$3523)</f>
        <v>9.99528975565569</v>
      </c>
    </row>
    <row r="3930" customFormat="false" ht="15" hidden="false" customHeight="false" outlineLevel="0" collapsed="false">
      <c r="A3930" s="3" t="s">
        <v>611</v>
      </c>
      <c r="C3930" s="32" t="n">
        <f aca="false">MIN($G$3524:$K$3524)</f>
        <v>1.34274565931266</v>
      </c>
    </row>
    <row r="3931" customFormat="false" ht="15" hidden="false" customHeight="false" outlineLevel="0" collapsed="false">
      <c r="A3931" s="3" t="s">
        <v>612</v>
      </c>
      <c r="C3931" s="16" t="n">
        <f aca="false">SUM($G$3311:$K$3311)</f>
        <v>-435.805435297248</v>
      </c>
    </row>
    <row r="3935" customFormat="false" ht="15" hidden="false" customHeight="false" outlineLevel="0" collapsed="false">
      <c r="A3935" s="9" t="s">
        <v>1136</v>
      </c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</row>
    <row r="3936" customFormat="false" ht="15" hidden="false" customHeight="false" outlineLevel="0" collapsed="false">
      <c r="A3936" s="3" t="s">
        <v>1126</v>
      </c>
      <c r="C3936" s="11" t="n">
        <v>1</v>
      </c>
    </row>
    <row r="3937" customFormat="false" ht="15" hidden="false" customHeight="false" outlineLevel="0" collapsed="false">
      <c r="A3937" s="3" t="s">
        <v>1127</v>
      </c>
      <c r="C3937" s="19" t="n">
        <v>0</v>
      </c>
    </row>
    <row r="3938" customFormat="false" ht="15" hidden="false" customHeight="false" outlineLevel="0" collapsed="false">
      <c r="A3938" s="3" t="s">
        <v>1128</v>
      </c>
      <c r="C3938" s="30" t="n">
        <f aca="false">Sensitivities!$A$33</f>
        <v>0.02</v>
      </c>
    </row>
    <row r="3939" customFormat="false" ht="15" hidden="false" customHeight="false" outlineLevel="0" collapsed="false">
      <c r="A3939" s="3" t="s">
        <v>1129</v>
      </c>
      <c r="C3939" s="19" t="n">
        <v>0</v>
      </c>
    </row>
    <row r="3940" customFormat="false" ht="15" hidden="false" customHeight="false" outlineLevel="0" collapsed="false">
      <c r="A3940" s="3" t="s">
        <v>1130</v>
      </c>
      <c r="C3940" s="15" t="n">
        <v>0</v>
      </c>
    </row>
    <row r="3942" customFormat="false" ht="15" hidden="false" customHeight="false" outlineLevel="0" collapsed="false">
      <c r="A3942" s="24" t="s">
        <v>301</v>
      </c>
      <c r="B3942" s="25"/>
      <c r="C3942" s="25"/>
      <c r="D3942" s="25"/>
      <c r="E3942" s="25"/>
      <c r="F3942" s="25"/>
      <c r="G3942" s="25"/>
      <c r="H3942" s="25"/>
      <c r="I3942" s="25"/>
      <c r="J3942" s="25"/>
      <c r="K3942" s="25"/>
    </row>
    <row r="3943" customFormat="false" ht="15" hidden="false" customHeight="false" outlineLevel="0" collapsed="false">
      <c r="A3943" s="3" t="s">
        <v>302</v>
      </c>
      <c r="F3943" s="27" t="n">
        <f aca="false">Assumptions!$C$6</f>
        <v>2026</v>
      </c>
      <c r="G3943" s="21" t="n">
        <f aca="false">F3943+1</f>
        <v>2027</v>
      </c>
      <c r="H3943" s="21" t="n">
        <f aca="false">G3943+1</f>
        <v>2028</v>
      </c>
      <c r="I3943" s="21" t="n">
        <f aca="false">H3943+1</f>
        <v>2029</v>
      </c>
      <c r="J3943" s="21" t="n">
        <f aca="false">I3943+1</f>
        <v>2030</v>
      </c>
      <c r="K3943" s="21" t="n">
        <f aca="false">J3943+1</f>
        <v>2031</v>
      </c>
    </row>
    <row r="3944" customFormat="false" ht="15" hidden="false" customHeight="false" outlineLevel="0" collapsed="false">
      <c r="A3944" s="3" t="s">
        <v>303</v>
      </c>
      <c r="G3944" s="21" t="n">
        <f aca="false">G3943-Assumptions!$C$6</f>
        <v>1</v>
      </c>
      <c r="H3944" s="21" t="n">
        <f aca="false">H3943-Assumptions!$C$6</f>
        <v>2</v>
      </c>
      <c r="I3944" s="21" t="n">
        <f aca="false">I3943-Assumptions!$C$6</f>
        <v>3</v>
      </c>
      <c r="J3944" s="21" t="n">
        <f aca="false">J3943-Assumptions!$C$6</f>
        <v>4</v>
      </c>
      <c r="K3944" s="21" t="n">
        <f aca="false">K3943-Assumptions!$C$6</f>
        <v>5</v>
      </c>
    </row>
    <row r="3945" customFormat="false" ht="15" hidden="false" customHeight="false" outlineLevel="0" collapsed="false">
      <c r="A3945" s="3" t="s">
        <v>180</v>
      </c>
      <c r="G3945" s="22" t="n">
        <f aca="false">CHOOSE($C$3936,Assumptions!$G$79,Assumptions!$G$98,Assumptions!$G$117)+$C$3937</f>
        <v>-0.03</v>
      </c>
      <c r="H3945" s="22" t="n">
        <f aca="false">CHOOSE($C$3936,Assumptions!$H$79,Assumptions!$H$98,Assumptions!$H$117)+$C$3937</f>
        <v>0.02</v>
      </c>
      <c r="I3945" s="22" t="n">
        <f aca="false">CHOOSE($C$3936,Assumptions!$I$79,Assumptions!$I$98,Assumptions!$I$117)+$C$3937</f>
        <v>0.02</v>
      </c>
      <c r="J3945" s="22" t="n">
        <f aca="false">CHOOSE($C$3936,Assumptions!$J$79,Assumptions!$J$98,Assumptions!$J$117)+$C$3937</f>
        <v>0.02</v>
      </c>
      <c r="K3945" s="22" t="n">
        <f aca="false">CHOOSE($C$3936,Assumptions!$K$79,Assumptions!$K$98,Assumptions!$K$117)+$C$3937</f>
        <v>0.02</v>
      </c>
    </row>
    <row r="3946" customFormat="false" ht="15" hidden="false" customHeight="false" outlineLevel="0" collapsed="false">
      <c r="A3946" s="3" t="s">
        <v>181</v>
      </c>
      <c r="G3946" s="22" t="n">
        <f aca="false">CHOOSE($C$3936,Assumptions!$G$80,Assumptions!$G$99,Assumptions!$G$118)</f>
        <v>0.603920660818678</v>
      </c>
      <c r="H3946" s="22" t="n">
        <f aca="false">CHOOSE($C$3936,Assumptions!$H$80,Assumptions!$H$99,Assumptions!$H$118)</f>
        <v>0.606920660818678</v>
      </c>
      <c r="I3946" s="22" t="n">
        <f aca="false">CHOOSE($C$3936,Assumptions!$I$80,Assumptions!$I$99,Assumptions!$I$118)</f>
        <v>0.609920660818678</v>
      </c>
      <c r="J3946" s="22" t="n">
        <f aca="false">CHOOSE($C$3936,Assumptions!$J$80,Assumptions!$J$99,Assumptions!$J$118)</f>
        <v>0.611920660818678</v>
      </c>
      <c r="K3946" s="22" t="n">
        <f aca="false">CHOOSE($C$3936,Assumptions!$K$80,Assumptions!$K$99,Assumptions!$K$118)</f>
        <v>0.613920660818678</v>
      </c>
    </row>
    <row r="3947" customFormat="false" ht="15" hidden="false" customHeight="false" outlineLevel="0" collapsed="false">
      <c r="A3947" s="3" t="s">
        <v>182</v>
      </c>
      <c r="G3947" s="22" t="n">
        <f aca="false">CHOOSE($C$3936,Assumptions!$G$81,Assumptions!$G$100,Assumptions!$G$119)+$C$3938</f>
        <v>0.55</v>
      </c>
      <c r="H3947" s="22" t="n">
        <f aca="false">CHOOSE($C$3936,Assumptions!$H$81,Assumptions!$H$100,Assumptions!$H$119)+$C$3938</f>
        <v>0.553</v>
      </c>
      <c r="I3947" s="22" t="n">
        <f aca="false">CHOOSE($C$3936,Assumptions!$I$81,Assumptions!$I$100,Assumptions!$I$119)+$C$3938</f>
        <v>0.556</v>
      </c>
      <c r="J3947" s="22" t="n">
        <f aca="false">CHOOSE($C$3936,Assumptions!$J$81,Assumptions!$J$100,Assumptions!$J$119)+$C$3938</f>
        <v>0.558</v>
      </c>
      <c r="K3947" s="22" t="n">
        <f aca="false">CHOOSE($C$3936,Assumptions!$K$81,Assumptions!$K$100,Assumptions!$K$119)+$C$3938</f>
        <v>0.56</v>
      </c>
    </row>
    <row r="3948" customFormat="false" ht="15" hidden="false" customHeight="false" outlineLevel="0" collapsed="false">
      <c r="A3948" s="24" t="s">
        <v>304</v>
      </c>
      <c r="B3948" s="25"/>
      <c r="C3948" s="25"/>
      <c r="D3948" s="25"/>
      <c r="E3948" s="25"/>
      <c r="F3948" s="25"/>
      <c r="G3948" s="25"/>
      <c r="H3948" s="25"/>
      <c r="I3948" s="25"/>
      <c r="J3948" s="25"/>
      <c r="K3948" s="25"/>
    </row>
    <row r="3949" customFormat="false" ht="15" hidden="false" customHeight="false" outlineLevel="0" collapsed="false">
      <c r="A3949" s="2" t="s">
        <v>275</v>
      </c>
      <c r="F3949" s="28" t="n">
        <f aca="false">'Historical Financials'!G25</f>
        <v>498.291</v>
      </c>
      <c r="G3949" s="17" t="n">
        <f aca="false">F3949*(1+G3945)</f>
        <v>483.34227</v>
      </c>
      <c r="H3949" s="17" t="n">
        <f aca="false">G3949*(1+H3945)</f>
        <v>493.0091154</v>
      </c>
      <c r="I3949" s="17" t="n">
        <f aca="false">H3949*(1+I3945)</f>
        <v>502.869297708</v>
      </c>
      <c r="J3949" s="17" t="n">
        <f aca="false">I3949*(1+J3945)</f>
        <v>512.92668366216</v>
      </c>
      <c r="K3949" s="17" t="n">
        <f aca="false">J3949*(1+K3945)</f>
        <v>523.185217335403</v>
      </c>
    </row>
    <row r="3950" customFormat="false" ht="15" hidden="false" customHeight="false" outlineLevel="0" collapsed="false">
      <c r="A3950" s="3" t="s">
        <v>276</v>
      </c>
      <c r="G3950" s="16" t="n">
        <f aca="false">G3949*(1-G3946)</f>
        <v>191.4418869</v>
      </c>
      <c r="H3950" s="16" t="n">
        <f aca="false">H3949*(1-H3946)</f>
        <v>193.7916972918</v>
      </c>
      <c r="I3950" s="16" t="n">
        <f aca="false">I3949*(1-I3946)</f>
        <v>196.158923344512</v>
      </c>
      <c r="J3950" s="16" t="n">
        <f aca="false">J3949*(1-J3946)</f>
        <v>199.056248444078</v>
      </c>
      <c r="K3950" s="16" t="n">
        <f aca="false">K3949*(1-K3946)</f>
        <v>201.991002978289</v>
      </c>
    </row>
    <row r="3951" customFormat="false" ht="15" hidden="false" customHeight="false" outlineLevel="0" collapsed="false">
      <c r="A3951" s="2" t="s">
        <v>277</v>
      </c>
      <c r="G3951" s="17" t="n">
        <f aca="false">G3949-G3950</f>
        <v>291.9003831</v>
      </c>
      <c r="H3951" s="17" t="n">
        <f aca="false">H3949-H3950</f>
        <v>299.2174181082</v>
      </c>
      <c r="I3951" s="17" t="n">
        <f aca="false">I3949-I3950</f>
        <v>306.710374363488</v>
      </c>
      <c r="J3951" s="17" t="n">
        <f aca="false">J3949-J3950</f>
        <v>313.870435218082</v>
      </c>
      <c r="K3951" s="17" t="n">
        <f aca="false">K3949-K3950</f>
        <v>321.194214357115</v>
      </c>
    </row>
    <row r="3952" customFormat="false" ht="15" hidden="false" customHeight="false" outlineLevel="0" collapsed="false">
      <c r="A3952" s="3" t="s">
        <v>305</v>
      </c>
      <c r="G3952" s="16" t="n">
        <f aca="false">G3951-G3953</f>
        <v>26.0621346</v>
      </c>
      <c r="H3952" s="16" t="n">
        <f aca="false">H3951-H3953</f>
        <v>26.583377292</v>
      </c>
      <c r="I3952" s="16" t="n">
        <f aca="false">I3951-I3953</f>
        <v>27.11504483784</v>
      </c>
      <c r="J3952" s="16" t="n">
        <f aca="false">J3951-J3953</f>
        <v>27.6573457345968</v>
      </c>
      <c r="K3952" s="16" t="n">
        <f aca="false">K3951-K3953</f>
        <v>28.2104926492888</v>
      </c>
    </row>
    <row r="3953" customFormat="false" ht="15" hidden="false" customHeight="false" outlineLevel="0" collapsed="false">
      <c r="A3953" s="2" t="s">
        <v>306</v>
      </c>
      <c r="G3953" s="17" t="n">
        <f aca="false">G3949*G3947</f>
        <v>265.8382485</v>
      </c>
      <c r="H3953" s="17" t="n">
        <f aca="false">H3949*H3947</f>
        <v>272.6340408162</v>
      </c>
      <c r="I3953" s="17" t="n">
        <f aca="false">I3949*I3947</f>
        <v>279.595329525648</v>
      </c>
      <c r="J3953" s="17" t="n">
        <f aca="false">J3949*J3947</f>
        <v>286.213089483485</v>
      </c>
      <c r="K3953" s="17" t="n">
        <f aca="false">K3949*K3947</f>
        <v>292.983721707826</v>
      </c>
    </row>
    <row r="3954" customFormat="false" ht="15" hidden="false" customHeight="false" outlineLevel="0" collapsed="false">
      <c r="A3954" s="3" t="s">
        <v>307</v>
      </c>
      <c r="G3954" s="16" t="n">
        <f aca="false">G3949*'Historical Financials'!G30/'Historical Financials'!G25</f>
        <v>179.73421</v>
      </c>
      <c r="H3954" s="16" t="n">
        <f aca="false">H3949*'Historical Financials'!G30/'Historical Financials'!G25</f>
        <v>183.3288942</v>
      </c>
      <c r="I3954" s="16" t="n">
        <f aca="false">I3949*'Historical Financials'!G30/'Historical Financials'!G25</f>
        <v>186.995472084</v>
      </c>
      <c r="J3954" s="16" t="n">
        <f aca="false">J3949*'Historical Financials'!G30/'Historical Financials'!G25</f>
        <v>190.73538152568</v>
      </c>
      <c r="K3954" s="16" t="n">
        <f aca="false">K3949*'Historical Financials'!G30/'Historical Financials'!G25</f>
        <v>194.550089156194</v>
      </c>
    </row>
    <row r="3955" customFormat="false" ht="15" hidden="false" customHeight="false" outlineLevel="0" collapsed="false">
      <c r="A3955" s="3" t="s">
        <v>308</v>
      </c>
      <c r="G3955" s="16" t="n">
        <f aca="false">G3949*'Historical Financials'!G31/'Historical Financials'!G25</f>
        <v>0</v>
      </c>
      <c r="H3955" s="16" t="n">
        <f aca="false">H3949*'Historical Financials'!G31/'Historical Financials'!G25</f>
        <v>0</v>
      </c>
      <c r="I3955" s="16" t="n">
        <f aca="false">I3949*'Historical Financials'!G31/'Historical Financials'!G25</f>
        <v>0</v>
      </c>
      <c r="J3955" s="16" t="n">
        <f aca="false">J3949*'Historical Financials'!G31/'Historical Financials'!G25</f>
        <v>0</v>
      </c>
      <c r="K3955" s="16" t="n">
        <f aca="false">K3949*'Historical Financials'!G31/'Historical Financials'!G25</f>
        <v>0</v>
      </c>
    </row>
    <row r="3956" customFormat="false" ht="15" hidden="false" customHeight="false" outlineLevel="0" collapsed="false">
      <c r="A3956" s="2" t="s">
        <v>309</v>
      </c>
      <c r="G3956" s="17" t="n">
        <f aca="false">G3953-G3954-G3955</f>
        <v>86.1040385</v>
      </c>
      <c r="H3956" s="17" t="n">
        <f aca="false">H3953-H3954-H3955</f>
        <v>89.3051466162001</v>
      </c>
      <c r="I3956" s="17" t="n">
        <f aca="false">I3953-I3954-I3955</f>
        <v>92.599857441648</v>
      </c>
      <c r="J3956" s="17" t="n">
        <f aca="false">J3953-J3954-J3955</f>
        <v>95.4777079578053</v>
      </c>
      <c r="K3956" s="17" t="n">
        <f aca="false">K3953-K3954-K3955</f>
        <v>98.4336325516322</v>
      </c>
    </row>
    <row r="3957" customFormat="false" ht="15" hidden="false" customHeight="false" outlineLevel="0" collapsed="false">
      <c r="A3957" s="3" t="s">
        <v>310</v>
      </c>
      <c r="G3957" s="16" t="n">
        <f aca="false">G3983+G3996+G4009+G4022+G4035+G4048+G4061+G4074+G4087+G4100</f>
        <v>180.2096854</v>
      </c>
      <c r="H3957" s="16" t="n">
        <f aca="false">H3983+H3996+H4009+H4022+H4035+H4048+H4061+H4074+H4087+H4100</f>
        <v>179.1317704</v>
      </c>
      <c r="I3957" s="16" t="n">
        <f aca="false">I3983+I3996+I4009+I4022+I4035+I4048+I4061+I4074+I4087+I4100</f>
        <v>189.825855293264</v>
      </c>
      <c r="J3957" s="16" t="n">
        <f aca="false">J3983+J3996+J4009+J4022+J4035+J4048+J4061+J4074+J4087+J4100</f>
        <v>189.077546814164</v>
      </c>
      <c r="K3957" s="16" t="n">
        <f aca="false">K3983+K3996+K4009+K4022+K4035+K4048+K4061+K4074+K4087+K4100</f>
        <v>206.8929678493</v>
      </c>
    </row>
    <row r="3958" customFormat="false" ht="15" hidden="false" customHeight="false" outlineLevel="0" collapsed="false">
      <c r="A3958" s="3" t="s">
        <v>311</v>
      </c>
      <c r="G3958" s="16" t="n">
        <f aca="false">G3984+G3997+G4010+G4023+G4036+G4049+G4062+G4075+G4088+G4101</f>
        <v>0</v>
      </c>
      <c r="H3958" s="16" t="n">
        <f aca="false">H3984+H3997+H4010+H4023+H4036+H4049+H4062+H4075+H4088+H4101</f>
        <v>0</v>
      </c>
      <c r="I3958" s="16" t="n">
        <f aca="false">I3984+I3997+I4010+I4023+I4036+I4049+I4062+I4075+I4088+I4101</f>
        <v>0</v>
      </c>
      <c r="J3958" s="16" t="n">
        <f aca="false">J3984+J3997+J4010+J4023+J4036+J4049+J4062+J4075+J4088+J4101</f>
        <v>0</v>
      </c>
      <c r="K3958" s="16" t="n">
        <f aca="false">K3984+K3997+K4010+K4023+K4036+K4049+K4062+K4075+K4088+K4101</f>
        <v>0</v>
      </c>
    </row>
    <row r="3959" customFormat="false" ht="15" hidden="false" customHeight="false" outlineLevel="0" collapsed="false">
      <c r="A3959" s="3" t="s">
        <v>283</v>
      </c>
      <c r="G3959" s="16" t="n">
        <f aca="false">G3957+G3958</f>
        <v>180.2096854</v>
      </c>
      <c r="H3959" s="16" t="n">
        <f aca="false">H3957+H3958</f>
        <v>179.1317704</v>
      </c>
      <c r="I3959" s="16" t="n">
        <f aca="false">I3957+I3958</f>
        <v>189.825855293264</v>
      </c>
      <c r="J3959" s="16" t="n">
        <f aca="false">J3957+J3958</f>
        <v>189.077546814164</v>
      </c>
      <c r="K3959" s="16" t="n">
        <f aca="false">K3957+K3958</f>
        <v>206.8929678493</v>
      </c>
    </row>
    <row r="3960" customFormat="false" ht="15" hidden="false" customHeight="false" outlineLevel="0" collapsed="false">
      <c r="A3960" s="2" t="s">
        <v>284</v>
      </c>
      <c r="G3960" s="17" t="n">
        <f aca="false">G3956-G3959</f>
        <v>-94.1056469</v>
      </c>
      <c r="H3960" s="17" t="n">
        <f aca="false">H3956-H3959</f>
        <v>-89.8266237837999</v>
      </c>
      <c r="I3960" s="17" t="n">
        <f aca="false">I3956-I3959</f>
        <v>-97.225997851616</v>
      </c>
      <c r="J3960" s="17" t="n">
        <f aca="false">J3956-J3959</f>
        <v>-93.5998388563592</v>
      </c>
      <c r="K3960" s="17" t="n">
        <f aca="false">K3956-K3959</f>
        <v>-108.459335297668</v>
      </c>
    </row>
    <row r="3961" customFormat="false" ht="15" hidden="false" customHeight="false" outlineLevel="0" collapsed="false">
      <c r="A3961" s="3" t="s">
        <v>312</v>
      </c>
      <c r="G3961" s="16" t="n">
        <f aca="false">MAX(0,G3960)*Assumptions!$C$9</f>
        <v>0</v>
      </c>
      <c r="H3961" s="16" t="n">
        <f aca="false">MAX(0,H3960)*Assumptions!$C$9</f>
        <v>0</v>
      </c>
      <c r="I3961" s="16" t="n">
        <f aca="false">MAX(0,I3960)*Assumptions!$C$9</f>
        <v>0</v>
      </c>
      <c r="J3961" s="16" t="n">
        <f aca="false">MAX(0,J3960)*Assumptions!$C$9</f>
        <v>0</v>
      </c>
      <c r="K3961" s="16" t="n">
        <f aca="false">MAX(0,K3960)*Assumptions!$C$9</f>
        <v>0</v>
      </c>
    </row>
    <row r="3962" customFormat="false" ht="15" hidden="false" customHeight="false" outlineLevel="0" collapsed="false">
      <c r="A3962" s="2" t="s">
        <v>313</v>
      </c>
      <c r="G3962" s="17" t="n">
        <f aca="false">G3960-G3961</f>
        <v>-94.1056469</v>
      </c>
      <c r="H3962" s="17" t="n">
        <f aca="false">H3960-H3961</f>
        <v>-89.8266237837999</v>
      </c>
      <c r="I3962" s="17" t="n">
        <f aca="false">I3960-I3961</f>
        <v>-97.225997851616</v>
      </c>
      <c r="J3962" s="17" t="n">
        <f aca="false">J3960-J3961</f>
        <v>-93.5998388563592</v>
      </c>
      <c r="K3962" s="17" t="n">
        <f aca="false">K3960-K3961</f>
        <v>-108.459335297668</v>
      </c>
    </row>
    <row r="3963" customFormat="false" ht="15" hidden="false" customHeight="false" outlineLevel="0" collapsed="false">
      <c r="A3963" s="24" t="s">
        <v>314</v>
      </c>
      <c r="B3963" s="25"/>
      <c r="C3963" s="25"/>
      <c r="D3963" s="25"/>
      <c r="E3963" s="25"/>
      <c r="F3963" s="25"/>
      <c r="G3963" s="25"/>
      <c r="H3963" s="25"/>
      <c r="I3963" s="25"/>
      <c r="J3963" s="25"/>
      <c r="K3963" s="25"/>
    </row>
    <row r="3964" customFormat="false" ht="15" hidden="false" customHeight="false" outlineLevel="0" collapsed="false">
      <c r="A3964" s="3" t="s">
        <v>184</v>
      </c>
      <c r="G3964" s="16" t="n">
        <f aca="false">G3949*CHOOSE($C$3936,Assumptions!$C$83,Assumptions!$C$102,Assumptions!$C$121)</f>
        <v>106.3352994</v>
      </c>
      <c r="H3964" s="16" t="n">
        <f aca="false">H3949*CHOOSE($C$3936,Assumptions!$C$83,Assumptions!$C$102,Assumptions!$C$121)</f>
        <v>108.462005388</v>
      </c>
      <c r="I3964" s="16" t="n">
        <f aca="false">I3949*CHOOSE($C$3936,Assumptions!$C$83,Assumptions!$C$102,Assumptions!$C$121)</f>
        <v>110.63124549576</v>
      </c>
      <c r="J3964" s="16" t="n">
        <f aca="false">J3949*CHOOSE($C$3936,Assumptions!$C$83,Assumptions!$C$102,Assumptions!$C$121)</f>
        <v>112.843870405675</v>
      </c>
      <c r="K3964" s="16" t="n">
        <f aca="false">K3949*CHOOSE($C$3936,Assumptions!$C$83,Assumptions!$C$102,Assumptions!$C$121)</f>
        <v>115.100747813789</v>
      </c>
    </row>
    <row r="3965" customFormat="false" ht="15" hidden="false" customHeight="false" outlineLevel="0" collapsed="false">
      <c r="A3965" s="3" t="s">
        <v>315</v>
      </c>
      <c r="G3965" s="16" t="n">
        <f aca="false">CHOOSE($C$3936,Assumptions!$C$84,Assumptions!$C$103,Assumptions!$C$122)*(G3949-F3949)+CHOOSE($C$3936,Assumptions!$C$85,Assumptions!$C$104,Assumptions!$C$123)*G3949</f>
        <v>53.1676497</v>
      </c>
      <c r="H3965" s="16" t="n">
        <f aca="false">CHOOSE($C$3936,Assumptions!$C$84,Assumptions!$C$103,Assumptions!$C$122)*(H3949-G3949)+CHOOSE($C$3936,Assumptions!$C$85,Assumptions!$C$104,Assumptions!$C$123)*H3949</f>
        <v>54.231002694</v>
      </c>
      <c r="I3965" s="16" t="n">
        <f aca="false">CHOOSE($C$3936,Assumptions!$C$84,Assumptions!$C$103,Assumptions!$C$122)*(I3949-H3949)+CHOOSE($C$3936,Assumptions!$C$85,Assumptions!$C$104,Assumptions!$C$123)*I3949</f>
        <v>55.31562274788</v>
      </c>
      <c r="J3965" s="16" t="n">
        <f aca="false">CHOOSE($C$3936,Assumptions!$C$84,Assumptions!$C$103,Assumptions!$C$122)*(J3949-I3949)+CHOOSE($C$3936,Assumptions!$C$85,Assumptions!$C$104,Assumptions!$C$123)*J3949</f>
        <v>56.4219352028376</v>
      </c>
      <c r="K3965" s="16" t="n">
        <f aca="false">CHOOSE($C$3936,Assumptions!$C$84,Assumptions!$C$103,Assumptions!$C$122)*(K3949-J3949)+CHOOSE($C$3936,Assumptions!$C$85,Assumptions!$C$104,Assumptions!$C$123)*K3949</f>
        <v>57.5503739068944</v>
      </c>
    </row>
    <row r="3966" customFormat="false" ht="15" hidden="false" customHeight="false" outlineLevel="0" collapsed="false">
      <c r="A3966" s="2" t="s">
        <v>316</v>
      </c>
      <c r="G3966" s="17" t="n">
        <f aca="false">G3962+G3954+G3955+G3958-G3964-G3965</f>
        <v>-73.874386</v>
      </c>
      <c r="H3966" s="17" t="n">
        <f aca="false">H3962+H3954+H3955+H3958-H3964-H3965</f>
        <v>-69.1907376657999</v>
      </c>
      <c r="I3966" s="17" t="n">
        <f aca="false">I3962+I3954+I3955+I3958-I3964-I3965</f>
        <v>-76.177394011256</v>
      </c>
      <c r="J3966" s="17" t="n">
        <f aca="false">J3962+J3954+J3955+J3958-J3964-J3965</f>
        <v>-72.130262939192</v>
      </c>
      <c r="K3966" s="17" t="n">
        <f aca="false">K3962+K3954+K3955+K3958-K3964-K3965</f>
        <v>-86.5603678621571</v>
      </c>
    </row>
    <row r="3968" customFormat="false" ht="15" hidden="false" customHeight="false" outlineLevel="0" collapsed="false">
      <c r="A3968" s="24" t="s">
        <v>318</v>
      </c>
      <c r="B3968" s="25"/>
      <c r="C3968" s="25"/>
      <c r="D3968" s="25"/>
      <c r="E3968" s="25"/>
      <c r="F3968" s="25"/>
      <c r="G3968" s="25"/>
      <c r="H3968" s="25"/>
      <c r="I3968" s="25"/>
      <c r="J3968" s="25"/>
      <c r="K3968" s="25"/>
    </row>
    <row r="3969" customFormat="false" ht="15" hidden="false" customHeight="false" outlineLevel="0" collapsed="false">
      <c r="A3969" s="3" t="s">
        <v>319</v>
      </c>
      <c r="G3969" s="30" t="n">
        <f aca="false">Assumptions!$G$53</f>
        <v>0.039</v>
      </c>
      <c r="H3969" s="30" t="n">
        <f aca="false">Assumptions!$H$53</f>
        <v>0.0375</v>
      </c>
      <c r="I3969" s="30" t="n">
        <f aca="false">Assumptions!$I$53</f>
        <v>0.035</v>
      </c>
      <c r="J3969" s="30" t="n">
        <f aca="false">Assumptions!$J$53</f>
        <v>0.035</v>
      </c>
      <c r="K3969" s="30" t="n">
        <f aca="false">Assumptions!$K$53</f>
        <v>0.035</v>
      </c>
    </row>
    <row r="3970" customFormat="false" ht="15" hidden="false" customHeight="false" outlineLevel="0" collapsed="false">
      <c r="A3970" s="3" t="s">
        <v>320</v>
      </c>
      <c r="C3970" s="31" t="n">
        <f aca="false">CHOOSE($C$3936,Assumptions!$C$86,Assumptions!$C$105,Assumptions!$C$124)+$C$3939</f>
        <v>0</v>
      </c>
    </row>
    <row r="3971" customFormat="false" ht="15" hidden="false" customHeight="false" outlineLevel="0" collapsed="false">
      <c r="A3971" s="3" t="s">
        <v>321</v>
      </c>
      <c r="C3971" s="31" t="n">
        <f aca="false">CHOOSE($C$3936,Assumptions!$C$87,Assumptions!$C$106,Assumptions!$C$125)</f>
        <v>0.08</v>
      </c>
    </row>
    <row r="3972" customFormat="false" ht="15" hidden="false" customHeight="false" outlineLevel="0" collapsed="false">
      <c r="A3972" s="3" t="s">
        <v>322</v>
      </c>
      <c r="C3972" s="32" t="n">
        <f aca="false">CHOOSE($C$3936,Assumptions!$C$88,Assumptions!$C$107,Assumptions!$C$126)</f>
        <v>11</v>
      </c>
    </row>
    <row r="3973" customFormat="false" ht="15" hidden="false" customHeight="false" outlineLevel="0" collapsed="false">
      <c r="A3973" s="3" t="s">
        <v>323</v>
      </c>
      <c r="C3973" s="32" t="n">
        <f aca="false">CHOOSE($C$3936,Assumptions!$C$89,Assumptions!$C$108,Assumptions!$C$127)</f>
        <v>1.2</v>
      </c>
    </row>
    <row r="3974" customFormat="false" ht="15" hidden="false" customHeight="false" outlineLevel="0" collapsed="false">
      <c r="A3974" s="3" t="s">
        <v>324</v>
      </c>
      <c r="G3974" s="16" t="n">
        <f aca="false">G3979+G3992+G4005+G4018+G4031+G4044+G4057+G4070+G4083+G4096</f>
        <v>2625.934</v>
      </c>
      <c r="H3974" s="16" t="n">
        <f aca="false">H3979+H3992+H4005+H4018+H4031+H4044+H4057+H4070+H4083+H4096</f>
        <v>2621.934</v>
      </c>
      <c r="I3974" s="16" t="n">
        <f aca="false">I3979+I3992+I4005+I4018+I4031+I4044+I4057+I4070+I4083+I4096</f>
        <v>2556.1291236658</v>
      </c>
      <c r="J3974" s="16" t="n">
        <f aca="false">J3979+J3992+J4005+J4018+J4031+J4044+J4057+J4070+J4083+J4096</f>
        <v>2607.30651767706</v>
      </c>
      <c r="K3974" s="16" t="n">
        <f aca="false">K3979+K3992+K4005+K4018+K4031+K4044+K4057+K4070+K4083+K4096</f>
        <v>2679.43678061625</v>
      </c>
    </row>
    <row r="3975" customFormat="false" ht="15" hidden="false" customHeight="false" outlineLevel="0" collapsed="false">
      <c r="A3975" s="3" t="s">
        <v>325</v>
      </c>
      <c r="G3975" s="16" t="n">
        <f aca="false">F4167</f>
        <v>37.87</v>
      </c>
      <c r="H3975" s="16" t="n">
        <f aca="false">G4167</f>
        <v>159.995614</v>
      </c>
      <c r="I3975" s="16" t="n">
        <f aca="false">H4167</f>
        <v>25</v>
      </c>
      <c r="J3975" s="16" t="n">
        <f aca="false">I4167</f>
        <v>0</v>
      </c>
      <c r="K3975" s="16" t="n">
        <f aca="false">J4167</f>
        <v>0</v>
      </c>
    </row>
    <row r="3976" customFormat="false" ht="15" hidden="false" customHeight="false" outlineLevel="0" collapsed="false">
      <c r="A3976" s="3" t="s">
        <v>326</v>
      </c>
      <c r="G3976" s="16" t="n">
        <f aca="false">G3979*IF(G3980=1,$C$3971,IF(Assumptions!$I$57=1,MAX(G3969,Assumptions!$G$57)+Assumptions!$F$57+$C$3970,Assumptions!$E$57))+G3992*IF(G3993=1,$C$3971,IF(Assumptions!$I$58=1,MAX(G3969,Assumptions!$G$58)+Assumptions!$F$58+$C$3970,Assumptions!$E$58))+G4005*IF(G4006=1,$C$3971,IF(Assumptions!$I$59=1,MAX(G3969,Assumptions!$G$59)+Assumptions!$F$59+$C$3970,Assumptions!$E$59))+G4018*IF(G4019=1,$C$3971,IF(Assumptions!$I$60=1,MAX(G3969,Assumptions!$G$60)+Assumptions!$F$60+$C$3970,Assumptions!$E$60))+G4031*IF(G4032=1,$C$3971,IF(Assumptions!$I$61=1,MAX(G3969,Assumptions!$G$61)+Assumptions!$F$61+$C$3970,Assumptions!$E$61))+G4044*IF(G4045=1,$C$3971,IF(Assumptions!$I$62=1,MAX(G3969,Assumptions!$G$62)+Assumptions!$F$62+$C$3970,Assumptions!$E$62))+G4057*IF(G4058=1,$C$3971,IF(Assumptions!$I$63=1,MAX(G3969,Assumptions!$G$63)+Assumptions!$F$63+$C$3970,Assumptions!$E$63))+G4070*IF(G4071=1,$C$3971,IF(Assumptions!$I$64=1,MAX(G3969,Assumptions!$G$64)+Assumptions!$F$64+$C$3970,Assumptions!$E$64))+G4083*IF(G4084=1,$C$3971,IF(Assumptions!$I$65=1,MAX(G3969,Assumptions!$G$65)+Assumptions!$F$65+$C$3970,Assumptions!$E$65))+G4096*IF(G4097=1,$C$3971,IF(Assumptions!$I$66=1,MAX(G3969,Assumptions!$G$66)+Assumptions!$F$66+$C$3970,Assumptions!$E$66))</f>
        <v>180.2096854</v>
      </c>
      <c r="H3976" s="16" t="n">
        <f aca="false">H3979*IF(OR(H3980=1,G4289=1),$C$3971,IF(Assumptions!$I$57=1,MAX(H3969,Assumptions!$G$57)+Assumptions!$F$57+$C$3970,Assumptions!$E$57))+H3992*IF(OR(H3993=1,G4290=1),$C$3971,IF(Assumptions!$I$58=1,MAX(H3969,Assumptions!$G$58)+Assumptions!$F$58+$C$3970,Assumptions!$E$58))+H4005*IF(OR(H4006=1,G4291=1),$C$3971,IF(Assumptions!$I$59=1,MAX(H3969,Assumptions!$G$59)+Assumptions!$F$59+$C$3970,Assumptions!$E$59))+H4018*IF(OR(H4019=1,G4292=1),$C$3971,IF(Assumptions!$I$60=1,MAX(H3969,Assumptions!$G$60)+Assumptions!$F$60+$C$3970,Assumptions!$E$60))+H4031*IF(OR(H4032=1,G4293=1),$C$3971,IF(Assumptions!$I$61=1,MAX(H3969,Assumptions!$G$61)+Assumptions!$F$61+$C$3970,Assumptions!$E$61))+H4044*IF(OR(H4045=1,G4294=1),$C$3971,IF(Assumptions!$I$62=1,MAX(H3969,Assumptions!$G$62)+Assumptions!$F$62+$C$3970,Assumptions!$E$62))+H4057*IF(OR(H4058=1,G4295=1),$C$3971,IF(Assumptions!$I$63=1,MAX(H3969,Assumptions!$G$63)+Assumptions!$F$63+$C$3970,Assumptions!$E$63))+H4070*IF(OR(H4071=1,G4296=1),$C$3971,IF(Assumptions!$I$64=1,MAX(H3969,Assumptions!$G$64)+Assumptions!$F$64+$C$3970,Assumptions!$E$64))+H4083*IF(OR(H4084=1,G4297=1),$C$3971,IF(Assumptions!$I$65=1,MAX(H3969,Assumptions!$G$65)+Assumptions!$F$65+$C$3970,Assumptions!$E$65))+H4096*IF(OR(H4097=1,G4298=1),$C$3971,IF(Assumptions!$I$66=1,MAX(H3969,Assumptions!$G$66)+Assumptions!$F$66+$C$3970,Assumptions!$E$66))</f>
        <v>196.3067704</v>
      </c>
      <c r="I3976" s="16" t="n">
        <f aca="false">I3979*IF(OR(I3980=1,H4289=1),$C$3971,IF(Assumptions!$I$57=1,MAX(I3969,Assumptions!$G$57)+Assumptions!$F$57+$C$3970,Assumptions!$E$57))+I3992*IF(OR(I3993=1,H4290=1),$C$3971,IF(Assumptions!$I$58=1,MAX(I3969,Assumptions!$G$58)+Assumptions!$F$58+$C$3970,Assumptions!$E$58))+I4005*IF(OR(I4006=1,H4291=1),$C$3971,IF(Assumptions!$I$59=1,MAX(I3969,Assumptions!$G$59)+Assumptions!$F$59+$C$3970,Assumptions!$E$59))+I4018*IF(OR(I4019=1,H4292=1),$C$3971,IF(Assumptions!$I$60=1,MAX(I3969,Assumptions!$G$60)+Assumptions!$F$60+$C$3970,Assumptions!$E$60))+I4031*IF(OR(I4032=1,H4293=1),$C$3971,IF(Assumptions!$I$61=1,MAX(I3969,Assumptions!$G$61)+Assumptions!$F$61+$C$3970,Assumptions!$E$61))+I4044*IF(OR(I4045=1,H4294=1),$C$3971,IF(Assumptions!$I$62=1,MAX(I3969,Assumptions!$G$62)+Assumptions!$F$62+$C$3970,Assumptions!$E$62))+I4057*IF(OR(I4058=1,H4295=1),$C$3971,IF(Assumptions!$I$63=1,MAX(I3969,Assumptions!$G$63)+Assumptions!$F$63+$C$3970,Assumptions!$E$63))+I4070*IF(OR(I4071=1,H4296=1),$C$3971,IF(Assumptions!$I$64=1,MAX(I3969,Assumptions!$G$64)+Assumptions!$F$64+$C$3970,Assumptions!$E$64))+I4083*IF(OR(I4084=1,H4297=1),$C$3971,IF(Assumptions!$I$65=1,MAX(I3969,Assumptions!$G$65)+Assumptions!$F$65+$C$3970,Assumptions!$E$65))+I4096*IF(OR(I4097=1,H4298=1),$C$3971,IF(Assumptions!$I$66=1,MAX(I3969,Assumptions!$G$66)+Assumptions!$F$66+$C$3970,Assumptions!$E$66))</f>
        <v>185.013355293264</v>
      </c>
      <c r="J3976" s="16" t="n">
        <f aca="false">J3979*IF(OR(J3980=1,I4289=1),$C$3971,IF(Assumptions!$I$57=1,MAX(J3969,Assumptions!$G$57)+Assumptions!$F$57+$C$3970,Assumptions!$E$57))+J3992*IF(OR(J3993=1,I4290=1),$C$3971,IF(Assumptions!$I$58=1,MAX(J3969,Assumptions!$G$58)+Assumptions!$F$58+$C$3970,Assumptions!$E$58))+J4005*IF(OR(J4006=1,I4291=1),$C$3971,IF(Assumptions!$I$59=1,MAX(J3969,Assumptions!$G$59)+Assumptions!$F$59+$C$3970,Assumptions!$E$59))+J4018*IF(OR(J4019=1,I4292=1),$C$3971,IF(Assumptions!$I$60=1,MAX(J3969,Assumptions!$G$60)+Assumptions!$F$60+$C$3970,Assumptions!$E$60))+J4031*IF(OR(J4032=1,I4293=1),$C$3971,IF(Assumptions!$I$61=1,MAX(J3969,Assumptions!$G$61)+Assumptions!$F$61+$C$3970,Assumptions!$E$61))+J4044*IF(OR(J4045=1,I4294=1),$C$3971,IF(Assumptions!$I$62=1,MAX(J3969,Assumptions!$G$62)+Assumptions!$F$62+$C$3970,Assumptions!$E$62))+J4057*IF(OR(J4058=1,I4295=1),$C$3971,IF(Assumptions!$I$63=1,MAX(J3969,Assumptions!$G$63)+Assumptions!$F$63+$C$3970,Assumptions!$E$63))+J4070*IF(OR(J4071=1,I4296=1),$C$3971,IF(Assumptions!$I$64=1,MAX(J3969,Assumptions!$G$64)+Assumptions!$F$64+$C$3970,Assumptions!$E$64))+J4083*IF(OR(J4084=1,I4297=1),$C$3971,IF(Assumptions!$I$65=1,MAX(J3969,Assumptions!$G$65)+Assumptions!$F$65+$C$3970,Assumptions!$E$65))+J4096*IF(OR(J4097=1,I4298=1),$C$3971,IF(Assumptions!$I$66=1,MAX(J3969,Assumptions!$G$66)+Assumptions!$F$66+$C$3970,Assumptions!$E$66))</f>
        <v>201.152546814164</v>
      </c>
      <c r="K3976" s="16" t="n">
        <f aca="false">K3979*IF(OR(K3980=1,J4289=1),$C$3971,IF(Assumptions!$I$57=1,MAX(K3969,Assumptions!$G$57)+Assumptions!$F$57+$C$3970,Assumptions!$E$57))+K3992*IF(OR(K3993=1,J4290=1),$C$3971,IF(Assumptions!$I$58=1,MAX(K3969,Assumptions!$G$58)+Assumptions!$F$58+$C$3970,Assumptions!$E$58))+K4005*IF(OR(K4006=1,J4291=1),$C$3971,IF(Assumptions!$I$59=1,MAX(K3969,Assumptions!$G$59)+Assumptions!$F$59+$C$3970,Assumptions!$E$59))+K4018*IF(OR(K4019=1,J4292=1),$C$3971,IF(Assumptions!$I$60=1,MAX(K3969,Assumptions!$G$60)+Assumptions!$F$60+$C$3970,Assumptions!$E$60))+K4031*IF(OR(K4032=1,J4293=1),$C$3971,IF(Assumptions!$I$61=1,MAX(K3969,Assumptions!$G$61)+Assumptions!$F$61+$C$3970,Assumptions!$E$61))+K4044*IF(OR(K4045=1,J4294=1),$C$3971,IF(Assumptions!$I$62=1,MAX(K3969,Assumptions!$G$62)+Assumptions!$F$62+$C$3970,Assumptions!$E$62))+K4057*IF(OR(K4058=1,J4295=1),$C$3971,IF(Assumptions!$I$63=1,MAX(K3969,Assumptions!$G$63)+Assumptions!$F$63+$C$3970,Assumptions!$E$63))+K4070*IF(OR(K4071=1,J4296=1),$C$3971,IF(Assumptions!$I$64=1,MAX(K3969,Assumptions!$G$64)+Assumptions!$F$64+$C$3970,Assumptions!$E$64))+K4083*IF(OR(K4084=1,J4297=1),$C$3971,IF(Assumptions!$I$65=1,MAX(K3969,Assumptions!$G$65)+Assumptions!$F$65+$C$3970,Assumptions!$E$65))+K4096*IF(OR(K4097=1,J4298=1),$C$3971,IF(Assumptions!$I$66=1,MAX(K3969,Assumptions!$G$66)+Assumptions!$F$66+$C$3970,Assumptions!$E$66))</f>
        <v>209.6379678493</v>
      </c>
    </row>
    <row r="3977" customFormat="false" ht="15" hidden="false" customHeight="false" outlineLevel="0" collapsed="false">
      <c r="A3977" s="3" t="s">
        <v>327</v>
      </c>
      <c r="G3977" s="21" t="n">
        <f aca="false">IF(G3953&lt;=0,0,IF(AND((G3974-G3975)/G3953&lt;=$C$3972,G3953/G3976&gt;=$C$3973),1,0))</f>
        <v>1</v>
      </c>
      <c r="H3977" s="21" t="n">
        <f aca="false">IF(H3953&lt;=0,0,IF(AND((H3974-H3975)/H3953&lt;=$C$3972,H3953/H3976&gt;=$C$3973),1,0))</f>
        <v>1</v>
      </c>
      <c r="I3977" s="21" t="n">
        <f aca="false">IF(I3953&lt;=0,0,IF(AND((I3974-I3975)/I3953&lt;=$C$3972,I3953/I3976&gt;=$C$3973),1,0))</f>
        <v>1</v>
      </c>
      <c r="J3977" s="21" t="n">
        <f aca="false">IF(J3953&lt;=0,0,IF(AND((J3974-J3975)/J3953&lt;=$C$3972,J3953/J3976&gt;=$C$3973),1,0))</f>
        <v>1</v>
      </c>
      <c r="K3977" s="21" t="n">
        <f aca="false">IF(K3953&lt;=0,0,IF(AND((K3974-K3975)/K3953&lt;=$C$3972,K3953/K3976&gt;=$C$3973),1,0))</f>
        <v>1</v>
      </c>
    </row>
    <row r="3978" customFormat="false" ht="15" hidden="false" customHeight="false" outlineLevel="0" collapsed="false">
      <c r="A3978" s="24" t="s">
        <v>328</v>
      </c>
      <c r="B3978" s="25"/>
      <c r="C3978" s="25"/>
      <c r="D3978" s="25"/>
      <c r="E3978" s="25"/>
      <c r="F3978" s="25"/>
      <c r="G3978" s="25"/>
      <c r="H3978" s="25"/>
      <c r="I3978" s="25"/>
      <c r="J3978" s="25"/>
      <c r="K3978" s="25"/>
    </row>
    <row r="3979" customFormat="false" ht="15" hidden="false" customHeight="false" outlineLevel="0" collapsed="false">
      <c r="A3979" s="3" t="s">
        <v>329</v>
      </c>
      <c r="G3979" s="16" t="n">
        <f aca="false">F3990</f>
        <v>400</v>
      </c>
      <c r="H3979" s="16" t="n">
        <f aca="false">G3990</f>
        <v>396</v>
      </c>
      <c r="I3979" s="16" t="n">
        <f aca="false">H3990</f>
        <v>392</v>
      </c>
      <c r="J3979" s="16" t="n">
        <f aca="false">I3990</f>
        <v>388</v>
      </c>
      <c r="K3979" s="16" t="n">
        <f aca="false">J3990</f>
        <v>384</v>
      </c>
    </row>
    <row r="3980" customFormat="false" ht="15" hidden="false" customHeight="false" outlineLevel="0" collapsed="false">
      <c r="A3980" s="3" t="s">
        <v>330</v>
      </c>
      <c r="G3980" s="21" t="n">
        <f aca="false">IF(G3943=Assumptions!$K$57,1,0)</f>
        <v>0</v>
      </c>
      <c r="H3980" s="21" t="n">
        <f aca="false">IF(H3943=Assumptions!$K$57,1,0)</f>
        <v>0</v>
      </c>
      <c r="I3980" s="21" t="n">
        <f aca="false">IF(I3943=Assumptions!$K$57,1,0)</f>
        <v>0</v>
      </c>
      <c r="J3980" s="21" t="n">
        <f aca="false">IF(J3943=Assumptions!$K$57,1,0)</f>
        <v>0</v>
      </c>
      <c r="K3980" s="21" t="n">
        <f aca="false">IF(K3943=Assumptions!$K$57,1,0)</f>
        <v>1</v>
      </c>
    </row>
    <row r="3982" customFormat="false" ht="15" hidden="false" customHeight="false" outlineLevel="0" collapsed="false">
      <c r="A3982" s="3" t="s">
        <v>331</v>
      </c>
      <c r="G3982" s="31" t="n">
        <f aca="false">IF(Assumptions!$I$57=1,MAX(G3969,Assumptions!$G$57)+Assumptions!$F$57+$C$3970,Assumptions!$E$57)</f>
        <v>0.0915</v>
      </c>
      <c r="H3982" s="31" t="n">
        <f aca="false">IF(G4289=1,$C$3971,IF(Assumptions!$I$57=1,MAX(H3969,Assumptions!$G$57)+Assumptions!$F$57+$C$3970,Assumptions!$E$57))</f>
        <v>0.09</v>
      </c>
      <c r="I3982" s="31" t="n">
        <f aca="false">IF(H4289=1,$C$3971,IF(Assumptions!$I$57=1,MAX(I3969,Assumptions!$G$57)+Assumptions!$F$57+$C$3970,Assumptions!$E$57))</f>
        <v>0.0875</v>
      </c>
      <c r="J3982" s="31" t="n">
        <f aca="false">IF(I4289=1,$C$3971,IF(Assumptions!$I$57=1,MAX(J3969,Assumptions!$G$57)+Assumptions!$F$57+$C$3970,Assumptions!$E$57))</f>
        <v>0.0875</v>
      </c>
      <c r="K3982" s="31" t="n">
        <f aca="false">IF(J4289=1,$C$3971,IF(Assumptions!$I$57=1,MAX(K3969,Assumptions!$G$57)+Assumptions!$F$57+$C$3970,Assumptions!$E$57))</f>
        <v>0.0875</v>
      </c>
    </row>
    <row r="3983" customFormat="false" ht="15" hidden="false" customHeight="false" outlineLevel="0" collapsed="false">
      <c r="A3983" s="3" t="s">
        <v>332</v>
      </c>
      <c r="G3983" s="16" t="n">
        <f aca="false">G3979*G3982</f>
        <v>36.6</v>
      </c>
      <c r="H3983" s="16" t="n">
        <f aca="false">H3979*H3982</f>
        <v>35.64</v>
      </c>
      <c r="I3983" s="16" t="n">
        <f aca="false">I3979*I3982</f>
        <v>34.3</v>
      </c>
      <c r="J3983" s="16" t="n">
        <f aca="false">J3979*J3982</f>
        <v>33.95</v>
      </c>
      <c r="K3983" s="16" t="n">
        <f aca="false">K3979*K3982</f>
        <v>33.6</v>
      </c>
    </row>
    <row r="3984" customFormat="false" ht="15" hidden="false" customHeight="false" outlineLevel="0" collapsed="false">
      <c r="A3984" s="3" t="s">
        <v>333</v>
      </c>
      <c r="G3984" s="16" t="n">
        <f aca="false">G3979*Assumptions!$H$57</f>
        <v>0</v>
      </c>
      <c r="H3984" s="16" t="n">
        <f aca="false">H3979*Assumptions!$H$57</f>
        <v>0</v>
      </c>
      <c r="I3984" s="16" t="n">
        <f aca="false">I3979*Assumptions!$H$57</f>
        <v>0</v>
      </c>
      <c r="J3984" s="16" t="n">
        <f aca="false">J3979*Assumptions!$H$57</f>
        <v>0</v>
      </c>
      <c r="K3984" s="16" t="n">
        <f aca="false">K3979*Assumptions!$H$57</f>
        <v>0</v>
      </c>
    </row>
    <row r="3985" customFormat="false" ht="15" hidden="false" customHeight="false" outlineLevel="0" collapsed="false">
      <c r="A3985" s="3" t="s">
        <v>334</v>
      </c>
      <c r="G3985" s="16" t="n">
        <f aca="false">MIN(G3979,Assumptions!$L$57*Assumptions!$C$57)</f>
        <v>4</v>
      </c>
      <c r="H3985" s="16" t="n">
        <f aca="false">MIN(H3979,Assumptions!$L$57*Assumptions!$C$57)</f>
        <v>4</v>
      </c>
      <c r="I3985" s="16" t="n">
        <f aca="false">MIN(I3979,Assumptions!$L$57*Assumptions!$C$57)</f>
        <v>4</v>
      </c>
      <c r="J3985" s="16" t="n">
        <f aca="false">MIN(J3979,Assumptions!$L$57*Assumptions!$C$57)</f>
        <v>4</v>
      </c>
      <c r="K3985" s="16" t="n">
        <f aca="false">MIN(K3979,Assumptions!$L$57*Assumptions!$C$57)</f>
        <v>4</v>
      </c>
    </row>
    <row r="3986" customFormat="false" ht="15" hidden="false" customHeight="false" outlineLevel="0" collapsed="false">
      <c r="A3986" s="3" t="s">
        <v>335</v>
      </c>
      <c r="G3986" s="16" t="n">
        <f aca="false">IF(AND(Assumptions!$P$57=1,G3943&lt;Assumptions!$K$57),MIN(MAX(0,-G4159),MAX(0,Assumptions!$D$57-G3979)),0)</f>
        <v>0</v>
      </c>
      <c r="H3986" s="16" t="n">
        <f aca="false">IF(AND(Assumptions!$P$57=1,OR(H3943&lt;Assumptions!$K$57,G4289=1)),MIN(MAX(0,-H4159),MAX(0,Assumptions!$D$57-H3979)),0)</f>
        <v>0</v>
      </c>
      <c r="I3986" s="16" t="n">
        <f aca="false">IF(AND(Assumptions!$P$57=1,OR(I3943&lt;Assumptions!$K$57,H4289=1)),MIN(MAX(0,-I4159),MAX(0,Assumptions!$D$57-I3979)),0)</f>
        <v>0</v>
      </c>
      <c r="J3986" s="16" t="n">
        <f aca="false">IF(AND(Assumptions!$P$57=1,OR(J3943&lt;Assumptions!$K$57,I4289=1)),MIN(MAX(0,-J4159),MAX(0,Assumptions!$D$57-J3979)),0)</f>
        <v>0</v>
      </c>
      <c r="K3986" s="16" t="n">
        <f aca="false">IF(AND(Assumptions!$P$57=1,OR(K3943&lt;Assumptions!$K$57,J4289=1)),MIN(MAX(0,-K4159),MAX(0,Assumptions!$D$57-K3979)),0)</f>
        <v>0</v>
      </c>
    </row>
    <row r="3987" customFormat="false" ht="15" hidden="false" customHeight="false" outlineLevel="0" collapsed="false">
      <c r="A3987" s="3" t="s">
        <v>336</v>
      </c>
      <c r="G3987" s="16" t="n">
        <f aca="false">G3980*MIN(G3979-G3985+G3984,MAX(0,G4161-Assumptions!$C$12*G3977))</f>
        <v>0</v>
      </c>
      <c r="H3987" s="16" t="n">
        <f aca="false">H3980*MIN(H3979-H3985+H3984,MAX(0,H4161-Assumptions!$C$12*H3977))</f>
        <v>0</v>
      </c>
      <c r="I3987" s="16" t="n">
        <f aca="false">I3980*MIN(I3979-I3985+I3984,MAX(0,I4161-Assumptions!$C$12*I3977))</f>
        <v>0</v>
      </c>
      <c r="J3987" s="16" t="n">
        <f aca="false">J3980*MIN(J3979-J3985+J3984,MAX(0,J4161-Assumptions!$C$12*J3977))</f>
        <v>0</v>
      </c>
      <c r="K3987" s="16" t="n">
        <f aca="false">K3980*MIN(K3979-K3985+K3984,MAX(0,K4161-Assumptions!$C$12*K3977))</f>
        <v>0</v>
      </c>
    </row>
    <row r="3988" customFormat="false" ht="15" hidden="false" customHeight="false" outlineLevel="0" collapsed="false">
      <c r="A3988" s="3" t="s">
        <v>337</v>
      </c>
      <c r="G3988" s="16" t="n">
        <f aca="false">Assumptions!$N$57*MIN(G3979+G3986+G3984-G3985-G3987,MAX(0,G4165))</f>
        <v>0</v>
      </c>
      <c r="H3988" s="16" t="n">
        <f aca="false">Assumptions!$N$57*MIN(H3979+H3986+H3984-H3985-H3987,MAX(0,H4165))</f>
        <v>0</v>
      </c>
      <c r="I3988" s="16" t="n">
        <f aca="false">Assumptions!$N$57*MIN(I3979+I3986+I3984-I3985-I3987,MAX(0,I4165))</f>
        <v>0</v>
      </c>
      <c r="J3988" s="16" t="n">
        <f aca="false">Assumptions!$N$57*MIN(J3979+J3986+J3984-J3985-J3987,MAX(0,J4165))</f>
        <v>0</v>
      </c>
      <c r="K3988" s="16" t="n">
        <f aca="false">Assumptions!$N$57*MIN(K3979+K3986+K3984-K3985-K3987,MAX(0,K4165))</f>
        <v>0</v>
      </c>
    </row>
    <row r="3989" customFormat="false" ht="15" hidden="false" customHeight="false" outlineLevel="0" collapsed="false">
      <c r="A3989" s="3" t="s">
        <v>338</v>
      </c>
      <c r="G3989" s="16" t="n">
        <f aca="false">G3980*(1-G3977)*(G3979-G3985+G3984-G3987)</f>
        <v>0</v>
      </c>
      <c r="H3989" s="16" t="n">
        <f aca="false">H3980*(1-H3977)*(H3979-H3985+H3984-H3987)</f>
        <v>0</v>
      </c>
      <c r="I3989" s="16" t="n">
        <f aca="false">I3980*(1-I3977)*(I3979-I3985+I3984-I3987)</f>
        <v>0</v>
      </c>
      <c r="J3989" s="16" t="n">
        <f aca="false">J3980*(1-J3977)*(J3979-J3985+J3984-J3987)</f>
        <v>0</v>
      </c>
      <c r="K3989" s="16" t="n">
        <f aca="false">K3980*(1-K3977)*(K3979-K3985+K3984-K3987)</f>
        <v>0</v>
      </c>
    </row>
    <row r="3990" customFormat="false" ht="15" hidden="false" customHeight="false" outlineLevel="0" collapsed="false">
      <c r="A3990" s="2" t="s">
        <v>339</v>
      </c>
      <c r="F3990" s="28" t="n">
        <f aca="false">Assumptions!$C$57</f>
        <v>400</v>
      </c>
      <c r="G3990" s="17" t="n">
        <f aca="false">G3979+G3986+G3984-G3985-G3987-G3988</f>
        <v>396</v>
      </c>
      <c r="H3990" s="17" t="n">
        <f aca="false">H3979+H3986+H3984-H3985-H3987-H3988</f>
        <v>392</v>
      </c>
      <c r="I3990" s="17" t="n">
        <f aca="false">I3979+I3986+I3984-I3985-I3987-I3988</f>
        <v>388</v>
      </c>
      <c r="J3990" s="17" t="n">
        <f aca="false">J3979+J3986+J3984-J3985-J3987-J3988</f>
        <v>384</v>
      </c>
      <c r="K3990" s="17" t="n">
        <f aca="false">K3979+K3986+K3984-K3985-K3987-K3988</f>
        <v>380</v>
      </c>
    </row>
    <row r="3991" customFormat="false" ht="15" hidden="false" customHeight="false" outlineLevel="0" collapsed="false">
      <c r="A3991" s="24" t="s">
        <v>340</v>
      </c>
      <c r="B3991" s="25"/>
      <c r="C3991" s="25"/>
      <c r="D3991" s="25"/>
      <c r="E3991" s="25"/>
      <c r="F3991" s="25"/>
      <c r="G3991" s="25"/>
      <c r="H3991" s="25"/>
      <c r="I3991" s="25"/>
      <c r="J3991" s="25"/>
      <c r="K3991" s="25"/>
    </row>
    <row r="3992" customFormat="false" ht="15" hidden="false" customHeight="false" outlineLevel="0" collapsed="false">
      <c r="A3992" s="3" t="s">
        <v>329</v>
      </c>
      <c r="G3992" s="16" t="n">
        <f aca="false">F4003</f>
        <v>90</v>
      </c>
      <c r="H3992" s="16" t="n">
        <f aca="false">G4003</f>
        <v>90</v>
      </c>
      <c r="I3992" s="16" t="n">
        <f aca="false">H4003</f>
        <v>90</v>
      </c>
      <c r="J3992" s="16" t="n">
        <f aca="false">I4003</f>
        <v>90</v>
      </c>
      <c r="K3992" s="16" t="n">
        <f aca="false">J4003</f>
        <v>90</v>
      </c>
    </row>
    <row r="3993" customFormat="false" ht="15" hidden="false" customHeight="false" outlineLevel="0" collapsed="false">
      <c r="A3993" s="3" t="s">
        <v>330</v>
      </c>
      <c r="G3993" s="21" t="n">
        <f aca="false">IF(G3943=Assumptions!$K$58,1,0)</f>
        <v>0</v>
      </c>
      <c r="H3993" s="21" t="n">
        <f aca="false">IF(H3943=Assumptions!$K$58,1,0)</f>
        <v>0</v>
      </c>
      <c r="I3993" s="21" t="n">
        <f aca="false">IF(I3943=Assumptions!$K$58,1,0)</f>
        <v>0</v>
      </c>
      <c r="J3993" s="21" t="n">
        <f aca="false">IF(J3943=Assumptions!$K$58,1,0)</f>
        <v>0</v>
      </c>
      <c r="K3993" s="21" t="n">
        <f aca="false">IF(K3943=Assumptions!$K$58,1,0)</f>
        <v>0</v>
      </c>
    </row>
    <row r="3995" customFormat="false" ht="15" hidden="false" customHeight="false" outlineLevel="0" collapsed="false">
      <c r="A3995" s="3" t="s">
        <v>331</v>
      </c>
      <c r="G3995" s="31" t="n">
        <f aca="false">IF(Assumptions!$I$58=1,MAX(G3969,Assumptions!$G$58)+Assumptions!$F$58+$C$3970,Assumptions!$E$58)</f>
        <v>0.0581</v>
      </c>
      <c r="H3995" s="31" t="n">
        <f aca="false">IF(G4290=1,$C$3971,IF(Assumptions!$I$58=1,MAX(H3969,Assumptions!$G$58)+Assumptions!$F$58+$C$3970,Assumptions!$E$58))</f>
        <v>0.0581</v>
      </c>
      <c r="I3995" s="31" t="n">
        <f aca="false">IF(H4290=1,$C$3971,IF(Assumptions!$I$58=1,MAX(I3969,Assumptions!$G$58)+Assumptions!$F$58+$C$3970,Assumptions!$E$58))</f>
        <v>0.0581</v>
      </c>
      <c r="J3995" s="31" t="n">
        <f aca="false">IF(I4290=1,$C$3971,IF(Assumptions!$I$58=1,MAX(J3969,Assumptions!$G$58)+Assumptions!$F$58+$C$3970,Assumptions!$E$58))</f>
        <v>0.0581</v>
      </c>
      <c r="K3995" s="31" t="n">
        <f aca="false">IF(J4290=1,$C$3971,IF(Assumptions!$I$58=1,MAX(K3969,Assumptions!$G$58)+Assumptions!$F$58+$C$3970,Assumptions!$E$58))</f>
        <v>0.0581</v>
      </c>
    </row>
    <row r="3996" customFormat="false" ht="15" hidden="false" customHeight="false" outlineLevel="0" collapsed="false">
      <c r="A3996" s="3" t="s">
        <v>332</v>
      </c>
      <c r="G3996" s="16" t="n">
        <f aca="false">G3992*G3995</f>
        <v>5.229</v>
      </c>
      <c r="H3996" s="16" t="n">
        <f aca="false">H3992*H3995</f>
        <v>5.229</v>
      </c>
      <c r="I3996" s="16" t="n">
        <f aca="false">I3992*I3995</f>
        <v>5.229</v>
      </c>
      <c r="J3996" s="16" t="n">
        <f aca="false">J3992*J3995</f>
        <v>5.229</v>
      </c>
      <c r="K3996" s="16" t="n">
        <f aca="false">K3992*K3995</f>
        <v>5.229</v>
      </c>
    </row>
    <row r="3997" customFormat="false" ht="15" hidden="false" customHeight="false" outlineLevel="0" collapsed="false">
      <c r="A3997" s="3" t="s">
        <v>333</v>
      </c>
      <c r="G3997" s="16" t="n">
        <f aca="false">G3992*Assumptions!$H$58</f>
        <v>0</v>
      </c>
      <c r="H3997" s="16" t="n">
        <f aca="false">H3992*Assumptions!$H$58</f>
        <v>0</v>
      </c>
      <c r="I3997" s="16" t="n">
        <f aca="false">I3992*Assumptions!$H$58</f>
        <v>0</v>
      </c>
      <c r="J3997" s="16" t="n">
        <f aca="false">J3992*Assumptions!$H$58</f>
        <v>0</v>
      </c>
      <c r="K3997" s="16" t="n">
        <f aca="false">K3992*Assumptions!$H$58</f>
        <v>0</v>
      </c>
    </row>
    <row r="3998" customFormat="false" ht="15" hidden="false" customHeight="false" outlineLevel="0" collapsed="false">
      <c r="A3998" s="3" t="s">
        <v>334</v>
      </c>
      <c r="G3998" s="16" t="n">
        <f aca="false">MIN(G3992,Assumptions!$L$58*Assumptions!$C$58)</f>
        <v>0</v>
      </c>
      <c r="H3998" s="16" t="n">
        <f aca="false">MIN(H3992,Assumptions!$L$58*Assumptions!$C$58)</f>
        <v>0</v>
      </c>
      <c r="I3998" s="16" t="n">
        <f aca="false">MIN(I3992,Assumptions!$L$58*Assumptions!$C$58)</f>
        <v>0</v>
      </c>
      <c r="J3998" s="16" t="n">
        <f aca="false">MIN(J3992,Assumptions!$L$58*Assumptions!$C$58)</f>
        <v>0</v>
      </c>
      <c r="K3998" s="16" t="n">
        <f aca="false">MIN(K3992,Assumptions!$L$58*Assumptions!$C$58)</f>
        <v>0</v>
      </c>
    </row>
    <row r="3999" customFormat="false" ht="15" hidden="false" customHeight="false" outlineLevel="0" collapsed="false">
      <c r="A3999" s="3" t="s">
        <v>335</v>
      </c>
      <c r="G3999" s="16" t="n">
        <f aca="false">IF(AND(Assumptions!$P$58=1,G3943&lt;Assumptions!$K$58),MIN(MAX(0,-G4159),MAX(0,Assumptions!$D$58-G3992)),0)</f>
        <v>0</v>
      </c>
      <c r="H3999" s="16" t="n">
        <f aca="false">IF(AND(Assumptions!$P$58=1,OR(H3943&lt;Assumptions!$K$58,G4290=1)),MIN(MAX(0,-H4159),MAX(0,Assumptions!$D$58-H3992)),0)</f>
        <v>0</v>
      </c>
      <c r="I3999" s="16" t="n">
        <f aca="false">IF(AND(Assumptions!$P$58=1,OR(I3943&lt;Assumptions!$K$58,H4290=1)),MIN(MAX(0,-I4159),MAX(0,Assumptions!$D$58-I3992)),0)</f>
        <v>0</v>
      </c>
      <c r="J3999" s="16" t="n">
        <f aca="false">IF(AND(Assumptions!$P$58=1,OR(J3943&lt;Assumptions!$K$58,I4290=1)),MIN(MAX(0,-J4159),MAX(0,Assumptions!$D$58-J3992)),0)</f>
        <v>0</v>
      </c>
      <c r="K3999" s="16" t="n">
        <f aca="false">IF(AND(Assumptions!$P$58=1,OR(K3943&lt;Assumptions!$K$58,J4290=1)),MIN(MAX(0,-K4159),MAX(0,Assumptions!$D$58-K3992)),0)</f>
        <v>0</v>
      </c>
    </row>
    <row r="4000" customFormat="false" ht="15" hidden="false" customHeight="false" outlineLevel="0" collapsed="false">
      <c r="A4000" s="3" t="s">
        <v>336</v>
      </c>
      <c r="G4000" s="16" t="n">
        <f aca="false">G3993*MIN(G3992-G3998+G3997,MAX(0,G4161-Assumptions!$C$12*G3977-G3987))</f>
        <v>0</v>
      </c>
      <c r="H4000" s="16" t="n">
        <f aca="false">H3993*MIN(H3992-H3998+H3997,MAX(0,H4161-Assumptions!$C$12*H3977-H3987))</f>
        <v>0</v>
      </c>
      <c r="I4000" s="16" t="n">
        <f aca="false">I3993*MIN(I3992-I3998+I3997,MAX(0,I4161-Assumptions!$C$12*I3977-I3987))</f>
        <v>0</v>
      </c>
      <c r="J4000" s="16" t="n">
        <f aca="false">J3993*MIN(J3992-J3998+J3997,MAX(0,J4161-Assumptions!$C$12*J3977-J3987))</f>
        <v>0</v>
      </c>
      <c r="K4000" s="16" t="n">
        <f aca="false">K3993*MIN(K3992-K3998+K3997,MAX(0,K4161-Assumptions!$C$12*K3977-K3987))</f>
        <v>0</v>
      </c>
    </row>
    <row r="4001" customFormat="false" ht="15" hidden="false" customHeight="false" outlineLevel="0" collapsed="false">
      <c r="A4001" s="3" t="s">
        <v>337</v>
      </c>
      <c r="G4001" s="16" t="n">
        <f aca="false">Assumptions!$N$58*MIN(G3992+G3999+G3997-G3998-G4000,MAX(0,G4165-G3988))</f>
        <v>0</v>
      </c>
      <c r="H4001" s="16" t="n">
        <f aca="false">Assumptions!$N$58*MIN(H3992+H3999+H3997-H3998-H4000,MAX(0,H4165-H3988))</f>
        <v>0</v>
      </c>
      <c r="I4001" s="16" t="n">
        <f aca="false">Assumptions!$N$58*MIN(I3992+I3999+I3997-I3998-I4000,MAX(0,I4165-I3988))</f>
        <v>0</v>
      </c>
      <c r="J4001" s="16" t="n">
        <f aca="false">Assumptions!$N$58*MIN(J3992+J3999+J3997-J3998-J4000,MAX(0,J4165-J3988))</f>
        <v>0</v>
      </c>
      <c r="K4001" s="16" t="n">
        <f aca="false">Assumptions!$N$58*MIN(K3992+K3999+K3997-K3998-K4000,MAX(0,K4165-K3988))</f>
        <v>0</v>
      </c>
    </row>
    <row r="4002" customFormat="false" ht="15" hidden="false" customHeight="false" outlineLevel="0" collapsed="false">
      <c r="A4002" s="3" t="s">
        <v>338</v>
      </c>
      <c r="G4002" s="16" t="n">
        <f aca="false">G3993*(1-G3977)*(G3992-G3998+G3997-G4000)</f>
        <v>0</v>
      </c>
      <c r="H4002" s="16" t="n">
        <f aca="false">H3993*(1-H3977)*(H3992-H3998+H3997-H4000)</f>
        <v>0</v>
      </c>
      <c r="I4002" s="16" t="n">
        <f aca="false">I3993*(1-I3977)*(I3992-I3998+I3997-I4000)</f>
        <v>0</v>
      </c>
      <c r="J4002" s="16" t="n">
        <f aca="false">J3993*(1-J3977)*(J3992-J3998+J3997-J4000)</f>
        <v>0</v>
      </c>
      <c r="K4002" s="16" t="n">
        <f aca="false">K3993*(1-K3977)*(K3992-K3998+K3997-K4000)</f>
        <v>0</v>
      </c>
    </row>
    <row r="4003" customFormat="false" ht="15" hidden="false" customHeight="false" outlineLevel="0" collapsed="false">
      <c r="A4003" s="2" t="s">
        <v>339</v>
      </c>
      <c r="F4003" s="28" t="n">
        <f aca="false">Assumptions!$C$58</f>
        <v>90</v>
      </c>
      <c r="G4003" s="17" t="n">
        <f aca="false">G3992+G3999+G3997-G3998-G4000-G4001</f>
        <v>90</v>
      </c>
      <c r="H4003" s="17" t="n">
        <f aca="false">H3992+H3999+H3997-H3998-H4000-H4001</f>
        <v>90</v>
      </c>
      <c r="I4003" s="17" t="n">
        <f aca="false">I3992+I3999+I3997-I3998-I4000-I4001</f>
        <v>90</v>
      </c>
      <c r="J4003" s="17" t="n">
        <f aca="false">J3992+J3999+J3997-J3998-J4000-J4001</f>
        <v>90</v>
      </c>
      <c r="K4003" s="17" t="n">
        <f aca="false">K3992+K3999+K3997-K3998-K4000-K4001</f>
        <v>90</v>
      </c>
    </row>
    <row r="4004" customFormat="false" ht="15" hidden="false" customHeight="false" outlineLevel="0" collapsed="false">
      <c r="A4004" s="24" t="s">
        <v>341</v>
      </c>
      <c r="B4004" s="25"/>
      <c r="C4004" s="25"/>
      <c r="D4004" s="25"/>
      <c r="E4004" s="25"/>
      <c r="F4004" s="25"/>
      <c r="G4004" s="25"/>
      <c r="H4004" s="25"/>
      <c r="I4004" s="25"/>
      <c r="J4004" s="25"/>
      <c r="K4004" s="25"/>
    </row>
    <row r="4005" customFormat="false" ht="15" hidden="false" customHeight="false" outlineLevel="0" collapsed="false">
      <c r="A4005" s="3" t="s">
        <v>329</v>
      </c>
      <c r="G4005" s="16" t="n">
        <f aca="false">F4016</f>
        <v>57.324</v>
      </c>
      <c r="H4005" s="16" t="n">
        <f aca="false">G4016</f>
        <v>57.324</v>
      </c>
      <c r="I4005" s="16" t="n">
        <f aca="false">H4016</f>
        <v>57.324</v>
      </c>
      <c r="J4005" s="16" t="n">
        <f aca="false">I4016</f>
        <v>57.324</v>
      </c>
      <c r="K4005" s="16" t="n">
        <f aca="false">J4016</f>
        <v>57.324</v>
      </c>
    </row>
    <row r="4006" customFormat="false" ht="15" hidden="false" customHeight="false" outlineLevel="0" collapsed="false">
      <c r="A4006" s="3" t="s">
        <v>330</v>
      </c>
      <c r="G4006" s="21" t="n">
        <f aca="false">IF(G3943=Assumptions!$K$59,1,0)</f>
        <v>0</v>
      </c>
      <c r="H4006" s="21" t="n">
        <f aca="false">IF(H3943=Assumptions!$K$59,1,0)</f>
        <v>0</v>
      </c>
      <c r="I4006" s="21" t="n">
        <f aca="false">IF(I3943=Assumptions!$K$59,1,0)</f>
        <v>0</v>
      </c>
      <c r="J4006" s="21" t="n">
        <f aca="false">IF(J3943=Assumptions!$K$59,1,0)</f>
        <v>0</v>
      </c>
      <c r="K4006" s="21" t="n">
        <f aca="false">IF(K3943=Assumptions!$K$59,1,0)</f>
        <v>0</v>
      </c>
    </row>
    <row r="4008" customFormat="false" ht="15" hidden="false" customHeight="false" outlineLevel="0" collapsed="false">
      <c r="A4008" s="3" t="s">
        <v>331</v>
      </c>
      <c r="G4008" s="31" t="n">
        <f aca="false">IF(Assumptions!$I$59=1,MAX(G3969,Assumptions!$G$59)+Assumptions!$F$59+$C$3970,Assumptions!$E$59)</f>
        <v>0.0731</v>
      </c>
      <c r="H4008" s="31" t="n">
        <f aca="false">IF(G4291=1,$C$3971,IF(Assumptions!$I$59=1,MAX(H3969,Assumptions!$G$59)+Assumptions!$F$59+$C$3970,Assumptions!$E$59))</f>
        <v>0.0731</v>
      </c>
      <c r="I4008" s="31" t="n">
        <f aca="false">IF(H4291=1,$C$3971,IF(Assumptions!$I$59=1,MAX(I3969,Assumptions!$G$59)+Assumptions!$F$59+$C$3970,Assumptions!$E$59))</f>
        <v>0.0731</v>
      </c>
      <c r="J4008" s="31" t="n">
        <f aca="false">IF(I4291=1,$C$3971,IF(Assumptions!$I$59=1,MAX(J3969,Assumptions!$G$59)+Assumptions!$F$59+$C$3970,Assumptions!$E$59))</f>
        <v>0.0731</v>
      </c>
      <c r="K4008" s="31" t="n">
        <f aca="false">IF(J4291=1,$C$3971,IF(Assumptions!$I$59=1,MAX(K3969,Assumptions!$G$59)+Assumptions!$F$59+$C$3970,Assumptions!$E$59))</f>
        <v>0.0731</v>
      </c>
    </row>
    <row r="4009" customFormat="false" ht="15" hidden="false" customHeight="false" outlineLevel="0" collapsed="false">
      <c r="A4009" s="3" t="s">
        <v>332</v>
      </c>
      <c r="G4009" s="16" t="n">
        <f aca="false">G4005*G4008</f>
        <v>4.1903844</v>
      </c>
      <c r="H4009" s="16" t="n">
        <f aca="false">H4005*H4008</f>
        <v>4.1903844</v>
      </c>
      <c r="I4009" s="16" t="n">
        <f aca="false">I4005*I4008</f>
        <v>4.1903844</v>
      </c>
      <c r="J4009" s="16" t="n">
        <f aca="false">J4005*J4008</f>
        <v>4.1903844</v>
      </c>
      <c r="K4009" s="16" t="n">
        <f aca="false">K4005*K4008</f>
        <v>4.1903844</v>
      </c>
    </row>
    <row r="4010" customFormat="false" ht="15" hidden="false" customHeight="false" outlineLevel="0" collapsed="false">
      <c r="A4010" s="3" t="s">
        <v>333</v>
      </c>
      <c r="G4010" s="16" t="n">
        <f aca="false">G4005*Assumptions!$H$59</f>
        <v>0</v>
      </c>
      <c r="H4010" s="16" t="n">
        <f aca="false">H4005*Assumptions!$H$59</f>
        <v>0</v>
      </c>
      <c r="I4010" s="16" t="n">
        <f aca="false">I4005*Assumptions!$H$59</f>
        <v>0</v>
      </c>
      <c r="J4010" s="16" t="n">
        <f aca="false">J4005*Assumptions!$H$59</f>
        <v>0</v>
      </c>
      <c r="K4010" s="16" t="n">
        <f aca="false">K4005*Assumptions!$H$59</f>
        <v>0</v>
      </c>
    </row>
    <row r="4011" customFormat="false" ht="15" hidden="false" customHeight="false" outlineLevel="0" collapsed="false">
      <c r="A4011" s="3" t="s">
        <v>334</v>
      </c>
      <c r="G4011" s="16" t="n">
        <f aca="false">MIN(G4005,Assumptions!$L$59*Assumptions!$C$59)</f>
        <v>0</v>
      </c>
      <c r="H4011" s="16" t="n">
        <f aca="false">MIN(H4005,Assumptions!$L$59*Assumptions!$C$59)</f>
        <v>0</v>
      </c>
      <c r="I4011" s="16" t="n">
        <f aca="false">MIN(I4005,Assumptions!$L$59*Assumptions!$C$59)</f>
        <v>0</v>
      </c>
      <c r="J4011" s="16" t="n">
        <f aca="false">MIN(J4005,Assumptions!$L$59*Assumptions!$C$59)</f>
        <v>0</v>
      </c>
      <c r="K4011" s="16" t="n">
        <f aca="false">MIN(K4005,Assumptions!$L$59*Assumptions!$C$59)</f>
        <v>0</v>
      </c>
    </row>
    <row r="4012" customFormat="false" ht="15" hidden="false" customHeight="false" outlineLevel="0" collapsed="false">
      <c r="A4012" s="3" t="s">
        <v>335</v>
      </c>
      <c r="G4012" s="16" t="n">
        <f aca="false">IF(AND(Assumptions!$P$59=1,G3943&lt;Assumptions!$K$59),MIN(MAX(0,-G4159),MAX(0,Assumptions!$D$59-G4005)),0)</f>
        <v>0</v>
      </c>
      <c r="H4012" s="16" t="n">
        <f aca="false">IF(AND(Assumptions!$P$59=1,OR(H3943&lt;Assumptions!$K$59,G4291=1)),MIN(MAX(0,-H4159),MAX(0,Assumptions!$D$59-H4005)),0)</f>
        <v>0</v>
      </c>
      <c r="I4012" s="16" t="n">
        <f aca="false">IF(AND(Assumptions!$P$59=1,OR(I3943&lt;Assumptions!$K$59,H4291=1)),MIN(MAX(0,-I4159),MAX(0,Assumptions!$D$59-I4005)),0)</f>
        <v>0</v>
      </c>
      <c r="J4012" s="16" t="n">
        <f aca="false">IF(AND(Assumptions!$P$59=1,OR(J3943&lt;Assumptions!$K$59,I4291=1)),MIN(MAX(0,-J4159),MAX(0,Assumptions!$D$59-J4005)),0)</f>
        <v>0</v>
      </c>
      <c r="K4012" s="16" t="n">
        <f aca="false">IF(AND(Assumptions!$P$59=1,OR(K3943&lt;Assumptions!$K$59,J4291=1)),MIN(MAX(0,-K4159),MAX(0,Assumptions!$D$59-K4005)),0)</f>
        <v>0</v>
      </c>
    </row>
    <row r="4013" customFormat="false" ht="15" hidden="false" customHeight="false" outlineLevel="0" collapsed="false">
      <c r="A4013" s="3" t="s">
        <v>336</v>
      </c>
      <c r="G4013" s="16" t="n">
        <f aca="false">G4006*MIN(G4005-G4011+G4010,MAX(0,G4161-Assumptions!$C$12*G3977-G3987-G4000))</f>
        <v>0</v>
      </c>
      <c r="H4013" s="16" t="n">
        <f aca="false">H4006*MIN(H4005-H4011+H4010,MAX(0,H4161-Assumptions!$C$12*H3977-H3987-H4000))</f>
        <v>0</v>
      </c>
      <c r="I4013" s="16" t="n">
        <f aca="false">I4006*MIN(I4005-I4011+I4010,MAX(0,I4161-Assumptions!$C$12*I3977-I3987-I4000))</f>
        <v>0</v>
      </c>
      <c r="J4013" s="16" t="n">
        <f aca="false">J4006*MIN(J4005-J4011+J4010,MAX(0,J4161-Assumptions!$C$12*J3977-J3987-J4000))</f>
        <v>0</v>
      </c>
      <c r="K4013" s="16" t="n">
        <f aca="false">K4006*MIN(K4005-K4011+K4010,MAX(0,K4161-Assumptions!$C$12*K3977-K3987-K4000))</f>
        <v>0</v>
      </c>
    </row>
    <row r="4014" customFormat="false" ht="15" hidden="false" customHeight="false" outlineLevel="0" collapsed="false">
      <c r="A4014" s="3" t="s">
        <v>337</v>
      </c>
      <c r="G4014" s="16" t="n">
        <f aca="false">Assumptions!$N$59*MIN(G4005+G4012+G4010-G4011-G4013,MAX(0,G4165-G3988-G4001))</f>
        <v>0</v>
      </c>
      <c r="H4014" s="16" t="n">
        <f aca="false">Assumptions!$N$59*MIN(H4005+H4012+H4010-H4011-H4013,MAX(0,H4165-H3988-H4001))</f>
        <v>0</v>
      </c>
      <c r="I4014" s="16" t="n">
        <f aca="false">Assumptions!$N$59*MIN(I4005+I4012+I4010-I4011-I4013,MAX(0,I4165-I3988-I4001))</f>
        <v>0</v>
      </c>
      <c r="J4014" s="16" t="n">
        <f aca="false">Assumptions!$N$59*MIN(J4005+J4012+J4010-J4011-J4013,MAX(0,J4165-J3988-J4001))</f>
        <v>0</v>
      </c>
      <c r="K4014" s="16" t="n">
        <f aca="false">Assumptions!$N$59*MIN(K4005+K4012+K4010-K4011-K4013,MAX(0,K4165-K3988-K4001))</f>
        <v>0</v>
      </c>
    </row>
    <row r="4015" customFormat="false" ht="15" hidden="false" customHeight="false" outlineLevel="0" collapsed="false">
      <c r="A4015" s="3" t="s">
        <v>338</v>
      </c>
      <c r="G4015" s="16" t="n">
        <f aca="false">G4006*(1-G3977)*(G4005-G4011+G4010-G4013)</f>
        <v>0</v>
      </c>
      <c r="H4015" s="16" t="n">
        <f aca="false">H4006*(1-H3977)*(H4005-H4011+H4010-H4013)</f>
        <v>0</v>
      </c>
      <c r="I4015" s="16" t="n">
        <f aca="false">I4006*(1-I3977)*(I4005-I4011+I4010-I4013)</f>
        <v>0</v>
      </c>
      <c r="J4015" s="16" t="n">
        <f aca="false">J4006*(1-J3977)*(J4005-J4011+J4010-J4013)</f>
        <v>0</v>
      </c>
      <c r="K4015" s="16" t="n">
        <f aca="false">K4006*(1-K3977)*(K4005-K4011+K4010-K4013)</f>
        <v>0</v>
      </c>
    </row>
    <row r="4016" customFormat="false" ht="15" hidden="false" customHeight="false" outlineLevel="0" collapsed="false">
      <c r="A4016" s="2" t="s">
        <v>339</v>
      </c>
      <c r="F4016" s="28" t="n">
        <f aca="false">Assumptions!$C$59</f>
        <v>57.324</v>
      </c>
      <c r="G4016" s="17" t="n">
        <f aca="false">G4005+G4012+G4010-G4011-G4013-G4014</f>
        <v>57.324</v>
      </c>
      <c r="H4016" s="17" t="n">
        <f aca="false">H4005+H4012+H4010-H4011-H4013-H4014</f>
        <v>57.324</v>
      </c>
      <c r="I4016" s="17" t="n">
        <f aca="false">I4005+I4012+I4010-I4011-I4013-I4014</f>
        <v>57.324</v>
      </c>
      <c r="J4016" s="17" t="n">
        <f aca="false">J4005+J4012+J4010-J4011-J4013-J4014</f>
        <v>57.324</v>
      </c>
      <c r="K4016" s="17" t="n">
        <f aca="false">K4005+K4012+K4010-K4011-K4013-K4014</f>
        <v>57.324</v>
      </c>
    </row>
    <row r="4017" customFormat="false" ht="15" hidden="false" customHeight="false" outlineLevel="0" collapsed="false">
      <c r="A4017" s="24" t="s">
        <v>342</v>
      </c>
      <c r="B4017" s="25"/>
      <c r="C4017" s="25"/>
      <c r="D4017" s="25"/>
      <c r="E4017" s="25"/>
      <c r="F4017" s="25"/>
      <c r="G4017" s="25"/>
      <c r="H4017" s="25"/>
      <c r="I4017" s="25"/>
      <c r="J4017" s="25"/>
      <c r="K4017" s="25"/>
    </row>
    <row r="4018" customFormat="false" ht="15" hidden="false" customHeight="false" outlineLevel="0" collapsed="false">
      <c r="A4018" s="3" t="s">
        <v>329</v>
      </c>
      <c r="G4018" s="16" t="n">
        <f aca="false">F4029</f>
        <v>0</v>
      </c>
      <c r="H4018" s="16" t="n">
        <f aca="false">G4029</f>
        <v>0</v>
      </c>
      <c r="I4018" s="16" t="n">
        <f aca="false">H4029</f>
        <v>0</v>
      </c>
      <c r="J4018" s="16" t="n">
        <f aca="false">I4029</f>
        <v>55.177394011256</v>
      </c>
      <c r="K4018" s="16" t="n">
        <f aca="false">J4029</f>
        <v>131.307656950448</v>
      </c>
    </row>
    <row r="4019" customFormat="false" ht="15" hidden="false" customHeight="false" outlineLevel="0" collapsed="false">
      <c r="A4019" s="3" t="s">
        <v>330</v>
      </c>
      <c r="G4019" s="21" t="n">
        <f aca="false">IF(G3943=Assumptions!$K$60,1,0)</f>
        <v>1</v>
      </c>
      <c r="H4019" s="21" t="n">
        <f aca="false">IF(H3943=Assumptions!$K$60,1,0)</f>
        <v>0</v>
      </c>
      <c r="I4019" s="21" t="n">
        <f aca="false">IF(I3943=Assumptions!$K$60,1,0)</f>
        <v>0</v>
      </c>
      <c r="J4019" s="21" t="n">
        <f aca="false">IF(J3943=Assumptions!$K$60,1,0)</f>
        <v>0</v>
      </c>
      <c r="K4019" s="21" t="n">
        <f aca="false">IF(K3943=Assumptions!$K$60,1,0)</f>
        <v>0</v>
      </c>
    </row>
    <row r="4021" customFormat="false" ht="15" hidden="false" customHeight="false" outlineLevel="0" collapsed="false">
      <c r="A4021" s="3" t="s">
        <v>331</v>
      </c>
      <c r="G4021" s="31" t="n">
        <f aca="false">IF(Assumptions!$I$60=1,MAX(G3969,Assumptions!$G$60)+Assumptions!$F$60+$C$3970,Assumptions!$E$60)</f>
        <v>0.054</v>
      </c>
      <c r="H4021" s="31" t="n">
        <f aca="false">IF(G4292=1,$C$3971,IF(Assumptions!$I$60=1,MAX(H3969,Assumptions!$G$60)+Assumptions!$F$60+$C$3970,Assumptions!$E$60))</f>
        <v>0.08</v>
      </c>
      <c r="I4021" s="31" t="n">
        <f aca="false">IF(H4292=1,$C$3971,IF(Assumptions!$I$60=1,MAX(I3969,Assumptions!$G$60)+Assumptions!$F$60+$C$3970,Assumptions!$E$60))</f>
        <v>0.08</v>
      </c>
      <c r="J4021" s="31" t="n">
        <f aca="false">IF(I4292=1,$C$3971,IF(Assumptions!$I$60=1,MAX(J3969,Assumptions!$G$60)+Assumptions!$F$60+$C$3970,Assumptions!$E$60))</f>
        <v>0.08</v>
      </c>
      <c r="K4021" s="31" t="n">
        <f aca="false">IF(J4292=1,$C$3971,IF(Assumptions!$I$60=1,MAX(K3969,Assumptions!$G$60)+Assumptions!$F$60+$C$3970,Assumptions!$E$60))</f>
        <v>0.08</v>
      </c>
    </row>
    <row r="4022" customFormat="false" ht="15" hidden="false" customHeight="false" outlineLevel="0" collapsed="false">
      <c r="A4022" s="3" t="s">
        <v>332</v>
      </c>
      <c r="G4022" s="16" t="n">
        <f aca="false">G4018*G4021</f>
        <v>0</v>
      </c>
      <c r="H4022" s="16" t="n">
        <f aca="false">H4018*H4021</f>
        <v>0</v>
      </c>
      <c r="I4022" s="16" t="n">
        <f aca="false">I4018*I4021</f>
        <v>0</v>
      </c>
      <c r="J4022" s="16" t="n">
        <f aca="false">J4018*J4021</f>
        <v>4.41419152090048</v>
      </c>
      <c r="K4022" s="16" t="n">
        <f aca="false">K4018*K4021</f>
        <v>10.5046125560358</v>
      </c>
    </row>
    <row r="4023" customFormat="false" ht="15" hidden="false" customHeight="false" outlineLevel="0" collapsed="false">
      <c r="A4023" s="3" t="s">
        <v>333</v>
      </c>
      <c r="G4023" s="16" t="n">
        <f aca="false">G4018*Assumptions!$H$60</f>
        <v>0</v>
      </c>
      <c r="H4023" s="16" t="n">
        <f aca="false">H4018*Assumptions!$H$60</f>
        <v>0</v>
      </c>
      <c r="I4023" s="16" t="n">
        <f aca="false">I4018*Assumptions!$H$60</f>
        <v>0</v>
      </c>
      <c r="J4023" s="16" t="n">
        <f aca="false">J4018*Assumptions!$H$60</f>
        <v>0</v>
      </c>
      <c r="K4023" s="16" t="n">
        <f aca="false">K4018*Assumptions!$H$60</f>
        <v>0</v>
      </c>
    </row>
    <row r="4024" customFormat="false" ht="15" hidden="false" customHeight="false" outlineLevel="0" collapsed="false">
      <c r="A4024" s="3" t="s">
        <v>334</v>
      </c>
      <c r="G4024" s="16" t="n">
        <f aca="false">MIN(G4018,Assumptions!$L$60*Assumptions!$C$60)</f>
        <v>0</v>
      </c>
      <c r="H4024" s="16" t="n">
        <f aca="false">MIN(H4018,Assumptions!$L$60*Assumptions!$C$60)</f>
        <v>0</v>
      </c>
      <c r="I4024" s="16" t="n">
        <f aca="false">MIN(I4018,Assumptions!$L$60*Assumptions!$C$60)</f>
        <v>0</v>
      </c>
      <c r="J4024" s="16" t="n">
        <f aca="false">MIN(J4018,Assumptions!$L$60*Assumptions!$C$60)</f>
        <v>0</v>
      </c>
      <c r="K4024" s="16" t="n">
        <f aca="false">MIN(K4018,Assumptions!$L$60*Assumptions!$C$60)</f>
        <v>0</v>
      </c>
    </row>
    <row r="4025" customFormat="false" ht="15" hidden="false" customHeight="false" outlineLevel="0" collapsed="false">
      <c r="A4025" s="3" t="s">
        <v>335</v>
      </c>
      <c r="G4025" s="16" t="n">
        <f aca="false">IF(AND(Assumptions!$P$60=1,G3943&lt;Assumptions!$K$60),MIN(MAX(0,-G4159),MAX(0,Assumptions!$D$60-G4018)),0)</f>
        <v>0</v>
      </c>
      <c r="H4025" s="16" t="n">
        <f aca="false">IF(AND(Assumptions!$P$60=1,OR(H3943&lt;Assumptions!$K$60,G4292=1)),MIN(MAX(0,-H4159),MAX(0,Assumptions!$D$60-H4018)),0)</f>
        <v>0</v>
      </c>
      <c r="I4025" s="16" t="n">
        <f aca="false">IF(AND(Assumptions!$P$60=1,OR(I3943&lt;Assumptions!$K$60,H4292=1)),MIN(MAX(0,-I4159),MAX(0,Assumptions!$D$60-I4018)),0)</f>
        <v>55.177394011256</v>
      </c>
      <c r="J4025" s="16" t="n">
        <f aca="false">IF(AND(Assumptions!$P$60=1,OR(J3943&lt;Assumptions!$K$60,I4292=1)),MIN(MAX(0,-J4159),MAX(0,Assumptions!$D$60-J4018)),0)</f>
        <v>76.130262939192</v>
      </c>
      <c r="K4025" s="16" t="n">
        <f aca="false">IF(AND(Assumptions!$P$60=1,OR(K3943&lt;Assumptions!$K$60,J4292=1)),MIN(MAX(0,-K4159),MAX(0,Assumptions!$D$60-K4018)),0)</f>
        <v>90.5603678621571</v>
      </c>
    </row>
    <row r="4026" customFormat="false" ht="15" hidden="false" customHeight="false" outlineLevel="0" collapsed="false">
      <c r="A4026" s="3" t="s">
        <v>336</v>
      </c>
      <c r="G4026" s="16" t="n">
        <f aca="false">G4019*MIN(G4018-G4024+G4023,MAX(0,G4161-Assumptions!$C$12*G3977-G3987-G4000-G4013))</f>
        <v>0</v>
      </c>
      <c r="H4026" s="16" t="n">
        <f aca="false">H4019*MIN(H4018-H4024+H4023,MAX(0,H4161-Assumptions!$C$12*H3977-H3987-H4000-H4013))</f>
        <v>0</v>
      </c>
      <c r="I4026" s="16" t="n">
        <f aca="false">I4019*MIN(I4018-I4024+I4023,MAX(0,I4161-Assumptions!$C$12*I3977-I3987-I4000-I4013))</f>
        <v>0</v>
      </c>
      <c r="J4026" s="16" t="n">
        <f aca="false">J4019*MIN(J4018-J4024+J4023,MAX(0,J4161-Assumptions!$C$12*J3977-J3987-J4000-J4013))</f>
        <v>0</v>
      </c>
      <c r="K4026" s="16" t="n">
        <f aca="false">K4019*MIN(K4018-K4024+K4023,MAX(0,K4161-Assumptions!$C$12*K3977-K3987-K4000-K4013))</f>
        <v>0</v>
      </c>
    </row>
    <row r="4027" customFormat="false" ht="15" hidden="false" customHeight="false" outlineLevel="0" collapsed="false">
      <c r="A4027" s="3" t="s">
        <v>337</v>
      </c>
      <c r="G4027" s="16" t="n">
        <f aca="false">Assumptions!$N$60*MIN(G4018+G4025+G4023-G4024-G4026,MAX(0,G4165-G3988-G4001-G4014))</f>
        <v>0</v>
      </c>
      <c r="H4027" s="16" t="n">
        <f aca="false">Assumptions!$N$60*MIN(H4018+H4025+H4023-H4024-H4026,MAX(0,H4165-H3988-H4001-H4014))</f>
        <v>0</v>
      </c>
      <c r="I4027" s="16" t="n">
        <f aca="false">Assumptions!$N$60*MIN(I4018+I4025+I4023-I4024-I4026,MAX(0,I4165-I3988-I4001-I4014))</f>
        <v>0</v>
      </c>
      <c r="J4027" s="16" t="n">
        <f aca="false">Assumptions!$N$60*MIN(J4018+J4025+J4023-J4024-J4026,MAX(0,J4165-J3988-J4001-J4014))</f>
        <v>0</v>
      </c>
      <c r="K4027" s="16" t="n">
        <f aca="false">Assumptions!$N$60*MIN(K4018+K4025+K4023-K4024-K4026,MAX(0,K4165-K3988-K4001-K4014))</f>
        <v>0</v>
      </c>
    </row>
    <row r="4028" customFormat="false" ht="15" hidden="false" customHeight="false" outlineLevel="0" collapsed="false">
      <c r="A4028" s="3" t="s">
        <v>338</v>
      </c>
      <c r="G4028" s="16" t="n">
        <f aca="false">G4019*(1-G3977)*(G4018-G4024+G4023-G4026)</f>
        <v>0</v>
      </c>
      <c r="H4028" s="16" t="n">
        <f aca="false">H4019*(1-H3977)*(H4018-H4024+H4023-H4026)</f>
        <v>0</v>
      </c>
      <c r="I4028" s="16" t="n">
        <f aca="false">I4019*(1-I3977)*(I4018-I4024+I4023-I4026)</f>
        <v>0</v>
      </c>
      <c r="J4028" s="16" t="n">
        <f aca="false">J4019*(1-J3977)*(J4018-J4024+J4023-J4026)</f>
        <v>0</v>
      </c>
      <c r="K4028" s="16" t="n">
        <f aca="false">K4019*(1-K3977)*(K4018-K4024+K4023-K4026)</f>
        <v>0</v>
      </c>
    </row>
    <row r="4029" customFormat="false" ht="15" hidden="false" customHeight="false" outlineLevel="0" collapsed="false">
      <c r="A4029" s="2" t="s">
        <v>339</v>
      </c>
      <c r="F4029" s="28" t="n">
        <f aca="false">Assumptions!$C$60</f>
        <v>0</v>
      </c>
      <c r="G4029" s="17" t="n">
        <f aca="false">G4018+G4025+G4023-G4024-G4026-G4027</f>
        <v>0</v>
      </c>
      <c r="H4029" s="17" t="n">
        <f aca="false">H4018+H4025+H4023-H4024-H4026-H4027</f>
        <v>0</v>
      </c>
      <c r="I4029" s="17" t="n">
        <f aca="false">I4018+I4025+I4023-I4024-I4026-I4027</f>
        <v>55.177394011256</v>
      </c>
      <c r="J4029" s="17" t="n">
        <f aca="false">J4018+J4025+J4023-J4024-J4026-J4027</f>
        <v>131.307656950448</v>
      </c>
      <c r="K4029" s="17" t="n">
        <f aca="false">K4018+K4025+K4023-K4024-K4026-K4027</f>
        <v>221.868024812605</v>
      </c>
    </row>
    <row r="4030" customFormat="false" ht="15" hidden="false" customHeight="false" outlineLevel="0" collapsed="false">
      <c r="A4030" s="24" t="s">
        <v>343</v>
      </c>
      <c r="B4030" s="25"/>
      <c r="C4030" s="25"/>
      <c r="D4030" s="25"/>
      <c r="E4030" s="25"/>
      <c r="F4030" s="25"/>
      <c r="G4030" s="25"/>
      <c r="H4030" s="25"/>
      <c r="I4030" s="25"/>
      <c r="J4030" s="25"/>
      <c r="K4030" s="25"/>
    </row>
    <row r="4031" customFormat="false" ht="15" hidden="false" customHeight="false" outlineLevel="0" collapsed="false">
      <c r="A4031" s="3" t="s">
        <v>329</v>
      </c>
      <c r="G4031" s="16" t="n">
        <f aca="false">F4042</f>
        <v>450</v>
      </c>
      <c r="H4031" s="16" t="n">
        <f aca="false">G4042</f>
        <v>450</v>
      </c>
      <c r="I4031" s="16" t="n">
        <f aca="false">H4042</f>
        <v>388.1951236658</v>
      </c>
      <c r="J4031" s="16" t="n">
        <f aca="false">I4042</f>
        <v>388.1951236658</v>
      </c>
      <c r="K4031" s="16" t="n">
        <f aca="false">J4042</f>
        <v>388.1951236658</v>
      </c>
    </row>
    <row r="4032" customFormat="false" ht="15" hidden="false" customHeight="false" outlineLevel="0" collapsed="false">
      <c r="A4032" s="3" t="s">
        <v>330</v>
      </c>
      <c r="G4032" s="21" t="n">
        <f aca="false">IF(G3943=Assumptions!$K$61,1,0)</f>
        <v>0</v>
      </c>
      <c r="H4032" s="21" t="n">
        <f aca="false">IF(H3943=Assumptions!$K$61,1,0)</f>
        <v>1</v>
      </c>
      <c r="I4032" s="21" t="n">
        <f aca="false">IF(I3943=Assumptions!$K$61,1,0)</f>
        <v>0</v>
      </c>
      <c r="J4032" s="21" t="n">
        <f aca="false">IF(J3943=Assumptions!$K$61,1,0)</f>
        <v>0</v>
      </c>
      <c r="K4032" s="21" t="n">
        <f aca="false">IF(K3943=Assumptions!$K$61,1,0)</f>
        <v>0</v>
      </c>
    </row>
    <row r="4034" customFormat="false" ht="15" hidden="false" customHeight="false" outlineLevel="0" collapsed="false">
      <c r="A4034" s="3" t="s">
        <v>331</v>
      </c>
      <c r="G4034" s="31" t="n">
        <f aca="false">IF(Assumptions!$I$61=1,MAX(G3969,Assumptions!$G$61)+Assumptions!$F$61+$C$3970,Assumptions!$E$61)</f>
        <v>0.0395</v>
      </c>
      <c r="H4034" s="31" t="n">
        <f aca="false">IF(G4293=1,$C$3971,IF(Assumptions!$I$61=1,MAX(H3969,Assumptions!$G$61)+Assumptions!$F$61+$C$3970,Assumptions!$E$61))</f>
        <v>0.0395</v>
      </c>
      <c r="I4034" s="31" t="n">
        <f aca="false">IF(H4293=1,$C$3971,IF(Assumptions!$I$61=1,MAX(I3969,Assumptions!$G$61)+Assumptions!$F$61+$C$3970,Assumptions!$E$61))</f>
        <v>0.08</v>
      </c>
      <c r="J4034" s="31" t="n">
        <f aca="false">IF(I4293=1,$C$3971,IF(Assumptions!$I$61=1,MAX(J3969,Assumptions!$G$61)+Assumptions!$F$61+$C$3970,Assumptions!$E$61))</f>
        <v>0.08</v>
      </c>
      <c r="K4034" s="31" t="n">
        <f aca="false">IF(J4293=1,$C$3971,IF(Assumptions!$I$61=1,MAX(K3969,Assumptions!$G$61)+Assumptions!$F$61+$C$3970,Assumptions!$E$61))</f>
        <v>0.08</v>
      </c>
    </row>
    <row r="4035" customFormat="false" ht="15" hidden="false" customHeight="false" outlineLevel="0" collapsed="false">
      <c r="A4035" s="3" t="s">
        <v>332</v>
      </c>
      <c r="G4035" s="16" t="n">
        <f aca="false">G4031*G4034</f>
        <v>17.775</v>
      </c>
      <c r="H4035" s="16" t="n">
        <f aca="false">H4031*H4034</f>
        <v>17.775</v>
      </c>
      <c r="I4035" s="16" t="n">
        <f aca="false">I4031*I4034</f>
        <v>31.055609893264</v>
      </c>
      <c r="J4035" s="16" t="n">
        <f aca="false">J4031*J4034</f>
        <v>31.055609893264</v>
      </c>
      <c r="K4035" s="16" t="n">
        <f aca="false">K4031*K4034</f>
        <v>31.055609893264</v>
      </c>
    </row>
    <row r="4036" customFormat="false" ht="15" hidden="false" customHeight="false" outlineLevel="0" collapsed="false">
      <c r="A4036" s="3" t="s">
        <v>333</v>
      </c>
      <c r="G4036" s="16" t="n">
        <f aca="false">G4031*Assumptions!$H$61</f>
        <v>0</v>
      </c>
      <c r="H4036" s="16" t="n">
        <f aca="false">H4031*Assumptions!$H$61</f>
        <v>0</v>
      </c>
      <c r="I4036" s="16" t="n">
        <f aca="false">I4031*Assumptions!$H$61</f>
        <v>0</v>
      </c>
      <c r="J4036" s="16" t="n">
        <f aca="false">J4031*Assumptions!$H$61</f>
        <v>0</v>
      </c>
      <c r="K4036" s="16" t="n">
        <f aca="false">K4031*Assumptions!$H$61</f>
        <v>0</v>
      </c>
    </row>
    <row r="4037" customFormat="false" ht="15" hidden="false" customHeight="false" outlineLevel="0" collapsed="false">
      <c r="A4037" s="3" t="s">
        <v>334</v>
      </c>
      <c r="G4037" s="16" t="n">
        <f aca="false">MIN(G4031,Assumptions!$L$61*Assumptions!$C$61)</f>
        <v>0</v>
      </c>
      <c r="H4037" s="16" t="n">
        <f aca="false">MIN(H4031,Assumptions!$L$61*Assumptions!$C$61)</f>
        <v>0</v>
      </c>
      <c r="I4037" s="16" t="n">
        <f aca="false">MIN(I4031,Assumptions!$L$61*Assumptions!$C$61)</f>
        <v>0</v>
      </c>
      <c r="J4037" s="16" t="n">
        <f aca="false">MIN(J4031,Assumptions!$L$61*Assumptions!$C$61)</f>
        <v>0</v>
      </c>
      <c r="K4037" s="16" t="n">
        <f aca="false">MIN(K4031,Assumptions!$L$61*Assumptions!$C$61)</f>
        <v>0</v>
      </c>
    </row>
    <row r="4038" customFormat="false" ht="15" hidden="false" customHeight="false" outlineLevel="0" collapsed="false">
      <c r="A4038" s="3" t="s">
        <v>335</v>
      </c>
      <c r="G4038" s="16" t="n">
        <f aca="false">IF(AND(Assumptions!$P$61=1,G3943&lt;Assumptions!$K$61),MIN(MAX(0,-G4159),MAX(0,Assumptions!$D$61-G4031)),0)</f>
        <v>0</v>
      </c>
      <c r="H4038" s="16" t="n">
        <f aca="false">IF(AND(Assumptions!$P$61=1,OR(H3943&lt;Assumptions!$K$61,G4293=1)),MIN(MAX(0,-H4159),MAX(0,Assumptions!$D$61-H4031)),0)</f>
        <v>0</v>
      </c>
      <c r="I4038" s="16" t="n">
        <f aca="false">IF(AND(Assumptions!$P$61=1,OR(I3943&lt;Assumptions!$K$61,H4293=1)),MIN(MAX(0,-I4159),MAX(0,Assumptions!$D$61-I4031)),0)</f>
        <v>0</v>
      </c>
      <c r="J4038" s="16" t="n">
        <f aca="false">IF(AND(Assumptions!$P$61=1,OR(J3943&lt;Assumptions!$K$61,I4293=1)),MIN(MAX(0,-J4159),MAX(0,Assumptions!$D$61-J4031)),0)</f>
        <v>0</v>
      </c>
      <c r="K4038" s="16" t="n">
        <f aca="false">IF(AND(Assumptions!$P$61=1,OR(K3943&lt;Assumptions!$K$61,J4293=1)),MIN(MAX(0,-K4159),MAX(0,Assumptions!$D$61-K4031)),0)</f>
        <v>0</v>
      </c>
    </row>
    <row r="4039" customFormat="false" ht="15" hidden="false" customHeight="false" outlineLevel="0" collapsed="false">
      <c r="A4039" s="3" t="s">
        <v>336</v>
      </c>
      <c r="G4039" s="16" t="n">
        <f aca="false">G4032*MIN(G4031-G4037+G4036,MAX(0,G4161-Assumptions!$C$12*G3977-G3987-G4000-G4013-G4026))</f>
        <v>0</v>
      </c>
      <c r="H4039" s="16" t="n">
        <f aca="false">H4032*MIN(H4031-H4037+H4036,MAX(0,H4161-Assumptions!$C$12*H3977-H3987-H4000-H4013-H4026))</f>
        <v>61.8048763342001</v>
      </c>
      <c r="I4039" s="16" t="n">
        <f aca="false">I4032*MIN(I4031-I4037+I4036,MAX(0,I4161-Assumptions!$C$12*I3977-I3987-I4000-I4013-I4026))</f>
        <v>0</v>
      </c>
      <c r="J4039" s="16" t="n">
        <f aca="false">J4032*MIN(J4031-J4037+J4036,MAX(0,J4161-Assumptions!$C$12*J3977-J3987-J4000-J4013-J4026))</f>
        <v>0</v>
      </c>
      <c r="K4039" s="16" t="n">
        <f aca="false">K4032*MIN(K4031-K4037+K4036,MAX(0,K4161-Assumptions!$C$12*K3977-K3987-K4000-K4013-K4026))</f>
        <v>0</v>
      </c>
    </row>
    <row r="4040" customFormat="false" ht="15" hidden="false" customHeight="false" outlineLevel="0" collapsed="false">
      <c r="A4040" s="3" t="s">
        <v>337</v>
      </c>
      <c r="G4040" s="16" t="n">
        <f aca="false">Assumptions!$N$61*MIN(G4031+G4038+G4036-G4037-G4039,MAX(0,G4165-G3988-G4001-G4014-G4027))</f>
        <v>0</v>
      </c>
      <c r="H4040" s="16" t="n">
        <f aca="false">Assumptions!$N$61*MIN(H4031+H4038+H4036-H4037-H4039,MAX(0,H4165-H3988-H4001-H4014-H4027))</f>
        <v>0</v>
      </c>
      <c r="I4040" s="16" t="n">
        <f aca="false">Assumptions!$N$61*MIN(I4031+I4038+I4036-I4037-I4039,MAX(0,I4165-I3988-I4001-I4014-I4027))</f>
        <v>0</v>
      </c>
      <c r="J4040" s="16" t="n">
        <f aca="false">Assumptions!$N$61*MIN(J4031+J4038+J4036-J4037-J4039,MAX(0,J4165-J3988-J4001-J4014-J4027))</f>
        <v>0</v>
      </c>
      <c r="K4040" s="16" t="n">
        <f aca="false">Assumptions!$N$61*MIN(K4031+K4038+K4036-K4037-K4039,MAX(0,K4165-K3988-K4001-K4014-K4027))</f>
        <v>0</v>
      </c>
    </row>
    <row r="4041" customFormat="false" ht="15" hidden="false" customHeight="false" outlineLevel="0" collapsed="false">
      <c r="A4041" s="3" t="s">
        <v>338</v>
      </c>
      <c r="G4041" s="16" t="n">
        <f aca="false">G4032*(1-G3977)*(G4031-G4037+G4036-G4039)</f>
        <v>0</v>
      </c>
      <c r="H4041" s="16" t="n">
        <f aca="false">H4032*(1-H3977)*(H4031-H4037+H4036-H4039)</f>
        <v>0</v>
      </c>
      <c r="I4041" s="16" t="n">
        <f aca="false">I4032*(1-I3977)*(I4031-I4037+I4036-I4039)</f>
        <v>0</v>
      </c>
      <c r="J4041" s="16" t="n">
        <f aca="false">J4032*(1-J3977)*(J4031-J4037+J4036-J4039)</f>
        <v>0</v>
      </c>
      <c r="K4041" s="16" t="n">
        <f aca="false">K4032*(1-K3977)*(K4031-K4037+K4036-K4039)</f>
        <v>0</v>
      </c>
    </row>
    <row r="4042" customFormat="false" ht="15" hidden="false" customHeight="false" outlineLevel="0" collapsed="false">
      <c r="A4042" s="2" t="s">
        <v>339</v>
      </c>
      <c r="F4042" s="28" t="n">
        <f aca="false">Assumptions!$C$61</f>
        <v>450</v>
      </c>
      <c r="G4042" s="17" t="n">
        <f aca="false">G4031+G4038+G4036-G4037-G4039-G4040</f>
        <v>450</v>
      </c>
      <c r="H4042" s="17" t="n">
        <f aca="false">H4031+H4038+H4036-H4037-H4039-H4040</f>
        <v>388.1951236658</v>
      </c>
      <c r="I4042" s="17" t="n">
        <f aca="false">I4031+I4038+I4036-I4037-I4039-I4040</f>
        <v>388.1951236658</v>
      </c>
      <c r="J4042" s="17" t="n">
        <f aca="false">J4031+J4038+J4036-J4037-J4039-J4040</f>
        <v>388.1951236658</v>
      </c>
      <c r="K4042" s="17" t="n">
        <f aca="false">K4031+K4038+K4036-K4037-K4039-K4040</f>
        <v>388.1951236658</v>
      </c>
    </row>
    <row r="4043" customFormat="false" ht="15" hidden="false" customHeight="false" outlineLevel="0" collapsed="false">
      <c r="A4043" s="24" t="s">
        <v>344</v>
      </c>
      <c r="B4043" s="25"/>
      <c r="C4043" s="25"/>
      <c r="D4043" s="25"/>
      <c r="E4043" s="25"/>
      <c r="F4043" s="25"/>
      <c r="G4043" s="25"/>
      <c r="H4043" s="25"/>
      <c r="I4043" s="25"/>
      <c r="J4043" s="25"/>
      <c r="K4043" s="25"/>
    </row>
    <row r="4044" customFormat="false" ht="15" hidden="false" customHeight="false" outlineLevel="0" collapsed="false">
      <c r="A4044" s="3" t="s">
        <v>329</v>
      </c>
      <c r="G4044" s="16" t="n">
        <f aca="false">F4055</f>
        <v>350</v>
      </c>
      <c r="H4044" s="16" t="n">
        <f aca="false">G4055</f>
        <v>350</v>
      </c>
      <c r="I4044" s="16" t="n">
        <f aca="false">H4055</f>
        <v>350</v>
      </c>
      <c r="J4044" s="16" t="n">
        <f aca="false">I4055</f>
        <v>350</v>
      </c>
      <c r="K4044" s="16" t="n">
        <f aca="false">J4055</f>
        <v>350</v>
      </c>
    </row>
    <row r="4045" customFormat="false" ht="15" hidden="false" customHeight="false" outlineLevel="0" collapsed="false">
      <c r="A4045" s="3" t="s">
        <v>330</v>
      </c>
      <c r="G4045" s="21" t="n">
        <f aca="false">IF(G3943=Assumptions!$K$62,1,0)</f>
        <v>0</v>
      </c>
      <c r="H4045" s="21" t="n">
        <f aca="false">IF(H3943=Assumptions!$K$62,1,0)</f>
        <v>1</v>
      </c>
      <c r="I4045" s="21" t="n">
        <f aca="false">IF(I3943=Assumptions!$K$62,1,0)</f>
        <v>0</v>
      </c>
      <c r="J4045" s="21" t="n">
        <f aca="false">IF(J3943=Assumptions!$K$62,1,0)</f>
        <v>0</v>
      </c>
      <c r="K4045" s="21" t="n">
        <f aca="false">IF(K3943=Assumptions!$K$62,1,0)</f>
        <v>0</v>
      </c>
    </row>
    <row r="4047" customFormat="false" ht="15" hidden="false" customHeight="false" outlineLevel="0" collapsed="false">
      <c r="A4047" s="3" t="s">
        <v>331</v>
      </c>
      <c r="G4047" s="31" t="n">
        <f aca="false">IF(Assumptions!$I$62=1,MAX(G3969,Assumptions!$G$62)+Assumptions!$F$62+$C$3970,Assumptions!$E$62)</f>
        <v>0.083</v>
      </c>
      <c r="H4047" s="31" t="n">
        <f aca="false">IF(G4294=1,$C$3971,IF(Assumptions!$I$62=1,MAX(H3969,Assumptions!$G$62)+Assumptions!$F$62+$C$3970,Assumptions!$E$62))</f>
        <v>0.083</v>
      </c>
      <c r="I4047" s="31" t="n">
        <f aca="false">IF(H4294=1,$C$3971,IF(Assumptions!$I$62=1,MAX(I3969,Assumptions!$G$62)+Assumptions!$F$62+$C$3970,Assumptions!$E$62))</f>
        <v>0.08</v>
      </c>
      <c r="J4047" s="31" t="n">
        <f aca="false">IF(I4294=1,$C$3971,IF(Assumptions!$I$62=1,MAX(J3969,Assumptions!$G$62)+Assumptions!$F$62+$C$3970,Assumptions!$E$62))</f>
        <v>0.08</v>
      </c>
      <c r="K4047" s="31" t="n">
        <f aca="false">IF(J4294=1,$C$3971,IF(Assumptions!$I$62=1,MAX(K3969,Assumptions!$G$62)+Assumptions!$F$62+$C$3970,Assumptions!$E$62))</f>
        <v>0.08</v>
      </c>
    </row>
    <row r="4048" customFormat="false" ht="15" hidden="false" customHeight="false" outlineLevel="0" collapsed="false">
      <c r="A4048" s="3" t="s">
        <v>332</v>
      </c>
      <c r="G4048" s="16" t="n">
        <f aca="false">G4044*G4047</f>
        <v>29.05</v>
      </c>
      <c r="H4048" s="16" t="n">
        <f aca="false">H4044*H4047</f>
        <v>29.05</v>
      </c>
      <c r="I4048" s="16" t="n">
        <f aca="false">I4044*I4047</f>
        <v>28</v>
      </c>
      <c r="J4048" s="16" t="n">
        <f aca="false">J4044*J4047</f>
        <v>28</v>
      </c>
      <c r="K4048" s="16" t="n">
        <f aca="false">K4044*K4047</f>
        <v>28</v>
      </c>
    </row>
    <row r="4049" customFormat="false" ht="15" hidden="false" customHeight="false" outlineLevel="0" collapsed="false">
      <c r="A4049" s="3" t="s">
        <v>333</v>
      </c>
      <c r="G4049" s="16" t="n">
        <f aca="false">G4044*Assumptions!$H$62</f>
        <v>0</v>
      </c>
      <c r="H4049" s="16" t="n">
        <f aca="false">H4044*Assumptions!$H$62</f>
        <v>0</v>
      </c>
      <c r="I4049" s="16" t="n">
        <f aca="false">I4044*Assumptions!$H$62</f>
        <v>0</v>
      </c>
      <c r="J4049" s="16" t="n">
        <f aca="false">J4044*Assumptions!$H$62</f>
        <v>0</v>
      </c>
      <c r="K4049" s="16" t="n">
        <f aca="false">K4044*Assumptions!$H$62</f>
        <v>0</v>
      </c>
    </row>
    <row r="4050" customFormat="false" ht="15" hidden="false" customHeight="false" outlineLevel="0" collapsed="false">
      <c r="A4050" s="3" t="s">
        <v>334</v>
      </c>
      <c r="G4050" s="16" t="n">
        <f aca="false">MIN(G4044,Assumptions!$L$62*Assumptions!$C$62)</f>
        <v>0</v>
      </c>
      <c r="H4050" s="16" t="n">
        <f aca="false">MIN(H4044,Assumptions!$L$62*Assumptions!$C$62)</f>
        <v>0</v>
      </c>
      <c r="I4050" s="16" t="n">
        <f aca="false">MIN(I4044,Assumptions!$L$62*Assumptions!$C$62)</f>
        <v>0</v>
      </c>
      <c r="J4050" s="16" t="n">
        <f aca="false">MIN(J4044,Assumptions!$L$62*Assumptions!$C$62)</f>
        <v>0</v>
      </c>
      <c r="K4050" s="16" t="n">
        <f aca="false">MIN(K4044,Assumptions!$L$62*Assumptions!$C$62)</f>
        <v>0</v>
      </c>
    </row>
    <row r="4051" customFormat="false" ht="15" hidden="false" customHeight="false" outlineLevel="0" collapsed="false">
      <c r="A4051" s="3" t="s">
        <v>335</v>
      </c>
      <c r="G4051" s="16" t="n">
        <f aca="false">IF(AND(Assumptions!$P$62=1,G3943&lt;Assumptions!$K$62),MIN(MAX(0,-G4159),MAX(0,Assumptions!$D$62-G4044)),0)</f>
        <v>0</v>
      </c>
      <c r="H4051" s="16" t="n">
        <f aca="false">IF(AND(Assumptions!$P$62=1,OR(H3943&lt;Assumptions!$K$62,G4294=1)),MIN(MAX(0,-H4159),MAX(0,Assumptions!$D$62-H4044)),0)</f>
        <v>0</v>
      </c>
      <c r="I4051" s="16" t="n">
        <f aca="false">IF(AND(Assumptions!$P$62=1,OR(I3943&lt;Assumptions!$K$62,H4294=1)),MIN(MAX(0,-I4159),MAX(0,Assumptions!$D$62-I4044)),0)</f>
        <v>0</v>
      </c>
      <c r="J4051" s="16" t="n">
        <f aca="false">IF(AND(Assumptions!$P$62=1,OR(J3943&lt;Assumptions!$K$62,I4294=1)),MIN(MAX(0,-J4159),MAX(0,Assumptions!$D$62-J4044)),0)</f>
        <v>0</v>
      </c>
      <c r="K4051" s="16" t="n">
        <f aca="false">IF(AND(Assumptions!$P$62=1,OR(K3943&lt;Assumptions!$K$62,J4294=1)),MIN(MAX(0,-K4159),MAX(0,Assumptions!$D$62-K4044)),0)</f>
        <v>0</v>
      </c>
    </row>
    <row r="4052" customFormat="false" ht="15" hidden="false" customHeight="false" outlineLevel="0" collapsed="false">
      <c r="A4052" s="3" t="s">
        <v>336</v>
      </c>
      <c r="G4052" s="16" t="n">
        <f aca="false">G4045*MIN(G4044-G4050+G4049,MAX(0,G4161-Assumptions!$C$12*G3977-G3987-G4000-G4013-G4026-G4039))</f>
        <v>0</v>
      </c>
      <c r="H4052" s="16" t="n">
        <f aca="false">H4045*MIN(H4044-H4050+H4049,MAX(0,H4161-Assumptions!$C$12*H3977-H3987-H4000-H4013-H4026-H4039))</f>
        <v>0</v>
      </c>
      <c r="I4052" s="16" t="n">
        <f aca="false">I4045*MIN(I4044-I4050+I4049,MAX(0,I4161-Assumptions!$C$12*I3977-I3987-I4000-I4013-I4026-I4039))</f>
        <v>0</v>
      </c>
      <c r="J4052" s="16" t="n">
        <f aca="false">J4045*MIN(J4044-J4050+J4049,MAX(0,J4161-Assumptions!$C$12*J3977-J3987-J4000-J4013-J4026-J4039))</f>
        <v>0</v>
      </c>
      <c r="K4052" s="16" t="n">
        <f aca="false">K4045*MIN(K4044-K4050+K4049,MAX(0,K4161-Assumptions!$C$12*K3977-K3987-K4000-K4013-K4026-K4039))</f>
        <v>0</v>
      </c>
    </row>
    <row r="4053" customFormat="false" ht="15" hidden="false" customHeight="false" outlineLevel="0" collapsed="false">
      <c r="A4053" s="3" t="s">
        <v>337</v>
      </c>
      <c r="G4053" s="16" t="n">
        <f aca="false">Assumptions!$N$62*MIN(G4044+G4051+G4049-G4050-G4052,MAX(0,G4165-G3988-G4001-G4014-G4027-G4040))</f>
        <v>0</v>
      </c>
      <c r="H4053" s="16" t="n">
        <f aca="false">Assumptions!$N$62*MIN(H4044+H4051+H4049-H4050-H4052,MAX(0,H4165-H3988-H4001-H4014-H4027-H4040))</f>
        <v>0</v>
      </c>
      <c r="I4053" s="16" t="n">
        <f aca="false">Assumptions!$N$62*MIN(I4044+I4051+I4049-I4050-I4052,MAX(0,I4165-I3988-I4001-I4014-I4027-I4040))</f>
        <v>0</v>
      </c>
      <c r="J4053" s="16" t="n">
        <f aca="false">Assumptions!$N$62*MIN(J4044+J4051+J4049-J4050-J4052,MAX(0,J4165-J3988-J4001-J4014-J4027-J4040))</f>
        <v>0</v>
      </c>
      <c r="K4053" s="16" t="n">
        <f aca="false">Assumptions!$N$62*MIN(K4044+K4051+K4049-K4050-K4052,MAX(0,K4165-K3988-K4001-K4014-K4027-K4040))</f>
        <v>0</v>
      </c>
    </row>
    <row r="4054" customFormat="false" ht="15" hidden="false" customHeight="false" outlineLevel="0" collapsed="false">
      <c r="A4054" s="3" t="s">
        <v>338</v>
      </c>
      <c r="G4054" s="16" t="n">
        <f aca="false">G4045*(1-G3977)*(G4044-G4050+G4049-G4052)</f>
        <v>0</v>
      </c>
      <c r="H4054" s="16" t="n">
        <f aca="false">H4045*(1-H3977)*(H4044-H4050+H4049-H4052)</f>
        <v>0</v>
      </c>
      <c r="I4054" s="16" t="n">
        <f aca="false">I4045*(1-I3977)*(I4044-I4050+I4049-I4052)</f>
        <v>0</v>
      </c>
      <c r="J4054" s="16" t="n">
        <f aca="false">J4045*(1-J3977)*(J4044-J4050+J4049-J4052)</f>
        <v>0</v>
      </c>
      <c r="K4054" s="16" t="n">
        <f aca="false">K4045*(1-K3977)*(K4044-K4050+K4049-K4052)</f>
        <v>0</v>
      </c>
    </row>
    <row r="4055" customFormat="false" ht="15" hidden="false" customHeight="false" outlineLevel="0" collapsed="false">
      <c r="A4055" s="2" t="s">
        <v>339</v>
      </c>
      <c r="F4055" s="28" t="n">
        <f aca="false">Assumptions!$C$62</f>
        <v>350</v>
      </c>
      <c r="G4055" s="17" t="n">
        <f aca="false">G4044+G4051+G4049-G4050-G4052-G4053</f>
        <v>350</v>
      </c>
      <c r="H4055" s="17" t="n">
        <f aca="false">H4044+H4051+H4049-H4050-H4052-H4053</f>
        <v>350</v>
      </c>
      <c r="I4055" s="17" t="n">
        <f aca="false">I4044+I4051+I4049-I4050-I4052-I4053</f>
        <v>350</v>
      </c>
      <c r="J4055" s="17" t="n">
        <f aca="false">J4044+J4051+J4049-J4050-J4052-J4053</f>
        <v>350</v>
      </c>
      <c r="K4055" s="17" t="n">
        <f aca="false">K4044+K4051+K4049-K4050-K4052-K4053</f>
        <v>350</v>
      </c>
    </row>
    <row r="4056" customFormat="false" ht="15" hidden="false" customHeight="false" outlineLevel="0" collapsed="false">
      <c r="A4056" s="24" t="s">
        <v>345</v>
      </c>
      <c r="B4056" s="25"/>
      <c r="C4056" s="25"/>
      <c r="D4056" s="25"/>
      <c r="E4056" s="25"/>
      <c r="F4056" s="25"/>
      <c r="G4056" s="25"/>
      <c r="H4056" s="25"/>
      <c r="I4056" s="25"/>
      <c r="J4056" s="25"/>
      <c r="K4056" s="25"/>
    </row>
    <row r="4057" customFormat="false" ht="15" hidden="false" customHeight="false" outlineLevel="0" collapsed="false">
      <c r="A4057" s="3" t="s">
        <v>329</v>
      </c>
      <c r="G4057" s="16" t="n">
        <f aca="false">F4068</f>
        <v>550</v>
      </c>
      <c r="H4057" s="16" t="n">
        <f aca="false">G4068</f>
        <v>550</v>
      </c>
      <c r="I4057" s="16" t="n">
        <f aca="false">H4068</f>
        <v>550</v>
      </c>
      <c r="J4057" s="16" t="n">
        <f aca="false">I4068</f>
        <v>550</v>
      </c>
      <c r="K4057" s="16" t="n">
        <f aca="false">J4068</f>
        <v>550</v>
      </c>
    </row>
    <row r="4058" customFormat="false" ht="15" hidden="false" customHeight="false" outlineLevel="0" collapsed="false">
      <c r="A4058" s="3" t="s">
        <v>330</v>
      </c>
      <c r="G4058" s="21" t="n">
        <f aca="false">IF(G3943=Assumptions!$K$63,1,0)</f>
        <v>0</v>
      </c>
      <c r="H4058" s="21" t="n">
        <f aca="false">IF(H3943=Assumptions!$K$63,1,0)</f>
        <v>0</v>
      </c>
      <c r="I4058" s="21" t="n">
        <f aca="false">IF(I3943=Assumptions!$K$63,1,0)</f>
        <v>1</v>
      </c>
      <c r="J4058" s="21" t="n">
        <f aca="false">IF(J3943=Assumptions!$K$63,1,0)</f>
        <v>0</v>
      </c>
      <c r="K4058" s="21" t="n">
        <f aca="false">IF(K3943=Assumptions!$K$63,1,0)</f>
        <v>0</v>
      </c>
    </row>
    <row r="4060" customFormat="false" ht="15" hidden="false" customHeight="false" outlineLevel="0" collapsed="false">
      <c r="A4060" s="3" t="s">
        <v>331</v>
      </c>
      <c r="G4060" s="31" t="n">
        <f aca="false">IF(Assumptions!$I$63=1,MAX(G3969,Assumptions!$G$63)+Assumptions!$F$63+$C$3970,Assumptions!$E$63)</f>
        <v>0.08875</v>
      </c>
      <c r="H4060" s="31" t="n">
        <f aca="false">IF(G4295=1,$C$3971,IF(Assumptions!$I$63=1,MAX(H3969,Assumptions!$G$63)+Assumptions!$F$63+$C$3970,Assumptions!$E$63))</f>
        <v>0.08875</v>
      </c>
      <c r="I4060" s="31" t="n">
        <f aca="false">IF(H4295=1,$C$3971,IF(Assumptions!$I$63=1,MAX(I3969,Assumptions!$G$63)+Assumptions!$F$63+$C$3970,Assumptions!$E$63))</f>
        <v>0.08875</v>
      </c>
      <c r="J4060" s="31" t="n">
        <f aca="false">IF(I4295=1,$C$3971,IF(Assumptions!$I$63=1,MAX(J3969,Assumptions!$G$63)+Assumptions!$F$63+$C$3970,Assumptions!$E$63))</f>
        <v>0.08</v>
      </c>
      <c r="K4060" s="31" t="n">
        <f aca="false">IF(J4295=1,$C$3971,IF(Assumptions!$I$63=1,MAX(K3969,Assumptions!$G$63)+Assumptions!$F$63+$C$3970,Assumptions!$E$63))</f>
        <v>0.08</v>
      </c>
    </row>
    <row r="4061" customFormat="false" ht="15" hidden="false" customHeight="false" outlineLevel="0" collapsed="false">
      <c r="A4061" s="3" t="s">
        <v>332</v>
      </c>
      <c r="G4061" s="16" t="n">
        <f aca="false">G4057*G4060</f>
        <v>48.8125</v>
      </c>
      <c r="H4061" s="16" t="n">
        <f aca="false">H4057*H4060</f>
        <v>48.8125</v>
      </c>
      <c r="I4061" s="16" t="n">
        <f aca="false">I4057*I4060</f>
        <v>48.8125</v>
      </c>
      <c r="J4061" s="16" t="n">
        <f aca="false">J4057*J4060</f>
        <v>44</v>
      </c>
      <c r="K4061" s="16" t="n">
        <f aca="false">K4057*K4060</f>
        <v>44</v>
      </c>
    </row>
    <row r="4062" customFormat="false" ht="15" hidden="false" customHeight="false" outlineLevel="0" collapsed="false">
      <c r="A4062" s="3" t="s">
        <v>333</v>
      </c>
      <c r="G4062" s="16" t="n">
        <f aca="false">G4057*Assumptions!$H$63</f>
        <v>0</v>
      </c>
      <c r="H4062" s="16" t="n">
        <f aca="false">H4057*Assumptions!$H$63</f>
        <v>0</v>
      </c>
      <c r="I4062" s="16" t="n">
        <f aca="false">I4057*Assumptions!$H$63</f>
        <v>0</v>
      </c>
      <c r="J4062" s="16" t="n">
        <f aca="false">J4057*Assumptions!$H$63</f>
        <v>0</v>
      </c>
      <c r="K4062" s="16" t="n">
        <f aca="false">K4057*Assumptions!$H$63</f>
        <v>0</v>
      </c>
    </row>
    <row r="4063" customFormat="false" ht="15" hidden="false" customHeight="false" outlineLevel="0" collapsed="false">
      <c r="A4063" s="3" t="s">
        <v>334</v>
      </c>
      <c r="G4063" s="16" t="n">
        <f aca="false">MIN(G4057,Assumptions!$L$63*Assumptions!$C$63)</f>
        <v>0</v>
      </c>
      <c r="H4063" s="16" t="n">
        <f aca="false">MIN(H4057,Assumptions!$L$63*Assumptions!$C$63)</f>
        <v>0</v>
      </c>
      <c r="I4063" s="16" t="n">
        <f aca="false">MIN(I4057,Assumptions!$L$63*Assumptions!$C$63)</f>
        <v>0</v>
      </c>
      <c r="J4063" s="16" t="n">
        <f aca="false">MIN(J4057,Assumptions!$L$63*Assumptions!$C$63)</f>
        <v>0</v>
      </c>
      <c r="K4063" s="16" t="n">
        <f aca="false">MIN(K4057,Assumptions!$L$63*Assumptions!$C$63)</f>
        <v>0</v>
      </c>
    </row>
    <row r="4064" customFormat="false" ht="15" hidden="false" customHeight="false" outlineLevel="0" collapsed="false">
      <c r="A4064" s="3" t="s">
        <v>335</v>
      </c>
      <c r="G4064" s="16" t="n">
        <f aca="false">IF(AND(Assumptions!$P$63=1,G3943&lt;Assumptions!$K$63),MIN(MAX(0,-G4159),MAX(0,Assumptions!$D$63-G4057)),0)</f>
        <v>0</v>
      </c>
      <c r="H4064" s="16" t="n">
        <f aca="false">IF(AND(Assumptions!$P$63=1,OR(H3943&lt;Assumptions!$K$63,G4295=1)),MIN(MAX(0,-H4159),MAX(0,Assumptions!$D$63-H4057)),0)</f>
        <v>0</v>
      </c>
      <c r="I4064" s="16" t="n">
        <f aca="false">IF(AND(Assumptions!$P$63=1,OR(I3943&lt;Assumptions!$K$63,H4295=1)),MIN(MAX(0,-I4159),MAX(0,Assumptions!$D$63-I4057)),0)</f>
        <v>0</v>
      </c>
      <c r="J4064" s="16" t="n">
        <f aca="false">IF(AND(Assumptions!$P$63=1,OR(J3943&lt;Assumptions!$K$63,I4295=1)),MIN(MAX(0,-J4159),MAX(0,Assumptions!$D$63-J4057)),0)</f>
        <v>0</v>
      </c>
      <c r="K4064" s="16" t="n">
        <f aca="false">IF(AND(Assumptions!$P$63=1,OR(K3943&lt;Assumptions!$K$63,J4295=1)),MIN(MAX(0,-K4159),MAX(0,Assumptions!$D$63-K4057)),0)</f>
        <v>0</v>
      </c>
    </row>
    <row r="4065" customFormat="false" ht="15" hidden="false" customHeight="false" outlineLevel="0" collapsed="false">
      <c r="A4065" s="3" t="s">
        <v>336</v>
      </c>
      <c r="G4065" s="16" t="n">
        <f aca="false">G4058*MIN(G4057-G4063+G4062,MAX(0,G4161-Assumptions!$C$12*G3977-G3987-G4000-G4013-G4026-G4039-G4052))</f>
        <v>0</v>
      </c>
      <c r="H4065" s="16" t="n">
        <f aca="false">H4058*MIN(H4057-H4063+H4062,MAX(0,H4161-Assumptions!$C$12*H3977-H3987-H4000-H4013-H4026-H4039-H4052))</f>
        <v>0</v>
      </c>
      <c r="I4065" s="16" t="n">
        <f aca="false">I4058*MIN(I4057-I4063+I4062,MAX(0,I4161-Assumptions!$C$12*I3977-I3987-I4000-I4013-I4026-I4039-I4052))</f>
        <v>0</v>
      </c>
      <c r="J4065" s="16" t="n">
        <f aca="false">J4058*MIN(J4057-J4063+J4062,MAX(0,J4161-Assumptions!$C$12*J3977-J3987-J4000-J4013-J4026-J4039-J4052))</f>
        <v>0</v>
      </c>
      <c r="K4065" s="16" t="n">
        <f aca="false">K4058*MIN(K4057-K4063+K4062,MAX(0,K4161-Assumptions!$C$12*K3977-K3987-K4000-K4013-K4026-K4039-K4052))</f>
        <v>0</v>
      </c>
    </row>
    <row r="4066" customFormat="false" ht="15" hidden="false" customHeight="false" outlineLevel="0" collapsed="false">
      <c r="A4066" s="3" t="s">
        <v>337</v>
      </c>
      <c r="G4066" s="16" t="n">
        <f aca="false">Assumptions!$N$63*MIN(G4057+G4064+G4062-G4063-G4065,MAX(0,G4165-G3988-G4001-G4014-G4027-G4040-G4053))</f>
        <v>0</v>
      </c>
      <c r="H4066" s="16" t="n">
        <f aca="false">Assumptions!$N$63*MIN(H4057+H4064+H4062-H4063-H4065,MAX(0,H4165-H3988-H4001-H4014-H4027-H4040-H4053))</f>
        <v>0</v>
      </c>
      <c r="I4066" s="16" t="n">
        <f aca="false">Assumptions!$N$63*MIN(I4057+I4064+I4062-I4063-I4065,MAX(0,I4165-I3988-I4001-I4014-I4027-I4040-I4053))</f>
        <v>0</v>
      </c>
      <c r="J4066" s="16" t="n">
        <f aca="false">Assumptions!$N$63*MIN(J4057+J4064+J4062-J4063-J4065,MAX(0,J4165-J3988-J4001-J4014-J4027-J4040-J4053))</f>
        <v>0</v>
      </c>
      <c r="K4066" s="16" t="n">
        <f aca="false">Assumptions!$N$63*MIN(K4057+K4064+K4062-K4063-K4065,MAX(0,K4165-K3988-K4001-K4014-K4027-K4040-K4053))</f>
        <v>0</v>
      </c>
    </row>
    <row r="4067" customFormat="false" ht="15" hidden="false" customHeight="false" outlineLevel="0" collapsed="false">
      <c r="A4067" s="3" t="s">
        <v>338</v>
      </c>
      <c r="G4067" s="16" t="n">
        <f aca="false">G4058*(1-G3977)*(G4057-G4063+G4062-G4065)</f>
        <v>0</v>
      </c>
      <c r="H4067" s="16" t="n">
        <f aca="false">H4058*(1-H3977)*(H4057-H4063+H4062-H4065)</f>
        <v>0</v>
      </c>
      <c r="I4067" s="16" t="n">
        <f aca="false">I4058*(1-I3977)*(I4057-I4063+I4062-I4065)</f>
        <v>0</v>
      </c>
      <c r="J4067" s="16" t="n">
        <f aca="false">J4058*(1-J3977)*(J4057-J4063+J4062-J4065)</f>
        <v>0</v>
      </c>
      <c r="K4067" s="16" t="n">
        <f aca="false">K4058*(1-K3977)*(K4057-K4063+K4062-K4065)</f>
        <v>0</v>
      </c>
    </row>
    <row r="4068" customFormat="false" ht="15" hidden="false" customHeight="false" outlineLevel="0" collapsed="false">
      <c r="A4068" s="2" t="s">
        <v>339</v>
      </c>
      <c r="F4068" s="28" t="n">
        <f aca="false">Assumptions!$C$63</f>
        <v>550</v>
      </c>
      <c r="G4068" s="17" t="n">
        <f aca="false">G4057+G4064+G4062-G4063-G4065-G4066</f>
        <v>550</v>
      </c>
      <c r="H4068" s="17" t="n">
        <f aca="false">H4057+H4064+H4062-H4063-H4065-H4066</f>
        <v>550</v>
      </c>
      <c r="I4068" s="17" t="n">
        <f aca="false">I4057+I4064+I4062-I4063-I4065-I4066</f>
        <v>550</v>
      </c>
      <c r="J4068" s="17" t="n">
        <f aca="false">J4057+J4064+J4062-J4063-J4065-J4066</f>
        <v>550</v>
      </c>
      <c r="K4068" s="17" t="n">
        <f aca="false">K4057+K4064+K4062-K4063-K4065-K4066</f>
        <v>550</v>
      </c>
    </row>
    <row r="4069" customFormat="false" ht="15" hidden="false" customHeight="false" outlineLevel="0" collapsed="false">
      <c r="A4069" s="24" t="s">
        <v>346</v>
      </c>
      <c r="B4069" s="25"/>
      <c r="C4069" s="25"/>
      <c r="D4069" s="25"/>
      <c r="E4069" s="25"/>
      <c r="F4069" s="25"/>
      <c r="G4069" s="25"/>
      <c r="H4069" s="25"/>
      <c r="I4069" s="25"/>
      <c r="J4069" s="25"/>
      <c r="K4069" s="25"/>
    </row>
    <row r="4070" customFormat="false" ht="15" hidden="false" customHeight="false" outlineLevel="0" collapsed="false">
      <c r="A4070" s="3" t="s">
        <v>329</v>
      </c>
      <c r="G4070" s="16" t="n">
        <f aca="false">F4081</f>
        <v>350</v>
      </c>
      <c r="H4070" s="16" t="n">
        <f aca="false">G4081</f>
        <v>350</v>
      </c>
      <c r="I4070" s="16" t="n">
        <f aca="false">H4081</f>
        <v>350</v>
      </c>
      <c r="J4070" s="16" t="n">
        <f aca="false">I4081</f>
        <v>350</v>
      </c>
      <c r="K4070" s="16" t="n">
        <f aca="false">J4081</f>
        <v>350</v>
      </c>
    </row>
    <row r="4071" customFormat="false" ht="15" hidden="false" customHeight="false" outlineLevel="0" collapsed="false">
      <c r="A4071" s="3" t="s">
        <v>330</v>
      </c>
      <c r="G4071" s="21" t="n">
        <f aca="false">IF(G3943=Assumptions!$K$64,1,0)</f>
        <v>0</v>
      </c>
      <c r="H4071" s="21" t="n">
        <f aca="false">IF(H3943=Assumptions!$K$64,1,0)</f>
        <v>0</v>
      </c>
      <c r="I4071" s="21" t="n">
        <f aca="false">IF(I3943=Assumptions!$K$64,1,0)</f>
        <v>0</v>
      </c>
      <c r="J4071" s="21" t="n">
        <f aca="false">IF(J3943=Assumptions!$K$64,1,0)</f>
        <v>1</v>
      </c>
      <c r="K4071" s="21" t="n">
        <f aca="false">IF(K3943=Assumptions!$K$64,1,0)</f>
        <v>0</v>
      </c>
    </row>
    <row r="4073" customFormat="false" ht="15" hidden="false" customHeight="false" outlineLevel="0" collapsed="false">
      <c r="A4073" s="3" t="s">
        <v>331</v>
      </c>
      <c r="G4073" s="31" t="n">
        <f aca="false">IF(Assumptions!$I$64=1,MAX(G3969,Assumptions!$G$64)+Assumptions!$F$64+$C$3970,Assumptions!$E$64)</f>
        <v>0.0455</v>
      </c>
      <c r="H4073" s="31" t="n">
        <f aca="false">IF(G4296=1,$C$3971,IF(Assumptions!$I$64=1,MAX(H3969,Assumptions!$G$64)+Assumptions!$F$64+$C$3970,Assumptions!$E$64))</f>
        <v>0.0455</v>
      </c>
      <c r="I4073" s="31" t="n">
        <f aca="false">IF(H4296=1,$C$3971,IF(Assumptions!$I$64=1,MAX(I3969,Assumptions!$G$64)+Assumptions!$F$64+$C$3970,Assumptions!$E$64))</f>
        <v>0.0455</v>
      </c>
      <c r="J4073" s="31" t="n">
        <f aca="false">IF(I4296=1,$C$3971,IF(Assumptions!$I$64=1,MAX(J3969,Assumptions!$G$64)+Assumptions!$F$64+$C$3970,Assumptions!$E$64))</f>
        <v>0.0455</v>
      </c>
      <c r="K4073" s="31" t="n">
        <f aca="false">IF(J4296=1,$C$3971,IF(Assumptions!$I$64=1,MAX(K3969,Assumptions!$G$64)+Assumptions!$F$64+$C$3970,Assumptions!$E$64))</f>
        <v>0.08</v>
      </c>
    </row>
    <row r="4074" customFormat="false" ht="15" hidden="false" customHeight="false" outlineLevel="0" collapsed="false">
      <c r="A4074" s="3" t="s">
        <v>332</v>
      </c>
      <c r="G4074" s="16" t="n">
        <f aca="false">G4070*G4073</f>
        <v>15.925</v>
      </c>
      <c r="H4074" s="16" t="n">
        <f aca="false">H4070*H4073</f>
        <v>15.925</v>
      </c>
      <c r="I4074" s="16" t="n">
        <f aca="false">I4070*I4073</f>
        <v>15.925</v>
      </c>
      <c r="J4074" s="16" t="n">
        <f aca="false">J4070*J4073</f>
        <v>15.925</v>
      </c>
      <c r="K4074" s="16" t="n">
        <f aca="false">K4070*K4073</f>
        <v>28</v>
      </c>
    </row>
    <row r="4075" customFormat="false" ht="15" hidden="false" customHeight="false" outlineLevel="0" collapsed="false">
      <c r="A4075" s="3" t="s">
        <v>333</v>
      </c>
      <c r="G4075" s="16" t="n">
        <f aca="false">G4070*Assumptions!$H$64</f>
        <v>0</v>
      </c>
      <c r="H4075" s="16" t="n">
        <f aca="false">H4070*Assumptions!$H$64</f>
        <v>0</v>
      </c>
      <c r="I4075" s="16" t="n">
        <f aca="false">I4070*Assumptions!$H$64</f>
        <v>0</v>
      </c>
      <c r="J4075" s="16" t="n">
        <f aca="false">J4070*Assumptions!$H$64</f>
        <v>0</v>
      </c>
      <c r="K4075" s="16" t="n">
        <f aca="false">K4070*Assumptions!$H$64</f>
        <v>0</v>
      </c>
    </row>
    <row r="4076" customFormat="false" ht="15" hidden="false" customHeight="false" outlineLevel="0" collapsed="false">
      <c r="A4076" s="3" t="s">
        <v>334</v>
      </c>
      <c r="G4076" s="16" t="n">
        <f aca="false">MIN(G4070,Assumptions!$L$64*Assumptions!$C$64)</f>
        <v>0</v>
      </c>
      <c r="H4076" s="16" t="n">
        <f aca="false">MIN(H4070,Assumptions!$L$64*Assumptions!$C$64)</f>
        <v>0</v>
      </c>
      <c r="I4076" s="16" t="n">
        <f aca="false">MIN(I4070,Assumptions!$L$64*Assumptions!$C$64)</f>
        <v>0</v>
      </c>
      <c r="J4076" s="16" t="n">
        <f aca="false">MIN(J4070,Assumptions!$L$64*Assumptions!$C$64)</f>
        <v>0</v>
      </c>
      <c r="K4076" s="16" t="n">
        <f aca="false">MIN(K4070,Assumptions!$L$64*Assumptions!$C$64)</f>
        <v>0</v>
      </c>
    </row>
    <row r="4077" customFormat="false" ht="15" hidden="false" customHeight="false" outlineLevel="0" collapsed="false">
      <c r="A4077" s="3" t="s">
        <v>335</v>
      </c>
      <c r="G4077" s="16" t="n">
        <f aca="false">IF(AND(Assumptions!$P$64=1,G3943&lt;Assumptions!$K$64),MIN(MAX(0,-G4159),MAX(0,Assumptions!$D$64-G4070)),0)</f>
        <v>0</v>
      </c>
      <c r="H4077" s="16" t="n">
        <f aca="false">IF(AND(Assumptions!$P$64=1,OR(H3943&lt;Assumptions!$K$64,G4296=1)),MIN(MAX(0,-H4159),MAX(0,Assumptions!$D$64-H4070)),0)</f>
        <v>0</v>
      </c>
      <c r="I4077" s="16" t="n">
        <f aca="false">IF(AND(Assumptions!$P$64=1,OR(I3943&lt;Assumptions!$K$64,H4296=1)),MIN(MAX(0,-I4159),MAX(0,Assumptions!$D$64-I4070)),0)</f>
        <v>0</v>
      </c>
      <c r="J4077" s="16" t="n">
        <f aca="false">IF(AND(Assumptions!$P$64=1,OR(J3943&lt;Assumptions!$K$64,I4296=1)),MIN(MAX(0,-J4159),MAX(0,Assumptions!$D$64-J4070)),0)</f>
        <v>0</v>
      </c>
      <c r="K4077" s="16" t="n">
        <f aca="false">IF(AND(Assumptions!$P$64=1,OR(K3943&lt;Assumptions!$K$64,J4296=1)),MIN(MAX(0,-K4159),MAX(0,Assumptions!$D$64-K4070)),0)</f>
        <v>0</v>
      </c>
    </row>
    <row r="4078" customFormat="false" ht="15" hidden="false" customHeight="false" outlineLevel="0" collapsed="false">
      <c r="A4078" s="3" t="s">
        <v>336</v>
      </c>
      <c r="G4078" s="16" t="n">
        <f aca="false">G4071*MIN(G4070-G4076+G4075,MAX(0,G4161-Assumptions!$C$12*G3977-G3987-G4000-G4013-G4026-G4039-G4052-G4065))</f>
        <v>0</v>
      </c>
      <c r="H4078" s="16" t="n">
        <f aca="false">H4071*MIN(H4070-H4076+H4075,MAX(0,H4161-Assumptions!$C$12*H3977-H3987-H4000-H4013-H4026-H4039-H4052-H4065))</f>
        <v>0</v>
      </c>
      <c r="I4078" s="16" t="n">
        <f aca="false">I4071*MIN(I4070-I4076+I4075,MAX(0,I4161-Assumptions!$C$12*I3977-I3987-I4000-I4013-I4026-I4039-I4052-I4065))</f>
        <v>0</v>
      </c>
      <c r="J4078" s="16" t="n">
        <f aca="false">J4071*MIN(J4070-J4076+J4075,MAX(0,J4161-Assumptions!$C$12*J3977-J3987-J4000-J4013-J4026-J4039-J4052-J4065))</f>
        <v>0</v>
      </c>
      <c r="K4078" s="16" t="n">
        <f aca="false">K4071*MIN(K4070-K4076+K4075,MAX(0,K4161-Assumptions!$C$12*K3977-K3987-K4000-K4013-K4026-K4039-K4052-K4065))</f>
        <v>0</v>
      </c>
    </row>
    <row r="4079" customFormat="false" ht="15" hidden="false" customHeight="false" outlineLevel="0" collapsed="false">
      <c r="A4079" s="3" t="s">
        <v>337</v>
      </c>
      <c r="G4079" s="16" t="n">
        <f aca="false">Assumptions!$N$64*MIN(G4070+G4077+G4075-G4076-G4078,MAX(0,G4165-G3988-G4001-G4014-G4027-G4040-G4053-G4066))</f>
        <v>0</v>
      </c>
      <c r="H4079" s="16" t="n">
        <f aca="false">Assumptions!$N$64*MIN(H4070+H4077+H4075-H4076-H4078,MAX(0,H4165-H3988-H4001-H4014-H4027-H4040-H4053-H4066))</f>
        <v>0</v>
      </c>
      <c r="I4079" s="16" t="n">
        <f aca="false">Assumptions!$N$64*MIN(I4070+I4077+I4075-I4076-I4078,MAX(0,I4165-I3988-I4001-I4014-I4027-I4040-I4053-I4066))</f>
        <v>0</v>
      </c>
      <c r="J4079" s="16" t="n">
        <f aca="false">Assumptions!$N$64*MIN(J4070+J4077+J4075-J4076-J4078,MAX(0,J4165-J3988-J4001-J4014-J4027-J4040-J4053-J4066))</f>
        <v>0</v>
      </c>
      <c r="K4079" s="16" t="n">
        <f aca="false">Assumptions!$N$64*MIN(K4070+K4077+K4075-K4076-K4078,MAX(0,K4165-K3988-K4001-K4014-K4027-K4040-K4053-K4066))</f>
        <v>0</v>
      </c>
    </row>
    <row r="4080" customFormat="false" ht="15" hidden="false" customHeight="false" outlineLevel="0" collapsed="false">
      <c r="A4080" s="3" t="s">
        <v>338</v>
      </c>
      <c r="G4080" s="16" t="n">
        <f aca="false">G4071*(1-G3977)*(G4070-G4076+G4075-G4078)</f>
        <v>0</v>
      </c>
      <c r="H4080" s="16" t="n">
        <f aca="false">H4071*(1-H3977)*(H4070-H4076+H4075-H4078)</f>
        <v>0</v>
      </c>
      <c r="I4080" s="16" t="n">
        <f aca="false">I4071*(1-I3977)*(I4070-I4076+I4075-I4078)</f>
        <v>0</v>
      </c>
      <c r="J4080" s="16" t="n">
        <f aca="false">J4071*(1-J3977)*(J4070-J4076+J4075-J4078)</f>
        <v>0</v>
      </c>
      <c r="K4080" s="16" t="n">
        <f aca="false">K4071*(1-K3977)*(K4070-K4076+K4075-K4078)</f>
        <v>0</v>
      </c>
    </row>
    <row r="4081" customFormat="false" ht="15" hidden="false" customHeight="false" outlineLevel="0" collapsed="false">
      <c r="A4081" s="2" t="s">
        <v>339</v>
      </c>
      <c r="F4081" s="28" t="n">
        <f aca="false">Assumptions!$C$64</f>
        <v>350</v>
      </c>
      <c r="G4081" s="17" t="n">
        <f aca="false">G4070+G4077+G4075-G4076-G4078-G4079</f>
        <v>350</v>
      </c>
      <c r="H4081" s="17" t="n">
        <f aca="false">H4070+H4077+H4075-H4076-H4078-H4079</f>
        <v>350</v>
      </c>
      <c r="I4081" s="17" t="n">
        <f aca="false">I4070+I4077+I4075-I4076-I4078-I4079</f>
        <v>350</v>
      </c>
      <c r="J4081" s="17" t="n">
        <f aca="false">J4070+J4077+J4075-J4076-J4078-J4079</f>
        <v>350</v>
      </c>
      <c r="K4081" s="17" t="n">
        <f aca="false">K4070+K4077+K4075-K4076-K4078-K4079</f>
        <v>350</v>
      </c>
    </row>
    <row r="4082" customFormat="false" ht="15" hidden="false" customHeight="false" outlineLevel="0" collapsed="false">
      <c r="A4082" s="24" t="s">
        <v>347</v>
      </c>
      <c r="B4082" s="25"/>
      <c r="C4082" s="25"/>
      <c r="D4082" s="25"/>
      <c r="E4082" s="25"/>
      <c r="F4082" s="25"/>
      <c r="G4082" s="25"/>
      <c r="H4082" s="25"/>
      <c r="I4082" s="25"/>
      <c r="J4082" s="25"/>
      <c r="K4082" s="25"/>
    </row>
    <row r="4083" customFormat="false" ht="15" hidden="false" customHeight="false" outlineLevel="0" collapsed="false">
      <c r="A4083" s="3" t="s">
        <v>329</v>
      </c>
      <c r="G4083" s="16" t="n">
        <f aca="false">F4094</f>
        <v>300</v>
      </c>
      <c r="H4083" s="16" t="n">
        <f aca="false">G4094</f>
        <v>300</v>
      </c>
      <c r="I4083" s="16" t="n">
        <f aca="false">H4094</f>
        <v>300</v>
      </c>
      <c r="J4083" s="16" t="n">
        <f aca="false">I4094</f>
        <v>300</v>
      </c>
      <c r="K4083" s="16" t="n">
        <f aca="false">J4094</f>
        <v>300</v>
      </c>
    </row>
    <row r="4084" customFormat="false" ht="15" hidden="false" customHeight="false" outlineLevel="0" collapsed="false">
      <c r="A4084" s="3" t="s">
        <v>330</v>
      </c>
      <c r="G4084" s="21" t="n">
        <f aca="false">IF(G3943=Assumptions!$K$65,1,0)</f>
        <v>0</v>
      </c>
      <c r="H4084" s="21" t="n">
        <f aca="false">IF(H3943=Assumptions!$K$65,1,0)</f>
        <v>0</v>
      </c>
      <c r="I4084" s="21" t="n">
        <f aca="false">IF(I3943=Assumptions!$K$65,1,0)</f>
        <v>0</v>
      </c>
      <c r="J4084" s="21" t="n">
        <f aca="false">IF(J3943=Assumptions!$K$65,1,0)</f>
        <v>0</v>
      </c>
      <c r="K4084" s="21" t="n">
        <f aca="false">IF(K3943=Assumptions!$K$65,1,0)</f>
        <v>1</v>
      </c>
    </row>
    <row r="4086" customFormat="false" ht="15" hidden="false" customHeight="false" outlineLevel="0" collapsed="false">
      <c r="A4086" s="3" t="s">
        <v>331</v>
      </c>
      <c r="G4086" s="31" t="n">
        <f aca="false">IF(Assumptions!$I$65=1,MAX(G3969,Assumptions!$G$65)+Assumptions!$F$65+$C$3970,Assumptions!$E$65)</f>
        <v>0.06125</v>
      </c>
      <c r="H4086" s="31" t="n">
        <f aca="false">IF(G4297=1,$C$3971,IF(Assumptions!$I$65=1,MAX(H3969,Assumptions!$G$65)+Assumptions!$F$65+$C$3970,Assumptions!$E$65))</f>
        <v>0.06125</v>
      </c>
      <c r="I4086" s="31" t="n">
        <f aca="false">IF(H4297=1,$C$3971,IF(Assumptions!$I$65=1,MAX(I3969,Assumptions!$G$65)+Assumptions!$F$65+$C$3970,Assumptions!$E$65))</f>
        <v>0.06125</v>
      </c>
      <c r="J4086" s="31" t="n">
        <f aca="false">IF(I4297=1,$C$3971,IF(Assumptions!$I$65=1,MAX(J3969,Assumptions!$G$65)+Assumptions!$F$65+$C$3970,Assumptions!$E$65))</f>
        <v>0.06125</v>
      </c>
      <c r="K4086" s="31" t="n">
        <f aca="false">IF(J4297=1,$C$3971,IF(Assumptions!$I$65=1,MAX(K3969,Assumptions!$G$65)+Assumptions!$F$65+$C$3970,Assumptions!$E$65))</f>
        <v>0.06125</v>
      </c>
    </row>
    <row r="4087" customFormat="false" ht="15" hidden="false" customHeight="false" outlineLevel="0" collapsed="false">
      <c r="A4087" s="3" t="s">
        <v>332</v>
      </c>
      <c r="G4087" s="16" t="n">
        <f aca="false">G4083*G4086</f>
        <v>18.375</v>
      </c>
      <c r="H4087" s="16" t="n">
        <f aca="false">H4083*H4086</f>
        <v>18.375</v>
      </c>
      <c r="I4087" s="16" t="n">
        <f aca="false">I4083*I4086</f>
        <v>18.375</v>
      </c>
      <c r="J4087" s="16" t="n">
        <f aca="false">J4083*J4086</f>
        <v>18.375</v>
      </c>
      <c r="K4087" s="16" t="n">
        <f aca="false">K4083*K4086</f>
        <v>18.375</v>
      </c>
    </row>
    <row r="4088" customFormat="false" ht="15" hidden="false" customHeight="false" outlineLevel="0" collapsed="false">
      <c r="A4088" s="3" t="s">
        <v>333</v>
      </c>
      <c r="G4088" s="16" t="n">
        <f aca="false">G4083*Assumptions!$H$65</f>
        <v>0</v>
      </c>
      <c r="H4088" s="16" t="n">
        <f aca="false">H4083*Assumptions!$H$65</f>
        <v>0</v>
      </c>
      <c r="I4088" s="16" t="n">
        <f aca="false">I4083*Assumptions!$H$65</f>
        <v>0</v>
      </c>
      <c r="J4088" s="16" t="n">
        <f aca="false">J4083*Assumptions!$H$65</f>
        <v>0</v>
      </c>
      <c r="K4088" s="16" t="n">
        <f aca="false">K4083*Assumptions!$H$65</f>
        <v>0</v>
      </c>
    </row>
    <row r="4089" customFormat="false" ht="15" hidden="false" customHeight="false" outlineLevel="0" collapsed="false">
      <c r="A4089" s="3" t="s">
        <v>334</v>
      </c>
      <c r="G4089" s="16" t="n">
        <f aca="false">MIN(G4083,Assumptions!$L$65*Assumptions!$C$65)</f>
        <v>0</v>
      </c>
      <c r="H4089" s="16" t="n">
        <f aca="false">MIN(H4083,Assumptions!$L$65*Assumptions!$C$65)</f>
        <v>0</v>
      </c>
      <c r="I4089" s="16" t="n">
        <f aca="false">MIN(I4083,Assumptions!$L$65*Assumptions!$C$65)</f>
        <v>0</v>
      </c>
      <c r="J4089" s="16" t="n">
        <f aca="false">MIN(J4083,Assumptions!$L$65*Assumptions!$C$65)</f>
        <v>0</v>
      </c>
      <c r="K4089" s="16" t="n">
        <f aca="false">MIN(K4083,Assumptions!$L$65*Assumptions!$C$65)</f>
        <v>0</v>
      </c>
    </row>
    <row r="4090" customFormat="false" ht="15" hidden="false" customHeight="false" outlineLevel="0" collapsed="false">
      <c r="A4090" s="3" t="s">
        <v>335</v>
      </c>
      <c r="G4090" s="16" t="n">
        <f aca="false">IF(AND(Assumptions!$P$65=1,G3943&lt;Assumptions!$K$65),MIN(MAX(0,-G4159),MAX(0,Assumptions!$D$65-G4083)),0)</f>
        <v>0</v>
      </c>
      <c r="H4090" s="16" t="n">
        <f aca="false">IF(AND(Assumptions!$P$65=1,OR(H3943&lt;Assumptions!$K$65,G4297=1)),MIN(MAX(0,-H4159),MAX(0,Assumptions!$D$65-H4083)),0)</f>
        <v>0</v>
      </c>
      <c r="I4090" s="16" t="n">
        <f aca="false">IF(AND(Assumptions!$P$65=1,OR(I3943&lt;Assumptions!$K$65,H4297=1)),MIN(MAX(0,-I4159),MAX(0,Assumptions!$D$65-I4083)),0)</f>
        <v>0</v>
      </c>
      <c r="J4090" s="16" t="n">
        <f aca="false">IF(AND(Assumptions!$P$65=1,OR(J3943&lt;Assumptions!$K$65,I4297=1)),MIN(MAX(0,-J4159),MAX(0,Assumptions!$D$65-J4083)),0)</f>
        <v>0</v>
      </c>
      <c r="K4090" s="16" t="n">
        <f aca="false">IF(AND(Assumptions!$P$65=1,OR(K3943&lt;Assumptions!$K$65,J4297=1)),MIN(MAX(0,-K4159),MAX(0,Assumptions!$D$65-K4083)),0)</f>
        <v>0</v>
      </c>
    </row>
    <row r="4091" customFormat="false" ht="15" hidden="false" customHeight="false" outlineLevel="0" collapsed="false">
      <c r="A4091" s="3" t="s">
        <v>336</v>
      </c>
      <c r="G4091" s="16" t="n">
        <f aca="false">G4084*MIN(G4083-G4089+G4088,MAX(0,G4161-Assumptions!$C$12*G3977-G3987-G4000-G4013-G4026-G4039-G4052-G4065-G4078))</f>
        <v>0</v>
      </c>
      <c r="H4091" s="16" t="n">
        <f aca="false">H4084*MIN(H4083-H4089+H4088,MAX(0,H4161-Assumptions!$C$12*H3977-H3987-H4000-H4013-H4026-H4039-H4052-H4065-H4078))</f>
        <v>0</v>
      </c>
      <c r="I4091" s="16" t="n">
        <f aca="false">I4084*MIN(I4083-I4089+I4088,MAX(0,I4161-Assumptions!$C$12*I3977-I3987-I4000-I4013-I4026-I4039-I4052-I4065-I4078))</f>
        <v>0</v>
      </c>
      <c r="J4091" s="16" t="n">
        <f aca="false">J4084*MIN(J4083-J4089+J4088,MAX(0,J4161-Assumptions!$C$12*J3977-J3987-J4000-J4013-J4026-J4039-J4052-J4065-J4078))</f>
        <v>0</v>
      </c>
      <c r="K4091" s="16" t="n">
        <f aca="false">K4084*MIN(K4083-K4089+K4088,MAX(0,K4161-Assumptions!$C$12*K3977-K3987-K4000-K4013-K4026-K4039-K4052-K4065-K4078))</f>
        <v>0</v>
      </c>
    </row>
    <row r="4092" customFormat="false" ht="15" hidden="false" customHeight="false" outlineLevel="0" collapsed="false">
      <c r="A4092" s="3" t="s">
        <v>337</v>
      </c>
      <c r="G4092" s="16" t="n">
        <f aca="false">Assumptions!$N$65*MIN(G4083+G4090+G4088-G4089-G4091,MAX(0,G4165-G3988-G4001-G4014-G4027-G4040-G4053-G4066-G4079))</f>
        <v>0</v>
      </c>
      <c r="H4092" s="16" t="n">
        <f aca="false">Assumptions!$N$65*MIN(H4083+H4090+H4088-H4089-H4091,MAX(0,H4165-H3988-H4001-H4014-H4027-H4040-H4053-H4066-H4079))</f>
        <v>0</v>
      </c>
      <c r="I4092" s="16" t="n">
        <f aca="false">Assumptions!$N$65*MIN(I4083+I4090+I4088-I4089-I4091,MAX(0,I4165-I3988-I4001-I4014-I4027-I4040-I4053-I4066-I4079))</f>
        <v>0</v>
      </c>
      <c r="J4092" s="16" t="n">
        <f aca="false">Assumptions!$N$65*MIN(J4083+J4090+J4088-J4089-J4091,MAX(0,J4165-J3988-J4001-J4014-J4027-J4040-J4053-J4066-J4079))</f>
        <v>0</v>
      </c>
      <c r="K4092" s="16" t="n">
        <f aca="false">Assumptions!$N$65*MIN(K4083+K4090+K4088-K4089-K4091,MAX(0,K4165-K3988-K4001-K4014-K4027-K4040-K4053-K4066-K4079))</f>
        <v>0</v>
      </c>
    </row>
    <row r="4093" customFormat="false" ht="15" hidden="false" customHeight="false" outlineLevel="0" collapsed="false">
      <c r="A4093" s="3" t="s">
        <v>338</v>
      </c>
      <c r="G4093" s="16" t="n">
        <f aca="false">G4084*(1-G3977)*(G4083-G4089+G4088-G4091)</f>
        <v>0</v>
      </c>
      <c r="H4093" s="16" t="n">
        <f aca="false">H4084*(1-H3977)*(H4083-H4089+H4088-H4091)</f>
        <v>0</v>
      </c>
      <c r="I4093" s="16" t="n">
        <f aca="false">I4084*(1-I3977)*(I4083-I4089+I4088-I4091)</f>
        <v>0</v>
      </c>
      <c r="J4093" s="16" t="n">
        <f aca="false">J4084*(1-J3977)*(J4083-J4089+J4088-J4091)</f>
        <v>0</v>
      </c>
      <c r="K4093" s="16" t="n">
        <f aca="false">K4084*(1-K3977)*(K4083-K4089+K4088-K4091)</f>
        <v>0</v>
      </c>
    </row>
    <row r="4094" customFormat="false" ht="15" hidden="false" customHeight="false" outlineLevel="0" collapsed="false">
      <c r="A4094" s="2" t="s">
        <v>339</v>
      </c>
      <c r="F4094" s="28" t="n">
        <f aca="false">Assumptions!$C$65</f>
        <v>300</v>
      </c>
      <c r="G4094" s="17" t="n">
        <f aca="false">G4083+G4090+G4088-G4089-G4091-G4092</f>
        <v>300</v>
      </c>
      <c r="H4094" s="17" t="n">
        <f aca="false">H4083+H4090+H4088-H4089-H4091-H4092</f>
        <v>300</v>
      </c>
      <c r="I4094" s="17" t="n">
        <f aca="false">I4083+I4090+I4088-I4089-I4091-I4092</f>
        <v>300</v>
      </c>
      <c r="J4094" s="17" t="n">
        <f aca="false">J4083+J4090+J4088-J4089-J4091-J4092</f>
        <v>300</v>
      </c>
      <c r="K4094" s="17" t="n">
        <f aca="false">K4083+K4090+K4088-K4089-K4091-K4092</f>
        <v>300</v>
      </c>
    </row>
    <row r="4095" customFormat="false" ht="15" hidden="false" customHeight="false" outlineLevel="0" collapsed="false">
      <c r="A4095" s="24" t="s">
        <v>348</v>
      </c>
      <c r="B4095" s="25"/>
      <c r="C4095" s="25"/>
      <c r="D4095" s="25"/>
      <c r="E4095" s="25"/>
      <c r="F4095" s="25"/>
      <c r="G4095" s="25"/>
      <c r="H4095" s="25"/>
      <c r="I4095" s="25"/>
      <c r="J4095" s="25"/>
      <c r="K4095" s="25"/>
    </row>
    <row r="4096" customFormat="false" ht="15" hidden="false" customHeight="false" outlineLevel="0" collapsed="false">
      <c r="A4096" s="3" t="s">
        <v>329</v>
      </c>
      <c r="G4096" s="16" t="n">
        <f aca="false">F4107</f>
        <v>78.61</v>
      </c>
      <c r="H4096" s="16" t="n">
        <f aca="false">G4107</f>
        <v>78.61</v>
      </c>
      <c r="I4096" s="16" t="n">
        <f aca="false">H4107</f>
        <v>78.61</v>
      </c>
      <c r="J4096" s="16" t="n">
        <f aca="false">I4107</f>
        <v>78.61</v>
      </c>
      <c r="K4096" s="16" t="n">
        <f aca="false">J4107</f>
        <v>78.61</v>
      </c>
    </row>
    <row r="4097" customFormat="false" ht="15" hidden="false" customHeight="false" outlineLevel="0" collapsed="false">
      <c r="A4097" s="3" t="s">
        <v>330</v>
      </c>
      <c r="G4097" s="21" t="n">
        <f aca="false">IF(G3943=Assumptions!$K$66,1,0)</f>
        <v>0</v>
      </c>
      <c r="H4097" s="21" t="n">
        <f aca="false">IF(H3943=Assumptions!$K$66,1,0)</f>
        <v>0</v>
      </c>
      <c r="I4097" s="21" t="n">
        <f aca="false">IF(I3943=Assumptions!$K$66,1,0)</f>
        <v>0</v>
      </c>
      <c r="J4097" s="21" t="n">
        <f aca="false">IF(J3943=Assumptions!$K$66,1,0)</f>
        <v>0</v>
      </c>
      <c r="K4097" s="21" t="n">
        <f aca="false">IF(K3943=Assumptions!$K$66,1,0)</f>
        <v>0</v>
      </c>
    </row>
    <row r="4099" customFormat="false" ht="15" hidden="false" customHeight="false" outlineLevel="0" collapsed="false">
      <c r="A4099" s="3" t="s">
        <v>331</v>
      </c>
      <c r="G4099" s="31" t="n">
        <f aca="false">IF(Assumptions!$I$66=1,MAX(G3969,Assumptions!$G$66)+Assumptions!$F$66+$C$3970,Assumptions!$E$66)</f>
        <v>0.0541</v>
      </c>
      <c r="H4099" s="31" t="n">
        <f aca="false">IF(G4298=1,$C$3971,IF(Assumptions!$I$66=1,MAX(H3969,Assumptions!$G$66)+Assumptions!$F$66+$C$3970,Assumptions!$E$66))</f>
        <v>0.0526</v>
      </c>
      <c r="I4099" s="31" t="n">
        <f aca="false">IF(H4298=1,$C$3971,IF(Assumptions!$I$66=1,MAX(I3969,Assumptions!$G$66)+Assumptions!$F$66+$C$3970,Assumptions!$E$66))</f>
        <v>0.0501</v>
      </c>
      <c r="J4099" s="31" t="n">
        <f aca="false">IF(I4298=1,$C$3971,IF(Assumptions!$I$66=1,MAX(J3969,Assumptions!$G$66)+Assumptions!$F$66+$C$3970,Assumptions!$E$66))</f>
        <v>0.0501</v>
      </c>
      <c r="K4099" s="31" t="n">
        <f aca="false">IF(J4298=1,$C$3971,IF(Assumptions!$I$66=1,MAX(K3969,Assumptions!$G$66)+Assumptions!$F$66+$C$3970,Assumptions!$E$66))</f>
        <v>0.0501</v>
      </c>
    </row>
    <row r="4100" customFormat="false" ht="15" hidden="false" customHeight="false" outlineLevel="0" collapsed="false">
      <c r="A4100" s="3" t="s">
        <v>332</v>
      </c>
      <c r="G4100" s="16" t="n">
        <f aca="false">G4096*G4099</f>
        <v>4.252801</v>
      </c>
      <c r="H4100" s="16" t="n">
        <f aca="false">H4096*H4099</f>
        <v>4.134886</v>
      </c>
      <c r="I4100" s="16" t="n">
        <f aca="false">I4096*I4099</f>
        <v>3.938361</v>
      </c>
      <c r="J4100" s="16" t="n">
        <f aca="false">J4096*J4099</f>
        <v>3.938361</v>
      </c>
      <c r="K4100" s="16" t="n">
        <f aca="false">K4096*K4099</f>
        <v>3.938361</v>
      </c>
    </row>
    <row r="4101" customFormat="false" ht="15" hidden="false" customHeight="false" outlineLevel="0" collapsed="false">
      <c r="A4101" s="3" t="s">
        <v>333</v>
      </c>
      <c r="G4101" s="16" t="n">
        <f aca="false">G4096*Assumptions!$H$66</f>
        <v>0</v>
      </c>
      <c r="H4101" s="16" t="n">
        <f aca="false">H4096*Assumptions!$H$66</f>
        <v>0</v>
      </c>
      <c r="I4101" s="16" t="n">
        <f aca="false">I4096*Assumptions!$H$66</f>
        <v>0</v>
      </c>
      <c r="J4101" s="16" t="n">
        <f aca="false">J4096*Assumptions!$H$66</f>
        <v>0</v>
      </c>
      <c r="K4101" s="16" t="n">
        <f aca="false">K4096*Assumptions!$H$66</f>
        <v>0</v>
      </c>
    </row>
    <row r="4102" customFormat="false" ht="15" hidden="false" customHeight="false" outlineLevel="0" collapsed="false">
      <c r="A4102" s="3" t="s">
        <v>334</v>
      </c>
      <c r="G4102" s="16" t="n">
        <f aca="false">MIN(G4096,Assumptions!$L$66*Assumptions!$C$66)</f>
        <v>0</v>
      </c>
      <c r="H4102" s="16" t="n">
        <f aca="false">MIN(H4096,Assumptions!$L$66*Assumptions!$C$66)</f>
        <v>0</v>
      </c>
      <c r="I4102" s="16" t="n">
        <f aca="false">MIN(I4096,Assumptions!$L$66*Assumptions!$C$66)</f>
        <v>0</v>
      </c>
      <c r="J4102" s="16" t="n">
        <f aca="false">MIN(J4096,Assumptions!$L$66*Assumptions!$C$66)</f>
        <v>0</v>
      </c>
      <c r="K4102" s="16" t="n">
        <f aca="false">MIN(K4096,Assumptions!$L$66*Assumptions!$C$66)</f>
        <v>0</v>
      </c>
    </row>
    <row r="4103" customFormat="false" ht="15" hidden="false" customHeight="false" outlineLevel="0" collapsed="false">
      <c r="A4103" s="3" t="s">
        <v>335</v>
      </c>
      <c r="G4103" s="16" t="n">
        <f aca="false">IF(AND(Assumptions!$P$66=1,G3943&lt;Assumptions!$K$66),MIN(MAX(0,-G4159),MAX(0,Assumptions!$D$66-G4096)),0)</f>
        <v>0</v>
      </c>
      <c r="H4103" s="16" t="n">
        <f aca="false">IF(AND(Assumptions!$P$66=1,OR(H3943&lt;Assumptions!$K$66,G4298=1)),MIN(MAX(0,-H4159),MAX(0,Assumptions!$D$66-H4096)),0)</f>
        <v>0</v>
      </c>
      <c r="I4103" s="16" t="n">
        <f aca="false">IF(AND(Assumptions!$P$66=1,OR(I3943&lt;Assumptions!$K$66,H4298=1)),MIN(MAX(0,-I4159),MAX(0,Assumptions!$D$66-I4096)),0)</f>
        <v>0</v>
      </c>
      <c r="J4103" s="16" t="n">
        <f aca="false">IF(AND(Assumptions!$P$66=1,OR(J3943&lt;Assumptions!$K$66,I4298=1)),MIN(MAX(0,-J4159),MAX(0,Assumptions!$D$66-J4096)),0)</f>
        <v>0</v>
      </c>
      <c r="K4103" s="16" t="n">
        <f aca="false">IF(AND(Assumptions!$P$66=1,OR(K3943&lt;Assumptions!$K$66,J4298=1)),MIN(MAX(0,-K4159),MAX(0,Assumptions!$D$66-K4096)),0)</f>
        <v>0</v>
      </c>
    </row>
    <row r="4104" customFormat="false" ht="15" hidden="false" customHeight="false" outlineLevel="0" collapsed="false">
      <c r="A4104" s="3" t="s">
        <v>336</v>
      </c>
      <c r="G4104" s="16" t="n">
        <f aca="false">G4097*MIN(G4096-G4102+G4101,MAX(0,G4161-Assumptions!$C$12*G3977-G3987-G4000-G4013-G4026-G4039-G4052-G4065-G4078-G4091))</f>
        <v>0</v>
      </c>
      <c r="H4104" s="16" t="n">
        <f aca="false">H4097*MIN(H4096-H4102+H4101,MAX(0,H4161-Assumptions!$C$12*H3977-H3987-H4000-H4013-H4026-H4039-H4052-H4065-H4078-H4091))</f>
        <v>0</v>
      </c>
      <c r="I4104" s="16" t="n">
        <f aca="false">I4097*MIN(I4096-I4102+I4101,MAX(0,I4161-Assumptions!$C$12*I3977-I3987-I4000-I4013-I4026-I4039-I4052-I4065-I4078-I4091))</f>
        <v>0</v>
      </c>
      <c r="J4104" s="16" t="n">
        <f aca="false">J4097*MIN(J4096-J4102+J4101,MAX(0,J4161-Assumptions!$C$12*J3977-J3987-J4000-J4013-J4026-J4039-J4052-J4065-J4078-J4091))</f>
        <v>0</v>
      </c>
      <c r="K4104" s="16" t="n">
        <f aca="false">K4097*MIN(K4096-K4102+K4101,MAX(0,K4161-Assumptions!$C$12*K3977-K3987-K4000-K4013-K4026-K4039-K4052-K4065-K4078-K4091))</f>
        <v>0</v>
      </c>
    </row>
    <row r="4105" customFormat="false" ht="15" hidden="false" customHeight="false" outlineLevel="0" collapsed="false">
      <c r="A4105" s="3" t="s">
        <v>337</v>
      </c>
      <c r="G4105" s="16" t="n">
        <f aca="false">Assumptions!$N$66*MIN(G4096+G4103+G4101-G4102-G4104,MAX(0,G4165-G3988-G4001-G4014-G4027-G4040-G4053-G4066-G4079-G4092))</f>
        <v>0</v>
      </c>
      <c r="H4105" s="16" t="n">
        <f aca="false">Assumptions!$N$66*MIN(H4096+H4103+H4101-H4102-H4104,MAX(0,H4165-H3988-H4001-H4014-H4027-H4040-H4053-H4066-H4079-H4092))</f>
        <v>0</v>
      </c>
      <c r="I4105" s="16" t="n">
        <f aca="false">Assumptions!$N$66*MIN(I4096+I4103+I4101-I4102-I4104,MAX(0,I4165-I3988-I4001-I4014-I4027-I4040-I4053-I4066-I4079-I4092))</f>
        <v>0</v>
      </c>
      <c r="J4105" s="16" t="n">
        <f aca="false">Assumptions!$N$66*MIN(J4096+J4103+J4101-J4102-J4104,MAX(0,J4165-J3988-J4001-J4014-J4027-J4040-J4053-J4066-J4079-J4092))</f>
        <v>0</v>
      </c>
      <c r="K4105" s="16" t="n">
        <f aca="false">Assumptions!$N$66*MIN(K4096+K4103+K4101-K4102-K4104,MAX(0,K4165-K3988-K4001-K4014-K4027-K4040-K4053-K4066-K4079-K4092))</f>
        <v>0</v>
      </c>
    </row>
    <row r="4106" customFormat="false" ht="15" hidden="false" customHeight="false" outlineLevel="0" collapsed="false">
      <c r="A4106" s="3" t="s">
        <v>338</v>
      </c>
      <c r="G4106" s="16" t="n">
        <f aca="false">G4097*(1-G3977)*(G4096-G4102+G4101-G4104)</f>
        <v>0</v>
      </c>
      <c r="H4106" s="16" t="n">
        <f aca="false">H4097*(1-H3977)*(H4096-H4102+H4101-H4104)</f>
        <v>0</v>
      </c>
      <c r="I4106" s="16" t="n">
        <f aca="false">I4097*(1-I3977)*(I4096-I4102+I4101-I4104)</f>
        <v>0</v>
      </c>
      <c r="J4106" s="16" t="n">
        <f aca="false">J4097*(1-J3977)*(J4096-J4102+J4101-J4104)</f>
        <v>0</v>
      </c>
      <c r="K4106" s="16" t="n">
        <f aca="false">K4097*(1-K3977)*(K4096-K4102+K4101-K4104)</f>
        <v>0</v>
      </c>
    </row>
    <row r="4107" customFormat="false" ht="15" hidden="false" customHeight="false" outlineLevel="0" collapsed="false">
      <c r="A4107" s="2" t="s">
        <v>339</v>
      </c>
      <c r="F4107" s="28" t="n">
        <f aca="false">Assumptions!$C$66</f>
        <v>78.61</v>
      </c>
      <c r="G4107" s="17" t="n">
        <f aca="false">G4096+G4103+G4101-G4102-G4104-G4105</f>
        <v>78.61</v>
      </c>
      <c r="H4107" s="17" t="n">
        <f aca="false">H4096+H4103+H4101-H4102-H4104-H4105</f>
        <v>78.61</v>
      </c>
      <c r="I4107" s="17" t="n">
        <f aca="false">I4096+I4103+I4101-I4102-I4104-I4105</f>
        <v>78.61</v>
      </c>
      <c r="J4107" s="17" t="n">
        <f aca="false">J4096+J4103+J4101-J4102-J4104-J4105</f>
        <v>78.61</v>
      </c>
      <c r="K4107" s="17" t="n">
        <f aca="false">K4096+K4103+K4101-K4102-K4104-K4105</f>
        <v>78.61</v>
      </c>
    </row>
    <row r="4108" customFormat="false" ht="15" hidden="false" customHeight="false" outlineLevel="0" collapsed="false">
      <c r="A4108" s="24" t="s">
        <v>349</v>
      </c>
      <c r="B4108" s="25"/>
      <c r="C4108" s="25"/>
      <c r="D4108" s="25"/>
      <c r="E4108" s="25"/>
      <c r="F4108" s="25"/>
      <c r="G4108" s="25"/>
      <c r="H4108" s="25"/>
      <c r="I4108" s="25"/>
      <c r="J4108" s="25"/>
      <c r="K4108" s="25"/>
    </row>
    <row r="4109" customFormat="false" ht="15" hidden="false" customHeight="false" outlineLevel="0" collapsed="false">
      <c r="A4109" s="2" t="s">
        <v>350</v>
      </c>
      <c r="F4109" s="17" t="n">
        <f aca="false">F3990+F4003+F4016+F4029+F4042+F4055+F4068+F4081+F4094+F4107</f>
        <v>2625.934</v>
      </c>
      <c r="G4109" s="17" t="n">
        <f aca="false">G3990+G4003+G4016+G4029+G4042+G4055+G4068+G4081+G4094+G4107</f>
        <v>2621.934</v>
      </c>
      <c r="H4109" s="17" t="n">
        <f aca="false">H3990+H4003+H4016+H4029+H4042+H4055+H4068+H4081+H4094+H4107</f>
        <v>2556.1291236658</v>
      </c>
      <c r="I4109" s="17" t="n">
        <f aca="false">I3990+I4003+I4016+I4029+I4042+I4055+I4068+I4081+I4094+I4107</f>
        <v>2607.30651767706</v>
      </c>
      <c r="J4109" s="17" t="n">
        <f aca="false">J3990+J4003+J4016+J4029+J4042+J4055+J4068+J4081+J4094+J4107</f>
        <v>2679.43678061625</v>
      </c>
      <c r="K4109" s="17" t="n">
        <f aca="false">K3990+K4003+K4016+K4029+K4042+K4055+K4068+K4081+K4094+K4107</f>
        <v>2765.99714847841</v>
      </c>
    </row>
    <row r="4110" customFormat="false" ht="15" hidden="false" customHeight="false" outlineLevel="0" collapsed="false">
      <c r="A4110" s="3" t="s">
        <v>351</v>
      </c>
      <c r="G4110" s="16" t="n">
        <f aca="false">G3980*Assumptions!$C$57+G3993*Assumptions!$C$58+G4006*Assumptions!$C$59+G4019*Assumptions!$C$60+G4032*Assumptions!$C$61+G4045*Assumptions!$C$62+G4058*Assumptions!$C$63+G4071*Assumptions!$C$64+G4084*Assumptions!$C$65+G4097*Assumptions!$C$66</f>
        <v>0</v>
      </c>
      <c r="H4110" s="16" t="n">
        <f aca="false">H3980*Assumptions!$C$57+H3993*Assumptions!$C$58+H4006*Assumptions!$C$59+H4019*Assumptions!$C$60+H4032*Assumptions!$C$61+H4045*Assumptions!$C$62+H4058*Assumptions!$C$63+H4071*Assumptions!$C$64+H4084*Assumptions!$C$65+H4097*Assumptions!$C$66</f>
        <v>800</v>
      </c>
      <c r="I4110" s="16" t="n">
        <f aca="false">I3980*Assumptions!$C$57+I3993*Assumptions!$C$58+I4006*Assumptions!$C$59+I4019*Assumptions!$C$60+I4032*Assumptions!$C$61+I4045*Assumptions!$C$62+I4058*Assumptions!$C$63+I4071*Assumptions!$C$64+I4084*Assumptions!$C$65+I4097*Assumptions!$C$66</f>
        <v>550</v>
      </c>
      <c r="J4110" s="16" t="n">
        <f aca="false">J3980*Assumptions!$C$57+J3993*Assumptions!$C$58+J4006*Assumptions!$C$59+J4019*Assumptions!$C$60+J4032*Assumptions!$C$61+J4045*Assumptions!$C$62+J4058*Assumptions!$C$63+J4071*Assumptions!$C$64+J4084*Assumptions!$C$65+J4097*Assumptions!$C$66</f>
        <v>350</v>
      </c>
      <c r="K4110" s="16" t="n">
        <f aca="false">K3980*Assumptions!$C$57+K3993*Assumptions!$C$58+K4006*Assumptions!$C$59+K4019*Assumptions!$C$60+K4032*Assumptions!$C$61+K4045*Assumptions!$C$62+K4058*Assumptions!$C$63+K4071*Assumptions!$C$64+K4084*Assumptions!$C$65+K4097*Assumptions!$C$66</f>
        <v>700</v>
      </c>
    </row>
    <row r="4111" customFormat="false" ht="15" hidden="false" customHeight="false" outlineLevel="0" collapsed="false">
      <c r="A4111" s="24" t="s">
        <v>352</v>
      </c>
      <c r="B4111" s="25"/>
      <c r="C4111" s="25"/>
      <c r="D4111" s="25"/>
      <c r="E4111" s="25"/>
      <c r="F4111" s="25"/>
      <c r="G4111" s="25"/>
      <c r="H4111" s="25"/>
      <c r="I4111" s="25"/>
      <c r="J4111" s="25"/>
      <c r="K4111" s="25"/>
    </row>
    <row r="4112" customFormat="false" ht="15" hidden="false" customHeight="false" outlineLevel="0" collapsed="false">
      <c r="A4112" s="3" t="s">
        <v>353</v>
      </c>
      <c r="C4112" s="16" t="n">
        <f aca="false">SUMPRODUCT($G$3980:$K$3980,$G$3979:$K$3979-$G$3985:$K$3985+$G$3984:$K$3984)</f>
        <v>380</v>
      </c>
    </row>
    <row r="4113" customFormat="false" ht="15" hidden="false" customHeight="false" outlineLevel="0" collapsed="false">
      <c r="A4113" s="3" t="s">
        <v>354</v>
      </c>
      <c r="C4113" s="16" t="n">
        <f aca="false">SUMPRODUCT($G$3980:$K$3980,$G$3987:$K$3987)</f>
        <v>0</v>
      </c>
    </row>
    <row r="4114" customFormat="false" ht="15" hidden="false" customHeight="false" outlineLevel="0" collapsed="false">
      <c r="A4114" s="3" t="s">
        <v>355</v>
      </c>
      <c r="C4114" s="3" t="str">
        <f aca="false">IF(SUM($G$3980:$K$3980)=0,"n/a (beyond horizon)",IF(SUMPRODUCT($G$3980:$K$3980,$G$3977:$K$3977)&gt;0,"REFINANCING PASS","REFINANCING FAILURE"))</f>
        <v>REFINANCING PASS</v>
      </c>
    </row>
    <row r="4115" customFormat="false" ht="15" hidden="false" customHeight="false" outlineLevel="0" collapsed="false">
      <c r="A4115" s="3" t="s">
        <v>356</v>
      </c>
      <c r="C4115" s="3" t="str">
        <f aca="false">IF(SUM($G$3980:$K$3980)=0,"n/a",IF(C4113&gt;=C4112-0.001,"Repaid from cash",IF(SUMPRODUCT($G$3980:$K$3980,$G$3977:$K$3977)&gt;0,IF(C4113&gt;0,"Partly repaid; remainder refinanced","Refinanced"),IF(SUM($G$3989:$K$3989)&gt;0.001,IF(C4113&gt;0,"Partial repayment; PAYMENT DEFAULT","PAYMENT DEFAULT"),"Repaid from cash"))))</f>
        <v>Refinanced</v>
      </c>
    </row>
    <row r="4116" customFormat="false" ht="15" hidden="false" customHeight="false" outlineLevel="0" collapsed="false">
      <c r="A4116" s="3" t="s">
        <v>357</v>
      </c>
      <c r="C4116" s="16" t="n">
        <f aca="false">SUMPRODUCT($G$3993:$K$3993,$G$3992:$K$3992-$G$3998:$K$3998+$G$3997:$K$3997)</f>
        <v>0</v>
      </c>
    </row>
    <row r="4117" customFormat="false" ht="15" hidden="false" customHeight="false" outlineLevel="0" collapsed="false">
      <c r="A4117" s="3" t="s">
        <v>358</v>
      </c>
      <c r="C4117" s="16" t="n">
        <f aca="false">SUMPRODUCT($G$3993:$K$3993,$G$4000:$K$4000)</f>
        <v>0</v>
      </c>
    </row>
    <row r="4118" customFormat="false" ht="15" hidden="false" customHeight="false" outlineLevel="0" collapsed="false">
      <c r="A4118" s="3" t="s">
        <v>359</v>
      </c>
      <c r="C4118" s="3" t="str">
        <f aca="false">IF(SUM($G$3993:$K$3993)=0,"n/a (beyond horizon)",IF(SUMPRODUCT($G$3993:$K$3993,$G$3977:$K$3977)&gt;0,"REFINANCING PASS","REFINANCING FAILURE"))</f>
        <v>n/a (beyond horizon)</v>
      </c>
    </row>
    <row r="4119" customFormat="false" ht="15" hidden="false" customHeight="false" outlineLevel="0" collapsed="false">
      <c r="A4119" s="3" t="s">
        <v>360</v>
      </c>
      <c r="C4119" s="3" t="str">
        <f aca="false">IF(SUM($G$3993:$K$3993)=0,"n/a",IF(C4117&gt;=C4116-0.001,"Repaid from cash",IF(SUMPRODUCT($G$3993:$K$3993,$G$3977:$K$3977)&gt;0,IF(C4117&gt;0,"Partly repaid; remainder refinanced","Refinanced"),IF(SUM($G$4002:$K$4002)&gt;0.001,IF(C4117&gt;0,"Partial repayment; PAYMENT DEFAULT","PAYMENT DEFAULT"),"Repaid from cash"))))</f>
        <v>n/a</v>
      </c>
    </row>
    <row r="4120" customFormat="false" ht="15" hidden="false" customHeight="false" outlineLevel="0" collapsed="false">
      <c r="A4120" s="3" t="s">
        <v>361</v>
      </c>
      <c r="C4120" s="16" t="n">
        <f aca="false">SUMPRODUCT($G$4006:$K$4006,$G$4005:$K$4005-$G$4011:$K$4011+$G$4010:$K$4010)</f>
        <v>0</v>
      </c>
    </row>
    <row r="4121" customFormat="false" ht="15" hidden="false" customHeight="false" outlineLevel="0" collapsed="false">
      <c r="A4121" s="3" t="s">
        <v>362</v>
      </c>
      <c r="C4121" s="16" t="n">
        <f aca="false">SUMPRODUCT($G$4006:$K$4006,$G$4013:$K$4013)</f>
        <v>0</v>
      </c>
    </row>
    <row r="4122" customFormat="false" ht="15" hidden="false" customHeight="false" outlineLevel="0" collapsed="false">
      <c r="A4122" s="3" t="s">
        <v>363</v>
      </c>
      <c r="C4122" s="3" t="str">
        <f aca="false">IF(SUM($G$4006:$K$4006)=0,"n/a (beyond horizon)",IF(SUMPRODUCT($G$4006:$K$4006,$G$3977:$K$3977)&gt;0,"REFINANCING PASS","REFINANCING FAILURE"))</f>
        <v>n/a (beyond horizon)</v>
      </c>
    </row>
    <row r="4123" customFormat="false" ht="15" hidden="false" customHeight="false" outlineLevel="0" collapsed="false">
      <c r="A4123" s="3" t="s">
        <v>364</v>
      </c>
      <c r="C4123" s="3" t="str">
        <f aca="false">IF(SUM($G$4006:$K$4006)=0,"n/a",IF(C4121&gt;=C4120-0.001,"Repaid from cash",IF(SUMPRODUCT($G$4006:$K$4006,$G$3977:$K$3977)&gt;0,IF(C4121&gt;0,"Partly repaid; remainder refinanced","Refinanced"),IF(SUM($G$4015:$K$4015)&gt;0.001,IF(C4121&gt;0,"Partial repayment; PAYMENT DEFAULT","PAYMENT DEFAULT"),"Repaid from cash"))))</f>
        <v>n/a</v>
      </c>
    </row>
    <row r="4124" customFormat="false" ht="15" hidden="false" customHeight="false" outlineLevel="0" collapsed="false">
      <c r="A4124" s="3" t="s">
        <v>365</v>
      </c>
      <c r="C4124" s="16" t="n">
        <f aca="false">SUMPRODUCT($G$4019:$K$4019,$G$4018:$K$4018-$G$4024:$K$4024+$G$4023:$K$4023)</f>
        <v>0</v>
      </c>
    </row>
    <row r="4125" customFormat="false" ht="15" hidden="false" customHeight="false" outlineLevel="0" collapsed="false">
      <c r="A4125" s="3" t="s">
        <v>366</v>
      </c>
      <c r="C4125" s="16" t="n">
        <f aca="false">SUMPRODUCT($G$4019:$K$4019,$G$4026:$K$4026)</f>
        <v>0</v>
      </c>
    </row>
    <row r="4126" customFormat="false" ht="15" hidden="false" customHeight="false" outlineLevel="0" collapsed="false">
      <c r="A4126" s="3" t="s">
        <v>367</v>
      </c>
      <c r="C4126" s="3" t="str">
        <f aca="false">IF(SUM($G$4019:$K$4019)=0,"n/a (beyond horizon)",IF(SUMPRODUCT($G$4019:$K$4019,$G$3977:$K$3977)&gt;0,"REFINANCING PASS","REFINANCING FAILURE"))</f>
        <v>REFINANCING PASS</v>
      </c>
    </row>
    <row r="4127" customFormat="false" ht="15" hidden="false" customHeight="false" outlineLevel="0" collapsed="false">
      <c r="A4127" s="3" t="s">
        <v>368</v>
      </c>
      <c r="C4127" s="3" t="str">
        <f aca="false">IF(SUM($G$4019:$K$4019)=0,"n/a",IF(C4125&gt;=C4124-0.001,"Repaid from cash",IF(SUMPRODUCT($G$4019:$K$4019,$G$3977:$K$3977)&gt;0,IF(C4125&gt;0,"Partly repaid; remainder refinanced","Refinanced"),IF(SUM($G$4028:$K$4028)&gt;0.001,IF(C4125&gt;0,"Partial repayment; PAYMENT DEFAULT","PAYMENT DEFAULT"),"Repaid from cash"))))</f>
        <v>Repaid from cash</v>
      </c>
    </row>
    <row r="4128" customFormat="false" ht="15" hidden="false" customHeight="false" outlineLevel="0" collapsed="false">
      <c r="A4128" s="3" t="s">
        <v>369</v>
      </c>
      <c r="C4128" s="16" t="n">
        <f aca="false">SUMPRODUCT($G$4032:$K$4032,$G$4031:$K$4031-$G$4037:$K$4037+$G$4036:$K$4036)</f>
        <v>450</v>
      </c>
    </row>
    <row r="4129" customFormat="false" ht="15" hidden="false" customHeight="false" outlineLevel="0" collapsed="false">
      <c r="A4129" s="3" t="s">
        <v>370</v>
      </c>
      <c r="C4129" s="16" t="n">
        <f aca="false">SUMPRODUCT($G$4032:$K$4032,$G$4039:$K$4039)</f>
        <v>61.8048763342001</v>
      </c>
    </row>
    <row r="4130" customFormat="false" ht="15" hidden="false" customHeight="false" outlineLevel="0" collapsed="false">
      <c r="A4130" s="3" t="s">
        <v>371</v>
      </c>
      <c r="C4130" s="3" t="str">
        <f aca="false">IF(SUM($G$4032:$K$4032)=0,"n/a (beyond horizon)",IF(SUMPRODUCT($G$4032:$K$4032,$G$3977:$K$3977)&gt;0,"REFINANCING PASS","REFINANCING FAILURE"))</f>
        <v>REFINANCING PASS</v>
      </c>
    </row>
    <row r="4131" customFormat="false" ht="15" hidden="false" customHeight="false" outlineLevel="0" collapsed="false">
      <c r="A4131" s="3" t="s">
        <v>372</v>
      </c>
      <c r="C4131" s="3" t="str">
        <f aca="false">IF(SUM($G$4032:$K$4032)=0,"n/a",IF(C4129&gt;=C4128-0.001,"Repaid from cash",IF(SUMPRODUCT($G$4032:$K$4032,$G$3977:$K$3977)&gt;0,IF(C4129&gt;0,"Partly repaid; remainder refinanced","Refinanced"),IF(SUM($G$4041:$K$4041)&gt;0.001,IF(C4129&gt;0,"Partial repayment; PAYMENT DEFAULT","PAYMENT DEFAULT"),"Repaid from cash"))))</f>
        <v>Partly repaid; remainder refinanced</v>
      </c>
    </row>
    <row r="4132" customFormat="false" ht="15" hidden="false" customHeight="false" outlineLevel="0" collapsed="false">
      <c r="A4132" s="3" t="s">
        <v>373</v>
      </c>
      <c r="C4132" s="16" t="n">
        <f aca="false">SUMPRODUCT($G$4045:$K$4045,$G$4044:$K$4044-$G$4050:$K$4050+$G$4049:$K$4049)</f>
        <v>350</v>
      </c>
    </row>
    <row r="4133" customFormat="false" ht="15" hidden="false" customHeight="false" outlineLevel="0" collapsed="false">
      <c r="A4133" s="3" t="s">
        <v>374</v>
      </c>
      <c r="C4133" s="16" t="n">
        <f aca="false">SUMPRODUCT($G$4045:$K$4045,$G$4052:$K$4052)</f>
        <v>0</v>
      </c>
    </row>
    <row r="4134" customFormat="false" ht="15" hidden="false" customHeight="false" outlineLevel="0" collapsed="false">
      <c r="A4134" s="3" t="s">
        <v>375</v>
      </c>
      <c r="C4134" s="3" t="str">
        <f aca="false">IF(SUM($G$4045:$K$4045)=0,"n/a (beyond horizon)",IF(SUMPRODUCT($G$4045:$K$4045,$G$3977:$K$3977)&gt;0,"REFINANCING PASS","REFINANCING FAILURE"))</f>
        <v>REFINANCING PASS</v>
      </c>
    </row>
    <row r="4135" customFormat="false" ht="15" hidden="false" customHeight="false" outlineLevel="0" collapsed="false">
      <c r="A4135" s="3" t="s">
        <v>376</v>
      </c>
      <c r="C4135" s="3" t="str">
        <f aca="false">IF(SUM($G$4045:$K$4045)=0,"n/a",IF(C4133&gt;=C4132-0.001,"Repaid from cash",IF(SUMPRODUCT($G$4045:$K$4045,$G$3977:$K$3977)&gt;0,IF(C4133&gt;0,"Partly repaid; remainder refinanced","Refinanced"),IF(SUM($G$4054:$K$4054)&gt;0.001,IF(C4133&gt;0,"Partial repayment; PAYMENT DEFAULT","PAYMENT DEFAULT"),"Repaid from cash"))))</f>
        <v>Refinanced</v>
      </c>
    </row>
    <row r="4136" customFormat="false" ht="15" hidden="false" customHeight="false" outlineLevel="0" collapsed="false">
      <c r="A4136" s="3" t="s">
        <v>377</v>
      </c>
      <c r="C4136" s="16" t="n">
        <f aca="false">SUMPRODUCT($G$4058:$K$4058,$G$4057:$K$4057-$G$4063:$K$4063+$G$4062:$K$4062)</f>
        <v>550</v>
      </c>
    </row>
    <row r="4137" customFormat="false" ht="15" hidden="false" customHeight="false" outlineLevel="0" collapsed="false">
      <c r="A4137" s="3" t="s">
        <v>378</v>
      </c>
      <c r="C4137" s="16" t="n">
        <f aca="false">SUMPRODUCT($G$4058:$K$4058,$G$4065:$K$4065)</f>
        <v>0</v>
      </c>
    </row>
    <row r="4138" customFormat="false" ht="15" hidden="false" customHeight="false" outlineLevel="0" collapsed="false">
      <c r="A4138" s="3" t="s">
        <v>379</v>
      </c>
      <c r="C4138" s="3" t="str">
        <f aca="false">IF(SUM($G$4058:$K$4058)=0,"n/a (beyond horizon)",IF(SUMPRODUCT($G$4058:$K$4058,$G$3977:$K$3977)&gt;0,"REFINANCING PASS","REFINANCING FAILURE"))</f>
        <v>REFINANCING PASS</v>
      </c>
    </row>
    <row r="4139" customFormat="false" ht="15" hidden="false" customHeight="false" outlineLevel="0" collapsed="false">
      <c r="A4139" s="3" t="s">
        <v>380</v>
      </c>
      <c r="C4139" s="3" t="str">
        <f aca="false">IF(SUM($G$4058:$K$4058)=0,"n/a",IF(C4137&gt;=C4136-0.001,"Repaid from cash",IF(SUMPRODUCT($G$4058:$K$4058,$G$3977:$K$3977)&gt;0,IF(C4137&gt;0,"Partly repaid; remainder refinanced","Refinanced"),IF(SUM($G$4067:$K$4067)&gt;0.001,IF(C4137&gt;0,"Partial repayment; PAYMENT DEFAULT","PAYMENT DEFAULT"),"Repaid from cash"))))</f>
        <v>Refinanced</v>
      </c>
    </row>
    <row r="4140" customFormat="false" ht="15" hidden="false" customHeight="false" outlineLevel="0" collapsed="false">
      <c r="A4140" s="3" t="s">
        <v>381</v>
      </c>
      <c r="C4140" s="16" t="n">
        <f aca="false">SUMPRODUCT($G$4071:$K$4071,$G$4070:$K$4070-$G$4076:$K$4076+$G$4075:$K$4075)</f>
        <v>350</v>
      </c>
    </row>
    <row r="4141" customFormat="false" ht="15" hidden="false" customHeight="false" outlineLevel="0" collapsed="false">
      <c r="A4141" s="3" t="s">
        <v>382</v>
      </c>
      <c r="C4141" s="16" t="n">
        <f aca="false">SUMPRODUCT($G$4071:$K$4071,$G$4078:$K$4078)</f>
        <v>0</v>
      </c>
    </row>
    <row r="4142" customFormat="false" ht="15" hidden="false" customHeight="false" outlineLevel="0" collapsed="false">
      <c r="A4142" s="3" t="s">
        <v>383</v>
      </c>
      <c r="C4142" s="3" t="str">
        <f aca="false">IF(SUM($G$4071:$K$4071)=0,"n/a (beyond horizon)",IF(SUMPRODUCT($G$4071:$K$4071,$G$3977:$K$3977)&gt;0,"REFINANCING PASS","REFINANCING FAILURE"))</f>
        <v>REFINANCING PASS</v>
      </c>
    </row>
    <row r="4143" customFormat="false" ht="15" hidden="false" customHeight="false" outlineLevel="0" collapsed="false">
      <c r="A4143" s="3" t="s">
        <v>384</v>
      </c>
      <c r="C4143" s="3" t="str">
        <f aca="false">IF(SUM($G$4071:$K$4071)=0,"n/a",IF(C4141&gt;=C4140-0.001,"Repaid from cash",IF(SUMPRODUCT($G$4071:$K$4071,$G$3977:$K$3977)&gt;0,IF(C4141&gt;0,"Partly repaid; remainder refinanced","Refinanced"),IF(SUM($G$4080:$K$4080)&gt;0.001,IF(C4141&gt;0,"Partial repayment; PAYMENT DEFAULT","PAYMENT DEFAULT"),"Repaid from cash"))))</f>
        <v>Refinanced</v>
      </c>
    </row>
    <row r="4144" customFormat="false" ht="15" hidden="false" customHeight="false" outlineLevel="0" collapsed="false">
      <c r="A4144" s="3" t="s">
        <v>385</v>
      </c>
      <c r="C4144" s="16" t="n">
        <f aca="false">SUMPRODUCT($G$4084:$K$4084,$G$4083:$K$4083-$G$4089:$K$4089+$G$4088:$K$4088)</f>
        <v>300</v>
      </c>
    </row>
    <row r="4145" customFormat="false" ht="15" hidden="false" customHeight="false" outlineLevel="0" collapsed="false">
      <c r="A4145" s="3" t="s">
        <v>386</v>
      </c>
      <c r="C4145" s="16" t="n">
        <f aca="false">SUMPRODUCT($G$4084:$K$4084,$G$4091:$K$4091)</f>
        <v>0</v>
      </c>
    </row>
    <row r="4146" customFormat="false" ht="15" hidden="false" customHeight="false" outlineLevel="0" collapsed="false">
      <c r="A4146" s="3" t="s">
        <v>387</v>
      </c>
      <c r="C4146" s="3" t="str">
        <f aca="false">IF(SUM($G$4084:$K$4084)=0,"n/a (beyond horizon)",IF(SUMPRODUCT($G$4084:$K$4084,$G$3977:$K$3977)&gt;0,"REFINANCING PASS","REFINANCING FAILURE"))</f>
        <v>REFINANCING PASS</v>
      </c>
    </row>
    <row r="4147" customFormat="false" ht="15" hidden="false" customHeight="false" outlineLevel="0" collapsed="false">
      <c r="A4147" s="3" t="s">
        <v>388</v>
      </c>
      <c r="C4147" s="3" t="str">
        <f aca="false">IF(SUM($G$4084:$K$4084)=0,"n/a",IF(C4145&gt;=C4144-0.001,"Repaid from cash",IF(SUMPRODUCT($G$4084:$K$4084,$G$3977:$K$3977)&gt;0,IF(C4145&gt;0,"Partly repaid; remainder refinanced","Refinanced"),IF(SUM($G$4093:$K$4093)&gt;0.001,IF(C4145&gt;0,"Partial repayment; PAYMENT DEFAULT","PAYMENT DEFAULT"),"Repaid from cash"))))</f>
        <v>Refinanced</v>
      </c>
    </row>
    <row r="4148" customFormat="false" ht="15" hidden="false" customHeight="false" outlineLevel="0" collapsed="false">
      <c r="A4148" s="3" t="s">
        <v>389</v>
      </c>
      <c r="C4148" s="16" t="n">
        <f aca="false">SUMPRODUCT($G$4097:$K$4097,$G$4096:$K$4096-$G$4102:$K$4102+$G$4101:$K$4101)</f>
        <v>0</v>
      </c>
    </row>
    <row r="4149" customFormat="false" ht="15" hidden="false" customHeight="false" outlineLevel="0" collapsed="false">
      <c r="A4149" s="3" t="s">
        <v>390</v>
      </c>
      <c r="C4149" s="16" t="n">
        <f aca="false">SUMPRODUCT($G$4097:$K$4097,$G$4104:$K$4104)</f>
        <v>0</v>
      </c>
    </row>
    <row r="4150" customFormat="false" ht="15" hidden="false" customHeight="false" outlineLevel="0" collapsed="false">
      <c r="A4150" s="3" t="s">
        <v>391</v>
      </c>
      <c r="C4150" s="3" t="str">
        <f aca="false">IF(SUM($G$4097:$K$4097)=0,"n/a (beyond horizon)",IF(SUMPRODUCT($G$4097:$K$4097,$G$3977:$K$3977)&gt;0,"REFINANCING PASS","REFINANCING FAILURE"))</f>
        <v>n/a (beyond horizon)</v>
      </c>
    </row>
    <row r="4151" customFormat="false" ht="15" hidden="false" customHeight="false" outlineLevel="0" collapsed="false">
      <c r="A4151" s="3" t="s">
        <v>392</v>
      </c>
      <c r="C4151" s="3" t="str">
        <f aca="false">IF(SUM($G$4097:$K$4097)=0,"n/a",IF(C4149&gt;=C4148-0.001,"Repaid from cash",IF(SUMPRODUCT($G$4097:$K$4097,$G$3977:$K$3977)&gt;0,IF(C4149&gt;0,"Partly repaid; remainder refinanced","Refinanced"),IF(SUM($G$4106:$K$4106)&gt;0.001,IF(C4149&gt;0,"Partial repayment; PAYMENT DEFAULT","PAYMENT DEFAULT"),"Repaid from cash"))))</f>
        <v>n/a</v>
      </c>
    </row>
    <row r="4152" customFormat="false" ht="15" hidden="false" customHeight="false" outlineLevel="0" collapsed="false">
      <c r="A4152" s="3" t="s">
        <v>393</v>
      </c>
      <c r="C4152" s="21" t="n">
        <f aca="false">IF(C4114="REFINANCING FAILURE",1,0)+IF(C4118="REFINANCING FAILURE",1,0)+IF(C4122="REFINANCING FAILURE",1,0)+IF(C4126="REFINANCING FAILURE",1,0)+IF(C4130="REFINANCING FAILURE",1,0)+IF(C4134="REFINANCING FAILURE",1,0)+IF(C4138="REFINANCING FAILURE",1,0)+IF(C4142="REFINANCING FAILURE",1,0)+IF(C4146="REFINANCING FAILURE",1,0)+IF(C4150="REFINANCING FAILURE",1,0)</f>
        <v>0</v>
      </c>
    </row>
    <row r="4154" customFormat="false" ht="15" hidden="false" customHeight="false" outlineLevel="0" collapsed="false">
      <c r="A4154" s="24" t="s">
        <v>395</v>
      </c>
      <c r="B4154" s="25"/>
      <c r="C4154" s="25"/>
      <c r="D4154" s="25"/>
      <c r="E4154" s="25"/>
      <c r="F4154" s="25"/>
      <c r="G4154" s="25"/>
      <c r="H4154" s="25"/>
      <c r="I4154" s="25"/>
      <c r="J4154" s="25"/>
      <c r="K4154" s="25"/>
    </row>
    <row r="4155" customFormat="false" ht="15" hidden="false" customHeight="false" outlineLevel="0" collapsed="false">
      <c r="A4155" s="3" t="s">
        <v>325</v>
      </c>
      <c r="G4155" s="16" t="n">
        <f aca="false">F4167</f>
        <v>37.87</v>
      </c>
      <c r="H4155" s="16" t="n">
        <f aca="false">G4167</f>
        <v>159.995614</v>
      </c>
      <c r="I4155" s="16" t="n">
        <f aca="false">H4167</f>
        <v>25</v>
      </c>
      <c r="J4155" s="16" t="n">
        <f aca="false">I4167</f>
        <v>0</v>
      </c>
      <c r="K4155" s="16" t="n">
        <f aca="false">J4167</f>
        <v>0</v>
      </c>
    </row>
    <row r="4156" customFormat="false" ht="15" hidden="false" customHeight="false" outlineLevel="0" collapsed="false">
      <c r="A4156" s="3" t="s">
        <v>396</v>
      </c>
      <c r="G4156" s="16" t="n">
        <f aca="false">G3966</f>
        <v>-73.874386</v>
      </c>
      <c r="H4156" s="16" t="n">
        <f aca="false">H3966</f>
        <v>-69.1907376657999</v>
      </c>
      <c r="I4156" s="16" t="n">
        <f aca="false">I3966</f>
        <v>-76.177394011256</v>
      </c>
      <c r="J4156" s="16" t="n">
        <f aca="false">J3966</f>
        <v>-72.130262939192</v>
      </c>
      <c r="K4156" s="16" t="n">
        <f aca="false">K3966</f>
        <v>-86.5603678621571</v>
      </c>
    </row>
    <row r="4157" customFormat="false" ht="15" hidden="false" customHeight="false" outlineLevel="0" collapsed="false">
      <c r="A4157" s="3" t="s">
        <v>397</v>
      </c>
      <c r="G4157" s="16" t="n">
        <f aca="false">CHOOSE($C$3936,Assumptions!$G$82,Assumptions!$G$101,Assumptions!$G$120)</f>
        <v>200</v>
      </c>
      <c r="H4157" s="16" t="n">
        <f aca="false">CHOOSE($C$3936,Assumptions!$H$82,Assumptions!$H$101,Assumptions!$H$120)</f>
        <v>0</v>
      </c>
      <c r="I4157" s="16" t="n">
        <f aca="false">CHOOSE($C$3936,Assumptions!$I$82,Assumptions!$I$101,Assumptions!$I$120)</f>
        <v>0</v>
      </c>
      <c r="J4157" s="16" t="n">
        <f aca="false">CHOOSE($C$3936,Assumptions!$J$82,Assumptions!$J$101,Assumptions!$J$120)</f>
        <v>0</v>
      </c>
      <c r="K4157" s="16" t="n">
        <f aca="false">CHOOSE($C$3936,Assumptions!$K$82,Assumptions!$K$101,Assumptions!$K$120)</f>
        <v>0</v>
      </c>
    </row>
    <row r="4158" customFormat="false" ht="15" hidden="false" customHeight="false" outlineLevel="0" collapsed="false">
      <c r="A4158" s="3" t="s">
        <v>398</v>
      </c>
      <c r="G4158" s="16" t="n">
        <f aca="false">G3985+G3998+G4011+G4024+G4037+G4050+G4063+G4076+G4089+G4102</f>
        <v>4</v>
      </c>
      <c r="H4158" s="16" t="n">
        <f aca="false">H3985+H3998+H4011+H4024+H4037+H4050+H4063+H4076+H4089+H4102</f>
        <v>4</v>
      </c>
      <c r="I4158" s="16" t="n">
        <f aca="false">I3985+I3998+I4011+I4024+I4037+I4050+I4063+I4076+I4089+I4102</f>
        <v>4</v>
      </c>
      <c r="J4158" s="16" t="n">
        <f aca="false">J3985+J3998+J4011+J4024+J4037+J4050+J4063+J4076+J4089+J4102</f>
        <v>4</v>
      </c>
      <c r="K4158" s="16" t="n">
        <f aca="false">K3985+K3998+K4011+K4024+K4037+K4050+K4063+K4076+K4089+K4102</f>
        <v>4</v>
      </c>
    </row>
    <row r="4159" customFormat="false" ht="15" hidden="false" customHeight="false" outlineLevel="0" collapsed="false">
      <c r="A4159" s="2" t="s">
        <v>399</v>
      </c>
      <c r="G4159" s="17" t="n">
        <f aca="false">G4155+G4156+G4157-G4158</f>
        <v>159.995614</v>
      </c>
      <c r="H4159" s="17" t="n">
        <f aca="false">H4155+H4156+H4157-H4158</f>
        <v>86.8048763342001</v>
      </c>
      <c r="I4159" s="17" t="n">
        <f aca="false">I4155+I4156+I4157-I4158</f>
        <v>-55.177394011256</v>
      </c>
      <c r="J4159" s="17" t="n">
        <f aca="false">J4155+J4156+J4157-J4158</f>
        <v>-76.130262939192</v>
      </c>
      <c r="K4159" s="17" t="n">
        <f aca="false">K4155+K4156+K4157-K4158</f>
        <v>-90.5603678621571</v>
      </c>
    </row>
    <row r="4160" customFormat="false" ht="15" hidden="false" customHeight="false" outlineLevel="0" collapsed="false">
      <c r="A4160" s="3" t="s">
        <v>400</v>
      </c>
      <c r="G4160" s="16" t="n">
        <f aca="false">G3986+G3999+G4012+G4025+G4038+G4051+G4064+G4077+G4090+G4103</f>
        <v>0</v>
      </c>
      <c r="H4160" s="16" t="n">
        <f aca="false">H3986+H3999+H4012+H4025+H4038+H4051+H4064+H4077+H4090+H4103</f>
        <v>0</v>
      </c>
      <c r="I4160" s="16" t="n">
        <f aca="false">I3986+I3999+I4012+I4025+I4038+I4051+I4064+I4077+I4090+I4103</f>
        <v>55.177394011256</v>
      </c>
      <c r="J4160" s="16" t="n">
        <f aca="false">J3986+J3999+J4012+J4025+J4038+J4051+J4064+J4077+J4090+J4103</f>
        <v>76.130262939192</v>
      </c>
      <c r="K4160" s="16" t="n">
        <f aca="false">K3986+K3999+K4012+K4025+K4038+K4051+K4064+K4077+K4090+K4103</f>
        <v>90.5603678621571</v>
      </c>
    </row>
    <row r="4161" customFormat="false" ht="15" hidden="false" customHeight="false" outlineLevel="0" collapsed="false">
      <c r="A4161" s="2" t="s">
        <v>401</v>
      </c>
      <c r="G4161" s="17" t="n">
        <f aca="false">G4159+G4160</f>
        <v>159.995614</v>
      </c>
      <c r="H4161" s="17" t="n">
        <f aca="false">H4159+H4160</f>
        <v>86.8048763342001</v>
      </c>
      <c r="I4161" s="17" t="n">
        <f aca="false">I4159+I4160</f>
        <v>0</v>
      </c>
      <c r="J4161" s="17" t="n">
        <f aca="false">J4159+J4160</f>
        <v>0</v>
      </c>
      <c r="K4161" s="17" t="n">
        <f aca="false">K4159+K4160</f>
        <v>0</v>
      </c>
    </row>
    <row r="4162" customFormat="false" ht="15" hidden="false" customHeight="false" outlineLevel="0" collapsed="false">
      <c r="A4162" s="3" t="s">
        <v>402</v>
      </c>
      <c r="G4162" s="16" t="n">
        <f aca="false">G3987+G4000+G4013+G4026+G4039+G4052+G4065+G4078+G4091+G4104</f>
        <v>0</v>
      </c>
      <c r="H4162" s="16" t="n">
        <f aca="false">H3987+H4000+H4013+H4026+H4039+H4052+H4065+H4078+H4091+H4104</f>
        <v>61.8048763342001</v>
      </c>
      <c r="I4162" s="16" t="n">
        <f aca="false">I3987+I4000+I4013+I4026+I4039+I4052+I4065+I4078+I4091+I4104</f>
        <v>0</v>
      </c>
      <c r="J4162" s="16" t="n">
        <f aca="false">J3987+J4000+J4013+J4026+J4039+J4052+J4065+J4078+J4091+J4104</f>
        <v>0</v>
      </c>
      <c r="K4162" s="16" t="n">
        <f aca="false">K3987+K4000+K4013+K4026+K4039+K4052+K4065+K4078+K4091+K4104</f>
        <v>0</v>
      </c>
    </row>
    <row r="4163" customFormat="false" ht="15" hidden="false" customHeight="false" outlineLevel="0" collapsed="false">
      <c r="A4163" s="2" t="s">
        <v>403</v>
      </c>
      <c r="G4163" s="17" t="n">
        <f aca="false">G4161-G4162</f>
        <v>159.995614</v>
      </c>
      <c r="H4163" s="17" t="n">
        <f aca="false">H4161-H4162</f>
        <v>25</v>
      </c>
      <c r="I4163" s="17" t="n">
        <f aca="false">I4161-I4162</f>
        <v>0</v>
      </c>
      <c r="J4163" s="17" t="n">
        <f aca="false">J4161-J4162</f>
        <v>0</v>
      </c>
      <c r="K4163" s="17" t="n">
        <f aca="false">K4161-K4162</f>
        <v>0</v>
      </c>
    </row>
    <row r="4164" customFormat="false" ht="15" hidden="false" customHeight="false" outlineLevel="0" collapsed="false">
      <c r="A4164" s="3" t="s">
        <v>404</v>
      </c>
      <c r="G4164" s="16" t="n">
        <f aca="false">MAX(0,-G4163)</f>
        <v>0</v>
      </c>
      <c r="H4164" s="16" t="n">
        <f aca="false">MAX(0,-H4163)</f>
        <v>0</v>
      </c>
      <c r="I4164" s="16" t="n">
        <f aca="false">MAX(0,-I4163)</f>
        <v>-0</v>
      </c>
      <c r="J4164" s="16" t="n">
        <f aca="false">MAX(0,-J4163)</f>
        <v>-0</v>
      </c>
      <c r="K4164" s="16" t="n">
        <f aca="false">MAX(0,-K4163)</f>
        <v>-0</v>
      </c>
    </row>
    <row r="4165" customFormat="false" ht="15" hidden="false" customHeight="false" outlineLevel="0" collapsed="false">
      <c r="A4165" s="3" t="s">
        <v>405</v>
      </c>
      <c r="G4165" s="16" t="n">
        <f aca="false">MAX(0,G4163-Assumptions!$C$12)*Assumptions!$C$13</f>
        <v>0</v>
      </c>
      <c r="H4165" s="16" t="n">
        <f aca="false">MAX(0,H4163-Assumptions!$C$12)*Assumptions!$C$13</f>
        <v>0</v>
      </c>
      <c r="I4165" s="16" t="n">
        <f aca="false">MAX(0,I4163-Assumptions!$C$12)*Assumptions!$C$13</f>
        <v>0</v>
      </c>
      <c r="J4165" s="16" t="n">
        <f aca="false">MAX(0,J4163-Assumptions!$C$12)*Assumptions!$C$13</f>
        <v>0</v>
      </c>
      <c r="K4165" s="16" t="n">
        <f aca="false">MAX(0,K4163-Assumptions!$C$12)*Assumptions!$C$13</f>
        <v>0</v>
      </c>
    </row>
    <row r="4166" customFormat="false" ht="15" hidden="false" customHeight="false" outlineLevel="0" collapsed="false">
      <c r="A4166" s="3" t="s">
        <v>406</v>
      </c>
      <c r="G4166" s="16" t="n">
        <f aca="false">G3988+G4001+G4014+G4027+G4040+G4053+G4066+G4079+G4092+G4105</f>
        <v>0</v>
      </c>
      <c r="H4166" s="16" t="n">
        <f aca="false">H3988+H4001+H4014+H4027+H4040+H4053+H4066+H4079+H4092+H4105</f>
        <v>0</v>
      </c>
      <c r="I4166" s="16" t="n">
        <f aca="false">I3988+I4001+I4014+I4027+I4040+I4053+I4066+I4079+I4092+I4105</f>
        <v>0</v>
      </c>
      <c r="J4166" s="16" t="n">
        <f aca="false">J3988+J4001+J4014+J4027+J4040+J4053+J4066+J4079+J4092+J4105</f>
        <v>0</v>
      </c>
      <c r="K4166" s="16" t="n">
        <f aca="false">K3988+K4001+K4014+K4027+K4040+K4053+K4066+K4079+K4092+K4105</f>
        <v>0</v>
      </c>
    </row>
    <row r="4167" customFormat="false" ht="15" hidden="false" customHeight="false" outlineLevel="0" collapsed="false">
      <c r="A4167" s="2" t="s">
        <v>407</v>
      </c>
      <c r="F4167" s="28" t="n">
        <f aca="false">Assumptions!$C$11</f>
        <v>37.87</v>
      </c>
      <c r="G4167" s="17" t="n">
        <f aca="false">G4163-G4166</f>
        <v>159.995614</v>
      </c>
      <c r="H4167" s="17" t="n">
        <f aca="false">H4163-H4166</f>
        <v>25</v>
      </c>
      <c r="I4167" s="17" t="n">
        <f aca="false">I4163-I4166</f>
        <v>0</v>
      </c>
      <c r="J4167" s="17" t="n">
        <f aca="false">J4163-J4166</f>
        <v>0</v>
      </c>
      <c r="K4167" s="17" t="n">
        <f aca="false">K4163-K4166</f>
        <v>0</v>
      </c>
    </row>
    <row r="4168" customFormat="false" ht="15" hidden="false" customHeight="false" outlineLevel="0" collapsed="false">
      <c r="A4168" s="3" t="s">
        <v>408</v>
      </c>
      <c r="G4168" s="16" t="n">
        <f aca="false">G3989+G4002+G4015+G4028+G4041+G4054+G4067+G4080+G4093+G4106</f>
        <v>0</v>
      </c>
      <c r="H4168" s="16" t="n">
        <f aca="false">H3989+H4002+H4015+H4028+H4041+H4054+H4067+H4080+H4093+H4106</f>
        <v>0</v>
      </c>
      <c r="I4168" s="16" t="n">
        <f aca="false">I3989+I4002+I4015+I4028+I4041+I4054+I4067+I4080+I4093+I4106</f>
        <v>0</v>
      </c>
      <c r="J4168" s="16" t="n">
        <f aca="false">J3989+J4002+J4015+J4028+J4041+J4054+J4067+J4080+J4093+J4106</f>
        <v>0</v>
      </c>
      <c r="K4168" s="16" t="n">
        <f aca="false">K3989+K4002+K4015+K4028+K4041+K4054+K4067+K4080+K4093+K4106</f>
        <v>0</v>
      </c>
    </row>
    <row r="4169" customFormat="false" ht="15" hidden="false" customHeight="false" outlineLevel="0" collapsed="false">
      <c r="A4169" s="3" t="s">
        <v>409</v>
      </c>
      <c r="G4169" s="21" t="n">
        <f aca="false">IF(OR(G4164&gt;0.001,G4168&gt;0.001),1,0)</f>
        <v>0</v>
      </c>
      <c r="H4169" s="21" t="n">
        <f aca="false">IF(OR(H4164&gt;0.001,H4168&gt;0.001),1,0)</f>
        <v>0</v>
      </c>
      <c r="I4169" s="21" t="n">
        <f aca="false">IF(OR(I4164&gt;0.001,I4168&gt;0.001),1,0)</f>
        <v>0</v>
      </c>
      <c r="J4169" s="21" t="n">
        <f aca="false">IF(OR(J4164&gt;0.001,J4168&gt;0.001),1,0)</f>
        <v>0</v>
      </c>
      <c r="K4169" s="21" t="n">
        <f aca="false">IF(OR(K4164&gt;0.001,K4168&gt;0.001),1,0)</f>
        <v>0</v>
      </c>
    </row>
    <row r="4170" customFormat="false" ht="15" hidden="false" customHeight="false" outlineLevel="0" collapsed="false">
      <c r="A4170" s="3" t="s">
        <v>410</v>
      </c>
      <c r="G4170" s="21" t="n">
        <f aca="false">IF(G4169=1,1,0)</f>
        <v>0</v>
      </c>
      <c r="H4170" s="21" t="n">
        <f aca="false">IF(AND(H4169=1,SUM($G$4169:G4169)=0),1,0)</f>
        <v>0</v>
      </c>
      <c r="I4170" s="21" t="n">
        <f aca="false">IF(AND(I4169=1,SUM($G$4169:H4169)=0),1,0)</f>
        <v>0</v>
      </c>
      <c r="J4170" s="21" t="n">
        <f aca="false">IF(AND(J4169=1,SUM($G$4169:I4169)=0),1,0)</f>
        <v>0</v>
      </c>
      <c r="K4170" s="21" t="n">
        <f aca="false">IF(AND(K4169=1,SUM($G$4169:J4169)=0),1,0)</f>
        <v>0</v>
      </c>
    </row>
    <row r="4171" customFormat="false" ht="15" hidden="false" customHeight="false" outlineLevel="0" collapsed="false">
      <c r="A4171" s="3" t="s">
        <v>411</v>
      </c>
      <c r="G4171" s="16" t="n">
        <f aca="false">(G4109-F4109)-(G4160+G3958-G4158-G4162-G4166)</f>
        <v>0</v>
      </c>
      <c r="H4171" s="16" t="n">
        <f aca="false">(H4109-G4109)-(H4160+H3958-H4158-H4162-H4166)</f>
        <v>0</v>
      </c>
      <c r="I4171" s="16" t="n">
        <f aca="false">(I4109-H4109)-(I4160+I3958-I4158-I4162-I4166)</f>
        <v>-2.55795384873636E-013</v>
      </c>
      <c r="J4171" s="16" t="n">
        <f aca="false">(J4109-I4109)-(J4160+J3958-J4158-J4162-J4166)</f>
        <v>-3.12638803734444E-013</v>
      </c>
      <c r="K4171" s="16" t="n">
        <f aca="false">(K4109-J4109)-(K4160+K3958-K4158-K4162-K4166)</f>
        <v>3.12638803734444E-013</v>
      </c>
    </row>
    <row r="4173" customFormat="false" ht="15" hidden="false" customHeight="false" outlineLevel="0" collapsed="false">
      <c r="A4173" s="24" t="s">
        <v>413</v>
      </c>
      <c r="B4173" s="25"/>
      <c r="C4173" s="25"/>
      <c r="D4173" s="25"/>
      <c r="E4173" s="25"/>
      <c r="F4173" s="25"/>
      <c r="G4173" s="25"/>
      <c r="H4173" s="25"/>
      <c r="I4173" s="25"/>
      <c r="J4173" s="25"/>
      <c r="K4173" s="25"/>
    </row>
    <row r="4174" customFormat="false" ht="15" hidden="false" customHeight="false" outlineLevel="0" collapsed="false">
      <c r="A4174" s="3" t="s">
        <v>414</v>
      </c>
      <c r="G4174" s="16" t="n">
        <f aca="false">G4109</f>
        <v>2621.934</v>
      </c>
      <c r="H4174" s="16" t="n">
        <f aca="false">H4109</f>
        <v>2556.1291236658</v>
      </c>
      <c r="I4174" s="16" t="n">
        <f aca="false">I4109</f>
        <v>2607.30651767706</v>
      </c>
      <c r="J4174" s="16" t="n">
        <f aca="false">J4109</f>
        <v>2679.43678061625</v>
      </c>
      <c r="K4174" s="16" t="n">
        <f aca="false">K4109</f>
        <v>2765.99714847841</v>
      </c>
    </row>
    <row r="4175" customFormat="false" ht="15" hidden="false" customHeight="false" outlineLevel="0" collapsed="false">
      <c r="A4175" s="3" t="s">
        <v>415</v>
      </c>
      <c r="G4175" s="16" t="n">
        <f aca="false">Assumptions!$O$57*G3990+Assumptions!$O$58*G4003+Assumptions!$O$59*G4016+Assumptions!$O$60*G4029+Assumptions!$O$61*G4042+Assumptions!$O$62*G4055+Assumptions!$O$63*G4068+Assumptions!$O$64*G4081+Assumptions!$O$65*G4094+Assumptions!$O$66*G4107</f>
        <v>543.324</v>
      </c>
      <c r="H4175" s="16" t="n">
        <f aca="false">Assumptions!$O$57*H3990+Assumptions!$O$58*H4003+Assumptions!$O$59*H4016+Assumptions!$O$60*H4029+Assumptions!$O$61*H4042+Assumptions!$O$62*H4055+Assumptions!$O$63*H4068+Assumptions!$O$64*H4081+Assumptions!$O$65*H4094+Assumptions!$O$66*H4107</f>
        <v>539.324</v>
      </c>
      <c r="I4175" s="16" t="n">
        <f aca="false">Assumptions!$O$57*I3990+Assumptions!$O$58*I4003+Assumptions!$O$59*I4016+Assumptions!$O$60*I4029+Assumptions!$O$61*I4042+Assumptions!$O$62*I4055+Assumptions!$O$63*I4068+Assumptions!$O$64*I4081+Assumptions!$O$65*I4094+Assumptions!$O$66*I4107</f>
        <v>535.324</v>
      </c>
      <c r="J4175" s="16" t="n">
        <f aca="false">Assumptions!$O$57*J3990+Assumptions!$O$58*J4003+Assumptions!$O$59*J4016+Assumptions!$O$60*J4029+Assumptions!$O$61*J4042+Assumptions!$O$62*J4055+Assumptions!$O$63*J4068+Assumptions!$O$64*J4081+Assumptions!$O$65*J4094+Assumptions!$O$66*J4107</f>
        <v>531.324</v>
      </c>
      <c r="K4175" s="16" t="n">
        <f aca="false">Assumptions!$O$57*K3990+Assumptions!$O$58*K4003+Assumptions!$O$59*K4016+Assumptions!$O$60*K4029+Assumptions!$O$61*K4042+Assumptions!$O$62*K4055+Assumptions!$O$63*K4068+Assumptions!$O$64*K4081+Assumptions!$O$65*K4094+Assumptions!$O$66*K4107</f>
        <v>527.324</v>
      </c>
    </row>
    <row r="4176" customFormat="false" ht="15" hidden="false" customHeight="false" outlineLevel="0" collapsed="false">
      <c r="A4176" s="3" t="s">
        <v>416</v>
      </c>
      <c r="G4176" s="16" t="n">
        <f aca="false">G4174-G4167</f>
        <v>2461.938386</v>
      </c>
      <c r="H4176" s="16" t="n">
        <f aca="false">H4174-H4167</f>
        <v>2531.1291236658</v>
      </c>
      <c r="I4176" s="16" t="n">
        <f aca="false">I4174-I4167</f>
        <v>2607.30651767706</v>
      </c>
      <c r="J4176" s="16" t="n">
        <f aca="false">J4174-J4167</f>
        <v>2679.43678061625</v>
      </c>
      <c r="K4176" s="16" t="n">
        <f aca="false">K4174-K4167</f>
        <v>2765.99714847841</v>
      </c>
    </row>
    <row r="4177" customFormat="false" ht="15" hidden="false" customHeight="false" outlineLevel="0" collapsed="false">
      <c r="A4177" s="3" t="s">
        <v>417</v>
      </c>
      <c r="G4177" s="32" t="n">
        <f aca="false">IF(G3953&gt;0,G4174/G3953,0)</f>
        <v>9.86289224667383</v>
      </c>
      <c r="H4177" s="32" t="n">
        <f aca="false">IF(H3953&gt;0,H4174/H3953,0)</f>
        <v>9.3756785323409</v>
      </c>
      <c r="I4177" s="32" t="n">
        <f aca="false">IF(I3953&gt;0,I4174/I3953,0)</f>
        <v>9.32528637763915</v>
      </c>
      <c r="J4177" s="32" t="n">
        <f aca="false">IF(J3953&gt;0,J4174/J3953,0)</f>
        <v>9.36168497901929</v>
      </c>
      <c r="K4177" s="32" t="n">
        <f aca="false">IF(K3953&gt;0,K4174/K3953,0)</f>
        <v>9.44078781017315</v>
      </c>
    </row>
    <row r="4178" customFormat="false" ht="15" hidden="false" customHeight="false" outlineLevel="0" collapsed="false">
      <c r="A4178" s="3" t="s">
        <v>418</v>
      </c>
      <c r="G4178" s="32" t="n">
        <f aca="false">IF(G3953&gt;0,G4176/G3953,0)</f>
        <v>9.26103899604951</v>
      </c>
      <c r="H4178" s="32" t="n">
        <f aca="false">IF(H3953&gt;0,H4176/H3953,0)</f>
        <v>9.28398051867703</v>
      </c>
      <c r="I4178" s="32" t="n">
        <f aca="false">IF(I3953&gt;0,I4176/I3953,0)</f>
        <v>9.32528637763915</v>
      </c>
      <c r="J4178" s="32" t="n">
        <f aca="false">IF(J3953&gt;0,J4176/J3953,0)</f>
        <v>9.36168497901929</v>
      </c>
      <c r="K4178" s="32" t="n">
        <f aca="false">IF(K3953&gt;0,K4176/K3953,0)</f>
        <v>9.44078781017315</v>
      </c>
    </row>
    <row r="4179" customFormat="false" ht="15" hidden="false" customHeight="false" outlineLevel="0" collapsed="false">
      <c r="A4179" s="3" t="s">
        <v>419</v>
      </c>
      <c r="G4179" s="32" t="n">
        <f aca="false">IF(G3957&gt;0,G3953/G3957,0)</f>
        <v>1.47516071575141</v>
      </c>
      <c r="H4179" s="32" t="n">
        <f aca="false">IF(H3957&gt;0,H3953/H3957,0)</f>
        <v>1.52197480216608</v>
      </c>
      <c r="I4179" s="32" t="n">
        <f aca="false">IF(I3957&gt;0,I3953/I3957,0)</f>
        <v>1.47290435801645</v>
      </c>
      <c r="J4179" s="32" t="n">
        <f aca="false">IF(J3957&gt;0,J3953/J3957,0)</f>
        <v>1.51373388488476</v>
      </c>
      <c r="K4179" s="32" t="n">
        <f aca="false">IF(K3957&gt;0,K3953/K3957,0)</f>
        <v>1.41611251824293</v>
      </c>
    </row>
    <row r="4180" customFormat="false" ht="15" hidden="false" customHeight="false" outlineLevel="0" collapsed="false">
      <c r="A4180" s="3" t="s">
        <v>420</v>
      </c>
      <c r="G4180" s="32" t="n">
        <f aca="false">IF(G3957&gt;0,G3956/G3957,0)</f>
        <v>0.477799172163696</v>
      </c>
      <c r="H4180" s="32" t="n">
        <f aca="false">IF(H3957&gt;0,H3956/H3957,0)</f>
        <v>0.49854443138022</v>
      </c>
      <c r="I4180" s="32" t="n">
        <f aca="false">IF(I3957&gt;0,I3956/I3957,0)</f>
        <v>0.487814777910994</v>
      </c>
      <c r="J4180" s="32" t="n">
        <f aca="false">IF(J3957&gt;0,J3956/J3957,0)</f>
        <v>0.504965870176251</v>
      </c>
      <c r="K4180" s="32" t="n">
        <f aca="false">IF(K3957&gt;0,K3956/K3957,0)</f>
        <v>0.475770798664027</v>
      </c>
    </row>
    <row r="4181" customFormat="false" ht="15" hidden="false" customHeight="false" outlineLevel="0" collapsed="false">
      <c r="A4181" s="3" t="s">
        <v>213</v>
      </c>
      <c r="G4181" s="22" t="n">
        <f aca="false">IF(G4174&gt;0,G3966/G4174,0)</f>
        <v>-0.0281755322597747</v>
      </c>
      <c r="H4181" s="22" t="n">
        <f aca="false">IF(H4174&gt;0,H3966/H4174,0)</f>
        <v>-0.0270685612182893</v>
      </c>
      <c r="I4181" s="22" t="n">
        <f aca="false">IF(I4174&gt;0,I3966/I4174,0)</f>
        <v>-0.0292168924116851</v>
      </c>
      <c r="J4181" s="22" t="n">
        <f aca="false">IF(J4174&gt;0,J3966/J4174,0)</f>
        <v>-0.0269199346149912</v>
      </c>
      <c r="K4181" s="22" t="n">
        <f aca="false">IF(K4174&gt;0,K3966/K4174,0)</f>
        <v>-0.0312944530365024</v>
      </c>
    </row>
    <row r="4182" customFormat="false" ht="15" hidden="false" customHeight="false" outlineLevel="0" collapsed="false">
      <c r="A4182" s="3" t="s">
        <v>421</v>
      </c>
      <c r="G4182" s="32" t="n">
        <f aca="false">IF(G3957+G4158&gt;0,(G3953-G3964-G3961)/(G3957+G4158),0)</f>
        <v>0.865877104961388</v>
      </c>
      <c r="H4182" s="32" t="n">
        <f aca="false">IF(H3957+H4158&gt;0,(H3953-H3964-H3961)/(H3957+H4158),0)</f>
        <v>0.896469438752284</v>
      </c>
      <c r="I4182" s="32" t="n">
        <f aca="false">IF(I3957+I4158&gt;0,(I3953-I3964-I3961)/(I3957+I4158),0)</f>
        <v>0.871731399168808</v>
      </c>
      <c r="J4182" s="32" t="n">
        <f aca="false">IF(J3957+J4158&gt;0,(J3953-J3964-J3961)/(J3957+J4158),0)</f>
        <v>0.897925325541227</v>
      </c>
      <c r="K4182" s="32" t="n">
        <f aca="false">IF(K3957+K4158&gt;0,(K3953-K3964-K3961)/(K3957+K4158),0)</f>
        <v>0.843475131997521</v>
      </c>
    </row>
    <row r="4183" customFormat="false" ht="15" hidden="false" customHeight="false" outlineLevel="0" collapsed="false">
      <c r="A4183" s="3" t="s">
        <v>422</v>
      </c>
      <c r="G4183" s="16" t="n">
        <f aca="false">MAX(0,G4167)+Assumptions!$P$57*MAX(0,Assumptions!$D$57-G3990)+Assumptions!$P$58*MAX(0,Assumptions!$D$58-G4003)+Assumptions!$P$59*MAX(0,Assumptions!$D$59-G4016)+Assumptions!$P$60*MAX(0,Assumptions!$D$60-G4029)+Assumptions!$P$61*MAX(0,Assumptions!$D$61-G4042)+Assumptions!$P$62*MAX(0,Assumptions!$D$62-G4055)+Assumptions!$P$63*MAX(0,Assumptions!$D$63-G4068)+Assumptions!$P$64*MAX(0,Assumptions!$D$64-G4081)+Assumptions!$P$65*MAX(0,Assumptions!$D$65-G4094)+Assumptions!$P$66*MAX(0,Assumptions!$D$66-G4107)</f>
        <v>734.495614</v>
      </c>
      <c r="H4183" s="16" t="n">
        <f aca="false">MAX(0,H4167)+Assumptions!$P$57*MAX(0,Assumptions!$D$57-H3990)+Assumptions!$P$58*MAX(0,Assumptions!$D$58-H4003)+Assumptions!$P$59*MAX(0,Assumptions!$D$59-H4016)+Assumptions!$P$60*MAX(0,Assumptions!$D$60-H4029)+Assumptions!$P$61*MAX(0,Assumptions!$D$61-H4042)+Assumptions!$P$62*MAX(0,Assumptions!$D$62-H4055)+Assumptions!$P$63*MAX(0,Assumptions!$D$63-H4068)+Assumptions!$P$64*MAX(0,Assumptions!$D$64-H4081)+Assumptions!$P$65*MAX(0,Assumptions!$D$65-H4094)+Assumptions!$P$66*MAX(0,Assumptions!$D$66-H4107)</f>
        <v>599.5</v>
      </c>
      <c r="I4183" s="16" t="n">
        <f aca="false">MAX(0,I4167)+Assumptions!$P$57*MAX(0,Assumptions!$D$57-I3990)+Assumptions!$P$58*MAX(0,Assumptions!$D$58-I4003)+Assumptions!$P$59*MAX(0,Assumptions!$D$59-I4016)+Assumptions!$P$60*MAX(0,Assumptions!$D$60-I4029)+Assumptions!$P$61*MAX(0,Assumptions!$D$61-I4042)+Assumptions!$P$62*MAX(0,Assumptions!$D$62-I4055)+Assumptions!$P$63*MAX(0,Assumptions!$D$63-I4068)+Assumptions!$P$64*MAX(0,Assumptions!$D$64-I4081)+Assumptions!$P$65*MAX(0,Assumptions!$D$65-I4094)+Assumptions!$P$66*MAX(0,Assumptions!$D$66-I4107)</f>
        <v>519.322605988744</v>
      </c>
      <c r="J4183" s="16" t="n">
        <f aca="false">MAX(0,J4167)+Assumptions!$P$57*MAX(0,Assumptions!$D$57-J3990)+Assumptions!$P$58*MAX(0,Assumptions!$D$58-J4003)+Assumptions!$P$59*MAX(0,Assumptions!$D$59-J4016)+Assumptions!$P$60*MAX(0,Assumptions!$D$60-J4029)+Assumptions!$P$61*MAX(0,Assumptions!$D$61-J4042)+Assumptions!$P$62*MAX(0,Assumptions!$D$62-J4055)+Assumptions!$P$63*MAX(0,Assumptions!$D$63-J4068)+Assumptions!$P$64*MAX(0,Assumptions!$D$64-J4081)+Assumptions!$P$65*MAX(0,Assumptions!$D$65-J4094)+Assumptions!$P$66*MAX(0,Assumptions!$D$66-J4107)</f>
        <v>443.192343049552</v>
      </c>
      <c r="K4183" s="16" t="n">
        <f aca="false">MAX(0,K4167)+Assumptions!$P$57*MAX(0,Assumptions!$D$57-K3990)+Assumptions!$P$58*MAX(0,Assumptions!$D$58-K4003)+Assumptions!$P$59*MAX(0,Assumptions!$D$59-K4016)+Assumptions!$P$60*MAX(0,Assumptions!$D$60-K4029)+Assumptions!$P$61*MAX(0,Assumptions!$D$61-K4042)+Assumptions!$P$62*MAX(0,Assumptions!$D$62-K4055)+Assumptions!$P$63*MAX(0,Assumptions!$D$63-K4068)+Assumptions!$P$64*MAX(0,Assumptions!$D$64-K4081)+Assumptions!$P$65*MAX(0,Assumptions!$D$65-K4094)+Assumptions!$P$66*MAX(0,Assumptions!$D$66-K4107)</f>
        <v>352.631975187395</v>
      </c>
    </row>
    <row r="4184" customFormat="false" ht="15" hidden="false" customHeight="false" outlineLevel="0" collapsed="false">
      <c r="A4184" s="3" t="s">
        <v>423</v>
      </c>
      <c r="G4184" s="22" t="n">
        <f aca="false">IF(G4174&gt;0,G4174/(G4174+MAX(0,G3953*CHOOSE($C$3936,Assumptions!$C$90,Assumptions!$C$109,Assumptions!$C$128)-G4176)),0)</f>
        <v>0.752786041639098</v>
      </c>
      <c r="H4184" s="22" t="n">
        <f aca="false">IF(H4174&gt;0,H4174/(H4174+MAX(0,H3953*CHOOSE($C$3936,Assumptions!$C$90,Assumptions!$C$109,Assumptions!$C$128)-H4176)),0)</f>
        <v>0.744592073457201</v>
      </c>
      <c r="I4184" s="22" t="n">
        <f aca="false">IF(I4174&gt;0,I4174/(I4174+MAX(0,I3953*CHOOSE($C$3936,Assumptions!$C$90,Assumptions!$C$109,Assumptions!$C$128)-I4176)),0)</f>
        <v>0.746022910211132</v>
      </c>
      <c r="J4184" s="22" t="n">
        <f aca="false">IF(J4174&gt;0,J4174/(J4174+MAX(0,J3953*CHOOSE($C$3936,Assumptions!$C$90,Assumptions!$C$109,Assumptions!$C$128)-J4176)),0)</f>
        <v>0.748934798321543</v>
      </c>
      <c r="K4184" s="22" t="n">
        <f aca="false">IF(K4174&gt;0,K4174/(K4174+MAX(0,K3953*CHOOSE($C$3936,Assumptions!$C$90,Assumptions!$C$109,Assumptions!$C$128)-K4176)),0)</f>
        <v>0.755263024813852</v>
      </c>
    </row>
    <row r="4185" customFormat="false" ht="15" hidden="false" customHeight="false" outlineLevel="0" collapsed="false">
      <c r="A4185" s="3" t="s">
        <v>424</v>
      </c>
      <c r="G4185" s="22" t="n">
        <f aca="false">IF(G4174&gt;0,MAX(0,G4167)/G4174,0)</f>
        <v>0.0610219837722841</v>
      </c>
      <c r="H4185" s="22" t="n">
        <f aca="false">IF(H4174&gt;0,MAX(0,H4167)/H4174,0)</f>
        <v>0.00978041358260766</v>
      </c>
      <c r="I4185" s="22" t="n">
        <f aca="false">IF(I4174&gt;0,MAX(0,I4167)/I4174,0)</f>
        <v>0</v>
      </c>
      <c r="J4185" s="22" t="n">
        <f aca="false">IF(J4174&gt;0,MAX(0,J4167)/J4174,0)</f>
        <v>0</v>
      </c>
      <c r="K4185" s="22" t="n">
        <f aca="false">IF(K4174&gt;0,MAX(0,K4167)/K4174,0)</f>
        <v>0</v>
      </c>
    </row>
    <row r="4186" customFormat="false" ht="15" hidden="false" customHeight="false" outlineLevel="0" collapsed="false">
      <c r="A4186" s="3" t="s">
        <v>425</v>
      </c>
      <c r="G4186" s="16" t="n">
        <f aca="false">Assumptions!$C$31*(1-CHOOSE($C$3936,Assumptions!$C$93,Assumptions!$C$112,Assumptions!$C$131))</f>
        <v>4517.70066666667</v>
      </c>
      <c r="H4186" s="16" t="n">
        <f aca="false">Assumptions!$C$31*(1-CHOOSE($C$3936,Assumptions!$C$93,Assumptions!$C$112,Assumptions!$C$131))</f>
        <v>4517.70066666667</v>
      </c>
      <c r="I4186" s="16" t="n">
        <f aca="false">Assumptions!$C$31*(1-CHOOSE($C$3936,Assumptions!$C$93,Assumptions!$C$112,Assumptions!$C$131))</f>
        <v>4517.70066666667</v>
      </c>
      <c r="J4186" s="16" t="n">
        <f aca="false">Assumptions!$C$31*(1-CHOOSE($C$3936,Assumptions!$C$93,Assumptions!$C$112,Assumptions!$C$131))</f>
        <v>4517.70066666667</v>
      </c>
      <c r="K4186" s="16" t="n">
        <f aca="false">Assumptions!$C$31*(1-CHOOSE($C$3936,Assumptions!$C$93,Assumptions!$C$112,Assumptions!$C$131))</f>
        <v>4517.70066666667</v>
      </c>
    </row>
    <row r="4187" customFormat="false" ht="15" hidden="false" customHeight="false" outlineLevel="0" collapsed="false">
      <c r="A4187" s="24" t="s">
        <v>426</v>
      </c>
      <c r="B4187" s="25"/>
      <c r="C4187" s="25"/>
      <c r="D4187" s="25"/>
      <c r="E4187" s="25"/>
      <c r="F4187" s="25"/>
      <c r="G4187" s="25"/>
      <c r="H4187" s="25"/>
      <c r="I4187" s="25"/>
      <c r="J4187" s="25"/>
      <c r="K4187" s="25"/>
    </row>
    <row r="4188" customFormat="false" ht="15" hidden="false" customHeight="false" outlineLevel="0" collapsed="false">
      <c r="A4188" s="24" t="s">
        <v>427</v>
      </c>
      <c r="B4188" s="25"/>
      <c r="C4188" s="25"/>
      <c r="D4188" s="25"/>
      <c r="E4188" s="25"/>
      <c r="F4188" s="25"/>
      <c r="G4188" s="25"/>
      <c r="H4188" s="25"/>
      <c r="I4188" s="25"/>
      <c r="J4188" s="25"/>
      <c r="K4188" s="25"/>
    </row>
    <row r="4189" customFormat="false" ht="15" hidden="false" customHeight="false" outlineLevel="0" collapsed="false">
      <c r="A4189" s="3" t="s">
        <v>428</v>
      </c>
      <c r="G4189" s="22" t="n">
        <f aca="false">IF(G4186&gt;0,G4174/G4186,99)</f>
        <v>0.580369128779522</v>
      </c>
      <c r="H4189" s="22" t="n">
        <f aca="false">IF(H4186&gt;0,H4174/H4186,99)</f>
        <v>0.565803118060899</v>
      </c>
      <c r="I4189" s="22" t="n">
        <f aca="false">IF(I4186&gt;0,I4174/I4186,99)</f>
        <v>0.577131313040451</v>
      </c>
      <c r="J4189" s="22" t="n">
        <f aca="false">IF(J4186&gt;0,J4174/J4186,99)</f>
        <v>0.593097457825429</v>
      </c>
      <c r="K4189" s="22" t="n">
        <f aca="false">IF(K4186&gt;0,K4174/K4186,99)</f>
        <v>0.612257728558024</v>
      </c>
    </row>
    <row r="4190" customFormat="false" ht="15" hidden="false" customHeight="false" outlineLevel="0" collapsed="false">
      <c r="A4190" s="3" t="s">
        <v>429</v>
      </c>
      <c r="G4190" s="33" t="n">
        <f aca="false">Assumptions!$G$71</f>
        <v>0.6</v>
      </c>
      <c r="H4190" s="33" t="n">
        <f aca="false">Assumptions!$H$71</f>
        <v>0.6</v>
      </c>
      <c r="I4190" s="33" t="n">
        <f aca="false">Assumptions!$I$71</f>
        <v>0.6</v>
      </c>
      <c r="J4190" s="33" t="n">
        <f aca="false">Assumptions!$J$71</f>
        <v>0.6</v>
      </c>
      <c r="K4190" s="33" t="n">
        <f aca="false">Assumptions!$K$71</f>
        <v>0.6</v>
      </c>
    </row>
    <row r="4191" customFormat="false" ht="15" hidden="false" customHeight="false" outlineLevel="0" collapsed="false">
      <c r="A4191" s="3" t="s">
        <v>430</v>
      </c>
      <c r="G4191" s="22" t="n">
        <f aca="false">G4190-G4189</f>
        <v>0.0196308712204777</v>
      </c>
      <c r="H4191" s="22" t="n">
        <f aca="false">H4190-H4189</f>
        <v>0.0341968819391014</v>
      </c>
      <c r="I4191" s="22" t="n">
        <f aca="false">I4190-I4189</f>
        <v>0.0228686869595486</v>
      </c>
      <c r="J4191" s="22" t="n">
        <f aca="false">J4190-J4189</f>
        <v>0.00690254217457054</v>
      </c>
      <c r="K4191" s="22" t="n">
        <f aca="false">K4190-K4189</f>
        <v>-0.0122577285580242</v>
      </c>
    </row>
    <row r="4192" customFormat="false" ht="15" hidden="false" customHeight="false" outlineLevel="0" collapsed="false">
      <c r="A4192" s="3" t="s">
        <v>431</v>
      </c>
      <c r="G4192" s="22" t="n">
        <f aca="false">IF(G4190=0,0,G4191/ABS(G4190))</f>
        <v>0.0327181187007962</v>
      </c>
      <c r="H4192" s="22" t="n">
        <f aca="false">IF(H4190=0,0,H4191/ABS(H4190))</f>
        <v>0.0569948032318357</v>
      </c>
      <c r="I4192" s="22" t="n">
        <f aca="false">IF(I4190=0,0,I4191/ABS(I4190))</f>
        <v>0.0381144782659143</v>
      </c>
      <c r="J4192" s="22" t="n">
        <f aca="false">IF(J4190=0,0,J4191/ABS(J4190))</f>
        <v>0.0115042369576176</v>
      </c>
      <c r="K4192" s="22" t="n">
        <f aca="false">IF(K4190=0,0,K4191/ABS(K4190))</f>
        <v>-0.020429547596707</v>
      </c>
    </row>
    <row r="4193" customFormat="false" ht="15" hidden="false" customHeight="false" outlineLevel="0" collapsed="false">
      <c r="A4193" s="3" t="s">
        <v>432</v>
      </c>
      <c r="G4193" s="21" t="n">
        <f aca="false">IF(G4191&lt;0,1,0)</f>
        <v>0</v>
      </c>
      <c r="H4193" s="21" t="n">
        <f aca="false">IF(H4191&lt;0,1,0)</f>
        <v>0</v>
      </c>
      <c r="I4193" s="21" t="n">
        <f aca="false">IF(I4191&lt;0,1,0)</f>
        <v>0</v>
      </c>
      <c r="J4193" s="21" t="n">
        <f aca="false">IF(J4191&lt;0,1,0)</f>
        <v>0</v>
      </c>
      <c r="K4193" s="21" t="n">
        <f aca="false">IF(K4191&lt;0,1,0)</f>
        <v>1</v>
      </c>
    </row>
    <row r="4194" customFormat="false" ht="15" hidden="false" customHeight="false" outlineLevel="0" collapsed="false">
      <c r="A4194" s="3" t="s">
        <v>433</v>
      </c>
      <c r="C4194" s="21" t="n">
        <f aca="false">IFERROR(INDEX($G$3943:$K$3943,MATCH(1,$G$4193:$K$4193,0)),0)</f>
        <v>2031</v>
      </c>
    </row>
    <row r="4195" customFormat="false" ht="15" hidden="false" customHeight="false" outlineLevel="0" collapsed="false">
      <c r="A4195" s="3" t="s">
        <v>434</v>
      </c>
      <c r="C4195" s="22" t="n">
        <f aca="false">MIN($G$4192:$K$4192)</f>
        <v>-0.020429547596707</v>
      </c>
    </row>
    <row r="4196" customFormat="false" ht="15" hidden="false" customHeight="false" outlineLevel="0" collapsed="false">
      <c r="A4196" s="24" t="s">
        <v>435</v>
      </c>
      <c r="B4196" s="25"/>
      <c r="C4196" s="25"/>
      <c r="D4196" s="25"/>
      <c r="E4196" s="25"/>
      <c r="F4196" s="25"/>
      <c r="G4196" s="25"/>
      <c r="H4196" s="25"/>
      <c r="I4196" s="25"/>
      <c r="J4196" s="25"/>
      <c r="K4196" s="25"/>
    </row>
    <row r="4197" customFormat="false" ht="15" hidden="false" customHeight="false" outlineLevel="0" collapsed="false">
      <c r="A4197" s="3" t="s">
        <v>428</v>
      </c>
      <c r="G4197" s="32" t="n">
        <f aca="false">IF(G3957&gt;0,G3953/G3957,99)</f>
        <v>1.47516071575141</v>
      </c>
      <c r="H4197" s="32" t="n">
        <f aca="false">IF(H3957&gt;0,H3953/H3957,99)</f>
        <v>1.52197480216608</v>
      </c>
      <c r="I4197" s="32" t="n">
        <f aca="false">IF(I3957&gt;0,I3953/I3957,99)</f>
        <v>1.47290435801645</v>
      </c>
      <c r="J4197" s="32" t="n">
        <f aca="false">IF(J3957&gt;0,J3953/J3957,99)</f>
        <v>1.51373388488476</v>
      </c>
      <c r="K4197" s="32" t="n">
        <f aca="false">IF(K3957&gt;0,K3953/K3957,99)</f>
        <v>1.41611251824293</v>
      </c>
    </row>
    <row r="4198" customFormat="false" ht="15" hidden="false" customHeight="false" outlineLevel="0" collapsed="false">
      <c r="A4198" s="3" t="s">
        <v>429</v>
      </c>
      <c r="G4198" s="34" t="n">
        <f aca="false">Assumptions!$G$72</f>
        <v>1.5</v>
      </c>
      <c r="H4198" s="34" t="n">
        <f aca="false">Assumptions!$H$72</f>
        <v>1.5</v>
      </c>
      <c r="I4198" s="34" t="n">
        <f aca="false">Assumptions!$I$72</f>
        <v>1.5</v>
      </c>
      <c r="J4198" s="34" t="n">
        <f aca="false">Assumptions!$J$72</f>
        <v>1.5</v>
      </c>
      <c r="K4198" s="34" t="n">
        <f aca="false">Assumptions!$K$72</f>
        <v>1.5</v>
      </c>
    </row>
    <row r="4199" customFormat="false" ht="15" hidden="false" customHeight="false" outlineLevel="0" collapsed="false">
      <c r="A4199" s="3" t="s">
        <v>430</v>
      </c>
      <c r="G4199" s="32" t="n">
        <f aca="false">G4197-G4198</f>
        <v>-0.0248392842485923</v>
      </c>
      <c r="H4199" s="32" t="n">
        <f aca="false">H4197-H4198</f>
        <v>0.0219748021660824</v>
      </c>
      <c r="I4199" s="32" t="n">
        <f aca="false">I4197-I4198</f>
        <v>-0.0270956419835529</v>
      </c>
      <c r="J4199" s="32" t="n">
        <f aca="false">J4197-J4198</f>
        <v>0.0137338848847604</v>
      </c>
      <c r="K4199" s="32" t="n">
        <f aca="false">K4197-K4198</f>
        <v>-0.0838874817570685</v>
      </c>
    </row>
    <row r="4200" customFormat="false" ht="15" hidden="false" customHeight="false" outlineLevel="0" collapsed="false">
      <c r="A4200" s="3" t="s">
        <v>431</v>
      </c>
      <c r="G4200" s="22" t="n">
        <f aca="false">IF(G4198=0,0,G4199/ABS(G4198))</f>
        <v>-0.0165595228323949</v>
      </c>
      <c r="H4200" s="22" t="n">
        <f aca="false">IF(H4198=0,0,H4199/ABS(H4198))</f>
        <v>0.0146498681107216</v>
      </c>
      <c r="I4200" s="22" t="n">
        <f aca="false">IF(I4198=0,0,I4199/ABS(I4198))</f>
        <v>-0.0180637613223686</v>
      </c>
      <c r="J4200" s="22" t="n">
        <f aca="false">IF(J4198=0,0,J4199/ABS(J4198))</f>
        <v>0.0091559232565069</v>
      </c>
      <c r="K4200" s="22" t="n">
        <f aca="false">IF(K4198=0,0,K4199/ABS(K4198))</f>
        <v>-0.0559249878380457</v>
      </c>
    </row>
    <row r="4201" customFormat="false" ht="15" hidden="false" customHeight="false" outlineLevel="0" collapsed="false">
      <c r="A4201" s="3" t="s">
        <v>432</v>
      </c>
      <c r="G4201" s="21" t="n">
        <f aca="false">IF(G4199&lt;0,1,0)</f>
        <v>1</v>
      </c>
      <c r="H4201" s="21" t="n">
        <f aca="false">IF(H4199&lt;0,1,0)</f>
        <v>0</v>
      </c>
      <c r="I4201" s="21" t="n">
        <f aca="false">IF(I4199&lt;0,1,0)</f>
        <v>1</v>
      </c>
      <c r="J4201" s="21" t="n">
        <f aca="false">IF(J4199&lt;0,1,0)</f>
        <v>0</v>
      </c>
      <c r="K4201" s="21" t="n">
        <f aca="false">IF(K4199&lt;0,1,0)</f>
        <v>1</v>
      </c>
    </row>
    <row r="4202" customFormat="false" ht="15" hidden="false" customHeight="false" outlineLevel="0" collapsed="false">
      <c r="A4202" s="3" t="s">
        <v>433</v>
      </c>
      <c r="C4202" s="21" t="n">
        <f aca="false">IFERROR(INDEX($G$3943:$K$3943,MATCH(1,$G$4201:$K$4201,0)),0)</f>
        <v>2027</v>
      </c>
    </row>
    <row r="4203" customFormat="false" ht="15" hidden="false" customHeight="false" outlineLevel="0" collapsed="false">
      <c r="A4203" s="3" t="s">
        <v>434</v>
      </c>
      <c r="C4203" s="22" t="n">
        <f aca="false">MIN($G$4200:$K$4200)</f>
        <v>-0.0559249878380457</v>
      </c>
    </row>
    <row r="4204" customFormat="false" ht="15" hidden="false" customHeight="false" outlineLevel="0" collapsed="false">
      <c r="A4204" s="24" t="s">
        <v>436</v>
      </c>
      <c r="B4204" s="25"/>
      <c r="C4204" s="25"/>
      <c r="D4204" s="25"/>
      <c r="E4204" s="25"/>
      <c r="F4204" s="25"/>
      <c r="G4204" s="25"/>
      <c r="H4204" s="25"/>
      <c r="I4204" s="25"/>
      <c r="J4204" s="25"/>
      <c r="K4204" s="25"/>
    </row>
    <row r="4205" customFormat="false" ht="15" hidden="false" customHeight="false" outlineLevel="0" collapsed="false">
      <c r="A4205" s="3" t="s">
        <v>428</v>
      </c>
      <c r="G4205" s="22" t="n">
        <f aca="false">IF(G4186&gt;0,G4175/G4186,99)</f>
        <v>0.120265604139923</v>
      </c>
      <c r="H4205" s="22" t="n">
        <f aca="false">IF(H4186&gt;0,H4175/H4186,99)</f>
        <v>0.119380197979769</v>
      </c>
      <c r="I4205" s="22" t="n">
        <f aca="false">IF(I4186&gt;0,I4175/I4186,99)</f>
        <v>0.118494791819614</v>
      </c>
      <c r="J4205" s="22" t="n">
        <f aca="false">IF(J4186&gt;0,J4175/J4186,99)</f>
        <v>0.11760938565946</v>
      </c>
      <c r="K4205" s="22" t="n">
        <f aca="false">IF(K4186&gt;0,K4175/K4186,99)</f>
        <v>0.116723979499306</v>
      </c>
    </row>
    <row r="4206" customFormat="false" ht="15" hidden="false" customHeight="false" outlineLevel="0" collapsed="false">
      <c r="A4206" s="3" t="s">
        <v>429</v>
      </c>
      <c r="G4206" s="33" t="n">
        <f aca="false">Assumptions!$G$73</f>
        <v>0.4</v>
      </c>
      <c r="H4206" s="33" t="n">
        <f aca="false">Assumptions!$H$73</f>
        <v>0.4</v>
      </c>
      <c r="I4206" s="33" t="n">
        <f aca="false">Assumptions!$I$73</f>
        <v>0.4</v>
      </c>
      <c r="J4206" s="33" t="n">
        <f aca="false">Assumptions!$J$73</f>
        <v>0.4</v>
      </c>
      <c r="K4206" s="33" t="n">
        <f aca="false">Assumptions!$K$73</f>
        <v>0.4</v>
      </c>
    </row>
    <row r="4207" customFormat="false" ht="15" hidden="false" customHeight="false" outlineLevel="0" collapsed="false">
      <c r="A4207" s="3" t="s">
        <v>430</v>
      </c>
      <c r="G4207" s="22" t="n">
        <f aca="false">G4206-G4205</f>
        <v>0.279734395860077</v>
      </c>
      <c r="H4207" s="22" t="n">
        <f aca="false">H4206-H4205</f>
        <v>0.280619802020231</v>
      </c>
      <c r="I4207" s="22" t="n">
        <f aca="false">I4206-I4205</f>
        <v>0.281505208180386</v>
      </c>
      <c r="J4207" s="22" t="n">
        <f aca="false">J4206-J4205</f>
        <v>0.28239061434054</v>
      </c>
      <c r="K4207" s="22" t="n">
        <f aca="false">K4206-K4205</f>
        <v>0.283276020500694</v>
      </c>
    </row>
    <row r="4208" customFormat="false" ht="15" hidden="false" customHeight="false" outlineLevel="0" collapsed="false">
      <c r="A4208" s="3" t="s">
        <v>431</v>
      </c>
      <c r="G4208" s="22" t="n">
        <f aca="false">IF(G4206=0,0,G4207/ABS(G4206))</f>
        <v>0.699335989650192</v>
      </c>
      <c r="H4208" s="22" t="n">
        <f aca="false">IF(H4206=0,0,H4207/ABS(H4206))</f>
        <v>0.701549505050578</v>
      </c>
      <c r="I4208" s="22" t="n">
        <f aca="false">IF(I4206=0,0,I4207/ABS(I4206))</f>
        <v>0.703763020450964</v>
      </c>
      <c r="J4208" s="22" t="n">
        <f aca="false">IF(J4206=0,0,J4207/ABS(J4206))</f>
        <v>0.70597653585135</v>
      </c>
      <c r="K4208" s="22" t="n">
        <f aca="false">IF(K4206=0,0,K4207/ABS(K4206))</f>
        <v>0.708190051251736</v>
      </c>
    </row>
    <row r="4209" customFormat="false" ht="15" hidden="false" customHeight="false" outlineLevel="0" collapsed="false">
      <c r="A4209" s="3" t="s">
        <v>432</v>
      </c>
      <c r="G4209" s="21" t="n">
        <f aca="false">IF(G4207&lt;0,1,0)</f>
        <v>0</v>
      </c>
      <c r="H4209" s="21" t="n">
        <f aca="false">IF(H4207&lt;0,1,0)</f>
        <v>0</v>
      </c>
      <c r="I4209" s="21" t="n">
        <f aca="false">IF(I4207&lt;0,1,0)</f>
        <v>0</v>
      </c>
      <c r="J4209" s="21" t="n">
        <f aca="false">IF(J4207&lt;0,1,0)</f>
        <v>0</v>
      </c>
      <c r="K4209" s="21" t="n">
        <f aca="false">IF(K4207&lt;0,1,0)</f>
        <v>0</v>
      </c>
    </row>
    <row r="4210" customFormat="false" ht="15" hidden="false" customHeight="false" outlineLevel="0" collapsed="false">
      <c r="A4210" s="3" t="s">
        <v>433</v>
      </c>
      <c r="C4210" s="21" t="n">
        <f aca="false">IFERROR(INDEX($G$3943:$K$3943,MATCH(1,$G$4209:$K$4209,0)),0)</f>
        <v>0</v>
      </c>
    </row>
    <row r="4211" customFormat="false" ht="15" hidden="false" customHeight="false" outlineLevel="0" collapsed="false">
      <c r="A4211" s="3" t="s">
        <v>434</v>
      </c>
      <c r="C4211" s="22" t="n">
        <f aca="false">MIN($G$4208:$K$4208)</f>
        <v>0.699335989650192</v>
      </c>
    </row>
    <row r="4212" customFormat="false" ht="15" hidden="false" customHeight="false" outlineLevel="0" collapsed="false">
      <c r="A4212" s="24" t="s">
        <v>437</v>
      </c>
      <c r="B4212" s="25"/>
      <c r="C4212" s="25"/>
      <c r="D4212" s="25"/>
      <c r="E4212" s="25"/>
      <c r="F4212" s="25"/>
      <c r="G4212" s="25"/>
      <c r="H4212" s="25"/>
      <c r="I4212" s="25"/>
      <c r="J4212" s="25"/>
      <c r="K4212" s="25"/>
    </row>
    <row r="4213" customFormat="false" ht="15" hidden="false" customHeight="false" outlineLevel="0" collapsed="false">
      <c r="A4213" s="3" t="s">
        <v>428</v>
      </c>
      <c r="G4213" s="16" t="n">
        <f aca="false">G4183</f>
        <v>734.495614</v>
      </c>
      <c r="H4213" s="16" t="n">
        <f aca="false">H4183</f>
        <v>599.5</v>
      </c>
      <c r="I4213" s="16" t="n">
        <f aca="false">I4183</f>
        <v>519.322605988744</v>
      </c>
      <c r="J4213" s="16" t="n">
        <f aca="false">J4183</f>
        <v>443.192343049552</v>
      </c>
      <c r="K4213" s="16" t="n">
        <f aca="false">K4183</f>
        <v>352.631975187395</v>
      </c>
    </row>
    <row r="4214" customFormat="false" ht="15" hidden="false" customHeight="false" outlineLevel="0" collapsed="false">
      <c r="A4214" s="3" t="s">
        <v>429</v>
      </c>
      <c r="G4214" s="29" t="n">
        <f aca="false">Assumptions!$G$74</f>
        <v>100</v>
      </c>
      <c r="H4214" s="29" t="n">
        <f aca="false">Assumptions!$H$74</f>
        <v>100</v>
      </c>
      <c r="I4214" s="29" t="n">
        <f aca="false">Assumptions!$I$74</f>
        <v>100</v>
      </c>
      <c r="J4214" s="29" t="n">
        <f aca="false">Assumptions!$J$74</f>
        <v>100</v>
      </c>
      <c r="K4214" s="29" t="n">
        <f aca="false">Assumptions!$K$74</f>
        <v>100</v>
      </c>
    </row>
    <row r="4215" customFormat="false" ht="15" hidden="false" customHeight="false" outlineLevel="0" collapsed="false">
      <c r="A4215" s="3" t="s">
        <v>430</v>
      </c>
      <c r="G4215" s="16" t="n">
        <f aca="false">G4213-G4214</f>
        <v>634.495614</v>
      </c>
      <c r="H4215" s="16" t="n">
        <f aca="false">H4213-H4214</f>
        <v>499.5</v>
      </c>
      <c r="I4215" s="16" t="n">
        <f aca="false">I4213-I4214</f>
        <v>419.322605988744</v>
      </c>
      <c r="J4215" s="16" t="n">
        <f aca="false">J4213-J4214</f>
        <v>343.192343049552</v>
      </c>
      <c r="K4215" s="16" t="n">
        <f aca="false">K4213-K4214</f>
        <v>252.631975187395</v>
      </c>
    </row>
    <row r="4216" customFormat="false" ht="15" hidden="false" customHeight="false" outlineLevel="0" collapsed="false">
      <c r="A4216" s="3" t="s">
        <v>431</v>
      </c>
      <c r="G4216" s="22" t="n">
        <f aca="false">IF(G4214=0,0,G4215/ABS(G4214))</f>
        <v>6.34495614</v>
      </c>
      <c r="H4216" s="22" t="n">
        <f aca="false">IF(H4214=0,0,H4215/ABS(H4214))</f>
        <v>4.995</v>
      </c>
      <c r="I4216" s="22" t="n">
        <f aca="false">IF(I4214=0,0,I4215/ABS(I4214))</f>
        <v>4.19322605988744</v>
      </c>
      <c r="J4216" s="22" t="n">
        <f aca="false">IF(J4214=0,0,J4215/ABS(J4214))</f>
        <v>3.43192343049552</v>
      </c>
      <c r="K4216" s="22" t="n">
        <f aca="false">IF(K4214=0,0,K4215/ABS(K4214))</f>
        <v>2.52631975187395</v>
      </c>
    </row>
    <row r="4217" customFormat="false" ht="15" hidden="false" customHeight="false" outlineLevel="0" collapsed="false">
      <c r="A4217" s="3" t="s">
        <v>432</v>
      </c>
      <c r="G4217" s="21" t="n">
        <f aca="false">IF(G4215&lt;0,1,0)</f>
        <v>0</v>
      </c>
      <c r="H4217" s="21" t="n">
        <f aca="false">IF(H4215&lt;0,1,0)</f>
        <v>0</v>
      </c>
      <c r="I4217" s="21" t="n">
        <f aca="false">IF(I4215&lt;0,1,0)</f>
        <v>0</v>
      </c>
      <c r="J4217" s="21" t="n">
        <f aca="false">IF(J4215&lt;0,1,0)</f>
        <v>0</v>
      </c>
      <c r="K4217" s="21" t="n">
        <f aca="false">IF(K4215&lt;0,1,0)</f>
        <v>0</v>
      </c>
    </row>
    <row r="4218" customFormat="false" ht="15" hidden="false" customHeight="false" outlineLevel="0" collapsed="false">
      <c r="A4218" s="3" t="s">
        <v>433</v>
      </c>
      <c r="C4218" s="21" t="n">
        <f aca="false">IFERROR(INDEX($G$3943:$K$3943,MATCH(1,$G$4217:$K$4217,0)),0)</f>
        <v>0</v>
      </c>
    </row>
    <row r="4219" customFormat="false" ht="15" hidden="false" customHeight="false" outlineLevel="0" collapsed="false">
      <c r="A4219" s="3" t="s">
        <v>434</v>
      </c>
      <c r="C4219" s="22" t="n">
        <f aca="false">MIN($G$4216:$K$4216)</f>
        <v>2.52631975187395</v>
      </c>
    </row>
    <row r="4220" customFormat="false" ht="15" hidden="false" customHeight="false" outlineLevel="0" collapsed="false">
      <c r="A4220" s="24" t="s">
        <v>438</v>
      </c>
      <c r="B4220" s="25"/>
      <c r="C4220" s="25"/>
      <c r="D4220" s="25"/>
      <c r="E4220" s="25"/>
      <c r="F4220" s="25"/>
      <c r="G4220" s="25"/>
      <c r="H4220" s="25"/>
      <c r="I4220" s="25"/>
      <c r="J4220" s="25"/>
      <c r="K4220" s="25"/>
    </row>
    <row r="4221" customFormat="false" ht="15" hidden="false" customHeight="false" outlineLevel="0" collapsed="false">
      <c r="A4221" s="3" t="s">
        <v>428</v>
      </c>
      <c r="G4221" s="32" t="n">
        <f aca="false">IF(G3953&gt;0,G4176/G3953,99)</f>
        <v>9.26103899604951</v>
      </c>
      <c r="H4221" s="32" t="n">
        <f aca="false">IF(H3953&gt;0,H4176/H3953,99)</f>
        <v>9.28398051867703</v>
      </c>
      <c r="I4221" s="32" t="n">
        <f aca="false">IF(I3953&gt;0,I4176/I3953,99)</f>
        <v>9.32528637763915</v>
      </c>
      <c r="J4221" s="32" t="n">
        <f aca="false">IF(J3953&gt;0,J4176/J3953,99)</f>
        <v>9.36168497901929</v>
      </c>
      <c r="K4221" s="32" t="n">
        <f aca="false">IF(K3953&gt;0,K4176/K3953,99)</f>
        <v>9.44078781017315</v>
      </c>
    </row>
    <row r="4222" customFormat="false" ht="15" hidden="false" customHeight="false" outlineLevel="0" collapsed="false">
      <c r="A4222" s="3" t="s">
        <v>429</v>
      </c>
      <c r="G4222" s="34" t="n">
        <f aca="false">Assumptions!$G$75</f>
        <v>10.5</v>
      </c>
      <c r="H4222" s="34" t="n">
        <f aca="false">Assumptions!$H$75</f>
        <v>10.5</v>
      </c>
      <c r="I4222" s="34" t="n">
        <f aca="false">Assumptions!$I$75</f>
        <v>10</v>
      </c>
      <c r="J4222" s="34" t="n">
        <f aca="false">Assumptions!$J$75</f>
        <v>10</v>
      </c>
      <c r="K4222" s="34" t="n">
        <f aca="false">Assumptions!$K$75</f>
        <v>9.5</v>
      </c>
    </row>
    <row r="4223" customFormat="false" ht="15" hidden="false" customHeight="false" outlineLevel="0" collapsed="false">
      <c r="A4223" s="3" t="s">
        <v>430</v>
      </c>
      <c r="G4223" s="32" t="n">
        <f aca="false">G4222-G4221</f>
        <v>1.23896100395049</v>
      </c>
      <c r="H4223" s="32" t="n">
        <f aca="false">H4222-H4221</f>
        <v>1.21601948132297</v>
      </c>
      <c r="I4223" s="32" t="n">
        <f aca="false">I4222-I4221</f>
        <v>0.674713622360846</v>
      </c>
      <c r="J4223" s="32" t="n">
        <f aca="false">J4222-J4221</f>
        <v>0.638315020980713</v>
      </c>
      <c r="K4223" s="32" t="n">
        <f aca="false">K4222-K4221</f>
        <v>0.0592121898268481</v>
      </c>
    </row>
    <row r="4224" customFormat="false" ht="15" hidden="false" customHeight="false" outlineLevel="0" collapsed="false">
      <c r="A4224" s="3" t="s">
        <v>431</v>
      </c>
      <c r="G4224" s="22" t="n">
        <f aca="false">IF(G4222=0,0,G4223/ABS(G4222))</f>
        <v>0.117996286090523</v>
      </c>
      <c r="H4224" s="22" t="n">
        <f aca="false">IF(H4222=0,0,H4223/ABS(H4222))</f>
        <v>0.115811379173616</v>
      </c>
      <c r="I4224" s="22" t="n">
        <f aca="false">IF(I4222=0,0,I4223/ABS(I4222))</f>
        <v>0.0674713622360846</v>
      </c>
      <c r="J4224" s="22" t="n">
        <f aca="false">IF(J4222=0,0,J4223/ABS(J4222))</f>
        <v>0.0638315020980713</v>
      </c>
      <c r="K4224" s="22" t="n">
        <f aca="false">IF(K4222=0,0,K4223/ABS(K4222))</f>
        <v>0.00623286208703664</v>
      </c>
    </row>
    <row r="4225" customFormat="false" ht="15" hidden="false" customHeight="false" outlineLevel="0" collapsed="false">
      <c r="A4225" s="3" t="s">
        <v>432</v>
      </c>
      <c r="G4225" s="21" t="n">
        <f aca="false">IF(G4223&lt;0,1,0)</f>
        <v>0</v>
      </c>
      <c r="H4225" s="21" t="n">
        <f aca="false">IF(H4223&lt;0,1,0)</f>
        <v>0</v>
      </c>
      <c r="I4225" s="21" t="n">
        <f aca="false">IF(I4223&lt;0,1,0)</f>
        <v>0</v>
      </c>
      <c r="J4225" s="21" t="n">
        <f aca="false">IF(J4223&lt;0,1,0)</f>
        <v>0</v>
      </c>
      <c r="K4225" s="21" t="n">
        <f aca="false">IF(K4223&lt;0,1,0)</f>
        <v>0</v>
      </c>
    </row>
    <row r="4226" customFormat="false" ht="15" hidden="false" customHeight="false" outlineLevel="0" collapsed="false">
      <c r="A4226" s="3" t="s">
        <v>433</v>
      </c>
      <c r="C4226" s="21" t="n">
        <f aca="false">IFERROR(INDEX($G$3943:$K$3943,MATCH(1,$G$4225:$K$4225,0)),0)</f>
        <v>0</v>
      </c>
    </row>
    <row r="4227" customFormat="false" ht="15" hidden="false" customHeight="false" outlineLevel="0" collapsed="false">
      <c r="A4227" s="3" t="s">
        <v>434</v>
      </c>
      <c r="C4227" s="22" t="n">
        <f aca="false">MIN($G$4224:$K$4224)</f>
        <v>0.00623286208703664</v>
      </c>
    </row>
    <row r="4228" customFormat="false" ht="15" hidden="false" customHeight="false" outlineLevel="0" collapsed="false">
      <c r="A4228" s="3" t="s">
        <v>439</v>
      </c>
      <c r="G4228" s="21" t="n">
        <f aca="false">G4193+G4201+G4209+G4217+G4225</f>
        <v>1</v>
      </c>
      <c r="H4228" s="21" t="n">
        <f aca="false">H4193+H4201+H4209+H4217+H4225</f>
        <v>0</v>
      </c>
      <c r="I4228" s="21" t="n">
        <f aca="false">I4193+I4201+I4209+I4217+I4225</f>
        <v>1</v>
      </c>
      <c r="J4228" s="21" t="n">
        <f aca="false">J4193+J4201+J4209+J4217+J4225</f>
        <v>0</v>
      </c>
      <c r="K4228" s="21" t="n">
        <f aca="false">K4193+K4201+K4209+K4217+K4225</f>
        <v>2</v>
      </c>
    </row>
    <row r="4229" customFormat="false" ht="15" hidden="false" customHeight="false" outlineLevel="0" collapsed="false">
      <c r="A4229" s="3" t="s">
        <v>440</v>
      </c>
      <c r="C4229" s="21" t="n">
        <f aca="false">SUM($G$4228:$K$4228)</f>
        <v>4</v>
      </c>
    </row>
    <row r="4230" customFormat="false" ht="15" hidden="false" customHeight="false" outlineLevel="0" collapsed="false">
      <c r="A4230" s="3" t="s">
        <v>441</v>
      </c>
      <c r="C4230" s="22" t="n">
        <f aca="false">MIN(C4195,C4203,C4211,C4219,C4227)</f>
        <v>-0.0559249878380457</v>
      </c>
    </row>
    <row r="4232" customFormat="false" ht="15" hidden="false" customHeight="false" outlineLevel="0" collapsed="false">
      <c r="A4232" s="24" t="s">
        <v>543</v>
      </c>
      <c r="B4232" s="25"/>
      <c r="C4232" s="25"/>
      <c r="D4232" s="25"/>
      <c r="E4232" s="25"/>
      <c r="F4232" s="25"/>
      <c r="G4232" s="25"/>
      <c r="H4232" s="25"/>
      <c r="I4232" s="25"/>
      <c r="J4232" s="25"/>
      <c r="K4232" s="25"/>
    </row>
    <row r="4233" customFormat="false" ht="15" hidden="false" customHeight="false" outlineLevel="0" collapsed="false">
      <c r="A4233" s="3" t="s">
        <v>544</v>
      </c>
      <c r="G4233" s="21" t="n">
        <f aca="false">IF($C$4234=1,G4170,IF(G3953=MIN($G$3953:$K$3953),1,0))</f>
        <v>1</v>
      </c>
      <c r="H4233" s="21" t="n">
        <f aca="false">IF($C$4234=1,H4170,IF(AND(H3953=MIN($G$3953:$K$3953),SUM($G$4233:G4233)=0),1,0))</f>
        <v>0</v>
      </c>
      <c r="I4233" s="21" t="n">
        <f aca="false">IF($C$4234=1,I4170,IF(AND(I3953=MIN($G$3953:$K$3953),SUM($G$4233:H4233)=0),1,0))</f>
        <v>0</v>
      </c>
      <c r="J4233" s="21" t="n">
        <f aca="false">IF($C$4234=1,J4170,IF(AND(J3953=MIN($G$3953:$K$3953),SUM($G$4233:I4233)=0),1,0))</f>
        <v>0</v>
      </c>
      <c r="K4233" s="21" t="n">
        <f aca="false">IF($C$4234=1,K4170,IF(AND(K3953=MIN($G$3953:$K$3953),SUM($G$4233:J4233)=0),1,0))</f>
        <v>0</v>
      </c>
    </row>
    <row r="4234" customFormat="false" ht="15" hidden="false" customHeight="false" outlineLevel="0" collapsed="false">
      <c r="A4234" s="3" t="s">
        <v>545</v>
      </c>
      <c r="C4234" s="21" t="n">
        <f aca="false">IF(SUM($G$4170:$K$4170)&gt;0,1,0)</f>
        <v>0</v>
      </c>
    </row>
    <row r="4235" customFormat="false" ht="15" hidden="false" customHeight="false" outlineLevel="0" collapsed="false">
      <c r="A4235" s="3" t="s">
        <v>546</v>
      </c>
      <c r="C4235" s="21" t="n">
        <f aca="false">SUMPRODUCT($G$4233:$K$4233,$G$3943:$K$3943)</f>
        <v>2027</v>
      </c>
    </row>
    <row r="4236" customFormat="false" ht="15" hidden="false" customHeight="false" outlineLevel="0" collapsed="false">
      <c r="A4236" s="3" t="s">
        <v>547</v>
      </c>
      <c r="C4236" s="16" t="n">
        <f aca="false">SUMPRODUCT($G$4233:$K$4233,$G$3953:$K$3953)</f>
        <v>265.8382485</v>
      </c>
    </row>
    <row r="4237" customFormat="false" ht="15" hidden="false" customHeight="false" outlineLevel="0" collapsed="false">
      <c r="A4237" s="3" t="s">
        <v>548</v>
      </c>
      <c r="C4237" s="16" t="n">
        <f aca="false">MAX(0,SUMPRODUCT($G$4233:$K$4233,$G$4167:$K$4167))</f>
        <v>159.995614</v>
      </c>
    </row>
    <row r="4238" customFormat="false" ht="15" hidden="false" customHeight="false" outlineLevel="0" collapsed="false">
      <c r="A4238" s="3" t="s">
        <v>549</v>
      </c>
      <c r="C4238" s="16" t="n">
        <f aca="false">(CHOOSE($C$3936,Assumptions!$C$92,Assumptions!$C$111,Assumptions!$C$130)+$C$3940)*C4236</f>
        <v>2658.382485</v>
      </c>
    </row>
    <row r="4239" customFormat="false" ht="15" hidden="false" customHeight="false" outlineLevel="0" collapsed="false">
      <c r="A4239" s="3" t="s">
        <v>550</v>
      </c>
      <c r="C4239" s="16" t="n">
        <f aca="false">Assumptions!$C$31*(1-CHOOSE($C$3936,Assumptions!$C$93,Assumptions!$C$112,Assumptions!$C$131))*CHOOSE($C$3936,Assumptions!$C$94,Assumptions!$C$113,Assumptions!$C$132)</f>
        <v>3840.04556666667</v>
      </c>
    </row>
    <row r="4240" customFormat="false" ht="15" hidden="false" customHeight="false" outlineLevel="0" collapsed="false">
      <c r="A4240" s="3" t="s">
        <v>551</v>
      </c>
      <c r="C4240" s="16" t="n">
        <f aca="false">MAX(C4238,C4239)+C4237</f>
        <v>4000.04118066667</v>
      </c>
    </row>
    <row r="4241" customFormat="false" ht="15" hidden="false" customHeight="false" outlineLevel="0" collapsed="false">
      <c r="A4241" s="2" t="s">
        <v>552</v>
      </c>
      <c r="C4241" s="17" t="n">
        <f aca="false">IF(ISNUMBER(Assumptions!$C$14),Assumptions!$C$14,C4240)</f>
        <v>4000.04118066667</v>
      </c>
    </row>
    <row r="4242" customFormat="false" ht="15" hidden="false" customHeight="false" outlineLevel="0" collapsed="false">
      <c r="A4242" s="3" t="s">
        <v>553</v>
      </c>
      <c r="C4242" s="16" t="n">
        <f aca="false">C4241*Assumptions!$C$15</f>
        <v>160.001647226667</v>
      </c>
    </row>
    <row r="4243" customFormat="false" ht="15" hidden="false" customHeight="false" outlineLevel="0" collapsed="false">
      <c r="A4243" s="2" t="s">
        <v>554</v>
      </c>
      <c r="C4243" s="17" t="n">
        <f aca="false">C4241-C4242</f>
        <v>3840.03953344</v>
      </c>
    </row>
    <row r="4244" customFormat="false" ht="15" hidden="false" customHeight="false" outlineLevel="0" collapsed="false">
      <c r="A4244" s="24" t="s">
        <v>555</v>
      </c>
      <c r="B4244" s="25"/>
      <c r="C4244" s="25"/>
      <c r="D4244" s="25"/>
      <c r="E4244" s="25"/>
      <c r="F4244" s="25"/>
      <c r="G4244" s="25"/>
      <c r="H4244" s="25"/>
      <c r="I4244" s="25"/>
      <c r="J4244" s="25"/>
      <c r="K4244" s="25"/>
    </row>
    <row r="4245" customFormat="false" ht="15" hidden="false" customHeight="false" outlineLevel="0" collapsed="false">
      <c r="A4245" s="3" t="s">
        <v>556</v>
      </c>
      <c r="C4245" s="16" t="n">
        <f aca="false">SUMPRODUCT($G$4233:$K$4233,$G$3990:$K$3990)*(1+SUMPRODUCT($G$4233:$K$4233,$G$3982:$K$3982)*Assumptions!$C$16/12)</f>
        <v>405.0585</v>
      </c>
    </row>
    <row r="4246" customFormat="false" ht="15" hidden="false" customHeight="false" outlineLevel="0" collapsed="false">
      <c r="A4246" s="3" t="s">
        <v>557</v>
      </c>
      <c r="C4246" s="16" t="n">
        <f aca="false">SUMPRODUCT($G$4233:$K$4233,$G$4003:$K$4003)*(1+SUMPRODUCT($G$4233:$K$4233,$G$3995:$K$3995)*Assumptions!$C$16/12)</f>
        <v>91.30725</v>
      </c>
    </row>
    <row r="4247" customFormat="false" ht="15" hidden="false" customHeight="false" outlineLevel="0" collapsed="false">
      <c r="A4247" s="3" t="s">
        <v>558</v>
      </c>
      <c r="C4247" s="16" t="n">
        <f aca="false">SUMPRODUCT($G$4233:$K$4233,$G$4016:$K$4016)*(1+SUMPRODUCT($G$4233:$K$4233,$G$4008:$K$4008)*Assumptions!$C$16/12)</f>
        <v>58.3715961</v>
      </c>
    </row>
    <row r="4248" customFormat="false" ht="15" hidden="false" customHeight="false" outlineLevel="0" collapsed="false">
      <c r="A4248" s="3" t="s">
        <v>559</v>
      </c>
      <c r="C4248" s="16" t="n">
        <f aca="false">SUMPRODUCT($G$4233:$K$4233,$G$4029:$K$4029)*(1+SUMPRODUCT($G$4233:$K$4233,$G$4021:$K$4021)*Assumptions!$C$16/12)</f>
        <v>0</v>
      </c>
    </row>
    <row r="4249" customFormat="false" ht="15" hidden="false" customHeight="false" outlineLevel="0" collapsed="false">
      <c r="A4249" s="3" t="s">
        <v>560</v>
      </c>
      <c r="C4249" s="16" t="n">
        <f aca="false">SUMPRODUCT($G$4233:$K$4233,$G$4042:$K$4042)*(1+SUMPRODUCT($G$4233:$K$4233,$G$4034:$K$4034)*Assumptions!$C$16/12)</f>
        <v>454.44375</v>
      </c>
    </row>
    <row r="4250" customFormat="false" ht="15" hidden="false" customHeight="false" outlineLevel="0" collapsed="false">
      <c r="A4250" s="3" t="s">
        <v>561</v>
      </c>
      <c r="C4250" s="16" t="n">
        <f aca="false">SUMPRODUCT($G$4233:$K$4233,$G$4055:$K$4055)*(1+SUMPRODUCT($G$4233:$K$4233,$G$4047:$K$4047)*Assumptions!$C$16/12)</f>
        <v>357.2625</v>
      </c>
    </row>
    <row r="4251" customFormat="false" ht="15" hidden="false" customHeight="false" outlineLevel="0" collapsed="false">
      <c r="A4251" s="3" t="s">
        <v>562</v>
      </c>
      <c r="C4251" s="16" t="n">
        <f aca="false">SUMPRODUCT($G$4233:$K$4233,$G$4068:$K$4068)*(1+SUMPRODUCT($G$4233:$K$4233,$G$4060:$K$4060)*Assumptions!$C$16/12)</f>
        <v>562.203125</v>
      </c>
    </row>
    <row r="4252" customFormat="false" ht="15" hidden="false" customHeight="false" outlineLevel="0" collapsed="false">
      <c r="A4252" s="3" t="s">
        <v>563</v>
      </c>
      <c r="C4252" s="16" t="n">
        <f aca="false">SUMPRODUCT($G$4233:$K$4233,$G$4081:$K$4081)*(1+SUMPRODUCT($G$4233:$K$4233,$G$4073:$K$4073)*Assumptions!$C$16/12)</f>
        <v>353.98125</v>
      </c>
    </row>
    <row r="4253" customFormat="false" ht="15" hidden="false" customHeight="false" outlineLevel="0" collapsed="false">
      <c r="A4253" s="3" t="s">
        <v>564</v>
      </c>
      <c r="C4253" s="16" t="n">
        <f aca="false">SUMPRODUCT($G$4233:$K$4233,$G$4094:$K$4094)*(1+SUMPRODUCT($G$4233:$K$4233,$G$4086:$K$4086)*Assumptions!$C$16/12)</f>
        <v>304.59375</v>
      </c>
    </row>
    <row r="4254" customFormat="false" ht="15" hidden="false" customHeight="false" outlineLevel="0" collapsed="false">
      <c r="A4254" s="3" t="s">
        <v>565</v>
      </c>
      <c r="C4254" s="16" t="n">
        <f aca="false">SUMPRODUCT($G$4233:$K$4233,$G$4107:$K$4107)*(1+SUMPRODUCT($G$4233:$K$4233,$G$4099:$K$4099)*Assumptions!$C$16/12)</f>
        <v>79.67320025</v>
      </c>
    </row>
    <row r="4255" customFormat="false" ht="15" hidden="false" customHeight="false" outlineLevel="0" collapsed="false">
      <c r="A4255" s="24" t="s">
        <v>566</v>
      </c>
      <c r="B4255" s="25"/>
      <c r="C4255" s="25"/>
      <c r="D4255" s="25"/>
      <c r="E4255" s="25"/>
      <c r="F4255" s="25"/>
      <c r="G4255" s="25"/>
      <c r="H4255" s="25"/>
      <c r="I4255" s="25"/>
      <c r="J4255" s="25"/>
      <c r="K4255" s="25"/>
    </row>
    <row r="4256" customFormat="false" ht="15" hidden="false" customHeight="false" outlineLevel="0" collapsed="false">
      <c r="A4256" s="3" t="s">
        <v>556</v>
      </c>
      <c r="C4256" s="27" t="n">
        <f aca="false">Assumptions!$M$57</f>
        <v>1</v>
      </c>
    </row>
    <row r="4257" customFormat="false" ht="15" hidden="false" customHeight="false" outlineLevel="0" collapsed="false">
      <c r="A4257" s="3" t="s">
        <v>557</v>
      </c>
      <c r="C4257" s="27" t="n">
        <f aca="false">Assumptions!$M$58</f>
        <v>1</v>
      </c>
    </row>
    <row r="4258" customFormat="false" ht="15" hidden="false" customHeight="false" outlineLevel="0" collapsed="false">
      <c r="A4258" s="3" t="s">
        <v>558</v>
      </c>
      <c r="C4258" s="27" t="n">
        <f aca="false">Assumptions!$M$59</f>
        <v>1</v>
      </c>
    </row>
    <row r="4259" customFormat="false" ht="15" hidden="false" customHeight="false" outlineLevel="0" collapsed="false">
      <c r="A4259" s="3" t="s">
        <v>559</v>
      </c>
      <c r="C4259" s="27" t="n">
        <f aca="false">Assumptions!$M$60</f>
        <v>2</v>
      </c>
    </row>
    <row r="4260" customFormat="false" ht="15" hidden="false" customHeight="false" outlineLevel="0" collapsed="false">
      <c r="A4260" s="3" t="s">
        <v>560</v>
      </c>
      <c r="C4260" s="27" t="n">
        <f aca="false">Assumptions!$M$61</f>
        <v>2</v>
      </c>
    </row>
    <row r="4261" customFormat="false" ht="15" hidden="false" customHeight="false" outlineLevel="0" collapsed="false">
      <c r="A4261" s="3" t="s">
        <v>561</v>
      </c>
      <c r="C4261" s="27" t="n">
        <f aca="false">Assumptions!$M$62</f>
        <v>2</v>
      </c>
    </row>
    <row r="4262" customFormat="false" ht="15" hidden="false" customHeight="false" outlineLevel="0" collapsed="false">
      <c r="A4262" s="3" t="s">
        <v>562</v>
      </c>
      <c r="C4262" s="27" t="n">
        <f aca="false">Assumptions!$M$63</f>
        <v>2</v>
      </c>
    </row>
    <row r="4263" customFormat="false" ht="15" hidden="false" customHeight="false" outlineLevel="0" collapsed="false">
      <c r="A4263" s="3" t="s">
        <v>563</v>
      </c>
      <c r="C4263" s="27" t="n">
        <f aca="false">Assumptions!$M$64</f>
        <v>2</v>
      </c>
    </row>
    <row r="4264" customFormat="false" ht="15" hidden="false" customHeight="false" outlineLevel="0" collapsed="false">
      <c r="A4264" s="3" t="s">
        <v>564</v>
      </c>
      <c r="C4264" s="27" t="n">
        <f aca="false">Assumptions!$M$65</f>
        <v>2</v>
      </c>
    </row>
    <row r="4265" customFormat="false" ht="15" hidden="false" customHeight="false" outlineLevel="0" collapsed="false">
      <c r="A4265" s="3" t="s">
        <v>565</v>
      </c>
      <c r="C4265" s="27" t="n">
        <f aca="false">Assumptions!$M$66</f>
        <v>3</v>
      </c>
    </row>
    <row r="4266" customFormat="false" ht="15" hidden="false" customHeight="false" outlineLevel="0" collapsed="false">
      <c r="A4266" s="24" t="s">
        <v>567</v>
      </c>
      <c r="B4266" s="25"/>
      <c r="C4266" s="25"/>
      <c r="D4266" s="25"/>
      <c r="E4266" s="25"/>
      <c r="F4266" s="25"/>
      <c r="G4266" s="25"/>
      <c r="H4266" s="25"/>
      <c r="I4266" s="25"/>
      <c r="J4266" s="25"/>
      <c r="K4266" s="25"/>
    </row>
    <row r="4267" customFormat="false" ht="15" hidden="false" customHeight="false" outlineLevel="0" collapsed="false">
      <c r="A4267" s="3" t="s">
        <v>556</v>
      </c>
      <c r="C4267" s="33" t="n">
        <f aca="false">Assumptions!$Q$57</f>
        <v>0.3</v>
      </c>
    </row>
    <row r="4268" customFormat="false" ht="15" hidden="false" customHeight="false" outlineLevel="0" collapsed="false">
      <c r="A4268" s="3" t="s">
        <v>557</v>
      </c>
      <c r="C4268" s="33" t="n">
        <f aca="false">Assumptions!$Q$58</f>
        <v>0.033</v>
      </c>
    </row>
    <row r="4269" customFormat="false" ht="15" hidden="false" customHeight="false" outlineLevel="0" collapsed="false">
      <c r="A4269" s="3" t="s">
        <v>558</v>
      </c>
      <c r="C4269" s="33" t="n">
        <f aca="false">Assumptions!$Q$59</f>
        <v>0.021</v>
      </c>
    </row>
    <row r="4270" customFormat="false" ht="15" hidden="false" customHeight="false" outlineLevel="0" collapsed="false">
      <c r="A4270" s="3" t="s">
        <v>559</v>
      </c>
      <c r="C4270" s="33" t="n">
        <f aca="false">Assumptions!$Q$60</f>
        <v>0</v>
      </c>
    </row>
    <row r="4271" customFormat="false" ht="15" hidden="false" customHeight="false" outlineLevel="0" collapsed="false">
      <c r="A4271" s="3" t="s">
        <v>560</v>
      </c>
      <c r="C4271" s="33" t="n">
        <f aca="false">Assumptions!$Q$61</f>
        <v>0</v>
      </c>
    </row>
    <row r="4272" customFormat="false" ht="15" hidden="false" customHeight="false" outlineLevel="0" collapsed="false">
      <c r="A4272" s="3" t="s">
        <v>561</v>
      </c>
      <c r="C4272" s="33" t="n">
        <f aca="false">Assumptions!$Q$62</f>
        <v>0</v>
      </c>
    </row>
    <row r="4273" customFormat="false" ht="15" hidden="false" customHeight="false" outlineLevel="0" collapsed="false">
      <c r="A4273" s="3" t="s">
        <v>562</v>
      </c>
      <c r="C4273" s="33" t="n">
        <f aca="false">Assumptions!$Q$63</f>
        <v>0</v>
      </c>
    </row>
    <row r="4274" customFormat="false" ht="15" hidden="false" customHeight="false" outlineLevel="0" collapsed="false">
      <c r="A4274" s="3" t="s">
        <v>563</v>
      </c>
      <c r="C4274" s="33" t="n">
        <f aca="false">Assumptions!$Q$64</f>
        <v>0</v>
      </c>
    </row>
    <row r="4275" customFormat="false" ht="15" hidden="false" customHeight="false" outlineLevel="0" collapsed="false">
      <c r="A4275" s="3" t="s">
        <v>564</v>
      </c>
      <c r="C4275" s="33" t="n">
        <f aca="false">Assumptions!$Q$65</f>
        <v>0</v>
      </c>
    </row>
    <row r="4276" customFormat="false" ht="15" hidden="false" customHeight="false" outlineLevel="0" collapsed="false">
      <c r="A4276" s="3" t="s">
        <v>565</v>
      </c>
      <c r="C4276" s="33" t="n">
        <f aca="false">Assumptions!$Q$66</f>
        <v>0</v>
      </c>
    </row>
    <row r="4277" customFormat="false" ht="15" hidden="false" customHeight="false" outlineLevel="0" collapsed="false">
      <c r="A4277" s="24" t="s">
        <v>568</v>
      </c>
      <c r="B4277" s="25"/>
      <c r="C4277" s="25"/>
      <c r="D4277" s="25"/>
      <c r="E4277" s="25"/>
      <c r="F4277" s="25"/>
      <c r="G4277" s="25"/>
      <c r="H4277" s="25"/>
      <c r="I4277" s="25"/>
      <c r="J4277" s="25"/>
      <c r="K4277" s="25"/>
    </row>
    <row r="4278" customFormat="false" ht="15" hidden="false" customHeight="false" outlineLevel="0" collapsed="false">
      <c r="A4278" s="3" t="s">
        <v>556</v>
      </c>
      <c r="C4278" s="16" t="n">
        <f aca="false">IF(C4267&gt;0,MIN(C4245,C4267*$C$4243),0)</f>
        <v>405.0585</v>
      </c>
    </row>
    <row r="4279" customFormat="false" ht="15" hidden="false" customHeight="false" outlineLevel="0" collapsed="false">
      <c r="A4279" s="3" t="s">
        <v>557</v>
      </c>
      <c r="C4279" s="16" t="n">
        <f aca="false">IF(C4268&gt;0,MIN(C4246,C4268*$C$4243),0)</f>
        <v>91.30725</v>
      </c>
    </row>
    <row r="4280" customFormat="false" ht="15" hidden="false" customHeight="false" outlineLevel="0" collapsed="false">
      <c r="A4280" s="3" t="s">
        <v>558</v>
      </c>
      <c r="C4280" s="16" t="n">
        <f aca="false">IF(C4269&gt;0,MIN(C4247,C4269*$C$4243),0)</f>
        <v>58.3715961</v>
      </c>
    </row>
    <row r="4281" customFormat="false" ht="15" hidden="false" customHeight="false" outlineLevel="0" collapsed="false">
      <c r="A4281" s="3" t="s">
        <v>559</v>
      </c>
      <c r="C4281" s="16" t="n">
        <f aca="false">IF(C4270&gt;0,MIN(C4248,C4270*$C$4243),0)</f>
        <v>0</v>
      </c>
    </row>
    <row r="4282" customFormat="false" ht="15" hidden="false" customHeight="false" outlineLevel="0" collapsed="false">
      <c r="A4282" s="3" t="s">
        <v>560</v>
      </c>
      <c r="C4282" s="16" t="n">
        <f aca="false">IF(C4271&gt;0,MIN(C4249,C4271*$C$4243),0)</f>
        <v>0</v>
      </c>
    </row>
    <row r="4283" customFormat="false" ht="15" hidden="false" customHeight="false" outlineLevel="0" collapsed="false">
      <c r="A4283" s="3" t="s">
        <v>561</v>
      </c>
      <c r="C4283" s="16" t="n">
        <f aca="false">IF(C4272&gt;0,MIN(C4250,C4272*$C$4243),0)</f>
        <v>0</v>
      </c>
    </row>
    <row r="4284" customFormat="false" ht="15" hidden="false" customHeight="false" outlineLevel="0" collapsed="false">
      <c r="A4284" s="3" t="s">
        <v>562</v>
      </c>
      <c r="C4284" s="16" t="n">
        <f aca="false">IF(C4273&gt;0,MIN(C4251,C4273*$C$4243),0)</f>
        <v>0</v>
      </c>
    </row>
    <row r="4285" customFormat="false" ht="15" hidden="false" customHeight="false" outlineLevel="0" collapsed="false">
      <c r="A4285" s="3" t="s">
        <v>563</v>
      </c>
      <c r="C4285" s="16" t="n">
        <f aca="false">IF(C4274&gt;0,MIN(C4252,C4274*$C$4243),0)</f>
        <v>0</v>
      </c>
    </row>
    <row r="4286" customFormat="false" ht="15" hidden="false" customHeight="false" outlineLevel="0" collapsed="false">
      <c r="A4286" s="3" t="s">
        <v>564</v>
      </c>
      <c r="C4286" s="16" t="n">
        <f aca="false">IF(C4275&gt;0,MIN(C4253,C4275*$C$4243),0)</f>
        <v>0</v>
      </c>
    </row>
    <row r="4287" customFormat="false" ht="15" hidden="false" customHeight="false" outlineLevel="0" collapsed="false">
      <c r="A4287" s="3" t="s">
        <v>565</v>
      </c>
      <c r="C4287" s="16" t="n">
        <f aca="false">IF(C4276&gt;0,MIN(C4254,C4276*$C$4243),0)</f>
        <v>0</v>
      </c>
    </row>
    <row r="4288" customFormat="false" ht="15" hidden="false" customHeight="false" outlineLevel="0" collapsed="false">
      <c r="A4288" s="24" t="s">
        <v>569</v>
      </c>
      <c r="B4288" s="25"/>
      <c r="C4288" s="25"/>
      <c r="D4288" s="25"/>
      <c r="E4288" s="25"/>
      <c r="F4288" s="25"/>
      <c r="G4288" s="25"/>
      <c r="H4288" s="25"/>
      <c r="I4288" s="25"/>
      <c r="J4288" s="25"/>
      <c r="K4288" s="25"/>
    </row>
    <row r="4289" customFormat="false" ht="15" hidden="false" customHeight="false" outlineLevel="0" collapsed="false">
      <c r="A4289" s="3" t="s">
        <v>556</v>
      </c>
      <c r="C4289" s="16" t="n">
        <f aca="false">IF(C4267&gt;0,C4245-C4278,0)</f>
        <v>0</v>
      </c>
      <c r="G4289" s="21" t="n">
        <f aca="false">IF(AND(G3980=1,G3977=1),1,0)</f>
        <v>0</v>
      </c>
      <c r="H4289" s="21" t="n">
        <f aca="false">IF(G4289=1,1,IF(AND(H3980=1,H3977=1),1,0))</f>
        <v>0</v>
      </c>
      <c r="I4289" s="21" t="n">
        <f aca="false">IF(H4289=1,1,IF(AND(I3980=1,I3977=1),1,0))</f>
        <v>0</v>
      </c>
      <c r="J4289" s="21" t="n">
        <f aca="false">IF(I4289=1,1,IF(AND(J3980=1,J3977=1),1,0))</f>
        <v>0</v>
      </c>
      <c r="K4289" s="21" t="n">
        <f aca="false">IF(J4289=1,1,IF(AND(K3980=1,K3977=1),1,0))</f>
        <v>1</v>
      </c>
    </row>
    <row r="4290" customFormat="false" ht="15" hidden="false" customHeight="false" outlineLevel="0" collapsed="false">
      <c r="A4290" s="3" t="s">
        <v>557</v>
      </c>
      <c r="C4290" s="16" t="n">
        <f aca="false">IF(C4268&gt;0,C4246-C4279,0)</f>
        <v>0</v>
      </c>
      <c r="G4290" s="21" t="n">
        <f aca="false">IF(AND(G3993=1,G3977=1),1,0)</f>
        <v>0</v>
      </c>
      <c r="H4290" s="21" t="n">
        <f aca="false">IF(G4290=1,1,IF(AND(H3993=1,H3977=1),1,0))</f>
        <v>0</v>
      </c>
      <c r="I4290" s="21" t="n">
        <f aca="false">IF(H4290=1,1,IF(AND(I3993=1,I3977=1),1,0))</f>
        <v>0</v>
      </c>
      <c r="J4290" s="21" t="n">
        <f aca="false">IF(I4290=1,1,IF(AND(J3993=1,J3977=1),1,0))</f>
        <v>0</v>
      </c>
      <c r="K4290" s="21" t="n">
        <f aca="false">IF(J4290=1,1,IF(AND(K3993=1,K3977=1),1,0))</f>
        <v>0</v>
      </c>
    </row>
    <row r="4291" customFormat="false" ht="15" hidden="false" customHeight="false" outlineLevel="0" collapsed="false">
      <c r="A4291" s="3" t="s">
        <v>558</v>
      </c>
      <c r="C4291" s="16" t="n">
        <f aca="false">IF(C4269&gt;0,C4247-C4280,0)</f>
        <v>0</v>
      </c>
      <c r="G4291" s="21" t="n">
        <f aca="false">IF(AND(G4006=1,G3977=1),1,0)</f>
        <v>0</v>
      </c>
      <c r="H4291" s="21" t="n">
        <f aca="false">IF(G4291=1,1,IF(AND(H4006=1,H3977=1),1,0))</f>
        <v>0</v>
      </c>
      <c r="I4291" s="21" t="n">
        <f aca="false">IF(H4291=1,1,IF(AND(I4006=1,I3977=1),1,0))</f>
        <v>0</v>
      </c>
      <c r="J4291" s="21" t="n">
        <f aca="false">IF(I4291=1,1,IF(AND(J4006=1,J3977=1),1,0))</f>
        <v>0</v>
      </c>
      <c r="K4291" s="21" t="n">
        <f aca="false">IF(J4291=1,1,IF(AND(K4006=1,K3977=1),1,0))</f>
        <v>0</v>
      </c>
    </row>
    <row r="4292" customFormat="false" ht="15" hidden="false" customHeight="false" outlineLevel="0" collapsed="false">
      <c r="A4292" s="3" t="s">
        <v>559</v>
      </c>
      <c r="C4292" s="16" t="n">
        <f aca="false">IF(C4270&gt;0,C4248-C4281,0)</f>
        <v>0</v>
      </c>
      <c r="G4292" s="21" t="n">
        <f aca="false">IF(AND(G4019=1,G3977=1),1,0)</f>
        <v>1</v>
      </c>
      <c r="H4292" s="21" t="n">
        <f aca="false">IF(G4292=1,1,IF(AND(H4019=1,H3977=1),1,0))</f>
        <v>1</v>
      </c>
      <c r="I4292" s="21" t="n">
        <f aca="false">IF(H4292=1,1,IF(AND(I4019=1,I3977=1),1,0))</f>
        <v>1</v>
      </c>
      <c r="J4292" s="21" t="n">
        <f aca="false">IF(I4292=1,1,IF(AND(J4019=1,J3977=1),1,0))</f>
        <v>1</v>
      </c>
      <c r="K4292" s="21" t="n">
        <f aca="false">IF(J4292=1,1,IF(AND(K4019=1,K3977=1),1,0))</f>
        <v>1</v>
      </c>
    </row>
    <row r="4293" customFormat="false" ht="15" hidden="false" customHeight="false" outlineLevel="0" collapsed="false">
      <c r="A4293" s="3" t="s">
        <v>560</v>
      </c>
      <c r="C4293" s="16" t="n">
        <f aca="false">IF(C4271&gt;0,C4249-C4282,0)</f>
        <v>0</v>
      </c>
      <c r="G4293" s="21" t="n">
        <f aca="false">IF(AND(G4032=1,G3977=1),1,0)</f>
        <v>0</v>
      </c>
      <c r="H4293" s="21" t="n">
        <f aca="false">IF(G4293=1,1,IF(AND(H4032=1,H3977=1),1,0))</f>
        <v>1</v>
      </c>
      <c r="I4293" s="21" t="n">
        <f aca="false">IF(H4293=1,1,IF(AND(I4032=1,I3977=1),1,0))</f>
        <v>1</v>
      </c>
      <c r="J4293" s="21" t="n">
        <f aca="false">IF(I4293=1,1,IF(AND(J4032=1,J3977=1),1,0))</f>
        <v>1</v>
      </c>
      <c r="K4293" s="21" t="n">
        <f aca="false">IF(J4293=1,1,IF(AND(K4032=1,K3977=1),1,0))</f>
        <v>1</v>
      </c>
    </row>
    <row r="4294" customFormat="false" ht="15" hidden="false" customHeight="false" outlineLevel="0" collapsed="false">
      <c r="A4294" s="3" t="s">
        <v>561</v>
      </c>
      <c r="C4294" s="16" t="n">
        <f aca="false">IF(C4272&gt;0,C4250-C4283,0)</f>
        <v>0</v>
      </c>
      <c r="G4294" s="21" t="n">
        <f aca="false">IF(AND(G4045=1,G3977=1),1,0)</f>
        <v>0</v>
      </c>
      <c r="H4294" s="21" t="n">
        <f aca="false">IF(G4294=1,1,IF(AND(H4045=1,H3977=1),1,0))</f>
        <v>1</v>
      </c>
      <c r="I4294" s="21" t="n">
        <f aca="false">IF(H4294=1,1,IF(AND(I4045=1,I3977=1),1,0))</f>
        <v>1</v>
      </c>
      <c r="J4294" s="21" t="n">
        <f aca="false">IF(I4294=1,1,IF(AND(J4045=1,J3977=1),1,0))</f>
        <v>1</v>
      </c>
      <c r="K4294" s="21" t="n">
        <f aca="false">IF(J4294=1,1,IF(AND(K4045=1,K3977=1),1,0))</f>
        <v>1</v>
      </c>
    </row>
    <row r="4295" customFormat="false" ht="15" hidden="false" customHeight="false" outlineLevel="0" collapsed="false">
      <c r="A4295" s="3" t="s">
        <v>562</v>
      </c>
      <c r="C4295" s="16" t="n">
        <f aca="false">IF(C4273&gt;0,C4251-C4284,0)</f>
        <v>0</v>
      </c>
      <c r="G4295" s="21" t="n">
        <f aca="false">IF(AND(G4058=1,G3977=1),1,0)</f>
        <v>0</v>
      </c>
      <c r="H4295" s="21" t="n">
        <f aca="false">IF(G4295=1,1,IF(AND(H4058=1,H3977=1),1,0))</f>
        <v>0</v>
      </c>
      <c r="I4295" s="21" t="n">
        <f aca="false">IF(H4295=1,1,IF(AND(I4058=1,I3977=1),1,0))</f>
        <v>1</v>
      </c>
      <c r="J4295" s="21" t="n">
        <f aca="false">IF(I4295=1,1,IF(AND(J4058=1,J3977=1),1,0))</f>
        <v>1</v>
      </c>
      <c r="K4295" s="21" t="n">
        <f aca="false">IF(J4295=1,1,IF(AND(K4058=1,K3977=1),1,0))</f>
        <v>1</v>
      </c>
    </row>
    <row r="4296" customFormat="false" ht="15" hidden="false" customHeight="false" outlineLevel="0" collapsed="false">
      <c r="A4296" s="3" t="s">
        <v>563</v>
      </c>
      <c r="C4296" s="16" t="n">
        <f aca="false">IF(C4274&gt;0,C4252-C4285,0)</f>
        <v>0</v>
      </c>
      <c r="G4296" s="21" t="n">
        <f aca="false">IF(AND(G4071=1,G3977=1),1,0)</f>
        <v>0</v>
      </c>
      <c r="H4296" s="21" t="n">
        <f aca="false">IF(G4296=1,1,IF(AND(H4071=1,H3977=1),1,0))</f>
        <v>0</v>
      </c>
      <c r="I4296" s="21" t="n">
        <f aca="false">IF(H4296=1,1,IF(AND(I4071=1,I3977=1),1,0))</f>
        <v>0</v>
      </c>
      <c r="J4296" s="21" t="n">
        <f aca="false">IF(I4296=1,1,IF(AND(J4071=1,J3977=1),1,0))</f>
        <v>1</v>
      </c>
      <c r="K4296" s="21" t="n">
        <f aca="false">IF(J4296=1,1,IF(AND(K4071=1,K3977=1),1,0))</f>
        <v>1</v>
      </c>
    </row>
    <row r="4297" customFormat="false" ht="15" hidden="false" customHeight="false" outlineLevel="0" collapsed="false">
      <c r="A4297" s="3" t="s">
        <v>564</v>
      </c>
      <c r="C4297" s="16" t="n">
        <f aca="false">IF(C4275&gt;0,C4253-C4286,0)</f>
        <v>0</v>
      </c>
      <c r="G4297" s="21" t="n">
        <f aca="false">IF(AND(G4084=1,G3977=1),1,0)</f>
        <v>0</v>
      </c>
      <c r="H4297" s="21" t="n">
        <f aca="false">IF(G4297=1,1,IF(AND(H4084=1,H3977=1),1,0))</f>
        <v>0</v>
      </c>
      <c r="I4297" s="21" t="n">
        <f aca="false">IF(H4297=1,1,IF(AND(I4084=1,I3977=1),1,0))</f>
        <v>0</v>
      </c>
      <c r="J4297" s="21" t="n">
        <f aca="false">IF(I4297=1,1,IF(AND(J4084=1,J3977=1),1,0))</f>
        <v>0</v>
      </c>
      <c r="K4297" s="21" t="n">
        <f aca="false">IF(J4297=1,1,IF(AND(K4084=1,K3977=1),1,0))</f>
        <v>1</v>
      </c>
    </row>
    <row r="4298" customFormat="false" ht="15" hidden="false" customHeight="false" outlineLevel="0" collapsed="false">
      <c r="A4298" s="3" t="s">
        <v>565</v>
      </c>
      <c r="C4298" s="16" t="n">
        <f aca="false">IF(C4276&gt;0,C4254-C4287,0)</f>
        <v>0</v>
      </c>
      <c r="G4298" s="21" t="n">
        <f aca="false">IF(AND(G4097=1,G3977=1),1,0)</f>
        <v>0</v>
      </c>
      <c r="H4298" s="21" t="n">
        <f aca="false">IF(G4298=1,1,IF(AND(H4097=1,H3977=1),1,0))</f>
        <v>0</v>
      </c>
      <c r="I4298" s="21" t="n">
        <f aca="false">IF(H4298=1,1,IF(AND(I4097=1,I3977=1),1,0))</f>
        <v>0</v>
      </c>
      <c r="J4298" s="21" t="n">
        <f aca="false">IF(I4298=1,1,IF(AND(J4097=1,J3977=1),1,0))</f>
        <v>0</v>
      </c>
      <c r="K4298" s="21" t="n">
        <f aca="false">IF(J4298=1,1,IF(AND(K4097=1,K3977=1),1,0))</f>
        <v>0</v>
      </c>
    </row>
    <row r="4299" customFormat="false" ht="15" hidden="false" customHeight="false" outlineLevel="0" collapsed="false">
      <c r="A4299" s="24" t="s">
        <v>570</v>
      </c>
      <c r="B4299" s="25"/>
      <c r="C4299" s="25"/>
      <c r="D4299" s="25"/>
      <c r="E4299" s="25"/>
      <c r="F4299" s="25"/>
      <c r="G4299" s="25"/>
      <c r="H4299" s="25"/>
      <c r="I4299" s="25"/>
      <c r="J4299" s="25"/>
      <c r="K4299" s="25"/>
    </row>
    <row r="4300" customFormat="false" ht="15" hidden="false" customHeight="false" outlineLevel="0" collapsed="false">
      <c r="A4300" s="3" t="s">
        <v>556</v>
      </c>
      <c r="C4300" s="16" t="n">
        <f aca="false">IF(C4267&gt;0,C4289,C4245)</f>
        <v>0</v>
      </c>
    </row>
    <row r="4301" customFormat="false" ht="15" hidden="false" customHeight="false" outlineLevel="0" collapsed="false">
      <c r="A4301" s="3" t="s">
        <v>557</v>
      </c>
      <c r="C4301" s="16" t="n">
        <f aca="false">IF(C4268&gt;0,C4290,C4246)</f>
        <v>0</v>
      </c>
    </row>
    <row r="4302" customFormat="false" ht="15" hidden="false" customHeight="false" outlineLevel="0" collapsed="false">
      <c r="A4302" s="3" t="s">
        <v>558</v>
      </c>
      <c r="C4302" s="16" t="n">
        <f aca="false">IF(C4269&gt;0,C4291,C4247)</f>
        <v>0</v>
      </c>
    </row>
    <row r="4303" customFormat="false" ht="15" hidden="false" customHeight="false" outlineLevel="0" collapsed="false">
      <c r="A4303" s="3" t="s">
        <v>559</v>
      </c>
      <c r="C4303" s="16" t="n">
        <f aca="false">IF(C4270&gt;0,C4292,C4248)</f>
        <v>0</v>
      </c>
    </row>
    <row r="4304" customFormat="false" ht="15" hidden="false" customHeight="false" outlineLevel="0" collapsed="false">
      <c r="A4304" s="3" t="s">
        <v>560</v>
      </c>
      <c r="C4304" s="16" t="n">
        <f aca="false">IF(C4271&gt;0,C4293,C4249)</f>
        <v>454.44375</v>
      </c>
    </row>
    <row r="4305" customFormat="false" ht="15" hidden="false" customHeight="false" outlineLevel="0" collapsed="false">
      <c r="A4305" s="3" t="s">
        <v>561</v>
      </c>
      <c r="C4305" s="16" t="n">
        <f aca="false">IF(C4272&gt;0,C4294,C4250)</f>
        <v>357.2625</v>
      </c>
    </row>
    <row r="4306" customFormat="false" ht="15" hidden="false" customHeight="false" outlineLevel="0" collapsed="false">
      <c r="A4306" s="3" t="s">
        <v>562</v>
      </c>
      <c r="C4306" s="16" t="n">
        <f aca="false">IF(C4273&gt;0,C4295,C4251)</f>
        <v>562.203125</v>
      </c>
    </row>
    <row r="4307" customFormat="false" ht="15" hidden="false" customHeight="false" outlineLevel="0" collapsed="false">
      <c r="A4307" s="3" t="s">
        <v>563</v>
      </c>
      <c r="C4307" s="16" t="n">
        <f aca="false">IF(C4274&gt;0,C4296,C4252)</f>
        <v>353.98125</v>
      </c>
    </row>
    <row r="4308" customFormat="false" ht="15" hidden="false" customHeight="false" outlineLevel="0" collapsed="false">
      <c r="A4308" s="3" t="s">
        <v>564</v>
      </c>
      <c r="C4308" s="16" t="n">
        <f aca="false">IF(C4275&gt;0,C4297,C4253)</f>
        <v>304.59375</v>
      </c>
    </row>
    <row r="4309" customFormat="false" ht="15" hidden="false" customHeight="false" outlineLevel="0" collapsed="false">
      <c r="A4309" s="3" t="s">
        <v>565</v>
      </c>
      <c r="C4309" s="16" t="n">
        <f aca="false">IF(C4276&gt;0,C4298,C4254)</f>
        <v>79.67320025</v>
      </c>
    </row>
    <row r="4310" customFormat="false" ht="15" hidden="false" customHeight="false" outlineLevel="0" collapsed="false">
      <c r="A4310" s="24" t="s">
        <v>571</v>
      </c>
      <c r="B4310" s="25"/>
      <c r="C4310" s="25"/>
      <c r="D4310" s="25"/>
      <c r="E4310" s="25"/>
      <c r="F4310" s="25"/>
      <c r="G4310" s="25"/>
      <c r="H4310" s="25"/>
      <c r="I4310" s="25"/>
      <c r="J4310" s="25"/>
      <c r="K4310" s="25"/>
    </row>
    <row r="4311" customFormat="false" ht="15" hidden="false" customHeight="false" outlineLevel="0" collapsed="false">
      <c r="A4311" s="3" t="s">
        <v>556</v>
      </c>
      <c r="C4311" s="21" t="n">
        <f aca="false">IF(C4267&gt;0,Assumptions!$C$17,C4256)</f>
        <v>99</v>
      </c>
    </row>
    <row r="4312" customFormat="false" ht="15" hidden="false" customHeight="false" outlineLevel="0" collapsed="false">
      <c r="A4312" s="3" t="s">
        <v>557</v>
      </c>
      <c r="C4312" s="21" t="n">
        <f aca="false">IF(C4268&gt;0,Assumptions!$C$17,C4257)</f>
        <v>99</v>
      </c>
    </row>
    <row r="4313" customFormat="false" ht="15" hidden="false" customHeight="false" outlineLevel="0" collapsed="false">
      <c r="A4313" s="3" t="s">
        <v>558</v>
      </c>
      <c r="C4313" s="21" t="n">
        <f aca="false">IF(C4269&gt;0,Assumptions!$C$17,C4258)</f>
        <v>99</v>
      </c>
    </row>
    <row r="4314" customFormat="false" ht="15" hidden="false" customHeight="false" outlineLevel="0" collapsed="false">
      <c r="A4314" s="3" t="s">
        <v>559</v>
      </c>
      <c r="C4314" s="21" t="n">
        <f aca="false">IF(C4270&gt;0,Assumptions!$C$17,C4259)</f>
        <v>2</v>
      </c>
    </row>
    <row r="4315" customFormat="false" ht="15" hidden="false" customHeight="false" outlineLevel="0" collapsed="false">
      <c r="A4315" s="3" t="s">
        <v>560</v>
      </c>
      <c r="C4315" s="21" t="n">
        <f aca="false">IF(C4271&gt;0,Assumptions!$C$17,C4260)</f>
        <v>2</v>
      </c>
    </row>
    <row r="4316" customFormat="false" ht="15" hidden="false" customHeight="false" outlineLevel="0" collapsed="false">
      <c r="A4316" s="3" t="s">
        <v>561</v>
      </c>
      <c r="C4316" s="21" t="n">
        <f aca="false">IF(C4272&gt;0,Assumptions!$C$17,C4261)</f>
        <v>2</v>
      </c>
    </row>
    <row r="4317" customFormat="false" ht="15" hidden="false" customHeight="false" outlineLevel="0" collapsed="false">
      <c r="A4317" s="3" t="s">
        <v>562</v>
      </c>
      <c r="C4317" s="21" t="n">
        <f aca="false">IF(C4273&gt;0,Assumptions!$C$17,C4262)</f>
        <v>2</v>
      </c>
    </row>
    <row r="4318" customFormat="false" ht="15" hidden="false" customHeight="false" outlineLevel="0" collapsed="false">
      <c r="A4318" s="3" t="s">
        <v>563</v>
      </c>
      <c r="C4318" s="21" t="n">
        <f aca="false">IF(C4274&gt;0,Assumptions!$C$17,C4263)</f>
        <v>2</v>
      </c>
    </row>
    <row r="4319" customFormat="false" ht="15" hidden="false" customHeight="false" outlineLevel="0" collapsed="false">
      <c r="A4319" s="3" t="s">
        <v>564</v>
      </c>
      <c r="C4319" s="21" t="n">
        <f aca="false">IF(C4275&gt;0,Assumptions!$C$17,C4264)</f>
        <v>2</v>
      </c>
    </row>
    <row r="4320" customFormat="false" ht="15" hidden="false" customHeight="false" outlineLevel="0" collapsed="false">
      <c r="A4320" s="3" t="s">
        <v>565</v>
      </c>
      <c r="C4320" s="21" t="n">
        <f aca="false">IF(C4276&gt;0,Assumptions!$C$17,C4265)</f>
        <v>3</v>
      </c>
    </row>
    <row r="4321" customFormat="false" ht="15" hidden="false" customHeight="false" outlineLevel="0" collapsed="false">
      <c r="A4321" s="24" t="s">
        <v>572</v>
      </c>
      <c r="B4321" s="25"/>
      <c r="C4321" s="25"/>
      <c r="D4321" s="25"/>
      <c r="E4321" s="25"/>
      <c r="F4321" s="25"/>
      <c r="G4321" s="25"/>
      <c r="H4321" s="25"/>
      <c r="I4321" s="25"/>
      <c r="J4321" s="25"/>
      <c r="K4321" s="25"/>
    </row>
    <row r="4322" customFormat="false" ht="15" hidden="false" customHeight="false" outlineLevel="0" collapsed="false">
      <c r="A4322" s="3" t="s">
        <v>556</v>
      </c>
      <c r="C4322" s="16" t="n">
        <f aca="false">SUMPRODUCT(($C$4311:$C$4320&lt;C4311)*$C$4300:$C$4309)</f>
        <v>2112.15757525</v>
      </c>
    </row>
    <row r="4323" customFormat="false" ht="15" hidden="false" customHeight="false" outlineLevel="0" collapsed="false">
      <c r="A4323" s="3" t="s">
        <v>557</v>
      </c>
      <c r="C4323" s="16" t="n">
        <f aca="false">SUMPRODUCT(($C$4311:$C$4320&lt;C4312)*$C$4300:$C$4309)</f>
        <v>2112.15757525</v>
      </c>
    </row>
    <row r="4324" customFormat="false" ht="15" hidden="false" customHeight="false" outlineLevel="0" collapsed="false">
      <c r="A4324" s="3" t="s">
        <v>558</v>
      </c>
      <c r="C4324" s="16" t="n">
        <f aca="false">SUMPRODUCT(($C$4311:$C$4320&lt;C4313)*$C$4300:$C$4309)</f>
        <v>2112.15757525</v>
      </c>
    </row>
    <row r="4325" customFormat="false" ht="15" hidden="false" customHeight="false" outlineLevel="0" collapsed="false">
      <c r="A4325" s="3" t="s">
        <v>559</v>
      </c>
      <c r="C4325" s="16" t="n">
        <f aca="false">SUMPRODUCT(($C$4311:$C$4320&lt;C4314)*$C$4300:$C$4309)</f>
        <v>0</v>
      </c>
    </row>
    <row r="4326" customFormat="false" ht="15" hidden="false" customHeight="false" outlineLevel="0" collapsed="false">
      <c r="A4326" s="3" t="s">
        <v>560</v>
      </c>
      <c r="C4326" s="16" t="n">
        <f aca="false">SUMPRODUCT(($C$4311:$C$4320&lt;C4315)*$C$4300:$C$4309)</f>
        <v>0</v>
      </c>
    </row>
    <row r="4327" customFormat="false" ht="15" hidden="false" customHeight="false" outlineLevel="0" collapsed="false">
      <c r="A4327" s="3" t="s">
        <v>561</v>
      </c>
      <c r="C4327" s="16" t="n">
        <f aca="false">SUMPRODUCT(($C$4311:$C$4320&lt;C4316)*$C$4300:$C$4309)</f>
        <v>0</v>
      </c>
    </row>
    <row r="4328" customFormat="false" ht="15" hidden="false" customHeight="false" outlineLevel="0" collapsed="false">
      <c r="A4328" s="3" t="s">
        <v>562</v>
      </c>
      <c r="C4328" s="16" t="n">
        <f aca="false">SUMPRODUCT(($C$4311:$C$4320&lt;C4317)*$C$4300:$C$4309)</f>
        <v>0</v>
      </c>
    </row>
    <row r="4329" customFormat="false" ht="15" hidden="false" customHeight="false" outlineLevel="0" collapsed="false">
      <c r="A4329" s="3" t="s">
        <v>563</v>
      </c>
      <c r="C4329" s="16" t="n">
        <f aca="false">SUMPRODUCT(($C$4311:$C$4320&lt;C4318)*$C$4300:$C$4309)</f>
        <v>0</v>
      </c>
    </row>
    <row r="4330" customFormat="false" ht="15" hidden="false" customHeight="false" outlineLevel="0" collapsed="false">
      <c r="A4330" s="3" t="s">
        <v>564</v>
      </c>
      <c r="C4330" s="16" t="n">
        <f aca="false">SUMPRODUCT(($C$4311:$C$4320&lt;C4319)*$C$4300:$C$4309)</f>
        <v>0</v>
      </c>
    </row>
    <row r="4331" customFormat="false" ht="15" hidden="false" customHeight="false" outlineLevel="0" collapsed="false">
      <c r="A4331" s="3" t="s">
        <v>565</v>
      </c>
      <c r="C4331" s="16" t="n">
        <f aca="false">SUMPRODUCT(($C$4311:$C$4320&lt;C4320)*$C$4300:$C$4309)</f>
        <v>2032.484375</v>
      </c>
    </row>
    <row r="4332" customFormat="false" ht="15" hidden="false" customHeight="false" outlineLevel="0" collapsed="false">
      <c r="A4332" s="24" t="s">
        <v>573</v>
      </c>
      <c r="B4332" s="25"/>
      <c r="C4332" s="25"/>
      <c r="D4332" s="25"/>
      <c r="E4332" s="25"/>
      <c r="F4332" s="25"/>
      <c r="G4332" s="25"/>
      <c r="H4332" s="25"/>
      <c r="I4332" s="25"/>
      <c r="J4332" s="25"/>
      <c r="K4332" s="25"/>
    </row>
    <row r="4333" customFormat="false" ht="15" hidden="false" customHeight="false" outlineLevel="0" collapsed="false">
      <c r="A4333" s="3" t="s">
        <v>556</v>
      </c>
      <c r="C4333" s="16" t="n">
        <f aca="false">SUMPRODUCT(($C$4311:$C$4320=C4311)*$C$4300:$C$4309)</f>
        <v>0</v>
      </c>
    </row>
    <row r="4334" customFormat="false" ht="15" hidden="false" customHeight="false" outlineLevel="0" collapsed="false">
      <c r="A4334" s="3" t="s">
        <v>557</v>
      </c>
      <c r="C4334" s="16" t="n">
        <f aca="false">SUMPRODUCT(($C$4311:$C$4320=C4312)*$C$4300:$C$4309)</f>
        <v>0</v>
      </c>
    </row>
    <row r="4335" customFormat="false" ht="15" hidden="false" customHeight="false" outlineLevel="0" collapsed="false">
      <c r="A4335" s="3" t="s">
        <v>558</v>
      </c>
      <c r="C4335" s="16" t="n">
        <f aca="false">SUMPRODUCT(($C$4311:$C$4320=C4313)*$C$4300:$C$4309)</f>
        <v>0</v>
      </c>
    </row>
    <row r="4336" customFormat="false" ht="15" hidden="false" customHeight="false" outlineLevel="0" collapsed="false">
      <c r="A4336" s="3" t="s">
        <v>559</v>
      </c>
      <c r="C4336" s="16" t="n">
        <f aca="false">SUMPRODUCT(($C$4311:$C$4320=C4314)*$C$4300:$C$4309)</f>
        <v>2032.484375</v>
      </c>
    </row>
    <row r="4337" customFormat="false" ht="15" hidden="false" customHeight="false" outlineLevel="0" collapsed="false">
      <c r="A4337" s="3" t="s">
        <v>560</v>
      </c>
      <c r="C4337" s="16" t="n">
        <f aca="false">SUMPRODUCT(($C$4311:$C$4320=C4315)*$C$4300:$C$4309)</f>
        <v>2032.484375</v>
      </c>
    </row>
    <row r="4338" customFormat="false" ht="15" hidden="false" customHeight="false" outlineLevel="0" collapsed="false">
      <c r="A4338" s="3" t="s">
        <v>561</v>
      </c>
      <c r="C4338" s="16" t="n">
        <f aca="false">SUMPRODUCT(($C$4311:$C$4320=C4316)*$C$4300:$C$4309)</f>
        <v>2032.484375</v>
      </c>
    </row>
    <row r="4339" customFormat="false" ht="15" hidden="false" customHeight="false" outlineLevel="0" collapsed="false">
      <c r="A4339" s="3" t="s">
        <v>562</v>
      </c>
      <c r="C4339" s="16" t="n">
        <f aca="false">SUMPRODUCT(($C$4311:$C$4320=C4317)*$C$4300:$C$4309)</f>
        <v>2032.484375</v>
      </c>
    </row>
    <row r="4340" customFormat="false" ht="15" hidden="false" customHeight="false" outlineLevel="0" collapsed="false">
      <c r="A4340" s="3" t="s">
        <v>563</v>
      </c>
      <c r="C4340" s="16" t="n">
        <f aca="false">SUMPRODUCT(($C$4311:$C$4320=C4318)*$C$4300:$C$4309)</f>
        <v>2032.484375</v>
      </c>
    </row>
    <row r="4341" customFormat="false" ht="15" hidden="false" customHeight="false" outlineLevel="0" collapsed="false">
      <c r="A4341" s="3" t="s">
        <v>564</v>
      </c>
      <c r="C4341" s="16" t="n">
        <f aca="false">SUMPRODUCT(($C$4311:$C$4320=C4319)*$C$4300:$C$4309)</f>
        <v>2032.484375</v>
      </c>
    </row>
    <row r="4342" customFormat="false" ht="15" hidden="false" customHeight="false" outlineLevel="0" collapsed="false">
      <c r="A4342" s="3" t="s">
        <v>565</v>
      </c>
      <c r="C4342" s="16" t="n">
        <f aca="false">SUMPRODUCT(($C$4311:$C$4320=C4320)*$C$4300:$C$4309)</f>
        <v>79.67320025</v>
      </c>
    </row>
    <row r="4343" customFormat="false" ht="15" hidden="false" customHeight="false" outlineLevel="0" collapsed="false">
      <c r="A4343" s="24" t="s">
        <v>574</v>
      </c>
      <c r="B4343" s="25"/>
      <c r="C4343" s="25"/>
      <c r="D4343" s="25"/>
      <c r="E4343" s="25"/>
      <c r="F4343" s="25"/>
      <c r="G4343" s="25"/>
      <c r="H4343" s="25"/>
      <c r="I4343" s="25"/>
      <c r="J4343" s="25"/>
      <c r="K4343" s="25"/>
    </row>
    <row r="4344" customFormat="false" ht="15" hidden="false" customHeight="false" outlineLevel="0" collapsed="false">
      <c r="A4344" s="3" t="s">
        <v>556</v>
      </c>
      <c r="C4344" s="16" t="n">
        <f aca="false">IF(C4333=0,0,C4300/C4333*MAX(0,MIN(C4333,$C$4243-SUM($C$4278:$C$4287)-C4322)))</f>
        <v>0</v>
      </c>
    </row>
    <row r="4345" customFormat="false" ht="15" hidden="false" customHeight="false" outlineLevel="0" collapsed="false">
      <c r="A4345" s="3" t="s">
        <v>557</v>
      </c>
      <c r="C4345" s="16" t="n">
        <f aca="false">IF(C4334=0,0,C4301/C4334*MAX(0,MIN(C4334,$C$4243-SUM($C$4278:$C$4287)-C4323)))</f>
        <v>0</v>
      </c>
    </row>
    <row r="4346" customFormat="false" ht="15" hidden="false" customHeight="false" outlineLevel="0" collapsed="false">
      <c r="A4346" s="3" t="s">
        <v>558</v>
      </c>
      <c r="C4346" s="16" t="n">
        <f aca="false">IF(C4335=0,0,C4302/C4335*MAX(0,MIN(C4335,$C$4243-SUM($C$4278:$C$4287)-C4324)))</f>
        <v>0</v>
      </c>
    </row>
    <row r="4347" customFormat="false" ht="15" hidden="false" customHeight="false" outlineLevel="0" collapsed="false">
      <c r="A4347" s="3" t="s">
        <v>559</v>
      </c>
      <c r="C4347" s="16" t="n">
        <f aca="false">IF(C4336=0,0,C4303/C4336*MAX(0,MIN(C4336,$C$4243-SUM($C$4278:$C$4287)-C4325)))</f>
        <v>0</v>
      </c>
    </row>
    <row r="4348" customFormat="false" ht="15" hidden="false" customHeight="false" outlineLevel="0" collapsed="false">
      <c r="A4348" s="3" t="s">
        <v>560</v>
      </c>
      <c r="C4348" s="16" t="n">
        <f aca="false">IF(C4337=0,0,C4304/C4337*MAX(0,MIN(C4337,$C$4243-SUM($C$4278:$C$4287)-C4326)))</f>
        <v>454.44375</v>
      </c>
    </row>
    <row r="4349" customFormat="false" ht="15" hidden="false" customHeight="false" outlineLevel="0" collapsed="false">
      <c r="A4349" s="3" t="s">
        <v>561</v>
      </c>
      <c r="C4349" s="16" t="n">
        <f aca="false">IF(C4338=0,0,C4305/C4338*MAX(0,MIN(C4338,$C$4243-SUM($C$4278:$C$4287)-C4327)))</f>
        <v>357.2625</v>
      </c>
    </row>
    <row r="4350" customFormat="false" ht="15" hidden="false" customHeight="false" outlineLevel="0" collapsed="false">
      <c r="A4350" s="3" t="s">
        <v>562</v>
      </c>
      <c r="C4350" s="16" t="n">
        <f aca="false">IF(C4339=0,0,C4306/C4339*MAX(0,MIN(C4339,$C$4243-SUM($C$4278:$C$4287)-C4328)))</f>
        <v>562.203125</v>
      </c>
    </row>
    <row r="4351" customFormat="false" ht="15" hidden="false" customHeight="false" outlineLevel="0" collapsed="false">
      <c r="A4351" s="3" t="s">
        <v>563</v>
      </c>
      <c r="C4351" s="16" t="n">
        <f aca="false">IF(C4340=0,0,C4307/C4340*MAX(0,MIN(C4340,$C$4243-SUM($C$4278:$C$4287)-C4329)))</f>
        <v>353.98125</v>
      </c>
    </row>
    <row r="4352" customFormat="false" ht="15" hidden="false" customHeight="false" outlineLevel="0" collapsed="false">
      <c r="A4352" s="3" t="s">
        <v>564</v>
      </c>
      <c r="C4352" s="16" t="n">
        <f aca="false">IF(C4341=0,0,C4308/C4341*MAX(0,MIN(C4341,$C$4243-SUM($C$4278:$C$4287)-C4330)))</f>
        <v>304.59375</v>
      </c>
    </row>
    <row r="4353" customFormat="false" ht="15" hidden="false" customHeight="false" outlineLevel="0" collapsed="false">
      <c r="A4353" s="3" t="s">
        <v>565</v>
      </c>
      <c r="C4353" s="16" t="n">
        <f aca="false">IF(C4342=0,0,C4309/C4342*MAX(0,MIN(C4342,$C$4243-SUM($C$4278:$C$4287)-C4331)))</f>
        <v>79.67320025</v>
      </c>
    </row>
    <row r="4354" customFormat="false" ht="15" hidden="false" customHeight="false" outlineLevel="0" collapsed="false">
      <c r="A4354" s="24" t="s">
        <v>575</v>
      </c>
      <c r="B4354" s="25"/>
      <c r="C4354" s="25"/>
      <c r="D4354" s="25"/>
      <c r="E4354" s="25"/>
      <c r="F4354" s="25"/>
      <c r="G4354" s="25"/>
      <c r="H4354" s="25"/>
      <c r="I4354" s="25"/>
      <c r="J4354" s="25"/>
      <c r="K4354" s="25"/>
    </row>
    <row r="4355" customFormat="false" ht="15" hidden="false" customHeight="false" outlineLevel="0" collapsed="false">
      <c r="A4355" s="2" t="s">
        <v>556</v>
      </c>
      <c r="C4355" s="17" t="n">
        <f aca="false">C4278+C4344</f>
        <v>405.0585</v>
      </c>
    </row>
    <row r="4356" customFormat="false" ht="15" hidden="false" customHeight="false" outlineLevel="0" collapsed="false">
      <c r="A4356" s="2" t="s">
        <v>557</v>
      </c>
      <c r="C4356" s="17" t="n">
        <f aca="false">C4279+C4345</f>
        <v>91.30725</v>
      </c>
    </row>
    <row r="4357" customFormat="false" ht="15" hidden="false" customHeight="false" outlineLevel="0" collapsed="false">
      <c r="A4357" s="2" t="s">
        <v>558</v>
      </c>
      <c r="C4357" s="17" t="n">
        <f aca="false">C4280+C4346</f>
        <v>58.3715961</v>
      </c>
    </row>
    <row r="4358" customFormat="false" ht="15" hidden="false" customHeight="false" outlineLevel="0" collapsed="false">
      <c r="A4358" s="2" t="s">
        <v>559</v>
      </c>
      <c r="C4358" s="17" t="n">
        <f aca="false">C4281+C4347</f>
        <v>0</v>
      </c>
    </row>
    <row r="4359" customFormat="false" ht="15" hidden="false" customHeight="false" outlineLevel="0" collapsed="false">
      <c r="A4359" s="2" t="s">
        <v>560</v>
      </c>
      <c r="C4359" s="17" t="n">
        <f aca="false">C4282+C4348</f>
        <v>454.44375</v>
      </c>
    </row>
    <row r="4360" customFormat="false" ht="15" hidden="false" customHeight="false" outlineLevel="0" collapsed="false">
      <c r="A4360" s="2" t="s">
        <v>561</v>
      </c>
      <c r="C4360" s="17" t="n">
        <f aca="false">C4283+C4349</f>
        <v>357.2625</v>
      </c>
    </row>
    <row r="4361" customFormat="false" ht="15" hidden="false" customHeight="false" outlineLevel="0" collapsed="false">
      <c r="A4361" s="2" t="s">
        <v>562</v>
      </c>
      <c r="C4361" s="17" t="n">
        <f aca="false">C4284+C4350</f>
        <v>562.203125</v>
      </c>
    </row>
    <row r="4362" customFormat="false" ht="15" hidden="false" customHeight="false" outlineLevel="0" collapsed="false">
      <c r="A4362" s="2" t="s">
        <v>563</v>
      </c>
      <c r="C4362" s="17" t="n">
        <f aca="false">C4285+C4351</f>
        <v>353.98125</v>
      </c>
    </row>
    <row r="4363" customFormat="false" ht="15" hidden="false" customHeight="false" outlineLevel="0" collapsed="false">
      <c r="A4363" s="2" t="s">
        <v>564</v>
      </c>
      <c r="C4363" s="17" t="n">
        <f aca="false">C4286+C4352</f>
        <v>304.59375</v>
      </c>
    </row>
    <row r="4364" customFormat="false" ht="15" hidden="false" customHeight="false" outlineLevel="0" collapsed="false">
      <c r="A4364" s="2" t="s">
        <v>565</v>
      </c>
      <c r="C4364" s="17" t="n">
        <f aca="false">C4287+C4353</f>
        <v>79.67320025</v>
      </c>
    </row>
    <row r="4365" customFormat="false" ht="15" hidden="false" customHeight="false" outlineLevel="0" collapsed="false">
      <c r="A4365" s="24" t="s">
        <v>576</v>
      </c>
      <c r="B4365" s="25"/>
      <c r="C4365" s="25"/>
      <c r="D4365" s="25"/>
      <c r="E4365" s="25"/>
      <c r="F4365" s="25"/>
      <c r="G4365" s="25"/>
      <c r="H4365" s="25"/>
      <c r="I4365" s="25"/>
      <c r="J4365" s="25"/>
      <c r="K4365" s="25"/>
    </row>
    <row r="4366" customFormat="false" ht="15" hidden="false" customHeight="false" outlineLevel="0" collapsed="false">
      <c r="A4366" s="3" t="s">
        <v>556</v>
      </c>
      <c r="C4366" s="22" t="n">
        <f aca="false">IF(C4245=0,1,C4355/C4245)</f>
        <v>1</v>
      </c>
    </row>
    <row r="4367" customFormat="false" ht="15" hidden="false" customHeight="false" outlineLevel="0" collapsed="false">
      <c r="A4367" s="3" t="s">
        <v>557</v>
      </c>
      <c r="C4367" s="22" t="n">
        <f aca="false">IF(C4246=0,1,C4356/C4246)</f>
        <v>1</v>
      </c>
    </row>
    <row r="4368" customFormat="false" ht="15" hidden="false" customHeight="false" outlineLevel="0" collapsed="false">
      <c r="A4368" s="3" t="s">
        <v>558</v>
      </c>
      <c r="C4368" s="22" t="n">
        <f aca="false">IF(C4247=0,1,C4357/C4247)</f>
        <v>1</v>
      </c>
    </row>
    <row r="4369" customFormat="false" ht="15" hidden="false" customHeight="false" outlineLevel="0" collapsed="false">
      <c r="A4369" s="3" t="s">
        <v>559</v>
      </c>
      <c r="C4369" s="22" t="n">
        <f aca="false">IF(C4248=0,1,C4358/C4248)</f>
        <v>1</v>
      </c>
    </row>
    <row r="4370" customFormat="false" ht="15" hidden="false" customHeight="false" outlineLevel="0" collapsed="false">
      <c r="A4370" s="3" t="s">
        <v>560</v>
      </c>
      <c r="C4370" s="22" t="n">
        <f aca="false">IF(C4249=0,1,C4359/C4249)</f>
        <v>1</v>
      </c>
    </row>
    <row r="4371" customFormat="false" ht="15" hidden="false" customHeight="false" outlineLevel="0" collapsed="false">
      <c r="A4371" s="3" t="s">
        <v>561</v>
      </c>
      <c r="C4371" s="22" t="n">
        <f aca="false">IF(C4250=0,1,C4360/C4250)</f>
        <v>1</v>
      </c>
    </row>
    <row r="4372" customFormat="false" ht="15" hidden="false" customHeight="false" outlineLevel="0" collapsed="false">
      <c r="A4372" s="3" t="s">
        <v>562</v>
      </c>
      <c r="C4372" s="22" t="n">
        <f aca="false">IF(C4251=0,1,C4361/C4251)</f>
        <v>1</v>
      </c>
    </row>
    <row r="4373" customFormat="false" ht="15" hidden="false" customHeight="false" outlineLevel="0" collapsed="false">
      <c r="A4373" s="3" t="s">
        <v>563</v>
      </c>
      <c r="C4373" s="22" t="n">
        <f aca="false">IF(C4252=0,1,C4362/C4252)</f>
        <v>1</v>
      </c>
    </row>
    <row r="4374" customFormat="false" ht="15" hidden="false" customHeight="false" outlineLevel="0" collapsed="false">
      <c r="A4374" s="3" t="s">
        <v>564</v>
      </c>
      <c r="C4374" s="22" t="n">
        <f aca="false">IF(C4253=0,1,C4363/C4253)</f>
        <v>1</v>
      </c>
    </row>
    <row r="4375" customFormat="false" ht="15" hidden="false" customHeight="false" outlineLevel="0" collapsed="false">
      <c r="A4375" s="3" t="s">
        <v>565</v>
      </c>
      <c r="C4375" s="22" t="n">
        <f aca="false">IF(C4254=0,1,C4364/C4254)</f>
        <v>1</v>
      </c>
    </row>
    <row r="4376" customFormat="false" ht="15" hidden="false" customHeight="false" outlineLevel="0" collapsed="false">
      <c r="A4376" s="24" t="s">
        <v>577</v>
      </c>
      <c r="B4376" s="25"/>
      <c r="C4376" s="25"/>
      <c r="D4376" s="25"/>
      <c r="E4376" s="25"/>
      <c r="F4376" s="25"/>
      <c r="G4376" s="25"/>
      <c r="H4376" s="25"/>
      <c r="I4376" s="25"/>
      <c r="J4376" s="25"/>
      <c r="K4376" s="25"/>
    </row>
    <row r="4377" customFormat="false" ht="15" hidden="false" customHeight="false" outlineLevel="0" collapsed="false">
      <c r="A4377" s="3" t="s">
        <v>556</v>
      </c>
      <c r="C4377" s="16" t="n">
        <f aca="false">C4245-C4355</f>
        <v>0</v>
      </c>
    </row>
    <row r="4378" customFormat="false" ht="15" hidden="false" customHeight="false" outlineLevel="0" collapsed="false">
      <c r="A4378" s="3" t="s">
        <v>557</v>
      </c>
      <c r="C4378" s="16" t="n">
        <f aca="false">C4246-C4356</f>
        <v>0</v>
      </c>
    </row>
    <row r="4379" customFormat="false" ht="15" hidden="false" customHeight="false" outlineLevel="0" collapsed="false">
      <c r="A4379" s="3" t="s">
        <v>558</v>
      </c>
      <c r="C4379" s="16" t="n">
        <f aca="false">C4247-C4357</f>
        <v>0</v>
      </c>
    </row>
    <row r="4380" customFormat="false" ht="15" hidden="false" customHeight="false" outlineLevel="0" collapsed="false">
      <c r="A4380" s="3" t="s">
        <v>559</v>
      </c>
      <c r="C4380" s="16" t="n">
        <f aca="false">C4248-C4358</f>
        <v>0</v>
      </c>
    </row>
    <row r="4381" customFormat="false" ht="15" hidden="false" customHeight="false" outlineLevel="0" collapsed="false">
      <c r="A4381" s="3" t="s">
        <v>560</v>
      </c>
      <c r="C4381" s="16" t="n">
        <f aca="false">C4249-C4359</f>
        <v>0</v>
      </c>
    </row>
    <row r="4382" customFormat="false" ht="15" hidden="false" customHeight="false" outlineLevel="0" collapsed="false">
      <c r="A4382" s="3" t="s">
        <v>561</v>
      </c>
      <c r="C4382" s="16" t="n">
        <f aca="false">C4250-C4360</f>
        <v>0</v>
      </c>
    </row>
    <row r="4383" customFormat="false" ht="15" hidden="false" customHeight="false" outlineLevel="0" collapsed="false">
      <c r="A4383" s="3" t="s">
        <v>562</v>
      </c>
      <c r="C4383" s="16" t="n">
        <f aca="false">C4251-C4361</f>
        <v>0</v>
      </c>
    </row>
    <row r="4384" customFormat="false" ht="15" hidden="false" customHeight="false" outlineLevel="0" collapsed="false">
      <c r="A4384" s="3" t="s">
        <v>563</v>
      </c>
      <c r="C4384" s="16" t="n">
        <f aca="false">C4252-C4362</f>
        <v>0</v>
      </c>
    </row>
    <row r="4385" customFormat="false" ht="15" hidden="false" customHeight="false" outlineLevel="0" collapsed="false">
      <c r="A4385" s="3" t="s">
        <v>564</v>
      </c>
      <c r="C4385" s="16" t="n">
        <f aca="false">C4253-C4363</f>
        <v>0</v>
      </c>
    </row>
    <row r="4386" customFormat="false" ht="15" hidden="false" customHeight="false" outlineLevel="0" collapsed="false">
      <c r="A4386" s="3" t="s">
        <v>565</v>
      </c>
      <c r="C4386" s="16" t="n">
        <f aca="false">C4254-C4364</f>
        <v>0</v>
      </c>
    </row>
    <row r="4387" customFormat="false" ht="15" hidden="false" customHeight="false" outlineLevel="0" collapsed="false">
      <c r="A4387" s="24" t="s">
        <v>578</v>
      </c>
      <c r="B4387" s="25"/>
      <c r="C4387" s="25"/>
      <c r="D4387" s="25"/>
      <c r="E4387" s="25"/>
      <c r="F4387" s="25"/>
      <c r="G4387" s="25"/>
      <c r="H4387" s="25"/>
      <c r="I4387" s="25"/>
      <c r="J4387" s="25"/>
      <c r="K4387" s="25"/>
    </row>
    <row r="4388" customFormat="false" ht="15" hidden="false" customHeight="false" outlineLevel="0" collapsed="false">
      <c r="A4388" s="3" t="s">
        <v>556</v>
      </c>
      <c r="C4388" s="22" t="n">
        <f aca="false">IF(C4245=0,0,C4377/C4245)</f>
        <v>0</v>
      </c>
    </row>
    <row r="4389" customFormat="false" ht="15" hidden="false" customHeight="false" outlineLevel="0" collapsed="false">
      <c r="A4389" s="3" t="s">
        <v>557</v>
      </c>
      <c r="C4389" s="22" t="n">
        <f aca="false">IF(C4246=0,0,C4378/C4246)</f>
        <v>0</v>
      </c>
    </row>
    <row r="4390" customFormat="false" ht="15" hidden="false" customHeight="false" outlineLevel="0" collapsed="false">
      <c r="A4390" s="3" t="s">
        <v>558</v>
      </c>
      <c r="C4390" s="22" t="n">
        <f aca="false">IF(C4247=0,0,C4379/C4247)</f>
        <v>0</v>
      </c>
    </row>
    <row r="4391" customFormat="false" ht="15" hidden="false" customHeight="false" outlineLevel="0" collapsed="false">
      <c r="A4391" s="3" t="s">
        <v>559</v>
      </c>
      <c r="C4391" s="22" t="n">
        <f aca="false">IF(C4248=0,0,C4380/C4248)</f>
        <v>0</v>
      </c>
    </row>
    <row r="4392" customFormat="false" ht="15" hidden="false" customHeight="false" outlineLevel="0" collapsed="false">
      <c r="A4392" s="3" t="s">
        <v>560</v>
      </c>
      <c r="C4392" s="22" t="n">
        <f aca="false">IF(C4249=0,0,C4381/C4249)</f>
        <v>0</v>
      </c>
    </row>
    <row r="4393" customFormat="false" ht="15" hidden="false" customHeight="false" outlineLevel="0" collapsed="false">
      <c r="A4393" s="3" t="s">
        <v>561</v>
      </c>
      <c r="C4393" s="22" t="n">
        <f aca="false">IF(C4250=0,0,C4382/C4250)</f>
        <v>0</v>
      </c>
    </row>
    <row r="4394" customFormat="false" ht="15" hidden="false" customHeight="false" outlineLevel="0" collapsed="false">
      <c r="A4394" s="3" t="s">
        <v>562</v>
      </c>
      <c r="C4394" s="22" t="n">
        <f aca="false">IF(C4251=0,0,C4383/C4251)</f>
        <v>0</v>
      </c>
    </row>
    <row r="4395" customFormat="false" ht="15" hidden="false" customHeight="false" outlineLevel="0" collapsed="false">
      <c r="A4395" s="3" t="s">
        <v>563</v>
      </c>
      <c r="C4395" s="22" t="n">
        <f aca="false">IF(C4252=0,0,C4384/C4252)</f>
        <v>0</v>
      </c>
    </row>
    <row r="4396" customFormat="false" ht="15" hidden="false" customHeight="false" outlineLevel="0" collapsed="false">
      <c r="A4396" s="3" t="s">
        <v>564</v>
      </c>
      <c r="C4396" s="22" t="n">
        <f aca="false">IF(C4253=0,0,C4385/C4253)</f>
        <v>0</v>
      </c>
    </row>
    <row r="4397" customFormat="false" ht="15" hidden="false" customHeight="false" outlineLevel="0" collapsed="false">
      <c r="A4397" s="3" t="s">
        <v>565</v>
      </c>
      <c r="C4397" s="22" t="n">
        <f aca="false">IF(C4254=0,0,C4386/C4254)</f>
        <v>0</v>
      </c>
    </row>
    <row r="4398" customFormat="false" ht="15" hidden="false" customHeight="false" outlineLevel="0" collapsed="false">
      <c r="A4398" s="2" t="s">
        <v>579</v>
      </c>
      <c r="C4398" s="17" t="n">
        <f aca="false">MAX(0,$C$4243-SUM($C$4278:$C$4287)-SUM($C$4300:$C$4309))</f>
        <v>1173.14461209</v>
      </c>
    </row>
    <row r="4399" customFormat="false" ht="15" hidden="false" customHeight="false" outlineLevel="0" collapsed="false">
      <c r="A4399" s="3" t="s">
        <v>580</v>
      </c>
      <c r="C4399" s="16" t="n">
        <f aca="false">SUM($C$4355:$C$4364)+C4398+C4242-C4241</f>
        <v>0</v>
      </c>
    </row>
    <row r="4401" customFormat="false" ht="15" hidden="false" customHeight="false" outlineLevel="0" collapsed="false">
      <c r="A4401" s="24" t="s">
        <v>583</v>
      </c>
      <c r="B4401" s="25"/>
      <c r="C4401" s="25"/>
      <c r="D4401" s="25"/>
      <c r="E4401" s="25"/>
      <c r="F4401" s="25"/>
      <c r="G4401" s="25"/>
      <c r="H4401" s="25"/>
      <c r="I4401" s="25"/>
      <c r="J4401" s="25"/>
      <c r="K4401" s="25"/>
    </row>
    <row r="4402" customFormat="false" ht="15" hidden="false" customHeight="false" outlineLevel="0" collapsed="false">
      <c r="A4402" s="3" t="s">
        <v>584</v>
      </c>
      <c r="C4402" s="27" t="n">
        <f aca="false">Assumptions!$C$34</f>
        <v>1</v>
      </c>
    </row>
    <row r="4403" customFormat="false" ht="15" hidden="false" customHeight="false" outlineLevel="0" collapsed="false">
      <c r="A4403" s="3" t="s">
        <v>585</v>
      </c>
      <c r="C4403" s="29" t="n">
        <f aca="false">Assumptions!$C$35</f>
        <v>100</v>
      </c>
    </row>
    <row r="4404" customFormat="false" ht="15" hidden="false" customHeight="false" outlineLevel="0" collapsed="false">
      <c r="A4404" s="3" t="s">
        <v>586</v>
      </c>
      <c r="C4404" s="40" t="n">
        <f aca="false">Assumptions!$C$36</f>
        <v>98</v>
      </c>
    </row>
    <row r="4405" customFormat="false" ht="15" hidden="false" customHeight="false" outlineLevel="0" collapsed="false">
      <c r="A4405" s="3" t="s">
        <v>587</v>
      </c>
      <c r="C4405" s="16" t="n">
        <f aca="false">C4403*C4404/100*(1+Assumptions!$C$37)</f>
        <v>98.49</v>
      </c>
    </row>
    <row r="4406" customFormat="false" ht="15" hidden="false" customHeight="false" outlineLevel="0" collapsed="false">
      <c r="A4406" s="3" t="s">
        <v>588</v>
      </c>
      <c r="C4406" s="27" t="n">
        <f aca="false">Assumptions!$C$38</f>
        <v>3</v>
      </c>
    </row>
    <row r="4407" customFormat="false" ht="15" hidden="false" customHeight="false" outlineLevel="0" collapsed="false">
      <c r="A4407" s="3" t="s">
        <v>589</v>
      </c>
      <c r="C4407" s="21" t="n">
        <f aca="false">IF(C4234=1,SUMPRODUCT($G$4170:$K$4170,$G$3944:$K$3944),0)</f>
        <v>0</v>
      </c>
    </row>
    <row r="4408" customFormat="false" ht="15" hidden="false" customHeight="false" outlineLevel="0" collapsed="false">
      <c r="A4408" s="3" t="s">
        <v>590</v>
      </c>
      <c r="C4408" s="22" t="n">
        <f aca="false">IFERROR(C4403/CHOOSE(C4402,SUMPRODUCT($G$4233:$K$4233,$G$3990:$K$3990),SUMPRODUCT($G$4233:$K$4233,$G$4003:$K$4003),SUMPRODUCT($G$4233:$K$4233,$G$4016:$K$4016),SUMPRODUCT($G$4233:$K$4233,$G$4029:$K$4029),SUMPRODUCT($G$4233:$K$4233,$G$4042:$K$4042),SUMPRODUCT($G$4233:$K$4233,$G$4055:$K$4055),SUMPRODUCT($G$4233:$K$4233,$G$4068:$K$4068),SUMPRODUCT($G$4233:$K$4233,$G$4081:$K$4081),SUMPRODUCT($G$4233:$K$4233,$G$4094:$K$4094),SUMPRODUCT($G$4233:$K$4233,$G$4107:$K$4107)),0)</f>
        <v>0.252525252525253</v>
      </c>
    </row>
    <row r="4409" customFormat="false" ht="15" hidden="false" customHeight="false" outlineLevel="0" collapsed="false">
      <c r="A4409" s="3" t="s">
        <v>591</v>
      </c>
      <c r="C4409" s="16" t="n">
        <f aca="false">CHOOSE(C4402,C4355,C4356,C4357,C4358,C4359,C4360,C4361,C4362,C4363,C4364)*C4408</f>
        <v>102.2875</v>
      </c>
    </row>
    <row r="4410" customFormat="false" ht="15" hidden="false" customHeight="false" outlineLevel="0" collapsed="false">
      <c r="A4410" s="3" t="s">
        <v>592</v>
      </c>
      <c r="C4410" s="22" t="n">
        <f aca="false">CHOOSE(C4402,C4366,C4367,C4368,C4369,C4370,C4371,C4372,C4373,C4374,C4375)</f>
        <v>1</v>
      </c>
    </row>
    <row r="4411" customFormat="false" ht="15" hidden="false" customHeight="false" outlineLevel="0" collapsed="false">
      <c r="A4411" s="3" t="s">
        <v>593</v>
      </c>
      <c r="C4411" s="21" t="n">
        <f aca="false">IF(C4234=1,C4407,C4406)</f>
        <v>3</v>
      </c>
    </row>
    <row r="4412" customFormat="false" ht="15" hidden="false" customHeight="false" outlineLevel="0" collapsed="false">
      <c r="A4412" s="3" t="s">
        <v>594</v>
      </c>
      <c r="C4412" s="35" t="n">
        <f aca="false">CHOOSE($C$3936,Assumptions!$C$91,Assumptions!$C$110,Assumptions!$C$129)</f>
        <v>100</v>
      </c>
    </row>
    <row r="4413" customFormat="false" ht="15" hidden="false" customHeight="false" outlineLevel="0" collapsed="false">
      <c r="A4413" s="3" t="s">
        <v>595</v>
      </c>
      <c r="C4413" s="16" t="n">
        <f aca="false">INDEX($G$3953:$K$3953,C4406)*CHOOSE($C$3936,Assumptions!$C$90,Assumptions!$C$109,Assumptions!$C$128)+MAX(0,INDEX($G$4167:$K$4167,C4406))</f>
        <v>3494.9416190706</v>
      </c>
    </row>
    <row r="4414" customFormat="false" ht="15" hidden="false" customHeight="false" outlineLevel="0" collapsed="false">
      <c r="A4414" s="24" t="s">
        <v>596</v>
      </c>
      <c r="B4414" s="25"/>
      <c r="C4414" s="25"/>
      <c r="D4414" s="25"/>
      <c r="E4414" s="25"/>
      <c r="F4414" s="25"/>
      <c r="G4414" s="25"/>
      <c r="H4414" s="25"/>
      <c r="I4414" s="25"/>
      <c r="J4414" s="25"/>
      <c r="K4414" s="25"/>
    </row>
    <row r="4415" customFormat="false" ht="15" hidden="false" customHeight="false" outlineLevel="0" collapsed="false">
      <c r="A4415" s="3" t="s">
        <v>556</v>
      </c>
      <c r="C4415" s="16" t="n">
        <f aca="false">INDEX($G$3990:$K$3990,C4406)</f>
        <v>388</v>
      </c>
    </row>
    <row r="4416" customFormat="false" ht="15" hidden="false" customHeight="false" outlineLevel="0" collapsed="false">
      <c r="A4416" s="3" t="s">
        <v>557</v>
      </c>
      <c r="C4416" s="16" t="n">
        <f aca="false">INDEX($G$4003:$K$4003,C4406)</f>
        <v>90</v>
      </c>
    </row>
    <row r="4417" customFormat="false" ht="15" hidden="false" customHeight="false" outlineLevel="0" collapsed="false">
      <c r="A4417" s="3" t="s">
        <v>558</v>
      </c>
      <c r="C4417" s="16" t="n">
        <f aca="false">INDEX($G$4016:$K$4016,C4406)</f>
        <v>57.324</v>
      </c>
    </row>
    <row r="4418" customFormat="false" ht="15" hidden="false" customHeight="false" outlineLevel="0" collapsed="false">
      <c r="A4418" s="3" t="s">
        <v>559</v>
      </c>
      <c r="C4418" s="16" t="n">
        <f aca="false">INDEX($G$4029:$K$4029,C4406)</f>
        <v>55.177394011256</v>
      </c>
    </row>
    <row r="4419" customFormat="false" ht="15" hidden="false" customHeight="false" outlineLevel="0" collapsed="false">
      <c r="A4419" s="3" t="s">
        <v>560</v>
      </c>
      <c r="C4419" s="16" t="n">
        <f aca="false">INDEX($G$4042:$K$4042,C4406)</f>
        <v>388.1951236658</v>
      </c>
    </row>
    <row r="4420" customFormat="false" ht="15" hidden="false" customHeight="false" outlineLevel="0" collapsed="false">
      <c r="A4420" s="3" t="s">
        <v>561</v>
      </c>
      <c r="C4420" s="16" t="n">
        <f aca="false">INDEX($G$4055:$K$4055,C4406)</f>
        <v>350</v>
      </c>
    </row>
    <row r="4421" customFormat="false" ht="15" hidden="false" customHeight="false" outlineLevel="0" collapsed="false">
      <c r="A4421" s="3" t="s">
        <v>562</v>
      </c>
      <c r="C4421" s="16" t="n">
        <f aca="false">INDEX($G$4068:$K$4068,C4406)</f>
        <v>550</v>
      </c>
    </row>
    <row r="4422" customFormat="false" ht="15" hidden="false" customHeight="false" outlineLevel="0" collapsed="false">
      <c r="A4422" s="3" t="s">
        <v>563</v>
      </c>
      <c r="C4422" s="16" t="n">
        <f aca="false">INDEX($G$4081:$K$4081,C4406)</f>
        <v>350</v>
      </c>
    </row>
    <row r="4423" customFormat="false" ht="15" hidden="false" customHeight="false" outlineLevel="0" collapsed="false">
      <c r="A4423" s="3" t="s">
        <v>564</v>
      </c>
      <c r="C4423" s="16" t="n">
        <f aca="false">INDEX($G$4094:$K$4094,C4406)</f>
        <v>300</v>
      </c>
    </row>
    <row r="4424" customFormat="false" ht="15" hidden="false" customHeight="false" outlineLevel="0" collapsed="false">
      <c r="A4424" s="3" t="s">
        <v>565</v>
      </c>
      <c r="C4424" s="16" t="n">
        <f aca="false">INDEX($G$4107:$K$4107,C4406)</f>
        <v>78.61</v>
      </c>
    </row>
    <row r="4425" customFormat="false" ht="15" hidden="false" customHeight="false" outlineLevel="0" collapsed="false">
      <c r="A4425" s="24" t="s">
        <v>566</v>
      </c>
      <c r="B4425" s="25"/>
      <c r="C4425" s="25"/>
      <c r="D4425" s="25"/>
      <c r="E4425" s="25"/>
      <c r="F4425" s="25"/>
      <c r="G4425" s="25"/>
      <c r="H4425" s="25"/>
      <c r="I4425" s="25"/>
      <c r="J4425" s="25"/>
      <c r="K4425" s="25"/>
    </row>
    <row r="4426" customFormat="false" ht="15" hidden="false" customHeight="false" outlineLevel="0" collapsed="false">
      <c r="A4426" s="3" t="s">
        <v>556</v>
      </c>
      <c r="C4426" s="27" t="n">
        <f aca="false">Assumptions!$M$57</f>
        <v>1</v>
      </c>
    </row>
    <row r="4427" customFormat="false" ht="15" hidden="false" customHeight="false" outlineLevel="0" collapsed="false">
      <c r="A4427" s="3" t="s">
        <v>557</v>
      </c>
      <c r="C4427" s="27" t="n">
        <f aca="false">Assumptions!$M$58</f>
        <v>1</v>
      </c>
    </row>
    <row r="4428" customFormat="false" ht="15" hidden="false" customHeight="false" outlineLevel="0" collapsed="false">
      <c r="A4428" s="3" t="s">
        <v>558</v>
      </c>
      <c r="C4428" s="27" t="n">
        <f aca="false">Assumptions!$M$59</f>
        <v>1</v>
      </c>
    </row>
    <row r="4429" customFormat="false" ht="15" hidden="false" customHeight="false" outlineLevel="0" collapsed="false">
      <c r="A4429" s="3" t="s">
        <v>559</v>
      </c>
      <c r="C4429" s="27" t="n">
        <f aca="false">Assumptions!$M$60</f>
        <v>2</v>
      </c>
    </row>
    <row r="4430" customFormat="false" ht="15" hidden="false" customHeight="false" outlineLevel="0" collapsed="false">
      <c r="A4430" s="3" t="s">
        <v>560</v>
      </c>
      <c r="C4430" s="27" t="n">
        <f aca="false">Assumptions!$M$61</f>
        <v>2</v>
      </c>
    </row>
    <row r="4431" customFormat="false" ht="15" hidden="false" customHeight="false" outlineLevel="0" collapsed="false">
      <c r="A4431" s="3" t="s">
        <v>561</v>
      </c>
      <c r="C4431" s="27" t="n">
        <f aca="false">Assumptions!$M$62</f>
        <v>2</v>
      </c>
    </row>
    <row r="4432" customFormat="false" ht="15" hidden="false" customHeight="false" outlineLevel="0" collapsed="false">
      <c r="A4432" s="3" t="s">
        <v>562</v>
      </c>
      <c r="C4432" s="27" t="n">
        <f aca="false">Assumptions!$M$63</f>
        <v>2</v>
      </c>
    </row>
    <row r="4433" customFormat="false" ht="15" hidden="false" customHeight="false" outlineLevel="0" collapsed="false">
      <c r="A4433" s="3" t="s">
        <v>563</v>
      </c>
      <c r="C4433" s="27" t="n">
        <f aca="false">Assumptions!$M$64</f>
        <v>2</v>
      </c>
    </row>
    <row r="4434" customFormat="false" ht="15" hidden="false" customHeight="false" outlineLevel="0" collapsed="false">
      <c r="A4434" s="3" t="s">
        <v>564</v>
      </c>
      <c r="C4434" s="27" t="n">
        <f aca="false">Assumptions!$M$65</f>
        <v>2</v>
      </c>
    </row>
    <row r="4435" customFormat="false" ht="15" hidden="false" customHeight="false" outlineLevel="0" collapsed="false">
      <c r="A4435" s="3" t="s">
        <v>565</v>
      </c>
      <c r="C4435" s="27" t="n">
        <f aca="false">Assumptions!$M$66</f>
        <v>3</v>
      </c>
    </row>
    <row r="4436" customFormat="false" ht="15" hidden="false" customHeight="false" outlineLevel="0" collapsed="false">
      <c r="A4436" s="24" t="s">
        <v>567</v>
      </c>
      <c r="B4436" s="25"/>
      <c r="C4436" s="25"/>
      <c r="D4436" s="25"/>
      <c r="E4436" s="25"/>
      <c r="F4436" s="25"/>
      <c r="G4436" s="25"/>
      <c r="H4436" s="25"/>
      <c r="I4436" s="25"/>
      <c r="J4436" s="25"/>
      <c r="K4436" s="25"/>
    </row>
    <row r="4437" customFormat="false" ht="15" hidden="false" customHeight="false" outlineLevel="0" collapsed="false">
      <c r="A4437" s="3" t="s">
        <v>556</v>
      </c>
      <c r="C4437" s="33" t="n">
        <f aca="false">Assumptions!$Q$57</f>
        <v>0.3</v>
      </c>
    </row>
    <row r="4438" customFormat="false" ht="15" hidden="false" customHeight="false" outlineLevel="0" collapsed="false">
      <c r="A4438" s="3" t="s">
        <v>557</v>
      </c>
      <c r="C4438" s="33" t="n">
        <f aca="false">Assumptions!$Q$58</f>
        <v>0.033</v>
      </c>
    </row>
    <row r="4439" customFormat="false" ht="15" hidden="false" customHeight="false" outlineLevel="0" collapsed="false">
      <c r="A4439" s="3" t="s">
        <v>558</v>
      </c>
      <c r="C4439" s="33" t="n">
        <f aca="false">Assumptions!$Q$59</f>
        <v>0.021</v>
      </c>
    </row>
    <row r="4440" customFormat="false" ht="15" hidden="false" customHeight="false" outlineLevel="0" collapsed="false">
      <c r="A4440" s="3" t="s">
        <v>559</v>
      </c>
      <c r="C4440" s="33" t="n">
        <f aca="false">Assumptions!$Q$60</f>
        <v>0</v>
      </c>
    </row>
    <row r="4441" customFormat="false" ht="15" hidden="false" customHeight="false" outlineLevel="0" collapsed="false">
      <c r="A4441" s="3" t="s">
        <v>560</v>
      </c>
      <c r="C4441" s="33" t="n">
        <f aca="false">Assumptions!$Q$61</f>
        <v>0</v>
      </c>
    </row>
    <row r="4442" customFormat="false" ht="15" hidden="false" customHeight="false" outlineLevel="0" collapsed="false">
      <c r="A4442" s="3" t="s">
        <v>561</v>
      </c>
      <c r="C4442" s="33" t="n">
        <f aca="false">Assumptions!$Q$62</f>
        <v>0</v>
      </c>
    </row>
    <row r="4443" customFormat="false" ht="15" hidden="false" customHeight="false" outlineLevel="0" collapsed="false">
      <c r="A4443" s="3" t="s">
        <v>562</v>
      </c>
      <c r="C4443" s="33" t="n">
        <f aca="false">Assumptions!$Q$63</f>
        <v>0</v>
      </c>
    </row>
    <row r="4444" customFormat="false" ht="15" hidden="false" customHeight="false" outlineLevel="0" collapsed="false">
      <c r="A4444" s="3" t="s">
        <v>563</v>
      </c>
      <c r="C4444" s="33" t="n">
        <f aca="false">Assumptions!$Q$64</f>
        <v>0</v>
      </c>
    </row>
    <row r="4445" customFormat="false" ht="15" hidden="false" customHeight="false" outlineLevel="0" collapsed="false">
      <c r="A4445" s="3" t="s">
        <v>564</v>
      </c>
      <c r="C4445" s="33" t="n">
        <f aca="false">Assumptions!$Q$65</f>
        <v>0</v>
      </c>
    </row>
    <row r="4446" customFormat="false" ht="15" hidden="false" customHeight="false" outlineLevel="0" collapsed="false">
      <c r="A4446" s="3" t="s">
        <v>565</v>
      </c>
      <c r="C4446" s="33" t="n">
        <f aca="false">Assumptions!$Q$66</f>
        <v>0</v>
      </c>
    </row>
    <row r="4447" customFormat="false" ht="15" hidden="false" customHeight="false" outlineLevel="0" collapsed="false">
      <c r="A4447" s="24" t="s">
        <v>568</v>
      </c>
      <c r="B4447" s="25"/>
      <c r="C4447" s="25"/>
      <c r="D4447" s="25"/>
      <c r="E4447" s="25"/>
      <c r="F4447" s="25"/>
      <c r="G4447" s="25"/>
      <c r="H4447" s="25"/>
      <c r="I4447" s="25"/>
      <c r="J4447" s="25"/>
      <c r="K4447" s="25"/>
    </row>
    <row r="4448" customFormat="false" ht="15" hidden="false" customHeight="false" outlineLevel="0" collapsed="false">
      <c r="A4448" s="3" t="s">
        <v>556</v>
      </c>
      <c r="C4448" s="16" t="n">
        <f aca="false">IF(C4437&gt;0,MIN(C4415,C4437*$C$4413),0)</f>
        <v>388</v>
      </c>
    </row>
    <row r="4449" customFormat="false" ht="15" hidden="false" customHeight="false" outlineLevel="0" collapsed="false">
      <c r="A4449" s="3" t="s">
        <v>557</v>
      </c>
      <c r="C4449" s="16" t="n">
        <f aca="false">IF(C4438&gt;0,MIN(C4416,C4438*$C$4413),0)</f>
        <v>90</v>
      </c>
    </row>
    <row r="4450" customFormat="false" ht="15" hidden="false" customHeight="false" outlineLevel="0" collapsed="false">
      <c r="A4450" s="3" t="s">
        <v>558</v>
      </c>
      <c r="C4450" s="16" t="n">
        <f aca="false">IF(C4439&gt;0,MIN(C4417,C4439*$C$4413),0)</f>
        <v>57.324</v>
      </c>
    </row>
    <row r="4451" customFormat="false" ht="15" hidden="false" customHeight="false" outlineLevel="0" collapsed="false">
      <c r="A4451" s="3" t="s">
        <v>559</v>
      </c>
      <c r="C4451" s="16" t="n">
        <f aca="false">IF(C4440&gt;0,MIN(C4418,C4440*$C$4413),0)</f>
        <v>0</v>
      </c>
    </row>
    <row r="4452" customFormat="false" ht="15" hidden="false" customHeight="false" outlineLevel="0" collapsed="false">
      <c r="A4452" s="3" t="s">
        <v>560</v>
      </c>
      <c r="C4452" s="16" t="n">
        <f aca="false">IF(C4441&gt;0,MIN(C4419,C4441*$C$4413),0)</f>
        <v>0</v>
      </c>
    </row>
    <row r="4453" customFormat="false" ht="15" hidden="false" customHeight="false" outlineLevel="0" collapsed="false">
      <c r="A4453" s="3" t="s">
        <v>561</v>
      </c>
      <c r="C4453" s="16" t="n">
        <f aca="false">IF(C4442&gt;0,MIN(C4420,C4442*$C$4413),0)</f>
        <v>0</v>
      </c>
    </row>
    <row r="4454" customFormat="false" ht="15" hidden="false" customHeight="false" outlineLevel="0" collapsed="false">
      <c r="A4454" s="3" t="s">
        <v>562</v>
      </c>
      <c r="C4454" s="16" t="n">
        <f aca="false">IF(C4443&gt;0,MIN(C4421,C4443*$C$4413),0)</f>
        <v>0</v>
      </c>
    </row>
    <row r="4455" customFormat="false" ht="15" hidden="false" customHeight="false" outlineLevel="0" collapsed="false">
      <c r="A4455" s="3" t="s">
        <v>563</v>
      </c>
      <c r="C4455" s="16" t="n">
        <f aca="false">IF(C4444&gt;0,MIN(C4422,C4444*$C$4413),0)</f>
        <v>0</v>
      </c>
    </row>
    <row r="4456" customFormat="false" ht="15" hidden="false" customHeight="false" outlineLevel="0" collapsed="false">
      <c r="A4456" s="3" t="s">
        <v>564</v>
      </c>
      <c r="C4456" s="16" t="n">
        <f aca="false">IF(C4445&gt;0,MIN(C4423,C4445*$C$4413),0)</f>
        <v>0</v>
      </c>
    </row>
    <row r="4457" customFormat="false" ht="15" hidden="false" customHeight="false" outlineLevel="0" collapsed="false">
      <c r="A4457" s="3" t="s">
        <v>565</v>
      </c>
      <c r="C4457" s="16" t="n">
        <f aca="false">IF(C4446&gt;0,MIN(C4424,C4446*$C$4413),0)</f>
        <v>0</v>
      </c>
    </row>
    <row r="4458" customFormat="false" ht="15" hidden="false" customHeight="false" outlineLevel="0" collapsed="false">
      <c r="A4458" s="24" t="s">
        <v>569</v>
      </c>
      <c r="B4458" s="25"/>
      <c r="C4458" s="25"/>
      <c r="D4458" s="25"/>
      <c r="E4458" s="25"/>
      <c r="F4458" s="25"/>
      <c r="G4458" s="25"/>
      <c r="H4458" s="25"/>
      <c r="I4458" s="25"/>
      <c r="J4458" s="25"/>
      <c r="K4458" s="25"/>
    </row>
    <row r="4459" customFormat="false" ht="15" hidden="false" customHeight="false" outlineLevel="0" collapsed="false">
      <c r="A4459" s="3" t="s">
        <v>556</v>
      </c>
      <c r="C4459" s="16" t="n">
        <f aca="false">IF(C4437&gt;0,C4415-C4448,0)</f>
        <v>0</v>
      </c>
    </row>
    <row r="4460" customFormat="false" ht="15" hidden="false" customHeight="false" outlineLevel="0" collapsed="false">
      <c r="A4460" s="3" t="s">
        <v>557</v>
      </c>
      <c r="C4460" s="16" t="n">
        <f aca="false">IF(C4438&gt;0,C4416-C4449,0)</f>
        <v>0</v>
      </c>
    </row>
    <row r="4461" customFormat="false" ht="15" hidden="false" customHeight="false" outlineLevel="0" collapsed="false">
      <c r="A4461" s="3" t="s">
        <v>558</v>
      </c>
      <c r="C4461" s="16" t="n">
        <f aca="false">IF(C4439&gt;0,C4417-C4450,0)</f>
        <v>0</v>
      </c>
    </row>
    <row r="4462" customFormat="false" ht="15" hidden="false" customHeight="false" outlineLevel="0" collapsed="false">
      <c r="A4462" s="3" t="s">
        <v>559</v>
      </c>
      <c r="C4462" s="16" t="n">
        <f aca="false">IF(C4440&gt;0,C4418-C4451,0)</f>
        <v>0</v>
      </c>
    </row>
    <row r="4463" customFormat="false" ht="15" hidden="false" customHeight="false" outlineLevel="0" collapsed="false">
      <c r="A4463" s="3" t="s">
        <v>560</v>
      </c>
      <c r="C4463" s="16" t="n">
        <f aca="false">IF(C4441&gt;0,C4419-C4452,0)</f>
        <v>0</v>
      </c>
    </row>
    <row r="4464" customFormat="false" ht="15" hidden="false" customHeight="false" outlineLevel="0" collapsed="false">
      <c r="A4464" s="3" t="s">
        <v>561</v>
      </c>
      <c r="C4464" s="16" t="n">
        <f aca="false">IF(C4442&gt;0,C4420-C4453,0)</f>
        <v>0</v>
      </c>
    </row>
    <row r="4465" customFormat="false" ht="15" hidden="false" customHeight="false" outlineLevel="0" collapsed="false">
      <c r="A4465" s="3" t="s">
        <v>562</v>
      </c>
      <c r="C4465" s="16" t="n">
        <f aca="false">IF(C4443&gt;0,C4421-C4454,0)</f>
        <v>0</v>
      </c>
    </row>
    <row r="4466" customFormat="false" ht="15" hidden="false" customHeight="false" outlineLevel="0" collapsed="false">
      <c r="A4466" s="3" t="s">
        <v>563</v>
      </c>
      <c r="C4466" s="16" t="n">
        <f aca="false">IF(C4444&gt;0,C4422-C4455,0)</f>
        <v>0</v>
      </c>
    </row>
    <row r="4467" customFormat="false" ht="15" hidden="false" customHeight="false" outlineLevel="0" collapsed="false">
      <c r="A4467" s="3" t="s">
        <v>564</v>
      </c>
      <c r="C4467" s="16" t="n">
        <f aca="false">IF(C4445&gt;0,C4423-C4456,0)</f>
        <v>0</v>
      </c>
    </row>
    <row r="4468" customFormat="false" ht="15" hidden="false" customHeight="false" outlineLevel="0" collapsed="false">
      <c r="A4468" s="3" t="s">
        <v>565</v>
      </c>
      <c r="C4468" s="16" t="n">
        <f aca="false">IF(C4446&gt;0,C4424-C4457,0)</f>
        <v>0</v>
      </c>
    </row>
    <row r="4469" customFormat="false" ht="15" hidden="false" customHeight="false" outlineLevel="0" collapsed="false">
      <c r="A4469" s="24" t="s">
        <v>570</v>
      </c>
      <c r="B4469" s="25"/>
      <c r="C4469" s="25"/>
      <c r="D4469" s="25"/>
      <c r="E4469" s="25"/>
      <c r="F4469" s="25"/>
      <c r="G4469" s="25"/>
      <c r="H4469" s="25"/>
      <c r="I4469" s="25"/>
      <c r="J4469" s="25"/>
      <c r="K4469" s="25"/>
    </row>
    <row r="4470" customFormat="false" ht="15" hidden="false" customHeight="false" outlineLevel="0" collapsed="false">
      <c r="A4470" s="3" t="s">
        <v>556</v>
      </c>
      <c r="C4470" s="16" t="n">
        <f aca="false">IF(C4437&gt;0,C4459,C4415)</f>
        <v>0</v>
      </c>
    </row>
    <row r="4471" customFormat="false" ht="15" hidden="false" customHeight="false" outlineLevel="0" collapsed="false">
      <c r="A4471" s="3" t="s">
        <v>557</v>
      </c>
      <c r="C4471" s="16" t="n">
        <f aca="false">IF(C4438&gt;0,C4460,C4416)</f>
        <v>0</v>
      </c>
    </row>
    <row r="4472" customFormat="false" ht="15" hidden="false" customHeight="false" outlineLevel="0" collapsed="false">
      <c r="A4472" s="3" t="s">
        <v>558</v>
      </c>
      <c r="C4472" s="16" t="n">
        <f aca="false">IF(C4439&gt;0,C4461,C4417)</f>
        <v>0</v>
      </c>
    </row>
    <row r="4473" customFormat="false" ht="15" hidden="false" customHeight="false" outlineLevel="0" collapsed="false">
      <c r="A4473" s="3" t="s">
        <v>559</v>
      </c>
      <c r="C4473" s="16" t="n">
        <f aca="false">IF(C4440&gt;0,C4462,C4418)</f>
        <v>55.177394011256</v>
      </c>
    </row>
    <row r="4474" customFormat="false" ht="15" hidden="false" customHeight="false" outlineLevel="0" collapsed="false">
      <c r="A4474" s="3" t="s">
        <v>560</v>
      </c>
      <c r="C4474" s="16" t="n">
        <f aca="false">IF(C4441&gt;0,C4463,C4419)</f>
        <v>388.1951236658</v>
      </c>
    </row>
    <row r="4475" customFormat="false" ht="15" hidden="false" customHeight="false" outlineLevel="0" collapsed="false">
      <c r="A4475" s="3" t="s">
        <v>561</v>
      </c>
      <c r="C4475" s="16" t="n">
        <f aca="false">IF(C4442&gt;0,C4464,C4420)</f>
        <v>350</v>
      </c>
    </row>
    <row r="4476" customFormat="false" ht="15" hidden="false" customHeight="false" outlineLevel="0" collapsed="false">
      <c r="A4476" s="3" t="s">
        <v>562</v>
      </c>
      <c r="C4476" s="16" t="n">
        <f aca="false">IF(C4443&gt;0,C4465,C4421)</f>
        <v>550</v>
      </c>
    </row>
    <row r="4477" customFormat="false" ht="15" hidden="false" customHeight="false" outlineLevel="0" collapsed="false">
      <c r="A4477" s="3" t="s">
        <v>563</v>
      </c>
      <c r="C4477" s="16" t="n">
        <f aca="false">IF(C4444&gt;0,C4466,C4422)</f>
        <v>350</v>
      </c>
    </row>
    <row r="4478" customFormat="false" ht="15" hidden="false" customHeight="false" outlineLevel="0" collapsed="false">
      <c r="A4478" s="3" t="s">
        <v>564</v>
      </c>
      <c r="C4478" s="16" t="n">
        <f aca="false">IF(C4445&gt;0,C4467,C4423)</f>
        <v>300</v>
      </c>
    </row>
    <row r="4479" customFormat="false" ht="15" hidden="false" customHeight="false" outlineLevel="0" collapsed="false">
      <c r="A4479" s="3" t="s">
        <v>565</v>
      </c>
      <c r="C4479" s="16" t="n">
        <f aca="false">IF(C4446&gt;0,C4468,C4424)</f>
        <v>78.61</v>
      </c>
    </row>
    <row r="4480" customFormat="false" ht="15" hidden="false" customHeight="false" outlineLevel="0" collapsed="false">
      <c r="A4480" s="24" t="s">
        <v>571</v>
      </c>
      <c r="B4480" s="25"/>
      <c r="C4480" s="25"/>
      <c r="D4480" s="25"/>
      <c r="E4480" s="25"/>
      <c r="F4480" s="25"/>
      <c r="G4480" s="25"/>
      <c r="H4480" s="25"/>
      <c r="I4480" s="25"/>
      <c r="J4480" s="25"/>
      <c r="K4480" s="25"/>
    </row>
    <row r="4481" customFormat="false" ht="15" hidden="false" customHeight="false" outlineLevel="0" collapsed="false">
      <c r="A4481" s="3" t="s">
        <v>556</v>
      </c>
      <c r="C4481" s="21" t="n">
        <f aca="false">IF(C4437&gt;0,Assumptions!$C$17,C4426)</f>
        <v>99</v>
      </c>
    </row>
    <row r="4482" customFormat="false" ht="15" hidden="false" customHeight="false" outlineLevel="0" collapsed="false">
      <c r="A4482" s="3" t="s">
        <v>557</v>
      </c>
      <c r="C4482" s="21" t="n">
        <f aca="false">IF(C4438&gt;0,Assumptions!$C$17,C4427)</f>
        <v>99</v>
      </c>
    </row>
    <row r="4483" customFormat="false" ht="15" hidden="false" customHeight="false" outlineLevel="0" collapsed="false">
      <c r="A4483" s="3" t="s">
        <v>558</v>
      </c>
      <c r="C4483" s="21" t="n">
        <f aca="false">IF(C4439&gt;0,Assumptions!$C$17,C4428)</f>
        <v>99</v>
      </c>
    </row>
    <row r="4484" customFormat="false" ht="15" hidden="false" customHeight="false" outlineLevel="0" collapsed="false">
      <c r="A4484" s="3" t="s">
        <v>559</v>
      </c>
      <c r="C4484" s="21" t="n">
        <f aca="false">IF(C4440&gt;0,Assumptions!$C$17,C4429)</f>
        <v>2</v>
      </c>
    </row>
    <row r="4485" customFormat="false" ht="15" hidden="false" customHeight="false" outlineLevel="0" collapsed="false">
      <c r="A4485" s="3" t="s">
        <v>560</v>
      </c>
      <c r="C4485" s="21" t="n">
        <f aca="false">IF(C4441&gt;0,Assumptions!$C$17,C4430)</f>
        <v>2</v>
      </c>
    </row>
    <row r="4486" customFormat="false" ht="15" hidden="false" customHeight="false" outlineLevel="0" collapsed="false">
      <c r="A4486" s="3" t="s">
        <v>561</v>
      </c>
      <c r="C4486" s="21" t="n">
        <f aca="false">IF(C4442&gt;0,Assumptions!$C$17,C4431)</f>
        <v>2</v>
      </c>
    </row>
    <row r="4487" customFormat="false" ht="15" hidden="false" customHeight="false" outlineLevel="0" collapsed="false">
      <c r="A4487" s="3" t="s">
        <v>562</v>
      </c>
      <c r="C4487" s="21" t="n">
        <f aca="false">IF(C4443&gt;0,Assumptions!$C$17,C4432)</f>
        <v>2</v>
      </c>
    </row>
    <row r="4488" customFormat="false" ht="15" hidden="false" customHeight="false" outlineLevel="0" collapsed="false">
      <c r="A4488" s="3" t="s">
        <v>563</v>
      </c>
      <c r="C4488" s="21" t="n">
        <f aca="false">IF(C4444&gt;0,Assumptions!$C$17,C4433)</f>
        <v>2</v>
      </c>
    </row>
    <row r="4489" customFormat="false" ht="15" hidden="false" customHeight="false" outlineLevel="0" collapsed="false">
      <c r="A4489" s="3" t="s">
        <v>564</v>
      </c>
      <c r="C4489" s="21" t="n">
        <f aca="false">IF(C4445&gt;0,Assumptions!$C$17,C4434)</f>
        <v>2</v>
      </c>
    </row>
    <row r="4490" customFormat="false" ht="15" hidden="false" customHeight="false" outlineLevel="0" collapsed="false">
      <c r="A4490" s="3" t="s">
        <v>565</v>
      </c>
      <c r="C4490" s="21" t="n">
        <f aca="false">IF(C4446&gt;0,Assumptions!$C$17,C4435)</f>
        <v>3</v>
      </c>
    </row>
    <row r="4491" customFormat="false" ht="15" hidden="false" customHeight="false" outlineLevel="0" collapsed="false">
      <c r="A4491" s="24" t="s">
        <v>572</v>
      </c>
      <c r="B4491" s="25"/>
      <c r="C4491" s="25"/>
      <c r="D4491" s="25"/>
      <c r="E4491" s="25"/>
      <c r="F4491" s="25"/>
      <c r="G4491" s="25"/>
      <c r="H4491" s="25"/>
      <c r="I4491" s="25"/>
      <c r="J4491" s="25"/>
      <c r="K4491" s="25"/>
    </row>
    <row r="4492" customFormat="false" ht="15" hidden="false" customHeight="false" outlineLevel="0" collapsed="false">
      <c r="A4492" s="3" t="s">
        <v>556</v>
      </c>
      <c r="C4492" s="16" t="n">
        <f aca="false">SUMPRODUCT(($C$4481:$C$4490&lt;C4481)*$C$4470:$C$4479)</f>
        <v>2071.98251767706</v>
      </c>
    </row>
    <row r="4493" customFormat="false" ht="15" hidden="false" customHeight="false" outlineLevel="0" collapsed="false">
      <c r="A4493" s="3" t="s">
        <v>557</v>
      </c>
      <c r="C4493" s="16" t="n">
        <f aca="false">SUMPRODUCT(($C$4481:$C$4490&lt;C4482)*$C$4470:$C$4479)</f>
        <v>2071.98251767706</v>
      </c>
    </row>
    <row r="4494" customFormat="false" ht="15" hidden="false" customHeight="false" outlineLevel="0" collapsed="false">
      <c r="A4494" s="3" t="s">
        <v>558</v>
      </c>
      <c r="C4494" s="16" t="n">
        <f aca="false">SUMPRODUCT(($C$4481:$C$4490&lt;C4483)*$C$4470:$C$4479)</f>
        <v>2071.98251767706</v>
      </c>
    </row>
    <row r="4495" customFormat="false" ht="15" hidden="false" customHeight="false" outlineLevel="0" collapsed="false">
      <c r="A4495" s="3" t="s">
        <v>559</v>
      </c>
      <c r="C4495" s="16" t="n">
        <f aca="false">SUMPRODUCT(($C$4481:$C$4490&lt;C4484)*$C$4470:$C$4479)</f>
        <v>0</v>
      </c>
    </row>
    <row r="4496" customFormat="false" ht="15" hidden="false" customHeight="false" outlineLevel="0" collapsed="false">
      <c r="A4496" s="3" t="s">
        <v>560</v>
      </c>
      <c r="C4496" s="16" t="n">
        <f aca="false">SUMPRODUCT(($C$4481:$C$4490&lt;C4485)*$C$4470:$C$4479)</f>
        <v>0</v>
      </c>
    </row>
    <row r="4497" customFormat="false" ht="15" hidden="false" customHeight="false" outlineLevel="0" collapsed="false">
      <c r="A4497" s="3" t="s">
        <v>561</v>
      </c>
      <c r="C4497" s="16" t="n">
        <f aca="false">SUMPRODUCT(($C$4481:$C$4490&lt;C4486)*$C$4470:$C$4479)</f>
        <v>0</v>
      </c>
    </row>
    <row r="4498" customFormat="false" ht="15" hidden="false" customHeight="false" outlineLevel="0" collapsed="false">
      <c r="A4498" s="3" t="s">
        <v>562</v>
      </c>
      <c r="C4498" s="16" t="n">
        <f aca="false">SUMPRODUCT(($C$4481:$C$4490&lt;C4487)*$C$4470:$C$4479)</f>
        <v>0</v>
      </c>
    </row>
    <row r="4499" customFormat="false" ht="15" hidden="false" customHeight="false" outlineLevel="0" collapsed="false">
      <c r="A4499" s="3" t="s">
        <v>563</v>
      </c>
      <c r="C4499" s="16" t="n">
        <f aca="false">SUMPRODUCT(($C$4481:$C$4490&lt;C4488)*$C$4470:$C$4479)</f>
        <v>0</v>
      </c>
    </row>
    <row r="4500" customFormat="false" ht="15" hidden="false" customHeight="false" outlineLevel="0" collapsed="false">
      <c r="A4500" s="3" t="s">
        <v>564</v>
      </c>
      <c r="C4500" s="16" t="n">
        <f aca="false">SUMPRODUCT(($C$4481:$C$4490&lt;C4489)*$C$4470:$C$4479)</f>
        <v>0</v>
      </c>
    </row>
    <row r="4501" customFormat="false" ht="15" hidden="false" customHeight="false" outlineLevel="0" collapsed="false">
      <c r="A4501" s="3" t="s">
        <v>565</v>
      </c>
      <c r="C4501" s="16" t="n">
        <f aca="false">SUMPRODUCT(($C$4481:$C$4490&lt;C4490)*$C$4470:$C$4479)</f>
        <v>1993.37251767706</v>
      </c>
    </row>
    <row r="4502" customFormat="false" ht="15" hidden="false" customHeight="false" outlineLevel="0" collapsed="false">
      <c r="A4502" s="24" t="s">
        <v>573</v>
      </c>
      <c r="B4502" s="25"/>
      <c r="C4502" s="25"/>
      <c r="D4502" s="25"/>
      <c r="E4502" s="25"/>
      <c r="F4502" s="25"/>
      <c r="G4502" s="25"/>
      <c r="H4502" s="25"/>
      <c r="I4502" s="25"/>
      <c r="J4502" s="25"/>
      <c r="K4502" s="25"/>
    </row>
    <row r="4503" customFormat="false" ht="15" hidden="false" customHeight="false" outlineLevel="0" collapsed="false">
      <c r="A4503" s="3" t="s">
        <v>556</v>
      </c>
      <c r="C4503" s="16" t="n">
        <f aca="false">SUMPRODUCT(($C$4481:$C$4490=C4481)*$C$4470:$C$4479)</f>
        <v>0</v>
      </c>
    </row>
    <row r="4504" customFormat="false" ht="15" hidden="false" customHeight="false" outlineLevel="0" collapsed="false">
      <c r="A4504" s="3" t="s">
        <v>557</v>
      </c>
      <c r="C4504" s="16" t="n">
        <f aca="false">SUMPRODUCT(($C$4481:$C$4490=C4482)*$C$4470:$C$4479)</f>
        <v>0</v>
      </c>
    </row>
    <row r="4505" customFormat="false" ht="15" hidden="false" customHeight="false" outlineLevel="0" collapsed="false">
      <c r="A4505" s="3" t="s">
        <v>558</v>
      </c>
      <c r="C4505" s="16" t="n">
        <f aca="false">SUMPRODUCT(($C$4481:$C$4490=C4483)*$C$4470:$C$4479)</f>
        <v>0</v>
      </c>
    </row>
    <row r="4506" customFormat="false" ht="15" hidden="false" customHeight="false" outlineLevel="0" collapsed="false">
      <c r="A4506" s="3" t="s">
        <v>559</v>
      </c>
      <c r="C4506" s="16" t="n">
        <f aca="false">SUMPRODUCT(($C$4481:$C$4490=C4484)*$C$4470:$C$4479)</f>
        <v>1993.37251767706</v>
      </c>
    </row>
    <row r="4507" customFormat="false" ht="15" hidden="false" customHeight="false" outlineLevel="0" collapsed="false">
      <c r="A4507" s="3" t="s">
        <v>560</v>
      </c>
      <c r="C4507" s="16" t="n">
        <f aca="false">SUMPRODUCT(($C$4481:$C$4490=C4485)*$C$4470:$C$4479)</f>
        <v>1993.37251767706</v>
      </c>
    </row>
    <row r="4508" customFormat="false" ht="15" hidden="false" customHeight="false" outlineLevel="0" collapsed="false">
      <c r="A4508" s="3" t="s">
        <v>561</v>
      </c>
      <c r="C4508" s="16" t="n">
        <f aca="false">SUMPRODUCT(($C$4481:$C$4490=C4486)*$C$4470:$C$4479)</f>
        <v>1993.37251767706</v>
      </c>
    </row>
    <row r="4509" customFormat="false" ht="15" hidden="false" customHeight="false" outlineLevel="0" collapsed="false">
      <c r="A4509" s="3" t="s">
        <v>562</v>
      </c>
      <c r="C4509" s="16" t="n">
        <f aca="false">SUMPRODUCT(($C$4481:$C$4490=C4487)*$C$4470:$C$4479)</f>
        <v>1993.37251767706</v>
      </c>
    </row>
    <row r="4510" customFormat="false" ht="15" hidden="false" customHeight="false" outlineLevel="0" collapsed="false">
      <c r="A4510" s="3" t="s">
        <v>563</v>
      </c>
      <c r="C4510" s="16" t="n">
        <f aca="false">SUMPRODUCT(($C$4481:$C$4490=C4488)*$C$4470:$C$4479)</f>
        <v>1993.37251767706</v>
      </c>
    </row>
    <row r="4511" customFormat="false" ht="15" hidden="false" customHeight="false" outlineLevel="0" collapsed="false">
      <c r="A4511" s="3" t="s">
        <v>564</v>
      </c>
      <c r="C4511" s="16" t="n">
        <f aca="false">SUMPRODUCT(($C$4481:$C$4490=C4489)*$C$4470:$C$4479)</f>
        <v>1993.37251767706</v>
      </c>
    </row>
    <row r="4512" customFormat="false" ht="15" hidden="false" customHeight="false" outlineLevel="0" collapsed="false">
      <c r="A4512" s="3" t="s">
        <v>565</v>
      </c>
      <c r="C4512" s="16" t="n">
        <f aca="false">SUMPRODUCT(($C$4481:$C$4490=C4490)*$C$4470:$C$4479)</f>
        <v>78.61</v>
      </c>
    </row>
    <row r="4513" customFormat="false" ht="15" hidden="false" customHeight="false" outlineLevel="0" collapsed="false">
      <c r="A4513" s="24" t="s">
        <v>574</v>
      </c>
      <c r="B4513" s="25"/>
      <c r="C4513" s="25"/>
      <c r="D4513" s="25"/>
      <c r="E4513" s="25"/>
      <c r="F4513" s="25"/>
      <c r="G4513" s="25"/>
      <c r="H4513" s="25"/>
      <c r="I4513" s="25"/>
      <c r="J4513" s="25"/>
      <c r="K4513" s="25"/>
    </row>
    <row r="4514" customFormat="false" ht="15" hidden="false" customHeight="false" outlineLevel="0" collapsed="false">
      <c r="A4514" s="3" t="s">
        <v>556</v>
      </c>
      <c r="C4514" s="16" t="n">
        <f aca="false">IF(C4503=0,0,C4470/C4503*MAX(0,MIN(C4503,$C$4413-SUM($C$4448:$C$4457)-C4492)))</f>
        <v>0</v>
      </c>
    </row>
    <row r="4515" customFormat="false" ht="15" hidden="false" customHeight="false" outlineLevel="0" collapsed="false">
      <c r="A4515" s="3" t="s">
        <v>557</v>
      </c>
      <c r="C4515" s="16" t="n">
        <f aca="false">IF(C4504=0,0,C4471/C4504*MAX(0,MIN(C4504,$C$4413-SUM($C$4448:$C$4457)-C4493)))</f>
        <v>0</v>
      </c>
    </row>
    <row r="4516" customFormat="false" ht="15" hidden="false" customHeight="false" outlineLevel="0" collapsed="false">
      <c r="A4516" s="3" t="s">
        <v>558</v>
      </c>
      <c r="C4516" s="16" t="n">
        <f aca="false">IF(C4505=0,0,C4472/C4505*MAX(0,MIN(C4505,$C$4413-SUM($C$4448:$C$4457)-C4494)))</f>
        <v>0</v>
      </c>
    </row>
    <row r="4517" customFormat="false" ht="15" hidden="false" customHeight="false" outlineLevel="0" collapsed="false">
      <c r="A4517" s="3" t="s">
        <v>559</v>
      </c>
      <c r="C4517" s="16" t="n">
        <f aca="false">IF(C4506=0,0,C4473/C4506*MAX(0,MIN(C4506,$C$4413-SUM($C$4448:$C$4457)-C4495)))</f>
        <v>55.177394011256</v>
      </c>
    </row>
    <row r="4518" customFormat="false" ht="15" hidden="false" customHeight="false" outlineLevel="0" collapsed="false">
      <c r="A4518" s="3" t="s">
        <v>560</v>
      </c>
      <c r="C4518" s="16" t="n">
        <f aca="false">IF(C4507=0,0,C4474/C4507*MAX(0,MIN(C4507,$C$4413-SUM($C$4448:$C$4457)-C4496)))</f>
        <v>388.1951236658</v>
      </c>
    </row>
    <row r="4519" customFormat="false" ht="15" hidden="false" customHeight="false" outlineLevel="0" collapsed="false">
      <c r="A4519" s="3" t="s">
        <v>561</v>
      </c>
      <c r="C4519" s="16" t="n">
        <f aca="false">IF(C4508=0,0,C4475/C4508*MAX(0,MIN(C4508,$C$4413-SUM($C$4448:$C$4457)-C4497)))</f>
        <v>350</v>
      </c>
    </row>
    <row r="4520" customFormat="false" ht="15" hidden="false" customHeight="false" outlineLevel="0" collapsed="false">
      <c r="A4520" s="3" t="s">
        <v>562</v>
      </c>
      <c r="C4520" s="16" t="n">
        <f aca="false">IF(C4509=0,0,C4476/C4509*MAX(0,MIN(C4509,$C$4413-SUM($C$4448:$C$4457)-C4498)))</f>
        <v>550</v>
      </c>
    </row>
    <row r="4521" customFormat="false" ht="15" hidden="false" customHeight="false" outlineLevel="0" collapsed="false">
      <c r="A4521" s="3" t="s">
        <v>563</v>
      </c>
      <c r="C4521" s="16" t="n">
        <f aca="false">IF(C4510=0,0,C4477/C4510*MAX(0,MIN(C4510,$C$4413-SUM($C$4448:$C$4457)-C4499)))</f>
        <v>350</v>
      </c>
    </row>
    <row r="4522" customFormat="false" ht="15" hidden="false" customHeight="false" outlineLevel="0" collapsed="false">
      <c r="A4522" s="3" t="s">
        <v>564</v>
      </c>
      <c r="C4522" s="16" t="n">
        <f aca="false">IF(C4511=0,0,C4478/C4511*MAX(0,MIN(C4511,$C$4413-SUM($C$4448:$C$4457)-C4500)))</f>
        <v>300</v>
      </c>
    </row>
    <row r="4523" customFormat="false" ht="15" hidden="false" customHeight="false" outlineLevel="0" collapsed="false">
      <c r="A4523" s="3" t="s">
        <v>565</v>
      </c>
      <c r="C4523" s="16" t="n">
        <f aca="false">IF(C4512=0,0,C4479/C4512*MAX(0,MIN(C4512,$C$4413-SUM($C$4448:$C$4457)-C4501)))</f>
        <v>78.61</v>
      </c>
    </row>
    <row r="4524" customFormat="false" ht="15" hidden="false" customHeight="false" outlineLevel="0" collapsed="false">
      <c r="A4524" s="24" t="s">
        <v>575</v>
      </c>
      <c r="B4524" s="25"/>
      <c r="C4524" s="25"/>
      <c r="D4524" s="25"/>
      <c r="E4524" s="25"/>
      <c r="F4524" s="25"/>
      <c r="G4524" s="25"/>
      <c r="H4524" s="25"/>
      <c r="I4524" s="25"/>
      <c r="J4524" s="25"/>
      <c r="K4524" s="25"/>
    </row>
    <row r="4525" customFormat="false" ht="15" hidden="false" customHeight="false" outlineLevel="0" collapsed="false">
      <c r="A4525" s="2" t="s">
        <v>556</v>
      </c>
      <c r="C4525" s="17" t="n">
        <f aca="false">C4448+C4514</f>
        <v>388</v>
      </c>
    </row>
    <row r="4526" customFormat="false" ht="15" hidden="false" customHeight="false" outlineLevel="0" collapsed="false">
      <c r="A4526" s="2" t="s">
        <v>557</v>
      </c>
      <c r="C4526" s="17" t="n">
        <f aca="false">C4449+C4515</f>
        <v>90</v>
      </c>
    </row>
    <row r="4527" customFormat="false" ht="15" hidden="false" customHeight="false" outlineLevel="0" collapsed="false">
      <c r="A4527" s="2" t="s">
        <v>558</v>
      </c>
      <c r="C4527" s="17" t="n">
        <f aca="false">C4450+C4516</f>
        <v>57.324</v>
      </c>
    </row>
    <row r="4528" customFormat="false" ht="15" hidden="false" customHeight="false" outlineLevel="0" collapsed="false">
      <c r="A4528" s="2" t="s">
        <v>559</v>
      </c>
      <c r="C4528" s="17" t="n">
        <f aca="false">C4451+C4517</f>
        <v>55.177394011256</v>
      </c>
    </row>
    <row r="4529" customFormat="false" ht="15" hidden="false" customHeight="false" outlineLevel="0" collapsed="false">
      <c r="A4529" s="2" t="s">
        <v>560</v>
      </c>
      <c r="C4529" s="17" t="n">
        <f aca="false">C4452+C4518</f>
        <v>388.1951236658</v>
      </c>
    </row>
    <row r="4530" customFormat="false" ht="15" hidden="false" customHeight="false" outlineLevel="0" collapsed="false">
      <c r="A4530" s="2" t="s">
        <v>561</v>
      </c>
      <c r="C4530" s="17" t="n">
        <f aca="false">C4453+C4519</f>
        <v>350</v>
      </c>
    </row>
    <row r="4531" customFormat="false" ht="15" hidden="false" customHeight="false" outlineLevel="0" collapsed="false">
      <c r="A4531" s="2" t="s">
        <v>562</v>
      </c>
      <c r="C4531" s="17" t="n">
        <f aca="false">C4454+C4520</f>
        <v>550</v>
      </c>
    </row>
    <row r="4532" customFormat="false" ht="15" hidden="false" customHeight="false" outlineLevel="0" collapsed="false">
      <c r="A4532" s="2" t="s">
        <v>563</v>
      </c>
      <c r="C4532" s="17" t="n">
        <f aca="false">C4455+C4521</f>
        <v>350</v>
      </c>
    </row>
    <row r="4533" customFormat="false" ht="15" hidden="false" customHeight="false" outlineLevel="0" collapsed="false">
      <c r="A4533" s="2" t="s">
        <v>564</v>
      </c>
      <c r="C4533" s="17" t="n">
        <f aca="false">C4456+C4522</f>
        <v>300</v>
      </c>
    </row>
    <row r="4534" customFormat="false" ht="15" hidden="false" customHeight="false" outlineLevel="0" collapsed="false">
      <c r="A4534" s="2" t="s">
        <v>565</v>
      </c>
      <c r="C4534" s="17" t="n">
        <f aca="false">C4457+C4523</f>
        <v>78.61</v>
      </c>
    </row>
    <row r="4535" customFormat="false" ht="15" hidden="false" customHeight="false" outlineLevel="0" collapsed="false">
      <c r="A4535" s="24" t="s">
        <v>576</v>
      </c>
      <c r="B4535" s="25"/>
      <c r="C4535" s="25"/>
      <c r="D4535" s="25"/>
      <c r="E4535" s="25"/>
      <c r="F4535" s="25"/>
      <c r="G4535" s="25"/>
      <c r="H4535" s="25"/>
      <c r="I4535" s="25"/>
      <c r="J4535" s="25"/>
      <c r="K4535" s="25"/>
    </row>
    <row r="4536" customFormat="false" ht="15" hidden="false" customHeight="false" outlineLevel="0" collapsed="false">
      <c r="A4536" s="3" t="s">
        <v>556</v>
      </c>
      <c r="C4536" s="22" t="n">
        <f aca="false">IF(C4415=0,1,C4525/C4415)</f>
        <v>1</v>
      </c>
    </row>
    <row r="4537" customFormat="false" ht="15" hidden="false" customHeight="false" outlineLevel="0" collapsed="false">
      <c r="A4537" s="3" t="s">
        <v>557</v>
      </c>
      <c r="C4537" s="22" t="n">
        <f aca="false">IF(C4416=0,1,C4526/C4416)</f>
        <v>1</v>
      </c>
    </row>
    <row r="4538" customFormat="false" ht="15" hidden="false" customHeight="false" outlineLevel="0" collapsed="false">
      <c r="A4538" s="3" t="s">
        <v>558</v>
      </c>
      <c r="C4538" s="22" t="n">
        <f aca="false">IF(C4417=0,1,C4527/C4417)</f>
        <v>1</v>
      </c>
    </row>
    <row r="4539" customFormat="false" ht="15" hidden="false" customHeight="false" outlineLevel="0" collapsed="false">
      <c r="A4539" s="3" t="s">
        <v>559</v>
      </c>
      <c r="C4539" s="22" t="n">
        <f aca="false">IF(C4418=0,1,C4528/C4418)</f>
        <v>1</v>
      </c>
    </row>
    <row r="4540" customFormat="false" ht="15" hidden="false" customHeight="false" outlineLevel="0" collapsed="false">
      <c r="A4540" s="3" t="s">
        <v>560</v>
      </c>
      <c r="C4540" s="22" t="n">
        <f aca="false">IF(C4419=0,1,C4529/C4419)</f>
        <v>1</v>
      </c>
    </row>
    <row r="4541" customFormat="false" ht="15" hidden="false" customHeight="false" outlineLevel="0" collapsed="false">
      <c r="A4541" s="3" t="s">
        <v>561</v>
      </c>
      <c r="C4541" s="22" t="n">
        <f aca="false">IF(C4420=0,1,C4530/C4420)</f>
        <v>1</v>
      </c>
    </row>
    <row r="4542" customFormat="false" ht="15" hidden="false" customHeight="false" outlineLevel="0" collapsed="false">
      <c r="A4542" s="3" t="s">
        <v>562</v>
      </c>
      <c r="C4542" s="22" t="n">
        <f aca="false">IF(C4421=0,1,C4531/C4421)</f>
        <v>1</v>
      </c>
    </row>
    <row r="4543" customFormat="false" ht="15" hidden="false" customHeight="false" outlineLevel="0" collapsed="false">
      <c r="A4543" s="3" t="s">
        <v>563</v>
      </c>
      <c r="C4543" s="22" t="n">
        <f aca="false">IF(C4422=0,1,C4532/C4422)</f>
        <v>1</v>
      </c>
    </row>
    <row r="4544" customFormat="false" ht="15" hidden="false" customHeight="false" outlineLevel="0" collapsed="false">
      <c r="A4544" s="3" t="s">
        <v>564</v>
      </c>
      <c r="C4544" s="22" t="n">
        <f aca="false">IF(C4423=0,1,C4533/C4423)</f>
        <v>1</v>
      </c>
    </row>
    <row r="4545" customFormat="false" ht="15" hidden="false" customHeight="false" outlineLevel="0" collapsed="false">
      <c r="A4545" s="3" t="s">
        <v>565</v>
      </c>
      <c r="C4545" s="22" t="n">
        <f aca="false">IF(C4424=0,1,C4534/C4424)</f>
        <v>1</v>
      </c>
    </row>
    <row r="4546" customFormat="false" ht="15" hidden="false" customHeight="false" outlineLevel="0" collapsed="false">
      <c r="A4546" s="24" t="s">
        <v>577</v>
      </c>
      <c r="B4546" s="25"/>
      <c r="C4546" s="25"/>
      <c r="D4546" s="25"/>
      <c r="E4546" s="25"/>
      <c r="F4546" s="25"/>
      <c r="G4546" s="25"/>
      <c r="H4546" s="25"/>
      <c r="I4546" s="25"/>
      <c r="J4546" s="25"/>
      <c r="K4546" s="25"/>
    </row>
    <row r="4547" customFormat="false" ht="15" hidden="false" customHeight="false" outlineLevel="0" collapsed="false">
      <c r="A4547" s="3" t="s">
        <v>556</v>
      </c>
      <c r="C4547" s="16" t="n">
        <f aca="false">C4415-C4525</f>
        <v>0</v>
      </c>
    </row>
    <row r="4548" customFormat="false" ht="15" hidden="false" customHeight="false" outlineLevel="0" collapsed="false">
      <c r="A4548" s="3" t="s">
        <v>557</v>
      </c>
      <c r="C4548" s="16" t="n">
        <f aca="false">C4416-C4526</f>
        <v>0</v>
      </c>
    </row>
    <row r="4549" customFormat="false" ht="15" hidden="false" customHeight="false" outlineLevel="0" collapsed="false">
      <c r="A4549" s="3" t="s">
        <v>558</v>
      </c>
      <c r="C4549" s="16" t="n">
        <f aca="false">C4417-C4527</f>
        <v>0</v>
      </c>
    </row>
    <row r="4550" customFormat="false" ht="15" hidden="false" customHeight="false" outlineLevel="0" collapsed="false">
      <c r="A4550" s="3" t="s">
        <v>559</v>
      </c>
      <c r="C4550" s="16" t="n">
        <f aca="false">C4418-C4528</f>
        <v>0</v>
      </c>
    </row>
    <row r="4551" customFormat="false" ht="15" hidden="false" customHeight="false" outlineLevel="0" collapsed="false">
      <c r="A4551" s="3" t="s">
        <v>560</v>
      </c>
      <c r="C4551" s="16" t="n">
        <f aca="false">C4419-C4529</f>
        <v>0</v>
      </c>
    </row>
    <row r="4552" customFormat="false" ht="15" hidden="false" customHeight="false" outlineLevel="0" collapsed="false">
      <c r="A4552" s="3" t="s">
        <v>561</v>
      </c>
      <c r="C4552" s="16" t="n">
        <f aca="false">C4420-C4530</f>
        <v>0</v>
      </c>
    </row>
    <row r="4553" customFormat="false" ht="15" hidden="false" customHeight="false" outlineLevel="0" collapsed="false">
      <c r="A4553" s="3" t="s">
        <v>562</v>
      </c>
      <c r="C4553" s="16" t="n">
        <f aca="false">C4421-C4531</f>
        <v>0</v>
      </c>
    </row>
    <row r="4554" customFormat="false" ht="15" hidden="false" customHeight="false" outlineLevel="0" collapsed="false">
      <c r="A4554" s="3" t="s">
        <v>563</v>
      </c>
      <c r="C4554" s="16" t="n">
        <f aca="false">C4422-C4532</f>
        <v>0</v>
      </c>
    </row>
    <row r="4555" customFormat="false" ht="15" hidden="false" customHeight="false" outlineLevel="0" collapsed="false">
      <c r="A4555" s="3" t="s">
        <v>564</v>
      </c>
      <c r="C4555" s="16" t="n">
        <f aca="false">C4423-C4533</f>
        <v>0</v>
      </c>
    </row>
    <row r="4556" customFormat="false" ht="15" hidden="false" customHeight="false" outlineLevel="0" collapsed="false">
      <c r="A4556" s="3" t="s">
        <v>565</v>
      </c>
      <c r="C4556" s="16" t="n">
        <f aca="false">C4424-C4534</f>
        <v>0</v>
      </c>
    </row>
    <row r="4557" customFormat="false" ht="15" hidden="false" customHeight="false" outlineLevel="0" collapsed="false">
      <c r="A4557" s="24" t="s">
        <v>578</v>
      </c>
      <c r="B4557" s="25"/>
      <c r="C4557" s="25"/>
      <c r="D4557" s="25"/>
      <c r="E4557" s="25"/>
      <c r="F4557" s="25"/>
      <c r="G4557" s="25"/>
      <c r="H4557" s="25"/>
      <c r="I4557" s="25"/>
      <c r="J4557" s="25"/>
      <c r="K4557" s="25"/>
    </row>
    <row r="4558" customFormat="false" ht="15" hidden="false" customHeight="false" outlineLevel="0" collapsed="false">
      <c r="A4558" s="3" t="s">
        <v>556</v>
      </c>
      <c r="C4558" s="22" t="n">
        <f aca="false">IF(C4415=0,0,C4547/C4415)</f>
        <v>0</v>
      </c>
    </row>
    <row r="4559" customFormat="false" ht="15" hidden="false" customHeight="false" outlineLevel="0" collapsed="false">
      <c r="A4559" s="3" t="s">
        <v>557</v>
      </c>
      <c r="C4559" s="22" t="n">
        <f aca="false">IF(C4416=0,0,C4548/C4416)</f>
        <v>0</v>
      </c>
    </row>
    <row r="4560" customFormat="false" ht="15" hidden="false" customHeight="false" outlineLevel="0" collapsed="false">
      <c r="A4560" s="3" t="s">
        <v>558</v>
      </c>
      <c r="C4560" s="22" t="n">
        <f aca="false">IF(C4417=0,0,C4549/C4417)</f>
        <v>0</v>
      </c>
    </row>
    <row r="4561" customFormat="false" ht="15" hidden="false" customHeight="false" outlineLevel="0" collapsed="false">
      <c r="A4561" s="3" t="s">
        <v>559</v>
      </c>
      <c r="C4561" s="22" t="n">
        <f aca="false">IF(C4418=0,0,C4550/C4418)</f>
        <v>0</v>
      </c>
    </row>
    <row r="4562" customFormat="false" ht="15" hidden="false" customHeight="false" outlineLevel="0" collapsed="false">
      <c r="A4562" s="3" t="s">
        <v>560</v>
      </c>
      <c r="C4562" s="22" t="n">
        <f aca="false">IF(C4419=0,0,C4551/C4419)</f>
        <v>0</v>
      </c>
    </row>
    <row r="4563" customFormat="false" ht="15" hidden="false" customHeight="false" outlineLevel="0" collapsed="false">
      <c r="A4563" s="3" t="s">
        <v>561</v>
      </c>
      <c r="C4563" s="22" t="n">
        <f aca="false">IF(C4420=0,0,C4552/C4420)</f>
        <v>0</v>
      </c>
    </row>
    <row r="4564" customFormat="false" ht="15" hidden="false" customHeight="false" outlineLevel="0" collapsed="false">
      <c r="A4564" s="3" t="s">
        <v>562</v>
      </c>
      <c r="C4564" s="22" t="n">
        <f aca="false">IF(C4421=0,0,C4553/C4421)</f>
        <v>0</v>
      </c>
    </row>
    <row r="4565" customFormat="false" ht="15" hidden="false" customHeight="false" outlineLevel="0" collapsed="false">
      <c r="A4565" s="3" t="s">
        <v>563</v>
      </c>
      <c r="C4565" s="22" t="n">
        <f aca="false">IF(C4422=0,0,C4554/C4422)</f>
        <v>0</v>
      </c>
    </row>
    <row r="4566" customFormat="false" ht="15" hidden="false" customHeight="false" outlineLevel="0" collapsed="false">
      <c r="A4566" s="3" t="s">
        <v>564</v>
      </c>
      <c r="C4566" s="22" t="n">
        <f aca="false">IF(C4423=0,0,C4555/C4423)</f>
        <v>0</v>
      </c>
    </row>
    <row r="4567" customFormat="false" ht="15" hidden="false" customHeight="false" outlineLevel="0" collapsed="false">
      <c r="A4567" s="3" t="s">
        <v>565</v>
      </c>
      <c r="C4567" s="22" t="n">
        <f aca="false">IF(C4424=0,0,C4556/C4424)</f>
        <v>0</v>
      </c>
    </row>
    <row r="4568" customFormat="false" ht="15" hidden="false" customHeight="false" outlineLevel="0" collapsed="false">
      <c r="A4568" s="2" t="s">
        <v>579</v>
      </c>
      <c r="C4568" s="17" t="n">
        <f aca="false">MAX(0,$C$4413-SUM($C$4448:$C$4457)-SUM($C$4470:$C$4479))</f>
        <v>887.635101393544</v>
      </c>
    </row>
    <row r="4569" customFormat="false" ht="15" hidden="false" customHeight="false" outlineLevel="0" collapsed="false">
      <c r="A4569" s="3" t="s">
        <v>597</v>
      </c>
      <c r="C4569" s="35" t="n">
        <f aca="false">MIN(C4412,100*CHOOSE(C4402,C4536,C4537,C4538,C4539,C4540,C4541,C4542,C4543,C4544,C4545))</f>
        <v>100</v>
      </c>
    </row>
    <row r="4570" customFormat="false" ht="15" hidden="false" customHeight="false" outlineLevel="0" collapsed="false">
      <c r="A4570" s="3" t="s">
        <v>598</v>
      </c>
      <c r="C4570" s="21" t="n">
        <f aca="false">IF(C4234=1,C4407+Assumptions!$C$40,C4406)</f>
        <v>3</v>
      </c>
    </row>
    <row r="4571" customFormat="false" ht="15" hidden="false" customHeight="false" outlineLevel="0" collapsed="false">
      <c r="A4571" s="24" t="s">
        <v>599</v>
      </c>
      <c r="B4571" s="25"/>
      <c r="C4571" s="25"/>
      <c r="D4571" s="25"/>
      <c r="E4571" s="25"/>
      <c r="F4571" s="25"/>
      <c r="G4571" s="25"/>
      <c r="H4571" s="25"/>
      <c r="I4571" s="25"/>
      <c r="J4571" s="25"/>
      <c r="K4571" s="25"/>
    </row>
    <row r="4572" customFormat="false" ht="15" hidden="false" customHeight="false" outlineLevel="0" collapsed="false">
      <c r="A4572" s="3" t="s">
        <v>600</v>
      </c>
      <c r="C4572" s="21" t="n">
        <f aca="false">COLUMN()-COLUMN($C$1)</f>
        <v>0</v>
      </c>
      <c r="D4572" s="21" t="n">
        <f aca="false">COLUMN()-COLUMN($C$1)</f>
        <v>1</v>
      </c>
      <c r="E4572" s="21" t="n">
        <f aca="false">COLUMN()-COLUMN($C$1)</f>
        <v>2</v>
      </c>
      <c r="F4572" s="21" t="n">
        <f aca="false">COLUMN()-COLUMN($C$1)</f>
        <v>3</v>
      </c>
      <c r="G4572" s="21" t="n">
        <f aca="false">COLUMN()-COLUMN($C$1)</f>
        <v>4</v>
      </c>
      <c r="H4572" s="21" t="n">
        <f aca="false">COLUMN()-COLUMN($C$1)</f>
        <v>5</v>
      </c>
      <c r="I4572" s="21" t="n">
        <f aca="false">COLUMN()-COLUMN($C$1)</f>
        <v>6</v>
      </c>
    </row>
    <row r="4573" customFormat="false" ht="15" hidden="false" customHeight="false" outlineLevel="0" collapsed="false">
      <c r="A4573" s="3" t="s">
        <v>601</v>
      </c>
      <c r="D4573" s="31" t="n">
        <f aca="false">CHOOSE($C$4402,G3982,G3995,G4008,G4021,G4034,G4047,G4060,G4073,G4086,G4099)</f>
        <v>0.0915</v>
      </c>
      <c r="E4573" s="31" t="n">
        <f aca="false">CHOOSE($C$4402,H3982,H3995,H4008,H4021,H4034,H4047,H4060,H4073,H4086,H4099)</f>
        <v>0.09</v>
      </c>
      <c r="F4573" s="31" t="n">
        <f aca="false">CHOOSE($C$4402,I3982,I3995,I4008,I4021,I4034,I4047,I4060,I4073,I4086,I4099)</f>
        <v>0.0875</v>
      </c>
      <c r="G4573" s="31" t="n">
        <f aca="false">CHOOSE($C$4402,J3982,J3995,J4008,J4021,J4034,J4047,J4060,J4073,J4086,J4099)</f>
        <v>0.0875</v>
      </c>
      <c r="H4573" s="31" t="n">
        <f aca="false">CHOOSE($C$4402,K3982,K3995,K4008,K4021,K4034,K4047,K4060,K4073,K4086,K4099)</f>
        <v>0.0875</v>
      </c>
    </row>
    <row r="4574" customFormat="false" ht="15" hidden="false" customHeight="false" outlineLevel="0" collapsed="false">
      <c r="A4574" s="3" t="s">
        <v>602</v>
      </c>
      <c r="D4574" s="16" t="n">
        <f aca="false">IF(D4572&lt;=$C$4411,$C$4403*D4573,0)</f>
        <v>9.15</v>
      </c>
      <c r="E4574" s="16" t="n">
        <f aca="false">IF(E4572&lt;=$C$4411,$C$4403*E4573,0)</f>
        <v>9</v>
      </c>
      <c r="F4574" s="16" t="n">
        <f aca="false">IF(F4572&lt;=$C$4411,$C$4403*F4573,0)</f>
        <v>8.75</v>
      </c>
      <c r="G4574" s="16" t="n">
        <f aca="false">IF(G4572&lt;=$C$4411,$C$4403*G4573,0)</f>
        <v>0</v>
      </c>
      <c r="H4574" s="16" t="n">
        <f aca="false">IF(H4572&lt;=$C$4411,$C$4403*H4573,0)</f>
        <v>0</v>
      </c>
    </row>
    <row r="4575" customFormat="false" ht="15" hidden="false" customHeight="false" outlineLevel="0" collapsed="false">
      <c r="A4575" s="3" t="s">
        <v>603</v>
      </c>
      <c r="D4575" s="16" t="n">
        <f aca="false">IF(AND($C$4234=0,D4572=$C$4406),$C$4403*$C$4569/100,0)+IF(AND($C$4234=1,D4572=$C$4570),$C$4409,0)</f>
        <v>0</v>
      </c>
      <c r="E4575" s="16" t="n">
        <f aca="false">IF(AND($C$4234=0,E4572=$C$4406),$C$4403*$C$4569/100,0)+IF(AND($C$4234=1,E4572=$C$4570),$C$4409,0)</f>
        <v>0</v>
      </c>
      <c r="F4575" s="16" t="n">
        <f aca="false">IF(AND($C$4234=0,F4572=$C$4406),$C$4403*$C$4569/100,0)+IF(AND($C$4234=1,F4572=$C$4570),$C$4409,0)</f>
        <v>100</v>
      </c>
      <c r="G4575" s="16" t="n">
        <f aca="false">IF(AND($C$4234=0,G4572=$C$4406),$C$4403*$C$4569/100,0)+IF(AND($C$4234=1,G4572=$C$4570),$C$4409,0)</f>
        <v>0</v>
      </c>
      <c r="H4575" s="16" t="n">
        <f aca="false">IF(AND($C$4234=0,H4572=$C$4406),$C$4403*$C$4569/100,0)+IF(AND($C$4234=1,H4572=$C$4570),$C$4409,0)</f>
        <v>0</v>
      </c>
      <c r="I4575" s="16" t="n">
        <f aca="false">IF(AND($C$4234=0,I4572=$C$4406),$C$4403*$C$4569/100,0)+IF(AND($C$4234=1,I4572=$C$4570),$C$4409,0)</f>
        <v>0</v>
      </c>
    </row>
    <row r="4576" customFormat="false" ht="15" hidden="false" customHeight="false" outlineLevel="0" collapsed="false">
      <c r="A4576" s="2" t="s">
        <v>604</v>
      </c>
      <c r="C4576" s="17" t="n">
        <f aca="false">-$C$4405</f>
        <v>-98.49</v>
      </c>
      <c r="D4576" s="17" t="n">
        <f aca="false">D4574+D4575</f>
        <v>9.15</v>
      </c>
      <c r="E4576" s="17" t="n">
        <f aca="false">E4574+E4575</f>
        <v>9</v>
      </c>
      <c r="F4576" s="17" t="n">
        <f aca="false">F4574+F4575</f>
        <v>108.75</v>
      </c>
      <c r="G4576" s="17" t="n">
        <f aca="false">G4574+G4575</f>
        <v>0</v>
      </c>
      <c r="H4576" s="17" t="n">
        <f aca="false">H4574+H4575</f>
        <v>0</v>
      </c>
      <c r="I4576" s="17" t="n">
        <f aca="false">I4574+I4575</f>
        <v>0</v>
      </c>
    </row>
    <row r="4577" customFormat="false" ht="15" hidden="false" customHeight="false" outlineLevel="0" collapsed="false">
      <c r="A4577" s="3" t="s">
        <v>605</v>
      </c>
      <c r="C4577" s="16" t="n">
        <f aca="false">SUM($C$4574:$I$4574)</f>
        <v>26.9</v>
      </c>
    </row>
    <row r="4578" customFormat="false" ht="15" hidden="false" customHeight="false" outlineLevel="0" collapsed="false">
      <c r="A4578" s="3" t="s">
        <v>606</v>
      </c>
      <c r="C4578" s="16" t="n">
        <f aca="false">SUM($C$4575:$I$4575)</f>
        <v>100</v>
      </c>
    </row>
    <row r="4579" customFormat="false" ht="15" hidden="false" customHeight="false" outlineLevel="0" collapsed="false">
      <c r="A4579" s="3" t="s">
        <v>607</v>
      </c>
      <c r="C4579" s="16" t="n">
        <f aca="false">C4577+C4578</f>
        <v>126.9</v>
      </c>
    </row>
    <row r="4580" customFormat="false" ht="15" hidden="false" customHeight="false" outlineLevel="0" collapsed="false">
      <c r="A4580" s="3" t="s">
        <v>608</v>
      </c>
      <c r="C4580" s="16" t="n">
        <f aca="false">C4578-C4403*C4404/100</f>
        <v>2</v>
      </c>
    </row>
    <row r="4581" customFormat="false" ht="15" hidden="false" customHeight="false" outlineLevel="0" collapsed="false">
      <c r="A4581" s="3" t="s">
        <v>609</v>
      </c>
      <c r="C4581" s="16" t="n">
        <f aca="false">C4579-C4405</f>
        <v>28.41</v>
      </c>
    </row>
    <row r="4582" customFormat="false" ht="15" hidden="false" customHeight="false" outlineLevel="0" collapsed="false">
      <c r="A4582" s="2" t="s">
        <v>484</v>
      </c>
      <c r="C4582" s="44" t="n">
        <f aca="false">C4579/C4405</f>
        <v>1.28845568077977</v>
      </c>
    </row>
    <row r="4583" customFormat="false" ht="15" hidden="false" customHeight="false" outlineLevel="0" collapsed="false">
      <c r="A4583" s="2" t="s">
        <v>483</v>
      </c>
      <c r="C4583" s="42" t="n">
        <f aca="false">IF(C4579&lt;=0,-1,IFERROR(IRR($C$4576:$I$4576,MAX(-0.9,C4582^(1/C4570)-1)),IRR($C$4576:$I$4576,0.1)))</f>
        <v>0.0958152816969216</v>
      </c>
    </row>
    <row r="4584" customFormat="false" ht="15" hidden="false" customHeight="false" outlineLevel="0" collapsed="false">
      <c r="A4584" s="3" t="s">
        <v>610</v>
      </c>
      <c r="C4584" s="32" t="n">
        <f aca="false">MAX($G$4178:$K$4178)</f>
        <v>9.44078781017315</v>
      </c>
    </row>
    <row r="4585" customFormat="false" ht="15" hidden="false" customHeight="false" outlineLevel="0" collapsed="false">
      <c r="A4585" s="3" t="s">
        <v>611</v>
      </c>
      <c r="C4585" s="32" t="n">
        <f aca="false">MIN($G$4179:$K$4179)</f>
        <v>1.41611251824293</v>
      </c>
    </row>
    <row r="4586" customFormat="false" ht="15" hidden="false" customHeight="false" outlineLevel="0" collapsed="false">
      <c r="A4586" s="3" t="s">
        <v>612</v>
      </c>
      <c r="C4586" s="16" t="n">
        <f aca="false">SUM($G$3966:$K$3966)</f>
        <v>-377.933148478405</v>
      </c>
    </row>
    <row r="4590" customFormat="false" ht="15" hidden="false" customHeight="false" outlineLevel="0" collapsed="false">
      <c r="A4590" s="9" t="s">
        <v>1137</v>
      </c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</row>
    <row r="4591" customFormat="false" ht="15" hidden="false" customHeight="false" outlineLevel="0" collapsed="false">
      <c r="A4591" s="3" t="s">
        <v>1126</v>
      </c>
      <c r="C4591" s="11" t="n">
        <v>1</v>
      </c>
    </row>
    <row r="4592" customFormat="false" ht="15" hidden="false" customHeight="false" outlineLevel="0" collapsed="false">
      <c r="A4592" s="3" t="s">
        <v>1127</v>
      </c>
      <c r="C4592" s="19" t="n">
        <v>0</v>
      </c>
    </row>
    <row r="4593" customFormat="false" ht="15" hidden="false" customHeight="false" outlineLevel="0" collapsed="false">
      <c r="A4593" s="3" t="s">
        <v>1128</v>
      </c>
      <c r="C4593" s="30" t="n">
        <f aca="false">Sensitivities!$A$34</f>
        <v>0.04</v>
      </c>
    </row>
    <row r="4594" customFormat="false" ht="15" hidden="false" customHeight="false" outlineLevel="0" collapsed="false">
      <c r="A4594" s="3" t="s">
        <v>1129</v>
      </c>
      <c r="C4594" s="19" t="n">
        <v>0</v>
      </c>
    </row>
    <row r="4595" customFormat="false" ht="15" hidden="false" customHeight="false" outlineLevel="0" collapsed="false">
      <c r="A4595" s="3" t="s">
        <v>1130</v>
      </c>
      <c r="C4595" s="15" t="n">
        <v>0</v>
      </c>
    </row>
    <row r="4597" customFormat="false" ht="15" hidden="false" customHeight="false" outlineLevel="0" collapsed="false">
      <c r="A4597" s="24" t="s">
        <v>301</v>
      </c>
      <c r="B4597" s="25"/>
      <c r="C4597" s="25"/>
      <c r="D4597" s="25"/>
      <c r="E4597" s="25"/>
      <c r="F4597" s="25"/>
      <c r="G4597" s="25"/>
      <c r="H4597" s="25"/>
      <c r="I4597" s="25"/>
      <c r="J4597" s="25"/>
      <c r="K4597" s="25"/>
    </row>
    <row r="4598" customFormat="false" ht="15" hidden="false" customHeight="false" outlineLevel="0" collapsed="false">
      <c r="A4598" s="3" t="s">
        <v>302</v>
      </c>
      <c r="F4598" s="27" t="n">
        <f aca="false">Assumptions!$C$6</f>
        <v>2026</v>
      </c>
      <c r="G4598" s="21" t="n">
        <f aca="false">F4598+1</f>
        <v>2027</v>
      </c>
      <c r="H4598" s="21" t="n">
        <f aca="false">G4598+1</f>
        <v>2028</v>
      </c>
      <c r="I4598" s="21" t="n">
        <f aca="false">H4598+1</f>
        <v>2029</v>
      </c>
      <c r="J4598" s="21" t="n">
        <f aca="false">I4598+1</f>
        <v>2030</v>
      </c>
      <c r="K4598" s="21" t="n">
        <f aca="false">J4598+1</f>
        <v>2031</v>
      </c>
    </row>
    <row r="4599" customFormat="false" ht="15" hidden="false" customHeight="false" outlineLevel="0" collapsed="false">
      <c r="A4599" s="3" t="s">
        <v>303</v>
      </c>
      <c r="G4599" s="21" t="n">
        <f aca="false">G4598-Assumptions!$C$6</f>
        <v>1</v>
      </c>
      <c r="H4599" s="21" t="n">
        <f aca="false">H4598-Assumptions!$C$6</f>
        <v>2</v>
      </c>
      <c r="I4599" s="21" t="n">
        <f aca="false">I4598-Assumptions!$C$6</f>
        <v>3</v>
      </c>
      <c r="J4599" s="21" t="n">
        <f aca="false">J4598-Assumptions!$C$6</f>
        <v>4</v>
      </c>
      <c r="K4599" s="21" t="n">
        <f aca="false">K4598-Assumptions!$C$6</f>
        <v>5</v>
      </c>
    </row>
    <row r="4600" customFormat="false" ht="15" hidden="false" customHeight="false" outlineLevel="0" collapsed="false">
      <c r="A4600" s="3" t="s">
        <v>180</v>
      </c>
      <c r="G4600" s="22" t="n">
        <f aca="false">CHOOSE($C$4591,Assumptions!$G$79,Assumptions!$G$98,Assumptions!$G$117)+$C$4592</f>
        <v>-0.03</v>
      </c>
      <c r="H4600" s="22" t="n">
        <f aca="false">CHOOSE($C$4591,Assumptions!$H$79,Assumptions!$H$98,Assumptions!$H$117)+$C$4592</f>
        <v>0.02</v>
      </c>
      <c r="I4600" s="22" t="n">
        <f aca="false">CHOOSE($C$4591,Assumptions!$I$79,Assumptions!$I$98,Assumptions!$I$117)+$C$4592</f>
        <v>0.02</v>
      </c>
      <c r="J4600" s="22" t="n">
        <f aca="false">CHOOSE($C$4591,Assumptions!$J$79,Assumptions!$J$98,Assumptions!$J$117)+$C$4592</f>
        <v>0.02</v>
      </c>
      <c r="K4600" s="22" t="n">
        <f aca="false">CHOOSE($C$4591,Assumptions!$K$79,Assumptions!$K$98,Assumptions!$K$117)+$C$4592</f>
        <v>0.02</v>
      </c>
    </row>
    <row r="4601" customFormat="false" ht="15" hidden="false" customHeight="false" outlineLevel="0" collapsed="false">
      <c r="A4601" s="3" t="s">
        <v>181</v>
      </c>
      <c r="G4601" s="22" t="n">
        <f aca="false">CHOOSE($C$4591,Assumptions!$G$80,Assumptions!$G$99,Assumptions!$G$118)</f>
        <v>0.603920660818678</v>
      </c>
      <c r="H4601" s="22" t="n">
        <f aca="false">CHOOSE($C$4591,Assumptions!$H$80,Assumptions!$H$99,Assumptions!$H$118)</f>
        <v>0.606920660818678</v>
      </c>
      <c r="I4601" s="22" t="n">
        <f aca="false">CHOOSE($C$4591,Assumptions!$I$80,Assumptions!$I$99,Assumptions!$I$118)</f>
        <v>0.609920660818678</v>
      </c>
      <c r="J4601" s="22" t="n">
        <f aca="false">CHOOSE($C$4591,Assumptions!$J$80,Assumptions!$J$99,Assumptions!$J$118)</f>
        <v>0.611920660818678</v>
      </c>
      <c r="K4601" s="22" t="n">
        <f aca="false">CHOOSE($C$4591,Assumptions!$K$80,Assumptions!$K$99,Assumptions!$K$118)</f>
        <v>0.613920660818678</v>
      </c>
    </row>
    <row r="4602" customFormat="false" ht="15" hidden="false" customHeight="false" outlineLevel="0" collapsed="false">
      <c r="A4602" s="3" t="s">
        <v>182</v>
      </c>
      <c r="G4602" s="22" t="n">
        <f aca="false">CHOOSE($C$4591,Assumptions!$G$81,Assumptions!$G$100,Assumptions!$G$119)+$C$4593</f>
        <v>0.57</v>
      </c>
      <c r="H4602" s="22" t="n">
        <f aca="false">CHOOSE($C$4591,Assumptions!$H$81,Assumptions!$H$100,Assumptions!$H$119)+$C$4593</f>
        <v>0.573</v>
      </c>
      <c r="I4602" s="22" t="n">
        <f aca="false">CHOOSE($C$4591,Assumptions!$I$81,Assumptions!$I$100,Assumptions!$I$119)+$C$4593</f>
        <v>0.576</v>
      </c>
      <c r="J4602" s="22" t="n">
        <f aca="false">CHOOSE($C$4591,Assumptions!$J$81,Assumptions!$J$100,Assumptions!$J$119)+$C$4593</f>
        <v>0.578</v>
      </c>
      <c r="K4602" s="22" t="n">
        <f aca="false">CHOOSE($C$4591,Assumptions!$K$81,Assumptions!$K$100,Assumptions!$K$119)+$C$4593</f>
        <v>0.58</v>
      </c>
    </row>
    <row r="4603" customFormat="false" ht="15" hidden="false" customHeight="false" outlineLevel="0" collapsed="false">
      <c r="A4603" s="24" t="s">
        <v>304</v>
      </c>
      <c r="B4603" s="25"/>
      <c r="C4603" s="25"/>
      <c r="D4603" s="25"/>
      <c r="E4603" s="25"/>
      <c r="F4603" s="25"/>
      <c r="G4603" s="25"/>
      <c r="H4603" s="25"/>
      <c r="I4603" s="25"/>
      <c r="J4603" s="25"/>
      <c r="K4603" s="25"/>
    </row>
    <row r="4604" customFormat="false" ht="15" hidden="false" customHeight="false" outlineLevel="0" collapsed="false">
      <c r="A4604" s="2" t="s">
        <v>275</v>
      </c>
      <c r="F4604" s="28" t="n">
        <f aca="false">'Historical Financials'!G25</f>
        <v>498.291</v>
      </c>
      <c r="G4604" s="17" t="n">
        <f aca="false">F4604*(1+G4600)</f>
        <v>483.34227</v>
      </c>
      <c r="H4604" s="17" t="n">
        <f aca="false">G4604*(1+H4600)</f>
        <v>493.0091154</v>
      </c>
      <c r="I4604" s="17" t="n">
        <f aca="false">H4604*(1+I4600)</f>
        <v>502.869297708</v>
      </c>
      <c r="J4604" s="17" t="n">
        <f aca="false">I4604*(1+J4600)</f>
        <v>512.92668366216</v>
      </c>
      <c r="K4604" s="17" t="n">
        <f aca="false">J4604*(1+K4600)</f>
        <v>523.185217335403</v>
      </c>
    </row>
    <row r="4605" customFormat="false" ht="15" hidden="false" customHeight="false" outlineLevel="0" collapsed="false">
      <c r="A4605" s="3" t="s">
        <v>276</v>
      </c>
      <c r="G4605" s="16" t="n">
        <f aca="false">G4604*(1-G4601)</f>
        <v>191.4418869</v>
      </c>
      <c r="H4605" s="16" t="n">
        <f aca="false">H4604*(1-H4601)</f>
        <v>193.7916972918</v>
      </c>
      <c r="I4605" s="16" t="n">
        <f aca="false">I4604*(1-I4601)</f>
        <v>196.158923344512</v>
      </c>
      <c r="J4605" s="16" t="n">
        <f aca="false">J4604*(1-J4601)</f>
        <v>199.056248444078</v>
      </c>
      <c r="K4605" s="16" t="n">
        <f aca="false">K4604*(1-K4601)</f>
        <v>201.991002978289</v>
      </c>
    </row>
    <row r="4606" customFormat="false" ht="15" hidden="false" customHeight="false" outlineLevel="0" collapsed="false">
      <c r="A4606" s="2" t="s">
        <v>277</v>
      </c>
      <c r="G4606" s="17" t="n">
        <f aca="false">G4604-G4605</f>
        <v>291.9003831</v>
      </c>
      <c r="H4606" s="17" t="n">
        <f aca="false">H4604-H4605</f>
        <v>299.2174181082</v>
      </c>
      <c r="I4606" s="17" t="n">
        <f aca="false">I4604-I4605</f>
        <v>306.710374363488</v>
      </c>
      <c r="J4606" s="17" t="n">
        <f aca="false">J4604-J4605</f>
        <v>313.870435218082</v>
      </c>
      <c r="K4606" s="17" t="n">
        <f aca="false">K4604-K4605</f>
        <v>321.194214357115</v>
      </c>
    </row>
    <row r="4607" customFormat="false" ht="15" hidden="false" customHeight="false" outlineLevel="0" collapsed="false">
      <c r="A4607" s="3" t="s">
        <v>305</v>
      </c>
      <c r="G4607" s="16" t="n">
        <f aca="false">G4606-G4608</f>
        <v>16.3952891999999</v>
      </c>
      <c r="H4607" s="16" t="n">
        <f aca="false">H4606-H4608</f>
        <v>16.723194984</v>
      </c>
      <c r="I4607" s="16" t="n">
        <f aca="false">I4606-I4608</f>
        <v>17.05765888368</v>
      </c>
      <c r="J4607" s="16" t="n">
        <f aca="false">J4606-J4608</f>
        <v>17.3988120613536</v>
      </c>
      <c r="K4607" s="16" t="n">
        <f aca="false">K4606-K4608</f>
        <v>17.7467883025807</v>
      </c>
    </row>
    <row r="4608" customFormat="false" ht="15" hidden="false" customHeight="false" outlineLevel="0" collapsed="false">
      <c r="A4608" s="2" t="s">
        <v>306</v>
      </c>
      <c r="G4608" s="17" t="n">
        <f aca="false">G4604*G4602</f>
        <v>275.5050939</v>
      </c>
      <c r="H4608" s="17" t="n">
        <f aca="false">H4604*H4602</f>
        <v>282.4942231242</v>
      </c>
      <c r="I4608" s="17" t="n">
        <f aca="false">I4604*I4602</f>
        <v>289.652715479808</v>
      </c>
      <c r="J4608" s="17" t="n">
        <f aca="false">J4604*J4602</f>
        <v>296.471623156729</v>
      </c>
      <c r="K4608" s="17" t="n">
        <f aca="false">K4604*K4602</f>
        <v>303.447426054534</v>
      </c>
    </row>
    <row r="4609" customFormat="false" ht="15" hidden="false" customHeight="false" outlineLevel="0" collapsed="false">
      <c r="A4609" s="3" t="s">
        <v>307</v>
      </c>
      <c r="G4609" s="16" t="n">
        <f aca="false">G4604*'Historical Financials'!G30/'Historical Financials'!G25</f>
        <v>179.73421</v>
      </c>
      <c r="H4609" s="16" t="n">
        <f aca="false">H4604*'Historical Financials'!G30/'Historical Financials'!G25</f>
        <v>183.3288942</v>
      </c>
      <c r="I4609" s="16" t="n">
        <f aca="false">I4604*'Historical Financials'!G30/'Historical Financials'!G25</f>
        <v>186.995472084</v>
      </c>
      <c r="J4609" s="16" t="n">
        <f aca="false">J4604*'Historical Financials'!G30/'Historical Financials'!G25</f>
        <v>190.73538152568</v>
      </c>
      <c r="K4609" s="16" t="n">
        <f aca="false">K4604*'Historical Financials'!G30/'Historical Financials'!G25</f>
        <v>194.550089156194</v>
      </c>
    </row>
    <row r="4610" customFormat="false" ht="15" hidden="false" customHeight="false" outlineLevel="0" collapsed="false">
      <c r="A4610" s="3" t="s">
        <v>308</v>
      </c>
      <c r="G4610" s="16" t="n">
        <f aca="false">G4604*'Historical Financials'!G31/'Historical Financials'!G25</f>
        <v>0</v>
      </c>
      <c r="H4610" s="16" t="n">
        <f aca="false">H4604*'Historical Financials'!G31/'Historical Financials'!G25</f>
        <v>0</v>
      </c>
      <c r="I4610" s="16" t="n">
        <f aca="false">I4604*'Historical Financials'!G31/'Historical Financials'!G25</f>
        <v>0</v>
      </c>
      <c r="J4610" s="16" t="n">
        <f aca="false">J4604*'Historical Financials'!G31/'Historical Financials'!G25</f>
        <v>0</v>
      </c>
      <c r="K4610" s="16" t="n">
        <f aca="false">K4604*'Historical Financials'!G31/'Historical Financials'!G25</f>
        <v>0</v>
      </c>
    </row>
    <row r="4611" customFormat="false" ht="15" hidden="false" customHeight="false" outlineLevel="0" collapsed="false">
      <c r="A4611" s="2" t="s">
        <v>309</v>
      </c>
      <c r="G4611" s="17" t="n">
        <f aca="false">G4608-G4609-G4610</f>
        <v>95.7708839000001</v>
      </c>
      <c r="H4611" s="17" t="n">
        <f aca="false">H4608-H4609-H4610</f>
        <v>99.1653289242001</v>
      </c>
      <c r="I4611" s="17" t="n">
        <f aca="false">I4608-I4609-I4610</f>
        <v>102.657243395808</v>
      </c>
      <c r="J4611" s="17" t="n">
        <f aca="false">J4608-J4609-J4610</f>
        <v>105.736241631049</v>
      </c>
      <c r="K4611" s="17" t="n">
        <f aca="false">K4608-K4609-K4610</f>
        <v>108.89733689834</v>
      </c>
    </row>
    <row r="4612" customFormat="false" ht="15" hidden="false" customHeight="false" outlineLevel="0" collapsed="false">
      <c r="A4612" s="3" t="s">
        <v>310</v>
      </c>
      <c r="G4612" s="16" t="n">
        <f aca="false">G4638+G4651+G4664+G4677+G4690+G4703+G4716+G4729+G4742+G4755</f>
        <v>180.2096854</v>
      </c>
      <c r="H4612" s="16" t="n">
        <f aca="false">H4638+H4651+H4664+H4677+H4690+H4703+H4716+H4729+H4742+H4755</f>
        <v>179.1317704</v>
      </c>
      <c r="I4612" s="16" t="n">
        <f aca="false">I4638+I4651+I4664+I4677+I4690+I4703+I4716+I4729+I4742+I4755</f>
        <v>188.263693076624</v>
      </c>
      <c r="J4612" s="16" t="n">
        <f aca="false">J4638+J4651+J4664+J4677+J4690+J4703+J4716+J4729+J4742+J4755</f>
        <v>186.58582074386</v>
      </c>
      <c r="K4612" s="16" t="n">
        <f aca="false">K4638+K4651+K4664+K4677+K4690+K4703+K4716+K4729+K4742+K4755</f>
        <v>203.381220999512</v>
      </c>
    </row>
    <row r="4613" customFormat="false" ht="15" hidden="false" customHeight="false" outlineLevel="0" collapsed="false">
      <c r="A4613" s="3" t="s">
        <v>311</v>
      </c>
      <c r="G4613" s="16" t="n">
        <f aca="false">G4639+G4652+G4665+G4678+G4691+G4704+G4717+G4730+G4743+G4756</f>
        <v>0</v>
      </c>
      <c r="H4613" s="16" t="n">
        <f aca="false">H4639+H4652+H4665+H4678+H4691+H4704+H4717+H4730+H4743+H4756</f>
        <v>0</v>
      </c>
      <c r="I4613" s="16" t="n">
        <f aca="false">I4639+I4652+I4665+I4678+I4691+I4704+I4717+I4730+I4743+I4756</f>
        <v>0</v>
      </c>
      <c r="J4613" s="16" t="n">
        <f aca="false">J4639+J4652+J4665+J4678+J4691+J4704+J4717+J4730+J4743+J4756</f>
        <v>0</v>
      </c>
      <c r="K4613" s="16" t="n">
        <f aca="false">K4639+K4652+K4665+K4678+K4691+K4704+K4717+K4730+K4743+K4756</f>
        <v>0</v>
      </c>
    </row>
    <row r="4614" customFormat="false" ht="15" hidden="false" customHeight="false" outlineLevel="0" collapsed="false">
      <c r="A4614" s="3" t="s">
        <v>283</v>
      </c>
      <c r="G4614" s="16" t="n">
        <f aca="false">G4612+G4613</f>
        <v>180.2096854</v>
      </c>
      <c r="H4614" s="16" t="n">
        <f aca="false">H4612+H4613</f>
        <v>179.1317704</v>
      </c>
      <c r="I4614" s="16" t="n">
        <f aca="false">I4612+I4613</f>
        <v>188.263693076624</v>
      </c>
      <c r="J4614" s="16" t="n">
        <f aca="false">J4612+J4613</f>
        <v>186.58582074386</v>
      </c>
      <c r="K4614" s="16" t="n">
        <f aca="false">K4612+K4613</f>
        <v>203.381220999512</v>
      </c>
    </row>
    <row r="4615" customFormat="false" ht="15" hidden="false" customHeight="false" outlineLevel="0" collapsed="false">
      <c r="A4615" s="2" t="s">
        <v>284</v>
      </c>
      <c r="G4615" s="17" t="n">
        <f aca="false">G4611-G4614</f>
        <v>-84.4388014999999</v>
      </c>
      <c r="H4615" s="17" t="n">
        <f aca="false">H4611-H4614</f>
        <v>-79.9664414757999</v>
      </c>
      <c r="I4615" s="17" t="n">
        <f aca="false">I4611-I4614</f>
        <v>-85.6064496808159</v>
      </c>
      <c r="J4615" s="17" t="n">
        <f aca="false">J4611-J4614</f>
        <v>-80.8495791128119</v>
      </c>
      <c r="K4615" s="17" t="n">
        <f aca="false">K4611-K4614</f>
        <v>-94.4838841011718</v>
      </c>
    </row>
    <row r="4616" customFormat="false" ht="15" hidden="false" customHeight="false" outlineLevel="0" collapsed="false">
      <c r="A4616" s="3" t="s">
        <v>312</v>
      </c>
      <c r="G4616" s="16" t="n">
        <f aca="false">MAX(0,G4615)*Assumptions!$C$9</f>
        <v>0</v>
      </c>
      <c r="H4616" s="16" t="n">
        <f aca="false">MAX(0,H4615)*Assumptions!$C$9</f>
        <v>0</v>
      </c>
      <c r="I4616" s="16" t="n">
        <f aca="false">MAX(0,I4615)*Assumptions!$C$9</f>
        <v>0</v>
      </c>
      <c r="J4616" s="16" t="n">
        <f aca="false">MAX(0,J4615)*Assumptions!$C$9</f>
        <v>0</v>
      </c>
      <c r="K4616" s="16" t="n">
        <f aca="false">MAX(0,K4615)*Assumptions!$C$9</f>
        <v>0</v>
      </c>
    </row>
    <row r="4617" customFormat="false" ht="15" hidden="false" customHeight="false" outlineLevel="0" collapsed="false">
      <c r="A4617" s="2" t="s">
        <v>313</v>
      </c>
      <c r="G4617" s="17" t="n">
        <f aca="false">G4615-G4616</f>
        <v>-84.4388014999999</v>
      </c>
      <c r="H4617" s="17" t="n">
        <f aca="false">H4615-H4616</f>
        <v>-79.9664414757999</v>
      </c>
      <c r="I4617" s="17" t="n">
        <f aca="false">I4615-I4616</f>
        <v>-85.6064496808159</v>
      </c>
      <c r="J4617" s="17" t="n">
        <f aca="false">J4615-J4616</f>
        <v>-80.8495791128119</v>
      </c>
      <c r="K4617" s="17" t="n">
        <f aca="false">K4615-K4616</f>
        <v>-94.4838841011718</v>
      </c>
    </row>
    <row r="4618" customFormat="false" ht="15" hidden="false" customHeight="false" outlineLevel="0" collapsed="false">
      <c r="A4618" s="24" t="s">
        <v>314</v>
      </c>
      <c r="B4618" s="25"/>
      <c r="C4618" s="25"/>
      <c r="D4618" s="25"/>
      <c r="E4618" s="25"/>
      <c r="F4618" s="25"/>
      <c r="G4618" s="25"/>
      <c r="H4618" s="25"/>
      <c r="I4618" s="25"/>
      <c r="J4618" s="25"/>
      <c r="K4618" s="25"/>
    </row>
    <row r="4619" customFormat="false" ht="15" hidden="false" customHeight="false" outlineLevel="0" collapsed="false">
      <c r="A4619" s="3" t="s">
        <v>184</v>
      </c>
      <c r="G4619" s="16" t="n">
        <f aca="false">G4604*CHOOSE($C$4591,Assumptions!$C$83,Assumptions!$C$102,Assumptions!$C$121)</f>
        <v>106.3352994</v>
      </c>
      <c r="H4619" s="16" t="n">
        <f aca="false">H4604*CHOOSE($C$4591,Assumptions!$C$83,Assumptions!$C$102,Assumptions!$C$121)</f>
        <v>108.462005388</v>
      </c>
      <c r="I4619" s="16" t="n">
        <f aca="false">I4604*CHOOSE($C$4591,Assumptions!$C$83,Assumptions!$C$102,Assumptions!$C$121)</f>
        <v>110.63124549576</v>
      </c>
      <c r="J4619" s="16" t="n">
        <f aca="false">J4604*CHOOSE($C$4591,Assumptions!$C$83,Assumptions!$C$102,Assumptions!$C$121)</f>
        <v>112.843870405675</v>
      </c>
      <c r="K4619" s="16" t="n">
        <f aca="false">K4604*CHOOSE($C$4591,Assumptions!$C$83,Assumptions!$C$102,Assumptions!$C$121)</f>
        <v>115.100747813789</v>
      </c>
    </row>
    <row r="4620" customFormat="false" ht="15" hidden="false" customHeight="false" outlineLevel="0" collapsed="false">
      <c r="A4620" s="3" t="s">
        <v>315</v>
      </c>
      <c r="G4620" s="16" t="n">
        <f aca="false">CHOOSE($C$4591,Assumptions!$C$84,Assumptions!$C$103,Assumptions!$C$122)*(G4604-F4604)+CHOOSE($C$4591,Assumptions!$C$85,Assumptions!$C$104,Assumptions!$C$123)*G4604</f>
        <v>53.1676497</v>
      </c>
      <c r="H4620" s="16" t="n">
        <f aca="false">CHOOSE($C$4591,Assumptions!$C$84,Assumptions!$C$103,Assumptions!$C$122)*(H4604-G4604)+CHOOSE($C$4591,Assumptions!$C$85,Assumptions!$C$104,Assumptions!$C$123)*H4604</f>
        <v>54.231002694</v>
      </c>
      <c r="I4620" s="16" t="n">
        <f aca="false">CHOOSE($C$4591,Assumptions!$C$84,Assumptions!$C$103,Assumptions!$C$122)*(I4604-H4604)+CHOOSE($C$4591,Assumptions!$C$85,Assumptions!$C$104,Assumptions!$C$123)*I4604</f>
        <v>55.31562274788</v>
      </c>
      <c r="J4620" s="16" t="n">
        <f aca="false">CHOOSE($C$4591,Assumptions!$C$84,Assumptions!$C$103,Assumptions!$C$122)*(J4604-I4604)+CHOOSE($C$4591,Assumptions!$C$85,Assumptions!$C$104,Assumptions!$C$123)*J4604</f>
        <v>56.4219352028376</v>
      </c>
      <c r="K4620" s="16" t="n">
        <f aca="false">CHOOSE($C$4591,Assumptions!$C$84,Assumptions!$C$103,Assumptions!$C$122)*(K4604-J4604)+CHOOSE($C$4591,Assumptions!$C$85,Assumptions!$C$104,Assumptions!$C$123)*K4604</f>
        <v>57.5503739068944</v>
      </c>
    </row>
    <row r="4621" customFormat="false" ht="15" hidden="false" customHeight="false" outlineLevel="0" collapsed="false">
      <c r="A4621" s="2" t="s">
        <v>316</v>
      </c>
      <c r="G4621" s="17" t="n">
        <f aca="false">G4617+G4609+G4610+G4613-G4619-G4620</f>
        <v>-64.2075406</v>
      </c>
      <c r="H4621" s="17" t="n">
        <f aca="false">H4617+H4609+H4610+H4613-H4619-H4620</f>
        <v>-59.3305553577999</v>
      </c>
      <c r="I4621" s="17" t="n">
        <f aca="false">I4617+I4609+I4610+I4613-I4619-I4620</f>
        <v>-64.5578458404559</v>
      </c>
      <c r="J4621" s="17" t="n">
        <f aca="false">J4617+J4609+J4610+J4613-J4619-J4620</f>
        <v>-59.3800031956447</v>
      </c>
      <c r="K4621" s="17" t="n">
        <f aca="false">K4617+K4609+K4610+K4613-K4619-K4620</f>
        <v>-72.5849166656612</v>
      </c>
    </row>
    <row r="4623" customFormat="false" ht="15" hidden="false" customHeight="false" outlineLevel="0" collapsed="false">
      <c r="A4623" s="24" t="s">
        <v>318</v>
      </c>
      <c r="B4623" s="25"/>
      <c r="C4623" s="25"/>
      <c r="D4623" s="25"/>
      <c r="E4623" s="25"/>
      <c r="F4623" s="25"/>
      <c r="G4623" s="25"/>
      <c r="H4623" s="25"/>
      <c r="I4623" s="25"/>
      <c r="J4623" s="25"/>
      <c r="K4623" s="25"/>
    </row>
    <row r="4624" customFormat="false" ht="15" hidden="false" customHeight="false" outlineLevel="0" collapsed="false">
      <c r="A4624" s="3" t="s">
        <v>319</v>
      </c>
      <c r="G4624" s="30" t="n">
        <f aca="false">Assumptions!$G$53</f>
        <v>0.039</v>
      </c>
      <c r="H4624" s="30" t="n">
        <f aca="false">Assumptions!$H$53</f>
        <v>0.0375</v>
      </c>
      <c r="I4624" s="30" t="n">
        <f aca="false">Assumptions!$I$53</f>
        <v>0.035</v>
      </c>
      <c r="J4624" s="30" t="n">
        <f aca="false">Assumptions!$J$53</f>
        <v>0.035</v>
      </c>
      <c r="K4624" s="30" t="n">
        <f aca="false">Assumptions!$K$53</f>
        <v>0.035</v>
      </c>
    </row>
    <row r="4625" customFormat="false" ht="15" hidden="false" customHeight="false" outlineLevel="0" collapsed="false">
      <c r="A4625" s="3" t="s">
        <v>320</v>
      </c>
      <c r="C4625" s="31" t="n">
        <f aca="false">CHOOSE($C$4591,Assumptions!$C$86,Assumptions!$C$105,Assumptions!$C$124)+$C$4594</f>
        <v>0</v>
      </c>
    </row>
    <row r="4626" customFormat="false" ht="15" hidden="false" customHeight="false" outlineLevel="0" collapsed="false">
      <c r="A4626" s="3" t="s">
        <v>321</v>
      </c>
      <c r="C4626" s="31" t="n">
        <f aca="false">CHOOSE($C$4591,Assumptions!$C$87,Assumptions!$C$106,Assumptions!$C$125)</f>
        <v>0.08</v>
      </c>
    </row>
    <row r="4627" customFormat="false" ht="15" hidden="false" customHeight="false" outlineLevel="0" collapsed="false">
      <c r="A4627" s="3" t="s">
        <v>322</v>
      </c>
      <c r="C4627" s="32" t="n">
        <f aca="false">CHOOSE($C$4591,Assumptions!$C$88,Assumptions!$C$107,Assumptions!$C$126)</f>
        <v>11</v>
      </c>
    </row>
    <row r="4628" customFormat="false" ht="15" hidden="false" customHeight="false" outlineLevel="0" collapsed="false">
      <c r="A4628" s="3" t="s">
        <v>323</v>
      </c>
      <c r="C4628" s="32" t="n">
        <f aca="false">CHOOSE($C$4591,Assumptions!$C$89,Assumptions!$C$108,Assumptions!$C$127)</f>
        <v>1.2</v>
      </c>
    </row>
    <row r="4629" customFormat="false" ht="15" hidden="false" customHeight="false" outlineLevel="0" collapsed="false">
      <c r="A4629" s="3" t="s">
        <v>324</v>
      </c>
      <c r="G4629" s="16" t="n">
        <f aca="false">G4634+G4647+G4660+G4673+G4686+G4699+G4712+G4725+G4738+G4751</f>
        <v>2625.934</v>
      </c>
      <c r="H4629" s="16" t="n">
        <f aca="false">H4634+H4647+H4660+H4673+H4686+H4699+H4712+H4725+H4738+H4751</f>
        <v>2621.934</v>
      </c>
      <c r="I4629" s="16" t="n">
        <f aca="false">I4634+I4647+I4660+I4673+I4686+I4699+I4712+I4725+I4738+I4751</f>
        <v>2536.6020959578</v>
      </c>
      <c r="J4629" s="16" t="n">
        <f aca="false">J4634+J4647+J4660+J4673+J4686+J4699+J4712+J4725+J4738+J4751</f>
        <v>2576.15994179826</v>
      </c>
      <c r="K4629" s="16" t="n">
        <f aca="false">K4634+K4647+K4660+K4673+K4686+K4699+K4712+K4725+K4738+K4751</f>
        <v>2635.5399449939</v>
      </c>
    </row>
    <row r="4630" customFormat="false" ht="15" hidden="false" customHeight="false" outlineLevel="0" collapsed="false">
      <c r="A4630" s="3" t="s">
        <v>325</v>
      </c>
      <c r="G4630" s="16" t="n">
        <f aca="false">F4822</f>
        <v>37.87</v>
      </c>
      <c r="H4630" s="16" t="n">
        <f aca="false">G4822</f>
        <v>169.6624594</v>
      </c>
      <c r="I4630" s="16" t="n">
        <f aca="false">H4822</f>
        <v>25</v>
      </c>
      <c r="J4630" s="16" t="n">
        <f aca="false">I4822</f>
        <v>0</v>
      </c>
      <c r="K4630" s="16" t="n">
        <f aca="false">J4822</f>
        <v>0</v>
      </c>
    </row>
    <row r="4631" customFormat="false" ht="15" hidden="false" customHeight="false" outlineLevel="0" collapsed="false">
      <c r="A4631" s="3" t="s">
        <v>326</v>
      </c>
      <c r="G4631" s="16" t="n">
        <f aca="false">G4634*IF(G4635=1,$C$4626,IF(Assumptions!$I$57=1,MAX(G4624,Assumptions!$G$57)+Assumptions!$F$57+$C$4625,Assumptions!$E$57))+G4647*IF(G4648=1,$C$4626,IF(Assumptions!$I$58=1,MAX(G4624,Assumptions!$G$58)+Assumptions!$F$58+$C$4625,Assumptions!$E$58))+G4660*IF(G4661=1,$C$4626,IF(Assumptions!$I$59=1,MAX(G4624,Assumptions!$G$59)+Assumptions!$F$59+$C$4625,Assumptions!$E$59))+G4673*IF(G4674=1,$C$4626,IF(Assumptions!$I$60=1,MAX(G4624,Assumptions!$G$60)+Assumptions!$F$60+$C$4625,Assumptions!$E$60))+G4686*IF(G4687=1,$C$4626,IF(Assumptions!$I$61=1,MAX(G4624,Assumptions!$G$61)+Assumptions!$F$61+$C$4625,Assumptions!$E$61))+G4699*IF(G4700=1,$C$4626,IF(Assumptions!$I$62=1,MAX(G4624,Assumptions!$G$62)+Assumptions!$F$62+$C$4625,Assumptions!$E$62))+G4712*IF(G4713=1,$C$4626,IF(Assumptions!$I$63=1,MAX(G4624,Assumptions!$G$63)+Assumptions!$F$63+$C$4625,Assumptions!$E$63))+G4725*IF(G4726=1,$C$4626,IF(Assumptions!$I$64=1,MAX(G4624,Assumptions!$G$64)+Assumptions!$F$64+$C$4625,Assumptions!$E$64))+G4738*IF(G4739=1,$C$4626,IF(Assumptions!$I$65=1,MAX(G4624,Assumptions!$G$65)+Assumptions!$F$65+$C$4625,Assumptions!$E$65))+G4751*IF(G4752=1,$C$4626,IF(Assumptions!$I$66=1,MAX(G4624,Assumptions!$G$66)+Assumptions!$F$66+$C$4625,Assumptions!$E$66))</f>
        <v>180.2096854</v>
      </c>
      <c r="H4631" s="16" t="n">
        <f aca="false">H4634*IF(OR(H4635=1,G4944=1),$C$4626,IF(Assumptions!$I$57=1,MAX(H4624,Assumptions!$G$57)+Assumptions!$F$57+$C$4625,Assumptions!$E$57))+H4647*IF(OR(H4648=1,G4945=1),$C$4626,IF(Assumptions!$I$58=1,MAX(H4624,Assumptions!$G$58)+Assumptions!$F$58+$C$4625,Assumptions!$E$58))+H4660*IF(OR(H4661=1,G4946=1),$C$4626,IF(Assumptions!$I$59=1,MAX(H4624,Assumptions!$G$59)+Assumptions!$F$59+$C$4625,Assumptions!$E$59))+H4673*IF(OR(H4674=1,G4947=1),$C$4626,IF(Assumptions!$I$60=1,MAX(H4624,Assumptions!$G$60)+Assumptions!$F$60+$C$4625,Assumptions!$E$60))+H4686*IF(OR(H4687=1,G4948=1),$C$4626,IF(Assumptions!$I$61=1,MAX(H4624,Assumptions!$G$61)+Assumptions!$F$61+$C$4625,Assumptions!$E$61))+H4699*IF(OR(H4700=1,G4949=1),$C$4626,IF(Assumptions!$I$62=1,MAX(H4624,Assumptions!$G$62)+Assumptions!$F$62+$C$4625,Assumptions!$E$62))+H4712*IF(OR(H4713=1,G4950=1),$C$4626,IF(Assumptions!$I$63=1,MAX(H4624,Assumptions!$G$63)+Assumptions!$F$63+$C$4625,Assumptions!$E$63))+H4725*IF(OR(H4726=1,G4951=1),$C$4626,IF(Assumptions!$I$64=1,MAX(H4624,Assumptions!$G$64)+Assumptions!$F$64+$C$4625,Assumptions!$E$64))+H4738*IF(OR(H4739=1,G4952=1),$C$4626,IF(Assumptions!$I$65=1,MAX(H4624,Assumptions!$G$65)+Assumptions!$F$65+$C$4625,Assumptions!$E$65))+H4751*IF(OR(H4752=1,G4953=1),$C$4626,IF(Assumptions!$I$66=1,MAX(H4624,Assumptions!$G$66)+Assumptions!$F$66+$C$4625,Assumptions!$E$66))</f>
        <v>196.3067704</v>
      </c>
      <c r="I4631" s="16" t="n">
        <f aca="false">I4634*IF(OR(I4635=1,H4944=1),$C$4626,IF(Assumptions!$I$57=1,MAX(I4624,Assumptions!$G$57)+Assumptions!$F$57+$C$4625,Assumptions!$E$57))+I4647*IF(OR(I4648=1,H4945=1),$C$4626,IF(Assumptions!$I$58=1,MAX(I4624,Assumptions!$G$58)+Assumptions!$F$58+$C$4625,Assumptions!$E$58))+I4660*IF(OR(I4661=1,H4946=1),$C$4626,IF(Assumptions!$I$59=1,MAX(I4624,Assumptions!$G$59)+Assumptions!$F$59+$C$4625,Assumptions!$E$59))+I4673*IF(OR(I4674=1,H4947=1),$C$4626,IF(Assumptions!$I$60=1,MAX(I4624,Assumptions!$G$60)+Assumptions!$F$60+$C$4625,Assumptions!$E$60))+I4686*IF(OR(I4687=1,H4948=1),$C$4626,IF(Assumptions!$I$61=1,MAX(I4624,Assumptions!$G$61)+Assumptions!$F$61+$C$4625,Assumptions!$E$61))+I4699*IF(OR(I4700=1,H4949=1),$C$4626,IF(Assumptions!$I$62=1,MAX(I4624,Assumptions!$G$62)+Assumptions!$F$62+$C$4625,Assumptions!$E$62))+I4712*IF(OR(I4713=1,H4950=1),$C$4626,IF(Assumptions!$I$63=1,MAX(I4624,Assumptions!$G$63)+Assumptions!$F$63+$C$4625,Assumptions!$E$63))+I4725*IF(OR(I4726=1,H4951=1),$C$4626,IF(Assumptions!$I$64=1,MAX(I4624,Assumptions!$G$64)+Assumptions!$F$64+$C$4625,Assumptions!$E$64))+I4738*IF(OR(I4739=1,H4952=1),$C$4626,IF(Assumptions!$I$65=1,MAX(I4624,Assumptions!$G$65)+Assumptions!$F$65+$C$4625,Assumptions!$E$65))+I4751*IF(OR(I4752=1,H4953=1),$C$4626,IF(Assumptions!$I$66=1,MAX(I4624,Assumptions!$G$66)+Assumptions!$F$66+$C$4625,Assumptions!$E$66))</f>
        <v>183.451193076624</v>
      </c>
      <c r="J4631" s="16" t="n">
        <f aca="false">J4634*IF(OR(J4635=1,I4944=1),$C$4626,IF(Assumptions!$I$57=1,MAX(J4624,Assumptions!$G$57)+Assumptions!$F$57+$C$4625,Assumptions!$E$57))+J4647*IF(OR(J4648=1,I4945=1),$C$4626,IF(Assumptions!$I$58=1,MAX(J4624,Assumptions!$G$58)+Assumptions!$F$58+$C$4625,Assumptions!$E$58))+J4660*IF(OR(J4661=1,I4946=1),$C$4626,IF(Assumptions!$I$59=1,MAX(J4624,Assumptions!$G$59)+Assumptions!$F$59+$C$4625,Assumptions!$E$59))+J4673*IF(OR(J4674=1,I4947=1),$C$4626,IF(Assumptions!$I$60=1,MAX(J4624,Assumptions!$G$60)+Assumptions!$F$60+$C$4625,Assumptions!$E$60))+J4686*IF(OR(J4687=1,I4948=1),$C$4626,IF(Assumptions!$I$61=1,MAX(J4624,Assumptions!$G$61)+Assumptions!$F$61+$C$4625,Assumptions!$E$61))+J4699*IF(OR(J4700=1,I4949=1),$C$4626,IF(Assumptions!$I$62=1,MAX(J4624,Assumptions!$G$62)+Assumptions!$F$62+$C$4625,Assumptions!$E$62))+J4712*IF(OR(J4713=1,I4950=1),$C$4626,IF(Assumptions!$I$63=1,MAX(J4624,Assumptions!$G$63)+Assumptions!$F$63+$C$4625,Assumptions!$E$63))+J4725*IF(OR(J4726=1,I4951=1),$C$4626,IF(Assumptions!$I$64=1,MAX(J4624,Assumptions!$G$64)+Assumptions!$F$64+$C$4625,Assumptions!$E$64))+J4738*IF(OR(J4739=1,I4952=1),$C$4626,IF(Assumptions!$I$65=1,MAX(J4624,Assumptions!$G$65)+Assumptions!$F$65+$C$4625,Assumptions!$E$65))+J4751*IF(OR(J4752=1,I4953=1),$C$4626,IF(Assumptions!$I$66=1,MAX(J4624,Assumptions!$G$66)+Assumptions!$F$66+$C$4625,Assumptions!$E$66))</f>
        <v>198.66082074386</v>
      </c>
      <c r="K4631" s="16" t="n">
        <f aca="false">K4634*IF(OR(K4635=1,J4944=1),$C$4626,IF(Assumptions!$I$57=1,MAX(K4624,Assumptions!$G$57)+Assumptions!$F$57+$C$4625,Assumptions!$E$57))+K4647*IF(OR(K4648=1,J4945=1),$C$4626,IF(Assumptions!$I$58=1,MAX(K4624,Assumptions!$G$58)+Assumptions!$F$58+$C$4625,Assumptions!$E$58))+K4660*IF(OR(K4661=1,J4946=1),$C$4626,IF(Assumptions!$I$59=1,MAX(K4624,Assumptions!$G$59)+Assumptions!$F$59+$C$4625,Assumptions!$E$59))+K4673*IF(OR(K4674=1,J4947=1),$C$4626,IF(Assumptions!$I$60=1,MAX(K4624,Assumptions!$G$60)+Assumptions!$F$60+$C$4625,Assumptions!$E$60))+K4686*IF(OR(K4687=1,J4948=1),$C$4626,IF(Assumptions!$I$61=1,MAX(K4624,Assumptions!$G$61)+Assumptions!$F$61+$C$4625,Assumptions!$E$61))+K4699*IF(OR(K4700=1,J4949=1),$C$4626,IF(Assumptions!$I$62=1,MAX(K4624,Assumptions!$G$62)+Assumptions!$F$62+$C$4625,Assumptions!$E$62))+K4712*IF(OR(K4713=1,J4950=1),$C$4626,IF(Assumptions!$I$63=1,MAX(K4624,Assumptions!$G$63)+Assumptions!$F$63+$C$4625,Assumptions!$E$63))+K4725*IF(OR(K4726=1,J4951=1),$C$4626,IF(Assumptions!$I$64=1,MAX(K4624,Assumptions!$G$64)+Assumptions!$F$64+$C$4625,Assumptions!$E$64))+K4738*IF(OR(K4739=1,J4952=1),$C$4626,IF(Assumptions!$I$65=1,MAX(K4624,Assumptions!$G$65)+Assumptions!$F$65+$C$4625,Assumptions!$E$65))+K4751*IF(OR(K4752=1,J4953=1),$C$4626,IF(Assumptions!$I$66=1,MAX(K4624,Assumptions!$G$66)+Assumptions!$F$66+$C$4625,Assumptions!$E$66))</f>
        <v>206.126220999512</v>
      </c>
    </row>
    <row r="4632" customFormat="false" ht="15" hidden="false" customHeight="false" outlineLevel="0" collapsed="false">
      <c r="A4632" s="3" t="s">
        <v>327</v>
      </c>
      <c r="G4632" s="21" t="n">
        <f aca="false">IF(G4608&lt;=0,0,IF(AND((G4629-G4630)/G4608&lt;=$C$4627,G4608/G4631&gt;=$C$4628),1,0))</f>
        <v>1</v>
      </c>
      <c r="H4632" s="21" t="n">
        <f aca="false">IF(H4608&lt;=0,0,IF(AND((H4629-H4630)/H4608&lt;=$C$4627,H4608/H4631&gt;=$C$4628),1,0))</f>
        <v>1</v>
      </c>
      <c r="I4632" s="21" t="n">
        <f aca="false">IF(I4608&lt;=0,0,IF(AND((I4629-I4630)/I4608&lt;=$C$4627,I4608/I4631&gt;=$C$4628),1,0))</f>
        <v>1</v>
      </c>
      <c r="J4632" s="21" t="n">
        <f aca="false">IF(J4608&lt;=0,0,IF(AND((J4629-J4630)/J4608&lt;=$C$4627,J4608/J4631&gt;=$C$4628),1,0))</f>
        <v>1</v>
      </c>
      <c r="K4632" s="21" t="n">
        <f aca="false">IF(K4608&lt;=0,0,IF(AND((K4629-K4630)/K4608&lt;=$C$4627,K4608/K4631&gt;=$C$4628),1,0))</f>
        <v>1</v>
      </c>
    </row>
    <row r="4633" customFormat="false" ht="15" hidden="false" customHeight="false" outlineLevel="0" collapsed="false">
      <c r="A4633" s="24" t="s">
        <v>328</v>
      </c>
      <c r="B4633" s="25"/>
      <c r="C4633" s="25"/>
      <c r="D4633" s="25"/>
      <c r="E4633" s="25"/>
      <c r="F4633" s="25"/>
      <c r="G4633" s="25"/>
      <c r="H4633" s="25"/>
      <c r="I4633" s="25"/>
      <c r="J4633" s="25"/>
      <c r="K4633" s="25"/>
    </row>
    <row r="4634" customFormat="false" ht="15" hidden="false" customHeight="false" outlineLevel="0" collapsed="false">
      <c r="A4634" s="3" t="s">
        <v>329</v>
      </c>
      <c r="G4634" s="16" t="n">
        <f aca="false">F4645</f>
        <v>400</v>
      </c>
      <c r="H4634" s="16" t="n">
        <f aca="false">G4645</f>
        <v>396</v>
      </c>
      <c r="I4634" s="16" t="n">
        <f aca="false">H4645</f>
        <v>392</v>
      </c>
      <c r="J4634" s="16" t="n">
        <f aca="false">I4645</f>
        <v>388</v>
      </c>
      <c r="K4634" s="16" t="n">
        <f aca="false">J4645</f>
        <v>384</v>
      </c>
    </row>
    <row r="4635" customFormat="false" ht="15" hidden="false" customHeight="false" outlineLevel="0" collapsed="false">
      <c r="A4635" s="3" t="s">
        <v>330</v>
      </c>
      <c r="G4635" s="21" t="n">
        <f aca="false">IF(G4598=Assumptions!$K$57,1,0)</f>
        <v>0</v>
      </c>
      <c r="H4635" s="21" t="n">
        <f aca="false">IF(H4598=Assumptions!$K$57,1,0)</f>
        <v>0</v>
      </c>
      <c r="I4635" s="21" t="n">
        <f aca="false">IF(I4598=Assumptions!$K$57,1,0)</f>
        <v>0</v>
      </c>
      <c r="J4635" s="21" t="n">
        <f aca="false">IF(J4598=Assumptions!$K$57,1,0)</f>
        <v>0</v>
      </c>
      <c r="K4635" s="21" t="n">
        <f aca="false">IF(K4598=Assumptions!$K$57,1,0)</f>
        <v>1</v>
      </c>
    </row>
    <row r="4637" customFormat="false" ht="15" hidden="false" customHeight="false" outlineLevel="0" collapsed="false">
      <c r="A4637" s="3" t="s">
        <v>331</v>
      </c>
      <c r="G4637" s="31" t="n">
        <f aca="false">IF(Assumptions!$I$57=1,MAX(G4624,Assumptions!$G$57)+Assumptions!$F$57+$C$4625,Assumptions!$E$57)</f>
        <v>0.0915</v>
      </c>
      <c r="H4637" s="31" t="n">
        <f aca="false">IF(G4944=1,$C$4626,IF(Assumptions!$I$57=1,MAX(H4624,Assumptions!$G$57)+Assumptions!$F$57+$C$4625,Assumptions!$E$57))</f>
        <v>0.09</v>
      </c>
      <c r="I4637" s="31" t="n">
        <f aca="false">IF(H4944=1,$C$4626,IF(Assumptions!$I$57=1,MAX(I4624,Assumptions!$G$57)+Assumptions!$F$57+$C$4625,Assumptions!$E$57))</f>
        <v>0.0875</v>
      </c>
      <c r="J4637" s="31" t="n">
        <f aca="false">IF(I4944=1,$C$4626,IF(Assumptions!$I$57=1,MAX(J4624,Assumptions!$G$57)+Assumptions!$F$57+$C$4625,Assumptions!$E$57))</f>
        <v>0.0875</v>
      </c>
      <c r="K4637" s="31" t="n">
        <f aca="false">IF(J4944=1,$C$4626,IF(Assumptions!$I$57=1,MAX(K4624,Assumptions!$G$57)+Assumptions!$F$57+$C$4625,Assumptions!$E$57))</f>
        <v>0.0875</v>
      </c>
    </row>
    <row r="4638" customFormat="false" ht="15" hidden="false" customHeight="false" outlineLevel="0" collapsed="false">
      <c r="A4638" s="3" t="s">
        <v>332</v>
      </c>
      <c r="G4638" s="16" t="n">
        <f aca="false">G4634*G4637</f>
        <v>36.6</v>
      </c>
      <c r="H4638" s="16" t="n">
        <f aca="false">H4634*H4637</f>
        <v>35.64</v>
      </c>
      <c r="I4638" s="16" t="n">
        <f aca="false">I4634*I4637</f>
        <v>34.3</v>
      </c>
      <c r="J4638" s="16" t="n">
        <f aca="false">J4634*J4637</f>
        <v>33.95</v>
      </c>
      <c r="K4638" s="16" t="n">
        <f aca="false">K4634*K4637</f>
        <v>33.6</v>
      </c>
    </row>
    <row r="4639" customFormat="false" ht="15" hidden="false" customHeight="false" outlineLevel="0" collapsed="false">
      <c r="A4639" s="3" t="s">
        <v>333</v>
      </c>
      <c r="G4639" s="16" t="n">
        <f aca="false">G4634*Assumptions!$H$57</f>
        <v>0</v>
      </c>
      <c r="H4639" s="16" t="n">
        <f aca="false">H4634*Assumptions!$H$57</f>
        <v>0</v>
      </c>
      <c r="I4639" s="16" t="n">
        <f aca="false">I4634*Assumptions!$H$57</f>
        <v>0</v>
      </c>
      <c r="J4639" s="16" t="n">
        <f aca="false">J4634*Assumptions!$H$57</f>
        <v>0</v>
      </c>
      <c r="K4639" s="16" t="n">
        <f aca="false">K4634*Assumptions!$H$57</f>
        <v>0</v>
      </c>
    </row>
    <row r="4640" customFormat="false" ht="15" hidden="false" customHeight="false" outlineLevel="0" collapsed="false">
      <c r="A4640" s="3" t="s">
        <v>334</v>
      </c>
      <c r="G4640" s="16" t="n">
        <f aca="false">MIN(G4634,Assumptions!$L$57*Assumptions!$C$57)</f>
        <v>4</v>
      </c>
      <c r="H4640" s="16" t="n">
        <f aca="false">MIN(H4634,Assumptions!$L$57*Assumptions!$C$57)</f>
        <v>4</v>
      </c>
      <c r="I4640" s="16" t="n">
        <f aca="false">MIN(I4634,Assumptions!$L$57*Assumptions!$C$57)</f>
        <v>4</v>
      </c>
      <c r="J4640" s="16" t="n">
        <f aca="false">MIN(J4634,Assumptions!$L$57*Assumptions!$C$57)</f>
        <v>4</v>
      </c>
      <c r="K4640" s="16" t="n">
        <f aca="false">MIN(K4634,Assumptions!$L$57*Assumptions!$C$57)</f>
        <v>4</v>
      </c>
    </row>
    <row r="4641" customFormat="false" ht="15" hidden="false" customHeight="false" outlineLevel="0" collapsed="false">
      <c r="A4641" s="3" t="s">
        <v>335</v>
      </c>
      <c r="G4641" s="16" t="n">
        <f aca="false">IF(AND(Assumptions!$P$57=1,G4598&lt;Assumptions!$K$57),MIN(MAX(0,-G4814),MAX(0,Assumptions!$D$57-G4634)),0)</f>
        <v>0</v>
      </c>
      <c r="H4641" s="16" t="n">
        <f aca="false">IF(AND(Assumptions!$P$57=1,OR(H4598&lt;Assumptions!$K$57,G4944=1)),MIN(MAX(0,-H4814),MAX(0,Assumptions!$D$57-H4634)),0)</f>
        <v>0</v>
      </c>
      <c r="I4641" s="16" t="n">
        <f aca="false">IF(AND(Assumptions!$P$57=1,OR(I4598&lt;Assumptions!$K$57,H4944=1)),MIN(MAX(0,-I4814),MAX(0,Assumptions!$D$57-I4634)),0)</f>
        <v>0</v>
      </c>
      <c r="J4641" s="16" t="n">
        <f aca="false">IF(AND(Assumptions!$P$57=1,OR(J4598&lt;Assumptions!$K$57,I4944=1)),MIN(MAX(0,-J4814),MAX(0,Assumptions!$D$57-J4634)),0)</f>
        <v>0</v>
      </c>
      <c r="K4641" s="16" t="n">
        <f aca="false">IF(AND(Assumptions!$P$57=1,OR(K4598&lt;Assumptions!$K$57,J4944=1)),MIN(MAX(0,-K4814),MAX(0,Assumptions!$D$57-K4634)),0)</f>
        <v>0</v>
      </c>
    </row>
    <row r="4642" customFormat="false" ht="15" hidden="false" customHeight="false" outlineLevel="0" collapsed="false">
      <c r="A4642" s="3" t="s">
        <v>336</v>
      </c>
      <c r="G4642" s="16" t="n">
        <f aca="false">G4635*MIN(G4634-G4640+G4639,MAX(0,G4816-Assumptions!$C$12*G4632))</f>
        <v>0</v>
      </c>
      <c r="H4642" s="16" t="n">
        <f aca="false">H4635*MIN(H4634-H4640+H4639,MAX(0,H4816-Assumptions!$C$12*H4632))</f>
        <v>0</v>
      </c>
      <c r="I4642" s="16" t="n">
        <f aca="false">I4635*MIN(I4634-I4640+I4639,MAX(0,I4816-Assumptions!$C$12*I4632))</f>
        <v>0</v>
      </c>
      <c r="J4642" s="16" t="n">
        <f aca="false">J4635*MIN(J4634-J4640+J4639,MAX(0,J4816-Assumptions!$C$12*J4632))</f>
        <v>0</v>
      </c>
      <c r="K4642" s="16" t="n">
        <f aca="false">K4635*MIN(K4634-K4640+K4639,MAX(0,K4816-Assumptions!$C$12*K4632))</f>
        <v>0</v>
      </c>
    </row>
    <row r="4643" customFormat="false" ht="15" hidden="false" customHeight="false" outlineLevel="0" collapsed="false">
      <c r="A4643" s="3" t="s">
        <v>337</v>
      </c>
      <c r="G4643" s="16" t="n">
        <f aca="false">Assumptions!$N$57*MIN(G4634+G4641+G4639-G4640-G4642,MAX(0,G4820))</f>
        <v>0</v>
      </c>
      <c r="H4643" s="16" t="n">
        <f aca="false">Assumptions!$N$57*MIN(H4634+H4641+H4639-H4640-H4642,MAX(0,H4820))</f>
        <v>0</v>
      </c>
      <c r="I4643" s="16" t="n">
        <f aca="false">Assumptions!$N$57*MIN(I4634+I4641+I4639-I4640-I4642,MAX(0,I4820))</f>
        <v>0</v>
      </c>
      <c r="J4643" s="16" t="n">
        <f aca="false">Assumptions!$N$57*MIN(J4634+J4641+J4639-J4640-J4642,MAX(0,J4820))</f>
        <v>0</v>
      </c>
      <c r="K4643" s="16" t="n">
        <f aca="false">Assumptions!$N$57*MIN(K4634+K4641+K4639-K4640-K4642,MAX(0,K4820))</f>
        <v>0</v>
      </c>
    </row>
    <row r="4644" customFormat="false" ht="15" hidden="false" customHeight="false" outlineLevel="0" collapsed="false">
      <c r="A4644" s="3" t="s">
        <v>338</v>
      </c>
      <c r="G4644" s="16" t="n">
        <f aca="false">G4635*(1-G4632)*(G4634-G4640+G4639-G4642)</f>
        <v>0</v>
      </c>
      <c r="H4644" s="16" t="n">
        <f aca="false">H4635*(1-H4632)*(H4634-H4640+H4639-H4642)</f>
        <v>0</v>
      </c>
      <c r="I4644" s="16" t="n">
        <f aca="false">I4635*(1-I4632)*(I4634-I4640+I4639-I4642)</f>
        <v>0</v>
      </c>
      <c r="J4644" s="16" t="n">
        <f aca="false">J4635*(1-J4632)*(J4634-J4640+J4639-J4642)</f>
        <v>0</v>
      </c>
      <c r="K4644" s="16" t="n">
        <f aca="false">K4635*(1-K4632)*(K4634-K4640+K4639-K4642)</f>
        <v>0</v>
      </c>
    </row>
    <row r="4645" customFormat="false" ht="15" hidden="false" customHeight="false" outlineLevel="0" collapsed="false">
      <c r="A4645" s="2" t="s">
        <v>339</v>
      </c>
      <c r="F4645" s="28" t="n">
        <f aca="false">Assumptions!$C$57</f>
        <v>400</v>
      </c>
      <c r="G4645" s="17" t="n">
        <f aca="false">G4634+G4641+G4639-G4640-G4642-G4643</f>
        <v>396</v>
      </c>
      <c r="H4645" s="17" t="n">
        <f aca="false">H4634+H4641+H4639-H4640-H4642-H4643</f>
        <v>392</v>
      </c>
      <c r="I4645" s="17" t="n">
        <f aca="false">I4634+I4641+I4639-I4640-I4642-I4643</f>
        <v>388</v>
      </c>
      <c r="J4645" s="17" t="n">
        <f aca="false">J4634+J4641+J4639-J4640-J4642-J4643</f>
        <v>384</v>
      </c>
      <c r="K4645" s="17" t="n">
        <f aca="false">K4634+K4641+K4639-K4640-K4642-K4643</f>
        <v>380</v>
      </c>
    </row>
    <row r="4646" customFormat="false" ht="15" hidden="false" customHeight="false" outlineLevel="0" collapsed="false">
      <c r="A4646" s="24" t="s">
        <v>340</v>
      </c>
      <c r="B4646" s="25"/>
      <c r="C4646" s="25"/>
      <c r="D4646" s="25"/>
      <c r="E4646" s="25"/>
      <c r="F4646" s="25"/>
      <c r="G4646" s="25"/>
      <c r="H4646" s="25"/>
      <c r="I4646" s="25"/>
      <c r="J4646" s="25"/>
      <c r="K4646" s="25"/>
    </row>
    <row r="4647" customFormat="false" ht="15" hidden="false" customHeight="false" outlineLevel="0" collapsed="false">
      <c r="A4647" s="3" t="s">
        <v>329</v>
      </c>
      <c r="G4647" s="16" t="n">
        <f aca="false">F4658</f>
        <v>90</v>
      </c>
      <c r="H4647" s="16" t="n">
        <f aca="false">G4658</f>
        <v>90</v>
      </c>
      <c r="I4647" s="16" t="n">
        <f aca="false">H4658</f>
        <v>90</v>
      </c>
      <c r="J4647" s="16" t="n">
        <f aca="false">I4658</f>
        <v>90</v>
      </c>
      <c r="K4647" s="16" t="n">
        <f aca="false">J4658</f>
        <v>90</v>
      </c>
    </row>
    <row r="4648" customFormat="false" ht="15" hidden="false" customHeight="false" outlineLevel="0" collapsed="false">
      <c r="A4648" s="3" t="s">
        <v>330</v>
      </c>
      <c r="G4648" s="21" t="n">
        <f aca="false">IF(G4598=Assumptions!$K$58,1,0)</f>
        <v>0</v>
      </c>
      <c r="H4648" s="21" t="n">
        <f aca="false">IF(H4598=Assumptions!$K$58,1,0)</f>
        <v>0</v>
      </c>
      <c r="I4648" s="21" t="n">
        <f aca="false">IF(I4598=Assumptions!$K$58,1,0)</f>
        <v>0</v>
      </c>
      <c r="J4648" s="21" t="n">
        <f aca="false">IF(J4598=Assumptions!$K$58,1,0)</f>
        <v>0</v>
      </c>
      <c r="K4648" s="21" t="n">
        <f aca="false">IF(K4598=Assumptions!$K$58,1,0)</f>
        <v>0</v>
      </c>
    </row>
    <row r="4650" customFormat="false" ht="15" hidden="false" customHeight="false" outlineLevel="0" collapsed="false">
      <c r="A4650" s="3" t="s">
        <v>331</v>
      </c>
      <c r="G4650" s="31" t="n">
        <f aca="false">IF(Assumptions!$I$58=1,MAX(G4624,Assumptions!$G$58)+Assumptions!$F$58+$C$4625,Assumptions!$E$58)</f>
        <v>0.0581</v>
      </c>
      <c r="H4650" s="31" t="n">
        <f aca="false">IF(G4945=1,$C$4626,IF(Assumptions!$I$58=1,MAX(H4624,Assumptions!$G$58)+Assumptions!$F$58+$C$4625,Assumptions!$E$58))</f>
        <v>0.0581</v>
      </c>
      <c r="I4650" s="31" t="n">
        <f aca="false">IF(H4945=1,$C$4626,IF(Assumptions!$I$58=1,MAX(I4624,Assumptions!$G$58)+Assumptions!$F$58+$C$4625,Assumptions!$E$58))</f>
        <v>0.0581</v>
      </c>
      <c r="J4650" s="31" t="n">
        <f aca="false">IF(I4945=1,$C$4626,IF(Assumptions!$I$58=1,MAX(J4624,Assumptions!$G$58)+Assumptions!$F$58+$C$4625,Assumptions!$E$58))</f>
        <v>0.0581</v>
      </c>
      <c r="K4650" s="31" t="n">
        <f aca="false">IF(J4945=1,$C$4626,IF(Assumptions!$I$58=1,MAX(K4624,Assumptions!$G$58)+Assumptions!$F$58+$C$4625,Assumptions!$E$58))</f>
        <v>0.0581</v>
      </c>
    </row>
    <row r="4651" customFormat="false" ht="15" hidden="false" customHeight="false" outlineLevel="0" collapsed="false">
      <c r="A4651" s="3" t="s">
        <v>332</v>
      </c>
      <c r="G4651" s="16" t="n">
        <f aca="false">G4647*G4650</f>
        <v>5.229</v>
      </c>
      <c r="H4651" s="16" t="n">
        <f aca="false">H4647*H4650</f>
        <v>5.229</v>
      </c>
      <c r="I4651" s="16" t="n">
        <f aca="false">I4647*I4650</f>
        <v>5.229</v>
      </c>
      <c r="J4651" s="16" t="n">
        <f aca="false">J4647*J4650</f>
        <v>5.229</v>
      </c>
      <c r="K4651" s="16" t="n">
        <f aca="false">K4647*K4650</f>
        <v>5.229</v>
      </c>
    </row>
    <row r="4652" customFormat="false" ht="15" hidden="false" customHeight="false" outlineLevel="0" collapsed="false">
      <c r="A4652" s="3" t="s">
        <v>333</v>
      </c>
      <c r="G4652" s="16" t="n">
        <f aca="false">G4647*Assumptions!$H$58</f>
        <v>0</v>
      </c>
      <c r="H4652" s="16" t="n">
        <f aca="false">H4647*Assumptions!$H$58</f>
        <v>0</v>
      </c>
      <c r="I4652" s="16" t="n">
        <f aca="false">I4647*Assumptions!$H$58</f>
        <v>0</v>
      </c>
      <c r="J4652" s="16" t="n">
        <f aca="false">J4647*Assumptions!$H$58</f>
        <v>0</v>
      </c>
      <c r="K4652" s="16" t="n">
        <f aca="false">K4647*Assumptions!$H$58</f>
        <v>0</v>
      </c>
    </row>
    <row r="4653" customFormat="false" ht="15" hidden="false" customHeight="false" outlineLevel="0" collapsed="false">
      <c r="A4653" s="3" t="s">
        <v>334</v>
      </c>
      <c r="G4653" s="16" t="n">
        <f aca="false">MIN(G4647,Assumptions!$L$58*Assumptions!$C$58)</f>
        <v>0</v>
      </c>
      <c r="H4653" s="16" t="n">
        <f aca="false">MIN(H4647,Assumptions!$L$58*Assumptions!$C$58)</f>
        <v>0</v>
      </c>
      <c r="I4653" s="16" t="n">
        <f aca="false">MIN(I4647,Assumptions!$L$58*Assumptions!$C$58)</f>
        <v>0</v>
      </c>
      <c r="J4653" s="16" t="n">
        <f aca="false">MIN(J4647,Assumptions!$L$58*Assumptions!$C$58)</f>
        <v>0</v>
      </c>
      <c r="K4653" s="16" t="n">
        <f aca="false">MIN(K4647,Assumptions!$L$58*Assumptions!$C$58)</f>
        <v>0</v>
      </c>
    </row>
    <row r="4654" customFormat="false" ht="15" hidden="false" customHeight="false" outlineLevel="0" collapsed="false">
      <c r="A4654" s="3" t="s">
        <v>335</v>
      </c>
      <c r="G4654" s="16" t="n">
        <f aca="false">IF(AND(Assumptions!$P$58=1,G4598&lt;Assumptions!$K$58),MIN(MAX(0,-G4814),MAX(0,Assumptions!$D$58-G4647)),0)</f>
        <v>0</v>
      </c>
      <c r="H4654" s="16" t="n">
        <f aca="false">IF(AND(Assumptions!$P$58=1,OR(H4598&lt;Assumptions!$K$58,G4945=1)),MIN(MAX(0,-H4814),MAX(0,Assumptions!$D$58-H4647)),0)</f>
        <v>0</v>
      </c>
      <c r="I4654" s="16" t="n">
        <f aca="false">IF(AND(Assumptions!$P$58=1,OR(I4598&lt;Assumptions!$K$58,H4945=1)),MIN(MAX(0,-I4814),MAX(0,Assumptions!$D$58-I4647)),0)</f>
        <v>0</v>
      </c>
      <c r="J4654" s="16" t="n">
        <f aca="false">IF(AND(Assumptions!$P$58=1,OR(J4598&lt;Assumptions!$K$58,I4945=1)),MIN(MAX(0,-J4814),MAX(0,Assumptions!$D$58-J4647)),0)</f>
        <v>0</v>
      </c>
      <c r="K4654" s="16" t="n">
        <f aca="false">IF(AND(Assumptions!$P$58=1,OR(K4598&lt;Assumptions!$K$58,J4945=1)),MIN(MAX(0,-K4814),MAX(0,Assumptions!$D$58-K4647)),0)</f>
        <v>0</v>
      </c>
    </row>
    <row r="4655" customFormat="false" ht="15" hidden="false" customHeight="false" outlineLevel="0" collapsed="false">
      <c r="A4655" s="3" t="s">
        <v>336</v>
      </c>
      <c r="G4655" s="16" t="n">
        <f aca="false">G4648*MIN(G4647-G4653+G4652,MAX(0,G4816-Assumptions!$C$12*G4632-G4642))</f>
        <v>0</v>
      </c>
      <c r="H4655" s="16" t="n">
        <f aca="false">H4648*MIN(H4647-H4653+H4652,MAX(0,H4816-Assumptions!$C$12*H4632-H4642))</f>
        <v>0</v>
      </c>
      <c r="I4655" s="16" t="n">
        <f aca="false">I4648*MIN(I4647-I4653+I4652,MAX(0,I4816-Assumptions!$C$12*I4632-I4642))</f>
        <v>0</v>
      </c>
      <c r="J4655" s="16" t="n">
        <f aca="false">J4648*MIN(J4647-J4653+J4652,MAX(0,J4816-Assumptions!$C$12*J4632-J4642))</f>
        <v>0</v>
      </c>
      <c r="K4655" s="16" t="n">
        <f aca="false">K4648*MIN(K4647-K4653+K4652,MAX(0,K4816-Assumptions!$C$12*K4632-K4642))</f>
        <v>0</v>
      </c>
    </row>
    <row r="4656" customFormat="false" ht="15" hidden="false" customHeight="false" outlineLevel="0" collapsed="false">
      <c r="A4656" s="3" t="s">
        <v>337</v>
      </c>
      <c r="G4656" s="16" t="n">
        <f aca="false">Assumptions!$N$58*MIN(G4647+G4654+G4652-G4653-G4655,MAX(0,G4820-G4643))</f>
        <v>0</v>
      </c>
      <c r="H4656" s="16" t="n">
        <f aca="false">Assumptions!$N$58*MIN(H4647+H4654+H4652-H4653-H4655,MAX(0,H4820-H4643))</f>
        <v>0</v>
      </c>
      <c r="I4656" s="16" t="n">
        <f aca="false">Assumptions!$N$58*MIN(I4647+I4654+I4652-I4653-I4655,MAX(0,I4820-I4643))</f>
        <v>0</v>
      </c>
      <c r="J4656" s="16" t="n">
        <f aca="false">Assumptions!$N$58*MIN(J4647+J4654+J4652-J4653-J4655,MAX(0,J4820-J4643))</f>
        <v>0</v>
      </c>
      <c r="K4656" s="16" t="n">
        <f aca="false">Assumptions!$N$58*MIN(K4647+K4654+K4652-K4653-K4655,MAX(0,K4820-K4643))</f>
        <v>0</v>
      </c>
    </row>
    <row r="4657" customFormat="false" ht="15" hidden="false" customHeight="false" outlineLevel="0" collapsed="false">
      <c r="A4657" s="3" t="s">
        <v>338</v>
      </c>
      <c r="G4657" s="16" t="n">
        <f aca="false">G4648*(1-G4632)*(G4647-G4653+G4652-G4655)</f>
        <v>0</v>
      </c>
      <c r="H4657" s="16" t="n">
        <f aca="false">H4648*(1-H4632)*(H4647-H4653+H4652-H4655)</f>
        <v>0</v>
      </c>
      <c r="I4657" s="16" t="n">
        <f aca="false">I4648*(1-I4632)*(I4647-I4653+I4652-I4655)</f>
        <v>0</v>
      </c>
      <c r="J4657" s="16" t="n">
        <f aca="false">J4648*(1-J4632)*(J4647-J4653+J4652-J4655)</f>
        <v>0</v>
      </c>
      <c r="K4657" s="16" t="n">
        <f aca="false">K4648*(1-K4632)*(K4647-K4653+K4652-K4655)</f>
        <v>0</v>
      </c>
    </row>
    <row r="4658" customFormat="false" ht="15" hidden="false" customHeight="false" outlineLevel="0" collapsed="false">
      <c r="A4658" s="2" t="s">
        <v>339</v>
      </c>
      <c r="F4658" s="28" t="n">
        <f aca="false">Assumptions!$C$58</f>
        <v>90</v>
      </c>
      <c r="G4658" s="17" t="n">
        <f aca="false">G4647+G4654+G4652-G4653-G4655-G4656</f>
        <v>90</v>
      </c>
      <c r="H4658" s="17" t="n">
        <f aca="false">H4647+H4654+H4652-H4653-H4655-H4656</f>
        <v>90</v>
      </c>
      <c r="I4658" s="17" t="n">
        <f aca="false">I4647+I4654+I4652-I4653-I4655-I4656</f>
        <v>90</v>
      </c>
      <c r="J4658" s="17" t="n">
        <f aca="false">J4647+J4654+J4652-J4653-J4655-J4656</f>
        <v>90</v>
      </c>
      <c r="K4658" s="17" t="n">
        <f aca="false">K4647+K4654+K4652-K4653-K4655-K4656</f>
        <v>90</v>
      </c>
    </row>
    <row r="4659" customFormat="false" ht="15" hidden="false" customHeight="false" outlineLevel="0" collapsed="false">
      <c r="A4659" s="24" t="s">
        <v>341</v>
      </c>
      <c r="B4659" s="25"/>
      <c r="C4659" s="25"/>
      <c r="D4659" s="25"/>
      <c r="E4659" s="25"/>
      <c r="F4659" s="25"/>
      <c r="G4659" s="25"/>
      <c r="H4659" s="25"/>
      <c r="I4659" s="25"/>
      <c r="J4659" s="25"/>
      <c r="K4659" s="25"/>
    </row>
    <row r="4660" customFormat="false" ht="15" hidden="false" customHeight="false" outlineLevel="0" collapsed="false">
      <c r="A4660" s="3" t="s">
        <v>329</v>
      </c>
      <c r="G4660" s="16" t="n">
        <f aca="false">F4671</f>
        <v>57.324</v>
      </c>
      <c r="H4660" s="16" t="n">
        <f aca="false">G4671</f>
        <v>57.324</v>
      </c>
      <c r="I4660" s="16" t="n">
        <f aca="false">H4671</f>
        <v>57.324</v>
      </c>
      <c r="J4660" s="16" t="n">
        <f aca="false">I4671</f>
        <v>57.324</v>
      </c>
      <c r="K4660" s="16" t="n">
        <f aca="false">J4671</f>
        <v>57.324</v>
      </c>
    </row>
    <row r="4661" customFormat="false" ht="15" hidden="false" customHeight="false" outlineLevel="0" collapsed="false">
      <c r="A4661" s="3" t="s">
        <v>330</v>
      </c>
      <c r="G4661" s="21" t="n">
        <f aca="false">IF(G4598=Assumptions!$K$59,1,0)</f>
        <v>0</v>
      </c>
      <c r="H4661" s="21" t="n">
        <f aca="false">IF(H4598=Assumptions!$K$59,1,0)</f>
        <v>0</v>
      </c>
      <c r="I4661" s="21" t="n">
        <f aca="false">IF(I4598=Assumptions!$K$59,1,0)</f>
        <v>0</v>
      </c>
      <c r="J4661" s="21" t="n">
        <f aca="false">IF(J4598=Assumptions!$K$59,1,0)</f>
        <v>0</v>
      </c>
      <c r="K4661" s="21" t="n">
        <f aca="false">IF(K4598=Assumptions!$K$59,1,0)</f>
        <v>0</v>
      </c>
    </row>
    <row r="4663" customFormat="false" ht="15" hidden="false" customHeight="false" outlineLevel="0" collapsed="false">
      <c r="A4663" s="3" t="s">
        <v>331</v>
      </c>
      <c r="G4663" s="31" t="n">
        <f aca="false">IF(Assumptions!$I$59=1,MAX(G4624,Assumptions!$G$59)+Assumptions!$F$59+$C$4625,Assumptions!$E$59)</f>
        <v>0.0731</v>
      </c>
      <c r="H4663" s="31" t="n">
        <f aca="false">IF(G4946=1,$C$4626,IF(Assumptions!$I$59=1,MAX(H4624,Assumptions!$G$59)+Assumptions!$F$59+$C$4625,Assumptions!$E$59))</f>
        <v>0.0731</v>
      </c>
      <c r="I4663" s="31" t="n">
        <f aca="false">IF(H4946=1,$C$4626,IF(Assumptions!$I$59=1,MAX(I4624,Assumptions!$G$59)+Assumptions!$F$59+$C$4625,Assumptions!$E$59))</f>
        <v>0.0731</v>
      </c>
      <c r="J4663" s="31" t="n">
        <f aca="false">IF(I4946=1,$C$4626,IF(Assumptions!$I$59=1,MAX(J4624,Assumptions!$G$59)+Assumptions!$F$59+$C$4625,Assumptions!$E$59))</f>
        <v>0.0731</v>
      </c>
      <c r="K4663" s="31" t="n">
        <f aca="false">IF(J4946=1,$C$4626,IF(Assumptions!$I$59=1,MAX(K4624,Assumptions!$G$59)+Assumptions!$F$59+$C$4625,Assumptions!$E$59))</f>
        <v>0.0731</v>
      </c>
    </row>
    <row r="4664" customFormat="false" ht="15" hidden="false" customHeight="false" outlineLevel="0" collapsed="false">
      <c r="A4664" s="3" t="s">
        <v>332</v>
      </c>
      <c r="G4664" s="16" t="n">
        <f aca="false">G4660*G4663</f>
        <v>4.1903844</v>
      </c>
      <c r="H4664" s="16" t="n">
        <f aca="false">H4660*H4663</f>
        <v>4.1903844</v>
      </c>
      <c r="I4664" s="16" t="n">
        <f aca="false">I4660*I4663</f>
        <v>4.1903844</v>
      </c>
      <c r="J4664" s="16" t="n">
        <f aca="false">J4660*J4663</f>
        <v>4.1903844</v>
      </c>
      <c r="K4664" s="16" t="n">
        <f aca="false">K4660*K4663</f>
        <v>4.1903844</v>
      </c>
    </row>
    <row r="4665" customFormat="false" ht="15" hidden="false" customHeight="false" outlineLevel="0" collapsed="false">
      <c r="A4665" s="3" t="s">
        <v>333</v>
      </c>
      <c r="G4665" s="16" t="n">
        <f aca="false">G4660*Assumptions!$H$59</f>
        <v>0</v>
      </c>
      <c r="H4665" s="16" t="n">
        <f aca="false">H4660*Assumptions!$H$59</f>
        <v>0</v>
      </c>
      <c r="I4665" s="16" t="n">
        <f aca="false">I4660*Assumptions!$H$59</f>
        <v>0</v>
      </c>
      <c r="J4665" s="16" t="n">
        <f aca="false">J4660*Assumptions!$H$59</f>
        <v>0</v>
      </c>
      <c r="K4665" s="16" t="n">
        <f aca="false">K4660*Assumptions!$H$59</f>
        <v>0</v>
      </c>
    </row>
    <row r="4666" customFormat="false" ht="15" hidden="false" customHeight="false" outlineLevel="0" collapsed="false">
      <c r="A4666" s="3" t="s">
        <v>334</v>
      </c>
      <c r="G4666" s="16" t="n">
        <f aca="false">MIN(G4660,Assumptions!$L$59*Assumptions!$C$59)</f>
        <v>0</v>
      </c>
      <c r="H4666" s="16" t="n">
        <f aca="false">MIN(H4660,Assumptions!$L$59*Assumptions!$C$59)</f>
        <v>0</v>
      </c>
      <c r="I4666" s="16" t="n">
        <f aca="false">MIN(I4660,Assumptions!$L$59*Assumptions!$C$59)</f>
        <v>0</v>
      </c>
      <c r="J4666" s="16" t="n">
        <f aca="false">MIN(J4660,Assumptions!$L$59*Assumptions!$C$59)</f>
        <v>0</v>
      </c>
      <c r="K4666" s="16" t="n">
        <f aca="false">MIN(K4660,Assumptions!$L$59*Assumptions!$C$59)</f>
        <v>0</v>
      </c>
    </row>
    <row r="4667" customFormat="false" ht="15" hidden="false" customHeight="false" outlineLevel="0" collapsed="false">
      <c r="A4667" s="3" t="s">
        <v>335</v>
      </c>
      <c r="G4667" s="16" t="n">
        <f aca="false">IF(AND(Assumptions!$P$59=1,G4598&lt;Assumptions!$K$59),MIN(MAX(0,-G4814),MAX(0,Assumptions!$D$59-G4660)),0)</f>
        <v>0</v>
      </c>
      <c r="H4667" s="16" t="n">
        <f aca="false">IF(AND(Assumptions!$P$59=1,OR(H4598&lt;Assumptions!$K$59,G4946=1)),MIN(MAX(0,-H4814),MAX(0,Assumptions!$D$59-H4660)),0)</f>
        <v>0</v>
      </c>
      <c r="I4667" s="16" t="n">
        <f aca="false">IF(AND(Assumptions!$P$59=1,OR(I4598&lt;Assumptions!$K$59,H4946=1)),MIN(MAX(0,-I4814),MAX(0,Assumptions!$D$59-I4660)),0)</f>
        <v>0</v>
      </c>
      <c r="J4667" s="16" t="n">
        <f aca="false">IF(AND(Assumptions!$P$59=1,OR(J4598&lt;Assumptions!$K$59,I4946=1)),MIN(MAX(0,-J4814),MAX(0,Assumptions!$D$59-J4660)),0)</f>
        <v>0</v>
      </c>
      <c r="K4667" s="16" t="n">
        <f aca="false">IF(AND(Assumptions!$P$59=1,OR(K4598&lt;Assumptions!$K$59,J4946=1)),MIN(MAX(0,-K4814),MAX(0,Assumptions!$D$59-K4660)),0)</f>
        <v>0</v>
      </c>
    </row>
    <row r="4668" customFormat="false" ht="15" hidden="false" customHeight="false" outlineLevel="0" collapsed="false">
      <c r="A4668" s="3" t="s">
        <v>336</v>
      </c>
      <c r="G4668" s="16" t="n">
        <f aca="false">G4661*MIN(G4660-G4666+G4665,MAX(0,G4816-Assumptions!$C$12*G4632-G4642-G4655))</f>
        <v>0</v>
      </c>
      <c r="H4668" s="16" t="n">
        <f aca="false">H4661*MIN(H4660-H4666+H4665,MAX(0,H4816-Assumptions!$C$12*H4632-H4642-H4655))</f>
        <v>0</v>
      </c>
      <c r="I4668" s="16" t="n">
        <f aca="false">I4661*MIN(I4660-I4666+I4665,MAX(0,I4816-Assumptions!$C$12*I4632-I4642-I4655))</f>
        <v>0</v>
      </c>
      <c r="J4668" s="16" t="n">
        <f aca="false">J4661*MIN(J4660-J4666+J4665,MAX(0,J4816-Assumptions!$C$12*J4632-J4642-J4655))</f>
        <v>0</v>
      </c>
      <c r="K4668" s="16" t="n">
        <f aca="false">K4661*MIN(K4660-K4666+K4665,MAX(0,K4816-Assumptions!$C$12*K4632-K4642-K4655))</f>
        <v>0</v>
      </c>
    </row>
    <row r="4669" customFormat="false" ht="15" hidden="false" customHeight="false" outlineLevel="0" collapsed="false">
      <c r="A4669" s="3" t="s">
        <v>337</v>
      </c>
      <c r="G4669" s="16" t="n">
        <f aca="false">Assumptions!$N$59*MIN(G4660+G4667+G4665-G4666-G4668,MAX(0,G4820-G4643-G4656))</f>
        <v>0</v>
      </c>
      <c r="H4669" s="16" t="n">
        <f aca="false">Assumptions!$N$59*MIN(H4660+H4667+H4665-H4666-H4668,MAX(0,H4820-H4643-H4656))</f>
        <v>0</v>
      </c>
      <c r="I4669" s="16" t="n">
        <f aca="false">Assumptions!$N$59*MIN(I4660+I4667+I4665-I4666-I4668,MAX(0,I4820-I4643-I4656))</f>
        <v>0</v>
      </c>
      <c r="J4669" s="16" t="n">
        <f aca="false">Assumptions!$N$59*MIN(J4660+J4667+J4665-J4666-J4668,MAX(0,J4820-J4643-J4656))</f>
        <v>0</v>
      </c>
      <c r="K4669" s="16" t="n">
        <f aca="false">Assumptions!$N$59*MIN(K4660+K4667+K4665-K4666-K4668,MAX(0,K4820-K4643-K4656))</f>
        <v>0</v>
      </c>
    </row>
    <row r="4670" customFormat="false" ht="15" hidden="false" customHeight="false" outlineLevel="0" collapsed="false">
      <c r="A4670" s="3" t="s">
        <v>338</v>
      </c>
      <c r="G4670" s="16" t="n">
        <f aca="false">G4661*(1-G4632)*(G4660-G4666+G4665-G4668)</f>
        <v>0</v>
      </c>
      <c r="H4670" s="16" t="n">
        <f aca="false">H4661*(1-H4632)*(H4660-H4666+H4665-H4668)</f>
        <v>0</v>
      </c>
      <c r="I4670" s="16" t="n">
        <f aca="false">I4661*(1-I4632)*(I4660-I4666+I4665-I4668)</f>
        <v>0</v>
      </c>
      <c r="J4670" s="16" t="n">
        <f aca="false">J4661*(1-J4632)*(J4660-J4666+J4665-J4668)</f>
        <v>0</v>
      </c>
      <c r="K4670" s="16" t="n">
        <f aca="false">K4661*(1-K4632)*(K4660-K4666+K4665-K4668)</f>
        <v>0</v>
      </c>
    </row>
    <row r="4671" customFormat="false" ht="15" hidden="false" customHeight="false" outlineLevel="0" collapsed="false">
      <c r="A4671" s="2" t="s">
        <v>339</v>
      </c>
      <c r="F4671" s="28" t="n">
        <f aca="false">Assumptions!$C$59</f>
        <v>57.324</v>
      </c>
      <c r="G4671" s="17" t="n">
        <f aca="false">G4660+G4667+G4665-G4666-G4668-G4669</f>
        <v>57.324</v>
      </c>
      <c r="H4671" s="17" t="n">
        <f aca="false">H4660+H4667+H4665-H4666-H4668-H4669</f>
        <v>57.324</v>
      </c>
      <c r="I4671" s="17" t="n">
        <f aca="false">I4660+I4667+I4665-I4666-I4668-I4669</f>
        <v>57.324</v>
      </c>
      <c r="J4671" s="17" t="n">
        <f aca="false">J4660+J4667+J4665-J4666-J4668-J4669</f>
        <v>57.324</v>
      </c>
      <c r="K4671" s="17" t="n">
        <f aca="false">K4660+K4667+K4665-K4666-K4668-K4669</f>
        <v>57.324</v>
      </c>
    </row>
    <row r="4672" customFormat="false" ht="15" hidden="false" customHeight="false" outlineLevel="0" collapsed="false">
      <c r="A4672" s="24" t="s">
        <v>342</v>
      </c>
      <c r="B4672" s="25"/>
      <c r="C4672" s="25"/>
      <c r="D4672" s="25"/>
      <c r="E4672" s="25"/>
      <c r="F4672" s="25"/>
      <c r="G4672" s="25"/>
      <c r="H4672" s="25"/>
      <c r="I4672" s="25"/>
      <c r="J4672" s="25"/>
      <c r="K4672" s="25"/>
    </row>
    <row r="4673" customFormat="false" ht="15" hidden="false" customHeight="false" outlineLevel="0" collapsed="false">
      <c r="A4673" s="3" t="s">
        <v>329</v>
      </c>
      <c r="G4673" s="16" t="n">
        <f aca="false">F4684</f>
        <v>0</v>
      </c>
      <c r="H4673" s="16" t="n">
        <f aca="false">G4684</f>
        <v>0</v>
      </c>
      <c r="I4673" s="16" t="n">
        <f aca="false">H4684</f>
        <v>0</v>
      </c>
      <c r="J4673" s="16" t="n">
        <f aca="false">I4684</f>
        <v>43.5578458404559</v>
      </c>
      <c r="K4673" s="16" t="n">
        <f aca="false">J4684</f>
        <v>106.937849036101</v>
      </c>
    </row>
    <row r="4674" customFormat="false" ht="15" hidden="false" customHeight="false" outlineLevel="0" collapsed="false">
      <c r="A4674" s="3" t="s">
        <v>330</v>
      </c>
      <c r="G4674" s="21" t="n">
        <f aca="false">IF(G4598=Assumptions!$K$60,1,0)</f>
        <v>1</v>
      </c>
      <c r="H4674" s="21" t="n">
        <f aca="false">IF(H4598=Assumptions!$K$60,1,0)</f>
        <v>0</v>
      </c>
      <c r="I4674" s="21" t="n">
        <f aca="false">IF(I4598=Assumptions!$K$60,1,0)</f>
        <v>0</v>
      </c>
      <c r="J4674" s="21" t="n">
        <f aca="false">IF(J4598=Assumptions!$K$60,1,0)</f>
        <v>0</v>
      </c>
      <c r="K4674" s="21" t="n">
        <f aca="false">IF(K4598=Assumptions!$K$60,1,0)</f>
        <v>0</v>
      </c>
    </row>
    <row r="4676" customFormat="false" ht="15" hidden="false" customHeight="false" outlineLevel="0" collapsed="false">
      <c r="A4676" s="3" t="s">
        <v>331</v>
      </c>
      <c r="G4676" s="31" t="n">
        <f aca="false">IF(Assumptions!$I$60=1,MAX(G4624,Assumptions!$G$60)+Assumptions!$F$60+$C$4625,Assumptions!$E$60)</f>
        <v>0.054</v>
      </c>
      <c r="H4676" s="31" t="n">
        <f aca="false">IF(G4947=1,$C$4626,IF(Assumptions!$I$60=1,MAX(H4624,Assumptions!$G$60)+Assumptions!$F$60+$C$4625,Assumptions!$E$60))</f>
        <v>0.08</v>
      </c>
      <c r="I4676" s="31" t="n">
        <f aca="false">IF(H4947=1,$C$4626,IF(Assumptions!$I$60=1,MAX(I4624,Assumptions!$G$60)+Assumptions!$F$60+$C$4625,Assumptions!$E$60))</f>
        <v>0.08</v>
      </c>
      <c r="J4676" s="31" t="n">
        <f aca="false">IF(I4947=1,$C$4626,IF(Assumptions!$I$60=1,MAX(J4624,Assumptions!$G$60)+Assumptions!$F$60+$C$4625,Assumptions!$E$60))</f>
        <v>0.08</v>
      </c>
      <c r="K4676" s="31" t="n">
        <f aca="false">IF(J4947=1,$C$4626,IF(Assumptions!$I$60=1,MAX(K4624,Assumptions!$G$60)+Assumptions!$F$60+$C$4625,Assumptions!$E$60))</f>
        <v>0.08</v>
      </c>
    </row>
    <row r="4677" customFormat="false" ht="15" hidden="false" customHeight="false" outlineLevel="0" collapsed="false">
      <c r="A4677" s="3" t="s">
        <v>332</v>
      </c>
      <c r="G4677" s="16" t="n">
        <f aca="false">G4673*G4676</f>
        <v>0</v>
      </c>
      <c r="H4677" s="16" t="n">
        <f aca="false">H4673*H4676</f>
        <v>0</v>
      </c>
      <c r="I4677" s="16" t="n">
        <f aca="false">I4673*I4676</f>
        <v>0</v>
      </c>
      <c r="J4677" s="16" t="n">
        <f aca="false">J4673*J4676</f>
        <v>3.48462766723648</v>
      </c>
      <c r="K4677" s="16" t="n">
        <f aca="false">K4673*K4676</f>
        <v>8.55502792288805</v>
      </c>
    </row>
    <row r="4678" customFormat="false" ht="15" hidden="false" customHeight="false" outlineLevel="0" collapsed="false">
      <c r="A4678" s="3" t="s">
        <v>333</v>
      </c>
      <c r="G4678" s="16" t="n">
        <f aca="false">G4673*Assumptions!$H$60</f>
        <v>0</v>
      </c>
      <c r="H4678" s="16" t="n">
        <f aca="false">H4673*Assumptions!$H$60</f>
        <v>0</v>
      </c>
      <c r="I4678" s="16" t="n">
        <f aca="false">I4673*Assumptions!$H$60</f>
        <v>0</v>
      </c>
      <c r="J4678" s="16" t="n">
        <f aca="false">J4673*Assumptions!$H$60</f>
        <v>0</v>
      </c>
      <c r="K4678" s="16" t="n">
        <f aca="false">K4673*Assumptions!$H$60</f>
        <v>0</v>
      </c>
    </row>
    <row r="4679" customFormat="false" ht="15" hidden="false" customHeight="false" outlineLevel="0" collapsed="false">
      <c r="A4679" s="3" t="s">
        <v>334</v>
      </c>
      <c r="G4679" s="16" t="n">
        <f aca="false">MIN(G4673,Assumptions!$L$60*Assumptions!$C$60)</f>
        <v>0</v>
      </c>
      <c r="H4679" s="16" t="n">
        <f aca="false">MIN(H4673,Assumptions!$L$60*Assumptions!$C$60)</f>
        <v>0</v>
      </c>
      <c r="I4679" s="16" t="n">
        <f aca="false">MIN(I4673,Assumptions!$L$60*Assumptions!$C$60)</f>
        <v>0</v>
      </c>
      <c r="J4679" s="16" t="n">
        <f aca="false">MIN(J4673,Assumptions!$L$60*Assumptions!$C$60)</f>
        <v>0</v>
      </c>
      <c r="K4679" s="16" t="n">
        <f aca="false">MIN(K4673,Assumptions!$L$60*Assumptions!$C$60)</f>
        <v>0</v>
      </c>
    </row>
    <row r="4680" customFormat="false" ht="15" hidden="false" customHeight="false" outlineLevel="0" collapsed="false">
      <c r="A4680" s="3" t="s">
        <v>335</v>
      </c>
      <c r="G4680" s="16" t="n">
        <f aca="false">IF(AND(Assumptions!$P$60=1,G4598&lt;Assumptions!$K$60),MIN(MAX(0,-G4814),MAX(0,Assumptions!$D$60-G4673)),0)</f>
        <v>0</v>
      </c>
      <c r="H4680" s="16" t="n">
        <f aca="false">IF(AND(Assumptions!$P$60=1,OR(H4598&lt;Assumptions!$K$60,G4947=1)),MIN(MAX(0,-H4814),MAX(0,Assumptions!$D$60-H4673)),0)</f>
        <v>0</v>
      </c>
      <c r="I4680" s="16" t="n">
        <f aca="false">IF(AND(Assumptions!$P$60=1,OR(I4598&lt;Assumptions!$K$60,H4947=1)),MIN(MAX(0,-I4814),MAX(0,Assumptions!$D$60-I4673)),0)</f>
        <v>43.5578458404559</v>
      </c>
      <c r="J4680" s="16" t="n">
        <f aca="false">IF(AND(Assumptions!$P$60=1,OR(J4598&lt;Assumptions!$K$60,I4947=1)),MIN(MAX(0,-J4814),MAX(0,Assumptions!$D$60-J4673)),0)</f>
        <v>63.3800031956447</v>
      </c>
      <c r="K4680" s="16" t="n">
        <f aca="false">IF(AND(Assumptions!$P$60=1,OR(K4598&lt;Assumptions!$K$60,J4947=1)),MIN(MAX(0,-K4814),MAX(0,Assumptions!$D$60-K4673)),0)</f>
        <v>76.5849166656612</v>
      </c>
    </row>
    <row r="4681" customFormat="false" ht="15" hidden="false" customHeight="false" outlineLevel="0" collapsed="false">
      <c r="A4681" s="3" t="s">
        <v>336</v>
      </c>
      <c r="G4681" s="16" t="n">
        <f aca="false">G4674*MIN(G4673-G4679+G4678,MAX(0,G4816-Assumptions!$C$12*G4632-G4642-G4655-G4668))</f>
        <v>0</v>
      </c>
      <c r="H4681" s="16" t="n">
        <f aca="false">H4674*MIN(H4673-H4679+H4678,MAX(0,H4816-Assumptions!$C$12*H4632-H4642-H4655-H4668))</f>
        <v>0</v>
      </c>
      <c r="I4681" s="16" t="n">
        <f aca="false">I4674*MIN(I4673-I4679+I4678,MAX(0,I4816-Assumptions!$C$12*I4632-I4642-I4655-I4668))</f>
        <v>0</v>
      </c>
      <c r="J4681" s="16" t="n">
        <f aca="false">J4674*MIN(J4673-J4679+J4678,MAX(0,J4816-Assumptions!$C$12*J4632-J4642-J4655-J4668))</f>
        <v>0</v>
      </c>
      <c r="K4681" s="16" t="n">
        <f aca="false">K4674*MIN(K4673-K4679+K4678,MAX(0,K4816-Assumptions!$C$12*K4632-K4642-K4655-K4668))</f>
        <v>0</v>
      </c>
    </row>
    <row r="4682" customFormat="false" ht="15" hidden="false" customHeight="false" outlineLevel="0" collapsed="false">
      <c r="A4682" s="3" t="s">
        <v>337</v>
      </c>
      <c r="G4682" s="16" t="n">
        <f aca="false">Assumptions!$N$60*MIN(G4673+G4680+G4678-G4679-G4681,MAX(0,G4820-G4643-G4656-G4669))</f>
        <v>0</v>
      </c>
      <c r="H4682" s="16" t="n">
        <f aca="false">Assumptions!$N$60*MIN(H4673+H4680+H4678-H4679-H4681,MAX(0,H4820-H4643-H4656-H4669))</f>
        <v>0</v>
      </c>
      <c r="I4682" s="16" t="n">
        <f aca="false">Assumptions!$N$60*MIN(I4673+I4680+I4678-I4679-I4681,MAX(0,I4820-I4643-I4656-I4669))</f>
        <v>0</v>
      </c>
      <c r="J4682" s="16" t="n">
        <f aca="false">Assumptions!$N$60*MIN(J4673+J4680+J4678-J4679-J4681,MAX(0,J4820-J4643-J4656-J4669))</f>
        <v>0</v>
      </c>
      <c r="K4682" s="16" t="n">
        <f aca="false">Assumptions!$N$60*MIN(K4673+K4680+K4678-K4679-K4681,MAX(0,K4820-K4643-K4656-K4669))</f>
        <v>0</v>
      </c>
    </row>
    <row r="4683" customFormat="false" ht="15" hidden="false" customHeight="false" outlineLevel="0" collapsed="false">
      <c r="A4683" s="3" t="s">
        <v>338</v>
      </c>
      <c r="G4683" s="16" t="n">
        <f aca="false">G4674*(1-G4632)*(G4673-G4679+G4678-G4681)</f>
        <v>0</v>
      </c>
      <c r="H4683" s="16" t="n">
        <f aca="false">H4674*(1-H4632)*(H4673-H4679+H4678-H4681)</f>
        <v>0</v>
      </c>
      <c r="I4683" s="16" t="n">
        <f aca="false">I4674*(1-I4632)*(I4673-I4679+I4678-I4681)</f>
        <v>0</v>
      </c>
      <c r="J4683" s="16" t="n">
        <f aca="false">J4674*(1-J4632)*(J4673-J4679+J4678-J4681)</f>
        <v>0</v>
      </c>
      <c r="K4683" s="16" t="n">
        <f aca="false">K4674*(1-K4632)*(K4673-K4679+K4678-K4681)</f>
        <v>0</v>
      </c>
    </row>
    <row r="4684" customFormat="false" ht="15" hidden="false" customHeight="false" outlineLevel="0" collapsed="false">
      <c r="A4684" s="2" t="s">
        <v>339</v>
      </c>
      <c r="F4684" s="28" t="n">
        <f aca="false">Assumptions!$C$60</f>
        <v>0</v>
      </c>
      <c r="G4684" s="17" t="n">
        <f aca="false">G4673+G4680+G4678-G4679-G4681-G4682</f>
        <v>0</v>
      </c>
      <c r="H4684" s="17" t="n">
        <f aca="false">H4673+H4680+H4678-H4679-H4681-H4682</f>
        <v>0</v>
      </c>
      <c r="I4684" s="17" t="n">
        <f aca="false">I4673+I4680+I4678-I4679-I4681-I4682</f>
        <v>43.5578458404559</v>
      </c>
      <c r="J4684" s="17" t="n">
        <f aca="false">J4673+J4680+J4678-J4679-J4681-J4682</f>
        <v>106.937849036101</v>
      </c>
      <c r="K4684" s="17" t="n">
        <f aca="false">K4673+K4680+K4678-K4679-K4681-K4682</f>
        <v>183.522765701762</v>
      </c>
    </row>
    <row r="4685" customFormat="false" ht="15" hidden="false" customHeight="false" outlineLevel="0" collapsed="false">
      <c r="A4685" s="24" t="s">
        <v>343</v>
      </c>
      <c r="B4685" s="25"/>
      <c r="C4685" s="25"/>
      <c r="D4685" s="25"/>
      <c r="E4685" s="25"/>
      <c r="F4685" s="25"/>
      <c r="G4685" s="25"/>
      <c r="H4685" s="25"/>
      <c r="I4685" s="25"/>
      <c r="J4685" s="25"/>
      <c r="K4685" s="25"/>
    </row>
    <row r="4686" customFormat="false" ht="15" hidden="false" customHeight="false" outlineLevel="0" collapsed="false">
      <c r="A4686" s="3" t="s">
        <v>329</v>
      </c>
      <c r="G4686" s="16" t="n">
        <f aca="false">F4697</f>
        <v>450</v>
      </c>
      <c r="H4686" s="16" t="n">
        <f aca="false">G4697</f>
        <v>450</v>
      </c>
      <c r="I4686" s="16" t="n">
        <f aca="false">H4697</f>
        <v>368.6680959578</v>
      </c>
      <c r="J4686" s="16" t="n">
        <f aca="false">I4697</f>
        <v>368.6680959578</v>
      </c>
      <c r="K4686" s="16" t="n">
        <f aca="false">J4697</f>
        <v>368.6680959578</v>
      </c>
    </row>
    <row r="4687" customFormat="false" ht="15" hidden="false" customHeight="false" outlineLevel="0" collapsed="false">
      <c r="A4687" s="3" t="s">
        <v>330</v>
      </c>
      <c r="G4687" s="21" t="n">
        <f aca="false">IF(G4598=Assumptions!$K$61,1,0)</f>
        <v>0</v>
      </c>
      <c r="H4687" s="21" t="n">
        <f aca="false">IF(H4598=Assumptions!$K$61,1,0)</f>
        <v>1</v>
      </c>
      <c r="I4687" s="21" t="n">
        <f aca="false">IF(I4598=Assumptions!$K$61,1,0)</f>
        <v>0</v>
      </c>
      <c r="J4687" s="21" t="n">
        <f aca="false">IF(J4598=Assumptions!$K$61,1,0)</f>
        <v>0</v>
      </c>
      <c r="K4687" s="21" t="n">
        <f aca="false">IF(K4598=Assumptions!$K$61,1,0)</f>
        <v>0</v>
      </c>
    </row>
    <row r="4689" customFormat="false" ht="15" hidden="false" customHeight="false" outlineLevel="0" collapsed="false">
      <c r="A4689" s="3" t="s">
        <v>331</v>
      </c>
      <c r="G4689" s="31" t="n">
        <f aca="false">IF(Assumptions!$I$61=1,MAX(G4624,Assumptions!$G$61)+Assumptions!$F$61+$C$4625,Assumptions!$E$61)</f>
        <v>0.0395</v>
      </c>
      <c r="H4689" s="31" t="n">
        <f aca="false">IF(G4948=1,$C$4626,IF(Assumptions!$I$61=1,MAX(H4624,Assumptions!$G$61)+Assumptions!$F$61+$C$4625,Assumptions!$E$61))</f>
        <v>0.0395</v>
      </c>
      <c r="I4689" s="31" t="n">
        <f aca="false">IF(H4948=1,$C$4626,IF(Assumptions!$I$61=1,MAX(I4624,Assumptions!$G$61)+Assumptions!$F$61+$C$4625,Assumptions!$E$61))</f>
        <v>0.08</v>
      </c>
      <c r="J4689" s="31" t="n">
        <f aca="false">IF(I4948=1,$C$4626,IF(Assumptions!$I$61=1,MAX(J4624,Assumptions!$G$61)+Assumptions!$F$61+$C$4625,Assumptions!$E$61))</f>
        <v>0.08</v>
      </c>
      <c r="K4689" s="31" t="n">
        <f aca="false">IF(J4948=1,$C$4626,IF(Assumptions!$I$61=1,MAX(K4624,Assumptions!$G$61)+Assumptions!$F$61+$C$4625,Assumptions!$E$61))</f>
        <v>0.08</v>
      </c>
    </row>
    <row r="4690" customFormat="false" ht="15" hidden="false" customHeight="false" outlineLevel="0" collapsed="false">
      <c r="A4690" s="3" t="s">
        <v>332</v>
      </c>
      <c r="G4690" s="16" t="n">
        <f aca="false">G4686*G4689</f>
        <v>17.775</v>
      </c>
      <c r="H4690" s="16" t="n">
        <f aca="false">H4686*H4689</f>
        <v>17.775</v>
      </c>
      <c r="I4690" s="16" t="n">
        <f aca="false">I4686*I4689</f>
        <v>29.493447676624</v>
      </c>
      <c r="J4690" s="16" t="n">
        <f aca="false">J4686*J4689</f>
        <v>29.493447676624</v>
      </c>
      <c r="K4690" s="16" t="n">
        <f aca="false">K4686*K4689</f>
        <v>29.493447676624</v>
      </c>
    </row>
    <row r="4691" customFormat="false" ht="15" hidden="false" customHeight="false" outlineLevel="0" collapsed="false">
      <c r="A4691" s="3" t="s">
        <v>333</v>
      </c>
      <c r="G4691" s="16" t="n">
        <f aca="false">G4686*Assumptions!$H$61</f>
        <v>0</v>
      </c>
      <c r="H4691" s="16" t="n">
        <f aca="false">H4686*Assumptions!$H$61</f>
        <v>0</v>
      </c>
      <c r="I4691" s="16" t="n">
        <f aca="false">I4686*Assumptions!$H$61</f>
        <v>0</v>
      </c>
      <c r="J4691" s="16" t="n">
        <f aca="false">J4686*Assumptions!$H$61</f>
        <v>0</v>
      </c>
      <c r="K4691" s="16" t="n">
        <f aca="false">K4686*Assumptions!$H$61</f>
        <v>0</v>
      </c>
    </row>
    <row r="4692" customFormat="false" ht="15" hidden="false" customHeight="false" outlineLevel="0" collapsed="false">
      <c r="A4692" s="3" t="s">
        <v>334</v>
      </c>
      <c r="G4692" s="16" t="n">
        <f aca="false">MIN(G4686,Assumptions!$L$61*Assumptions!$C$61)</f>
        <v>0</v>
      </c>
      <c r="H4692" s="16" t="n">
        <f aca="false">MIN(H4686,Assumptions!$L$61*Assumptions!$C$61)</f>
        <v>0</v>
      </c>
      <c r="I4692" s="16" t="n">
        <f aca="false">MIN(I4686,Assumptions!$L$61*Assumptions!$C$61)</f>
        <v>0</v>
      </c>
      <c r="J4692" s="16" t="n">
        <f aca="false">MIN(J4686,Assumptions!$L$61*Assumptions!$C$61)</f>
        <v>0</v>
      </c>
      <c r="K4692" s="16" t="n">
        <f aca="false">MIN(K4686,Assumptions!$L$61*Assumptions!$C$61)</f>
        <v>0</v>
      </c>
    </row>
    <row r="4693" customFormat="false" ht="15" hidden="false" customHeight="false" outlineLevel="0" collapsed="false">
      <c r="A4693" s="3" t="s">
        <v>335</v>
      </c>
      <c r="G4693" s="16" t="n">
        <f aca="false">IF(AND(Assumptions!$P$61=1,G4598&lt;Assumptions!$K$61),MIN(MAX(0,-G4814),MAX(0,Assumptions!$D$61-G4686)),0)</f>
        <v>0</v>
      </c>
      <c r="H4693" s="16" t="n">
        <f aca="false">IF(AND(Assumptions!$P$61=1,OR(H4598&lt;Assumptions!$K$61,G4948=1)),MIN(MAX(0,-H4814),MAX(0,Assumptions!$D$61-H4686)),0)</f>
        <v>0</v>
      </c>
      <c r="I4693" s="16" t="n">
        <f aca="false">IF(AND(Assumptions!$P$61=1,OR(I4598&lt;Assumptions!$K$61,H4948=1)),MIN(MAX(0,-I4814),MAX(0,Assumptions!$D$61-I4686)),0)</f>
        <v>0</v>
      </c>
      <c r="J4693" s="16" t="n">
        <f aca="false">IF(AND(Assumptions!$P$61=1,OR(J4598&lt;Assumptions!$K$61,I4948=1)),MIN(MAX(0,-J4814),MAX(0,Assumptions!$D$61-J4686)),0)</f>
        <v>0</v>
      </c>
      <c r="K4693" s="16" t="n">
        <f aca="false">IF(AND(Assumptions!$P$61=1,OR(K4598&lt;Assumptions!$K$61,J4948=1)),MIN(MAX(0,-K4814),MAX(0,Assumptions!$D$61-K4686)),0)</f>
        <v>0</v>
      </c>
    </row>
    <row r="4694" customFormat="false" ht="15" hidden="false" customHeight="false" outlineLevel="0" collapsed="false">
      <c r="A4694" s="3" t="s">
        <v>336</v>
      </c>
      <c r="G4694" s="16" t="n">
        <f aca="false">G4687*MIN(G4686-G4692+G4691,MAX(0,G4816-Assumptions!$C$12*G4632-G4642-G4655-G4668-G4681))</f>
        <v>0</v>
      </c>
      <c r="H4694" s="16" t="n">
        <f aca="false">H4687*MIN(H4686-H4692+H4691,MAX(0,H4816-Assumptions!$C$12*H4632-H4642-H4655-H4668-H4681))</f>
        <v>81.3319040422001</v>
      </c>
      <c r="I4694" s="16" t="n">
        <f aca="false">I4687*MIN(I4686-I4692+I4691,MAX(0,I4816-Assumptions!$C$12*I4632-I4642-I4655-I4668-I4681))</f>
        <v>0</v>
      </c>
      <c r="J4694" s="16" t="n">
        <f aca="false">J4687*MIN(J4686-J4692+J4691,MAX(0,J4816-Assumptions!$C$12*J4632-J4642-J4655-J4668-J4681))</f>
        <v>0</v>
      </c>
      <c r="K4694" s="16" t="n">
        <f aca="false">K4687*MIN(K4686-K4692+K4691,MAX(0,K4816-Assumptions!$C$12*K4632-K4642-K4655-K4668-K4681))</f>
        <v>0</v>
      </c>
    </row>
    <row r="4695" customFormat="false" ht="15" hidden="false" customHeight="false" outlineLevel="0" collapsed="false">
      <c r="A4695" s="3" t="s">
        <v>337</v>
      </c>
      <c r="G4695" s="16" t="n">
        <f aca="false">Assumptions!$N$61*MIN(G4686+G4693+G4691-G4692-G4694,MAX(0,G4820-G4643-G4656-G4669-G4682))</f>
        <v>0</v>
      </c>
      <c r="H4695" s="16" t="n">
        <f aca="false">Assumptions!$N$61*MIN(H4686+H4693+H4691-H4692-H4694,MAX(0,H4820-H4643-H4656-H4669-H4682))</f>
        <v>0</v>
      </c>
      <c r="I4695" s="16" t="n">
        <f aca="false">Assumptions!$N$61*MIN(I4686+I4693+I4691-I4692-I4694,MAX(0,I4820-I4643-I4656-I4669-I4682))</f>
        <v>0</v>
      </c>
      <c r="J4695" s="16" t="n">
        <f aca="false">Assumptions!$N$61*MIN(J4686+J4693+J4691-J4692-J4694,MAX(0,J4820-J4643-J4656-J4669-J4682))</f>
        <v>0</v>
      </c>
      <c r="K4695" s="16" t="n">
        <f aca="false">Assumptions!$N$61*MIN(K4686+K4693+K4691-K4692-K4694,MAX(0,K4820-K4643-K4656-K4669-K4682))</f>
        <v>0</v>
      </c>
    </row>
    <row r="4696" customFormat="false" ht="15" hidden="false" customHeight="false" outlineLevel="0" collapsed="false">
      <c r="A4696" s="3" t="s">
        <v>338</v>
      </c>
      <c r="G4696" s="16" t="n">
        <f aca="false">G4687*(1-G4632)*(G4686-G4692+G4691-G4694)</f>
        <v>0</v>
      </c>
      <c r="H4696" s="16" t="n">
        <f aca="false">H4687*(1-H4632)*(H4686-H4692+H4691-H4694)</f>
        <v>0</v>
      </c>
      <c r="I4696" s="16" t="n">
        <f aca="false">I4687*(1-I4632)*(I4686-I4692+I4691-I4694)</f>
        <v>0</v>
      </c>
      <c r="J4696" s="16" t="n">
        <f aca="false">J4687*(1-J4632)*(J4686-J4692+J4691-J4694)</f>
        <v>0</v>
      </c>
      <c r="K4696" s="16" t="n">
        <f aca="false">K4687*(1-K4632)*(K4686-K4692+K4691-K4694)</f>
        <v>0</v>
      </c>
    </row>
    <row r="4697" customFormat="false" ht="15" hidden="false" customHeight="false" outlineLevel="0" collapsed="false">
      <c r="A4697" s="2" t="s">
        <v>339</v>
      </c>
      <c r="F4697" s="28" t="n">
        <f aca="false">Assumptions!$C$61</f>
        <v>450</v>
      </c>
      <c r="G4697" s="17" t="n">
        <f aca="false">G4686+G4693+G4691-G4692-G4694-G4695</f>
        <v>450</v>
      </c>
      <c r="H4697" s="17" t="n">
        <f aca="false">H4686+H4693+H4691-H4692-H4694-H4695</f>
        <v>368.6680959578</v>
      </c>
      <c r="I4697" s="17" t="n">
        <f aca="false">I4686+I4693+I4691-I4692-I4694-I4695</f>
        <v>368.6680959578</v>
      </c>
      <c r="J4697" s="17" t="n">
        <f aca="false">J4686+J4693+J4691-J4692-J4694-J4695</f>
        <v>368.6680959578</v>
      </c>
      <c r="K4697" s="17" t="n">
        <f aca="false">K4686+K4693+K4691-K4692-K4694-K4695</f>
        <v>368.6680959578</v>
      </c>
    </row>
    <row r="4698" customFormat="false" ht="15" hidden="false" customHeight="false" outlineLevel="0" collapsed="false">
      <c r="A4698" s="24" t="s">
        <v>344</v>
      </c>
      <c r="B4698" s="25"/>
      <c r="C4698" s="25"/>
      <c r="D4698" s="25"/>
      <c r="E4698" s="25"/>
      <c r="F4698" s="25"/>
      <c r="G4698" s="25"/>
      <c r="H4698" s="25"/>
      <c r="I4698" s="25"/>
      <c r="J4698" s="25"/>
      <c r="K4698" s="25"/>
    </row>
    <row r="4699" customFormat="false" ht="15" hidden="false" customHeight="false" outlineLevel="0" collapsed="false">
      <c r="A4699" s="3" t="s">
        <v>329</v>
      </c>
      <c r="G4699" s="16" t="n">
        <f aca="false">F4710</f>
        <v>350</v>
      </c>
      <c r="H4699" s="16" t="n">
        <f aca="false">G4710</f>
        <v>350</v>
      </c>
      <c r="I4699" s="16" t="n">
        <f aca="false">H4710</f>
        <v>350</v>
      </c>
      <c r="J4699" s="16" t="n">
        <f aca="false">I4710</f>
        <v>350</v>
      </c>
      <c r="K4699" s="16" t="n">
        <f aca="false">J4710</f>
        <v>350</v>
      </c>
    </row>
    <row r="4700" customFormat="false" ht="15" hidden="false" customHeight="false" outlineLevel="0" collapsed="false">
      <c r="A4700" s="3" t="s">
        <v>330</v>
      </c>
      <c r="G4700" s="21" t="n">
        <f aca="false">IF(G4598=Assumptions!$K$62,1,0)</f>
        <v>0</v>
      </c>
      <c r="H4700" s="21" t="n">
        <f aca="false">IF(H4598=Assumptions!$K$62,1,0)</f>
        <v>1</v>
      </c>
      <c r="I4700" s="21" t="n">
        <f aca="false">IF(I4598=Assumptions!$K$62,1,0)</f>
        <v>0</v>
      </c>
      <c r="J4700" s="21" t="n">
        <f aca="false">IF(J4598=Assumptions!$K$62,1,0)</f>
        <v>0</v>
      </c>
      <c r="K4700" s="21" t="n">
        <f aca="false">IF(K4598=Assumptions!$K$62,1,0)</f>
        <v>0</v>
      </c>
    </row>
    <row r="4702" customFormat="false" ht="15" hidden="false" customHeight="false" outlineLevel="0" collapsed="false">
      <c r="A4702" s="3" t="s">
        <v>331</v>
      </c>
      <c r="G4702" s="31" t="n">
        <f aca="false">IF(Assumptions!$I$62=1,MAX(G4624,Assumptions!$G$62)+Assumptions!$F$62+$C$4625,Assumptions!$E$62)</f>
        <v>0.083</v>
      </c>
      <c r="H4702" s="31" t="n">
        <f aca="false">IF(G4949=1,$C$4626,IF(Assumptions!$I$62=1,MAX(H4624,Assumptions!$G$62)+Assumptions!$F$62+$C$4625,Assumptions!$E$62))</f>
        <v>0.083</v>
      </c>
      <c r="I4702" s="31" t="n">
        <f aca="false">IF(H4949=1,$C$4626,IF(Assumptions!$I$62=1,MAX(I4624,Assumptions!$G$62)+Assumptions!$F$62+$C$4625,Assumptions!$E$62))</f>
        <v>0.08</v>
      </c>
      <c r="J4702" s="31" t="n">
        <f aca="false">IF(I4949=1,$C$4626,IF(Assumptions!$I$62=1,MAX(J4624,Assumptions!$G$62)+Assumptions!$F$62+$C$4625,Assumptions!$E$62))</f>
        <v>0.08</v>
      </c>
      <c r="K4702" s="31" t="n">
        <f aca="false">IF(J4949=1,$C$4626,IF(Assumptions!$I$62=1,MAX(K4624,Assumptions!$G$62)+Assumptions!$F$62+$C$4625,Assumptions!$E$62))</f>
        <v>0.08</v>
      </c>
    </row>
    <row r="4703" customFormat="false" ht="15" hidden="false" customHeight="false" outlineLevel="0" collapsed="false">
      <c r="A4703" s="3" t="s">
        <v>332</v>
      </c>
      <c r="G4703" s="16" t="n">
        <f aca="false">G4699*G4702</f>
        <v>29.05</v>
      </c>
      <c r="H4703" s="16" t="n">
        <f aca="false">H4699*H4702</f>
        <v>29.05</v>
      </c>
      <c r="I4703" s="16" t="n">
        <f aca="false">I4699*I4702</f>
        <v>28</v>
      </c>
      <c r="J4703" s="16" t="n">
        <f aca="false">J4699*J4702</f>
        <v>28</v>
      </c>
      <c r="K4703" s="16" t="n">
        <f aca="false">K4699*K4702</f>
        <v>28</v>
      </c>
    </row>
    <row r="4704" customFormat="false" ht="15" hidden="false" customHeight="false" outlineLevel="0" collapsed="false">
      <c r="A4704" s="3" t="s">
        <v>333</v>
      </c>
      <c r="G4704" s="16" t="n">
        <f aca="false">G4699*Assumptions!$H$62</f>
        <v>0</v>
      </c>
      <c r="H4704" s="16" t="n">
        <f aca="false">H4699*Assumptions!$H$62</f>
        <v>0</v>
      </c>
      <c r="I4704" s="16" t="n">
        <f aca="false">I4699*Assumptions!$H$62</f>
        <v>0</v>
      </c>
      <c r="J4704" s="16" t="n">
        <f aca="false">J4699*Assumptions!$H$62</f>
        <v>0</v>
      </c>
      <c r="K4704" s="16" t="n">
        <f aca="false">K4699*Assumptions!$H$62</f>
        <v>0</v>
      </c>
    </row>
    <row r="4705" customFormat="false" ht="15" hidden="false" customHeight="false" outlineLevel="0" collapsed="false">
      <c r="A4705" s="3" t="s">
        <v>334</v>
      </c>
      <c r="G4705" s="16" t="n">
        <f aca="false">MIN(G4699,Assumptions!$L$62*Assumptions!$C$62)</f>
        <v>0</v>
      </c>
      <c r="H4705" s="16" t="n">
        <f aca="false">MIN(H4699,Assumptions!$L$62*Assumptions!$C$62)</f>
        <v>0</v>
      </c>
      <c r="I4705" s="16" t="n">
        <f aca="false">MIN(I4699,Assumptions!$L$62*Assumptions!$C$62)</f>
        <v>0</v>
      </c>
      <c r="J4705" s="16" t="n">
        <f aca="false">MIN(J4699,Assumptions!$L$62*Assumptions!$C$62)</f>
        <v>0</v>
      </c>
      <c r="K4705" s="16" t="n">
        <f aca="false">MIN(K4699,Assumptions!$L$62*Assumptions!$C$62)</f>
        <v>0</v>
      </c>
    </row>
    <row r="4706" customFormat="false" ht="15" hidden="false" customHeight="false" outlineLevel="0" collapsed="false">
      <c r="A4706" s="3" t="s">
        <v>335</v>
      </c>
      <c r="G4706" s="16" t="n">
        <f aca="false">IF(AND(Assumptions!$P$62=1,G4598&lt;Assumptions!$K$62),MIN(MAX(0,-G4814),MAX(0,Assumptions!$D$62-G4699)),0)</f>
        <v>0</v>
      </c>
      <c r="H4706" s="16" t="n">
        <f aca="false">IF(AND(Assumptions!$P$62=1,OR(H4598&lt;Assumptions!$K$62,G4949=1)),MIN(MAX(0,-H4814),MAX(0,Assumptions!$D$62-H4699)),0)</f>
        <v>0</v>
      </c>
      <c r="I4706" s="16" t="n">
        <f aca="false">IF(AND(Assumptions!$P$62=1,OR(I4598&lt;Assumptions!$K$62,H4949=1)),MIN(MAX(0,-I4814),MAX(0,Assumptions!$D$62-I4699)),0)</f>
        <v>0</v>
      </c>
      <c r="J4706" s="16" t="n">
        <f aca="false">IF(AND(Assumptions!$P$62=1,OR(J4598&lt;Assumptions!$K$62,I4949=1)),MIN(MAX(0,-J4814),MAX(0,Assumptions!$D$62-J4699)),0)</f>
        <v>0</v>
      </c>
      <c r="K4706" s="16" t="n">
        <f aca="false">IF(AND(Assumptions!$P$62=1,OR(K4598&lt;Assumptions!$K$62,J4949=1)),MIN(MAX(0,-K4814),MAX(0,Assumptions!$D$62-K4699)),0)</f>
        <v>0</v>
      </c>
    </row>
    <row r="4707" customFormat="false" ht="15" hidden="false" customHeight="false" outlineLevel="0" collapsed="false">
      <c r="A4707" s="3" t="s">
        <v>336</v>
      </c>
      <c r="G4707" s="16" t="n">
        <f aca="false">G4700*MIN(G4699-G4705+G4704,MAX(0,G4816-Assumptions!$C$12*G4632-G4642-G4655-G4668-G4681-G4694))</f>
        <v>0</v>
      </c>
      <c r="H4707" s="16" t="n">
        <f aca="false">H4700*MIN(H4699-H4705+H4704,MAX(0,H4816-Assumptions!$C$12*H4632-H4642-H4655-H4668-H4681-H4694))</f>
        <v>0</v>
      </c>
      <c r="I4707" s="16" t="n">
        <f aca="false">I4700*MIN(I4699-I4705+I4704,MAX(0,I4816-Assumptions!$C$12*I4632-I4642-I4655-I4668-I4681-I4694))</f>
        <v>0</v>
      </c>
      <c r="J4707" s="16" t="n">
        <f aca="false">J4700*MIN(J4699-J4705+J4704,MAX(0,J4816-Assumptions!$C$12*J4632-J4642-J4655-J4668-J4681-J4694))</f>
        <v>0</v>
      </c>
      <c r="K4707" s="16" t="n">
        <f aca="false">K4700*MIN(K4699-K4705+K4704,MAX(0,K4816-Assumptions!$C$12*K4632-K4642-K4655-K4668-K4681-K4694))</f>
        <v>0</v>
      </c>
    </row>
    <row r="4708" customFormat="false" ht="15" hidden="false" customHeight="false" outlineLevel="0" collapsed="false">
      <c r="A4708" s="3" t="s">
        <v>337</v>
      </c>
      <c r="G4708" s="16" t="n">
        <f aca="false">Assumptions!$N$62*MIN(G4699+G4706+G4704-G4705-G4707,MAX(0,G4820-G4643-G4656-G4669-G4682-G4695))</f>
        <v>0</v>
      </c>
      <c r="H4708" s="16" t="n">
        <f aca="false">Assumptions!$N$62*MIN(H4699+H4706+H4704-H4705-H4707,MAX(0,H4820-H4643-H4656-H4669-H4682-H4695))</f>
        <v>0</v>
      </c>
      <c r="I4708" s="16" t="n">
        <f aca="false">Assumptions!$N$62*MIN(I4699+I4706+I4704-I4705-I4707,MAX(0,I4820-I4643-I4656-I4669-I4682-I4695))</f>
        <v>0</v>
      </c>
      <c r="J4708" s="16" t="n">
        <f aca="false">Assumptions!$N$62*MIN(J4699+J4706+J4704-J4705-J4707,MAX(0,J4820-J4643-J4656-J4669-J4682-J4695))</f>
        <v>0</v>
      </c>
      <c r="K4708" s="16" t="n">
        <f aca="false">Assumptions!$N$62*MIN(K4699+K4706+K4704-K4705-K4707,MAX(0,K4820-K4643-K4656-K4669-K4682-K4695))</f>
        <v>0</v>
      </c>
    </row>
    <row r="4709" customFormat="false" ht="15" hidden="false" customHeight="false" outlineLevel="0" collapsed="false">
      <c r="A4709" s="3" t="s">
        <v>338</v>
      </c>
      <c r="G4709" s="16" t="n">
        <f aca="false">G4700*(1-G4632)*(G4699-G4705+G4704-G4707)</f>
        <v>0</v>
      </c>
      <c r="H4709" s="16" t="n">
        <f aca="false">H4700*(1-H4632)*(H4699-H4705+H4704-H4707)</f>
        <v>0</v>
      </c>
      <c r="I4709" s="16" t="n">
        <f aca="false">I4700*(1-I4632)*(I4699-I4705+I4704-I4707)</f>
        <v>0</v>
      </c>
      <c r="J4709" s="16" t="n">
        <f aca="false">J4700*(1-J4632)*(J4699-J4705+J4704-J4707)</f>
        <v>0</v>
      </c>
      <c r="K4709" s="16" t="n">
        <f aca="false">K4700*(1-K4632)*(K4699-K4705+K4704-K4707)</f>
        <v>0</v>
      </c>
    </row>
    <row r="4710" customFormat="false" ht="15" hidden="false" customHeight="false" outlineLevel="0" collapsed="false">
      <c r="A4710" s="2" t="s">
        <v>339</v>
      </c>
      <c r="F4710" s="28" t="n">
        <f aca="false">Assumptions!$C$62</f>
        <v>350</v>
      </c>
      <c r="G4710" s="17" t="n">
        <f aca="false">G4699+G4706+G4704-G4705-G4707-G4708</f>
        <v>350</v>
      </c>
      <c r="H4710" s="17" t="n">
        <f aca="false">H4699+H4706+H4704-H4705-H4707-H4708</f>
        <v>350</v>
      </c>
      <c r="I4710" s="17" t="n">
        <f aca="false">I4699+I4706+I4704-I4705-I4707-I4708</f>
        <v>350</v>
      </c>
      <c r="J4710" s="17" t="n">
        <f aca="false">J4699+J4706+J4704-J4705-J4707-J4708</f>
        <v>350</v>
      </c>
      <c r="K4710" s="17" t="n">
        <f aca="false">K4699+K4706+K4704-K4705-K4707-K4708</f>
        <v>350</v>
      </c>
    </row>
    <row r="4711" customFormat="false" ht="15" hidden="false" customHeight="false" outlineLevel="0" collapsed="false">
      <c r="A4711" s="24" t="s">
        <v>345</v>
      </c>
      <c r="B4711" s="25"/>
      <c r="C4711" s="25"/>
      <c r="D4711" s="25"/>
      <c r="E4711" s="25"/>
      <c r="F4711" s="25"/>
      <c r="G4711" s="25"/>
      <c r="H4711" s="25"/>
      <c r="I4711" s="25"/>
      <c r="J4711" s="25"/>
      <c r="K4711" s="25"/>
    </row>
    <row r="4712" customFormat="false" ht="15" hidden="false" customHeight="false" outlineLevel="0" collapsed="false">
      <c r="A4712" s="3" t="s">
        <v>329</v>
      </c>
      <c r="G4712" s="16" t="n">
        <f aca="false">F4723</f>
        <v>550</v>
      </c>
      <c r="H4712" s="16" t="n">
        <f aca="false">G4723</f>
        <v>550</v>
      </c>
      <c r="I4712" s="16" t="n">
        <f aca="false">H4723</f>
        <v>550</v>
      </c>
      <c r="J4712" s="16" t="n">
        <f aca="false">I4723</f>
        <v>550</v>
      </c>
      <c r="K4712" s="16" t="n">
        <f aca="false">J4723</f>
        <v>550</v>
      </c>
    </row>
    <row r="4713" customFormat="false" ht="15" hidden="false" customHeight="false" outlineLevel="0" collapsed="false">
      <c r="A4713" s="3" t="s">
        <v>330</v>
      </c>
      <c r="G4713" s="21" t="n">
        <f aca="false">IF(G4598=Assumptions!$K$63,1,0)</f>
        <v>0</v>
      </c>
      <c r="H4713" s="21" t="n">
        <f aca="false">IF(H4598=Assumptions!$K$63,1,0)</f>
        <v>0</v>
      </c>
      <c r="I4713" s="21" t="n">
        <f aca="false">IF(I4598=Assumptions!$K$63,1,0)</f>
        <v>1</v>
      </c>
      <c r="J4713" s="21" t="n">
        <f aca="false">IF(J4598=Assumptions!$K$63,1,0)</f>
        <v>0</v>
      </c>
      <c r="K4713" s="21" t="n">
        <f aca="false">IF(K4598=Assumptions!$K$63,1,0)</f>
        <v>0</v>
      </c>
    </row>
    <row r="4715" customFormat="false" ht="15" hidden="false" customHeight="false" outlineLevel="0" collapsed="false">
      <c r="A4715" s="3" t="s">
        <v>331</v>
      </c>
      <c r="G4715" s="31" t="n">
        <f aca="false">IF(Assumptions!$I$63=1,MAX(G4624,Assumptions!$G$63)+Assumptions!$F$63+$C$4625,Assumptions!$E$63)</f>
        <v>0.08875</v>
      </c>
      <c r="H4715" s="31" t="n">
        <f aca="false">IF(G4950=1,$C$4626,IF(Assumptions!$I$63=1,MAX(H4624,Assumptions!$G$63)+Assumptions!$F$63+$C$4625,Assumptions!$E$63))</f>
        <v>0.08875</v>
      </c>
      <c r="I4715" s="31" t="n">
        <f aca="false">IF(H4950=1,$C$4626,IF(Assumptions!$I$63=1,MAX(I4624,Assumptions!$G$63)+Assumptions!$F$63+$C$4625,Assumptions!$E$63))</f>
        <v>0.08875</v>
      </c>
      <c r="J4715" s="31" t="n">
        <f aca="false">IF(I4950=1,$C$4626,IF(Assumptions!$I$63=1,MAX(J4624,Assumptions!$G$63)+Assumptions!$F$63+$C$4625,Assumptions!$E$63))</f>
        <v>0.08</v>
      </c>
      <c r="K4715" s="31" t="n">
        <f aca="false">IF(J4950=1,$C$4626,IF(Assumptions!$I$63=1,MAX(K4624,Assumptions!$G$63)+Assumptions!$F$63+$C$4625,Assumptions!$E$63))</f>
        <v>0.08</v>
      </c>
    </row>
    <row r="4716" customFormat="false" ht="15" hidden="false" customHeight="false" outlineLevel="0" collapsed="false">
      <c r="A4716" s="3" t="s">
        <v>332</v>
      </c>
      <c r="G4716" s="16" t="n">
        <f aca="false">G4712*G4715</f>
        <v>48.8125</v>
      </c>
      <c r="H4716" s="16" t="n">
        <f aca="false">H4712*H4715</f>
        <v>48.8125</v>
      </c>
      <c r="I4716" s="16" t="n">
        <f aca="false">I4712*I4715</f>
        <v>48.8125</v>
      </c>
      <c r="J4716" s="16" t="n">
        <f aca="false">J4712*J4715</f>
        <v>44</v>
      </c>
      <c r="K4716" s="16" t="n">
        <f aca="false">K4712*K4715</f>
        <v>44</v>
      </c>
    </row>
    <row r="4717" customFormat="false" ht="15" hidden="false" customHeight="false" outlineLevel="0" collapsed="false">
      <c r="A4717" s="3" t="s">
        <v>333</v>
      </c>
      <c r="G4717" s="16" t="n">
        <f aca="false">G4712*Assumptions!$H$63</f>
        <v>0</v>
      </c>
      <c r="H4717" s="16" t="n">
        <f aca="false">H4712*Assumptions!$H$63</f>
        <v>0</v>
      </c>
      <c r="I4717" s="16" t="n">
        <f aca="false">I4712*Assumptions!$H$63</f>
        <v>0</v>
      </c>
      <c r="J4717" s="16" t="n">
        <f aca="false">J4712*Assumptions!$H$63</f>
        <v>0</v>
      </c>
      <c r="K4717" s="16" t="n">
        <f aca="false">K4712*Assumptions!$H$63</f>
        <v>0</v>
      </c>
    </row>
    <row r="4718" customFormat="false" ht="15" hidden="false" customHeight="false" outlineLevel="0" collapsed="false">
      <c r="A4718" s="3" t="s">
        <v>334</v>
      </c>
      <c r="G4718" s="16" t="n">
        <f aca="false">MIN(G4712,Assumptions!$L$63*Assumptions!$C$63)</f>
        <v>0</v>
      </c>
      <c r="H4718" s="16" t="n">
        <f aca="false">MIN(H4712,Assumptions!$L$63*Assumptions!$C$63)</f>
        <v>0</v>
      </c>
      <c r="I4718" s="16" t="n">
        <f aca="false">MIN(I4712,Assumptions!$L$63*Assumptions!$C$63)</f>
        <v>0</v>
      </c>
      <c r="J4718" s="16" t="n">
        <f aca="false">MIN(J4712,Assumptions!$L$63*Assumptions!$C$63)</f>
        <v>0</v>
      </c>
      <c r="K4718" s="16" t="n">
        <f aca="false">MIN(K4712,Assumptions!$L$63*Assumptions!$C$63)</f>
        <v>0</v>
      </c>
    </row>
    <row r="4719" customFormat="false" ht="15" hidden="false" customHeight="false" outlineLevel="0" collapsed="false">
      <c r="A4719" s="3" t="s">
        <v>335</v>
      </c>
      <c r="G4719" s="16" t="n">
        <f aca="false">IF(AND(Assumptions!$P$63=1,G4598&lt;Assumptions!$K$63),MIN(MAX(0,-G4814),MAX(0,Assumptions!$D$63-G4712)),0)</f>
        <v>0</v>
      </c>
      <c r="H4719" s="16" t="n">
        <f aca="false">IF(AND(Assumptions!$P$63=1,OR(H4598&lt;Assumptions!$K$63,G4950=1)),MIN(MAX(0,-H4814),MAX(0,Assumptions!$D$63-H4712)),0)</f>
        <v>0</v>
      </c>
      <c r="I4719" s="16" t="n">
        <f aca="false">IF(AND(Assumptions!$P$63=1,OR(I4598&lt;Assumptions!$K$63,H4950=1)),MIN(MAX(0,-I4814),MAX(0,Assumptions!$D$63-I4712)),0)</f>
        <v>0</v>
      </c>
      <c r="J4719" s="16" t="n">
        <f aca="false">IF(AND(Assumptions!$P$63=1,OR(J4598&lt;Assumptions!$K$63,I4950=1)),MIN(MAX(0,-J4814),MAX(0,Assumptions!$D$63-J4712)),0)</f>
        <v>0</v>
      </c>
      <c r="K4719" s="16" t="n">
        <f aca="false">IF(AND(Assumptions!$P$63=1,OR(K4598&lt;Assumptions!$K$63,J4950=1)),MIN(MAX(0,-K4814),MAX(0,Assumptions!$D$63-K4712)),0)</f>
        <v>0</v>
      </c>
    </row>
    <row r="4720" customFormat="false" ht="15" hidden="false" customHeight="false" outlineLevel="0" collapsed="false">
      <c r="A4720" s="3" t="s">
        <v>336</v>
      </c>
      <c r="G4720" s="16" t="n">
        <f aca="false">G4713*MIN(G4712-G4718+G4717,MAX(0,G4816-Assumptions!$C$12*G4632-G4642-G4655-G4668-G4681-G4694-G4707))</f>
        <v>0</v>
      </c>
      <c r="H4720" s="16" t="n">
        <f aca="false">H4713*MIN(H4712-H4718+H4717,MAX(0,H4816-Assumptions!$C$12*H4632-H4642-H4655-H4668-H4681-H4694-H4707))</f>
        <v>0</v>
      </c>
      <c r="I4720" s="16" t="n">
        <f aca="false">I4713*MIN(I4712-I4718+I4717,MAX(0,I4816-Assumptions!$C$12*I4632-I4642-I4655-I4668-I4681-I4694-I4707))</f>
        <v>0</v>
      </c>
      <c r="J4720" s="16" t="n">
        <f aca="false">J4713*MIN(J4712-J4718+J4717,MAX(0,J4816-Assumptions!$C$12*J4632-J4642-J4655-J4668-J4681-J4694-J4707))</f>
        <v>0</v>
      </c>
      <c r="K4720" s="16" t="n">
        <f aca="false">K4713*MIN(K4712-K4718+K4717,MAX(0,K4816-Assumptions!$C$12*K4632-K4642-K4655-K4668-K4681-K4694-K4707))</f>
        <v>0</v>
      </c>
    </row>
    <row r="4721" customFormat="false" ht="15" hidden="false" customHeight="false" outlineLevel="0" collapsed="false">
      <c r="A4721" s="3" t="s">
        <v>337</v>
      </c>
      <c r="G4721" s="16" t="n">
        <f aca="false">Assumptions!$N$63*MIN(G4712+G4719+G4717-G4718-G4720,MAX(0,G4820-G4643-G4656-G4669-G4682-G4695-G4708))</f>
        <v>0</v>
      </c>
      <c r="H4721" s="16" t="n">
        <f aca="false">Assumptions!$N$63*MIN(H4712+H4719+H4717-H4718-H4720,MAX(0,H4820-H4643-H4656-H4669-H4682-H4695-H4708))</f>
        <v>0</v>
      </c>
      <c r="I4721" s="16" t="n">
        <f aca="false">Assumptions!$N$63*MIN(I4712+I4719+I4717-I4718-I4720,MAX(0,I4820-I4643-I4656-I4669-I4682-I4695-I4708))</f>
        <v>0</v>
      </c>
      <c r="J4721" s="16" t="n">
        <f aca="false">Assumptions!$N$63*MIN(J4712+J4719+J4717-J4718-J4720,MAX(0,J4820-J4643-J4656-J4669-J4682-J4695-J4708))</f>
        <v>0</v>
      </c>
      <c r="K4721" s="16" t="n">
        <f aca="false">Assumptions!$N$63*MIN(K4712+K4719+K4717-K4718-K4720,MAX(0,K4820-K4643-K4656-K4669-K4682-K4695-K4708))</f>
        <v>0</v>
      </c>
    </row>
    <row r="4722" customFormat="false" ht="15" hidden="false" customHeight="false" outlineLevel="0" collapsed="false">
      <c r="A4722" s="3" t="s">
        <v>338</v>
      </c>
      <c r="G4722" s="16" t="n">
        <f aca="false">G4713*(1-G4632)*(G4712-G4718+G4717-G4720)</f>
        <v>0</v>
      </c>
      <c r="H4722" s="16" t="n">
        <f aca="false">H4713*(1-H4632)*(H4712-H4718+H4717-H4720)</f>
        <v>0</v>
      </c>
      <c r="I4722" s="16" t="n">
        <f aca="false">I4713*(1-I4632)*(I4712-I4718+I4717-I4720)</f>
        <v>0</v>
      </c>
      <c r="J4722" s="16" t="n">
        <f aca="false">J4713*(1-J4632)*(J4712-J4718+J4717-J4720)</f>
        <v>0</v>
      </c>
      <c r="K4722" s="16" t="n">
        <f aca="false">K4713*(1-K4632)*(K4712-K4718+K4717-K4720)</f>
        <v>0</v>
      </c>
    </row>
    <row r="4723" customFormat="false" ht="15" hidden="false" customHeight="false" outlineLevel="0" collapsed="false">
      <c r="A4723" s="2" t="s">
        <v>339</v>
      </c>
      <c r="F4723" s="28" t="n">
        <f aca="false">Assumptions!$C$63</f>
        <v>550</v>
      </c>
      <c r="G4723" s="17" t="n">
        <f aca="false">G4712+G4719+G4717-G4718-G4720-G4721</f>
        <v>550</v>
      </c>
      <c r="H4723" s="17" t="n">
        <f aca="false">H4712+H4719+H4717-H4718-H4720-H4721</f>
        <v>550</v>
      </c>
      <c r="I4723" s="17" t="n">
        <f aca="false">I4712+I4719+I4717-I4718-I4720-I4721</f>
        <v>550</v>
      </c>
      <c r="J4723" s="17" t="n">
        <f aca="false">J4712+J4719+J4717-J4718-J4720-J4721</f>
        <v>550</v>
      </c>
      <c r="K4723" s="17" t="n">
        <f aca="false">K4712+K4719+K4717-K4718-K4720-K4721</f>
        <v>550</v>
      </c>
    </row>
    <row r="4724" customFormat="false" ht="15" hidden="false" customHeight="false" outlineLevel="0" collapsed="false">
      <c r="A4724" s="24" t="s">
        <v>346</v>
      </c>
      <c r="B4724" s="25"/>
      <c r="C4724" s="25"/>
      <c r="D4724" s="25"/>
      <c r="E4724" s="25"/>
      <c r="F4724" s="25"/>
      <c r="G4724" s="25"/>
      <c r="H4724" s="25"/>
      <c r="I4724" s="25"/>
      <c r="J4724" s="25"/>
      <c r="K4724" s="25"/>
    </row>
    <row r="4725" customFormat="false" ht="15" hidden="false" customHeight="false" outlineLevel="0" collapsed="false">
      <c r="A4725" s="3" t="s">
        <v>329</v>
      </c>
      <c r="G4725" s="16" t="n">
        <f aca="false">F4736</f>
        <v>350</v>
      </c>
      <c r="H4725" s="16" t="n">
        <f aca="false">G4736</f>
        <v>350</v>
      </c>
      <c r="I4725" s="16" t="n">
        <f aca="false">H4736</f>
        <v>350</v>
      </c>
      <c r="J4725" s="16" t="n">
        <f aca="false">I4736</f>
        <v>350</v>
      </c>
      <c r="K4725" s="16" t="n">
        <f aca="false">J4736</f>
        <v>350</v>
      </c>
    </row>
    <row r="4726" customFormat="false" ht="15" hidden="false" customHeight="false" outlineLevel="0" collapsed="false">
      <c r="A4726" s="3" t="s">
        <v>330</v>
      </c>
      <c r="G4726" s="21" t="n">
        <f aca="false">IF(G4598=Assumptions!$K$64,1,0)</f>
        <v>0</v>
      </c>
      <c r="H4726" s="21" t="n">
        <f aca="false">IF(H4598=Assumptions!$K$64,1,0)</f>
        <v>0</v>
      </c>
      <c r="I4726" s="21" t="n">
        <f aca="false">IF(I4598=Assumptions!$K$64,1,0)</f>
        <v>0</v>
      </c>
      <c r="J4726" s="21" t="n">
        <f aca="false">IF(J4598=Assumptions!$K$64,1,0)</f>
        <v>1</v>
      </c>
      <c r="K4726" s="21" t="n">
        <f aca="false">IF(K4598=Assumptions!$K$64,1,0)</f>
        <v>0</v>
      </c>
    </row>
    <row r="4728" customFormat="false" ht="15" hidden="false" customHeight="false" outlineLevel="0" collapsed="false">
      <c r="A4728" s="3" t="s">
        <v>331</v>
      </c>
      <c r="G4728" s="31" t="n">
        <f aca="false">IF(Assumptions!$I$64=1,MAX(G4624,Assumptions!$G$64)+Assumptions!$F$64+$C$4625,Assumptions!$E$64)</f>
        <v>0.0455</v>
      </c>
      <c r="H4728" s="31" t="n">
        <f aca="false">IF(G4951=1,$C$4626,IF(Assumptions!$I$64=1,MAX(H4624,Assumptions!$G$64)+Assumptions!$F$64+$C$4625,Assumptions!$E$64))</f>
        <v>0.0455</v>
      </c>
      <c r="I4728" s="31" t="n">
        <f aca="false">IF(H4951=1,$C$4626,IF(Assumptions!$I$64=1,MAX(I4624,Assumptions!$G$64)+Assumptions!$F$64+$C$4625,Assumptions!$E$64))</f>
        <v>0.0455</v>
      </c>
      <c r="J4728" s="31" t="n">
        <f aca="false">IF(I4951=1,$C$4626,IF(Assumptions!$I$64=1,MAX(J4624,Assumptions!$G$64)+Assumptions!$F$64+$C$4625,Assumptions!$E$64))</f>
        <v>0.0455</v>
      </c>
      <c r="K4728" s="31" t="n">
        <f aca="false">IF(J4951=1,$C$4626,IF(Assumptions!$I$64=1,MAX(K4624,Assumptions!$G$64)+Assumptions!$F$64+$C$4625,Assumptions!$E$64))</f>
        <v>0.08</v>
      </c>
    </row>
    <row r="4729" customFormat="false" ht="15" hidden="false" customHeight="false" outlineLevel="0" collapsed="false">
      <c r="A4729" s="3" t="s">
        <v>332</v>
      </c>
      <c r="G4729" s="16" t="n">
        <f aca="false">G4725*G4728</f>
        <v>15.925</v>
      </c>
      <c r="H4729" s="16" t="n">
        <f aca="false">H4725*H4728</f>
        <v>15.925</v>
      </c>
      <c r="I4729" s="16" t="n">
        <f aca="false">I4725*I4728</f>
        <v>15.925</v>
      </c>
      <c r="J4729" s="16" t="n">
        <f aca="false">J4725*J4728</f>
        <v>15.925</v>
      </c>
      <c r="K4729" s="16" t="n">
        <f aca="false">K4725*K4728</f>
        <v>28</v>
      </c>
    </row>
    <row r="4730" customFormat="false" ht="15" hidden="false" customHeight="false" outlineLevel="0" collapsed="false">
      <c r="A4730" s="3" t="s">
        <v>333</v>
      </c>
      <c r="G4730" s="16" t="n">
        <f aca="false">G4725*Assumptions!$H$64</f>
        <v>0</v>
      </c>
      <c r="H4730" s="16" t="n">
        <f aca="false">H4725*Assumptions!$H$64</f>
        <v>0</v>
      </c>
      <c r="I4730" s="16" t="n">
        <f aca="false">I4725*Assumptions!$H$64</f>
        <v>0</v>
      </c>
      <c r="J4730" s="16" t="n">
        <f aca="false">J4725*Assumptions!$H$64</f>
        <v>0</v>
      </c>
      <c r="K4730" s="16" t="n">
        <f aca="false">K4725*Assumptions!$H$64</f>
        <v>0</v>
      </c>
    </row>
    <row r="4731" customFormat="false" ht="15" hidden="false" customHeight="false" outlineLevel="0" collapsed="false">
      <c r="A4731" s="3" t="s">
        <v>334</v>
      </c>
      <c r="G4731" s="16" t="n">
        <f aca="false">MIN(G4725,Assumptions!$L$64*Assumptions!$C$64)</f>
        <v>0</v>
      </c>
      <c r="H4731" s="16" t="n">
        <f aca="false">MIN(H4725,Assumptions!$L$64*Assumptions!$C$64)</f>
        <v>0</v>
      </c>
      <c r="I4731" s="16" t="n">
        <f aca="false">MIN(I4725,Assumptions!$L$64*Assumptions!$C$64)</f>
        <v>0</v>
      </c>
      <c r="J4731" s="16" t="n">
        <f aca="false">MIN(J4725,Assumptions!$L$64*Assumptions!$C$64)</f>
        <v>0</v>
      </c>
      <c r="K4731" s="16" t="n">
        <f aca="false">MIN(K4725,Assumptions!$L$64*Assumptions!$C$64)</f>
        <v>0</v>
      </c>
    </row>
    <row r="4732" customFormat="false" ht="15" hidden="false" customHeight="false" outlineLevel="0" collapsed="false">
      <c r="A4732" s="3" t="s">
        <v>335</v>
      </c>
      <c r="G4732" s="16" t="n">
        <f aca="false">IF(AND(Assumptions!$P$64=1,G4598&lt;Assumptions!$K$64),MIN(MAX(0,-G4814),MAX(0,Assumptions!$D$64-G4725)),0)</f>
        <v>0</v>
      </c>
      <c r="H4732" s="16" t="n">
        <f aca="false">IF(AND(Assumptions!$P$64=1,OR(H4598&lt;Assumptions!$K$64,G4951=1)),MIN(MAX(0,-H4814),MAX(0,Assumptions!$D$64-H4725)),0)</f>
        <v>0</v>
      </c>
      <c r="I4732" s="16" t="n">
        <f aca="false">IF(AND(Assumptions!$P$64=1,OR(I4598&lt;Assumptions!$K$64,H4951=1)),MIN(MAX(0,-I4814),MAX(0,Assumptions!$D$64-I4725)),0)</f>
        <v>0</v>
      </c>
      <c r="J4732" s="16" t="n">
        <f aca="false">IF(AND(Assumptions!$P$64=1,OR(J4598&lt;Assumptions!$K$64,I4951=1)),MIN(MAX(0,-J4814),MAX(0,Assumptions!$D$64-J4725)),0)</f>
        <v>0</v>
      </c>
      <c r="K4732" s="16" t="n">
        <f aca="false">IF(AND(Assumptions!$P$64=1,OR(K4598&lt;Assumptions!$K$64,J4951=1)),MIN(MAX(0,-K4814),MAX(0,Assumptions!$D$64-K4725)),0)</f>
        <v>0</v>
      </c>
    </row>
    <row r="4733" customFormat="false" ht="15" hidden="false" customHeight="false" outlineLevel="0" collapsed="false">
      <c r="A4733" s="3" t="s">
        <v>336</v>
      </c>
      <c r="G4733" s="16" t="n">
        <f aca="false">G4726*MIN(G4725-G4731+G4730,MAX(0,G4816-Assumptions!$C$12*G4632-G4642-G4655-G4668-G4681-G4694-G4707-G4720))</f>
        <v>0</v>
      </c>
      <c r="H4733" s="16" t="n">
        <f aca="false">H4726*MIN(H4725-H4731+H4730,MAX(0,H4816-Assumptions!$C$12*H4632-H4642-H4655-H4668-H4681-H4694-H4707-H4720))</f>
        <v>0</v>
      </c>
      <c r="I4733" s="16" t="n">
        <f aca="false">I4726*MIN(I4725-I4731+I4730,MAX(0,I4816-Assumptions!$C$12*I4632-I4642-I4655-I4668-I4681-I4694-I4707-I4720))</f>
        <v>0</v>
      </c>
      <c r="J4733" s="16" t="n">
        <f aca="false">J4726*MIN(J4725-J4731+J4730,MAX(0,J4816-Assumptions!$C$12*J4632-J4642-J4655-J4668-J4681-J4694-J4707-J4720))</f>
        <v>0</v>
      </c>
      <c r="K4733" s="16" t="n">
        <f aca="false">K4726*MIN(K4725-K4731+K4730,MAX(0,K4816-Assumptions!$C$12*K4632-K4642-K4655-K4668-K4681-K4694-K4707-K4720))</f>
        <v>0</v>
      </c>
    </row>
    <row r="4734" customFormat="false" ht="15" hidden="false" customHeight="false" outlineLevel="0" collapsed="false">
      <c r="A4734" s="3" t="s">
        <v>337</v>
      </c>
      <c r="G4734" s="16" t="n">
        <f aca="false">Assumptions!$N$64*MIN(G4725+G4732+G4730-G4731-G4733,MAX(0,G4820-G4643-G4656-G4669-G4682-G4695-G4708-G4721))</f>
        <v>0</v>
      </c>
      <c r="H4734" s="16" t="n">
        <f aca="false">Assumptions!$N$64*MIN(H4725+H4732+H4730-H4731-H4733,MAX(0,H4820-H4643-H4656-H4669-H4682-H4695-H4708-H4721))</f>
        <v>0</v>
      </c>
      <c r="I4734" s="16" t="n">
        <f aca="false">Assumptions!$N$64*MIN(I4725+I4732+I4730-I4731-I4733,MAX(0,I4820-I4643-I4656-I4669-I4682-I4695-I4708-I4721))</f>
        <v>0</v>
      </c>
      <c r="J4734" s="16" t="n">
        <f aca="false">Assumptions!$N$64*MIN(J4725+J4732+J4730-J4731-J4733,MAX(0,J4820-J4643-J4656-J4669-J4682-J4695-J4708-J4721))</f>
        <v>0</v>
      </c>
      <c r="K4734" s="16" t="n">
        <f aca="false">Assumptions!$N$64*MIN(K4725+K4732+K4730-K4731-K4733,MAX(0,K4820-K4643-K4656-K4669-K4682-K4695-K4708-K4721))</f>
        <v>0</v>
      </c>
    </row>
    <row r="4735" customFormat="false" ht="15" hidden="false" customHeight="false" outlineLevel="0" collapsed="false">
      <c r="A4735" s="3" t="s">
        <v>338</v>
      </c>
      <c r="G4735" s="16" t="n">
        <f aca="false">G4726*(1-G4632)*(G4725-G4731+G4730-G4733)</f>
        <v>0</v>
      </c>
      <c r="H4735" s="16" t="n">
        <f aca="false">H4726*(1-H4632)*(H4725-H4731+H4730-H4733)</f>
        <v>0</v>
      </c>
      <c r="I4735" s="16" t="n">
        <f aca="false">I4726*(1-I4632)*(I4725-I4731+I4730-I4733)</f>
        <v>0</v>
      </c>
      <c r="J4735" s="16" t="n">
        <f aca="false">J4726*(1-J4632)*(J4725-J4731+J4730-J4733)</f>
        <v>0</v>
      </c>
      <c r="K4735" s="16" t="n">
        <f aca="false">K4726*(1-K4632)*(K4725-K4731+K4730-K4733)</f>
        <v>0</v>
      </c>
    </row>
    <row r="4736" customFormat="false" ht="15" hidden="false" customHeight="false" outlineLevel="0" collapsed="false">
      <c r="A4736" s="2" t="s">
        <v>339</v>
      </c>
      <c r="F4736" s="28" t="n">
        <f aca="false">Assumptions!$C$64</f>
        <v>350</v>
      </c>
      <c r="G4736" s="17" t="n">
        <f aca="false">G4725+G4732+G4730-G4731-G4733-G4734</f>
        <v>350</v>
      </c>
      <c r="H4736" s="17" t="n">
        <f aca="false">H4725+H4732+H4730-H4731-H4733-H4734</f>
        <v>350</v>
      </c>
      <c r="I4736" s="17" t="n">
        <f aca="false">I4725+I4732+I4730-I4731-I4733-I4734</f>
        <v>350</v>
      </c>
      <c r="J4736" s="17" t="n">
        <f aca="false">J4725+J4732+J4730-J4731-J4733-J4734</f>
        <v>350</v>
      </c>
      <c r="K4736" s="17" t="n">
        <f aca="false">K4725+K4732+K4730-K4731-K4733-K4734</f>
        <v>350</v>
      </c>
    </row>
    <row r="4737" customFormat="false" ht="15" hidden="false" customHeight="false" outlineLevel="0" collapsed="false">
      <c r="A4737" s="24" t="s">
        <v>347</v>
      </c>
      <c r="B4737" s="25"/>
      <c r="C4737" s="25"/>
      <c r="D4737" s="25"/>
      <c r="E4737" s="25"/>
      <c r="F4737" s="25"/>
      <c r="G4737" s="25"/>
      <c r="H4737" s="25"/>
      <c r="I4737" s="25"/>
      <c r="J4737" s="25"/>
      <c r="K4737" s="25"/>
    </row>
    <row r="4738" customFormat="false" ht="15" hidden="false" customHeight="false" outlineLevel="0" collapsed="false">
      <c r="A4738" s="3" t="s">
        <v>329</v>
      </c>
      <c r="G4738" s="16" t="n">
        <f aca="false">F4749</f>
        <v>300</v>
      </c>
      <c r="H4738" s="16" t="n">
        <f aca="false">G4749</f>
        <v>300</v>
      </c>
      <c r="I4738" s="16" t="n">
        <f aca="false">H4749</f>
        <v>300</v>
      </c>
      <c r="J4738" s="16" t="n">
        <f aca="false">I4749</f>
        <v>300</v>
      </c>
      <c r="K4738" s="16" t="n">
        <f aca="false">J4749</f>
        <v>300</v>
      </c>
    </row>
    <row r="4739" customFormat="false" ht="15" hidden="false" customHeight="false" outlineLevel="0" collapsed="false">
      <c r="A4739" s="3" t="s">
        <v>330</v>
      </c>
      <c r="G4739" s="21" t="n">
        <f aca="false">IF(G4598=Assumptions!$K$65,1,0)</f>
        <v>0</v>
      </c>
      <c r="H4739" s="21" t="n">
        <f aca="false">IF(H4598=Assumptions!$K$65,1,0)</f>
        <v>0</v>
      </c>
      <c r="I4739" s="21" t="n">
        <f aca="false">IF(I4598=Assumptions!$K$65,1,0)</f>
        <v>0</v>
      </c>
      <c r="J4739" s="21" t="n">
        <f aca="false">IF(J4598=Assumptions!$K$65,1,0)</f>
        <v>0</v>
      </c>
      <c r="K4739" s="21" t="n">
        <f aca="false">IF(K4598=Assumptions!$K$65,1,0)</f>
        <v>1</v>
      </c>
    </row>
    <row r="4741" customFormat="false" ht="15" hidden="false" customHeight="false" outlineLevel="0" collapsed="false">
      <c r="A4741" s="3" t="s">
        <v>331</v>
      </c>
      <c r="G4741" s="31" t="n">
        <f aca="false">IF(Assumptions!$I$65=1,MAX(G4624,Assumptions!$G$65)+Assumptions!$F$65+$C$4625,Assumptions!$E$65)</f>
        <v>0.06125</v>
      </c>
      <c r="H4741" s="31" t="n">
        <f aca="false">IF(G4952=1,$C$4626,IF(Assumptions!$I$65=1,MAX(H4624,Assumptions!$G$65)+Assumptions!$F$65+$C$4625,Assumptions!$E$65))</f>
        <v>0.06125</v>
      </c>
      <c r="I4741" s="31" t="n">
        <f aca="false">IF(H4952=1,$C$4626,IF(Assumptions!$I$65=1,MAX(I4624,Assumptions!$G$65)+Assumptions!$F$65+$C$4625,Assumptions!$E$65))</f>
        <v>0.06125</v>
      </c>
      <c r="J4741" s="31" t="n">
        <f aca="false">IF(I4952=1,$C$4626,IF(Assumptions!$I$65=1,MAX(J4624,Assumptions!$G$65)+Assumptions!$F$65+$C$4625,Assumptions!$E$65))</f>
        <v>0.06125</v>
      </c>
      <c r="K4741" s="31" t="n">
        <f aca="false">IF(J4952=1,$C$4626,IF(Assumptions!$I$65=1,MAX(K4624,Assumptions!$G$65)+Assumptions!$F$65+$C$4625,Assumptions!$E$65))</f>
        <v>0.06125</v>
      </c>
    </row>
    <row r="4742" customFormat="false" ht="15" hidden="false" customHeight="false" outlineLevel="0" collapsed="false">
      <c r="A4742" s="3" t="s">
        <v>332</v>
      </c>
      <c r="G4742" s="16" t="n">
        <f aca="false">G4738*G4741</f>
        <v>18.375</v>
      </c>
      <c r="H4742" s="16" t="n">
        <f aca="false">H4738*H4741</f>
        <v>18.375</v>
      </c>
      <c r="I4742" s="16" t="n">
        <f aca="false">I4738*I4741</f>
        <v>18.375</v>
      </c>
      <c r="J4742" s="16" t="n">
        <f aca="false">J4738*J4741</f>
        <v>18.375</v>
      </c>
      <c r="K4742" s="16" t="n">
        <f aca="false">K4738*K4741</f>
        <v>18.375</v>
      </c>
    </row>
    <row r="4743" customFormat="false" ht="15" hidden="false" customHeight="false" outlineLevel="0" collapsed="false">
      <c r="A4743" s="3" t="s">
        <v>333</v>
      </c>
      <c r="G4743" s="16" t="n">
        <f aca="false">G4738*Assumptions!$H$65</f>
        <v>0</v>
      </c>
      <c r="H4743" s="16" t="n">
        <f aca="false">H4738*Assumptions!$H$65</f>
        <v>0</v>
      </c>
      <c r="I4743" s="16" t="n">
        <f aca="false">I4738*Assumptions!$H$65</f>
        <v>0</v>
      </c>
      <c r="J4743" s="16" t="n">
        <f aca="false">J4738*Assumptions!$H$65</f>
        <v>0</v>
      </c>
      <c r="K4743" s="16" t="n">
        <f aca="false">K4738*Assumptions!$H$65</f>
        <v>0</v>
      </c>
    </row>
    <row r="4744" customFormat="false" ht="15" hidden="false" customHeight="false" outlineLevel="0" collapsed="false">
      <c r="A4744" s="3" t="s">
        <v>334</v>
      </c>
      <c r="G4744" s="16" t="n">
        <f aca="false">MIN(G4738,Assumptions!$L$65*Assumptions!$C$65)</f>
        <v>0</v>
      </c>
      <c r="H4744" s="16" t="n">
        <f aca="false">MIN(H4738,Assumptions!$L$65*Assumptions!$C$65)</f>
        <v>0</v>
      </c>
      <c r="I4744" s="16" t="n">
        <f aca="false">MIN(I4738,Assumptions!$L$65*Assumptions!$C$65)</f>
        <v>0</v>
      </c>
      <c r="J4744" s="16" t="n">
        <f aca="false">MIN(J4738,Assumptions!$L$65*Assumptions!$C$65)</f>
        <v>0</v>
      </c>
      <c r="K4744" s="16" t="n">
        <f aca="false">MIN(K4738,Assumptions!$L$65*Assumptions!$C$65)</f>
        <v>0</v>
      </c>
    </row>
    <row r="4745" customFormat="false" ht="15" hidden="false" customHeight="false" outlineLevel="0" collapsed="false">
      <c r="A4745" s="3" t="s">
        <v>335</v>
      </c>
      <c r="G4745" s="16" t="n">
        <f aca="false">IF(AND(Assumptions!$P$65=1,G4598&lt;Assumptions!$K$65),MIN(MAX(0,-G4814),MAX(0,Assumptions!$D$65-G4738)),0)</f>
        <v>0</v>
      </c>
      <c r="H4745" s="16" t="n">
        <f aca="false">IF(AND(Assumptions!$P$65=1,OR(H4598&lt;Assumptions!$K$65,G4952=1)),MIN(MAX(0,-H4814),MAX(0,Assumptions!$D$65-H4738)),0)</f>
        <v>0</v>
      </c>
      <c r="I4745" s="16" t="n">
        <f aca="false">IF(AND(Assumptions!$P$65=1,OR(I4598&lt;Assumptions!$K$65,H4952=1)),MIN(MAX(0,-I4814),MAX(0,Assumptions!$D$65-I4738)),0)</f>
        <v>0</v>
      </c>
      <c r="J4745" s="16" t="n">
        <f aca="false">IF(AND(Assumptions!$P$65=1,OR(J4598&lt;Assumptions!$K$65,I4952=1)),MIN(MAX(0,-J4814),MAX(0,Assumptions!$D$65-J4738)),0)</f>
        <v>0</v>
      </c>
      <c r="K4745" s="16" t="n">
        <f aca="false">IF(AND(Assumptions!$P$65=1,OR(K4598&lt;Assumptions!$K$65,J4952=1)),MIN(MAX(0,-K4814),MAX(0,Assumptions!$D$65-K4738)),0)</f>
        <v>0</v>
      </c>
    </row>
    <row r="4746" customFormat="false" ht="15" hidden="false" customHeight="false" outlineLevel="0" collapsed="false">
      <c r="A4746" s="3" t="s">
        <v>336</v>
      </c>
      <c r="G4746" s="16" t="n">
        <f aca="false">G4739*MIN(G4738-G4744+G4743,MAX(0,G4816-Assumptions!$C$12*G4632-G4642-G4655-G4668-G4681-G4694-G4707-G4720-G4733))</f>
        <v>0</v>
      </c>
      <c r="H4746" s="16" t="n">
        <f aca="false">H4739*MIN(H4738-H4744+H4743,MAX(0,H4816-Assumptions!$C$12*H4632-H4642-H4655-H4668-H4681-H4694-H4707-H4720-H4733))</f>
        <v>0</v>
      </c>
      <c r="I4746" s="16" t="n">
        <f aca="false">I4739*MIN(I4738-I4744+I4743,MAX(0,I4816-Assumptions!$C$12*I4632-I4642-I4655-I4668-I4681-I4694-I4707-I4720-I4733))</f>
        <v>0</v>
      </c>
      <c r="J4746" s="16" t="n">
        <f aca="false">J4739*MIN(J4738-J4744+J4743,MAX(0,J4816-Assumptions!$C$12*J4632-J4642-J4655-J4668-J4681-J4694-J4707-J4720-J4733))</f>
        <v>0</v>
      </c>
      <c r="K4746" s="16" t="n">
        <f aca="false">K4739*MIN(K4738-K4744+K4743,MAX(0,K4816-Assumptions!$C$12*K4632-K4642-K4655-K4668-K4681-K4694-K4707-K4720-K4733))</f>
        <v>0</v>
      </c>
    </row>
    <row r="4747" customFormat="false" ht="15" hidden="false" customHeight="false" outlineLevel="0" collapsed="false">
      <c r="A4747" s="3" t="s">
        <v>337</v>
      </c>
      <c r="G4747" s="16" t="n">
        <f aca="false">Assumptions!$N$65*MIN(G4738+G4745+G4743-G4744-G4746,MAX(0,G4820-G4643-G4656-G4669-G4682-G4695-G4708-G4721-G4734))</f>
        <v>0</v>
      </c>
      <c r="H4747" s="16" t="n">
        <f aca="false">Assumptions!$N$65*MIN(H4738+H4745+H4743-H4744-H4746,MAX(0,H4820-H4643-H4656-H4669-H4682-H4695-H4708-H4721-H4734))</f>
        <v>0</v>
      </c>
      <c r="I4747" s="16" t="n">
        <f aca="false">Assumptions!$N$65*MIN(I4738+I4745+I4743-I4744-I4746,MAX(0,I4820-I4643-I4656-I4669-I4682-I4695-I4708-I4721-I4734))</f>
        <v>0</v>
      </c>
      <c r="J4747" s="16" t="n">
        <f aca="false">Assumptions!$N$65*MIN(J4738+J4745+J4743-J4744-J4746,MAX(0,J4820-J4643-J4656-J4669-J4682-J4695-J4708-J4721-J4734))</f>
        <v>0</v>
      </c>
      <c r="K4747" s="16" t="n">
        <f aca="false">Assumptions!$N$65*MIN(K4738+K4745+K4743-K4744-K4746,MAX(0,K4820-K4643-K4656-K4669-K4682-K4695-K4708-K4721-K4734))</f>
        <v>0</v>
      </c>
    </row>
    <row r="4748" customFormat="false" ht="15" hidden="false" customHeight="false" outlineLevel="0" collapsed="false">
      <c r="A4748" s="3" t="s">
        <v>338</v>
      </c>
      <c r="G4748" s="16" t="n">
        <f aca="false">G4739*(1-G4632)*(G4738-G4744+G4743-G4746)</f>
        <v>0</v>
      </c>
      <c r="H4748" s="16" t="n">
        <f aca="false">H4739*(1-H4632)*(H4738-H4744+H4743-H4746)</f>
        <v>0</v>
      </c>
      <c r="I4748" s="16" t="n">
        <f aca="false">I4739*(1-I4632)*(I4738-I4744+I4743-I4746)</f>
        <v>0</v>
      </c>
      <c r="J4748" s="16" t="n">
        <f aca="false">J4739*(1-J4632)*(J4738-J4744+J4743-J4746)</f>
        <v>0</v>
      </c>
      <c r="K4748" s="16" t="n">
        <f aca="false">K4739*(1-K4632)*(K4738-K4744+K4743-K4746)</f>
        <v>0</v>
      </c>
    </row>
    <row r="4749" customFormat="false" ht="15" hidden="false" customHeight="false" outlineLevel="0" collapsed="false">
      <c r="A4749" s="2" t="s">
        <v>339</v>
      </c>
      <c r="F4749" s="28" t="n">
        <f aca="false">Assumptions!$C$65</f>
        <v>300</v>
      </c>
      <c r="G4749" s="17" t="n">
        <f aca="false">G4738+G4745+G4743-G4744-G4746-G4747</f>
        <v>300</v>
      </c>
      <c r="H4749" s="17" t="n">
        <f aca="false">H4738+H4745+H4743-H4744-H4746-H4747</f>
        <v>300</v>
      </c>
      <c r="I4749" s="17" t="n">
        <f aca="false">I4738+I4745+I4743-I4744-I4746-I4747</f>
        <v>300</v>
      </c>
      <c r="J4749" s="17" t="n">
        <f aca="false">J4738+J4745+J4743-J4744-J4746-J4747</f>
        <v>300</v>
      </c>
      <c r="K4749" s="17" t="n">
        <f aca="false">K4738+K4745+K4743-K4744-K4746-K4747</f>
        <v>300</v>
      </c>
    </row>
    <row r="4750" customFormat="false" ht="15" hidden="false" customHeight="false" outlineLevel="0" collapsed="false">
      <c r="A4750" s="24" t="s">
        <v>348</v>
      </c>
      <c r="B4750" s="25"/>
      <c r="C4750" s="25"/>
      <c r="D4750" s="25"/>
      <c r="E4750" s="25"/>
      <c r="F4750" s="25"/>
      <c r="G4750" s="25"/>
      <c r="H4750" s="25"/>
      <c r="I4750" s="25"/>
      <c r="J4750" s="25"/>
      <c r="K4750" s="25"/>
    </row>
    <row r="4751" customFormat="false" ht="15" hidden="false" customHeight="false" outlineLevel="0" collapsed="false">
      <c r="A4751" s="3" t="s">
        <v>329</v>
      </c>
      <c r="G4751" s="16" t="n">
        <f aca="false">F4762</f>
        <v>78.61</v>
      </c>
      <c r="H4751" s="16" t="n">
        <f aca="false">G4762</f>
        <v>78.61</v>
      </c>
      <c r="I4751" s="16" t="n">
        <f aca="false">H4762</f>
        <v>78.61</v>
      </c>
      <c r="J4751" s="16" t="n">
        <f aca="false">I4762</f>
        <v>78.61</v>
      </c>
      <c r="K4751" s="16" t="n">
        <f aca="false">J4762</f>
        <v>78.61</v>
      </c>
    </row>
    <row r="4752" customFormat="false" ht="15" hidden="false" customHeight="false" outlineLevel="0" collapsed="false">
      <c r="A4752" s="3" t="s">
        <v>330</v>
      </c>
      <c r="G4752" s="21" t="n">
        <f aca="false">IF(G4598=Assumptions!$K$66,1,0)</f>
        <v>0</v>
      </c>
      <c r="H4752" s="21" t="n">
        <f aca="false">IF(H4598=Assumptions!$K$66,1,0)</f>
        <v>0</v>
      </c>
      <c r="I4752" s="21" t="n">
        <f aca="false">IF(I4598=Assumptions!$K$66,1,0)</f>
        <v>0</v>
      </c>
      <c r="J4752" s="21" t="n">
        <f aca="false">IF(J4598=Assumptions!$K$66,1,0)</f>
        <v>0</v>
      </c>
      <c r="K4752" s="21" t="n">
        <f aca="false">IF(K4598=Assumptions!$K$66,1,0)</f>
        <v>0</v>
      </c>
    </row>
    <row r="4754" customFormat="false" ht="15" hidden="false" customHeight="false" outlineLevel="0" collapsed="false">
      <c r="A4754" s="3" t="s">
        <v>331</v>
      </c>
      <c r="G4754" s="31" t="n">
        <f aca="false">IF(Assumptions!$I$66=1,MAX(G4624,Assumptions!$G$66)+Assumptions!$F$66+$C$4625,Assumptions!$E$66)</f>
        <v>0.0541</v>
      </c>
      <c r="H4754" s="31" t="n">
        <f aca="false">IF(G4953=1,$C$4626,IF(Assumptions!$I$66=1,MAX(H4624,Assumptions!$G$66)+Assumptions!$F$66+$C$4625,Assumptions!$E$66))</f>
        <v>0.0526</v>
      </c>
      <c r="I4754" s="31" t="n">
        <f aca="false">IF(H4953=1,$C$4626,IF(Assumptions!$I$66=1,MAX(I4624,Assumptions!$G$66)+Assumptions!$F$66+$C$4625,Assumptions!$E$66))</f>
        <v>0.0501</v>
      </c>
      <c r="J4754" s="31" t="n">
        <f aca="false">IF(I4953=1,$C$4626,IF(Assumptions!$I$66=1,MAX(J4624,Assumptions!$G$66)+Assumptions!$F$66+$C$4625,Assumptions!$E$66))</f>
        <v>0.0501</v>
      </c>
      <c r="K4754" s="31" t="n">
        <f aca="false">IF(J4953=1,$C$4626,IF(Assumptions!$I$66=1,MAX(K4624,Assumptions!$G$66)+Assumptions!$F$66+$C$4625,Assumptions!$E$66))</f>
        <v>0.0501</v>
      </c>
    </row>
    <row r="4755" customFormat="false" ht="15" hidden="false" customHeight="false" outlineLevel="0" collapsed="false">
      <c r="A4755" s="3" t="s">
        <v>332</v>
      </c>
      <c r="G4755" s="16" t="n">
        <f aca="false">G4751*G4754</f>
        <v>4.252801</v>
      </c>
      <c r="H4755" s="16" t="n">
        <f aca="false">H4751*H4754</f>
        <v>4.134886</v>
      </c>
      <c r="I4755" s="16" t="n">
        <f aca="false">I4751*I4754</f>
        <v>3.938361</v>
      </c>
      <c r="J4755" s="16" t="n">
        <f aca="false">J4751*J4754</f>
        <v>3.938361</v>
      </c>
      <c r="K4755" s="16" t="n">
        <f aca="false">K4751*K4754</f>
        <v>3.938361</v>
      </c>
    </row>
    <row r="4756" customFormat="false" ht="15" hidden="false" customHeight="false" outlineLevel="0" collapsed="false">
      <c r="A4756" s="3" t="s">
        <v>333</v>
      </c>
      <c r="G4756" s="16" t="n">
        <f aca="false">G4751*Assumptions!$H$66</f>
        <v>0</v>
      </c>
      <c r="H4756" s="16" t="n">
        <f aca="false">H4751*Assumptions!$H$66</f>
        <v>0</v>
      </c>
      <c r="I4756" s="16" t="n">
        <f aca="false">I4751*Assumptions!$H$66</f>
        <v>0</v>
      </c>
      <c r="J4756" s="16" t="n">
        <f aca="false">J4751*Assumptions!$H$66</f>
        <v>0</v>
      </c>
      <c r="K4756" s="16" t="n">
        <f aca="false">K4751*Assumptions!$H$66</f>
        <v>0</v>
      </c>
    </row>
    <row r="4757" customFormat="false" ht="15" hidden="false" customHeight="false" outlineLevel="0" collapsed="false">
      <c r="A4757" s="3" t="s">
        <v>334</v>
      </c>
      <c r="G4757" s="16" t="n">
        <f aca="false">MIN(G4751,Assumptions!$L$66*Assumptions!$C$66)</f>
        <v>0</v>
      </c>
      <c r="H4757" s="16" t="n">
        <f aca="false">MIN(H4751,Assumptions!$L$66*Assumptions!$C$66)</f>
        <v>0</v>
      </c>
      <c r="I4757" s="16" t="n">
        <f aca="false">MIN(I4751,Assumptions!$L$66*Assumptions!$C$66)</f>
        <v>0</v>
      </c>
      <c r="J4757" s="16" t="n">
        <f aca="false">MIN(J4751,Assumptions!$L$66*Assumptions!$C$66)</f>
        <v>0</v>
      </c>
      <c r="K4757" s="16" t="n">
        <f aca="false">MIN(K4751,Assumptions!$L$66*Assumptions!$C$66)</f>
        <v>0</v>
      </c>
    </row>
    <row r="4758" customFormat="false" ht="15" hidden="false" customHeight="false" outlineLevel="0" collapsed="false">
      <c r="A4758" s="3" t="s">
        <v>335</v>
      </c>
      <c r="G4758" s="16" t="n">
        <f aca="false">IF(AND(Assumptions!$P$66=1,G4598&lt;Assumptions!$K$66),MIN(MAX(0,-G4814),MAX(0,Assumptions!$D$66-G4751)),0)</f>
        <v>0</v>
      </c>
      <c r="H4758" s="16" t="n">
        <f aca="false">IF(AND(Assumptions!$P$66=1,OR(H4598&lt;Assumptions!$K$66,G4953=1)),MIN(MAX(0,-H4814),MAX(0,Assumptions!$D$66-H4751)),0)</f>
        <v>0</v>
      </c>
      <c r="I4758" s="16" t="n">
        <f aca="false">IF(AND(Assumptions!$P$66=1,OR(I4598&lt;Assumptions!$K$66,H4953=1)),MIN(MAX(0,-I4814),MAX(0,Assumptions!$D$66-I4751)),0)</f>
        <v>0</v>
      </c>
      <c r="J4758" s="16" t="n">
        <f aca="false">IF(AND(Assumptions!$P$66=1,OR(J4598&lt;Assumptions!$K$66,I4953=1)),MIN(MAX(0,-J4814),MAX(0,Assumptions!$D$66-J4751)),0)</f>
        <v>0</v>
      </c>
      <c r="K4758" s="16" t="n">
        <f aca="false">IF(AND(Assumptions!$P$66=1,OR(K4598&lt;Assumptions!$K$66,J4953=1)),MIN(MAX(0,-K4814),MAX(0,Assumptions!$D$66-K4751)),0)</f>
        <v>0</v>
      </c>
    </row>
    <row r="4759" customFormat="false" ht="15" hidden="false" customHeight="false" outlineLevel="0" collapsed="false">
      <c r="A4759" s="3" t="s">
        <v>336</v>
      </c>
      <c r="G4759" s="16" t="n">
        <f aca="false">G4752*MIN(G4751-G4757+G4756,MAX(0,G4816-Assumptions!$C$12*G4632-G4642-G4655-G4668-G4681-G4694-G4707-G4720-G4733-G4746))</f>
        <v>0</v>
      </c>
      <c r="H4759" s="16" t="n">
        <f aca="false">H4752*MIN(H4751-H4757+H4756,MAX(0,H4816-Assumptions!$C$12*H4632-H4642-H4655-H4668-H4681-H4694-H4707-H4720-H4733-H4746))</f>
        <v>0</v>
      </c>
      <c r="I4759" s="16" t="n">
        <f aca="false">I4752*MIN(I4751-I4757+I4756,MAX(0,I4816-Assumptions!$C$12*I4632-I4642-I4655-I4668-I4681-I4694-I4707-I4720-I4733-I4746))</f>
        <v>0</v>
      </c>
      <c r="J4759" s="16" t="n">
        <f aca="false">J4752*MIN(J4751-J4757+J4756,MAX(0,J4816-Assumptions!$C$12*J4632-J4642-J4655-J4668-J4681-J4694-J4707-J4720-J4733-J4746))</f>
        <v>0</v>
      </c>
      <c r="K4759" s="16" t="n">
        <f aca="false">K4752*MIN(K4751-K4757+K4756,MAX(0,K4816-Assumptions!$C$12*K4632-K4642-K4655-K4668-K4681-K4694-K4707-K4720-K4733-K4746))</f>
        <v>0</v>
      </c>
    </row>
    <row r="4760" customFormat="false" ht="15" hidden="false" customHeight="false" outlineLevel="0" collapsed="false">
      <c r="A4760" s="3" t="s">
        <v>337</v>
      </c>
      <c r="G4760" s="16" t="n">
        <f aca="false">Assumptions!$N$66*MIN(G4751+G4758+G4756-G4757-G4759,MAX(0,G4820-G4643-G4656-G4669-G4682-G4695-G4708-G4721-G4734-G4747))</f>
        <v>0</v>
      </c>
      <c r="H4760" s="16" t="n">
        <f aca="false">Assumptions!$N$66*MIN(H4751+H4758+H4756-H4757-H4759,MAX(0,H4820-H4643-H4656-H4669-H4682-H4695-H4708-H4721-H4734-H4747))</f>
        <v>0</v>
      </c>
      <c r="I4760" s="16" t="n">
        <f aca="false">Assumptions!$N$66*MIN(I4751+I4758+I4756-I4757-I4759,MAX(0,I4820-I4643-I4656-I4669-I4682-I4695-I4708-I4721-I4734-I4747))</f>
        <v>0</v>
      </c>
      <c r="J4760" s="16" t="n">
        <f aca="false">Assumptions!$N$66*MIN(J4751+J4758+J4756-J4757-J4759,MAX(0,J4820-J4643-J4656-J4669-J4682-J4695-J4708-J4721-J4734-J4747))</f>
        <v>0</v>
      </c>
      <c r="K4760" s="16" t="n">
        <f aca="false">Assumptions!$N$66*MIN(K4751+K4758+K4756-K4757-K4759,MAX(0,K4820-K4643-K4656-K4669-K4682-K4695-K4708-K4721-K4734-K4747))</f>
        <v>0</v>
      </c>
    </row>
    <row r="4761" customFormat="false" ht="15" hidden="false" customHeight="false" outlineLevel="0" collapsed="false">
      <c r="A4761" s="3" t="s">
        <v>338</v>
      </c>
      <c r="G4761" s="16" t="n">
        <f aca="false">G4752*(1-G4632)*(G4751-G4757+G4756-G4759)</f>
        <v>0</v>
      </c>
      <c r="H4761" s="16" t="n">
        <f aca="false">H4752*(1-H4632)*(H4751-H4757+H4756-H4759)</f>
        <v>0</v>
      </c>
      <c r="I4761" s="16" t="n">
        <f aca="false">I4752*(1-I4632)*(I4751-I4757+I4756-I4759)</f>
        <v>0</v>
      </c>
      <c r="J4761" s="16" t="n">
        <f aca="false">J4752*(1-J4632)*(J4751-J4757+J4756-J4759)</f>
        <v>0</v>
      </c>
      <c r="K4761" s="16" t="n">
        <f aca="false">K4752*(1-K4632)*(K4751-K4757+K4756-K4759)</f>
        <v>0</v>
      </c>
    </row>
    <row r="4762" customFormat="false" ht="15" hidden="false" customHeight="false" outlineLevel="0" collapsed="false">
      <c r="A4762" s="2" t="s">
        <v>339</v>
      </c>
      <c r="F4762" s="28" t="n">
        <f aca="false">Assumptions!$C$66</f>
        <v>78.61</v>
      </c>
      <c r="G4762" s="17" t="n">
        <f aca="false">G4751+G4758+G4756-G4757-G4759-G4760</f>
        <v>78.61</v>
      </c>
      <c r="H4762" s="17" t="n">
        <f aca="false">H4751+H4758+H4756-H4757-H4759-H4760</f>
        <v>78.61</v>
      </c>
      <c r="I4762" s="17" t="n">
        <f aca="false">I4751+I4758+I4756-I4757-I4759-I4760</f>
        <v>78.61</v>
      </c>
      <c r="J4762" s="17" t="n">
        <f aca="false">J4751+J4758+J4756-J4757-J4759-J4760</f>
        <v>78.61</v>
      </c>
      <c r="K4762" s="17" t="n">
        <f aca="false">K4751+K4758+K4756-K4757-K4759-K4760</f>
        <v>78.61</v>
      </c>
    </row>
    <row r="4763" customFormat="false" ht="15" hidden="false" customHeight="false" outlineLevel="0" collapsed="false">
      <c r="A4763" s="24" t="s">
        <v>349</v>
      </c>
      <c r="B4763" s="25"/>
      <c r="C4763" s="25"/>
      <c r="D4763" s="25"/>
      <c r="E4763" s="25"/>
      <c r="F4763" s="25"/>
      <c r="G4763" s="25"/>
      <c r="H4763" s="25"/>
      <c r="I4763" s="25"/>
      <c r="J4763" s="25"/>
      <c r="K4763" s="25"/>
    </row>
    <row r="4764" customFormat="false" ht="15" hidden="false" customHeight="false" outlineLevel="0" collapsed="false">
      <c r="A4764" s="2" t="s">
        <v>350</v>
      </c>
      <c r="F4764" s="17" t="n">
        <f aca="false">F4645+F4658+F4671+F4684+F4697+F4710+F4723+F4736+F4749+F4762</f>
        <v>2625.934</v>
      </c>
      <c r="G4764" s="17" t="n">
        <f aca="false">G4645+G4658+G4671+G4684+G4697+G4710+G4723+G4736+G4749+G4762</f>
        <v>2621.934</v>
      </c>
      <c r="H4764" s="17" t="n">
        <f aca="false">H4645+H4658+H4671+H4684+H4697+H4710+H4723+H4736+H4749+H4762</f>
        <v>2536.6020959578</v>
      </c>
      <c r="I4764" s="17" t="n">
        <f aca="false">I4645+I4658+I4671+I4684+I4697+I4710+I4723+I4736+I4749+I4762</f>
        <v>2576.15994179826</v>
      </c>
      <c r="J4764" s="17" t="n">
        <f aca="false">J4645+J4658+J4671+J4684+J4697+J4710+J4723+J4736+J4749+J4762</f>
        <v>2635.5399449939</v>
      </c>
      <c r="K4764" s="17" t="n">
        <f aca="false">K4645+K4658+K4671+K4684+K4697+K4710+K4723+K4736+K4749+K4762</f>
        <v>2708.12486165956</v>
      </c>
    </row>
    <row r="4765" customFormat="false" ht="15" hidden="false" customHeight="false" outlineLevel="0" collapsed="false">
      <c r="A4765" s="3" t="s">
        <v>351</v>
      </c>
      <c r="G4765" s="16" t="n">
        <f aca="false">G4635*Assumptions!$C$57+G4648*Assumptions!$C$58+G4661*Assumptions!$C$59+G4674*Assumptions!$C$60+G4687*Assumptions!$C$61+G4700*Assumptions!$C$62+G4713*Assumptions!$C$63+G4726*Assumptions!$C$64+G4739*Assumptions!$C$65+G4752*Assumptions!$C$66</f>
        <v>0</v>
      </c>
      <c r="H4765" s="16" t="n">
        <f aca="false">H4635*Assumptions!$C$57+H4648*Assumptions!$C$58+H4661*Assumptions!$C$59+H4674*Assumptions!$C$60+H4687*Assumptions!$C$61+H4700*Assumptions!$C$62+H4713*Assumptions!$C$63+H4726*Assumptions!$C$64+H4739*Assumptions!$C$65+H4752*Assumptions!$C$66</f>
        <v>800</v>
      </c>
      <c r="I4765" s="16" t="n">
        <f aca="false">I4635*Assumptions!$C$57+I4648*Assumptions!$C$58+I4661*Assumptions!$C$59+I4674*Assumptions!$C$60+I4687*Assumptions!$C$61+I4700*Assumptions!$C$62+I4713*Assumptions!$C$63+I4726*Assumptions!$C$64+I4739*Assumptions!$C$65+I4752*Assumptions!$C$66</f>
        <v>550</v>
      </c>
      <c r="J4765" s="16" t="n">
        <f aca="false">J4635*Assumptions!$C$57+J4648*Assumptions!$C$58+J4661*Assumptions!$C$59+J4674*Assumptions!$C$60+J4687*Assumptions!$C$61+J4700*Assumptions!$C$62+J4713*Assumptions!$C$63+J4726*Assumptions!$C$64+J4739*Assumptions!$C$65+J4752*Assumptions!$C$66</f>
        <v>350</v>
      </c>
      <c r="K4765" s="16" t="n">
        <f aca="false">K4635*Assumptions!$C$57+K4648*Assumptions!$C$58+K4661*Assumptions!$C$59+K4674*Assumptions!$C$60+K4687*Assumptions!$C$61+K4700*Assumptions!$C$62+K4713*Assumptions!$C$63+K4726*Assumptions!$C$64+K4739*Assumptions!$C$65+K4752*Assumptions!$C$66</f>
        <v>700</v>
      </c>
    </row>
    <row r="4766" customFormat="false" ht="15" hidden="false" customHeight="false" outlineLevel="0" collapsed="false">
      <c r="A4766" s="24" t="s">
        <v>352</v>
      </c>
      <c r="B4766" s="25"/>
      <c r="C4766" s="25"/>
      <c r="D4766" s="25"/>
      <c r="E4766" s="25"/>
      <c r="F4766" s="25"/>
      <c r="G4766" s="25"/>
      <c r="H4766" s="25"/>
      <c r="I4766" s="25"/>
      <c r="J4766" s="25"/>
      <c r="K4766" s="25"/>
    </row>
    <row r="4767" customFormat="false" ht="15" hidden="false" customHeight="false" outlineLevel="0" collapsed="false">
      <c r="A4767" s="3" t="s">
        <v>353</v>
      </c>
      <c r="C4767" s="16" t="n">
        <f aca="false">SUMPRODUCT($G$4635:$K$4635,$G$4634:$K$4634-$G$4640:$K$4640+$G$4639:$K$4639)</f>
        <v>380</v>
      </c>
    </row>
    <row r="4768" customFormat="false" ht="15" hidden="false" customHeight="false" outlineLevel="0" collapsed="false">
      <c r="A4768" s="3" t="s">
        <v>354</v>
      </c>
      <c r="C4768" s="16" t="n">
        <f aca="false">SUMPRODUCT($G$4635:$K$4635,$G$4642:$K$4642)</f>
        <v>0</v>
      </c>
    </row>
    <row r="4769" customFormat="false" ht="15" hidden="false" customHeight="false" outlineLevel="0" collapsed="false">
      <c r="A4769" s="3" t="s">
        <v>355</v>
      </c>
      <c r="C4769" s="3" t="str">
        <f aca="false">IF(SUM($G$4635:$K$4635)=0,"n/a (beyond horizon)",IF(SUMPRODUCT($G$4635:$K$4635,$G$4632:$K$4632)&gt;0,"REFINANCING PASS","REFINANCING FAILURE"))</f>
        <v>REFINANCING PASS</v>
      </c>
    </row>
    <row r="4770" customFormat="false" ht="15" hidden="false" customHeight="false" outlineLevel="0" collapsed="false">
      <c r="A4770" s="3" t="s">
        <v>356</v>
      </c>
      <c r="C4770" s="3" t="str">
        <f aca="false">IF(SUM($G$4635:$K$4635)=0,"n/a",IF(C4768&gt;=C4767-0.001,"Repaid from cash",IF(SUMPRODUCT($G$4635:$K$4635,$G$4632:$K$4632)&gt;0,IF(C4768&gt;0,"Partly repaid; remainder refinanced","Refinanced"),IF(SUM($G$4644:$K$4644)&gt;0.001,IF(C4768&gt;0,"Partial repayment; PAYMENT DEFAULT","PAYMENT DEFAULT"),"Repaid from cash"))))</f>
        <v>Refinanced</v>
      </c>
    </row>
    <row r="4771" customFormat="false" ht="15" hidden="false" customHeight="false" outlineLevel="0" collapsed="false">
      <c r="A4771" s="3" t="s">
        <v>357</v>
      </c>
      <c r="C4771" s="16" t="n">
        <f aca="false">SUMPRODUCT($G$4648:$K$4648,$G$4647:$K$4647-$G$4653:$K$4653+$G$4652:$K$4652)</f>
        <v>0</v>
      </c>
    </row>
    <row r="4772" customFormat="false" ht="15" hidden="false" customHeight="false" outlineLevel="0" collapsed="false">
      <c r="A4772" s="3" t="s">
        <v>358</v>
      </c>
      <c r="C4772" s="16" t="n">
        <f aca="false">SUMPRODUCT($G$4648:$K$4648,$G$4655:$K$4655)</f>
        <v>0</v>
      </c>
    </row>
    <row r="4773" customFormat="false" ht="15" hidden="false" customHeight="false" outlineLevel="0" collapsed="false">
      <c r="A4773" s="3" t="s">
        <v>359</v>
      </c>
      <c r="C4773" s="3" t="str">
        <f aca="false">IF(SUM($G$4648:$K$4648)=0,"n/a (beyond horizon)",IF(SUMPRODUCT($G$4648:$K$4648,$G$4632:$K$4632)&gt;0,"REFINANCING PASS","REFINANCING FAILURE"))</f>
        <v>n/a (beyond horizon)</v>
      </c>
    </row>
    <row r="4774" customFormat="false" ht="15" hidden="false" customHeight="false" outlineLevel="0" collapsed="false">
      <c r="A4774" s="3" t="s">
        <v>360</v>
      </c>
      <c r="C4774" s="3" t="str">
        <f aca="false">IF(SUM($G$4648:$K$4648)=0,"n/a",IF(C4772&gt;=C4771-0.001,"Repaid from cash",IF(SUMPRODUCT($G$4648:$K$4648,$G$4632:$K$4632)&gt;0,IF(C4772&gt;0,"Partly repaid; remainder refinanced","Refinanced"),IF(SUM($G$4657:$K$4657)&gt;0.001,IF(C4772&gt;0,"Partial repayment; PAYMENT DEFAULT","PAYMENT DEFAULT"),"Repaid from cash"))))</f>
        <v>n/a</v>
      </c>
    </row>
    <row r="4775" customFormat="false" ht="15" hidden="false" customHeight="false" outlineLevel="0" collapsed="false">
      <c r="A4775" s="3" t="s">
        <v>361</v>
      </c>
      <c r="C4775" s="16" t="n">
        <f aca="false">SUMPRODUCT($G$4661:$K$4661,$G$4660:$K$4660-$G$4666:$K$4666+$G$4665:$K$4665)</f>
        <v>0</v>
      </c>
    </row>
    <row r="4776" customFormat="false" ht="15" hidden="false" customHeight="false" outlineLevel="0" collapsed="false">
      <c r="A4776" s="3" t="s">
        <v>362</v>
      </c>
      <c r="C4776" s="16" t="n">
        <f aca="false">SUMPRODUCT($G$4661:$K$4661,$G$4668:$K$4668)</f>
        <v>0</v>
      </c>
    </row>
    <row r="4777" customFormat="false" ht="15" hidden="false" customHeight="false" outlineLevel="0" collapsed="false">
      <c r="A4777" s="3" t="s">
        <v>363</v>
      </c>
      <c r="C4777" s="3" t="str">
        <f aca="false">IF(SUM($G$4661:$K$4661)=0,"n/a (beyond horizon)",IF(SUMPRODUCT($G$4661:$K$4661,$G$4632:$K$4632)&gt;0,"REFINANCING PASS","REFINANCING FAILURE"))</f>
        <v>n/a (beyond horizon)</v>
      </c>
    </row>
    <row r="4778" customFormat="false" ht="15" hidden="false" customHeight="false" outlineLevel="0" collapsed="false">
      <c r="A4778" s="3" t="s">
        <v>364</v>
      </c>
      <c r="C4778" s="3" t="str">
        <f aca="false">IF(SUM($G$4661:$K$4661)=0,"n/a",IF(C4776&gt;=C4775-0.001,"Repaid from cash",IF(SUMPRODUCT($G$4661:$K$4661,$G$4632:$K$4632)&gt;0,IF(C4776&gt;0,"Partly repaid; remainder refinanced","Refinanced"),IF(SUM($G$4670:$K$4670)&gt;0.001,IF(C4776&gt;0,"Partial repayment; PAYMENT DEFAULT","PAYMENT DEFAULT"),"Repaid from cash"))))</f>
        <v>n/a</v>
      </c>
    </row>
    <row r="4779" customFormat="false" ht="15" hidden="false" customHeight="false" outlineLevel="0" collapsed="false">
      <c r="A4779" s="3" t="s">
        <v>365</v>
      </c>
      <c r="C4779" s="16" t="n">
        <f aca="false">SUMPRODUCT($G$4674:$K$4674,$G$4673:$K$4673-$G$4679:$K$4679+$G$4678:$K$4678)</f>
        <v>0</v>
      </c>
    </row>
    <row r="4780" customFormat="false" ht="15" hidden="false" customHeight="false" outlineLevel="0" collapsed="false">
      <c r="A4780" s="3" t="s">
        <v>366</v>
      </c>
      <c r="C4780" s="16" t="n">
        <f aca="false">SUMPRODUCT($G$4674:$K$4674,$G$4681:$K$4681)</f>
        <v>0</v>
      </c>
    </row>
    <row r="4781" customFormat="false" ht="15" hidden="false" customHeight="false" outlineLevel="0" collapsed="false">
      <c r="A4781" s="3" t="s">
        <v>367</v>
      </c>
      <c r="C4781" s="3" t="str">
        <f aca="false">IF(SUM($G$4674:$K$4674)=0,"n/a (beyond horizon)",IF(SUMPRODUCT($G$4674:$K$4674,$G$4632:$K$4632)&gt;0,"REFINANCING PASS","REFINANCING FAILURE"))</f>
        <v>REFINANCING PASS</v>
      </c>
    </row>
    <row r="4782" customFormat="false" ht="15" hidden="false" customHeight="false" outlineLevel="0" collapsed="false">
      <c r="A4782" s="3" t="s">
        <v>368</v>
      </c>
      <c r="C4782" s="3" t="str">
        <f aca="false">IF(SUM($G$4674:$K$4674)=0,"n/a",IF(C4780&gt;=C4779-0.001,"Repaid from cash",IF(SUMPRODUCT($G$4674:$K$4674,$G$4632:$K$4632)&gt;0,IF(C4780&gt;0,"Partly repaid; remainder refinanced","Refinanced"),IF(SUM($G$4683:$K$4683)&gt;0.001,IF(C4780&gt;0,"Partial repayment; PAYMENT DEFAULT","PAYMENT DEFAULT"),"Repaid from cash"))))</f>
        <v>Repaid from cash</v>
      </c>
    </row>
    <row r="4783" customFormat="false" ht="15" hidden="false" customHeight="false" outlineLevel="0" collapsed="false">
      <c r="A4783" s="3" t="s">
        <v>369</v>
      </c>
      <c r="C4783" s="16" t="n">
        <f aca="false">SUMPRODUCT($G$4687:$K$4687,$G$4686:$K$4686-$G$4692:$K$4692+$G$4691:$K$4691)</f>
        <v>450</v>
      </c>
    </row>
    <row r="4784" customFormat="false" ht="15" hidden="false" customHeight="false" outlineLevel="0" collapsed="false">
      <c r="A4784" s="3" t="s">
        <v>370</v>
      </c>
      <c r="C4784" s="16" t="n">
        <f aca="false">SUMPRODUCT($G$4687:$K$4687,$G$4694:$K$4694)</f>
        <v>81.3319040422001</v>
      </c>
    </row>
    <row r="4785" customFormat="false" ht="15" hidden="false" customHeight="false" outlineLevel="0" collapsed="false">
      <c r="A4785" s="3" t="s">
        <v>371</v>
      </c>
      <c r="C4785" s="3" t="str">
        <f aca="false">IF(SUM($G$4687:$K$4687)=0,"n/a (beyond horizon)",IF(SUMPRODUCT($G$4687:$K$4687,$G$4632:$K$4632)&gt;0,"REFINANCING PASS","REFINANCING FAILURE"))</f>
        <v>REFINANCING PASS</v>
      </c>
    </row>
    <row r="4786" customFormat="false" ht="15" hidden="false" customHeight="false" outlineLevel="0" collapsed="false">
      <c r="A4786" s="3" t="s">
        <v>372</v>
      </c>
      <c r="C4786" s="3" t="str">
        <f aca="false">IF(SUM($G$4687:$K$4687)=0,"n/a",IF(C4784&gt;=C4783-0.001,"Repaid from cash",IF(SUMPRODUCT($G$4687:$K$4687,$G$4632:$K$4632)&gt;0,IF(C4784&gt;0,"Partly repaid; remainder refinanced","Refinanced"),IF(SUM($G$4696:$K$4696)&gt;0.001,IF(C4784&gt;0,"Partial repayment; PAYMENT DEFAULT","PAYMENT DEFAULT"),"Repaid from cash"))))</f>
        <v>Partly repaid; remainder refinanced</v>
      </c>
    </row>
    <row r="4787" customFormat="false" ht="15" hidden="false" customHeight="false" outlineLevel="0" collapsed="false">
      <c r="A4787" s="3" t="s">
        <v>373</v>
      </c>
      <c r="C4787" s="16" t="n">
        <f aca="false">SUMPRODUCT($G$4700:$K$4700,$G$4699:$K$4699-$G$4705:$K$4705+$G$4704:$K$4704)</f>
        <v>350</v>
      </c>
    </row>
    <row r="4788" customFormat="false" ht="15" hidden="false" customHeight="false" outlineLevel="0" collapsed="false">
      <c r="A4788" s="3" t="s">
        <v>374</v>
      </c>
      <c r="C4788" s="16" t="n">
        <f aca="false">SUMPRODUCT($G$4700:$K$4700,$G$4707:$K$4707)</f>
        <v>0</v>
      </c>
    </row>
    <row r="4789" customFormat="false" ht="15" hidden="false" customHeight="false" outlineLevel="0" collapsed="false">
      <c r="A4789" s="3" t="s">
        <v>375</v>
      </c>
      <c r="C4789" s="3" t="str">
        <f aca="false">IF(SUM($G$4700:$K$4700)=0,"n/a (beyond horizon)",IF(SUMPRODUCT($G$4700:$K$4700,$G$4632:$K$4632)&gt;0,"REFINANCING PASS","REFINANCING FAILURE"))</f>
        <v>REFINANCING PASS</v>
      </c>
    </row>
    <row r="4790" customFormat="false" ht="15" hidden="false" customHeight="false" outlineLevel="0" collapsed="false">
      <c r="A4790" s="3" t="s">
        <v>376</v>
      </c>
      <c r="C4790" s="3" t="str">
        <f aca="false">IF(SUM($G$4700:$K$4700)=0,"n/a",IF(C4788&gt;=C4787-0.001,"Repaid from cash",IF(SUMPRODUCT($G$4700:$K$4700,$G$4632:$K$4632)&gt;0,IF(C4788&gt;0,"Partly repaid; remainder refinanced","Refinanced"),IF(SUM($G$4709:$K$4709)&gt;0.001,IF(C4788&gt;0,"Partial repayment; PAYMENT DEFAULT","PAYMENT DEFAULT"),"Repaid from cash"))))</f>
        <v>Refinanced</v>
      </c>
    </row>
    <row r="4791" customFormat="false" ht="15" hidden="false" customHeight="false" outlineLevel="0" collapsed="false">
      <c r="A4791" s="3" t="s">
        <v>377</v>
      </c>
      <c r="C4791" s="16" t="n">
        <f aca="false">SUMPRODUCT($G$4713:$K$4713,$G$4712:$K$4712-$G$4718:$K$4718+$G$4717:$K$4717)</f>
        <v>550</v>
      </c>
    </row>
    <row r="4792" customFormat="false" ht="15" hidden="false" customHeight="false" outlineLevel="0" collapsed="false">
      <c r="A4792" s="3" t="s">
        <v>378</v>
      </c>
      <c r="C4792" s="16" t="n">
        <f aca="false">SUMPRODUCT($G$4713:$K$4713,$G$4720:$K$4720)</f>
        <v>0</v>
      </c>
    </row>
    <row r="4793" customFormat="false" ht="15" hidden="false" customHeight="false" outlineLevel="0" collapsed="false">
      <c r="A4793" s="3" t="s">
        <v>379</v>
      </c>
      <c r="C4793" s="3" t="str">
        <f aca="false">IF(SUM($G$4713:$K$4713)=0,"n/a (beyond horizon)",IF(SUMPRODUCT($G$4713:$K$4713,$G$4632:$K$4632)&gt;0,"REFINANCING PASS","REFINANCING FAILURE"))</f>
        <v>REFINANCING PASS</v>
      </c>
    </row>
    <row r="4794" customFormat="false" ht="15" hidden="false" customHeight="false" outlineLevel="0" collapsed="false">
      <c r="A4794" s="3" t="s">
        <v>380</v>
      </c>
      <c r="C4794" s="3" t="str">
        <f aca="false">IF(SUM($G$4713:$K$4713)=0,"n/a",IF(C4792&gt;=C4791-0.001,"Repaid from cash",IF(SUMPRODUCT($G$4713:$K$4713,$G$4632:$K$4632)&gt;0,IF(C4792&gt;0,"Partly repaid; remainder refinanced","Refinanced"),IF(SUM($G$4722:$K$4722)&gt;0.001,IF(C4792&gt;0,"Partial repayment; PAYMENT DEFAULT","PAYMENT DEFAULT"),"Repaid from cash"))))</f>
        <v>Refinanced</v>
      </c>
    </row>
    <row r="4795" customFormat="false" ht="15" hidden="false" customHeight="false" outlineLevel="0" collapsed="false">
      <c r="A4795" s="3" t="s">
        <v>381</v>
      </c>
      <c r="C4795" s="16" t="n">
        <f aca="false">SUMPRODUCT($G$4726:$K$4726,$G$4725:$K$4725-$G$4731:$K$4731+$G$4730:$K$4730)</f>
        <v>350</v>
      </c>
    </row>
    <row r="4796" customFormat="false" ht="15" hidden="false" customHeight="false" outlineLevel="0" collapsed="false">
      <c r="A4796" s="3" t="s">
        <v>382</v>
      </c>
      <c r="C4796" s="16" t="n">
        <f aca="false">SUMPRODUCT($G$4726:$K$4726,$G$4733:$K$4733)</f>
        <v>0</v>
      </c>
    </row>
    <row r="4797" customFormat="false" ht="15" hidden="false" customHeight="false" outlineLevel="0" collapsed="false">
      <c r="A4797" s="3" t="s">
        <v>383</v>
      </c>
      <c r="C4797" s="3" t="str">
        <f aca="false">IF(SUM($G$4726:$K$4726)=0,"n/a (beyond horizon)",IF(SUMPRODUCT($G$4726:$K$4726,$G$4632:$K$4632)&gt;0,"REFINANCING PASS","REFINANCING FAILURE"))</f>
        <v>REFINANCING PASS</v>
      </c>
    </row>
    <row r="4798" customFormat="false" ht="15" hidden="false" customHeight="false" outlineLevel="0" collapsed="false">
      <c r="A4798" s="3" t="s">
        <v>384</v>
      </c>
      <c r="C4798" s="3" t="str">
        <f aca="false">IF(SUM($G$4726:$K$4726)=0,"n/a",IF(C4796&gt;=C4795-0.001,"Repaid from cash",IF(SUMPRODUCT($G$4726:$K$4726,$G$4632:$K$4632)&gt;0,IF(C4796&gt;0,"Partly repaid; remainder refinanced","Refinanced"),IF(SUM($G$4735:$K$4735)&gt;0.001,IF(C4796&gt;0,"Partial repayment; PAYMENT DEFAULT","PAYMENT DEFAULT"),"Repaid from cash"))))</f>
        <v>Refinanced</v>
      </c>
    </row>
    <row r="4799" customFormat="false" ht="15" hidden="false" customHeight="false" outlineLevel="0" collapsed="false">
      <c r="A4799" s="3" t="s">
        <v>385</v>
      </c>
      <c r="C4799" s="16" t="n">
        <f aca="false">SUMPRODUCT($G$4739:$K$4739,$G$4738:$K$4738-$G$4744:$K$4744+$G$4743:$K$4743)</f>
        <v>300</v>
      </c>
    </row>
    <row r="4800" customFormat="false" ht="15" hidden="false" customHeight="false" outlineLevel="0" collapsed="false">
      <c r="A4800" s="3" t="s">
        <v>386</v>
      </c>
      <c r="C4800" s="16" t="n">
        <f aca="false">SUMPRODUCT($G$4739:$K$4739,$G$4746:$K$4746)</f>
        <v>0</v>
      </c>
    </row>
    <row r="4801" customFormat="false" ht="15" hidden="false" customHeight="false" outlineLevel="0" collapsed="false">
      <c r="A4801" s="3" t="s">
        <v>387</v>
      </c>
      <c r="C4801" s="3" t="str">
        <f aca="false">IF(SUM($G$4739:$K$4739)=0,"n/a (beyond horizon)",IF(SUMPRODUCT($G$4739:$K$4739,$G$4632:$K$4632)&gt;0,"REFINANCING PASS","REFINANCING FAILURE"))</f>
        <v>REFINANCING PASS</v>
      </c>
    </row>
    <row r="4802" customFormat="false" ht="15" hidden="false" customHeight="false" outlineLevel="0" collapsed="false">
      <c r="A4802" s="3" t="s">
        <v>388</v>
      </c>
      <c r="C4802" s="3" t="str">
        <f aca="false">IF(SUM($G$4739:$K$4739)=0,"n/a",IF(C4800&gt;=C4799-0.001,"Repaid from cash",IF(SUMPRODUCT($G$4739:$K$4739,$G$4632:$K$4632)&gt;0,IF(C4800&gt;0,"Partly repaid; remainder refinanced","Refinanced"),IF(SUM($G$4748:$K$4748)&gt;0.001,IF(C4800&gt;0,"Partial repayment; PAYMENT DEFAULT","PAYMENT DEFAULT"),"Repaid from cash"))))</f>
        <v>Refinanced</v>
      </c>
    </row>
    <row r="4803" customFormat="false" ht="15" hidden="false" customHeight="false" outlineLevel="0" collapsed="false">
      <c r="A4803" s="3" t="s">
        <v>389</v>
      </c>
      <c r="C4803" s="16" t="n">
        <f aca="false">SUMPRODUCT($G$4752:$K$4752,$G$4751:$K$4751-$G$4757:$K$4757+$G$4756:$K$4756)</f>
        <v>0</v>
      </c>
    </row>
    <row r="4804" customFormat="false" ht="15" hidden="false" customHeight="false" outlineLevel="0" collapsed="false">
      <c r="A4804" s="3" t="s">
        <v>390</v>
      </c>
      <c r="C4804" s="16" t="n">
        <f aca="false">SUMPRODUCT($G$4752:$K$4752,$G$4759:$K$4759)</f>
        <v>0</v>
      </c>
    </row>
    <row r="4805" customFormat="false" ht="15" hidden="false" customHeight="false" outlineLevel="0" collapsed="false">
      <c r="A4805" s="3" t="s">
        <v>391</v>
      </c>
      <c r="C4805" s="3" t="str">
        <f aca="false">IF(SUM($G$4752:$K$4752)=0,"n/a (beyond horizon)",IF(SUMPRODUCT($G$4752:$K$4752,$G$4632:$K$4632)&gt;0,"REFINANCING PASS","REFINANCING FAILURE"))</f>
        <v>n/a (beyond horizon)</v>
      </c>
    </row>
    <row r="4806" customFormat="false" ht="15" hidden="false" customHeight="false" outlineLevel="0" collapsed="false">
      <c r="A4806" s="3" t="s">
        <v>392</v>
      </c>
      <c r="C4806" s="3" t="str">
        <f aca="false">IF(SUM($G$4752:$K$4752)=0,"n/a",IF(C4804&gt;=C4803-0.001,"Repaid from cash",IF(SUMPRODUCT($G$4752:$K$4752,$G$4632:$K$4632)&gt;0,IF(C4804&gt;0,"Partly repaid; remainder refinanced","Refinanced"),IF(SUM($G$4761:$K$4761)&gt;0.001,IF(C4804&gt;0,"Partial repayment; PAYMENT DEFAULT","PAYMENT DEFAULT"),"Repaid from cash"))))</f>
        <v>n/a</v>
      </c>
    </row>
    <row r="4807" customFormat="false" ht="15" hidden="false" customHeight="false" outlineLevel="0" collapsed="false">
      <c r="A4807" s="3" t="s">
        <v>393</v>
      </c>
      <c r="C4807" s="21" t="n">
        <f aca="false">IF(C4769="REFINANCING FAILURE",1,0)+IF(C4773="REFINANCING FAILURE",1,0)+IF(C4777="REFINANCING FAILURE",1,0)+IF(C4781="REFINANCING FAILURE",1,0)+IF(C4785="REFINANCING FAILURE",1,0)+IF(C4789="REFINANCING FAILURE",1,0)+IF(C4793="REFINANCING FAILURE",1,0)+IF(C4797="REFINANCING FAILURE",1,0)+IF(C4801="REFINANCING FAILURE",1,0)+IF(C4805="REFINANCING FAILURE",1,0)</f>
        <v>0</v>
      </c>
    </row>
    <row r="4809" customFormat="false" ht="15" hidden="false" customHeight="false" outlineLevel="0" collapsed="false">
      <c r="A4809" s="24" t="s">
        <v>395</v>
      </c>
      <c r="B4809" s="25"/>
      <c r="C4809" s="25"/>
      <c r="D4809" s="25"/>
      <c r="E4809" s="25"/>
      <c r="F4809" s="25"/>
      <c r="G4809" s="25"/>
      <c r="H4809" s="25"/>
      <c r="I4809" s="25"/>
      <c r="J4809" s="25"/>
      <c r="K4809" s="25"/>
    </row>
    <row r="4810" customFormat="false" ht="15" hidden="false" customHeight="false" outlineLevel="0" collapsed="false">
      <c r="A4810" s="3" t="s">
        <v>325</v>
      </c>
      <c r="G4810" s="16" t="n">
        <f aca="false">F4822</f>
        <v>37.87</v>
      </c>
      <c r="H4810" s="16" t="n">
        <f aca="false">G4822</f>
        <v>169.6624594</v>
      </c>
      <c r="I4810" s="16" t="n">
        <f aca="false">H4822</f>
        <v>25</v>
      </c>
      <c r="J4810" s="16" t="n">
        <f aca="false">I4822</f>
        <v>0</v>
      </c>
      <c r="K4810" s="16" t="n">
        <f aca="false">J4822</f>
        <v>0</v>
      </c>
    </row>
    <row r="4811" customFormat="false" ht="15" hidden="false" customHeight="false" outlineLevel="0" collapsed="false">
      <c r="A4811" s="3" t="s">
        <v>396</v>
      </c>
      <c r="G4811" s="16" t="n">
        <f aca="false">G4621</f>
        <v>-64.2075406</v>
      </c>
      <c r="H4811" s="16" t="n">
        <f aca="false">H4621</f>
        <v>-59.3305553577999</v>
      </c>
      <c r="I4811" s="16" t="n">
        <f aca="false">I4621</f>
        <v>-64.5578458404559</v>
      </c>
      <c r="J4811" s="16" t="n">
        <f aca="false">J4621</f>
        <v>-59.3800031956447</v>
      </c>
      <c r="K4811" s="16" t="n">
        <f aca="false">K4621</f>
        <v>-72.5849166656612</v>
      </c>
    </row>
    <row r="4812" customFormat="false" ht="15" hidden="false" customHeight="false" outlineLevel="0" collapsed="false">
      <c r="A4812" s="3" t="s">
        <v>397</v>
      </c>
      <c r="G4812" s="16" t="n">
        <f aca="false">CHOOSE($C$4591,Assumptions!$G$82,Assumptions!$G$101,Assumptions!$G$120)</f>
        <v>200</v>
      </c>
      <c r="H4812" s="16" t="n">
        <f aca="false">CHOOSE($C$4591,Assumptions!$H$82,Assumptions!$H$101,Assumptions!$H$120)</f>
        <v>0</v>
      </c>
      <c r="I4812" s="16" t="n">
        <f aca="false">CHOOSE($C$4591,Assumptions!$I$82,Assumptions!$I$101,Assumptions!$I$120)</f>
        <v>0</v>
      </c>
      <c r="J4812" s="16" t="n">
        <f aca="false">CHOOSE($C$4591,Assumptions!$J$82,Assumptions!$J$101,Assumptions!$J$120)</f>
        <v>0</v>
      </c>
      <c r="K4812" s="16" t="n">
        <f aca="false">CHOOSE($C$4591,Assumptions!$K$82,Assumptions!$K$101,Assumptions!$K$120)</f>
        <v>0</v>
      </c>
    </row>
    <row r="4813" customFormat="false" ht="15" hidden="false" customHeight="false" outlineLevel="0" collapsed="false">
      <c r="A4813" s="3" t="s">
        <v>398</v>
      </c>
      <c r="G4813" s="16" t="n">
        <f aca="false">G4640+G4653+G4666+G4679+G4692+G4705+G4718+G4731+G4744+G4757</f>
        <v>4</v>
      </c>
      <c r="H4813" s="16" t="n">
        <f aca="false">H4640+H4653+H4666+H4679+H4692+H4705+H4718+H4731+H4744+H4757</f>
        <v>4</v>
      </c>
      <c r="I4813" s="16" t="n">
        <f aca="false">I4640+I4653+I4666+I4679+I4692+I4705+I4718+I4731+I4744+I4757</f>
        <v>4</v>
      </c>
      <c r="J4813" s="16" t="n">
        <f aca="false">J4640+J4653+J4666+J4679+J4692+J4705+J4718+J4731+J4744+J4757</f>
        <v>4</v>
      </c>
      <c r="K4813" s="16" t="n">
        <f aca="false">K4640+K4653+K4666+K4679+K4692+K4705+K4718+K4731+K4744+K4757</f>
        <v>4</v>
      </c>
    </row>
    <row r="4814" customFormat="false" ht="15" hidden="false" customHeight="false" outlineLevel="0" collapsed="false">
      <c r="A4814" s="2" t="s">
        <v>399</v>
      </c>
      <c r="G4814" s="17" t="n">
        <f aca="false">G4810+G4811+G4812-G4813</f>
        <v>169.6624594</v>
      </c>
      <c r="H4814" s="17" t="n">
        <f aca="false">H4810+H4811+H4812-H4813</f>
        <v>106.3319040422</v>
      </c>
      <c r="I4814" s="17" t="n">
        <f aca="false">I4810+I4811+I4812-I4813</f>
        <v>-43.5578458404559</v>
      </c>
      <c r="J4814" s="17" t="n">
        <f aca="false">J4810+J4811+J4812-J4813</f>
        <v>-63.3800031956447</v>
      </c>
      <c r="K4814" s="17" t="n">
        <f aca="false">K4810+K4811+K4812-K4813</f>
        <v>-76.5849166656612</v>
      </c>
    </row>
    <row r="4815" customFormat="false" ht="15" hidden="false" customHeight="false" outlineLevel="0" collapsed="false">
      <c r="A4815" s="3" t="s">
        <v>400</v>
      </c>
      <c r="G4815" s="16" t="n">
        <f aca="false">G4641+G4654+G4667+G4680+G4693+G4706+G4719+G4732+G4745+G4758</f>
        <v>0</v>
      </c>
      <c r="H4815" s="16" t="n">
        <f aca="false">H4641+H4654+H4667+H4680+H4693+H4706+H4719+H4732+H4745+H4758</f>
        <v>0</v>
      </c>
      <c r="I4815" s="16" t="n">
        <f aca="false">I4641+I4654+I4667+I4680+I4693+I4706+I4719+I4732+I4745+I4758</f>
        <v>43.5578458404559</v>
      </c>
      <c r="J4815" s="16" t="n">
        <f aca="false">J4641+J4654+J4667+J4680+J4693+J4706+J4719+J4732+J4745+J4758</f>
        <v>63.3800031956447</v>
      </c>
      <c r="K4815" s="16" t="n">
        <f aca="false">K4641+K4654+K4667+K4680+K4693+K4706+K4719+K4732+K4745+K4758</f>
        <v>76.5849166656612</v>
      </c>
    </row>
    <row r="4816" customFormat="false" ht="15" hidden="false" customHeight="false" outlineLevel="0" collapsed="false">
      <c r="A4816" s="2" t="s">
        <v>401</v>
      </c>
      <c r="G4816" s="17" t="n">
        <f aca="false">G4814+G4815</f>
        <v>169.6624594</v>
      </c>
      <c r="H4816" s="17" t="n">
        <f aca="false">H4814+H4815</f>
        <v>106.3319040422</v>
      </c>
      <c r="I4816" s="17" t="n">
        <f aca="false">I4814+I4815</f>
        <v>0</v>
      </c>
      <c r="J4816" s="17" t="n">
        <f aca="false">J4814+J4815</f>
        <v>0</v>
      </c>
      <c r="K4816" s="17" t="n">
        <f aca="false">K4814+K4815</f>
        <v>0</v>
      </c>
    </row>
    <row r="4817" customFormat="false" ht="15" hidden="false" customHeight="false" outlineLevel="0" collapsed="false">
      <c r="A4817" s="3" t="s">
        <v>402</v>
      </c>
      <c r="G4817" s="16" t="n">
        <f aca="false">G4642+G4655+G4668+G4681+G4694+G4707+G4720+G4733+G4746+G4759</f>
        <v>0</v>
      </c>
      <c r="H4817" s="16" t="n">
        <f aca="false">H4642+H4655+H4668+H4681+H4694+H4707+H4720+H4733+H4746+H4759</f>
        <v>81.3319040422001</v>
      </c>
      <c r="I4817" s="16" t="n">
        <f aca="false">I4642+I4655+I4668+I4681+I4694+I4707+I4720+I4733+I4746+I4759</f>
        <v>0</v>
      </c>
      <c r="J4817" s="16" t="n">
        <f aca="false">J4642+J4655+J4668+J4681+J4694+J4707+J4720+J4733+J4746+J4759</f>
        <v>0</v>
      </c>
      <c r="K4817" s="16" t="n">
        <f aca="false">K4642+K4655+K4668+K4681+K4694+K4707+K4720+K4733+K4746+K4759</f>
        <v>0</v>
      </c>
    </row>
    <row r="4818" customFormat="false" ht="15" hidden="false" customHeight="false" outlineLevel="0" collapsed="false">
      <c r="A4818" s="2" t="s">
        <v>403</v>
      </c>
      <c r="G4818" s="17" t="n">
        <f aca="false">G4816-G4817</f>
        <v>169.6624594</v>
      </c>
      <c r="H4818" s="17" t="n">
        <f aca="false">H4816-H4817</f>
        <v>25</v>
      </c>
      <c r="I4818" s="17" t="n">
        <f aca="false">I4816-I4817</f>
        <v>0</v>
      </c>
      <c r="J4818" s="17" t="n">
        <f aca="false">J4816-J4817</f>
        <v>0</v>
      </c>
      <c r="K4818" s="17" t="n">
        <f aca="false">K4816-K4817</f>
        <v>0</v>
      </c>
    </row>
    <row r="4819" customFormat="false" ht="15" hidden="false" customHeight="false" outlineLevel="0" collapsed="false">
      <c r="A4819" s="3" t="s">
        <v>404</v>
      </c>
      <c r="G4819" s="16" t="n">
        <f aca="false">MAX(0,-G4818)</f>
        <v>0</v>
      </c>
      <c r="H4819" s="16" t="n">
        <f aca="false">MAX(0,-H4818)</f>
        <v>0</v>
      </c>
      <c r="I4819" s="16" t="n">
        <f aca="false">MAX(0,-I4818)</f>
        <v>-0</v>
      </c>
      <c r="J4819" s="16" t="n">
        <f aca="false">MAX(0,-J4818)</f>
        <v>-0</v>
      </c>
      <c r="K4819" s="16" t="n">
        <f aca="false">MAX(0,-K4818)</f>
        <v>-0</v>
      </c>
    </row>
    <row r="4820" customFormat="false" ht="15" hidden="false" customHeight="false" outlineLevel="0" collapsed="false">
      <c r="A4820" s="3" t="s">
        <v>405</v>
      </c>
      <c r="G4820" s="16" t="n">
        <f aca="false">MAX(0,G4818-Assumptions!$C$12)*Assumptions!$C$13</f>
        <v>0</v>
      </c>
      <c r="H4820" s="16" t="n">
        <f aca="false">MAX(0,H4818-Assumptions!$C$12)*Assumptions!$C$13</f>
        <v>0</v>
      </c>
      <c r="I4820" s="16" t="n">
        <f aca="false">MAX(0,I4818-Assumptions!$C$12)*Assumptions!$C$13</f>
        <v>0</v>
      </c>
      <c r="J4820" s="16" t="n">
        <f aca="false">MAX(0,J4818-Assumptions!$C$12)*Assumptions!$C$13</f>
        <v>0</v>
      </c>
      <c r="K4820" s="16" t="n">
        <f aca="false">MAX(0,K4818-Assumptions!$C$12)*Assumptions!$C$13</f>
        <v>0</v>
      </c>
    </row>
    <row r="4821" customFormat="false" ht="15" hidden="false" customHeight="false" outlineLevel="0" collapsed="false">
      <c r="A4821" s="3" t="s">
        <v>406</v>
      </c>
      <c r="G4821" s="16" t="n">
        <f aca="false">G4643+G4656+G4669+G4682+G4695+G4708+G4721+G4734+G4747+G4760</f>
        <v>0</v>
      </c>
      <c r="H4821" s="16" t="n">
        <f aca="false">H4643+H4656+H4669+H4682+H4695+H4708+H4721+H4734+H4747+H4760</f>
        <v>0</v>
      </c>
      <c r="I4821" s="16" t="n">
        <f aca="false">I4643+I4656+I4669+I4682+I4695+I4708+I4721+I4734+I4747+I4760</f>
        <v>0</v>
      </c>
      <c r="J4821" s="16" t="n">
        <f aca="false">J4643+J4656+J4669+J4682+J4695+J4708+J4721+J4734+J4747+J4760</f>
        <v>0</v>
      </c>
      <c r="K4821" s="16" t="n">
        <f aca="false">K4643+K4656+K4669+K4682+K4695+K4708+K4721+K4734+K4747+K4760</f>
        <v>0</v>
      </c>
    </row>
    <row r="4822" customFormat="false" ht="15" hidden="false" customHeight="false" outlineLevel="0" collapsed="false">
      <c r="A4822" s="2" t="s">
        <v>407</v>
      </c>
      <c r="F4822" s="28" t="n">
        <f aca="false">Assumptions!$C$11</f>
        <v>37.87</v>
      </c>
      <c r="G4822" s="17" t="n">
        <f aca="false">G4818-G4821</f>
        <v>169.6624594</v>
      </c>
      <c r="H4822" s="17" t="n">
        <f aca="false">H4818-H4821</f>
        <v>25</v>
      </c>
      <c r="I4822" s="17" t="n">
        <f aca="false">I4818-I4821</f>
        <v>0</v>
      </c>
      <c r="J4822" s="17" t="n">
        <f aca="false">J4818-J4821</f>
        <v>0</v>
      </c>
      <c r="K4822" s="17" t="n">
        <f aca="false">K4818-K4821</f>
        <v>0</v>
      </c>
    </row>
    <row r="4823" customFormat="false" ht="15" hidden="false" customHeight="false" outlineLevel="0" collapsed="false">
      <c r="A4823" s="3" t="s">
        <v>408</v>
      </c>
      <c r="G4823" s="16" t="n">
        <f aca="false">G4644+G4657+G4670+G4683+G4696+G4709+G4722+G4735+G4748+G4761</f>
        <v>0</v>
      </c>
      <c r="H4823" s="16" t="n">
        <f aca="false">H4644+H4657+H4670+H4683+H4696+H4709+H4722+H4735+H4748+H4761</f>
        <v>0</v>
      </c>
      <c r="I4823" s="16" t="n">
        <f aca="false">I4644+I4657+I4670+I4683+I4696+I4709+I4722+I4735+I4748+I4761</f>
        <v>0</v>
      </c>
      <c r="J4823" s="16" t="n">
        <f aca="false">J4644+J4657+J4670+J4683+J4696+J4709+J4722+J4735+J4748+J4761</f>
        <v>0</v>
      </c>
      <c r="K4823" s="16" t="n">
        <f aca="false">K4644+K4657+K4670+K4683+K4696+K4709+K4722+K4735+K4748+K4761</f>
        <v>0</v>
      </c>
    </row>
    <row r="4824" customFormat="false" ht="15" hidden="false" customHeight="false" outlineLevel="0" collapsed="false">
      <c r="A4824" s="3" t="s">
        <v>409</v>
      </c>
      <c r="G4824" s="21" t="n">
        <f aca="false">IF(OR(G4819&gt;0.001,G4823&gt;0.001),1,0)</f>
        <v>0</v>
      </c>
      <c r="H4824" s="21" t="n">
        <f aca="false">IF(OR(H4819&gt;0.001,H4823&gt;0.001),1,0)</f>
        <v>0</v>
      </c>
      <c r="I4824" s="21" t="n">
        <f aca="false">IF(OR(I4819&gt;0.001,I4823&gt;0.001),1,0)</f>
        <v>0</v>
      </c>
      <c r="J4824" s="21" t="n">
        <f aca="false">IF(OR(J4819&gt;0.001,J4823&gt;0.001),1,0)</f>
        <v>0</v>
      </c>
      <c r="K4824" s="21" t="n">
        <f aca="false">IF(OR(K4819&gt;0.001,K4823&gt;0.001),1,0)</f>
        <v>0</v>
      </c>
    </row>
    <row r="4825" customFormat="false" ht="15" hidden="false" customHeight="false" outlineLevel="0" collapsed="false">
      <c r="A4825" s="3" t="s">
        <v>410</v>
      </c>
      <c r="G4825" s="21" t="n">
        <f aca="false">IF(G4824=1,1,0)</f>
        <v>0</v>
      </c>
      <c r="H4825" s="21" t="n">
        <f aca="false">IF(AND(H4824=1,SUM($G$4824:G4824)=0),1,0)</f>
        <v>0</v>
      </c>
      <c r="I4825" s="21" t="n">
        <f aca="false">IF(AND(I4824=1,SUM($G$4824:H4824)=0),1,0)</f>
        <v>0</v>
      </c>
      <c r="J4825" s="21" t="n">
        <f aca="false">IF(AND(J4824=1,SUM($G$4824:I4824)=0),1,0)</f>
        <v>0</v>
      </c>
      <c r="K4825" s="21" t="n">
        <f aca="false">IF(AND(K4824=1,SUM($G$4824:J4824)=0),1,0)</f>
        <v>0</v>
      </c>
    </row>
    <row r="4826" customFormat="false" ht="15" hidden="false" customHeight="false" outlineLevel="0" collapsed="false">
      <c r="A4826" s="3" t="s">
        <v>411</v>
      </c>
      <c r="G4826" s="16" t="n">
        <f aca="false">(G4764-F4764)-(G4815+G4613-G4813-G4817-G4821)</f>
        <v>0</v>
      </c>
      <c r="H4826" s="16" t="n">
        <f aca="false">(H4764-G4764)-(H4815+H4613-H4813-H4817-H4821)</f>
        <v>0</v>
      </c>
      <c r="I4826" s="16" t="n">
        <f aca="false">(I4764-H4764)-(I4815+I4613-I4813-I4817-I4821)</f>
        <v>-2.55795384873636E-013</v>
      </c>
      <c r="J4826" s="16" t="n">
        <f aca="false">(J4764-I4764)-(J4815+J4613-J4813-J4817-J4821)</f>
        <v>0</v>
      </c>
      <c r="K4826" s="16" t="n">
        <f aca="false">(K4764-J4764)-(K4815+K4613-K4813-K4817-K4821)</f>
        <v>0</v>
      </c>
    </row>
    <row r="4828" customFormat="false" ht="15" hidden="false" customHeight="false" outlineLevel="0" collapsed="false">
      <c r="A4828" s="24" t="s">
        <v>413</v>
      </c>
      <c r="B4828" s="25"/>
      <c r="C4828" s="25"/>
      <c r="D4828" s="25"/>
      <c r="E4828" s="25"/>
      <c r="F4828" s="25"/>
      <c r="G4828" s="25"/>
      <c r="H4828" s="25"/>
      <c r="I4828" s="25"/>
      <c r="J4828" s="25"/>
      <c r="K4828" s="25"/>
    </row>
    <row r="4829" customFormat="false" ht="15" hidden="false" customHeight="false" outlineLevel="0" collapsed="false">
      <c r="A4829" s="3" t="s">
        <v>414</v>
      </c>
      <c r="G4829" s="16" t="n">
        <f aca="false">G4764</f>
        <v>2621.934</v>
      </c>
      <c r="H4829" s="16" t="n">
        <f aca="false">H4764</f>
        <v>2536.6020959578</v>
      </c>
      <c r="I4829" s="16" t="n">
        <f aca="false">I4764</f>
        <v>2576.15994179826</v>
      </c>
      <c r="J4829" s="16" t="n">
        <f aca="false">J4764</f>
        <v>2635.5399449939</v>
      </c>
      <c r="K4829" s="16" t="n">
        <f aca="false">K4764</f>
        <v>2708.12486165956</v>
      </c>
    </row>
    <row r="4830" customFormat="false" ht="15" hidden="false" customHeight="false" outlineLevel="0" collapsed="false">
      <c r="A4830" s="3" t="s">
        <v>415</v>
      </c>
      <c r="G4830" s="16" t="n">
        <f aca="false">Assumptions!$O$57*G4645+Assumptions!$O$58*G4658+Assumptions!$O$59*G4671+Assumptions!$O$60*G4684+Assumptions!$O$61*G4697+Assumptions!$O$62*G4710+Assumptions!$O$63*G4723+Assumptions!$O$64*G4736+Assumptions!$O$65*G4749+Assumptions!$O$66*G4762</f>
        <v>543.324</v>
      </c>
      <c r="H4830" s="16" t="n">
        <f aca="false">Assumptions!$O$57*H4645+Assumptions!$O$58*H4658+Assumptions!$O$59*H4671+Assumptions!$O$60*H4684+Assumptions!$O$61*H4697+Assumptions!$O$62*H4710+Assumptions!$O$63*H4723+Assumptions!$O$64*H4736+Assumptions!$O$65*H4749+Assumptions!$O$66*H4762</f>
        <v>539.324</v>
      </c>
      <c r="I4830" s="16" t="n">
        <f aca="false">Assumptions!$O$57*I4645+Assumptions!$O$58*I4658+Assumptions!$O$59*I4671+Assumptions!$O$60*I4684+Assumptions!$O$61*I4697+Assumptions!$O$62*I4710+Assumptions!$O$63*I4723+Assumptions!$O$64*I4736+Assumptions!$O$65*I4749+Assumptions!$O$66*I4762</f>
        <v>535.324</v>
      </c>
      <c r="J4830" s="16" t="n">
        <f aca="false">Assumptions!$O$57*J4645+Assumptions!$O$58*J4658+Assumptions!$O$59*J4671+Assumptions!$O$60*J4684+Assumptions!$O$61*J4697+Assumptions!$O$62*J4710+Assumptions!$O$63*J4723+Assumptions!$O$64*J4736+Assumptions!$O$65*J4749+Assumptions!$O$66*J4762</f>
        <v>531.324</v>
      </c>
      <c r="K4830" s="16" t="n">
        <f aca="false">Assumptions!$O$57*K4645+Assumptions!$O$58*K4658+Assumptions!$O$59*K4671+Assumptions!$O$60*K4684+Assumptions!$O$61*K4697+Assumptions!$O$62*K4710+Assumptions!$O$63*K4723+Assumptions!$O$64*K4736+Assumptions!$O$65*K4749+Assumptions!$O$66*K4762</f>
        <v>527.324</v>
      </c>
    </row>
    <row r="4831" customFormat="false" ht="15" hidden="false" customHeight="false" outlineLevel="0" collapsed="false">
      <c r="A4831" s="3" t="s">
        <v>416</v>
      </c>
      <c r="G4831" s="16" t="n">
        <f aca="false">G4829-G4822</f>
        <v>2452.2715406</v>
      </c>
      <c r="H4831" s="16" t="n">
        <f aca="false">H4829-H4822</f>
        <v>2511.6020959578</v>
      </c>
      <c r="I4831" s="16" t="n">
        <f aca="false">I4829-I4822</f>
        <v>2576.15994179826</v>
      </c>
      <c r="J4831" s="16" t="n">
        <f aca="false">J4829-J4822</f>
        <v>2635.5399449939</v>
      </c>
      <c r="K4831" s="16" t="n">
        <f aca="false">K4829-K4822</f>
        <v>2708.12486165956</v>
      </c>
    </row>
    <row r="4832" customFormat="false" ht="15" hidden="false" customHeight="false" outlineLevel="0" collapsed="false">
      <c r="A4832" s="3" t="s">
        <v>417</v>
      </c>
      <c r="G4832" s="32" t="n">
        <f aca="false">IF(G4608&gt;0,G4829/G4608,0)</f>
        <v>9.51682585205369</v>
      </c>
      <c r="H4832" s="32" t="n">
        <f aca="false">IF(H4608&gt;0,H4829/H4608,0)</f>
        <v>8.97930608245596</v>
      </c>
      <c r="I4832" s="32" t="n">
        <f aca="false">IF(I4608&gt;0,I4829/I4608,0)</f>
        <v>8.8939609543479</v>
      </c>
      <c r="J4832" s="32" t="n">
        <f aca="false">IF(J4608&gt;0,J4829/J4608,0)</f>
        <v>8.88968703625518</v>
      </c>
      <c r="K4832" s="32" t="n">
        <f aca="false">IF(K4608&gt;0,K4829/K4608,0)</f>
        <v>8.92452737817217</v>
      </c>
    </row>
    <row r="4833" customFormat="false" ht="15" hidden="false" customHeight="false" outlineLevel="0" collapsed="false">
      <c r="A4833" s="3" t="s">
        <v>418</v>
      </c>
      <c r="G4833" s="32" t="n">
        <f aca="false">IF(G4608&gt;0,G4831/G4608,0)</f>
        <v>8.90100254004777</v>
      </c>
      <c r="H4833" s="32" t="n">
        <f aca="false">IF(H4608&gt;0,H4831/H4608,0)</f>
        <v>8.89080869754126</v>
      </c>
      <c r="I4833" s="32" t="n">
        <f aca="false">IF(I4608&gt;0,I4831/I4608,0)</f>
        <v>8.8939609543479</v>
      </c>
      <c r="J4833" s="32" t="n">
        <f aca="false">IF(J4608&gt;0,J4831/J4608,0)</f>
        <v>8.88968703625518</v>
      </c>
      <c r="K4833" s="32" t="n">
        <f aca="false">IF(K4608&gt;0,K4831/K4608,0)</f>
        <v>8.92452737817217</v>
      </c>
    </row>
    <row r="4834" customFormat="false" ht="15" hidden="false" customHeight="false" outlineLevel="0" collapsed="false">
      <c r="A4834" s="3" t="s">
        <v>419</v>
      </c>
      <c r="G4834" s="32" t="n">
        <f aca="false">IF(G4612&gt;0,G4608/G4612,0)</f>
        <v>1.52880292359691</v>
      </c>
      <c r="H4834" s="32" t="n">
        <f aca="false">IF(H4612&gt;0,H4608/H4612,0)</f>
        <v>1.57701909880862</v>
      </c>
      <c r="I4834" s="32" t="n">
        <f aca="false">IF(I4612&gt;0,I4608/I4612,0)</f>
        <v>1.53854793107622</v>
      </c>
      <c r="J4834" s="32" t="n">
        <f aca="false">IF(J4612&gt;0,J4608/J4612,0)</f>
        <v>1.58892900851087</v>
      </c>
      <c r="K4834" s="32" t="n">
        <f aca="false">IF(K4612&gt;0,K4608/K4612,0)</f>
        <v>1.49201300180641</v>
      </c>
    </row>
    <row r="4835" customFormat="false" ht="15" hidden="false" customHeight="false" outlineLevel="0" collapsed="false">
      <c r="A4835" s="3" t="s">
        <v>420</v>
      </c>
      <c r="G4835" s="32" t="n">
        <f aca="false">IF(G4612&gt;0,G4611/G4612,0)</f>
        <v>0.531441380009202</v>
      </c>
      <c r="H4835" s="32" t="n">
        <f aca="false">IF(H4612&gt;0,H4611/H4612,0)</f>
        <v>0.553588728022754</v>
      </c>
      <c r="I4835" s="32" t="n">
        <f aca="false">IF(I4612&gt;0,I4611/I4612,0)</f>
        <v>0.545284338781276</v>
      </c>
      <c r="J4835" s="32" t="n">
        <f aca="false">IF(J4612&gt;0,J4611/J4612,0)</f>
        <v>0.566689586644422</v>
      </c>
      <c r="K4835" s="32" t="n">
        <f aca="false">IF(K4612&gt;0,K4611/K4612,0)</f>
        <v>0.535434571408152</v>
      </c>
    </row>
    <row r="4836" customFormat="false" ht="15" hidden="false" customHeight="false" outlineLevel="0" collapsed="false">
      <c r="A4836" s="3" t="s">
        <v>213</v>
      </c>
      <c r="G4836" s="22" t="n">
        <f aca="false">IF(G4829&gt;0,G4621/G4829,0)</f>
        <v>-0.0244886181726924</v>
      </c>
      <c r="H4836" s="22" t="n">
        <f aca="false">IF(H4829&gt;0,H4621/H4829,0)</f>
        <v>-0.0233897762098147</v>
      </c>
      <c r="I4836" s="22" t="n">
        <f aca="false">IF(I4829&gt;0,I4621/I4829,0)</f>
        <v>-0.0250597196210543</v>
      </c>
      <c r="J4836" s="22" t="n">
        <f aca="false">IF(J4829&gt;0,J4621/J4829,0)</f>
        <v>-0.0225304887935524</v>
      </c>
      <c r="K4836" s="22" t="n">
        <f aca="false">IF(K4829&gt;0,K4621/K4829,0)</f>
        <v>-0.0268026477262132</v>
      </c>
    </row>
    <row r="4837" customFormat="false" ht="15" hidden="false" customHeight="false" outlineLevel="0" collapsed="false">
      <c r="A4837" s="3" t="s">
        <v>421</v>
      </c>
      <c r="G4837" s="32" t="n">
        <f aca="false">IF(G4612+G4813&gt;0,(G4608-G4619-G4616)/(G4612+G4813),0)</f>
        <v>0.918354505262078</v>
      </c>
      <c r="H4837" s="32" t="n">
        <f aca="false">IF(H4612+H4813&gt;0,(H4608-H4619-H4616)/(H4612+H4813),0)</f>
        <v>0.950311447085754</v>
      </c>
      <c r="I4837" s="32" t="n">
        <f aca="false">IF(I4612+I4813&gt;0,(I4608-I4619-I4616)/(I4612+I4813),0)</f>
        <v>0.931124681521131</v>
      </c>
      <c r="J4837" s="32" t="n">
        <f aca="false">IF(J4612+J4813&gt;0,(J4608-J4619-J4616)/(J4612+J4813),0)</f>
        <v>0.963491156028032</v>
      </c>
      <c r="K4837" s="32" t="n">
        <f aca="false">IF(K4612+K4813&gt;0,(K4608-K4619-K4616)/(K4612+K4813),0)</f>
        <v>0.908214723266522</v>
      </c>
    </row>
    <row r="4838" customFormat="false" ht="15" hidden="false" customHeight="false" outlineLevel="0" collapsed="false">
      <c r="A4838" s="3" t="s">
        <v>422</v>
      </c>
      <c r="G4838" s="16" t="n">
        <f aca="false">MAX(0,G4822)+Assumptions!$P$57*MAX(0,Assumptions!$D$57-G4645)+Assumptions!$P$58*MAX(0,Assumptions!$D$58-G4658)+Assumptions!$P$59*MAX(0,Assumptions!$D$59-G4671)+Assumptions!$P$60*MAX(0,Assumptions!$D$60-G4684)+Assumptions!$P$61*MAX(0,Assumptions!$D$61-G4697)+Assumptions!$P$62*MAX(0,Assumptions!$D$62-G4710)+Assumptions!$P$63*MAX(0,Assumptions!$D$63-G4723)+Assumptions!$P$64*MAX(0,Assumptions!$D$64-G4736)+Assumptions!$P$65*MAX(0,Assumptions!$D$65-G4749)+Assumptions!$P$66*MAX(0,Assumptions!$D$66-G4762)</f>
        <v>744.1624594</v>
      </c>
      <c r="H4838" s="16" t="n">
        <f aca="false">MAX(0,H4822)+Assumptions!$P$57*MAX(0,Assumptions!$D$57-H4645)+Assumptions!$P$58*MAX(0,Assumptions!$D$58-H4658)+Assumptions!$P$59*MAX(0,Assumptions!$D$59-H4671)+Assumptions!$P$60*MAX(0,Assumptions!$D$60-H4684)+Assumptions!$P$61*MAX(0,Assumptions!$D$61-H4697)+Assumptions!$P$62*MAX(0,Assumptions!$D$62-H4710)+Assumptions!$P$63*MAX(0,Assumptions!$D$63-H4723)+Assumptions!$P$64*MAX(0,Assumptions!$D$64-H4736)+Assumptions!$P$65*MAX(0,Assumptions!$D$65-H4749)+Assumptions!$P$66*MAX(0,Assumptions!$D$66-H4762)</f>
        <v>599.5</v>
      </c>
      <c r="I4838" s="16" t="n">
        <f aca="false">MAX(0,I4822)+Assumptions!$P$57*MAX(0,Assumptions!$D$57-I4645)+Assumptions!$P$58*MAX(0,Assumptions!$D$58-I4658)+Assumptions!$P$59*MAX(0,Assumptions!$D$59-I4671)+Assumptions!$P$60*MAX(0,Assumptions!$D$60-I4684)+Assumptions!$P$61*MAX(0,Assumptions!$D$61-I4697)+Assumptions!$P$62*MAX(0,Assumptions!$D$62-I4710)+Assumptions!$P$63*MAX(0,Assumptions!$D$63-I4723)+Assumptions!$P$64*MAX(0,Assumptions!$D$64-I4736)+Assumptions!$P$65*MAX(0,Assumptions!$D$65-I4749)+Assumptions!$P$66*MAX(0,Assumptions!$D$66-I4762)</f>
        <v>530.942154159544</v>
      </c>
      <c r="J4838" s="16" t="n">
        <f aca="false">MAX(0,J4822)+Assumptions!$P$57*MAX(0,Assumptions!$D$57-J4645)+Assumptions!$P$58*MAX(0,Assumptions!$D$58-J4658)+Assumptions!$P$59*MAX(0,Assumptions!$D$59-J4671)+Assumptions!$P$60*MAX(0,Assumptions!$D$60-J4684)+Assumptions!$P$61*MAX(0,Assumptions!$D$61-J4697)+Assumptions!$P$62*MAX(0,Assumptions!$D$62-J4710)+Assumptions!$P$63*MAX(0,Assumptions!$D$63-J4723)+Assumptions!$P$64*MAX(0,Assumptions!$D$64-J4736)+Assumptions!$P$65*MAX(0,Assumptions!$D$65-J4749)+Assumptions!$P$66*MAX(0,Assumptions!$D$66-J4762)</f>
        <v>467.562150963899</v>
      </c>
      <c r="K4838" s="16" t="n">
        <f aca="false">MAX(0,K4822)+Assumptions!$P$57*MAX(0,Assumptions!$D$57-K4645)+Assumptions!$P$58*MAX(0,Assumptions!$D$58-K4658)+Assumptions!$P$59*MAX(0,Assumptions!$D$59-K4671)+Assumptions!$P$60*MAX(0,Assumptions!$D$60-K4684)+Assumptions!$P$61*MAX(0,Assumptions!$D$61-K4697)+Assumptions!$P$62*MAX(0,Assumptions!$D$62-K4710)+Assumptions!$P$63*MAX(0,Assumptions!$D$63-K4723)+Assumptions!$P$64*MAX(0,Assumptions!$D$64-K4736)+Assumptions!$P$65*MAX(0,Assumptions!$D$65-K4749)+Assumptions!$P$66*MAX(0,Assumptions!$D$66-K4762)</f>
        <v>390.977234298238</v>
      </c>
    </row>
    <row r="4839" customFormat="false" ht="15" hidden="false" customHeight="false" outlineLevel="0" collapsed="false">
      <c r="A4839" s="3" t="s">
        <v>423</v>
      </c>
      <c r="G4839" s="22" t="n">
        <f aca="false">IF(G4829&gt;0,G4829/(G4829+MAX(0,G4608*CHOOSE($C$4591,Assumptions!$C$90,Assumptions!$C$109,Assumptions!$C$128)-G4831)),0)</f>
        <v>0.725598814932358</v>
      </c>
      <c r="H4839" s="22" t="n">
        <f aca="false">IF(H4829&gt;0,H4829/(H4829+MAX(0,H4608*CHOOSE($C$4591,Assumptions!$C$90,Assumptions!$C$109,Assumptions!$C$128)-H4831)),0)</f>
        <v>0.713294510686893</v>
      </c>
      <c r="I4839" s="22" t="n">
        <f aca="false">IF(I4829&gt;0,I4829/(I4829+MAX(0,I4608*CHOOSE($C$4591,Assumptions!$C$90,Assumptions!$C$109,Assumptions!$C$128)-I4831)),0)</f>
        <v>0.711516876347832</v>
      </c>
      <c r="J4839" s="22" t="n">
        <f aca="false">IF(J4829&gt;0,J4829/(J4829+MAX(0,J4608*CHOOSE($C$4591,Assumptions!$C$90,Assumptions!$C$109,Assumptions!$C$128)-J4831)),0)</f>
        <v>0.711174962900414</v>
      </c>
      <c r="K4839" s="22" t="n">
        <f aca="false">IF(K4829&gt;0,K4829/(K4829+MAX(0,K4608*CHOOSE($C$4591,Assumptions!$C$90,Assumptions!$C$109,Assumptions!$C$128)-K4831)),0)</f>
        <v>0.713962190253773</v>
      </c>
    </row>
    <row r="4840" customFormat="false" ht="15" hidden="false" customHeight="false" outlineLevel="0" collapsed="false">
      <c r="A4840" s="3" t="s">
        <v>424</v>
      </c>
      <c r="G4840" s="22" t="n">
        <f aca="false">IF(G4829&gt;0,MAX(0,G4822)/G4829,0)</f>
        <v>0.0647088978593664</v>
      </c>
      <c r="H4840" s="22" t="n">
        <f aca="false">IF(H4829&gt;0,MAX(0,H4822)/H4829,0)</f>
        <v>0.0098557042272569</v>
      </c>
      <c r="I4840" s="22" t="n">
        <f aca="false">IF(I4829&gt;0,MAX(0,I4822)/I4829,0)</f>
        <v>0</v>
      </c>
      <c r="J4840" s="22" t="n">
        <f aca="false">IF(J4829&gt;0,MAX(0,J4822)/J4829,0)</f>
        <v>0</v>
      </c>
      <c r="K4840" s="22" t="n">
        <f aca="false">IF(K4829&gt;0,MAX(0,K4822)/K4829,0)</f>
        <v>0</v>
      </c>
    </row>
    <row r="4841" customFormat="false" ht="15" hidden="false" customHeight="false" outlineLevel="0" collapsed="false">
      <c r="A4841" s="3" t="s">
        <v>425</v>
      </c>
      <c r="G4841" s="16" t="n">
        <f aca="false">Assumptions!$C$31*(1-CHOOSE($C$4591,Assumptions!$C$93,Assumptions!$C$112,Assumptions!$C$131))</f>
        <v>4517.70066666667</v>
      </c>
      <c r="H4841" s="16" t="n">
        <f aca="false">Assumptions!$C$31*(1-CHOOSE($C$4591,Assumptions!$C$93,Assumptions!$C$112,Assumptions!$C$131))</f>
        <v>4517.70066666667</v>
      </c>
      <c r="I4841" s="16" t="n">
        <f aca="false">Assumptions!$C$31*(1-CHOOSE($C$4591,Assumptions!$C$93,Assumptions!$C$112,Assumptions!$C$131))</f>
        <v>4517.70066666667</v>
      </c>
      <c r="J4841" s="16" t="n">
        <f aca="false">Assumptions!$C$31*(1-CHOOSE($C$4591,Assumptions!$C$93,Assumptions!$C$112,Assumptions!$C$131))</f>
        <v>4517.70066666667</v>
      </c>
      <c r="K4841" s="16" t="n">
        <f aca="false">Assumptions!$C$31*(1-CHOOSE($C$4591,Assumptions!$C$93,Assumptions!$C$112,Assumptions!$C$131))</f>
        <v>4517.70066666667</v>
      </c>
    </row>
    <row r="4842" customFormat="false" ht="15" hidden="false" customHeight="false" outlineLevel="0" collapsed="false">
      <c r="A4842" s="24" t="s">
        <v>426</v>
      </c>
      <c r="B4842" s="25"/>
      <c r="C4842" s="25"/>
      <c r="D4842" s="25"/>
      <c r="E4842" s="25"/>
      <c r="F4842" s="25"/>
      <c r="G4842" s="25"/>
      <c r="H4842" s="25"/>
      <c r="I4842" s="25"/>
      <c r="J4842" s="25"/>
      <c r="K4842" s="25"/>
    </row>
    <row r="4843" customFormat="false" ht="15" hidden="false" customHeight="false" outlineLevel="0" collapsed="false">
      <c r="A4843" s="24" t="s">
        <v>427</v>
      </c>
      <c r="B4843" s="25"/>
      <c r="C4843" s="25"/>
      <c r="D4843" s="25"/>
      <c r="E4843" s="25"/>
      <c r="F4843" s="25"/>
      <c r="G4843" s="25"/>
      <c r="H4843" s="25"/>
      <c r="I4843" s="25"/>
      <c r="J4843" s="25"/>
      <c r="K4843" s="25"/>
    </row>
    <row r="4844" customFormat="false" ht="15" hidden="false" customHeight="false" outlineLevel="0" collapsed="false">
      <c r="A4844" s="3" t="s">
        <v>428</v>
      </c>
      <c r="G4844" s="22" t="n">
        <f aca="false">IF(G4841&gt;0,G4829/G4841,99)</f>
        <v>0.580369128779522</v>
      </c>
      <c r="H4844" s="22" t="n">
        <f aca="false">IF(H4841&gt;0,H4829/H4841,99)</f>
        <v>0.561480780405357</v>
      </c>
      <c r="I4844" s="22" t="n">
        <f aca="false">IF(I4841&gt;0,I4829/I4841,99)</f>
        <v>0.57023697050275</v>
      </c>
      <c r="J4844" s="22" t="n">
        <f aca="false">IF(J4841&gt;0,J4829/J4841,99)</f>
        <v>0.583380825657602</v>
      </c>
      <c r="K4844" s="22" t="n">
        <f aca="false">IF(K4841&gt;0,K4829/K4841,99)</f>
        <v>0.599447608745119</v>
      </c>
    </row>
    <row r="4845" customFormat="false" ht="15" hidden="false" customHeight="false" outlineLevel="0" collapsed="false">
      <c r="A4845" s="3" t="s">
        <v>429</v>
      </c>
      <c r="G4845" s="33" t="n">
        <f aca="false">Assumptions!$G$71</f>
        <v>0.6</v>
      </c>
      <c r="H4845" s="33" t="n">
        <f aca="false">Assumptions!$H$71</f>
        <v>0.6</v>
      </c>
      <c r="I4845" s="33" t="n">
        <f aca="false">Assumptions!$I$71</f>
        <v>0.6</v>
      </c>
      <c r="J4845" s="33" t="n">
        <f aca="false">Assumptions!$J$71</f>
        <v>0.6</v>
      </c>
      <c r="K4845" s="33" t="n">
        <f aca="false">Assumptions!$K$71</f>
        <v>0.6</v>
      </c>
    </row>
    <row r="4846" customFormat="false" ht="15" hidden="false" customHeight="false" outlineLevel="0" collapsed="false">
      <c r="A4846" s="3" t="s">
        <v>430</v>
      </c>
      <c r="G4846" s="22" t="n">
        <f aca="false">G4845-G4844</f>
        <v>0.0196308712204777</v>
      </c>
      <c r="H4846" s="22" t="n">
        <f aca="false">H4845-H4844</f>
        <v>0.0385192195946433</v>
      </c>
      <c r="I4846" s="22" t="n">
        <f aca="false">I4845-I4844</f>
        <v>0.0297630294972496</v>
      </c>
      <c r="J4846" s="22" t="n">
        <f aca="false">J4845-J4844</f>
        <v>0.0166191743423977</v>
      </c>
      <c r="K4846" s="22" t="n">
        <f aca="false">K4845-K4844</f>
        <v>0.000552391254881268</v>
      </c>
    </row>
    <row r="4847" customFormat="false" ht="15" hidden="false" customHeight="false" outlineLevel="0" collapsed="false">
      <c r="A4847" s="3" t="s">
        <v>431</v>
      </c>
      <c r="G4847" s="22" t="n">
        <f aca="false">IF(G4845=0,0,G4846/ABS(G4845))</f>
        <v>0.0327181187007962</v>
      </c>
      <c r="H4847" s="22" t="n">
        <f aca="false">IF(H4845=0,0,H4846/ABS(H4845))</f>
        <v>0.0641986993244056</v>
      </c>
      <c r="I4847" s="22" t="n">
        <f aca="false">IF(I4845=0,0,I4846/ABS(I4845))</f>
        <v>0.0496050491620827</v>
      </c>
      <c r="J4847" s="22" t="n">
        <f aca="false">IF(J4845=0,0,J4846/ABS(J4845))</f>
        <v>0.0276986239039961</v>
      </c>
      <c r="K4847" s="22" t="n">
        <f aca="false">IF(K4845=0,0,K4846/ABS(K4845))</f>
        <v>0.00092065209146878</v>
      </c>
    </row>
    <row r="4848" customFormat="false" ht="15" hidden="false" customHeight="false" outlineLevel="0" collapsed="false">
      <c r="A4848" s="3" t="s">
        <v>432</v>
      </c>
      <c r="G4848" s="21" t="n">
        <f aca="false">IF(G4846&lt;0,1,0)</f>
        <v>0</v>
      </c>
      <c r="H4848" s="21" t="n">
        <f aca="false">IF(H4846&lt;0,1,0)</f>
        <v>0</v>
      </c>
      <c r="I4848" s="21" t="n">
        <f aca="false">IF(I4846&lt;0,1,0)</f>
        <v>0</v>
      </c>
      <c r="J4848" s="21" t="n">
        <f aca="false">IF(J4846&lt;0,1,0)</f>
        <v>0</v>
      </c>
      <c r="K4848" s="21" t="n">
        <f aca="false">IF(K4846&lt;0,1,0)</f>
        <v>0</v>
      </c>
    </row>
    <row r="4849" customFormat="false" ht="15" hidden="false" customHeight="false" outlineLevel="0" collapsed="false">
      <c r="A4849" s="3" t="s">
        <v>433</v>
      </c>
      <c r="C4849" s="21" t="n">
        <f aca="false">IFERROR(INDEX($G$4598:$K$4598,MATCH(1,$G$4848:$K$4848,0)),0)</f>
        <v>0</v>
      </c>
    </row>
    <row r="4850" customFormat="false" ht="15" hidden="false" customHeight="false" outlineLevel="0" collapsed="false">
      <c r="A4850" s="3" t="s">
        <v>434</v>
      </c>
      <c r="C4850" s="22" t="n">
        <f aca="false">MIN($G$4847:$K$4847)</f>
        <v>0.00092065209146878</v>
      </c>
    </row>
    <row r="4851" customFormat="false" ht="15" hidden="false" customHeight="false" outlineLevel="0" collapsed="false">
      <c r="A4851" s="24" t="s">
        <v>435</v>
      </c>
      <c r="B4851" s="25"/>
      <c r="C4851" s="25"/>
      <c r="D4851" s="25"/>
      <c r="E4851" s="25"/>
      <c r="F4851" s="25"/>
      <c r="G4851" s="25"/>
      <c r="H4851" s="25"/>
      <c r="I4851" s="25"/>
      <c r="J4851" s="25"/>
      <c r="K4851" s="25"/>
    </row>
    <row r="4852" customFormat="false" ht="15" hidden="false" customHeight="false" outlineLevel="0" collapsed="false">
      <c r="A4852" s="3" t="s">
        <v>428</v>
      </c>
      <c r="G4852" s="32" t="n">
        <f aca="false">IF(G4612&gt;0,G4608/G4612,99)</f>
        <v>1.52880292359691</v>
      </c>
      <c r="H4852" s="32" t="n">
        <f aca="false">IF(H4612&gt;0,H4608/H4612,99)</f>
        <v>1.57701909880862</v>
      </c>
      <c r="I4852" s="32" t="n">
        <f aca="false">IF(I4612&gt;0,I4608/I4612,99)</f>
        <v>1.53854793107622</v>
      </c>
      <c r="J4852" s="32" t="n">
        <f aca="false">IF(J4612&gt;0,J4608/J4612,99)</f>
        <v>1.58892900851087</v>
      </c>
      <c r="K4852" s="32" t="n">
        <f aca="false">IF(K4612&gt;0,K4608/K4612,99)</f>
        <v>1.49201300180641</v>
      </c>
    </row>
    <row r="4853" customFormat="false" ht="15" hidden="false" customHeight="false" outlineLevel="0" collapsed="false">
      <c r="A4853" s="3" t="s">
        <v>429</v>
      </c>
      <c r="G4853" s="34" t="n">
        <f aca="false">Assumptions!$G$72</f>
        <v>1.5</v>
      </c>
      <c r="H4853" s="34" t="n">
        <f aca="false">Assumptions!$H$72</f>
        <v>1.5</v>
      </c>
      <c r="I4853" s="34" t="n">
        <f aca="false">Assumptions!$I$72</f>
        <v>1.5</v>
      </c>
      <c r="J4853" s="34" t="n">
        <f aca="false">Assumptions!$J$72</f>
        <v>1.5</v>
      </c>
      <c r="K4853" s="34" t="n">
        <f aca="false">Assumptions!$K$72</f>
        <v>1.5</v>
      </c>
    </row>
    <row r="4854" customFormat="false" ht="15" hidden="false" customHeight="false" outlineLevel="0" collapsed="false">
      <c r="A4854" s="3" t="s">
        <v>430</v>
      </c>
      <c r="G4854" s="32" t="n">
        <f aca="false">G4852-G4853</f>
        <v>0.0288029235969138</v>
      </c>
      <c r="H4854" s="32" t="n">
        <f aca="false">H4852-H4853</f>
        <v>0.0770190988086168</v>
      </c>
      <c r="I4854" s="32" t="n">
        <f aca="false">I4852-I4853</f>
        <v>0.0385479310762185</v>
      </c>
      <c r="J4854" s="32" t="n">
        <f aca="false">J4852-J4853</f>
        <v>0.0889290085108669</v>
      </c>
      <c r="K4854" s="32" t="n">
        <f aca="false">K4852-K4853</f>
        <v>-0.00798699819359472</v>
      </c>
    </row>
    <row r="4855" customFormat="false" ht="15" hidden="false" customHeight="false" outlineLevel="0" collapsed="false">
      <c r="A4855" s="3" t="s">
        <v>431</v>
      </c>
      <c r="G4855" s="22" t="n">
        <f aca="false">IF(G4853=0,0,G4854/ABS(G4853))</f>
        <v>0.0192019490646092</v>
      </c>
      <c r="H4855" s="22" t="n">
        <f aca="false">IF(H4853=0,0,H4854/ABS(H4853))</f>
        <v>0.0513460658724112</v>
      </c>
      <c r="I4855" s="22" t="n">
        <f aca="false">IF(I4853=0,0,I4854/ABS(I4853))</f>
        <v>0.025698620717479</v>
      </c>
      <c r="J4855" s="22" t="n">
        <f aca="false">IF(J4853=0,0,J4854/ABS(J4853))</f>
        <v>0.0592860056739113</v>
      </c>
      <c r="K4855" s="22" t="n">
        <f aca="false">IF(K4853=0,0,K4854/ABS(K4853))</f>
        <v>-0.00532466546239648</v>
      </c>
    </row>
    <row r="4856" customFormat="false" ht="15" hidden="false" customHeight="false" outlineLevel="0" collapsed="false">
      <c r="A4856" s="3" t="s">
        <v>432</v>
      </c>
      <c r="G4856" s="21" t="n">
        <f aca="false">IF(G4854&lt;0,1,0)</f>
        <v>0</v>
      </c>
      <c r="H4856" s="21" t="n">
        <f aca="false">IF(H4854&lt;0,1,0)</f>
        <v>0</v>
      </c>
      <c r="I4856" s="21" t="n">
        <f aca="false">IF(I4854&lt;0,1,0)</f>
        <v>0</v>
      </c>
      <c r="J4856" s="21" t="n">
        <f aca="false">IF(J4854&lt;0,1,0)</f>
        <v>0</v>
      </c>
      <c r="K4856" s="21" t="n">
        <f aca="false">IF(K4854&lt;0,1,0)</f>
        <v>1</v>
      </c>
    </row>
    <row r="4857" customFormat="false" ht="15" hidden="false" customHeight="false" outlineLevel="0" collapsed="false">
      <c r="A4857" s="3" t="s">
        <v>433</v>
      </c>
      <c r="C4857" s="21" t="n">
        <f aca="false">IFERROR(INDEX($G$4598:$K$4598,MATCH(1,$G$4856:$K$4856,0)),0)</f>
        <v>2031</v>
      </c>
    </row>
    <row r="4858" customFormat="false" ht="15" hidden="false" customHeight="false" outlineLevel="0" collapsed="false">
      <c r="A4858" s="3" t="s">
        <v>434</v>
      </c>
      <c r="C4858" s="22" t="n">
        <f aca="false">MIN($G$4855:$K$4855)</f>
        <v>-0.00532466546239648</v>
      </c>
    </row>
    <row r="4859" customFormat="false" ht="15" hidden="false" customHeight="false" outlineLevel="0" collapsed="false">
      <c r="A4859" s="24" t="s">
        <v>436</v>
      </c>
      <c r="B4859" s="25"/>
      <c r="C4859" s="25"/>
      <c r="D4859" s="25"/>
      <c r="E4859" s="25"/>
      <c r="F4859" s="25"/>
      <c r="G4859" s="25"/>
      <c r="H4859" s="25"/>
      <c r="I4859" s="25"/>
      <c r="J4859" s="25"/>
      <c r="K4859" s="25"/>
    </row>
    <row r="4860" customFormat="false" ht="15" hidden="false" customHeight="false" outlineLevel="0" collapsed="false">
      <c r="A4860" s="3" t="s">
        <v>428</v>
      </c>
      <c r="G4860" s="22" t="n">
        <f aca="false">IF(G4841&gt;0,G4830/G4841,99)</f>
        <v>0.120265604139923</v>
      </c>
      <c r="H4860" s="22" t="n">
        <f aca="false">IF(H4841&gt;0,H4830/H4841,99)</f>
        <v>0.119380197979769</v>
      </c>
      <c r="I4860" s="22" t="n">
        <f aca="false">IF(I4841&gt;0,I4830/I4841,99)</f>
        <v>0.118494791819614</v>
      </c>
      <c r="J4860" s="22" t="n">
        <f aca="false">IF(J4841&gt;0,J4830/J4841,99)</f>
        <v>0.11760938565946</v>
      </c>
      <c r="K4860" s="22" t="n">
        <f aca="false">IF(K4841&gt;0,K4830/K4841,99)</f>
        <v>0.116723979499306</v>
      </c>
    </row>
    <row r="4861" customFormat="false" ht="15" hidden="false" customHeight="false" outlineLevel="0" collapsed="false">
      <c r="A4861" s="3" t="s">
        <v>429</v>
      </c>
      <c r="G4861" s="33" t="n">
        <f aca="false">Assumptions!$G$73</f>
        <v>0.4</v>
      </c>
      <c r="H4861" s="33" t="n">
        <f aca="false">Assumptions!$H$73</f>
        <v>0.4</v>
      </c>
      <c r="I4861" s="33" t="n">
        <f aca="false">Assumptions!$I$73</f>
        <v>0.4</v>
      </c>
      <c r="J4861" s="33" t="n">
        <f aca="false">Assumptions!$J$73</f>
        <v>0.4</v>
      </c>
      <c r="K4861" s="33" t="n">
        <f aca="false">Assumptions!$K$73</f>
        <v>0.4</v>
      </c>
    </row>
    <row r="4862" customFormat="false" ht="15" hidden="false" customHeight="false" outlineLevel="0" collapsed="false">
      <c r="A4862" s="3" t="s">
        <v>430</v>
      </c>
      <c r="G4862" s="22" t="n">
        <f aca="false">G4861-G4860</f>
        <v>0.279734395860077</v>
      </c>
      <c r="H4862" s="22" t="n">
        <f aca="false">H4861-H4860</f>
        <v>0.280619802020231</v>
      </c>
      <c r="I4862" s="22" t="n">
        <f aca="false">I4861-I4860</f>
        <v>0.281505208180386</v>
      </c>
      <c r="J4862" s="22" t="n">
        <f aca="false">J4861-J4860</f>
        <v>0.28239061434054</v>
      </c>
      <c r="K4862" s="22" t="n">
        <f aca="false">K4861-K4860</f>
        <v>0.283276020500694</v>
      </c>
    </row>
    <row r="4863" customFormat="false" ht="15" hidden="false" customHeight="false" outlineLevel="0" collapsed="false">
      <c r="A4863" s="3" t="s">
        <v>431</v>
      </c>
      <c r="G4863" s="22" t="n">
        <f aca="false">IF(G4861=0,0,G4862/ABS(G4861))</f>
        <v>0.699335989650192</v>
      </c>
      <c r="H4863" s="22" t="n">
        <f aca="false">IF(H4861=0,0,H4862/ABS(H4861))</f>
        <v>0.701549505050578</v>
      </c>
      <c r="I4863" s="22" t="n">
        <f aca="false">IF(I4861=0,0,I4862/ABS(I4861))</f>
        <v>0.703763020450964</v>
      </c>
      <c r="J4863" s="22" t="n">
        <f aca="false">IF(J4861=0,0,J4862/ABS(J4861))</f>
        <v>0.70597653585135</v>
      </c>
      <c r="K4863" s="22" t="n">
        <f aca="false">IF(K4861=0,0,K4862/ABS(K4861))</f>
        <v>0.708190051251736</v>
      </c>
    </row>
    <row r="4864" customFormat="false" ht="15" hidden="false" customHeight="false" outlineLevel="0" collapsed="false">
      <c r="A4864" s="3" t="s">
        <v>432</v>
      </c>
      <c r="G4864" s="21" t="n">
        <f aca="false">IF(G4862&lt;0,1,0)</f>
        <v>0</v>
      </c>
      <c r="H4864" s="21" t="n">
        <f aca="false">IF(H4862&lt;0,1,0)</f>
        <v>0</v>
      </c>
      <c r="I4864" s="21" t="n">
        <f aca="false">IF(I4862&lt;0,1,0)</f>
        <v>0</v>
      </c>
      <c r="J4864" s="21" t="n">
        <f aca="false">IF(J4862&lt;0,1,0)</f>
        <v>0</v>
      </c>
      <c r="K4864" s="21" t="n">
        <f aca="false">IF(K4862&lt;0,1,0)</f>
        <v>0</v>
      </c>
    </row>
    <row r="4865" customFormat="false" ht="15" hidden="false" customHeight="false" outlineLevel="0" collapsed="false">
      <c r="A4865" s="3" t="s">
        <v>433</v>
      </c>
      <c r="C4865" s="21" t="n">
        <f aca="false">IFERROR(INDEX($G$4598:$K$4598,MATCH(1,$G$4864:$K$4864,0)),0)</f>
        <v>0</v>
      </c>
    </row>
    <row r="4866" customFormat="false" ht="15" hidden="false" customHeight="false" outlineLevel="0" collapsed="false">
      <c r="A4866" s="3" t="s">
        <v>434</v>
      </c>
      <c r="C4866" s="22" t="n">
        <f aca="false">MIN($G$4863:$K$4863)</f>
        <v>0.699335989650192</v>
      </c>
    </row>
    <row r="4867" customFormat="false" ht="15" hidden="false" customHeight="false" outlineLevel="0" collapsed="false">
      <c r="A4867" s="24" t="s">
        <v>437</v>
      </c>
      <c r="B4867" s="25"/>
      <c r="C4867" s="25"/>
      <c r="D4867" s="25"/>
      <c r="E4867" s="25"/>
      <c r="F4867" s="25"/>
      <c r="G4867" s="25"/>
      <c r="H4867" s="25"/>
      <c r="I4867" s="25"/>
      <c r="J4867" s="25"/>
      <c r="K4867" s="25"/>
    </row>
    <row r="4868" customFormat="false" ht="15" hidden="false" customHeight="false" outlineLevel="0" collapsed="false">
      <c r="A4868" s="3" t="s">
        <v>428</v>
      </c>
      <c r="G4868" s="16" t="n">
        <f aca="false">G4838</f>
        <v>744.1624594</v>
      </c>
      <c r="H4868" s="16" t="n">
        <f aca="false">H4838</f>
        <v>599.5</v>
      </c>
      <c r="I4868" s="16" t="n">
        <f aca="false">I4838</f>
        <v>530.942154159544</v>
      </c>
      <c r="J4868" s="16" t="n">
        <f aca="false">J4838</f>
        <v>467.562150963899</v>
      </c>
      <c r="K4868" s="16" t="n">
        <f aca="false">K4838</f>
        <v>390.977234298238</v>
      </c>
    </row>
    <row r="4869" customFormat="false" ht="15" hidden="false" customHeight="false" outlineLevel="0" collapsed="false">
      <c r="A4869" s="3" t="s">
        <v>429</v>
      </c>
      <c r="G4869" s="29" t="n">
        <f aca="false">Assumptions!$G$74</f>
        <v>100</v>
      </c>
      <c r="H4869" s="29" t="n">
        <f aca="false">Assumptions!$H$74</f>
        <v>100</v>
      </c>
      <c r="I4869" s="29" t="n">
        <f aca="false">Assumptions!$I$74</f>
        <v>100</v>
      </c>
      <c r="J4869" s="29" t="n">
        <f aca="false">Assumptions!$J$74</f>
        <v>100</v>
      </c>
      <c r="K4869" s="29" t="n">
        <f aca="false">Assumptions!$K$74</f>
        <v>100</v>
      </c>
    </row>
    <row r="4870" customFormat="false" ht="15" hidden="false" customHeight="false" outlineLevel="0" collapsed="false">
      <c r="A4870" s="3" t="s">
        <v>430</v>
      </c>
      <c r="G4870" s="16" t="n">
        <f aca="false">G4868-G4869</f>
        <v>644.1624594</v>
      </c>
      <c r="H4870" s="16" t="n">
        <f aca="false">H4868-H4869</f>
        <v>499.5</v>
      </c>
      <c r="I4870" s="16" t="n">
        <f aca="false">I4868-I4869</f>
        <v>430.942154159544</v>
      </c>
      <c r="J4870" s="16" t="n">
        <f aca="false">J4868-J4869</f>
        <v>367.562150963899</v>
      </c>
      <c r="K4870" s="16" t="n">
        <f aca="false">K4868-K4869</f>
        <v>290.977234298238</v>
      </c>
    </row>
    <row r="4871" customFormat="false" ht="15" hidden="false" customHeight="false" outlineLevel="0" collapsed="false">
      <c r="A4871" s="3" t="s">
        <v>431</v>
      </c>
      <c r="G4871" s="22" t="n">
        <f aca="false">IF(G4869=0,0,G4870/ABS(G4869))</f>
        <v>6.441624594</v>
      </c>
      <c r="H4871" s="22" t="n">
        <f aca="false">IF(H4869=0,0,H4870/ABS(H4869))</f>
        <v>4.995</v>
      </c>
      <c r="I4871" s="22" t="n">
        <f aca="false">IF(I4869=0,0,I4870/ABS(I4869))</f>
        <v>4.30942154159544</v>
      </c>
      <c r="J4871" s="22" t="n">
        <f aca="false">IF(J4869=0,0,J4870/ABS(J4869))</f>
        <v>3.67562150963899</v>
      </c>
      <c r="K4871" s="22" t="n">
        <f aca="false">IF(K4869=0,0,K4870/ABS(K4869))</f>
        <v>2.90977234298238</v>
      </c>
    </row>
    <row r="4872" customFormat="false" ht="15" hidden="false" customHeight="false" outlineLevel="0" collapsed="false">
      <c r="A4872" s="3" t="s">
        <v>432</v>
      </c>
      <c r="G4872" s="21" t="n">
        <f aca="false">IF(G4870&lt;0,1,0)</f>
        <v>0</v>
      </c>
      <c r="H4872" s="21" t="n">
        <f aca="false">IF(H4870&lt;0,1,0)</f>
        <v>0</v>
      </c>
      <c r="I4872" s="21" t="n">
        <f aca="false">IF(I4870&lt;0,1,0)</f>
        <v>0</v>
      </c>
      <c r="J4872" s="21" t="n">
        <f aca="false">IF(J4870&lt;0,1,0)</f>
        <v>0</v>
      </c>
      <c r="K4872" s="21" t="n">
        <f aca="false">IF(K4870&lt;0,1,0)</f>
        <v>0</v>
      </c>
    </row>
    <row r="4873" customFormat="false" ht="15" hidden="false" customHeight="false" outlineLevel="0" collapsed="false">
      <c r="A4873" s="3" t="s">
        <v>433</v>
      </c>
      <c r="C4873" s="21" t="n">
        <f aca="false">IFERROR(INDEX($G$4598:$K$4598,MATCH(1,$G$4872:$K$4872,0)),0)</f>
        <v>0</v>
      </c>
    </row>
    <row r="4874" customFormat="false" ht="15" hidden="false" customHeight="false" outlineLevel="0" collapsed="false">
      <c r="A4874" s="3" t="s">
        <v>434</v>
      </c>
      <c r="C4874" s="22" t="n">
        <f aca="false">MIN($G$4871:$K$4871)</f>
        <v>2.90977234298238</v>
      </c>
    </row>
    <row r="4875" customFormat="false" ht="15" hidden="false" customHeight="false" outlineLevel="0" collapsed="false">
      <c r="A4875" s="24" t="s">
        <v>438</v>
      </c>
      <c r="B4875" s="25"/>
      <c r="C4875" s="25"/>
      <c r="D4875" s="25"/>
      <c r="E4875" s="25"/>
      <c r="F4875" s="25"/>
      <c r="G4875" s="25"/>
      <c r="H4875" s="25"/>
      <c r="I4875" s="25"/>
      <c r="J4875" s="25"/>
      <c r="K4875" s="25"/>
    </row>
    <row r="4876" customFormat="false" ht="15" hidden="false" customHeight="false" outlineLevel="0" collapsed="false">
      <c r="A4876" s="3" t="s">
        <v>428</v>
      </c>
      <c r="G4876" s="32" t="n">
        <f aca="false">IF(G4608&gt;0,G4831/G4608,99)</f>
        <v>8.90100254004777</v>
      </c>
      <c r="H4876" s="32" t="n">
        <f aca="false">IF(H4608&gt;0,H4831/H4608,99)</f>
        <v>8.89080869754126</v>
      </c>
      <c r="I4876" s="32" t="n">
        <f aca="false">IF(I4608&gt;0,I4831/I4608,99)</f>
        <v>8.8939609543479</v>
      </c>
      <c r="J4876" s="32" t="n">
        <f aca="false">IF(J4608&gt;0,J4831/J4608,99)</f>
        <v>8.88968703625518</v>
      </c>
      <c r="K4876" s="32" t="n">
        <f aca="false">IF(K4608&gt;0,K4831/K4608,99)</f>
        <v>8.92452737817217</v>
      </c>
    </row>
    <row r="4877" customFormat="false" ht="15" hidden="false" customHeight="false" outlineLevel="0" collapsed="false">
      <c r="A4877" s="3" t="s">
        <v>429</v>
      </c>
      <c r="G4877" s="34" t="n">
        <f aca="false">Assumptions!$G$75</f>
        <v>10.5</v>
      </c>
      <c r="H4877" s="34" t="n">
        <f aca="false">Assumptions!$H$75</f>
        <v>10.5</v>
      </c>
      <c r="I4877" s="34" t="n">
        <f aca="false">Assumptions!$I$75</f>
        <v>10</v>
      </c>
      <c r="J4877" s="34" t="n">
        <f aca="false">Assumptions!$J$75</f>
        <v>10</v>
      </c>
      <c r="K4877" s="34" t="n">
        <f aca="false">Assumptions!$K$75</f>
        <v>9.5</v>
      </c>
    </row>
    <row r="4878" customFormat="false" ht="15" hidden="false" customHeight="false" outlineLevel="0" collapsed="false">
      <c r="A4878" s="3" t="s">
        <v>430</v>
      </c>
      <c r="G4878" s="32" t="n">
        <f aca="false">G4877-G4876</f>
        <v>1.59899745995223</v>
      </c>
      <c r="H4878" s="32" t="n">
        <f aca="false">H4877-H4876</f>
        <v>1.60919130245874</v>
      </c>
      <c r="I4878" s="32" t="n">
        <f aca="false">I4877-I4876</f>
        <v>1.1060390456521</v>
      </c>
      <c r="J4878" s="32" t="n">
        <f aca="false">J4877-J4876</f>
        <v>1.11031296374482</v>
      </c>
      <c r="K4878" s="32" t="n">
        <f aca="false">K4877-K4876</f>
        <v>0.575472621827833</v>
      </c>
    </row>
    <row r="4879" customFormat="false" ht="15" hidden="false" customHeight="false" outlineLevel="0" collapsed="false">
      <c r="A4879" s="3" t="s">
        <v>431</v>
      </c>
      <c r="G4879" s="22" t="n">
        <f aca="false">IF(G4877=0,0,G4878/ABS(G4877))</f>
        <v>0.152285472376403</v>
      </c>
      <c r="H4879" s="22" t="n">
        <f aca="false">IF(H4877=0,0,H4878/ABS(H4877))</f>
        <v>0.15325631451988</v>
      </c>
      <c r="I4879" s="22" t="n">
        <f aca="false">IF(I4877=0,0,I4878/ABS(I4877))</f>
        <v>0.11060390456521</v>
      </c>
      <c r="J4879" s="22" t="n">
        <f aca="false">IF(J4877=0,0,J4878/ABS(J4877))</f>
        <v>0.111031296374482</v>
      </c>
      <c r="K4879" s="22" t="n">
        <f aca="false">IF(K4877=0,0,K4878/ABS(K4877))</f>
        <v>0.0605760654555614</v>
      </c>
    </row>
    <row r="4880" customFormat="false" ht="15" hidden="false" customHeight="false" outlineLevel="0" collapsed="false">
      <c r="A4880" s="3" t="s">
        <v>432</v>
      </c>
      <c r="G4880" s="21" t="n">
        <f aca="false">IF(G4878&lt;0,1,0)</f>
        <v>0</v>
      </c>
      <c r="H4880" s="21" t="n">
        <f aca="false">IF(H4878&lt;0,1,0)</f>
        <v>0</v>
      </c>
      <c r="I4880" s="21" t="n">
        <f aca="false">IF(I4878&lt;0,1,0)</f>
        <v>0</v>
      </c>
      <c r="J4880" s="21" t="n">
        <f aca="false">IF(J4878&lt;0,1,0)</f>
        <v>0</v>
      </c>
      <c r="K4880" s="21" t="n">
        <f aca="false">IF(K4878&lt;0,1,0)</f>
        <v>0</v>
      </c>
    </row>
    <row r="4881" customFormat="false" ht="15" hidden="false" customHeight="false" outlineLevel="0" collapsed="false">
      <c r="A4881" s="3" t="s">
        <v>433</v>
      </c>
      <c r="C4881" s="21" t="n">
        <f aca="false">IFERROR(INDEX($G$4598:$K$4598,MATCH(1,$G$4880:$K$4880,0)),0)</f>
        <v>0</v>
      </c>
    </row>
    <row r="4882" customFormat="false" ht="15" hidden="false" customHeight="false" outlineLevel="0" collapsed="false">
      <c r="A4882" s="3" t="s">
        <v>434</v>
      </c>
      <c r="C4882" s="22" t="n">
        <f aca="false">MIN($G$4879:$K$4879)</f>
        <v>0.0605760654555614</v>
      </c>
    </row>
    <row r="4883" customFormat="false" ht="15" hidden="false" customHeight="false" outlineLevel="0" collapsed="false">
      <c r="A4883" s="3" t="s">
        <v>439</v>
      </c>
      <c r="G4883" s="21" t="n">
        <f aca="false">G4848+G4856+G4864+G4872+G4880</f>
        <v>0</v>
      </c>
      <c r="H4883" s="21" t="n">
        <f aca="false">H4848+H4856+H4864+H4872+H4880</f>
        <v>0</v>
      </c>
      <c r="I4883" s="21" t="n">
        <f aca="false">I4848+I4856+I4864+I4872+I4880</f>
        <v>0</v>
      </c>
      <c r="J4883" s="21" t="n">
        <f aca="false">J4848+J4856+J4864+J4872+J4880</f>
        <v>0</v>
      </c>
      <c r="K4883" s="21" t="n">
        <f aca="false">K4848+K4856+K4864+K4872+K4880</f>
        <v>1</v>
      </c>
    </row>
    <row r="4884" customFormat="false" ht="15" hidden="false" customHeight="false" outlineLevel="0" collapsed="false">
      <c r="A4884" s="3" t="s">
        <v>440</v>
      </c>
      <c r="C4884" s="21" t="n">
        <f aca="false">SUM($G$4883:$K$4883)</f>
        <v>1</v>
      </c>
    </row>
    <row r="4885" customFormat="false" ht="15" hidden="false" customHeight="false" outlineLevel="0" collapsed="false">
      <c r="A4885" s="3" t="s">
        <v>441</v>
      </c>
      <c r="C4885" s="22" t="n">
        <f aca="false">MIN(C4850,C4858,C4866,C4874,C4882)</f>
        <v>-0.00532466546239648</v>
      </c>
    </row>
    <row r="4887" customFormat="false" ht="15" hidden="false" customHeight="false" outlineLevel="0" collapsed="false">
      <c r="A4887" s="24" t="s">
        <v>543</v>
      </c>
      <c r="B4887" s="25"/>
      <c r="C4887" s="25"/>
      <c r="D4887" s="25"/>
      <c r="E4887" s="25"/>
      <c r="F4887" s="25"/>
      <c r="G4887" s="25"/>
      <c r="H4887" s="25"/>
      <c r="I4887" s="25"/>
      <c r="J4887" s="25"/>
      <c r="K4887" s="25"/>
    </row>
    <row r="4888" customFormat="false" ht="15" hidden="false" customHeight="false" outlineLevel="0" collapsed="false">
      <c r="A4888" s="3" t="s">
        <v>544</v>
      </c>
      <c r="G4888" s="21" t="n">
        <f aca="false">IF($C$4889=1,G4825,IF(G4608=MIN($G$4608:$K$4608),1,0))</f>
        <v>1</v>
      </c>
      <c r="H4888" s="21" t="n">
        <f aca="false">IF($C$4889=1,H4825,IF(AND(H4608=MIN($G$4608:$K$4608),SUM($G$4888:G4888)=0),1,0))</f>
        <v>0</v>
      </c>
      <c r="I4888" s="21" t="n">
        <f aca="false">IF($C$4889=1,I4825,IF(AND(I4608=MIN($G$4608:$K$4608),SUM($G$4888:H4888)=0),1,0))</f>
        <v>0</v>
      </c>
      <c r="J4888" s="21" t="n">
        <f aca="false">IF($C$4889=1,J4825,IF(AND(J4608=MIN($G$4608:$K$4608),SUM($G$4888:I4888)=0),1,0))</f>
        <v>0</v>
      </c>
      <c r="K4888" s="21" t="n">
        <f aca="false">IF($C$4889=1,K4825,IF(AND(K4608=MIN($G$4608:$K$4608),SUM($G$4888:J4888)=0),1,0))</f>
        <v>0</v>
      </c>
    </row>
    <row r="4889" customFormat="false" ht="15" hidden="false" customHeight="false" outlineLevel="0" collapsed="false">
      <c r="A4889" s="3" t="s">
        <v>545</v>
      </c>
      <c r="C4889" s="21" t="n">
        <f aca="false">IF(SUM($G$4825:$K$4825)&gt;0,1,0)</f>
        <v>0</v>
      </c>
    </row>
    <row r="4890" customFormat="false" ht="15" hidden="false" customHeight="false" outlineLevel="0" collapsed="false">
      <c r="A4890" s="3" t="s">
        <v>546</v>
      </c>
      <c r="C4890" s="21" t="n">
        <f aca="false">SUMPRODUCT($G$4888:$K$4888,$G$4598:$K$4598)</f>
        <v>2027</v>
      </c>
    </row>
    <row r="4891" customFormat="false" ht="15" hidden="false" customHeight="false" outlineLevel="0" collapsed="false">
      <c r="A4891" s="3" t="s">
        <v>547</v>
      </c>
      <c r="C4891" s="16" t="n">
        <f aca="false">SUMPRODUCT($G$4888:$K$4888,$G$4608:$K$4608)</f>
        <v>275.5050939</v>
      </c>
    </row>
    <row r="4892" customFormat="false" ht="15" hidden="false" customHeight="false" outlineLevel="0" collapsed="false">
      <c r="A4892" s="3" t="s">
        <v>548</v>
      </c>
      <c r="C4892" s="16" t="n">
        <f aca="false">MAX(0,SUMPRODUCT($G$4888:$K$4888,$G$4822:$K$4822))</f>
        <v>169.6624594</v>
      </c>
    </row>
    <row r="4893" customFormat="false" ht="15" hidden="false" customHeight="false" outlineLevel="0" collapsed="false">
      <c r="A4893" s="3" t="s">
        <v>549</v>
      </c>
      <c r="C4893" s="16" t="n">
        <f aca="false">(CHOOSE($C$4591,Assumptions!$C$92,Assumptions!$C$111,Assumptions!$C$130)+$C$4595)*C4891</f>
        <v>2755.050939</v>
      </c>
    </row>
    <row r="4894" customFormat="false" ht="15" hidden="false" customHeight="false" outlineLevel="0" collapsed="false">
      <c r="A4894" s="3" t="s">
        <v>550</v>
      </c>
      <c r="C4894" s="16" t="n">
        <f aca="false">Assumptions!$C$31*(1-CHOOSE($C$4591,Assumptions!$C$93,Assumptions!$C$112,Assumptions!$C$131))*CHOOSE($C$4591,Assumptions!$C$94,Assumptions!$C$113,Assumptions!$C$132)</f>
        <v>3840.04556666667</v>
      </c>
    </row>
    <row r="4895" customFormat="false" ht="15" hidden="false" customHeight="false" outlineLevel="0" collapsed="false">
      <c r="A4895" s="3" t="s">
        <v>551</v>
      </c>
      <c r="C4895" s="16" t="n">
        <f aca="false">MAX(C4893,C4894)+C4892</f>
        <v>4009.70802606667</v>
      </c>
    </row>
    <row r="4896" customFormat="false" ht="15" hidden="false" customHeight="false" outlineLevel="0" collapsed="false">
      <c r="A4896" s="2" t="s">
        <v>552</v>
      </c>
      <c r="C4896" s="17" t="n">
        <f aca="false">IF(ISNUMBER(Assumptions!$C$14),Assumptions!$C$14,C4895)</f>
        <v>4009.70802606667</v>
      </c>
    </row>
    <row r="4897" customFormat="false" ht="15" hidden="false" customHeight="false" outlineLevel="0" collapsed="false">
      <c r="A4897" s="3" t="s">
        <v>553</v>
      </c>
      <c r="C4897" s="16" t="n">
        <f aca="false">C4896*Assumptions!$C$15</f>
        <v>160.388321042667</v>
      </c>
    </row>
    <row r="4898" customFormat="false" ht="15" hidden="false" customHeight="false" outlineLevel="0" collapsed="false">
      <c r="A4898" s="2" t="s">
        <v>554</v>
      </c>
      <c r="C4898" s="17" t="n">
        <f aca="false">C4896-C4897</f>
        <v>3849.319705024</v>
      </c>
    </row>
    <row r="4899" customFormat="false" ht="15" hidden="false" customHeight="false" outlineLevel="0" collapsed="false">
      <c r="A4899" s="24" t="s">
        <v>555</v>
      </c>
      <c r="B4899" s="25"/>
      <c r="C4899" s="25"/>
      <c r="D4899" s="25"/>
      <c r="E4899" s="25"/>
      <c r="F4899" s="25"/>
      <c r="G4899" s="25"/>
      <c r="H4899" s="25"/>
      <c r="I4899" s="25"/>
      <c r="J4899" s="25"/>
      <c r="K4899" s="25"/>
    </row>
    <row r="4900" customFormat="false" ht="15" hidden="false" customHeight="false" outlineLevel="0" collapsed="false">
      <c r="A4900" s="3" t="s">
        <v>556</v>
      </c>
      <c r="C4900" s="16" t="n">
        <f aca="false">SUMPRODUCT($G$4888:$K$4888,$G$4645:$K$4645)*(1+SUMPRODUCT($G$4888:$K$4888,$G$4637:$K$4637)*Assumptions!$C$16/12)</f>
        <v>405.0585</v>
      </c>
    </row>
    <row r="4901" customFormat="false" ht="15" hidden="false" customHeight="false" outlineLevel="0" collapsed="false">
      <c r="A4901" s="3" t="s">
        <v>557</v>
      </c>
      <c r="C4901" s="16" t="n">
        <f aca="false">SUMPRODUCT($G$4888:$K$4888,$G$4658:$K$4658)*(1+SUMPRODUCT($G$4888:$K$4888,$G$4650:$K$4650)*Assumptions!$C$16/12)</f>
        <v>91.30725</v>
      </c>
    </row>
    <row r="4902" customFormat="false" ht="15" hidden="false" customHeight="false" outlineLevel="0" collapsed="false">
      <c r="A4902" s="3" t="s">
        <v>558</v>
      </c>
      <c r="C4902" s="16" t="n">
        <f aca="false">SUMPRODUCT($G$4888:$K$4888,$G$4671:$K$4671)*(1+SUMPRODUCT($G$4888:$K$4888,$G$4663:$K$4663)*Assumptions!$C$16/12)</f>
        <v>58.3715961</v>
      </c>
    </row>
    <row r="4903" customFormat="false" ht="15" hidden="false" customHeight="false" outlineLevel="0" collapsed="false">
      <c r="A4903" s="3" t="s">
        <v>559</v>
      </c>
      <c r="C4903" s="16" t="n">
        <f aca="false">SUMPRODUCT($G$4888:$K$4888,$G$4684:$K$4684)*(1+SUMPRODUCT($G$4888:$K$4888,$G$4676:$K$4676)*Assumptions!$C$16/12)</f>
        <v>0</v>
      </c>
    </row>
    <row r="4904" customFormat="false" ht="15" hidden="false" customHeight="false" outlineLevel="0" collapsed="false">
      <c r="A4904" s="3" t="s">
        <v>560</v>
      </c>
      <c r="C4904" s="16" t="n">
        <f aca="false">SUMPRODUCT($G$4888:$K$4888,$G$4697:$K$4697)*(1+SUMPRODUCT($G$4888:$K$4888,$G$4689:$K$4689)*Assumptions!$C$16/12)</f>
        <v>454.44375</v>
      </c>
    </row>
    <row r="4905" customFormat="false" ht="15" hidden="false" customHeight="false" outlineLevel="0" collapsed="false">
      <c r="A4905" s="3" t="s">
        <v>561</v>
      </c>
      <c r="C4905" s="16" t="n">
        <f aca="false">SUMPRODUCT($G$4888:$K$4888,$G$4710:$K$4710)*(1+SUMPRODUCT($G$4888:$K$4888,$G$4702:$K$4702)*Assumptions!$C$16/12)</f>
        <v>357.2625</v>
      </c>
    </row>
    <row r="4906" customFormat="false" ht="15" hidden="false" customHeight="false" outlineLevel="0" collapsed="false">
      <c r="A4906" s="3" t="s">
        <v>562</v>
      </c>
      <c r="C4906" s="16" t="n">
        <f aca="false">SUMPRODUCT($G$4888:$K$4888,$G$4723:$K$4723)*(1+SUMPRODUCT($G$4888:$K$4888,$G$4715:$K$4715)*Assumptions!$C$16/12)</f>
        <v>562.203125</v>
      </c>
    </row>
    <row r="4907" customFormat="false" ht="15" hidden="false" customHeight="false" outlineLevel="0" collapsed="false">
      <c r="A4907" s="3" t="s">
        <v>563</v>
      </c>
      <c r="C4907" s="16" t="n">
        <f aca="false">SUMPRODUCT($G$4888:$K$4888,$G$4736:$K$4736)*(1+SUMPRODUCT($G$4888:$K$4888,$G$4728:$K$4728)*Assumptions!$C$16/12)</f>
        <v>353.98125</v>
      </c>
    </row>
    <row r="4908" customFormat="false" ht="15" hidden="false" customHeight="false" outlineLevel="0" collapsed="false">
      <c r="A4908" s="3" t="s">
        <v>564</v>
      </c>
      <c r="C4908" s="16" t="n">
        <f aca="false">SUMPRODUCT($G$4888:$K$4888,$G$4749:$K$4749)*(1+SUMPRODUCT($G$4888:$K$4888,$G$4741:$K$4741)*Assumptions!$C$16/12)</f>
        <v>304.59375</v>
      </c>
    </row>
    <row r="4909" customFormat="false" ht="15" hidden="false" customHeight="false" outlineLevel="0" collapsed="false">
      <c r="A4909" s="3" t="s">
        <v>565</v>
      </c>
      <c r="C4909" s="16" t="n">
        <f aca="false">SUMPRODUCT($G$4888:$K$4888,$G$4762:$K$4762)*(1+SUMPRODUCT($G$4888:$K$4888,$G$4754:$K$4754)*Assumptions!$C$16/12)</f>
        <v>79.67320025</v>
      </c>
    </row>
    <row r="4910" customFormat="false" ht="15" hidden="false" customHeight="false" outlineLevel="0" collapsed="false">
      <c r="A4910" s="24" t="s">
        <v>566</v>
      </c>
      <c r="B4910" s="25"/>
      <c r="C4910" s="25"/>
      <c r="D4910" s="25"/>
      <c r="E4910" s="25"/>
      <c r="F4910" s="25"/>
      <c r="G4910" s="25"/>
      <c r="H4910" s="25"/>
      <c r="I4910" s="25"/>
      <c r="J4910" s="25"/>
      <c r="K4910" s="25"/>
    </row>
    <row r="4911" customFormat="false" ht="15" hidden="false" customHeight="false" outlineLevel="0" collapsed="false">
      <c r="A4911" s="3" t="s">
        <v>556</v>
      </c>
      <c r="C4911" s="27" t="n">
        <f aca="false">Assumptions!$M$57</f>
        <v>1</v>
      </c>
    </row>
    <row r="4912" customFormat="false" ht="15" hidden="false" customHeight="false" outlineLevel="0" collapsed="false">
      <c r="A4912" s="3" t="s">
        <v>557</v>
      </c>
      <c r="C4912" s="27" t="n">
        <f aca="false">Assumptions!$M$58</f>
        <v>1</v>
      </c>
    </row>
    <row r="4913" customFormat="false" ht="15" hidden="false" customHeight="false" outlineLevel="0" collapsed="false">
      <c r="A4913" s="3" t="s">
        <v>558</v>
      </c>
      <c r="C4913" s="27" t="n">
        <f aca="false">Assumptions!$M$59</f>
        <v>1</v>
      </c>
    </row>
    <row r="4914" customFormat="false" ht="15" hidden="false" customHeight="false" outlineLevel="0" collapsed="false">
      <c r="A4914" s="3" t="s">
        <v>559</v>
      </c>
      <c r="C4914" s="27" t="n">
        <f aca="false">Assumptions!$M$60</f>
        <v>2</v>
      </c>
    </row>
    <row r="4915" customFormat="false" ht="15" hidden="false" customHeight="false" outlineLevel="0" collapsed="false">
      <c r="A4915" s="3" t="s">
        <v>560</v>
      </c>
      <c r="C4915" s="27" t="n">
        <f aca="false">Assumptions!$M$61</f>
        <v>2</v>
      </c>
    </row>
    <row r="4916" customFormat="false" ht="15" hidden="false" customHeight="false" outlineLevel="0" collapsed="false">
      <c r="A4916" s="3" t="s">
        <v>561</v>
      </c>
      <c r="C4916" s="27" t="n">
        <f aca="false">Assumptions!$M$62</f>
        <v>2</v>
      </c>
    </row>
    <row r="4917" customFormat="false" ht="15" hidden="false" customHeight="false" outlineLevel="0" collapsed="false">
      <c r="A4917" s="3" t="s">
        <v>562</v>
      </c>
      <c r="C4917" s="27" t="n">
        <f aca="false">Assumptions!$M$63</f>
        <v>2</v>
      </c>
    </row>
    <row r="4918" customFormat="false" ht="15" hidden="false" customHeight="false" outlineLevel="0" collapsed="false">
      <c r="A4918" s="3" t="s">
        <v>563</v>
      </c>
      <c r="C4918" s="27" t="n">
        <f aca="false">Assumptions!$M$64</f>
        <v>2</v>
      </c>
    </row>
    <row r="4919" customFormat="false" ht="15" hidden="false" customHeight="false" outlineLevel="0" collapsed="false">
      <c r="A4919" s="3" t="s">
        <v>564</v>
      </c>
      <c r="C4919" s="27" t="n">
        <f aca="false">Assumptions!$M$65</f>
        <v>2</v>
      </c>
    </row>
    <row r="4920" customFormat="false" ht="15" hidden="false" customHeight="false" outlineLevel="0" collapsed="false">
      <c r="A4920" s="3" t="s">
        <v>565</v>
      </c>
      <c r="C4920" s="27" t="n">
        <f aca="false">Assumptions!$M$66</f>
        <v>3</v>
      </c>
    </row>
    <row r="4921" customFormat="false" ht="15" hidden="false" customHeight="false" outlineLevel="0" collapsed="false">
      <c r="A4921" s="24" t="s">
        <v>567</v>
      </c>
      <c r="B4921" s="25"/>
      <c r="C4921" s="25"/>
      <c r="D4921" s="25"/>
      <c r="E4921" s="25"/>
      <c r="F4921" s="25"/>
      <c r="G4921" s="25"/>
      <c r="H4921" s="25"/>
      <c r="I4921" s="25"/>
      <c r="J4921" s="25"/>
      <c r="K4921" s="25"/>
    </row>
    <row r="4922" customFormat="false" ht="15" hidden="false" customHeight="false" outlineLevel="0" collapsed="false">
      <c r="A4922" s="3" t="s">
        <v>556</v>
      </c>
      <c r="C4922" s="33" t="n">
        <f aca="false">Assumptions!$Q$57</f>
        <v>0.3</v>
      </c>
    </row>
    <row r="4923" customFormat="false" ht="15" hidden="false" customHeight="false" outlineLevel="0" collapsed="false">
      <c r="A4923" s="3" t="s">
        <v>557</v>
      </c>
      <c r="C4923" s="33" t="n">
        <f aca="false">Assumptions!$Q$58</f>
        <v>0.033</v>
      </c>
    </row>
    <row r="4924" customFormat="false" ht="15" hidden="false" customHeight="false" outlineLevel="0" collapsed="false">
      <c r="A4924" s="3" t="s">
        <v>558</v>
      </c>
      <c r="C4924" s="33" t="n">
        <f aca="false">Assumptions!$Q$59</f>
        <v>0.021</v>
      </c>
    </row>
    <row r="4925" customFormat="false" ht="15" hidden="false" customHeight="false" outlineLevel="0" collapsed="false">
      <c r="A4925" s="3" t="s">
        <v>559</v>
      </c>
      <c r="C4925" s="33" t="n">
        <f aca="false">Assumptions!$Q$60</f>
        <v>0</v>
      </c>
    </row>
    <row r="4926" customFormat="false" ht="15" hidden="false" customHeight="false" outlineLevel="0" collapsed="false">
      <c r="A4926" s="3" t="s">
        <v>560</v>
      </c>
      <c r="C4926" s="33" t="n">
        <f aca="false">Assumptions!$Q$61</f>
        <v>0</v>
      </c>
    </row>
    <row r="4927" customFormat="false" ht="15" hidden="false" customHeight="false" outlineLevel="0" collapsed="false">
      <c r="A4927" s="3" t="s">
        <v>561</v>
      </c>
      <c r="C4927" s="33" t="n">
        <f aca="false">Assumptions!$Q$62</f>
        <v>0</v>
      </c>
    </row>
    <row r="4928" customFormat="false" ht="15" hidden="false" customHeight="false" outlineLevel="0" collapsed="false">
      <c r="A4928" s="3" t="s">
        <v>562</v>
      </c>
      <c r="C4928" s="33" t="n">
        <f aca="false">Assumptions!$Q$63</f>
        <v>0</v>
      </c>
    </row>
    <row r="4929" customFormat="false" ht="15" hidden="false" customHeight="false" outlineLevel="0" collapsed="false">
      <c r="A4929" s="3" t="s">
        <v>563</v>
      </c>
      <c r="C4929" s="33" t="n">
        <f aca="false">Assumptions!$Q$64</f>
        <v>0</v>
      </c>
    </row>
    <row r="4930" customFormat="false" ht="15" hidden="false" customHeight="false" outlineLevel="0" collapsed="false">
      <c r="A4930" s="3" t="s">
        <v>564</v>
      </c>
      <c r="C4930" s="33" t="n">
        <f aca="false">Assumptions!$Q$65</f>
        <v>0</v>
      </c>
    </row>
    <row r="4931" customFormat="false" ht="15" hidden="false" customHeight="false" outlineLevel="0" collapsed="false">
      <c r="A4931" s="3" t="s">
        <v>565</v>
      </c>
      <c r="C4931" s="33" t="n">
        <f aca="false">Assumptions!$Q$66</f>
        <v>0</v>
      </c>
    </row>
    <row r="4932" customFormat="false" ht="15" hidden="false" customHeight="false" outlineLevel="0" collapsed="false">
      <c r="A4932" s="24" t="s">
        <v>568</v>
      </c>
      <c r="B4932" s="25"/>
      <c r="C4932" s="25"/>
      <c r="D4932" s="25"/>
      <c r="E4932" s="25"/>
      <c r="F4932" s="25"/>
      <c r="G4932" s="25"/>
      <c r="H4932" s="25"/>
      <c r="I4932" s="25"/>
      <c r="J4932" s="25"/>
      <c r="K4932" s="25"/>
    </row>
    <row r="4933" customFormat="false" ht="15" hidden="false" customHeight="false" outlineLevel="0" collapsed="false">
      <c r="A4933" s="3" t="s">
        <v>556</v>
      </c>
      <c r="C4933" s="16" t="n">
        <f aca="false">IF(C4922&gt;0,MIN(C4900,C4922*$C$4898),0)</f>
        <v>405.0585</v>
      </c>
    </row>
    <row r="4934" customFormat="false" ht="15" hidden="false" customHeight="false" outlineLevel="0" collapsed="false">
      <c r="A4934" s="3" t="s">
        <v>557</v>
      </c>
      <c r="C4934" s="16" t="n">
        <f aca="false">IF(C4923&gt;0,MIN(C4901,C4923*$C$4898),0)</f>
        <v>91.30725</v>
      </c>
    </row>
    <row r="4935" customFormat="false" ht="15" hidden="false" customHeight="false" outlineLevel="0" collapsed="false">
      <c r="A4935" s="3" t="s">
        <v>558</v>
      </c>
      <c r="C4935" s="16" t="n">
        <f aca="false">IF(C4924&gt;0,MIN(C4902,C4924*$C$4898),0)</f>
        <v>58.3715961</v>
      </c>
    </row>
    <row r="4936" customFormat="false" ht="15" hidden="false" customHeight="false" outlineLevel="0" collapsed="false">
      <c r="A4936" s="3" t="s">
        <v>559</v>
      </c>
      <c r="C4936" s="16" t="n">
        <f aca="false">IF(C4925&gt;0,MIN(C4903,C4925*$C$4898),0)</f>
        <v>0</v>
      </c>
    </row>
    <row r="4937" customFormat="false" ht="15" hidden="false" customHeight="false" outlineLevel="0" collapsed="false">
      <c r="A4937" s="3" t="s">
        <v>560</v>
      </c>
      <c r="C4937" s="16" t="n">
        <f aca="false">IF(C4926&gt;0,MIN(C4904,C4926*$C$4898),0)</f>
        <v>0</v>
      </c>
    </row>
    <row r="4938" customFormat="false" ht="15" hidden="false" customHeight="false" outlineLevel="0" collapsed="false">
      <c r="A4938" s="3" t="s">
        <v>561</v>
      </c>
      <c r="C4938" s="16" t="n">
        <f aca="false">IF(C4927&gt;0,MIN(C4905,C4927*$C$4898),0)</f>
        <v>0</v>
      </c>
    </row>
    <row r="4939" customFormat="false" ht="15" hidden="false" customHeight="false" outlineLevel="0" collapsed="false">
      <c r="A4939" s="3" t="s">
        <v>562</v>
      </c>
      <c r="C4939" s="16" t="n">
        <f aca="false">IF(C4928&gt;0,MIN(C4906,C4928*$C$4898),0)</f>
        <v>0</v>
      </c>
    </row>
    <row r="4940" customFormat="false" ht="15" hidden="false" customHeight="false" outlineLevel="0" collapsed="false">
      <c r="A4940" s="3" t="s">
        <v>563</v>
      </c>
      <c r="C4940" s="16" t="n">
        <f aca="false">IF(C4929&gt;0,MIN(C4907,C4929*$C$4898),0)</f>
        <v>0</v>
      </c>
    </row>
    <row r="4941" customFormat="false" ht="15" hidden="false" customHeight="false" outlineLevel="0" collapsed="false">
      <c r="A4941" s="3" t="s">
        <v>564</v>
      </c>
      <c r="C4941" s="16" t="n">
        <f aca="false">IF(C4930&gt;0,MIN(C4908,C4930*$C$4898),0)</f>
        <v>0</v>
      </c>
    </row>
    <row r="4942" customFormat="false" ht="15" hidden="false" customHeight="false" outlineLevel="0" collapsed="false">
      <c r="A4942" s="3" t="s">
        <v>565</v>
      </c>
      <c r="C4942" s="16" t="n">
        <f aca="false">IF(C4931&gt;0,MIN(C4909,C4931*$C$4898),0)</f>
        <v>0</v>
      </c>
    </row>
    <row r="4943" customFormat="false" ht="15" hidden="false" customHeight="false" outlineLevel="0" collapsed="false">
      <c r="A4943" s="24" t="s">
        <v>569</v>
      </c>
      <c r="B4943" s="25"/>
      <c r="C4943" s="25"/>
      <c r="D4943" s="25"/>
      <c r="E4943" s="25"/>
      <c r="F4943" s="25"/>
      <c r="G4943" s="25"/>
      <c r="H4943" s="25"/>
      <c r="I4943" s="25"/>
      <c r="J4943" s="25"/>
      <c r="K4943" s="25"/>
    </row>
    <row r="4944" customFormat="false" ht="15" hidden="false" customHeight="false" outlineLevel="0" collapsed="false">
      <c r="A4944" s="3" t="s">
        <v>556</v>
      </c>
      <c r="C4944" s="16" t="n">
        <f aca="false">IF(C4922&gt;0,C4900-C4933,0)</f>
        <v>0</v>
      </c>
      <c r="G4944" s="21" t="n">
        <f aca="false">IF(AND(G4635=1,G4632=1),1,0)</f>
        <v>0</v>
      </c>
      <c r="H4944" s="21" t="n">
        <f aca="false">IF(G4944=1,1,IF(AND(H4635=1,H4632=1),1,0))</f>
        <v>0</v>
      </c>
      <c r="I4944" s="21" t="n">
        <f aca="false">IF(H4944=1,1,IF(AND(I4635=1,I4632=1),1,0))</f>
        <v>0</v>
      </c>
      <c r="J4944" s="21" t="n">
        <f aca="false">IF(I4944=1,1,IF(AND(J4635=1,J4632=1),1,0))</f>
        <v>0</v>
      </c>
      <c r="K4944" s="21" t="n">
        <f aca="false">IF(J4944=1,1,IF(AND(K4635=1,K4632=1),1,0))</f>
        <v>1</v>
      </c>
    </row>
    <row r="4945" customFormat="false" ht="15" hidden="false" customHeight="false" outlineLevel="0" collapsed="false">
      <c r="A4945" s="3" t="s">
        <v>557</v>
      </c>
      <c r="C4945" s="16" t="n">
        <f aca="false">IF(C4923&gt;0,C4901-C4934,0)</f>
        <v>0</v>
      </c>
      <c r="G4945" s="21" t="n">
        <f aca="false">IF(AND(G4648=1,G4632=1),1,0)</f>
        <v>0</v>
      </c>
      <c r="H4945" s="21" t="n">
        <f aca="false">IF(G4945=1,1,IF(AND(H4648=1,H4632=1),1,0))</f>
        <v>0</v>
      </c>
      <c r="I4945" s="21" t="n">
        <f aca="false">IF(H4945=1,1,IF(AND(I4648=1,I4632=1),1,0))</f>
        <v>0</v>
      </c>
      <c r="J4945" s="21" t="n">
        <f aca="false">IF(I4945=1,1,IF(AND(J4648=1,J4632=1),1,0))</f>
        <v>0</v>
      </c>
      <c r="K4945" s="21" t="n">
        <f aca="false">IF(J4945=1,1,IF(AND(K4648=1,K4632=1),1,0))</f>
        <v>0</v>
      </c>
    </row>
    <row r="4946" customFormat="false" ht="15" hidden="false" customHeight="false" outlineLevel="0" collapsed="false">
      <c r="A4946" s="3" t="s">
        <v>558</v>
      </c>
      <c r="C4946" s="16" t="n">
        <f aca="false">IF(C4924&gt;0,C4902-C4935,0)</f>
        <v>0</v>
      </c>
      <c r="G4946" s="21" t="n">
        <f aca="false">IF(AND(G4661=1,G4632=1),1,0)</f>
        <v>0</v>
      </c>
      <c r="H4946" s="21" t="n">
        <f aca="false">IF(G4946=1,1,IF(AND(H4661=1,H4632=1),1,0))</f>
        <v>0</v>
      </c>
      <c r="I4946" s="21" t="n">
        <f aca="false">IF(H4946=1,1,IF(AND(I4661=1,I4632=1),1,0))</f>
        <v>0</v>
      </c>
      <c r="J4946" s="21" t="n">
        <f aca="false">IF(I4946=1,1,IF(AND(J4661=1,J4632=1),1,0))</f>
        <v>0</v>
      </c>
      <c r="K4946" s="21" t="n">
        <f aca="false">IF(J4946=1,1,IF(AND(K4661=1,K4632=1),1,0))</f>
        <v>0</v>
      </c>
    </row>
    <row r="4947" customFormat="false" ht="15" hidden="false" customHeight="false" outlineLevel="0" collapsed="false">
      <c r="A4947" s="3" t="s">
        <v>559</v>
      </c>
      <c r="C4947" s="16" t="n">
        <f aca="false">IF(C4925&gt;0,C4903-C4936,0)</f>
        <v>0</v>
      </c>
      <c r="G4947" s="21" t="n">
        <f aca="false">IF(AND(G4674=1,G4632=1),1,0)</f>
        <v>1</v>
      </c>
      <c r="H4947" s="21" t="n">
        <f aca="false">IF(G4947=1,1,IF(AND(H4674=1,H4632=1),1,0))</f>
        <v>1</v>
      </c>
      <c r="I4947" s="21" t="n">
        <f aca="false">IF(H4947=1,1,IF(AND(I4674=1,I4632=1),1,0))</f>
        <v>1</v>
      </c>
      <c r="J4947" s="21" t="n">
        <f aca="false">IF(I4947=1,1,IF(AND(J4674=1,J4632=1),1,0))</f>
        <v>1</v>
      </c>
      <c r="K4947" s="21" t="n">
        <f aca="false">IF(J4947=1,1,IF(AND(K4674=1,K4632=1),1,0))</f>
        <v>1</v>
      </c>
    </row>
    <row r="4948" customFormat="false" ht="15" hidden="false" customHeight="false" outlineLevel="0" collapsed="false">
      <c r="A4948" s="3" t="s">
        <v>560</v>
      </c>
      <c r="C4948" s="16" t="n">
        <f aca="false">IF(C4926&gt;0,C4904-C4937,0)</f>
        <v>0</v>
      </c>
      <c r="G4948" s="21" t="n">
        <f aca="false">IF(AND(G4687=1,G4632=1),1,0)</f>
        <v>0</v>
      </c>
      <c r="H4948" s="21" t="n">
        <f aca="false">IF(G4948=1,1,IF(AND(H4687=1,H4632=1),1,0))</f>
        <v>1</v>
      </c>
      <c r="I4948" s="21" t="n">
        <f aca="false">IF(H4948=1,1,IF(AND(I4687=1,I4632=1),1,0))</f>
        <v>1</v>
      </c>
      <c r="J4948" s="21" t="n">
        <f aca="false">IF(I4948=1,1,IF(AND(J4687=1,J4632=1),1,0))</f>
        <v>1</v>
      </c>
      <c r="K4948" s="21" t="n">
        <f aca="false">IF(J4948=1,1,IF(AND(K4687=1,K4632=1),1,0))</f>
        <v>1</v>
      </c>
    </row>
    <row r="4949" customFormat="false" ht="15" hidden="false" customHeight="false" outlineLevel="0" collapsed="false">
      <c r="A4949" s="3" t="s">
        <v>561</v>
      </c>
      <c r="C4949" s="16" t="n">
        <f aca="false">IF(C4927&gt;0,C4905-C4938,0)</f>
        <v>0</v>
      </c>
      <c r="G4949" s="21" t="n">
        <f aca="false">IF(AND(G4700=1,G4632=1),1,0)</f>
        <v>0</v>
      </c>
      <c r="H4949" s="21" t="n">
        <f aca="false">IF(G4949=1,1,IF(AND(H4700=1,H4632=1),1,0))</f>
        <v>1</v>
      </c>
      <c r="I4949" s="21" t="n">
        <f aca="false">IF(H4949=1,1,IF(AND(I4700=1,I4632=1),1,0))</f>
        <v>1</v>
      </c>
      <c r="J4949" s="21" t="n">
        <f aca="false">IF(I4949=1,1,IF(AND(J4700=1,J4632=1),1,0))</f>
        <v>1</v>
      </c>
      <c r="K4949" s="21" t="n">
        <f aca="false">IF(J4949=1,1,IF(AND(K4700=1,K4632=1),1,0))</f>
        <v>1</v>
      </c>
    </row>
    <row r="4950" customFormat="false" ht="15" hidden="false" customHeight="false" outlineLevel="0" collapsed="false">
      <c r="A4950" s="3" t="s">
        <v>562</v>
      </c>
      <c r="C4950" s="16" t="n">
        <f aca="false">IF(C4928&gt;0,C4906-C4939,0)</f>
        <v>0</v>
      </c>
      <c r="G4950" s="21" t="n">
        <f aca="false">IF(AND(G4713=1,G4632=1),1,0)</f>
        <v>0</v>
      </c>
      <c r="H4950" s="21" t="n">
        <f aca="false">IF(G4950=1,1,IF(AND(H4713=1,H4632=1),1,0))</f>
        <v>0</v>
      </c>
      <c r="I4950" s="21" t="n">
        <f aca="false">IF(H4950=1,1,IF(AND(I4713=1,I4632=1),1,0))</f>
        <v>1</v>
      </c>
      <c r="J4950" s="21" t="n">
        <f aca="false">IF(I4950=1,1,IF(AND(J4713=1,J4632=1),1,0))</f>
        <v>1</v>
      </c>
      <c r="K4950" s="21" t="n">
        <f aca="false">IF(J4950=1,1,IF(AND(K4713=1,K4632=1),1,0))</f>
        <v>1</v>
      </c>
    </row>
    <row r="4951" customFormat="false" ht="15" hidden="false" customHeight="false" outlineLevel="0" collapsed="false">
      <c r="A4951" s="3" t="s">
        <v>563</v>
      </c>
      <c r="C4951" s="16" t="n">
        <f aca="false">IF(C4929&gt;0,C4907-C4940,0)</f>
        <v>0</v>
      </c>
      <c r="G4951" s="21" t="n">
        <f aca="false">IF(AND(G4726=1,G4632=1),1,0)</f>
        <v>0</v>
      </c>
      <c r="H4951" s="21" t="n">
        <f aca="false">IF(G4951=1,1,IF(AND(H4726=1,H4632=1),1,0))</f>
        <v>0</v>
      </c>
      <c r="I4951" s="21" t="n">
        <f aca="false">IF(H4951=1,1,IF(AND(I4726=1,I4632=1),1,0))</f>
        <v>0</v>
      </c>
      <c r="J4951" s="21" t="n">
        <f aca="false">IF(I4951=1,1,IF(AND(J4726=1,J4632=1),1,0))</f>
        <v>1</v>
      </c>
      <c r="K4951" s="21" t="n">
        <f aca="false">IF(J4951=1,1,IF(AND(K4726=1,K4632=1),1,0))</f>
        <v>1</v>
      </c>
    </row>
    <row r="4952" customFormat="false" ht="15" hidden="false" customHeight="false" outlineLevel="0" collapsed="false">
      <c r="A4952" s="3" t="s">
        <v>564</v>
      </c>
      <c r="C4952" s="16" t="n">
        <f aca="false">IF(C4930&gt;0,C4908-C4941,0)</f>
        <v>0</v>
      </c>
      <c r="G4952" s="21" t="n">
        <f aca="false">IF(AND(G4739=1,G4632=1),1,0)</f>
        <v>0</v>
      </c>
      <c r="H4952" s="21" t="n">
        <f aca="false">IF(G4952=1,1,IF(AND(H4739=1,H4632=1),1,0))</f>
        <v>0</v>
      </c>
      <c r="I4952" s="21" t="n">
        <f aca="false">IF(H4952=1,1,IF(AND(I4739=1,I4632=1),1,0))</f>
        <v>0</v>
      </c>
      <c r="J4952" s="21" t="n">
        <f aca="false">IF(I4952=1,1,IF(AND(J4739=1,J4632=1),1,0))</f>
        <v>0</v>
      </c>
      <c r="K4952" s="21" t="n">
        <f aca="false">IF(J4952=1,1,IF(AND(K4739=1,K4632=1),1,0))</f>
        <v>1</v>
      </c>
    </row>
    <row r="4953" customFormat="false" ht="15" hidden="false" customHeight="false" outlineLevel="0" collapsed="false">
      <c r="A4953" s="3" t="s">
        <v>565</v>
      </c>
      <c r="C4953" s="16" t="n">
        <f aca="false">IF(C4931&gt;0,C4909-C4942,0)</f>
        <v>0</v>
      </c>
      <c r="G4953" s="21" t="n">
        <f aca="false">IF(AND(G4752=1,G4632=1),1,0)</f>
        <v>0</v>
      </c>
      <c r="H4953" s="21" t="n">
        <f aca="false">IF(G4953=1,1,IF(AND(H4752=1,H4632=1),1,0))</f>
        <v>0</v>
      </c>
      <c r="I4953" s="21" t="n">
        <f aca="false">IF(H4953=1,1,IF(AND(I4752=1,I4632=1),1,0))</f>
        <v>0</v>
      </c>
      <c r="J4953" s="21" t="n">
        <f aca="false">IF(I4953=1,1,IF(AND(J4752=1,J4632=1),1,0))</f>
        <v>0</v>
      </c>
      <c r="K4953" s="21" t="n">
        <f aca="false">IF(J4953=1,1,IF(AND(K4752=1,K4632=1),1,0))</f>
        <v>0</v>
      </c>
    </row>
    <row r="4954" customFormat="false" ht="15" hidden="false" customHeight="false" outlineLevel="0" collapsed="false">
      <c r="A4954" s="24" t="s">
        <v>570</v>
      </c>
      <c r="B4954" s="25"/>
      <c r="C4954" s="25"/>
      <c r="D4954" s="25"/>
      <c r="E4954" s="25"/>
      <c r="F4954" s="25"/>
      <c r="G4954" s="25"/>
      <c r="H4954" s="25"/>
      <c r="I4954" s="25"/>
      <c r="J4954" s="25"/>
      <c r="K4954" s="25"/>
    </row>
    <row r="4955" customFormat="false" ht="15" hidden="false" customHeight="false" outlineLevel="0" collapsed="false">
      <c r="A4955" s="3" t="s">
        <v>556</v>
      </c>
      <c r="C4955" s="16" t="n">
        <f aca="false">IF(C4922&gt;0,C4944,C4900)</f>
        <v>0</v>
      </c>
    </row>
    <row r="4956" customFormat="false" ht="15" hidden="false" customHeight="false" outlineLevel="0" collapsed="false">
      <c r="A4956" s="3" t="s">
        <v>557</v>
      </c>
      <c r="C4956" s="16" t="n">
        <f aca="false">IF(C4923&gt;0,C4945,C4901)</f>
        <v>0</v>
      </c>
    </row>
    <row r="4957" customFormat="false" ht="15" hidden="false" customHeight="false" outlineLevel="0" collapsed="false">
      <c r="A4957" s="3" t="s">
        <v>558</v>
      </c>
      <c r="C4957" s="16" t="n">
        <f aca="false">IF(C4924&gt;0,C4946,C4902)</f>
        <v>0</v>
      </c>
    </row>
    <row r="4958" customFormat="false" ht="15" hidden="false" customHeight="false" outlineLevel="0" collapsed="false">
      <c r="A4958" s="3" t="s">
        <v>559</v>
      </c>
      <c r="C4958" s="16" t="n">
        <f aca="false">IF(C4925&gt;0,C4947,C4903)</f>
        <v>0</v>
      </c>
    </row>
    <row r="4959" customFormat="false" ht="15" hidden="false" customHeight="false" outlineLevel="0" collapsed="false">
      <c r="A4959" s="3" t="s">
        <v>560</v>
      </c>
      <c r="C4959" s="16" t="n">
        <f aca="false">IF(C4926&gt;0,C4948,C4904)</f>
        <v>454.44375</v>
      </c>
    </row>
    <row r="4960" customFormat="false" ht="15" hidden="false" customHeight="false" outlineLevel="0" collapsed="false">
      <c r="A4960" s="3" t="s">
        <v>561</v>
      </c>
      <c r="C4960" s="16" t="n">
        <f aca="false">IF(C4927&gt;0,C4949,C4905)</f>
        <v>357.2625</v>
      </c>
    </row>
    <row r="4961" customFormat="false" ht="15" hidden="false" customHeight="false" outlineLevel="0" collapsed="false">
      <c r="A4961" s="3" t="s">
        <v>562</v>
      </c>
      <c r="C4961" s="16" t="n">
        <f aca="false">IF(C4928&gt;0,C4950,C4906)</f>
        <v>562.203125</v>
      </c>
    </row>
    <row r="4962" customFormat="false" ht="15" hidden="false" customHeight="false" outlineLevel="0" collapsed="false">
      <c r="A4962" s="3" t="s">
        <v>563</v>
      </c>
      <c r="C4962" s="16" t="n">
        <f aca="false">IF(C4929&gt;0,C4951,C4907)</f>
        <v>353.98125</v>
      </c>
    </row>
    <row r="4963" customFormat="false" ht="15" hidden="false" customHeight="false" outlineLevel="0" collapsed="false">
      <c r="A4963" s="3" t="s">
        <v>564</v>
      </c>
      <c r="C4963" s="16" t="n">
        <f aca="false">IF(C4930&gt;0,C4952,C4908)</f>
        <v>304.59375</v>
      </c>
    </row>
    <row r="4964" customFormat="false" ht="15" hidden="false" customHeight="false" outlineLevel="0" collapsed="false">
      <c r="A4964" s="3" t="s">
        <v>565</v>
      </c>
      <c r="C4964" s="16" t="n">
        <f aca="false">IF(C4931&gt;0,C4953,C4909)</f>
        <v>79.67320025</v>
      </c>
    </row>
    <row r="4965" customFormat="false" ht="15" hidden="false" customHeight="false" outlineLevel="0" collapsed="false">
      <c r="A4965" s="24" t="s">
        <v>571</v>
      </c>
      <c r="B4965" s="25"/>
      <c r="C4965" s="25"/>
      <c r="D4965" s="25"/>
      <c r="E4965" s="25"/>
      <c r="F4965" s="25"/>
      <c r="G4965" s="25"/>
      <c r="H4965" s="25"/>
      <c r="I4965" s="25"/>
      <c r="J4965" s="25"/>
      <c r="K4965" s="25"/>
    </row>
    <row r="4966" customFormat="false" ht="15" hidden="false" customHeight="false" outlineLevel="0" collapsed="false">
      <c r="A4966" s="3" t="s">
        <v>556</v>
      </c>
      <c r="C4966" s="21" t="n">
        <f aca="false">IF(C4922&gt;0,Assumptions!$C$17,C4911)</f>
        <v>99</v>
      </c>
    </row>
    <row r="4967" customFormat="false" ht="15" hidden="false" customHeight="false" outlineLevel="0" collapsed="false">
      <c r="A4967" s="3" t="s">
        <v>557</v>
      </c>
      <c r="C4967" s="21" t="n">
        <f aca="false">IF(C4923&gt;0,Assumptions!$C$17,C4912)</f>
        <v>99</v>
      </c>
    </row>
    <row r="4968" customFormat="false" ht="15" hidden="false" customHeight="false" outlineLevel="0" collapsed="false">
      <c r="A4968" s="3" t="s">
        <v>558</v>
      </c>
      <c r="C4968" s="21" t="n">
        <f aca="false">IF(C4924&gt;0,Assumptions!$C$17,C4913)</f>
        <v>99</v>
      </c>
    </row>
    <row r="4969" customFormat="false" ht="15" hidden="false" customHeight="false" outlineLevel="0" collapsed="false">
      <c r="A4969" s="3" t="s">
        <v>559</v>
      </c>
      <c r="C4969" s="21" t="n">
        <f aca="false">IF(C4925&gt;0,Assumptions!$C$17,C4914)</f>
        <v>2</v>
      </c>
    </row>
    <row r="4970" customFormat="false" ht="15" hidden="false" customHeight="false" outlineLevel="0" collapsed="false">
      <c r="A4970" s="3" t="s">
        <v>560</v>
      </c>
      <c r="C4970" s="21" t="n">
        <f aca="false">IF(C4926&gt;0,Assumptions!$C$17,C4915)</f>
        <v>2</v>
      </c>
    </row>
    <row r="4971" customFormat="false" ht="15" hidden="false" customHeight="false" outlineLevel="0" collapsed="false">
      <c r="A4971" s="3" t="s">
        <v>561</v>
      </c>
      <c r="C4971" s="21" t="n">
        <f aca="false">IF(C4927&gt;0,Assumptions!$C$17,C4916)</f>
        <v>2</v>
      </c>
    </row>
    <row r="4972" customFormat="false" ht="15" hidden="false" customHeight="false" outlineLevel="0" collapsed="false">
      <c r="A4972" s="3" t="s">
        <v>562</v>
      </c>
      <c r="C4972" s="21" t="n">
        <f aca="false">IF(C4928&gt;0,Assumptions!$C$17,C4917)</f>
        <v>2</v>
      </c>
    </row>
    <row r="4973" customFormat="false" ht="15" hidden="false" customHeight="false" outlineLevel="0" collapsed="false">
      <c r="A4973" s="3" t="s">
        <v>563</v>
      </c>
      <c r="C4973" s="21" t="n">
        <f aca="false">IF(C4929&gt;0,Assumptions!$C$17,C4918)</f>
        <v>2</v>
      </c>
    </row>
    <row r="4974" customFormat="false" ht="15" hidden="false" customHeight="false" outlineLevel="0" collapsed="false">
      <c r="A4974" s="3" t="s">
        <v>564</v>
      </c>
      <c r="C4974" s="21" t="n">
        <f aca="false">IF(C4930&gt;0,Assumptions!$C$17,C4919)</f>
        <v>2</v>
      </c>
    </row>
    <row r="4975" customFormat="false" ht="15" hidden="false" customHeight="false" outlineLevel="0" collapsed="false">
      <c r="A4975" s="3" t="s">
        <v>565</v>
      </c>
      <c r="C4975" s="21" t="n">
        <f aca="false">IF(C4931&gt;0,Assumptions!$C$17,C4920)</f>
        <v>3</v>
      </c>
    </row>
    <row r="4976" customFormat="false" ht="15" hidden="false" customHeight="false" outlineLevel="0" collapsed="false">
      <c r="A4976" s="24" t="s">
        <v>572</v>
      </c>
      <c r="B4976" s="25"/>
      <c r="C4976" s="25"/>
      <c r="D4976" s="25"/>
      <c r="E4976" s="25"/>
      <c r="F4976" s="25"/>
      <c r="G4976" s="25"/>
      <c r="H4976" s="25"/>
      <c r="I4976" s="25"/>
      <c r="J4976" s="25"/>
      <c r="K4976" s="25"/>
    </row>
    <row r="4977" customFormat="false" ht="15" hidden="false" customHeight="false" outlineLevel="0" collapsed="false">
      <c r="A4977" s="3" t="s">
        <v>556</v>
      </c>
      <c r="C4977" s="16" t="n">
        <f aca="false">SUMPRODUCT(($C$4966:$C$4975&lt;C4966)*$C$4955:$C$4964)</f>
        <v>2112.15757525</v>
      </c>
    </row>
    <row r="4978" customFormat="false" ht="15" hidden="false" customHeight="false" outlineLevel="0" collapsed="false">
      <c r="A4978" s="3" t="s">
        <v>557</v>
      </c>
      <c r="C4978" s="16" t="n">
        <f aca="false">SUMPRODUCT(($C$4966:$C$4975&lt;C4967)*$C$4955:$C$4964)</f>
        <v>2112.15757525</v>
      </c>
    </row>
    <row r="4979" customFormat="false" ht="15" hidden="false" customHeight="false" outlineLevel="0" collapsed="false">
      <c r="A4979" s="3" t="s">
        <v>558</v>
      </c>
      <c r="C4979" s="16" t="n">
        <f aca="false">SUMPRODUCT(($C$4966:$C$4975&lt;C4968)*$C$4955:$C$4964)</f>
        <v>2112.15757525</v>
      </c>
    </row>
    <row r="4980" customFormat="false" ht="15" hidden="false" customHeight="false" outlineLevel="0" collapsed="false">
      <c r="A4980" s="3" t="s">
        <v>559</v>
      </c>
      <c r="C4980" s="16" t="n">
        <f aca="false">SUMPRODUCT(($C$4966:$C$4975&lt;C4969)*$C$4955:$C$4964)</f>
        <v>0</v>
      </c>
    </row>
    <row r="4981" customFormat="false" ht="15" hidden="false" customHeight="false" outlineLevel="0" collapsed="false">
      <c r="A4981" s="3" t="s">
        <v>560</v>
      </c>
      <c r="C4981" s="16" t="n">
        <f aca="false">SUMPRODUCT(($C$4966:$C$4975&lt;C4970)*$C$4955:$C$4964)</f>
        <v>0</v>
      </c>
    </row>
    <row r="4982" customFormat="false" ht="15" hidden="false" customHeight="false" outlineLevel="0" collapsed="false">
      <c r="A4982" s="3" t="s">
        <v>561</v>
      </c>
      <c r="C4982" s="16" t="n">
        <f aca="false">SUMPRODUCT(($C$4966:$C$4975&lt;C4971)*$C$4955:$C$4964)</f>
        <v>0</v>
      </c>
    </row>
    <row r="4983" customFormat="false" ht="15" hidden="false" customHeight="false" outlineLevel="0" collapsed="false">
      <c r="A4983" s="3" t="s">
        <v>562</v>
      </c>
      <c r="C4983" s="16" t="n">
        <f aca="false">SUMPRODUCT(($C$4966:$C$4975&lt;C4972)*$C$4955:$C$4964)</f>
        <v>0</v>
      </c>
    </row>
    <row r="4984" customFormat="false" ht="15" hidden="false" customHeight="false" outlineLevel="0" collapsed="false">
      <c r="A4984" s="3" t="s">
        <v>563</v>
      </c>
      <c r="C4984" s="16" t="n">
        <f aca="false">SUMPRODUCT(($C$4966:$C$4975&lt;C4973)*$C$4955:$C$4964)</f>
        <v>0</v>
      </c>
    </row>
    <row r="4985" customFormat="false" ht="15" hidden="false" customHeight="false" outlineLevel="0" collapsed="false">
      <c r="A4985" s="3" t="s">
        <v>564</v>
      </c>
      <c r="C4985" s="16" t="n">
        <f aca="false">SUMPRODUCT(($C$4966:$C$4975&lt;C4974)*$C$4955:$C$4964)</f>
        <v>0</v>
      </c>
    </row>
    <row r="4986" customFormat="false" ht="15" hidden="false" customHeight="false" outlineLevel="0" collapsed="false">
      <c r="A4986" s="3" t="s">
        <v>565</v>
      </c>
      <c r="C4986" s="16" t="n">
        <f aca="false">SUMPRODUCT(($C$4966:$C$4975&lt;C4975)*$C$4955:$C$4964)</f>
        <v>2032.484375</v>
      </c>
    </row>
    <row r="4987" customFormat="false" ht="15" hidden="false" customHeight="false" outlineLevel="0" collapsed="false">
      <c r="A4987" s="24" t="s">
        <v>573</v>
      </c>
      <c r="B4987" s="25"/>
      <c r="C4987" s="25"/>
      <c r="D4987" s="25"/>
      <c r="E4987" s="25"/>
      <c r="F4987" s="25"/>
      <c r="G4987" s="25"/>
      <c r="H4987" s="25"/>
      <c r="I4987" s="25"/>
      <c r="J4987" s="25"/>
      <c r="K4987" s="25"/>
    </row>
    <row r="4988" customFormat="false" ht="15" hidden="false" customHeight="false" outlineLevel="0" collapsed="false">
      <c r="A4988" s="3" t="s">
        <v>556</v>
      </c>
      <c r="C4988" s="16" t="n">
        <f aca="false">SUMPRODUCT(($C$4966:$C$4975=C4966)*$C$4955:$C$4964)</f>
        <v>0</v>
      </c>
    </row>
    <row r="4989" customFormat="false" ht="15" hidden="false" customHeight="false" outlineLevel="0" collapsed="false">
      <c r="A4989" s="3" t="s">
        <v>557</v>
      </c>
      <c r="C4989" s="16" t="n">
        <f aca="false">SUMPRODUCT(($C$4966:$C$4975=C4967)*$C$4955:$C$4964)</f>
        <v>0</v>
      </c>
    </row>
    <row r="4990" customFormat="false" ht="15" hidden="false" customHeight="false" outlineLevel="0" collapsed="false">
      <c r="A4990" s="3" t="s">
        <v>558</v>
      </c>
      <c r="C4990" s="16" t="n">
        <f aca="false">SUMPRODUCT(($C$4966:$C$4975=C4968)*$C$4955:$C$4964)</f>
        <v>0</v>
      </c>
    </row>
    <row r="4991" customFormat="false" ht="15" hidden="false" customHeight="false" outlineLevel="0" collapsed="false">
      <c r="A4991" s="3" t="s">
        <v>559</v>
      </c>
      <c r="C4991" s="16" t="n">
        <f aca="false">SUMPRODUCT(($C$4966:$C$4975=C4969)*$C$4955:$C$4964)</f>
        <v>2032.484375</v>
      </c>
    </row>
    <row r="4992" customFormat="false" ht="15" hidden="false" customHeight="false" outlineLevel="0" collapsed="false">
      <c r="A4992" s="3" t="s">
        <v>560</v>
      </c>
      <c r="C4992" s="16" t="n">
        <f aca="false">SUMPRODUCT(($C$4966:$C$4975=C4970)*$C$4955:$C$4964)</f>
        <v>2032.484375</v>
      </c>
    </row>
    <row r="4993" customFormat="false" ht="15" hidden="false" customHeight="false" outlineLevel="0" collapsed="false">
      <c r="A4993" s="3" t="s">
        <v>561</v>
      </c>
      <c r="C4993" s="16" t="n">
        <f aca="false">SUMPRODUCT(($C$4966:$C$4975=C4971)*$C$4955:$C$4964)</f>
        <v>2032.484375</v>
      </c>
    </row>
    <row r="4994" customFormat="false" ht="15" hidden="false" customHeight="false" outlineLevel="0" collapsed="false">
      <c r="A4994" s="3" t="s">
        <v>562</v>
      </c>
      <c r="C4994" s="16" t="n">
        <f aca="false">SUMPRODUCT(($C$4966:$C$4975=C4972)*$C$4955:$C$4964)</f>
        <v>2032.484375</v>
      </c>
    </row>
    <row r="4995" customFormat="false" ht="15" hidden="false" customHeight="false" outlineLevel="0" collapsed="false">
      <c r="A4995" s="3" t="s">
        <v>563</v>
      </c>
      <c r="C4995" s="16" t="n">
        <f aca="false">SUMPRODUCT(($C$4966:$C$4975=C4973)*$C$4955:$C$4964)</f>
        <v>2032.484375</v>
      </c>
    </row>
    <row r="4996" customFormat="false" ht="15" hidden="false" customHeight="false" outlineLevel="0" collapsed="false">
      <c r="A4996" s="3" t="s">
        <v>564</v>
      </c>
      <c r="C4996" s="16" t="n">
        <f aca="false">SUMPRODUCT(($C$4966:$C$4975=C4974)*$C$4955:$C$4964)</f>
        <v>2032.484375</v>
      </c>
    </row>
    <row r="4997" customFormat="false" ht="15" hidden="false" customHeight="false" outlineLevel="0" collapsed="false">
      <c r="A4997" s="3" t="s">
        <v>565</v>
      </c>
      <c r="C4997" s="16" t="n">
        <f aca="false">SUMPRODUCT(($C$4966:$C$4975=C4975)*$C$4955:$C$4964)</f>
        <v>79.67320025</v>
      </c>
    </row>
    <row r="4998" customFormat="false" ht="15" hidden="false" customHeight="false" outlineLevel="0" collapsed="false">
      <c r="A4998" s="24" t="s">
        <v>574</v>
      </c>
      <c r="B4998" s="25"/>
      <c r="C4998" s="25"/>
      <c r="D4998" s="25"/>
      <c r="E4998" s="25"/>
      <c r="F4998" s="25"/>
      <c r="G4998" s="25"/>
      <c r="H4998" s="25"/>
      <c r="I4998" s="25"/>
      <c r="J4998" s="25"/>
      <c r="K4998" s="25"/>
    </row>
    <row r="4999" customFormat="false" ht="15" hidden="false" customHeight="false" outlineLevel="0" collapsed="false">
      <c r="A4999" s="3" t="s">
        <v>556</v>
      </c>
      <c r="C4999" s="16" t="n">
        <f aca="false">IF(C4988=0,0,C4955/C4988*MAX(0,MIN(C4988,$C$4898-SUM($C$4933:$C$4942)-C4977)))</f>
        <v>0</v>
      </c>
    </row>
    <row r="5000" customFormat="false" ht="15" hidden="false" customHeight="false" outlineLevel="0" collapsed="false">
      <c r="A5000" s="3" t="s">
        <v>557</v>
      </c>
      <c r="C5000" s="16" t="n">
        <f aca="false">IF(C4989=0,0,C4956/C4989*MAX(0,MIN(C4989,$C$4898-SUM($C$4933:$C$4942)-C4978)))</f>
        <v>0</v>
      </c>
    </row>
    <row r="5001" customFormat="false" ht="15" hidden="false" customHeight="false" outlineLevel="0" collapsed="false">
      <c r="A5001" s="3" t="s">
        <v>558</v>
      </c>
      <c r="C5001" s="16" t="n">
        <f aca="false">IF(C4990=0,0,C4957/C4990*MAX(0,MIN(C4990,$C$4898-SUM($C$4933:$C$4942)-C4979)))</f>
        <v>0</v>
      </c>
    </row>
    <row r="5002" customFormat="false" ht="15" hidden="false" customHeight="false" outlineLevel="0" collapsed="false">
      <c r="A5002" s="3" t="s">
        <v>559</v>
      </c>
      <c r="C5002" s="16" t="n">
        <f aca="false">IF(C4991=0,0,C4958/C4991*MAX(0,MIN(C4991,$C$4898-SUM($C$4933:$C$4942)-C4980)))</f>
        <v>0</v>
      </c>
    </row>
    <row r="5003" customFormat="false" ht="15" hidden="false" customHeight="false" outlineLevel="0" collapsed="false">
      <c r="A5003" s="3" t="s">
        <v>560</v>
      </c>
      <c r="C5003" s="16" t="n">
        <f aca="false">IF(C4992=0,0,C4959/C4992*MAX(0,MIN(C4992,$C$4898-SUM($C$4933:$C$4942)-C4981)))</f>
        <v>454.44375</v>
      </c>
    </row>
    <row r="5004" customFormat="false" ht="15" hidden="false" customHeight="false" outlineLevel="0" collapsed="false">
      <c r="A5004" s="3" t="s">
        <v>561</v>
      </c>
      <c r="C5004" s="16" t="n">
        <f aca="false">IF(C4993=0,0,C4960/C4993*MAX(0,MIN(C4993,$C$4898-SUM($C$4933:$C$4942)-C4982)))</f>
        <v>357.2625</v>
      </c>
    </row>
    <row r="5005" customFormat="false" ht="15" hidden="false" customHeight="false" outlineLevel="0" collapsed="false">
      <c r="A5005" s="3" t="s">
        <v>562</v>
      </c>
      <c r="C5005" s="16" t="n">
        <f aca="false">IF(C4994=0,0,C4961/C4994*MAX(0,MIN(C4994,$C$4898-SUM($C$4933:$C$4942)-C4983)))</f>
        <v>562.203125</v>
      </c>
    </row>
    <row r="5006" customFormat="false" ht="15" hidden="false" customHeight="false" outlineLevel="0" collapsed="false">
      <c r="A5006" s="3" t="s">
        <v>563</v>
      </c>
      <c r="C5006" s="16" t="n">
        <f aca="false">IF(C4995=0,0,C4962/C4995*MAX(0,MIN(C4995,$C$4898-SUM($C$4933:$C$4942)-C4984)))</f>
        <v>353.98125</v>
      </c>
    </row>
    <row r="5007" customFormat="false" ht="15" hidden="false" customHeight="false" outlineLevel="0" collapsed="false">
      <c r="A5007" s="3" t="s">
        <v>564</v>
      </c>
      <c r="C5007" s="16" t="n">
        <f aca="false">IF(C4996=0,0,C4963/C4996*MAX(0,MIN(C4996,$C$4898-SUM($C$4933:$C$4942)-C4985)))</f>
        <v>304.59375</v>
      </c>
    </row>
    <row r="5008" customFormat="false" ht="15" hidden="false" customHeight="false" outlineLevel="0" collapsed="false">
      <c r="A5008" s="3" t="s">
        <v>565</v>
      </c>
      <c r="C5008" s="16" t="n">
        <f aca="false">IF(C4997=0,0,C4964/C4997*MAX(0,MIN(C4997,$C$4898-SUM($C$4933:$C$4942)-C4986)))</f>
        <v>79.67320025</v>
      </c>
    </row>
    <row r="5009" customFormat="false" ht="15" hidden="false" customHeight="false" outlineLevel="0" collapsed="false">
      <c r="A5009" s="24" t="s">
        <v>575</v>
      </c>
      <c r="B5009" s="25"/>
      <c r="C5009" s="25"/>
      <c r="D5009" s="25"/>
      <c r="E5009" s="25"/>
      <c r="F5009" s="25"/>
      <c r="G5009" s="25"/>
      <c r="H5009" s="25"/>
      <c r="I5009" s="25"/>
      <c r="J5009" s="25"/>
      <c r="K5009" s="25"/>
    </row>
    <row r="5010" customFormat="false" ht="15" hidden="false" customHeight="false" outlineLevel="0" collapsed="false">
      <c r="A5010" s="2" t="s">
        <v>556</v>
      </c>
      <c r="C5010" s="17" t="n">
        <f aca="false">C4933+C4999</f>
        <v>405.0585</v>
      </c>
    </row>
    <row r="5011" customFormat="false" ht="15" hidden="false" customHeight="false" outlineLevel="0" collapsed="false">
      <c r="A5011" s="2" t="s">
        <v>557</v>
      </c>
      <c r="C5011" s="17" t="n">
        <f aca="false">C4934+C5000</f>
        <v>91.30725</v>
      </c>
    </row>
    <row r="5012" customFormat="false" ht="15" hidden="false" customHeight="false" outlineLevel="0" collapsed="false">
      <c r="A5012" s="2" t="s">
        <v>558</v>
      </c>
      <c r="C5012" s="17" t="n">
        <f aca="false">C4935+C5001</f>
        <v>58.3715961</v>
      </c>
    </row>
    <row r="5013" customFormat="false" ht="15" hidden="false" customHeight="false" outlineLevel="0" collapsed="false">
      <c r="A5013" s="2" t="s">
        <v>559</v>
      </c>
      <c r="C5013" s="17" t="n">
        <f aca="false">C4936+C5002</f>
        <v>0</v>
      </c>
    </row>
    <row r="5014" customFormat="false" ht="15" hidden="false" customHeight="false" outlineLevel="0" collapsed="false">
      <c r="A5014" s="2" t="s">
        <v>560</v>
      </c>
      <c r="C5014" s="17" t="n">
        <f aca="false">C4937+C5003</f>
        <v>454.44375</v>
      </c>
    </row>
    <row r="5015" customFormat="false" ht="15" hidden="false" customHeight="false" outlineLevel="0" collapsed="false">
      <c r="A5015" s="2" t="s">
        <v>561</v>
      </c>
      <c r="C5015" s="17" t="n">
        <f aca="false">C4938+C5004</f>
        <v>357.2625</v>
      </c>
    </row>
    <row r="5016" customFormat="false" ht="15" hidden="false" customHeight="false" outlineLevel="0" collapsed="false">
      <c r="A5016" s="2" t="s">
        <v>562</v>
      </c>
      <c r="C5016" s="17" t="n">
        <f aca="false">C4939+C5005</f>
        <v>562.203125</v>
      </c>
    </row>
    <row r="5017" customFormat="false" ht="15" hidden="false" customHeight="false" outlineLevel="0" collapsed="false">
      <c r="A5017" s="2" t="s">
        <v>563</v>
      </c>
      <c r="C5017" s="17" t="n">
        <f aca="false">C4940+C5006</f>
        <v>353.98125</v>
      </c>
    </row>
    <row r="5018" customFormat="false" ht="15" hidden="false" customHeight="false" outlineLevel="0" collapsed="false">
      <c r="A5018" s="2" t="s">
        <v>564</v>
      </c>
      <c r="C5018" s="17" t="n">
        <f aca="false">C4941+C5007</f>
        <v>304.59375</v>
      </c>
    </row>
    <row r="5019" customFormat="false" ht="15" hidden="false" customHeight="false" outlineLevel="0" collapsed="false">
      <c r="A5019" s="2" t="s">
        <v>565</v>
      </c>
      <c r="C5019" s="17" t="n">
        <f aca="false">C4942+C5008</f>
        <v>79.67320025</v>
      </c>
    </row>
    <row r="5020" customFormat="false" ht="15" hidden="false" customHeight="false" outlineLevel="0" collapsed="false">
      <c r="A5020" s="24" t="s">
        <v>576</v>
      </c>
      <c r="B5020" s="25"/>
      <c r="C5020" s="25"/>
      <c r="D5020" s="25"/>
      <c r="E5020" s="25"/>
      <c r="F5020" s="25"/>
      <c r="G5020" s="25"/>
      <c r="H5020" s="25"/>
      <c r="I5020" s="25"/>
      <c r="J5020" s="25"/>
      <c r="K5020" s="25"/>
    </row>
    <row r="5021" customFormat="false" ht="15" hidden="false" customHeight="false" outlineLevel="0" collapsed="false">
      <c r="A5021" s="3" t="s">
        <v>556</v>
      </c>
      <c r="C5021" s="22" t="n">
        <f aca="false">IF(C4900=0,1,C5010/C4900)</f>
        <v>1</v>
      </c>
    </row>
    <row r="5022" customFormat="false" ht="15" hidden="false" customHeight="false" outlineLevel="0" collapsed="false">
      <c r="A5022" s="3" t="s">
        <v>557</v>
      </c>
      <c r="C5022" s="22" t="n">
        <f aca="false">IF(C4901=0,1,C5011/C4901)</f>
        <v>1</v>
      </c>
    </row>
    <row r="5023" customFormat="false" ht="15" hidden="false" customHeight="false" outlineLevel="0" collapsed="false">
      <c r="A5023" s="3" t="s">
        <v>558</v>
      </c>
      <c r="C5023" s="22" t="n">
        <f aca="false">IF(C4902=0,1,C5012/C4902)</f>
        <v>1</v>
      </c>
    </row>
    <row r="5024" customFormat="false" ht="15" hidden="false" customHeight="false" outlineLevel="0" collapsed="false">
      <c r="A5024" s="3" t="s">
        <v>559</v>
      </c>
      <c r="C5024" s="22" t="n">
        <f aca="false">IF(C4903=0,1,C5013/C4903)</f>
        <v>1</v>
      </c>
    </row>
    <row r="5025" customFormat="false" ht="15" hidden="false" customHeight="false" outlineLevel="0" collapsed="false">
      <c r="A5025" s="3" t="s">
        <v>560</v>
      </c>
      <c r="C5025" s="22" t="n">
        <f aca="false">IF(C4904=0,1,C5014/C4904)</f>
        <v>1</v>
      </c>
    </row>
    <row r="5026" customFormat="false" ht="15" hidden="false" customHeight="false" outlineLevel="0" collapsed="false">
      <c r="A5026" s="3" t="s">
        <v>561</v>
      </c>
      <c r="C5026" s="22" t="n">
        <f aca="false">IF(C4905=0,1,C5015/C4905)</f>
        <v>1</v>
      </c>
    </row>
    <row r="5027" customFormat="false" ht="15" hidden="false" customHeight="false" outlineLevel="0" collapsed="false">
      <c r="A5027" s="3" t="s">
        <v>562</v>
      </c>
      <c r="C5027" s="22" t="n">
        <f aca="false">IF(C4906=0,1,C5016/C4906)</f>
        <v>1</v>
      </c>
    </row>
    <row r="5028" customFormat="false" ht="15" hidden="false" customHeight="false" outlineLevel="0" collapsed="false">
      <c r="A5028" s="3" t="s">
        <v>563</v>
      </c>
      <c r="C5028" s="22" t="n">
        <f aca="false">IF(C4907=0,1,C5017/C4907)</f>
        <v>1</v>
      </c>
    </row>
    <row r="5029" customFormat="false" ht="15" hidden="false" customHeight="false" outlineLevel="0" collapsed="false">
      <c r="A5029" s="3" t="s">
        <v>564</v>
      </c>
      <c r="C5029" s="22" t="n">
        <f aca="false">IF(C4908=0,1,C5018/C4908)</f>
        <v>1</v>
      </c>
    </row>
    <row r="5030" customFormat="false" ht="15" hidden="false" customHeight="false" outlineLevel="0" collapsed="false">
      <c r="A5030" s="3" t="s">
        <v>565</v>
      </c>
      <c r="C5030" s="22" t="n">
        <f aca="false">IF(C4909=0,1,C5019/C4909)</f>
        <v>1</v>
      </c>
    </row>
    <row r="5031" customFormat="false" ht="15" hidden="false" customHeight="false" outlineLevel="0" collapsed="false">
      <c r="A5031" s="24" t="s">
        <v>577</v>
      </c>
      <c r="B5031" s="25"/>
      <c r="C5031" s="25"/>
      <c r="D5031" s="25"/>
      <c r="E5031" s="25"/>
      <c r="F5031" s="25"/>
      <c r="G5031" s="25"/>
      <c r="H5031" s="25"/>
      <c r="I5031" s="25"/>
      <c r="J5031" s="25"/>
      <c r="K5031" s="25"/>
    </row>
    <row r="5032" customFormat="false" ht="15" hidden="false" customHeight="false" outlineLevel="0" collapsed="false">
      <c r="A5032" s="3" t="s">
        <v>556</v>
      </c>
      <c r="C5032" s="16" t="n">
        <f aca="false">C4900-C5010</f>
        <v>0</v>
      </c>
    </row>
    <row r="5033" customFormat="false" ht="15" hidden="false" customHeight="false" outlineLevel="0" collapsed="false">
      <c r="A5033" s="3" t="s">
        <v>557</v>
      </c>
      <c r="C5033" s="16" t="n">
        <f aca="false">C4901-C5011</f>
        <v>0</v>
      </c>
    </row>
    <row r="5034" customFormat="false" ht="15" hidden="false" customHeight="false" outlineLevel="0" collapsed="false">
      <c r="A5034" s="3" t="s">
        <v>558</v>
      </c>
      <c r="C5034" s="16" t="n">
        <f aca="false">C4902-C5012</f>
        <v>0</v>
      </c>
    </row>
    <row r="5035" customFormat="false" ht="15" hidden="false" customHeight="false" outlineLevel="0" collapsed="false">
      <c r="A5035" s="3" t="s">
        <v>559</v>
      </c>
      <c r="C5035" s="16" t="n">
        <f aca="false">C4903-C5013</f>
        <v>0</v>
      </c>
    </row>
    <row r="5036" customFormat="false" ht="15" hidden="false" customHeight="false" outlineLevel="0" collapsed="false">
      <c r="A5036" s="3" t="s">
        <v>560</v>
      </c>
      <c r="C5036" s="16" t="n">
        <f aca="false">C4904-C5014</f>
        <v>0</v>
      </c>
    </row>
    <row r="5037" customFormat="false" ht="15" hidden="false" customHeight="false" outlineLevel="0" collapsed="false">
      <c r="A5037" s="3" t="s">
        <v>561</v>
      </c>
      <c r="C5037" s="16" t="n">
        <f aca="false">C4905-C5015</f>
        <v>0</v>
      </c>
    </row>
    <row r="5038" customFormat="false" ht="15" hidden="false" customHeight="false" outlineLevel="0" collapsed="false">
      <c r="A5038" s="3" t="s">
        <v>562</v>
      </c>
      <c r="C5038" s="16" t="n">
        <f aca="false">C4906-C5016</f>
        <v>0</v>
      </c>
    </row>
    <row r="5039" customFormat="false" ht="15" hidden="false" customHeight="false" outlineLevel="0" collapsed="false">
      <c r="A5039" s="3" t="s">
        <v>563</v>
      </c>
      <c r="C5039" s="16" t="n">
        <f aca="false">C4907-C5017</f>
        <v>0</v>
      </c>
    </row>
    <row r="5040" customFormat="false" ht="15" hidden="false" customHeight="false" outlineLevel="0" collapsed="false">
      <c r="A5040" s="3" t="s">
        <v>564</v>
      </c>
      <c r="C5040" s="16" t="n">
        <f aca="false">C4908-C5018</f>
        <v>0</v>
      </c>
    </row>
    <row r="5041" customFormat="false" ht="15" hidden="false" customHeight="false" outlineLevel="0" collapsed="false">
      <c r="A5041" s="3" t="s">
        <v>565</v>
      </c>
      <c r="C5041" s="16" t="n">
        <f aca="false">C4909-C5019</f>
        <v>0</v>
      </c>
    </row>
    <row r="5042" customFormat="false" ht="15" hidden="false" customHeight="false" outlineLevel="0" collapsed="false">
      <c r="A5042" s="24" t="s">
        <v>578</v>
      </c>
      <c r="B5042" s="25"/>
      <c r="C5042" s="25"/>
      <c r="D5042" s="25"/>
      <c r="E5042" s="25"/>
      <c r="F5042" s="25"/>
      <c r="G5042" s="25"/>
      <c r="H5042" s="25"/>
      <c r="I5042" s="25"/>
      <c r="J5042" s="25"/>
      <c r="K5042" s="25"/>
    </row>
    <row r="5043" customFormat="false" ht="15" hidden="false" customHeight="false" outlineLevel="0" collapsed="false">
      <c r="A5043" s="3" t="s">
        <v>556</v>
      </c>
      <c r="C5043" s="22" t="n">
        <f aca="false">IF(C4900=0,0,C5032/C4900)</f>
        <v>0</v>
      </c>
    </row>
    <row r="5044" customFormat="false" ht="15" hidden="false" customHeight="false" outlineLevel="0" collapsed="false">
      <c r="A5044" s="3" t="s">
        <v>557</v>
      </c>
      <c r="C5044" s="22" t="n">
        <f aca="false">IF(C4901=0,0,C5033/C4901)</f>
        <v>0</v>
      </c>
    </row>
    <row r="5045" customFormat="false" ht="15" hidden="false" customHeight="false" outlineLevel="0" collapsed="false">
      <c r="A5045" s="3" t="s">
        <v>558</v>
      </c>
      <c r="C5045" s="22" t="n">
        <f aca="false">IF(C4902=0,0,C5034/C4902)</f>
        <v>0</v>
      </c>
    </row>
    <row r="5046" customFormat="false" ht="15" hidden="false" customHeight="false" outlineLevel="0" collapsed="false">
      <c r="A5046" s="3" t="s">
        <v>559</v>
      </c>
      <c r="C5046" s="22" t="n">
        <f aca="false">IF(C4903=0,0,C5035/C4903)</f>
        <v>0</v>
      </c>
    </row>
    <row r="5047" customFormat="false" ht="15" hidden="false" customHeight="false" outlineLevel="0" collapsed="false">
      <c r="A5047" s="3" t="s">
        <v>560</v>
      </c>
      <c r="C5047" s="22" t="n">
        <f aca="false">IF(C4904=0,0,C5036/C4904)</f>
        <v>0</v>
      </c>
    </row>
    <row r="5048" customFormat="false" ht="15" hidden="false" customHeight="false" outlineLevel="0" collapsed="false">
      <c r="A5048" s="3" t="s">
        <v>561</v>
      </c>
      <c r="C5048" s="22" t="n">
        <f aca="false">IF(C4905=0,0,C5037/C4905)</f>
        <v>0</v>
      </c>
    </row>
    <row r="5049" customFormat="false" ht="15" hidden="false" customHeight="false" outlineLevel="0" collapsed="false">
      <c r="A5049" s="3" t="s">
        <v>562</v>
      </c>
      <c r="C5049" s="22" t="n">
        <f aca="false">IF(C4906=0,0,C5038/C4906)</f>
        <v>0</v>
      </c>
    </row>
    <row r="5050" customFormat="false" ht="15" hidden="false" customHeight="false" outlineLevel="0" collapsed="false">
      <c r="A5050" s="3" t="s">
        <v>563</v>
      </c>
      <c r="C5050" s="22" t="n">
        <f aca="false">IF(C4907=0,0,C5039/C4907)</f>
        <v>0</v>
      </c>
    </row>
    <row r="5051" customFormat="false" ht="15" hidden="false" customHeight="false" outlineLevel="0" collapsed="false">
      <c r="A5051" s="3" t="s">
        <v>564</v>
      </c>
      <c r="C5051" s="22" t="n">
        <f aca="false">IF(C4908=0,0,C5040/C4908)</f>
        <v>0</v>
      </c>
    </row>
    <row r="5052" customFormat="false" ht="15" hidden="false" customHeight="false" outlineLevel="0" collapsed="false">
      <c r="A5052" s="3" t="s">
        <v>565</v>
      </c>
      <c r="C5052" s="22" t="n">
        <f aca="false">IF(C4909=0,0,C5041/C4909)</f>
        <v>0</v>
      </c>
    </row>
    <row r="5053" customFormat="false" ht="15" hidden="false" customHeight="false" outlineLevel="0" collapsed="false">
      <c r="A5053" s="2" t="s">
        <v>579</v>
      </c>
      <c r="C5053" s="17" t="n">
        <f aca="false">MAX(0,$C$4898-SUM($C$4933:$C$4942)-SUM($C$4955:$C$4964))</f>
        <v>1182.424783674</v>
      </c>
    </row>
    <row r="5054" customFormat="false" ht="15" hidden="false" customHeight="false" outlineLevel="0" collapsed="false">
      <c r="A5054" s="3" t="s">
        <v>580</v>
      </c>
      <c r="C5054" s="16" t="n">
        <f aca="false">SUM($C$5010:$C$5019)+C5053+C4897-C4896</f>
        <v>0</v>
      </c>
    </row>
    <row r="5056" customFormat="false" ht="15" hidden="false" customHeight="false" outlineLevel="0" collapsed="false">
      <c r="A5056" s="24" t="s">
        <v>583</v>
      </c>
      <c r="B5056" s="25"/>
      <c r="C5056" s="25"/>
      <c r="D5056" s="25"/>
      <c r="E5056" s="25"/>
      <c r="F5056" s="25"/>
      <c r="G5056" s="25"/>
      <c r="H5056" s="25"/>
      <c r="I5056" s="25"/>
      <c r="J5056" s="25"/>
      <c r="K5056" s="25"/>
    </row>
    <row r="5057" customFormat="false" ht="15" hidden="false" customHeight="false" outlineLevel="0" collapsed="false">
      <c r="A5057" s="3" t="s">
        <v>584</v>
      </c>
      <c r="C5057" s="27" t="n">
        <f aca="false">Assumptions!$C$34</f>
        <v>1</v>
      </c>
    </row>
    <row r="5058" customFormat="false" ht="15" hidden="false" customHeight="false" outlineLevel="0" collapsed="false">
      <c r="A5058" s="3" t="s">
        <v>585</v>
      </c>
      <c r="C5058" s="29" t="n">
        <f aca="false">Assumptions!$C$35</f>
        <v>100</v>
      </c>
    </row>
    <row r="5059" customFormat="false" ht="15" hidden="false" customHeight="false" outlineLevel="0" collapsed="false">
      <c r="A5059" s="3" t="s">
        <v>586</v>
      </c>
      <c r="C5059" s="40" t="n">
        <f aca="false">Assumptions!$C$36</f>
        <v>98</v>
      </c>
    </row>
    <row r="5060" customFormat="false" ht="15" hidden="false" customHeight="false" outlineLevel="0" collapsed="false">
      <c r="A5060" s="3" t="s">
        <v>587</v>
      </c>
      <c r="C5060" s="16" t="n">
        <f aca="false">C5058*C5059/100*(1+Assumptions!$C$37)</f>
        <v>98.49</v>
      </c>
    </row>
    <row r="5061" customFormat="false" ht="15" hidden="false" customHeight="false" outlineLevel="0" collapsed="false">
      <c r="A5061" s="3" t="s">
        <v>588</v>
      </c>
      <c r="C5061" s="27" t="n">
        <f aca="false">Assumptions!$C$38</f>
        <v>3</v>
      </c>
    </row>
    <row r="5062" customFormat="false" ht="15" hidden="false" customHeight="false" outlineLevel="0" collapsed="false">
      <c r="A5062" s="3" t="s">
        <v>589</v>
      </c>
      <c r="C5062" s="21" t="n">
        <f aca="false">IF(C4889=1,SUMPRODUCT($G$4825:$K$4825,$G$4599:$K$4599),0)</f>
        <v>0</v>
      </c>
    </row>
    <row r="5063" customFormat="false" ht="15" hidden="false" customHeight="false" outlineLevel="0" collapsed="false">
      <c r="A5063" s="3" t="s">
        <v>590</v>
      </c>
      <c r="C5063" s="22" t="n">
        <f aca="false">IFERROR(C5058/CHOOSE(C5057,SUMPRODUCT($G$4888:$K$4888,$G$4645:$K$4645),SUMPRODUCT($G$4888:$K$4888,$G$4658:$K$4658),SUMPRODUCT($G$4888:$K$4888,$G$4671:$K$4671),SUMPRODUCT($G$4888:$K$4888,$G$4684:$K$4684),SUMPRODUCT($G$4888:$K$4888,$G$4697:$K$4697),SUMPRODUCT($G$4888:$K$4888,$G$4710:$K$4710),SUMPRODUCT($G$4888:$K$4888,$G$4723:$K$4723),SUMPRODUCT($G$4888:$K$4888,$G$4736:$K$4736),SUMPRODUCT($G$4888:$K$4888,$G$4749:$K$4749),SUMPRODUCT($G$4888:$K$4888,$G$4762:$K$4762)),0)</f>
        <v>0.252525252525253</v>
      </c>
    </row>
    <row r="5064" customFormat="false" ht="15" hidden="false" customHeight="false" outlineLevel="0" collapsed="false">
      <c r="A5064" s="3" t="s">
        <v>591</v>
      </c>
      <c r="C5064" s="16" t="n">
        <f aca="false">CHOOSE(C5057,C5010,C5011,C5012,C5013,C5014,C5015,C5016,C5017,C5018,C5019)*C5063</f>
        <v>102.2875</v>
      </c>
    </row>
    <row r="5065" customFormat="false" ht="15" hidden="false" customHeight="false" outlineLevel="0" collapsed="false">
      <c r="A5065" s="3" t="s">
        <v>592</v>
      </c>
      <c r="C5065" s="22" t="n">
        <f aca="false">CHOOSE(C5057,C5021,C5022,C5023,C5024,C5025,C5026,C5027,C5028,C5029,C5030)</f>
        <v>1</v>
      </c>
    </row>
    <row r="5066" customFormat="false" ht="15" hidden="false" customHeight="false" outlineLevel="0" collapsed="false">
      <c r="A5066" s="3" t="s">
        <v>593</v>
      </c>
      <c r="C5066" s="21" t="n">
        <f aca="false">IF(C4889=1,C5062,C5061)</f>
        <v>3</v>
      </c>
    </row>
    <row r="5067" customFormat="false" ht="15" hidden="false" customHeight="false" outlineLevel="0" collapsed="false">
      <c r="A5067" s="3" t="s">
        <v>594</v>
      </c>
      <c r="C5067" s="35" t="n">
        <f aca="false">CHOOSE($C$4591,Assumptions!$C$91,Assumptions!$C$110,Assumptions!$C$129)</f>
        <v>100</v>
      </c>
    </row>
    <row r="5068" customFormat="false" ht="15" hidden="false" customHeight="false" outlineLevel="0" collapsed="false">
      <c r="A5068" s="3" t="s">
        <v>595</v>
      </c>
      <c r="C5068" s="16" t="n">
        <f aca="false">INDEX($G$4608:$K$4608,C5061)*CHOOSE($C$4591,Assumptions!$C$90,Assumptions!$C$109,Assumptions!$C$128)+MAX(0,INDEX($G$4822:$K$4822,C5061))</f>
        <v>3620.6589434976</v>
      </c>
    </row>
    <row r="5069" customFormat="false" ht="15" hidden="false" customHeight="false" outlineLevel="0" collapsed="false">
      <c r="A5069" s="24" t="s">
        <v>596</v>
      </c>
      <c r="B5069" s="25"/>
      <c r="C5069" s="25"/>
      <c r="D5069" s="25"/>
      <c r="E5069" s="25"/>
      <c r="F5069" s="25"/>
      <c r="G5069" s="25"/>
      <c r="H5069" s="25"/>
      <c r="I5069" s="25"/>
      <c r="J5069" s="25"/>
      <c r="K5069" s="25"/>
    </row>
    <row r="5070" customFormat="false" ht="15" hidden="false" customHeight="false" outlineLevel="0" collapsed="false">
      <c r="A5070" s="3" t="s">
        <v>556</v>
      </c>
      <c r="C5070" s="16" t="n">
        <f aca="false">INDEX($G$4645:$K$4645,C5061)</f>
        <v>388</v>
      </c>
    </row>
    <row r="5071" customFormat="false" ht="15" hidden="false" customHeight="false" outlineLevel="0" collapsed="false">
      <c r="A5071" s="3" t="s">
        <v>557</v>
      </c>
      <c r="C5071" s="16" t="n">
        <f aca="false">INDEX($G$4658:$K$4658,C5061)</f>
        <v>90</v>
      </c>
    </row>
    <row r="5072" customFormat="false" ht="15" hidden="false" customHeight="false" outlineLevel="0" collapsed="false">
      <c r="A5072" s="3" t="s">
        <v>558</v>
      </c>
      <c r="C5072" s="16" t="n">
        <f aca="false">INDEX($G$4671:$K$4671,C5061)</f>
        <v>57.324</v>
      </c>
    </row>
    <row r="5073" customFormat="false" ht="15" hidden="false" customHeight="false" outlineLevel="0" collapsed="false">
      <c r="A5073" s="3" t="s">
        <v>559</v>
      </c>
      <c r="C5073" s="16" t="n">
        <f aca="false">INDEX($G$4684:$K$4684,C5061)</f>
        <v>43.5578458404559</v>
      </c>
    </row>
    <row r="5074" customFormat="false" ht="15" hidden="false" customHeight="false" outlineLevel="0" collapsed="false">
      <c r="A5074" s="3" t="s">
        <v>560</v>
      </c>
      <c r="C5074" s="16" t="n">
        <f aca="false">INDEX($G$4697:$K$4697,C5061)</f>
        <v>368.6680959578</v>
      </c>
    </row>
    <row r="5075" customFormat="false" ht="15" hidden="false" customHeight="false" outlineLevel="0" collapsed="false">
      <c r="A5075" s="3" t="s">
        <v>561</v>
      </c>
      <c r="C5075" s="16" t="n">
        <f aca="false">INDEX($G$4710:$K$4710,C5061)</f>
        <v>350</v>
      </c>
    </row>
    <row r="5076" customFormat="false" ht="15" hidden="false" customHeight="false" outlineLevel="0" collapsed="false">
      <c r="A5076" s="3" t="s">
        <v>562</v>
      </c>
      <c r="C5076" s="16" t="n">
        <f aca="false">INDEX($G$4723:$K$4723,C5061)</f>
        <v>550</v>
      </c>
    </row>
    <row r="5077" customFormat="false" ht="15" hidden="false" customHeight="false" outlineLevel="0" collapsed="false">
      <c r="A5077" s="3" t="s">
        <v>563</v>
      </c>
      <c r="C5077" s="16" t="n">
        <f aca="false">INDEX($G$4736:$K$4736,C5061)</f>
        <v>350</v>
      </c>
    </row>
    <row r="5078" customFormat="false" ht="15" hidden="false" customHeight="false" outlineLevel="0" collapsed="false">
      <c r="A5078" s="3" t="s">
        <v>564</v>
      </c>
      <c r="C5078" s="16" t="n">
        <f aca="false">INDEX($G$4749:$K$4749,C5061)</f>
        <v>300</v>
      </c>
    </row>
    <row r="5079" customFormat="false" ht="15" hidden="false" customHeight="false" outlineLevel="0" collapsed="false">
      <c r="A5079" s="3" t="s">
        <v>565</v>
      </c>
      <c r="C5079" s="16" t="n">
        <f aca="false">INDEX($G$4762:$K$4762,C5061)</f>
        <v>78.61</v>
      </c>
    </row>
    <row r="5080" customFormat="false" ht="15" hidden="false" customHeight="false" outlineLevel="0" collapsed="false">
      <c r="A5080" s="24" t="s">
        <v>566</v>
      </c>
      <c r="B5080" s="25"/>
      <c r="C5080" s="25"/>
      <c r="D5080" s="25"/>
      <c r="E5080" s="25"/>
      <c r="F5080" s="25"/>
      <c r="G5080" s="25"/>
      <c r="H5080" s="25"/>
      <c r="I5080" s="25"/>
      <c r="J5080" s="25"/>
      <c r="K5080" s="25"/>
    </row>
    <row r="5081" customFormat="false" ht="15" hidden="false" customHeight="false" outlineLevel="0" collapsed="false">
      <c r="A5081" s="3" t="s">
        <v>556</v>
      </c>
      <c r="C5081" s="27" t="n">
        <f aca="false">Assumptions!$M$57</f>
        <v>1</v>
      </c>
    </row>
    <row r="5082" customFormat="false" ht="15" hidden="false" customHeight="false" outlineLevel="0" collapsed="false">
      <c r="A5082" s="3" t="s">
        <v>557</v>
      </c>
      <c r="C5082" s="27" t="n">
        <f aca="false">Assumptions!$M$58</f>
        <v>1</v>
      </c>
    </row>
    <row r="5083" customFormat="false" ht="15" hidden="false" customHeight="false" outlineLevel="0" collapsed="false">
      <c r="A5083" s="3" t="s">
        <v>558</v>
      </c>
      <c r="C5083" s="27" t="n">
        <f aca="false">Assumptions!$M$59</f>
        <v>1</v>
      </c>
    </row>
    <row r="5084" customFormat="false" ht="15" hidden="false" customHeight="false" outlineLevel="0" collapsed="false">
      <c r="A5084" s="3" t="s">
        <v>559</v>
      </c>
      <c r="C5084" s="27" t="n">
        <f aca="false">Assumptions!$M$60</f>
        <v>2</v>
      </c>
    </row>
    <row r="5085" customFormat="false" ht="15" hidden="false" customHeight="false" outlineLevel="0" collapsed="false">
      <c r="A5085" s="3" t="s">
        <v>560</v>
      </c>
      <c r="C5085" s="27" t="n">
        <f aca="false">Assumptions!$M$61</f>
        <v>2</v>
      </c>
    </row>
    <row r="5086" customFormat="false" ht="15" hidden="false" customHeight="false" outlineLevel="0" collapsed="false">
      <c r="A5086" s="3" t="s">
        <v>561</v>
      </c>
      <c r="C5086" s="27" t="n">
        <f aca="false">Assumptions!$M$62</f>
        <v>2</v>
      </c>
    </row>
    <row r="5087" customFormat="false" ht="15" hidden="false" customHeight="false" outlineLevel="0" collapsed="false">
      <c r="A5087" s="3" t="s">
        <v>562</v>
      </c>
      <c r="C5087" s="27" t="n">
        <f aca="false">Assumptions!$M$63</f>
        <v>2</v>
      </c>
    </row>
    <row r="5088" customFormat="false" ht="15" hidden="false" customHeight="false" outlineLevel="0" collapsed="false">
      <c r="A5088" s="3" t="s">
        <v>563</v>
      </c>
      <c r="C5088" s="27" t="n">
        <f aca="false">Assumptions!$M$64</f>
        <v>2</v>
      </c>
    </row>
    <row r="5089" customFormat="false" ht="15" hidden="false" customHeight="false" outlineLevel="0" collapsed="false">
      <c r="A5089" s="3" t="s">
        <v>564</v>
      </c>
      <c r="C5089" s="27" t="n">
        <f aca="false">Assumptions!$M$65</f>
        <v>2</v>
      </c>
    </row>
    <row r="5090" customFormat="false" ht="15" hidden="false" customHeight="false" outlineLevel="0" collapsed="false">
      <c r="A5090" s="3" t="s">
        <v>565</v>
      </c>
      <c r="C5090" s="27" t="n">
        <f aca="false">Assumptions!$M$66</f>
        <v>3</v>
      </c>
    </row>
    <row r="5091" customFormat="false" ht="15" hidden="false" customHeight="false" outlineLevel="0" collapsed="false">
      <c r="A5091" s="24" t="s">
        <v>567</v>
      </c>
      <c r="B5091" s="25"/>
      <c r="C5091" s="25"/>
      <c r="D5091" s="25"/>
      <c r="E5091" s="25"/>
      <c r="F5091" s="25"/>
      <c r="G5091" s="25"/>
      <c r="H5091" s="25"/>
      <c r="I5091" s="25"/>
      <c r="J5091" s="25"/>
      <c r="K5091" s="25"/>
    </row>
    <row r="5092" customFormat="false" ht="15" hidden="false" customHeight="false" outlineLevel="0" collapsed="false">
      <c r="A5092" s="3" t="s">
        <v>556</v>
      </c>
      <c r="C5092" s="33" t="n">
        <f aca="false">Assumptions!$Q$57</f>
        <v>0.3</v>
      </c>
    </row>
    <row r="5093" customFormat="false" ht="15" hidden="false" customHeight="false" outlineLevel="0" collapsed="false">
      <c r="A5093" s="3" t="s">
        <v>557</v>
      </c>
      <c r="C5093" s="33" t="n">
        <f aca="false">Assumptions!$Q$58</f>
        <v>0.033</v>
      </c>
    </row>
    <row r="5094" customFormat="false" ht="15" hidden="false" customHeight="false" outlineLevel="0" collapsed="false">
      <c r="A5094" s="3" t="s">
        <v>558</v>
      </c>
      <c r="C5094" s="33" t="n">
        <f aca="false">Assumptions!$Q$59</f>
        <v>0.021</v>
      </c>
    </row>
    <row r="5095" customFormat="false" ht="15" hidden="false" customHeight="false" outlineLevel="0" collapsed="false">
      <c r="A5095" s="3" t="s">
        <v>559</v>
      </c>
      <c r="C5095" s="33" t="n">
        <f aca="false">Assumptions!$Q$60</f>
        <v>0</v>
      </c>
    </row>
    <row r="5096" customFormat="false" ht="15" hidden="false" customHeight="false" outlineLevel="0" collapsed="false">
      <c r="A5096" s="3" t="s">
        <v>560</v>
      </c>
      <c r="C5096" s="33" t="n">
        <f aca="false">Assumptions!$Q$61</f>
        <v>0</v>
      </c>
    </row>
    <row r="5097" customFormat="false" ht="15" hidden="false" customHeight="false" outlineLevel="0" collapsed="false">
      <c r="A5097" s="3" t="s">
        <v>561</v>
      </c>
      <c r="C5097" s="33" t="n">
        <f aca="false">Assumptions!$Q$62</f>
        <v>0</v>
      </c>
    </row>
    <row r="5098" customFormat="false" ht="15" hidden="false" customHeight="false" outlineLevel="0" collapsed="false">
      <c r="A5098" s="3" t="s">
        <v>562</v>
      </c>
      <c r="C5098" s="33" t="n">
        <f aca="false">Assumptions!$Q$63</f>
        <v>0</v>
      </c>
    </row>
    <row r="5099" customFormat="false" ht="15" hidden="false" customHeight="false" outlineLevel="0" collapsed="false">
      <c r="A5099" s="3" t="s">
        <v>563</v>
      </c>
      <c r="C5099" s="33" t="n">
        <f aca="false">Assumptions!$Q$64</f>
        <v>0</v>
      </c>
    </row>
    <row r="5100" customFormat="false" ht="15" hidden="false" customHeight="false" outlineLevel="0" collapsed="false">
      <c r="A5100" s="3" t="s">
        <v>564</v>
      </c>
      <c r="C5100" s="33" t="n">
        <f aca="false">Assumptions!$Q$65</f>
        <v>0</v>
      </c>
    </row>
    <row r="5101" customFormat="false" ht="15" hidden="false" customHeight="false" outlineLevel="0" collapsed="false">
      <c r="A5101" s="3" t="s">
        <v>565</v>
      </c>
      <c r="C5101" s="33" t="n">
        <f aca="false">Assumptions!$Q$66</f>
        <v>0</v>
      </c>
    </row>
    <row r="5102" customFormat="false" ht="15" hidden="false" customHeight="false" outlineLevel="0" collapsed="false">
      <c r="A5102" s="24" t="s">
        <v>568</v>
      </c>
      <c r="B5102" s="25"/>
      <c r="C5102" s="25"/>
      <c r="D5102" s="25"/>
      <c r="E5102" s="25"/>
      <c r="F5102" s="25"/>
      <c r="G5102" s="25"/>
      <c r="H5102" s="25"/>
      <c r="I5102" s="25"/>
      <c r="J5102" s="25"/>
      <c r="K5102" s="25"/>
    </row>
    <row r="5103" customFormat="false" ht="15" hidden="false" customHeight="false" outlineLevel="0" collapsed="false">
      <c r="A5103" s="3" t="s">
        <v>556</v>
      </c>
      <c r="C5103" s="16" t="n">
        <f aca="false">IF(C5092&gt;0,MIN(C5070,C5092*$C$5068),0)</f>
        <v>388</v>
      </c>
    </row>
    <row r="5104" customFormat="false" ht="15" hidden="false" customHeight="false" outlineLevel="0" collapsed="false">
      <c r="A5104" s="3" t="s">
        <v>557</v>
      </c>
      <c r="C5104" s="16" t="n">
        <f aca="false">IF(C5093&gt;0,MIN(C5071,C5093*$C$5068),0)</f>
        <v>90</v>
      </c>
    </row>
    <row r="5105" customFormat="false" ht="15" hidden="false" customHeight="false" outlineLevel="0" collapsed="false">
      <c r="A5105" s="3" t="s">
        <v>558</v>
      </c>
      <c r="C5105" s="16" t="n">
        <f aca="false">IF(C5094&gt;0,MIN(C5072,C5094*$C$5068),0)</f>
        <v>57.324</v>
      </c>
    </row>
    <row r="5106" customFormat="false" ht="15" hidden="false" customHeight="false" outlineLevel="0" collapsed="false">
      <c r="A5106" s="3" t="s">
        <v>559</v>
      </c>
      <c r="C5106" s="16" t="n">
        <f aca="false">IF(C5095&gt;0,MIN(C5073,C5095*$C$5068),0)</f>
        <v>0</v>
      </c>
    </row>
    <row r="5107" customFormat="false" ht="15" hidden="false" customHeight="false" outlineLevel="0" collapsed="false">
      <c r="A5107" s="3" t="s">
        <v>560</v>
      </c>
      <c r="C5107" s="16" t="n">
        <f aca="false">IF(C5096&gt;0,MIN(C5074,C5096*$C$5068),0)</f>
        <v>0</v>
      </c>
    </row>
    <row r="5108" customFormat="false" ht="15" hidden="false" customHeight="false" outlineLevel="0" collapsed="false">
      <c r="A5108" s="3" t="s">
        <v>561</v>
      </c>
      <c r="C5108" s="16" t="n">
        <f aca="false">IF(C5097&gt;0,MIN(C5075,C5097*$C$5068),0)</f>
        <v>0</v>
      </c>
    </row>
    <row r="5109" customFormat="false" ht="15" hidden="false" customHeight="false" outlineLevel="0" collapsed="false">
      <c r="A5109" s="3" t="s">
        <v>562</v>
      </c>
      <c r="C5109" s="16" t="n">
        <f aca="false">IF(C5098&gt;0,MIN(C5076,C5098*$C$5068),0)</f>
        <v>0</v>
      </c>
    </row>
    <row r="5110" customFormat="false" ht="15" hidden="false" customHeight="false" outlineLevel="0" collapsed="false">
      <c r="A5110" s="3" t="s">
        <v>563</v>
      </c>
      <c r="C5110" s="16" t="n">
        <f aca="false">IF(C5099&gt;0,MIN(C5077,C5099*$C$5068),0)</f>
        <v>0</v>
      </c>
    </row>
    <row r="5111" customFormat="false" ht="15" hidden="false" customHeight="false" outlineLevel="0" collapsed="false">
      <c r="A5111" s="3" t="s">
        <v>564</v>
      </c>
      <c r="C5111" s="16" t="n">
        <f aca="false">IF(C5100&gt;0,MIN(C5078,C5100*$C$5068),0)</f>
        <v>0</v>
      </c>
    </row>
    <row r="5112" customFormat="false" ht="15" hidden="false" customHeight="false" outlineLevel="0" collapsed="false">
      <c r="A5112" s="3" t="s">
        <v>565</v>
      </c>
      <c r="C5112" s="16" t="n">
        <f aca="false">IF(C5101&gt;0,MIN(C5079,C5101*$C$5068),0)</f>
        <v>0</v>
      </c>
    </row>
    <row r="5113" customFormat="false" ht="15" hidden="false" customHeight="false" outlineLevel="0" collapsed="false">
      <c r="A5113" s="24" t="s">
        <v>569</v>
      </c>
      <c r="B5113" s="25"/>
      <c r="C5113" s="25"/>
      <c r="D5113" s="25"/>
      <c r="E5113" s="25"/>
      <c r="F5113" s="25"/>
      <c r="G5113" s="25"/>
      <c r="H5113" s="25"/>
      <c r="I5113" s="25"/>
      <c r="J5113" s="25"/>
      <c r="K5113" s="25"/>
    </row>
    <row r="5114" customFormat="false" ht="15" hidden="false" customHeight="false" outlineLevel="0" collapsed="false">
      <c r="A5114" s="3" t="s">
        <v>556</v>
      </c>
      <c r="C5114" s="16" t="n">
        <f aca="false">IF(C5092&gt;0,C5070-C5103,0)</f>
        <v>0</v>
      </c>
    </row>
    <row r="5115" customFormat="false" ht="15" hidden="false" customHeight="false" outlineLevel="0" collapsed="false">
      <c r="A5115" s="3" t="s">
        <v>557</v>
      </c>
      <c r="C5115" s="16" t="n">
        <f aca="false">IF(C5093&gt;0,C5071-C5104,0)</f>
        <v>0</v>
      </c>
    </row>
    <row r="5116" customFormat="false" ht="15" hidden="false" customHeight="false" outlineLevel="0" collapsed="false">
      <c r="A5116" s="3" t="s">
        <v>558</v>
      </c>
      <c r="C5116" s="16" t="n">
        <f aca="false">IF(C5094&gt;0,C5072-C5105,0)</f>
        <v>0</v>
      </c>
    </row>
    <row r="5117" customFormat="false" ht="15" hidden="false" customHeight="false" outlineLevel="0" collapsed="false">
      <c r="A5117" s="3" t="s">
        <v>559</v>
      </c>
      <c r="C5117" s="16" t="n">
        <f aca="false">IF(C5095&gt;0,C5073-C5106,0)</f>
        <v>0</v>
      </c>
    </row>
    <row r="5118" customFormat="false" ht="15" hidden="false" customHeight="false" outlineLevel="0" collapsed="false">
      <c r="A5118" s="3" t="s">
        <v>560</v>
      </c>
      <c r="C5118" s="16" t="n">
        <f aca="false">IF(C5096&gt;0,C5074-C5107,0)</f>
        <v>0</v>
      </c>
    </row>
    <row r="5119" customFormat="false" ht="15" hidden="false" customHeight="false" outlineLevel="0" collapsed="false">
      <c r="A5119" s="3" t="s">
        <v>561</v>
      </c>
      <c r="C5119" s="16" t="n">
        <f aca="false">IF(C5097&gt;0,C5075-C5108,0)</f>
        <v>0</v>
      </c>
    </row>
    <row r="5120" customFormat="false" ht="15" hidden="false" customHeight="false" outlineLevel="0" collapsed="false">
      <c r="A5120" s="3" t="s">
        <v>562</v>
      </c>
      <c r="C5120" s="16" t="n">
        <f aca="false">IF(C5098&gt;0,C5076-C5109,0)</f>
        <v>0</v>
      </c>
    </row>
    <row r="5121" customFormat="false" ht="15" hidden="false" customHeight="false" outlineLevel="0" collapsed="false">
      <c r="A5121" s="3" t="s">
        <v>563</v>
      </c>
      <c r="C5121" s="16" t="n">
        <f aca="false">IF(C5099&gt;0,C5077-C5110,0)</f>
        <v>0</v>
      </c>
    </row>
    <row r="5122" customFormat="false" ht="15" hidden="false" customHeight="false" outlineLevel="0" collapsed="false">
      <c r="A5122" s="3" t="s">
        <v>564</v>
      </c>
      <c r="C5122" s="16" t="n">
        <f aca="false">IF(C5100&gt;0,C5078-C5111,0)</f>
        <v>0</v>
      </c>
    </row>
    <row r="5123" customFormat="false" ht="15" hidden="false" customHeight="false" outlineLevel="0" collapsed="false">
      <c r="A5123" s="3" t="s">
        <v>565</v>
      </c>
      <c r="C5123" s="16" t="n">
        <f aca="false">IF(C5101&gt;0,C5079-C5112,0)</f>
        <v>0</v>
      </c>
    </row>
    <row r="5124" customFormat="false" ht="15" hidden="false" customHeight="false" outlineLevel="0" collapsed="false">
      <c r="A5124" s="24" t="s">
        <v>570</v>
      </c>
      <c r="B5124" s="25"/>
      <c r="C5124" s="25"/>
      <c r="D5124" s="25"/>
      <c r="E5124" s="25"/>
      <c r="F5124" s="25"/>
      <c r="G5124" s="25"/>
      <c r="H5124" s="25"/>
      <c r="I5124" s="25"/>
      <c r="J5124" s="25"/>
      <c r="K5124" s="25"/>
    </row>
    <row r="5125" customFormat="false" ht="15" hidden="false" customHeight="false" outlineLevel="0" collapsed="false">
      <c r="A5125" s="3" t="s">
        <v>556</v>
      </c>
      <c r="C5125" s="16" t="n">
        <f aca="false">IF(C5092&gt;0,C5114,C5070)</f>
        <v>0</v>
      </c>
    </row>
    <row r="5126" customFormat="false" ht="15" hidden="false" customHeight="false" outlineLevel="0" collapsed="false">
      <c r="A5126" s="3" t="s">
        <v>557</v>
      </c>
      <c r="C5126" s="16" t="n">
        <f aca="false">IF(C5093&gt;0,C5115,C5071)</f>
        <v>0</v>
      </c>
    </row>
    <row r="5127" customFormat="false" ht="15" hidden="false" customHeight="false" outlineLevel="0" collapsed="false">
      <c r="A5127" s="3" t="s">
        <v>558</v>
      </c>
      <c r="C5127" s="16" t="n">
        <f aca="false">IF(C5094&gt;0,C5116,C5072)</f>
        <v>0</v>
      </c>
    </row>
    <row r="5128" customFormat="false" ht="15" hidden="false" customHeight="false" outlineLevel="0" collapsed="false">
      <c r="A5128" s="3" t="s">
        <v>559</v>
      </c>
      <c r="C5128" s="16" t="n">
        <f aca="false">IF(C5095&gt;0,C5117,C5073)</f>
        <v>43.5578458404559</v>
      </c>
    </row>
    <row r="5129" customFormat="false" ht="15" hidden="false" customHeight="false" outlineLevel="0" collapsed="false">
      <c r="A5129" s="3" t="s">
        <v>560</v>
      </c>
      <c r="C5129" s="16" t="n">
        <f aca="false">IF(C5096&gt;0,C5118,C5074)</f>
        <v>368.6680959578</v>
      </c>
    </row>
    <row r="5130" customFormat="false" ht="15" hidden="false" customHeight="false" outlineLevel="0" collapsed="false">
      <c r="A5130" s="3" t="s">
        <v>561</v>
      </c>
      <c r="C5130" s="16" t="n">
        <f aca="false">IF(C5097&gt;0,C5119,C5075)</f>
        <v>350</v>
      </c>
    </row>
    <row r="5131" customFormat="false" ht="15" hidden="false" customHeight="false" outlineLevel="0" collapsed="false">
      <c r="A5131" s="3" t="s">
        <v>562</v>
      </c>
      <c r="C5131" s="16" t="n">
        <f aca="false">IF(C5098&gt;0,C5120,C5076)</f>
        <v>550</v>
      </c>
    </row>
    <row r="5132" customFormat="false" ht="15" hidden="false" customHeight="false" outlineLevel="0" collapsed="false">
      <c r="A5132" s="3" t="s">
        <v>563</v>
      </c>
      <c r="C5132" s="16" t="n">
        <f aca="false">IF(C5099&gt;0,C5121,C5077)</f>
        <v>350</v>
      </c>
    </row>
    <row r="5133" customFormat="false" ht="15" hidden="false" customHeight="false" outlineLevel="0" collapsed="false">
      <c r="A5133" s="3" t="s">
        <v>564</v>
      </c>
      <c r="C5133" s="16" t="n">
        <f aca="false">IF(C5100&gt;0,C5122,C5078)</f>
        <v>300</v>
      </c>
    </row>
    <row r="5134" customFormat="false" ht="15" hidden="false" customHeight="false" outlineLevel="0" collapsed="false">
      <c r="A5134" s="3" t="s">
        <v>565</v>
      </c>
      <c r="C5134" s="16" t="n">
        <f aca="false">IF(C5101&gt;0,C5123,C5079)</f>
        <v>78.61</v>
      </c>
    </row>
    <row r="5135" customFormat="false" ht="15" hidden="false" customHeight="false" outlineLevel="0" collapsed="false">
      <c r="A5135" s="24" t="s">
        <v>571</v>
      </c>
      <c r="B5135" s="25"/>
      <c r="C5135" s="25"/>
      <c r="D5135" s="25"/>
      <c r="E5135" s="25"/>
      <c r="F5135" s="25"/>
      <c r="G5135" s="25"/>
      <c r="H5135" s="25"/>
      <c r="I5135" s="25"/>
      <c r="J5135" s="25"/>
      <c r="K5135" s="25"/>
    </row>
    <row r="5136" customFormat="false" ht="15" hidden="false" customHeight="false" outlineLevel="0" collapsed="false">
      <c r="A5136" s="3" t="s">
        <v>556</v>
      </c>
      <c r="C5136" s="21" t="n">
        <f aca="false">IF(C5092&gt;0,Assumptions!$C$17,C5081)</f>
        <v>99</v>
      </c>
    </row>
    <row r="5137" customFormat="false" ht="15" hidden="false" customHeight="false" outlineLevel="0" collapsed="false">
      <c r="A5137" s="3" t="s">
        <v>557</v>
      </c>
      <c r="C5137" s="21" t="n">
        <f aca="false">IF(C5093&gt;0,Assumptions!$C$17,C5082)</f>
        <v>99</v>
      </c>
    </row>
    <row r="5138" customFormat="false" ht="15" hidden="false" customHeight="false" outlineLevel="0" collapsed="false">
      <c r="A5138" s="3" t="s">
        <v>558</v>
      </c>
      <c r="C5138" s="21" t="n">
        <f aca="false">IF(C5094&gt;0,Assumptions!$C$17,C5083)</f>
        <v>99</v>
      </c>
    </row>
    <row r="5139" customFormat="false" ht="15" hidden="false" customHeight="false" outlineLevel="0" collapsed="false">
      <c r="A5139" s="3" t="s">
        <v>559</v>
      </c>
      <c r="C5139" s="21" t="n">
        <f aca="false">IF(C5095&gt;0,Assumptions!$C$17,C5084)</f>
        <v>2</v>
      </c>
    </row>
    <row r="5140" customFormat="false" ht="15" hidden="false" customHeight="false" outlineLevel="0" collapsed="false">
      <c r="A5140" s="3" t="s">
        <v>560</v>
      </c>
      <c r="C5140" s="21" t="n">
        <f aca="false">IF(C5096&gt;0,Assumptions!$C$17,C5085)</f>
        <v>2</v>
      </c>
    </row>
    <row r="5141" customFormat="false" ht="15" hidden="false" customHeight="false" outlineLevel="0" collapsed="false">
      <c r="A5141" s="3" t="s">
        <v>561</v>
      </c>
      <c r="C5141" s="21" t="n">
        <f aca="false">IF(C5097&gt;0,Assumptions!$C$17,C5086)</f>
        <v>2</v>
      </c>
    </row>
    <row r="5142" customFormat="false" ht="15" hidden="false" customHeight="false" outlineLevel="0" collapsed="false">
      <c r="A5142" s="3" t="s">
        <v>562</v>
      </c>
      <c r="C5142" s="21" t="n">
        <f aca="false">IF(C5098&gt;0,Assumptions!$C$17,C5087)</f>
        <v>2</v>
      </c>
    </row>
    <row r="5143" customFormat="false" ht="15" hidden="false" customHeight="false" outlineLevel="0" collapsed="false">
      <c r="A5143" s="3" t="s">
        <v>563</v>
      </c>
      <c r="C5143" s="21" t="n">
        <f aca="false">IF(C5099&gt;0,Assumptions!$C$17,C5088)</f>
        <v>2</v>
      </c>
    </row>
    <row r="5144" customFormat="false" ht="15" hidden="false" customHeight="false" outlineLevel="0" collapsed="false">
      <c r="A5144" s="3" t="s">
        <v>564</v>
      </c>
      <c r="C5144" s="21" t="n">
        <f aca="false">IF(C5100&gt;0,Assumptions!$C$17,C5089)</f>
        <v>2</v>
      </c>
    </row>
    <row r="5145" customFormat="false" ht="15" hidden="false" customHeight="false" outlineLevel="0" collapsed="false">
      <c r="A5145" s="3" t="s">
        <v>565</v>
      </c>
      <c r="C5145" s="21" t="n">
        <f aca="false">IF(C5101&gt;0,Assumptions!$C$17,C5090)</f>
        <v>3</v>
      </c>
    </row>
    <row r="5146" customFormat="false" ht="15" hidden="false" customHeight="false" outlineLevel="0" collapsed="false">
      <c r="A5146" s="24" t="s">
        <v>572</v>
      </c>
      <c r="B5146" s="25"/>
      <c r="C5146" s="25"/>
      <c r="D5146" s="25"/>
      <c r="E5146" s="25"/>
      <c r="F5146" s="25"/>
      <c r="G5146" s="25"/>
      <c r="H5146" s="25"/>
      <c r="I5146" s="25"/>
      <c r="J5146" s="25"/>
      <c r="K5146" s="25"/>
    </row>
    <row r="5147" customFormat="false" ht="15" hidden="false" customHeight="false" outlineLevel="0" collapsed="false">
      <c r="A5147" s="3" t="s">
        <v>556</v>
      </c>
      <c r="C5147" s="16" t="n">
        <f aca="false">SUMPRODUCT(($C$5136:$C$5145&lt;C5136)*$C$5125:$C$5134)</f>
        <v>2040.83594179826</v>
      </c>
    </row>
    <row r="5148" customFormat="false" ht="15" hidden="false" customHeight="false" outlineLevel="0" collapsed="false">
      <c r="A5148" s="3" t="s">
        <v>557</v>
      </c>
      <c r="C5148" s="16" t="n">
        <f aca="false">SUMPRODUCT(($C$5136:$C$5145&lt;C5137)*$C$5125:$C$5134)</f>
        <v>2040.83594179826</v>
      </c>
    </row>
    <row r="5149" customFormat="false" ht="15" hidden="false" customHeight="false" outlineLevel="0" collapsed="false">
      <c r="A5149" s="3" t="s">
        <v>558</v>
      </c>
      <c r="C5149" s="16" t="n">
        <f aca="false">SUMPRODUCT(($C$5136:$C$5145&lt;C5138)*$C$5125:$C$5134)</f>
        <v>2040.83594179826</v>
      </c>
    </row>
    <row r="5150" customFormat="false" ht="15" hidden="false" customHeight="false" outlineLevel="0" collapsed="false">
      <c r="A5150" s="3" t="s">
        <v>559</v>
      </c>
      <c r="C5150" s="16" t="n">
        <f aca="false">SUMPRODUCT(($C$5136:$C$5145&lt;C5139)*$C$5125:$C$5134)</f>
        <v>0</v>
      </c>
    </row>
    <row r="5151" customFormat="false" ht="15" hidden="false" customHeight="false" outlineLevel="0" collapsed="false">
      <c r="A5151" s="3" t="s">
        <v>560</v>
      </c>
      <c r="C5151" s="16" t="n">
        <f aca="false">SUMPRODUCT(($C$5136:$C$5145&lt;C5140)*$C$5125:$C$5134)</f>
        <v>0</v>
      </c>
    </row>
    <row r="5152" customFormat="false" ht="15" hidden="false" customHeight="false" outlineLevel="0" collapsed="false">
      <c r="A5152" s="3" t="s">
        <v>561</v>
      </c>
      <c r="C5152" s="16" t="n">
        <f aca="false">SUMPRODUCT(($C$5136:$C$5145&lt;C5141)*$C$5125:$C$5134)</f>
        <v>0</v>
      </c>
    </row>
    <row r="5153" customFormat="false" ht="15" hidden="false" customHeight="false" outlineLevel="0" collapsed="false">
      <c r="A5153" s="3" t="s">
        <v>562</v>
      </c>
      <c r="C5153" s="16" t="n">
        <f aca="false">SUMPRODUCT(($C$5136:$C$5145&lt;C5142)*$C$5125:$C$5134)</f>
        <v>0</v>
      </c>
    </row>
    <row r="5154" customFormat="false" ht="15" hidden="false" customHeight="false" outlineLevel="0" collapsed="false">
      <c r="A5154" s="3" t="s">
        <v>563</v>
      </c>
      <c r="C5154" s="16" t="n">
        <f aca="false">SUMPRODUCT(($C$5136:$C$5145&lt;C5143)*$C$5125:$C$5134)</f>
        <v>0</v>
      </c>
    </row>
    <row r="5155" customFormat="false" ht="15" hidden="false" customHeight="false" outlineLevel="0" collapsed="false">
      <c r="A5155" s="3" t="s">
        <v>564</v>
      </c>
      <c r="C5155" s="16" t="n">
        <f aca="false">SUMPRODUCT(($C$5136:$C$5145&lt;C5144)*$C$5125:$C$5134)</f>
        <v>0</v>
      </c>
    </row>
    <row r="5156" customFormat="false" ht="15" hidden="false" customHeight="false" outlineLevel="0" collapsed="false">
      <c r="A5156" s="3" t="s">
        <v>565</v>
      </c>
      <c r="C5156" s="16" t="n">
        <f aca="false">SUMPRODUCT(($C$5136:$C$5145&lt;C5145)*$C$5125:$C$5134)</f>
        <v>1962.22594179826</v>
      </c>
    </row>
    <row r="5157" customFormat="false" ht="15" hidden="false" customHeight="false" outlineLevel="0" collapsed="false">
      <c r="A5157" s="24" t="s">
        <v>573</v>
      </c>
      <c r="B5157" s="25"/>
      <c r="C5157" s="25"/>
      <c r="D5157" s="25"/>
      <c r="E5157" s="25"/>
      <c r="F5157" s="25"/>
      <c r="G5157" s="25"/>
      <c r="H5157" s="25"/>
      <c r="I5157" s="25"/>
      <c r="J5157" s="25"/>
      <c r="K5157" s="25"/>
    </row>
    <row r="5158" customFormat="false" ht="15" hidden="false" customHeight="false" outlineLevel="0" collapsed="false">
      <c r="A5158" s="3" t="s">
        <v>556</v>
      </c>
      <c r="C5158" s="16" t="n">
        <f aca="false">SUMPRODUCT(($C$5136:$C$5145=C5136)*$C$5125:$C$5134)</f>
        <v>0</v>
      </c>
    </row>
    <row r="5159" customFormat="false" ht="15" hidden="false" customHeight="false" outlineLevel="0" collapsed="false">
      <c r="A5159" s="3" t="s">
        <v>557</v>
      </c>
      <c r="C5159" s="16" t="n">
        <f aca="false">SUMPRODUCT(($C$5136:$C$5145=C5137)*$C$5125:$C$5134)</f>
        <v>0</v>
      </c>
    </row>
    <row r="5160" customFormat="false" ht="15" hidden="false" customHeight="false" outlineLevel="0" collapsed="false">
      <c r="A5160" s="3" t="s">
        <v>558</v>
      </c>
      <c r="C5160" s="16" t="n">
        <f aca="false">SUMPRODUCT(($C$5136:$C$5145=C5138)*$C$5125:$C$5134)</f>
        <v>0</v>
      </c>
    </row>
    <row r="5161" customFormat="false" ht="15" hidden="false" customHeight="false" outlineLevel="0" collapsed="false">
      <c r="A5161" s="3" t="s">
        <v>559</v>
      </c>
      <c r="C5161" s="16" t="n">
        <f aca="false">SUMPRODUCT(($C$5136:$C$5145=C5139)*$C$5125:$C$5134)</f>
        <v>1962.22594179826</v>
      </c>
    </row>
    <row r="5162" customFormat="false" ht="15" hidden="false" customHeight="false" outlineLevel="0" collapsed="false">
      <c r="A5162" s="3" t="s">
        <v>560</v>
      </c>
      <c r="C5162" s="16" t="n">
        <f aca="false">SUMPRODUCT(($C$5136:$C$5145=C5140)*$C$5125:$C$5134)</f>
        <v>1962.22594179826</v>
      </c>
    </row>
    <row r="5163" customFormat="false" ht="15" hidden="false" customHeight="false" outlineLevel="0" collapsed="false">
      <c r="A5163" s="3" t="s">
        <v>561</v>
      </c>
      <c r="C5163" s="16" t="n">
        <f aca="false">SUMPRODUCT(($C$5136:$C$5145=C5141)*$C$5125:$C$5134)</f>
        <v>1962.22594179826</v>
      </c>
    </row>
    <row r="5164" customFormat="false" ht="15" hidden="false" customHeight="false" outlineLevel="0" collapsed="false">
      <c r="A5164" s="3" t="s">
        <v>562</v>
      </c>
      <c r="C5164" s="16" t="n">
        <f aca="false">SUMPRODUCT(($C$5136:$C$5145=C5142)*$C$5125:$C$5134)</f>
        <v>1962.22594179826</v>
      </c>
    </row>
    <row r="5165" customFormat="false" ht="15" hidden="false" customHeight="false" outlineLevel="0" collapsed="false">
      <c r="A5165" s="3" t="s">
        <v>563</v>
      </c>
      <c r="C5165" s="16" t="n">
        <f aca="false">SUMPRODUCT(($C$5136:$C$5145=C5143)*$C$5125:$C$5134)</f>
        <v>1962.22594179826</v>
      </c>
    </row>
    <row r="5166" customFormat="false" ht="15" hidden="false" customHeight="false" outlineLevel="0" collapsed="false">
      <c r="A5166" s="3" t="s">
        <v>564</v>
      </c>
      <c r="C5166" s="16" t="n">
        <f aca="false">SUMPRODUCT(($C$5136:$C$5145=C5144)*$C$5125:$C$5134)</f>
        <v>1962.22594179826</v>
      </c>
    </row>
    <row r="5167" customFormat="false" ht="15" hidden="false" customHeight="false" outlineLevel="0" collapsed="false">
      <c r="A5167" s="3" t="s">
        <v>565</v>
      </c>
      <c r="C5167" s="16" t="n">
        <f aca="false">SUMPRODUCT(($C$5136:$C$5145=C5145)*$C$5125:$C$5134)</f>
        <v>78.61</v>
      </c>
    </row>
    <row r="5168" customFormat="false" ht="15" hidden="false" customHeight="false" outlineLevel="0" collapsed="false">
      <c r="A5168" s="24" t="s">
        <v>574</v>
      </c>
      <c r="B5168" s="25"/>
      <c r="C5168" s="25"/>
      <c r="D5168" s="25"/>
      <c r="E5168" s="25"/>
      <c r="F5168" s="25"/>
      <c r="G5168" s="25"/>
      <c r="H5168" s="25"/>
      <c r="I5168" s="25"/>
      <c r="J5168" s="25"/>
      <c r="K5168" s="25"/>
    </row>
    <row r="5169" customFormat="false" ht="15" hidden="false" customHeight="false" outlineLevel="0" collapsed="false">
      <c r="A5169" s="3" t="s">
        <v>556</v>
      </c>
      <c r="C5169" s="16" t="n">
        <f aca="false">IF(C5158=0,0,C5125/C5158*MAX(0,MIN(C5158,$C$5068-SUM($C$5103:$C$5112)-C5147)))</f>
        <v>0</v>
      </c>
    </row>
    <row r="5170" customFormat="false" ht="15" hidden="false" customHeight="false" outlineLevel="0" collapsed="false">
      <c r="A5170" s="3" t="s">
        <v>557</v>
      </c>
      <c r="C5170" s="16" t="n">
        <f aca="false">IF(C5159=0,0,C5126/C5159*MAX(0,MIN(C5159,$C$5068-SUM($C$5103:$C$5112)-C5148)))</f>
        <v>0</v>
      </c>
    </row>
    <row r="5171" customFormat="false" ht="15" hidden="false" customHeight="false" outlineLevel="0" collapsed="false">
      <c r="A5171" s="3" t="s">
        <v>558</v>
      </c>
      <c r="C5171" s="16" t="n">
        <f aca="false">IF(C5160=0,0,C5127/C5160*MAX(0,MIN(C5160,$C$5068-SUM($C$5103:$C$5112)-C5149)))</f>
        <v>0</v>
      </c>
    </row>
    <row r="5172" customFormat="false" ht="15" hidden="false" customHeight="false" outlineLevel="0" collapsed="false">
      <c r="A5172" s="3" t="s">
        <v>559</v>
      </c>
      <c r="C5172" s="16" t="n">
        <f aca="false">IF(C5161=0,0,C5128/C5161*MAX(0,MIN(C5161,$C$5068-SUM($C$5103:$C$5112)-C5150)))</f>
        <v>43.5578458404559</v>
      </c>
    </row>
    <row r="5173" customFormat="false" ht="15" hidden="false" customHeight="false" outlineLevel="0" collapsed="false">
      <c r="A5173" s="3" t="s">
        <v>560</v>
      </c>
      <c r="C5173" s="16" t="n">
        <f aca="false">IF(C5162=0,0,C5129/C5162*MAX(0,MIN(C5162,$C$5068-SUM($C$5103:$C$5112)-C5151)))</f>
        <v>368.6680959578</v>
      </c>
    </row>
    <row r="5174" customFormat="false" ht="15" hidden="false" customHeight="false" outlineLevel="0" collapsed="false">
      <c r="A5174" s="3" t="s">
        <v>561</v>
      </c>
      <c r="C5174" s="16" t="n">
        <f aca="false">IF(C5163=0,0,C5130/C5163*MAX(0,MIN(C5163,$C$5068-SUM($C$5103:$C$5112)-C5152)))</f>
        <v>350</v>
      </c>
    </row>
    <row r="5175" customFormat="false" ht="15" hidden="false" customHeight="false" outlineLevel="0" collapsed="false">
      <c r="A5175" s="3" t="s">
        <v>562</v>
      </c>
      <c r="C5175" s="16" t="n">
        <f aca="false">IF(C5164=0,0,C5131/C5164*MAX(0,MIN(C5164,$C$5068-SUM($C$5103:$C$5112)-C5153)))</f>
        <v>550</v>
      </c>
    </row>
    <row r="5176" customFormat="false" ht="15" hidden="false" customHeight="false" outlineLevel="0" collapsed="false">
      <c r="A5176" s="3" t="s">
        <v>563</v>
      </c>
      <c r="C5176" s="16" t="n">
        <f aca="false">IF(C5165=0,0,C5132/C5165*MAX(0,MIN(C5165,$C$5068-SUM($C$5103:$C$5112)-C5154)))</f>
        <v>350</v>
      </c>
    </row>
    <row r="5177" customFormat="false" ht="15" hidden="false" customHeight="false" outlineLevel="0" collapsed="false">
      <c r="A5177" s="3" t="s">
        <v>564</v>
      </c>
      <c r="C5177" s="16" t="n">
        <f aca="false">IF(C5166=0,0,C5133/C5166*MAX(0,MIN(C5166,$C$5068-SUM($C$5103:$C$5112)-C5155)))</f>
        <v>300</v>
      </c>
    </row>
    <row r="5178" customFormat="false" ht="15" hidden="false" customHeight="false" outlineLevel="0" collapsed="false">
      <c r="A5178" s="3" t="s">
        <v>565</v>
      </c>
      <c r="C5178" s="16" t="n">
        <f aca="false">IF(C5167=0,0,C5134/C5167*MAX(0,MIN(C5167,$C$5068-SUM($C$5103:$C$5112)-C5156)))</f>
        <v>78.61</v>
      </c>
    </row>
    <row r="5179" customFormat="false" ht="15" hidden="false" customHeight="false" outlineLevel="0" collapsed="false">
      <c r="A5179" s="24" t="s">
        <v>575</v>
      </c>
      <c r="B5179" s="25"/>
      <c r="C5179" s="25"/>
      <c r="D5179" s="25"/>
      <c r="E5179" s="25"/>
      <c r="F5179" s="25"/>
      <c r="G5179" s="25"/>
      <c r="H5179" s="25"/>
      <c r="I5179" s="25"/>
      <c r="J5179" s="25"/>
      <c r="K5179" s="25"/>
    </row>
    <row r="5180" customFormat="false" ht="15" hidden="false" customHeight="false" outlineLevel="0" collapsed="false">
      <c r="A5180" s="2" t="s">
        <v>556</v>
      </c>
      <c r="C5180" s="17" t="n">
        <f aca="false">C5103+C5169</f>
        <v>388</v>
      </c>
    </row>
    <row r="5181" customFormat="false" ht="15" hidden="false" customHeight="false" outlineLevel="0" collapsed="false">
      <c r="A5181" s="2" t="s">
        <v>557</v>
      </c>
      <c r="C5181" s="17" t="n">
        <f aca="false">C5104+C5170</f>
        <v>90</v>
      </c>
    </row>
    <row r="5182" customFormat="false" ht="15" hidden="false" customHeight="false" outlineLevel="0" collapsed="false">
      <c r="A5182" s="2" t="s">
        <v>558</v>
      </c>
      <c r="C5182" s="17" t="n">
        <f aca="false">C5105+C5171</f>
        <v>57.324</v>
      </c>
    </row>
    <row r="5183" customFormat="false" ht="15" hidden="false" customHeight="false" outlineLevel="0" collapsed="false">
      <c r="A5183" s="2" t="s">
        <v>559</v>
      </c>
      <c r="C5183" s="17" t="n">
        <f aca="false">C5106+C5172</f>
        <v>43.5578458404559</v>
      </c>
    </row>
    <row r="5184" customFormat="false" ht="15" hidden="false" customHeight="false" outlineLevel="0" collapsed="false">
      <c r="A5184" s="2" t="s">
        <v>560</v>
      </c>
      <c r="C5184" s="17" t="n">
        <f aca="false">C5107+C5173</f>
        <v>368.6680959578</v>
      </c>
    </row>
    <row r="5185" customFormat="false" ht="15" hidden="false" customHeight="false" outlineLevel="0" collapsed="false">
      <c r="A5185" s="2" t="s">
        <v>561</v>
      </c>
      <c r="C5185" s="17" t="n">
        <f aca="false">C5108+C5174</f>
        <v>350</v>
      </c>
    </row>
    <row r="5186" customFormat="false" ht="15" hidden="false" customHeight="false" outlineLevel="0" collapsed="false">
      <c r="A5186" s="2" t="s">
        <v>562</v>
      </c>
      <c r="C5186" s="17" t="n">
        <f aca="false">C5109+C5175</f>
        <v>550</v>
      </c>
    </row>
    <row r="5187" customFormat="false" ht="15" hidden="false" customHeight="false" outlineLevel="0" collapsed="false">
      <c r="A5187" s="2" t="s">
        <v>563</v>
      </c>
      <c r="C5187" s="17" t="n">
        <f aca="false">C5110+C5176</f>
        <v>350</v>
      </c>
    </row>
    <row r="5188" customFormat="false" ht="15" hidden="false" customHeight="false" outlineLevel="0" collapsed="false">
      <c r="A5188" s="2" t="s">
        <v>564</v>
      </c>
      <c r="C5188" s="17" t="n">
        <f aca="false">C5111+C5177</f>
        <v>300</v>
      </c>
    </row>
    <row r="5189" customFormat="false" ht="15" hidden="false" customHeight="false" outlineLevel="0" collapsed="false">
      <c r="A5189" s="2" t="s">
        <v>565</v>
      </c>
      <c r="C5189" s="17" t="n">
        <f aca="false">C5112+C5178</f>
        <v>78.61</v>
      </c>
    </row>
    <row r="5190" customFormat="false" ht="15" hidden="false" customHeight="false" outlineLevel="0" collapsed="false">
      <c r="A5190" s="24" t="s">
        <v>576</v>
      </c>
      <c r="B5190" s="25"/>
      <c r="C5190" s="25"/>
      <c r="D5190" s="25"/>
      <c r="E5190" s="25"/>
      <c r="F5190" s="25"/>
      <c r="G5190" s="25"/>
      <c r="H5190" s="25"/>
      <c r="I5190" s="25"/>
      <c r="J5190" s="25"/>
      <c r="K5190" s="25"/>
    </row>
    <row r="5191" customFormat="false" ht="15" hidden="false" customHeight="false" outlineLevel="0" collapsed="false">
      <c r="A5191" s="3" t="s">
        <v>556</v>
      </c>
      <c r="C5191" s="22" t="n">
        <f aca="false">IF(C5070=0,1,C5180/C5070)</f>
        <v>1</v>
      </c>
    </row>
    <row r="5192" customFormat="false" ht="15" hidden="false" customHeight="false" outlineLevel="0" collapsed="false">
      <c r="A5192" s="3" t="s">
        <v>557</v>
      </c>
      <c r="C5192" s="22" t="n">
        <f aca="false">IF(C5071=0,1,C5181/C5071)</f>
        <v>1</v>
      </c>
    </row>
    <row r="5193" customFormat="false" ht="15" hidden="false" customHeight="false" outlineLevel="0" collapsed="false">
      <c r="A5193" s="3" t="s">
        <v>558</v>
      </c>
      <c r="C5193" s="22" t="n">
        <f aca="false">IF(C5072=0,1,C5182/C5072)</f>
        <v>1</v>
      </c>
    </row>
    <row r="5194" customFormat="false" ht="15" hidden="false" customHeight="false" outlineLevel="0" collapsed="false">
      <c r="A5194" s="3" t="s">
        <v>559</v>
      </c>
      <c r="C5194" s="22" t="n">
        <f aca="false">IF(C5073=0,1,C5183/C5073)</f>
        <v>1</v>
      </c>
    </row>
    <row r="5195" customFormat="false" ht="15" hidden="false" customHeight="false" outlineLevel="0" collapsed="false">
      <c r="A5195" s="3" t="s">
        <v>560</v>
      </c>
      <c r="C5195" s="22" t="n">
        <f aca="false">IF(C5074=0,1,C5184/C5074)</f>
        <v>1</v>
      </c>
    </row>
    <row r="5196" customFormat="false" ht="15" hidden="false" customHeight="false" outlineLevel="0" collapsed="false">
      <c r="A5196" s="3" t="s">
        <v>561</v>
      </c>
      <c r="C5196" s="22" t="n">
        <f aca="false">IF(C5075=0,1,C5185/C5075)</f>
        <v>1</v>
      </c>
    </row>
    <row r="5197" customFormat="false" ht="15" hidden="false" customHeight="false" outlineLevel="0" collapsed="false">
      <c r="A5197" s="3" t="s">
        <v>562</v>
      </c>
      <c r="C5197" s="22" t="n">
        <f aca="false">IF(C5076=0,1,C5186/C5076)</f>
        <v>1</v>
      </c>
    </row>
    <row r="5198" customFormat="false" ht="15" hidden="false" customHeight="false" outlineLevel="0" collapsed="false">
      <c r="A5198" s="3" t="s">
        <v>563</v>
      </c>
      <c r="C5198" s="22" t="n">
        <f aca="false">IF(C5077=0,1,C5187/C5077)</f>
        <v>1</v>
      </c>
    </row>
    <row r="5199" customFormat="false" ht="15" hidden="false" customHeight="false" outlineLevel="0" collapsed="false">
      <c r="A5199" s="3" t="s">
        <v>564</v>
      </c>
      <c r="C5199" s="22" t="n">
        <f aca="false">IF(C5078=0,1,C5188/C5078)</f>
        <v>1</v>
      </c>
    </row>
    <row r="5200" customFormat="false" ht="15" hidden="false" customHeight="false" outlineLevel="0" collapsed="false">
      <c r="A5200" s="3" t="s">
        <v>565</v>
      </c>
      <c r="C5200" s="22" t="n">
        <f aca="false">IF(C5079=0,1,C5189/C5079)</f>
        <v>1</v>
      </c>
    </row>
    <row r="5201" customFormat="false" ht="15" hidden="false" customHeight="false" outlineLevel="0" collapsed="false">
      <c r="A5201" s="24" t="s">
        <v>577</v>
      </c>
      <c r="B5201" s="25"/>
      <c r="C5201" s="25"/>
      <c r="D5201" s="25"/>
      <c r="E5201" s="25"/>
      <c r="F5201" s="25"/>
      <c r="G5201" s="25"/>
      <c r="H5201" s="25"/>
      <c r="I5201" s="25"/>
      <c r="J5201" s="25"/>
      <c r="K5201" s="25"/>
    </row>
    <row r="5202" customFormat="false" ht="15" hidden="false" customHeight="false" outlineLevel="0" collapsed="false">
      <c r="A5202" s="3" t="s">
        <v>556</v>
      </c>
      <c r="C5202" s="16" t="n">
        <f aca="false">C5070-C5180</f>
        <v>0</v>
      </c>
    </row>
    <row r="5203" customFormat="false" ht="15" hidden="false" customHeight="false" outlineLevel="0" collapsed="false">
      <c r="A5203" s="3" t="s">
        <v>557</v>
      </c>
      <c r="C5203" s="16" t="n">
        <f aca="false">C5071-C5181</f>
        <v>0</v>
      </c>
    </row>
    <row r="5204" customFormat="false" ht="15" hidden="false" customHeight="false" outlineLevel="0" collapsed="false">
      <c r="A5204" s="3" t="s">
        <v>558</v>
      </c>
      <c r="C5204" s="16" t="n">
        <f aca="false">C5072-C5182</f>
        <v>0</v>
      </c>
    </row>
    <row r="5205" customFormat="false" ht="15" hidden="false" customHeight="false" outlineLevel="0" collapsed="false">
      <c r="A5205" s="3" t="s">
        <v>559</v>
      </c>
      <c r="C5205" s="16" t="n">
        <f aca="false">C5073-C5183</f>
        <v>0</v>
      </c>
    </row>
    <row r="5206" customFormat="false" ht="15" hidden="false" customHeight="false" outlineLevel="0" collapsed="false">
      <c r="A5206" s="3" t="s">
        <v>560</v>
      </c>
      <c r="C5206" s="16" t="n">
        <f aca="false">C5074-C5184</f>
        <v>0</v>
      </c>
    </row>
    <row r="5207" customFormat="false" ht="15" hidden="false" customHeight="false" outlineLevel="0" collapsed="false">
      <c r="A5207" s="3" t="s">
        <v>561</v>
      </c>
      <c r="C5207" s="16" t="n">
        <f aca="false">C5075-C5185</f>
        <v>0</v>
      </c>
    </row>
    <row r="5208" customFormat="false" ht="15" hidden="false" customHeight="false" outlineLevel="0" collapsed="false">
      <c r="A5208" s="3" t="s">
        <v>562</v>
      </c>
      <c r="C5208" s="16" t="n">
        <f aca="false">C5076-C5186</f>
        <v>0</v>
      </c>
    </row>
    <row r="5209" customFormat="false" ht="15" hidden="false" customHeight="false" outlineLevel="0" collapsed="false">
      <c r="A5209" s="3" t="s">
        <v>563</v>
      </c>
      <c r="C5209" s="16" t="n">
        <f aca="false">C5077-C5187</f>
        <v>0</v>
      </c>
    </row>
    <row r="5210" customFormat="false" ht="15" hidden="false" customHeight="false" outlineLevel="0" collapsed="false">
      <c r="A5210" s="3" t="s">
        <v>564</v>
      </c>
      <c r="C5210" s="16" t="n">
        <f aca="false">C5078-C5188</f>
        <v>0</v>
      </c>
    </row>
    <row r="5211" customFormat="false" ht="15" hidden="false" customHeight="false" outlineLevel="0" collapsed="false">
      <c r="A5211" s="3" t="s">
        <v>565</v>
      </c>
      <c r="C5211" s="16" t="n">
        <f aca="false">C5079-C5189</f>
        <v>0</v>
      </c>
    </row>
    <row r="5212" customFormat="false" ht="15" hidden="false" customHeight="false" outlineLevel="0" collapsed="false">
      <c r="A5212" s="24" t="s">
        <v>578</v>
      </c>
      <c r="B5212" s="25"/>
      <c r="C5212" s="25"/>
      <c r="D5212" s="25"/>
      <c r="E5212" s="25"/>
      <c r="F5212" s="25"/>
      <c r="G5212" s="25"/>
      <c r="H5212" s="25"/>
      <c r="I5212" s="25"/>
      <c r="J5212" s="25"/>
      <c r="K5212" s="25"/>
    </row>
    <row r="5213" customFormat="false" ht="15" hidden="false" customHeight="false" outlineLevel="0" collapsed="false">
      <c r="A5213" s="3" t="s">
        <v>556</v>
      </c>
      <c r="C5213" s="22" t="n">
        <f aca="false">IF(C5070=0,0,C5202/C5070)</f>
        <v>0</v>
      </c>
    </row>
    <row r="5214" customFormat="false" ht="15" hidden="false" customHeight="false" outlineLevel="0" collapsed="false">
      <c r="A5214" s="3" t="s">
        <v>557</v>
      </c>
      <c r="C5214" s="22" t="n">
        <f aca="false">IF(C5071=0,0,C5203/C5071)</f>
        <v>0</v>
      </c>
    </row>
    <row r="5215" customFormat="false" ht="15" hidden="false" customHeight="false" outlineLevel="0" collapsed="false">
      <c r="A5215" s="3" t="s">
        <v>558</v>
      </c>
      <c r="C5215" s="22" t="n">
        <f aca="false">IF(C5072=0,0,C5204/C5072)</f>
        <v>0</v>
      </c>
    </row>
    <row r="5216" customFormat="false" ht="15" hidden="false" customHeight="false" outlineLevel="0" collapsed="false">
      <c r="A5216" s="3" t="s">
        <v>559</v>
      </c>
      <c r="C5216" s="22" t="n">
        <f aca="false">IF(C5073=0,0,C5205/C5073)</f>
        <v>0</v>
      </c>
    </row>
    <row r="5217" customFormat="false" ht="15" hidden="false" customHeight="false" outlineLevel="0" collapsed="false">
      <c r="A5217" s="3" t="s">
        <v>560</v>
      </c>
      <c r="C5217" s="22" t="n">
        <f aca="false">IF(C5074=0,0,C5206/C5074)</f>
        <v>0</v>
      </c>
    </row>
    <row r="5218" customFormat="false" ht="15" hidden="false" customHeight="false" outlineLevel="0" collapsed="false">
      <c r="A5218" s="3" t="s">
        <v>561</v>
      </c>
      <c r="C5218" s="22" t="n">
        <f aca="false">IF(C5075=0,0,C5207/C5075)</f>
        <v>0</v>
      </c>
    </row>
    <row r="5219" customFormat="false" ht="15" hidden="false" customHeight="false" outlineLevel="0" collapsed="false">
      <c r="A5219" s="3" t="s">
        <v>562</v>
      </c>
      <c r="C5219" s="22" t="n">
        <f aca="false">IF(C5076=0,0,C5208/C5076)</f>
        <v>0</v>
      </c>
    </row>
    <row r="5220" customFormat="false" ht="15" hidden="false" customHeight="false" outlineLevel="0" collapsed="false">
      <c r="A5220" s="3" t="s">
        <v>563</v>
      </c>
      <c r="C5220" s="22" t="n">
        <f aca="false">IF(C5077=0,0,C5209/C5077)</f>
        <v>0</v>
      </c>
    </row>
    <row r="5221" customFormat="false" ht="15" hidden="false" customHeight="false" outlineLevel="0" collapsed="false">
      <c r="A5221" s="3" t="s">
        <v>564</v>
      </c>
      <c r="C5221" s="22" t="n">
        <f aca="false">IF(C5078=0,0,C5210/C5078)</f>
        <v>0</v>
      </c>
    </row>
    <row r="5222" customFormat="false" ht="15" hidden="false" customHeight="false" outlineLevel="0" collapsed="false">
      <c r="A5222" s="3" t="s">
        <v>565</v>
      </c>
      <c r="C5222" s="22" t="n">
        <f aca="false">IF(C5079=0,0,C5211/C5079)</f>
        <v>0</v>
      </c>
    </row>
    <row r="5223" customFormat="false" ht="15" hidden="false" customHeight="false" outlineLevel="0" collapsed="false">
      <c r="A5223" s="2" t="s">
        <v>579</v>
      </c>
      <c r="C5223" s="17" t="n">
        <f aca="false">MAX(0,$C$5068-SUM($C$5103:$C$5112)-SUM($C$5125:$C$5134))</f>
        <v>1044.49900169935</v>
      </c>
    </row>
    <row r="5224" customFormat="false" ht="15" hidden="false" customHeight="false" outlineLevel="0" collapsed="false">
      <c r="A5224" s="3" t="s">
        <v>597</v>
      </c>
      <c r="C5224" s="35" t="n">
        <f aca="false">MIN(C5067,100*CHOOSE(C5057,C5191,C5192,C5193,C5194,C5195,C5196,C5197,C5198,C5199,C5200))</f>
        <v>100</v>
      </c>
    </row>
    <row r="5225" customFormat="false" ht="15" hidden="false" customHeight="false" outlineLevel="0" collapsed="false">
      <c r="A5225" s="3" t="s">
        <v>598</v>
      </c>
      <c r="C5225" s="21" t="n">
        <f aca="false">IF(C4889=1,C5062+Assumptions!$C$40,C5061)</f>
        <v>3</v>
      </c>
    </row>
    <row r="5226" customFormat="false" ht="15" hidden="false" customHeight="false" outlineLevel="0" collapsed="false">
      <c r="A5226" s="24" t="s">
        <v>599</v>
      </c>
      <c r="B5226" s="25"/>
      <c r="C5226" s="25"/>
      <c r="D5226" s="25"/>
      <c r="E5226" s="25"/>
      <c r="F5226" s="25"/>
      <c r="G5226" s="25"/>
      <c r="H5226" s="25"/>
      <c r="I5226" s="25"/>
      <c r="J5226" s="25"/>
      <c r="K5226" s="25"/>
    </row>
    <row r="5227" customFormat="false" ht="15" hidden="false" customHeight="false" outlineLevel="0" collapsed="false">
      <c r="A5227" s="3" t="s">
        <v>600</v>
      </c>
      <c r="C5227" s="21" t="n">
        <f aca="false">COLUMN()-COLUMN($C$1)</f>
        <v>0</v>
      </c>
      <c r="D5227" s="21" t="n">
        <f aca="false">COLUMN()-COLUMN($C$1)</f>
        <v>1</v>
      </c>
      <c r="E5227" s="21" t="n">
        <f aca="false">COLUMN()-COLUMN($C$1)</f>
        <v>2</v>
      </c>
      <c r="F5227" s="21" t="n">
        <f aca="false">COLUMN()-COLUMN($C$1)</f>
        <v>3</v>
      </c>
      <c r="G5227" s="21" t="n">
        <f aca="false">COLUMN()-COLUMN($C$1)</f>
        <v>4</v>
      </c>
      <c r="H5227" s="21" t="n">
        <f aca="false">COLUMN()-COLUMN($C$1)</f>
        <v>5</v>
      </c>
      <c r="I5227" s="21" t="n">
        <f aca="false">COLUMN()-COLUMN($C$1)</f>
        <v>6</v>
      </c>
    </row>
    <row r="5228" customFormat="false" ht="15" hidden="false" customHeight="false" outlineLevel="0" collapsed="false">
      <c r="A5228" s="3" t="s">
        <v>601</v>
      </c>
      <c r="D5228" s="31" t="n">
        <f aca="false">CHOOSE($C$5057,G4637,G4650,G4663,G4676,G4689,G4702,G4715,G4728,G4741,G4754)</f>
        <v>0.0915</v>
      </c>
      <c r="E5228" s="31" t="n">
        <f aca="false">CHOOSE($C$5057,H4637,H4650,H4663,H4676,H4689,H4702,H4715,H4728,H4741,H4754)</f>
        <v>0.09</v>
      </c>
      <c r="F5228" s="31" t="n">
        <f aca="false">CHOOSE($C$5057,I4637,I4650,I4663,I4676,I4689,I4702,I4715,I4728,I4741,I4754)</f>
        <v>0.0875</v>
      </c>
      <c r="G5228" s="31" t="n">
        <f aca="false">CHOOSE($C$5057,J4637,J4650,J4663,J4676,J4689,J4702,J4715,J4728,J4741,J4754)</f>
        <v>0.0875</v>
      </c>
      <c r="H5228" s="31" t="n">
        <f aca="false">CHOOSE($C$5057,K4637,K4650,K4663,K4676,K4689,K4702,K4715,K4728,K4741,K4754)</f>
        <v>0.0875</v>
      </c>
    </row>
    <row r="5229" customFormat="false" ht="15" hidden="false" customHeight="false" outlineLevel="0" collapsed="false">
      <c r="A5229" s="3" t="s">
        <v>602</v>
      </c>
      <c r="D5229" s="16" t="n">
        <f aca="false">IF(D5227&lt;=$C$5066,$C$5058*D5228,0)</f>
        <v>9.15</v>
      </c>
      <c r="E5229" s="16" t="n">
        <f aca="false">IF(E5227&lt;=$C$5066,$C$5058*E5228,0)</f>
        <v>9</v>
      </c>
      <c r="F5229" s="16" t="n">
        <f aca="false">IF(F5227&lt;=$C$5066,$C$5058*F5228,0)</f>
        <v>8.75</v>
      </c>
      <c r="G5229" s="16" t="n">
        <f aca="false">IF(G5227&lt;=$C$5066,$C$5058*G5228,0)</f>
        <v>0</v>
      </c>
      <c r="H5229" s="16" t="n">
        <f aca="false">IF(H5227&lt;=$C$5066,$C$5058*H5228,0)</f>
        <v>0</v>
      </c>
    </row>
    <row r="5230" customFormat="false" ht="15" hidden="false" customHeight="false" outlineLevel="0" collapsed="false">
      <c r="A5230" s="3" t="s">
        <v>603</v>
      </c>
      <c r="D5230" s="16" t="n">
        <f aca="false">IF(AND($C$4889=0,D5227=$C$5061),$C$5058*$C$5224/100,0)+IF(AND($C$4889=1,D5227=$C$5225),$C$5064,0)</f>
        <v>0</v>
      </c>
      <c r="E5230" s="16" t="n">
        <f aca="false">IF(AND($C$4889=0,E5227=$C$5061),$C$5058*$C$5224/100,0)+IF(AND($C$4889=1,E5227=$C$5225),$C$5064,0)</f>
        <v>0</v>
      </c>
      <c r="F5230" s="16" t="n">
        <f aca="false">IF(AND($C$4889=0,F5227=$C$5061),$C$5058*$C$5224/100,0)+IF(AND($C$4889=1,F5227=$C$5225),$C$5064,0)</f>
        <v>100</v>
      </c>
      <c r="G5230" s="16" t="n">
        <f aca="false">IF(AND($C$4889=0,G5227=$C$5061),$C$5058*$C$5224/100,0)+IF(AND($C$4889=1,G5227=$C$5225),$C$5064,0)</f>
        <v>0</v>
      </c>
      <c r="H5230" s="16" t="n">
        <f aca="false">IF(AND($C$4889=0,H5227=$C$5061),$C$5058*$C$5224/100,0)+IF(AND($C$4889=1,H5227=$C$5225),$C$5064,0)</f>
        <v>0</v>
      </c>
      <c r="I5230" s="16" t="n">
        <f aca="false">IF(AND($C$4889=0,I5227=$C$5061),$C$5058*$C$5224/100,0)+IF(AND($C$4889=1,I5227=$C$5225),$C$5064,0)</f>
        <v>0</v>
      </c>
    </row>
    <row r="5231" customFormat="false" ht="15" hidden="false" customHeight="false" outlineLevel="0" collapsed="false">
      <c r="A5231" s="2" t="s">
        <v>604</v>
      </c>
      <c r="C5231" s="17" t="n">
        <f aca="false">-$C$5060</f>
        <v>-98.49</v>
      </c>
      <c r="D5231" s="17" t="n">
        <f aca="false">D5229+D5230</f>
        <v>9.15</v>
      </c>
      <c r="E5231" s="17" t="n">
        <f aca="false">E5229+E5230</f>
        <v>9</v>
      </c>
      <c r="F5231" s="17" t="n">
        <f aca="false">F5229+F5230</f>
        <v>108.75</v>
      </c>
      <c r="G5231" s="17" t="n">
        <f aca="false">G5229+G5230</f>
        <v>0</v>
      </c>
      <c r="H5231" s="17" t="n">
        <f aca="false">H5229+H5230</f>
        <v>0</v>
      </c>
      <c r="I5231" s="17" t="n">
        <f aca="false">I5229+I5230</f>
        <v>0</v>
      </c>
    </row>
    <row r="5232" customFormat="false" ht="15" hidden="false" customHeight="false" outlineLevel="0" collapsed="false">
      <c r="A5232" s="3" t="s">
        <v>605</v>
      </c>
      <c r="C5232" s="16" t="n">
        <f aca="false">SUM($C$5229:$I$5229)</f>
        <v>26.9</v>
      </c>
    </row>
    <row r="5233" customFormat="false" ht="15" hidden="false" customHeight="false" outlineLevel="0" collapsed="false">
      <c r="A5233" s="3" t="s">
        <v>606</v>
      </c>
      <c r="C5233" s="16" t="n">
        <f aca="false">SUM($C$5230:$I$5230)</f>
        <v>100</v>
      </c>
    </row>
    <row r="5234" customFormat="false" ht="15" hidden="false" customHeight="false" outlineLevel="0" collapsed="false">
      <c r="A5234" s="3" t="s">
        <v>607</v>
      </c>
      <c r="C5234" s="16" t="n">
        <f aca="false">C5232+C5233</f>
        <v>126.9</v>
      </c>
    </row>
    <row r="5235" customFormat="false" ht="15" hidden="false" customHeight="false" outlineLevel="0" collapsed="false">
      <c r="A5235" s="3" t="s">
        <v>608</v>
      </c>
      <c r="C5235" s="16" t="n">
        <f aca="false">C5233-C5058*C5059/100</f>
        <v>2</v>
      </c>
    </row>
    <row r="5236" customFormat="false" ht="15" hidden="false" customHeight="false" outlineLevel="0" collapsed="false">
      <c r="A5236" s="3" t="s">
        <v>609</v>
      </c>
      <c r="C5236" s="16" t="n">
        <f aca="false">C5234-C5060</f>
        <v>28.41</v>
      </c>
    </row>
    <row r="5237" customFormat="false" ht="15" hidden="false" customHeight="false" outlineLevel="0" collapsed="false">
      <c r="A5237" s="2" t="s">
        <v>484</v>
      </c>
      <c r="C5237" s="44" t="n">
        <f aca="false">C5234/C5060</f>
        <v>1.28845568077977</v>
      </c>
    </row>
    <row r="5238" customFormat="false" ht="15" hidden="false" customHeight="false" outlineLevel="0" collapsed="false">
      <c r="A5238" s="2" t="s">
        <v>483</v>
      </c>
      <c r="C5238" s="42" t="n">
        <f aca="false">IF(C5234&lt;=0,-1,IFERROR(IRR($C$5231:$I$5231,MAX(-0.9,C5237^(1/C5225)-1)),IRR($C$5231:$I$5231,0.1)))</f>
        <v>0.0958152816969216</v>
      </c>
    </row>
    <row r="5239" customFormat="false" ht="15" hidden="false" customHeight="false" outlineLevel="0" collapsed="false">
      <c r="A5239" s="3" t="s">
        <v>610</v>
      </c>
      <c r="C5239" s="32" t="n">
        <f aca="false">MAX($G$4833:$K$4833)</f>
        <v>8.92452737817217</v>
      </c>
    </row>
    <row r="5240" customFormat="false" ht="15" hidden="false" customHeight="false" outlineLevel="0" collapsed="false">
      <c r="A5240" s="3" t="s">
        <v>611</v>
      </c>
      <c r="C5240" s="32" t="n">
        <f aca="false">MIN($G$4834:$K$4834)</f>
        <v>1.49201300180641</v>
      </c>
    </row>
    <row r="5241" customFormat="false" ht="15" hidden="false" customHeight="false" outlineLevel="0" collapsed="false">
      <c r="A5241" s="3" t="s">
        <v>612</v>
      </c>
      <c r="C5241" s="16" t="n">
        <f aca="false">SUM($G$4621:$K$4621)</f>
        <v>-320.060861659562</v>
      </c>
    </row>
    <row r="5245" customFormat="false" ht="15" hidden="false" customHeight="false" outlineLevel="0" collapsed="false">
      <c r="A5245" s="9" t="s">
        <v>1138</v>
      </c>
      <c r="B5245" s="10"/>
      <c r="C5245" s="10"/>
      <c r="D5245" s="10"/>
      <c r="E5245" s="10"/>
      <c r="F5245" s="10"/>
      <c r="G5245" s="10"/>
      <c r="H5245" s="10"/>
      <c r="I5245" s="10"/>
      <c r="J5245" s="10"/>
      <c r="K5245" s="10"/>
    </row>
    <row r="5246" customFormat="false" ht="15" hidden="false" customHeight="false" outlineLevel="0" collapsed="false">
      <c r="A5246" s="3" t="s">
        <v>1126</v>
      </c>
      <c r="C5246" s="11" t="n">
        <v>2</v>
      </c>
    </row>
    <row r="5247" customFormat="false" ht="15" hidden="false" customHeight="false" outlineLevel="0" collapsed="false">
      <c r="A5247" s="3" t="s">
        <v>1127</v>
      </c>
      <c r="C5247" s="19" t="n">
        <v>0</v>
      </c>
    </row>
    <row r="5248" customFormat="false" ht="15" hidden="false" customHeight="false" outlineLevel="0" collapsed="false">
      <c r="A5248" s="3" t="s">
        <v>1128</v>
      </c>
      <c r="C5248" s="30" t="n">
        <f aca="false">Sensitivities!$A$30</f>
        <v>-0.04</v>
      </c>
    </row>
    <row r="5249" customFormat="false" ht="15" hidden="false" customHeight="false" outlineLevel="0" collapsed="false">
      <c r="A5249" s="3" t="s">
        <v>1129</v>
      </c>
      <c r="C5249" s="19" t="n">
        <v>0</v>
      </c>
    </row>
    <row r="5250" customFormat="false" ht="15" hidden="false" customHeight="false" outlineLevel="0" collapsed="false">
      <c r="A5250" s="3" t="s">
        <v>1130</v>
      </c>
      <c r="C5250" s="15" t="n">
        <v>0</v>
      </c>
    </row>
    <row r="5252" customFormat="false" ht="15" hidden="false" customHeight="false" outlineLevel="0" collapsed="false">
      <c r="A5252" s="24" t="s">
        <v>301</v>
      </c>
      <c r="B5252" s="25"/>
      <c r="C5252" s="25"/>
      <c r="D5252" s="25"/>
      <c r="E5252" s="25"/>
      <c r="F5252" s="25"/>
      <c r="G5252" s="25"/>
      <c r="H5252" s="25"/>
      <c r="I5252" s="25"/>
      <c r="J5252" s="25"/>
      <c r="K5252" s="25"/>
    </row>
    <row r="5253" customFormat="false" ht="15" hidden="false" customHeight="false" outlineLevel="0" collapsed="false">
      <c r="A5253" s="3" t="s">
        <v>302</v>
      </c>
      <c r="F5253" s="27" t="n">
        <f aca="false">Assumptions!$C$6</f>
        <v>2026</v>
      </c>
      <c r="G5253" s="21" t="n">
        <f aca="false">F5253+1</f>
        <v>2027</v>
      </c>
      <c r="H5253" s="21" t="n">
        <f aca="false">G5253+1</f>
        <v>2028</v>
      </c>
      <c r="I5253" s="21" t="n">
        <f aca="false">H5253+1</f>
        <v>2029</v>
      </c>
      <c r="J5253" s="21" t="n">
        <f aca="false">I5253+1</f>
        <v>2030</v>
      </c>
      <c r="K5253" s="21" t="n">
        <f aca="false">J5253+1</f>
        <v>2031</v>
      </c>
    </row>
    <row r="5254" customFormat="false" ht="15" hidden="false" customHeight="false" outlineLevel="0" collapsed="false">
      <c r="A5254" s="3" t="s">
        <v>303</v>
      </c>
      <c r="G5254" s="21" t="n">
        <f aca="false">G5253-Assumptions!$C$6</f>
        <v>1</v>
      </c>
      <c r="H5254" s="21" t="n">
        <f aca="false">H5253-Assumptions!$C$6</f>
        <v>2</v>
      </c>
      <c r="I5254" s="21" t="n">
        <f aca="false">I5253-Assumptions!$C$6</f>
        <v>3</v>
      </c>
      <c r="J5254" s="21" t="n">
        <f aca="false">J5253-Assumptions!$C$6</f>
        <v>4</v>
      </c>
      <c r="K5254" s="21" t="n">
        <f aca="false">K5253-Assumptions!$C$6</f>
        <v>5</v>
      </c>
    </row>
    <row r="5255" customFormat="false" ht="15" hidden="false" customHeight="false" outlineLevel="0" collapsed="false">
      <c r="A5255" s="3" t="s">
        <v>180</v>
      </c>
      <c r="G5255" s="22" t="n">
        <f aca="false">CHOOSE($C$5246,Assumptions!$G$79,Assumptions!$G$98,Assumptions!$G$117)+$C$5247</f>
        <v>-0.06</v>
      </c>
      <c r="H5255" s="22" t="n">
        <f aca="false">CHOOSE($C$5246,Assumptions!$H$79,Assumptions!$H$98,Assumptions!$H$117)+$C$5247</f>
        <v>-0.03</v>
      </c>
      <c r="I5255" s="22" t="n">
        <f aca="false">CHOOSE($C$5246,Assumptions!$I$79,Assumptions!$I$98,Assumptions!$I$117)+$C$5247</f>
        <v>0</v>
      </c>
      <c r="J5255" s="22" t="n">
        <f aca="false">CHOOSE($C$5246,Assumptions!$J$79,Assumptions!$J$98,Assumptions!$J$117)+$C$5247</f>
        <v>0.01</v>
      </c>
      <c r="K5255" s="22" t="n">
        <f aca="false">CHOOSE($C$5246,Assumptions!$K$79,Assumptions!$K$98,Assumptions!$K$117)+$C$5247</f>
        <v>0.01</v>
      </c>
    </row>
    <row r="5256" customFormat="false" ht="15" hidden="false" customHeight="false" outlineLevel="0" collapsed="false">
      <c r="A5256" s="3" t="s">
        <v>181</v>
      </c>
      <c r="G5256" s="22" t="n">
        <f aca="false">CHOOSE($C$5246,Assumptions!$G$80,Assumptions!$G$99,Assumptions!$G$118)</f>
        <v>0.573920660818678</v>
      </c>
      <c r="H5256" s="22" t="n">
        <f aca="false">CHOOSE($C$5246,Assumptions!$H$80,Assumptions!$H$99,Assumptions!$H$118)</f>
        <v>0.558920660818678</v>
      </c>
      <c r="I5256" s="22" t="n">
        <f aca="false">CHOOSE($C$5246,Assumptions!$I$80,Assumptions!$I$99,Assumptions!$I$118)</f>
        <v>0.558920660818678</v>
      </c>
      <c r="J5256" s="22" t="n">
        <f aca="false">CHOOSE($C$5246,Assumptions!$J$80,Assumptions!$J$99,Assumptions!$J$118)</f>
        <v>0.563920660818678</v>
      </c>
      <c r="K5256" s="22" t="n">
        <f aca="false">CHOOSE($C$5246,Assumptions!$K$80,Assumptions!$K$99,Assumptions!$K$118)</f>
        <v>0.568920660818678</v>
      </c>
    </row>
    <row r="5257" customFormat="false" ht="15" hidden="false" customHeight="false" outlineLevel="0" collapsed="false">
      <c r="A5257" s="3" t="s">
        <v>182</v>
      </c>
      <c r="G5257" s="22" t="n">
        <f aca="false">CHOOSE($C$5246,Assumptions!$G$81,Assumptions!$G$100,Assumptions!$G$119)+$C$5248</f>
        <v>0.46</v>
      </c>
      <c r="H5257" s="22" t="n">
        <f aca="false">CHOOSE($C$5246,Assumptions!$H$81,Assumptions!$H$100,Assumptions!$H$119)+$C$5248</f>
        <v>0.445</v>
      </c>
      <c r="I5257" s="22" t="n">
        <f aca="false">CHOOSE($C$5246,Assumptions!$I$81,Assumptions!$I$100,Assumptions!$I$119)+$C$5248</f>
        <v>0.445</v>
      </c>
      <c r="J5257" s="22" t="n">
        <f aca="false">CHOOSE($C$5246,Assumptions!$J$81,Assumptions!$J$100,Assumptions!$J$119)+$C$5248</f>
        <v>0.45</v>
      </c>
      <c r="K5257" s="22" t="n">
        <f aca="false">CHOOSE($C$5246,Assumptions!$K$81,Assumptions!$K$100,Assumptions!$K$119)+$C$5248</f>
        <v>0.455</v>
      </c>
    </row>
    <row r="5258" customFormat="false" ht="15" hidden="false" customHeight="false" outlineLevel="0" collapsed="false">
      <c r="A5258" s="24" t="s">
        <v>304</v>
      </c>
      <c r="B5258" s="25"/>
      <c r="C5258" s="25"/>
      <c r="D5258" s="25"/>
      <c r="E5258" s="25"/>
      <c r="F5258" s="25"/>
      <c r="G5258" s="25"/>
      <c r="H5258" s="25"/>
      <c r="I5258" s="25"/>
      <c r="J5258" s="25"/>
      <c r="K5258" s="25"/>
    </row>
    <row r="5259" customFormat="false" ht="15" hidden="false" customHeight="false" outlineLevel="0" collapsed="false">
      <c r="A5259" s="2" t="s">
        <v>275</v>
      </c>
      <c r="F5259" s="28" t="n">
        <f aca="false">'Historical Financials'!G25</f>
        <v>498.291</v>
      </c>
      <c r="G5259" s="17" t="n">
        <f aca="false">F5259*(1+G5255)</f>
        <v>468.39354</v>
      </c>
      <c r="H5259" s="17" t="n">
        <f aca="false">G5259*(1+H5255)</f>
        <v>454.3417338</v>
      </c>
      <c r="I5259" s="17" t="n">
        <f aca="false">H5259*(1+I5255)</f>
        <v>454.3417338</v>
      </c>
      <c r="J5259" s="17" t="n">
        <f aca="false">I5259*(1+J5255)</f>
        <v>458.885151138</v>
      </c>
      <c r="K5259" s="17" t="n">
        <f aca="false">J5259*(1+K5255)</f>
        <v>463.47400264938</v>
      </c>
    </row>
    <row r="5260" customFormat="false" ht="15" hidden="false" customHeight="false" outlineLevel="0" collapsed="false">
      <c r="A5260" s="3" t="s">
        <v>276</v>
      </c>
      <c r="G5260" s="16" t="n">
        <f aca="false">G5259*(1-G5256)</f>
        <v>199.57281</v>
      </c>
      <c r="H5260" s="16" t="n">
        <f aca="false">H5259*(1-H5256)</f>
        <v>200.400751707</v>
      </c>
      <c r="I5260" s="16" t="n">
        <f aca="false">I5259*(1-I5256)</f>
        <v>200.400751707</v>
      </c>
      <c r="J5260" s="16" t="n">
        <f aca="false">J5259*(1-J5256)</f>
        <v>200.11033346838</v>
      </c>
      <c r="K5260" s="16" t="n">
        <f aca="false">K5259*(1-K5256)</f>
        <v>199.794066789817</v>
      </c>
    </row>
    <row r="5261" customFormat="false" ht="15" hidden="false" customHeight="false" outlineLevel="0" collapsed="false">
      <c r="A5261" s="2" t="s">
        <v>277</v>
      </c>
      <c r="G5261" s="17" t="n">
        <f aca="false">G5259-G5260</f>
        <v>268.82073</v>
      </c>
      <c r="H5261" s="17" t="n">
        <f aca="false">H5259-H5260</f>
        <v>253.940982093</v>
      </c>
      <c r="I5261" s="17" t="n">
        <f aca="false">I5259-I5260</f>
        <v>253.940982093</v>
      </c>
      <c r="J5261" s="17" t="n">
        <f aca="false">J5259-J5260</f>
        <v>258.77481766962</v>
      </c>
      <c r="K5261" s="17" t="n">
        <f aca="false">K5259-K5260</f>
        <v>263.679935859563</v>
      </c>
    </row>
    <row r="5262" customFormat="false" ht="15" hidden="false" customHeight="false" outlineLevel="0" collapsed="false">
      <c r="A5262" s="3" t="s">
        <v>305</v>
      </c>
      <c r="G5262" s="16" t="n">
        <f aca="false">G5261-G5263</f>
        <v>53.3597016</v>
      </c>
      <c r="H5262" s="16" t="n">
        <f aca="false">H5261-H5263</f>
        <v>51.758910552</v>
      </c>
      <c r="I5262" s="16" t="n">
        <f aca="false">I5261-I5263</f>
        <v>51.758910552</v>
      </c>
      <c r="J5262" s="16" t="n">
        <f aca="false">J5261-J5263</f>
        <v>52.27649965752</v>
      </c>
      <c r="K5262" s="16" t="n">
        <f aca="false">K5261-K5263</f>
        <v>52.7992646540952</v>
      </c>
    </row>
    <row r="5263" customFormat="false" ht="15" hidden="false" customHeight="false" outlineLevel="0" collapsed="false">
      <c r="A5263" s="2" t="s">
        <v>306</v>
      </c>
      <c r="G5263" s="17" t="n">
        <f aca="false">G5259*G5257</f>
        <v>215.4610284</v>
      </c>
      <c r="H5263" s="17" t="n">
        <f aca="false">H5259*H5257</f>
        <v>202.182071541</v>
      </c>
      <c r="I5263" s="17" t="n">
        <f aca="false">I5259*I5257</f>
        <v>202.182071541</v>
      </c>
      <c r="J5263" s="17" t="n">
        <f aca="false">J5259*J5257</f>
        <v>206.4983180121</v>
      </c>
      <c r="K5263" s="17" t="n">
        <f aca="false">K5259*K5257</f>
        <v>210.880671205468</v>
      </c>
    </row>
    <row r="5264" customFormat="false" ht="15" hidden="false" customHeight="false" outlineLevel="0" collapsed="false">
      <c r="A5264" s="3" t="s">
        <v>307</v>
      </c>
      <c r="G5264" s="16" t="n">
        <f aca="false">G5259*'Historical Financials'!G30/'Historical Financials'!G25</f>
        <v>174.17542</v>
      </c>
      <c r="H5264" s="16" t="n">
        <f aca="false">H5259*'Historical Financials'!G30/'Historical Financials'!G25</f>
        <v>168.9501574</v>
      </c>
      <c r="I5264" s="16" t="n">
        <f aca="false">I5259*'Historical Financials'!G30/'Historical Financials'!G25</f>
        <v>168.9501574</v>
      </c>
      <c r="J5264" s="16" t="n">
        <f aca="false">J5259*'Historical Financials'!G30/'Historical Financials'!G25</f>
        <v>170.639658974</v>
      </c>
      <c r="K5264" s="16" t="n">
        <f aca="false">K5259*'Historical Financials'!G30/'Historical Financials'!G25</f>
        <v>172.34605556374</v>
      </c>
    </row>
    <row r="5265" customFormat="false" ht="15" hidden="false" customHeight="false" outlineLevel="0" collapsed="false">
      <c r="A5265" s="3" t="s">
        <v>308</v>
      </c>
      <c r="G5265" s="16" t="n">
        <f aca="false">G5259*'Historical Financials'!G31/'Historical Financials'!G25</f>
        <v>0</v>
      </c>
      <c r="H5265" s="16" t="n">
        <f aca="false">H5259*'Historical Financials'!G31/'Historical Financials'!G25</f>
        <v>0</v>
      </c>
      <c r="I5265" s="16" t="n">
        <f aca="false">I5259*'Historical Financials'!G31/'Historical Financials'!G25</f>
        <v>0</v>
      </c>
      <c r="J5265" s="16" t="n">
        <f aca="false">J5259*'Historical Financials'!G31/'Historical Financials'!G25</f>
        <v>0</v>
      </c>
      <c r="K5265" s="16" t="n">
        <f aca="false">K5259*'Historical Financials'!G31/'Historical Financials'!G25</f>
        <v>0</v>
      </c>
    </row>
    <row r="5266" customFormat="false" ht="15" hidden="false" customHeight="false" outlineLevel="0" collapsed="false">
      <c r="A5266" s="2" t="s">
        <v>309</v>
      </c>
      <c r="G5266" s="17" t="n">
        <f aca="false">G5263-G5264-G5265</f>
        <v>41.2856084</v>
      </c>
      <c r="H5266" s="17" t="n">
        <f aca="false">H5263-H5264-H5265</f>
        <v>33.231914141</v>
      </c>
      <c r="I5266" s="17" t="n">
        <f aca="false">I5263-I5264-I5265</f>
        <v>33.231914141</v>
      </c>
      <c r="J5266" s="17" t="n">
        <f aca="false">J5263-J5264-J5265</f>
        <v>35.8586590381</v>
      </c>
      <c r="K5266" s="17" t="n">
        <f aca="false">K5263-K5264-K5265</f>
        <v>38.5346156417279</v>
      </c>
    </row>
    <row r="5267" customFormat="false" ht="15" hidden="false" customHeight="false" outlineLevel="0" collapsed="false">
      <c r="A5267" s="3" t="s">
        <v>310</v>
      </c>
      <c r="G5267" s="16" t="n">
        <f aca="false">G5293+G5306+G5319+G5332+G5345+G5358+G5371+G5384+G5397+G5410</f>
        <v>187.3888354</v>
      </c>
      <c r="H5267" s="16" t="n">
        <f aca="false">H5293+H5306+H5319+H5332+H5345+H5358+H5371+H5384+H5397+H5410</f>
        <v>186.2509204</v>
      </c>
      <c r="I5267" s="16" t="n">
        <f aca="false">I5293+I5306+I5319+I5332+I5345+I5358+I5371+I5384+I5397+I5410</f>
        <v>184.194448268904</v>
      </c>
      <c r="J5267" s="16" t="n">
        <f aca="false">J5293+J5306+J5319+J5332+J5345+J5358+J5371+J5384+J5397+J5410</f>
        <v>183.784448268904</v>
      </c>
      <c r="K5267" s="16" t="n">
        <f aca="false">K5293+K5306+K5319+K5332+K5345+K5358+K5371+K5384+K5397+K5410</f>
        <v>183.374448268904</v>
      </c>
    </row>
    <row r="5268" customFormat="false" ht="15" hidden="false" customHeight="false" outlineLevel="0" collapsed="false">
      <c r="A5268" s="3" t="s">
        <v>311</v>
      </c>
      <c r="G5268" s="16" t="n">
        <f aca="false">G5294+G5307+G5320+G5333+G5346+G5359+G5372+G5385+G5398+G5411</f>
        <v>0</v>
      </c>
      <c r="H5268" s="16" t="n">
        <f aca="false">H5294+H5307+H5320+H5333+H5346+H5359+H5372+H5385+H5398+H5411</f>
        <v>0</v>
      </c>
      <c r="I5268" s="16" t="n">
        <f aca="false">I5294+I5307+I5320+I5333+I5346+I5359+I5372+I5385+I5398+I5411</f>
        <v>0</v>
      </c>
      <c r="J5268" s="16" t="n">
        <f aca="false">J5294+J5307+J5320+J5333+J5346+J5359+J5372+J5385+J5398+J5411</f>
        <v>0</v>
      </c>
      <c r="K5268" s="16" t="n">
        <f aca="false">K5294+K5307+K5320+K5333+K5346+K5359+K5372+K5385+K5398+K5411</f>
        <v>0</v>
      </c>
    </row>
    <row r="5269" customFormat="false" ht="15" hidden="false" customHeight="false" outlineLevel="0" collapsed="false">
      <c r="A5269" s="3" t="s">
        <v>283</v>
      </c>
      <c r="G5269" s="16" t="n">
        <f aca="false">G5267+G5268</f>
        <v>187.3888354</v>
      </c>
      <c r="H5269" s="16" t="n">
        <f aca="false">H5267+H5268</f>
        <v>186.2509204</v>
      </c>
      <c r="I5269" s="16" t="n">
        <f aca="false">I5267+I5268</f>
        <v>184.194448268904</v>
      </c>
      <c r="J5269" s="16" t="n">
        <f aca="false">J5267+J5268</f>
        <v>183.784448268904</v>
      </c>
      <c r="K5269" s="16" t="n">
        <f aca="false">K5267+K5268</f>
        <v>183.374448268904</v>
      </c>
    </row>
    <row r="5270" customFormat="false" ht="15" hidden="false" customHeight="false" outlineLevel="0" collapsed="false">
      <c r="A5270" s="2" t="s">
        <v>284</v>
      </c>
      <c r="G5270" s="17" t="n">
        <f aca="false">G5266-G5269</f>
        <v>-146.103227</v>
      </c>
      <c r="H5270" s="17" t="n">
        <f aca="false">H5266-H5269</f>
        <v>-153.019006259</v>
      </c>
      <c r="I5270" s="17" t="n">
        <f aca="false">I5266-I5269</f>
        <v>-150.962534127904</v>
      </c>
      <c r="J5270" s="17" t="n">
        <f aca="false">J5266-J5269</f>
        <v>-147.925789230803</v>
      </c>
      <c r="K5270" s="17" t="n">
        <f aca="false">K5266-K5269</f>
        <v>-144.839832627176</v>
      </c>
    </row>
    <row r="5271" customFormat="false" ht="15" hidden="false" customHeight="false" outlineLevel="0" collapsed="false">
      <c r="A5271" s="3" t="s">
        <v>312</v>
      </c>
      <c r="G5271" s="16" t="n">
        <f aca="false">MAX(0,G5270)*Assumptions!$C$9</f>
        <v>0</v>
      </c>
      <c r="H5271" s="16" t="n">
        <f aca="false">MAX(0,H5270)*Assumptions!$C$9</f>
        <v>0</v>
      </c>
      <c r="I5271" s="16" t="n">
        <f aca="false">MAX(0,I5270)*Assumptions!$C$9</f>
        <v>0</v>
      </c>
      <c r="J5271" s="16" t="n">
        <f aca="false">MAX(0,J5270)*Assumptions!$C$9</f>
        <v>0</v>
      </c>
      <c r="K5271" s="16" t="n">
        <f aca="false">MAX(0,K5270)*Assumptions!$C$9</f>
        <v>0</v>
      </c>
    </row>
    <row r="5272" customFormat="false" ht="15" hidden="false" customHeight="false" outlineLevel="0" collapsed="false">
      <c r="A5272" s="2" t="s">
        <v>313</v>
      </c>
      <c r="G5272" s="17" t="n">
        <f aca="false">G5270-G5271</f>
        <v>-146.103227</v>
      </c>
      <c r="H5272" s="17" t="n">
        <f aca="false">H5270-H5271</f>
        <v>-153.019006259</v>
      </c>
      <c r="I5272" s="17" t="n">
        <f aca="false">I5270-I5271</f>
        <v>-150.962534127904</v>
      </c>
      <c r="J5272" s="17" t="n">
        <f aca="false">J5270-J5271</f>
        <v>-147.925789230803</v>
      </c>
      <c r="K5272" s="17" t="n">
        <f aca="false">K5270-K5271</f>
        <v>-144.839832627176</v>
      </c>
    </row>
    <row r="5273" customFormat="false" ht="15" hidden="false" customHeight="false" outlineLevel="0" collapsed="false">
      <c r="A5273" s="24" t="s">
        <v>314</v>
      </c>
      <c r="B5273" s="25"/>
      <c r="C5273" s="25"/>
      <c r="D5273" s="25"/>
      <c r="E5273" s="25"/>
      <c r="F5273" s="25"/>
      <c r="G5273" s="25"/>
      <c r="H5273" s="25"/>
      <c r="I5273" s="25"/>
      <c r="J5273" s="25"/>
      <c r="K5273" s="25"/>
    </row>
    <row r="5274" customFormat="false" ht="15" hidden="false" customHeight="false" outlineLevel="0" collapsed="false">
      <c r="A5274" s="3" t="s">
        <v>184</v>
      </c>
      <c r="G5274" s="16" t="n">
        <f aca="false">G5259*CHOOSE($C$5246,Assumptions!$C$83,Assumptions!$C$102,Assumptions!$C$121)</f>
        <v>84.3108372</v>
      </c>
      <c r="H5274" s="16" t="n">
        <f aca="false">H5259*CHOOSE($C$5246,Assumptions!$C$83,Assumptions!$C$102,Assumptions!$C$121)</f>
        <v>81.781512084</v>
      </c>
      <c r="I5274" s="16" t="n">
        <f aca="false">I5259*CHOOSE($C$5246,Assumptions!$C$83,Assumptions!$C$102,Assumptions!$C$121)</f>
        <v>81.781512084</v>
      </c>
      <c r="J5274" s="16" t="n">
        <f aca="false">J5259*CHOOSE($C$5246,Assumptions!$C$83,Assumptions!$C$102,Assumptions!$C$121)</f>
        <v>82.59932720484</v>
      </c>
      <c r="K5274" s="16" t="n">
        <f aca="false">K5259*CHOOSE($C$5246,Assumptions!$C$83,Assumptions!$C$102,Assumptions!$C$121)</f>
        <v>83.4253204768884</v>
      </c>
    </row>
    <row r="5275" customFormat="false" ht="15" hidden="false" customHeight="false" outlineLevel="0" collapsed="false">
      <c r="A5275" s="3" t="s">
        <v>315</v>
      </c>
      <c r="G5275" s="16" t="n">
        <f aca="false">CHOOSE($C$5246,Assumptions!$C$84,Assumptions!$C$103,Assumptions!$C$122)*(G5259-F5259)+CHOOSE($C$5246,Assumptions!$C$85,Assumptions!$C$104,Assumptions!$C$123)*G5259</f>
        <v>23.419677</v>
      </c>
      <c r="H5275" s="16" t="n">
        <f aca="false">CHOOSE($C$5246,Assumptions!$C$84,Assumptions!$C$103,Assumptions!$C$122)*(H5259-G5259)+CHOOSE($C$5246,Assumptions!$C$85,Assumptions!$C$104,Assumptions!$C$123)*H5259</f>
        <v>22.71708669</v>
      </c>
      <c r="I5275" s="16" t="n">
        <f aca="false">CHOOSE($C$5246,Assumptions!$C$84,Assumptions!$C$103,Assumptions!$C$122)*(I5259-H5259)+CHOOSE($C$5246,Assumptions!$C$85,Assumptions!$C$104,Assumptions!$C$123)*I5259</f>
        <v>22.71708669</v>
      </c>
      <c r="J5275" s="16" t="n">
        <f aca="false">CHOOSE($C$5246,Assumptions!$C$84,Assumptions!$C$103,Assumptions!$C$122)*(J5259-I5259)+CHOOSE($C$5246,Assumptions!$C$85,Assumptions!$C$104,Assumptions!$C$123)*J5259</f>
        <v>22.9442575569</v>
      </c>
      <c r="K5275" s="16" t="n">
        <f aca="false">CHOOSE($C$5246,Assumptions!$C$84,Assumptions!$C$103,Assumptions!$C$122)*(K5259-J5259)+CHOOSE($C$5246,Assumptions!$C$85,Assumptions!$C$104,Assumptions!$C$123)*K5259</f>
        <v>23.173700132469</v>
      </c>
    </row>
    <row r="5276" customFormat="false" ht="15" hidden="false" customHeight="false" outlineLevel="0" collapsed="false">
      <c r="A5276" s="2" t="s">
        <v>316</v>
      </c>
      <c r="G5276" s="17" t="n">
        <f aca="false">G5272+G5264+G5265+G5268-G5274-G5275</f>
        <v>-79.6583212</v>
      </c>
      <c r="H5276" s="17" t="n">
        <f aca="false">H5272+H5264+H5265+H5268-H5274-H5275</f>
        <v>-88.567447633</v>
      </c>
      <c r="I5276" s="17" t="n">
        <f aca="false">I5272+I5264+I5265+I5268-I5274-I5275</f>
        <v>-86.5109755019035</v>
      </c>
      <c r="J5276" s="17" t="n">
        <f aca="false">J5272+J5264+J5265+J5268-J5274-J5275</f>
        <v>-82.8297150185435</v>
      </c>
      <c r="K5276" s="17" t="n">
        <f aca="false">K5272+K5264+K5265+K5268-K5274-K5275</f>
        <v>-79.092797672793</v>
      </c>
    </row>
    <row r="5278" customFormat="false" ht="15" hidden="false" customHeight="false" outlineLevel="0" collapsed="false">
      <c r="A5278" s="24" t="s">
        <v>318</v>
      </c>
      <c r="B5278" s="25"/>
      <c r="C5278" s="25"/>
      <c r="D5278" s="25"/>
      <c r="E5278" s="25"/>
      <c r="F5278" s="25"/>
      <c r="G5278" s="25"/>
      <c r="H5278" s="25"/>
      <c r="I5278" s="25"/>
      <c r="J5278" s="25"/>
      <c r="K5278" s="25"/>
    </row>
    <row r="5279" customFormat="false" ht="15" hidden="false" customHeight="false" outlineLevel="0" collapsed="false">
      <c r="A5279" s="3" t="s">
        <v>319</v>
      </c>
      <c r="G5279" s="30" t="n">
        <f aca="false">Assumptions!$G$53</f>
        <v>0.039</v>
      </c>
      <c r="H5279" s="30" t="n">
        <f aca="false">Assumptions!$H$53</f>
        <v>0.0375</v>
      </c>
      <c r="I5279" s="30" t="n">
        <f aca="false">Assumptions!$I$53</f>
        <v>0.035</v>
      </c>
      <c r="J5279" s="30" t="n">
        <f aca="false">Assumptions!$J$53</f>
        <v>0.035</v>
      </c>
      <c r="K5279" s="30" t="n">
        <f aca="false">Assumptions!$K$53</f>
        <v>0.035</v>
      </c>
    </row>
    <row r="5280" customFormat="false" ht="15" hidden="false" customHeight="false" outlineLevel="0" collapsed="false">
      <c r="A5280" s="3" t="s">
        <v>320</v>
      </c>
      <c r="C5280" s="31" t="n">
        <f aca="false">CHOOSE($C$5246,Assumptions!$C$86,Assumptions!$C$105,Assumptions!$C$124)+$C$5249</f>
        <v>0.015</v>
      </c>
    </row>
    <row r="5281" customFormat="false" ht="15" hidden="false" customHeight="false" outlineLevel="0" collapsed="false">
      <c r="A5281" s="3" t="s">
        <v>321</v>
      </c>
      <c r="C5281" s="31" t="n">
        <f aca="false">CHOOSE($C$5246,Assumptions!$C$87,Assumptions!$C$106,Assumptions!$C$125)</f>
        <v>0.1</v>
      </c>
    </row>
    <row r="5282" customFormat="false" ht="15" hidden="false" customHeight="false" outlineLevel="0" collapsed="false">
      <c r="A5282" s="3" t="s">
        <v>322</v>
      </c>
      <c r="C5282" s="32" t="n">
        <f aca="false">CHOOSE($C$5246,Assumptions!$C$88,Assumptions!$C$107,Assumptions!$C$126)</f>
        <v>9.5</v>
      </c>
    </row>
    <row r="5283" customFormat="false" ht="15" hidden="false" customHeight="false" outlineLevel="0" collapsed="false">
      <c r="A5283" s="3" t="s">
        <v>323</v>
      </c>
      <c r="C5283" s="32" t="n">
        <f aca="false">CHOOSE($C$5246,Assumptions!$C$89,Assumptions!$C$108,Assumptions!$C$127)</f>
        <v>1.5</v>
      </c>
    </row>
    <row r="5284" customFormat="false" ht="15" hidden="false" customHeight="false" outlineLevel="0" collapsed="false">
      <c r="A5284" s="3" t="s">
        <v>324</v>
      </c>
      <c r="G5284" s="16" t="n">
        <f aca="false">G5289+G5302+G5315+G5328+G5341+G5354+G5367+G5380+G5393+G5406</f>
        <v>2625.934</v>
      </c>
      <c r="H5284" s="16" t="n">
        <f aca="false">H5289+H5302+H5315+H5328+H5341+H5354+H5367+H5380+H5393+H5406</f>
        <v>2621.934</v>
      </c>
      <c r="I5284" s="16" t="n">
        <f aca="false">I5289+I5302+I5315+I5328+I5341+I5354+I5367+I5380+I5393+I5406</f>
        <v>2606.289768833</v>
      </c>
      <c r="J5284" s="16" t="n">
        <f aca="false">J5289+J5302+J5315+J5328+J5341+J5354+J5367+J5380+J5393+J5406</f>
        <v>2602.289768833</v>
      </c>
      <c r="K5284" s="16" t="n">
        <f aca="false">K5289+K5302+K5315+K5328+K5341+K5354+K5367+K5380+K5393+K5406</f>
        <v>2598.289768833</v>
      </c>
    </row>
    <row r="5285" customFormat="false" ht="15" hidden="false" customHeight="false" outlineLevel="0" collapsed="false">
      <c r="A5285" s="3" t="s">
        <v>325</v>
      </c>
      <c r="G5285" s="16" t="n">
        <f aca="false">F5477</f>
        <v>37.87</v>
      </c>
      <c r="H5285" s="16" t="n">
        <f aca="false">G5477</f>
        <v>104.2116788</v>
      </c>
      <c r="I5285" s="16" t="n">
        <f aca="false">H5477</f>
        <v>0</v>
      </c>
      <c r="J5285" s="16" t="n">
        <f aca="false">I5477</f>
        <v>-90.5109755019035</v>
      </c>
      <c r="K5285" s="16" t="n">
        <f aca="false">J5477</f>
        <v>-177.340690520447</v>
      </c>
    </row>
    <row r="5286" customFormat="false" ht="15" hidden="false" customHeight="false" outlineLevel="0" collapsed="false">
      <c r="A5286" s="3" t="s">
        <v>326</v>
      </c>
      <c r="G5286" s="16" t="n">
        <f aca="false">G5289*IF(G5290=1,$C$5281,IF(Assumptions!$I$57=1,MAX(G5279,Assumptions!$G$57)+Assumptions!$F$57+$C$5280,Assumptions!$E$57))+G5302*IF(G5303=1,$C$5281,IF(Assumptions!$I$58=1,MAX(G5279,Assumptions!$G$58)+Assumptions!$F$58+$C$5280,Assumptions!$E$58))+G5315*IF(G5316=1,$C$5281,IF(Assumptions!$I$59=1,MAX(G5279,Assumptions!$G$59)+Assumptions!$F$59+$C$5280,Assumptions!$E$59))+G5328*IF(G5329=1,$C$5281,IF(Assumptions!$I$60=1,MAX(G5279,Assumptions!$G$60)+Assumptions!$F$60+$C$5280,Assumptions!$E$60))+G5341*IF(G5342=1,$C$5281,IF(Assumptions!$I$61=1,MAX(G5279,Assumptions!$G$61)+Assumptions!$F$61+$C$5280,Assumptions!$E$61))+G5354*IF(G5355=1,$C$5281,IF(Assumptions!$I$62=1,MAX(G5279,Assumptions!$G$62)+Assumptions!$F$62+$C$5280,Assumptions!$E$62))+G5367*IF(G5368=1,$C$5281,IF(Assumptions!$I$63=1,MAX(G5279,Assumptions!$G$63)+Assumptions!$F$63+$C$5280,Assumptions!$E$63))+G5380*IF(G5381=1,$C$5281,IF(Assumptions!$I$64=1,MAX(G5279,Assumptions!$G$64)+Assumptions!$F$64+$C$5280,Assumptions!$E$64))+G5393*IF(G5394=1,$C$5281,IF(Assumptions!$I$65=1,MAX(G5279,Assumptions!$G$65)+Assumptions!$F$65+$C$5280,Assumptions!$E$65))+G5406*IF(G5407=1,$C$5281,IF(Assumptions!$I$66=1,MAX(G5279,Assumptions!$G$66)+Assumptions!$F$66+$C$5280,Assumptions!$E$66))</f>
        <v>187.3888354</v>
      </c>
      <c r="H5286" s="16" t="n">
        <f aca="false">H5289*IF(OR(H5290=1,G5599=1),$C$5281,IF(Assumptions!$I$57=1,MAX(H5279,Assumptions!$G$57)+Assumptions!$F$57+$C$5280,Assumptions!$E$57))+H5302*IF(OR(H5303=1,G5600=1),$C$5281,IF(Assumptions!$I$58=1,MAX(H5279,Assumptions!$G$58)+Assumptions!$F$58+$C$5280,Assumptions!$E$58))+H5315*IF(OR(H5316=1,G5601=1),$C$5281,IF(Assumptions!$I$59=1,MAX(H5279,Assumptions!$G$59)+Assumptions!$F$59+$C$5280,Assumptions!$E$59))+H5328*IF(OR(H5329=1,G5602=1),$C$5281,IF(Assumptions!$I$60=1,MAX(H5279,Assumptions!$G$60)+Assumptions!$F$60+$C$5280,Assumptions!$E$60))+H5341*IF(OR(H5342=1,G5603=1),$C$5281,IF(Assumptions!$I$61=1,MAX(H5279,Assumptions!$G$61)+Assumptions!$F$61+$C$5280,Assumptions!$E$61))+H5354*IF(OR(H5355=1,G5604=1),$C$5281,IF(Assumptions!$I$62=1,MAX(H5279,Assumptions!$G$62)+Assumptions!$F$62+$C$5280,Assumptions!$E$62))+H5367*IF(OR(H5368=1,G5605=1),$C$5281,IF(Assumptions!$I$63=1,MAX(H5279,Assumptions!$G$63)+Assumptions!$F$63+$C$5280,Assumptions!$E$63))+H5380*IF(OR(H5381=1,G5606=1),$C$5281,IF(Assumptions!$I$64=1,MAX(H5279,Assumptions!$G$64)+Assumptions!$F$64+$C$5280,Assumptions!$E$64))+H5393*IF(OR(H5394=1,G5607=1),$C$5281,IF(Assumptions!$I$65=1,MAX(H5279,Assumptions!$G$65)+Assumptions!$F$65+$C$5280,Assumptions!$E$65))+H5406*IF(OR(H5407=1,G5608=1),$C$5281,IF(Assumptions!$I$66=1,MAX(H5279,Assumptions!$G$66)+Assumptions!$F$66+$C$5280,Assumptions!$E$66))</f>
        <v>219.4259204</v>
      </c>
      <c r="I5286" s="16" t="n">
        <f aca="false">I5289*IF(OR(I5290=1,H5599=1),$C$5281,IF(Assumptions!$I$57=1,MAX(I5279,Assumptions!$G$57)+Assumptions!$F$57+$C$5280,Assumptions!$E$57))+I5302*IF(OR(I5303=1,H5600=1),$C$5281,IF(Assumptions!$I$58=1,MAX(I5279,Assumptions!$G$58)+Assumptions!$F$58+$C$5280,Assumptions!$E$58))+I5315*IF(OR(I5316=1,H5601=1),$C$5281,IF(Assumptions!$I$59=1,MAX(I5279,Assumptions!$G$59)+Assumptions!$F$59+$C$5280,Assumptions!$E$59))+I5328*IF(OR(I5329=1,H5602=1),$C$5281,IF(Assumptions!$I$60=1,MAX(I5279,Assumptions!$G$60)+Assumptions!$F$60+$C$5280,Assumptions!$E$60))+I5341*IF(OR(I5342=1,H5603=1),$C$5281,IF(Assumptions!$I$61=1,MAX(I5279,Assumptions!$G$61)+Assumptions!$F$61+$C$5280,Assumptions!$E$61))+I5354*IF(OR(I5355=1,H5604=1),$C$5281,IF(Assumptions!$I$62=1,MAX(I5279,Assumptions!$G$62)+Assumptions!$F$62+$C$5280,Assumptions!$E$62))+I5367*IF(OR(I5368=1,H5605=1),$C$5281,IF(Assumptions!$I$63=1,MAX(I5279,Assumptions!$G$63)+Assumptions!$F$63+$C$5280,Assumptions!$E$63))+I5380*IF(OR(I5381=1,H5606=1),$C$5281,IF(Assumptions!$I$64=1,MAX(I5279,Assumptions!$G$64)+Assumptions!$F$64+$C$5280,Assumptions!$E$64))+I5393*IF(OR(I5394=1,H5607=1),$C$5281,IF(Assumptions!$I$65=1,MAX(I5279,Assumptions!$G$65)+Assumptions!$F$65+$C$5280,Assumptions!$E$65))+I5406*IF(OR(I5407=1,H5608=1),$C$5281,IF(Assumptions!$I$66=1,MAX(I5279,Assumptions!$G$66)+Assumptions!$F$66+$C$5280,Assumptions!$E$66))</f>
        <v>190.381948268904</v>
      </c>
      <c r="J5286" s="16" t="n">
        <f aca="false">J5289*IF(OR(J5290=1,I5599=1),$C$5281,IF(Assumptions!$I$57=1,MAX(J5279,Assumptions!$G$57)+Assumptions!$F$57+$C$5280,Assumptions!$E$57))+J5302*IF(OR(J5303=1,I5600=1),$C$5281,IF(Assumptions!$I$58=1,MAX(J5279,Assumptions!$G$58)+Assumptions!$F$58+$C$5280,Assumptions!$E$58))+J5315*IF(OR(J5316=1,I5601=1),$C$5281,IF(Assumptions!$I$59=1,MAX(J5279,Assumptions!$G$59)+Assumptions!$F$59+$C$5280,Assumptions!$E$59))+J5328*IF(OR(J5329=1,I5602=1),$C$5281,IF(Assumptions!$I$60=1,MAX(J5279,Assumptions!$G$60)+Assumptions!$F$60+$C$5280,Assumptions!$E$60))+J5341*IF(OR(J5342=1,I5603=1),$C$5281,IF(Assumptions!$I$61=1,MAX(J5279,Assumptions!$G$61)+Assumptions!$F$61+$C$5280,Assumptions!$E$61))+J5354*IF(OR(J5355=1,I5604=1),$C$5281,IF(Assumptions!$I$62=1,MAX(J5279,Assumptions!$G$62)+Assumptions!$F$62+$C$5280,Assumptions!$E$62))+J5367*IF(OR(J5368=1,I5605=1),$C$5281,IF(Assumptions!$I$63=1,MAX(J5279,Assumptions!$G$63)+Assumptions!$F$63+$C$5280,Assumptions!$E$63))+J5380*IF(OR(J5381=1,I5606=1),$C$5281,IF(Assumptions!$I$64=1,MAX(J5279,Assumptions!$G$64)+Assumptions!$F$64+$C$5280,Assumptions!$E$64))+J5393*IF(OR(J5394=1,I5607=1),$C$5281,IF(Assumptions!$I$65=1,MAX(J5279,Assumptions!$G$65)+Assumptions!$F$65+$C$5280,Assumptions!$E$65))+J5406*IF(OR(J5407=1,I5608=1),$C$5281,IF(Assumptions!$I$66=1,MAX(J5279,Assumptions!$G$66)+Assumptions!$F$66+$C$5280,Assumptions!$E$66))</f>
        <v>202.859448268904</v>
      </c>
      <c r="K5286" s="16" t="n">
        <f aca="false">K5289*IF(OR(K5290=1,J5599=1),$C$5281,IF(Assumptions!$I$57=1,MAX(K5279,Assumptions!$G$57)+Assumptions!$F$57+$C$5280,Assumptions!$E$57))+K5302*IF(OR(K5303=1,J5600=1),$C$5281,IF(Assumptions!$I$58=1,MAX(K5279,Assumptions!$G$58)+Assumptions!$F$58+$C$5280,Assumptions!$E$58))+K5315*IF(OR(K5316=1,J5601=1),$C$5281,IF(Assumptions!$I$59=1,MAX(K5279,Assumptions!$G$59)+Assumptions!$F$59+$C$5280,Assumptions!$E$59))+K5328*IF(OR(K5329=1,J5602=1),$C$5281,IF(Assumptions!$I$60=1,MAX(K5279,Assumptions!$G$60)+Assumptions!$F$60+$C$5280,Assumptions!$E$60))+K5341*IF(OR(K5342=1,J5603=1),$C$5281,IF(Assumptions!$I$61=1,MAX(K5279,Assumptions!$G$61)+Assumptions!$F$61+$C$5280,Assumptions!$E$61))+K5354*IF(OR(K5355=1,J5604=1),$C$5281,IF(Assumptions!$I$62=1,MAX(K5279,Assumptions!$G$62)+Assumptions!$F$62+$C$5280,Assumptions!$E$62))+K5367*IF(OR(K5368=1,J5605=1),$C$5281,IF(Assumptions!$I$63=1,MAX(K5279,Assumptions!$G$63)+Assumptions!$F$63+$C$5280,Assumptions!$E$63))+K5380*IF(OR(K5381=1,J5606=1),$C$5281,IF(Assumptions!$I$64=1,MAX(K5279,Assumptions!$G$64)+Assumptions!$F$64+$C$5280,Assumptions!$E$64))+K5393*IF(OR(K5394=1,J5607=1),$C$5281,IF(Assumptions!$I$65=1,MAX(K5279,Assumptions!$G$65)+Assumptions!$F$65+$C$5280,Assumptions!$E$65))+K5406*IF(OR(K5407=1,J5608=1),$C$5281,IF(Assumptions!$I$66=1,MAX(K5279,Assumptions!$G$66)+Assumptions!$F$66+$C$5280,Assumptions!$E$66))</f>
        <v>194.039448268904</v>
      </c>
    </row>
    <row r="5287" customFormat="false" ht="15" hidden="false" customHeight="false" outlineLevel="0" collapsed="false">
      <c r="A5287" s="3" t="s">
        <v>327</v>
      </c>
      <c r="G5287" s="21" t="n">
        <f aca="false">IF(G5263&lt;=0,0,IF(AND((G5284-G5285)/G5263&lt;=$C$5282,G5263/G5286&gt;=$C$5283),1,0))</f>
        <v>0</v>
      </c>
      <c r="H5287" s="21" t="n">
        <f aca="false">IF(H5263&lt;=0,0,IF(AND((H5284-H5285)/H5263&lt;=$C$5282,H5263/H5286&gt;=$C$5283),1,0))</f>
        <v>0</v>
      </c>
      <c r="I5287" s="21" t="n">
        <f aca="false">IF(I5263&lt;=0,0,IF(AND((I5284-I5285)/I5263&lt;=$C$5282,I5263/I5286&gt;=$C$5283),1,0))</f>
        <v>0</v>
      </c>
      <c r="J5287" s="21" t="n">
        <f aca="false">IF(J5263&lt;=0,0,IF(AND((J5284-J5285)/J5263&lt;=$C$5282,J5263/J5286&gt;=$C$5283),1,0))</f>
        <v>0</v>
      </c>
      <c r="K5287" s="21" t="n">
        <f aca="false">IF(K5263&lt;=0,0,IF(AND((K5284-K5285)/K5263&lt;=$C$5282,K5263/K5286&gt;=$C$5283),1,0))</f>
        <v>0</v>
      </c>
    </row>
    <row r="5288" customFormat="false" ht="15" hidden="false" customHeight="false" outlineLevel="0" collapsed="false">
      <c r="A5288" s="24" t="s">
        <v>328</v>
      </c>
      <c r="B5288" s="25"/>
      <c r="C5288" s="25"/>
      <c r="D5288" s="25"/>
      <c r="E5288" s="25"/>
      <c r="F5288" s="25"/>
      <c r="G5288" s="25"/>
      <c r="H5288" s="25"/>
      <c r="I5288" s="25"/>
      <c r="J5288" s="25"/>
      <c r="K5288" s="25"/>
    </row>
    <row r="5289" customFormat="false" ht="15" hidden="false" customHeight="false" outlineLevel="0" collapsed="false">
      <c r="A5289" s="3" t="s">
        <v>329</v>
      </c>
      <c r="G5289" s="16" t="n">
        <f aca="false">F5300</f>
        <v>400</v>
      </c>
      <c r="H5289" s="16" t="n">
        <f aca="false">G5300</f>
        <v>396</v>
      </c>
      <c r="I5289" s="16" t="n">
        <f aca="false">H5300</f>
        <v>392</v>
      </c>
      <c r="J5289" s="16" t="n">
        <f aca="false">I5300</f>
        <v>388</v>
      </c>
      <c r="K5289" s="16" t="n">
        <f aca="false">J5300</f>
        <v>384</v>
      </c>
    </row>
    <row r="5290" customFormat="false" ht="15" hidden="false" customHeight="false" outlineLevel="0" collapsed="false">
      <c r="A5290" s="3" t="s">
        <v>330</v>
      </c>
      <c r="G5290" s="21" t="n">
        <f aca="false">IF(G5253=Assumptions!$K$57,1,0)</f>
        <v>0</v>
      </c>
      <c r="H5290" s="21" t="n">
        <f aca="false">IF(H5253=Assumptions!$K$57,1,0)</f>
        <v>0</v>
      </c>
      <c r="I5290" s="21" t="n">
        <f aca="false">IF(I5253=Assumptions!$K$57,1,0)</f>
        <v>0</v>
      </c>
      <c r="J5290" s="21" t="n">
        <f aca="false">IF(J5253=Assumptions!$K$57,1,0)</f>
        <v>0</v>
      </c>
      <c r="K5290" s="21" t="n">
        <f aca="false">IF(K5253=Assumptions!$K$57,1,0)</f>
        <v>1</v>
      </c>
    </row>
    <row r="5292" customFormat="false" ht="15" hidden="false" customHeight="false" outlineLevel="0" collapsed="false">
      <c r="A5292" s="3" t="s">
        <v>331</v>
      </c>
      <c r="G5292" s="31" t="n">
        <f aca="false">IF(Assumptions!$I$57=1,MAX(G5279,Assumptions!$G$57)+Assumptions!$F$57+$C$5280,Assumptions!$E$57)</f>
        <v>0.1065</v>
      </c>
      <c r="H5292" s="31" t="n">
        <f aca="false">IF(G5599=1,$C$5281,IF(Assumptions!$I$57=1,MAX(H5279,Assumptions!$G$57)+Assumptions!$F$57+$C$5280,Assumptions!$E$57))</f>
        <v>0.105</v>
      </c>
      <c r="I5292" s="31" t="n">
        <f aca="false">IF(H5599=1,$C$5281,IF(Assumptions!$I$57=1,MAX(I5279,Assumptions!$G$57)+Assumptions!$F$57+$C$5280,Assumptions!$E$57))</f>
        <v>0.1025</v>
      </c>
      <c r="J5292" s="31" t="n">
        <f aca="false">IF(I5599=1,$C$5281,IF(Assumptions!$I$57=1,MAX(J5279,Assumptions!$G$57)+Assumptions!$F$57+$C$5280,Assumptions!$E$57))</f>
        <v>0.1025</v>
      </c>
      <c r="K5292" s="31" t="n">
        <f aca="false">IF(J5599=1,$C$5281,IF(Assumptions!$I$57=1,MAX(K5279,Assumptions!$G$57)+Assumptions!$F$57+$C$5280,Assumptions!$E$57))</f>
        <v>0.1025</v>
      </c>
    </row>
    <row r="5293" customFormat="false" ht="15" hidden="false" customHeight="false" outlineLevel="0" collapsed="false">
      <c r="A5293" s="3" t="s">
        <v>332</v>
      </c>
      <c r="G5293" s="16" t="n">
        <f aca="false">G5289*G5292</f>
        <v>42.6</v>
      </c>
      <c r="H5293" s="16" t="n">
        <f aca="false">H5289*H5292</f>
        <v>41.58</v>
      </c>
      <c r="I5293" s="16" t="n">
        <f aca="false">I5289*I5292</f>
        <v>40.18</v>
      </c>
      <c r="J5293" s="16" t="n">
        <f aca="false">J5289*J5292</f>
        <v>39.77</v>
      </c>
      <c r="K5293" s="16" t="n">
        <f aca="false">K5289*K5292</f>
        <v>39.36</v>
      </c>
    </row>
    <row r="5294" customFormat="false" ht="15" hidden="false" customHeight="false" outlineLevel="0" collapsed="false">
      <c r="A5294" s="3" t="s">
        <v>333</v>
      </c>
      <c r="G5294" s="16" t="n">
        <f aca="false">G5289*Assumptions!$H$57</f>
        <v>0</v>
      </c>
      <c r="H5294" s="16" t="n">
        <f aca="false">H5289*Assumptions!$H$57</f>
        <v>0</v>
      </c>
      <c r="I5294" s="16" t="n">
        <f aca="false">I5289*Assumptions!$H$57</f>
        <v>0</v>
      </c>
      <c r="J5294" s="16" t="n">
        <f aca="false">J5289*Assumptions!$H$57</f>
        <v>0</v>
      </c>
      <c r="K5294" s="16" t="n">
        <f aca="false">K5289*Assumptions!$H$57</f>
        <v>0</v>
      </c>
    </row>
    <row r="5295" customFormat="false" ht="15" hidden="false" customHeight="false" outlineLevel="0" collapsed="false">
      <c r="A5295" s="3" t="s">
        <v>334</v>
      </c>
      <c r="G5295" s="16" t="n">
        <f aca="false">MIN(G5289,Assumptions!$L$57*Assumptions!$C$57)</f>
        <v>4</v>
      </c>
      <c r="H5295" s="16" t="n">
        <f aca="false">MIN(H5289,Assumptions!$L$57*Assumptions!$C$57)</f>
        <v>4</v>
      </c>
      <c r="I5295" s="16" t="n">
        <f aca="false">MIN(I5289,Assumptions!$L$57*Assumptions!$C$57)</f>
        <v>4</v>
      </c>
      <c r="J5295" s="16" t="n">
        <f aca="false">MIN(J5289,Assumptions!$L$57*Assumptions!$C$57)</f>
        <v>4</v>
      </c>
      <c r="K5295" s="16" t="n">
        <f aca="false">MIN(K5289,Assumptions!$L$57*Assumptions!$C$57)</f>
        <v>4</v>
      </c>
    </row>
    <row r="5296" customFormat="false" ht="15" hidden="false" customHeight="false" outlineLevel="0" collapsed="false">
      <c r="A5296" s="3" t="s">
        <v>335</v>
      </c>
      <c r="G5296" s="16" t="n">
        <f aca="false">IF(AND(Assumptions!$P$57=1,G5253&lt;Assumptions!$K$57),MIN(MAX(0,-G5469),MAX(0,Assumptions!$D$57-G5289)),0)</f>
        <v>0</v>
      </c>
      <c r="H5296" s="16" t="n">
        <f aca="false">IF(AND(Assumptions!$P$57=1,OR(H5253&lt;Assumptions!$K$57,G5599=1)),MIN(MAX(0,-H5469),MAX(0,Assumptions!$D$57-H5289)),0)</f>
        <v>0</v>
      </c>
      <c r="I5296" s="16" t="n">
        <f aca="false">IF(AND(Assumptions!$P$57=1,OR(I5253&lt;Assumptions!$K$57,H5599=1)),MIN(MAX(0,-I5469),MAX(0,Assumptions!$D$57-I5289)),0)</f>
        <v>0</v>
      </c>
      <c r="J5296" s="16" t="n">
        <f aca="false">IF(AND(Assumptions!$P$57=1,OR(J5253&lt;Assumptions!$K$57,I5599=1)),MIN(MAX(0,-J5469),MAX(0,Assumptions!$D$57-J5289)),0)</f>
        <v>0</v>
      </c>
      <c r="K5296" s="16" t="n">
        <f aca="false">IF(AND(Assumptions!$P$57=1,OR(K5253&lt;Assumptions!$K$57,J5599=1)),MIN(MAX(0,-K5469),MAX(0,Assumptions!$D$57-K5289)),0)</f>
        <v>0</v>
      </c>
    </row>
    <row r="5297" customFormat="false" ht="15" hidden="false" customHeight="false" outlineLevel="0" collapsed="false">
      <c r="A5297" s="3" t="s">
        <v>336</v>
      </c>
      <c r="G5297" s="16" t="n">
        <f aca="false">G5290*MIN(G5289-G5295+G5294,MAX(0,G5471-Assumptions!$C$12*G5287))</f>
        <v>0</v>
      </c>
      <c r="H5297" s="16" t="n">
        <f aca="false">H5290*MIN(H5289-H5295+H5294,MAX(0,H5471-Assumptions!$C$12*H5287))</f>
        <v>0</v>
      </c>
      <c r="I5297" s="16" t="n">
        <f aca="false">I5290*MIN(I5289-I5295+I5294,MAX(0,I5471-Assumptions!$C$12*I5287))</f>
        <v>0</v>
      </c>
      <c r="J5297" s="16" t="n">
        <f aca="false">J5290*MIN(J5289-J5295+J5294,MAX(0,J5471-Assumptions!$C$12*J5287))</f>
        <v>0</v>
      </c>
      <c r="K5297" s="16" t="n">
        <f aca="false">K5290*MIN(K5289-K5295+K5294,MAX(0,K5471-Assumptions!$C$12*K5287))</f>
        <v>0</v>
      </c>
    </row>
    <row r="5298" customFormat="false" ht="15" hidden="false" customHeight="false" outlineLevel="0" collapsed="false">
      <c r="A5298" s="3" t="s">
        <v>337</v>
      </c>
      <c r="G5298" s="16" t="n">
        <f aca="false">Assumptions!$N$57*MIN(G5289+G5296+G5294-G5295-G5297,MAX(0,G5475))</f>
        <v>0</v>
      </c>
      <c r="H5298" s="16" t="n">
        <f aca="false">Assumptions!$N$57*MIN(H5289+H5296+H5294-H5295-H5297,MAX(0,H5475))</f>
        <v>0</v>
      </c>
      <c r="I5298" s="16" t="n">
        <f aca="false">Assumptions!$N$57*MIN(I5289+I5296+I5294-I5295-I5297,MAX(0,I5475))</f>
        <v>0</v>
      </c>
      <c r="J5298" s="16" t="n">
        <f aca="false">Assumptions!$N$57*MIN(J5289+J5296+J5294-J5295-J5297,MAX(0,J5475))</f>
        <v>0</v>
      </c>
      <c r="K5298" s="16" t="n">
        <f aca="false">Assumptions!$N$57*MIN(K5289+K5296+K5294-K5295-K5297,MAX(0,K5475))</f>
        <v>0</v>
      </c>
    </row>
    <row r="5299" customFormat="false" ht="15" hidden="false" customHeight="false" outlineLevel="0" collapsed="false">
      <c r="A5299" s="3" t="s">
        <v>338</v>
      </c>
      <c r="G5299" s="16" t="n">
        <f aca="false">G5290*(1-G5287)*(G5289-G5295+G5294-G5297)</f>
        <v>0</v>
      </c>
      <c r="H5299" s="16" t="n">
        <f aca="false">H5290*(1-H5287)*(H5289-H5295+H5294-H5297)</f>
        <v>0</v>
      </c>
      <c r="I5299" s="16" t="n">
        <f aca="false">I5290*(1-I5287)*(I5289-I5295+I5294-I5297)</f>
        <v>0</v>
      </c>
      <c r="J5299" s="16" t="n">
        <f aca="false">J5290*(1-J5287)*(J5289-J5295+J5294-J5297)</f>
        <v>0</v>
      </c>
      <c r="K5299" s="16" t="n">
        <f aca="false">K5290*(1-K5287)*(K5289-K5295+K5294-K5297)</f>
        <v>380</v>
      </c>
    </row>
    <row r="5300" customFormat="false" ht="15" hidden="false" customHeight="false" outlineLevel="0" collapsed="false">
      <c r="A5300" s="2" t="s">
        <v>339</v>
      </c>
      <c r="F5300" s="28" t="n">
        <f aca="false">Assumptions!$C$57</f>
        <v>400</v>
      </c>
      <c r="G5300" s="17" t="n">
        <f aca="false">G5289+G5296+G5294-G5295-G5297-G5298</f>
        <v>396</v>
      </c>
      <c r="H5300" s="17" t="n">
        <f aca="false">H5289+H5296+H5294-H5295-H5297-H5298</f>
        <v>392</v>
      </c>
      <c r="I5300" s="17" t="n">
        <f aca="false">I5289+I5296+I5294-I5295-I5297-I5298</f>
        <v>388</v>
      </c>
      <c r="J5300" s="17" t="n">
        <f aca="false">J5289+J5296+J5294-J5295-J5297-J5298</f>
        <v>384</v>
      </c>
      <c r="K5300" s="17" t="n">
        <f aca="false">K5289+K5296+K5294-K5295-K5297-K5298</f>
        <v>380</v>
      </c>
    </row>
    <row r="5301" customFormat="false" ht="15" hidden="false" customHeight="false" outlineLevel="0" collapsed="false">
      <c r="A5301" s="24" t="s">
        <v>340</v>
      </c>
      <c r="B5301" s="25"/>
      <c r="C5301" s="25"/>
      <c r="D5301" s="25"/>
      <c r="E5301" s="25"/>
      <c r="F5301" s="25"/>
      <c r="G5301" s="25"/>
      <c r="H5301" s="25"/>
      <c r="I5301" s="25"/>
      <c r="J5301" s="25"/>
      <c r="K5301" s="25"/>
    </row>
    <row r="5302" customFormat="false" ht="15" hidden="false" customHeight="false" outlineLevel="0" collapsed="false">
      <c r="A5302" s="3" t="s">
        <v>329</v>
      </c>
      <c r="G5302" s="16" t="n">
        <f aca="false">F5313</f>
        <v>90</v>
      </c>
      <c r="H5302" s="16" t="n">
        <f aca="false">G5313</f>
        <v>90</v>
      </c>
      <c r="I5302" s="16" t="n">
        <f aca="false">H5313</f>
        <v>90</v>
      </c>
      <c r="J5302" s="16" t="n">
        <f aca="false">I5313</f>
        <v>90</v>
      </c>
      <c r="K5302" s="16" t="n">
        <f aca="false">J5313</f>
        <v>90</v>
      </c>
    </row>
    <row r="5303" customFormat="false" ht="15" hidden="false" customHeight="false" outlineLevel="0" collapsed="false">
      <c r="A5303" s="3" t="s">
        <v>330</v>
      </c>
      <c r="G5303" s="21" t="n">
        <f aca="false">IF(G5253=Assumptions!$K$58,1,0)</f>
        <v>0</v>
      </c>
      <c r="H5303" s="21" t="n">
        <f aca="false">IF(H5253=Assumptions!$K$58,1,0)</f>
        <v>0</v>
      </c>
      <c r="I5303" s="21" t="n">
        <f aca="false">IF(I5253=Assumptions!$K$58,1,0)</f>
        <v>0</v>
      </c>
      <c r="J5303" s="21" t="n">
        <f aca="false">IF(J5253=Assumptions!$K$58,1,0)</f>
        <v>0</v>
      </c>
      <c r="K5303" s="21" t="n">
        <f aca="false">IF(K5253=Assumptions!$K$58,1,0)</f>
        <v>0</v>
      </c>
    </row>
    <row r="5305" customFormat="false" ht="15" hidden="false" customHeight="false" outlineLevel="0" collapsed="false">
      <c r="A5305" s="3" t="s">
        <v>331</v>
      </c>
      <c r="G5305" s="31" t="n">
        <f aca="false">IF(Assumptions!$I$58=1,MAX(G5279,Assumptions!$G$58)+Assumptions!$F$58+$C$5280,Assumptions!$E$58)</f>
        <v>0.0581</v>
      </c>
      <c r="H5305" s="31" t="n">
        <f aca="false">IF(G5600=1,$C$5281,IF(Assumptions!$I$58=1,MAX(H5279,Assumptions!$G$58)+Assumptions!$F$58+$C$5280,Assumptions!$E$58))</f>
        <v>0.0581</v>
      </c>
      <c r="I5305" s="31" t="n">
        <f aca="false">IF(H5600=1,$C$5281,IF(Assumptions!$I$58=1,MAX(I5279,Assumptions!$G$58)+Assumptions!$F$58+$C$5280,Assumptions!$E$58))</f>
        <v>0.0581</v>
      </c>
      <c r="J5305" s="31" t="n">
        <f aca="false">IF(I5600=1,$C$5281,IF(Assumptions!$I$58=1,MAX(J5279,Assumptions!$G$58)+Assumptions!$F$58+$C$5280,Assumptions!$E$58))</f>
        <v>0.0581</v>
      </c>
      <c r="K5305" s="31" t="n">
        <f aca="false">IF(J5600=1,$C$5281,IF(Assumptions!$I$58=1,MAX(K5279,Assumptions!$G$58)+Assumptions!$F$58+$C$5280,Assumptions!$E$58))</f>
        <v>0.0581</v>
      </c>
    </row>
    <row r="5306" customFormat="false" ht="15" hidden="false" customHeight="false" outlineLevel="0" collapsed="false">
      <c r="A5306" s="3" t="s">
        <v>332</v>
      </c>
      <c r="G5306" s="16" t="n">
        <f aca="false">G5302*G5305</f>
        <v>5.229</v>
      </c>
      <c r="H5306" s="16" t="n">
        <f aca="false">H5302*H5305</f>
        <v>5.229</v>
      </c>
      <c r="I5306" s="16" t="n">
        <f aca="false">I5302*I5305</f>
        <v>5.229</v>
      </c>
      <c r="J5306" s="16" t="n">
        <f aca="false">J5302*J5305</f>
        <v>5.229</v>
      </c>
      <c r="K5306" s="16" t="n">
        <f aca="false">K5302*K5305</f>
        <v>5.229</v>
      </c>
    </row>
    <row r="5307" customFormat="false" ht="15" hidden="false" customHeight="false" outlineLevel="0" collapsed="false">
      <c r="A5307" s="3" t="s">
        <v>333</v>
      </c>
      <c r="G5307" s="16" t="n">
        <f aca="false">G5302*Assumptions!$H$58</f>
        <v>0</v>
      </c>
      <c r="H5307" s="16" t="n">
        <f aca="false">H5302*Assumptions!$H$58</f>
        <v>0</v>
      </c>
      <c r="I5307" s="16" t="n">
        <f aca="false">I5302*Assumptions!$H$58</f>
        <v>0</v>
      </c>
      <c r="J5307" s="16" t="n">
        <f aca="false">J5302*Assumptions!$H$58</f>
        <v>0</v>
      </c>
      <c r="K5307" s="16" t="n">
        <f aca="false">K5302*Assumptions!$H$58</f>
        <v>0</v>
      </c>
    </row>
    <row r="5308" customFormat="false" ht="15" hidden="false" customHeight="false" outlineLevel="0" collapsed="false">
      <c r="A5308" s="3" t="s">
        <v>334</v>
      </c>
      <c r="G5308" s="16" t="n">
        <f aca="false">MIN(G5302,Assumptions!$L$58*Assumptions!$C$58)</f>
        <v>0</v>
      </c>
      <c r="H5308" s="16" t="n">
        <f aca="false">MIN(H5302,Assumptions!$L$58*Assumptions!$C$58)</f>
        <v>0</v>
      </c>
      <c r="I5308" s="16" t="n">
        <f aca="false">MIN(I5302,Assumptions!$L$58*Assumptions!$C$58)</f>
        <v>0</v>
      </c>
      <c r="J5308" s="16" t="n">
        <f aca="false">MIN(J5302,Assumptions!$L$58*Assumptions!$C$58)</f>
        <v>0</v>
      </c>
      <c r="K5308" s="16" t="n">
        <f aca="false">MIN(K5302,Assumptions!$L$58*Assumptions!$C$58)</f>
        <v>0</v>
      </c>
    </row>
    <row r="5309" customFormat="false" ht="15" hidden="false" customHeight="false" outlineLevel="0" collapsed="false">
      <c r="A5309" s="3" t="s">
        <v>335</v>
      </c>
      <c r="G5309" s="16" t="n">
        <f aca="false">IF(AND(Assumptions!$P$58=1,G5253&lt;Assumptions!$K$58),MIN(MAX(0,-G5469),MAX(0,Assumptions!$D$58-G5302)),0)</f>
        <v>0</v>
      </c>
      <c r="H5309" s="16" t="n">
        <f aca="false">IF(AND(Assumptions!$P$58=1,OR(H5253&lt;Assumptions!$K$58,G5600=1)),MIN(MAX(0,-H5469),MAX(0,Assumptions!$D$58-H5302)),0)</f>
        <v>0</v>
      </c>
      <c r="I5309" s="16" t="n">
        <f aca="false">IF(AND(Assumptions!$P$58=1,OR(I5253&lt;Assumptions!$K$58,H5600=1)),MIN(MAX(0,-I5469),MAX(0,Assumptions!$D$58-I5302)),0)</f>
        <v>0</v>
      </c>
      <c r="J5309" s="16" t="n">
        <f aca="false">IF(AND(Assumptions!$P$58=1,OR(J5253&lt;Assumptions!$K$58,I5600=1)),MIN(MAX(0,-J5469),MAX(0,Assumptions!$D$58-J5302)),0)</f>
        <v>0</v>
      </c>
      <c r="K5309" s="16" t="n">
        <f aca="false">IF(AND(Assumptions!$P$58=1,OR(K5253&lt;Assumptions!$K$58,J5600=1)),MIN(MAX(0,-K5469),MAX(0,Assumptions!$D$58-K5302)),0)</f>
        <v>0</v>
      </c>
    </row>
    <row r="5310" customFormat="false" ht="15" hidden="false" customHeight="false" outlineLevel="0" collapsed="false">
      <c r="A5310" s="3" t="s">
        <v>336</v>
      </c>
      <c r="G5310" s="16" t="n">
        <f aca="false">G5303*MIN(G5302-G5308+G5307,MAX(0,G5471-Assumptions!$C$12*G5287-G5297))</f>
        <v>0</v>
      </c>
      <c r="H5310" s="16" t="n">
        <f aca="false">H5303*MIN(H5302-H5308+H5307,MAX(0,H5471-Assumptions!$C$12*H5287-H5297))</f>
        <v>0</v>
      </c>
      <c r="I5310" s="16" t="n">
        <f aca="false">I5303*MIN(I5302-I5308+I5307,MAX(0,I5471-Assumptions!$C$12*I5287-I5297))</f>
        <v>0</v>
      </c>
      <c r="J5310" s="16" t="n">
        <f aca="false">J5303*MIN(J5302-J5308+J5307,MAX(0,J5471-Assumptions!$C$12*J5287-J5297))</f>
        <v>0</v>
      </c>
      <c r="K5310" s="16" t="n">
        <f aca="false">K5303*MIN(K5302-K5308+K5307,MAX(0,K5471-Assumptions!$C$12*K5287-K5297))</f>
        <v>0</v>
      </c>
    </row>
    <row r="5311" customFormat="false" ht="15" hidden="false" customHeight="false" outlineLevel="0" collapsed="false">
      <c r="A5311" s="3" t="s">
        <v>337</v>
      </c>
      <c r="G5311" s="16" t="n">
        <f aca="false">Assumptions!$N$58*MIN(G5302+G5309+G5307-G5308-G5310,MAX(0,G5475-G5298))</f>
        <v>0</v>
      </c>
      <c r="H5311" s="16" t="n">
        <f aca="false">Assumptions!$N$58*MIN(H5302+H5309+H5307-H5308-H5310,MAX(0,H5475-H5298))</f>
        <v>0</v>
      </c>
      <c r="I5311" s="16" t="n">
        <f aca="false">Assumptions!$N$58*MIN(I5302+I5309+I5307-I5308-I5310,MAX(0,I5475-I5298))</f>
        <v>0</v>
      </c>
      <c r="J5311" s="16" t="n">
        <f aca="false">Assumptions!$N$58*MIN(J5302+J5309+J5307-J5308-J5310,MAX(0,J5475-J5298))</f>
        <v>0</v>
      </c>
      <c r="K5311" s="16" t="n">
        <f aca="false">Assumptions!$N$58*MIN(K5302+K5309+K5307-K5308-K5310,MAX(0,K5475-K5298))</f>
        <v>0</v>
      </c>
    </row>
    <row r="5312" customFormat="false" ht="15" hidden="false" customHeight="false" outlineLevel="0" collapsed="false">
      <c r="A5312" s="3" t="s">
        <v>338</v>
      </c>
      <c r="G5312" s="16" t="n">
        <f aca="false">G5303*(1-G5287)*(G5302-G5308+G5307-G5310)</f>
        <v>0</v>
      </c>
      <c r="H5312" s="16" t="n">
        <f aca="false">H5303*(1-H5287)*(H5302-H5308+H5307-H5310)</f>
        <v>0</v>
      </c>
      <c r="I5312" s="16" t="n">
        <f aca="false">I5303*(1-I5287)*(I5302-I5308+I5307-I5310)</f>
        <v>0</v>
      </c>
      <c r="J5312" s="16" t="n">
        <f aca="false">J5303*(1-J5287)*(J5302-J5308+J5307-J5310)</f>
        <v>0</v>
      </c>
      <c r="K5312" s="16" t="n">
        <f aca="false">K5303*(1-K5287)*(K5302-K5308+K5307-K5310)</f>
        <v>0</v>
      </c>
    </row>
    <row r="5313" customFormat="false" ht="15" hidden="false" customHeight="false" outlineLevel="0" collapsed="false">
      <c r="A5313" s="2" t="s">
        <v>339</v>
      </c>
      <c r="F5313" s="28" t="n">
        <f aca="false">Assumptions!$C$58</f>
        <v>90</v>
      </c>
      <c r="G5313" s="17" t="n">
        <f aca="false">G5302+G5309+G5307-G5308-G5310-G5311</f>
        <v>90</v>
      </c>
      <c r="H5313" s="17" t="n">
        <f aca="false">H5302+H5309+H5307-H5308-H5310-H5311</f>
        <v>90</v>
      </c>
      <c r="I5313" s="17" t="n">
        <f aca="false">I5302+I5309+I5307-I5308-I5310-I5311</f>
        <v>90</v>
      </c>
      <c r="J5313" s="17" t="n">
        <f aca="false">J5302+J5309+J5307-J5308-J5310-J5311</f>
        <v>90</v>
      </c>
      <c r="K5313" s="17" t="n">
        <f aca="false">K5302+K5309+K5307-K5308-K5310-K5311</f>
        <v>90</v>
      </c>
    </row>
    <row r="5314" customFormat="false" ht="15" hidden="false" customHeight="false" outlineLevel="0" collapsed="false">
      <c r="A5314" s="24" t="s">
        <v>341</v>
      </c>
      <c r="B5314" s="25"/>
      <c r="C5314" s="25"/>
      <c r="D5314" s="25"/>
      <c r="E5314" s="25"/>
      <c r="F5314" s="25"/>
      <c r="G5314" s="25"/>
      <c r="H5314" s="25"/>
      <c r="I5314" s="25"/>
      <c r="J5314" s="25"/>
      <c r="K5314" s="25"/>
    </row>
    <row r="5315" customFormat="false" ht="15" hidden="false" customHeight="false" outlineLevel="0" collapsed="false">
      <c r="A5315" s="3" t="s">
        <v>329</v>
      </c>
      <c r="G5315" s="16" t="n">
        <f aca="false">F5326</f>
        <v>57.324</v>
      </c>
      <c r="H5315" s="16" t="n">
        <f aca="false">G5326</f>
        <v>57.324</v>
      </c>
      <c r="I5315" s="16" t="n">
        <f aca="false">H5326</f>
        <v>57.324</v>
      </c>
      <c r="J5315" s="16" t="n">
        <f aca="false">I5326</f>
        <v>57.324</v>
      </c>
      <c r="K5315" s="16" t="n">
        <f aca="false">J5326</f>
        <v>57.324</v>
      </c>
    </row>
    <row r="5316" customFormat="false" ht="15" hidden="false" customHeight="false" outlineLevel="0" collapsed="false">
      <c r="A5316" s="3" t="s">
        <v>330</v>
      </c>
      <c r="G5316" s="21" t="n">
        <f aca="false">IF(G5253=Assumptions!$K$59,1,0)</f>
        <v>0</v>
      </c>
      <c r="H5316" s="21" t="n">
        <f aca="false">IF(H5253=Assumptions!$K$59,1,0)</f>
        <v>0</v>
      </c>
      <c r="I5316" s="21" t="n">
        <f aca="false">IF(I5253=Assumptions!$K$59,1,0)</f>
        <v>0</v>
      </c>
      <c r="J5316" s="21" t="n">
        <f aca="false">IF(J5253=Assumptions!$K$59,1,0)</f>
        <v>0</v>
      </c>
      <c r="K5316" s="21" t="n">
        <f aca="false">IF(K5253=Assumptions!$K$59,1,0)</f>
        <v>0</v>
      </c>
    </row>
    <row r="5318" customFormat="false" ht="15" hidden="false" customHeight="false" outlineLevel="0" collapsed="false">
      <c r="A5318" s="3" t="s">
        <v>331</v>
      </c>
      <c r="G5318" s="31" t="n">
        <f aca="false">IF(Assumptions!$I$59=1,MAX(G5279,Assumptions!$G$59)+Assumptions!$F$59+$C$5280,Assumptions!$E$59)</f>
        <v>0.0731</v>
      </c>
      <c r="H5318" s="31" t="n">
        <f aca="false">IF(G5601=1,$C$5281,IF(Assumptions!$I$59=1,MAX(H5279,Assumptions!$G$59)+Assumptions!$F$59+$C$5280,Assumptions!$E$59))</f>
        <v>0.0731</v>
      </c>
      <c r="I5318" s="31" t="n">
        <f aca="false">IF(H5601=1,$C$5281,IF(Assumptions!$I$59=1,MAX(I5279,Assumptions!$G$59)+Assumptions!$F$59+$C$5280,Assumptions!$E$59))</f>
        <v>0.0731</v>
      </c>
      <c r="J5318" s="31" t="n">
        <f aca="false">IF(I5601=1,$C$5281,IF(Assumptions!$I$59=1,MAX(J5279,Assumptions!$G$59)+Assumptions!$F$59+$C$5280,Assumptions!$E$59))</f>
        <v>0.0731</v>
      </c>
      <c r="K5318" s="31" t="n">
        <f aca="false">IF(J5601=1,$C$5281,IF(Assumptions!$I$59=1,MAX(K5279,Assumptions!$G$59)+Assumptions!$F$59+$C$5280,Assumptions!$E$59))</f>
        <v>0.0731</v>
      </c>
    </row>
    <row r="5319" customFormat="false" ht="15" hidden="false" customHeight="false" outlineLevel="0" collapsed="false">
      <c r="A5319" s="3" t="s">
        <v>332</v>
      </c>
      <c r="G5319" s="16" t="n">
        <f aca="false">G5315*G5318</f>
        <v>4.1903844</v>
      </c>
      <c r="H5319" s="16" t="n">
        <f aca="false">H5315*H5318</f>
        <v>4.1903844</v>
      </c>
      <c r="I5319" s="16" t="n">
        <f aca="false">I5315*I5318</f>
        <v>4.1903844</v>
      </c>
      <c r="J5319" s="16" t="n">
        <f aca="false">J5315*J5318</f>
        <v>4.1903844</v>
      </c>
      <c r="K5319" s="16" t="n">
        <f aca="false">K5315*K5318</f>
        <v>4.1903844</v>
      </c>
    </row>
    <row r="5320" customFormat="false" ht="15" hidden="false" customHeight="false" outlineLevel="0" collapsed="false">
      <c r="A5320" s="3" t="s">
        <v>333</v>
      </c>
      <c r="G5320" s="16" t="n">
        <f aca="false">G5315*Assumptions!$H$59</f>
        <v>0</v>
      </c>
      <c r="H5320" s="16" t="n">
        <f aca="false">H5315*Assumptions!$H$59</f>
        <v>0</v>
      </c>
      <c r="I5320" s="16" t="n">
        <f aca="false">I5315*Assumptions!$H$59</f>
        <v>0</v>
      </c>
      <c r="J5320" s="16" t="n">
        <f aca="false">J5315*Assumptions!$H$59</f>
        <v>0</v>
      </c>
      <c r="K5320" s="16" t="n">
        <f aca="false">K5315*Assumptions!$H$59</f>
        <v>0</v>
      </c>
    </row>
    <row r="5321" customFormat="false" ht="15" hidden="false" customHeight="false" outlineLevel="0" collapsed="false">
      <c r="A5321" s="3" t="s">
        <v>334</v>
      </c>
      <c r="G5321" s="16" t="n">
        <f aca="false">MIN(G5315,Assumptions!$L$59*Assumptions!$C$59)</f>
        <v>0</v>
      </c>
      <c r="H5321" s="16" t="n">
        <f aca="false">MIN(H5315,Assumptions!$L$59*Assumptions!$C$59)</f>
        <v>0</v>
      </c>
      <c r="I5321" s="16" t="n">
        <f aca="false">MIN(I5315,Assumptions!$L$59*Assumptions!$C$59)</f>
        <v>0</v>
      </c>
      <c r="J5321" s="16" t="n">
        <f aca="false">MIN(J5315,Assumptions!$L$59*Assumptions!$C$59)</f>
        <v>0</v>
      </c>
      <c r="K5321" s="16" t="n">
        <f aca="false">MIN(K5315,Assumptions!$L$59*Assumptions!$C$59)</f>
        <v>0</v>
      </c>
    </row>
    <row r="5322" customFormat="false" ht="15" hidden="false" customHeight="false" outlineLevel="0" collapsed="false">
      <c r="A5322" s="3" t="s">
        <v>335</v>
      </c>
      <c r="G5322" s="16" t="n">
        <f aca="false">IF(AND(Assumptions!$P$59=1,G5253&lt;Assumptions!$K$59),MIN(MAX(0,-G5469),MAX(0,Assumptions!$D$59-G5315)),0)</f>
        <v>0</v>
      </c>
      <c r="H5322" s="16" t="n">
        <f aca="false">IF(AND(Assumptions!$P$59=1,OR(H5253&lt;Assumptions!$K$59,G5601=1)),MIN(MAX(0,-H5469),MAX(0,Assumptions!$D$59-H5315)),0)</f>
        <v>0</v>
      </c>
      <c r="I5322" s="16" t="n">
        <f aca="false">IF(AND(Assumptions!$P$59=1,OR(I5253&lt;Assumptions!$K$59,H5601=1)),MIN(MAX(0,-I5469),MAX(0,Assumptions!$D$59-I5315)),0)</f>
        <v>0</v>
      </c>
      <c r="J5322" s="16" t="n">
        <f aca="false">IF(AND(Assumptions!$P$59=1,OR(J5253&lt;Assumptions!$K$59,I5601=1)),MIN(MAX(0,-J5469),MAX(0,Assumptions!$D$59-J5315)),0)</f>
        <v>0</v>
      </c>
      <c r="K5322" s="16" t="n">
        <f aca="false">IF(AND(Assumptions!$P$59=1,OR(K5253&lt;Assumptions!$K$59,J5601=1)),MIN(MAX(0,-K5469),MAX(0,Assumptions!$D$59-K5315)),0)</f>
        <v>0</v>
      </c>
    </row>
    <row r="5323" customFormat="false" ht="15" hidden="false" customHeight="false" outlineLevel="0" collapsed="false">
      <c r="A5323" s="3" t="s">
        <v>336</v>
      </c>
      <c r="G5323" s="16" t="n">
        <f aca="false">G5316*MIN(G5315-G5321+G5320,MAX(0,G5471-Assumptions!$C$12*G5287-G5297-G5310))</f>
        <v>0</v>
      </c>
      <c r="H5323" s="16" t="n">
        <f aca="false">H5316*MIN(H5315-H5321+H5320,MAX(0,H5471-Assumptions!$C$12*H5287-H5297-H5310))</f>
        <v>0</v>
      </c>
      <c r="I5323" s="16" t="n">
        <f aca="false">I5316*MIN(I5315-I5321+I5320,MAX(0,I5471-Assumptions!$C$12*I5287-I5297-I5310))</f>
        <v>0</v>
      </c>
      <c r="J5323" s="16" t="n">
        <f aca="false">J5316*MIN(J5315-J5321+J5320,MAX(0,J5471-Assumptions!$C$12*J5287-J5297-J5310))</f>
        <v>0</v>
      </c>
      <c r="K5323" s="16" t="n">
        <f aca="false">K5316*MIN(K5315-K5321+K5320,MAX(0,K5471-Assumptions!$C$12*K5287-K5297-K5310))</f>
        <v>0</v>
      </c>
    </row>
    <row r="5324" customFormat="false" ht="15" hidden="false" customHeight="false" outlineLevel="0" collapsed="false">
      <c r="A5324" s="3" t="s">
        <v>337</v>
      </c>
      <c r="G5324" s="16" t="n">
        <f aca="false">Assumptions!$N$59*MIN(G5315+G5322+G5320-G5321-G5323,MAX(0,G5475-G5298-G5311))</f>
        <v>0</v>
      </c>
      <c r="H5324" s="16" t="n">
        <f aca="false">Assumptions!$N$59*MIN(H5315+H5322+H5320-H5321-H5323,MAX(0,H5475-H5298-H5311))</f>
        <v>0</v>
      </c>
      <c r="I5324" s="16" t="n">
        <f aca="false">Assumptions!$N$59*MIN(I5315+I5322+I5320-I5321-I5323,MAX(0,I5475-I5298-I5311))</f>
        <v>0</v>
      </c>
      <c r="J5324" s="16" t="n">
        <f aca="false">Assumptions!$N$59*MIN(J5315+J5322+J5320-J5321-J5323,MAX(0,J5475-J5298-J5311))</f>
        <v>0</v>
      </c>
      <c r="K5324" s="16" t="n">
        <f aca="false">Assumptions!$N$59*MIN(K5315+K5322+K5320-K5321-K5323,MAX(0,K5475-K5298-K5311))</f>
        <v>0</v>
      </c>
    </row>
    <row r="5325" customFormat="false" ht="15" hidden="false" customHeight="false" outlineLevel="0" collapsed="false">
      <c r="A5325" s="3" t="s">
        <v>338</v>
      </c>
      <c r="G5325" s="16" t="n">
        <f aca="false">G5316*(1-G5287)*(G5315-G5321+G5320-G5323)</f>
        <v>0</v>
      </c>
      <c r="H5325" s="16" t="n">
        <f aca="false">H5316*(1-H5287)*(H5315-H5321+H5320-H5323)</f>
        <v>0</v>
      </c>
      <c r="I5325" s="16" t="n">
        <f aca="false">I5316*(1-I5287)*(I5315-I5321+I5320-I5323)</f>
        <v>0</v>
      </c>
      <c r="J5325" s="16" t="n">
        <f aca="false">J5316*(1-J5287)*(J5315-J5321+J5320-J5323)</f>
        <v>0</v>
      </c>
      <c r="K5325" s="16" t="n">
        <f aca="false">K5316*(1-K5287)*(K5315-K5321+K5320-K5323)</f>
        <v>0</v>
      </c>
    </row>
    <row r="5326" customFormat="false" ht="15" hidden="false" customHeight="false" outlineLevel="0" collapsed="false">
      <c r="A5326" s="2" t="s">
        <v>339</v>
      </c>
      <c r="F5326" s="28" t="n">
        <f aca="false">Assumptions!$C$59</f>
        <v>57.324</v>
      </c>
      <c r="G5326" s="17" t="n">
        <f aca="false">G5315+G5322+G5320-G5321-G5323-G5324</f>
        <v>57.324</v>
      </c>
      <c r="H5326" s="17" t="n">
        <f aca="false">H5315+H5322+H5320-H5321-H5323-H5324</f>
        <v>57.324</v>
      </c>
      <c r="I5326" s="17" t="n">
        <f aca="false">I5315+I5322+I5320-I5321-I5323-I5324</f>
        <v>57.324</v>
      </c>
      <c r="J5326" s="17" t="n">
        <f aca="false">J5315+J5322+J5320-J5321-J5323-J5324</f>
        <v>57.324</v>
      </c>
      <c r="K5326" s="17" t="n">
        <f aca="false">K5315+K5322+K5320-K5321-K5323-K5324</f>
        <v>57.324</v>
      </c>
    </row>
    <row r="5327" customFormat="false" ht="15" hidden="false" customHeight="false" outlineLevel="0" collapsed="false">
      <c r="A5327" s="24" t="s">
        <v>342</v>
      </c>
      <c r="B5327" s="25"/>
      <c r="C5327" s="25"/>
      <c r="D5327" s="25"/>
      <c r="E5327" s="25"/>
      <c r="F5327" s="25"/>
      <c r="G5327" s="25"/>
      <c r="H5327" s="25"/>
      <c r="I5327" s="25"/>
      <c r="J5327" s="25"/>
      <c r="K5327" s="25"/>
    </row>
    <row r="5328" customFormat="false" ht="15" hidden="false" customHeight="false" outlineLevel="0" collapsed="false">
      <c r="A5328" s="3" t="s">
        <v>329</v>
      </c>
      <c r="G5328" s="16" t="n">
        <f aca="false">F5339</f>
        <v>0</v>
      </c>
      <c r="H5328" s="16" t="n">
        <f aca="false">G5339</f>
        <v>0</v>
      </c>
      <c r="I5328" s="16" t="n">
        <f aca="false">H5339</f>
        <v>0</v>
      </c>
      <c r="J5328" s="16" t="n">
        <f aca="false">I5339</f>
        <v>0</v>
      </c>
      <c r="K5328" s="16" t="n">
        <f aca="false">J5339</f>
        <v>0</v>
      </c>
    </row>
    <row r="5329" customFormat="false" ht="15" hidden="false" customHeight="false" outlineLevel="0" collapsed="false">
      <c r="A5329" s="3" t="s">
        <v>330</v>
      </c>
      <c r="G5329" s="21" t="n">
        <f aca="false">IF(G5253=Assumptions!$K$60,1,0)</f>
        <v>1</v>
      </c>
      <c r="H5329" s="21" t="n">
        <f aca="false">IF(H5253=Assumptions!$K$60,1,0)</f>
        <v>0</v>
      </c>
      <c r="I5329" s="21" t="n">
        <f aca="false">IF(I5253=Assumptions!$K$60,1,0)</f>
        <v>0</v>
      </c>
      <c r="J5329" s="21" t="n">
        <f aca="false">IF(J5253=Assumptions!$K$60,1,0)</f>
        <v>0</v>
      </c>
      <c r="K5329" s="21" t="n">
        <f aca="false">IF(K5253=Assumptions!$K$60,1,0)</f>
        <v>0</v>
      </c>
    </row>
    <row r="5331" customFormat="false" ht="15" hidden="false" customHeight="false" outlineLevel="0" collapsed="false">
      <c r="A5331" s="3" t="s">
        <v>331</v>
      </c>
      <c r="G5331" s="31" t="n">
        <f aca="false">IF(Assumptions!$I$60=1,MAX(G5279,Assumptions!$G$60)+Assumptions!$F$60+$C$5280,Assumptions!$E$60)</f>
        <v>0.069</v>
      </c>
      <c r="H5331" s="31" t="n">
        <f aca="false">IF(G5602=1,$C$5281,IF(Assumptions!$I$60=1,MAX(H5279,Assumptions!$G$60)+Assumptions!$F$60+$C$5280,Assumptions!$E$60))</f>
        <v>0.0675</v>
      </c>
      <c r="I5331" s="31" t="n">
        <f aca="false">IF(H5602=1,$C$5281,IF(Assumptions!$I$60=1,MAX(I5279,Assumptions!$G$60)+Assumptions!$F$60+$C$5280,Assumptions!$E$60))</f>
        <v>0.065</v>
      </c>
      <c r="J5331" s="31" t="n">
        <f aca="false">IF(I5602=1,$C$5281,IF(Assumptions!$I$60=1,MAX(J5279,Assumptions!$G$60)+Assumptions!$F$60+$C$5280,Assumptions!$E$60))</f>
        <v>0.065</v>
      </c>
      <c r="K5331" s="31" t="n">
        <f aca="false">IF(J5602=1,$C$5281,IF(Assumptions!$I$60=1,MAX(K5279,Assumptions!$G$60)+Assumptions!$F$60+$C$5280,Assumptions!$E$60))</f>
        <v>0.065</v>
      </c>
    </row>
    <row r="5332" customFormat="false" ht="15" hidden="false" customHeight="false" outlineLevel="0" collapsed="false">
      <c r="A5332" s="3" t="s">
        <v>332</v>
      </c>
      <c r="G5332" s="16" t="n">
        <f aca="false">G5328*G5331</f>
        <v>0</v>
      </c>
      <c r="H5332" s="16" t="n">
        <f aca="false">H5328*H5331</f>
        <v>0</v>
      </c>
      <c r="I5332" s="16" t="n">
        <f aca="false">I5328*I5331</f>
        <v>0</v>
      </c>
      <c r="J5332" s="16" t="n">
        <f aca="false">J5328*J5331</f>
        <v>0</v>
      </c>
      <c r="K5332" s="16" t="n">
        <f aca="false">K5328*K5331</f>
        <v>0</v>
      </c>
    </row>
    <row r="5333" customFormat="false" ht="15" hidden="false" customHeight="false" outlineLevel="0" collapsed="false">
      <c r="A5333" s="3" t="s">
        <v>333</v>
      </c>
      <c r="G5333" s="16" t="n">
        <f aca="false">G5328*Assumptions!$H$60</f>
        <v>0</v>
      </c>
      <c r="H5333" s="16" t="n">
        <f aca="false">H5328*Assumptions!$H$60</f>
        <v>0</v>
      </c>
      <c r="I5333" s="16" t="n">
        <f aca="false">I5328*Assumptions!$H$60</f>
        <v>0</v>
      </c>
      <c r="J5333" s="16" t="n">
        <f aca="false">J5328*Assumptions!$H$60</f>
        <v>0</v>
      </c>
      <c r="K5333" s="16" t="n">
        <f aca="false">K5328*Assumptions!$H$60</f>
        <v>0</v>
      </c>
    </row>
    <row r="5334" customFormat="false" ht="15" hidden="false" customHeight="false" outlineLevel="0" collapsed="false">
      <c r="A5334" s="3" t="s">
        <v>334</v>
      </c>
      <c r="G5334" s="16" t="n">
        <f aca="false">MIN(G5328,Assumptions!$L$60*Assumptions!$C$60)</f>
        <v>0</v>
      </c>
      <c r="H5334" s="16" t="n">
        <f aca="false">MIN(H5328,Assumptions!$L$60*Assumptions!$C$60)</f>
        <v>0</v>
      </c>
      <c r="I5334" s="16" t="n">
        <f aca="false">MIN(I5328,Assumptions!$L$60*Assumptions!$C$60)</f>
        <v>0</v>
      </c>
      <c r="J5334" s="16" t="n">
        <f aca="false">MIN(J5328,Assumptions!$L$60*Assumptions!$C$60)</f>
        <v>0</v>
      </c>
      <c r="K5334" s="16" t="n">
        <f aca="false">MIN(K5328,Assumptions!$L$60*Assumptions!$C$60)</f>
        <v>0</v>
      </c>
    </row>
    <row r="5335" customFormat="false" ht="15" hidden="false" customHeight="false" outlineLevel="0" collapsed="false">
      <c r="A5335" s="3" t="s">
        <v>335</v>
      </c>
      <c r="G5335" s="16" t="n">
        <f aca="false">IF(AND(Assumptions!$P$60=1,G5253&lt;Assumptions!$K$60),MIN(MAX(0,-G5469),MAX(0,Assumptions!$D$60-G5328)),0)</f>
        <v>0</v>
      </c>
      <c r="H5335" s="16" t="n">
        <f aca="false">IF(AND(Assumptions!$P$60=1,OR(H5253&lt;Assumptions!$K$60,G5602=1)),MIN(MAX(0,-H5469),MAX(0,Assumptions!$D$60-H5328)),0)</f>
        <v>0</v>
      </c>
      <c r="I5335" s="16" t="n">
        <f aca="false">IF(AND(Assumptions!$P$60=1,OR(I5253&lt;Assumptions!$K$60,H5602=1)),MIN(MAX(0,-I5469),MAX(0,Assumptions!$D$60-I5328)),0)</f>
        <v>0</v>
      </c>
      <c r="J5335" s="16" t="n">
        <f aca="false">IF(AND(Assumptions!$P$60=1,OR(J5253&lt;Assumptions!$K$60,I5602=1)),MIN(MAX(0,-J5469),MAX(0,Assumptions!$D$60-J5328)),0)</f>
        <v>0</v>
      </c>
      <c r="K5335" s="16" t="n">
        <f aca="false">IF(AND(Assumptions!$P$60=1,OR(K5253&lt;Assumptions!$K$60,J5602=1)),MIN(MAX(0,-K5469),MAX(0,Assumptions!$D$60-K5328)),0)</f>
        <v>0</v>
      </c>
    </row>
    <row r="5336" customFormat="false" ht="15" hidden="false" customHeight="false" outlineLevel="0" collapsed="false">
      <c r="A5336" s="3" t="s">
        <v>336</v>
      </c>
      <c r="G5336" s="16" t="n">
        <f aca="false">G5329*MIN(G5328-G5334+G5333,MAX(0,G5471-Assumptions!$C$12*G5287-G5297-G5310-G5323))</f>
        <v>0</v>
      </c>
      <c r="H5336" s="16" t="n">
        <f aca="false">H5329*MIN(H5328-H5334+H5333,MAX(0,H5471-Assumptions!$C$12*H5287-H5297-H5310-H5323))</f>
        <v>0</v>
      </c>
      <c r="I5336" s="16" t="n">
        <f aca="false">I5329*MIN(I5328-I5334+I5333,MAX(0,I5471-Assumptions!$C$12*I5287-I5297-I5310-I5323))</f>
        <v>0</v>
      </c>
      <c r="J5336" s="16" t="n">
        <f aca="false">J5329*MIN(J5328-J5334+J5333,MAX(0,J5471-Assumptions!$C$12*J5287-J5297-J5310-J5323))</f>
        <v>0</v>
      </c>
      <c r="K5336" s="16" t="n">
        <f aca="false">K5329*MIN(K5328-K5334+K5333,MAX(0,K5471-Assumptions!$C$12*K5287-K5297-K5310-K5323))</f>
        <v>0</v>
      </c>
    </row>
    <row r="5337" customFormat="false" ht="15" hidden="false" customHeight="false" outlineLevel="0" collapsed="false">
      <c r="A5337" s="3" t="s">
        <v>337</v>
      </c>
      <c r="G5337" s="16" t="n">
        <f aca="false">Assumptions!$N$60*MIN(G5328+G5335+G5333-G5334-G5336,MAX(0,G5475-G5298-G5311-G5324))</f>
        <v>0</v>
      </c>
      <c r="H5337" s="16" t="n">
        <f aca="false">Assumptions!$N$60*MIN(H5328+H5335+H5333-H5334-H5336,MAX(0,H5475-H5298-H5311-H5324))</f>
        <v>0</v>
      </c>
      <c r="I5337" s="16" t="n">
        <f aca="false">Assumptions!$N$60*MIN(I5328+I5335+I5333-I5334-I5336,MAX(0,I5475-I5298-I5311-I5324))</f>
        <v>0</v>
      </c>
      <c r="J5337" s="16" t="n">
        <f aca="false">Assumptions!$N$60*MIN(J5328+J5335+J5333-J5334-J5336,MAX(0,J5475-J5298-J5311-J5324))</f>
        <v>0</v>
      </c>
      <c r="K5337" s="16" t="n">
        <f aca="false">Assumptions!$N$60*MIN(K5328+K5335+K5333-K5334-K5336,MAX(0,K5475-K5298-K5311-K5324))</f>
        <v>0</v>
      </c>
    </row>
    <row r="5338" customFormat="false" ht="15" hidden="false" customHeight="false" outlineLevel="0" collapsed="false">
      <c r="A5338" s="3" t="s">
        <v>338</v>
      </c>
      <c r="G5338" s="16" t="n">
        <f aca="false">G5329*(1-G5287)*(G5328-G5334+G5333-G5336)</f>
        <v>0</v>
      </c>
      <c r="H5338" s="16" t="n">
        <f aca="false">H5329*(1-H5287)*(H5328-H5334+H5333-H5336)</f>
        <v>0</v>
      </c>
      <c r="I5338" s="16" t="n">
        <f aca="false">I5329*(1-I5287)*(I5328-I5334+I5333-I5336)</f>
        <v>0</v>
      </c>
      <c r="J5338" s="16" t="n">
        <f aca="false">J5329*(1-J5287)*(J5328-J5334+J5333-J5336)</f>
        <v>0</v>
      </c>
      <c r="K5338" s="16" t="n">
        <f aca="false">K5329*(1-K5287)*(K5328-K5334+K5333-K5336)</f>
        <v>0</v>
      </c>
    </row>
    <row r="5339" customFormat="false" ht="15" hidden="false" customHeight="false" outlineLevel="0" collapsed="false">
      <c r="A5339" s="2" t="s">
        <v>339</v>
      </c>
      <c r="F5339" s="28" t="n">
        <f aca="false">Assumptions!$C$60</f>
        <v>0</v>
      </c>
      <c r="G5339" s="17" t="n">
        <f aca="false">G5328+G5335+G5333-G5334-G5336-G5337</f>
        <v>0</v>
      </c>
      <c r="H5339" s="17" t="n">
        <f aca="false">H5328+H5335+H5333-H5334-H5336-H5337</f>
        <v>0</v>
      </c>
      <c r="I5339" s="17" t="n">
        <f aca="false">I5328+I5335+I5333-I5334-I5336-I5337</f>
        <v>0</v>
      </c>
      <c r="J5339" s="17" t="n">
        <f aca="false">J5328+J5335+J5333-J5334-J5336-J5337</f>
        <v>0</v>
      </c>
      <c r="K5339" s="17" t="n">
        <f aca="false">K5328+K5335+K5333-K5334-K5336-K5337</f>
        <v>0</v>
      </c>
    </row>
    <row r="5340" customFormat="false" ht="15" hidden="false" customHeight="false" outlineLevel="0" collapsed="false">
      <c r="A5340" s="24" t="s">
        <v>343</v>
      </c>
      <c r="B5340" s="25"/>
      <c r="C5340" s="25"/>
      <c r="D5340" s="25"/>
      <c r="E5340" s="25"/>
      <c r="F5340" s="25"/>
      <c r="G5340" s="25"/>
      <c r="H5340" s="25"/>
      <c r="I5340" s="25"/>
      <c r="J5340" s="25"/>
      <c r="K5340" s="25"/>
    </row>
    <row r="5341" customFormat="false" ht="15" hidden="false" customHeight="false" outlineLevel="0" collapsed="false">
      <c r="A5341" s="3" t="s">
        <v>329</v>
      </c>
      <c r="G5341" s="16" t="n">
        <f aca="false">F5352</f>
        <v>450</v>
      </c>
      <c r="H5341" s="16" t="n">
        <f aca="false">G5352</f>
        <v>450</v>
      </c>
      <c r="I5341" s="16" t="n">
        <f aca="false">H5352</f>
        <v>438.355768833</v>
      </c>
      <c r="J5341" s="16" t="n">
        <f aca="false">I5352</f>
        <v>438.355768833</v>
      </c>
      <c r="K5341" s="16" t="n">
        <f aca="false">J5352</f>
        <v>438.355768833</v>
      </c>
    </row>
    <row r="5342" customFormat="false" ht="15" hidden="false" customHeight="false" outlineLevel="0" collapsed="false">
      <c r="A5342" s="3" t="s">
        <v>330</v>
      </c>
      <c r="G5342" s="21" t="n">
        <f aca="false">IF(G5253=Assumptions!$K$61,1,0)</f>
        <v>0</v>
      </c>
      <c r="H5342" s="21" t="n">
        <f aca="false">IF(H5253=Assumptions!$K$61,1,0)</f>
        <v>1</v>
      </c>
      <c r="I5342" s="21" t="n">
        <f aca="false">IF(I5253=Assumptions!$K$61,1,0)</f>
        <v>0</v>
      </c>
      <c r="J5342" s="21" t="n">
        <f aca="false">IF(J5253=Assumptions!$K$61,1,0)</f>
        <v>0</v>
      </c>
      <c r="K5342" s="21" t="n">
        <f aca="false">IF(K5253=Assumptions!$K$61,1,0)</f>
        <v>0</v>
      </c>
    </row>
    <row r="5344" customFormat="false" ht="15" hidden="false" customHeight="false" outlineLevel="0" collapsed="false">
      <c r="A5344" s="3" t="s">
        <v>331</v>
      </c>
      <c r="G5344" s="31" t="n">
        <f aca="false">IF(Assumptions!$I$61=1,MAX(G5279,Assumptions!$G$61)+Assumptions!$F$61+$C$5280,Assumptions!$E$61)</f>
        <v>0.0395</v>
      </c>
      <c r="H5344" s="31" t="n">
        <f aca="false">IF(G5603=1,$C$5281,IF(Assumptions!$I$61=1,MAX(H5279,Assumptions!$G$61)+Assumptions!$F$61+$C$5280,Assumptions!$E$61))</f>
        <v>0.0395</v>
      </c>
      <c r="I5344" s="31" t="n">
        <f aca="false">IF(H5603=1,$C$5281,IF(Assumptions!$I$61=1,MAX(I5279,Assumptions!$G$61)+Assumptions!$F$61+$C$5280,Assumptions!$E$61))</f>
        <v>0.0395</v>
      </c>
      <c r="J5344" s="31" t="n">
        <f aca="false">IF(I5603=1,$C$5281,IF(Assumptions!$I$61=1,MAX(J5279,Assumptions!$G$61)+Assumptions!$F$61+$C$5280,Assumptions!$E$61))</f>
        <v>0.0395</v>
      </c>
      <c r="K5344" s="31" t="n">
        <f aca="false">IF(J5603=1,$C$5281,IF(Assumptions!$I$61=1,MAX(K5279,Assumptions!$G$61)+Assumptions!$F$61+$C$5280,Assumptions!$E$61))</f>
        <v>0.0395</v>
      </c>
    </row>
    <row r="5345" customFormat="false" ht="15" hidden="false" customHeight="false" outlineLevel="0" collapsed="false">
      <c r="A5345" s="3" t="s">
        <v>332</v>
      </c>
      <c r="G5345" s="16" t="n">
        <f aca="false">G5341*G5344</f>
        <v>17.775</v>
      </c>
      <c r="H5345" s="16" t="n">
        <f aca="false">H5341*H5344</f>
        <v>17.775</v>
      </c>
      <c r="I5345" s="16" t="n">
        <f aca="false">I5341*I5344</f>
        <v>17.3150528689035</v>
      </c>
      <c r="J5345" s="16" t="n">
        <f aca="false">J5341*J5344</f>
        <v>17.3150528689035</v>
      </c>
      <c r="K5345" s="16" t="n">
        <f aca="false">K5341*K5344</f>
        <v>17.3150528689035</v>
      </c>
    </row>
    <row r="5346" customFormat="false" ht="15" hidden="false" customHeight="false" outlineLevel="0" collapsed="false">
      <c r="A5346" s="3" t="s">
        <v>333</v>
      </c>
      <c r="G5346" s="16" t="n">
        <f aca="false">G5341*Assumptions!$H$61</f>
        <v>0</v>
      </c>
      <c r="H5346" s="16" t="n">
        <f aca="false">H5341*Assumptions!$H$61</f>
        <v>0</v>
      </c>
      <c r="I5346" s="16" t="n">
        <f aca="false">I5341*Assumptions!$H$61</f>
        <v>0</v>
      </c>
      <c r="J5346" s="16" t="n">
        <f aca="false">J5341*Assumptions!$H$61</f>
        <v>0</v>
      </c>
      <c r="K5346" s="16" t="n">
        <f aca="false">K5341*Assumptions!$H$61</f>
        <v>0</v>
      </c>
    </row>
    <row r="5347" customFormat="false" ht="15" hidden="false" customHeight="false" outlineLevel="0" collapsed="false">
      <c r="A5347" s="3" t="s">
        <v>334</v>
      </c>
      <c r="G5347" s="16" t="n">
        <f aca="false">MIN(G5341,Assumptions!$L$61*Assumptions!$C$61)</f>
        <v>0</v>
      </c>
      <c r="H5347" s="16" t="n">
        <f aca="false">MIN(H5341,Assumptions!$L$61*Assumptions!$C$61)</f>
        <v>0</v>
      </c>
      <c r="I5347" s="16" t="n">
        <f aca="false">MIN(I5341,Assumptions!$L$61*Assumptions!$C$61)</f>
        <v>0</v>
      </c>
      <c r="J5347" s="16" t="n">
        <f aca="false">MIN(J5341,Assumptions!$L$61*Assumptions!$C$61)</f>
        <v>0</v>
      </c>
      <c r="K5347" s="16" t="n">
        <f aca="false">MIN(K5341,Assumptions!$L$61*Assumptions!$C$61)</f>
        <v>0</v>
      </c>
    </row>
    <row r="5348" customFormat="false" ht="15" hidden="false" customHeight="false" outlineLevel="0" collapsed="false">
      <c r="A5348" s="3" t="s">
        <v>335</v>
      </c>
      <c r="G5348" s="16" t="n">
        <f aca="false">IF(AND(Assumptions!$P$61=1,G5253&lt;Assumptions!$K$61),MIN(MAX(0,-G5469),MAX(0,Assumptions!$D$61-G5341)),0)</f>
        <v>0</v>
      </c>
      <c r="H5348" s="16" t="n">
        <f aca="false">IF(AND(Assumptions!$P$61=1,OR(H5253&lt;Assumptions!$K$61,G5603=1)),MIN(MAX(0,-H5469),MAX(0,Assumptions!$D$61-H5341)),0)</f>
        <v>0</v>
      </c>
      <c r="I5348" s="16" t="n">
        <f aca="false">IF(AND(Assumptions!$P$61=1,OR(I5253&lt;Assumptions!$K$61,H5603=1)),MIN(MAX(0,-I5469),MAX(0,Assumptions!$D$61-I5341)),0)</f>
        <v>0</v>
      </c>
      <c r="J5348" s="16" t="n">
        <f aca="false">IF(AND(Assumptions!$P$61=1,OR(J5253&lt;Assumptions!$K$61,I5603=1)),MIN(MAX(0,-J5469),MAX(0,Assumptions!$D$61-J5341)),0)</f>
        <v>0</v>
      </c>
      <c r="K5348" s="16" t="n">
        <f aca="false">IF(AND(Assumptions!$P$61=1,OR(K5253&lt;Assumptions!$K$61,J5603=1)),MIN(MAX(0,-K5469),MAX(0,Assumptions!$D$61-K5341)),0)</f>
        <v>0</v>
      </c>
    </row>
    <row r="5349" customFormat="false" ht="15" hidden="false" customHeight="false" outlineLevel="0" collapsed="false">
      <c r="A5349" s="3" t="s">
        <v>336</v>
      </c>
      <c r="G5349" s="16" t="n">
        <f aca="false">G5342*MIN(G5341-G5347+G5346,MAX(0,G5471-Assumptions!$C$12*G5287-G5297-G5310-G5323-G5336))</f>
        <v>0</v>
      </c>
      <c r="H5349" s="16" t="n">
        <f aca="false">H5342*MIN(H5341-H5347+H5346,MAX(0,H5471-Assumptions!$C$12*H5287-H5297-H5310-H5323-H5336))</f>
        <v>11.6442311670001</v>
      </c>
      <c r="I5349" s="16" t="n">
        <f aca="false">I5342*MIN(I5341-I5347+I5346,MAX(0,I5471-Assumptions!$C$12*I5287-I5297-I5310-I5323-I5336))</f>
        <v>0</v>
      </c>
      <c r="J5349" s="16" t="n">
        <f aca="false">J5342*MIN(J5341-J5347+J5346,MAX(0,J5471-Assumptions!$C$12*J5287-J5297-J5310-J5323-J5336))</f>
        <v>0</v>
      </c>
      <c r="K5349" s="16" t="n">
        <f aca="false">K5342*MIN(K5341-K5347+K5346,MAX(0,K5471-Assumptions!$C$12*K5287-K5297-K5310-K5323-K5336))</f>
        <v>0</v>
      </c>
    </row>
    <row r="5350" customFormat="false" ht="15" hidden="false" customHeight="false" outlineLevel="0" collapsed="false">
      <c r="A5350" s="3" t="s">
        <v>337</v>
      </c>
      <c r="G5350" s="16" t="n">
        <f aca="false">Assumptions!$N$61*MIN(G5341+G5348+G5346-G5347-G5349,MAX(0,G5475-G5298-G5311-G5324-G5337))</f>
        <v>0</v>
      </c>
      <c r="H5350" s="16" t="n">
        <f aca="false">Assumptions!$N$61*MIN(H5341+H5348+H5346-H5347-H5349,MAX(0,H5475-H5298-H5311-H5324-H5337))</f>
        <v>0</v>
      </c>
      <c r="I5350" s="16" t="n">
        <f aca="false">Assumptions!$N$61*MIN(I5341+I5348+I5346-I5347-I5349,MAX(0,I5475-I5298-I5311-I5324-I5337))</f>
        <v>0</v>
      </c>
      <c r="J5350" s="16" t="n">
        <f aca="false">Assumptions!$N$61*MIN(J5341+J5348+J5346-J5347-J5349,MAX(0,J5475-J5298-J5311-J5324-J5337))</f>
        <v>0</v>
      </c>
      <c r="K5350" s="16" t="n">
        <f aca="false">Assumptions!$N$61*MIN(K5341+K5348+K5346-K5347-K5349,MAX(0,K5475-K5298-K5311-K5324-K5337))</f>
        <v>0</v>
      </c>
    </row>
    <row r="5351" customFormat="false" ht="15" hidden="false" customHeight="false" outlineLevel="0" collapsed="false">
      <c r="A5351" s="3" t="s">
        <v>338</v>
      </c>
      <c r="G5351" s="16" t="n">
        <f aca="false">G5342*(1-G5287)*(G5341-G5347+G5346-G5349)</f>
        <v>0</v>
      </c>
      <c r="H5351" s="16" t="n">
        <f aca="false">H5342*(1-H5287)*(H5341-H5347+H5346-H5349)</f>
        <v>438.355768833</v>
      </c>
      <c r="I5351" s="16" t="n">
        <f aca="false">I5342*(1-I5287)*(I5341-I5347+I5346-I5349)</f>
        <v>0</v>
      </c>
      <c r="J5351" s="16" t="n">
        <f aca="false">J5342*(1-J5287)*(J5341-J5347+J5346-J5349)</f>
        <v>0</v>
      </c>
      <c r="K5351" s="16" t="n">
        <f aca="false">K5342*(1-K5287)*(K5341-K5347+K5346-K5349)</f>
        <v>0</v>
      </c>
    </row>
    <row r="5352" customFormat="false" ht="15" hidden="false" customHeight="false" outlineLevel="0" collapsed="false">
      <c r="A5352" s="2" t="s">
        <v>339</v>
      </c>
      <c r="F5352" s="28" t="n">
        <f aca="false">Assumptions!$C$61</f>
        <v>450</v>
      </c>
      <c r="G5352" s="17" t="n">
        <f aca="false">G5341+G5348+G5346-G5347-G5349-G5350</f>
        <v>450</v>
      </c>
      <c r="H5352" s="17" t="n">
        <f aca="false">H5341+H5348+H5346-H5347-H5349-H5350</f>
        <v>438.355768833</v>
      </c>
      <c r="I5352" s="17" t="n">
        <f aca="false">I5341+I5348+I5346-I5347-I5349-I5350</f>
        <v>438.355768833</v>
      </c>
      <c r="J5352" s="17" t="n">
        <f aca="false">J5341+J5348+J5346-J5347-J5349-J5350</f>
        <v>438.355768833</v>
      </c>
      <c r="K5352" s="17" t="n">
        <f aca="false">K5341+K5348+K5346-K5347-K5349-K5350</f>
        <v>438.355768833</v>
      </c>
    </row>
    <row r="5353" customFormat="false" ht="15" hidden="false" customHeight="false" outlineLevel="0" collapsed="false">
      <c r="A5353" s="24" t="s">
        <v>344</v>
      </c>
      <c r="B5353" s="25"/>
      <c r="C5353" s="25"/>
      <c r="D5353" s="25"/>
      <c r="E5353" s="25"/>
      <c r="F5353" s="25"/>
      <c r="G5353" s="25"/>
      <c r="H5353" s="25"/>
      <c r="I5353" s="25"/>
      <c r="J5353" s="25"/>
      <c r="K5353" s="25"/>
    </row>
    <row r="5354" customFormat="false" ht="15" hidden="false" customHeight="false" outlineLevel="0" collapsed="false">
      <c r="A5354" s="3" t="s">
        <v>329</v>
      </c>
      <c r="G5354" s="16" t="n">
        <f aca="false">F5365</f>
        <v>350</v>
      </c>
      <c r="H5354" s="16" t="n">
        <f aca="false">G5365</f>
        <v>350</v>
      </c>
      <c r="I5354" s="16" t="n">
        <f aca="false">H5365</f>
        <v>350</v>
      </c>
      <c r="J5354" s="16" t="n">
        <f aca="false">I5365</f>
        <v>350</v>
      </c>
      <c r="K5354" s="16" t="n">
        <f aca="false">J5365</f>
        <v>350</v>
      </c>
    </row>
    <row r="5355" customFormat="false" ht="15" hidden="false" customHeight="false" outlineLevel="0" collapsed="false">
      <c r="A5355" s="3" t="s">
        <v>330</v>
      </c>
      <c r="G5355" s="21" t="n">
        <f aca="false">IF(G5253=Assumptions!$K$62,1,0)</f>
        <v>0</v>
      </c>
      <c r="H5355" s="21" t="n">
        <f aca="false">IF(H5253=Assumptions!$K$62,1,0)</f>
        <v>1</v>
      </c>
      <c r="I5355" s="21" t="n">
        <f aca="false">IF(I5253=Assumptions!$K$62,1,0)</f>
        <v>0</v>
      </c>
      <c r="J5355" s="21" t="n">
        <f aca="false">IF(J5253=Assumptions!$K$62,1,0)</f>
        <v>0</v>
      </c>
      <c r="K5355" s="21" t="n">
        <f aca="false">IF(K5253=Assumptions!$K$62,1,0)</f>
        <v>0</v>
      </c>
    </row>
    <row r="5357" customFormat="false" ht="15" hidden="false" customHeight="false" outlineLevel="0" collapsed="false">
      <c r="A5357" s="3" t="s">
        <v>331</v>
      </c>
      <c r="G5357" s="31" t="n">
        <f aca="false">IF(Assumptions!$I$62=1,MAX(G5279,Assumptions!$G$62)+Assumptions!$F$62+$C$5280,Assumptions!$E$62)</f>
        <v>0.083</v>
      </c>
      <c r="H5357" s="31" t="n">
        <f aca="false">IF(G5604=1,$C$5281,IF(Assumptions!$I$62=1,MAX(H5279,Assumptions!$G$62)+Assumptions!$F$62+$C$5280,Assumptions!$E$62))</f>
        <v>0.083</v>
      </c>
      <c r="I5357" s="31" t="n">
        <f aca="false">IF(H5604=1,$C$5281,IF(Assumptions!$I$62=1,MAX(I5279,Assumptions!$G$62)+Assumptions!$F$62+$C$5280,Assumptions!$E$62))</f>
        <v>0.083</v>
      </c>
      <c r="J5357" s="31" t="n">
        <f aca="false">IF(I5604=1,$C$5281,IF(Assumptions!$I$62=1,MAX(J5279,Assumptions!$G$62)+Assumptions!$F$62+$C$5280,Assumptions!$E$62))</f>
        <v>0.083</v>
      </c>
      <c r="K5357" s="31" t="n">
        <f aca="false">IF(J5604=1,$C$5281,IF(Assumptions!$I$62=1,MAX(K5279,Assumptions!$G$62)+Assumptions!$F$62+$C$5280,Assumptions!$E$62))</f>
        <v>0.083</v>
      </c>
    </row>
    <row r="5358" customFormat="false" ht="15" hidden="false" customHeight="false" outlineLevel="0" collapsed="false">
      <c r="A5358" s="3" t="s">
        <v>332</v>
      </c>
      <c r="G5358" s="16" t="n">
        <f aca="false">G5354*G5357</f>
        <v>29.05</v>
      </c>
      <c r="H5358" s="16" t="n">
        <f aca="false">H5354*H5357</f>
        <v>29.05</v>
      </c>
      <c r="I5358" s="16" t="n">
        <f aca="false">I5354*I5357</f>
        <v>29.05</v>
      </c>
      <c r="J5358" s="16" t="n">
        <f aca="false">J5354*J5357</f>
        <v>29.05</v>
      </c>
      <c r="K5358" s="16" t="n">
        <f aca="false">K5354*K5357</f>
        <v>29.05</v>
      </c>
    </row>
    <row r="5359" customFormat="false" ht="15" hidden="false" customHeight="false" outlineLevel="0" collapsed="false">
      <c r="A5359" s="3" t="s">
        <v>333</v>
      </c>
      <c r="G5359" s="16" t="n">
        <f aca="false">G5354*Assumptions!$H$62</f>
        <v>0</v>
      </c>
      <c r="H5359" s="16" t="n">
        <f aca="false">H5354*Assumptions!$H$62</f>
        <v>0</v>
      </c>
      <c r="I5359" s="16" t="n">
        <f aca="false">I5354*Assumptions!$H$62</f>
        <v>0</v>
      </c>
      <c r="J5359" s="16" t="n">
        <f aca="false">J5354*Assumptions!$H$62</f>
        <v>0</v>
      </c>
      <c r="K5359" s="16" t="n">
        <f aca="false">K5354*Assumptions!$H$62</f>
        <v>0</v>
      </c>
    </row>
    <row r="5360" customFormat="false" ht="15" hidden="false" customHeight="false" outlineLevel="0" collapsed="false">
      <c r="A5360" s="3" t="s">
        <v>334</v>
      </c>
      <c r="G5360" s="16" t="n">
        <f aca="false">MIN(G5354,Assumptions!$L$62*Assumptions!$C$62)</f>
        <v>0</v>
      </c>
      <c r="H5360" s="16" t="n">
        <f aca="false">MIN(H5354,Assumptions!$L$62*Assumptions!$C$62)</f>
        <v>0</v>
      </c>
      <c r="I5360" s="16" t="n">
        <f aca="false">MIN(I5354,Assumptions!$L$62*Assumptions!$C$62)</f>
        <v>0</v>
      </c>
      <c r="J5360" s="16" t="n">
        <f aca="false">MIN(J5354,Assumptions!$L$62*Assumptions!$C$62)</f>
        <v>0</v>
      </c>
      <c r="K5360" s="16" t="n">
        <f aca="false">MIN(K5354,Assumptions!$L$62*Assumptions!$C$62)</f>
        <v>0</v>
      </c>
    </row>
    <row r="5361" customFormat="false" ht="15" hidden="false" customHeight="false" outlineLevel="0" collapsed="false">
      <c r="A5361" s="3" t="s">
        <v>335</v>
      </c>
      <c r="G5361" s="16" t="n">
        <f aca="false">IF(AND(Assumptions!$P$62=1,G5253&lt;Assumptions!$K$62),MIN(MAX(0,-G5469),MAX(0,Assumptions!$D$62-G5354)),0)</f>
        <v>0</v>
      </c>
      <c r="H5361" s="16" t="n">
        <f aca="false">IF(AND(Assumptions!$P$62=1,OR(H5253&lt;Assumptions!$K$62,G5604=1)),MIN(MAX(0,-H5469),MAX(0,Assumptions!$D$62-H5354)),0)</f>
        <v>0</v>
      </c>
      <c r="I5361" s="16" t="n">
        <f aca="false">IF(AND(Assumptions!$P$62=1,OR(I5253&lt;Assumptions!$K$62,H5604=1)),MIN(MAX(0,-I5469),MAX(0,Assumptions!$D$62-I5354)),0)</f>
        <v>0</v>
      </c>
      <c r="J5361" s="16" t="n">
        <f aca="false">IF(AND(Assumptions!$P$62=1,OR(J5253&lt;Assumptions!$K$62,I5604=1)),MIN(MAX(0,-J5469),MAX(0,Assumptions!$D$62-J5354)),0)</f>
        <v>0</v>
      </c>
      <c r="K5361" s="16" t="n">
        <f aca="false">IF(AND(Assumptions!$P$62=1,OR(K5253&lt;Assumptions!$K$62,J5604=1)),MIN(MAX(0,-K5469),MAX(0,Assumptions!$D$62-K5354)),0)</f>
        <v>0</v>
      </c>
    </row>
    <row r="5362" customFormat="false" ht="15" hidden="false" customHeight="false" outlineLevel="0" collapsed="false">
      <c r="A5362" s="3" t="s">
        <v>336</v>
      </c>
      <c r="G5362" s="16" t="n">
        <f aca="false">G5355*MIN(G5354-G5360+G5359,MAX(0,G5471-Assumptions!$C$12*G5287-G5297-G5310-G5323-G5336-G5349))</f>
        <v>0</v>
      </c>
      <c r="H5362" s="16" t="n">
        <f aca="false">H5355*MIN(H5354-H5360+H5359,MAX(0,H5471-Assumptions!$C$12*H5287-H5297-H5310-H5323-H5336-H5349))</f>
        <v>0</v>
      </c>
      <c r="I5362" s="16" t="n">
        <f aca="false">I5355*MIN(I5354-I5360+I5359,MAX(0,I5471-Assumptions!$C$12*I5287-I5297-I5310-I5323-I5336-I5349))</f>
        <v>0</v>
      </c>
      <c r="J5362" s="16" t="n">
        <f aca="false">J5355*MIN(J5354-J5360+J5359,MAX(0,J5471-Assumptions!$C$12*J5287-J5297-J5310-J5323-J5336-J5349))</f>
        <v>0</v>
      </c>
      <c r="K5362" s="16" t="n">
        <f aca="false">K5355*MIN(K5354-K5360+K5359,MAX(0,K5471-Assumptions!$C$12*K5287-K5297-K5310-K5323-K5336-K5349))</f>
        <v>0</v>
      </c>
    </row>
    <row r="5363" customFormat="false" ht="15" hidden="false" customHeight="false" outlineLevel="0" collapsed="false">
      <c r="A5363" s="3" t="s">
        <v>337</v>
      </c>
      <c r="G5363" s="16" t="n">
        <f aca="false">Assumptions!$N$62*MIN(G5354+G5361+G5359-G5360-G5362,MAX(0,G5475-G5298-G5311-G5324-G5337-G5350))</f>
        <v>0</v>
      </c>
      <c r="H5363" s="16" t="n">
        <f aca="false">Assumptions!$N$62*MIN(H5354+H5361+H5359-H5360-H5362,MAX(0,H5475-H5298-H5311-H5324-H5337-H5350))</f>
        <v>0</v>
      </c>
      <c r="I5363" s="16" t="n">
        <f aca="false">Assumptions!$N$62*MIN(I5354+I5361+I5359-I5360-I5362,MAX(0,I5475-I5298-I5311-I5324-I5337-I5350))</f>
        <v>0</v>
      </c>
      <c r="J5363" s="16" t="n">
        <f aca="false">Assumptions!$N$62*MIN(J5354+J5361+J5359-J5360-J5362,MAX(0,J5475-J5298-J5311-J5324-J5337-J5350))</f>
        <v>0</v>
      </c>
      <c r="K5363" s="16" t="n">
        <f aca="false">Assumptions!$N$62*MIN(K5354+K5361+K5359-K5360-K5362,MAX(0,K5475-K5298-K5311-K5324-K5337-K5350))</f>
        <v>0</v>
      </c>
    </row>
    <row r="5364" customFormat="false" ht="15" hidden="false" customHeight="false" outlineLevel="0" collapsed="false">
      <c r="A5364" s="3" t="s">
        <v>338</v>
      </c>
      <c r="G5364" s="16" t="n">
        <f aca="false">G5355*(1-G5287)*(G5354-G5360+G5359-G5362)</f>
        <v>0</v>
      </c>
      <c r="H5364" s="16" t="n">
        <f aca="false">H5355*(1-H5287)*(H5354-H5360+H5359-H5362)</f>
        <v>350</v>
      </c>
      <c r="I5364" s="16" t="n">
        <f aca="false">I5355*(1-I5287)*(I5354-I5360+I5359-I5362)</f>
        <v>0</v>
      </c>
      <c r="J5364" s="16" t="n">
        <f aca="false">J5355*(1-J5287)*(J5354-J5360+J5359-J5362)</f>
        <v>0</v>
      </c>
      <c r="K5364" s="16" t="n">
        <f aca="false">K5355*(1-K5287)*(K5354-K5360+K5359-K5362)</f>
        <v>0</v>
      </c>
    </row>
    <row r="5365" customFormat="false" ht="15" hidden="false" customHeight="false" outlineLevel="0" collapsed="false">
      <c r="A5365" s="2" t="s">
        <v>339</v>
      </c>
      <c r="F5365" s="28" t="n">
        <f aca="false">Assumptions!$C$62</f>
        <v>350</v>
      </c>
      <c r="G5365" s="17" t="n">
        <f aca="false">G5354+G5361+G5359-G5360-G5362-G5363</f>
        <v>350</v>
      </c>
      <c r="H5365" s="17" t="n">
        <f aca="false">H5354+H5361+H5359-H5360-H5362-H5363</f>
        <v>350</v>
      </c>
      <c r="I5365" s="17" t="n">
        <f aca="false">I5354+I5361+I5359-I5360-I5362-I5363</f>
        <v>350</v>
      </c>
      <c r="J5365" s="17" t="n">
        <f aca="false">J5354+J5361+J5359-J5360-J5362-J5363</f>
        <v>350</v>
      </c>
      <c r="K5365" s="17" t="n">
        <f aca="false">K5354+K5361+K5359-K5360-K5362-K5363</f>
        <v>350</v>
      </c>
    </row>
    <row r="5366" customFormat="false" ht="15" hidden="false" customHeight="false" outlineLevel="0" collapsed="false">
      <c r="A5366" s="24" t="s">
        <v>345</v>
      </c>
      <c r="B5366" s="25"/>
      <c r="C5366" s="25"/>
      <c r="D5366" s="25"/>
      <c r="E5366" s="25"/>
      <c r="F5366" s="25"/>
      <c r="G5366" s="25"/>
      <c r="H5366" s="25"/>
      <c r="I5366" s="25"/>
      <c r="J5366" s="25"/>
      <c r="K5366" s="25"/>
    </row>
    <row r="5367" customFormat="false" ht="15" hidden="false" customHeight="false" outlineLevel="0" collapsed="false">
      <c r="A5367" s="3" t="s">
        <v>329</v>
      </c>
      <c r="G5367" s="16" t="n">
        <f aca="false">F5378</f>
        <v>550</v>
      </c>
      <c r="H5367" s="16" t="n">
        <f aca="false">G5378</f>
        <v>550</v>
      </c>
      <c r="I5367" s="16" t="n">
        <f aca="false">H5378</f>
        <v>550</v>
      </c>
      <c r="J5367" s="16" t="n">
        <f aca="false">I5378</f>
        <v>550</v>
      </c>
      <c r="K5367" s="16" t="n">
        <f aca="false">J5378</f>
        <v>550</v>
      </c>
    </row>
    <row r="5368" customFormat="false" ht="15" hidden="false" customHeight="false" outlineLevel="0" collapsed="false">
      <c r="A5368" s="3" t="s">
        <v>330</v>
      </c>
      <c r="G5368" s="21" t="n">
        <f aca="false">IF(G5253=Assumptions!$K$63,1,0)</f>
        <v>0</v>
      </c>
      <c r="H5368" s="21" t="n">
        <f aca="false">IF(H5253=Assumptions!$K$63,1,0)</f>
        <v>0</v>
      </c>
      <c r="I5368" s="21" t="n">
        <f aca="false">IF(I5253=Assumptions!$K$63,1,0)</f>
        <v>1</v>
      </c>
      <c r="J5368" s="21" t="n">
        <f aca="false">IF(J5253=Assumptions!$K$63,1,0)</f>
        <v>0</v>
      </c>
      <c r="K5368" s="21" t="n">
        <f aca="false">IF(K5253=Assumptions!$K$63,1,0)</f>
        <v>0</v>
      </c>
    </row>
    <row r="5370" customFormat="false" ht="15" hidden="false" customHeight="false" outlineLevel="0" collapsed="false">
      <c r="A5370" s="3" t="s">
        <v>331</v>
      </c>
      <c r="G5370" s="31" t="n">
        <f aca="false">IF(Assumptions!$I$63=1,MAX(G5279,Assumptions!$G$63)+Assumptions!$F$63+$C$5280,Assumptions!$E$63)</f>
        <v>0.08875</v>
      </c>
      <c r="H5370" s="31" t="n">
        <f aca="false">IF(G5605=1,$C$5281,IF(Assumptions!$I$63=1,MAX(H5279,Assumptions!$G$63)+Assumptions!$F$63+$C$5280,Assumptions!$E$63))</f>
        <v>0.08875</v>
      </c>
      <c r="I5370" s="31" t="n">
        <f aca="false">IF(H5605=1,$C$5281,IF(Assumptions!$I$63=1,MAX(I5279,Assumptions!$G$63)+Assumptions!$F$63+$C$5280,Assumptions!$E$63))</f>
        <v>0.08875</v>
      </c>
      <c r="J5370" s="31" t="n">
        <f aca="false">IF(I5605=1,$C$5281,IF(Assumptions!$I$63=1,MAX(J5279,Assumptions!$G$63)+Assumptions!$F$63+$C$5280,Assumptions!$E$63))</f>
        <v>0.08875</v>
      </c>
      <c r="K5370" s="31" t="n">
        <f aca="false">IF(J5605=1,$C$5281,IF(Assumptions!$I$63=1,MAX(K5279,Assumptions!$G$63)+Assumptions!$F$63+$C$5280,Assumptions!$E$63))</f>
        <v>0.08875</v>
      </c>
    </row>
    <row r="5371" customFormat="false" ht="15" hidden="false" customHeight="false" outlineLevel="0" collapsed="false">
      <c r="A5371" s="3" t="s">
        <v>332</v>
      </c>
      <c r="G5371" s="16" t="n">
        <f aca="false">G5367*G5370</f>
        <v>48.8125</v>
      </c>
      <c r="H5371" s="16" t="n">
        <f aca="false">H5367*H5370</f>
        <v>48.8125</v>
      </c>
      <c r="I5371" s="16" t="n">
        <f aca="false">I5367*I5370</f>
        <v>48.8125</v>
      </c>
      <c r="J5371" s="16" t="n">
        <f aca="false">J5367*J5370</f>
        <v>48.8125</v>
      </c>
      <c r="K5371" s="16" t="n">
        <f aca="false">K5367*K5370</f>
        <v>48.8125</v>
      </c>
    </row>
    <row r="5372" customFormat="false" ht="15" hidden="false" customHeight="false" outlineLevel="0" collapsed="false">
      <c r="A5372" s="3" t="s">
        <v>333</v>
      </c>
      <c r="G5372" s="16" t="n">
        <f aca="false">G5367*Assumptions!$H$63</f>
        <v>0</v>
      </c>
      <c r="H5372" s="16" t="n">
        <f aca="false">H5367*Assumptions!$H$63</f>
        <v>0</v>
      </c>
      <c r="I5372" s="16" t="n">
        <f aca="false">I5367*Assumptions!$H$63</f>
        <v>0</v>
      </c>
      <c r="J5372" s="16" t="n">
        <f aca="false">J5367*Assumptions!$H$63</f>
        <v>0</v>
      </c>
      <c r="K5372" s="16" t="n">
        <f aca="false">K5367*Assumptions!$H$63</f>
        <v>0</v>
      </c>
    </row>
    <row r="5373" customFormat="false" ht="15" hidden="false" customHeight="false" outlineLevel="0" collapsed="false">
      <c r="A5373" s="3" t="s">
        <v>334</v>
      </c>
      <c r="G5373" s="16" t="n">
        <f aca="false">MIN(G5367,Assumptions!$L$63*Assumptions!$C$63)</f>
        <v>0</v>
      </c>
      <c r="H5373" s="16" t="n">
        <f aca="false">MIN(H5367,Assumptions!$L$63*Assumptions!$C$63)</f>
        <v>0</v>
      </c>
      <c r="I5373" s="16" t="n">
        <f aca="false">MIN(I5367,Assumptions!$L$63*Assumptions!$C$63)</f>
        <v>0</v>
      </c>
      <c r="J5373" s="16" t="n">
        <f aca="false">MIN(J5367,Assumptions!$L$63*Assumptions!$C$63)</f>
        <v>0</v>
      </c>
      <c r="K5373" s="16" t="n">
        <f aca="false">MIN(K5367,Assumptions!$L$63*Assumptions!$C$63)</f>
        <v>0</v>
      </c>
    </row>
    <row r="5374" customFormat="false" ht="15" hidden="false" customHeight="false" outlineLevel="0" collapsed="false">
      <c r="A5374" s="3" t="s">
        <v>335</v>
      </c>
      <c r="G5374" s="16" t="n">
        <f aca="false">IF(AND(Assumptions!$P$63=1,G5253&lt;Assumptions!$K$63),MIN(MAX(0,-G5469),MAX(0,Assumptions!$D$63-G5367)),0)</f>
        <v>0</v>
      </c>
      <c r="H5374" s="16" t="n">
        <f aca="false">IF(AND(Assumptions!$P$63=1,OR(H5253&lt;Assumptions!$K$63,G5605=1)),MIN(MAX(0,-H5469),MAX(0,Assumptions!$D$63-H5367)),0)</f>
        <v>0</v>
      </c>
      <c r="I5374" s="16" t="n">
        <f aca="false">IF(AND(Assumptions!$P$63=1,OR(I5253&lt;Assumptions!$K$63,H5605=1)),MIN(MAX(0,-I5469),MAX(0,Assumptions!$D$63-I5367)),0)</f>
        <v>0</v>
      </c>
      <c r="J5374" s="16" t="n">
        <f aca="false">IF(AND(Assumptions!$P$63=1,OR(J5253&lt;Assumptions!$K$63,I5605=1)),MIN(MAX(0,-J5469),MAX(0,Assumptions!$D$63-J5367)),0)</f>
        <v>0</v>
      </c>
      <c r="K5374" s="16" t="n">
        <f aca="false">IF(AND(Assumptions!$P$63=1,OR(K5253&lt;Assumptions!$K$63,J5605=1)),MIN(MAX(0,-K5469),MAX(0,Assumptions!$D$63-K5367)),0)</f>
        <v>0</v>
      </c>
    </row>
    <row r="5375" customFormat="false" ht="15" hidden="false" customHeight="false" outlineLevel="0" collapsed="false">
      <c r="A5375" s="3" t="s">
        <v>336</v>
      </c>
      <c r="G5375" s="16" t="n">
        <f aca="false">G5368*MIN(G5367-G5373+G5372,MAX(0,G5471-Assumptions!$C$12*G5287-G5297-G5310-G5323-G5336-G5349-G5362))</f>
        <v>0</v>
      </c>
      <c r="H5375" s="16" t="n">
        <f aca="false">H5368*MIN(H5367-H5373+H5372,MAX(0,H5471-Assumptions!$C$12*H5287-H5297-H5310-H5323-H5336-H5349-H5362))</f>
        <v>0</v>
      </c>
      <c r="I5375" s="16" t="n">
        <f aca="false">I5368*MIN(I5367-I5373+I5372,MAX(0,I5471-Assumptions!$C$12*I5287-I5297-I5310-I5323-I5336-I5349-I5362))</f>
        <v>0</v>
      </c>
      <c r="J5375" s="16" t="n">
        <f aca="false">J5368*MIN(J5367-J5373+J5372,MAX(0,J5471-Assumptions!$C$12*J5287-J5297-J5310-J5323-J5336-J5349-J5362))</f>
        <v>0</v>
      </c>
      <c r="K5375" s="16" t="n">
        <f aca="false">K5368*MIN(K5367-K5373+K5372,MAX(0,K5471-Assumptions!$C$12*K5287-K5297-K5310-K5323-K5336-K5349-K5362))</f>
        <v>0</v>
      </c>
    </row>
    <row r="5376" customFormat="false" ht="15" hidden="false" customHeight="false" outlineLevel="0" collapsed="false">
      <c r="A5376" s="3" t="s">
        <v>337</v>
      </c>
      <c r="G5376" s="16" t="n">
        <f aca="false">Assumptions!$N$63*MIN(G5367+G5374+G5372-G5373-G5375,MAX(0,G5475-G5298-G5311-G5324-G5337-G5350-G5363))</f>
        <v>0</v>
      </c>
      <c r="H5376" s="16" t="n">
        <f aca="false">Assumptions!$N$63*MIN(H5367+H5374+H5372-H5373-H5375,MAX(0,H5475-H5298-H5311-H5324-H5337-H5350-H5363))</f>
        <v>0</v>
      </c>
      <c r="I5376" s="16" t="n">
        <f aca="false">Assumptions!$N$63*MIN(I5367+I5374+I5372-I5373-I5375,MAX(0,I5475-I5298-I5311-I5324-I5337-I5350-I5363))</f>
        <v>0</v>
      </c>
      <c r="J5376" s="16" t="n">
        <f aca="false">Assumptions!$N$63*MIN(J5367+J5374+J5372-J5373-J5375,MAX(0,J5475-J5298-J5311-J5324-J5337-J5350-J5363))</f>
        <v>0</v>
      </c>
      <c r="K5376" s="16" t="n">
        <f aca="false">Assumptions!$N$63*MIN(K5367+K5374+K5372-K5373-K5375,MAX(0,K5475-K5298-K5311-K5324-K5337-K5350-K5363))</f>
        <v>0</v>
      </c>
    </row>
    <row r="5377" customFormat="false" ht="15" hidden="false" customHeight="false" outlineLevel="0" collapsed="false">
      <c r="A5377" s="3" t="s">
        <v>338</v>
      </c>
      <c r="G5377" s="16" t="n">
        <f aca="false">G5368*(1-G5287)*(G5367-G5373+G5372-G5375)</f>
        <v>0</v>
      </c>
      <c r="H5377" s="16" t="n">
        <f aca="false">H5368*(1-H5287)*(H5367-H5373+H5372-H5375)</f>
        <v>0</v>
      </c>
      <c r="I5377" s="16" t="n">
        <f aca="false">I5368*(1-I5287)*(I5367-I5373+I5372-I5375)</f>
        <v>550</v>
      </c>
      <c r="J5377" s="16" t="n">
        <f aca="false">J5368*(1-J5287)*(J5367-J5373+J5372-J5375)</f>
        <v>0</v>
      </c>
      <c r="K5377" s="16" t="n">
        <f aca="false">K5368*(1-K5287)*(K5367-K5373+K5372-K5375)</f>
        <v>0</v>
      </c>
    </row>
    <row r="5378" customFormat="false" ht="15" hidden="false" customHeight="false" outlineLevel="0" collapsed="false">
      <c r="A5378" s="2" t="s">
        <v>339</v>
      </c>
      <c r="F5378" s="28" t="n">
        <f aca="false">Assumptions!$C$63</f>
        <v>550</v>
      </c>
      <c r="G5378" s="17" t="n">
        <f aca="false">G5367+G5374+G5372-G5373-G5375-G5376</f>
        <v>550</v>
      </c>
      <c r="H5378" s="17" t="n">
        <f aca="false">H5367+H5374+H5372-H5373-H5375-H5376</f>
        <v>550</v>
      </c>
      <c r="I5378" s="17" t="n">
        <f aca="false">I5367+I5374+I5372-I5373-I5375-I5376</f>
        <v>550</v>
      </c>
      <c r="J5378" s="17" t="n">
        <f aca="false">J5367+J5374+J5372-J5373-J5375-J5376</f>
        <v>550</v>
      </c>
      <c r="K5378" s="17" t="n">
        <f aca="false">K5367+K5374+K5372-K5373-K5375-K5376</f>
        <v>550</v>
      </c>
    </row>
    <row r="5379" customFormat="false" ht="15" hidden="false" customHeight="false" outlineLevel="0" collapsed="false">
      <c r="A5379" s="24" t="s">
        <v>346</v>
      </c>
      <c r="B5379" s="25"/>
      <c r="C5379" s="25"/>
      <c r="D5379" s="25"/>
      <c r="E5379" s="25"/>
      <c r="F5379" s="25"/>
      <c r="G5379" s="25"/>
      <c r="H5379" s="25"/>
      <c r="I5379" s="25"/>
      <c r="J5379" s="25"/>
      <c r="K5379" s="25"/>
    </row>
    <row r="5380" customFormat="false" ht="15" hidden="false" customHeight="false" outlineLevel="0" collapsed="false">
      <c r="A5380" s="3" t="s">
        <v>329</v>
      </c>
      <c r="G5380" s="16" t="n">
        <f aca="false">F5391</f>
        <v>350</v>
      </c>
      <c r="H5380" s="16" t="n">
        <f aca="false">G5391</f>
        <v>350</v>
      </c>
      <c r="I5380" s="16" t="n">
        <f aca="false">H5391</f>
        <v>350</v>
      </c>
      <c r="J5380" s="16" t="n">
        <f aca="false">I5391</f>
        <v>350</v>
      </c>
      <c r="K5380" s="16" t="n">
        <f aca="false">J5391</f>
        <v>350</v>
      </c>
    </row>
    <row r="5381" customFormat="false" ht="15" hidden="false" customHeight="false" outlineLevel="0" collapsed="false">
      <c r="A5381" s="3" t="s">
        <v>330</v>
      </c>
      <c r="G5381" s="21" t="n">
        <f aca="false">IF(G5253=Assumptions!$K$64,1,0)</f>
        <v>0</v>
      </c>
      <c r="H5381" s="21" t="n">
        <f aca="false">IF(H5253=Assumptions!$K$64,1,0)</f>
        <v>0</v>
      </c>
      <c r="I5381" s="21" t="n">
        <f aca="false">IF(I5253=Assumptions!$K$64,1,0)</f>
        <v>0</v>
      </c>
      <c r="J5381" s="21" t="n">
        <f aca="false">IF(J5253=Assumptions!$K$64,1,0)</f>
        <v>1</v>
      </c>
      <c r="K5381" s="21" t="n">
        <f aca="false">IF(K5253=Assumptions!$K$64,1,0)</f>
        <v>0</v>
      </c>
    </row>
    <row r="5383" customFormat="false" ht="15" hidden="false" customHeight="false" outlineLevel="0" collapsed="false">
      <c r="A5383" s="3" t="s">
        <v>331</v>
      </c>
      <c r="G5383" s="31" t="n">
        <f aca="false">IF(Assumptions!$I$64=1,MAX(G5279,Assumptions!$G$64)+Assumptions!$F$64+$C$5280,Assumptions!$E$64)</f>
        <v>0.0455</v>
      </c>
      <c r="H5383" s="31" t="n">
        <f aca="false">IF(G5606=1,$C$5281,IF(Assumptions!$I$64=1,MAX(H5279,Assumptions!$G$64)+Assumptions!$F$64+$C$5280,Assumptions!$E$64))</f>
        <v>0.0455</v>
      </c>
      <c r="I5383" s="31" t="n">
        <f aca="false">IF(H5606=1,$C$5281,IF(Assumptions!$I$64=1,MAX(I5279,Assumptions!$G$64)+Assumptions!$F$64+$C$5280,Assumptions!$E$64))</f>
        <v>0.0455</v>
      </c>
      <c r="J5383" s="31" t="n">
        <f aca="false">IF(I5606=1,$C$5281,IF(Assumptions!$I$64=1,MAX(J5279,Assumptions!$G$64)+Assumptions!$F$64+$C$5280,Assumptions!$E$64))</f>
        <v>0.0455</v>
      </c>
      <c r="K5383" s="31" t="n">
        <f aca="false">IF(J5606=1,$C$5281,IF(Assumptions!$I$64=1,MAX(K5279,Assumptions!$G$64)+Assumptions!$F$64+$C$5280,Assumptions!$E$64))</f>
        <v>0.0455</v>
      </c>
    </row>
    <row r="5384" customFormat="false" ht="15" hidden="false" customHeight="false" outlineLevel="0" collapsed="false">
      <c r="A5384" s="3" t="s">
        <v>332</v>
      </c>
      <c r="G5384" s="16" t="n">
        <f aca="false">G5380*G5383</f>
        <v>15.925</v>
      </c>
      <c r="H5384" s="16" t="n">
        <f aca="false">H5380*H5383</f>
        <v>15.925</v>
      </c>
      <c r="I5384" s="16" t="n">
        <f aca="false">I5380*I5383</f>
        <v>15.925</v>
      </c>
      <c r="J5384" s="16" t="n">
        <f aca="false">J5380*J5383</f>
        <v>15.925</v>
      </c>
      <c r="K5384" s="16" t="n">
        <f aca="false">K5380*K5383</f>
        <v>15.925</v>
      </c>
    </row>
    <row r="5385" customFormat="false" ht="15" hidden="false" customHeight="false" outlineLevel="0" collapsed="false">
      <c r="A5385" s="3" t="s">
        <v>333</v>
      </c>
      <c r="G5385" s="16" t="n">
        <f aca="false">G5380*Assumptions!$H$64</f>
        <v>0</v>
      </c>
      <c r="H5385" s="16" t="n">
        <f aca="false">H5380*Assumptions!$H$64</f>
        <v>0</v>
      </c>
      <c r="I5385" s="16" t="n">
        <f aca="false">I5380*Assumptions!$H$64</f>
        <v>0</v>
      </c>
      <c r="J5385" s="16" t="n">
        <f aca="false">J5380*Assumptions!$H$64</f>
        <v>0</v>
      </c>
      <c r="K5385" s="16" t="n">
        <f aca="false">K5380*Assumptions!$H$64</f>
        <v>0</v>
      </c>
    </row>
    <row r="5386" customFormat="false" ht="15" hidden="false" customHeight="false" outlineLevel="0" collapsed="false">
      <c r="A5386" s="3" t="s">
        <v>334</v>
      </c>
      <c r="G5386" s="16" t="n">
        <f aca="false">MIN(G5380,Assumptions!$L$64*Assumptions!$C$64)</f>
        <v>0</v>
      </c>
      <c r="H5386" s="16" t="n">
        <f aca="false">MIN(H5380,Assumptions!$L$64*Assumptions!$C$64)</f>
        <v>0</v>
      </c>
      <c r="I5386" s="16" t="n">
        <f aca="false">MIN(I5380,Assumptions!$L$64*Assumptions!$C$64)</f>
        <v>0</v>
      </c>
      <c r="J5386" s="16" t="n">
        <f aca="false">MIN(J5380,Assumptions!$L$64*Assumptions!$C$64)</f>
        <v>0</v>
      </c>
      <c r="K5386" s="16" t="n">
        <f aca="false">MIN(K5380,Assumptions!$L$64*Assumptions!$C$64)</f>
        <v>0</v>
      </c>
    </row>
    <row r="5387" customFormat="false" ht="15" hidden="false" customHeight="false" outlineLevel="0" collapsed="false">
      <c r="A5387" s="3" t="s">
        <v>335</v>
      </c>
      <c r="G5387" s="16" t="n">
        <f aca="false">IF(AND(Assumptions!$P$64=1,G5253&lt;Assumptions!$K$64),MIN(MAX(0,-G5469),MAX(0,Assumptions!$D$64-G5380)),0)</f>
        <v>0</v>
      </c>
      <c r="H5387" s="16" t="n">
        <f aca="false">IF(AND(Assumptions!$P$64=1,OR(H5253&lt;Assumptions!$K$64,G5606=1)),MIN(MAX(0,-H5469),MAX(0,Assumptions!$D$64-H5380)),0)</f>
        <v>0</v>
      </c>
      <c r="I5387" s="16" t="n">
        <f aca="false">IF(AND(Assumptions!$P$64=1,OR(I5253&lt;Assumptions!$K$64,H5606=1)),MIN(MAX(0,-I5469),MAX(0,Assumptions!$D$64-I5380)),0)</f>
        <v>0</v>
      </c>
      <c r="J5387" s="16" t="n">
        <f aca="false">IF(AND(Assumptions!$P$64=1,OR(J5253&lt;Assumptions!$K$64,I5606=1)),MIN(MAX(0,-J5469),MAX(0,Assumptions!$D$64-J5380)),0)</f>
        <v>0</v>
      </c>
      <c r="K5387" s="16" t="n">
        <f aca="false">IF(AND(Assumptions!$P$64=1,OR(K5253&lt;Assumptions!$K$64,J5606=1)),MIN(MAX(0,-K5469),MAX(0,Assumptions!$D$64-K5380)),0)</f>
        <v>0</v>
      </c>
    </row>
    <row r="5388" customFormat="false" ht="15" hidden="false" customHeight="false" outlineLevel="0" collapsed="false">
      <c r="A5388" s="3" t="s">
        <v>336</v>
      </c>
      <c r="G5388" s="16" t="n">
        <f aca="false">G5381*MIN(G5380-G5386+G5385,MAX(0,G5471-Assumptions!$C$12*G5287-G5297-G5310-G5323-G5336-G5349-G5362-G5375))</f>
        <v>0</v>
      </c>
      <c r="H5388" s="16" t="n">
        <f aca="false">H5381*MIN(H5380-H5386+H5385,MAX(0,H5471-Assumptions!$C$12*H5287-H5297-H5310-H5323-H5336-H5349-H5362-H5375))</f>
        <v>0</v>
      </c>
      <c r="I5388" s="16" t="n">
        <f aca="false">I5381*MIN(I5380-I5386+I5385,MAX(0,I5471-Assumptions!$C$12*I5287-I5297-I5310-I5323-I5336-I5349-I5362-I5375))</f>
        <v>0</v>
      </c>
      <c r="J5388" s="16" t="n">
        <f aca="false">J5381*MIN(J5380-J5386+J5385,MAX(0,J5471-Assumptions!$C$12*J5287-J5297-J5310-J5323-J5336-J5349-J5362-J5375))</f>
        <v>0</v>
      </c>
      <c r="K5388" s="16" t="n">
        <f aca="false">K5381*MIN(K5380-K5386+K5385,MAX(0,K5471-Assumptions!$C$12*K5287-K5297-K5310-K5323-K5336-K5349-K5362-K5375))</f>
        <v>0</v>
      </c>
    </row>
    <row r="5389" customFormat="false" ht="15" hidden="false" customHeight="false" outlineLevel="0" collapsed="false">
      <c r="A5389" s="3" t="s">
        <v>337</v>
      </c>
      <c r="G5389" s="16" t="n">
        <f aca="false">Assumptions!$N$64*MIN(G5380+G5387+G5385-G5386-G5388,MAX(0,G5475-G5298-G5311-G5324-G5337-G5350-G5363-G5376))</f>
        <v>0</v>
      </c>
      <c r="H5389" s="16" t="n">
        <f aca="false">Assumptions!$N$64*MIN(H5380+H5387+H5385-H5386-H5388,MAX(0,H5475-H5298-H5311-H5324-H5337-H5350-H5363-H5376))</f>
        <v>0</v>
      </c>
      <c r="I5389" s="16" t="n">
        <f aca="false">Assumptions!$N$64*MIN(I5380+I5387+I5385-I5386-I5388,MAX(0,I5475-I5298-I5311-I5324-I5337-I5350-I5363-I5376))</f>
        <v>0</v>
      </c>
      <c r="J5389" s="16" t="n">
        <f aca="false">Assumptions!$N$64*MIN(J5380+J5387+J5385-J5386-J5388,MAX(0,J5475-J5298-J5311-J5324-J5337-J5350-J5363-J5376))</f>
        <v>0</v>
      </c>
      <c r="K5389" s="16" t="n">
        <f aca="false">Assumptions!$N$64*MIN(K5380+K5387+K5385-K5386-K5388,MAX(0,K5475-K5298-K5311-K5324-K5337-K5350-K5363-K5376))</f>
        <v>0</v>
      </c>
    </row>
    <row r="5390" customFormat="false" ht="15" hidden="false" customHeight="false" outlineLevel="0" collapsed="false">
      <c r="A5390" s="3" t="s">
        <v>338</v>
      </c>
      <c r="G5390" s="16" t="n">
        <f aca="false">G5381*(1-G5287)*(G5380-G5386+G5385-G5388)</f>
        <v>0</v>
      </c>
      <c r="H5390" s="16" t="n">
        <f aca="false">H5381*(1-H5287)*(H5380-H5386+H5385-H5388)</f>
        <v>0</v>
      </c>
      <c r="I5390" s="16" t="n">
        <f aca="false">I5381*(1-I5287)*(I5380-I5386+I5385-I5388)</f>
        <v>0</v>
      </c>
      <c r="J5390" s="16" t="n">
        <f aca="false">J5381*(1-J5287)*(J5380-J5386+J5385-J5388)</f>
        <v>350</v>
      </c>
      <c r="K5390" s="16" t="n">
        <f aca="false">K5381*(1-K5287)*(K5380-K5386+K5385-K5388)</f>
        <v>0</v>
      </c>
    </row>
    <row r="5391" customFormat="false" ht="15" hidden="false" customHeight="false" outlineLevel="0" collapsed="false">
      <c r="A5391" s="2" t="s">
        <v>339</v>
      </c>
      <c r="F5391" s="28" t="n">
        <f aca="false">Assumptions!$C$64</f>
        <v>350</v>
      </c>
      <c r="G5391" s="17" t="n">
        <f aca="false">G5380+G5387+G5385-G5386-G5388-G5389</f>
        <v>350</v>
      </c>
      <c r="H5391" s="17" t="n">
        <f aca="false">H5380+H5387+H5385-H5386-H5388-H5389</f>
        <v>350</v>
      </c>
      <c r="I5391" s="17" t="n">
        <f aca="false">I5380+I5387+I5385-I5386-I5388-I5389</f>
        <v>350</v>
      </c>
      <c r="J5391" s="17" t="n">
        <f aca="false">J5380+J5387+J5385-J5386-J5388-J5389</f>
        <v>350</v>
      </c>
      <c r="K5391" s="17" t="n">
        <f aca="false">K5380+K5387+K5385-K5386-K5388-K5389</f>
        <v>350</v>
      </c>
    </row>
    <row r="5392" customFormat="false" ht="15" hidden="false" customHeight="false" outlineLevel="0" collapsed="false">
      <c r="A5392" s="24" t="s">
        <v>347</v>
      </c>
      <c r="B5392" s="25"/>
      <c r="C5392" s="25"/>
      <c r="D5392" s="25"/>
      <c r="E5392" s="25"/>
      <c r="F5392" s="25"/>
      <c r="G5392" s="25"/>
      <c r="H5392" s="25"/>
      <c r="I5392" s="25"/>
      <c r="J5392" s="25"/>
      <c r="K5392" s="25"/>
    </row>
    <row r="5393" customFormat="false" ht="15" hidden="false" customHeight="false" outlineLevel="0" collapsed="false">
      <c r="A5393" s="3" t="s">
        <v>329</v>
      </c>
      <c r="G5393" s="16" t="n">
        <f aca="false">F5404</f>
        <v>300</v>
      </c>
      <c r="H5393" s="16" t="n">
        <f aca="false">G5404</f>
        <v>300</v>
      </c>
      <c r="I5393" s="16" t="n">
        <f aca="false">H5404</f>
        <v>300</v>
      </c>
      <c r="J5393" s="16" t="n">
        <f aca="false">I5404</f>
        <v>300</v>
      </c>
      <c r="K5393" s="16" t="n">
        <f aca="false">J5404</f>
        <v>300</v>
      </c>
    </row>
    <row r="5394" customFormat="false" ht="15" hidden="false" customHeight="false" outlineLevel="0" collapsed="false">
      <c r="A5394" s="3" t="s">
        <v>330</v>
      </c>
      <c r="G5394" s="21" t="n">
        <f aca="false">IF(G5253=Assumptions!$K$65,1,0)</f>
        <v>0</v>
      </c>
      <c r="H5394" s="21" t="n">
        <f aca="false">IF(H5253=Assumptions!$K$65,1,0)</f>
        <v>0</v>
      </c>
      <c r="I5394" s="21" t="n">
        <f aca="false">IF(I5253=Assumptions!$K$65,1,0)</f>
        <v>0</v>
      </c>
      <c r="J5394" s="21" t="n">
        <f aca="false">IF(J5253=Assumptions!$K$65,1,0)</f>
        <v>0</v>
      </c>
      <c r="K5394" s="21" t="n">
        <f aca="false">IF(K5253=Assumptions!$K$65,1,0)</f>
        <v>1</v>
      </c>
    </row>
    <row r="5396" customFormat="false" ht="15" hidden="false" customHeight="false" outlineLevel="0" collapsed="false">
      <c r="A5396" s="3" t="s">
        <v>331</v>
      </c>
      <c r="G5396" s="31" t="n">
        <f aca="false">IF(Assumptions!$I$65=1,MAX(G5279,Assumptions!$G$65)+Assumptions!$F$65+$C$5280,Assumptions!$E$65)</f>
        <v>0.06125</v>
      </c>
      <c r="H5396" s="31" t="n">
        <f aca="false">IF(G5607=1,$C$5281,IF(Assumptions!$I$65=1,MAX(H5279,Assumptions!$G$65)+Assumptions!$F$65+$C$5280,Assumptions!$E$65))</f>
        <v>0.06125</v>
      </c>
      <c r="I5396" s="31" t="n">
        <f aca="false">IF(H5607=1,$C$5281,IF(Assumptions!$I$65=1,MAX(I5279,Assumptions!$G$65)+Assumptions!$F$65+$C$5280,Assumptions!$E$65))</f>
        <v>0.06125</v>
      </c>
      <c r="J5396" s="31" t="n">
        <f aca="false">IF(I5607=1,$C$5281,IF(Assumptions!$I$65=1,MAX(J5279,Assumptions!$G$65)+Assumptions!$F$65+$C$5280,Assumptions!$E$65))</f>
        <v>0.06125</v>
      </c>
      <c r="K5396" s="31" t="n">
        <f aca="false">IF(J5607=1,$C$5281,IF(Assumptions!$I$65=1,MAX(K5279,Assumptions!$G$65)+Assumptions!$F$65+$C$5280,Assumptions!$E$65))</f>
        <v>0.06125</v>
      </c>
    </row>
    <row r="5397" customFormat="false" ht="15" hidden="false" customHeight="false" outlineLevel="0" collapsed="false">
      <c r="A5397" s="3" t="s">
        <v>332</v>
      </c>
      <c r="G5397" s="16" t="n">
        <f aca="false">G5393*G5396</f>
        <v>18.375</v>
      </c>
      <c r="H5397" s="16" t="n">
        <f aca="false">H5393*H5396</f>
        <v>18.375</v>
      </c>
      <c r="I5397" s="16" t="n">
        <f aca="false">I5393*I5396</f>
        <v>18.375</v>
      </c>
      <c r="J5397" s="16" t="n">
        <f aca="false">J5393*J5396</f>
        <v>18.375</v>
      </c>
      <c r="K5397" s="16" t="n">
        <f aca="false">K5393*K5396</f>
        <v>18.375</v>
      </c>
    </row>
    <row r="5398" customFormat="false" ht="15" hidden="false" customHeight="false" outlineLevel="0" collapsed="false">
      <c r="A5398" s="3" t="s">
        <v>333</v>
      </c>
      <c r="G5398" s="16" t="n">
        <f aca="false">G5393*Assumptions!$H$65</f>
        <v>0</v>
      </c>
      <c r="H5398" s="16" t="n">
        <f aca="false">H5393*Assumptions!$H$65</f>
        <v>0</v>
      </c>
      <c r="I5398" s="16" t="n">
        <f aca="false">I5393*Assumptions!$H$65</f>
        <v>0</v>
      </c>
      <c r="J5398" s="16" t="n">
        <f aca="false">J5393*Assumptions!$H$65</f>
        <v>0</v>
      </c>
      <c r="K5398" s="16" t="n">
        <f aca="false">K5393*Assumptions!$H$65</f>
        <v>0</v>
      </c>
    </row>
    <row r="5399" customFormat="false" ht="15" hidden="false" customHeight="false" outlineLevel="0" collapsed="false">
      <c r="A5399" s="3" t="s">
        <v>334</v>
      </c>
      <c r="G5399" s="16" t="n">
        <f aca="false">MIN(G5393,Assumptions!$L$65*Assumptions!$C$65)</f>
        <v>0</v>
      </c>
      <c r="H5399" s="16" t="n">
        <f aca="false">MIN(H5393,Assumptions!$L$65*Assumptions!$C$65)</f>
        <v>0</v>
      </c>
      <c r="I5399" s="16" t="n">
        <f aca="false">MIN(I5393,Assumptions!$L$65*Assumptions!$C$65)</f>
        <v>0</v>
      </c>
      <c r="J5399" s="16" t="n">
        <f aca="false">MIN(J5393,Assumptions!$L$65*Assumptions!$C$65)</f>
        <v>0</v>
      </c>
      <c r="K5399" s="16" t="n">
        <f aca="false">MIN(K5393,Assumptions!$L$65*Assumptions!$C$65)</f>
        <v>0</v>
      </c>
    </row>
    <row r="5400" customFormat="false" ht="15" hidden="false" customHeight="false" outlineLevel="0" collapsed="false">
      <c r="A5400" s="3" t="s">
        <v>335</v>
      </c>
      <c r="G5400" s="16" t="n">
        <f aca="false">IF(AND(Assumptions!$P$65=1,G5253&lt;Assumptions!$K$65),MIN(MAX(0,-G5469),MAX(0,Assumptions!$D$65-G5393)),0)</f>
        <v>0</v>
      </c>
      <c r="H5400" s="16" t="n">
        <f aca="false">IF(AND(Assumptions!$P$65=1,OR(H5253&lt;Assumptions!$K$65,G5607=1)),MIN(MAX(0,-H5469),MAX(0,Assumptions!$D$65-H5393)),0)</f>
        <v>0</v>
      </c>
      <c r="I5400" s="16" t="n">
        <f aca="false">IF(AND(Assumptions!$P$65=1,OR(I5253&lt;Assumptions!$K$65,H5607=1)),MIN(MAX(0,-I5469),MAX(0,Assumptions!$D$65-I5393)),0)</f>
        <v>0</v>
      </c>
      <c r="J5400" s="16" t="n">
        <f aca="false">IF(AND(Assumptions!$P$65=1,OR(J5253&lt;Assumptions!$K$65,I5607=1)),MIN(MAX(0,-J5469),MAX(0,Assumptions!$D$65-J5393)),0)</f>
        <v>0</v>
      </c>
      <c r="K5400" s="16" t="n">
        <f aca="false">IF(AND(Assumptions!$P$65=1,OR(K5253&lt;Assumptions!$K$65,J5607=1)),MIN(MAX(0,-K5469),MAX(0,Assumptions!$D$65-K5393)),0)</f>
        <v>0</v>
      </c>
    </row>
    <row r="5401" customFormat="false" ht="15" hidden="false" customHeight="false" outlineLevel="0" collapsed="false">
      <c r="A5401" s="3" t="s">
        <v>336</v>
      </c>
      <c r="G5401" s="16" t="n">
        <f aca="false">G5394*MIN(G5393-G5399+G5398,MAX(0,G5471-Assumptions!$C$12*G5287-G5297-G5310-G5323-G5336-G5349-G5362-G5375-G5388))</f>
        <v>0</v>
      </c>
      <c r="H5401" s="16" t="n">
        <f aca="false">H5394*MIN(H5393-H5399+H5398,MAX(0,H5471-Assumptions!$C$12*H5287-H5297-H5310-H5323-H5336-H5349-H5362-H5375-H5388))</f>
        <v>0</v>
      </c>
      <c r="I5401" s="16" t="n">
        <f aca="false">I5394*MIN(I5393-I5399+I5398,MAX(0,I5471-Assumptions!$C$12*I5287-I5297-I5310-I5323-I5336-I5349-I5362-I5375-I5388))</f>
        <v>0</v>
      </c>
      <c r="J5401" s="16" t="n">
        <f aca="false">J5394*MIN(J5393-J5399+J5398,MAX(0,J5471-Assumptions!$C$12*J5287-J5297-J5310-J5323-J5336-J5349-J5362-J5375-J5388))</f>
        <v>0</v>
      </c>
      <c r="K5401" s="16" t="n">
        <f aca="false">K5394*MIN(K5393-K5399+K5398,MAX(0,K5471-Assumptions!$C$12*K5287-K5297-K5310-K5323-K5336-K5349-K5362-K5375-K5388))</f>
        <v>0</v>
      </c>
    </row>
    <row r="5402" customFormat="false" ht="15" hidden="false" customHeight="false" outlineLevel="0" collapsed="false">
      <c r="A5402" s="3" t="s">
        <v>337</v>
      </c>
      <c r="G5402" s="16" t="n">
        <f aca="false">Assumptions!$N$65*MIN(G5393+G5400+G5398-G5399-G5401,MAX(0,G5475-G5298-G5311-G5324-G5337-G5350-G5363-G5376-G5389))</f>
        <v>0</v>
      </c>
      <c r="H5402" s="16" t="n">
        <f aca="false">Assumptions!$N$65*MIN(H5393+H5400+H5398-H5399-H5401,MAX(0,H5475-H5298-H5311-H5324-H5337-H5350-H5363-H5376-H5389))</f>
        <v>0</v>
      </c>
      <c r="I5402" s="16" t="n">
        <f aca="false">Assumptions!$N$65*MIN(I5393+I5400+I5398-I5399-I5401,MAX(0,I5475-I5298-I5311-I5324-I5337-I5350-I5363-I5376-I5389))</f>
        <v>0</v>
      </c>
      <c r="J5402" s="16" t="n">
        <f aca="false">Assumptions!$N$65*MIN(J5393+J5400+J5398-J5399-J5401,MAX(0,J5475-J5298-J5311-J5324-J5337-J5350-J5363-J5376-J5389))</f>
        <v>0</v>
      </c>
      <c r="K5402" s="16" t="n">
        <f aca="false">Assumptions!$N$65*MIN(K5393+K5400+K5398-K5399-K5401,MAX(0,K5475-K5298-K5311-K5324-K5337-K5350-K5363-K5376-K5389))</f>
        <v>0</v>
      </c>
    </row>
    <row r="5403" customFormat="false" ht="15" hidden="false" customHeight="false" outlineLevel="0" collapsed="false">
      <c r="A5403" s="3" t="s">
        <v>338</v>
      </c>
      <c r="G5403" s="16" t="n">
        <f aca="false">G5394*(1-G5287)*(G5393-G5399+G5398-G5401)</f>
        <v>0</v>
      </c>
      <c r="H5403" s="16" t="n">
        <f aca="false">H5394*(1-H5287)*(H5393-H5399+H5398-H5401)</f>
        <v>0</v>
      </c>
      <c r="I5403" s="16" t="n">
        <f aca="false">I5394*(1-I5287)*(I5393-I5399+I5398-I5401)</f>
        <v>0</v>
      </c>
      <c r="J5403" s="16" t="n">
        <f aca="false">J5394*(1-J5287)*(J5393-J5399+J5398-J5401)</f>
        <v>0</v>
      </c>
      <c r="K5403" s="16" t="n">
        <f aca="false">K5394*(1-K5287)*(K5393-K5399+K5398-K5401)</f>
        <v>300</v>
      </c>
    </row>
    <row r="5404" customFormat="false" ht="15" hidden="false" customHeight="false" outlineLevel="0" collapsed="false">
      <c r="A5404" s="2" t="s">
        <v>339</v>
      </c>
      <c r="F5404" s="28" t="n">
        <f aca="false">Assumptions!$C$65</f>
        <v>300</v>
      </c>
      <c r="G5404" s="17" t="n">
        <f aca="false">G5393+G5400+G5398-G5399-G5401-G5402</f>
        <v>300</v>
      </c>
      <c r="H5404" s="17" t="n">
        <f aca="false">H5393+H5400+H5398-H5399-H5401-H5402</f>
        <v>300</v>
      </c>
      <c r="I5404" s="17" t="n">
        <f aca="false">I5393+I5400+I5398-I5399-I5401-I5402</f>
        <v>300</v>
      </c>
      <c r="J5404" s="17" t="n">
        <f aca="false">J5393+J5400+J5398-J5399-J5401-J5402</f>
        <v>300</v>
      </c>
      <c r="K5404" s="17" t="n">
        <f aca="false">K5393+K5400+K5398-K5399-K5401-K5402</f>
        <v>300</v>
      </c>
    </row>
    <row r="5405" customFormat="false" ht="15" hidden="false" customHeight="false" outlineLevel="0" collapsed="false">
      <c r="A5405" s="24" t="s">
        <v>348</v>
      </c>
      <c r="B5405" s="25"/>
      <c r="C5405" s="25"/>
      <c r="D5405" s="25"/>
      <c r="E5405" s="25"/>
      <c r="F5405" s="25"/>
      <c r="G5405" s="25"/>
      <c r="H5405" s="25"/>
      <c r="I5405" s="25"/>
      <c r="J5405" s="25"/>
      <c r="K5405" s="25"/>
    </row>
    <row r="5406" customFormat="false" ht="15" hidden="false" customHeight="false" outlineLevel="0" collapsed="false">
      <c r="A5406" s="3" t="s">
        <v>329</v>
      </c>
      <c r="G5406" s="16" t="n">
        <f aca="false">F5417</f>
        <v>78.61</v>
      </c>
      <c r="H5406" s="16" t="n">
        <f aca="false">G5417</f>
        <v>78.61</v>
      </c>
      <c r="I5406" s="16" t="n">
        <f aca="false">H5417</f>
        <v>78.61</v>
      </c>
      <c r="J5406" s="16" t="n">
        <f aca="false">I5417</f>
        <v>78.61</v>
      </c>
      <c r="K5406" s="16" t="n">
        <f aca="false">J5417</f>
        <v>78.61</v>
      </c>
    </row>
    <row r="5407" customFormat="false" ht="15" hidden="false" customHeight="false" outlineLevel="0" collapsed="false">
      <c r="A5407" s="3" t="s">
        <v>330</v>
      </c>
      <c r="G5407" s="21" t="n">
        <f aca="false">IF(G5253=Assumptions!$K$66,1,0)</f>
        <v>0</v>
      </c>
      <c r="H5407" s="21" t="n">
        <f aca="false">IF(H5253=Assumptions!$K$66,1,0)</f>
        <v>0</v>
      </c>
      <c r="I5407" s="21" t="n">
        <f aca="false">IF(I5253=Assumptions!$K$66,1,0)</f>
        <v>0</v>
      </c>
      <c r="J5407" s="21" t="n">
        <f aca="false">IF(J5253=Assumptions!$K$66,1,0)</f>
        <v>0</v>
      </c>
      <c r="K5407" s="21" t="n">
        <f aca="false">IF(K5253=Assumptions!$K$66,1,0)</f>
        <v>0</v>
      </c>
    </row>
    <row r="5409" customFormat="false" ht="15" hidden="false" customHeight="false" outlineLevel="0" collapsed="false">
      <c r="A5409" s="3" t="s">
        <v>331</v>
      </c>
      <c r="G5409" s="31" t="n">
        <f aca="false">IF(Assumptions!$I$66=1,MAX(G5279,Assumptions!$G$66)+Assumptions!$F$66+$C$5280,Assumptions!$E$66)</f>
        <v>0.0691</v>
      </c>
      <c r="H5409" s="31" t="n">
        <f aca="false">IF(G5608=1,$C$5281,IF(Assumptions!$I$66=1,MAX(H5279,Assumptions!$G$66)+Assumptions!$F$66+$C$5280,Assumptions!$E$66))</f>
        <v>0.0676</v>
      </c>
      <c r="I5409" s="31" t="n">
        <f aca="false">IF(H5608=1,$C$5281,IF(Assumptions!$I$66=1,MAX(I5279,Assumptions!$G$66)+Assumptions!$F$66+$C$5280,Assumptions!$E$66))</f>
        <v>0.0651</v>
      </c>
      <c r="J5409" s="31" t="n">
        <f aca="false">IF(I5608=1,$C$5281,IF(Assumptions!$I$66=1,MAX(J5279,Assumptions!$G$66)+Assumptions!$F$66+$C$5280,Assumptions!$E$66))</f>
        <v>0.0651</v>
      </c>
      <c r="K5409" s="31" t="n">
        <f aca="false">IF(J5608=1,$C$5281,IF(Assumptions!$I$66=1,MAX(K5279,Assumptions!$G$66)+Assumptions!$F$66+$C$5280,Assumptions!$E$66))</f>
        <v>0.0651</v>
      </c>
    </row>
    <row r="5410" customFormat="false" ht="15" hidden="false" customHeight="false" outlineLevel="0" collapsed="false">
      <c r="A5410" s="3" t="s">
        <v>332</v>
      </c>
      <c r="G5410" s="16" t="n">
        <f aca="false">G5406*G5409</f>
        <v>5.431951</v>
      </c>
      <c r="H5410" s="16" t="n">
        <f aca="false">H5406*H5409</f>
        <v>5.314036</v>
      </c>
      <c r="I5410" s="16" t="n">
        <f aca="false">I5406*I5409</f>
        <v>5.117511</v>
      </c>
      <c r="J5410" s="16" t="n">
        <f aca="false">J5406*J5409</f>
        <v>5.117511</v>
      </c>
      <c r="K5410" s="16" t="n">
        <f aca="false">K5406*K5409</f>
        <v>5.117511</v>
      </c>
    </row>
    <row r="5411" customFormat="false" ht="15" hidden="false" customHeight="false" outlineLevel="0" collapsed="false">
      <c r="A5411" s="3" t="s">
        <v>333</v>
      </c>
      <c r="G5411" s="16" t="n">
        <f aca="false">G5406*Assumptions!$H$66</f>
        <v>0</v>
      </c>
      <c r="H5411" s="16" t="n">
        <f aca="false">H5406*Assumptions!$H$66</f>
        <v>0</v>
      </c>
      <c r="I5411" s="16" t="n">
        <f aca="false">I5406*Assumptions!$H$66</f>
        <v>0</v>
      </c>
      <c r="J5411" s="16" t="n">
        <f aca="false">J5406*Assumptions!$H$66</f>
        <v>0</v>
      </c>
      <c r="K5411" s="16" t="n">
        <f aca="false">K5406*Assumptions!$H$66</f>
        <v>0</v>
      </c>
    </row>
    <row r="5412" customFormat="false" ht="15" hidden="false" customHeight="false" outlineLevel="0" collapsed="false">
      <c r="A5412" s="3" t="s">
        <v>334</v>
      </c>
      <c r="G5412" s="16" t="n">
        <f aca="false">MIN(G5406,Assumptions!$L$66*Assumptions!$C$66)</f>
        <v>0</v>
      </c>
      <c r="H5412" s="16" t="n">
        <f aca="false">MIN(H5406,Assumptions!$L$66*Assumptions!$C$66)</f>
        <v>0</v>
      </c>
      <c r="I5412" s="16" t="n">
        <f aca="false">MIN(I5406,Assumptions!$L$66*Assumptions!$C$66)</f>
        <v>0</v>
      </c>
      <c r="J5412" s="16" t="n">
        <f aca="false">MIN(J5406,Assumptions!$L$66*Assumptions!$C$66)</f>
        <v>0</v>
      </c>
      <c r="K5412" s="16" t="n">
        <f aca="false">MIN(K5406,Assumptions!$L$66*Assumptions!$C$66)</f>
        <v>0</v>
      </c>
    </row>
    <row r="5413" customFormat="false" ht="15" hidden="false" customHeight="false" outlineLevel="0" collapsed="false">
      <c r="A5413" s="3" t="s">
        <v>335</v>
      </c>
      <c r="G5413" s="16" t="n">
        <f aca="false">IF(AND(Assumptions!$P$66=1,G5253&lt;Assumptions!$K$66),MIN(MAX(0,-G5469),MAX(0,Assumptions!$D$66-G5406)),0)</f>
        <v>0</v>
      </c>
      <c r="H5413" s="16" t="n">
        <f aca="false">IF(AND(Assumptions!$P$66=1,OR(H5253&lt;Assumptions!$K$66,G5608=1)),MIN(MAX(0,-H5469),MAX(0,Assumptions!$D$66-H5406)),0)</f>
        <v>0</v>
      </c>
      <c r="I5413" s="16" t="n">
        <f aca="false">IF(AND(Assumptions!$P$66=1,OR(I5253&lt;Assumptions!$K$66,H5608=1)),MIN(MAX(0,-I5469),MAX(0,Assumptions!$D$66-I5406)),0)</f>
        <v>0</v>
      </c>
      <c r="J5413" s="16" t="n">
        <f aca="false">IF(AND(Assumptions!$P$66=1,OR(J5253&lt;Assumptions!$K$66,I5608=1)),MIN(MAX(0,-J5469),MAX(0,Assumptions!$D$66-J5406)),0)</f>
        <v>0</v>
      </c>
      <c r="K5413" s="16" t="n">
        <f aca="false">IF(AND(Assumptions!$P$66=1,OR(K5253&lt;Assumptions!$K$66,J5608=1)),MIN(MAX(0,-K5469),MAX(0,Assumptions!$D$66-K5406)),0)</f>
        <v>0</v>
      </c>
    </row>
    <row r="5414" customFormat="false" ht="15" hidden="false" customHeight="false" outlineLevel="0" collapsed="false">
      <c r="A5414" s="3" t="s">
        <v>336</v>
      </c>
      <c r="G5414" s="16" t="n">
        <f aca="false">G5407*MIN(G5406-G5412+G5411,MAX(0,G5471-Assumptions!$C$12*G5287-G5297-G5310-G5323-G5336-G5349-G5362-G5375-G5388-G5401))</f>
        <v>0</v>
      </c>
      <c r="H5414" s="16" t="n">
        <f aca="false">H5407*MIN(H5406-H5412+H5411,MAX(0,H5471-Assumptions!$C$12*H5287-H5297-H5310-H5323-H5336-H5349-H5362-H5375-H5388-H5401))</f>
        <v>0</v>
      </c>
      <c r="I5414" s="16" t="n">
        <f aca="false">I5407*MIN(I5406-I5412+I5411,MAX(0,I5471-Assumptions!$C$12*I5287-I5297-I5310-I5323-I5336-I5349-I5362-I5375-I5388-I5401))</f>
        <v>0</v>
      </c>
      <c r="J5414" s="16" t="n">
        <f aca="false">J5407*MIN(J5406-J5412+J5411,MAX(0,J5471-Assumptions!$C$12*J5287-J5297-J5310-J5323-J5336-J5349-J5362-J5375-J5388-J5401))</f>
        <v>0</v>
      </c>
      <c r="K5414" s="16" t="n">
        <f aca="false">K5407*MIN(K5406-K5412+K5411,MAX(0,K5471-Assumptions!$C$12*K5287-K5297-K5310-K5323-K5336-K5349-K5362-K5375-K5388-K5401))</f>
        <v>0</v>
      </c>
    </row>
    <row r="5415" customFormat="false" ht="15" hidden="false" customHeight="false" outlineLevel="0" collapsed="false">
      <c r="A5415" s="3" t="s">
        <v>337</v>
      </c>
      <c r="G5415" s="16" t="n">
        <f aca="false">Assumptions!$N$66*MIN(G5406+G5413+G5411-G5412-G5414,MAX(0,G5475-G5298-G5311-G5324-G5337-G5350-G5363-G5376-G5389-G5402))</f>
        <v>0</v>
      </c>
      <c r="H5415" s="16" t="n">
        <f aca="false">Assumptions!$N$66*MIN(H5406+H5413+H5411-H5412-H5414,MAX(0,H5475-H5298-H5311-H5324-H5337-H5350-H5363-H5376-H5389-H5402))</f>
        <v>0</v>
      </c>
      <c r="I5415" s="16" t="n">
        <f aca="false">Assumptions!$N$66*MIN(I5406+I5413+I5411-I5412-I5414,MAX(0,I5475-I5298-I5311-I5324-I5337-I5350-I5363-I5376-I5389-I5402))</f>
        <v>0</v>
      </c>
      <c r="J5415" s="16" t="n">
        <f aca="false">Assumptions!$N$66*MIN(J5406+J5413+J5411-J5412-J5414,MAX(0,J5475-J5298-J5311-J5324-J5337-J5350-J5363-J5376-J5389-J5402))</f>
        <v>0</v>
      </c>
      <c r="K5415" s="16" t="n">
        <f aca="false">Assumptions!$N$66*MIN(K5406+K5413+K5411-K5412-K5414,MAX(0,K5475-K5298-K5311-K5324-K5337-K5350-K5363-K5376-K5389-K5402))</f>
        <v>0</v>
      </c>
    </row>
    <row r="5416" customFormat="false" ht="15" hidden="false" customHeight="false" outlineLevel="0" collapsed="false">
      <c r="A5416" s="3" t="s">
        <v>338</v>
      </c>
      <c r="G5416" s="16" t="n">
        <f aca="false">G5407*(1-G5287)*(G5406-G5412+G5411-G5414)</f>
        <v>0</v>
      </c>
      <c r="H5416" s="16" t="n">
        <f aca="false">H5407*(1-H5287)*(H5406-H5412+H5411-H5414)</f>
        <v>0</v>
      </c>
      <c r="I5416" s="16" t="n">
        <f aca="false">I5407*(1-I5287)*(I5406-I5412+I5411-I5414)</f>
        <v>0</v>
      </c>
      <c r="J5416" s="16" t="n">
        <f aca="false">J5407*(1-J5287)*(J5406-J5412+J5411-J5414)</f>
        <v>0</v>
      </c>
      <c r="K5416" s="16" t="n">
        <f aca="false">K5407*(1-K5287)*(K5406-K5412+K5411-K5414)</f>
        <v>0</v>
      </c>
    </row>
    <row r="5417" customFormat="false" ht="15" hidden="false" customHeight="false" outlineLevel="0" collapsed="false">
      <c r="A5417" s="2" t="s">
        <v>339</v>
      </c>
      <c r="F5417" s="28" t="n">
        <f aca="false">Assumptions!$C$66</f>
        <v>78.61</v>
      </c>
      <c r="G5417" s="17" t="n">
        <f aca="false">G5406+G5413+G5411-G5412-G5414-G5415</f>
        <v>78.61</v>
      </c>
      <c r="H5417" s="17" t="n">
        <f aca="false">H5406+H5413+H5411-H5412-H5414-H5415</f>
        <v>78.61</v>
      </c>
      <c r="I5417" s="17" t="n">
        <f aca="false">I5406+I5413+I5411-I5412-I5414-I5415</f>
        <v>78.61</v>
      </c>
      <c r="J5417" s="17" t="n">
        <f aca="false">J5406+J5413+J5411-J5412-J5414-J5415</f>
        <v>78.61</v>
      </c>
      <c r="K5417" s="17" t="n">
        <f aca="false">K5406+K5413+K5411-K5412-K5414-K5415</f>
        <v>78.61</v>
      </c>
    </row>
    <row r="5418" customFormat="false" ht="15" hidden="false" customHeight="false" outlineLevel="0" collapsed="false">
      <c r="A5418" s="24" t="s">
        <v>349</v>
      </c>
      <c r="B5418" s="25"/>
      <c r="C5418" s="25"/>
      <c r="D5418" s="25"/>
      <c r="E5418" s="25"/>
      <c r="F5418" s="25"/>
      <c r="G5418" s="25"/>
      <c r="H5418" s="25"/>
      <c r="I5418" s="25"/>
      <c r="J5418" s="25"/>
      <c r="K5418" s="25"/>
    </row>
    <row r="5419" customFormat="false" ht="15" hidden="false" customHeight="false" outlineLevel="0" collapsed="false">
      <c r="A5419" s="2" t="s">
        <v>350</v>
      </c>
      <c r="F5419" s="17" t="n">
        <f aca="false">F5300+F5313+F5326+F5339+F5352+F5365+F5378+F5391+F5404+F5417</f>
        <v>2625.934</v>
      </c>
      <c r="G5419" s="17" t="n">
        <f aca="false">G5300+G5313+G5326+G5339+G5352+G5365+G5378+G5391+G5404+G5417</f>
        <v>2621.934</v>
      </c>
      <c r="H5419" s="17" t="n">
        <f aca="false">H5300+H5313+H5326+H5339+H5352+H5365+H5378+H5391+H5404+H5417</f>
        <v>2606.289768833</v>
      </c>
      <c r="I5419" s="17" t="n">
        <f aca="false">I5300+I5313+I5326+I5339+I5352+I5365+I5378+I5391+I5404+I5417</f>
        <v>2602.289768833</v>
      </c>
      <c r="J5419" s="17" t="n">
        <f aca="false">J5300+J5313+J5326+J5339+J5352+J5365+J5378+J5391+J5404+J5417</f>
        <v>2598.289768833</v>
      </c>
      <c r="K5419" s="17" t="n">
        <f aca="false">K5300+K5313+K5326+K5339+K5352+K5365+K5378+K5391+K5404+K5417</f>
        <v>2594.289768833</v>
      </c>
    </row>
    <row r="5420" customFormat="false" ht="15" hidden="false" customHeight="false" outlineLevel="0" collapsed="false">
      <c r="A5420" s="3" t="s">
        <v>351</v>
      </c>
      <c r="G5420" s="16" t="n">
        <f aca="false">G5290*Assumptions!$C$57+G5303*Assumptions!$C$58+G5316*Assumptions!$C$59+G5329*Assumptions!$C$60+G5342*Assumptions!$C$61+G5355*Assumptions!$C$62+G5368*Assumptions!$C$63+G5381*Assumptions!$C$64+G5394*Assumptions!$C$65+G5407*Assumptions!$C$66</f>
        <v>0</v>
      </c>
      <c r="H5420" s="16" t="n">
        <f aca="false">H5290*Assumptions!$C$57+H5303*Assumptions!$C$58+H5316*Assumptions!$C$59+H5329*Assumptions!$C$60+H5342*Assumptions!$C$61+H5355*Assumptions!$C$62+H5368*Assumptions!$C$63+H5381*Assumptions!$C$64+H5394*Assumptions!$C$65+H5407*Assumptions!$C$66</f>
        <v>800</v>
      </c>
      <c r="I5420" s="16" t="n">
        <f aca="false">I5290*Assumptions!$C$57+I5303*Assumptions!$C$58+I5316*Assumptions!$C$59+I5329*Assumptions!$C$60+I5342*Assumptions!$C$61+I5355*Assumptions!$C$62+I5368*Assumptions!$C$63+I5381*Assumptions!$C$64+I5394*Assumptions!$C$65+I5407*Assumptions!$C$66</f>
        <v>550</v>
      </c>
      <c r="J5420" s="16" t="n">
        <f aca="false">J5290*Assumptions!$C$57+J5303*Assumptions!$C$58+J5316*Assumptions!$C$59+J5329*Assumptions!$C$60+J5342*Assumptions!$C$61+J5355*Assumptions!$C$62+J5368*Assumptions!$C$63+J5381*Assumptions!$C$64+J5394*Assumptions!$C$65+J5407*Assumptions!$C$66</f>
        <v>350</v>
      </c>
      <c r="K5420" s="16" t="n">
        <f aca="false">K5290*Assumptions!$C$57+K5303*Assumptions!$C$58+K5316*Assumptions!$C$59+K5329*Assumptions!$C$60+K5342*Assumptions!$C$61+K5355*Assumptions!$C$62+K5368*Assumptions!$C$63+K5381*Assumptions!$C$64+K5394*Assumptions!$C$65+K5407*Assumptions!$C$66</f>
        <v>700</v>
      </c>
    </row>
    <row r="5421" customFormat="false" ht="15" hidden="false" customHeight="false" outlineLevel="0" collapsed="false">
      <c r="A5421" s="24" t="s">
        <v>352</v>
      </c>
      <c r="B5421" s="25"/>
      <c r="C5421" s="25"/>
      <c r="D5421" s="25"/>
      <c r="E5421" s="25"/>
      <c r="F5421" s="25"/>
      <c r="G5421" s="25"/>
      <c r="H5421" s="25"/>
      <c r="I5421" s="25"/>
      <c r="J5421" s="25"/>
      <c r="K5421" s="25"/>
    </row>
    <row r="5422" customFormat="false" ht="15" hidden="false" customHeight="false" outlineLevel="0" collapsed="false">
      <c r="A5422" s="3" t="s">
        <v>353</v>
      </c>
      <c r="C5422" s="16" t="n">
        <f aca="false">SUMPRODUCT($G$5290:$K$5290,$G$5289:$K$5289-$G$5295:$K$5295+$G$5294:$K$5294)</f>
        <v>380</v>
      </c>
    </row>
    <row r="5423" customFormat="false" ht="15" hidden="false" customHeight="false" outlineLevel="0" collapsed="false">
      <c r="A5423" s="3" t="s">
        <v>354</v>
      </c>
      <c r="C5423" s="16" t="n">
        <f aca="false">SUMPRODUCT($G$5290:$K$5290,$G$5297:$K$5297)</f>
        <v>0</v>
      </c>
    </row>
    <row r="5424" customFormat="false" ht="15" hidden="false" customHeight="false" outlineLevel="0" collapsed="false">
      <c r="A5424" s="3" t="s">
        <v>355</v>
      </c>
      <c r="C5424" s="3" t="str">
        <f aca="false">IF(SUM($G$5290:$K$5290)=0,"n/a (beyond horizon)",IF(SUMPRODUCT($G$5290:$K$5290,$G$5287:$K$5287)&gt;0,"REFINANCING PASS","REFINANCING FAILURE"))</f>
        <v>REFINANCING FAILURE</v>
      </c>
    </row>
    <row r="5425" customFormat="false" ht="15" hidden="false" customHeight="false" outlineLevel="0" collapsed="false">
      <c r="A5425" s="3" t="s">
        <v>356</v>
      </c>
      <c r="C5425" s="3" t="str">
        <f aca="false">IF(SUM($G$5290:$K$5290)=0,"n/a",IF(C5423&gt;=C5422-0.001,"Repaid from cash",IF(SUMPRODUCT($G$5290:$K$5290,$G$5287:$K$5287)&gt;0,IF(C5423&gt;0,"Partly repaid; remainder refinanced","Refinanced"),IF(SUM($G$5299:$K$5299)&gt;0.001,IF(C5423&gt;0,"Partial repayment; PAYMENT DEFAULT","PAYMENT DEFAULT"),"Repaid from cash"))))</f>
        <v>PAYMENT DEFAULT</v>
      </c>
    </row>
    <row r="5426" customFormat="false" ht="15" hidden="false" customHeight="false" outlineLevel="0" collapsed="false">
      <c r="A5426" s="3" t="s">
        <v>357</v>
      </c>
      <c r="C5426" s="16" t="n">
        <f aca="false">SUMPRODUCT($G$5303:$K$5303,$G$5302:$K$5302-$G$5308:$K$5308+$G$5307:$K$5307)</f>
        <v>0</v>
      </c>
    </row>
    <row r="5427" customFormat="false" ht="15" hidden="false" customHeight="false" outlineLevel="0" collapsed="false">
      <c r="A5427" s="3" t="s">
        <v>358</v>
      </c>
      <c r="C5427" s="16" t="n">
        <f aca="false">SUMPRODUCT($G$5303:$K$5303,$G$5310:$K$5310)</f>
        <v>0</v>
      </c>
    </row>
    <row r="5428" customFormat="false" ht="15" hidden="false" customHeight="false" outlineLevel="0" collapsed="false">
      <c r="A5428" s="3" t="s">
        <v>359</v>
      </c>
      <c r="C5428" s="3" t="str">
        <f aca="false">IF(SUM($G$5303:$K$5303)=0,"n/a (beyond horizon)",IF(SUMPRODUCT($G$5303:$K$5303,$G$5287:$K$5287)&gt;0,"REFINANCING PASS","REFINANCING FAILURE"))</f>
        <v>n/a (beyond horizon)</v>
      </c>
    </row>
    <row r="5429" customFormat="false" ht="15" hidden="false" customHeight="false" outlineLevel="0" collapsed="false">
      <c r="A5429" s="3" t="s">
        <v>360</v>
      </c>
      <c r="C5429" s="3" t="str">
        <f aca="false">IF(SUM($G$5303:$K$5303)=0,"n/a",IF(C5427&gt;=C5426-0.001,"Repaid from cash",IF(SUMPRODUCT($G$5303:$K$5303,$G$5287:$K$5287)&gt;0,IF(C5427&gt;0,"Partly repaid; remainder refinanced","Refinanced"),IF(SUM($G$5312:$K$5312)&gt;0.001,IF(C5427&gt;0,"Partial repayment; PAYMENT DEFAULT","PAYMENT DEFAULT"),"Repaid from cash"))))</f>
        <v>n/a</v>
      </c>
    </row>
    <row r="5430" customFormat="false" ht="15" hidden="false" customHeight="false" outlineLevel="0" collapsed="false">
      <c r="A5430" s="3" t="s">
        <v>361</v>
      </c>
      <c r="C5430" s="16" t="n">
        <f aca="false">SUMPRODUCT($G$5316:$K$5316,$G$5315:$K$5315-$G$5321:$K$5321+$G$5320:$K$5320)</f>
        <v>0</v>
      </c>
    </row>
    <row r="5431" customFormat="false" ht="15" hidden="false" customHeight="false" outlineLevel="0" collapsed="false">
      <c r="A5431" s="3" t="s">
        <v>362</v>
      </c>
      <c r="C5431" s="16" t="n">
        <f aca="false">SUMPRODUCT($G$5316:$K$5316,$G$5323:$K$5323)</f>
        <v>0</v>
      </c>
    </row>
    <row r="5432" customFormat="false" ht="15" hidden="false" customHeight="false" outlineLevel="0" collapsed="false">
      <c r="A5432" s="3" t="s">
        <v>363</v>
      </c>
      <c r="C5432" s="3" t="str">
        <f aca="false">IF(SUM($G$5316:$K$5316)=0,"n/a (beyond horizon)",IF(SUMPRODUCT($G$5316:$K$5316,$G$5287:$K$5287)&gt;0,"REFINANCING PASS","REFINANCING FAILURE"))</f>
        <v>n/a (beyond horizon)</v>
      </c>
    </row>
    <row r="5433" customFormat="false" ht="15" hidden="false" customHeight="false" outlineLevel="0" collapsed="false">
      <c r="A5433" s="3" t="s">
        <v>364</v>
      </c>
      <c r="C5433" s="3" t="str">
        <f aca="false">IF(SUM($G$5316:$K$5316)=0,"n/a",IF(C5431&gt;=C5430-0.001,"Repaid from cash",IF(SUMPRODUCT($G$5316:$K$5316,$G$5287:$K$5287)&gt;0,IF(C5431&gt;0,"Partly repaid; remainder refinanced","Refinanced"),IF(SUM($G$5325:$K$5325)&gt;0.001,IF(C5431&gt;0,"Partial repayment; PAYMENT DEFAULT","PAYMENT DEFAULT"),"Repaid from cash"))))</f>
        <v>n/a</v>
      </c>
    </row>
    <row r="5434" customFormat="false" ht="15" hidden="false" customHeight="false" outlineLevel="0" collapsed="false">
      <c r="A5434" s="3" t="s">
        <v>365</v>
      </c>
      <c r="C5434" s="16" t="n">
        <f aca="false">SUMPRODUCT($G$5329:$K$5329,$G$5328:$K$5328-$G$5334:$K$5334+$G$5333:$K$5333)</f>
        <v>0</v>
      </c>
    </row>
    <row r="5435" customFormat="false" ht="15" hidden="false" customHeight="false" outlineLevel="0" collapsed="false">
      <c r="A5435" s="3" t="s">
        <v>366</v>
      </c>
      <c r="C5435" s="16" t="n">
        <f aca="false">SUMPRODUCT($G$5329:$K$5329,$G$5336:$K$5336)</f>
        <v>0</v>
      </c>
    </row>
    <row r="5436" customFormat="false" ht="15" hidden="false" customHeight="false" outlineLevel="0" collapsed="false">
      <c r="A5436" s="3" t="s">
        <v>367</v>
      </c>
      <c r="C5436" s="3" t="str">
        <f aca="false">IF(SUM($G$5329:$K$5329)=0,"n/a (beyond horizon)",IF(SUMPRODUCT($G$5329:$K$5329,$G$5287:$K$5287)&gt;0,"REFINANCING PASS","REFINANCING FAILURE"))</f>
        <v>REFINANCING FAILURE</v>
      </c>
    </row>
    <row r="5437" customFormat="false" ht="15" hidden="false" customHeight="false" outlineLevel="0" collapsed="false">
      <c r="A5437" s="3" t="s">
        <v>368</v>
      </c>
      <c r="C5437" s="3" t="str">
        <f aca="false">IF(SUM($G$5329:$K$5329)=0,"n/a",IF(C5435&gt;=C5434-0.001,"Repaid from cash",IF(SUMPRODUCT($G$5329:$K$5329,$G$5287:$K$5287)&gt;0,IF(C5435&gt;0,"Partly repaid; remainder refinanced","Refinanced"),IF(SUM($G$5338:$K$5338)&gt;0.001,IF(C5435&gt;0,"Partial repayment; PAYMENT DEFAULT","PAYMENT DEFAULT"),"Repaid from cash"))))</f>
        <v>Repaid from cash</v>
      </c>
    </row>
    <row r="5438" customFormat="false" ht="15" hidden="false" customHeight="false" outlineLevel="0" collapsed="false">
      <c r="A5438" s="3" t="s">
        <v>369</v>
      </c>
      <c r="C5438" s="16" t="n">
        <f aca="false">SUMPRODUCT($G$5342:$K$5342,$G$5341:$K$5341-$G$5347:$K$5347+$G$5346:$K$5346)</f>
        <v>450</v>
      </c>
    </row>
    <row r="5439" customFormat="false" ht="15" hidden="false" customHeight="false" outlineLevel="0" collapsed="false">
      <c r="A5439" s="3" t="s">
        <v>370</v>
      </c>
      <c r="C5439" s="16" t="n">
        <f aca="false">SUMPRODUCT($G$5342:$K$5342,$G$5349:$K$5349)</f>
        <v>11.6442311670001</v>
      </c>
    </row>
    <row r="5440" customFormat="false" ht="15" hidden="false" customHeight="false" outlineLevel="0" collapsed="false">
      <c r="A5440" s="3" t="s">
        <v>371</v>
      </c>
      <c r="C5440" s="3" t="str">
        <f aca="false">IF(SUM($G$5342:$K$5342)=0,"n/a (beyond horizon)",IF(SUMPRODUCT($G$5342:$K$5342,$G$5287:$K$5287)&gt;0,"REFINANCING PASS","REFINANCING FAILURE"))</f>
        <v>REFINANCING FAILURE</v>
      </c>
    </row>
    <row r="5441" customFormat="false" ht="15" hidden="false" customHeight="false" outlineLevel="0" collapsed="false">
      <c r="A5441" s="3" t="s">
        <v>372</v>
      </c>
      <c r="C5441" s="3" t="str">
        <f aca="false">IF(SUM($G$5342:$K$5342)=0,"n/a",IF(C5439&gt;=C5438-0.001,"Repaid from cash",IF(SUMPRODUCT($G$5342:$K$5342,$G$5287:$K$5287)&gt;0,IF(C5439&gt;0,"Partly repaid; remainder refinanced","Refinanced"),IF(SUM($G$5351:$K$5351)&gt;0.001,IF(C5439&gt;0,"Partial repayment; PAYMENT DEFAULT","PAYMENT DEFAULT"),"Repaid from cash"))))</f>
        <v>Partial repayment; PAYMENT DEFAULT</v>
      </c>
    </row>
    <row r="5442" customFormat="false" ht="15" hidden="false" customHeight="false" outlineLevel="0" collapsed="false">
      <c r="A5442" s="3" t="s">
        <v>373</v>
      </c>
      <c r="C5442" s="16" t="n">
        <f aca="false">SUMPRODUCT($G$5355:$K$5355,$G$5354:$K$5354-$G$5360:$K$5360+$G$5359:$K$5359)</f>
        <v>350</v>
      </c>
    </row>
    <row r="5443" customFormat="false" ht="15" hidden="false" customHeight="false" outlineLevel="0" collapsed="false">
      <c r="A5443" s="3" t="s">
        <v>374</v>
      </c>
      <c r="C5443" s="16" t="n">
        <f aca="false">SUMPRODUCT($G$5355:$K$5355,$G$5362:$K$5362)</f>
        <v>0</v>
      </c>
    </row>
    <row r="5444" customFormat="false" ht="15" hidden="false" customHeight="false" outlineLevel="0" collapsed="false">
      <c r="A5444" s="3" t="s">
        <v>375</v>
      </c>
      <c r="C5444" s="3" t="str">
        <f aca="false">IF(SUM($G$5355:$K$5355)=0,"n/a (beyond horizon)",IF(SUMPRODUCT($G$5355:$K$5355,$G$5287:$K$5287)&gt;0,"REFINANCING PASS","REFINANCING FAILURE"))</f>
        <v>REFINANCING FAILURE</v>
      </c>
    </row>
    <row r="5445" customFormat="false" ht="15" hidden="false" customHeight="false" outlineLevel="0" collapsed="false">
      <c r="A5445" s="3" t="s">
        <v>376</v>
      </c>
      <c r="C5445" s="3" t="str">
        <f aca="false">IF(SUM($G$5355:$K$5355)=0,"n/a",IF(C5443&gt;=C5442-0.001,"Repaid from cash",IF(SUMPRODUCT($G$5355:$K$5355,$G$5287:$K$5287)&gt;0,IF(C5443&gt;0,"Partly repaid; remainder refinanced","Refinanced"),IF(SUM($G$5364:$K$5364)&gt;0.001,IF(C5443&gt;0,"Partial repayment; PAYMENT DEFAULT","PAYMENT DEFAULT"),"Repaid from cash"))))</f>
        <v>PAYMENT DEFAULT</v>
      </c>
    </row>
    <row r="5446" customFormat="false" ht="15" hidden="false" customHeight="false" outlineLevel="0" collapsed="false">
      <c r="A5446" s="3" t="s">
        <v>377</v>
      </c>
      <c r="C5446" s="16" t="n">
        <f aca="false">SUMPRODUCT($G$5368:$K$5368,$G$5367:$K$5367-$G$5373:$K$5373+$G$5372:$K$5372)</f>
        <v>550</v>
      </c>
    </row>
    <row r="5447" customFormat="false" ht="15" hidden="false" customHeight="false" outlineLevel="0" collapsed="false">
      <c r="A5447" s="3" t="s">
        <v>378</v>
      </c>
      <c r="C5447" s="16" t="n">
        <f aca="false">SUMPRODUCT($G$5368:$K$5368,$G$5375:$K$5375)</f>
        <v>0</v>
      </c>
    </row>
    <row r="5448" customFormat="false" ht="15" hidden="false" customHeight="false" outlineLevel="0" collapsed="false">
      <c r="A5448" s="3" t="s">
        <v>379</v>
      </c>
      <c r="C5448" s="3" t="str">
        <f aca="false">IF(SUM($G$5368:$K$5368)=0,"n/a (beyond horizon)",IF(SUMPRODUCT($G$5368:$K$5368,$G$5287:$K$5287)&gt;0,"REFINANCING PASS","REFINANCING FAILURE"))</f>
        <v>REFINANCING FAILURE</v>
      </c>
    </row>
    <row r="5449" customFormat="false" ht="15" hidden="false" customHeight="false" outlineLevel="0" collapsed="false">
      <c r="A5449" s="3" t="s">
        <v>380</v>
      </c>
      <c r="C5449" s="3" t="str">
        <f aca="false">IF(SUM($G$5368:$K$5368)=0,"n/a",IF(C5447&gt;=C5446-0.001,"Repaid from cash",IF(SUMPRODUCT($G$5368:$K$5368,$G$5287:$K$5287)&gt;0,IF(C5447&gt;0,"Partly repaid; remainder refinanced","Refinanced"),IF(SUM($G$5377:$K$5377)&gt;0.001,IF(C5447&gt;0,"Partial repayment; PAYMENT DEFAULT","PAYMENT DEFAULT"),"Repaid from cash"))))</f>
        <v>PAYMENT DEFAULT</v>
      </c>
    </row>
    <row r="5450" customFormat="false" ht="15" hidden="false" customHeight="false" outlineLevel="0" collapsed="false">
      <c r="A5450" s="3" t="s">
        <v>381</v>
      </c>
      <c r="C5450" s="16" t="n">
        <f aca="false">SUMPRODUCT($G$5381:$K$5381,$G$5380:$K$5380-$G$5386:$K$5386+$G$5385:$K$5385)</f>
        <v>350</v>
      </c>
    </row>
    <row r="5451" customFormat="false" ht="15" hidden="false" customHeight="false" outlineLevel="0" collapsed="false">
      <c r="A5451" s="3" t="s">
        <v>382</v>
      </c>
      <c r="C5451" s="16" t="n">
        <f aca="false">SUMPRODUCT($G$5381:$K$5381,$G$5388:$K$5388)</f>
        <v>0</v>
      </c>
    </row>
    <row r="5452" customFormat="false" ht="15" hidden="false" customHeight="false" outlineLevel="0" collapsed="false">
      <c r="A5452" s="3" t="s">
        <v>383</v>
      </c>
      <c r="C5452" s="3" t="str">
        <f aca="false">IF(SUM($G$5381:$K$5381)=0,"n/a (beyond horizon)",IF(SUMPRODUCT($G$5381:$K$5381,$G$5287:$K$5287)&gt;0,"REFINANCING PASS","REFINANCING FAILURE"))</f>
        <v>REFINANCING FAILURE</v>
      </c>
    </row>
    <row r="5453" customFormat="false" ht="15" hidden="false" customHeight="false" outlineLevel="0" collapsed="false">
      <c r="A5453" s="3" t="s">
        <v>384</v>
      </c>
      <c r="C5453" s="3" t="str">
        <f aca="false">IF(SUM($G$5381:$K$5381)=0,"n/a",IF(C5451&gt;=C5450-0.001,"Repaid from cash",IF(SUMPRODUCT($G$5381:$K$5381,$G$5287:$K$5287)&gt;0,IF(C5451&gt;0,"Partly repaid; remainder refinanced","Refinanced"),IF(SUM($G$5390:$K$5390)&gt;0.001,IF(C5451&gt;0,"Partial repayment; PAYMENT DEFAULT","PAYMENT DEFAULT"),"Repaid from cash"))))</f>
        <v>PAYMENT DEFAULT</v>
      </c>
    </row>
    <row r="5454" customFormat="false" ht="15" hidden="false" customHeight="false" outlineLevel="0" collapsed="false">
      <c r="A5454" s="3" t="s">
        <v>385</v>
      </c>
      <c r="C5454" s="16" t="n">
        <f aca="false">SUMPRODUCT($G$5394:$K$5394,$G$5393:$K$5393-$G$5399:$K$5399+$G$5398:$K$5398)</f>
        <v>300</v>
      </c>
    </row>
    <row r="5455" customFormat="false" ht="15" hidden="false" customHeight="false" outlineLevel="0" collapsed="false">
      <c r="A5455" s="3" t="s">
        <v>386</v>
      </c>
      <c r="C5455" s="16" t="n">
        <f aca="false">SUMPRODUCT($G$5394:$K$5394,$G$5401:$K$5401)</f>
        <v>0</v>
      </c>
    </row>
    <row r="5456" customFormat="false" ht="15" hidden="false" customHeight="false" outlineLevel="0" collapsed="false">
      <c r="A5456" s="3" t="s">
        <v>387</v>
      </c>
      <c r="C5456" s="3" t="str">
        <f aca="false">IF(SUM($G$5394:$K$5394)=0,"n/a (beyond horizon)",IF(SUMPRODUCT($G$5394:$K$5394,$G$5287:$K$5287)&gt;0,"REFINANCING PASS","REFINANCING FAILURE"))</f>
        <v>REFINANCING FAILURE</v>
      </c>
    </row>
    <row r="5457" customFormat="false" ht="15" hidden="false" customHeight="false" outlineLevel="0" collapsed="false">
      <c r="A5457" s="3" t="s">
        <v>388</v>
      </c>
      <c r="C5457" s="3" t="str">
        <f aca="false">IF(SUM($G$5394:$K$5394)=0,"n/a",IF(C5455&gt;=C5454-0.001,"Repaid from cash",IF(SUMPRODUCT($G$5394:$K$5394,$G$5287:$K$5287)&gt;0,IF(C5455&gt;0,"Partly repaid; remainder refinanced","Refinanced"),IF(SUM($G$5403:$K$5403)&gt;0.001,IF(C5455&gt;0,"Partial repayment; PAYMENT DEFAULT","PAYMENT DEFAULT"),"Repaid from cash"))))</f>
        <v>PAYMENT DEFAULT</v>
      </c>
    </row>
    <row r="5458" customFormat="false" ht="15" hidden="false" customHeight="false" outlineLevel="0" collapsed="false">
      <c r="A5458" s="3" t="s">
        <v>389</v>
      </c>
      <c r="C5458" s="16" t="n">
        <f aca="false">SUMPRODUCT($G$5407:$K$5407,$G$5406:$K$5406-$G$5412:$K$5412+$G$5411:$K$5411)</f>
        <v>0</v>
      </c>
    </row>
    <row r="5459" customFormat="false" ht="15" hidden="false" customHeight="false" outlineLevel="0" collapsed="false">
      <c r="A5459" s="3" t="s">
        <v>390</v>
      </c>
      <c r="C5459" s="16" t="n">
        <f aca="false">SUMPRODUCT($G$5407:$K$5407,$G$5414:$K$5414)</f>
        <v>0</v>
      </c>
    </row>
    <row r="5460" customFormat="false" ht="15" hidden="false" customHeight="false" outlineLevel="0" collapsed="false">
      <c r="A5460" s="3" t="s">
        <v>391</v>
      </c>
      <c r="C5460" s="3" t="str">
        <f aca="false">IF(SUM($G$5407:$K$5407)=0,"n/a (beyond horizon)",IF(SUMPRODUCT($G$5407:$K$5407,$G$5287:$K$5287)&gt;0,"REFINANCING PASS","REFINANCING FAILURE"))</f>
        <v>n/a (beyond horizon)</v>
      </c>
    </row>
    <row r="5461" customFormat="false" ht="15" hidden="false" customHeight="false" outlineLevel="0" collapsed="false">
      <c r="A5461" s="3" t="s">
        <v>392</v>
      </c>
      <c r="C5461" s="3" t="str">
        <f aca="false">IF(SUM($G$5407:$K$5407)=0,"n/a",IF(C5459&gt;=C5458-0.001,"Repaid from cash",IF(SUMPRODUCT($G$5407:$K$5407,$G$5287:$K$5287)&gt;0,IF(C5459&gt;0,"Partly repaid; remainder refinanced","Refinanced"),IF(SUM($G$5416:$K$5416)&gt;0.001,IF(C5459&gt;0,"Partial repayment; PAYMENT DEFAULT","PAYMENT DEFAULT"),"Repaid from cash"))))</f>
        <v>n/a</v>
      </c>
    </row>
    <row r="5462" customFormat="false" ht="15" hidden="false" customHeight="false" outlineLevel="0" collapsed="false">
      <c r="A5462" s="3" t="s">
        <v>393</v>
      </c>
      <c r="C5462" s="21" t="n">
        <f aca="false">IF(C5424="REFINANCING FAILURE",1,0)+IF(C5428="REFINANCING FAILURE",1,0)+IF(C5432="REFINANCING FAILURE",1,0)+IF(C5436="REFINANCING FAILURE",1,0)+IF(C5440="REFINANCING FAILURE",1,0)+IF(C5444="REFINANCING FAILURE",1,0)+IF(C5448="REFINANCING FAILURE",1,0)+IF(C5452="REFINANCING FAILURE",1,0)+IF(C5456="REFINANCING FAILURE",1,0)+IF(C5460="REFINANCING FAILURE",1,0)</f>
        <v>7</v>
      </c>
    </row>
    <row r="5464" customFormat="false" ht="15" hidden="false" customHeight="false" outlineLevel="0" collapsed="false">
      <c r="A5464" s="24" t="s">
        <v>395</v>
      </c>
      <c r="B5464" s="25"/>
      <c r="C5464" s="25"/>
      <c r="D5464" s="25"/>
      <c r="E5464" s="25"/>
      <c r="F5464" s="25"/>
      <c r="G5464" s="25"/>
      <c r="H5464" s="25"/>
      <c r="I5464" s="25"/>
      <c r="J5464" s="25"/>
      <c r="K5464" s="25"/>
    </row>
    <row r="5465" customFormat="false" ht="15" hidden="false" customHeight="false" outlineLevel="0" collapsed="false">
      <c r="A5465" s="3" t="s">
        <v>325</v>
      </c>
      <c r="G5465" s="16" t="n">
        <f aca="false">F5477</f>
        <v>37.87</v>
      </c>
      <c r="H5465" s="16" t="n">
        <f aca="false">G5477</f>
        <v>104.2116788</v>
      </c>
      <c r="I5465" s="16" t="n">
        <f aca="false">H5477</f>
        <v>0</v>
      </c>
      <c r="J5465" s="16" t="n">
        <f aca="false">I5477</f>
        <v>-90.5109755019035</v>
      </c>
      <c r="K5465" s="16" t="n">
        <f aca="false">J5477</f>
        <v>-177.340690520447</v>
      </c>
    </row>
    <row r="5466" customFormat="false" ht="15" hidden="false" customHeight="false" outlineLevel="0" collapsed="false">
      <c r="A5466" s="3" t="s">
        <v>396</v>
      </c>
      <c r="G5466" s="16" t="n">
        <f aca="false">G5276</f>
        <v>-79.6583212</v>
      </c>
      <c r="H5466" s="16" t="n">
        <f aca="false">H5276</f>
        <v>-88.567447633</v>
      </c>
      <c r="I5466" s="16" t="n">
        <f aca="false">I5276</f>
        <v>-86.5109755019035</v>
      </c>
      <c r="J5466" s="16" t="n">
        <f aca="false">J5276</f>
        <v>-82.8297150185435</v>
      </c>
      <c r="K5466" s="16" t="n">
        <f aca="false">K5276</f>
        <v>-79.092797672793</v>
      </c>
    </row>
    <row r="5467" customFormat="false" ht="15" hidden="false" customHeight="false" outlineLevel="0" collapsed="false">
      <c r="A5467" s="3" t="s">
        <v>397</v>
      </c>
      <c r="G5467" s="16" t="n">
        <f aca="false">CHOOSE($C$5246,Assumptions!$G$82,Assumptions!$G$101,Assumptions!$G$120)</f>
        <v>150</v>
      </c>
      <c r="H5467" s="16" t="n">
        <f aca="false">CHOOSE($C$5246,Assumptions!$H$82,Assumptions!$H$101,Assumptions!$H$120)</f>
        <v>0</v>
      </c>
      <c r="I5467" s="16" t="n">
        <f aca="false">CHOOSE($C$5246,Assumptions!$I$82,Assumptions!$I$101,Assumptions!$I$120)</f>
        <v>0</v>
      </c>
      <c r="J5467" s="16" t="n">
        <f aca="false">CHOOSE($C$5246,Assumptions!$J$82,Assumptions!$J$101,Assumptions!$J$120)</f>
        <v>0</v>
      </c>
      <c r="K5467" s="16" t="n">
        <f aca="false">CHOOSE($C$5246,Assumptions!$K$82,Assumptions!$K$101,Assumptions!$K$120)</f>
        <v>0</v>
      </c>
    </row>
    <row r="5468" customFormat="false" ht="15" hidden="false" customHeight="false" outlineLevel="0" collapsed="false">
      <c r="A5468" s="3" t="s">
        <v>398</v>
      </c>
      <c r="G5468" s="16" t="n">
        <f aca="false">G5295+G5308+G5321+G5334+G5347+G5360+G5373+G5386+G5399+G5412</f>
        <v>4</v>
      </c>
      <c r="H5468" s="16" t="n">
        <f aca="false">H5295+H5308+H5321+H5334+H5347+H5360+H5373+H5386+H5399+H5412</f>
        <v>4</v>
      </c>
      <c r="I5468" s="16" t="n">
        <f aca="false">I5295+I5308+I5321+I5334+I5347+I5360+I5373+I5386+I5399+I5412</f>
        <v>4</v>
      </c>
      <c r="J5468" s="16" t="n">
        <f aca="false">J5295+J5308+J5321+J5334+J5347+J5360+J5373+J5386+J5399+J5412</f>
        <v>4</v>
      </c>
      <c r="K5468" s="16" t="n">
        <f aca="false">K5295+K5308+K5321+K5334+K5347+K5360+K5373+K5386+K5399+K5412</f>
        <v>4</v>
      </c>
    </row>
    <row r="5469" customFormat="false" ht="15" hidden="false" customHeight="false" outlineLevel="0" collapsed="false">
      <c r="A5469" s="2" t="s">
        <v>399</v>
      </c>
      <c r="G5469" s="17" t="n">
        <f aca="false">G5465+G5466+G5467-G5468</f>
        <v>104.2116788</v>
      </c>
      <c r="H5469" s="17" t="n">
        <f aca="false">H5465+H5466+H5467-H5468</f>
        <v>11.6442311670001</v>
      </c>
      <c r="I5469" s="17" t="n">
        <f aca="false">I5465+I5466+I5467-I5468</f>
        <v>-90.5109755019035</v>
      </c>
      <c r="J5469" s="17" t="n">
        <f aca="false">J5465+J5466+J5467-J5468</f>
        <v>-177.340690520447</v>
      </c>
      <c r="K5469" s="17" t="n">
        <f aca="false">K5465+K5466+K5467-K5468</f>
        <v>-260.43348819324</v>
      </c>
    </row>
    <row r="5470" customFormat="false" ht="15" hidden="false" customHeight="false" outlineLevel="0" collapsed="false">
      <c r="A5470" s="3" t="s">
        <v>400</v>
      </c>
      <c r="G5470" s="16" t="n">
        <f aca="false">G5296+G5309+G5322+G5335+G5348+G5361+G5374+G5387+G5400+G5413</f>
        <v>0</v>
      </c>
      <c r="H5470" s="16" t="n">
        <f aca="false">H5296+H5309+H5322+H5335+H5348+H5361+H5374+H5387+H5400+H5413</f>
        <v>0</v>
      </c>
      <c r="I5470" s="16" t="n">
        <f aca="false">I5296+I5309+I5322+I5335+I5348+I5361+I5374+I5387+I5400+I5413</f>
        <v>0</v>
      </c>
      <c r="J5470" s="16" t="n">
        <f aca="false">J5296+J5309+J5322+J5335+J5348+J5361+J5374+J5387+J5400+J5413</f>
        <v>0</v>
      </c>
      <c r="K5470" s="16" t="n">
        <f aca="false">K5296+K5309+K5322+K5335+K5348+K5361+K5374+K5387+K5400+K5413</f>
        <v>0</v>
      </c>
    </row>
    <row r="5471" customFormat="false" ht="15" hidden="false" customHeight="false" outlineLevel="0" collapsed="false">
      <c r="A5471" s="2" t="s">
        <v>401</v>
      </c>
      <c r="G5471" s="17" t="n">
        <f aca="false">G5469+G5470</f>
        <v>104.2116788</v>
      </c>
      <c r="H5471" s="17" t="n">
        <f aca="false">H5469+H5470</f>
        <v>11.6442311670001</v>
      </c>
      <c r="I5471" s="17" t="n">
        <f aca="false">I5469+I5470</f>
        <v>-90.5109755019035</v>
      </c>
      <c r="J5471" s="17" t="n">
        <f aca="false">J5469+J5470</f>
        <v>-177.340690520447</v>
      </c>
      <c r="K5471" s="17" t="n">
        <f aca="false">K5469+K5470</f>
        <v>-260.43348819324</v>
      </c>
    </row>
    <row r="5472" customFormat="false" ht="15" hidden="false" customHeight="false" outlineLevel="0" collapsed="false">
      <c r="A5472" s="3" t="s">
        <v>402</v>
      </c>
      <c r="G5472" s="16" t="n">
        <f aca="false">G5297+G5310+G5323+G5336+G5349+G5362+G5375+G5388+G5401+G5414</f>
        <v>0</v>
      </c>
      <c r="H5472" s="16" t="n">
        <f aca="false">H5297+H5310+H5323+H5336+H5349+H5362+H5375+H5388+H5401+H5414</f>
        <v>11.6442311670001</v>
      </c>
      <c r="I5472" s="16" t="n">
        <f aca="false">I5297+I5310+I5323+I5336+I5349+I5362+I5375+I5388+I5401+I5414</f>
        <v>0</v>
      </c>
      <c r="J5472" s="16" t="n">
        <f aca="false">J5297+J5310+J5323+J5336+J5349+J5362+J5375+J5388+J5401+J5414</f>
        <v>0</v>
      </c>
      <c r="K5472" s="16" t="n">
        <f aca="false">K5297+K5310+K5323+K5336+K5349+K5362+K5375+K5388+K5401+K5414</f>
        <v>0</v>
      </c>
    </row>
    <row r="5473" customFormat="false" ht="15" hidden="false" customHeight="false" outlineLevel="0" collapsed="false">
      <c r="A5473" s="2" t="s">
        <v>403</v>
      </c>
      <c r="G5473" s="17" t="n">
        <f aca="false">G5471-G5472</f>
        <v>104.2116788</v>
      </c>
      <c r="H5473" s="17" t="n">
        <f aca="false">H5471-H5472</f>
        <v>0</v>
      </c>
      <c r="I5473" s="17" t="n">
        <f aca="false">I5471-I5472</f>
        <v>-90.5109755019035</v>
      </c>
      <c r="J5473" s="17" t="n">
        <f aca="false">J5471-J5472</f>
        <v>-177.340690520447</v>
      </c>
      <c r="K5473" s="17" t="n">
        <f aca="false">K5471-K5472</f>
        <v>-260.43348819324</v>
      </c>
    </row>
    <row r="5474" customFormat="false" ht="15" hidden="false" customHeight="false" outlineLevel="0" collapsed="false">
      <c r="A5474" s="3" t="s">
        <v>404</v>
      </c>
      <c r="G5474" s="16" t="n">
        <f aca="false">MAX(0,-G5473)</f>
        <v>0</v>
      </c>
      <c r="H5474" s="16" t="n">
        <f aca="false">MAX(0,-H5473)</f>
        <v>-0</v>
      </c>
      <c r="I5474" s="16" t="n">
        <f aca="false">MAX(0,-I5473)</f>
        <v>90.5109755019035</v>
      </c>
      <c r="J5474" s="16" t="n">
        <f aca="false">MAX(0,-J5473)</f>
        <v>177.340690520447</v>
      </c>
      <c r="K5474" s="16" t="n">
        <f aca="false">MAX(0,-K5473)</f>
        <v>260.43348819324</v>
      </c>
    </row>
    <row r="5475" customFormat="false" ht="15" hidden="false" customHeight="false" outlineLevel="0" collapsed="false">
      <c r="A5475" s="3" t="s">
        <v>405</v>
      </c>
      <c r="G5475" s="16" t="n">
        <f aca="false">MAX(0,G5473-Assumptions!$C$12)*Assumptions!$C$13</f>
        <v>0</v>
      </c>
      <c r="H5475" s="16" t="n">
        <f aca="false">MAX(0,H5473-Assumptions!$C$12)*Assumptions!$C$13</f>
        <v>0</v>
      </c>
      <c r="I5475" s="16" t="n">
        <f aca="false">MAX(0,I5473-Assumptions!$C$12)*Assumptions!$C$13</f>
        <v>0</v>
      </c>
      <c r="J5475" s="16" t="n">
        <f aca="false">MAX(0,J5473-Assumptions!$C$12)*Assumptions!$C$13</f>
        <v>0</v>
      </c>
      <c r="K5475" s="16" t="n">
        <f aca="false">MAX(0,K5473-Assumptions!$C$12)*Assumptions!$C$13</f>
        <v>0</v>
      </c>
    </row>
    <row r="5476" customFormat="false" ht="15" hidden="false" customHeight="false" outlineLevel="0" collapsed="false">
      <c r="A5476" s="3" t="s">
        <v>406</v>
      </c>
      <c r="G5476" s="16" t="n">
        <f aca="false">G5298+G5311+G5324+G5337+G5350+G5363+G5376+G5389+G5402+G5415</f>
        <v>0</v>
      </c>
      <c r="H5476" s="16" t="n">
        <f aca="false">H5298+H5311+H5324+H5337+H5350+H5363+H5376+H5389+H5402+H5415</f>
        <v>0</v>
      </c>
      <c r="I5476" s="16" t="n">
        <f aca="false">I5298+I5311+I5324+I5337+I5350+I5363+I5376+I5389+I5402+I5415</f>
        <v>0</v>
      </c>
      <c r="J5476" s="16" t="n">
        <f aca="false">J5298+J5311+J5324+J5337+J5350+J5363+J5376+J5389+J5402+J5415</f>
        <v>0</v>
      </c>
      <c r="K5476" s="16" t="n">
        <f aca="false">K5298+K5311+K5324+K5337+K5350+K5363+K5376+K5389+K5402+K5415</f>
        <v>0</v>
      </c>
    </row>
    <row r="5477" customFormat="false" ht="15" hidden="false" customHeight="false" outlineLevel="0" collapsed="false">
      <c r="A5477" s="2" t="s">
        <v>407</v>
      </c>
      <c r="F5477" s="28" t="n">
        <f aca="false">Assumptions!$C$11</f>
        <v>37.87</v>
      </c>
      <c r="G5477" s="17" t="n">
        <f aca="false">G5473-G5476</f>
        <v>104.2116788</v>
      </c>
      <c r="H5477" s="17" t="n">
        <f aca="false">H5473-H5476</f>
        <v>0</v>
      </c>
      <c r="I5477" s="17" t="n">
        <f aca="false">I5473-I5476</f>
        <v>-90.5109755019035</v>
      </c>
      <c r="J5477" s="17" t="n">
        <f aca="false">J5473-J5476</f>
        <v>-177.340690520447</v>
      </c>
      <c r="K5477" s="17" t="n">
        <f aca="false">K5473-K5476</f>
        <v>-260.43348819324</v>
      </c>
    </row>
    <row r="5478" customFormat="false" ht="15" hidden="false" customHeight="false" outlineLevel="0" collapsed="false">
      <c r="A5478" s="3" t="s">
        <v>408</v>
      </c>
      <c r="G5478" s="16" t="n">
        <f aca="false">G5299+G5312+G5325+G5338+G5351+G5364+G5377+G5390+G5403+G5416</f>
        <v>0</v>
      </c>
      <c r="H5478" s="16" t="n">
        <f aca="false">H5299+H5312+H5325+H5338+H5351+H5364+H5377+H5390+H5403+H5416</f>
        <v>788.355768833</v>
      </c>
      <c r="I5478" s="16" t="n">
        <f aca="false">I5299+I5312+I5325+I5338+I5351+I5364+I5377+I5390+I5403+I5416</f>
        <v>550</v>
      </c>
      <c r="J5478" s="16" t="n">
        <f aca="false">J5299+J5312+J5325+J5338+J5351+J5364+J5377+J5390+J5403+J5416</f>
        <v>350</v>
      </c>
      <c r="K5478" s="16" t="n">
        <f aca="false">K5299+K5312+K5325+K5338+K5351+K5364+K5377+K5390+K5403+K5416</f>
        <v>680</v>
      </c>
    </row>
    <row r="5479" customFormat="false" ht="15" hidden="false" customHeight="false" outlineLevel="0" collapsed="false">
      <c r="A5479" s="3" t="s">
        <v>409</v>
      </c>
      <c r="G5479" s="21" t="n">
        <f aca="false">IF(OR(G5474&gt;0.001,G5478&gt;0.001),1,0)</f>
        <v>0</v>
      </c>
      <c r="H5479" s="21" t="n">
        <f aca="false">IF(OR(H5474&gt;0.001,H5478&gt;0.001),1,0)</f>
        <v>1</v>
      </c>
      <c r="I5479" s="21" t="n">
        <f aca="false">IF(OR(I5474&gt;0.001,I5478&gt;0.001),1,0)</f>
        <v>1</v>
      </c>
      <c r="J5479" s="21" t="n">
        <f aca="false">IF(OR(J5474&gt;0.001,J5478&gt;0.001),1,0)</f>
        <v>1</v>
      </c>
      <c r="K5479" s="21" t="n">
        <f aca="false">IF(OR(K5474&gt;0.001,K5478&gt;0.001),1,0)</f>
        <v>1</v>
      </c>
    </row>
    <row r="5480" customFormat="false" ht="15" hidden="false" customHeight="false" outlineLevel="0" collapsed="false">
      <c r="A5480" s="3" t="s">
        <v>410</v>
      </c>
      <c r="G5480" s="21" t="n">
        <f aca="false">IF(G5479=1,1,0)</f>
        <v>0</v>
      </c>
      <c r="H5480" s="21" t="n">
        <f aca="false">IF(AND(H5479=1,SUM($G$5479:G5479)=0),1,0)</f>
        <v>1</v>
      </c>
      <c r="I5480" s="21" t="n">
        <f aca="false">IF(AND(I5479=1,SUM($G$5479:H5479)=0),1,0)</f>
        <v>0</v>
      </c>
      <c r="J5480" s="21" t="n">
        <f aca="false">IF(AND(J5479=1,SUM($G$5479:I5479)=0),1,0)</f>
        <v>0</v>
      </c>
      <c r="K5480" s="21" t="n">
        <f aca="false">IF(AND(K5479=1,SUM($G$5479:J5479)=0),1,0)</f>
        <v>0</v>
      </c>
    </row>
    <row r="5481" customFormat="false" ht="15" hidden="false" customHeight="false" outlineLevel="0" collapsed="false">
      <c r="A5481" s="3" t="s">
        <v>411</v>
      </c>
      <c r="G5481" s="16" t="n">
        <f aca="false">(G5419-F5419)-(G5470+G5268-G5468-G5472-G5476)</f>
        <v>0</v>
      </c>
      <c r="H5481" s="16" t="n">
        <f aca="false">(H5419-G5419)-(H5470+H5268-H5468-H5472-H5476)</f>
        <v>-2.1316282072803E-013</v>
      </c>
      <c r="I5481" s="16" t="n">
        <f aca="false">(I5419-H5419)-(I5470+I5268-I5468-I5472-I5476)</f>
        <v>0</v>
      </c>
      <c r="J5481" s="16" t="n">
        <f aca="false">(J5419-I5419)-(J5470+J5268-J5468-J5472-J5476)</f>
        <v>0</v>
      </c>
      <c r="K5481" s="16" t="n">
        <f aca="false">(K5419-J5419)-(K5470+K5268-K5468-K5472-K5476)</f>
        <v>0</v>
      </c>
    </row>
    <row r="5483" customFormat="false" ht="15" hidden="false" customHeight="false" outlineLevel="0" collapsed="false">
      <c r="A5483" s="24" t="s">
        <v>413</v>
      </c>
      <c r="B5483" s="25"/>
      <c r="C5483" s="25"/>
      <c r="D5483" s="25"/>
      <c r="E5483" s="25"/>
      <c r="F5483" s="25"/>
      <c r="G5483" s="25"/>
      <c r="H5483" s="25"/>
      <c r="I5483" s="25"/>
      <c r="J5483" s="25"/>
      <c r="K5483" s="25"/>
    </row>
    <row r="5484" customFormat="false" ht="15" hidden="false" customHeight="false" outlineLevel="0" collapsed="false">
      <c r="A5484" s="3" t="s">
        <v>414</v>
      </c>
      <c r="G5484" s="16" t="n">
        <f aca="false">G5419</f>
        <v>2621.934</v>
      </c>
      <c r="H5484" s="16" t="n">
        <f aca="false">H5419</f>
        <v>2606.289768833</v>
      </c>
      <c r="I5484" s="16" t="n">
        <f aca="false">I5419</f>
        <v>2602.289768833</v>
      </c>
      <c r="J5484" s="16" t="n">
        <f aca="false">J5419</f>
        <v>2598.289768833</v>
      </c>
      <c r="K5484" s="16" t="n">
        <f aca="false">K5419</f>
        <v>2594.289768833</v>
      </c>
    </row>
    <row r="5485" customFormat="false" ht="15" hidden="false" customHeight="false" outlineLevel="0" collapsed="false">
      <c r="A5485" s="3" t="s">
        <v>415</v>
      </c>
      <c r="G5485" s="16" t="n">
        <f aca="false">Assumptions!$O$57*G5300+Assumptions!$O$58*G5313+Assumptions!$O$59*G5326+Assumptions!$O$60*G5339+Assumptions!$O$61*G5352+Assumptions!$O$62*G5365+Assumptions!$O$63*G5378+Assumptions!$O$64*G5391+Assumptions!$O$65*G5404+Assumptions!$O$66*G5417</f>
        <v>543.324</v>
      </c>
      <c r="H5485" s="16" t="n">
        <f aca="false">Assumptions!$O$57*H5300+Assumptions!$O$58*H5313+Assumptions!$O$59*H5326+Assumptions!$O$60*H5339+Assumptions!$O$61*H5352+Assumptions!$O$62*H5365+Assumptions!$O$63*H5378+Assumptions!$O$64*H5391+Assumptions!$O$65*H5404+Assumptions!$O$66*H5417</f>
        <v>539.324</v>
      </c>
      <c r="I5485" s="16" t="n">
        <f aca="false">Assumptions!$O$57*I5300+Assumptions!$O$58*I5313+Assumptions!$O$59*I5326+Assumptions!$O$60*I5339+Assumptions!$O$61*I5352+Assumptions!$O$62*I5365+Assumptions!$O$63*I5378+Assumptions!$O$64*I5391+Assumptions!$O$65*I5404+Assumptions!$O$66*I5417</f>
        <v>535.324</v>
      </c>
      <c r="J5485" s="16" t="n">
        <f aca="false">Assumptions!$O$57*J5300+Assumptions!$O$58*J5313+Assumptions!$O$59*J5326+Assumptions!$O$60*J5339+Assumptions!$O$61*J5352+Assumptions!$O$62*J5365+Assumptions!$O$63*J5378+Assumptions!$O$64*J5391+Assumptions!$O$65*J5404+Assumptions!$O$66*J5417</f>
        <v>531.324</v>
      </c>
      <c r="K5485" s="16" t="n">
        <f aca="false">Assumptions!$O$57*K5300+Assumptions!$O$58*K5313+Assumptions!$O$59*K5326+Assumptions!$O$60*K5339+Assumptions!$O$61*K5352+Assumptions!$O$62*K5365+Assumptions!$O$63*K5378+Assumptions!$O$64*K5391+Assumptions!$O$65*K5404+Assumptions!$O$66*K5417</f>
        <v>527.324</v>
      </c>
    </row>
    <row r="5486" customFormat="false" ht="15" hidden="false" customHeight="false" outlineLevel="0" collapsed="false">
      <c r="A5486" s="3" t="s">
        <v>416</v>
      </c>
      <c r="G5486" s="16" t="n">
        <f aca="false">G5484-G5477</f>
        <v>2517.7223212</v>
      </c>
      <c r="H5486" s="16" t="n">
        <f aca="false">H5484-H5477</f>
        <v>2606.289768833</v>
      </c>
      <c r="I5486" s="16" t="n">
        <f aca="false">I5484-I5477</f>
        <v>2692.8007443349</v>
      </c>
      <c r="J5486" s="16" t="n">
        <f aca="false">J5484-J5477</f>
        <v>2775.63045935345</v>
      </c>
      <c r="K5486" s="16" t="n">
        <f aca="false">K5484-K5477</f>
        <v>2854.72325702624</v>
      </c>
    </row>
    <row r="5487" customFormat="false" ht="15" hidden="false" customHeight="false" outlineLevel="0" collapsed="false">
      <c r="A5487" s="3" t="s">
        <v>417</v>
      </c>
      <c r="G5487" s="32" t="n">
        <f aca="false">IF(G5263&gt;0,G5484/G5263,0)</f>
        <v>12.1689477650335</v>
      </c>
      <c r="H5487" s="32" t="n">
        <f aca="false">IF(H5263&gt;0,H5484/H5263,0)</f>
        <v>12.8908055445682</v>
      </c>
      <c r="I5487" s="32" t="n">
        <f aca="false">IF(I5263&gt;0,I5484/I5263,0)</f>
        <v>12.8710213966983</v>
      </c>
      <c r="J5487" s="32" t="n">
        <f aca="false">IF(J5263&gt;0,J5484/J5263,0)</f>
        <v>12.5826195285559</v>
      </c>
      <c r="K5487" s="32" t="n">
        <f aca="false">IF(K5263&gt;0,K5484/K5263,0)</f>
        <v>12.3021695350414</v>
      </c>
    </row>
    <row r="5488" customFormat="false" ht="15" hidden="false" customHeight="false" outlineLevel="0" collapsed="false">
      <c r="A5488" s="3" t="s">
        <v>418</v>
      </c>
      <c r="G5488" s="32" t="n">
        <f aca="false">IF(G5263&gt;0,G5486/G5263,0)</f>
        <v>11.6852794210463</v>
      </c>
      <c r="H5488" s="32" t="n">
        <f aca="false">IF(H5263&gt;0,H5486/H5263,0)</f>
        <v>12.8908055445682</v>
      </c>
      <c r="I5488" s="32" t="n">
        <f aca="false">IF(I5263&gt;0,I5486/I5263,0)</f>
        <v>13.3186920274918</v>
      </c>
      <c r="J5488" s="32" t="n">
        <f aca="false">IF(J5263&gt;0,J5486/J5263,0)</f>
        <v>13.4414192138398</v>
      </c>
      <c r="K5488" s="32" t="n">
        <f aca="false">IF(K5263&gt;0,K5486/K5263,0)</f>
        <v>13.5371498995505</v>
      </c>
    </row>
    <row r="5489" customFormat="false" ht="15" hidden="false" customHeight="false" outlineLevel="0" collapsed="false">
      <c r="A5489" s="3" t="s">
        <v>419</v>
      </c>
      <c r="G5489" s="32" t="n">
        <f aca="false">IF(G5267&gt;0,G5263/G5267,0)</f>
        <v>1.14980718002797</v>
      </c>
      <c r="H5489" s="32" t="n">
        <f aca="false">IF(H5267&gt;0,H5263/H5267,0)</f>
        <v>1.0855359592682</v>
      </c>
      <c r="I5489" s="32" t="n">
        <f aca="false">IF(I5267&gt;0,I5263/I5267,0)</f>
        <v>1.09765562122609</v>
      </c>
      <c r="J5489" s="32" t="n">
        <f aca="false">IF(J5267&gt;0,J5263/J5267,0)</f>
        <v>1.12358972675404</v>
      </c>
      <c r="K5489" s="32" t="n">
        <f aca="false">IF(K5267&gt;0,K5263/K5267,0)</f>
        <v>1.1500003037295</v>
      </c>
    </row>
    <row r="5490" customFormat="false" ht="15" hidden="false" customHeight="false" outlineLevel="0" collapsed="false">
      <c r="A5490" s="3" t="s">
        <v>420</v>
      </c>
      <c r="G5490" s="32" t="n">
        <f aca="false">IF(G5267&gt;0,G5266/G5267,0)</f>
        <v>0.220320534635224</v>
      </c>
      <c r="H5490" s="32" t="n">
        <f aca="false">IF(H5267&gt;0,H5266/H5267,0)</f>
        <v>0.178425502916334</v>
      </c>
      <c r="I5490" s="32" t="n">
        <f aca="false">IF(I5267&gt;0,I5266/I5267,0)</f>
        <v>0.180417566616802</v>
      </c>
      <c r="J5490" s="32" t="n">
        <f aca="false">IF(J5267&gt;0,J5266/J5267,0)</f>
        <v>0.195112586379635</v>
      </c>
      <c r="K5490" s="32" t="n">
        <f aca="false">IF(K5267&gt;0,K5266/K5267,0)</f>
        <v>0.210141685526547</v>
      </c>
    </row>
    <row r="5491" customFormat="false" ht="15" hidden="false" customHeight="false" outlineLevel="0" collapsed="false">
      <c r="A5491" s="3" t="s">
        <v>213</v>
      </c>
      <c r="G5491" s="22" t="n">
        <f aca="false">IF(G5484&gt;0,G5276/G5484,0)</f>
        <v>-0.030381512730679</v>
      </c>
      <c r="H5491" s="22" t="n">
        <f aca="false">IF(H5484&gt;0,H5276/H5484,0)</f>
        <v>-0.0339821951849418</v>
      </c>
      <c r="I5491" s="22" t="n">
        <f aca="false">IF(I5484&gt;0,I5276/I5484,0)</f>
        <v>-0.0332441746257564</v>
      </c>
      <c r="J5491" s="22" t="n">
        <f aca="false">IF(J5484&gt;0,J5276/J5484,0)</f>
        <v>-0.0318785518120813</v>
      </c>
      <c r="K5491" s="22" t="n">
        <f aca="false">IF(K5484&gt;0,K5276/K5484,0)</f>
        <v>-0.0304872642304609</v>
      </c>
    </row>
    <row r="5492" customFormat="false" ht="15" hidden="false" customHeight="false" outlineLevel="0" collapsed="false">
      <c r="A5492" s="3" t="s">
        <v>421</v>
      </c>
      <c r="G5492" s="32" t="n">
        <f aca="false">IF(G5267+G5468&gt;0,(G5263-G5274-G5271)/(G5267+G5468),0)</f>
        <v>0.685255181818197</v>
      </c>
      <c r="H5492" s="32" t="n">
        <f aca="false">IF(H5267+H5468&gt;0,(H5263-H5274-H5271)/(H5267+H5468),0)</f>
        <v>0.632851390173879</v>
      </c>
      <c r="I5492" s="32" t="n">
        <f aca="false">IF(I5267+I5468&gt;0,(I5263-I5274-I5271)/(I5267+I5468),0)</f>
        <v>0.639766797397575</v>
      </c>
      <c r="J5492" s="32" t="n">
        <f aca="false">IF(J5267+J5468&gt;0,(J5263-J5274-J5271)/(J5267+J5468),0)</f>
        <v>0.65979367274248</v>
      </c>
      <c r="K5492" s="32" t="n">
        <f aca="false">IF(K5267+K5468&gt;0,(K5263-K5274-K5271)/(K5267+K5468),0)</f>
        <v>0.680217350370349</v>
      </c>
    </row>
    <row r="5493" customFormat="false" ht="15" hidden="false" customHeight="false" outlineLevel="0" collapsed="false">
      <c r="A5493" s="3" t="s">
        <v>422</v>
      </c>
      <c r="G5493" s="16" t="n">
        <f aca="false">MAX(0,G5477)+Assumptions!$P$57*MAX(0,Assumptions!$D$57-G5300)+Assumptions!$P$58*MAX(0,Assumptions!$D$58-G5313)+Assumptions!$P$59*MAX(0,Assumptions!$D$59-G5326)+Assumptions!$P$60*MAX(0,Assumptions!$D$60-G5339)+Assumptions!$P$61*MAX(0,Assumptions!$D$61-G5352)+Assumptions!$P$62*MAX(0,Assumptions!$D$62-G5365)+Assumptions!$P$63*MAX(0,Assumptions!$D$63-G5378)+Assumptions!$P$64*MAX(0,Assumptions!$D$64-G5391)+Assumptions!$P$65*MAX(0,Assumptions!$D$65-G5404)+Assumptions!$P$66*MAX(0,Assumptions!$D$66-G5417)</f>
        <v>678.7116788</v>
      </c>
      <c r="H5493" s="16" t="n">
        <f aca="false">MAX(0,H5477)+Assumptions!$P$57*MAX(0,Assumptions!$D$57-H5300)+Assumptions!$P$58*MAX(0,Assumptions!$D$58-H5313)+Assumptions!$P$59*MAX(0,Assumptions!$D$59-H5326)+Assumptions!$P$60*MAX(0,Assumptions!$D$60-H5339)+Assumptions!$P$61*MAX(0,Assumptions!$D$61-H5352)+Assumptions!$P$62*MAX(0,Assumptions!$D$62-H5365)+Assumptions!$P$63*MAX(0,Assumptions!$D$63-H5378)+Assumptions!$P$64*MAX(0,Assumptions!$D$64-H5391)+Assumptions!$P$65*MAX(0,Assumptions!$D$65-H5404)+Assumptions!$P$66*MAX(0,Assumptions!$D$66-H5417)</f>
        <v>574.5</v>
      </c>
      <c r="I5493" s="16" t="n">
        <f aca="false">MAX(0,I5477)+Assumptions!$P$57*MAX(0,Assumptions!$D$57-I5300)+Assumptions!$P$58*MAX(0,Assumptions!$D$58-I5313)+Assumptions!$P$59*MAX(0,Assumptions!$D$59-I5326)+Assumptions!$P$60*MAX(0,Assumptions!$D$60-I5339)+Assumptions!$P$61*MAX(0,Assumptions!$D$61-I5352)+Assumptions!$P$62*MAX(0,Assumptions!$D$62-I5365)+Assumptions!$P$63*MAX(0,Assumptions!$D$63-I5378)+Assumptions!$P$64*MAX(0,Assumptions!$D$64-I5391)+Assumptions!$P$65*MAX(0,Assumptions!$D$65-I5404)+Assumptions!$P$66*MAX(0,Assumptions!$D$66-I5417)</f>
        <v>574.5</v>
      </c>
      <c r="J5493" s="16" t="n">
        <f aca="false">MAX(0,J5477)+Assumptions!$P$57*MAX(0,Assumptions!$D$57-J5300)+Assumptions!$P$58*MAX(0,Assumptions!$D$58-J5313)+Assumptions!$P$59*MAX(0,Assumptions!$D$59-J5326)+Assumptions!$P$60*MAX(0,Assumptions!$D$60-J5339)+Assumptions!$P$61*MAX(0,Assumptions!$D$61-J5352)+Assumptions!$P$62*MAX(0,Assumptions!$D$62-J5365)+Assumptions!$P$63*MAX(0,Assumptions!$D$63-J5378)+Assumptions!$P$64*MAX(0,Assumptions!$D$64-J5391)+Assumptions!$P$65*MAX(0,Assumptions!$D$65-J5404)+Assumptions!$P$66*MAX(0,Assumptions!$D$66-J5417)</f>
        <v>574.5</v>
      </c>
      <c r="K5493" s="16" t="n">
        <f aca="false">MAX(0,K5477)+Assumptions!$P$57*MAX(0,Assumptions!$D$57-K5300)+Assumptions!$P$58*MAX(0,Assumptions!$D$58-K5313)+Assumptions!$P$59*MAX(0,Assumptions!$D$59-K5326)+Assumptions!$P$60*MAX(0,Assumptions!$D$60-K5339)+Assumptions!$P$61*MAX(0,Assumptions!$D$61-K5352)+Assumptions!$P$62*MAX(0,Assumptions!$D$62-K5365)+Assumptions!$P$63*MAX(0,Assumptions!$D$63-K5378)+Assumptions!$P$64*MAX(0,Assumptions!$D$64-K5391)+Assumptions!$P$65*MAX(0,Assumptions!$D$65-K5404)+Assumptions!$P$66*MAX(0,Assumptions!$D$66-K5417)</f>
        <v>574.5</v>
      </c>
    </row>
    <row r="5494" customFormat="false" ht="15" hidden="false" customHeight="false" outlineLevel="0" collapsed="false">
      <c r="A5494" s="3" t="s">
        <v>423</v>
      </c>
      <c r="G5494" s="22" t="n">
        <f aca="false">IF(G5484&gt;0,G5484/(G5484+MAX(0,G5263*CHOOSE($C$5246,Assumptions!$C$90,Assumptions!$C$109,Assumptions!$C$128)-G5486)),0)</f>
        <v>1</v>
      </c>
      <c r="H5494" s="22" t="n">
        <f aca="false">IF(H5484&gt;0,H5484/(H5484+MAX(0,H5263*CHOOSE($C$5246,Assumptions!$C$90,Assumptions!$C$109,Assumptions!$C$128)-H5486)),0)</f>
        <v>1</v>
      </c>
      <c r="I5494" s="22" t="n">
        <f aca="false">IF(I5484&gt;0,I5484/(I5484+MAX(0,I5263*CHOOSE($C$5246,Assumptions!$C$90,Assumptions!$C$109,Assumptions!$C$128)-I5486)),0)</f>
        <v>1</v>
      </c>
      <c r="J5494" s="22" t="n">
        <f aca="false">IF(J5484&gt;0,J5484/(J5484+MAX(0,J5263*CHOOSE($C$5246,Assumptions!$C$90,Assumptions!$C$109,Assumptions!$C$128)-J5486)),0)</f>
        <v>1</v>
      </c>
      <c r="K5494" s="22" t="n">
        <f aca="false">IF(K5484&gt;0,K5484/(K5484+MAX(0,K5263*CHOOSE($C$5246,Assumptions!$C$90,Assumptions!$C$109,Assumptions!$C$128)-K5486)),0)</f>
        <v>1</v>
      </c>
    </row>
    <row r="5495" customFormat="false" ht="15" hidden="false" customHeight="false" outlineLevel="0" collapsed="false">
      <c r="A5495" s="3" t="s">
        <v>424</v>
      </c>
      <c r="G5495" s="22" t="n">
        <f aca="false">IF(G5484&gt;0,MAX(0,G5477)/G5484,0)</f>
        <v>0.0397461106191079</v>
      </c>
      <c r="H5495" s="22" t="n">
        <f aca="false">IF(H5484&gt;0,MAX(0,H5477)/H5484,0)</f>
        <v>0</v>
      </c>
      <c r="I5495" s="22" t="n">
        <f aca="false">IF(I5484&gt;0,MAX(0,I5477)/I5484,0)</f>
        <v>0</v>
      </c>
      <c r="J5495" s="22" t="n">
        <f aca="false">IF(J5484&gt;0,MAX(0,J5477)/J5484,0)</f>
        <v>0</v>
      </c>
      <c r="K5495" s="22" t="n">
        <f aca="false">IF(K5484&gt;0,MAX(0,K5477)/K5484,0)</f>
        <v>0</v>
      </c>
    </row>
    <row r="5496" customFormat="false" ht="15" hidden="false" customHeight="false" outlineLevel="0" collapsed="false">
      <c r="A5496" s="3" t="s">
        <v>425</v>
      </c>
      <c r="G5496" s="16" t="n">
        <f aca="false">Assumptions!$C$31*(1-CHOOSE($C$5246,Assumptions!$C$93,Assumptions!$C$112,Assumptions!$C$131))</f>
        <v>3840.04556666667</v>
      </c>
      <c r="H5496" s="16" t="n">
        <f aca="false">Assumptions!$C$31*(1-CHOOSE($C$5246,Assumptions!$C$93,Assumptions!$C$112,Assumptions!$C$131))</f>
        <v>3840.04556666667</v>
      </c>
      <c r="I5496" s="16" t="n">
        <f aca="false">Assumptions!$C$31*(1-CHOOSE($C$5246,Assumptions!$C$93,Assumptions!$C$112,Assumptions!$C$131))</f>
        <v>3840.04556666667</v>
      </c>
      <c r="J5496" s="16" t="n">
        <f aca="false">Assumptions!$C$31*(1-CHOOSE($C$5246,Assumptions!$C$93,Assumptions!$C$112,Assumptions!$C$131))</f>
        <v>3840.04556666667</v>
      </c>
      <c r="K5496" s="16" t="n">
        <f aca="false">Assumptions!$C$31*(1-CHOOSE($C$5246,Assumptions!$C$93,Assumptions!$C$112,Assumptions!$C$131))</f>
        <v>3840.04556666667</v>
      </c>
    </row>
    <row r="5497" customFormat="false" ht="15" hidden="false" customHeight="false" outlineLevel="0" collapsed="false">
      <c r="A5497" s="24" t="s">
        <v>426</v>
      </c>
      <c r="B5497" s="25"/>
      <c r="C5497" s="25"/>
      <c r="D5497" s="25"/>
      <c r="E5497" s="25"/>
      <c r="F5497" s="25"/>
      <c r="G5497" s="25"/>
      <c r="H5497" s="25"/>
      <c r="I5497" s="25"/>
      <c r="J5497" s="25"/>
      <c r="K5497" s="25"/>
    </row>
    <row r="5498" customFormat="false" ht="15" hidden="false" customHeight="false" outlineLevel="0" collapsed="false">
      <c r="A5498" s="24" t="s">
        <v>427</v>
      </c>
      <c r="B5498" s="25"/>
      <c r="C5498" s="25"/>
      <c r="D5498" s="25"/>
      <c r="E5498" s="25"/>
      <c r="F5498" s="25"/>
      <c r="G5498" s="25"/>
      <c r="H5498" s="25"/>
      <c r="I5498" s="25"/>
      <c r="J5498" s="25"/>
      <c r="K5498" s="25"/>
    </row>
    <row r="5499" customFormat="false" ht="15" hidden="false" customHeight="false" outlineLevel="0" collapsed="false">
      <c r="A5499" s="3" t="s">
        <v>428</v>
      </c>
      <c r="G5499" s="22" t="n">
        <f aca="false">IF(G5496&gt;0,G5484/G5496,99)</f>
        <v>0.68278721032885</v>
      </c>
      <c r="H5499" s="22" t="n">
        <f aca="false">IF(H5496&gt;0,H5484/H5496,99)</f>
        <v>0.678713240138808</v>
      </c>
      <c r="I5499" s="22" t="n">
        <f aca="false">IF(I5496&gt;0,I5484/I5496,99)</f>
        <v>0.677671585832744</v>
      </c>
      <c r="J5499" s="22" t="n">
        <f aca="false">IF(J5496&gt;0,J5484/J5496,99)</f>
        <v>0.676629931526681</v>
      </c>
      <c r="K5499" s="22" t="n">
        <f aca="false">IF(K5496&gt;0,K5484/K5496,99)</f>
        <v>0.675588277220617</v>
      </c>
    </row>
    <row r="5500" customFormat="false" ht="15" hidden="false" customHeight="false" outlineLevel="0" collapsed="false">
      <c r="A5500" s="3" t="s">
        <v>429</v>
      </c>
      <c r="G5500" s="33" t="n">
        <f aca="false">Assumptions!$G$71</f>
        <v>0.6</v>
      </c>
      <c r="H5500" s="33" t="n">
        <f aca="false">Assumptions!$H$71</f>
        <v>0.6</v>
      </c>
      <c r="I5500" s="33" t="n">
        <f aca="false">Assumptions!$I$71</f>
        <v>0.6</v>
      </c>
      <c r="J5500" s="33" t="n">
        <f aca="false">Assumptions!$J$71</f>
        <v>0.6</v>
      </c>
      <c r="K5500" s="33" t="n">
        <f aca="false">Assumptions!$K$71</f>
        <v>0.6</v>
      </c>
    </row>
    <row r="5501" customFormat="false" ht="15" hidden="false" customHeight="false" outlineLevel="0" collapsed="false">
      <c r="A5501" s="3" t="s">
        <v>430</v>
      </c>
      <c r="G5501" s="22" t="n">
        <f aca="false">G5500-G5499</f>
        <v>-0.0827872103288497</v>
      </c>
      <c r="H5501" s="22" t="n">
        <f aca="false">H5500-H5499</f>
        <v>-0.0787132401388084</v>
      </c>
      <c r="I5501" s="22" t="n">
        <f aca="false">I5500-I5499</f>
        <v>-0.0776715858327445</v>
      </c>
      <c r="J5501" s="22" t="n">
        <f aca="false">J5500-J5499</f>
        <v>-0.0766299315266806</v>
      </c>
      <c r="K5501" s="22" t="n">
        <f aca="false">K5500-K5499</f>
        <v>-0.0755882772206167</v>
      </c>
    </row>
    <row r="5502" customFormat="false" ht="15" hidden="false" customHeight="false" outlineLevel="0" collapsed="false">
      <c r="A5502" s="3" t="s">
        <v>431</v>
      </c>
      <c r="G5502" s="22" t="n">
        <f aca="false">IF(G5500=0,0,G5501/ABS(G5500))</f>
        <v>-0.137978683881416</v>
      </c>
      <c r="H5502" s="22" t="n">
        <f aca="false">IF(H5500=0,0,H5501/ABS(H5500))</f>
        <v>-0.131188733564681</v>
      </c>
      <c r="I5502" s="22" t="n">
        <f aca="false">IF(I5500=0,0,I5501/ABS(I5500))</f>
        <v>-0.129452643054574</v>
      </c>
      <c r="J5502" s="22" t="n">
        <f aca="false">IF(J5500=0,0,J5501/ABS(J5500))</f>
        <v>-0.127716552544468</v>
      </c>
      <c r="K5502" s="22" t="n">
        <f aca="false">IF(K5500=0,0,K5501/ABS(K5500))</f>
        <v>-0.125980462034361</v>
      </c>
    </row>
    <row r="5503" customFormat="false" ht="15" hidden="false" customHeight="false" outlineLevel="0" collapsed="false">
      <c r="A5503" s="3" t="s">
        <v>432</v>
      </c>
      <c r="G5503" s="21" t="n">
        <f aca="false">IF(G5501&lt;0,1,0)</f>
        <v>1</v>
      </c>
      <c r="H5503" s="21" t="n">
        <f aca="false">IF(H5501&lt;0,1,0)</f>
        <v>1</v>
      </c>
      <c r="I5503" s="21" t="n">
        <f aca="false">IF(I5501&lt;0,1,0)</f>
        <v>1</v>
      </c>
      <c r="J5503" s="21" t="n">
        <f aca="false">IF(J5501&lt;0,1,0)</f>
        <v>1</v>
      </c>
      <c r="K5503" s="21" t="n">
        <f aca="false">IF(K5501&lt;0,1,0)</f>
        <v>1</v>
      </c>
    </row>
    <row r="5504" customFormat="false" ht="15" hidden="false" customHeight="false" outlineLevel="0" collapsed="false">
      <c r="A5504" s="3" t="s">
        <v>433</v>
      </c>
      <c r="C5504" s="21" t="n">
        <f aca="false">IFERROR(INDEX($G$5253:$K$5253,MATCH(1,$G$5503:$K$5503,0)),0)</f>
        <v>2027</v>
      </c>
    </row>
    <row r="5505" customFormat="false" ht="15" hidden="false" customHeight="false" outlineLevel="0" collapsed="false">
      <c r="A5505" s="3" t="s">
        <v>434</v>
      </c>
      <c r="C5505" s="22" t="n">
        <f aca="false">MIN($G$5502:$K$5502)</f>
        <v>-0.137978683881416</v>
      </c>
    </row>
    <row r="5506" customFormat="false" ht="15" hidden="false" customHeight="false" outlineLevel="0" collapsed="false">
      <c r="A5506" s="24" t="s">
        <v>435</v>
      </c>
      <c r="B5506" s="25"/>
      <c r="C5506" s="25"/>
      <c r="D5506" s="25"/>
      <c r="E5506" s="25"/>
      <c r="F5506" s="25"/>
      <c r="G5506" s="25"/>
      <c r="H5506" s="25"/>
      <c r="I5506" s="25"/>
      <c r="J5506" s="25"/>
      <c r="K5506" s="25"/>
    </row>
    <row r="5507" customFormat="false" ht="15" hidden="false" customHeight="false" outlineLevel="0" collapsed="false">
      <c r="A5507" s="3" t="s">
        <v>428</v>
      </c>
      <c r="G5507" s="32" t="n">
        <f aca="false">IF(G5267&gt;0,G5263/G5267,99)</f>
        <v>1.14980718002797</v>
      </c>
      <c r="H5507" s="32" t="n">
        <f aca="false">IF(H5267&gt;0,H5263/H5267,99)</f>
        <v>1.0855359592682</v>
      </c>
      <c r="I5507" s="32" t="n">
        <f aca="false">IF(I5267&gt;0,I5263/I5267,99)</f>
        <v>1.09765562122609</v>
      </c>
      <c r="J5507" s="32" t="n">
        <f aca="false">IF(J5267&gt;0,J5263/J5267,99)</f>
        <v>1.12358972675404</v>
      </c>
      <c r="K5507" s="32" t="n">
        <f aca="false">IF(K5267&gt;0,K5263/K5267,99)</f>
        <v>1.1500003037295</v>
      </c>
    </row>
    <row r="5508" customFormat="false" ht="15" hidden="false" customHeight="false" outlineLevel="0" collapsed="false">
      <c r="A5508" s="3" t="s">
        <v>429</v>
      </c>
      <c r="G5508" s="34" t="n">
        <f aca="false">Assumptions!$G$72</f>
        <v>1.5</v>
      </c>
      <c r="H5508" s="34" t="n">
        <f aca="false">Assumptions!$H$72</f>
        <v>1.5</v>
      </c>
      <c r="I5508" s="34" t="n">
        <f aca="false">Assumptions!$I$72</f>
        <v>1.5</v>
      </c>
      <c r="J5508" s="34" t="n">
        <f aca="false">Assumptions!$J$72</f>
        <v>1.5</v>
      </c>
      <c r="K5508" s="34" t="n">
        <f aca="false">Assumptions!$K$72</f>
        <v>1.5</v>
      </c>
    </row>
    <row r="5509" customFormat="false" ht="15" hidden="false" customHeight="false" outlineLevel="0" collapsed="false">
      <c r="A5509" s="3" t="s">
        <v>430</v>
      </c>
      <c r="G5509" s="32" t="n">
        <f aca="false">G5507-G5508</f>
        <v>-0.350192819972027</v>
      </c>
      <c r="H5509" s="32" t="n">
        <f aca="false">H5507-H5508</f>
        <v>-0.414464040731795</v>
      </c>
      <c r="I5509" s="32" t="n">
        <f aca="false">I5507-I5508</f>
        <v>-0.402344378773911</v>
      </c>
      <c r="J5509" s="32" t="n">
        <f aca="false">J5507-J5508</f>
        <v>-0.376410273245956</v>
      </c>
      <c r="K5509" s="32" t="n">
        <f aca="false">K5507-K5508</f>
        <v>-0.349999696270503</v>
      </c>
    </row>
    <row r="5510" customFormat="false" ht="15" hidden="false" customHeight="false" outlineLevel="0" collapsed="false">
      <c r="A5510" s="3" t="s">
        <v>431</v>
      </c>
      <c r="G5510" s="22" t="n">
        <f aca="false">IF(G5508=0,0,G5509/ABS(G5508))</f>
        <v>-0.233461879981351</v>
      </c>
      <c r="H5510" s="22" t="n">
        <f aca="false">IF(H5508=0,0,H5509/ABS(H5508))</f>
        <v>-0.276309360487864</v>
      </c>
      <c r="I5510" s="22" t="n">
        <f aca="false">IF(I5508=0,0,I5509/ABS(I5508))</f>
        <v>-0.268229585849274</v>
      </c>
      <c r="J5510" s="22" t="n">
        <f aca="false">IF(J5508=0,0,J5509/ABS(J5508))</f>
        <v>-0.250940182163971</v>
      </c>
      <c r="K5510" s="22" t="n">
        <f aca="false">IF(K5508=0,0,K5509/ABS(K5508))</f>
        <v>-0.233333130847002</v>
      </c>
    </row>
    <row r="5511" customFormat="false" ht="15" hidden="false" customHeight="false" outlineLevel="0" collapsed="false">
      <c r="A5511" s="3" t="s">
        <v>432</v>
      </c>
      <c r="G5511" s="21" t="n">
        <f aca="false">IF(G5509&lt;0,1,0)</f>
        <v>1</v>
      </c>
      <c r="H5511" s="21" t="n">
        <f aca="false">IF(H5509&lt;0,1,0)</f>
        <v>1</v>
      </c>
      <c r="I5511" s="21" t="n">
        <f aca="false">IF(I5509&lt;0,1,0)</f>
        <v>1</v>
      </c>
      <c r="J5511" s="21" t="n">
        <f aca="false">IF(J5509&lt;0,1,0)</f>
        <v>1</v>
      </c>
      <c r="K5511" s="21" t="n">
        <f aca="false">IF(K5509&lt;0,1,0)</f>
        <v>1</v>
      </c>
    </row>
    <row r="5512" customFormat="false" ht="15" hidden="false" customHeight="false" outlineLevel="0" collapsed="false">
      <c r="A5512" s="3" t="s">
        <v>433</v>
      </c>
      <c r="C5512" s="21" t="n">
        <f aca="false">IFERROR(INDEX($G$5253:$K$5253,MATCH(1,$G$5511:$K$5511,0)),0)</f>
        <v>2027</v>
      </c>
    </row>
    <row r="5513" customFormat="false" ht="15" hidden="false" customHeight="false" outlineLevel="0" collapsed="false">
      <c r="A5513" s="3" t="s">
        <v>434</v>
      </c>
      <c r="C5513" s="22" t="n">
        <f aca="false">MIN($G$5510:$K$5510)</f>
        <v>-0.276309360487864</v>
      </c>
    </row>
    <row r="5514" customFormat="false" ht="15" hidden="false" customHeight="false" outlineLevel="0" collapsed="false">
      <c r="A5514" s="24" t="s">
        <v>436</v>
      </c>
      <c r="B5514" s="25"/>
      <c r="C5514" s="25"/>
      <c r="D5514" s="25"/>
      <c r="E5514" s="25"/>
      <c r="F5514" s="25"/>
      <c r="G5514" s="25"/>
      <c r="H5514" s="25"/>
      <c r="I5514" s="25"/>
      <c r="J5514" s="25"/>
      <c r="K5514" s="25"/>
    </row>
    <row r="5515" customFormat="false" ht="15" hidden="false" customHeight="false" outlineLevel="0" collapsed="false">
      <c r="A5515" s="3" t="s">
        <v>428</v>
      </c>
      <c r="G5515" s="22" t="n">
        <f aca="false">IF(G5496&gt;0,G5485/G5496,99)</f>
        <v>0.141488946046968</v>
      </c>
      <c r="H5515" s="22" t="n">
        <f aca="false">IF(H5496&gt;0,H5485/H5496,99)</f>
        <v>0.140447291740904</v>
      </c>
      <c r="I5515" s="22" t="n">
        <f aca="false">IF(I5496&gt;0,I5485/I5496,99)</f>
        <v>0.139405637434841</v>
      </c>
      <c r="J5515" s="22" t="n">
        <f aca="false">IF(J5496&gt;0,J5485/J5496,99)</f>
        <v>0.138363983128777</v>
      </c>
      <c r="K5515" s="22" t="n">
        <f aca="false">IF(K5496&gt;0,K5485/K5496,99)</f>
        <v>0.137322328822713</v>
      </c>
    </row>
    <row r="5516" customFormat="false" ht="15" hidden="false" customHeight="false" outlineLevel="0" collapsed="false">
      <c r="A5516" s="3" t="s">
        <v>429</v>
      </c>
      <c r="G5516" s="33" t="n">
        <f aca="false">Assumptions!$G$73</f>
        <v>0.4</v>
      </c>
      <c r="H5516" s="33" t="n">
        <f aca="false">Assumptions!$H$73</f>
        <v>0.4</v>
      </c>
      <c r="I5516" s="33" t="n">
        <f aca="false">Assumptions!$I$73</f>
        <v>0.4</v>
      </c>
      <c r="J5516" s="33" t="n">
        <f aca="false">Assumptions!$J$73</f>
        <v>0.4</v>
      </c>
      <c r="K5516" s="33" t="n">
        <f aca="false">Assumptions!$K$73</f>
        <v>0.4</v>
      </c>
    </row>
    <row r="5517" customFormat="false" ht="15" hidden="false" customHeight="false" outlineLevel="0" collapsed="false">
      <c r="A5517" s="3" t="s">
        <v>430</v>
      </c>
      <c r="G5517" s="22" t="n">
        <f aca="false">G5516-G5515</f>
        <v>0.258511053953032</v>
      </c>
      <c r="H5517" s="22" t="n">
        <f aca="false">H5516-H5515</f>
        <v>0.259552708259096</v>
      </c>
      <c r="I5517" s="22" t="n">
        <f aca="false">I5516-I5515</f>
        <v>0.26059436256516</v>
      </c>
      <c r="J5517" s="22" t="n">
        <f aca="false">J5516-J5515</f>
        <v>0.261636016871223</v>
      </c>
      <c r="K5517" s="22" t="n">
        <f aca="false">K5516-K5515</f>
        <v>0.262677671177287</v>
      </c>
    </row>
    <row r="5518" customFormat="false" ht="15" hidden="false" customHeight="false" outlineLevel="0" collapsed="false">
      <c r="A5518" s="3" t="s">
        <v>431</v>
      </c>
      <c r="G5518" s="22" t="n">
        <f aca="false">IF(G5516=0,0,G5517/ABS(G5516))</f>
        <v>0.646277634882579</v>
      </c>
      <c r="H5518" s="22" t="n">
        <f aca="false">IF(H5516=0,0,H5517/ABS(H5516))</f>
        <v>0.648881770647739</v>
      </c>
      <c r="I5518" s="22" t="n">
        <f aca="false">IF(I5516=0,0,I5517/ABS(I5516))</f>
        <v>0.651485906412899</v>
      </c>
      <c r="J5518" s="22" t="n">
        <f aca="false">IF(J5516=0,0,J5517/ABS(J5516))</f>
        <v>0.654090042178059</v>
      </c>
      <c r="K5518" s="22" t="n">
        <f aca="false">IF(K5516=0,0,K5517/ABS(K5516))</f>
        <v>0.656694177943218</v>
      </c>
    </row>
    <row r="5519" customFormat="false" ht="15" hidden="false" customHeight="false" outlineLevel="0" collapsed="false">
      <c r="A5519" s="3" t="s">
        <v>432</v>
      </c>
      <c r="G5519" s="21" t="n">
        <f aca="false">IF(G5517&lt;0,1,0)</f>
        <v>0</v>
      </c>
      <c r="H5519" s="21" t="n">
        <f aca="false">IF(H5517&lt;0,1,0)</f>
        <v>0</v>
      </c>
      <c r="I5519" s="21" t="n">
        <f aca="false">IF(I5517&lt;0,1,0)</f>
        <v>0</v>
      </c>
      <c r="J5519" s="21" t="n">
        <f aca="false">IF(J5517&lt;0,1,0)</f>
        <v>0</v>
      </c>
      <c r="K5519" s="21" t="n">
        <f aca="false">IF(K5517&lt;0,1,0)</f>
        <v>0</v>
      </c>
    </row>
    <row r="5520" customFormat="false" ht="15" hidden="false" customHeight="false" outlineLevel="0" collapsed="false">
      <c r="A5520" s="3" t="s">
        <v>433</v>
      </c>
      <c r="C5520" s="21" t="n">
        <f aca="false">IFERROR(INDEX($G$5253:$K$5253,MATCH(1,$G$5519:$K$5519,0)),0)</f>
        <v>0</v>
      </c>
    </row>
    <row r="5521" customFormat="false" ht="15" hidden="false" customHeight="false" outlineLevel="0" collapsed="false">
      <c r="A5521" s="3" t="s">
        <v>434</v>
      </c>
      <c r="C5521" s="22" t="n">
        <f aca="false">MIN($G$5518:$K$5518)</f>
        <v>0.646277634882579</v>
      </c>
    </row>
    <row r="5522" customFormat="false" ht="15" hidden="false" customHeight="false" outlineLevel="0" collapsed="false">
      <c r="A5522" s="24" t="s">
        <v>437</v>
      </c>
      <c r="B5522" s="25"/>
      <c r="C5522" s="25"/>
      <c r="D5522" s="25"/>
      <c r="E5522" s="25"/>
      <c r="F5522" s="25"/>
      <c r="G5522" s="25"/>
      <c r="H5522" s="25"/>
      <c r="I5522" s="25"/>
      <c r="J5522" s="25"/>
      <c r="K5522" s="25"/>
    </row>
    <row r="5523" customFormat="false" ht="15" hidden="false" customHeight="false" outlineLevel="0" collapsed="false">
      <c r="A5523" s="3" t="s">
        <v>428</v>
      </c>
      <c r="G5523" s="16" t="n">
        <f aca="false">G5493</f>
        <v>678.7116788</v>
      </c>
      <c r="H5523" s="16" t="n">
        <f aca="false">H5493</f>
        <v>574.5</v>
      </c>
      <c r="I5523" s="16" t="n">
        <f aca="false">I5493</f>
        <v>574.5</v>
      </c>
      <c r="J5523" s="16" t="n">
        <f aca="false">J5493</f>
        <v>574.5</v>
      </c>
      <c r="K5523" s="16" t="n">
        <f aca="false">K5493</f>
        <v>574.5</v>
      </c>
    </row>
    <row r="5524" customFormat="false" ht="15" hidden="false" customHeight="false" outlineLevel="0" collapsed="false">
      <c r="A5524" s="3" t="s">
        <v>429</v>
      </c>
      <c r="G5524" s="29" t="n">
        <f aca="false">Assumptions!$G$74</f>
        <v>100</v>
      </c>
      <c r="H5524" s="29" t="n">
        <f aca="false">Assumptions!$H$74</f>
        <v>100</v>
      </c>
      <c r="I5524" s="29" t="n">
        <f aca="false">Assumptions!$I$74</f>
        <v>100</v>
      </c>
      <c r="J5524" s="29" t="n">
        <f aca="false">Assumptions!$J$74</f>
        <v>100</v>
      </c>
      <c r="K5524" s="29" t="n">
        <f aca="false">Assumptions!$K$74</f>
        <v>100</v>
      </c>
    </row>
    <row r="5525" customFormat="false" ht="15" hidden="false" customHeight="false" outlineLevel="0" collapsed="false">
      <c r="A5525" s="3" t="s">
        <v>430</v>
      </c>
      <c r="G5525" s="16" t="n">
        <f aca="false">G5523-G5524</f>
        <v>578.7116788</v>
      </c>
      <c r="H5525" s="16" t="n">
        <f aca="false">H5523-H5524</f>
        <v>474.5</v>
      </c>
      <c r="I5525" s="16" t="n">
        <f aca="false">I5523-I5524</f>
        <v>474.5</v>
      </c>
      <c r="J5525" s="16" t="n">
        <f aca="false">J5523-J5524</f>
        <v>474.5</v>
      </c>
      <c r="K5525" s="16" t="n">
        <f aca="false">K5523-K5524</f>
        <v>474.5</v>
      </c>
    </row>
    <row r="5526" customFormat="false" ht="15" hidden="false" customHeight="false" outlineLevel="0" collapsed="false">
      <c r="A5526" s="3" t="s">
        <v>431</v>
      </c>
      <c r="G5526" s="22" t="n">
        <f aca="false">IF(G5524=0,0,G5525/ABS(G5524))</f>
        <v>5.787116788</v>
      </c>
      <c r="H5526" s="22" t="n">
        <f aca="false">IF(H5524=0,0,H5525/ABS(H5524))</f>
        <v>4.745</v>
      </c>
      <c r="I5526" s="22" t="n">
        <f aca="false">IF(I5524=0,0,I5525/ABS(I5524))</f>
        <v>4.745</v>
      </c>
      <c r="J5526" s="22" t="n">
        <f aca="false">IF(J5524=0,0,J5525/ABS(J5524))</f>
        <v>4.745</v>
      </c>
      <c r="K5526" s="22" t="n">
        <f aca="false">IF(K5524=0,0,K5525/ABS(K5524))</f>
        <v>4.745</v>
      </c>
    </row>
    <row r="5527" customFormat="false" ht="15" hidden="false" customHeight="false" outlineLevel="0" collapsed="false">
      <c r="A5527" s="3" t="s">
        <v>432</v>
      </c>
      <c r="G5527" s="21" t="n">
        <f aca="false">IF(G5525&lt;0,1,0)</f>
        <v>0</v>
      </c>
      <c r="H5527" s="21" t="n">
        <f aca="false">IF(H5525&lt;0,1,0)</f>
        <v>0</v>
      </c>
      <c r="I5527" s="21" t="n">
        <f aca="false">IF(I5525&lt;0,1,0)</f>
        <v>0</v>
      </c>
      <c r="J5527" s="21" t="n">
        <f aca="false">IF(J5525&lt;0,1,0)</f>
        <v>0</v>
      </c>
      <c r="K5527" s="21" t="n">
        <f aca="false">IF(K5525&lt;0,1,0)</f>
        <v>0</v>
      </c>
    </row>
    <row r="5528" customFormat="false" ht="15" hidden="false" customHeight="false" outlineLevel="0" collapsed="false">
      <c r="A5528" s="3" t="s">
        <v>433</v>
      </c>
      <c r="C5528" s="21" t="n">
        <f aca="false">IFERROR(INDEX($G$5253:$K$5253,MATCH(1,$G$5527:$K$5527,0)),0)</f>
        <v>0</v>
      </c>
    </row>
    <row r="5529" customFormat="false" ht="15" hidden="false" customHeight="false" outlineLevel="0" collapsed="false">
      <c r="A5529" s="3" t="s">
        <v>434</v>
      </c>
      <c r="C5529" s="22" t="n">
        <f aca="false">MIN($G$5526:$K$5526)</f>
        <v>4.745</v>
      </c>
    </row>
    <row r="5530" customFormat="false" ht="15" hidden="false" customHeight="false" outlineLevel="0" collapsed="false">
      <c r="A5530" s="24" t="s">
        <v>438</v>
      </c>
      <c r="B5530" s="25"/>
      <c r="C5530" s="25"/>
      <c r="D5530" s="25"/>
      <c r="E5530" s="25"/>
      <c r="F5530" s="25"/>
      <c r="G5530" s="25"/>
      <c r="H5530" s="25"/>
      <c r="I5530" s="25"/>
      <c r="J5530" s="25"/>
      <c r="K5530" s="25"/>
    </row>
    <row r="5531" customFormat="false" ht="15" hidden="false" customHeight="false" outlineLevel="0" collapsed="false">
      <c r="A5531" s="3" t="s">
        <v>428</v>
      </c>
      <c r="G5531" s="32" t="n">
        <f aca="false">IF(G5263&gt;0,G5486/G5263,99)</f>
        <v>11.6852794210463</v>
      </c>
      <c r="H5531" s="32" t="n">
        <f aca="false">IF(H5263&gt;0,H5486/H5263,99)</f>
        <v>12.8908055445682</v>
      </c>
      <c r="I5531" s="32" t="n">
        <f aca="false">IF(I5263&gt;0,I5486/I5263,99)</f>
        <v>13.3186920274918</v>
      </c>
      <c r="J5531" s="32" t="n">
        <f aca="false">IF(J5263&gt;0,J5486/J5263,99)</f>
        <v>13.4414192138398</v>
      </c>
      <c r="K5531" s="32" t="n">
        <f aca="false">IF(K5263&gt;0,K5486/K5263,99)</f>
        <v>13.5371498995505</v>
      </c>
    </row>
    <row r="5532" customFormat="false" ht="15" hidden="false" customHeight="false" outlineLevel="0" collapsed="false">
      <c r="A5532" s="3" t="s">
        <v>429</v>
      </c>
      <c r="G5532" s="34" t="n">
        <f aca="false">Assumptions!$G$75</f>
        <v>10.5</v>
      </c>
      <c r="H5532" s="34" t="n">
        <f aca="false">Assumptions!$H$75</f>
        <v>10.5</v>
      </c>
      <c r="I5532" s="34" t="n">
        <f aca="false">Assumptions!$I$75</f>
        <v>10</v>
      </c>
      <c r="J5532" s="34" t="n">
        <f aca="false">Assumptions!$J$75</f>
        <v>10</v>
      </c>
      <c r="K5532" s="34" t="n">
        <f aca="false">Assumptions!$K$75</f>
        <v>9.5</v>
      </c>
    </row>
    <row r="5533" customFormat="false" ht="15" hidden="false" customHeight="false" outlineLevel="0" collapsed="false">
      <c r="A5533" s="3" t="s">
        <v>430</v>
      </c>
      <c r="G5533" s="32" t="n">
        <f aca="false">G5532-G5531</f>
        <v>-1.18527942104634</v>
      </c>
      <c r="H5533" s="32" t="n">
        <f aca="false">H5532-H5531</f>
        <v>-2.39080554456816</v>
      </c>
      <c r="I5533" s="32" t="n">
        <f aca="false">I5532-I5531</f>
        <v>-3.31869202749185</v>
      </c>
      <c r="J5533" s="32" t="n">
        <f aca="false">J5532-J5531</f>
        <v>-3.44141921383982</v>
      </c>
      <c r="K5533" s="32" t="n">
        <f aca="false">K5532-K5531</f>
        <v>-4.03714989955049</v>
      </c>
    </row>
    <row r="5534" customFormat="false" ht="15" hidden="false" customHeight="false" outlineLevel="0" collapsed="false">
      <c r="A5534" s="3" t="s">
        <v>431</v>
      </c>
      <c r="G5534" s="22" t="n">
        <f aca="false">IF(G5532=0,0,G5533/ABS(G5532))</f>
        <v>-0.112883754385365</v>
      </c>
      <c r="H5534" s="22" t="n">
        <f aca="false">IF(H5532=0,0,H5533/ABS(H5532))</f>
        <v>-0.227695766149349</v>
      </c>
      <c r="I5534" s="22" t="n">
        <f aca="false">IF(I5532=0,0,I5533/ABS(I5532))</f>
        <v>-0.331869202749185</v>
      </c>
      <c r="J5534" s="22" t="n">
        <f aca="false">IF(J5532=0,0,J5533/ABS(J5532))</f>
        <v>-0.344141921383982</v>
      </c>
      <c r="K5534" s="22" t="n">
        <f aca="false">IF(K5532=0,0,K5533/ABS(K5532))</f>
        <v>-0.424963147321104</v>
      </c>
    </row>
    <row r="5535" customFormat="false" ht="15" hidden="false" customHeight="false" outlineLevel="0" collapsed="false">
      <c r="A5535" s="3" t="s">
        <v>432</v>
      </c>
      <c r="G5535" s="21" t="n">
        <f aca="false">IF(G5533&lt;0,1,0)</f>
        <v>1</v>
      </c>
      <c r="H5535" s="21" t="n">
        <f aca="false">IF(H5533&lt;0,1,0)</f>
        <v>1</v>
      </c>
      <c r="I5535" s="21" t="n">
        <f aca="false">IF(I5533&lt;0,1,0)</f>
        <v>1</v>
      </c>
      <c r="J5535" s="21" t="n">
        <f aca="false">IF(J5533&lt;0,1,0)</f>
        <v>1</v>
      </c>
      <c r="K5535" s="21" t="n">
        <f aca="false">IF(K5533&lt;0,1,0)</f>
        <v>1</v>
      </c>
    </row>
    <row r="5536" customFormat="false" ht="15" hidden="false" customHeight="false" outlineLevel="0" collapsed="false">
      <c r="A5536" s="3" t="s">
        <v>433</v>
      </c>
      <c r="C5536" s="21" t="n">
        <f aca="false">IFERROR(INDEX($G$5253:$K$5253,MATCH(1,$G$5535:$K$5535,0)),0)</f>
        <v>2027</v>
      </c>
    </row>
    <row r="5537" customFormat="false" ht="15" hidden="false" customHeight="false" outlineLevel="0" collapsed="false">
      <c r="A5537" s="3" t="s">
        <v>434</v>
      </c>
      <c r="C5537" s="22" t="n">
        <f aca="false">MIN($G$5534:$K$5534)</f>
        <v>-0.424963147321104</v>
      </c>
    </row>
    <row r="5538" customFormat="false" ht="15" hidden="false" customHeight="false" outlineLevel="0" collapsed="false">
      <c r="A5538" s="3" t="s">
        <v>439</v>
      </c>
      <c r="G5538" s="21" t="n">
        <f aca="false">G5503+G5511+G5519+G5527+G5535</f>
        <v>3</v>
      </c>
      <c r="H5538" s="21" t="n">
        <f aca="false">H5503+H5511+H5519+H5527+H5535</f>
        <v>3</v>
      </c>
      <c r="I5538" s="21" t="n">
        <f aca="false">I5503+I5511+I5519+I5527+I5535</f>
        <v>3</v>
      </c>
      <c r="J5538" s="21" t="n">
        <f aca="false">J5503+J5511+J5519+J5527+J5535</f>
        <v>3</v>
      </c>
      <c r="K5538" s="21" t="n">
        <f aca="false">K5503+K5511+K5519+K5527+K5535</f>
        <v>3</v>
      </c>
    </row>
    <row r="5539" customFormat="false" ht="15" hidden="false" customHeight="false" outlineLevel="0" collapsed="false">
      <c r="A5539" s="3" t="s">
        <v>440</v>
      </c>
      <c r="C5539" s="21" t="n">
        <f aca="false">SUM($G$5538:$K$5538)</f>
        <v>15</v>
      </c>
    </row>
    <row r="5540" customFormat="false" ht="15" hidden="false" customHeight="false" outlineLevel="0" collapsed="false">
      <c r="A5540" s="3" t="s">
        <v>441</v>
      </c>
      <c r="C5540" s="22" t="n">
        <f aca="false">MIN(C5505,C5513,C5521,C5529,C5537)</f>
        <v>-0.424963147321104</v>
      </c>
    </row>
    <row r="5542" customFormat="false" ht="15" hidden="false" customHeight="false" outlineLevel="0" collapsed="false">
      <c r="A5542" s="24" t="s">
        <v>543</v>
      </c>
      <c r="B5542" s="25"/>
      <c r="C5542" s="25"/>
      <c r="D5542" s="25"/>
      <c r="E5542" s="25"/>
      <c r="F5542" s="25"/>
      <c r="G5542" s="25"/>
      <c r="H5542" s="25"/>
      <c r="I5542" s="25"/>
      <c r="J5542" s="25"/>
      <c r="K5542" s="25"/>
    </row>
    <row r="5543" customFormat="false" ht="15" hidden="false" customHeight="false" outlineLevel="0" collapsed="false">
      <c r="A5543" s="3" t="s">
        <v>544</v>
      </c>
      <c r="G5543" s="21" t="n">
        <f aca="false">IF($C$5544=1,G5480,IF(G5263=MIN($G$5263:$K$5263),1,0))</f>
        <v>0</v>
      </c>
      <c r="H5543" s="21" t="n">
        <f aca="false">IF($C$5544=1,H5480,IF(AND(H5263=MIN($G$5263:$K$5263),SUM($G$5543:G5543)=0),1,0))</f>
        <v>1</v>
      </c>
      <c r="I5543" s="21" t="n">
        <f aca="false">IF($C$5544=1,I5480,IF(AND(I5263=MIN($G$5263:$K$5263),SUM($G$5543:H5543)=0),1,0))</f>
        <v>0</v>
      </c>
      <c r="J5543" s="21" t="n">
        <f aca="false">IF($C$5544=1,J5480,IF(AND(J5263=MIN($G$5263:$K$5263),SUM($G$5543:I5543)=0),1,0))</f>
        <v>0</v>
      </c>
      <c r="K5543" s="21" t="n">
        <f aca="false">IF($C$5544=1,K5480,IF(AND(K5263=MIN($G$5263:$K$5263),SUM($G$5543:J5543)=0),1,0))</f>
        <v>0</v>
      </c>
    </row>
    <row r="5544" customFormat="false" ht="15" hidden="false" customHeight="false" outlineLevel="0" collapsed="false">
      <c r="A5544" s="3" t="s">
        <v>545</v>
      </c>
      <c r="C5544" s="21" t="n">
        <f aca="false">IF(SUM($G$5480:$K$5480)&gt;0,1,0)</f>
        <v>1</v>
      </c>
    </row>
    <row r="5545" customFormat="false" ht="15" hidden="false" customHeight="false" outlineLevel="0" collapsed="false">
      <c r="A5545" s="3" t="s">
        <v>546</v>
      </c>
      <c r="C5545" s="21" t="n">
        <f aca="false">SUMPRODUCT($G$5543:$K$5543,$G$5253:$K$5253)</f>
        <v>2028</v>
      </c>
    </row>
    <row r="5546" customFormat="false" ht="15" hidden="false" customHeight="false" outlineLevel="0" collapsed="false">
      <c r="A5546" s="3" t="s">
        <v>547</v>
      </c>
      <c r="C5546" s="16" t="n">
        <f aca="false">SUMPRODUCT($G$5543:$K$5543,$G$5263:$K$5263)</f>
        <v>202.182071541</v>
      </c>
    </row>
    <row r="5547" customFormat="false" ht="15" hidden="false" customHeight="false" outlineLevel="0" collapsed="false">
      <c r="A5547" s="3" t="s">
        <v>548</v>
      </c>
      <c r="C5547" s="16" t="n">
        <f aca="false">MAX(0,SUMPRODUCT($G$5543:$K$5543,$G$5477:$K$5477))</f>
        <v>0</v>
      </c>
    </row>
    <row r="5548" customFormat="false" ht="15" hidden="false" customHeight="false" outlineLevel="0" collapsed="false">
      <c r="A5548" s="3" t="s">
        <v>549</v>
      </c>
      <c r="C5548" s="16" t="n">
        <f aca="false">(CHOOSE($C$5246,Assumptions!$C$92,Assumptions!$C$111,Assumptions!$C$130)+$C$5250)*C5546</f>
        <v>1819.638643869</v>
      </c>
    </row>
    <row r="5549" customFormat="false" ht="15" hidden="false" customHeight="false" outlineLevel="0" collapsed="false">
      <c r="A5549" s="3" t="s">
        <v>550</v>
      </c>
      <c r="C5549" s="16" t="n">
        <f aca="false">Assumptions!$C$31*(1-CHOOSE($C$5246,Assumptions!$C$93,Assumptions!$C$112,Assumptions!$C$131))*CHOOSE($C$5246,Assumptions!$C$94,Assumptions!$C$113,Assumptions!$C$132)</f>
        <v>3264.03873166667</v>
      </c>
    </row>
    <row r="5550" customFormat="false" ht="15" hidden="false" customHeight="false" outlineLevel="0" collapsed="false">
      <c r="A5550" s="3" t="s">
        <v>551</v>
      </c>
      <c r="C5550" s="16" t="n">
        <f aca="false">MAX(C5548,C5549)+C5547</f>
        <v>3264.03873166667</v>
      </c>
    </row>
    <row r="5551" customFormat="false" ht="15" hidden="false" customHeight="false" outlineLevel="0" collapsed="false">
      <c r="A5551" s="2" t="s">
        <v>552</v>
      </c>
      <c r="C5551" s="17" t="n">
        <f aca="false">IF(ISNUMBER(Assumptions!$C$14),Assumptions!$C$14,C5550)</f>
        <v>3264.03873166667</v>
      </c>
    </row>
    <row r="5552" customFormat="false" ht="15" hidden="false" customHeight="false" outlineLevel="0" collapsed="false">
      <c r="A5552" s="3" t="s">
        <v>553</v>
      </c>
      <c r="C5552" s="16" t="n">
        <f aca="false">C5551*Assumptions!$C$15</f>
        <v>130.561549266667</v>
      </c>
    </row>
    <row r="5553" customFormat="false" ht="15" hidden="false" customHeight="false" outlineLevel="0" collapsed="false">
      <c r="A5553" s="2" t="s">
        <v>554</v>
      </c>
      <c r="C5553" s="17" t="n">
        <f aca="false">C5551-C5552</f>
        <v>3133.4771824</v>
      </c>
    </row>
    <row r="5554" customFormat="false" ht="15" hidden="false" customHeight="false" outlineLevel="0" collapsed="false">
      <c r="A5554" s="24" t="s">
        <v>555</v>
      </c>
      <c r="B5554" s="25"/>
      <c r="C5554" s="25"/>
      <c r="D5554" s="25"/>
      <c r="E5554" s="25"/>
      <c r="F5554" s="25"/>
      <c r="G5554" s="25"/>
      <c r="H5554" s="25"/>
      <c r="I5554" s="25"/>
      <c r="J5554" s="25"/>
      <c r="K5554" s="25"/>
    </row>
    <row r="5555" customFormat="false" ht="15" hidden="false" customHeight="false" outlineLevel="0" collapsed="false">
      <c r="A5555" s="3" t="s">
        <v>556</v>
      </c>
      <c r="C5555" s="16" t="n">
        <f aca="false">SUMPRODUCT($G$5543:$K$5543,$G$5300:$K$5300)*(1+SUMPRODUCT($G$5543:$K$5543,$G$5292:$K$5292)*Assumptions!$C$16/12)</f>
        <v>402.29</v>
      </c>
    </row>
    <row r="5556" customFormat="false" ht="15" hidden="false" customHeight="false" outlineLevel="0" collapsed="false">
      <c r="A5556" s="3" t="s">
        <v>557</v>
      </c>
      <c r="C5556" s="16" t="n">
        <f aca="false">SUMPRODUCT($G$5543:$K$5543,$G$5313:$K$5313)*(1+SUMPRODUCT($G$5543:$K$5543,$G$5305:$K$5305)*Assumptions!$C$16/12)</f>
        <v>91.30725</v>
      </c>
    </row>
    <row r="5557" customFormat="false" ht="15" hidden="false" customHeight="false" outlineLevel="0" collapsed="false">
      <c r="A5557" s="3" t="s">
        <v>558</v>
      </c>
      <c r="C5557" s="16" t="n">
        <f aca="false">SUMPRODUCT($G$5543:$K$5543,$G$5326:$K$5326)*(1+SUMPRODUCT($G$5543:$K$5543,$G$5318:$K$5318)*Assumptions!$C$16/12)</f>
        <v>58.3715961</v>
      </c>
    </row>
    <row r="5558" customFormat="false" ht="15" hidden="false" customHeight="false" outlineLevel="0" collapsed="false">
      <c r="A5558" s="3" t="s">
        <v>559</v>
      </c>
      <c r="C5558" s="16" t="n">
        <f aca="false">SUMPRODUCT($G$5543:$K$5543,$G$5339:$K$5339)*(1+SUMPRODUCT($G$5543:$K$5543,$G$5331:$K$5331)*Assumptions!$C$16/12)</f>
        <v>0</v>
      </c>
    </row>
    <row r="5559" customFormat="false" ht="15" hidden="false" customHeight="false" outlineLevel="0" collapsed="false">
      <c r="A5559" s="3" t="s">
        <v>560</v>
      </c>
      <c r="C5559" s="16" t="n">
        <f aca="false">SUMPRODUCT($G$5543:$K$5543,$G$5352:$K$5352)*(1+SUMPRODUCT($G$5543:$K$5543,$G$5344:$K$5344)*Assumptions!$C$16/12)</f>
        <v>442.684532050226</v>
      </c>
    </row>
    <row r="5560" customFormat="false" ht="15" hidden="false" customHeight="false" outlineLevel="0" collapsed="false">
      <c r="A5560" s="3" t="s">
        <v>561</v>
      </c>
      <c r="C5560" s="16" t="n">
        <f aca="false">SUMPRODUCT($G$5543:$K$5543,$G$5365:$K$5365)*(1+SUMPRODUCT($G$5543:$K$5543,$G$5357:$K$5357)*Assumptions!$C$16/12)</f>
        <v>357.2625</v>
      </c>
    </row>
    <row r="5561" customFormat="false" ht="15" hidden="false" customHeight="false" outlineLevel="0" collapsed="false">
      <c r="A5561" s="3" t="s">
        <v>562</v>
      </c>
      <c r="C5561" s="16" t="n">
        <f aca="false">SUMPRODUCT($G$5543:$K$5543,$G$5378:$K$5378)*(1+SUMPRODUCT($G$5543:$K$5543,$G$5370:$K$5370)*Assumptions!$C$16/12)</f>
        <v>562.203125</v>
      </c>
    </row>
    <row r="5562" customFormat="false" ht="15" hidden="false" customHeight="false" outlineLevel="0" collapsed="false">
      <c r="A5562" s="3" t="s">
        <v>563</v>
      </c>
      <c r="C5562" s="16" t="n">
        <f aca="false">SUMPRODUCT($G$5543:$K$5543,$G$5391:$K$5391)*(1+SUMPRODUCT($G$5543:$K$5543,$G$5383:$K$5383)*Assumptions!$C$16/12)</f>
        <v>353.98125</v>
      </c>
    </row>
    <row r="5563" customFormat="false" ht="15" hidden="false" customHeight="false" outlineLevel="0" collapsed="false">
      <c r="A5563" s="3" t="s">
        <v>564</v>
      </c>
      <c r="C5563" s="16" t="n">
        <f aca="false">SUMPRODUCT($G$5543:$K$5543,$G$5404:$K$5404)*(1+SUMPRODUCT($G$5543:$K$5543,$G$5396:$K$5396)*Assumptions!$C$16/12)</f>
        <v>304.59375</v>
      </c>
    </row>
    <row r="5564" customFormat="false" ht="15" hidden="false" customHeight="false" outlineLevel="0" collapsed="false">
      <c r="A5564" s="3" t="s">
        <v>565</v>
      </c>
      <c r="C5564" s="16" t="n">
        <f aca="false">SUMPRODUCT($G$5543:$K$5543,$G$5417:$K$5417)*(1+SUMPRODUCT($G$5543:$K$5543,$G$5409:$K$5409)*Assumptions!$C$16/12)</f>
        <v>79.938509</v>
      </c>
    </row>
    <row r="5565" customFormat="false" ht="15" hidden="false" customHeight="false" outlineLevel="0" collapsed="false">
      <c r="A5565" s="24" t="s">
        <v>566</v>
      </c>
      <c r="B5565" s="25"/>
      <c r="C5565" s="25"/>
      <c r="D5565" s="25"/>
      <c r="E5565" s="25"/>
      <c r="F5565" s="25"/>
      <c r="G5565" s="25"/>
      <c r="H5565" s="25"/>
      <c r="I5565" s="25"/>
      <c r="J5565" s="25"/>
      <c r="K5565" s="25"/>
    </row>
    <row r="5566" customFormat="false" ht="15" hidden="false" customHeight="false" outlineLevel="0" collapsed="false">
      <c r="A5566" s="3" t="s">
        <v>556</v>
      </c>
      <c r="C5566" s="27" t="n">
        <f aca="false">Assumptions!$M$57</f>
        <v>1</v>
      </c>
    </row>
    <row r="5567" customFormat="false" ht="15" hidden="false" customHeight="false" outlineLevel="0" collapsed="false">
      <c r="A5567" s="3" t="s">
        <v>557</v>
      </c>
      <c r="C5567" s="27" t="n">
        <f aca="false">Assumptions!$M$58</f>
        <v>1</v>
      </c>
    </row>
    <row r="5568" customFormat="false" ht="15" hidden="false" customHeight="false" outlineLevel="0" collapsed="false">
      <c r="A5568" s="3" t="s">
        <v>558</v>
      </c>
      <c r="C5568" s="27" t="n">
        <f aca="false">Assumptions!$M$59</f>
        <v>1</v>
      </c>
    </row>
    <row r="5569" customFormat="false" ht="15" hidden="false" customHeight="false" outlineLevel="0" collapsed="false">
      <c r="A5569" s="3" t="s">
        <v>559</v>
      </c>
      <c r="C5569" s="27" t="n">
        <f aca="false">Assumptions!$M$60</f>
        <v>2</v>
      </c>
    </row>
    <row r="5570" customFormat="false" ht="15" hidden="false" customHeight="false" outlineLevel="0" collapsed="false">
      <c r="A5570" s="3" t="s">
        <v>560</v>
      </c>
      <c r="C5570" s="27" t="n">
        <f aca="false">Assumptions!$M$61</f>
        <v>2</v>
      </c>
    </row>
    <row r="5571" customFormat="false" ht="15" hidden="false" customHeight="false" outlineLevel="0" collapsed="false">
      <c r="A5571" s="3" t="s">
        <v>561</v>
      </c>
      <c r="C5571" s="27" t="n">
        <f aca="false">Assumptions!$M$62</f>
        <v>2</v>
      </c>
    </row>
    <row r="5572" customFormat="false" ht="15" hidden="false" customHeight="false" outlineLevel="0" collapsed="false">
      <c r="A5572" s="3" t="s">
        <v>562</v>
      </c>
      <c r="C5572" s="27" t="n">
        <f aca="false">Assumptions!$M$63</f>
        <v>2</v>
      </c>
    </row>
    <row r="5573" customFormat="false" ht="15" hidden="false" customHeight="false" outlineLevel="0" collapsed="false">
      <c r="A5573" s="3" t="s">
        <v>563</v>
      </c>
      <c r="C5573" s="27" t="n">
        <f aca="false">Assumptions!$M$64</f>
        <v>2</v>
      </c>
    </row>
    <row r="5574" customFormat="false" ht="15" hidden="false" customHeight="false" outlineLevel="0" collapsed="false">
      <c r="A5574" s="3" t="s">
        <v>564</v>
      </c>
      <c r="C5574" s="27" t="n">
        <f aca="false">Assumptions!$M$65</f>
        <v>2</v>
      </c>
    </row>
    <row r="5575" customFormat="false" ht="15" hidden="false" customHeight="false" outlineLevel="0" collapsed="false">
      <c r="A5575" s="3" t="s">
        <v>565</v>
      </c>
      <c r="C5575" s="27" t="n">
        <f aca="false">Assumptions!$M$66</f>
        <v>3</v>
      </c>
    </row>
    <row r="5576" customFormat="false" ht="15" hidden="false" customHeight="false" outlineLevel="0" collapsed="false">
      <c r="A5576" s="24" t="s">
        <v>567</v>
      </c>
      <c r="B5576" s="25"/>
      <c r="C5576" s="25"/>
      <c r="D5576" s="25"/>
      <c r="E5576" s="25"/>
      <c r="F5576" s="25"/>
      <c r="G5576" s="25"/>
      <c r="H5576" s="25"/>
      <c r="I5576" s="25"/>
      <c r="J5576" s="25"/>
      <c r="K5576" s="25"/>
    </row>
    <row r="5577" customFormat="false" ht="15" hidden="false" customHeight="false" outlineLevel="0" collapsed="false">
      <c r="A5577" s="3" t="s">
        <v>556</v>
      </c>
      <c r="C5577" s="33" t="n">
        <f aca="false">Assumptions!$Q$57</f>
        <v>0.3</v>
      </c>
    </row>
    <row r="5578" customFormat="false" ht="15" hidden="false" customHeight="false" outlineLevel="0" collapsed="false">
      <c r="A5578" s="3" t="s">
        <v>557</v>
      </c>
      <c r="C5578" s="33" t="n">
        <f aca="false">Assumptions!$Q$58</f>
        <v>0.033</v>
      </c>
    </row>
    <row r="5579" customFormat="false" ht="15" hidden="false" customHeight="false" outlineLevel="0" collapsed="false">
      <c r="A5579" s="3" t="s">
        <v>558</v>
      </c>
      <c r="C5579" s="33" t="n">
        <f aca="false">Assumptions!$Q$59</f>
        <v>0.021</v>
      </c>
    </row>
    <row r="5580" customFormat="false" ht="15" hidden="false" customHeight="false" outlineLevel="0" collapsed="false">
      <c r="A5580" s="3" t="s">
        <v>559</v>
      </c>
      <c r="C5580" s="33" t="n">
        <f aca="false">Assumptions!$Q$60</f>
        <v>0</v>
      </c>
    </row>
    <row r="5581" customFormat="false" ht="15" hidden="false" customHeight="false" outlineLevel="0" collapsed="false">
      <c r="A5581" s="3" t="s">
        <v>560</v>
      </c>
      <c r="C5581" s="33" t="n">
        <f aca="false">Assumptions!$Q$61</f>
        <v>0</v>
      </c>
    </row>
    <row r="5582" customFormat="false" ht="15" hidden="false" customHeight="false" outlineLevel="0" collapsed="false">
      <c r="A5582" s="3" t="s">
        <v>561</v>
      </c>
      <c r="C5582" s="33" t="n">
        <f aca="false">Assumptions!$Q$62</f>
        <v>0</v>
      </c>
    </row>
    <row r="5583" customFormat="false" ht="15" hidden="false" customHeight="false" outlineLevel="0" collapsed="false">
      <c r="A5583" s="3" t="s">
        <v>562</v>
      </c>
      <c r="C5583" s="33" t="n">
        <f aca="false">Assumptions!$Q$63</f>
        <v>0</v>
      </c>
    </row>
    <row r="5584" customFormat="false" ht="15" hidden="false" customHeight="false" outlineLevel="0" collapsed="false">
      <c r="A5584" s="3" t="s">
        <v>563</v>
      </c>
      <c r="C5584" s="33" t="n">
        <f aca="false">Assumptions!$Q$64</f>
        <v>0</v>
      </c>
    </row>
    <row r="5585" customFormat="false" ht="15" hidden="false" customHeight="false" outlineLevel="0" collapsed="false">
      <c r="A5585" s="3" t="s">
        <v>564</v>
      </c>
      <c r="C5585" s="33" t="n">
        <f aca="false">Assumptions!$Q$65</f>
        <v>0</v>
      </c>
    </row>
    <row r="5586" customFormat="false" ht="15" hidden="false" customHeight="false" outlineLevel="0" collapsed="false">
      <c r="A5586" s="3" t="s">
        <v>565</v>
      </c>
      <c r="C5586" s="33" t="n">
        <f aca="false">Assumptions!$Q$66</f>
        <v>0</v>
      </c>
    </row>
    <row r="5587" customFormat="false" ht="15" hidden="false" customHeight="false" outlineLevel="0" collapsed="false">
      <c r="A5587" s="24" t="s">
        <v>568</v>
      </c>
      <c r="B5587" s="25"/>
      <c r="C5587" s="25"/>
      <c r="D5587" s="25"/>
      <c r="E5587" s="25"/>
      <c r="F5587" s="25"/>
      <c r="G5587" s="25"/>
      <c r="H5587" s="25"/>
      <c r="I5587" s="25"/>
      <c r="J5587" s="25"/>
      <c r="K5587" s="25"/>
    </row>
    <row r="5588" customFormat="false" ht="15" hidden="false" customHeight="false" outlineLevel="0" collapsed="false">
      <c r="A5588" s="3" t="s">
        <v>556</v>
      </c>
      <c r="C5588" s="16" t="n">
        <f aca="false">IF(C5577&gt;0,MIN(C5555,C5577*$C$5553),0)</f>
        <v>402.29</v>
      </c>
    </row>
    <row r="5589" customFormat="false" ht="15" hidden="false" customHeight="false" outlineLevel="0" collapsed="false">
      <c r="A5589" s="3" t="s">
        <v>557</v>
      </c>
      <c r="C5589" s="16" t="n">
        <f aca="false">IF(C5578&gt;0,MIN(C5556,C5578*$C$5553),0)</f>
        <v>91.30725</v>
      </c>
    </row>
    <row r="5590" customFormat="false" ht="15" hidden="false" customHeight="false" outlineLevel="0" collapsed="false">
      <c r="A5590" s="3" t="s">
        <v>558</v>
      </c>
      <c r="C5590" s="16" t="n">
        <f aca="false">IF(C5579&gt;0,MIN(C5557,C5579*$C$5553),0)</f>
        <v>58.3715961</v>
      </c>
    </row>
    <row r="5591" customFormat="false" ht="15" hidden="false" customHeight="false" outlineLevel="0" collapsed="false">
      <c r="A5591" s="3" t="s">
        <v>559</v>
      </c>
      <c r="C5591" s="16" t="n">
        <f aca="false">IF(C5580&gt;0,MIN(C5558,C5580*$C$5553),0)</f>
        <v>0</v>
      </c>
    </row>
    <row r="5592" customFormat="false" ht="15" hidden="false" customHeight="false" outlineLevel="0" collapsed="false">
      <c r="A5592" s="3" t="s">
        <v>560</v>
      </c>
      <c r="C5592" s="16" t="n">
        <f aca="false">IF(C5581&gt;0,MIN(C5559,C5581*$C$5553),0)</f>
        <v>0</v>
      </c>
    </row>
    <row r="5593" customFormat="false" ht="15" hidden="false" customHeight="false" outlineLevel="0" collapsed="false">
      <c r="A5593" s="3" t="s">
        <v>561</v>
      </c>
      <c r="C5593" s="16" t="n">
        <f aca="false">IF(C5582&gt;0,MIN(C5560,C5582*$C$5553),0)</f>
        <v>0</v>
      </c>
    </row>
    <row r="5594" customFormat="false" ht="15" hidden="false" customHeight="false" outlineLevel="0" collapsed="false">
      <c r="A5594" s="3" t="s">
        <v>562</v>
      </c>
      <c r="C5594" s="16" t="n">
        <f aca="false">IF(C5583&gt;0,MIN(C5561,C5583*$C$5553),0)</f>
        <v>0</v>
      </c>
    </row>
    <row r="5595" customFormat="false" ht="15" hidden="false" customHeight="false" outlineLevel="0" collapsed="false">
      <c r="A5595" s="3" t="s">
        <v>563</v>
      </c>
      <c r="C5595" s="16" t="n">
        <f aca="false">IF(C5584&gt;0,MIN(C5562,C5584*$C$5553),0)</f>
        <v>0</v>
      </c>
    </row>
    <row r="5596" customFormat="false" ht="15" hidden="false" customHeight="false" outlineLevel="0" collapsed="false">
      <c r="A5596" s="3" t="s">
        <v>564</v>
      </c>
      <c r="C5596" s="16" t="n">
        <f aca="false">IF(C5585&gt;0,MIN(C5563,C5585*$C$5553),0)</f>
        <v>0</v>
      </c>
    </row>
    <row r="5597" customFormat="false" ht="15" hidden="false" customHeight="false" outlineLevel="0" collapsed="false">
      <c r="A5597" s="3" t="s">
        <v>565</v>
      </c>
      <c r="C5597" s="16" t="n">
        <f aca="false">IF(C5586&gt;0,MIN(C5564,C5586*$C$5553),0)</f>
        <v>0</v>
      </c>
    </row>
    <row r="5598" customFormat="false" ht="15" hidden="false" customHeight="false" outlineLevel="0" collapsed="false">
      <c r="A5598" s="24" t="s">
        <v>569</v>
      </c>
      <c r="B5598" s="25"/>
      <c r="C5598" s="25"/>
      <c r="D5598" s="25"/>
      <c r="E5598" s="25"/>
      <c r="F5598" s="25"/>
      <c r="G5598" s="25"/>
      <c r="H5598" s="25"/>
      <c r="I5598" s="25"/>
      <c r="J5598" s="25"/>
      <c r="K5598" s="25"/>
    </row>
    <row r="5599" customFormat="false" ht="15" hidden="false" customHeight="false" outlineLevel="0" collapsed="false">
      <c r="A5599" s="3" t="s">
        <v>556</v>
      </c>
      <c r="C5599" s="16" t="n">
        <f aca="false">IF(C5577&gt;0,C5555-C5588,0)</f>
        <v>0</v>
      </c>
      <c r="G5599" s="21" t="n">
        <f aca="false">IF(AND(G5290=1,G5287=1),1,0)</f>
        <v>0</v>
      </c>
      <c r="H5599" s="21" t="n">
        <f aca="false">IF(G5599=1,1,IF(AND(H5290=1,H5287=1),1,0))</f>
        <v>0</v>
      </c>
      <c r="I5599" s="21" t="n">
        <f aca="false">IF(H5599=1,1,IF(AND(I5290=1,I5287=1),1,0))</f>
        <v>0</v>
      </c>
      <c r="J5599" s="21" t="n">
        <f aca="false">IF(I5599=1,1,IF(AND(J5290=1,J5287=1),1,0))</f>
        <v>0</v>
      </c>
      <c r="K5599" s="21" t="n">
        <f aca="false">IF(J5599=1,1,IF(AND(K5290=1,K5287=1),1,0))</f>
        <v>0</v>
      </c>
    </row>
    <row r="5600" customFormat="false" ht="15" hidden="false" customHeight="false" outlineLevel="0" collapsed="false">
      <c r="A5600" s="3" t="s">
        <v>557</v>
      </c>
      <c r="C5600" s="16" t="n">
        <f aca="false">IF(C5578&gt;0,C5556-C5589,0)</f>
        <v>0</v>
      </c>
      <c r="G5600" s="21" t="n">
        <f aca="false">IF(AND(G5303=1,G5287=1),1,0)</f>
        <v>0</v>
      </c>
      <c r="H5600" s="21" t="n">
        <f aca="false">IF(G5600=1,1,IF(AND(H5303=1,H5287=1),1,0))</f>
        <v>0</v>
      </c>
      <c r="I5600" s="21" t="n">
        <f aca="false">IF(H5600=1,1,IF(AND(I5303=1,I5287=1),1,0))</f>
        <v>0</v>
      </c>
      <c r="J5600" s="21" t="n">
        <f aca="false">IF(I5600=1,1,IF(AND(J5303=1,J5287=1),1,0))</f>
        <v>0</v>
      </c>
      <c r="K5600" s="21" t="n">
        <f aca="false">IF(J5600=1,1,IF(AND(K5303=1,K5287=1),1,0))</f>
        <v>0</v>
      </c>
    </row>
    <row r="5601" customFormat="false" ht="15" hidden="false" customHeight="false" outlineLevel="0" collapsed="false">
      <c r="A5601" s="3" t="s">
        <v>558</v>
      </c>
      <c r="C5601" s="16" t="n">
        <f aca="false">IF(C5579&gt;0,C5557-C5590,0)</f>
        <v>0</v>
      </c>
      <c r="G5601" s="21" t="n">
        <f aca="false">IF(AND(G5316=1,G5287=1),1,0)</f>
        <v>0</v>
      </c>
      <c r="H5601" s="21" t="n">
        <f aca="false">IF(G5601=1,1,IF(AND(H5316=1,H5287=1),1,0))</f>
        <v>0</v>
      </c>
      <c r="I5601" s="21" t="n">
        <f aca="false">IF(H5601=1,1,IF(AND(I5316=1,I5287=1),1,0))</f>
        <v>0</v>
      </c>
      <c r="J5601" s="21" t="n">
        <f aca="false">IF(I5601=1,1,IF(AND(J5316=1,J5287=1),1,0))</f>
        <v>0</v>
      </c>
      <c r="K5601" s="21" t="n">
        <f aca="false">IF(J5601=1,1,IF(AND(K5316=1,K5287=1),1,0))</f>
        <v>0</v>
      </c>
    </row>
    <row r="5602" customFormat="false" ht="15" hidden="false" customHeight="false" outlineLevel="0" collapsed="false">
      <c r="A5602" s="3" t="s">
        <v>559</v>
      </c>
      <c r="C5602" s="16" t="n">
        <f aca="false">IF(C5580&gt;0,C5558-C5591,0)</f>
        <v>0</v>
      </c>
      <c r="G5602" s="21" t="n">
        <f aca="false">IF(AND(G5329=1,G5287=1),1,0)</f>
        <v>0</v>
      </c>
      <c r="H5602" s="21" t="n">
        <f aca="false">IF(G5602=1,1,IF(AND(H5329=1,H5287=1),1,0))</f>
        <v>0</v>
      </c>
      <c r="I5602" s="21" t="n">
        <f aca="false">IF(H5602=1,1,IF(AND(I5329=1,I5287=1),1,0))</f>
        <v>0</v>
      </c>
      <c r="J5602" s="21" t="n">
        <f aca="false">IF(I5602=1,1,IF(AND(J5329=1,J5287=1),1,0))</f>
        <v>0</v>
      </c>
      <c r="K5602" s="21" t="n">
        <f aca="false">IF(J5602=1,1,IF(AND(K5329=1,K5287=1),1,0))</f>
        <v>0</v>
      </c>
    </row>
    <row r="5603" customFormat="false" ht="15" hidden="false" customHeight="false" outlineLevel="0" collapsed="false">
      <c r="A5603" s="3" t="s">
        <v>560</v>
      </c>
      <c r="C5603" s="16" t="n">
        <f aca="false">IF(C5581&gt;0,C5559-C5592,0)</f>
        <v>0</v>
      </c>
      <c r="G5603" s="21" t="n">
        <f aca="false">IF(AND(G5342=1,G5287=1),1,0)</f>
        <v>0</v>
      </c>
      <c r="H5603" s="21" t="n">
        <f aca="false">IF(G5603=1,1,IF(AND(H5342=1,H5287=1),1,0))</f>
        <v>0</v>
      </c>
      <c r="I5603" s="21" t="n">
        <f aca="false">IF(H5603=1,1,IF(AND(I5342=1,I5287=1),1,0))</f>
        <v>0</v>
      </c>
      <c r="J5603" s="21" t="n">
        <f aca="false">IF(I5603=1,1,IF(AND(J5342=1,J5287=1),1,0))</f>
        <v>0</v>
      </c>
      <c r="K5603" s="21" t="n">
        <f aca="false">IF(J5603=1,1,IF(AND(K5342=1,K5287=1),1,0))</f>
        <v>0</v>
      </c>
    </row>
    <row r="5604" customFormat="false" ht="15" hidden="false" customHeight="false" outlineLevel="0" collapsed="false">
      <c r="A5604" s="3" t="s">
        <v>561</v>
      </c>
      <c r="C5604" s="16" t="n">
        <f aca="false">IF(C5582&gt;0,C5560-C5593,0)</f>
        <v>0</v>
      </c>
      <c r="G5604" s="21" t="n">
        <f aca="false">IF(AND(G5355=1,G5287=1),1,0)</f>
        <v>0</v>
      </c>
      <c r="H5604" s="21" t="n">
        <f aca="false">IF(G5604=1,1,IF(AND(H5355=1,H5287=1),1,0))</f>
        <v>0</v>
      </c>
      <c r="I5604" s="21" t="n">
        <f aca="false">IF(H5604=1,1,IF(AND(I5355=1,I5287=1),1,0))</f>
        <v>0</v>
      </c>
      <c r="J5604" s="21" t="n">
        <f aca="false">IF(I5604=1,1,IF(AND(J5355=1,J5287=1),1,0))</f>
        <v>0</v>
      </c>
      <c r="K5604" s="21" t="n">
        <f aca="false">IF(J5604=1,1,IF(AND(K5355=1,K5287=1),1,0))</f>
        <v>0</v>
      </c>
    </row>
    <row r="5605" customFormat="false" ht="15" hidden="false" customHeight="false" outlineLevel="0" collapsed="false">
      <c r="A5605" s="3" t="s">
        <v>562</v>
      </c>
      <c r="C5605" s="16" t="n">
        <f aca="false">IF(C5583&gt;0,C5561-C5594,0)</f>
        <v>0</v>
      </c>
      <c r="G5605" s="21" t="n">
        <f aca="false">IF(AND(G5368=1,G5287=1),1,0)</f>
        <v>0</v>
      </c>
      <c r="H5605" s="21" t="n">
        <f aca="false">IF(G5605=1,1,IF(AND(H5368=1,H5287=1),1,0))</f>
        <v>0</v>
      </c>
      <c r="I5605" s="21" t="n">
        <f aca="false">IF(H5605=1,1,IF(AND(I5368=1,I5287=1),1,0))</f>
        <v>0</v>
      </c>
      <c r="J5605" s="21" t="n">
        <f aca="false">IF(I5605=1,1,IF(AND(J5368=1,J5287=1),1,0))</f>
        <v>0</v>
      </c>
      <c r="K5605" s="21" t="n">
        <f aca="false">IF(J5605=1,1,IF(AND(K5368=1,K5287=1),1,0))</f>
        <v>0</v>
      </c>
    </row>
    <row r="5606" customFormat="false" ht="15" hidden="false" customHeight="false" outlineLevel="0" collapsed="false">
      <c r="A5606" s="3" t="s">
        <v>563</v>
      </c>
      <c r="C5606" s="16" t="n">
        <f aca="false">IF(C5584&gt;0,C5562-C5595,0)</f>
        <v>0</v>
      </c>
      <c r="G5606" s="21" t="n">
        <f aca="false">IF(AND(G5381=1,G5287=1),1,0)</f>
        <v>0</v>
      </c>
      <c r="H5606" s="21" t="n">
        <f aca="false">IF(G5606=1,1,IF(AND(H5381=1,H5287=1),1,0))</f>
        <v>0</v>
      </c>
      <c r="I5606" s="21" t="n">
        <f aca="false">IF(H5606=1,1,IF(AND(I5381=1,I5287=1),1,0))</f>
        <v>0</v>
      </c>
      <c r="J5606" s="21" t="n">
        <f aca="false">IF(I5606=1,1,IF(AND(J5381=1,J5287=1),1,0))</f>
        <v>0</v>
      </c>
      <c r="K5606" s="21" t="n">
        <f aca="false">IF(J5606=1,1,IF(AND(K5381=1,K5287=1),1,0))</f>
        <v>0</v>
      </c>
    </row>
    <row r="5607" customFormat="false" ht="15" hidden="false" customHeight="false" outlineLevel="0" collapsed="false">
      <c r="A5607" s="3" t="s">
        <v>564</v>
      </c>
      <c r="C5607" s="16" t="n">
        <f aca="false">IF(C5585&gt;0,C5563-C5596,0)</f>
        <v>0</v>
      </c>
      <c r="G5607" s="21" t="n">
        <f aca="false">IF(AND(G5394=1,G5287=1),1,0)</f>
        <v>0</v>
      </c>
      <c r="H5607" s="21" t="n">
        <f aca="false">IF(G5607=1,1,IF(AND(H5394=1,H5287=1),1,0))</f>
        <v>0</v>
      </c>
      <c r="I5607" s="21" t="n">
        <f aca="false">IF(H5607=1,1,IF(AND(I5394=1,I5287=1),1,0))</f>
        <v>0</v>
      </c>
      <c r="J5607" s="21" t="n">
        <f aca="false">IF(I5607=1,1,IF(AND(J5394=1,J5287=1),1,0))</f>
        <v>0</v>
      </c>
      <c r="K5607" s="21" t="n">
        <f aca="false">IF(J5607=1,1,IF(AND(K5394=1,K5287=1),1,0))</f>
        <v>0</v>
      </c>
    </row>
    <row r="5608" customFormat="false" ht="15" hidden="false" customHeight="false" outlineLevel="0" collapsed="false">
      <c r="A5608" s="3" t="s">
        <v>565</v>
      </c>
      <c r="C5608" s="16" t="n">
        <f aca="false">IF(C5586&gt;0,C5564-C5597,0)</f>
        <v>0</v>
      </c>
      <c r="G5608" s="21" t="n">
        <f aca="false">IF(AND(G5407=1,G5287=1),1,0)</f>
        <v>0</v>
      </c>
      <c r="H5608" s="21" t="n">
        <f aca="false">IF(G5608=1,1,IF(AND(H5407=1,H5287=1),1,0))</f>
        <v>0</v>
      </c>
      <c r="I5608" s="21" t="n">
        <f aca="false">IF(H5608=1,1,IF(AND(I5407=1,I5287=1),1,0))</f>
        <v>0</v>
      </c>
      <c r="J5608" s="21" t="n">
        <f aca="false">IF(I5608=1,1,IF(AND(J5407=1,J5287=1),1,0))</f>
        <v>0</v>
      </c>
      <c r="K5608" s="21" t="n">
        <f aca="false">IF(J5608=1,1,IF(AND(K5407=1,K5287=1),1,0))</f>
        <v>0</v>
      </c>
    </row>
    <row r="5609" customFormat="false" ht="15" hidden="false" customHeight="false" outlineLevel="0" collapsed="false">
      <c r="A5609" s="24" t="s">
        <v>570</v>
      </c>
      <c r="B5609" s="25"/>
      <c r="C5609" s="25"/>
      <c r="D5609" s="25"/>
      <c r="E5609" s="25"/>
      <c r="F5609" s="25"/>
      <c r="G5609" s="25"/>
      <c r="H5609" s="25"/>
      <c r="I5609" s="25"/>
      <c r="J5609" s="25"/>
      <c r="K5609" s="25"/>
    </row>
    <row r="5610" customFormat="false" ht="15" hidden="false" customHeight="false" outlineLevel="0" collapsed="false">
      <c r="A5610" s="3" t="s">
        <v>556</v>
      </c>
      <c r="C5610" s="16" t="n">
        <f aca="false">IF(C5577&gt;0,C5599,C5555)</f>
        <v>0</v>
      </c>
    </row>
    <row r="5611" customFormat="false" ht="15" hidden="false" customHeight="false" outlineLevel="0" collapsed="false">
      <c r="A5611" s="3" t="s">
        <v>557</v>
      </c>
      <c r="C5611" s="16" t="n">
        <f aca="false">IF(C5578&gt;0,C5600,C5556)</f>
        <v>0</v>
      </c>
    </row>
    <row r="5612" customFormat="false" ht="15" hidden="false" customHeight="false" outlineLevel="0" collapsed="false">
      <c r="A5612" s="3" t="s">
        <v>558</v>
      </c>
      <c r="C5612" s="16" t="n">
        <f aca="false">IF(C5579&gt;0,C5601,C5557)</f>
        <v>0</v>
      </c>
    </row>
    <row r="5613" customFormat="false" ht="15" hidden="false" customHeight="false" outlineLevel="0" collapsed="false">
      <c r="A5613" s="3" t="s">
        <v>559</v>
      </c>
      <c r="C5613" s="16" t="n">
        <f aca="false">IF(C5580&gt;0,C5602,C5558)</f>
        <v>0</v>
      </c>
    </row>
    <row r="5614" customFormat="false" ht="15" hidden="false" customHeight="false" outlineLevel="0" collapsed="false">
      <c r="A5614" s="3" t="s">
        <v>560</v>
      </c>
      <c r="C5614" s="16" t="n">
        <f aca="false">IF(C5581&gt;0,C5603,C5559)</f>
        <v>442.684532050226</v>
      </c>
    </row>
    <row r="5615" customFormat="false" ht="15" hidden="false" customHeight="false" outlineLevel="0" collapsed="false">
      <c r="A5615" s="3" t="s">
        <v>561</v>
      </c>
      <c r="C5615" s="16" t="n">
        <f aca="false">IF(C5582&gt;0,C5604,C5560)</f>
        <v>357.2625</v>
      </c>
    </row>
    <row r="5616" customFormat="false" ht="15" hidden="false" customHeight="false" outlineLevel="0" collapsed="false">
      <c r="A5616" s="3" t="s">
        <v>562</v>
      </c>
      <c r="C5616" s="16" t="n">
        <f aca="false">IF(C5583&gt;0,C5605,C5561)</f>
        <v>562.203125</v>
      </c>
    </row>
    <row r="5617" customFormat="false" ht="15" hidden="false" customHeight="false" outlineLevel="0" collapsed="false">
      <c r="A5617" s="3" t="s">
        <v>563</v>
      </c>
      <c r="C5617" s="16" t="n">
        <f aca="false">IF(C5584&gt;0,C5606,C5562)</f>
        <v>353.98125</v>
      </c>
    </row>
    <row r="5618" customFormat="false" ht="15" hidden="false" customHeight="false" outlineLevel="0" collapsed="false">
      <c r="A5618" s="3" t="s">
        <v>564</v>
      </c>
      <c r="C5618" s="16" t="n">
        <f aca="false">IF(C5585&gt;0,C5607,C5563)</f>
        <v>304.59375</v>
      </c>
    </row>
    <row r="5619" customFormat="false" ht="15" hidden="false" customHeight="false" outlineLevel="0" collapsed="false">
      <c r="A5619" s="3" t="s">
        <v>565</v>
      </c>
      <c r="C5619" s="16" t="n">
        <f aca="false">IF(C5586&gt;0,C5608,C5564)</f>
        <v>79.938509</v>
      </c>
    </row>
    <row r="5620" customFormat="false" ht="15" hidden="false" customHeight="false" outlineLevel="0" collapsed="false">
      <c r="A5620" s="24" t="s">
        <v>571</v>
      </c>
      <c r="B5620" s="25"/>
      <c r="C5620" s="25"/>
      <c r="D5620" s="25"/>
      <c r="E5620" s="25"/>
      <c r="F5620" s="25"/>
      <c r="G5620" s="25"/>
      <c r="H5620" s="25"/>
      <c r="I5620" s="25"/>
      <c r="J5620" s="25"/>
      <c r="K5620" s="25"/>
    </row>
    <row r="5621" customFormat="false" ht="15" hidden="false" customHeight="false" outlineLevel="0" collapsed="false">
      <c r="A5621" s="3" t="s">
        <v>556</v>
      </c>
      <c r="C5621" s="21" t="n">
        <f aca="false">IF(C5577&gt;0,Assumptions!$C$17,C5566)</f>
        <v>99</v>
      </c>
    </row>
    <row r="5622" customFormat="false" ht="15" hidden="false" customHeight="false" outlineLevel="0" collapsed="false">
      <c r="A5622" s="3" t="s">
        <v>557</v>
      </c>
      <c r="C5622" s="21" t="n">
        <f aca="false">IF(C5578&gt;0,Assumptions!$C$17,C5567)</f>
        <v>99</v>
      </c>
    </row>
    <row r="5623" customFormat="false" ht="15" hidden="false" customHeight="false" outlineLevel="0" collapsed="false">
      <c r="A5623" s="3" t="s">
        <v>558</v>
      </c>
      <c r="C5623" s="21" t="n">
        <f aca="false">IF(C5579&gt;0,Assumptions!$C$17,C5568)</f>
        <v>99</v>
      </c>
    </row>
    <row r="5624" customFormat="false" ht="15" hidden="false" customHeight="false" outlineLevel="0" collapsed="false">
      <c r="A5624" s="3" t="s">
        <v>559</v>
      </c>
      <c r="C5624" s="21" t="n">
        <f aca="false">IF(C5580&gt;0,Assumptions!$C$17,C5569)</f>
        <v>2</v>
      </c>
    </row>
    <row r="5625" customFormat="false" ht="15" hidden="false" customHeight="false" outlineLevel="0" collapsed="false">
      <c r="A5625" s="3" t="s">
        <v>560</v>
      </c>
      <c r="C5625" s="21" t="n">
        <f aca="false">IF(C5581&gt;0,Assumptions!$C$17,C5570)</f>
        <v>2</v>
      </c>
    </row>
    <row r="5626" customFormat="false" ht="15" hidden="false" customHeight="false" outlineLevel="0" collapsed="false">
      <c r="A5626" s="3" t="s">
        <v>561</v>
      </c>
      <c r="C5626" s="21" t="n">
        <f aca="false">IF(C5582&gt;0,Assumptions!$C$17,C5571)</f>
        <v>2</v>
      </c>
    </row>
    <row r="5627" customFormat="false" ht="15" hidden="false" customHeight="false" outlineLevel="0" collapsed="false">
      <c r="A5627" s="3" t="s">
        <v>562</v>
      </c>
      <c r="C5627" s="21" t="n">
        <f aca="false">IF(C5583&gt;0,Assumptions!$C$17,C5572)</f>
        <v>2</v>
      </c>
    </row>
    <row r="5628" customFormat="false" ht="15" hidden="false" customHeight="false" outlineLevel="0" collapsed="false">
      <c r="A5628" s="3" t="s">
        <v>563</v>
      </c>
      <c r="C5628" s="21" t="n">
        <f aca="false">IF(C5584&gt;0,Assumptions!$C$17,C5573)</f>
        <v>2</v>
      </c>
    </row>
    <row r="5629" customFormat="false" ht="15" hidden="false" customHeight="false" outlineLevel="0" collapsed="false">
      <c r="A5629" s="3" t="s">
        <v>564</v>
      </c>
      <c r="C5629" s="21" t="n">
        <f aca="false">IF(C5585&gt;0,Assumptions!$C$17,C5574)</f>
        <v>2</v>
      </c>
    </row>
    <row r="5630" customFormat="false" ht="15" hidden="false" customHeight="false" outlineLevel="0" collapsed="false">
      <c r="A5630" s="3" t="s">
        <v>565</v>
      </c>
      <c r="C5630" s="21" t="n">
        <f aca="false">IF(C5586&gt;0,Assumptions!$C$17,C5575)</f>
        <v>3</v>
      </c>
    </row>
    <row r="5631" customFormat="false" ht="15" hidden="false" customHeight="false" outlineLevel="0" collapsed="false">
      <c r="A5631" s="24" t="s">
        <v>572</v>
      </c>
      <c r="B5631" s="25"/>
      <c r="C5631" s="25"/>
      <c r="D5631" s="25"/>
      <c r="E5631" s="25"/>
      <c r="F5631" s="25"/>
      <c r="G5631" s="25"/>
      <c r="H5631" s="25"/>
      <c r="I5631" s="25"/>
      <c r="J5631" s="25"/>
      <c r="K5631" s="25"/>
    </row>
    <row r="5632" customFormat="false" ht="15" hidden="false" customHeight="false" outlineLevel="0" collapsed="false">
      <c r="A5632" s="3" t="s">
        <v>556</v>
      </c>
      <c r="C5632" s="16" t="n">
        <f aca="false">SUMPRODUCT(($C$5621:$C$5630&lt;C5621)*$C$5610:$C$5619)</f>
        <v>2100.66366605023</v>
      </c>
    </row>
    <row r="5633" customFormat="false" ht="15" hidden="false" customHeight="false" outlineLevel="0" collapsed="false">
      <c r="A5633" s="3" t="s">
        <v>557</v>
      </c>
      <c r="C5633" s="16" t="n">
        <f aca="false">SUMPRODUCT(($C$5621:$C$5630&lt;C5622)*$C$5610:$C$5619)</f>
        <v>2100.66366605023</v>
      </c>
    </row>
    <row r="5634" customFormat="false" ht="15" hidden="false" customHeight="false" outlineLevel="0" collapsed="false">
      <c r="A5634" s="3" t="s">
        <v>558</v>
      </c>
      <c r="C5634" s="16" t="n">
        <f aca="false">SUMPRODUCT(($C$5621:$C$5630&lt;C5623)*$C$5610:$C$5619)</f>
        <v>2100.66366605023</v>
      </c>
    </row>
    <row r="5635" customFormat="false" ht="15" hidden="false" customHeight="false" outlineLevel="0" collapsed="false">
      <c r="A5635" s="3" t="s">
        <v>559</v>
      </c>
      <c r="C5635" s="16" t="n">
        <f aca="false">SUMPRODUCT(($C$5621:$C$5630&lt;C5624)*$C$5610:$C$5619)</f>
        <v>0</v>
      </c>
    </row>
    <row r="5636" customFormat="false" ht="15" hidden="false" customHeight="false" outlineLevel="0" collapsed="false">
      <c r="A5636" s="3" t="s">
        <v>560</v>
      </c>
      <c r="C5636" s="16" t="n">
        <f aca="false">SUMPRODUCT(($C$5621:$C$5630&lt;C5625)*$C$5610:$C$5619)</f>
        <v>0</v>
      </c>
    </row>
    <row r="5637" customFormat="false" ht="15" hidden="false" customHeight="false" outlineLevel="0" collapsed="false">
      <c r="A5637" s="3" t="s">
        <v>561</v>
      </c>
      <c r="C5637" s="16" t="n">
        <f aca="false">SUMPRODUCT(($C$5621:$C$5630&lt;C5626)*$C$5610:$C$5619)</f>
        <v>0</v>
      </c>
    </row>
    <row r="5638" customFormat="false" ht="15" hidden="false" customHeight="false" outlineLevel="0" collapsed="false">
      <c r="A5638" s="3" t="s">
        <v>562</v>
      </c>
      <c r="C5638" s="16" t="n">
        <f aca="false">SUMPRODUCT(($C$5621:$C$5630&lt;C5627)*$C$5610:$C$5619)</f>
        <v>0</v>
      </c>
    </row>
    <row r="5639" customFormat="false" ht="15" hidden="false" customHeight="false" outlineLevel="0" collapsed="false">
      <c r="A5639" s="3" t="s">
        <v>563</v>
      </c>
      <c r="C5639" s="16" t="n">
        <f aca="false">SUMPRODUCT(($C$5621:$C$5630&lt;C5628)*$C$5610:$C$5619)</f>
        <v>0</v>
      </c>
    </row>
    <row r="5640" customFormat="false" ht="15" hidden="false" customHeight="false" outlineLevel="0" collapsed="false">
      <c r="A5640" s="3" t="s">
        <v>564</v>
      </c>
      <c r="C5640" s="16" t="n">
        <f aca="false">SUMPRODUCT(($C$5621:$C$5630&lt;C5629)*$C$5610:$C$5619)</f>
        <v>0</v>
      </c>
    </row>
    <row r="5641" customFormat="false" ht="15" hidden="false" customHeight="false" outlineLevel="0" collapsed="false">
      <c r="A5641" s="3" t="s">
        <v>565</v>
      </c>
      <c r="C5641" s="16" t="n">
        <f aca="false">SUMPRODUCT(($C$5621:$C$5630&lt;C5630)*$C$5610:$C$5619)</f>
        <v>2020.72515705023</v>
      </c>
    </row>
    <row r="5642" customFormat="false" ht="15" hidden="false" customHeight="false" outlineLevel="0" collapsed="false">
      <c r="A5642" s="24" t="s">
        <v>573</v>
      </c>
      <c r="B5642" s="25"/>
      <c r="C5642" s="25"/>
      <c r="D5642" s="25"/>
      <c r="E5642" s="25"/>
      <c r="F5642" s="25"/>
      <c r="G5642" s="25"/>
      <c r="H5642" s="25"/>
      <c r="I5642" s="25"/>
      <c r="J5642" s="25"/>
      <c r="K5642" s="25"/>
    </row>
    <row r="5643" customFormat="false" ht="15" hidden="false" customHeight="false" outlineLevel="0" collapsed="false">
      <c r="A5643" s="3" t="s">
        <v>556</v>
      </c>
      <c r="C5643" s="16" t="n">
        <f aca="false">SUMPRODUCT(($C$5621:$C$5630=C5621)*$C$5610:$C$5619)</f>
        <v>0</v>
      </c>
    </row>
    <row r="5644" customFormat="false" ht="15" hidden="false" customHeight="false" outlineLevel="0" collapsed="false">
      <c r="A5644" s="3" t="s">
        <v>557</v>
      </c>
      <c r="C5644" s="16" t="n">
        <f aca="false">SUMPRODUCT(($C$5621:$C$5630=C5622)*$C$5610:$C$5619)</f>
        <v>0</v>
      </c>
    </row>
    <row r="5645" customFormat="false" ht="15" hidden="false" customHeight="false" outlineLevel="0" collapsed="false">
      <c r="A5645" s="3" t="s">
        <v>558</v>
      </c>
      <c r="C5645" s="16" t="n">
        <f aca="false">SUMPRODUCT(($C$5621:$C$5630=C5623)*$C$5610:$C$5619)</f>
        <v>0</v>
      </c>
    </row>
    <row r="5646" customFormat="false" ht="15" hidden="false" customHeight="false" outlineLevel="0" collapsed="false">
      <c r="A5646" s="3" t="s">
        <v>559</v>
      </c>
      <c r="C5646" s="16" t="n">
        <f aca="false">SUMPRODUCT(($C$5621:$C$5630=C5624)*$C$5610:$C$5619)</f>
        <v>2020.72515705023</v>
      </c>
    </row>
    <row r="5647" customFormat="false" ht="15" hidden="false" customHeight="false" outlineLevel="0" collapsed="false">
      <c r="A5647" s="3" t="s">
        <v>560</v>
      </c>
      <c r="C5647" s="16" t="n">
        <f aca="false">SUMPRODUCT(($C$5621:$C$5630=C5625)*$C$5610:$C$5619)</f>
        <v>2020.72515705023</v>
      </c>
    </row>
    <row r="5648" customFormat="false" ht="15" hidden="false" customHeight="false" outlineLevel="0" collapsed="false">
      <c r="A5648" s="3" t="s">
        <v>561</v>
      </c>
      <c r="C5648" s="16" t="n">
        <f aca="false">SUMPRODUCT(($C$5621:$C$5630=C5626)*$C$5610:$C$5619)</f>
        <v>2020.72515705023</v>
      </c>
    </row>
    <row r="5649" customFormat="false" ht="15" hidden="false" customHeight="false" outlineLevel="0" collapsed="false">
      <c r="A5649" s="3" t="s">
        <v>562</v>
      </c>
      <c r="C5649" s="16" t="n">
        <f aca="false">SUMPRODUCT(($C$5621:$C$5630=C5627)*$C$5610:$C$5619)</f>
        <v>2020.72515705023</v>
      </c>
    </row>
    <row r="5650" customFormat="false" ht="15" hidden="false" customHeight="false" outlineLevel="0" collapsed="false">
      <c r="A5650" s="3" t="s">
        <v>563</v>
      </c>
      <c r="C5650" s="16" t="n">
        <f aca="false">SUMPRODUCT(($C$5621:$C$5630=C5628)*$C$5610:$C$5619)</f>
        <v>2020.72515705023</v>
      </c>
    </row>
    <row r="5651" customFormat="false" ht="15" hidden="false" customHeight="false" outlineLevel="0" collapsed="false">
      <c r="A5651" s="3" t="s">
        <v>564</v>
      </c>
      <c r="C5651" s="16" t="n">
        <f aca="false">SUMPRODUCT(($C$5621:$C$5630=C5629)*$C$5610:$C$5619)</f>
        <v>2020.72515705023</v>
      </c>
    </row>
    <row r="5652" customFormat="false" ht="15" hidden="false" customHeight="false" outlineLevel="0" collapsed="false">
      <c r="A5652" s="3" t="s">
        <v>565</v>
      </c>
      <c r="C5652" s="16" t="n">
        <f aca="false">SUMPRODUCT(($C$5621:$C$5630=C5630)*$C$5610:$C$5619)</f>
        <v>79.938509</v>
      </c>
    </row>
    <row r="5653" customFormat="false" ht="15" hidden="false" customHeight="false" outlineLevel="0" collapsed="false">
      <c r="A5653" s="24" t="s">
        <v>574</v>
      </c>
      <c r="B5653" s="25"/>
      <c r="C5653" s="25"/>
      <c r="D5653" s="25"/>
      <c r="E5653" s="25"/>
      <c r="F5653" s="25"/>
      <c r="G5653" s="25"/>
      <c r="H5653" s="25"/>
      <c r="I5653" s="25"/>
      <c r="J5653" s="25"/>
      <c r="K5653" s="25"/>
    </row>
    <row r="5654" customFormat="false" ht="15" hidden="false" customHeight="false" outlineLevel="0" collapsed="false">
      <c r="A5654" s="3" t="s">
        <v>556</v>
      </c>
      <c r="C5654" s="16" t="n">
        <f aca="false">IF(C5643=0,0,C5610/C5643*MAX(0,MIN(C5643,$C$5553-SUM($C$5588:$C$5597)-C5632)))</f>
        <v>0</v>
      </c>
    </row>
    <row r="5655" customFormat="false" ht="15" hidden="false" customHeight="false" outlineLevel="0" collapsed="false">
      <c r="A5655" s="3" t="s">
        <v>557</v>
      </c>
      <c r="C5655" s="16" t="n">
        <f aca="false">IF(C5644=0,0,C5611/C5644*MAX(0,MIN(C5644,$C$5553-SUM($C$5588:$C$5597)-C5633)))</f>
        <v>0</v>
      </c>
    </row>
    <row r="5656" customFormat="false" ht="15" hidden="false" customHeight="false" outlineLevel="0" collapsed="false">
      <c r="A5656" s="3" t="s">
        <v>558</v>
      </c>
      <c r="C5656" s="16" t="n">
        <f aca="false">IF(C5645=0,0,C5612/C5645*MAX(0,MIN(C5645,$C$5553-SUM($C$5588:$C$5597)-C5634)))</f>
        <v>0</v>
      </c>
    </row>
    <row r="5657" customFormat="false" ht="15" hidden="false" customHeight="false" outlineLevel="0" collapsed="false">
      <c r="A5657" s="3" t="s">
        <v>559</v>
      </c>
      <c r="C5657" s="16" t="n">
        <f aca="false">IF(C5646=0,0,C5613/C5646*MAX(0,MIN(C5646,$C$5553-SUM($C$5588:$C$5597)-C5635)))</f>
        <v>0</v>
      </c>
    </row>
    <row r="5658" customFormat="false" ht="15" hidden="false" customHeight="false" outlineLevel="0" collapsed="false">
      <c r="A5658" s="3" t="s">
        <v>560</v>
      </c>
      <c r="C5658" s="16" t="n">
        <f aca="false">IF(C5647=0,0,C5614/C5647*MAX(0,MIN(C5647,$C$5553-SUM($C$5588:$C$5597)-C5636)))</f>
        <v>442.684532050226</v>
      </c>
    </row>
    <row r="5659" customFormat="false" ht="15" hidden="false" customHeight="false" outlineLevel="0" collapsed="false">
      <c r="A5659" s="3" t="s">
        <v>561</v>
      </c>
      <c r="C5659" s="16" t="n">
        <f aca="false">IF(C5648=0,0,C5615/C5648*MAX(0,MIN(C5648,$C$5553-SUM($C$5588:$C$5597)-C5637)))</f>
        <v>357.2625</v>
      </c>
    </row>
    <row r="5660" customFormat="false" ht="15" hidden="false" customHeight="false" outlineLevel="0" collapsed="false">
      <c r="A5660" s="3" t="s">
        <v>562</v>
      </c>
      <c r="C5660" s="16" t="n">
        <f aca="false">IF(C5649=0,0,C5616/C5649*MAX(0,MIN(C5649,$C$5553-SUM($C$5588:$C$5597)-C5638)))</f>
        <v>562.203125</v>
      </c>
    </row>
    <row r="5661" customFormat="false" ht="15" hidden="false" customHeight="false" outlineLevel="0" collapsed="false">
      <c r="A5661" s="3" t="s">
        <v>563</v>
      </c>
      <c r="C5661" s="16" t="n">
        <f aca="false">IF(C5650=0,0,C5617/C5650*MAX(0,MIN(C5650,$C$5553-SUM($C$5588:$C$5597)-C5639)))</f>
        <v>353.98125</v>
      </c>
    </row>
    <row r="5662" customFormat="false" ht="15" hidden="false" customHeight="false" outlineLevel="0" collapsed="false">
      <c r="A5662" s="3" t="s">
        <v>564</v>
      </c>
      <c r="C5662" s="16" t="n">
        <f aca="false">IF(C5651=0,0,C5618/C5651*MAX(0,MIN(C5651,$C$5553-SUM($C$5588:$C$5597)-C5640)))</f>
        <v>304.59375</v>
      </c>
    </row>
    <row r="5663" customFormat="false" ht="15" hidden="false" customHeight="false" outlineLevel="0" collapsed="false">
      <c r="A5663" s="3" t="s">
        <v>565</v>
      </c>
      <c r="C5663" s="16" t="n">
        <f aca="false">IF(C5652=0,0,C5619/C5652*MAX(0,MIN(C5652,$C$5553-SUM($C$5588:$C$5597)-C5641)))</f>
        <v>79.938509</v>
      </c>
    </row>
    <row r="5664" customFormat="false" ht="15" hidden="false" customHeight="false" outlineLevel="0" collapsed="false">
      <c r="A5664" s="24" t="s">
        <v>575</v>
      </c>
      <c r="B5664" s="25"/>
      <c r="C5664" s="25"/>
      <c r="D5664" s="25"/>
      <c r="E5664" s="25"/>
      <c r="F5664" s="25"/>
      <c r="G5664" s="25"/>
      <c r="H5664" s="25"/>
      <c r="I5664" s="25"/>
      <c r="J5664" s="25"/>
      <c r="K5664" s="25"/>
    </row>
    <row r="5665" customFormat="false" ht="15" hidden="false" customHeight="false" outlineLevel="0" collapsed="false">
      <c r="A5665" s="2" t="s">
        <v>556</v>
      </c>
      <c r="C5665" s="17" t="n">
        <f aca="false">C5588+C5654</f>
        <v>402.29</v>
      </c>
    </row>
    <row r="5666" customFormat="false" ht="15" hidden="false" customHeight="false" outlineLevel="0" collapsed="false">
      <c r="A5666" s="2" t="s">
        <v>557</v>
      </c>
      <c r="C5666" s="17" t="n">
        <f aca="false">C5589+C5655</f>
        <v>91.30725</v>
      </c>
    </row>
    <row r="5667" customFormat="false" ht="15" hidden="false" customHeight="false" outlineLevel="0" collapsed="false">
      <c r="A5667" s="2" t="s">
        <v>558</v>
      </c>
      <c r="C5667" s="17" t="n">
        <f aca="false">C5590+C5656</f>
        <v>58.3715961</v>
      </c>
    </row>
    <row r="5668" customFormat="false" ht="15" hidden="false" customHeight="false" outlineLevel="0" collapsed="false">
      <c r="A5668" s="2" t="s">
        <v>559</v>
      </c>
      <c r="C5668" s="17" t="n">
        <f aca="false">C5591+C5657</f>
        <v>0</v>
      </c>
    </row>
    <row r="5669" customFormat="false" ht="15" hidden="false" customHeight="false" outlineLevel="0" collapsed="false">
      <c r="A5669" s="2" t="s">
        <v>560</v>
      </c>
      <c r="C5669" s="17" t="n">
        <f aca="false">C5592+C5658</f>
        <v>442.684532050226</v>
      </c>
    </row>
    <row r="5670" customFormat="false" ht="15" hidden="false" customHeight="false" outlineLevel="0" collapsed="false">
      <c r="A5670" s="2" t="s">
        <v>561</v>
      </c>
      <c r="C5670" s="17" t="n">
        <f aca="false">C5593+C5659</f>
        <v>357.2625</v>
      </c>
    </row>
    <row r="5671" customFormat="false" ht="15" hidden="false" customHeight="false" outlineLevel="0" collapsed="false">
      <c r="A5671" s="2" t="s">
        <v>562</v>
      </c>
      <c r="C5671" s="17" t="n">
        <f aca="false">C5594+C5660</f>
        <v>562.203125</v>
      </c>
    </row>
    <row r="5672" customFormat="false" ht="15" hidden="false" customHeight="false" outlineLevel="0" collapsed="false">
      <c r="A5672" s="2" t="s">
        <v>563</v>
      </c>
      <c r="C5672" s="17" t="n">
        <f aca="false">C5595+C5661</f>
        <v>353.98125</v>
      </c>
    </row>
    <row r="5673" customFormat="false" ht="15" hidden="false" customHeight="false" outlineLevel="0" collapsed="false">
      <c r="A5673" s="2" t="s">
        <v>564</v>
      </c>
      <c r="C5673" s="17" t="n">
        <f aca="false">C5596+C5662</f>
        <v>304.59375</v>
      </c>
    </row>
    <row r="5674" customFormat="false" ht="15" hidden="false" customHeight="false" outlineLevel="0" collapsed="false">
      <c r="A5674" s="2" t="s">
        <v>565</v>
      </c>
      <c r="C5674" s="17" t="n">
        <f aca="false">C5597+C5663</f>
        <v>79.938509</v>
      </c>
    </row>
    <row r="5675" customFormat="false" ht="15" hidden="false" customHeight="false" outlineLevel="0" collapsed="false">
      <c r="A5675" s="24" t="s">
        <v>576</v>
      </c>
      <c r="B5675" s="25"/>
      <c r="C5675" s="25"/>
      <c r="D5675" s="25"/>
      <c r="E5675" s="25"/>
      <c r="F5675" s="25"/>
      <c r="G5675" s="25"/>
      <c r="H5675" s="25"/>
      <c r="I5675" s="25"/>
      <c r="J5675" s="25"/>
      <c r="K5675" s="25"/>
    </row>
    <row r="5676" customFormat="false" ht="15" hidden="false" customHeight="false" outlineLevel="0" collapsed="false">
      <c r="A5676" s="3" t="s">
        <v>556</v>
      </c>
      <c r="C5676" s="22" t="n">
        <f aca="false">IF(C5555=0,1,C5665/C5555)</f>
        <v>1</v>
      </c>
    </row>
    <row r="5677" customFormat="false" ht="15" hidden="false" customHeight="false" outlineLevel="0" collapsed="false">
      <c r="A5677" s="3" t="s">
        <v>557</v>
      </c>
      <c r="C5677" s="22" t="n">
        <f aca="false">IF(C5556=0,1,C5666/C5556)</f>
        <v>1</v>
      </c>
    </row>
    <row r="5678" customFormat="false" ht="15" hidden="false" customHeight="false" outlineLevel="0" collapsed="false">
      <c r="A5678" s="3" t="s">
        <v>558</v>
      </c>
      <c r="C5678" s="22" t="n">
        <f aca="false">IF(C5557=0,1,C5667/C5557)</f>
        <v>1</v>
      </c>
    </row>
    <row r="5679" customFormat="false" ht="15" hidden="false" customHeight="false" outlineLevel="0" collapsed="false">
      <c r="A5679" s="3" t="s">
        <v>559</v>
      </c>
      <c r="C5679" s="22" t="n">
        <f aca="false">IF(C5558=0,1,C5668/C5558)</f>
        <v>1</v>
      </c>
    </row>
    <row r="5680" customFormat="false" ht="15" hidden="false" customHeight="false" outlineLevel="0" collapsed="false">
      <c r="A5680" s="3" t="s">
        <v>560</v>
      </c>
      <c r="C5680" s="22" t="n">
        <f aca="false">IF(C5559=0,1,C5669/C5559)</f>
        <v>1</v>
      </c>
    </row>
    <row r="5681" customFormat="false" ht="15" hidden="false" customHeight="false" outlineLevel="0" collapsed="false">
      <c r="A5681" s="3" t="s">
        <v>561</v>
      </c>
      <c r="C5681" s="22" t="n">
        <f aca="false">IF(C5560=0,1,C5670/C5560)</f>
        <v>1</v>
      </c>
    </row>
    <row r="5682" customFormat="false" ht="15" hidden="false" customHeight="false" outlineLevel="0" collapsed="false">
      <c r="A5682" s="3" t="s">
        <v>562</v>
      </c>
      <c r="C5682" s="22" t="n">
        <f aca="false">IF(C5561=0,1,C5671/C5561)</f>
        <v>1</v>
      </c>
    </row>
    <row r="5683" customFormat="false" ht="15" hidden="false" customHeight="false" outlineLevel="0" collapsed="false">
      <c r="A5683" s="3" t="s">
        <v>563</v>
      </c>
      <c r="C5683" s="22" t="n">
        <f aca="false">IF(C5562=0,1,C5672/C5562)</f>
        <v>1</v>
      </c>
    </row>
    <row r="5684" customFormat="false" ht="15" hidden="false" customHeight="false" outlineLevel="0" collapsed="false">
      <c r="A5684" s="3" t="s">
        <v>564</v>
      </c>
      <c r="C5684" s="22" t="n">
        <f aca="false">IF(C5563=0,1,C5673/C5563)</f>
        <v>1</v>
      </c>
    </row>
    <row r="5685" customFormat="false" ht="15" hidden="false" customHeight="false" outlineLevel="0" collapsed="false">
      <c r="A5685" s="3" t="s">
        <v>565</v>
      </c>
      <c r="C5685" s="22" t="n">
        <f aca="false">IF(C5564=0,1,C5674/C5564)</f>
        <v>1</v>
      </c>
    </row>
    <row r="5686" customFormat="false" ht="15" hidden="false" customHeight="false" outlineLevel="0" collapsed="false">
      <c r="A5686" s="24" t="s">
        <v>577</v>
      </c>
      <c r="B5686" s="25"/>
      <c r="C5686" s="25"/>
      <c r="D5686" s="25"/>
      <c r="E5686" s="25"/>
      <c r="F5686" s="25"/>
      <c r="G5686" s="25"/>
      <c r="H5686" s="25"/>
      <c r="I5686" s="25"/>
      <c r="J5686" s="25"/>
      <c r="K5686" s="25"/>
    </row>
    <row r="5687" customFormat="false" ht="15" hidden="false" customHeight="false" outlineLevel="0" collapsed="false">
      <c r="A5687" s="3" t="s">
        <v>556</v>
      </c>
      <c r="C5687" s="16" t="n">
        <f aca="false">C5555-C5665</f>
        <v>0</v>
      </c>
    </row>
    <row r="5688" customFormat="false" ht="15" hidden="false" customHeight="false" outlineLevel="0" collapsed="false">
      <c r="A5688" s="3" t="s">
        <v>557</v>
      </c>
      <c r="C5688" s="16" t="n">
        <f aca="false">C5556-C5666</f>
        <v>0</v>
      </c>
    </row>
    <row r="5689" customFormat="false" ht="15" hidden="false" customHeight="false" outlineLevel="0" collapsed="false">
      <c r="A5689" s="3" t="s">
        <v>558</v>
      </c>
      <c r="C5689" s="16" t="n">
        <f aca="false">C5557-C5667</f>
        <v>0</v>
      </c>
    </row>
    <row r="5690" customFormat="false" ht="15" hidden="false" customHeight="false" outlineLevel="0" collapsed="false">
      <c r="A5690" s="3" t="s">
        <v>559</v>
      </c>
      <c r="C5690" s="16" t="n">
        <f aca="false">C5558-C5668</f>
        <v>0</v>
      </c>
    </row>
    <row r="5691" customFormat="false" ht="15" hidden="false" customHeight="false" outlineLevel="0" collapsed="false">
      <c r="A5691" s="3" t="s">
        <v>560</v>
      </c>
      <c r="C5691" s="16" t="n">
        <f aca="false">C5559-C5669</f>
        <v>0</v>
      </c>
    </row>
    <row r="5692" customFormat="false" ht="15" hidden="false" customHeight="false" outlineLevel="0" collapsed="false">
      <c r="A5692" s="3" t="s">
        <v>561</v>
      </c>
      <c r="C5692" s="16" t="n">
        <f aca="false">C5560-C5670</f>
        <v>0</v>
      </c>
    </row>
    <row r="5693" customFormat="false" ht="15" hidden="false" customHeight="false" outlineLevel="0" collapsed="false">
      <c r="A5693" s="3" t="s">
        <v>562</v>
      </c>
      <c r="C5693" s="16" t="n">
        <f aca="false">C5561-C5671</f>
        <v>0</v>
      </c>
    </row>
    <row r="5694" customFormat="false" ht="15" hidden="false" customHeight="false" outlineLevel="0" collapsed="false">
      <c r="A5694" s="3" t="s">
        <v>563</v>
      </c>
      <c r="C5694" s="16" t="n">
        <f aca="false">C5562-C5672</f>
        <v>0</v>
      </c>
    </row>
    <row r="5695" customFormat="false" ht="15" hidden="false" customHeight="false" outlineLevel="0" collapsed="false">
      <c r="A5695" s="3" t="s">
        <v>564</v>
      </c>
      <c r="C5695" s="16" t="n">
        <f aca="false">C5563-C5673</f>
        <v>0</v>
      </c>
    </row>
    <row r="5696" customFormat="false" ht="15" hidden="false" customHeight="false" outlineLevel="0" collapsed="false">
      <c r="A5696" s="3" t="s">
        <v>565</v>
      </c>
      <c r="C5696" s="16" t="n">
        <f aca="false">C5564-C5674</f>
        <v>0</v>
      </c>
    </row>
    <row r="5697" customFormat="false" ht="15" hidden="false" customHeight="false" outlineLevel="0" collapsed="false">
      <c r="A5697" s="24" t="s">
        <v>578</v>
      </c>
      <c r="B5697" s="25"/>
      <c r="C5697" s="25"/>
      <c r="D5697" s="25"/>
      <c r="E5697" s="25"/>
      <c r="F5697" s="25"/>
      <c r="G5697" s="25"/>
      <c r="H5697" s="25"/>
      <c r="I5697" s="25"/>
      <c r="J5697" s="25"/>
      <c r="K5697" s="25"/>
    </row>
    <row r="5698" customFormat="false" ht="15" hidden="false" customHeight="false" outlineLevel="0" collapsed="false">
      <c r="A5698" s="3" t="s">
        <v>556</v>
      </c>
      <c r="C5698" s="22" t="n">
        <f aca="false">IF(C5555=0,0,C5687/C5555)</f>
        <v>0</v>
      </c>
    </row>
    <row r="5699" customFormat="false" ht="15" hidden="false" customHeight="false" outlineLevel="0" collapsed="false">
      <c r="A5699" s="3" t="s">
        <v>557</v>
      </c>
      <c r="C5699" s="22" t="n">
        <f aca="false">IF(C5556=0,0,C5688/C5556)</f>
        <v>0</v>
      </c>
    </row>
    <row r="5700" customFormat="false" ht="15" hidden="false" customHeight="false" outlineLevel="0" collapsed="false">
      <c r="A5700" s="3" t="s">
        <v>558</v>
      </c>
      <c r="C5700" s="22" t="n">
        <f aca="false">IF(C5557=0,0,C5689/C5557)</f>
        <v>0</v>
      </c>
    </row>
    <row r="5701" customFormat="false" ht="15" hidden="false" customHeight="false" outlineLevel="0" collapsed="false">
      <c r="A5701" s="3" t="s">
        <v>559</v>
      </c>
      <c r="C5701" s="22" t="n">
        <f aca="false">IF(C5558=0,0,C5690/C5558)</f>
        <v>0</v>
      </c>
    </row>
    <row r="5702" customFormat="false" ht="15" hidden="false" customHeight="false" outlineLevel="0" collapsed="false">
      <c r="A5702" s="3" t="s">
        <v>560</v>
      </c>
      <c r="C5702" s="22" t="n">
        <f aca="false">IF(C5559=0,0,C5691/C5559)</f>
        <v>0</v>
      </c>
    </row>
    <row r="5703" customFormat="false" ht="15" hidden="false" customHeight="false" outlineLevel="0" collapsed="false">
      <c r="A5703" s="3" t="s">
        <v>561</v>
      </c>
      <c r="C5703" s="22" t="n">
        <f aca="false">IF(C5560=0,0,C5692/C5560)</f>
        <v>0</v>
      </c>
    </row>
    <row r="5704" customFormat="false" ht="15" hidden="false" customHeight="false" outlineLevel="0" collapsed="false">
      <c r="A5704" s="3" t="s">
        <v>562</v>
      </c>
      <c r="C5704" s="22" t="n">
        <f aca="false">IF(C5561=0,0,C5693/C5561)</f>
        <v>0</v>
      </c>
    </row>
    <row r="5705" customFormat="false" ht="15" hidden="false" customHeight="false" outlineLevel="0" collapsed="false">
      <c r="A5705" s="3" t="s">
        <v>563</v>
      </c>
      <c r="C5705" s="22" t="n">
        <f aca="false">IF(C5562=0,0,C5694/C5562)</f>
        <v>0</v>
      </c>
    </row>
    <row r="5706" customFormat="false" ht="15" hidden="false" customHeight="false" outlineLevel="0" collapsed="false">
      <c r="A5706" s="3" t="s">
        <v>564</v>
      </c>
      <c r="C5706" s="22" t="n">
        <f aca="false">IF(C5563=0,0,C5695/C5563)</f>
        <v>0</v>
      </c>
    </row>
    <row r="5707" customFormat="false" ht="15" hidden="false" customHeight="false" outlineLevel="0" collapsed="false">
      <c r="A5707" s="3" t="s">
        <v>565</v>
      </c>
      <c r="C5707" s="22" t="n">
        <f aca="false">IF(C5564=0,0,C5696/C5564)</f>
        <v>0</v>
      </c>
    </row>
    <row r="5708" customFormat="false" ht="15" hidden="false" customHeight="false" outlineLevel="0" collapsed="false">
      <c r="A5708" s="2" t="s">
        <v>579</v>
      </c>
      <c r="C5708" s="17" t="n">
        <f aca="false">MAX(0,$C$5553-SUM($C$5588:$C$5597)-SUM($C$5610:$C$5619))</f>
        <v>480.844670249774</v>
      </c>
    </row>
    <row r="5709" customFormat="false" ht="15" hidden="false" customHeight="false" outlineLevel="0" collapsed="false">
      <c r="A5709" s="3" t="s">
        <v>580</v>
      </c>
      <c r="C5709" s="16" t="n">
        <f aca="false">SUM($C$5665:$C$5674)+C5708+C5552-C5551</f>
        <v>0</v>
      </c>
    </row>
    <row r="5711" customFormat="false" ht="15" hidden="false" customHeight="false" outlineLevel="0" collapsed="false">
      <c r="A5711" s="24" t="s">
        <v>583</v>
      </c>
      <c r="B5711" s="25"/>
      <c r="C5711" s="25"/>
      <c r="D5711" s="25"/>
      <c r="E5711" s="25"/>
      <c r="F5711" s="25"/>
      <c r="G5711" s="25"/>
      <c r="H5711" s="25"/>
      <c r="I5711" s="25"/>
      <c r="J5711" s="25"/>
      <c r="K5711" s="25"/>
    </row>
    <row r="5712" customFormat="false" ht="15" hidden="false" customHeight="false" outlineLevel="0" collapsed="false">
      <c r="A5712" s="3" t="s">
        <v>584</v>
      </c>
      <c r="C5712" s="27" t="n">
        <f aca="false">Assumptions!$C$34</f>
        <v>1</v>
      </c>
    </row>
    <row r="5713" customFormat="false" ht="15" hidden="false" customHeight="false" outlineLevel="0" collapsed="false">
      <c r="A5713" s="3" t="s">
        <v>585</v>
      </c>
      <c r="C5713" s="29" t="n">
        <f aca="false">Assumptions!$C$35</f>
        <v>100</v>
      </c>
    </row>
    <row r="5714" customFormat="false" ht="15" hidden="false" customHeight="false" outlineLevel="0" collapsed="false">
      <c r="A5714" s="3" t="s">
        <v>586</v>
      </c>
      <c r="C5714" s="40" t="n">
        <f aca="false">Assumptions!$C$36</f>
        <v>98</v>
      </c>
    </row>
    <row r="5715" customFormat="false" ht="15" hidden="false" customHeight="false" outlineLevel="0" collapsed="false">
      <c r="A5715" s="3" t="s">
        <v>587</v>
      </c>
      <c r="C5715" s="16" t="n">
        <f aca="false">C5713*C5714/100*(1+Assumptions!$C$37)</f>
        <v>98.49</v>
      </c>
    </row>
    <row r="5716" customFormat="false" ht="15" hidden="false" customHeight="false" outlineLevel="0" collapsed="false">
      <c r="A5716" s="3" t="s">
        <v>588</v>
      </c>
      <c r="C5716" s="27" t="n">
        <f aca="false">Assumptions!$C$38</f>
        <v>3</v>
      </c>
    </row>
    <row r="5717" customFormat="false" ht="15" hidden="false" customHeight="false" outlineLevel="0" collapsed="false">
      <c r="A5717" s="3" t="s">
        <v>589</v>
      </c>
      <c r="C5717" s="21" t="n">
        <f aca="false">IF(C5544=1,SUMPRODUCT($G$5480:$K$5480,$G$5254:$K$5254),0)</f>
        <v>2</v>
      </c>
    </row>
    <row r="5718" customFormat="false" ht="15" hidden="false" customHeight="false" outlineLevel="0" collapsed="false">
      <c r="A5718" s="3" t="s">
        <v>590</v>
      </c>
      <c r="C5718" s="22" t="n">
        <f aca="false">IFERROR(C5713/CHOOSE(C5712,SUMPRODUCT($G$5543:$K$5543,$G$5300:$K$5300),SUMPRODUCT($G$5543:$K$5543,$G$5313:$K$5313),SUMPRODUCT($G$5543:$K$5543,$G$5326:$K$5326),SUMPRODUCT($G$5543:$K$5543,$G$5339:$K$5339),SUMPRODUCT($G$5543:$K$5543,$G$5352:$K$5352),SUMPRODUCT($G$5543:$K$5543,$G$5365:$K$5365),SUMPRODUCT($G$5543:$K$5543,$G$5378:$K$5378),SUMPRODUCT($G$5543:$K$5543,$G$5391:$K$5391),SUMPRODUCT($G$5543:$K$5543,$G$5404:$K$5404),SUMPRODUCT($G$5543:$K$5543,$G$5417:$K$5417)),0)</f>
        <v>0.255102040816327</v>
      </c>
    </row>
    <row r="5719" customFormat="false" ht="15" hidden="false" customHeight="false" outlineLevel="0" collapsed="false">
      <c r="A5719" s="3" t="s">
        <v>591</v>
      </c>
      <c r="C5719" s="16" t="n">
        <f aca="false">CHOOSE(C5712,C5665,C5666,C5667,C5668,C5669,C5670,C5671,C5672,C5673,C5674)*C5718</f>
        <v>102.625</v>
      </c>
    </row>
    <row r="5720" customFormat="false" ht="15" hidden="false" customHeight="false" outlineLevel="0" collapsed="false">
      <c r="A5720" s="3" t="s">
        <v>592</v>
      </c>
      <c r="C5720" s="22" t="n">
        <f aca="false">CHOOSE(C5712,C5676,C5677,C5678,C5679,C5680,C5681,C5682,C5683,C5684,C5685)</f>
        <v>1</v>
      </c>
    </row>
    <row r="5721" customFormat="false" ht="15" hidden="false" customHeight="false" outlineLevel="0" collapsed="false">
      <c r="A5721" s="3" t="s">
        <v>593</v>
      </c>
      <c r="C5721" s="21" t="n">
        <f aca="false">IF(C5544=1,C5717,C5716)</f>
        <v>2</v>
      </c>
    </row>
    <row r="5722" customFormat="false" ht="15" hidden="false" customHeight="false" outlineLevel="0" collapsed="false">
      <c r="A5722" s="3" t="s">
        <v>594</v>
      </c>
      <c r="C5722" s="35" t="n">
        <f aca="false">CHOOSE($C$5246,Assumptions!$C$91,Assumptions!$C$110,Assumptions!$C$129)</f>
        <v>95</v>
      </c>
    </row>
    <row r="5723" customFormat="false" ht="15" hidden="false" customHeight="false" outlineLevel="0" collapsed="false">
      <c r="A5723" s="3" t="s">
        <v>595</v>
      </c>
      <c r="C5723" s="16" t="n">
        <f aca="false">INDEX($G$5263:$K$5263,C5716)*CHOOSE($C$5246,Assumptions!$C$90,Assumptions!$C$109,Assumptions!$C$128)+MAX(0,INDEX($G$5477:$K$5477,C5716))</f>
        <v>2224.002786951</v>
      </c>
    </row>
    <row r="5724" customFormat="false" ht="15" hidden="false" customHeight="false" outlineLevel="0" collapsed="false">
      <c r="A5724" s="24" t="s">
        <v>596</v>
      </c>
      <c r="B5724" s="25"/>
      <c r="C5724" s="25"/>
      <c r="D5724" s="25"/>
      <c r="E5724" s="25"/>
      <c r="F5724" s="25"/>
      <c r="G5724" s="25"/>
      <c r="H5724" s="25"/>
      <c r="I5724" s="25"/>
      <c r="J5724" s="25"/>
      <c r="K5724" s="25"/>
    </row>
    <row r="5725" customFormat="false" ht="15" hidden="false" customHeight="false" outlineLevel="0" collapsed="false">
      <c r="A5725" s="3" t="s">
        <v>556</v>
      </c>
      <c r="C5725" s="16" t="n">
        <f aca="false">INDEX($G$5300:$K$5300,C5716)</f>
        <v>388</v>
      </c>
    </row>
    <row r="5726" customFormat="false" ht="15" hidden="false" customHeight="false" outlineLevel="0" collapsed="false">
      <c r="A5726" s="3" t="s">
        <v>557</v>
      </c>
      <c r="C5726" s="16" t="n">
        <f aca="false">INDEX($G$5313:$K$5313,C5716)</f>
        <v>90</v>
      </c>
    </row>
    <row r="5727" customFormat="false" ht="15" hidden="false" customHeight="false" outlineLevel="0" collapsed="false">
      <c r="A5727" s="3" t="s">
        <v>558</v>
      </c>
      <c r="C5727" s="16" t="n">
        <f aca="false">INDEX($G$5326:$K$5326,C5716)</f>
        <v>57.324</v>
      </c>
    </row>
    <row r="5728" customFormat="false" ht="15" hidden="false" customHeight="false" outlineLevel="0" collapsed="false">
      <c r="A5728" s="3" t="s">
        <v>559</v>
      </c>
      <c r="C5728" s="16" t="n">
        <f aca="false">INDEX($G$5339:$K$5339,C5716)</f>
        <v>0</v>
      </c>
    </row>
    <row r="5729" customFormat="false" ht="15" hidden="false" customHeight="false" outlineLevel="0" collapsed="false">
      <c r="A5729" s="3" t="s">
        <v>560</v>
      </c>
      <c r="C5729" s="16" t="n">
        <f aca="false">INDEX($G$5352:$K$5352,C5716)</f>
        <v>438.355768833</v>
      </c>
    </row>
    <row r="5730" customFormat="false" ht="15" hidden="false" customHeight="false" outlineLevel="0" collapsed="false">
      <c r="A5730" s="3" t="s">
        <v>561</v>
      </c>
      <c r="C5730" s="16" t="n">
        <f aca="false">INDEX($G$5365:$K$5365,C5716)</f>
        <v>350</v>
      </c>
    </row>
    <row r="5731" customFormat="false" ht="15" hidden="false" customHeight="false" outlineLevel="0" collapsed="false">
      <c r="A5731" s="3" t="s">
        <v>562</v>
      </c>
      <c r="C5731" s="16" t="n">
        <f aca="false">INDEX($G$5378:$K$5378,C5716)</f>
        <v>550</v>
      </c>
    </row>
    <row r="5732" customFormat="false" ht="15" hidden="false" customHeight="false" outlineLevel="0" collapsed="false">
      <c r="A5732" s="3" t="s">
        <v>563</v>
      </c>
      <c r="C5732" s="16" t="n">
        <f aca="false">INDEX($G$5391:$K$5391,C5716)</f>
        <v>350</v>
      </c>
    </row>
    <row r="5733" customFormat="false" ht="15" hidden="false" customHeight="false" outlineLevel="0" collapsed="false">
      <c r="A5733" s="3" t="s">
        <v>564</v>
      </c>
      <c r="C5733" s="16" t="n">
        <f aca="false">INDEX($G$5404:$K$5404,C5716)</f>
        <v>300</v>
      </c>
    </row>
    <row r="5734" customFormat="false" ht="15" hidden="false" customHeight="false" outlineLevel="0" collapsed="false">
      <c r="A5734" s="3" t="s">
        <v>565</v>
      </c>
      <c r="C5734" s="16" t="n">
        <f aca="false">INDEX($G$5417:$K$5417,C5716)</f>
        <v>78.61</v>
      </c>
    </row>
    <row r="5735" customFormat="false" ht="15" hidden="false" customHeight="false" outlineLevel="0" collapsed="false">
      <c r="A5735" s="24" t="s">
        <v>566</v>
      </c>
      <c r="B5735" s="25"/>
      <c r="C5735" s="25"/>
      <c r="D5735" s="25"/>
      <c r="E5735" s="25"/>
      <c r="F5735" s="25"/>
      <c r="G5735" s="25"/>
      <c r="H5735" s="25"/>
      <c r="I5735" s="25"/>
      <c r="J5735" s="25"/>
      <c r="K5735" s="25"/>
    </row>
    <row r="5736" customFormat="false" ht="15" hidden="false" customHeight="false" outlineLevel="0" collapsed="false">
      <c r="A5736" s="3" t="s">
        <v>556</v>
      </c>
      <c r="C5736" s="27" t="n">
        <f aca="false">Assumptions!$M$57</f>
        <v>1</v>
      </c>
    </row>
    <row r="5737" customFormat="false" ht="15" hidden="false" customHeight="false" outlineLevel="0" collapsed="false">
      <c r="A5737" s="3" t="s">
        <v>557</v>
      </c>
      <c r="C5737" s="27" t="n">
        <f aca="false">Assumptions!$M$58</f>
        <v>1</v>
      </c>
    </row>
    <row r="5738" customFormat="false" ht="15" hidden="false" customHeight="false" outlineLevel="0" collapsed="false">
      <c r="A5738" s="3" t="s">
        <v>558</v>
      </c>
      <c r="C5738" s="27" t="n">
        <f aca="false">Assumptions!$M$59</f>
        <v>1</v>
      </c>
    </row>
    <row r="5739" customFormat="false" ht="15" hidden="false" customHeight="false" outlineLevel="0" collapsed="false">
      <c r="A5739" s="3" t="s">
        <v>559</v>
      </c>
      <c r="C5739" s="27" t="n">
        <f aca="false">Assumptions!$M$60</f>
        <v>2</v>
      </c>
    </row>
    <row r="5740" customFormat="false" ht="15" hidden="false" customHeight="false" outlineLevel="0" collapsed="false">
      <c r="A5740" s="3" t="s">
        <v>560</v>
      </c>
      <c r="C5740" s="27" t="n">
        <f aca="false">Assumptions!$M$61</f>
        <v>2</v>
      </c>
    </row>
    <row r="5741" customFormat="false" ht="15" hidden="false" customHeight="false" outlineLevel="0" collapsed="false">
      <c r="A5741" s="3" t="s">
        <v>561</v>
      </c>
      <c r="C5741" s="27" t="n">
        <f aca="false">Assumptions!$M$62</f>
        <v>2</v>
      </c>
    </row>
    <row r="5742" customFormat="false" ht="15" hidden="false" customHeight="false" outlineLevel="0" collapsed="false">
      <c r="A5742" s="3" t="s">
        <v>562</v>
      </c>
      <c r="C5742" s="27" t="n">
        <f aca="false">Assumptions!$M$63</f>
        <v>2</v>
      </c>
    </row>
    <row r="5743" customFormat="false" ht="15" hidden="false" customHeight="false" outlineLevel="0" collapsed="false">
      <c r="A5743" s="3" t="s">
        <v>563</v>
      </c>
      <c r="C5743" s="27" t="n">
        <f aca="false">Assumptions!$M$64</f>
        <v>2</v>
      </c>
    </row>
    <row r="5744" customFormat="false" ht="15" hidden="false" customHeight="false" outlineLevel="0" collapsed="false">
      <c r="A5744" s="3" t="s">
        <v>564</v>
      </c>
      <c r="C5744" s="27" t="n">
        <f aca="false">Assumptions!$M$65</f>
        <v>2</v>
      </c>
    </row>
    <row r="5745" customFormat="false" ht="15" hidden="false" customHeight="false" outlineLevel="0" collapsed="false">
      <c r="A5745" s="3" t="s">
        <v>565</v>
      </c>
      <c r="C5745" s="27" t="n">
        <f aca="false">Assumptions!$M$66</f>
        <v>3</v>
      </c>
    </row>
    <row r="5746" customFormat="false" ht="15" hidden="false" customHeight="false" outlineLevel="0" collapsed="false">
      <c r="A5746" s="24" t="s">
        <v>567</v>
      </c>
      <c r="B5746" s="25"/>
      <c r="C5746" s="25"/>
      <c r="D5746" s="25"/>
      <c r="E5746" s="25"/>
      <c r="F5746" s="25"/>
      <c r="G5746" s="25"/>
      <c r="H5746" s="25"/>
      <c r="I5746" s="25"/>
      <c r="J5746" s="25"/>
      <c r="K5746" s="25"/>
    </row>
    <row r="5747" customFormat="false" ht="15" hidden="false" customHeight="false" outlineLevel="0" collapsed="false">
      <c r="A5747" s="3" t="s">
        <v>556</v>
      </c>
      <c r="C5747" s="33" t="n">
        <f aca="false">Assumptions!$Q$57</f>
        <v>0.3</v>
      </c>
    </row>
    <row r="5748" customFormat="false" ht="15" hidden="false" customHeight="false" outlineLevel="0" collapsed="false">
      <c r="A5748" s="3" t="s">
        <v>557</v>
      </c>
      <c r="C5748" s="33" t="n">
        <f aca="false">Assumptions!$Q$58</f>
        <v>0.033</v>
      </c>
    </row>
    <row r="5749" customFormat="false" ht="15" hidden="false" customHeight="false" outlineLevel="0" collapsed="false">
      <c r="A5749" s="3" t="s">
        <v>558</v>
      </c>
      <c r="C5749" s="33" t="n">
        <f aca="false">Assumptions!$Q$59</f>
        <v>0.021</v>
      </c>
    </row>
    <row r="5750" customFormat="false" ht="15" hidden="false" customHeight="false" outlineLevel="0" collapsed="false">
      <c r="A5750" s="3" t="s">
        <v>559</v>
      </c>
      <c r="C5750" s="33" t="n">
        <f aca="false">Assumptions!$Q$60</f>
        <v>0</v>
      </c>
    </row>
    <row r="5751" customFormat="false" ht="15" hidden="false" customHeight="false" outlineLevel="0" collapsed="false">
      <c r="A5751" s="3" t="s">
        <v>560</v>
      </c>
      <c r="C5751" s="33" t="n">
        <f aca="false">Assumptions!$Q$61</f>
        <v>0</v>
      </c>
    </row>
    <row r="5752" customFormat="false" ht="15" hidden="false" customHeight="false" outlineLevel="0" collapsed="false">
      <c r="A5752" s="3" t="s">
        <v>561</v>
      </c>
      <c r="C5752" s="33" t="n">
        <f aca="false">Assumptions!$Q$62</f>
        <v>0</v>
      </c>
    </row>
    <row r="5753" customFormat="false" ht="15" hidden="false" customHeight="false" outlineLevel="0" collapsed="false">
      <c r="A5753" s="3" t="s">
        <v>562</v>
      </c>
      <c r="C5753" s="33" t="n">
        <f aca="false">Assumptions!$Q$63</f>
        <v>0</v>
      </c>
    </row>
    <row r="5754" customFormat="false" ht="15" hidden="false" customHeight="false" outlineLevel="0" collapsed="false">
      <c r="A5754" s="3" t="s">
        <v>563</v>
      </c>
      <c r="C5754" s="33" t="n">
        <f aca="false">Assumptions!$Q$64</f>
        <v>0</v>
      </c>
    </row>
    <row r="5755" customFormat="false" ht="15" hidden="false" customHeight="false" outlineLevel="0" collapsed="false">
      <c r="A5755" s="3" t="s">
        <v>564</v>
      </c>
      <c r="C5755" s="33" t="n">
        <f aca="false">Assumptions!$Q$65</f>
        <v>0</v>
      </c>
    </row>
    <row r="5756" customFormat="false" ht="15" hidden="false" customHeight="false" outlineLevel="0" collapsed="false">
      <c r="A5756" s="3" t="s">
        <v>565</v>
      </c>
      <c r="C5756" s="33" t="n">
        <f aca="false">Assumptions!$Q$66</f>
        <v>0</v>
      </c>
    </row>
    <row r="5757" customFormat="false" ht="15" hidden="false" customHeight="false" outlineLevel="0" collapsed="false">
      <c r="A5757" s="24" t="s">
        <v>568</v>
      </c>
      <c r="B5757" s="25"/>
      <c r="C5757" s="25"/>
      <c r="D5757" s="25"/>
      <c r="E5757" s="25"/>
      <c r="F5757" s="25"/>
      <c r="G5757" s="25"/>
      <c r="H5757" s="25"/>
      <c r="I5757" s="25"/>
      <c r="J5757" s="25"/>
      <c r="K5757" s="25"/>
    </row>
    <row r="5758" customFormat="false" ht="15" hidden="false" customHeight="false" outlineLevel="0" collapsed="false">
      <c r="A5758" s="3" t="s">
        <v>556</v>
      </c>
      <c r="C5758" s="16" t="n">
        <f aca="false">IF(C5747&gt;0,MIN(C5725,C5747*$C$5723),0)</f>
        <v>388</v>
      </c>
    </row>
    <row r="5759" customFormat="false" ht="15" hidden="false" customHeight="false" outlineLevel="0" collapsed="false">
      <c r="A5759" s="3" t="s">
        <v>557</v>
      </c>
      <c r="C5759" s="16" t="n">
        <f aca="false">IF(C5748&gt;0,MIN(C5726,C5748*$C$5723),0)</f>
        <v>73.392091969383</v>
      </c>
    </row>
    <row r="5760" customFormat="false" ht="15" hidden="false" customHeight="false" outlineLevel="0" collapsed="false">
      <c r="A5760" s="3" t="s">
        <v>558</v>
      </c>
      <c r="C5760" s="16" t="n">
        <f aca="false">IF(C5749&gt;0,MIN(C5727,C5749*$C$5723),0)</f>
        <v>46.704058525971</v>
      </c>
    </row>
    <row r="5761" customFormat="false" ht="15" hidden="false" customHeight="false" outlineLevel="0" collapsed="false">
      <c r="A5761" s="3" t="s">
        <v>559</v>
      </c>
      <c r="C5761" s="16" t="n">
        <f aca="false">IF(C5750&gt;0,MIN(C5728,C5750*$C$5723),0)</f>
        <v>0</v>
      </c>
    </row>
    <row r="5762" customFormat="false" ht="15" hidden="false" customHeight="false" outlineLevel="0" collapsed="false">
      <c r="A5762" s="3" t="s">
        <v>560</v>
      </c>
      <c r="C5762" s="16" t="n">
        <f aca="false">IF(C5751&gt;0,MIN(C5729,C5751*$C$5723),0)</f>
        <v>0</v>
      </c>
    </row>
    <row r="5763" customFormat="false" ht="15" hidden="false" customHeight="false" outlineLevel="0" collapsed="false">
      <c r="A5763" s="3" t="s">
        <v>561</v>
      </c>
      <c r="C5763" s="16" t="n">
        <f aca="false">IF(C5752&gt;0,MIN(C5730,C5752*$C$5723),0)</f>
        <v>0</v>
      </c>
    </row>
    <row r="5764" customFormat="false" ht="15" hidden="false" customHeight="false" outlineLevel="0" collapsed="false">
      <c r="A5764" s="3" t="s">
        <v>562</v>
      </c>
      <c r="C5764" s="16" t="n">
        <f aca="false">IF(C5753&gt;0,MIN(C5731,C5753*$C$5723),0)</f>
        <v>0</v>
      </c>
    </row>
    <row r="5765" customFormat="false" ht="15" hidden="false" customHeight="false" outlineLevel="0" collapsed="false">
      <c r="A5765" s="3" t="s">
        <v>563</v>
      </c>
      <c r="C5765" s="16" t="n">
        <f aca="false">IF(C5754&gt;0,MIN(C5732,C5754*$C$5723),0)</f>
        <v>0</v>
      </c>
    </row>
    <row r="5766" customFormat="false" ht="15" hidden="false" customHeight="false" outlineLevel="0" collapsed="false">
      <c r="A5766" s="3" t="s">
        <v>564</v>
      </c>
      <c r="C5766" s="16" t="n">
        <f aca="false">IF(C5755&gt;0,MIN(C5733,C5755*$C$5723),0)</f>
        <v>0</v>
      </c>
    </row>
    <row r="5767" customFormat="false" ht="15" hidden="false" customHeight="false" outlineLevel="0" collapsed="false">
      <c r="A5767" s="3" t="s">
        <v>565</v>
      </c>
      <c r="C5767" s="16" t="n">
        <f aca="false">IF(C5756&gt;0,MIN(C5734,C5756*$C$5723),0)</f>
        <v>0</v>
      </c>
    </row>
    <row r="5768" customFormat="false" ht="15" hidden="false" customHeight="false" outlineLevel="0" collapsed="false">
      <c r="A5768" s="24" t="s">
        <v>569</v>
      </c>
      <c r="B5768" s="25"/>
      <c r="C5768" s="25"/>
      <c r="D5768" s="25"/>
      <c r="E5768" s="25"/>
      <c r="F5768" s="25"/>
      <c r="G5768" s="25"/>
      <c r="H5768" s="25"/>
      <c r="I5768" s="25"/>
      <c r="J5768" s="25"/>
      <c r="K5768" s="25"/>
    </row>
    <row r="5769" customFormat="false" ht="15" hidden="false" customHeight="false" outlineLevel="0" collapsed="false">
      <c r="A5769" s="3" t="s">
        <v>556</v>
      </c>
      <c r="C5769" s="16" t="n">
        <f aca="false">IF(C5747&gt;0,C5725-C5758,0)</f>
        <v>0</v>
      </c>
    </row>
    <row r="5770" customFormat="false" ht="15" hidden="false" customHeight="false" outlineLevel="0" collapsed="false">
      <c r="A5770" s="3" t="s">
        <v>557</v>
      </c>
      <c r="C5770" s="16" t="n">
        <f aca="false">IF(C5748&gt;0,C5726-C5759,0)</f>
        <v>16.607908030617</v>
      </c>
    </row>
    <row r="5771" customFormat="false" ht="15" hidden="false" customHeight="false" outlineLevel="0" collapsed="false">
      <c r="A5771" s="3" t="s">
        <v>558</v>
      </c>
      <c r="C5771" s="16" t="n">
        <f aca="false">IF(C5749&gt;0,C5727-C5760,0)</f>
        <v>10.619941474029</v>
      </c>
    </row>
    <row r="5772" customFormat="false" ht="15" hidden="false" customHeight="false" outlineLevel="0" collapsed="false">
      <c r="A5772" s="3" t="s">
        <v>559</v>
      </c>
      <c r="C5772" s="16" t="n">
        <f aca="false">IF(C5750&gt;0,C5728-C5761,0)</f>
        <v>0</v>
      </c>
    </row>
    <row r="5773" customFormat="false" ht="15" hidden="false" customHeight="false" outlineLevel="0" collapsed="false">
      <c r="A5773" s="3" t="s">
        <v>560</v>
      </c>
      <c r="C5773" s="16" t="n">
        <f aca="false">IF(C5751&gt;0,C5729-C5762,0)</f>
        <v>0</v>
      </c>
    </row>
    <row r="5774" customFormat="false" ht="15" hidden="false" customHeight="false" outlineLevel="0" collapsed="false">
      <c r="A5774" s="3" t="s">
        <v>561</v>
      </c>
      <c r="C5774" s="16" t="n">
        <f aca="false">IF(C5752&gt;0,C5730-C5763,0)</f>
        <v>0</v>
      </c>
    </row>
    <row r="5775" customFormat="false" ht="15" hidden="false" customHeight="false" outlineLevel="0" collapsed="false">
      <c r="A5775" s="3" t="s">
        <v>562</v>
      </c>
      <c r="C5775" s="16" t="n">
        <f aca="false">IF(C5753&gt;0,C5731-C5764,0)</f>
        <v>0</v>
      </c>
    </row>
    <row r="5776" customFormat="false" ht="15" hidden="false" customHeight="false" outlineLevel="0" collapsed="false">
      <c r="A5776" s="3" t="s">
        <v>563</v>
      </c>
      <c r="C5776" s="16" t="n">
        <f aca="false">IF(C5754&gt;0,C5732-C5765,0)</f>
        <v>0</v>
      </c>
    </row>
    <row r="5777" customFormat="false" ht="15" hidden="false" customHeight="false" outlineLevel="0" collapsed="false">
      <c r="A5777" s="3" t="s">
        <v>564</v>
      </c>
      <c r="C5777" s="16" t="n">
        <f aca="false">IF(C5755&gt;0,C5733-C5766,0)</f>
        <v>0</v>
      </c>
    </row>
    <row r="5778" customFormat="false" ht="15" hidden="false" customHeight="false" outlineLevel="0" collapsed="false">
      <c r="A5778" s="3" t="s">
        <v>565</v>
      </c>
      <c r="C5778" s="16" t="n">
        <f aca="false">IF(C5756&gt;0,C5734-C5767,0)</f>
        <v>0</v>
      </c>
    </row>
    <row r="5779" customFormat="false" ht="15" hidden="false" customHeight="false" outlineLevel="0" collapsed="false">
      <c r="A5779" s="24" t="s">
        <v>570</v>
      </c>
      <c r="B5779" s="25"/>
      <c r="C5779" s="25"/>
      <c r="D5779" s="25"/>
      <c r="E5779" s="25"/>
      <c r="F5779" s="25"/>
      <c r="G5779" s="25"/>
      <c r="H5779" s="25"/>
      <c r="I5779" s="25"/>
      <c r="J5779" s="25"/>
      <c r="K5779" s="25"/>
    </row>
    <row r="5780" customFormat="false" ht="15" hidden="false" customHeight="false" outlineLevel="0" collapsed="false">
      <c r="A5780" s="3" t="s">
        <v>556</v>
      </c>
      <c r="C5780" s="16" t="n">
        <f aca="false">IF(C5747&gt;0,C5769,C5725)</f>
        <v>0</v>
      </c>
    </row>
    <row r="5781" customFormat="false" ht="15" hidden="false" customHeight="false" outlineLevel="0" collapsed="false">
      <c r="A5781" s="3" t="s">
        <v>557</v>
      </c>
      <c r="C5781" s="16" t="n">
        <f aca="false">IF(C5748&gt;0,C5770,C5726)</f>
        <v>16.607908030617</v>
      </c>
    </row>
    <row r="5782" customFormat="false" ht="15" hidden="false" customHeight="false" outlineLevel="0" collapsed="false">
      <c r="A5782" s="3" t="s">
        <v>558</v>
      </c>
      <c r="C5782" s="16" t="n">
        <f aca="false">IF(C5749&gt;0,C5771,C5727)</f>
        <v>10.619941474029</v>
      </c>
    </row>
    <row r="5783" customFormat="false" ht="15" hidden="false" customHeight="false" outlineLevel="0" collapsed="false">
      <c r="A5783" s="3" t="s">
        <v>559</v>
      </c>
      <c r="C5783" s="16" t="n">
        <f aca="false">IF(C5750&gt;0,C5772,C5728)</f>
        <v>0</v>
      </c>
    </row>
    <row r="5784" customFormat="false" ht="15" hidden="false" customHeight="false" outlineLevel="0" collapsed="false">
      <c r="A5784" s="3" t="s">
        <v>560</v>
      </c>
      <c r="C5784" s="16" t="n">
        <f aca="false">IF(C5751&gt;0,C5773,C5729)</f>
        <v>438.355768833</v>
      </c>
    </row>
    <row r="5785" customFormat="false" ht="15" hidden="false" customHeight="false" outlineLevel="0" collapsed="false">
      <c r="A5785" s="3" t="s">
        <v>561</v>
      </c>
      <c r="C5785" s="16" t="n">
        <f aca="false">IF(C5752&gt;0,C5774,C5730)</f>
        <v>350</v>
      </c>
    </row>
    <row r="5786" customFormat="false" ht="15" hidden="false" customHeight="false" outlineLevel="0" collapsed="false">
      <c r="A5786" s="3" t="s">
        <v>562</v>
      </c>
      <c r="C5786" s="16" t="n">
        <f aca="false">IF(C5753&gt;0,C5775,C5731)</f>
        <v>550</v>
      </c>
    </row>
    <row r="5787" customFormat="false" ht="15" hidden="false" customHeight="false" outlineLevel="0" collapsed="false">
      <c r="A5787" s="3" t="s">
        <v>563</v>
      </c>
      <c r="C5787" s="16" t="n">
        <f aca="false">IF(C5754&gt;0,C5776,C5732)</f>
        <v>350</v>
      </c>
    </row>
    <row r="5788" customFormat="false" ht="15" hidden="false" customHeight="false" outlineLevel="0" collapsed="false">
      <c r="A5788" s="3" t="s">
        <v>564</v>
      </c>
      <c r="C5788" s="16" t="n">
        <f aca="false">IF(C5755&gt;0,C5777,C5733)</f>
        <v>300</v>
      </c>
    </row>
    <row r="5789" customFormat="false" ht="15" hidden="false" customHeight="false" outlineLevel="0" collapsed="false">
      <c r="A5789" s="3" t="s">
        <v>565</v>
      </c>
      <c r="C5789" s="16" t="n">
        <f aca="false">IF(C5756&gt;0,C5778,C5734)</f>
        <v>78.61</v>
      </c>
    </row>
    <row r="5790" customFormat="false" ht="15" hidden="false" customHeight="false" outlineLevel="0" collapsed="false">
      <c r="A5790" s="24" t="s">
        <v>571</v>
      </c>
      <c r="B5790" s="25"/>
      <c r="C5790" s="25"/>
      <c r="D5790" s="25"/>
      <c r="E5790" s="25"/>
      <c r="F5790" s="25"/>
      <c r="G5790" s="25"/>
      <c r="H5790" s="25"/>
      <c r="I5790" s="25"/>
      <c r="J5790" s="25"/>
      <c r="K5790" s="25"/>
    </row>
    <row r="5791" customFormat="false" ht="15" hidden="false" customHeight="false" outlineLevel="0" collapsed="false">
      <c r="A5791" s="3" t="s">
        <v>556</v>
      </c>
      <c r="C5791" s="21" t="n">
        <f aca="false">IF(C5747&gt;0,Assumptions!$C$17,C5736)</f>
        <v>99</v>
      </c>
    </row>
    <row r="5792" customFormat="false" ht="15" hidden="false" customHeight="false" outlineLevel="0" collapsed="false">
      <c r="A5792" s="3" t="s">
        <v>557</v>
      </c>
      <c r="C5792" s="21" t="n">
        <f aca="false">IF(C5748&gt;0,Assumptions!$C$17,C5737)</f>
        <v>99</v>
      </c>
    </row>
    <row r="5793" customFormat="false" ht="15" hidden="false" customHeight="false" outlineLevel="0" collapsed="false">
      <c r="A5793" s="3" t="s">
        <v>558</v>
      </c>
      <c r="C5793" s="21" t="n">
        <f aca="false">IF(C5749&gt;0,Assumptions!$C$17,C5738)</f>
        <v>99</v>
      </c>
    </row>
    <row r="5794" customFormat="false" ht="15" hidden="false" customHeight="false" outlineLevel="0" collapsed="false">
      <c r="A5794" s="3" t="s">
        <v>559</v>
      </c>
      <c r="C5794" s="21" t="n">
        <f aca="false">IF(C5750&gt;0,Assumptions!$C$17,C5739)</f>
        <v>2</v>
      </c>
    </row>
    <row r="5795" customFormat="false" ht="15" hidden="false" customHeight="false" outlineLevel="0" collapsed="false">
      <c r="A5795" s="3" t="s">
        <v>560</v>
      </c>
      <c r="C5795" s="21" t="n">
        <f aca="false">IF(C5751&gt;0,Assumptions!$C$17,C5740)</f>
        <v>2</v>
      </c>
    </row>
    <row r="5796" customFormat="false" ht="15" hidden="false" customHeight="false" outlineLevel="0" collapsed="false">
      <c r="A5796" s="3" t="s">
        <v>561</v>
      </c>
      <c r="C5796" s="21" t="n">
        <f aca="false">IF(C5752&gt;0,Assumptions!$C$17,C5741)</f>
        <v>2</v>
      </c>
    </row>
    <row r="5797" customFormat="false" ht="15" hidden="false" customHeight="false" outlineLevel="0" collapsed="false">
      <c r="A5797" s="3" t="s">
        <v>562</v>
      </c>
      <c r="C5797" s="21" t="n">
        <f aca="false">IF(C5753&gt;0,Assumptions!$C$17,C5742)</f>
        <v>2</v>
      </c>
    </row>
    <row r="5798" customFormat="false" ht="15" hidden="false" customHeight="false" outlineLevel="0" collapsed="false">
      <c r="A5798" s="3" t="s">
        <v>563</v>
      </c>
      <c r="C5798" s="21" t="n">
        <f aca="false">IF(C5754&gt;0,Assumptions!$C$17,C5743)</f>
        <v>2</v>
      </c>
    </row>
    <row r="5799" customFormat="false" ht="15" hidden="false" customHeight="false" outlineLevel="0" collapsed="false">
      <c r="A5799" s="3" t="s">
        <v>564</v>
      </c>
      <c r="C5799" s="21" t="n">
        <f aca="false">IF(C5755&gt;0,Assumptions!$C$17,C5744)</f>
        <v>2</v>
      </c>
    </row>
    <row r="5800" customFormat="false" ht="15" hidden="false" customHeight="false" outlineLevel="0" collapsed="false">
      <c r="A5800" s="3" t="s">
        <v>565</v>
      </c>
      <c r="C5800" s="21" t="n">
        <f aca="false">IF(C5756&gt;0,Assumptions!$C$17,C5745)</f>
        <v>3</v>
      </c>
    </row>
    <row r="5801" customFormat="false" ht="15" hidden="false" customHeight="false" outlineLevel="0" collapsed="false">
      <c r="A5801" s="24" t="s">
        <v>572</v>
      </c>
      <c r="B5801" s="25"/>
      <c r="C5801" s="25"/>
      <c r="D5801" s="25"/>
      <c r="E5801" s="25"/>
      <c r="F5801" s="25"/>
      <c r="G5801" s="25"/>
      <c r="H5801" s="25"/>
      <c r="I5801" s="25"/>
      <c r="J5801" s="25"/>
      <c r="K5801" s="25"/>
    </row>
    <row r="5802" customFormat="false" ht="15" hidden="false" customHeight="false" outlineLevel="0" collapsed="false">
      <c r="A5802" s="3" t="s">
        <v>556</v>
      </c>
      <c r="C5802" s="16" t="n">
        <f aca="false">SUMPRODUCT(($C$5791:$C$5800&lt;C5791)*$C$5780:$C$5789)</f>
        <v>2066.965768833</v>
      </c>
    </row>
    <row r="5803" customFormat="false" ht="15" hidden="false" customHeight="false" outlineLevel="0" collapsed="false">
      <c r="A5803" s="3" t="s">
        <v>557</v>
      </c>
      <c r="C5803" s="16" t="n">
        <f aca="false">SUMPRODUCT(($C$5791:$C$5800&lt;C5792)*$C$5780:$C$5789)</f>
        <v>2066.965768833</v>
      </c>
    </row>
    <row r="5804" customFormat="false" ht="15" hidden="false" customHeight="false" outlineLevel="0" collapsed="false">
      <c r="A5804" s="3" t="s">
        <v>558</v>
      </c>
      <c r="C5804" s="16" t="n">
        <f aca="false">SUMPRODUCT(($C$5791:$C$5800&lt;C5793)*$C$5780:$C$5789)</f>
        <v>2066.965768833</v>
      </c>
    </row>
    <row r="5805" customFormat="false" ht="15" hidden="false" customHeight="false" outlineLevel="0" collapsed="false">
      <c r="A5805" s="3" t="s">
        <v>559</v>
      </c>
      <c r="C5805" s="16" t="n">
        <f aca="false">SUMPRODUCT(($C$5791:$C$5800&lt;C5794)*$C$5780:$C$5789)</f>
        <v>0</v>
      </c>
    </row>
    <row r="5806" customFormat="false" ht="15" hidden="false" customHeight="false" outlineLevel="0" collapsed="false">
      <c r="A5806" s="3" t="s">
        <v>560</v>
      </c>
      <c r="C5806" s="16" t="n">
        <f aca="false">SUMPRODUCT(($C$5791:$C$5800&lt;C5795)*$C$5780:$C$5789)</f>
        <v>0</v>
      </c>
    </row>
    <row r="5807" customFormat="false" ht="15" hidden="false" customHeight="false" outlineLevel="0" collapsed="false">
      <c r="A5807" s="3" t="s">
        <v>561</v>
      </c>
      <c r="C5807" s="16" t="n">
        <f aca="false">SUMPRODUCT(($C$5791:$C$5800&lt;C5796)*$C$5780:$C$5789)</f>
        <v>0</v>
      </c>
    </row>
    <row r="5808" customFormat="false" ht="15" hidden="false" customHeight="false" outlineLevel="0" collapsed="false">
      <c r="A5808" s="3" t="s">
        <v>562</v>
      </c>
      <c r="C5808" s="16" t="n">
        <f aca="false">SUMPRODUCT(($C$5791:$C$5800&lt;C5797)*$C$5780:$C$5789)</f>
        <v>0</v>
      </c>
    </row>
    <row r="5809" customFormat="false" ht="15" hidden="false" customHeight="false" outlineLevel="0" collapsed="false">
      <c r="A5809" s="3" t="s">
        <v>563</v>
      </c>
      <c r="C5809" s="16" t="n">
        <f aca="false">SUMPRODUCT(($C$5791:$C$5800&lt;C5798)*$C$5780:$C$5789)</f>
        <v>0</v>
      </c>
    </row>
    <row r="5810" customFormat="false" ht="15" hidden="false" customHeight="false" outlineLevel="0" collapsed="false">
      <c r="A5810" s="3" t="s">
        <v>564</v>
      </c>
      <c r="C5810" s="16" t="n">
        <f aca="false">SUMPRODUCT(($C$5791:$C$5800&lt;C5799)*$C$5780:$C$5789)</f>
        <v>0</v>
      </c>
    </row>
    <row r="5811" customFormat="false" ht="15" hidden="false" customHeight="false" outlineLevel="0" collapsed="false">
      <c r="A5811" s="3" t="s">
        <v>565</v>
      </c>
      <c r="C5811" s="16" t="n">
        <f aca="false">SUMPRODUCT(($C$5791:$C$5800&lt;C5800)*$C$5780:$C$5789)</f>
        <v>1988.355768833</v>
      </c>
    </row>
    <row r="5812" customFormat="false" ht="15" hidden="false" customHeight="false" outlineLevel="0" collapsed="false">
      <c r="A5812" s="24" t="s">
        <v>573</v>
      </c>
      <c r="B5812" s="25"/>
      <c r="C5812" s="25"/>
      <c r="D5812" s="25"/>
      <c r="E5812" s="25"/>
      <c r="F5812" s="25"/>
      <c r="G5812" s="25"/>
      <c r="H5812" s="25"/>
      <c r="I5812" s="25"/>
      <c r="J5812" s="25"/>
      <c r="K5812" s="25"/>
    </row>
    <row r="5813" customFormat="false" ht="15" hidden="false" customHeight="false" outlineLevel="0" collapsed="false">
      <c r="A5813" s="3" t="s">
        <v>556</v>
      </c>
      <c r="C5813" s="16" t="n">
        <f aca="false">SUMPRODUCT(($C$5791:$C$5800=C5791)*$C$5780:$C$5789)</f>
        <v>27.227849504646</v>
      </c>
    </row>
    <row r="5814" customFormat="false" ht="15" hidden="false" customHeight="false" outlineLevel="0" collapsed="false">
      <c r="A5814" s="3" t="s">
        <v>557</v>
      </c>
      <c r="C5814" s="16" t="n">
        <f aca="false">SUMPRODUCT(($C$5791:$C$5800=C5792)*$C$5780:$C$5789)</f>
        <v>27.227849504646</v>
      </c>
    </row>
    <row r="5815" customFormat="false" ht="15" hidden="false" customHeight="false" outlineLevel="0" collapsed="false">
      <c r="A5815" s="3" t="s">
        <v>558</v>
      </c>
      <c r="C5815" s="16" t="n">
        <f aca="false">SUMPRODUCT(($C$5791:$C$5800=C5793)*$C$5780:$C$5789)</f>
        <v>27.227849504646</v>
      </c>
    </row>
    <row r="5816" customFormat="false" ht="15" hidden="false" customHeight="false" outlineLevel="0" collapsed="false">
      <c r="A5816" s="3" t="s">
        <v>559</v>
      </c>
      <c r="C5816" s="16" t="n">
        <f aca="false">SUMPRODUCT(($C$5791:$C$5800=C5794)*$C$5780:$C$5789)</f>
        <v>1988.355768833</v>
      </c>
    </row>
    <row r="5817" customFormat="false" ht="15" hidden="false" customHeight="false" outlineLevel="0" collapsed="false">
      <c r="A5817" s="3" t="s">
        <v>560</v>
      </c>
      <c r="C5817" s="16" t="n">
        <f aca="false">SUMPRODUCT(($C$5791:$C$5800=C5795)*$C$5780:$C$5789)</f>
        <v>1988.355768833</v>
      </c>
    </row>
    <row r="5818" customFormat="false" ht="15" hidden="false" customHeight="false" outlineLevel="0" collapsed="false">
      <c r="A5818" s="3" t="s">
        <v>561</v>
      </c>
      <c r="C5818" s="16" t="n">
        <f aca="false">SUMPRODUCT(($C$5791:$C$5800=C5796)*$C$5780:$C$5789)</f>
        <v>1988.355768833</v>
      </c>
    </row>
    <row r="5819" customFormat="false" ht="15" hidden="false" customHeight="false" outlineLevel="0" collapsed="false">
      <c r="A5819" s="3" t="s">
        <v>562</v>
      </c>
      <c r="C5819" s="16" t="n">
        <f aca="false">SUMPRODUCT(($C$5791:$C$5800=C5797)*$C$5780:$C$5789)</f>
        <v>1988.355768833</v>
      </c>
    </row>
    <row r="5820" customFormat="false" ht="15" hidden="false" customHeight="false" outlineLevel="0" collapsed="false">
      <c r="A5820" s="3" t="s">
        <v>563</v>
      </c>
      <c r="C5820" s="16" t="n">
        <f aca="false">SUMPRODUCT(($C$5791:$C$5800=C5798)*$C$5780:$C$5789)</f>
        <v>1988.355768833</v>
      </c>
    </row>
    <row r="5821" customFormat="false" ht="15" hidden="false" customHeight="false" outlineLevel="0" collapsed="false">
      <c r="A5821" s="3" t="s">
        <v>564</v>
      </c>
      <c r="C5821" s="16" t="n">
        <f aca="false">SUMPRODUCT(($C$5791:$C$5800=C5799)*$C$5780:$C$5789)</f>
        <v>1988.355768833</v>
      </c>
    </row>
    <row r="5822" customFormat="false" ht="15" hidden="false" customHeight="false" outlineLevel="0" collapsed="false">
      <c r="A5822" s="3" t="s">
        <v>565</v>
      </c>
      <c r="C5822" s="16" t="n">
        <f aca="false">SUMPRODUCT(($C$5791:$C$5800=C5800)*$C$5780:$C$5789)</f>
        <v>78.61</v>
      </c>
    </row>
    <row r="5823" customFormat="false" ht="15" hidden="false" customHeight="false" outlineLevel="0" collapsed="false">
      <c r="A5823" s="24" t="s">
        <v>574</v>
      </c>
      <c r="B5823" s="25"/>
      <c r="C5823" s="25"/>
      <c r="D5823" s="25"/>
      <c r="E5823" s="25"/>
      <c r="F5823" s="25"/>
      <c r="G5823" s="25"/>
      <c r="H5823" s="25"/>
      <c r="I5823" s="25"/>
      <c r="J5823" s="25"/>
      <c r="K5823" s="25"/>
    </row>
    <row r="5824" customFormat="false" ht="15" hidden="false" customHeight="false" outlineLevel="0" collapsed="false">
      <c r="A5824" s="3" t="s">
        <v>556</v>
      </c>
      <c r="C5824" s="16" t="n">
        <f aca="false">IF(C5813=0,0,C5780/C5813*MAX(0,MIN(C5813,$C$5723-SUM($C$5758:$C$5767)-C5802)))</f>
        <v>0</v>
      </c>
    </row>
    <row r="5825" customFormat="false" ht="15" hidden="false" customHeight="false" outlineLevel="0" collapsed="false">
      <c r="A5825" s="3" t="s">
        <v>557</v>
      </c>
      <c r="C5825" s="16" t="n">
        <f aca="false">IF(C5814=0,0,C5781/C5814*MAX(0,MIN(C5814,$C$5723-SUM($C$5758:$C$5767)-C5803)))</f>
        <v>0</v>
      </c>
    </row>
    <row r="5826" customFormat="false" ht="15" hidden="false" customHeight="false" outlineLevel="0" collapsed="false">
      <c r="A5826" s="3" t="s">
        <v>558</v>
      </c>
      <c r="C5826" s="16" t="n">
        <f aca="false">IF(C5815=0,0,C5782/C5815*MAX(0,MIN(C5815,$C$5723-SUM($C$5758:$C$5767)-C5804)))</f>
        <v>0</v>
      </c>
    </row>
    <row r="5827" customFormat="false" ht="15" hidden="false" customHeight="false" outlineLevel="0" collapsed="false">
      <c r="A5827" s="3" t="s">
        <v>559</v>
      </c>
      <c r="C5827" s="16" t="n">
        <f aca="false">IF(C5816=0,0,C5783/C5816*MAX(0,MIN(C5816,$C$5723-SUM($C$5758:$C$5767)-C5805)))</f>
        <v>0</v>
      </c>
    </row>
    <row r="5828" customFormat="false" ht="15" hidden="false" customHeight="false" outlineLevel="0" collapsed="false">
      <c r="A5828" s="3" t="s">
        <v>560</v>
      </c>
      <c r="C5828" s="16" t="n">
        <f aca="false">IF(C5817=0,0,C5784/C5817*MAX(0,MIN(C5817,$C$5723-SUM($C$5758:$C$5767)-C5806)))</f>
        <v>378.291241768382</v>
      </c>
    </row>
    <row r="5829" customFormat="false" ht="15" hidden="false" customHeight="false" outlineLevel="0" collapsed="false">
      <c r="A5829" s="3" t="s">
        <v>561</v>
      </c>
      <c r="C5829" s="16" t="n">
        <f aca="false">IF(C5818=0,0,C5785/C5818*MAX(0,MIN(C5818,$C$5723-SUM($C$5758:$C$5767)-C5807)))</f>
        <v>302.042185897124</v>
      </c>
    </row>
    <row r="5830" customFormat="false" ht="15" hidden="false" customHeight="false" outlineLevel="0" collapsed="false">
      <c r="A5830" s="3" t="s">
        <v>562</v>
      </c>
      <c r="C5830" s="16" t="n">
        <f aca="false">IF(C5819=0,0,C5786/C5819*MAX(0,MIN(C5819,$C$5723-SUM($C$5758:$C$5767)-C5808)))</f>
        <v>474.637720695481</v>
      </c>
    </row>
    <row r="5831" customFormat="false" ht="15" hidden="false" customHeight="false" outlineLevel="0" collapsed="false">
      <c r="A5831" s="3" t="s">
        <v>563</v>
      </c>
      <c r="C5831" s="16" t="n">
        <f aca="false">IF(C5820=0,0,C5787/C5820*MAX(0,MIN(C5820,$C$5723-SUM($C$5758:$C$5767)-C5809)))</f>
        <v>302.042185897124</v>
      </c>
    </row>
    <row r="5832" customFormat="false" ht="15" hidden="false" customHeight="false" outlineLevel="0" collapsed="false">
      <c r="A5832" s="3" t="s">
        <v>564</v>
      </c>
      <c r="C5832" s="16" t="n">
        <f aca="false">IF(C5821=0,0,C5788/C5821*MAX(0,MIN(C5821,$C$5723-SUM($C$5758:$C$5767)-C5810)))</f>
        <v>258.893302197535</v>
      </c>
    </row>
    <row r="5833" customFormat="false" ht="15" hidden="false" customHeight="false" outlineLevel="0" collapsed="false">
      <c r="A5833" s="3" t="s">
        <v>565</v>
      </c>
      <c r="C5833" s="16" t="n">
        <f aca="false">IF(C5822=0,0,C5789/C5822*MAX(0,MIN(C5822,$C$5723-SUM($C$5758:$C$5767)-C5811)))</f>
        <v>0</v>
      </c>
    </row>
    <row r="5834" customFormat="false" ht="15" hidden="false" customHeight="false" outlineLevel="0" collapsed="false">
      <c r="A5834" s="24" t="s">
        <v>575</v>
      </c>
      <c r="B5834" s="25"/>
      <c r="C5834" s="25"/>
      <c r="D5834" s="25"/>
      <c r="E5834" s="25"/>
      <c r="F5834" s="25"/>
      <c r="G5834" s="25"/>
      <c r="H5834" s="25"/>
      <c r="I5834" s="25"/>
      <c r="J5834" s="25"/>
      <c r="K5834" s="25"/>
    </row>
    <row r="5835" customFormat="false" ht="15" hidden="false" customHeight="false" outlineLevel="0" collapsed="false">
      <c r="A5835" s="2" t="s">
        <v>556</v>
      </c>
      <c r="C5835" s="17" t="n">
        <f aca="false">C5758+C5824</f>
        <v>388</v>
      </c>
    </row>
    <row r="5836" customFormat="false" ht="15" hidden="false" customHeight="false" outlineLevel="0" collapsed="false">
      <c r="A5836" s="2" t="s">
        <v>557</v>
      </c>
      <c r="C5836" s="17" t="n">
        <f aca="false">C5759+C5825</f>
        <v>73.392091969383</v>
      </c>
    </row>
    <row r="5837" customFormat="false" ht="15" hidden="false" customHeight="false" outlineLevel="0" collapsed="false">
      <c r="A5837" s="2" t="s">
        <v>558</v>
      </c>
      <c r="C5837" s="17" t="n">
        <f aca="false">C5760+C5826</f>
        <v>46.704058525971</v>
      </c>
    </row>
    <row r="5838" customFormat="false" ht="15" hidden="false" customHeight="false" outlineLevel="0" collapsed="false">
      <c r="A5838" s="2" t="s">
        <v>559</v>
      </c>
      <c r="C5838" s="17" t="n">
        <f aca="false">C5761+C5827</f>
        <v>0</v>
      </c>
    </row>
    <row r="5839" customFormat="false" ht="15" hidden="false" customHeight="false" outlineLevel="0" collapsed="false">
      <c r="A5839" s="2" t="s">
        <v>560</v>
      </c>
      <c r="C5839" s="17" t="n">
        <f aca="false">C5762+C5828</f>
        <v>378.291241768382</v>
      </c>
    </row>
    <row r="5840" customFormat="false" ht="15" hidden="false" customHeight="false" outlineLevel="0" collapsed="false">
      <c r="A5840" s="2" t="s">
        <v>561</v>
      </c>
      <c r="C5840" s="17" t="n">
        <f aca="false">C5763+C5829</f>
        <v>302.042185897124</v>
      </c>
    </row>
    <row r="5841" customFormat="false" ht="15" hidden="false" customHeight="false" outlineLevel="0" collapsed="false">
      <c r="A5841" s="2" t="s">
        <v>562</v>
      </c>
      <c r="C5841" s="17" t="n">
        <f aca="false">C5764+C5830</f>
        <v>474.637720695481</v>
      </c>
    </row>
    <row r="5842" customFormat="false" ht="15" hidden="false" customHeight="false" outlineLevel="0" collapsed="false">
      <c r="A5842" s="2" t="s">
        <v>563</v>
      </c>
      <c r="C5842" s="17" t="n">
        <f aca="false">C5765+C5831</f>
        <v>302.042185897124</v>
      </c>
    </row>
    <row r="5843" customFormat="false" ht="15" hidden="false" customHeight="false" outlineLevel="0" collapsed="false">
      <c r="A5843" s="2" t="s">
        <v>564</v>
      </c>
      <c r="C5843" s="17" t="n">
        <f aca="false">C5766+C5832</f>
        <v>258.893302197535</v>
      </c>
    </row>
    <row r="5844" customFormat="false" ht="15" hidden="false" customHeight="false" outlineLevel="0" collapsed="false">
      <c r="A5844" s="2" t="s">
        <v>565</v>
      </c>
      <c r="C5844" s="17" t="n">
        <f aca="false">C5767+C5833</f>
        <v>0</v>
      </c>
    </row>
    <row r="5845" customFormat="false" ht="15" hidden="false" customHeight="false" outlineLevel="0" collapsed="false">
      <c r="A5845" s="24" t="s">
        <v>576</v>
      </c>
      <c r="B5845" s="25"/>
      <c r="C5845" s="25"/>
      <c r="D5845" s="25"/>
      <c r="E5845" s="25"/>
      <c r="F5845" s="25"/>
      <c r="G5845" s="25"/>
      <c r="H5845" s="25"/>
      <c r="I5845" s="25"/>
      <c r="J5845" s="25"/>
      <c r="K5845" s="25"/>
    </row>
    <row r="5846" customFormat="false" ht="15" hidden="false" customHeight="false" outlineLevel="0" collapsed="false">
      <c r="A5846" s="3" t="s">
        <v>556</v>
      </c>
      <c r="C5846" s="22" t="n">
        <f aca="false">IF(C5725=0,1,C5835/C5725)</f>
        <v>1</v>
      </c>
    </row>
    <row r="5847" customFormat="false" ht="15" hidden="false" customHeight="false" outlineLevel="0" collapsed="false">
      <c r="A5847" s="3" t="s">
        <v>557</v>
      </c>
      <c r="C5847" s="22" t="n">
        <f aca="false">IF(C5726=0,1,C5836/C5726)</f>
        <v>0.8154676885487</v>
      </c>
    </row>
    <row r="5848" customFormat="false" ht="15" hidden="false" customHeight="false" outlineLevel="0" collapsed="false">
      <c r="A5848" s="3" t="s">
        <v>558</v>
      </c>
      <c r="C5848" s="22" t="n">
        <f aca="false">IF(C5727=0,1,C5837/C5727)</f>
        <v>0.814738303781505</v>
      </c>
    </row>
    <row r="5849" customFormat="false" ht="15" hidden="false" customHeight="false" outlineLevel="0" collapsed="false">
      <c r="A5849" s="3" t="s">
        <v>559</v>
      </c>
      <c r="C5849" s="22" t="n">
        <f aca="false">IF(C5728=0,1,C5838/C5728)</f>
        <v>1</v>
      </c>
    </row>
    <row r="5850" customFormat="false" ht="15" hidden="false" customHeight="false" outlineLevel="0" collapsed="false">
      <c r="A5850" s="3" t="s">
        <v>560</v>
      </c>
      <c r="C5850" s="22" t="n">
        <f aca="false">IF(C5729=0,1,C5839/C5729)</f>
        <v>0.862977673991783</v>
      </c>
    </row>
    <row r="5851" customFormat="false" ht="15" hidden="false" customHeight="false" outlineLevel="0" collapsed="false">
      <c r="A5851" s="3" t="s">
        <v>561</v>
      </c>
      <c r="C5851" s="22" t="n">
        <f aca="false">IF(C5730=0,1,C5840/C5730)</f>
        <v>0.862977673991783</v>
      </c>
    </row>
    <row r="5852" customFormat="false" ht="15" hidden="false" customHeight="false" outlineLevel="0" collapsed="false">
      <c r="A5852" s="3" t="s">
        <v>562</v>
      </c>
      <c r="C5852" s="22" t="n">
        <f aca="false">IF(C5731=0,1,C5841/C5731)</f>
        <v>0.862977673991783</v>
      </c>
    </row>
    <row r="5853" customFormat="false" ht="15" hidden="false" customHeight="false" outlineLevel="0" collapsed="false">
      <c r="A5853" s="3" t="s">
        <v>563</v>
      </c>
      <c r="C5853" s="22" t="n">
        <f aca="false">IF(C5732=0,1,C5842/C5732)</f>
        <v>0.862977673991783</v>
      </c>
    </row>
    <row r="5854" customFormat="false" ht="15" hidden="false" customHeight="false" outlineLevel="0" collapsed="false">
      <c r="A5854" s="3" t="s">
        <v>564</v>
      </c>
      <c r="C5854" s="22" t="n">
        <f aca="false">IF(C5733=0,1,C5843/C5733)</f>
        <v>0.862977673991783</v>
      </c>
    </row>
    <row r="5855" customFormat="false" ht="15" hidden="false" customHeight="false" outlineLevel="0" collapsed="false">
      <c r="A5855" s="3" t="s">
        <v>565</v>
      </c>
      <c r="C5855" s="22" t="n">
        <f aca="false">IF(C5734=0,1,C5844/C5734)</f>
        <v>0</v>
      </c>
    </row>
    <row r="5856" customFormat="false" ht="15" hidden="false" customHeight="false" outlineLevel="0" collapsed="false">
      <c r="A5856" s="24" t="s">
        <v>577</v>
      </c>
      <c r="B5856" s="25"/>
      <c r="C5856" s="25"/>
      <c r="D5856" s="25"/>
      <c r="E5856" s="25"/>
      <c r="F5856" s="25"/>
      <c r="G5856" s="25"/>
      <c r="H5856" s="25"/>
      <c r="I5856" s="25"/>
      <c r="J5856" s="25"/>
      <c r="K5856" s="25"/>
    </row>
    <row r="5857" customFormat="false" ht="15" hidden="false" customHeight="false" outlineLevel="0" collapsed="false">
      <c r="A5857" s="3" t="s">
        <v>556</v>
      </c>
      <c r="C5857" s="16" t="n">
        <f aca="false">C5725-C5835</f>
        <v>0</v>
      </c>
    </row>
    <row r="5858" customFormat="false" ht="15" hidden="false" customHeight="false" outlineLevel="0" collapsed="false">
      <c r="A5858" s="3" t="s">
        <v>557</v>
      </c>
      <c r="C5858" s="16" t="n">
        <f aca="false">C5726-C5836</f>
        <v>16.607908030617</v>
      </c>
    </row>
    <row r="5859" customFormat="false" ht="15" hidden="false" customHeight="false" outlineLevel="0" collapsed="false">
      <c r="A5859" s="3" t="s">
        <v>558</v>
      </c>
      <c r="C5859" s="16" t="n">
        <f aca="false">C5727-C5837</f>
        <v>10.619941474029</v>
      </c>
    </row>
    <row r="5860" customFormat="false" ht="15" hidden="false" customHeight="false" outlineLevel="0" collapsed="false">
      <c r="A5860" s="3" t="s">
        <v>559</v>
      </c>
      <c r="C5860" s="16" t="n">
        <f aca="false">C5728-C5838</f>
        <v>0</v>
      </c>
    </row>
    <row r="5861" customFormat="false" ht="15" hidden="false" customHeight="false" outlineLevel="0" collapsed="false">
      <c r="A5861" s="3" t="s">
        <v>560</v>
      </c>
      <c r="C5861" s="16" t="n">
        <f aca="false">C5729-C5839</f>
        <v>60.0645270646178</v>
      </c>
    </row>
    <row r="5862" customFormat="false" ht="15" hidden="false" customHeight="false" outlineLevel="0" collapsed="false">
      <c r="A5862" s="3" t="s">
        <v>561</v>
      </c>
      <c r="C5862" s="16" t="n">
        <f aca="false">C5730-C5840</f>
        <v>47.9578141028758</v>
      </c>
    </row>
    <row r="5863" customFormat="false" ht="15" hidden="false" customHeight="false" outlineLevel="0" collapsed="false">
      <c r="A5863" s="3" t="s">
        <v>562</v>
      </c>
      <c r="C5863" s="16" t="n">
        <f aca="false">C5731-C5841</f>
        <v>75.3622793045192</v>
      </c>
    </row>
    <row r="5864" customFormat="false" ht="15" hidden="false" customHeight="false" outlineLevel="0" collapsed="false">
      <c r="A5864" s="3" t="s">
        <v>563</v>
      </c>
      <c r="C5864" s="16" t="n">
        <f aca="false">C5732-C5842</f>
        <v>47.9578141028758</v>
      </c>
    </row>
    <row r="5865" customFormat="false" ht="15" hidden="false" customHeight="false" outlineLevel="0" collapsed="false">
      <c r="A5865" s="3" t="s">
        <v>564</v>
      </c>
      <c r="C5865" s="16" t="n">
        <f aca="false">C5733-C5843</f>
        <v>41.106697802465</v>
      </c>
    </row>
    <row r="5866" customFormat="false" ht="15" hidden="false" customHeight="false" outlineLevel="0" collapsed="false">
      <c r="A5866" s="3" t="s">
        <v>565</v>
      </c>
      <c r="C5866" s="16" t="n">
        <f aca="false">C5734-C5844</f>
        <v>78.61</v>
      </c>
    </row>
    <row r="5867" customFormat="false" ht="15" hidden="false" customHeight="false" outlineLevel="0" collapsed="false">
      <c r="A5867" s="24" t="s">
        <v>578</v>
      </c>
      <c r="B5867" s="25"/>
      <c r="C5867" s="25"/>
      <c r="D5867" s="25"/>
      <c r="E5867" s="25"/>
      <c r="F5867" s="25"/>
      <c r="G5867" s="25"/>
      <c r="H5867" s="25"/>
      <c r="I5867" s="25"/>
      <c r="J5867" s="25"/>
      <c r="K5867" s="25"/>
    </row>
    <row r="5868" customFormat="false" ht="15" hidden="false" customHeight="false" outlineLevel="0" collapsed="false">
      <c r="A5868" s="3" t="s">
        <v>556</v>
      </c>
      <c r="C5868" s="22" t="n">
        <f aca="false">IF(C5725=0,0,C5857/C5725)</f>
        <v>0</v>
      </c>
    </row>
    <row r="5869" customFormat="false" ht="15" hidden="false" customHeight="false" outlineLevel="0" collapsed="false">
      <c r="A5869" s="3" t="s">
        <v>557</v>
      </c>
      <c r="C5869" s="22" t="n">
        <f aca="false">IF(C5726=0,0,C5858/C5726)</f>
        <v>0.1845323114513</v>
      </c>
    </row>
    <row r="5870" customFormat="false" ht="15" hidden="false" customHeight="false" outlineLevel="0" collapsed="false">
      <c r="A5870" s="3" t="s">
        <v>558</v>
      </c>
      <c r="C5870" s="22" t="n">
        <f aca="false">IF(C5727=0,0,C5859/C5727)</f>
        <v>0.185261696218495</v>
      </c>
    </row>
    <row r="5871" customFormat="false" ht="15" hidden="false" customHeight="false" outlineLevel="0" collapsed="false">
      <c r="A5871" s="3" t="s">
        <v>559</v>
      </c>
      <c r="C5871" s="22" t="n">
        <f aca="false">IF(C5728=0,0,C5860/C5728)</f>
        <v>0</v>
      </c>
    </row>
    <row r="5872" customFormat="false" ht="15" hidden="false" customHeight="false" outlineLevel="0" collapsed="false">
      <c r="A5872" s="3" t="s">
        <v>560</v>
      </c>
      <c r="C5872" s="22" t="n">
        <f aca="false">IF(C5729=0,0,C5861/C5729)</f>
        <v>0.137022326008217</v>
      </c>
    </row>
    <row r="5873" customFormat="false" ht="15" hidden="false" customHeight="false" outlineLevel="0" collapsed="false">
      <c r="A5873" s="3" t="s">
        <v>561</v>
      </c>
      <c r="C5873" s="22" t="n">
        <f aca="false">IF(C5730=0,0,C5862/C5730)</f>
        <v>0.137022326008217</v>
      </c>
    </row>
    <row r="5874" customFormat="false" ht="15" hidden="false" customHeight="false" outlineLevel="0" collapsed="false">
      <c r="A5874" s="3" t="s">
        <v>562</v>
      </c>
      <c r="C5874" s="22" t="n">
        <f aca="false">IF(C5731=0,0,C5863/C5731)</f>
        <v>0.137022326008217</v>
      </c>
    </row>
    <row r="5875" customFormat="false" ht="15" hidden="false" customHeight="false" outlineLevel="0" collapsed="false">
      <c r="A5875" s="3" t="s">
        <v>563</v>
      </c>
      <c r="C5875" s="22" t="n">
        <f aca="false">IF(C5732=0,0,C5864/C5732)</f>
        <v>0.137022326008217</v>
      </c>
    </row>
    <row r="5876" customFormat="false" ht="15" hidden="false" customHeight="false" outlineLevel="0" collapsed="false">
      <c r="A5876" s="3" t="s">
        <v>564</v>
      </c>
      <c r="C5876" s="22" t="n">
        <f aca="false">IF(C5733=0,0,C5865/C5733)</f>
        <v>0.137022326008217</v>
      </c>
    </row>
    <row r="5877" customFormat="false" ht="15" hidden="false" customHeight="false" outlineLevel="0" collapsed="false">
      <c r="A5877" s="3" t="s">
        <v>565</v>
      </c>
      <c r="C5877" s="22" t="n">
        <f aca="false">IF(C5734=0,0,C5866/C5734)</f>
        <v>1</v>
      </c>
    </row>
    <row r="5878" customFormat="false" ht="15" hidden="false" customHeight="false" outlineLevel="0" collapsed="false">
      <c r="A5878" s="2" t="s">
        <v>579</v>
      </c>
      <c r="C5878" s="17" t="n">
        <f aca="false">MAX(0,$C$5723-SUM($C$5758:$C$5767)-SUM($C$5780:$C$5789))</f>
        <v>0</v>
      </c>
    </row>
    <row r="5879" customFormat="false" ht="15" hidden="false" customHeight="false" outlineLevel="0" collapsed="false">
      <c r="A5879" s="3" t="s">
        <v>597</v>
      </c>
      <c r="C5879" s="35" t="n">
        <f aca="false">MIN(C5722,100*CHOOSE(C5712,C5846,C5847,C5848,C5849,C5850,C5851,C5852,C5853,C5854,C5855))</f>
        <v>95</v>
      </c>
    </row>
    <row r="5880" customFormat="false" ht="15" hidden="false" customHeight="false" outlineLevel="0" collapsed="false">
      <c r="A5880" s="3" t="s">
        <v>598</v>
      </c>
      <c r="C5880" s="21" t="n">
        <f aca="false">IF(C5544=1,C5717+Assumptions!$C$40,C5716)</f>
        <v>3</v>
      </c>
    </row>
    <row r="5881" customFormat="false" ht="15" hidden="false" customHeight="false" outlineLevel="0" collapsed="false">
      <c r="A5881" s="24" t="s">
        <v>599</v>
      </c>
      <c r="B5881" s="25"/>
      <c r="C5881" s="25"/>
      <c r="D5881" s="25"/>
      <c r="E5881" s="25"/>
      <c r="F5881" s="25"/>
      <c r="G5881" s="25"/>
      <c r="H5881" s="25"/>
      <c r="I5881" s="25"/>
      <c r="J5881" s="25"/>
      <c r="K5881" s="25"/>
    </row>
    <row r="5882" customFormat="false" ht="15" hidden="false" customHeight="false" outlineLevel="0" collapsed="false">
      <c r="A5882" s="3" t="s">
        <v>600</v>
      </c>
      <c r="C5882" s="21" t="n">
        <f aca="false">COLUMN()-COLUMN($C$1)</f>
        <v>0</v>
      </c>
      <c r="D5882" s="21" t="n">
        <f aca="false">COLUMN()-COLUMN($C$1)</f>
        <v>1</v>
      </c>
      <c r="E5882" s="21" t="n">
        <f aca="false">COLUMN()-COLUMN($C$1)</f>
        <v>2</v>
      </c>
      <c r="F5882" s="21" t="n">
        <f aca="false">COLUMN()-COLUMN($C$1)</f>
        <v>3</v>
      </c>
      <c r="G5882" s="21" t="n">
        <f aca="false">COLUMN()-COLUMN($C$1)</f>
        <v>4</v>
      </c>
      <c r="H5882" s="21" t="n">
        <f aca="false">COLUMN()-COLUMN($C$1)</f>
        <v>5</v>
      </c>
      <c r="I5882" s="21" t="n">
        <f aca="false">COLUMN()-COLUMN($C$1)</f>
        <v>6</v>
      </c>
    </row>
    <row r="5883" customFormat="false" ht="15" hidden="false" customHeight="false" outlineLevel="0" collapsed="false">
      <c r="A5883" s="3" t="s">
        <v>601</v>
      </c>
      <c r="D5883" s="31" t="n">
        <f aca="false">CHOOSE($C$5712,G5292,G5305,G5318,G5331,G5344,G5357,G5370,G5383,G5396,G5409)</f>
        <v>0.1065</v>
      </c>
      <c r="E5883" s="31" t="n">
        <f aca="false">CHOOSE($C$5712,H5292,H5305,H5318,H5331,H5344,H5357,H5370,H5383,H5396,H5409)</f>
        <v>0.105</v>
      </c>
      <c r="F5883" s="31" t="n">
        <f aca="false">CHOOSE($C$5712,I5292,I5305,I5318,I5331,I5344,I5357,I5370,I5383,I5396,I5409)</f>
        <v>0.1025</v>
      </c>
      <c r="G5883" s="31" t="n">
        <f aca="false">CHOOSE($C$5712,J5292,J5305,J5318,J5331,J5344,J5357,J5370,J5383,J5396,J5409)</f>
        <v>0.1025</v>
      </c>
      <c r="H5883" s="31" t="n">
        <f aca="false">CHOOSE($C$5712,K5292,K5305,K5318,K5331,K5344,K5357,K5370,K5383,K5396,K5409)</f>
        <v>0.1025</v>
      </c>
    </row>
    <row r="5884" customFormat="false" ht="15" hidden="false" customHeight="false" outlineLevel="0" collapsed="false">
      <c r="A5884" s="3" t="s">
        <v>602</v>
      </c>
      <c r="D5884" s="16" t="n">
        <f aca="false">IF(D5882&lt;=$C$5721,$C$5713*D5883,0)</f>
        <v>10.65</v>
      </c>
      <c r="E5884" s="16" t="n">
        <f aca="false">IF(E5882&lt;=$C$5721,$C$5713*E5883,0)</f>
        <v>10.5</v>
      </c>
      <c r="F5884" s="16" t="n">
        <f aca="false">IF(F5882&lt;=$C$5721,$C$5713*F5883,0)</f>
        <v>0</v>
      </c>
      <c r="G5884" s="16" t="n">
        <f aca="false">IF(G5882&lt;=$C$5721,$C$5713*G5883,0)</f>
        <v>0</v>
      </c>
      <c r="H5884" s="16" t="n">
        <f aca="false">IF(H5882&lt;=$C$5721,$C$5713*H5883,0)</f>
        <v>0</v>
      </c>
    </row>
    <row r="5885" customFormat="false" ht="15" hidden="false" customHeight="false" outlineLevel="0" collapsed="false">
      <c r="A5885" s="3" t="s">
        <v>603</v>
      </c>
      <c r="D5885" s="16" t="n">
        <f aca="false">IF(AND($C$5544=0,D5882=$C$5716),$C$5713*$C$5879/100,0)+IF(AND($C$5544=1,D5882=$C$5880),$C$5719,0)</f>
        <v>0</v>
      </c>
      <c r="E5885" s="16" t="n">
        <f aca="false">IF(AND($C$5544=0,E5882=$C$5716),$C$5713*$C$5879/100,0)+IF(AND($C$5544=1,E5882=$C$5880),$C$5719,0)</f>
        <v>0</v>
      </c>
      <c r="F5885" s="16" t="n">
        <f aca="false">IF(AND($C$5544=0,F5882=$C$5716),$C$5713*$C$5879/100,0)+IF(AND($C$5544=1,F5882=$C$5880),$C$5719,0)</f>
        <v>102.625</v>
      </c>
      <c r="G5885" s="16" t="n">
        <f aca="false">IF(AND($C$5544=0,G5882=$C$5716),$C$5713*$C$5879/100,0)+IF(AND($C$5544=1,G5882=$C$5880),$C$5719,0)</f>
        <v>0</v>
      </c>
      <c r="H5885" s="16" t="n">
        <f aca="false">IF(AND($C$5544=0,H5882=$C$5716),$C$5713*$C$5879/100,0)+IF(AND($C$5544=1,H5882=$C$5880),$C$5719,0)</f>
        <v>0</v>
      </c>
      <c r="I5885" s="16" t="n">
        <f aca="false">IF(AND($C$5544=0,I5882=$C$5716),$C$5713*$C$5879/100,0)+IF(AND($C$5544=1,I5882=$C$5880),$C$5719,0)</f>
        <v>0</v>
      </c>
    </row>
    <row r="5886" customFormat="false" ht="15" hidden="false" customHeight="false" outlineLevel="0" collapsed="false">
      <c r="A5886" s="2" t="s">
        <v>604</v>
      </c>
      <c r="C5886" s="17" t="n">
        <f aca="false">-$C$5715</f>
        <v>-98.49</v>
      </c>
      <c r="D5886" s="17" t="n">
        <f aca="false">D5884+D5885</f>
        <v>10.65</v>
      </c>
      <c r="E5886" s="17" t="n">
        <f aca="false">E5884+E5885</f>
        <v>10.5</v>
      </c>
      <c r="F5886" s="17" t="n">
        <f aca="false">F5884+F5885</f>
        <v>102.625</v>
      </c>
      <c r="G5886" s="17" t="n">
        <f aca="false">G5884+G5885</f>
        <v>0</v>
      </c>
      <c r="H5886" s="17" t="n">
        <f aca="false">H5884+H5885</f>
        <v>0</v>
      </c>
      <c r="I5886" s="17" t="n">
        <f aca="false">I5884+I5885</f>
        <v>0</v>
      </c>
    </row>
    <row r="5887" customFormat="false" ht="15" hidden="false" customHeight="false" outlineLevel="0" collapsed="false">
      <c r="A5887" s="3" t="s">
        <v>605</v>
      </c>
      <c r="C5887" s="16" t="n">
        <f aca="false">SUM($C$5884:$I$5884)</f>
        <v>21.15</v>
      </c>
    </row>
    <row r="5888" customFormat="false" ht="15" hidden="false" customHeight="false" outlineLevel="0" collapsed="false">
      <c r="A5888" s="3" t="s">
        <v>606</v>
      </c>
      <c r="C5888" s="16" t="n">
        <f aca="false">SUM($C$5885:$I$5885)</f>
        <v>102.625</v>
      </c>
    </row>
    <row r="5889" customFormat="false" ht="15" hidden="false" customHeight="false" outlineLevel="0" collapsed="false">
      <c r="A5889" s="3" t="s">
        <v>607</v>
      </c>
      <c r="C5889" s="16" t="n">
        <f aca="false">C5887+C5888</f>
        <v>123.775</v>
      </c>
    </row>
    <row r="5890" customFormat="false" ht="15" hidden="false" customHeight="false" outlineLevel="0" collapsed="false">
      <c r="A5890" s="3" t="s">
        <v>608</v>
      </c>
      <c r="C5890" s="16" t="n">
        <f aca="false">C5888-C5713*C5714/100</f>
        <v>4.62500000000001</v>
      </c>
    </row>
    <row r="5891" customFormat="false" ht="15" hidden="false" customHeight="false" outlineLevel="0" collapsed="false">
      <c r="A5891" s="3" t="s">
        <v>609</v>
      </c>
      <c r="C5891" s="16" t="n">
        <f aca="false">C5889-C5715</f>
        <v>25.285</v>
      </c>
    </row>
    <row r="5892" customFormat="false" ht="15" hidden="false" customHeight="false" outlineLevel="0" collapsed="false">
      <c r="A5892" s="2" t="s">
        <v>484</v>
      </c>
      <c r="C5892" s="44" t="n">
        <f aca="false">C5889/C5715</f>
        <v>1.25672657122551</v>
      </c>
    </row>
    <row r="5893" customFormat="false" ht="15" hidden="false" customHeight="false" outlineLevel="0" collapsed="false">
      <c r="A5893" s="2" t="s">
        <v>483</v>
      </c>
      <c r="C5893" s="42" t="n">
        <f aca="false">IF(C5889&lt;=0,-1,IFERROR(IRR($C$5886:$I$5886,MAX(-0.9,C5892^(1/C5880)-1)),IRR($C$5886:$I$5886,0.1)))</f>
        <v>0.0873962489027792</v>
      </c>
    </row>
    <row r="5894" customFormat="false" ht="15" hidden="false" customHeight="false" outlineLevel="0" collapsed="false">
      <c r="A5894" s="3" t="s">
        <v>610</v>
      </c>
      <c r="C5894" s="32" t="n">
        <f aca="false">MAX($G$5488:$K$5488)</f>
        <v>13.5371498995505</v>
      </c>
    </row>
    <row r="5895" customFormat="false" ht="15" hidden="false" customHeight="false" outlineLevel="0" collapsed="false">
      <c r="A5895" s="3" t="s">
        <v>611</v>
      </c>
      <c r="C5895" s="32" t="n">
        <f aca="false">MIN($G$5489:$K$5489)</f>
        <v>1.0855359592682</v>
      </c>
    </row>
    <row r="5896" customFormat="false" ht="15" hidden="false" customHeight="false" outlineLevel="0" collapsed="false">
      <c r="A5896" s="3" t="s">
        <v>612</v>
      </c>
      <c r="C5896" s="16" t="n">
        <f aca="false">SUM($G$5276:$K$5276)</f>
        <v>-416.65925702624</v>
      </c>
    </row>
    <row r="5900" customFormat="false" ht="15" hidden="false" customHeight="false" outlineLevel="0" collapsed="false">
      <c r="A5900" s="9" t="s">
        <v>1139</v>
      </c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</row>
    <row r="5901" customFormat="false" ht="15" hidden="false" customHeight="false" outlineLevel="0" collapsed="false">
      <c r="A5901" s="3" t="s">
        <v>1126</v>
      </c>
      <c r="C5901" s="11" t="n">
        <v>2</v>
      </c>
    </row>
    <row r="5902" customFormat="false" ht="15" hidden="false" customHeight="false" outlineLevel="0" collapsed="false">
      <c r="A5902" s="3" t="s">
        <v>1127</v>
      </c>
      <c r="C5902" s="19" t="n">
        <v>0</v>
      </c>
    </row>
    <row r="5903" customFormat="false" ht="15" hidden="false" customHeight="false" outlineLevel="0" collapsed="false">
      <c r="A5903" s="3" t="s">
        <v>1128</v>
      </c>
      <c r="C5903" s="30" t="n">
        <f aca="false">Sensitivities!$A$31</f>
        <v>-0.02</v>
      </c>
    </row>
    <row r="5904" customFormat="false" ht="15" hidden="false" customHeight="false" outlineLevel="0" collapsed="false">
      <c r="A5904" s="3" t="s">
        <v>1129</v>
      </c>
      <c r="C5904" s="19" t="n">
        <v>0</v>
      </c>
    </row>
    <row r="5905" customFormat="false" ht="15" hidden="false" customHeight="false" outlineLevel="0" collapsed="false">
      <c r="A5905" s="3" t="s">
        <v>1130</v>
      </c>
      <c r="C5905" s="15" t="n">
        <v>0</v>
      </c>
    </row>
    <row r="5907" customFormat="false" ht="15" hidden="false" customHeight="false" outlineLevel="0" collapsed="false">
      <c r="A5907" s="24" t="s">
        <v>301</v>
      </c>
      <c r="B5907" s="25"/>
      <c r="C5907" s="25"/>
      <c r="D5907" s="25"/>
      <c r="E5907" s="25"/>
      <c r="F5907" s="25"/>
      <c r="G5907" s="25"/>
      <c r="H5907" s="25"/>
      <c r="I5907" s="25"/>
      <c r="J5907" s="25"/>
      <c r="K5907" s="25"/>
    </row>
    <row r="5908" customFormat="false" ht="15" hidden="false" customHeight="false" outlineLevel="0" collapsed="false">
      <c r="A5908" s="3" t="s">
        <v>302</v>
      </c>
      <c r="F5908" s="27" t="n">
        <f aca="false">Assumptions!$C$6</f>
        <v>2026</v>
      </c>
      <c r="G5908" s="21" t="n">
        <f aca="false">F5908+1</f>
        <v>2027</v>
      </c>
      <c r="H5908" s="21" t="n">
        <f aca="false">G5908+1</f>
        <v>2028</v>
      </c>
      <c r="I5908" s="21" t="n">
        <f aca="false">H5908+1</f>
        <v>2029</v>
      </c>
      <c r="J5908" s="21" t="n">
        <f aca="false">I5908+1</f>
        <v>2030</v>
      </c>
      <c r="K5908" s="21" t="n">
        <f aca="false">J5908+1</f>
        <v>2031</v>
      </c>
    </row>
    <row r="5909" customFormat="false" ht="15" hidden="false" customHeight="false" outlineLevel="0" collapsed="false">
      <c r="A5909" s="3" t="s">
        <v>303</v>
      </c>
      <c r="G5909" s="21" t="n">
        <f aca="false">G5908-Assumptions!$C$6</f>
        <v>1</v>
      </c>
      <c r="H5909" s="21" t="n">
        <f aca="false">H5908-Assumptions!$C$6</f>
        <v>2</v>
      </c>
      <c r="I5909" s="21" t="n">
        <f aca="false">I5908-Assumptions!$C$6</f>
        <v>3</v>
      </c>
      <c r="J5909" s="21" t="n">
        <f aca="false">J5908-Assumptions!$C$6</f>
        <v>4</v>
      </c>
      <c r="K5909" s="21" t="n">
        <f aca="false">K5908-Assumptions!$C$6</f>
        <v>5</v>
      </c>
    </row>
    <row r="5910" customFormat="false" ht="15" hidden="false" customHeight="false" outlineLevel="0" collapsed="false">
      <c r="A5910" s="3" t="s">
        <v>180</v>
      </c>
      <c r="G5910" s="22" t="n">
        <f aca="false">CHOOSE($C$5901,Assumptions!$G$79,Assumptions!$G$98,Assumptions!$G$117)+$C$5902</f>
        <v>-0.06</v>
      </c>
      <c r="H5910" s="22" t="n">
        <f aca="false">CHOOSE($C$5901,Assumptions!$H$79,Assumptions!$H$98,Assumptions!$H$117)+$C$5902</f>
        <v>-0.03</v>
      </c>
      <c r="I5910" s="22" t="n">
        <f aca="false">CHOOSE($C$5901,Assumptions!$I$79,Assumptions!$I$98,Assumptions!$I$117)+$C$5902</f>
        <v>0</v>
      </c>
      <c r="J5910" s="22" t="n">
        <f aca="false">CHOOSE($C$5901,Assumptions!$J$79,Assumptions!$J$98,Assumptions!$J$117)+$C$5902</f>
        <v>0.01</v>
      </c>
      <c r="K5910" s="22" t="n">
        <f aca="false">CHOOSE($C$5901,Assumptions!$K$79,Assumptions!$K$98,Assumptions!$K$117)+$C$5902</f>
        <v>0.01</v>
      </c>
    </row>
    <row r="5911" customFormat="false" ht="15" hidden="false" customHeight="false" outlineLevel="0" collapsed="false">
      <c r="A5911" s="3" t="s">
        <v>181</v>
      </c>
      <c r="G5911" s="22" t="n">
        <f aca="false">CHOOSE($C$5901,Assumptions!$G$80,Assumptions!$G$99,Assumptions!$G$118)</f>
        <v>0.573920660818678</v>
      </c>
      <c r="H5911" s="22" t="n">
        <f aca="false">CHOOSE($C$5901,Assumptions!$H$80,Assumptions!$H$99,Assumptions!$H$118)</f>
        <v>0.558920660818678</v>
      </c>
      <c r="I5911" s="22" t="n">
        <f aca="false">CHOOSE($C$5901,Assumptions!$I$80,Assumptions!$I$99,Assumptions!$I$118)</f>
        <v>0.558920660818678</v>
      </c>
      <c r="J5911" s="22" t="n">
        <f aca="false">CHOOSE($C$5901,Assumptions!$J$80,Assumptions!$J$99,Assumptions!$J$118)</f>
        <v>0.563920660818678</v>
      </c>
      <c r="K5911" s="22" t="n">
        <f aca="false">CHOOSE($C$5901,Assumptions!$K$80,Assumptions!$K$99,Assumptions!$K$118)</f>
        <v>0.568920660818678</v>
      </c>
    </row>
    <row r="5912" customFormat="false" ht="15" hidden="false" customHeight="false" outlineLevel="0" collapsed="false">
      <c r="A5912" s="3" t="s">
        <v>182</v>
      </c>
      <c r="G5912" s="22" t="n">
        <f aca="false">CHOOSE($C$5901,Assumptions!$G$81,Assumptions!$G$100,Assumptions!$G$119)+$C$5903</f>
        <v>0.48</v>
      </c>
      <c r="H5912" s="22" t="n">
        <f aca="false">CHOOSE($C$5901,Assumptions!$H$81,Assumptions!$H$100,Assumptions!$H$119)+$C$5903</f>
        <v>0.465</v>
      </c>
      <c r="I5912" s="22" t="n">
        <f aca="false">CHOOSE($C$5901,Assumptions!$I$81,Assumptions!$I$100,Assumptions!$I$119)+$C$5903</f>
        <v>0.465</v>
      </c>
      <c r="J5912" s="22" t="n">
        <f aca="false">CHOOSE($C$5901,Assumptions!$J$81,Assumptions!$J$100,Assumptions!$J$119)+$C$5903</f>
        <v>0.47</v>
      </c>
      <c r="K5912" s="22" t="n">
        <f aca="false">CHOOSE($C$5901,Assumptions!$K$81,Assumptions!$K$100,Assumptions!$K$119)+$C$5903</f>
        <v>0.475</v>
      </c>
    </row>
    <row r="5913" customFormat="false" ht="15" hidden="false" customHeight="false" outlineLevel="0" collapsed="false">
      <c r="A5913" s="24" t="s">
        <v>304</v>
      </c>
      <c r="B5913" s="25"/>
      <c r="C5913" s="25"/>
      <c r="D5913" s="25"/>
      <c r="E5913" s="25"/>
      <c r="F5913" s="25"/>
      <c r="G5913" s="25"/>
      <c r="H5913" s="25"/>
      <c r="I5913" s="25"/>
      <c r="J5913" s="25"/>
      <c r="K5913" s="25"/>
    </row>
    <row r="5914" customFormat="false" ht="15" hidden="false" customHeight="false" outlineLevel="0" collapsed="false">
      <c r="A5914" s="2" t="s">
        <v>275</v>
      </c>
      <c r="F5914" s="28" t="n">
        <f aca="false">'Historical Financials'!G25</f>
        <v>498.291</v>
      </c>
      <c r="G5914" s="17" t="n">
        <f aca="false">F5914*(1+G5910)</f>
        <v>468.39354</v>
      </c>
      <c r="H5914" s="17" t="n">
        <f aca="false">G5914*(1+H5910)</f>
        <v>454.3417338</v>
      </c>
      <c r="I5914" s="17" t="n">
        <f aca="false">H5914*(1+I5910)</f>
        <v>454.3417338</v>
      </c>
      <c r="J5914" s="17" t="n">
        <f aca="false">I5914*(1+J5910)</f>
        <v>458.885151138</v>
      </c>
      <c r="K5914" s="17" t="n">
        <f aca="false">J5914*(1+K5910)</f>
        <v>463.47400264938</v>
      </c>
    </row>
    <row r="5915" customFormat="false" ht="15" hidden="false" customHeight="false" outlineLevel="0" collapsed="false">
      <c r="A5915" s="3" t="s">
        <v>276</v>
      </c>
      <c r="G5915" s="16" t="n">
        <f aca="false">G5914*(1-G5911)</f>
        <v>199.57281</v>
      </c>
      <c r="H5915" s="16" t="n">
        <f aca="false">H5914*(1-H5911)</f>
        <v>200.400751707</v>
      </c>
      <c r="I5915" s="16" t="n">
        <f aca="false">I5914*(1-I5911)</f>
        <v>200.400751707</v>
      </c>
      <c r="J5915" s="16" t="n">
        <f aca="false">J5914*(1-J5911)</f>
        <v>200.11033346838</v>
      </c>
      <c r="K5915" s="16" t="n">
        <f aca="false">K5914*(1-K5911)</f>
        <v>199.794066789817</v>
      </c>
    </row>
    <row r="5916" customFormat="false" ht="15" hidden="false" customHeight="false" outlineLevel="0" collapsed="false">
      <c r="A5916" s="2" t="s">
        <v>277</v>
      </c>
      <c r="G5916" s="17" t="n">
        <f aca="false">G5914-G5915</f>
        <v>268.82073</v>
      </c>
      <c r="H5916" s="17" t="n">
        <f aca="false">H5914-H5915</f>
        <v>253.940982093</v>
      </c>
      <c r="I5916" s="17" t="n">
        <f aca="false">I5914-I5915</f>
        <v>253.940982093</v>
      </c>
      <c r="J5916" s="17" t="n">
        <f aca="false">J5914-J5915</f>
        <v>258.77481766962</v>
      </c>
      <c r="K5916" s="17" t="n">
        <f aca="false">K5914-K5915</f>
        <v>263.679935859563</v>
      </c>
    </row>
    <row r="5917" customFormat="false" ht="15" hidden="false" customHeight="false" outlineLevel="0" collapsed="false">
      <c r="A5917" s="3" t="s">
        <v>305</v>
      </c>
      <c r="G5917" s="16" t="n">
        <f aca="false">G5916-G5918</f>
        <v>43.9918308</v>
      </c>
      <c r="H5917" s="16" t="n">
        <f aca="false">H5916-H5918</f>
        <v>42.672075876</v>
      </c>
      <c r="I5917" s="16" t="n">
        <f aca="false">I5916-I5918</f>
        <v>42.672075876</v>
      </c>
      <c r="J5917" s="16" t="n">
        <f aca="false">J5916-J5918</f>
        <v>43.09879663476</v>
      </c>
      <c r="K5917" s="16" t="n">
        <f aca="false">K5916-K5918</f>
        <v>43.5297846011076</v>
      </c>
    </row>
    <row r="5918" customFormat="false" ht="15" hidden="false" customHeight="false" outlineLevel="0" collapsed="false">
      <c r="A5918" s="2" t="s">
        <v>306</v>
      </c>
      <c r="G5918" s="17" t="n">
        <f aca="false">G5914*G5912</f>
        <v>224.8288992</v>
      </c>
      <c r="H5918" s="17" t="n">
        <f aca="false">H5914*H5912</f>
        <v>211.268906217</v>
      </c>
      <c r="I5918" s="17" t="n">
        <f aca="false">I5914*I5912</f>
        <v>211.268906217</v>
      </c>
      <c r="J5918" s="17" t="n">
        <f aca="false">J5914*J5912</f>
        <v>215.67602103486</v>
      </c>
      <c r="K5918" s="17" t="n">
        <f aca="false">K5914*K5912</f>
        <v>220.150151258456</v>
      </c>
    </row>
    <row r="5919" customFormat="false" ht="15" hidden="false" customHeight="false" outlineLevel="0" collapsed="false">
      <c r="A5919" s="3" t="s">
        <v>307</v>
      </c>
      <c r="G5919" s="16" t="n">
        <f aca="false">G5914*'Historical Financials'!G30/'Historical Financials'!G25</f>
        <v>174.17542</v>
      </c>
      <c r="H5919" s="16" t="n">
        <f aca="false">H5914*'Historical Financials'!G30/'Historical Financials'!G25</f>
        <v>168.9501574</v>
      </c>
      <c r="I5919" s="16" t="n">
        <f aca="false">I5914*'Historical Financials'!G30/'Historical Financials'!G25</f>
        <v>168.9501574</v>
      </c>
      <c r="J5919" s="16" t="n">
        <f aca="false">J5914*'Historical Financials'!G30/'Historical Financials'!G25</f>
        <v>170.639658974</v>
      </c>
      <c r="K5919" s="16" t="n">
        <f aca="false">K5914*'Historical Financials'!G30/'Historical Financials'!G25</f>
        <v>172.34605556374</v>
      </c>
    </row>
    <row r="5920" customFormat="false" ht="15" hidden="false" customHeight="false" outlineLevel="0" collapsed="false">
      <c r="A5920" s="3" t="s">
        <v>308</v>
      </c>
      <c r="G5920" s="16" t="n">
        <f aca="false">G5914*'Historical Financials'!G31/'Historical Financials'!G25</f>
        <v>0</v>
      </c>
      <c r="H5920" s="16" t="n">
        <f aca="false">H5914*'Historical Financials'!G31/'Historical Financials'!G25</f>
        <v>0</v>
      </c>
      <c r="I5920" s="16" t="n">
        <f aca="false">I5914*'Historical Financials'!G31/'Historical Financials'!G25</f>
        <v>0</v>
      </c>
      <c r="J5920" s="16" t="n">
        <f aca="false">J5914*'Historical Financials'!G31/'Historical Financials'!G25</f>
        <v>0</v>
      </c>
      <c r="K5920" s="16" t="n">
        <f aca="false">K5914*'Historical Financials'!G31/'Historical Financials'!G25</f>
        <v>0</v>
      </c>
    </row>
    <row r="5921" customFormat="false" ht="15" hidden="false" customHeight="false" outlineLevel="0" collapsed="false">
      <c r="A5921" s="2" t="s">
        <v>309</v>
      </c>
      <c r="G5921" s="17" t="n">
        <f aca="false">G5918-G5919-G5920</f>
        <v>50.6534792</v>
      </c>
      <c r="H5921" s="17" t="n">
        <f aca="false">H5918-H5919-H5920</f>
        <v>42.318748817</v>
      </c>
      <c r="I5921" s="17" t="n">
        <f aca="false">I5918-I5919-I5920</f>
        <v>42.318748817</v>
      </c>
      <c r="J5921" s="17" t="n">
        <f aca="false">J5918-J5919-J5920</f>
        <v>45.03636206086</v>
      </c>
      <c r="K5921" s="17" t="n">
        <f aca="false">K5918-K5919-K5920</f>
        <v>47.8040956947155</v>
      </c>
    </row>
    <row r="5922" customFormat="false" ht="15" hidden="false" customHeight="false" outlineLevel="0" collapsed="false">
      <c r="A5922" s="3" t="s">
        <v>310</v>
      </c>
      <c r="G5922" s="16" t="n">
        <f aca="false">G5948+G5961+G5974+G5987+G6000+G6013+G6026+G6039+G6052+G6065</f>
        <v>187.3888354</v>
      </c>
      <c r="H5922" s="16" t="n">
        <f aca="false">H5948+H5961+H5974+H5987+H6000+H6013+H6026+H6039+H6052+H6065</f>
        <v>186.2509204</v>
      </c>
      <c r="I5922" s="16" t="n">
        <f aca="false">I5948+I5961+I5974+I5987+I6000+I6013+I6026+I6039+I6052+I6065</f>
        <v>183.465487402602</v>
      </c>
      <c r="J5922" s="16" t="n">
        <f aca="false">J5948+J5961+J5974+J5987+J6000+J6013+J6026+J6039+J6052+J6065</f>
        <v>183.055487402602</v>
      </c>
      <c r="K5922" s="16" t="n">
        <f aca="false">K5948+K5961+K5974+K5987+K6000+K6013+K6026+K6039+K6052+K6065</f>
        <v>182.645487402602</v>
      </c>
    </row>
    <row r="5923" customFormat="false" ht="15" hidden="false" customHeight="false" outlineLevel="0" collapsed="false">
      <c r="A5923" s="3" t="s">
        <v>311</v>
      </c>
      <c r="G5923" s="16" t="n">
        <f aca="false">G5949+G5962+G5975+G5988+G6001+G6014+G6027+G6040+G6053+G6066</f>
        <v>0</v>
      </c>
      <c r="H5923" s="16" t="n">
        <f aca="false">H5949+H5962+H5975+H5988+H6001+H6014+H6027+H6040+H6053+H6066</f>
        <v>0</v>
      </c>
      <c r="I5923" s="16" t="n">
        <f aca="false">I5949+I5962+I5975+I5988+I6001+I6014+I6027+I6040+I6053+I6066</f>
        <v>0</v>
      </c>
      <c r="J5923" s="16" t="n">
        <f aca="false">J5949+J5962+J5975+J5988+J6001+J6014+J6027+J6040+J6053+J6066</f>
        <v>0</v>
      </c>
      <c r="K5923" s="16" t="n">
        <f aca="false">K5949+K5962+K5975+K5988+K6001+K6014+K6027+K6040+K6053+K6066</f>
        <v>0</v>
      </c>
    </row>
    <row r="5924" customFormat="false" ht="15" hidden="false" customHeight="false" outlineLevel="0" collapsed="false">
      <c r="A5924" s="3" t="s">
        <v>283</v>
      </c>
      <c r="G5924" s="16" t="n">
        <f aca="false">G5922+G5923</f>
        <v>187.3888354</v>
      </c>
      <c r="H5924" s="16" t="n">
        <f aca="false">H5922+H5923</f>
        <v>186.2509204</v>
      </c>
      <c r="I5924" s="16" t="n">
        <f aca="false">I5922+I5923</f>
        <v>183.465487402602</v>
      </c>
      <c r="J5924" s="16" t="n">
        <f aca="false">J5922+J5923</f>
        <v>183.055487402602</v>
      </c>
      <c r="K5924" s="16" t="n">
        <f aca="false">K5922+K5923</f>
        <v>182.645487402602</v>
      </c>
    </row>
    <row r="5925" customFormat="false" ht="15" hidden="false" customHeight="false" outlineLevel="0" collapsed="false">
      <c r="A5925" s="2" t="s">
        <v>284</v>
      </c>
      <c r="G5925" s="17" t="n">
        <f aca="false">G5921-G5924</f>
        <v>-136.7353562</v>
      </c>
      <c r="H5925" s="17" t="n">
        <f aca="false">H5921-H5924</f>
        <v>-143.932171583</v>
      </c>
      <c r="I5925" s="17" t="n">
        <f aca="false">I5921-I5924</f>
        <v>-141.146738585602</v>
      </c>
      <c r="J5925" s="17" t="n">
        <f aca="false">J5921-J5924</f>
        <v>-138.019125341742</v>
      </c>
      <c r="K5925" s="17" t="n">
        <f aca="false">K5921-K5924</f>
        <v>-134.841391707886</v>
      </c>
    </row>
    <row r="5926" customFormat="false" ht="15" hidden="false" customHeight="false" outlineLevel="0" collapsed="false">
      <c r="A5926" s="3" t="s">
        <v>312</v>
      </c>
      <c r="G5926" s="16" t="n">
        <f aca="false">MAX(0,G5925)*Assumptions!$C$9</f>
        <v>0</v>
      </c>
      <c r="H5926" s="16" t="n">
        <f aca="false">MAX(0,H5925)*Assumptions!$C$9</f>
        <v>0</v>
      </c>
      <c r="I5926" s="16" t="n">
        <f aca="false">MAX(0,I5925)*Assumptions!$C$9</f>
        <v>0</v>
      </c>
      <c r="J5926" s="16" t="n">
        <f aca="false">MAX(0,J5925)*Assumptions!$C$9</f>
        <v>0</v>
      </c>
      <c r="K5926" s="16" t="n">
        <f aca="false">MAX(0,K5925)*Assumptions!$C$9</f>
        <v>0</v>
      </c>
    </row>
    <row r="5927" customFormat="false" ht="15" hidden="false" customHeight="false" outlineLevel="0" collapsed="false">
      <c r="A5927" s="2" t="s">
        <v>313</v>
      </c>
      <c r="G5927" s="17" t="n">
        <f aca="false">G5925-G5926</f>
        <v>-136.7353562</v>
      </c>
      <c r="H5927" s="17" t="n">
        <f aca="false">H5925-H5926</f>
        <v>-143.932171583</v>
      </c>
      <c r="I5927" s="17" t="n">
        <f aca="false">I5925-I5926</f>
        <v>-141.146738585602</v>
      </c>
      <c r="J5927" s="17" t="n">
        <f aca="false">J5925-J5926</f>
        <v>-138.019125341742</v>
      </c>
      <c r="K5927" s="17" t="n">
        <f aca="false">K5925-K5926</f>
        <v>-134.841391707886</v>
      </c>
    </row>
    <row r="5928" customFormat="false" ht="15" hidden="false" customHeight="false" outlineLevel="0" collapsed="false">
      <c r="A5928" s="24" t="s">
        <v>314</v>
      </c>
      <c r="B5928" s="25"/>
      <c r="C5928" s="25"/>
      <c r="D5928" s="25"/>
      <c r="E5928" s="25"/>
      <c r="F5928" s="25"/>
      <c r="G5928" s="25"/>
      <c r="H5928" s="25"/>
      <c r="I5928" s="25"/>
      <c r="J5928" s="25"/>
      <c r="K5928" s="25"/>
    </row>
    <row r="5929" customFormat="false" ht="15" hidden="false" customHeight="false" outlineLevel="0" collapsed="false">
      <c r="A5929" s="3" t="s">
        <v>184</v>
      </c>
      <c r="G5929" s="16" t="n">
        <f aca="false">G5914*CHOOSE($C$5901,Assumptions!$C$83,Assumptions!$C$102,Assumptions!$C$121)</f>
        <v>84.3108372</v>
      </c>
      <c r="H5929" s="16" t="n">
        <f aca="false">H5914*CHOOSE($C$5901,Assumptions!$C$83,Assumptions!$C$102,Assumptions!$C$121)</f>
        <v>81.781512084</v>
      </c>
      <c r="I5929" s="16" t="n">
        <f aca="false">I5914*CHOOSE($C$5901,Assumptions!$C$83,Assumptions!$C$102,Assumptions!$C$121)</f>
        <v>81.781512084</v>
      </c>
      <c r="J5929" s="16" t="n">
        <f aca="false">J5914*CHOOSE($C$5901,Assumptions!$C$83,Assumptions!$C$102,Assumptions!$C$121)</f>
        <v>82.59932720484</v>
      </c>
      <c r="K5929" s="16" t="n">
        <f aca="false">K5914*CHOOSE($C$5901,Assumptions!$C$83,Assumptions!$C$102,Assumptions!$C$121)</f>
        <v>83.4253204768884</v>
      </c>
    </row>
    <row r="5930" customFormat="false" ht="15" hidden="false" customHeight="false" outlineLevel="0" collapsed="false">
      <c r="A5930" s="3" t="s">
        <v>315</v>
      </c>
      <c r="G5930" s="16" t="n">
        <f aca="false">CHOOSE($C$5901,Assumptions!$C$84,Assumptions!$C$103,Assumptions!$C$122)*(G5914-F5914)+CHOOSE($C$5901,Assumptions!$C$85,Assumptions!$C$104,Assumptions!$C$123)*G5914</f>
        <v>23.419677</v>
      </c>
      <c r="H5930" s="16" t="n">
        <f aca="false">CHOOSE($C$5901,Assumptions!$C$84,Assumptions!$C$103,Assumptions!$C$122)*(H5914-G5914)+CHOOSE($C$5901,Assumptions!$C$85,Assumptions!$C$104,Assumptions!$C$123)*H5914</f>
        <v>22.71708669</v>
      </c>
      <c r="I5930" s="16" t="n">
        <f aca="false">CHOOSE($C$5901,Assumptions!$C$84,Assumptions!$C$103,Assumptions!$C$122)*(I5914-H5914)+CHOOSE($C$5901,Assumptions!$C$85,Assumptions!$C$104,Assumptions!$C$123)*I5914</f>
        <v>22.71708669</v>
      </c>
      <c r="J5930" s="16" t="n">
        <f aca="false">CHOOSE($C$5901,Assumptions!$C$84,Assumptions!$C$103,Assumptions!$C$122)*(J5914-I5914)+CHOOSE($C$5901,Assumptions!$C$85,Assumptions!$C$104,Assumptions!$C$123)*J5914</f>
        <v>22.9442575569</v>
      </c>
      <c r="K5930" s="16" t="n">
        <f aca="false">CHOOSE($C$5901,Assumptions!$C$84,Assumptions!$C$103,Assumptions!$C$122)*(K5914-J5914)+CHOOSE($C$5901,Assumptions!$C$85,Assumptions!$C$104,Assumptions!$C$123)*K5914</f>
        <v>23.173700132469</v>
      </c>
    </row>
    <row r="5931" customFormat="false" ht="15" hidden="false" customHeight="false" outlineLevel="0" collapsed="false">
      <c r="A5931" s="2" t="s">
        <v>316</v>
      </c>
      <c r="G5931" s="17" t="n">
        <f aca="false">G5927+G5919+G5920+G5923-G5929-G5930</f>
        <v>-70.2904504</v>
      </c>
      <c r="H5931" s="17" t="n">
        <f aca="false">H5927+H5919+H5920+H5923-H5929-H5930</f>
        <v>-79.480612957</v>
      </c>
      <c r="I5931" s="17" t="n">
        <f aca="false">I5927+I5919+I5920+I5923-I5929-I5930</f>
        <v>-76.6951799596015</v>
      </c>
      <c r="J5931" s="17" t="n">
        <f aca="false">J5927+J5919+J5920+J5923-J5929-J5930</f>
        <v>-72.9230511294815</v>
      </c>
      <c r="K5931" s="17" t="n">
        <f aca="false">K5927+K5919+K5920+K5923-K5929-K5930</f>
        <v>-69.0943567535034</v>
      </c>
    </row>
    <row r="5933" customFormat="false" ht="15" hidden="false" customHeight="false" outlineLevel="0" collapsed="false">
      <c r="A5933" s="24" t="s">
        <v>318</v>
      </c>
      <c r="B5933" s="25"/>
      <c r="C5933" s="25"/>
      <c r="D5933" s="25"/>
      <c r="E5933" s="25"/>
      <c r="F5933" s="25"/>
      <c r="G5933" s="25"/>
      <c r="H5933" s="25"/>
      <c r="I5933" s="25"/>
      <c r="J5933" s="25"/>
      <c r="K5933" s="25"/>
    </row>
    <row r="5934" customFormat="false" ht="15" hidden="false" customHeight="false" outlineLevel="0" collapsed="false">
      <c r="A5934" s="3" t="s">
        <v>319</v>
      </c>
      <c r="G5934" s="30" t="n">
        <f aca="false">Assumptions!$G$53</f>
        <v>0.039</v>
      </c>
      <c r="H5934" s="30" t="n">
        <f aca="false">Assumptions!$H$53</f>
        <v>0.0375</v>
      </c>
      <c r="I5934" s="30" t="n">
        <f aca="false">Assumptions!$I$53</f>
        <v>0.035</v>
      </c>
      <c r="J5934" s="30" t="n">
        <f aca="false">Assumptions!$J$53</f>
        <v>0.035</v>
      </c>
      <c r="K5934" s="30" t="n">
        <f aca="false">Assumptions!$K$53</f>
        <v>0.035</v>
      </c>
    </row>
    <row r="5935" customFormat="false" ht="15" hidden="false" customHeight="false" outlineLevel="0" collapsed="false">
      <c r="A5935" s="3" t="s">
        <v>320</v>
      </c>
      <c r="C5935" s="31" t="n">
        <f aca="false">CHOOSE($C$5901,Assumptions!$C$86,Assumptions!$C$105,Assumptions!$C$124)+$C$5904</f>
        <v>0.015</v>
      </c>
    </row>
    <row r="5936" customFormat="false" ht="15" hidden="false" customHeight="false" outlineLevel="0" collapsed="false">
      <c r="A5936" s="3" t="s">
        <v>321</v>
      </c>
      <c r="C5936" s="31" t="n">
        <f aca="false">CHOOSE($C$5901,Assumptions!$C$87,Assumptions!$C$106,Assumptions!$C$125)</f>
        <v>0.1</v>
      </c>
    </row>
    <row r="5937" customFormat="false" ht="15" hidden="false" customHeight="false" outlineLevel="0" collapsed="false">
      <c r="A5937" s="3" t="s">
        <v>322</v>
      </c>
      <c r="C5937" s="32" t="n">
        <f aca="false">CHOOSE($C$5901,Assumptions!$C$88,Assumptions!$C$107,Assumptions!$C$126)</f>
        <v>9.5</v>
      </c>
    </row>
    <row r="5938" customFormat="false" ht="15" hidden="false" customHeight="false" outlineLevel="0" collapsed="false">
      <c r="A5938" s="3" t="s">
        <v>323</v>
      </c>
      <c r="C5938" s="32" t="n">
        <f aca="false">CHOOSE($C$5901,Assumptions!$C$89,Assumptions!$C$108,Assumptions!$C$127)</f>
        <v>1.5</v>
      </c>
    </row>
    <row r="5939" customFormat="false" ht="15" hidden="false" customHeight="false" outlineLevel="0" collapsed="false">
      <c r="A5939" s="3" t="s">
        <v>324</v>
      </c>
      <c r="G5939" s="16" t="n">
        <f aca="false">G5944+G5957+G5970+G5983+G5996+G6009+G6022+G6035+G6048+G6061</f>
        <v>2625.934</v>
      </c>
      <c r="H5939" s="16" t="n">
        <f aca="false">H5944+H5957+H5970+H5983+H5996+H6009+H6022+H6035+H6048+H6061</f>
        <v>2621.934</v>
      </c>
      <c r="I5939" s="16" t="n">
        <f aca="false">I5944+I5957+I5970+I5983+I5996+I6009+I6022+I6035+I6048+I6061</f>
        <v>2587.835063357</v>
      </c>
      <c r="J5939" s="16" t="n">
        <f aca="false">J5944+J5957+J5970+J5983+J5996+J6009+J6022+J6035+J6048+J6061</f>
        <v>2583.835063357</v>
      </c>
      <c r="K5939" s="16" t="n">
        <f aca="false">K5944+K5957+K5970+K5983+K5996+K6009+K6022+K6035+K6048+K6061</f>
        <v>2579.835063357</v>
      </c>
    </row>
    <row r="5940" customFormat="false" ht="15" hidden="false" customHeight="false" outlineLevel="0" collapsed="false">
      <c r="A5940" s="3" t="s">
        <v>325</v>
      </c>
      <c r="G5940" s="16" t="n">
        <f aca="false">F6132</f>
        <v>37.87</v>
      </c>
      <c r="H5940" s="16" t="n">
        <f aca="false">G6132</f>
        <v>113.5795496</v>
      </c>
      <c r="I5940" s="16" t="n">
        <f aca="false">H6132</f>
        <v>0</v>
      </c>
      <c r="J5940" s="16" t="n">
        <f aca="false">I6132</f>
        <v>-80.6951799596015</v>
      </c>
      <c r="K5940" s="16" t="n">
        <f aca="false">J6132</f>
        <v>-157.618231089083</v>
      </c>
    </row>
    <row r="5941" customFormat="false" ht="15" hidden="false" customHeight="false" outlineLevel="0" collapsed="false">
      <c r="A5941" s="3" t="s">
        <v>326</v>
      </c>
      <c r="G5941" s="16" t="n">
        <f aca="false">G5944*IF(G5945=1,$C$5936,IF(Assumptions!$I$57=1,MAX(G5934,Assumptions!$G$57)+Assumptions!$F$57+$C$5935,Assumptions!$E$57))+G5957*IF(G5958=1,$C$5936,IF(Assumptions!$I$58=1,MAX(G5934,Assumptions!$G$58)+Assumptions!$F$58+$C$5935,Assumptions!$E$58))+G5970*IF(G5971=1,$C$5936,IF(Assumptions!$I$59=1,MAX(G5934,Assumptions!$G$59)+Assumptions!$F$59+$C$5935,Assumptions!$E$59))+G5983*IF(G5984=1,$C$5936,IF(Assumptions!$I$60=1,MAX(G5934,Assumptions!$G$60)+Assumptions!$F$60+$C$5935,Assumptions!$E$60))+G5996*IF(G5997=1,$C$5936,IF(Assumptions!$I$61=1,MAX(G5934,Assumptions!$G$61)+Assumptions!$F$61+$C$5935,Assumptions!$E$61))+G6009*IF(G6010=1,$C$5936,IF(Assumptions!$I$62=1,MAX(G5934,Assumptions!$G$62)+Assumptions!$F$62+$C$5935,Assumptions!$E$62))+G6022*IF(G6023=1,$C$5936,IF(Assumptions!$I$63=1,MAX(G5934,Assumptions!$G$63)+Assumptions!$F$63+$C$5935,Assumptions!$E$63))+G6035*IF(G6036=1,$C$5936,IF(Assumptions!$I$64=1,MAX(G5934,Assumptions!$G$64)+Assumptions!$F$64+$C$5935,Assumptions!$E$64))+G6048*IF(G6049=1,$C$5936,IF(Assumptions!$I$65=1,MAX(G5934,Assumptions!$G$65)+Assumptions!$F$65+$C$5935,Assumptions!$E$65))+G6061*IF(G6062=1,$C$5936,IF(Assumptions!$I$66=1,MAX(G5934,Assumptions!$G$66)+Assumptions!$F$66+$C$5935,Assumptions!$E$66))</f>
        <v>187.3888354</v>
      </c>
      <c r="H5941" s="16" t="n">
        <f aca="false">H5944*IF(OR(H5945=1,G6254=1),$C$5936,IF(Assumptions!$I$57=1,MAX(H5934,Assumptions!$G$57)+Assumptions!$F$57+$C$5935,Assumptions!$E$57))+H5957*IF(OR(H5958=1,G6255=1),$C$5936,IF(Assumptions!$I$58=1,MAX(H5934,Assumptions!$G$58)+Assumptions!$F$58+$C$5935,Assumptions!$E$58))+H5970*IF(OR(H5971=1,G6256=1),$C$5936,IF(Assumptions!$I$59=1,MAX(H5934,Assumptions!$G$59)+Assumptions!$F$59+$C$5935,Assumptions!$E$59))+H5983*IF(OR(H5984=1,G6257=1),$C$5936,IF(Assumptions!$I$60=1,MAX(H5934,Assumptions!$G$60)+Assumptions!$F$60+$C$5935,Assumptions!$E$60))+H5996*IF(OR(H5997=1,G6258=1),$C$5936,IF(Assumptions!$I$61=1,MAX(H5934,Assumptions!$G$61)+Assumptions!$F$61+$C$5935,Assumptions!$E$61))+H6009*IF(OR(H6010=1,G6259=1),$C$5936,IF(Assumptions!$I$62=1,MAX(H5934,Assumptions!$G$62)+Assumptions!$F$62+$C$5935,Assumptions!$E$62))+H6022*IF(OR(H6023=1,G6260=1),$C$5936,IF(Assumptions!$I$63=1,MAX(H5934,Assumptions!$G$63)+Assumptions!$F$63+$C$5935,Assumptions!$E$63))+H6035*IF(OR(H6036=1,G6261=1),$C$5936,IF(Assumptions!$I$64=1,MAX(H5934,Assumptions!$G$64)+Assumptions!$F$64+$C$5935,Assumptions!$E$64))+H6048*IF(OR(H6049=1,G6262=1),$C$5936,IF(Assumptions!$I$65=1,MAX(H5934,Assumptions!$G$65)+Assumptions!$F$65+$C$5935,Assumptions!$E$65))+H6061*IF(OR(H6062=1,G6263=1),$C$5936,IF(Assumptions!$I$66=1,MAX(H5934,Assumptions!$G$66)+Assumptions!$F$66+$C$5935,Assumptions!$E$66))</f>
        <v>219.4259204</v>
      </c>
      <c r="I5941" s="16" t="n">
        <f aca="false">I5944*IF(OR(I5945=1,H6254=1),$C$5936,IF(Assumptions!$I$57=1,MAX(I5934,Assumptions!$G$57)+Assumptions!$F$57+$C$5935,Assumptions!$E$57))+I5957*IF(OR(I5958=1,H6255=1),$C$5936,IF(Assumptions!$I$58=1,MAX(I5934,Assumptions!$G$58)+Assumptions!$F$58+$C$5935,Assumptions!$E$58))+I5970*IF(OR(I5971=1,H6256=1),$C$5936,IF(Assumptions!$I$59=1,MAX(I5934,Assumptions!$G$59)+Assumptions!$F$59+$C$5935,Assumptions!$E$59))+I5983*IF(OR(I5984=1,H6257=1),$C$5936,IF(Assumptions!$I$60=1,MAX(I5934,Assumptions!$G$60)+Assumptions!$F$60+$C$5935,Assumptions!$E$60))+I5996*IF(OR(I5997=1,H6258=1),$C$5936,IF(Assumptions!$I$61=1,MAX(I5934,Assumptions!$G$61)+Assumptions!$F$61+$C$5935,Assumptions!$E$61))+I6009*IF(OR(I6010=1,H6259=1),$C$5936,IF(Assumptions!$I$62=1,MAX(I5934,Assumptions!$G$62)+Assumptions!$F$62+$C$5935,Assumptions!$E$62))+I6022*IF(OR(I6023=1,H6260=1),$C$5936,IF(Assumptions!$I$63=1,MAX(I5934,Assumptions!$G$63)+Assumptions!$F$63+$C$5935,Assumptions!$E$63))+I6035*IF(OR(I6036=1,H6261=1),$C$5936,IF(Assumptions!$I$64=1,MAX(I5934,Assumptions!$G$64)+Assumptions!$F$64+$C$5935,Assumptions!$E$64))+I6048*IF(OR(I6049=1,H6262=1),$C$5936,IF(Assumptions!$I$65=1,MAX(I5934,Assumptions!$G$65)+Assumptions!$F$65+$C$5935,Assumptions!$E$65))+I6061*IF(OR(I6062=1,H6263=1),$C$5936,IF(Assumptions!$I$66=1,MAX(I5934,Assumptions!$G$66)+Assumptions!$F$66+$C$5935,Assumptions!$E$66))</f>
        <v>189.652987402602</v>
      </c>
      <c r="J5941" s="16" t="n">
        <f aca="false">J5944*IF(OR(J5945=1,I6254=1),$C$5936,IF(Assumptions!$I$57=1,MAX(J5934,Assumptions!$G$57)+Assumptions!$F$57+$C$5935,Assumptions!$E$57))+J5957*IF(OR(J5958=1,I6255=1),$C$5936,IF(Assumptions!$I$58=1,MAX(J5934,Assumptions!$G$58)+Assumptions!$F$58+$C$5935,Assumptions!$E$58))+J5970*IF(OR(J5971=1,I6256=1),$C$5936,IF(Assumptions!$I$59=1,MAX(J5934,Assumptions!$G$59)+Assumptions!$F$59+$C$5935,Assumptions!$E$59))+J5983*IF(OR(J5984=1,I6257=1),$C$5936,IF(Assumptions!$I$60=1,MAX(J5934,Assumptions!$G$60)+Assumptions!$F$60+$C$5935,Assumptions!$E$60))+J5996*IF(OR(J5997=1,I6258=1),$C$5936,IF(Assumptions!$I$61=1,MAX(J5934,Assumptions!$G$61)+Assumptions!$F$61+$C$5935,Assumptions!$E$61))+J6009*IF(OR(J6010=1,I6259=1),$C$5936,IF(Assumptions!$I$62=1,MAX(J5934,Assumptions!$G$62)+Assumptions!$F$62+$C$5935,Assumptions!$E$62))+J6022*IF(OR(J6023=1,I6260=1),$C$5936,IF(Assumptions!$I$63=1,MAX(J5934,Assumptions!$G$63)+Assumptions!$F$63+$C$5935,Assumptions!$E$63))+J6035*IF(OR(J6036=1,I6261=1),$C$5936,IF(Assumptions!$I$64=1,MAX(J5934,Assumptions!$G$64)+Assumptions!$F$64+$C$5935,Assumptions!$E$64))+J6048*IF(OR(J6049=1,I6262=1),$C$5936,IF(Assumptions!$I$65=1,MAX(J5934,Assumptions!$G$65)+Assumptions!$F$65+$C$5935,Assumptions!$E$65))+J6061*IF(OR(J6062=1,I6263=1),$C$5936,IF(Assumptions!$I$66=1,MAX(J5934,Assumptions!$G$66)+Assumptions!$F$66+$C$5935,Assumptions!$E$66))</f>
        <v>202.130487402602</v>
      </c>
      <c r="K5941" s="16" t="n">
        <f aca="false">K5944*IF(OR(K5945=1,J6254=1),$C$5936,IF(Assumptions!$I$57=1,MAX(K5934,Assumptions!$G$57)+Assumptions!$F$57+$C$5935,Assumptions!$E$57))+K5957*IF(OR(K5958=1,J6255=1),$C$5936,IF(Assumptions!$I$58=1,MAX(K5934,Assumptions!$G$58)+Assumptions!$F$58+$C$5935,Assumptions!$E$58))+K5970*IF(OR(K5971=1,J6256=1),$C$5936,IF(Assumptions!$I$59=1,MAX(K5934,Assumptions!$G$59)+Assumptions!$F$59+$C$5935,Assumptions!$E$59))+K5983*IF(OR(K5984=1,J6257=1),$C$5936,IF(Assumptions!$I$60=1,MAX(K5934,Assumptions!$G$60)+Assumptions!$F$60+$C$5935,Assumptions!$E$60))+K5996*IF(OR(K5997=1,J6258=1),$C$5936,IF(Assumptions!$I$61=1,MAX(K5934,Assumptions!$G$61)+Assumptions!$F$61+$C$5935,Assumptions!$E$61))+K6009*IF(OR(K6010=1,J6259=1),$C$5936,IF(Assumptions!$I$62=1,MAX(K5934,Assumptions!$G$62)+Assumptions!$F$62+$C$5935,Assumptions!$E$62))+K6022*IF(OR(K6023=1,J6260=1),$C$5936,IF(Assumptions!$I$63=1,MAX(K5934,Assumptions!$G$63)+Assumptions!$F$63+$C$5935,Assumptions!$E$63))+K6035*IF(OR(K6036=1,J6261=1),$C$5936,IF(Assumptions!$I$64=1,MAX(K5934,Assumptions!$G$64)+Assumptions!$F$64+$C$5935,Assumptions!$E$64))+K6048*IF(OR(K6049=1,J6262=1),$C$5936,IF(Assumptions!$I$65=1,MAX(K5934,Assumptions!$G$65)+Assumptions!$F$65+$C$5935,Assumptions!$E$65))+K6061*IF(OR(K6062=1,J6263=1),$C$5936,IF(Assumptions!$I$66=1,MAX(K5934,Assumptions!$G$66)+Assumptions!$F$66+$C$5935,Assumptions!$E$66))</f>
        <v>193.310487402602</v>
      </c>
    </row>
    <row r="5942" customFormat="false" ht="15" hidden="false" customHeight="false" outlineLevel="0" collapsed="false">
      <c r="A5942" s="3" t="s">
        <v>327</v>
      </c>
      <c r="G5942" s="21" t="n">
        <f aca="false">IF(G5918&lt;=0,0,IF(AND((G5939-G5940)/G5918&lt;=$C$5937,G5918/G5941&gt;=$C$5938),1,0))</f>
        <v>0</v>
      </c>
      <c r="H5942" s="21" t="n">
        <f aca="false">IF(H5918&lt;=0,0,IF(AND((H5939-H5940)/H5918&lt;=$C$5937,H5918/H5941&gt;=$C$5938),1,0))</f>
        <v>0</v>
      </c>
      <c r="I5942" s="21" t="n">
        <f aca="false">IF(I5918&lt;=0,0,IF(AND((I5939-I5940)/I5918&lt;=$C$5937,I5918/I5941&gt;=$C$5938),1,0))</f>
        <v>0</v>
      </c>
      <c r="J5942" s="21" t="n">
        <f aca="false">IF(J5918&lt;=0,0,IF(AND((J5939-J5940)/J5918&lt;=$C$5937,J5918/J5941&gt;=$C$5938),1,0))</f>
        <v>0</v>
      </c>
      <c r="K5942" s="21" t="n">
        <f aca="false">IF(K5918&lt;=0,0,IF(AND((K5939-K5940)/K5918&lt;=$C$5937,K5918/K5941&gt;=$C$5938),1,0))</f>
        <v>0</v>
      </c>
    </row>
    <row r="5943" customFormat="false" ht="15" hidden="false" customHeight="false" outlineLevel="0" collapsed="false">
      <c r="A5943" s="24" t="s">
        <v>328</v>
      </c>
      <c r="B5943" s="25"/>
      <c r="C5943" s="25"/>
      <c r="D5943" s="25"/>
      <c r="E5943" s="25"/>
      <c r="F5943" s="25"/>
      <c r="G5943" s="25"/>
      <c r="H5943" s="25"/>
      <c r="I5943" s="25"/>
      <c r="J5943" s="25"/>
      <c r="K5943" s="25"/>
    </row>
    <row r="5944" customFormat="false" ht="15" hidden="false" customHeight="false" outlineLevel="0" collapsed="false">
      <c r="A5944" s="3" t="s">
        <v>329</v>
      </c>
      <c r="G5944" s="16" t="n">
        <f aca="false">F5955</f>
        <v>400</v>
      </c>
      <c r="H5944" s="16" t="n">
        <f aca="false">G5955</f>
        <v>396</v>
      </c>
      <c r="I5944" s="16" t="n">
        <f aca="false">H5955</f>
        <v>392</v>
      </c>
      <c r="J5944" s="16" t="n">
        <f aca="false">I5955</f>
        <v>388</v>
      </c>
      <c r="K5944" s="16" t="n">
        <f aca="false">J5955</f>
        <v>384</v>
      </c>
    </row>
    <row r="5945" customFormat="false" ht="15" hidden="false" customHeight="false" outlineLevel="0" collapsed="false">
      <c r="A5945" s="3" t="s">
        <v>330</v>
      </c>
      <c r="G5945" s="21" t="n">
        <f aca="false">IF(G5908=Assumptions!$K$57,1,0)</f>
        <v>0</v>
      </c>
      <c r="H5945" s="21" t="n">
        <f aca="false">IF(H5908=Assumptions!$K$57,1,0)</f>
        <v>0</v>
      </c>
      <c r="I5945" s="21" t="n">
        <f aca="false">IF(I5908=Assumptions!$K$57,1,0)</f>
        <v>0</v>
      </c>
      <c r="J5945" s="21" t="n">
        <f aca="false">IF(J5908=Assumptions!$K$57,1,0)</f>
        <v>0</v>
      </c>
      <c r="K5945" s="21" t="n">
        <f aca="false">IF(K5908=Assumptions!$K$57,1,0)</f>
        <v>1</v>
      </c>
    </row>
    <row r="5947" customFormat="false" ht="15" hidden="false" customHeight="false" outlineLevel="0" collapsed="false">
      <c r="A5947" s="3" t="s">
        <v>331</v>
      </c>
      <c r="G5947" s="31" t="n">
        <f aca="false">IF(Assumptions!$I$57=1,MAX(G5934,Assumptions!$G$57)+Assumptions!$F$57+$C$5935,Assumptions!$E$57)</f>
        <v>0.1065</v>
      </c>
      <c r="H5947" s="31" t="n">
        <f aca="false">IF(G6254=1,$C$5936,IF(Assumptions!$I$57=1,MAX(H5934,Assumptions!$G$57)+Assumptions!$F$57+$C$5935,Assumptions!$E$57))</f>
        <v>0.105</v>
      </c>
      <c r="I5947" s="31" t="n">
        <f aca="false">IF(H6254=1,$C$5936,IF(Assumptions!$I$57=1,MAX(I5934,Assumptions!$G$57)+Assumptions!$F$57+$C$5935,Assumptions!$E$57))</f>
        <v>0.1025</v>
      </c>
      <c r="J5947" s="31" t="n">
        <f aca="false">IF(I6254=1,$C$5936,IF(Assumptions!$I$57=1,MAX(J5934,Assumptions!$G$57)+Assumptions!$F$57+$C$5935,Assumptions!$E$57))</f>
        <v>0.1025</v>
      </c>
      <c r="K5947" s="31" t="n">
        <f aca="false">IF(J6254=1,$C$5936,IF(Assumptions!$I$57=1,MAX(K5934,Assumptions!$G$57)+Assumptions!$F$57+$C$5935,Assumptions!$E$57))</f>
        <v>0.1025</v>
      </c>
    </row>
    <row r="5948" customFormat="false" ht="15" hidden="false" customHeight="false" outlineLevel="0" collapsed="false">
      <c r="A5948" s="3" t="s">
        <v>332</v>
      </c>
      <c r="G5948" s="16" t="n">
        <f aca="false">G5944*G5947</f>
        <v>42.6</v>
      </c>
      <c r="H5948" s="16" t="n">
        <f aca="false">H5944*H5947</f>
        <v>41.58</v>
      </c>
      <c r="I5948" s="16" t="n">
        <f aca="false">I5944*I5947</f>
        <v>40.18</v>
      </c>
      <c r="J5948" s="16" t="n">
        <f aca="false">J5944*J5947</f>
        <v>39.77</v>
      </c>
      <c r="K5948" s="16" t="n">
        <f aca="false">K5944*K5947</f>
        <v>39.36</v>
      </c>
    </row>
    <row r="5949" customFormat="false" ht="15" hidden="false" customHeight="false" outlineLevel="0" collapsed="false">
      <c r="A5949" s="3" t="s">
        <v>333</v>
      </c>
      <c r="G5949" s="16" t="n">
        <f aca="false">G5944*Assumptions!$H$57</f>
        <v>0</v>
      </c>
      <c r="H5949" s="16" t="n">
        <f aca="false">H5944*Assumptions!$H$57</f>
        <v>0</v>
      </c>
      <c r="I5949" s="16" t="n">
        <f aca="false">I5944*Assumptions!$H$57</f>
        <v>0</v>
      </c>
      <c r="J5949" s="16" t="n">
        <f aca="false">J5944*Assumptions!$H$57</f>
        <v>0</v>
      </c>
      <c r="K5949" s="16" t="n">
        <f aca="false">K5944*Assumptions!$H$57</f>
        <v>0</v>
      </c>
    </row>
    <row r="5950" customFormat="false" ht="15" hidden="false" customHeight="false" outlineLevel="0" collapsed="false">
      <c r="A5950" s="3" t="s">
        <v>334</v>
      </c>
      <c r="G5950" s="16" t="n">
        <f aca="false">MIN(G5944,Assumptions!$L$57*Assumptions!$C$57)</f>
        <v>4</v>
      </c>
      <c r="H5950" s="16" t="n">
        <f aca="false">MIN(H5944,Assumptions!$L$57*Assumptions!$C$57)</f>
        <v>4</v>
      </c>
      <c r="I5950" s="16" t="n">
        <f aca="false">MIN(I5944,Assumptions!$L$57*Assumptions!$C$57)</f>
        <v>4</v>
      </c>
      <c r="J5950" s="16" t="n">
        <f aca="false">MIN(J5944,Assumptions!$L$57*Assumptions!$C$57)</f>
        <v>4</v>
      </c>
      <c r="K5950" s="16" t="n">
        <f aca="false">MIN(K5944,Assumptions!$L$57*Assumptions!$C$57)</f>
        <v>4</v>
      </c>
    </row>
    <row r="5951" customFormat="false" ht="15" hidden="false" customHeight="false" outlineLevel="0" collapsed="false">
      <c r="A5951" s="3" t="s">
        <v>335</v>
      </c>
      <c r="G5951" s="16" t="n">
        <f aca="false">IF(AND(Assumptions!$P$57=1,G5908&lt;Assumptions!$K$57),MIN(MAX(0,-G6124),MAX(0,Assumptions!$D$57-G5944)),0)</f>
        <v>0</v>
      </c>
      <c r="H5951" s="16" t="n">
        <f aca="false">IF(AND(Assumptions!$P$57=1,OR(H5908&lt;Assumptions!$K$57,G6254=1)),MIN(MAX(0,-H6124),MAX(0,Assumptions!$D$57-H5944)),0)</f>
        <v>0</v>
      </c>
      <c r="I5951" s="16" t="n">
        <f aca="false">IF(AND(Assumptions!$P$57=1,OR(I5908&lt;Assumptions!$K$57,H6254=1)),MIN(MAX(0,-I6124),MAX(0,Assumptions!$D$57-I5944)),0)</f>
        <v>0</v>
      </c>
      <c r="J5951" s="16" t="n">
        <f aca="false">IF(AND(Assumptions!$P$57=1,OR(J5908&lt;Assumptions!$K$57,I6254=1)),MIN(MAX(0,-J6124),MAX(0,Assumptions!$D$57-J5944)),0)</f>
        <v>0</v>
      </c>
      <c r="K5951" s="16" t="n">
        <f aca="false">IF(AND(Assumptions!$P$57=1,OR(K5908&lt;Assumptions!$K$57,J6254=1)),MIN(MAX(0,-K6124),MAX(0,Assumptions!$D$57-K5944)),0)</f>
        <v>0</v>
      </c>
    </row>
    <row r="5952" customFormat="false" ht="15" hidden="false" customHeight="false" outlineLevel="0" collapsed="false">
      <c r="A5952" s="3" t="s">
        <v>336</v>
      </c>
      <c r="G5952" s="16" t="n">
        <f aca="false">G5945*MIN(G5944-G5950+G5949,MAX(0,G6126-Assumptions!$C$12*G5942))</f>
        <v>0</v>
      </c>
      <c r="H5952" s="16" t="n">
        <f aca="false">H5945*MIN(H5944-H5950+H5949,MAX(0,H6126-Assumptions!$C$12*H5942))</f>
        <v>0</v>
      </c>
      <c r="I5952" s="16" t="n">
        <f aca="false">I5945*MIN(I5944-I5950+I5949,MAX(0,I6126-Assumptions!$C$12*I5942))</f>
        <v>0</v>
      </c>
      <c r="J5952" s="16" t="n">
        <f aca="false">J5945*MIN(J5944-J5950+J5949,MAX(0,J6126-Assumptions!$C$12*J5942))</f>
        <v>0</v>
      </c>
      <c r="K5952" s="16" t="n">
        <f aca="false">K5945*MIN(K5944-K5950+K5949,MAX(0,K6126-Assumptions!$C$12*K5942))</f>
        <v>0</v>
      </c>
    </row>
    <row r="5953" customFormat="false" ht="15" hidden="false" customHeight="false" outlineLevel="0" collapsed="false">
      <c r="A5953" s="3" t="s">
        <v>337</v>
      </c>
      <c r="G5953" s="16" t="n">
        <f aca="false">Assumptions!$N$57*MIN(G5944+G5951+G5949-G5950-G5952,MAX(0,G6130))</f>
        <v>0</v>
      </c>
      <c r="H5953" s="16" t="n">
        <f aca="false">Assumptions!$N$57*MIN(H5944+H5951+H5949-H5950-H5952,MAX(0,H6130))</f>
        <v>0</v>
      </c>
      <c r="I5953" s="16" t="n">
        <f aca="false">Assumptions!$N$57*MIN(I5944+I5951+I5949-I5950-I5952,MAX(0,I6130))</f>
        <v>0</v>
      </c>
      <c r="J5953" s="16" t="n">
        <f aca="false">Assumptions!$N$57*MIN(J5944+J5951+J5949-J5950-J5952,MAX(0,J6130))</f>
        <v>0</v>
      </c>
      <c r="K5953" s="16" t="n">
        <f aca="false">Assumptions!$N$57*MIN(K5944+K5951+K5949-K5950-K5952,MAX(0,K6130))</f>
        <v>0</v>
      </c>
    </row>
    <row r="5954" customFormat="false" ht="15" hidden="false" customHeight="false" outlineLevel="0" collapsed="false">
      <c r="A5954" s="3" t="s">
        <v>338</v>
      </c>
      <c r="G5954" s="16" t="n">
        <f aca="false">G5945*(1-G5942)*(G5944-G5950+G5949-G5952)</f>
        <v>0</v>
      </c>
      <c r="H5954" s="16" t="n">
        <f aca="false">H5945*(1-H5942)*(H5944-H5950+H5949-H5952)</f>
        <v>0</v>
      </c>
      <c r="I5954" s="16" t="n">
        <f aca="false">I5945*(1-I5942)*(I5944-I5950+I5949-I5952)</f>
        <v>0</v>
      </c>
      <c r="J5954" s="16" t="n">
        <f aca="false">J5945*(1-J5942)*(J5944-J5950+J5949-J5952)</f>
        <v>0</v>
      </c>
      <c r="K5954" s="16" t="n">
        <f aca="false">K5945*(1-K5942)*(K5944-K5950+K5949-K5952)</f>
        <v>380</v>
      </c>
    </row>
    <row r="5955" customFormat="false" ht="15" hidden="false" customHeight="false" outlineLevel="0" collapsed="false">
      <c r="A5955" s="2" t="s">
        <v>339</v>
      </c>
      <c r="F5955" s="28" t="n">
        <f aca="false">Assumptions!$C$57</f>
        <v>400</v>
      </c>
      <c r="G5955" s="17" t="n">
        <f aca="false">G5944+G5951+G5949-G5950-G5952-G5953</f>
        <v>396</v>
      </c>
      <c r="H5955" s="17" t="n">
        <f aca="false">H5944+H5951+H5949-H5950-H5952-H5953</f>
        <v>392</v>
      </c>
      <c r="I5955" s="17" t="n">
        <f aca="false">I5944+I5951+I5949-I5950-I5952-I5953</f>
        <v>388</v>
      </c>
      <c r="J5955" s="17" t="n">
        <f aca="false">J5944+J5951+J5949-J5950-J5952-J5953</f>
        <v>384</v>
      </c>
      <c r="K5955" s="17" t="n">
        <f aca="false">K5944+K5951+K5949-K5950-K5952-K5953</f>
        <v>380</v>
      </c>
    </row>
    <row r="5956" customFormat="false" ht="15" hidden="false" customHeight="false" outlineLevel="0" collapsed="false">
      <c r="A5956" s="24" t="s">
        <v>340</v>
      </c>
      <c r="B5956" s="25"/>
      <c r="C5956" s="25"/>
      <c r="D5956" s="25"/>
      <c r="E5956" s="25"/>
      <c r="F5956" s="25"/>
      <c r="G5956" s="25"/>
      <c r="H5956" s="25"/>
      <c r="I5956" s="25"/>
      <c r="J5956" s="25"/>
      <c r="K5956" s="25"/>
    </row>
    <row r="5957" customFormat="false" ht="15" hidden="false" customHeight="false" outlineLevel="0" collapsed="false">
      <c r="A5957" s="3" t="s">
        <v>329</v>
      </c>
      <c r="G5957" s="16" t="n">
        <f aca="false">F5968</f>
        <v>90</v>
      </c>
      <c r="H5957" s="16" t="n">
        <f aca="false">G5968</f>
        <v>90</v>
      </c>
      <c r="I5957" s="16" t="n">
        <f aca="false">H5968</f>
        <v>90</v>
      </c>
      <c r="J5957" s="16" t="n">
        <f aca="false">I5968</f>
        <v>90</v>
      </c>
      <c r="K5957" s="16" t="n">
        <f aca="false">J5968</f>
        <v>90</v>
      </c>
    </row>
    <row r="5958" customFormat="false" ht="15" hidden="false" customHeight="false" outlineLevel="0" collapsed="false">
      <c r="A5958" s="3" t="s">
        <v>330</v>
      </c>
      <c r="G5958" s="21" t="n">
        <f aca="false">IF(G5908=Assumptions!$K$58,1,0)</f>
        <v>0</v>
      </c>
      <c r="H5958" s="21" t="n">
        <f aca="false">IF(H5908=Assumptions!$K$58,1,0)</f>
        <v>0</v>
      </c>
      <c r="I5958" s="21" t="n">
        <f aca="false">IF(I5908=Assumptions!$K$58,1,0)</f>
        <v>0</v>
      </c>
      <c r="J5958" s="21" t="n">
        <f aca="false">IF(J5908=Assumptions!$K$58,1,0)</f>
        <v>0</v>
      </c>
      <c r="K5958" s="21" t="n">
        <f aca="false">IF(K5908=Assumptions!$K$58,1,0)</f>
        <v>0</v>
      </c>
    </row>
    <row r="5960" customFormat="false" ht="15" hidden="false" customHeight="false" outlineLevel="0" collapsed="false">
      <c r="A5960" s="3" t="s">
        <v>331</v>
      </c>
      <c r="G5960" s="31" t="n">
        <f aca="false">IF(Assumptions!$I$58=1,MAX(G5934,Assumptions!$G$58)+Assumptions!$F$58+$C$5935,Assumptions!$E$58)</f>
        <v>0.0581</v>
      </c>
      <c r="H5960" s="31" t="n">
        <f aca="false">IF(G6255=1,$C$5936,IF(Assumptions!$I$58=1,MAX(H5934,Assumptions!$G$58)+Assumptions!$F$58+$C$5935,Assumptions!$E$58))</f>
        <v>0.0581</v>
      </c>
      <c r="I5960" s="31" t="n">
        <f aca="false">IF(H6255=1,$C$5936,IF(Assumptions!$I$58=1,MAX(I5934,Assumptions!$G$58)+Assumptions!$F$58+$C$5935,Assumptions!$E$58))</f>
        <v>0.0581</v>
      </c>
      <c r="J5960" s="31" t="n">
        <f aca="false">IF(I6255=1,$C$5936,IF(Assumptions!$I$58=1,MAX(J5934,Assumptions!$G$58)+Assumptions!$F$58+$C$5935,Assumptions!$E$58))</f>
        <v>0.0581</v>
      </c>
      <c r="K5960" s="31" t="n">
        <f aca="false">IF(J6255=1,$C$5936,IF(Assumptions!$I$58=1,MAX(K5934,Assumptions!$G$58)+Assumptions!$F$58+$C$5935,Assumptions!$E$58))</f>
        <v>0.0581</v>
      </c>
    </row>
    <row r="5961" customFormat="false" ht="15" hidden="false" customHeight="false" outlineLevel="0" collapsed="false">
      <c r="A5961" s="3" t="s">
        <v>332</v>
      </c>
      <c r="G5961" s="16" t="n">
        <f aca="false">G5957*G5960</f>
        <v>5.229</v>
      </c>
      <c r="H5961" s="16" t="n">
        <f aca="false">H5957*H5960</f>
        <v>5.229</v>
      </c>
      <c r="I5961" s="16" t="n">
        <f aca="false">I5957*I5960</f>
        <v>5.229</v>
      </c>
      <c r="J5961" s="16" t="n">
        <f aca="false">J5957*J5960</f>
        <v>5.229</v>
      </c>
      <c r="K5961" s="16" t="n">
        <f aca="false">K5957*K5960</f>
        <v>5.229</v>
      </c>
    </row>
    <row r="5962" customFormat="false" ht="15" hidden="false" customHeight="false" outlineLevel="0" collapsed="false">
      <c r="A5962" s="3" t="s">
        <v>333</v>
      </c>
      <c r="G5962" s="16" t="n">
        <f aca="false">G5957*Assumptions!$H$58</f>
        <v>0</v>
      </c>
      <c r="H5962" s="16" t="n">
        <f aca="false">H5957*Assumptions!$H$58</f>
        <v>0</v>
      </c>
      <c r="I5962" s="16" t="n">
        <f aca="false">I5957*Assumptions!$H$58</f>
        <v>0</v>
      </c>
      <c r="J5962" s="16" t="n">
        <f aca="false">J5957*Assumptions!$H$58</f>
        <v>0</v>
      </c>
      <c r="K5962" s="16" t="n">
        <f aca="false">K5957*Assumptions!$H$58</f>
        <v>0</v>
      </c>
    </row>
    <row r="5963" customFormat="false" ht="15" hidden="false" customHeight="false" outlineLevel="0" collapsed="false">
      <c r="A5963" s="3" t="s">
        <v>334</v>
      </c>
      <c r="G5963" s="16" t="n">
        <f aca="false">MIN(G5957,Assumptions!$L$58*Assumptions!$C$58)</f>
        <v>0</v>
      </c>
      <c r="H5963" s="16" t="n">
        <f aca="false">MIN(H5957,Assumptions!$L$58*Assumptions!$C$58)</f>
        <v>0</v>
      </c>
      <c r="I5963" s="16" t="n">
        <f aca="false">MIN(I5957,Assumptions!$L$58*Assumptions!$C$58)</f>
        <v>0</v>
      </c>
      <c r="J5963" s="16" t="n">
        <f aca="false">MIN(J5957,Assumptions!$L$58*Assumptions!$C$58)</f>
        <v>0</v>
      </c>
      <c r="K5963" s="16" t="n">
        <f aca="false">MIN(K5957,Assumptions!$L$58*Assumptions!$C$58)</f>
        <v>0</v>
      </c>
    </row>
    <row r="5964" customFormat="false" ht="15" hidden="false" customHeight="false" outlineLevel="0" collapsed="false">
      <c r="A5964" s="3" t="s">
        <v>335</v>
      </c>
      <c r="G5964" s="16" t="n">
        <f aca="false">IF(AND(Assumptions!$P$58=1,G5908&lt;Assumptions!$K$58),MIN(MAX(0,-G6124),MAX(0,Assumptions!$D$58-G5957)),0)</f>
        <v>0</v>
      </c>
      <c r="H5964" s="16" t="n">
        <f aca="false">IF(AND(Assumptions!$P$58=1,OR(H5908&lt;Assumptions!$K$58,G6255=1)),MIN(MAX(0,-H6124),MAX(0,Assumptions!$D$58-H5957)),0)</f>
        <v>0</v>
      </c>
      <c r="I5964" s="16" t="n">
        <f aca="false">IF(AND(Assumptions!$P$58=1,OR(I5908&lt;Assumptions!$K$58,H6255=1)),MIN(MAX(0,-I6124),MAX(0,Assumptions!$D$58-I5957)),0)</f>
        <v>0</v>
      </c>
      <c r="J5964" s="16" t="n">
        <f aca="false">IF(AND(Assumptions!$P$58=1,OR(J5908&lt;Assumptions!$K$58,I6255=1)),MIN(MAX(0,-J6124),MAX(0,Assumptions!$D$58-J5957)),0)</f>
        <v>0</v>
      </c>
      <c r="K5964" s="16" t="n">
        <f aca="false">IF(AND(Assumptions!$P$58=1,OR(K5908&lt;Assumptions!$K$58,J6255=1)),MIN(MAX(0,-K6124),MAX(0,Assumptions!$D$58-K5957)),0)</f>
        <v>0</v>
      </c>
    </row>
    <row r="5965" customFormat="false" ht="15" hidden="false" customHeight="false" outlineLevel="0" collapsed="false">
      <c r="A5965" s="3" t="s">
        <v>336</v>
      </c>
      <c r="G5965" s="16" t="n">
        <f aca="false">G5958*MIN(G5957-G5963+G5962,MAX(0,G6126-Assumptions!$C$12*G5942-G5952))</f>
        <v>0</v>
      </c>
      <c r="H5965" s="16" t="n">
        <f aca="false">H5958*MIN(H5957-H5963+H5962,MAX(0,H6126-Assumptions!$C$12*H5942-H5952))</f>
        <v>0</v>
      </c>
      <c r="I5965" s="16" t="n">
        <f aca="false">I5958*MIN(I5957-I5963+I5962,MAX(0,I6126-Assumptions!$C$12*I5942-I5952))</f>
        <v>0</v>
      </c>
      <c r="J5965" s="16" t="n">
        <f aca="false">J5958*MIN(J5957-J5963+J5962,MAX(0,J6126-Assumptions!$C$12*J5942-J5952))</f>
        <v>0</v>
      </c>
      <c r="K5965" s="16" t="n">
        <f aca="false">K5958*MIN(K5957-K5963+K5962,MAX(0,K6126-Assumptions!$C$12*K5942-K5952))</f>
        <v>0</v>
      </c>
    </row>
    <row r="5966" customFormat="false" ht="15" hidden="false" customHeight="false" outlineLevel="0" collapsed="false">
      <c r="A5966" s="3" t="s">
        <v>337</v>
      </c>
      <c r="G5966" s="16" t="n">
        <f aca="false">Assumptions!$N$58*MIN(G5957+G5964+G5962-G5963-G5965,MAX(0,G6130-G5953))</f>
        <v>0</v>
      </c>
      <c r="H5966" s="16" t="n">
        <f aca="false">Assumptions!$N$58*MIN(H5957+H5964+H5962-H5963-H5965,MAX(0,H6130-H5953))</f>
        <v>0</v>
      </c>
      <c r="I5966" s="16" t="n">
        <f aca="false">Assumptions!$N$58*MIN(I5957+I5964+I5962-I5963-I5965,MAX(0,I6130-I5953))</f>
        <v>0</v>
      </c>
      <c r="J5966" s="16" t="n">
        <f aca="false">Assumptions!$N$58*MIN(J5957+J5964+J5962-J5963-J5965,MAX(0,J6130-J5953))</f>
        <v>0</v>
      </c>
      <c r="K5966" s="16" t="n">
        <f aca="false">Assumptions!$N$58*MIN(K5957+K5964+K5962-K5963-K5965,MAX(0,K6130-K5953))</f>
        <v>0</v>
      </c>
    </row>
    <row r="5967" customFormat="false" ht="15" hidden="false" customHeight="false" outlineLevel="0" collapsed="false">
      <c r="A5967" s="3" t="s">
        <v>338</v>
      </c>
      <c r="G5967" s="16" t="n">
        <f aca="false">G5958*(1-G5942)*(G5957-G5963+G5962-G5965)</f>
        <v>0</v>
      </c>
      <c r="H5967" s="16" t="n">
        <f aca="false">H5958*(1-H5942)*(H5957-H5963+H5962-H5965)</f>
        <v>0</v>
      </c>
      <c r="I5967" s="16" t="n">
        <f aca="false">I5958*(1-I5942)*(I5957-I5963+I5962-I5965)</f>
        <v>0</v>
      </c>
      <c r="J5967" s="16" t="n">
        <f aca="false">J5958*(1-J5942)*(J5957-J5963+J5962-J5965)</f>
        <v>0</v>
      </c>
      <c r="K5967" s="16" t="n">
        <f aca="false">K5958*(1-K5942)*(K5957-K5963+K5962-K5965)</f>
        <v>0</v>
      </c>
    </row>
    <row r="5968" customFormat="false" ht="15" hidden="false" customHeight="false" outlineLevel="0" collapsed="false">
      <c r="A5968" s="2" t="s">
        <v>339</v>
      </c>
      <c r="F5968" s="28" t="n">
        <f aca="false">Assumptions!$C$58</f>
        <v>90</v>
      </c>
      <c r="G5968" s="17" t="n">
        <f aca="false">G5957+G5964+G5962-G5963-G5965-G5966</f>
        <v>90</v>
      </c>
      <c r="H5968" s="17" t="n">
        <f aca="false">H5957+H5964+H5962-H5963-H5965-H5966</f>
        <v>90</v>
      </c>
      <c r="I5968" s="17" t="n">
        <f aca="false">I5957+I5964+I5962-I5963-I5965-I5966</f>
        <v>90</v>
      </c>
      <c r="J5968" s="17" t="n">
        <f aca="false">J5957+J5964+J5962-J5963-J5965-J5966</f>
        <v>90</v>
      </c>
      <c r="K5968" s="17" t="n">
        <f aca="false">K5957+K5964+K5962-K5963-K5965-K5966</f>
        <v>90</v>
      </c>
    </row>
    <row r="5969" customFormat="false" ht="15" hidden="false" customHeight="false" outlineLevel="0" collapsed="false">
      <c r="A5969" s="24" t="s">
        <v>341</v>
      </c>
      <c r="B5969" s="25"/>
      <c r="C5969" s="25"/>
      <c r="D5969" s="25"/>
      <c r="E5969" s="25"/>
      <c r="F5969" s="25"/>
      <c r="G5969" s="25"/>
      <c r="H5969" s="25"/>
      <c r="I5969" s="25"/>
      <c r="J5969" s="25"/>
      <c r="K5969" s="25"/>
    </row>
    <row r="5970" customFormat="false" ht="15" hidden="false" customHeight="false" outlineLevel="0" collapsed="false">
      <c r="A5970" s="3" t="s">
        <v>329</v>
      </c>
      <c r="G5970" s="16" t="n">
        <f aca="false">F5981</f>
        <v>57.324</v>
      </c>
      <c r="H5970" s="16" t="n">
        <f aca="false">G5981</f>
        <v>57.324</v>
      </c>
      <c r="I5970" s="16" t="n">
        <f aca="false">H5981</f>
        <v>57.324</v>
      </c>
      <c r="J5970" s="16" t="n">
        <f aca="false">I5981</f>
        <v>57.324</v>
      </c>
      <c r="K5970" s="16" t="n">
        <f aca="false">J5981</f>
        <v>57.324</v>
      </c>
    </row>
    <row r="5971" customFormat="false" ht="15" hidden="false" customHeight="false" outlineLevel="0" collapsed="false">
      <c r="A5971" s="3" t="s">
        <v>330</v>
      </c>
      <c r="G5971" s="21" t="n">
        <f aca="false">IF(G5908=Assumptions!$K$59,1,0)</f>
        <v>0</v>
      </c>
      <c r="H5971" s="21" t="n">
        <f aca="false">IF(H5908=Assumptions!$K$59,1,0)</f>
        <v>0</v>
      </c>
      <c r="I5971" s="21" t="n">
        <f aca="false">IF(I5908=Assumptions!$K$59,1,0)</f>
        <v>0</v>
      </c>
      <c r="J5971" s="21" t="n">
        <f aca="false">IF(J5908=Assumptions!$K$59,1,0)</f>
        <v>0</v>
      </c>
      <c r="K5971" s="21" t="n">
        <f aca="false">IF(K5908=Assumptions!$K$59,1,0)</f>
        <v>0</v>
      </c>
    </row>
    <row r="5973" customFormat="false" ht="15" hidden="false" customHeight="false" outlineLevel="0" collapsed="false">
      <c r="A5973" s="3" t="s">
        <v>331</v>
      </c>
      <c r="G5973" s="31" t="n">
        <f aca="false">IF(Assumptions!$I$59=1,MAX(G5934,Assumptions!$G$59)+Assumptions!$F$59+$C$5935,Assumptions!$E$59)</f>
        <v>0.0731</v>
      </c>
      <c r="H5973" s="31" t="n">
        <f aca="false">IF(G6256=1,$C$5936,IF(Assumptions!$I$59=1,MAX(H5934,Assumptions!$G$59)+Assumptions!$F$59+$C$5935,Assumptions!$E$59))</f>
        <v>0.0731</v>
      </c>
      <c r="I5973" s="31" t="n">
        <f aca="false">IF(H6256=1,$C$5936,IF(Assumptions!$I$59=1,MAX(I5934,Assumptions!$G$59)+Assumptions!$F$59+$C$5935,Assumptions!$E$59))</f>
        <v>0.0731</v>
      </c>
      <c r="J5973" s="31" t="n">
        <f aca="false">IF(I6256=1,$C$5936,IF(Assumptions!$I$59=1,MAX(J5934,Assumptions!$G$59)+Assumptions!$F$59+$C$5935,Assumptions!$E$59))</f>
        <v>0.0731</v>
      </c>
      <c r="K5973" s="31" t="n">
        <f aca="false">IF(J6256=1,$C$5936,IF(Assumptions!$I$59=1,MAX(K5934,Assumptions!$G$59)+Assumptions!$F$59+$C$5935,Assumptions!$E$59))</f>
        <v>0.0731</v>
      </c>
    </row>
    <row r="5974" customFormat="false" ht="15" hidden="false" customHeight="false" outlineLevel="0" collapsed="false">
      <c r="A5974" s="3" t="s">
        <v>332</v>
      </c>
      <c r="G5974" s="16" t="n">
        <f aca="false">G5970*G5973</f>
        <v>4.1903844</v>
      </c>
      <c r="H5974" s="16" t="n">
        <f aca="false">H5970*H5973</f>
        <v>4.1903844</v>
      </c>
      <c r="I5974" s="16" t="n">
        <f aca="false">I5970*I5973</f>
        <v>4.1903844</v>
      </c>
      <c r="J5974" s="16" t="n">
        <f aca="false">J5970*J5973</f>
        <v>4.1903844</v>
      </c>
      <c r="K5974" s="16" t="n">
        <f aca="false">K5970*K5973</f>
        <v>4.1903844</v>
      </c>
    </row>
    <row r="5975" customFormat="false" ht="15" hidden="false" customHeight="false" outlineLevel="0" collapsed="false">
      <c r="A5975" s="3" t="s">
        <v>333</v>
      </c>
      <c r="G5975" s="16" t="n">
        <f aca="false">G5970*Assumptions!$H$59</f>
        <v>0</v>
      </c>
      <c r="H5975" s="16" t="n">
        <f aca="false">H5970*Assumptions!$H$59</f>
        <v>0</v>
      </c>
      <c r="I5975" s="16" t="n">
        <f aca="false">I5970*Assumptions!$H$59</f>
        <v>0</v>
      </c>
      <c r="J5975" s="16" t="n">
        <f aca="false">J5970*Assumptions!$H$59</f>
        <v>0</v>
      </c>
      <c r="K5975" s="16" t="n">
        <f aca="false">K5970*Assumptions!$H$59</f>
        <v>0</v>
      </c>
    </row>
    <row r="5976" customFormat="false" ht="15" hidden="false" customHeight="false" outlineLevel="0" collapsed="false">
      <c r="A5976" s="3" t="s">
        <v>334</v>
      </c>
      <c r="G5976" s="16" t="n">
        <f aca="false">MIN(G5970,Assumptions!$L$59*Assumptions!$C$59)</f>
        <v>0</v>
      </c>
      <c r="H5976" s="16" t="n">
        <f aca="false">MIN(H5970,Assumptions!$L$59*Assumptions!$C$59)</f>
        <v>0</v>
      </c>
      <c r="I5976" s="16" t="n">
        <f aca="false">MIN(I5970,Assumptions!$L$59*Assumptions!$C$59)</f>
        <v>0</v>
      </c>
      <c r="J5976" s="16" t="n">
        <f aca="false">MIN(J5970,Assumptions!$L$59*Assumptions!$C$59)</f>
        <v>0</v>
      </c>
      <c r="K5976" s="16" t="n">
        <f aca="false">MIN(K5970,Assumptions!$L$59*Assumptions!$C$59)</f>
        <v>0</v>
      </c>
    </row>
    <row r="5977" customFormat="false" ht="15" hidden="false" customHeight="false" outlineLevel="0" collapsed="false">
      <c r="A5977" s="3" t="s">
        <v>335</v>
      </c>
      <c r="G5977" s="16" t="n">
        <f aca="false">IF(AND(Assumptions!$P$59=1,G5908&lt;Assumptions!$K$59),MIN(MAX(0,-G6124),MAX(0,Assumptions!$D$59-G5970)),0)</f>
        <v>0</v>
      </c>
      <c r="H5977" s="16" t="n">
        <f aca="false">IF(AND(Assumptions!$P$59=1,OR(H5908&lt;Assumptions!$K$59,G6256=1)),MIN(MAX(0,-H6124),MAX(0,Assumptions!$D$59-H5970)),0)</f>
        <v>0</v>
      </c>
      <c r="I5977" s="16" t="n">
        <f aca="false">IF(AND(Assumptions!$P$59=1,OR(I5908&lt;Assumptions!$K$59,H6256=1)),MIN(MAX(0,-I6124),MAX(0,Assumptions!$D$59-I5970)),0)</f>
        <v>0</v>
      </c>
      <c r="J5977" s="16" t="n">
        <f aca="false">IF(AND(Assumptions!$P$59=1,OR(J5908&lt;Assumptions!$K$59,I6256=1)),MIN(MAX(0,-J6124),MAX(0,Assumptions!$D$59-J5970)),0)</f>
        <v>0</v>
      </c>
      <c r="K5977" s="16" t="n">
        <f aca="false">IF(AND(Assumptions!$P$59=1,OR(K5908&lt;Assumptions!$K$59,J6256=1)),MIN(MAX(0,-K6124),MAX(0,Assumptions!$D$59-K5970)),0)</f>
        <v>0</v>
      </c>
    </row>
    <row r="5978" customFormat="false" ht="15" hidden="false" customHeight="false" outlineLevel="0" collapsed="false">
      <c r="A5978" s="3" t="s">
        <v>336</v>
      </c>
      <c r="G5978" s="16" t="n">
        <f aca="false">G5971*MIN(G5970-G5976+G5975,MAX(0,G6126-Assumptions!$C$12*G5942-G5952-G5965))</f>
        <v>0</v>
      </c>
      <c r="H5978" s="16" t="n">
        <f aca="false">H5971*MIN(H5970-H5976+H5975,MAX(0,H6126-Assumptions!$C$12*H5942-H5952-H5965))</f>
        <v>0</v>
      </c>
      <c r="I5978" s="16" t="n">
        <f aca="false">I5971*MIN(I5970-I5976+I5975,MAX(0,I6126-Assumptions!$C$12*I5942-I5952-I5965))</f>
        <v>0</v>
      </c>
      <c r="J5978" s="16" t="n">
        <f aca="false">J5971*MIN(J5970-J5976+J5975,MAX(0,J6126-Assumptions!$C$12*J5942-J5952-J5965))</f>
        <v>0</v>
      </c>
      <c r="K5978" s="16" t="n">
        <f aca="false">K5971*MIN(K5970-K5976+K5975,MAX(0,K6126-Assumptions!$C$12*K5942-K5952-K5965))</f>
        <v>0</v>
      </c>
    </row>
    <row r="5979" customFormat="false" ht="15" hidden="false" customHeight="false" outlineLevel="0" collapsed="false">
      <c r="A5979" s="3" t="s">
        <v>337</v>
      </c>
      <c r="G5979" s="16" t="n">
        <f aca="false">Assumptions!$N$59*MIN(G5970+G5977+G5975-G5976-G5978,MAX(0,G6130-G5953-G5966))</f>
        <v>0</v>
      </c>
      <c r="H5979" s="16" t="n">
        <f aca="false">Assumptions!$N$59*MIN(H5970+H5977+H5975-H5976-H5978,MAX(0,H6130-H5953-H5966))</f>
        <v>0</v>
      </c>
      <c r="I5979" s="16" t="n">
        <f aca="false">Assumptions!$N$59*MIN(I5970+I5977+I5975-I5976-I5978,MAX(0,I6130-I5953-I5966))</f>
        <v>0</v>
      </c>
      <c r="J5979" s="16" t="n">
        <f aca="false">Assumptions!$N$59*MIN(J5970+J5977+J5975-J5976-J5978,MAX(0,J6130-J5953-J5966))</f>
        <v>0</v>
      </c>
      <c r="K5979" s="16" t="n">
        <f aca="false">Assumptions!$N$59*MIN(K5970+K5977+K5975-K5976-K5978,MAX(0,K6130-K5953-K5966))</f>
        <v>0</v>
      </c>
    </row>
    <row r="5980" customFormat="false" ht="15" hidden="false" customHeight="false" outlineLevel="0" collapsed="false">
      <c r="A5980" s="3" t="s">
        <v>338</v>
      </c>
      <c r="G5980" s="16" t="n">
        <f aca="false">G5971*(1-G5942)*(G5970-G5976+G5975-G5978)</f>
        <v>0</v>
      </c>
      <c r="H5980" s="16" t="n">
        <f aca="false">H5971*(1-H5942)*(H5970-H5976+H5975-H5978)</f>
        <v>0</v>
      </c>
      <c r="I5980" s="16" t="n">
        <f aca="false">I5971*(1-I5942)*(I5970-I5976+I5975-I5978)</f>
        <v>0</v>
      </c>
      <c r="J5980" s="16" t="n">
        <f aca="false">J5971*(1-J5942)*(J5970-J5976+J5975-J5978)</f>
        <v>0</v>
      </c>
      <c r="K5980" s="16" t="n">
        <f aca="false">K5971*(1-K5942)*(K5970-K5976+K5975-K5978)</f>
        <v>0</v>
      </c>
    </row>
    <row r="5981" customFormat="false" ht="15" hidden="false" customHeight="false" outlineLevel="0" collapsed="false">
      <c r="A5981" s="2" t="s">
        <v>339</v>
      </c>
      <c r="F5981" s="28" t="n">
        <f aca="false">Assumptions!$C$59</f>
        <v>57.324</v>
      </c>
      <c r="G5981" s="17" t="n">
        <f aca="false">G5970+G5977+G5975-G5976-G5978-G5979</f>
        <v>57.324</v>
      </c>
      <c r="H5981" s="17" t="n">
        <f aca="false">H5970+H5977+H5975-H5976-H5978-H5979</f>
        <v>57.324</v>
      </c>
      <c r="I5981" s="17" t="n">
        <f aca="false">I5970+I5977+I5975-I5976-I5978-I5979</f>
        <v>57.324</v>
      </c>
      <c r="J5981" s="17" t="n">
        <f aca="false">J5970+J5977+J5975-J5976-J5978-J5979</f>
        <v>57.324</v>
      </c>
      <c r="K5981" s="17" t="n">
        <f aca="false">K5970+K5977+K5975-K5976-K5978-K5979</f>
        <v>57.324</v>
      </c>
    </row>
    <row r="5982" customFormat="false" ht="15" hidden="false" customHeight="false" outlineLevel="0" collapsed="false">
      <c r="A5982" s="24" t="s">
        <v>342</v>
      </c>
      <c r="B5982" s="25"/>
      <c r="C5982" s="25"/>
      <c r="D5982" s="25"/>
      <c r="E5982" s="25"/>
      <c r="F5982" s="25"/>
      <c r="G5982" s="25"/>
      <c r="H5982" s="25"/>
      <c r="I5982" s="25"/>
      <c r="J5982" s="25"/>
      <c r="K5982" s="25"/>
    </row>
    <row r="5983" customFormat="false" ht="15" hidden="false" customHeight="false" outlineLevel="0" collapsed="false">
      <c r="A5983" s="3" t="s">
        <v>329</v>
      </c>
      <c r="G5983" s="16" t="n">
        <f aca="false">F5994</f>
        <v>0</v>
      </c>
      <c r="H5983" s="16" t="n">
        <f aca="false">G5994</f>
        <v>0</v>
      </c>
      <c r="I5983" s="16" t="n">
        <f aca="false">H5994</f>
        <v>0</v>
      </c>
      <c r="J5983" s="16" t="n">
        <f aca="false">I5994</f>
        <v>0</v>
      </c>
      <c r="K5983" s="16" t="n">
        <f aca="false">J5994</f>
        <v>0</v>
      </c>
    </row>
    <row r="5984" customFormat="false" ht="15" hidden="false" customHeight="false" outlineLevel="0" collapsed="false">
      <c r="A5984" s="3" t="s">
        <v>330</v>
      </c>
      <c r="G5984" s="21" t="n">
        <f aca="false">IF(G5908=Assumptions!$K$60,1,0)</f>
        <v>1</v>
      </c>
      <c r="H5984" s="21" t="n">
        <f aca="false">IF(H5908=Assumptions!$K$60,1,0)</f>
        <v>0</v>
      </c>
      <c r="I5984" s="21" t="n">
        <f aca="false">IF(I5908=Assumptions!$K$60,1,0)</f>
        <v>0</v>
      </c>
      <c r="J5984" s="21" t="n">
        <f aca="false">IF(J5908=Assumptions!$K$60,1,0)</f>
        <v>0</v>
      </c>
      <c r="K5984" s="21" t="n">
        <f aca="false">IF(K5908=Assumptions!$K$60,1,0)</f>
        <v>0</v>
      </c>
    </row>
    <row r="5986" customFormat="false" ht="15" hidden="false" customHeight="false" outlineLevel="0" collapsed="false">
      <c r="A5986" s="3" t="s">
        <v>331</v>
      </c>
      <c r="G5986" s="31" t="n">
        <f aca="false">IF(Assumptions!$I$60=1,MAX(G5934,Assumptions!$G$60)+Assumptions!$F$60+$C$5935,Assumptions!$E$60)</f>
        <v>0.069</v>
      </c>
      <c r="H5986" s="31" t="n">
        <f aca="false">IF(G6257=1,$C$5936,IF(Assumptions!$I$60=1,MAX(H5934,Assumptions!$G$60)+Assumptions!$F$60+$C$5935,Assumptions!$E$60))</f>
        <v>0.0675</v>
      </c>
      <c r="I5986" s="31" t="n">
        <f aca="false">IF(H6257=1,$C$5936,IF(Assumptions!$I$60=1,MAX(I5934,Assumptions!$G$60)+Assumptions!$F$60+$C$5935,Assumptions!$E$60))</f>
        <v>0.065</v>
      </c>
      <c r="J5986" s="31" t="n">
        <f aca="false">IF(I6257=1,$C$5936,IF(Assumptions!$I$60=1,MAX(J5934,Assumptions!$G$60)+Assumptions!$F$60+$C$5935,Assumptions!$E$60))</f>
        <v>0.065</v>
      </c>
      <c r="K5986" s="31" t="n">
        <f aca="false">IF(J6257=1,$C$5936,IF(Assumptions!$I$60=1,MAX(K5934,Assumptions!$G$60)+Assumptions!$F$60+$C$5935,Assumptions!$E$60))</f>
        <v>0.065</v>
      </c>
    </row>
    <row r="5987" customFormat="false" ht="15" hidden="false" customHeight="false" outlineLevel="0" collapsed="false">
      <c r="A5987" s="3" t="s">
        <v>332</v>
      </c>
      <c r="G5987" s="16" t="n">
        <f aca="false">G5983*G5986</f>
        <v>0</v>
      </c>
      <c r="H5987" s="16" t="n">
        <f aca="false">H5983*H5986</f>
        <v>0</v>
      </c>
      <c r="I5987" s="16" t="n">
        <f aca="false">I5983*I5986</f>
        <v>0</v>
      </c>
      <c r="J5987" s="16" t="n">
        <f aca="false">J5983*J5986</f>
        <v>0</v>
      </c>
      <c r="K5987" s="16" t="n">
        <f aca="false">K5983*K5986</f>
        <v>0</v>
      </c>
    </row>
    <row r="5988" customFormat="false" ht="15" hidden="false" customHeight="false" outlineLevel="0" collapsed="false">
      <c r="A5988" s="3" t="s">
        <v>333</v>
      </c>
      <c r="G5988" s="16" t="n">
        <f aca="false">G5983*Assumptions!$H$60</f>
        <v>0</v>
      </c>
      <c r="H5988" s="16" t="n">
        <f aca="false">H5983*Assumptions!$H$60</f>
        <v>0</v>
      </c>
      <c r="I5988" s="16" t="n">
        <f aca="false">I5983*Assumptions!$H$60</f>
        <v>0</v>
      </c>
      <c r="J5988" s="16" t="n">
        <f aca="false">J5983*Assumptions!$H$60</f>
        <v>0</v>
      </c>
      <c r="K5988" s="16" t="n">
        <f aca="false">K5983*Assumptions!$H$60</f>
        <v>0</v>
      </c>
    </row>
    <row r="5989" customFormat="false" ht="15" hidden="false" customHeight="false" outlineLevel="0" collapsed="false">
      <c r="A5989" s="3" t="s">
        <v>334</v>
      </c>
      <c r="G5989" s="16" t="n">
        <f aca="false">MIN(G5983,Assumptions!$L$60*Assumptions!$C$60)</f>
        <v>0</v>
      </c>
      <c r="H5989" s="16" t="n">
        <f aca="false">MIN(H5983,Assumptions!$L$60*Assumptions!$C$60)</f>
        <v>0</v>
      </c>
      <c r="I5989" s="16" t="n">
        <f aca="false">MIN(I5983,Assumptions!$L$60*Assumptions!$C$60)</f>
        <v>0</v>
      </c>
      <c r="J5989" s="16" t="n">
        <f aca="false">MIN(J5983,Assumptions!$L$60*Assumptions!$C$60)</f>
        <v>0</v>
      </c>
      <c r="K5989" s="16" t="n">
        <f aca="false">MIN(K5983,Assumptions!$L$60*Assumptions!$C$60)</f>
        <v>0</v>
      </c>
    </row>
    <row r="5990" customFormat="false" ht="15" hidden="false" customHeight="false" outlineLevel="0" collapsed="false">
      <c r="A5990" s="3" t="s">
        <v>335</v>
      </c>
      <c r="G5990" s="16" t="n">
        <f aca="false">IF(AND(Assumptions!$P$60=1,G5908&lt;Assumptions!$K$60),MIN(MAX(0,-G6124),MAX(0,Assumptions!$D$60-G5983)),0)</f>
        <v>0</v>
      </c>
      <c r="H5990" s="16" t="n">
        <f aca="false">IF(AND(Assumptions!$P$60=1,OR(H5908&lt;Assumptions!$K$60,G6257=1)),MIN(MAX(0,-H6124),MAX(0,Assumptions!$D$60-H5983)),0)</f>
        <v>0</v>
      </c>
      <c r="I5990" s="16" t="n">
        <f aca="false">IF(AND(Assumptions!$P$60=1,OR(I5908&lt;Assumptions!$K$60,H6257=1)),MIN(MAX(0,-I6124),MAX(0,Assumptions!$D$60-I5983)),0)</f>
        <v>0</v>
      </c>
      <c r="J5990" s="16" t="n">
        <f aca="false">IF(AND(Assumptions!$P$60=1,OR(J5908&lt;Assumptions!$K$60,I6257=1)),MIN(MAX(0,-J6124),MAX(0,Assumptions!$D$60-J5983)),0)</f>
        <v>0</v>
      </c>
      <c r="K5990" s="16" t="n">
        <f aca="false">IF(AND(Assumptions!$P$60=1,OR(K5908&lt;Assumptions!$K$60,J6257=1)),MIN(MAX(0,-K6124),MAX(0,Assumptions!$D$60-K5983)),0)</f>
        <v>0</v>
      </c>
    </row>
    <row r="5991" customFormat="false" ht="15" hidden="false" customHeight="false" outlineLevel="0" collapsed="false">
      <c r="A5991" s="3" t="s">
        <v>336</v>
      </c>
      <c r="G5991" s="16" t="n">
        <f aca="false">G5984*MIN(G5983-G5989+G5988,MAX(0,G6126-Assumptions!$C$12*G5942-G5952-G5965-G5978))</f>
        <v>0</v>
      </c>
      <c r="H5991" s="16" t="n">
        <f aca="false">H5984*MIN(H5983-H5989+H5988,MAX(0,H6126-Assumptions!$C$12*H5942-H5952-H5965-H5978))</f>
        <v>0</v>
      </c>
      <c r="I5991" s="16" t="n">
        <f aca="false">I5984*MIN(I5983-I5989+I5988,MAX(0,I6126-Assumptions!$C$12*I5942-I5952-I5965-I5978))</f>
        <v>0</v>
      </c>
      <c r="J5991" s="16" t="n">
        <f aca="false">J5984*MIN(J5983-J5989+J5988,MAX(0,J6126-Assumptions!$C$12*J5942-J5952-J5965-J5978))</f>
        <v>0</v>
      </c>
      <c r="K5991" s="16" t="n">
        <f aca="false">K5984*MIN(K5983-K5989+K5988,MAX(0,K6126-Assumptions!$C$12*K5942-K5952-K5965-K5978))</f>
        <v>0</v>
      </c>
    </row>
    <row r="5992" customFormat="false" ht="15" hidden="false" customHeight="false" outlineLevel="0" collapsed="false">
      <c r="A5992" s="3" t="s">
        <v>337</v>
      </c>
      <c r="G5992" s="16" t="n">
        <f aca="false">Assumptions!$N$60*MIN(G5983+G5990+G5988-G5989-G5991,MAX(0,G6130-G5953-G5966-G5979))</f>
        <v>0</v>
      </c>
      <c r="H5992" s="16" t="n">
        <f aca="false">Assumptions!$N$60*MIN(H5983+H5990+H5988-H5989-H5991,MAX(0,H6130-H5953-H5966-H5979))</f>
        <v>0</v>
      </c>
      <c r="I5992" s="16" t="n">
        <f aca="false">Assumptions!$N$60*MIN(I5983+I5990+I5988-I5989-I5991,MAX(0,I6130-I5953-I5966-I5979))</f>
        <v>0</v>
      </c>
      <c r="J5992" s="16" t="n">
        <f aca="false">Assumptions!$N$60*MIN(J5983+J5990+J5988-J5989-J5991,MAX(0,J6130-J5953-J5966-J5979))</f>
        <v>0</v>
      </c>
      <c r="K5992" s="16" t="n">
        <f aca="false">Assumptions!$N$60*MIN(K5983+K5990+K5988-K5989-K5991,MAX(0,K6130-K5953-K5966-K5979))</f>
        <v>0</v>
      </c>
    </row>
    <row r="5993" customFormat="false" ht="15" hidden="false" customHeight="false" outlineLevel="0" collapsed="false">
      <c r="A5993" s="3" t="s">
        <v>338</v>
      </c>
      <c r="G5993" s="16" t="n">
        <f aca="false">G5984*(1-G5942)*(G5983-G5989+G5988-G5991)</f>
        <v>0</v>
      </c>
      <c r="H5993" s="16" t="n">
        <f aca="false">H5984*(1-H5942)*(H5983-H5989+H5988-H5991)</f>
        <v>0</v>
      </c>
      <c r="I5993" s="16" t="n">
        <f aca="false">I5984*(1-I5942)*(I5983-I5989+I5988-I5991)</f>
        <v>0</v>
      </c>
      <c r="J5993" s="16" t="n">
        <f aca="false">J5984*(1-J5942)*(J5983-J5989+J5988-J5991)</f>
        <v>0</v>
      </c>
      <c r="K5993" s="16" t="n">
        <f aca="false">K5984*(1-K5942)*(K5983-K5989+K5988-K5991)</f>
        <v>0</v>
      </c>
    </row>
    <row r="5994" customFormat="false" ht="15" hidden="false" customHeight="false" outlineLevel="0" collapsed="false">
      <c r="A5994" s="2" t="s">
        <v>339</v>
      </c>
      <c r="F5994" s="28" t="n">
        <f aca="false">Assumptions!$C$60</f>
        <v>0</v>
      </c>
      <c r="G5994" s="17" t="n">
        <f aca="false">G5983+G5990+G5988-G5989-G5991-G5992</f>
        <v>0</v>
      </c>
      <c r="H5994" s="17" t="n">
        <f aca="false">H5983+H5990+H5988-H5989-H5991-H5992</f>
        <v>0</v>
      </c>
      <c r="I5994" s="17" t="n">
        <f aca="false">I5983+I5990+I5988-I5989-I5991-I5992</f>
        <v>0</v>
      </c>
      <c r="J5994" s="17" t="n">
        <f aca="false">J5983+J5990+J5988-J5989-J5991-J5992</f>
        <v>0</v>
      </c>
      <c r="K5994" s="17" t="n">
        <f aca="false">K5983+K5990+K5988-K5989-K5991-K5992</f>
        <v>0</v>
      </c>
    </row>
    <row r="5995" customFormat="false" ht="15" hidden="false" customHeight="false" outlineLevel="0" collapsed="false">
      <c r="A5995" s="24" t="s">
        <v>343</v>
      </c>
      <c r="B5995" s="25"/>
      <c r="C5995" s="25"/>
      <c r="D5995" s="25"/>
      <c r="E5995" s="25"/>
      <c r="F5995" s="25"/>
      <c r="G5995" s="25"/>
      <c r="H5995" s="25"/>
      <c r="I5995" s="25"/>
      <c r="J5995" s="25"/>
      <c r="K5995" s="25"/>
    </row>
    <row r="5996" customFormat="false" ht="15" hidden="false" customHeight="false" outlineLevel="0" collapsed="false">
      <c r="A5996" s="3" t="s">
        <v>329</v>
      </c>
      <c r="G5996" s="16" t="n">
        <f aca="false">F6007</f>
        <v>450</v>
      </c>
      <c r="H5996" s="16" t="n">
        <f aca="false">G6007</f>
        <v>450</v>
      </c>
      <c r="I5996" s="16" t="n">
        <f aca="false">H6007</f>
        <v>419.901063357</v>
      </c>
      <c r="J5996" s="16" t="n">
        <f aca="false">I6007</f>
        <v>419.901063357</v>
      </c>
      <c r="K5996" s="16" t="n">
        <f aca="false">J6007</f>
        <v>419.901063357</v>
      </c>
    </row>
    <row r="5997" customFormat="false" ht="15" hidden="false" customHeight="false" outlineLevel="0" collapsed="false">
      <c r="A5997" s="3" t="s">
        <v>330</v>
      </c>
      <c r="G5997" s="21" t="n">
        <f aca="false">IF(G5908=Assumptions!$K$61,1,0)</f>
        <v>0</v>
      </c>
      <c r="H5997" s="21" t="n">
        <f aca="false">IF(H5908=Assumptions!$K$61,1,0)</f>
        <v>1</v>
      </c>
      <c r="I5997" s="21" t="n">
        <f aca="false">IF(I5908=Assumptions!$K$61,1,0)</f>
        <v>0</v>
      </c>
      <c r="J5997" s="21" t="n">
        <f aca="false">IF(J5908=Assumptions!$K$61,1,0)</f>
        <v>0</v>
      </c>
      <c r="K5997" s="21" t="n">
        <f aca="false">IF(K5908=Assumptions!$K$61,1,0)</f>
        <v>0</v>
      </c>
    </row>
    <row r="5999" customFormat="false" ht="15" hidden="false" customHeight="false" outlineLevel="0" collapsed="false">
      <c r="A5999" s="3" t="s">
        <v>331</v>
      </c>
      <c r="G5999" s="31" t="n">
        <f aca="false">IF(Assumptions!$I$61=1,MAX(G5934,Assumptions!$G$61)+Assumptions!$F$61+$C$5935,Assumptions!$E$61)</f>
        <v>0.0395</v>
      </c>
      <c r="H5999" s="31" t="n">
        <f aca="false">IF(G6258=1,$C$5936,IF(Assumptions!$I$61=1,MAX(H5934,Assumptions!$G$61)+Assumptions!$F$61+$C$5935,Assumptions!$E$61))</f>
        <v>0.0395</v>
      </c>
      <c r="I5999" s="31" t="n">
        <f aca="false">IF(H6258=1,$C$5936,IF(Assumptions!$I$61=1,MAX(I5934,Assumptions!$G$61)+Assumptions!$F$61+$C$5935,Assumptions!$E$61))</f>
        <v>0.0395</v>
      </c>
      <c r="J5999" s="31" t="n">
        <f aca="false">IF(I6258=1,$C$5936,IF(Assumptions!$I$61=1,MAX(J5934,Assumptions!$G$61)+Assumptions!$F$61+$C$5935,Assumptions!$E$61))</f>
        <v>0.0395</v>
      </c>
      <c r="K5999" s="31" t="n">
        <f aca="false">IF(J6258=1,$C$5936,IF(Assumptions!$I$61=1,MAX(K5934,Assumptions!$G$61)+Assumptions!$F$61+$C$5935,Assumptions!$E$61))</f>
        <v>0.0395</v>
      </c>
    </row>
    <row r="6000" customFormat="false" ht="15" hidden="false" customHeight="false" outlineLevel="0" collapsed="false">
      <c r="A6000" s="3" t="s">
        <v>332</v>
      </c>
      <c r="G6000" s="16" t="n">
        <f aca="false">G5996*G5999</f>
        <v>17.775</v>
      </c>
      <c r="H6000" s="16" t="n">
        <f aca="false">H5996*H5999</f>
        <v>17.775</v>
      </c>
      <c r="I6000" s="16" t="n">
        <f aca="false">I5996*I5999</f>
        <v>16.5860920026015</v>
      </c>
      <c r="J6000" s="16" t="n">
        <f aca="false">J5996*J5999</f>
        <v>16.5860920026015</v>
      </c>
      <c r="K6000" s="16" t="n">
        <f aca="false">K5996*K5999</f>
        <v>16.5860920026015</v>
      </c>
    </row>
    <row r="6001" customFormat="false" ht="15" hidden="false" customHeight="false" outlineLevel="0" collapsed="false">
      <c r="A6001" s="3" t="s">
        <v>333</v>
      </c>
      <c r="G6001" s="16" t="n">
        <f aca="false">G5996*Assumptions!$H$61</f>
        <v>0</v>
      </c>
      <c r="H6001" s="16" t="n">
        <f aca="false">H5996*Assumptions!$H$61</f>
        <v>0</v>
      </c>
      <c r="I6001" s="16" t="n">
        <f aca="false">I5996*Assumptions!$H$61</f>
        <v>0</v>
      </c>
      <c r="J6001" s="16" t="n">
        <f aca="false">J5996*Assumptions!$H$61</f>
        <v>0</v>
      </c>
      <c r="K6001" s="16" t="n">
        <f aca="false">K5996*Assumptions!$H$61</f>
        <v>0</v>
      </c>
    </row>
    <row r="6002" customFormat="false" ht="15" hidden="false" customHeight="false" outlineLevel="0" collapsed="false">
      <c r="A6002" s="3" t="s">
        <v>334</v>
      </c>
      <c r="G6002" s="16" t="n">
        <f aca="false">MIN(G5996,Assumptions!$L$61*Assumptions!$C$61)</f>
        <v>0</v>
      </c>
      <c r="H6002" s="16" t="n">
        <f aca="false">MIN(H5996,Assumptions!$L$61*Assumptions!$C$61)</f>
        <v>0</v>
      </c>
      <c r="I6002" s="16" t="n">
        <f aca="false">MIN(I5996,Assumptions!$L$61*Assumptions!$C$61)</f>
        <v>0</v>
      </c>
      <c r="J6002" s="16" t="n">
        <f aca="false">MIN(J5996,Assumptions!$L$61*Assumptions!$C$61)</f>
        <v>0</v>
      </c>
      <c r="K6002" s="16" t="n">
        <f aca="false">MIN(K5996,Assumptions!$L$61*Assumptions!$C$61)</f>
        <v>0</v>
      </c>
    </row>
    <row r="6003" customFormat="false" ht="15" hidden="false" customHeight="false" outlineLevel="0" collapsed="false">
      <c r="A6003" s="3" t="s">
        <v>335</v>
      </c>
      <c r="G6003" s="16" t="n">
        <f aca="false">IF(AND(Assumptions!$P$61=1,G5908&lt;Assumptions!$K$61),MIN(MAX(0,-G6124),MAX(0,Assumptions!$D$61-G5996)),0)</f>
        <v>0</v>
      </c>
      <c r="H6003" s="16" t="n">
        <f aca="false">IF(AND(Assumptions!$P$61=1,OR(H5908&lt;Assumptions!$K$61,G6258=1)),MIN(MAX(0,-H6124),MAX(0,Assumptions!$D$61-H5996)),0)</f>
        <v>0</v>
      </c>
      <c r="I6003" s="16" t="n">
        <f aca="false">IF(AND(Assumptions!$P$61=1,OR(I5908&lt;Assumptions!$K$61,H6258=1)),MIN(MAX(0,-I6124),MAX(0,Assumptions!$D$61-I5996)),0)</f>
        <v>0</v>
      </c>
      <c r="J6003" s="16" t="n">
        <f aca="false">IF(AND(Assumptions!$P$61=1,OR(J5908&lt;Assumptions!$K$61,I6258=1)),MIN(MAX(0,-J6124),MAX(0,Assumptions!$D$61-J5996)),0)</f>
        <v>0</v>
      </c>
      <c r="K6003" s="16" t="n">
        <f aca="false">IF(AND(Assumptions!$P$61=1,OR(K5908&lt;Assumptions!$K$61,J6258=1)),MIN(MAX(0,-K6124),MAX(0,Assumptions!$D$61-K5996)),0)</f>
        <v>0</v>
      </c>
    </row>
    <row r="6004" customFormat="false" ht="15" hidden="false" customHeight="false" outlineLevel="0" collapsed="false">
      <c r="A6004" s="3" t="s">
        <v>336</v>
      </c>
      <c r="G6004" s="16" t="n">
        <f aca="false">G5997*MIN(G5996-G6002+G6001,MAX(0,G6126-Assumptions!$C$12*G5942-G5952-G5965-G5978-G5991))</f>
        <v>0</v>
      </c>
      <c r="H6004" s="16" t="n">
        <f aca="false">H5997*MIN(H5996-H6002+H6001,MAX(0,H6126-Assumptions!$C$12*H5942-H5952-H5965-H5978-H5991))</f>
        <v>30.098936643</v>
      </c>
      <c r="I6004" s="16" t="n">
        <f aca="false">I5997*MIN(I5996-I6002+I6001,MAX(0,I6126-Assumptions!$C$12*I5942-I5952-I5965-I5978-I5991))</f>
        <v>0</v>
      </c>
      <c r="J6004" s="16" t="n">
        <f aca="false">J5997*MIN(J5996-J6002+J6001,MAX(0,J6126-Assumptions!$C$12*J5942-J5952-J5965-J5978-J5991))</f>
        <v>0</v>
      </c>
      <c r="K6004" s="16" t="n">
        <f aca="false">K5997*MIN(K5996-K6002+K6001,MAX(0,K6126-Assumptions!$C$12*K5942-K5952-K5965-K5978-K5991))</f>
        <v>0</v>
      </c>
    </row>
    <row r="6005" customFormat="false" ht="15" hidden="false" customHeight="false" outlineLevel="0" collapsed="false">
      <c r="A6005" s="3" t="s">
        <v>337</v>
      </c>
      <c r="G6005" s="16" t="n">
        <f aca="false">Assumptions!$N$61*MIN(G5996+G6003+G6001-G6002-G6004,MAX(0,G6130-G5953-G5966-G5979-G5992))</f>
        <v>0</v>
      </c>
      <c r="H6005" s="16" t="n">
        <f aca="false">Assumptions!$N$61*MIN(H5996+H6003+H6001-H6002-H6004,MAX(0,H6130-H5953-H5966-H5979-H5992))</f>
        <v>0</v>
      </c>
      <c r="I6005" s="16" t="n">
        <f aca="false">Assumptions!$N$61*MIN(I5996+I6003+I6001-I6002-I6004,MAX(0,I6130-I5953-I5966-I5979-I5992))</f>
        <v>0</v>
      </c>
      <c r="J6005" s="16" t="n">
        <f aca="false">Assumptions!$N$61*MIN(J5996+J6003+J6001-J6002-J6004,MAX(0,J6130-J5953-J5966-J5979-J5992))</f>
        <v>0</v>
      </c>
      <c r="K6005" s="16" t="n">
        <f aca="false">Assumptions!$N$61*MIN(K5996+K6003+K6001-K6002-K6004,MAX(0,K6130-K5953-K5966-K5979-K5992))</f>
        <v>0</v>
      </c>
    </row>
    <row r="6006" customFormat="false" ht="15" hidden="false" customHeight="false" outlineLevel="0" collapsed="false">
      <c r="A6006" s="3" t="s">
        <v>338</v>
      </c>
      <c r="G6006" s="16" t="n">
        <f aca="false">G5997*(1-G5942)*(G5996-G6002+G6001-G6004)</f>
        <v>0</v>
      </c>
      <c r="H6006" s="16" t="n">
        <f aca="false">H5997*(1-H5942)*(H5996-H6002+H6001-H6004)</f>
        <v>419.901063357</v>
      </c>
      <c r="I6006" s="16" t="n">
        <f aca="false">I5997*(1-I5942)*(I5996-I6002+I6001-I6004)</f>
        <v>0</v>
      </c>
      <c r="J6006" s="16" t="n">
        <f aca="false">J5997*(1-J5942)*(J5996-J6002+J6001-J6004)</f>
        <v>0</v>
      </c>
      <c r="K6006" s="16" t="n">
        <f aca="false">K5997*(1-K5942)*(K5996-K6002+K6001-K6004)</f>
        <v>0</v>
      </c>
    </row>
    <row r="6007" customFormat="false" ht="15" hidden="false" customHeight="false" outlineLevel="0" collapsed="false">
      <c r="A6007" s="2" t="s">
        <v>339</v>
      </c>
      <c r="F6007" s="28" t="n">
        <f aca="false">Assumptions!$C$61</f>
        <v>450</v>
      </c>
      <c r="G6007" s="17" t="n">
        <f aca="false">G5996+G6003+G6001-G6002-G6004-G6005</f>
        <v>450</v>
      </c>
      <c r="H6007" s="17" t="n">
        <f aca="false">H5996+H6003+H6001-H6002-H6004-H6005</f>
        <v>419.901063357</v>
      </c>
      <c r="I6007" s="17" t="n">
        <f aca="false">I5996+I6003+I6001-I6002-I6004-I6005</f>
        <v>419.901063357</v>
      </c>
      <c r="J6007" s="17" t="n">
        <f aca="false">J5996+J6003+J6001-J6002-J6004-J6005</f>
        <v>419.901063357</v>
      </c>
      <c r="K6007" s="17" t="n">
        <f aca="false">K5996+K6003+K6001-K6002-K6004-K6005</f>
        <v>419.901063357</v>
      </c>
    </row>
    <row r="6008" customFormat="false" ht="15" hidden="false" customHeight="false" outlineLevel="0" collapsed="false">
      <c r="A6008" s="24" t="s">
        <v>344</v>
      </c>
      <c r="B6008" s="25"/>
      <c r="C6008" s="25"/>
      <c r="D6008" s="25"/>
      <c r="E6008" s="25"/>
      <c r="F6008" s="25"/>
      <c r="G6008" s="25"/>
      <c r="H6008" s="25"/>
      <c r="I6008" s="25"/>
      <c r="J6008" s="25"/>
      <c r="K6008" s="25"/>
    </row>
    <row r="6009" customFormat="false" ht="15" hidden="false" customHeight="false" outlineLevel="0" collapsed="false">
      <c r="A6009" s="3" t="s">
        <v>329</v>
      </c>
      <c r="G6009" s="16" t="n">
        <f aca="false">F6020</f>
        <v>350</v>
      </c>
      <c r="H6009" s="16" t="n">
        <f aca="false">G6020</f>
        <v>350</v>
      </c>
      <c r="I6009" s="16" t="n">
        <f aca="false">H6020</f>
        <v>350</v>
      </c>
      <c r="J6009" s="16" t="n">
        <f aca="false">I6020</f>
        <v>350</v>
      </c>
      <c r="K6009" s="16" t="n">
        <f aca="false">J6020</f>
        <v>350</v>
      </c>
    </row>
    <row r="6010" customFormat="false" ht="15" hidden="false" customHeight="false" outlineLevel="0" collapsed="false">
      <c r="A6010" s="3" t="s">
        <v>330</v>
      </c>
      <c r="G6010" s="21" t="n">
        <f aca="false">IF(G5908=Assumptions!$K$62,1,0)</f>
        <v>0</v>
      </c>
      <c r="H6010" s="21" t="n">
        <f aca="false">IF(H5908=Assumptions!$K$62,1,0)</f>
        <v>1</v>
      </c>
      <c r="I6010" s="21" t="n">
        <f aca="false">IF(I5908=Assumptions!$K$62,1,0)</f>
        <v>0</v>
      </c>
      <c r="J6010" s="21" t="n">
        <f aca="false">IF(J5908=Assumptions!$K$62,1,0)</f>
        <v>0</v>
      </c>
      <c r="K6010" s="21" t="n">
        <f aca="false">IF(K5908=Assumptions!$K$62,1,0)</f>
        <v>0</v>
      </c>
    </row>
    <row r="6012" customFormat="false" ht="15" hidden="false" customHeight="false" outlineLevel="0" collapsed="false">
      <c r="A6012" s="3" t="s">
        <v>331</v>
      </c>
      <c r="G6012" s="31" t="n">
        <f aca="false">IF(Assumptions!$I$62=1,MAX(G5934,Assumptions!$G$62)+Assumptions!$F$62+$C$5935,Assumptions!$E$62)</f>
        <v>0.083</v>
      </c>
      <c r="H6012" s="31" t="n">
        <f aca="false">IF(G6259=1,$C$5936,IF(Assumptions!$I$62=1,MAX(H5934,Assumptions!$G$62)+Assumptions!$F$62+$C$5935,Assumptions!$E$62))</f>
        <v>0.083</v>
      </c>
      <c r="I6012" s="31" t="n">
        <f aca="false">IF(H6259=1,$C$5936,IF(Assumptions!$I$62=1,MAX(I5934,Assumptions!$G$62)+Assumptions!$F$62+$C$5935,Assumptions!$E$62))</f>
        <v>0.083</v>
      </c>
      <c r="J6012" s="31" t="n">
        <f aca="false">IF(I6259=1,$C$5936,IF(Assumptions!$I$62=1,MAX(J5934,Assumptions!$G$62)+Assumptions!$F$62+$C$5935,Assumptions!$E$62))</f>
        <v>0.083</v>
      </c>
      <c r="K6012" s="31" t="n">
        <f aca="false">IF(J6259=1,$C$5936,IF(Assumptions!$I$62=1,MAX(K5934,Assumptions!$G$62)+Assumptions!$F$62+$C$5935,Assumptions!$E$62))</f>
        <v>0.083</v>
      </c>
    </row>
    <row r="6013" customFormat="false" ht="15" hidden="false" customHeight="false" outlineLevel="0" collapsed="false">
      <c r="A6013" s="3" t="s">
        <v>332</v>
      </c>
      <c r="G6013" s="16" t="n">
        <f aca="false">G6009*G6012</f>
        <v>29.05</v>
      </c>
      <c r="H6013" s="16" t="n">
        <f aca="false">H6009*H6012</f>
        <v>29.05</v>
      </c>
      <c r="I6013" s="16" t="n">
        <f aca="false">I6009*I6012</f>
        <v>29.05</v>
      </c>
      <c r="J6013" s="16" t="n">
        <f aca="false">J6009*J6012</f>
        <v>29.05</v>
      </c>
      <c r="K6013" s="16" t="n">
        <f aca="false">K6009*K6012</f>
        <v>29.05</v>
      </c>
    </row>
    <row r="6014" customFormat="false" ht="15" hidden="false" customHeight="false" outlineLevel="0" collapsed="false">
      <c r="A6014" s="3" t="s">
        <v>333</v>
      </c>
      <c r="G6014" s="16" t="n">
        <f aca="false">G6009*Assumptions!$H$62</f>
        <v>0</v>
      </c>
      <c r="H6014" s="16" t="n">
        <f aca="false">H6009*Assumptions!$H$62</f>
        <v>0</v>
      </c>
      <c r="I6014" s="16" t="n">
        <f aca="false">I6009*Assumptions!$H$62</f>
        <v>0</v>
      </c>
      <c r="J6014" s="16" t="n">
        <f aca="false">J6009*Assumptions!$H$62</f>
        <v>0</v>
      </c>
      <c r="K6014" s="16" t="n">
        <f aca="false">K6009*Assumptions!$H$62</f>
        <v>0</v>
      </c>
    </row>
    <row r="6015" customFormat="false" ht="15" hidden="false" customHeight="false" outlineLevel="0" collapsed="false">
      <c r="A6015" s="3" t="s">
        <v>334</v>
      </c>
      <c r="G6015" s="16" t="n">
        <f aca="false">MIN(G6009,Assumptions!$L$62*Assumptions!$C$62)</f>
        <v>0</v>
      </c>
      <c r="H6015" s="16" t="n">
        <f aca="false">MIN(H6009,Assumptions!$L$62*Assumptions!$C$62)</f>
        <v>0</v>
      </c>
      <c r="I6015" s="16" t="n">
        <f aca="false">MIN(I6009,Assumptions!$L$62*Assumptions!$C$62)</f>
        <v>0</v>
      </c>
      <c r="J6015" s="16" t="n">
        <f aca="false">MIN(J6009,Assumptions!$L$62*Assumptions!$C$62)</f>
        <v>0</v>
      </c>
      <c r="K6015" s="16" t="n">
        <f aca="false">MIN(K6009,Assumptions!$L$62*Assumptions!$C$62)</f>
        <v>0</v>
      </c>
    </row>
    <row r="6016" customFormat="false" ht="15" hidden="false" customHeight="false" outlineLevel="0" collapsed="false">
      <c r="A6016" s="3" t="s">
        <v>335</v>
      </c>
      <c r="G6016" s="16" t="n">
        <f aca="false">IF(AND(Assumptions!$P$62=1,G5908&lt;Assumptions!$K$62),MIN(MAX(0,-G6124),MAX(0,Assumptions!$D$62-G6009)),0)</f>
        <v>0</v>
      </c>
      <c r="H6016" s="16" t="n">
        <f aca="false">IF(AND(Assumptions!$P$62=1,OR(H5908&lt;Assumptions!$K$62,G6259=1)),MIN(MAX(0,-H6124),MAX(0,Assumptions!$D$62-H6009)),0)</f>
        <v>0</v>
      </c>
      <c r="I6016" s="16" t="n">
        <f aca="false">IF(AND(Assumptions!$P$62=1,OR(I5908&lt;Assumptions!$K$62,H6259=1)),MIN(MAX(0,-I6124),MAX(0,Assumptions!$D$62-I6009)),0)</f>
        <v>0</v>
      </c>
      <c r="J6016" s="16" t="n">
        <f aca="false">IF(AND(Assumptions!$P$62=1,OR(J5908&lt;Assumptions!$K$62,I6259=1)),MIN(MAX(0,-J6124),MAX(0,Assumptions!$D$62-J6009)),0)</f>
        <v>0</v>
      </c>
      <c r="K6016" s="16" t="n">
        <f aca="false">IF(AND(Assumptions!$P$62=1,OR(K5908&lt;Assumptions!$K$62,J6259=1)),MIN(MAX(0,-K6124),MAX(0,Assumptions!$D$62-K6009)),0)</f>
        <v>0</v>
      </c>
    </row>
    <row r="6017" customFormat="false" ht="15" hidden="false" customHeight="false" outlineLevel="0" collapsed="false">
      <c r="A6017" s="3" t="s">
        <v>336</v>
      </c>
      <c r="G6017" s="16" t="n">
        <f aca="false">G6010*MIN(G6009-G6015+G6014,MAX(0,G6126-Assumptions!$C$12*G5942-G5952-G5965-G5978-G5991-G6004))</f>
        <v>0</v>
      </c>
      <c r="H6017" s="16" t="n">
        <f aca="false">H6010*MIN(H6009-H6015+H6014,MAX(0,H6126-Assumptions!$C$12*H5942-H5952-H5965-H5978-H5991-H6004))</f>
        <v>0</v>
      </c>
      <c r="I6017" s="16" t="n">
        <f aca="false">I6010*MIN(I6009-I6015+I6014,MAX(0,I6126-Assumptions!$C$12*I5942-I5952-I5965-I5978-I5991-I6004))</f>
        <v>0</v>
      </c>
      <c r="J6017" s="16" t="n">
        <f aca="false">J6010*MIN(J6009-J6015+J6014,MAX(0,J6126-Assumptions!$C$12*J5942-J5952-J5965-J5978-J5991-J6004))</f>
        <v>0</v>
      </c>
      <c r="K6017" s="16" t="n">
        <f aca="false">K6010*MIN(K6009-K6015+K6014,MAX(0,K6126-Assumptions!$C$12*K5942-K5952-K5965-K5978-K5991-K6004))</f>
        <v>0</v>
      </c>
    </row>
    <row r="6018" customFormat="false" ht="15" hidden="false" customHeight="false" outlineLevel="0" collapsed="false">
      <c r="A6018" s="3" t="s">
        <v>337</v>
      </c>
      <c r="G6018" s="16" t="n">
        <f aca="false">Assumptions!$N$62*MIN(G6009+G6016+G6014-G6015-G6017,MAX(0,G6130-G5953-G5966-G5979-G5992-G6005))</f>
        <v>0</v>
      </c>
      <c r="H6018" s="16" t="n">
        <f aca="false">Assumptions!$N$62*MIN(H6009+H6016+H6014-H6015-H6017,MAX(0,H6130-H5953-H5966-H5979-H5992-H6005))</f>
        <v>0</v>
      </c>
      <c r="I6018" s="16" t="n">
        <f aca="false">Assumptions!$N$62*MIN(I6009+I6016+I6014-I6015-I6017,MAX(0,I6130-I5953-I5966-I5979-I5992-I6005))</f>
        <v>0</v>
      </c>
      <c r="J6018" s="16" t="n">
        <f aca="false">Assumptions!$N$62*MIN(J6009+J6016+J6014-J6015-J6017,MAX(0,J6130-J5953-J5966-J5979-J5992-J6005))</f>
        <v>0</v>
      </c>
      <c r="K6018" s="16" t="n">
        <f aca="false">Assumptions!$N$62*MIN(K6009+K6016+K6014-K6015-K6017,MAX(0,K6130-K5953-K5966-K5979-K5992-K6005))</f>
        <v>0</v>
      </c>
    </row>
    <row r="6019" customFormat="false" ht="15" hidden="false" customHeight="false" outlineLevel="0" collapsed="false">
      <c r="A6019" s="3" t="s">
        <v>338</v>
      </c>
      <c r="G6019" s="16" t="n">
        <f aca="false">G6010*(1-G5942)*(G6009-G6015+G6014-G6017)</f>
        <v>0</v>
      </c>
      <c r="H6019" s="16" t="n">
        <f aca="false">H6010*(1-H5942)*(H6009-H6015+H6014-H6017)</f>
        <v>350</v>
      </c>
      <c r="I6019" s="16" t="n">
        <f aca="false">I6010*(1-I5942)*(I6009-I6015+I6014-I6017)</f>
        <v>0</v>
      </c>
      <c r="J6019" s="16" t="n">
        <f aca="false">J6010*(1-J5942)*(J6009-J6015+J6014-J6017)</f>
        <v>0</v>
      </c>
      <c r="K6019" s="16" t="n">
        <f aca="false">K6010*(1-K5942)*(K6009-K6015+K6014-K6017)</f>
        <v>0</v>
      </c>
    </row>
    <row r="6020" customFormat="false" ht="15" hidden="false" customHeight="false" outlineLevel="0" collapsed="false">
      <c r="A6020" s="2" t="s">
        <v>339</v>
      </c>
      <c r="F6020" s="28" t="n">
        <f aca="false">Assumptions!$C$62</f>
        <v>350</v>
      </c>
      <c r="G6020" s="17" t="n">
        <f aca="false">G6009+G6016+G6014-G6015-G6017-G6018</f>
        <v>350</v>
      </c>
      <c r="H6020" s="17" t="n">
        <f aca="false">H6009+H6016+H6014-H6015-H6017-H6018</f>
        <v>350</v>
      </c>
      <c r="I6020" s="17" t="n">
        <f aca="false">I6009+I6016+I6014-I6015-I6017-I6018</f>
        <v>350</v>
      </c>
      <c r="J6020" s="17" t="n">
        <f aca="false">J6009+J6016+J6014-J6015-J6017-J6018</f>
        <v>350</v>
      </c>
      <c r="K6020" s="17" t="n">
        <f aca="false">K6009+K6016+K6014-K6015-K6017-K6018</f>
        <v>350</v>
      </c>
    </row>
    <row r="6021" customFormat="false" ht="15" hidden="false" customHeight="false" outlineLevel="0" collapsed="false">
      <c r="A6021" s="24" t="s">
        <v>345</v>
      </c>
      <c r="B6021" s="25"/>
      <c r="C6021" s="25"/>
      <c r="D6021" s="25"/>
      <c r="E6021" s="25"/>
      <c r="F6021" s="25"/>
      <c r="G6021" s="25"/>
      <c r="H6021" s="25"/>
      <c r="I6021" s="25"/>
      <c r="J6021" s="25"/>
      <c r="K6021" s="25"/>
    </row>
    <row r="6022" customFormat="false" ht="15" hidden="false" customHeight="false" outlineLevel="0" collapsed="false">
      <c r="A6022" s="3" t="s">
        <v>329</v>
      </c>
      <c r="G6022" s="16" t="n">
        <f aca="false">F6033</f>
        <v>550</v>
      </c>
      <c r="H6022" s="16" t="n">
        <f aca="false">G6033</f>
        <v>550</v>
      </c>
      <c r="I6022" s="16" t="n">
        <f aca="false">H6033</f>
        <v>550</v>
      </c>
      <c r="J6022" s="16" t="n">
        <f aca="false">I6033</f>
        <v>550</v>
      </c>
      <c r="K6022" s="16" t="n">
        <f aca="false">J6033</f>
        <v>550</v>
      </c>
    </row>
    <row r="6023" customFormat="false" ht="15" hidden="false" customHeight="false" outlineLevel="0" collapsed="false">
      <c r="A6023" s="3" t="s">
        <v>330</v>
      </c>
      <c r="G6023" s="21" t="n">
        <f aca="false">IF(G5908=Assumptions!$K$63,1,0)</f>
        <v>0</v>
      </c>
      <c r="H6023" s="21" t="n">
        <f aca="false">IF(H5908=Assumptions!$K$63,1,0)</f>
        <v>0</v>
      </c>
      <c r="I6023" s="21" t="n">
        <f aca="false">IF(I5908=Assumptions!$K$63,1,0)</f>
        <v>1</v>
      </c>
      <c r="J6023" s="21" t="n">
        <f aca="false">IF(J5908=Assumptions!$K$63,1,0)</f>
        <v>0</v>
      </c>
      <c r="K6023" s="21" t="n">
        <f aca="false">IF(K5908=Assumptions!$K$63,1,0)</f>
        <v>0</v>
      </c>
    </row>
    <row r="6025" customFormat="false" ht="15" hidden="false" customHeight="false" outlineLevel="0" collapsed="false">
      <c r="A6025" s="3" t="s">
        <v>331</v>
      </c>
      <c r="G6025" s="31" t="n">
        <f aca="false">IF(Assumptions!$I$63=1,MAX(G5934,Assumptions!$G$63)+Assumptions!$F$63+$C$5935,Assumptions!$E$63)</f>
        <v>0.08875</v>
      </c>
      <c r="H6025" s="31" t="n">
        <f aca="false">IF(G6260=1,$C$5936,IF(Assumptions!$I$63=1,MAX(H5934,Assumptions!$G$63)+Assumptions!$F$63+$C$5935,Assumptions!$E$63))</f>
        <v>0.08875</v>
      </c>
      <c r="I6025" s="31" t="n">
        <f aca="false">IF(H6260=1,$C$5936,IF(Assumptions!$I$63=1,MAX(I5934,Assumptions!$G$63)+Assumptions!$F$63+$C$5935,Assumptions!$E$63))</f>
        <v>0.08875</v>
      </c>
      <c r="J6025" s="31" t="n">
        <f aca="false">IF(I6260=1,$C$5936,IF(Assumptions!$I$63=1,MAX(J5934,Assumptions!$G$63)+Assumptions!$F$63+$C$5935,Assumptions!$E$63))</f>
        <v>0.08875</v>
      </c>
      <c r="K6025" s="31" t="n">
        <f aca="false">IF(J6260=1,$C$5936,IF(Assumptions!$I$63=1,MAX(K5934,Assumptions!$G$63)+Assumptions!$F$63+$C$5935,Assumptions!$E$63))</f>
        <v>0.08875</v>
      </c>
    </row>
    <row r="6026" customFormat="false" ht="15" hidden="false" customHeight="false" outlineLevel="0" collapsed="false">
      <c r="A6026" s="3" t="s">
        <v>332</v>
      </c>
      <c r="G6026" s="16" t="n">
        <f aca="false">G6022*G6025</f>
        <v>48.8125</v>
      </c>
      <c r="H6026" s="16" t="n">
        <f aca="false">H6022*H6025</f>
        <v>48.8125</v>
      </c>
      <c r="I6026" s="16" t="n">
        <f aca="false">I6022*I6025</f>
        <v>48.8125</v>
      </c>
      <c r="J6026" s="16" t="n">
        <f aca="false">J6022*J6025</f>
        <v>48.8125</v>
      </c>
      <c r="K6026" s="16" t="n">
        <f aca="false">K6022*K6025</f>
        <v>48.8125</v>
      </c>
    </row>
    <row r="6027" customFormat="false" ht="15" hidden="false" customHeight="false" outlineLevel="0" collapsed="false">
      <c r="A6027" s="3" t="s">
        <v>333</v>
      </c>
      <c r="G6027" s="16" t="n">
        <f aca="false">G6022*Assumptions!$H$63</f>
        <v>0</v>
      </c>
      <c r="H6027" s="16" t="n">
        <f aca="false">H6022*Assumptions!$H$63</f>
        <v>0</v>
      </c>
      <c r="I6027" s="16" t="n">
        <f aca="false">I6022*Assumptions!$H$63</f>
        <v>0</v>
      </c>
      <c r="J6027" s="16" t="n">
        <f aca="false">J6022*Assumptions!$H$63</f>
        <v>0</v>
      </c>
      <c r="K6027" s="16" t="n">
        <f aca="false">K6022*Assumptions!$H$63</f>
        <v>0</v>
      </c>
    </row>
    <row r="6028" customFormat="false" ht="15" hidden="false" customHeight="false" outlineLevel="0" collapsed="false">
      <c r="A6028" s="3" t="s">
        <v>334</v>
      </c>
      <c r="G6028" s="16" t="n">
        <f aca="false">MIN(G6022,Assumptions!$L$63*Assumptions!$C$63)</f>
        <v>0</v>
      </c>
      <c r="H6028" s="16" t="n">
        <f aca="false">MIN(H6022,Assumptions!$L$63*Assumptions!$C$63)</f>
        <v>0</v>
      </c>
      <c r="I6028" s="16" t="n">
        <f aca="false">MIN(I6022,Assumptions!$L$63*Assumptions!$C$63)</f>
        <v>0</v>
      </c>
      <c r="J6028" s="16" t="n">
        <f aca="false">MIN(J6022,Assumptions!$L$63*Assumptions!$C$63)</f>
        <v>0</v>
      </c>
      <c r="K6028" s="16" t="n">
        <f aca="false">MIN(K6022,Assumptions!$L$63*Assumptions!$C$63)</f>
        <v>0</v>
      </c>
    </row>
    <row r="6029" customFormat="false" ht="15" hidden="false" customHeight="false" outlineLevel="0" collapsed="false">
      <c r="A6029" s="3" t="s">
        <v>335</v>
      </c>
      <c r="G6029" s="16" t="n">
        <f aca="false">IF(AND(Assumptions!$P$63=1,G5908&lt;Assumptions!$K$63),MIN(MAX(0,-G6124),MAX(0,Assumptions!$D$63-G6022)),0)</f>
        <v>0</v>
      </c>
      <c r="H6029" s="16" t="n">
        <f aca="false">IF(AND(Assumptions!$P$63=1,OR(H5908&lt;Assumptions!$K$63,G6260=1)),MIN(MAX(0,-H6124),MAX(0,Assumptions!$D$63-H6022)),0)</f>
        <v>0</v>
      </c>
      <c r="I6029" s="16" t="n">
        <f aca="false">IF(AND(Assumptions!$P$63=1,OR(I5908&lt;Assumptions!$K$63,H6260=1)),MIN(MAX(0,-I6124),MAX(0,Assumptions!$D$63-I6022)),0)</f>
        <v>0</v>
      </c>
      <c r="J6029" s="16" t="n">
        <f aca="false">IF(AND(Assumptions!$P$63=1,OR(J5908&lt;Assumptions!$K$63,I6260=1)),MIN(MAX(0,-J6124),MAX(0,Assumptions!$D$63-J6022)),0)</f>
        <v>0</v>
      </c>
      <c r="K6029" s="16" t="n">
        <f aca="false">IF(AND(Assumptions!$P$63=1,OR(K5908&lt;Assumptions!$K$63,J6260=1)),MIN(MAX(0,-K6124),MAX(0,Assumptions!$D$63-K6022)),0)</f>
        <v>0</v>
      </c>
    </row>
    <row r="6030" customFormat="false" ht="15" hidden="false" customHeight="false" outlineLevel="0" collapsed="false">
      <c r="A6030" s="3" t="s">
        <v>336</v>
      </c>
      <c r="G6030" s="16" t="n">
        <f aca="false">G6023*MIN(G6022-G6028+G6027,MAX(0,G6126-Assumptions!$C$12*G5942-G5952-G5965-G5978-G5991-G6004-G6017))</f>
        <v>0</v>
      </c>
      <c r="H6030" s="16" t="n">
        <f aca="false">H6023*MIN(H6022-H6028+H6027,MAX(0,H6126-Assumptions!$C$12*H5942-H5952-H5965-H5978-H5991-H6004-H6017))</f>
        <v>0</v>
      </c>
      <c r="I6030" s="16" t="n">
        <f aca="false">I6023*MIN(I6022-I6028+I6027,MAX(0,I6126-Assumptions!$C$12*I5942-I5952-I5965-I5978-I5991-I6004-I6017))</f>
        <v>0</v>
      </c>
      <c r="J6030" s="16" t="n">
        <f aca="false">J6023*MIN(J6022-J6028+J6027,MAX(0,J6126-Assumptions!$C$12*J5942-J5952-J5965-J5978-J5991-J6004-J6017))</f>
        <v>0</v>
      </c>
      <c r="K6030" s="16" t="n">
        <f aca="false">K6023*MIN(K6022-K6028+K6027,MAX(0,K6126-Assumptions!$C$12*K5942-K5952-K5965-K5978-K5991-K6004-K6017))</f>
        <v>0</v>
      </c>
    </row>
    <row r="6031" customFormat="false" ht="15" hidden="false" customHeight="false" outlineLevel="0" collapsed="false">
      <c r="A6031" s="3" t="s">
        <v>337</v>
      </c>
      <c r="G6031" s="16" t="n">
        <f aca="false">Assumptions!$N$63*MIN(G6022+G6029+G6027-G6028-G6030,MAX(0,G6130-G5953-G5966-G5979-G5992-G6005-G6018))</f>
        <v>0</v>
      </c>
      <c r="H6031" s="16" t="n">
        <f aca="false">Assumptions!$N$63*MIN(H6022+H6029+H6027-H6028-H6030,MAX(0,H6130-H5953-H5966-H5979-H5992-H6005-H6018))</f>
        <v>0</v>
      </c>
      <c r="I6031" s="16" t="n">
        <f aca="false">Assumptions!$N$63*MIN(I6022+I6029+I6027-I6028-I6030,MAX(0,I6130-I5953-I5966-I5979-I5992-I6005-I6018))</f>
        <v>0</v>
      </c>
      <c r="J6031" s="16" t="n">
        <f aca="false">Assumptions!$N$63*MIN(J6022+J6029+J6027-J6028-J6030,MAX(0,J6130-J5953-J5966-J5979-J5992-J6005-J6018))</f>
        <v>0</v>
      </c>
      <c r="K6031" s="16" t="n">
        <f aca="false">Assumptions!$N$63*MIN(K6022+K6029+K6027-K6028-K6030,MAX(0,K6130-K5953-K5966-K5979-K5992-K6005-K6018))</f>
        <v>0</v>
      </c>
    </row>
    <row r="6032" customFormat="false" ht="15" hidden="false" customHeight="false" outlineLevel="0" collapsed="false">
      <c r="A6032" s="3" t="s">
        <v>338</v>
      </c>
      <c r="G6032" s="16" t="n">
        <f aca="false">G6023*(1-G5942)*(G6022-G6028+G6027-G6030)</f>
        <v>0</v>
      </c>
      <c r="H6032" s="16" t="n">
        <f aca="false">H6023*(1-H5942)*(H6022-H6028+H6027-H6030)</f>
        <v>0</v>
      </c>
      <c r="I6032" s="16" t="n">
        <f aca="false">I6023*(1-I5942)*(I6022-I6028+I6027-I6030)</f>
        <v>550</v>
      </c>
      <c r="J6032" s="16" t="n">
        <f aca="false">J6023*(1-J5942)*(J6022-J6028+J6027-J6030)</f>
        <v>0</v>
      </c>
      <c r="K6032" s="16" t="n">
        <f aca="false">K6023*(1-K5942)*(K6022-K6028+K6027-K6030)</f>
        <v>0</v>
      </c>
    </row>
    <row r="6033" customFormat="false" ht="15" hidden="false" customHeight="false" outlineLevel="0" collapsed="false">
      <c r="A6033" s="2" t="s">
        <v>339</v>
      </c>
      <c r="F6033" s="28" t="n">
        <f aca="false">Assumptions!$C$63</f>
        <v>550</v>
      </c>
      <c r="G6033" s="17" t="n">
        <f aca="false">G6022+G6029+G6027-G6028-G6030-G6031</f>
        <v>550</v>
      </c>
      <c r="H6033" s="17" t="n">
        <f aca="false">H6022+H6029+H6027-H6028-H6030-H6031</f>
        <v>550</v>
      </c>
      <c r="I6033" s="17" t="n">
        <f aca="false">I6022+I6029+I6027-I6028-I6030-I6031</f>
        <v>550</v>
      </c>
      <c r="J6033" s="17" t="n">
        <f aca="false">J6022+J6029+J6027-J6028-J6030-J6031</f>
        <v>550</v>
      </c>
      <c r="K6033" s="17" t="n">
        <f aca="false">K6022+K6029+K6027-K6028-K6030-K6031</f>
        <v>550</v>
      </c>
    </row>
    <row r="6034" customFormat="false" ht="15" hidden="false" customHeight="false" outlineLevel="0" collapsed="false">
      <c r="A6034" s="24" t="s">
        <v>346</v>
      </c>
      <c r="B6034" s="25"/>
      <c r="C6034" s="25"/>
      <c r="D6034" s="25"/>
      <c r="E6034" s="25"/>
      <c r="F6034" s="25"/>
      <c r="G6034" s="25"/>
      <c r="H6034" s="25"/>
      <c r="I6034" s="25"/>
      <c r="J6034" s="25"/>
      <c r="K6034" s="25"/>
    </row>
    <row r="6035" customFormat="false" ht="15" hidden="false" customHeight="false" outlineLevel="0" collapsed="false">
      <c r="A6035" s="3" t="s">
        <v>329</v>
      </c>
      <c r="G6035" s="16" t="n">
        <f aca="false">F6046</f>
        <v>350</v>
      </c>
      <c r="H6035" s="16" t="n">
        <f aca="false">G6046</f>
        <v>350</v>
      </c>
      <c r="I6035" s="16" t="n">
        <f aca="false">H6046</f>
        <v>350</v>
      </c>
      <c r="J6035" s="16" t="n">
        <f aca="false">I6046</f>
        <v>350</v>
      </c>
      <c r="K6035" s="16" t="n">
        <f aca="false">J6046</f>
        <v>350</v>
      </c>
    </row>
    <row r="6036" customFormat="false" ht="15" hidden="false" customHeight="false" outlineLevel="0" collapsed="false">
      <c r="A6036" s="3" t="s">
        <v>330</v>
      </c>
      <c r="G6036" s="21" t="n">
        <f aca="false">IF(G5908=Assumptions!$K$64,1,0)</f>
        <v>0</v>
      </c>
      <c r="H6036" s="21" t="n">
        <f aca="false">IF(H5908=Assumptions!$K$64,1,0)</f>
        <v>0</v>
      </c>
      <c r="I6036" s="21" t="n">
        <f aca="false">IF(I5908=Assumptions!$K$64,1,0)</f>
        <v>0</v>
      </c>
      <c r="J6036" s="21" t="n">
        <f aca="false">IF(J5908=Assumptions!$K$64,1,0)</f>
        <v>1</v>
      </c>
      <c r="K6036" s="21" t="n">
        <f aca="false">IF(K5908=Assumptions!$K$64,1,0)</f>
        <v>0</v>
      </c>
    </row>
    <row r="6038" customFormat="false" ht="15" hidden="false" customHeight="false" outlineLevel="0" collapsed="false">
      <c r="A6038" s="3" t="s">
        <v>331</v>
      </c>
      <c r="G6038" s="31" t="n">
        <f aca="false">IF(Assumptions!$I$64=1,MAX(G5934,Assumptions!$G$64)+Assumptions!$F$64+$C$5935,Assumptions!$E$64)</f>
        <v>0.0455</v>
      </c>
      <c r="H6038" s="31" t="n">
        <f aca="false">IF(G6261=1,$C$5936,IF(Assumptions!$I$64=1,MAX(H5934,Assumptions!$G$64)+Assumptions!$F$64+$C$5935,Assumptions!$E$64))</f>
        <v>0.0455</v>
      </c>
      <c r="I6038" s="31" t="n">
        <f aca="false">IF(H6261=1,$C$5936,IF(Assumptions!$I$64=1,MAX(I5934,Assumptions!$G$64)+Assumptions!$F$64+$C$5935,Assumptions!$E$64))</f>
        <v>0.0455</v>
      </c>
      <c r="J6038" s="31" t="n">
        <f aca="false">IF(I6261=1,$C$5936,IF(Assumptions!$I$64=1,MAX(J5934,Assumptions!$G$64)+Assumptions!$F$64+$C$5935,Assumptions!$E$64))</f>
        <v>0.0455</v>
      </c>
      <c r="K6038" s="31" t="n">
        <f aca="false">IF(J6261=1,$C$5936,IF(Assumptions!$I$64=1,MAX(K5934,Assumptions!$G$64)+Assumptions!$F$64+$C$5935,Assumptions!$E$64))</f>
        <v>0.0455</v>
      </c>
    </row>
    <row r="6039" customFormat="false" ht="15" hidden="false" customHeight="false" outlineLevel="0" collapsed="false">
      <c r="A6039" s="3" t="s">
        <v>332</v>
      </c>
      <c r="G6039" s="16" t="n">
        <f aca="false">G6035*G6038</f>
        <v>15.925</v>
      </c>
      <c r="H6039" s="16" t="n">
        <f aca="false">H6035*H6038</f>
        <v>15.925</v>
      </c>
      <c r="I6039" s="16" t="n">
        <f aca="false">I6035*I6038</f>
        <v>15.925</v>
      </c>
      <c r="J6039" s="16" t="n">
        <f aca="false">J6035*J6038</f>
        <v>15.925</v>
      </c>
      <c r="K6039" s="16" t="n">
        <f aca="false">K6035*K6038</f>
        <v>15.925</v>
      </c>
    </row>
    <row r="6040" customFormat="false" ht="15" hidden="false" customHeight="false" outlineLevel="0" collapsed="false">
      <c r="A6040" s="3" t="s">
        <v>333</v>
      </c>
      <c r="G6040" s="16" t="n">
        <f aca="false">G6035*Assumptions!$H$64</f>
        <v>0</v>
      </c>
      <c r="H6040" s="16" t="n">
        <f aca="false">H6035*Assumptions!$H$64</f>
        <v>0</v>
      </c>
      <c r="I6040" s="16" t="n">
        <f aca="false">I6035*Assumptions!$H$64</f>
        <v>0</v>
      </c>
      <c r="J6040" s="16" t="n">
        <f aca="false">J6035*Assumptions!$H$64</f>
        <v>0</v>
      </c>
      <c r="K6040" s="16" t="n">
        <f aca="false">K6035*Assumptions!$H$64</f>
        <v>0</v>
      </c>
    </row>
    <row r="6041" customFormat="false" ht="15" hidden="false" customHeight="false" outlineLevel="0" collapsed="false">
      <c r="A6041" s="3" t="s">
        <v>334</v>
      </c>
      <c r="G6041" s="16" t="n">
        <f aca="false">MIN(G6035,Assumptions!$L$64*Assumptions!$C$64)</f>
        <v>0</v>
      </c>
      <c r="H6041" s="16" t="n">
        <f aca="false">MIN(H6035,Assumptions!$L$64*Assumptions!$C$64)</f>
        <v>0</v>
      </c>
      <c r="I6041" s="16" t="n">
        <f aca="false">MIN(I6035,Assumptions!$L$64*Assumptions!$C$64)</f>
        <v>0</v>
      </c>
      <c r="J6041" s="16" t="n">
        <f aca="false">MIN(J6035,Assumptions!$L$64*Assumptions!$C$64)</f>
        <v>0</v>
      </c>
      <c r="K6041" s="16" t="n">
        <f aca="false">MIN(K6035,Assumptions!$L$64*Assumptions!$C$64)</f>
        <v>0</v>
      </c>
    </row>
    <row r="6042" customFormat="false" ht="15" hidden="false" customHeight="false" outlineLevel="0" collapsed="false">
      <c r="A6042" s="3" t="s">
        <v>335</v>
      </c>
      <c r="G6042" s="16" t="n">
        <f aca="false">IF(AND(Assumptions!$P$64=1,G5908&lt;Assumptions!$K$64),MIN(MAX(0,-G6124),MAX(0,Assumptions!$D$64-G6035)),0)</f>
        <v>0</v>
      </c>
      <c r="H6042" s="16" t="n">
        <f aca="false">IF(AND(Assumptions!$P$64=1,OR(H5908&lt;Assumptions!$K$64,G6261=1)),MIN(MAX(0,-H6124),MAX(0,Assumptions!$D$64-H6035)),0)</f>
        <v>0</v>
      </c>
      <c r="I6042" s="16" t="n">
        <f aca="false">IF(AND(Assumptions!$P$64=1,OR(I5908&lt;Assumptions!$K$64,H6261=1)),MIN(MAX(0,-I6124),MAX(0,Assumptions!$D$64-I6035)),0)</f>
        <v>0</v>
      </c>
      <c r="J6042" s="16" t="n">
        <f aca="false">IF(AND(Assumptions!$P$64=1,OR(J5908&lt;Assumptions!$K$64,I6261=1)),MIN(MAX(0,-J6124),MAX(0,Assumptions!$D$64-J6035)),0)</f>
        <v>0</v>
      </c>
      <c r="K6042" s="16" t="n">
        <f aca="false">IF(AND(Assumptions!$P$64=1,OR(K5908&lt;Assumptions!$K$64,J6261=1)),MIN(MAX(0,-K6124),MAX(0,Assumptions!$D$64-K6035)),0)</f>
        <v>0</v>
      </c>
    </row>
    <row r="6043" customFormat="false" ht="15" hidden="false" customHeight="false" outlineLevel="0" collapsed="false">
      <c r="A6043" s="3" t="s">
        <v>336</v>
      </c>
      <c r="G6043" s="16" t="n">
        <f aca="false">G6036*MIN(G6035-G6041+G6040,MAX(0,G6126-Assumptions!$C$12*G5942-G5952-G5965-G5978-G5991-G6004-G6017-G6030))</f>
        <v>0</v>
      </c>
      <c r="H6043" s="16" t="n">
        <f aca="false">H6036*MIN(H6035-H6041+H6040,MAX(0,H6126-Assumptions!$C$12*H5942-H5952-H5965-H5978-H5991-H6004-H6017-H6030))</f>
        <v>0</v>
      </c>
      <c r="I6043" s="16" t="n">
        <f aca="false">I6036*MIN(I6035-I6041+I6040,MAX(0,I6126-Assumptions!$C$12*I5942-I5952-I5965-I5978-I5991-I6004-I6017-I6030))</f>
        <v>0</v>
      </c>
      <c r="J6043" s="16" t="n">
        <f aca="false">J6036*MIN(J6035-J6041+J6040,MAX(0,J6126-Assumptions!$C$12*J5942-J5952-J5965-J5978-J5991-J6004-J6017-J6030))</f>
        <v>0</v>
      </c>
      <c r="K6043" s="16" t="n">
        <f aca="false">K6036*MIN(K6035-K6041+K6040,MAX(0,K6126-Assumptions!$C$12*K5942-K5952-K5965-K5978-K5991-K6004-K6017-K6030))</f>
        <v>0</v>
      </c>
    </row>
    <row r="6044" customFormat="false" ht="15" hidden="false" customHeight="false" outlineLevel="0" collapsed="false">
      <c r="A6044" s="3" t="s">
        <v>337</v>
      </c>
      <c r="G6044" s="16" t="n">
        <f aca="false">Assumptions!$N$64*MIN(G6035+G6042+G6040-G6041-G6043,MAX(0,G6130-G5953-G5966-G5979-G5992-G6005-G6018-G6031))</f>
        <v>0</v>
      </c>
      <c r="H6044" s="16" t="n">
        <f aca="false">Assumptions!$N$64*MIN(H6035+H6042+H6040-H6041-H6043,MAX(0,H6130-H5953-H5966-H5979-H5992-H6005-H6018-H6031))</f>
        <v>0</v>
      </c>
      <c r="I6044" s="16" t="n">
        <f aca="false">Assumptions!$N$64*MIN(I6035+I6042+I6040-I6041-I6043,MAX(0,I6130-I5953-I5966-I5979-I5992-I6005-I6018-I6031))</f>
        <v>0</v>
      </c>
      <c r="J6044" s="16" t="n">
        <f aca="false">Assumptions!$N$64*MIN(J6035+J6042+J6040-J6041-J6043,MAX(0,J6130-J5953-J5966-J5979-J5992-J6005-J6018-J6031))</f>
        <v>0</v>
      </c>
      <c r="K6044" s="16" t="n">
        <f aca="false">Assumptions!$N$64*MIN(K6035+K6042+K6040-K6041-K6043,MAX(0,K6130-K5953-K5966-K5979-K5992-K6005-K6018-K6031))</f>
        <v>0</v>
      </c>
    </row>
    <row r="6045" customFormat="false" ht="15" hidden="false" customHeight="false" outlineLevel="0" collapsed="false">
      <c r="A6045" s="3" t="s">
        <v>338</v>
      </c>
      <c r="G6045" s="16" t="n">
        <f aca="false">G6036*(1-G5942)*(G6035-G6041+G6040-G6043)</f>
        <v>0</v>
      </c>
      <c r="H6045" s="16" t="n">
        <f aca="false">H6036*(1-H5942)*(H6035-H6041+H6040-H6043)</f>
        <v>0</v>
      </c>
      <c r="I6045" s="16" t="n">
        <f aca="false">I6036*(1-I5942)*(I6035-I6041+I6040-I6043)</f>
        <v>0</v>
      </c>
      <c r="J6045" s="16" t="n">
        <f aca="false">J6036*(1-J5942)*(J6035-J6041+J6040-J6043)</f>
        <v>350</v>
      </c>
      <c r="K6045" s="16" t="n">
        <f aca="false">K6036*(1-K5942)*(K6035-K6041+K6040-K6043)</f>
        <v>0</v>
      </c>
    </row>
    <row r="6046" customFormat="false" ht="15" hidden="false" customHeight="false" outlineLevel="0" collapsed="false">
      <c r="A6046" s="2" t="s">
        <v>339</v>
      </c>
      <c r="F6046" s="28" t="n">
        <f aca="false">Assumptions!$C$64</f>
        <v>350</v>
      </c>
      <c r="G6046" s="17" t="n">
        <f aca="false">G6035+G6042+G6040-G6041-G6043-G6044</f>
        <v>350</v>
      </c>
      <c r="H6046" s="17" t="n">
        <f aca="false">H6035+H6042+H6040-H6041-H6043-H6044</f>
        <v>350</v>
      </c>
      <c r="I6046" s="17" t="n">
        <f aca="false">I6035+I6042+I6040-I6041-I6043-I6044</f>
        <v>350</v>
      </c>
      <c r="J6046" s="17" t="n">
        <f aca="false">J6035+J6042+J6040-J6041-J6043-J6044</f>
        <v>350</v>
      </c>
      <c r="K6046" s="17" t="n">
        <f aca="false">K6035+K6042+K6040-K6041-K6043-K6044</f>
        <v>350</v>
      </c>
    </row>
    <row r="6047" customFormat="false" ht="15" hidden="false" customHeight="false" outlineLevel="0" collapsed="false">
      <c r="A6047" s="24" t="s">
        <v>347</v>
      </c>
      <c r="B6047" s="25"/>
      <c r="C6047" s="25"/>
      <c r="D6047" s="25"/>
      <c r="E6047" s="25"/>
      <c r="F6047" s="25"/>
      <c r="G6047" s="25"/>
      <c r="H6047" s="25"/>
      <c r="I6047" s="25"/>
      <c r="J6047" s="25"/>
      <c r="K6047" s="25"/>
    </row>
    <row r="6048" customFormat="false" ht="15" hidden="false" customHeight="false" outlineLevel="0" collapsed="false">
      <c r="A6048" s="3" t="s">
        <v>329</v>
      </c>
      <c r="G6048" s="16" t="n">
        <f aca="false">F6059</f>
        <v>300</v>
      </c>
      <c r="H6048" s="16" t="n">
        <f aca="false">G6059</f>
        <v>300</v>
      </c>
      <c r="I6048" s="16" t="n">
        <f aca="false">H6059</f>
        <v>300</v>
      </c>
      <c r="J6048" s="16" t="n">
        <f aca="false">I6059</f>
        <v>300</v>
      </c>
      <c r="K6048" s="16" t="n">
        <f aca="false">J6059</f>
        <v>300</v>
      </c>
    </row>
    <row r="6049" customFormat="false" ht="15" hidden="false" customHeight="false" outlineLevel="0" collapsed="false">
      <c r="A6049" s="3" t="s">
        <v>330</v>
      </c>
      <c r="G6049" s="21" t="n">
        <f aca="false">IF(G5908=Assumptions!$K$65,1,0)</f>
        <v>0</v>
      </c>
      <c r="H6049" s="21" t="n">
        <f aca="false">IF(H5908=Assumptions!$K$65,1,0)</f>
        <v>0</v>
      </c>
      <c r="I6049" s="21" t="n">
        <f aca="false">IF(I5908=Assumptions!$K$65,1,0)</f>
        <v>0</v>
      </c>
      <c r="J6049" s="21" t="n">
        <f aca="false">IF(J5908=Assumptions!$K$65,1,0)</f>
        <v>0</v>
      </c>
      <c r="K6049" s="21" t="n">
        <f aca="false">IF(K5908=Assumptions!$K$65,1,0)</f>
        <v>1</v>
      </c>
    </row>
    <row r="6051" customFormat="false" ht="15" hidden="false" customHeight="false" outlineLevel="0" collapsed="false">
      <c r="A6051" s="3" t="s">
        <v>331</v>
      </c>
      <c r="G6051" s="31" t="n">
        <f aca="false">IF(Assumptions!$I$65=1,MAX(G5934,Assumptions!$G$65)+Assumptions!$F$65+$C$5935,Assumptions!$E$65)</f>
        <v>0.06125</v>
      </c>
      <c r="H6051" s="31" t="n">
        <f aca="false">IF(G6262=1,$C$5936,IF(Assumptions!$I$65=1,MAX(H5934,Assumptions!$G$65)+Assumptions!$F$65+$C$5935,Assumptions!$E$65))</f>
        <v>0.06125</v>
      </c>
      <c r="I6051" s="31" t="n">
        <f aca="false">IF(H6262=1,$C$5936,IF(Assumptions!$I$65=1,MAX(I5934,Assumptions!$G$65)+Assumptions!$F$65+$C$5935,Assumptions!$E$65))</f>
        <v>0.06125</v>
      </c>
      <c r="J6051" s="31" t="n">
        <f aca="false">IF(I6262=1,$C$5936,IF(Assumptions!$I$65=1,MAX(J5934,Assumptions!$G$65)+Assumptions!$F$65+$C$5935,Assumptions!$E$65))</f>
        <v>0.06125</v>
      </c>
      <c r="K6051" s="31" t="n">
        <f aca="false">IF(J6262=1,$C$5936,IF(Assumptions!$I$65=1,MAX(K5934,Assumptions!$G$65)+Assumptions!$F$65+$C$5935,Assumptions!$E$65))</f>
        <v>0.06125</v>
      </c>
    </row>
    <row r="6052" customFormat="false" ht="15" hidden="false" customHeight="false" outlineLevel="0" collapsed="false">
      <c r="A6052" s="3" t="s">
        <v>332</v>
      </c>
      <c r="G6052" s="16" t="n">
        <f aca="false">G6048*G6051</f>
        <v>18.375</v>
      </c>
      <c r="H6052" s="16" t="n">
        <f aca="false">H6048*H6051</f>
        <v>18.375</v>
      </c>
      <c r="I6052" s="16" t="n">
        <f aca="false">I6048*I6051</f>
        <v>18.375</v>
      </c>
      <c r="J6052" s="16" t="n">
        <f aca="false">J6048*J6051</f>
        <v>18.375</v>
      </c>
      <c r="K6052" s="16" t="n">
        <f aca="false">K6048*K6051</f>
        <v>18.375</v>
      </c>
    </row>
    <row r="6053" customFormat="false" ht="15" hidden="false" customHeight="false" outlineLevel="0" collapsed="false">
      <c r="A6053" s="3" t="s">
        <v>333</v>
      </c>
      <c r="G6053" s="16" t="n">
        <f aca="false">G6048*Assumptions!$H$65</f>
        <v>0</v>
      </c>
      <c r="H6053" s="16" t="n">
        <f aca="false">H6048*Assumptions!$H$65</f>
        <v>0</v>
      </c>
      <c r="I6053" s="16" t="n">
        <f aca="false">I6048*Assumptions!$H$65</f>
        <v>0</v>
      </c>
      <c r="J6053" s="16" t="n">
        <f aca="false">J6048*Assumptions!$H$65</f>
        <v>0</v>
      </c>
      <c r="K6053" s="16" t="n">
        <f aca="false">K6048*Assumptions!$H$65</f>
        <v>0</v>
      </c>
    </row>
    <row r="6054" customFormat="false" ht="15" hidden="false" customHeight="false" outlineLevel="0" collapsed="false">
      <c r="A6054" s="3" t="s">
        <v>334</v>
      </c>
      <c r="G6054" s="16" t="n">
        <f aca="false">MIN(G6048,Assumptions!$L$65*Assumptions!$C$65)</f>
        <v>0</v>
      </c>
      <c r="H6054" s="16" t="n">
        <f aca="false">MIN(H6048,Assumptions!$L$65*Assumptions!$C$65)</f>
        <v>0</v>
      </c>
      <c r="I6054" s="16" t="n">
        <f aca="false">MIN(I6048,Assumptions!$L$65*Assumptions!$C$65)</f>
        <v>0</v>
      </c>
      <c r="J6054" s="16" t="n">
        <f aca="false">MIN(J6048,Assumptions!$L$65*Assumptions!$C$65)</f>
        <v>0</v>
      </c>
      <c r="K6054" s="16" t="n">
        <f aca="false">MIN(K6048,Assumptions!$L$65*Assumptions!$C$65)</f>
        <v>0</v>
      </c>
    </row>
    <row r="6055" customFormat="false" ht="15" hidden="false" customHeight="false" outlineLevel="0" collapsed="false">
      <c r="A6055" s="3" t="s">
        <v>335</v>
      </c>
      <c r="G6055" s="16" t="n">
        <f aca="false">IF(AND(Assumptions!$P$65=1,G5908&lt;Assumptions!$K$65),MIN(MAX(0,-G6124),MAX(0,Assumptions!$D$65-G6048)),0)</f>
        <v>0</v>
      </c>
      <c r="H6055" s="16" t="n">
        <f aca="false">IF(AND(Assumptions!$P$65=1,OR(H5908&lt;Assumptions!$K$65,G6262=1)),MIN(MAX(0,-H6124),MAX(0,Assumptions!$D$65-H6048)),0)</f>
        <v>0</v>
      </c>
      <c r="I6055" s="16" t="n">
        <f aca="false">IF(AND(Assumptions!$P$65=1,OR(I5908&lt;Assumptions!$K$65,H6262=1)),MIN(MAX(0,-I6124),MAX(0,Assumptions!$D$65-I6048)),0)</f>
        <v>0</v>
      </c>
      <c r="J6055" s="16" t="n">
        <f aca="false">IF(AND(Assumptions!$P$65=1,OR(J5908&lt;Assumptions!$K$65,I6262=1)),MIN(MAX(0,-J6124),MAX(0,Assumptions!$D$65-J6048)),0)</f>
        <v>0</v>
      </c>
      <c r="K6055" s="16" t="n">
        <f aca="false">IF(AND(Assumptions!$P$65=1,OR(K5908&lt;Assumptions!$K$65,J6262=1)),MIN(MAX(0,-K6124),MAX(0,Assumptions!$D$65-K6048)),0)</f>
        <v>0</v>
      </c>
    </row>
    <row r="6056" customFormat="false" ht="15" hidden="false" customHeight="false" outlineLevel="0" collapsed="false">
      <c r="A6056" s="3" t="s">
        <v>336</v>
      </c>
      <c r="G6056" s="16" t="n">
        <f aca="false">G6049*MIN(G6048-G6054+G6053,MAX(0,G6126-Assumptions!$C$12*G5942-G5952-G5965-G5978-G5991-G6004-G6017-G6030-G6043))</f>
        <v>0</v>
      </c>
      <c r="H6056" s="16" t="n">
        <f aca="false">H6049*MIN(H6048-H6054+H6053,MAX(0,H6126-Assumptions!$C$12*H5942-H5952-H5965-H5978-H5991-H6004-H6017-H6030-H6043))</f>
        <v>0</v>
      </c>
      <c r="I6056" s="16" t="n">
        <f aca="false">I6049*MIN(I6048-I6054+I6053,MAX(0,I6126-Assumptions!$C$12*I5942-I5952-I5965-I5978-I5991-I6004-I6017-I6030-I6043))</f>
        <v>0</v>
      </c>
      <c r="J6056" s="16" t="n">
        <f aca="false">J6049*MIN(J6048-J6054+J6053,MAX(0,J6126-Assumptions!$C$12*J5942-J5952-J5965-J5978-J5991-J6004-J6017-J6030-J6043))</f>
        <v>0</v>
      </c>
      <c r="K6056" s="16" t="n">
        <f aca="false">K6049*MIN(K6048-K6054+K6053,MAX(0,K6126-Assumptions!$C$12*K5942-K5952-K5965-K5978-K5991-K6004-K6017-K6030-K6043))</f>
        <v>0</v>
      </c>
    </row>
    <row r="6057" customFormat="false" ht="15" hidden="false" customHeight="false" outlineLevel="0" collapsed="false">
      <c r="A6057" s="3" t="s">
        <v>337</v>
      </c>
      <c r="G6057" s="16" t="n">
        <f aca="false">Assumptions!$N$65*MIN(G6048+G6055+G6053-G6054-G6056,MAX(0,G6130-G5953-G5966-G5979-G5992-G6005-G6018-G6031-G6044))</f>
        <v>0</v>
      </c>
      <c r="H6057" s="16" t="n">
        <f aca="false">Assumptions!$N$65*MIN(H6048+H6055+H6053-H6054-H6056,MAX(0,H6130-H5953-H5966-H5979-H5992-H6005-H6018-H6031-H6044))</f>
        <v>0</v>
      </c>
      <c r="I6057" s="16" t="n">
        <f aca="false">Assumptions!$N$65*MIN(I6048+I6055+I6053-I6054-I6056,MAX(0,I6130-I5953-I5966-I5979-I5992-I6005-I6018-I6031-I6044))</f>
        <v>0</v>
      </c>
      <c r="J6057" s="16" t="n">
        <f aca="false">Assumptions!$N$65*MIN(J6048+J6055+J6053-J6054-J6056,MAX(0,J6130-J5953-J5966-J5979-J5992-J6005-J6018-J6031-J6044))</f>
        <v>0</v>
      </c>
      <c r="K6057" s="16" t="n">
        <f aca="false">Assumptions!$N$65*MIN(K6048+K6055+K6053-K6054-K6056,MAX(0,K6130-K5953-K5966-K5979-K5992-K6005-K6018-K6031-K6044))</f>
        <v>0</v>
      </c>
    </row>
    <row r="6058" customFormat="false" ht="15" hidden="false" customHeight="false" outlineLevel="0" collapsed="false">
      <c r="A6058" s="3" t="s">
        <v>338</v>
      </c>
      <c r="G6058" s="16" t="n">
        <f aca="false">G6049*(1-G5942)*(G6048-G6054+G6053-G6056)</f>
        <v>0</v>
      </c>
      <c r="H6058" s="16" t="n">
        <f aca="false">H6049*(1-H5942)*(H6048-H6054+H6053-H6056)</f>
        <v>0</v>
      </c>
      <c r="I6058" s="16" t="n">
        <f aca="false">I6049*(1-I5942)*(I6048-I6054+I6053-I6056)</f>
        <v>0</v>
      </c>
      <c r="J6058" s="16" t="n">
        <f aca="false">J6049*(1-J5942)*(J6048-J6054+J6053-J6056)</f>
        <v>0</v>
      </c>
      <c r="K6058" s="16" t="n">
        <f aca="false">K6049*(1-K5942)*(K6048-K6054+K6053-K6056)</f>
        <v>300</v>
      </c>
    </row>
    <row r="6059" customFormat="false" ht="15" hidden="false" customHeight="false" outlineLevel="0" collapsed="false">
      <c r="A6059" s="2" t="s">
        <v>339</v>
      </c>
      <c r="F6059" s="28" t="n">
        <f aca="false">Assumptions!$C$65</f>
        <v>300</v>
      </c>
      <c r="G6059" s="17" t="n">
        <f aca="false">G6048+G6055+G6053-G6054-G6056-G6057</f>
        <v>300</v>
      </c>
      <c r="H6059" s="17" t="n">
        <f aca="false">H6048+H6055+H6053-H6054-H6056-H6057</f>
        <v>300</v>
      </c>
      <c r="I6059" s="17" t="n">
        <f aca="false">I6048+I6055+I6053-I6054-I6056-I6057</f>
        <v>300</v>
      </c>
      <c r="J6059" s="17" t="n">
        <f aca="false">J6048+J6055+J6053-J6054-J6056-J6057</f>
        <v>300</v>
      </c>
      <c r="K6059" s="17" t="n">
        <f aca="false">K6048+K6055+K6053-K6054-K6056-K6057</f>
        <v>300</v>
      </c>
    </row>
    <row r="6060" customFormat="false" ht="15" hidden="false" customHeight="false" outlineLevel="0" collapsed="false">
      <c r="A6060" s="24" t="s">
        <v>348</v>
      </c>
      <c r="B6060" s="25"/>
      <c r="C6060" s="25"/>
      <c r="D6060" s="25"/>
      <c r="E6060" s="25"/>
      <c r="F6060" s="25"/>
      <c r="G6060" s="25"/>
      <c r="H6060" s="25"/>
      <c r="I6060" s="25"/>
      <c r="J6060" s="25"/>
      <c r="K6060" s="25"/>
    </row>
    <row r="6061" customFormat="false" ht="15" hidden="false" customHeight="false" outlineLevel="0" collapsed="false">
      <c r="A6061" s="3" t="s">
        <v>329</v>
      </c>
      <c r="G6061" s="16" t="n">
        <f aca="false">F6072</f>
        <v>78.61</v>
      </c>
      <c r="H6061" s="16" t="n">
        <f aca="false">G6072</f>
        <v>78.61</v>
      </c>
      <c r="I6061" s="16" t="n">
        <f aca="false">H6072</f>
        <v>78.61</v>
      </c>
      <c r="J6061" s="16" t="n">
        <f aca="false">I6072</f>
        <v>78.61</v>
      </c>
      <c r="K6061" s="16" t="n">
        <f aca="false">J6072</f>
        <v>78.61</v>
      </c>
    </row>
    <row r="6062" customFormat="false" ht="15" hidden="false" customHeight="false" outlineLevel="0" collapsed="false">
      <c r="A6062" s="3" t="s">
        <v>330</v>
      </c>
      <c r="G6062" s="21" t="n">
        <f aca="false">IF(G5908=Assumptions!$K$66,1,0)</f>
        <v>0</v>
      </c>
      <c r="H6062" s="21" t="n">
        <f aca="false">IF(H5908=Assumptions!$K$66,1,0)</f>
        <v>0</v>
      </c>
      <c r="I6062" s="21" t="n">
        <f aca="false">IF(I5908=Assumptions!$K$66,1,0)</f>
        <v>0</v>
      </c>
      <c r="J6062" s="21" t="n">
        <f aca="false">IF(J5908=Assumptions!$K$66,1,0)</f>
        <v>0</v>
      </c>
      <c r="K6062" s="21" t="n">
        <f aca="false">IF(K5908=Assumptions!$K$66,1,0)</f>
        <v>0</v>
      </c>
    </row>
    <row r="6064" customFormat="false" ht="15" hidden="false" customHeight="false" outlineLevel="0" collapsed="false">
      <c r="A6064" s="3" t="s">
        <v>331</v>
      </c>
      <c r="G6064" s="31" t="n">
        <f aca="false">IF(Assumptions!$I$66=1,MAX(G5934,Assumptions!$G$66)+Assumptions!$F$66+$C$5935,Assumptions!$E$66)</f>
        <v>0.0691</v>
      </c>
      <c r="H6064" s="31" t="n">
        <f aca="false">IF(G6263=1,$C$5936,IF(Assumptions!$I$66=1,MAX(H5934,Assumptions!$G$66)+Assumptions!$F$66+$C$5935,Assumptions!$E$66))</f>
        <v>0.0676</v>
      </c>
      <c r="I6064" s="31" t="n">
        <f aca="false">IF(H6263=1,$C$5936,IF(Assumptions!$I$66=1,MAX(I5934,Assumptions!$G$66)+Assumptions!$F$66+$C$5935,Assumptions!$E$66))</f>
        <v>0.0651</v>
      </c>
      <c r="J6064" s="31" t="n">
        <f aca="false">IF(I6263=1,$C$5936,IF(Assumptions!$I$66=1,MAX(J5934,Assumptions!$G$66)+Assumptions!$F$66+$C$5935,Assumptions!$E$66))</f>
        <v>0.0651</v>
      </c>
      <c r="K6064" s="31" t="n">
        <f aca="false">IF(J6263=1,$C$5936,IF(Assumptions!$I$66=1,MAX(K5934,Assumptions!$G$66)+Assumptions!$F$66+$C$5935,Assumptions!$E$66))</f>
        <v>0.0651</v>
      </c>
    </row>
    <row r="6065" customFormat="false" ht="15" hidden="false" customHeight="false" outlineLevel="0" collapsed="false">
      <c r="A6065" s="3" t="s">
        <v>332</v>
      </c>
      <c r="G6065" s="16" t="n">
        <f aca="false">G6061*G6064</f>
        <v>5.431951</v>
      </c>
      <c r="H6065" s="16" t="n">
        <f aca="false">H6061*H6064</f>
        <v>5.314036</v>
      </c>
      <c r="I6065" s="16" t="n">
        <f aca="false">I6061*I6064</f>
        <v>5.117511</v>
      </c>
      <c r="J6065" s="16" t="n">
        <f aca="false">J6061*J6064</f>
        <v>5.117511</v>
      </c>
      <c r="K6065" s="16" t="n">
        <f aca="false">K6061*K6064</f>
        <v>5.117511</v>
      </c>
    </row>
    <row r="6066" customFormat="false" ht="15" hidden="false" customHeight="false" outlineLevel="0" collapsed="false">
      <c r="A6066" s="3" t="s">
        <v>333</v>
      </c>
      <c r="G6066" s="16" t="n">
        <f aca="false">G6061*Assumptions!$H$66</f>
        <v>0</v>
      </c>
      <c r="H6066" s="16" t="n">
        <f aca="false">H6061*Assumptions!$H$66</f>
        <v>0</v>
      </c>
      <c r="I6066" s="16" t="n">
        <f aca="false">I6061*Assumptions!$H$66</f>
        <v>0</v>
      </c>
      <c r="J6066" s="16" t="n">
        <f aca="false">J6061*Assumptions!$H$66</f>
        <v>0</v>
      </c>
      <c r="K6066" s="16" t="n">
        <f aca="false">K6061*Assumptions!$H$66</f>
        <v>0</v>
      </c>
    </row>
    <row r="6067" customFormat="false" ht="15" hidden="false" customHeight="false" outlineLevel="0" collapsed="false">
      <c r="A6067" s="3" t="s">
        <v>334</v>
      </c>
      <c r="G6067" s="16" t="n">
        <f aca="false">MIN(G6061,Assumptions!$L$66*Assumptions!$C$66)</f>
        <v>0</v>
      </c>
      <c r="H6067" s="16" t="n">
        <f aca="false">MIN(H6061,Assumptions!$L$66*Assumptions!$C$66)</f>
        <v>0</v>
      </c>
      <c r="I6067" s="16" t="n">
        <f aca="false">MIN(I6061,Assumptions!$L$66*Assumptions!$C$66)</f>
        <v>0</v>
      </c>
      <c r="J6067" s="16" t="n">
        <f aca="false">MIN(J6061,Assumptions!$L$66*Assumptions!$C$66)</f>
        <v>0</v>
      </c>
      <c r="K6067" s="16" t="n">
        <f aca="false">MIN(K6061,Assumptions!$L$66*Assumptions!$C$66)</f>
        <v>0</v>
      </c>
    </row>
    <row r="6068" customFormat="false" ht="15" hidden="false" customHeight="false" outlineLevel="0" collapsed="false">
      <c r="A6068" s="3" t="s">
        <v>335</v>
      </c>
      <c r="G6068" s="16" t="n">
        <f aca="false">IF(AND(Assumptions!$P$66=1,G5908&lt;Assumptions!$K$66),MIN(MAX(0,-G6124),MAX(0,Assumptions!$D$66-G6061)),0)</f>
        <v>0</v>
      </c>
      <c r="H6068" s="16" t="n">
        <f aca="false">IF(AND(Assumptions!$P$66=1,OR(H5908&lt;Assumptions!$K$66,G6263=1)),MIN(MAX(0,-H6124),MAX(0,Assumptions!$D$66-H6061)),0)</f>
        <v>0</v>
      </c>
      <c r="I6068" s="16" t="n">
        <f aca="false">IF(AND(Assumptions!$P$66=1,OR(I5908&lt;Assumptions!$K$66,H6263=1)),MIN(MAX(0,-I6124),MAX(0,Assumptions!$D$66-I6061)),0)</f>
        <v>0</v>
      </c>
      <c r="J6068" s="16" t="n">
        <f aca="false">IF(AND(Assumptions!$P$66=1,OR(J5908&lt;Assumptions!$K$66,I6263=1)),MIN(MAX(0,-J6124),MAX(0,Assumptions!$D$66-J6061)),0)</f>
        <v>0</v>
      </c>
      <c r="K6068" s="16" t="n">
        <f aca="false">IF(AND(Assumptions!$P$66=1,OR(K5908&lt;Assumptions!$K$66,J6263=1)),MIN(MAX(0,-K6124),MAX(0,Assumptions!$D$66-K6061)),0)</f>
        <v>0</v>
      </c>
    </row>
    <row r="6069" customFormat="false" ht="15" hidden="false" customHeight="false" outlineLevel="0" collapsed="false">
      <c r="A6069" s="3" t="s">
        <v>336</v>
      </c>
      <c r="G6069" s="16" t="n">
        <f aca="false">G6062*MIN(G6061-G6067+G6066,MAX(0,G6126-Assumptions!$C$12*G5942-G5952-G5965-G5978-G5991-G6004-G6017-G6030-G6043-G6056))</f>
        <v>0</v>
      </c>
      <c r="H6069" s="16" t="n">
        <f aca="false">H6062*MIN(H6061-H6067+H6066,MAX(0,H6126-Assumptions!$C$12*H5942-H5952-H5965-H5978-H5991-H6004-H6017-H6030-H6043-H6056))</f>
        <v>0</v>
      </c>
      <c r="I6069" s="16" t="n">
        <f aca="false">I6062*MIN(I6061-I6067+I6066,MAX(0,I6126-Assumptions!$C$12*I5942-I5952-I5965-I5978-I5991-I6004-I6017-I6030-I6043-I6056))</f>
        <v>0</v>
      </c>
      <c r="J6069" s="16" t="n">
        <f aca="false">J6062*MIN(J6061-J6067+J6066,MAX(0,J6126-Assumptions!$C$12*J5942-J5952-J5965-J5978-J5991-J6004-J6017-J6030-J6043-J6056))</f>
        <v>0</v>
      </c>
      <c r="K6069" s="16" t="n">
        <f aca="false">K6062*MIN(K6061-K6067+K6066,MAX(0,K6126-Assumptions!$C$12*K5942-K5952-K5965-K5978-K5991-K6004-K6017-K6030-K6043-K6056))</f>
        <v>0</v>
      </c>
    </row>
    <row r="6070" customFormat="false" ht="15" hidden="false" customHeight="false" outlineLevel="0" collapsed="false">
      <c r="A6070" s="3" t="s">
        <v>337</v>
      </c>
      <c r="G6070" s="16" t="n">
        <f aca="false">Assumptions!$N$66*MIN(G6061+G6068+G6066-G6067-G6069,MAX(0,G6130-G5953-G5966-G5979-G5992-G6005-G6018-G6031-G6044-G6057))</f>
        <v>0</v>
      </c>
      <c r="H6070" s="16" t="n">
        <f aca="false">Assumptions!$N$66*MIN(H6061+H6068+H6066-H6067-H6069,MAX(0,H6130-H5953-H5966-H5979-H5992-H6005-H6018-H6031-H6044-H6057))</f>
        <v>0</v>
      </c>
      <c r="I6070" s="16" t="n">
        <f aca="false">Assumptions!$N$66*MIN(I6061+I6068+I6066-I6067-I6069,MAX(0,I6130-I5953-I5966-I5979-I5992-I6005-I6018-I6031-I6044-I6057))</f>
        <v>0</v>
      </c>
      <c r="J6070" s="16" t="n">
        <f aca="false">Assumptions!$N$66*MIN(J6061+J6068+J6066-J6067-J6069,MAX(0,J6130-J5953-J5966-J5979-J5992-J6005-J6018-J6031-J6044-J6057))</f>
        <v>0</v>
      </c>
      <c r="K6070" s="16" t="n">
        <f aca="false">Assumptions!$N$66*MIN(K6061+K6068+K6066-K6067-K6069,MAX(0,K6130-K5953-K5966-K5979-K5992-K6005-K6018-K6031-K6044-K6057))</f>
        <v>0</v>
      </c>
    </row>
    <row r="6071" customFormat="false" ht="15" hidden="false" customHeight="false" outlineLevel="0" collapsed="false">
      <c r="A6071" s="3" t="s">
        <v>338</v>
      </c>
      <c r="G6071" s="16" t="n">
        <f aca="false">G6062*(1-G5942)*(G6061-G6067+G6066-G6069)</f>
        <v>0</v>
      </c>
      <c r="H6071" s="16" t="n">
        <f aca="false">H6062*(1-H5942)*(H6061-H6067+H6066-H6069)</f>
        <v>0</v>
      </c>
      <c r="I6071" s="16" t="n">
        <f aca="false">I6062*(1-I5942)*(I6061-I6067+I6066-I6069)</f>
        <v>0</v>
      </c>
      <c r="J6071" s="16" t="n">
        <f aca="false">J6062*(1-J5942)*(J6061-J6067+J6066-J6069)</f>
        <v>0</v>
      </c>
      <c r="K6071" s="16" t="n">
        <f aca="false">K6062*(1-K5942)*(K6061-K6067+K6066-K6069)</f>
        <v>0</v>
      </c>
    </row>
    <row r="6072" customFormat="false" ht="15" hidden="false" customHeight="false" outlineLevel="0" collapsed="false">
      <c r="A6072" s="2" t="s">
        <v>339</v>
      </c>
      <c r="F6072" s="28" t="n">
        <f aca="false">Assumptions!$C$66</f>
        <v>78.61</v>
      </c>
      <c r="G6072" s="17" t="n">
        <f aca="false">G6061+G6068+G6066-G6067-G6069-G6070</f>
        <v>78.61</v>
      </c>
      <c r="H6072" s="17" t="n">
        <f aca="false">H6061+H6068+H6066-H6067-H6069-H6070</f>
        <v>78.61</v>
      </c>
      <c r="I6072" s="17" t="n">
        <f aca="false">I6061+I6068+I6066-I6067-I6069-I6070</f>
        <v>78.61</v>
      </c>
      <c r="J6072" s="17" t="n">
        <f aca="false">J6061+J6068+J6066-J6067-J6069-J6070</f>
        <v>78.61</v>
      </c>
      <c r="K6072" s="17" t="n">
        <f aca="false">K6061+K6068+K6066-K6067-K6069-K6070</f>
        <v>78.61</v>
      </c>
    </row>
    <row r="6073" customFormat="false" ht="15" hidden="false" customHeight="false" outlineLevel="0" collapsed="false">
      <c r="A6073" s="24" t="s">
        <v>349</v>
      </c>
      <c r="B6073" s="25"/>
      <c r="C6073" s="25"/>
      <c r="D6073" s="25"/>
      <c r="E6073" s="25"/>
      <c r="F6073" s="25"/>
      <c r="G6073" s="25"/>
      <c r="H6073" s="25"/>
      <c r="I6073" s="25"/>
      <c r="J6073" s="25"/>
      <c r="K6073" s="25"/>
    </row>
    <row r="6074" customFormat="false" ht="15" hidden="false" customHeight="false" outlineLevel="0" collapsed="false">
      <c r="A6074" s="2" t="s">
        <v>350</v>
      </c>
      <c r="F6074" s="17" t="n">
        <f aca="false">F5955+F5968+F5981+F5994+F6007+F6020+F6033+F6046+F6059+F6072</f>
        <v>2625.934</v>
      </c>
      <c r="G6074" s="17" t="n">
        <f aca="false">G5955+G5968+G5981+G5994+G6007+G6020+G6033+G6046+G6059+G6072</f>
        <v>2621.934</v>
      </c>
      <c r="H6074" s="17" t="n">
        <f aca="false">H5955+H5968+H5981+H5994+H6007+H6020+H6033+H6046+H6059+H6072</f>
        <v>2587.835063357</v>
      </c>
      <c r="I6074" s="17" t="n">
        <f aca="false">I5955+I5968+I5981+I5994+I6007+I6020+I6033+I6046+I6059+I6072</f>
        <v>2583.835063357</v>
      </c>
      <c r="J6074" s="17" t="n">
        <f aca="false">J5955+J5968+J5981+J5994+J6007+J6020+J6033+J6046+J6059+J6072</f>
        <v>2579.835063357</v>
      </c>
      <c r="K6074" s="17" t="n">
        <f aca="false">K5955+K5968+K5981+K5994+K6007+K6020+K6033+K6046+K6059+K6072</f>
        <v>2575.835063357</v>
      </c>
    </row>
    <row r="6075" customFormat="false" ht="15" hidden="false" customHeight="false" outlineLevel="0" collapsed="false">
      <c r="A6075" s="3" t="s">
        <v>351</v>
      </c>
      <c r="G6075" s="16" t="n">
        <f aca="false">G5945*Assumptions!$C$57+G5958*Assumptions!$C$58+G5971*Assumptions!$C$59+G5984*Assumptions!$C$60+G5997*Assumptions!$C$61+G6010*Assumptions!$C$62+G6023*Assumptions!$C$63+G6036*Assumptions!$C$64+G6049*Assumptions!$C$65+G6062*Assumptions!$C$66</f>
        <v>0</v>
      </c>
      <c r="H6075" s="16" t="n">
        <f aca="false">H5945*Assumptions!$C$57+H5958*Assumptions!$C$58+H5971*Assumptions!$C$59+H5984*Assumptions!$C$60+H5997*Assumptions!$C$61+H6010*Assumptions!$C$62+H6023*Assumptions!$C$63+H6036*Assumptions!$C$64+H6049*Assumptions!$C$65+H6062*Assumptions!$C$66</f>
        <v>800</v>
      </c>
      <c r="I6075" s="16" t="n">
        <f aca="false">I5945*Assumptions!$C$57+I5958*Assumptions!$C$58+I5971*Assumptions!$C$59+I5984*Assumptions!$C$60+I5997*Assumptions!$C$61+I6010*Assumptions!$C$62+I6023*Assumptions!$C$63+I6036*Assumptions!$C$64+I6049*Assumptions!$C$65+I6062*Assumptions!$C$66</f>
        <v>550</v>
      </c>
      <c r="J6075" s="16" t="n">
        <f aca="false">J5945*Assumptions!$C$57+J5958*Assumptions!$C$58+J5971*Assumptions!$C$59+J5984*Assumptions!$C$60+J5997*Assumptions!$C$61+J6010*Assumptions!$C$62+J6023*Assumptions!$C$63+J6036*Assumptions!$C$64+J6049*Assumptions!$C$65+J6062*Assumptions!$C$66</f>
        <v>350</v>
      </c>
      <c r="K6075" s="16" t="n">
        <f aca="false">K5945*Assumptions!$C$57+K5958*Assumptions!$C$58+K5971*Assumptions!$C$59+K5984*Assumptions!$C$60+K5997*Assumptions!$C$61+K6010*Assumptions!$C$62+K6023*Assumptions!$C$63+K6036*Assumptions!$C$64+K6049*Assumptions!$C$65+K6062*Assumptions!$C$66</f>
        <v>700</v>
      </c>
    </row>
    <row r="6076" customFormat="false" ht="15" hidden="false" customHeight="false" outlineLevel="0" collapsed="false">
      <c r="A6076" s="24" t="s">
        <v>352</v>
      </c>
      <c r="B6076" s="25"/>
      <c r="C6076" s="25"/>
      <c r="D6076" s="25"/>
      <c r="E6076" s="25"/>
      <c r="F6076" s="25"/>
      <c r="G6076" s="25"/>
      <c r="H6076" s="25"/>
      <c r="I6076" s="25"/>
      <c r="J6076" s="25"/>
      <c r="K6076" s="25"/>
    </row>
    <row r="6077" customFormat="false" ht="15" hidden="false" customHeight="false" outlineLevel="0" collapsed="false">
      <c r="A6077" s="3" t="s">
        <v>353</v>
      </c>
      <c r="C6077" s="16" t="n">
        <f aca="false">SUMPRODUCT($G$5945:$K$5945,$G$5944:$K$5944-$G$5950:$K$5950+$G$5949:$K$5949)</f>
        <v>380</v>
      </c>
    </row>
    <row r="6078" customFormat="false" ht="15" hidden="false" customHeight="false" outlineLevel="0" collapsed="false">
      <c r="A6078" s="3" t="s">
        <v>354</v>
      </c>
      <c r="C6078" s="16" t="n">
        <f aca="false">SUMPRODUCT($G$5945:$K$5945,$G$5952:$K$5952)</f>
        <v>0</v>
      </c>
    </row>
    <row r="6079" customFormat="false" ht="15" hidden="false" customHeight="false" outlineLevel="0" collapsed="false">
      <c r="A6079" s="3" t="s">
        <v>355</v>
      </c>
      <c r="C6079" s="3" t="str">
        <f aca="false">IF(SUM($G$5945:$K$5945)=0,"n/a (beyond horizon)",IF(SUMPRODUCT($G$5945:$K$5945,$G$5942:$K$5942)&gt;0,"REFINANCING PASS","REFINANCING FAILURE"))</f>
        <v>REFINANCING FAILURE</v>
      </c>
    </row>
    <row r="6080" customFormat="false" ht="15" hidden="false" customHeight="false" outlineLevel="0" collapsed="false">
      <c r="A6080" s="3" t="s">
        <v>356</v>
      </c>
      <c r="C6080" s="3" t="str">
        <f aca="false">IF(SUM($G$5945:$K$5945)=0,"n/a",IF(C6078&gt;=C6077-0.001,"Repaid from cash",IF(SUMPRODUCT($G$5945:$K$5945,$G$5942:$K$5942)&gt;0,IF(C6078&gt;0,"Partly repaid; remainder refinanced","Refinanced"),IF(SUM($G$5954:$K$5954)&gt;0.001,IF(C6078&gt;0,"Partial repayment; PAYMENT DEFAULT","PAYMENT DEFAULT"),"Repaid from cash"))))</f>
        <v>PAYMENT DEFAULT</v>
      </c>
    </row>
    <row r="6081" customFormat="false" ht="15" hidden="false" customHeight="false" outlineLevel="0" collapsed="false">
      <c r="A6081" s="3" t="s">
        <v>357</v>
      </c>
      <c r="C6081" s="16" t="n">
        <f aca="false">SUMPRODUCT($G$5958:$K$5958,$G$5957:$K$5957-$G$5963:$K$5963+$G$5962:$K$5962)</f>
        <v>0</v>
      </c>
    </row>
    <row r="6082" customFormat="false" ht="15" hidden="false" customHeight="false" outlineLevel="0" collapsed="false">
      <c r="A6082" s="3" t="s">
        <v>358</v>
      </c>
      <c r="C6082" s="16" t="n">
        <f aca="false">SUMPRODUCT($G$5958:$K$5958,$G$5965:$K$5965)</f>
        <v>0</v>
      </c>
    </row>
    <row r="6083" customFormat="false" ht="15" hidden="false" customHeight="false" outlineLevel="0" collapsed="false">
      <c r="A6083" s="3" t="s">
        <v>359</v>
      </c>
      <c r="C6083" s="3" t="str">
        <f aca="false">IF(SUM($G$5958:$K$5958)=0,"n/a (beyond horizon)",IF(SUMPRODUCT($G$5958:$K$5958,$G$5942:$K$5942)&gt;0,"REFINANCING PASS","REFINANCING FAILURE"))</f>
        <v>n/a (beyond horizon)</v>
      </c>
    </row>
    <row r="6084" customFormat="false" ht="15" hidden="false" customHeight="false" outlineLevel="0" collapsed="false">
      <c r="A6084" s="3" t="s">
        <v>360</v>
      </c>
      <c r="C6084" s="3" t="str">
        <f aca="false">IF(SUM($G$5958:$K$5958)=0,"n/a",IF(C6082&gt;=C6081-0.001,"Repaid from cash",IF(SUMPRODUCT($G$5958:$K$5958,$G$5942:$K$5942)&gt;0,IF(C6082&gt;0,"Partly repaid; remainder refinanced","Refinanced"),IF(SUM($G$5967:$K$5967)&gt;0.001,IF(C6082&gt;0,"Partial repayment; PAYMENT DEFAULT","PAYMENT DEFAULT"),"Repaid from cash"))))</f>
        <v>n/a</v>
      </c>
    </row>
    <row r="6085" customFormat="false" ht="15" hidden="false" customHeight="false" outlineLevel="0" collapsed="false">
      <c r="A6085" s="3" t="s">
        <v>361</v>
      </c>
      <c r="C6085" s="16" t="n">
        <f aca="false">SUMPRODUCT($G$5971:$K$5971,$G$5970:$K$5970-$G$5976:$K$5976+$G$5975:$K$5975)</f>
        <v>0</v>
      </c>
    </row>
    <row r="6086" customFormat="false" ht="15" hidden="false" customHeight="false" outlineLevel="0" collapsed="false">
      <c r="A6086" s="3" t="s">
        <v>362</v>
      </c>
      <c r="C6086" s="16" t="n">
        <f aca="false">SUMPRODUCT($G$5971:$K$5971,$G$5978:$K$5978)</f>
        <v>0</v>
      </c>
    </row>
    <row r="6087" customFormat="false" ht="15" hidden="false" customHeight="false" outlineLevel="0" collapsed="false">
      <c r="A6087" s="3" t="s">
        <v>363</v>
      </c>
      <c r="C6087" s="3" t="str">
        <f aca="false">IF(SUM($G$5971:$K$5971)=0,"n/a (beyond horizon)",IF(SUMPRODUCT($G$5971:$K$5971,$G$5942:$K$5942)&gt;0,"REFINANCING PASS","REFINANCING FAILURE"))</f>
        <v>n/a (beyond horizon)</v>
      </c>
    </row>
    <row r="6088" customFormat="false" ht="15" hidden="false" customHeight="false" outlineLevel="0" collapsed="false">
      <c r="A6088" s="3" t="s">
        <v>364</v>
      </c>
      <c r="C6088" s="3" t="str">
        <f aca="false">IF(SUM($G$5971:$K$5971)=0,"n/a",IF(C6086&gt;=C6085-0.001,"Repaid from cash",IF(SUMPRODUCT($G$5971:$K$5971,$G$5942:$K$5942)&gt;0,IF(C6086&gt;0,"Partly repaid; remainder refinanced","Refinanced"),IF(SUM($G$5980:$K$5980)&gt;0.001,IF(C6086&gt;0,"Partial repayment; PAYMENT DEFAULT","PAYMENT DEFAULT"),"Repaid from cash"))))</f>
        <v>n/a</v>
      </c>
    </row>
    <row r="6089" customFormat="false" ht="15" hidden="false" customHeight="false" outlineLevel="0" collapsed="false">
      <c r="A6089" s="3" t="s">
        <v>365</v>
      </c>
      <c r="C6089" s="16" t="n">
        <f aca="false">SUMPRODUCT($G$5984:$K$5984,$G$5983:$K$5983-$G$5989:$K$5989+$G$5988:$K$5988)</f>
        <v>0</v>
      </c>
    </row>
    <row r="6090" customFormat="false" ht="15" hidden="false" customHeight="false" outlineLevel="0" collapsed="false">
      <c r="A6090" s="3" t="s">
        <v>366</v>
      </c>
      <c r="C6090" s="16" t="n">
        <f aca="false">SUMPRODUCT($G$5984:$K$5984,$G$5991:$K$5991)</f>
        <v>0</v>
      </c>
    </row>
    <row r="6091" customFormat="false" ht="15" hidden="false" customHeight="false" outlineLevel="0" collapsed="false">
      <c r="A6091" s="3" t="s">
        <v>367</v>
      </c>
      <c r="C6091" s="3" t="str">
        <f aca="false">IF(SUM($G$5984:$K$5984)=0,"n/a (beyond horizon)",IF(SUMPRODUCT($G$5984:$K$5984,$G$5942:$K$5942)&gt;0,"REFINANCING PASS","REFINANCING FAILURE"))</f>
        <v>REFINANCING FAILURE</v>
      </c>
    </row>
    <row r="6092" customFormat="false" ht="15" hidden="false" customHeight="false" outlineLevel="0" collapsed="false">
      <c r="A6092" s="3" t="s">
        <v>368</v>
      </c>
      <c r="C6092" s="3" t="str">
        <f aca="false">IF(SUM($G$5984:$K$5984)=0,"n/a",IF(C6090&gt;=C6089-0.001,"Repaid from cash",IF(SUMPRODUCT($G$5984:$K$5984,$G$5942:$K$5942)&gt;0,IF(C6090&gt;0,"Partly repaid; remainder refinanced","Refinanced"),IF(SUM($G$5993:$K$5993)&gt;0.001,IF(C6090&gt;0,"Partial repayment; PAYMENT DEFAULT","PAYMENT DEFAULT"),"Repaid from cash"))))</f>
        <v>Repaid from cash</v>
      </c>
    </row>
    <row r="6093" customFormat="false" ht="15" hidden="false" customHeight="false" outlineLevel="0" collapsed="false">
      <c r="A6093" s="3" t="s">
        <v>369</v>
      </c>
      <c r="C6093" s="16" t="n">
        <f aca="false">SUMPRODUCT($G$5997:$K$5997,$G$5996:$K$5996-$G$6002:$K$6002+$G$6001:$K$6001)</f>
        <v>450</v>
      </c>
    </row>
    <row r="6094" customFormat="false" ht="15" hidden="false" customHeight="false" outlineLevel="0" collapsed="false">
      <c r="A6094" s="3" t="s">
        <v>370</v>
      </c>
      <c r="C6094" s="16" t="n">
        <f aca="false">SUMPRODUCT($G$5997:$K$5997,$G$6004:$K$6004)</f>
        <v>30.098936643</v>
      </c>
    </row>
    <row r="6095" customFormat="false" ht="15" hidden="false" customHeight="false" outlineLevel="0" collapsed="false">
      <c r="A6095" s="3" t="s">
        <v>371</v>
      </c>
      <c r="C6095" s="3" t="str">
        <f aca="false">IF(SUM($G$5997:$K$5997)=0,"n/a (beyond horizon)",IF(SUMPRODUCT($G$5997:$K$5997,$G$5942:$K$5942)&gt;0,"REFINANCING PASS","REFINANCING FAILURE"))</f>
        <v>REFINANCING FAILURE</v>
      </c>
    </row>
    <row r="6096" customFormat="false" ht="15" hidden="false" customHeight="false" outlineLevel="0" collapsed="false">
      <c r="A6096" s="3" t="s">
        <v>372</v>
      </c>
      <c r="C6096" s="3" t="str">
        <f aca="false">IF(SUM($G$5997:$K$5997)=0,"n/a",IF(C6094&gt;=C6093-0.001,"Repaid from cash",IF(SUMPRODUCT($G$5997:$K$5997,$G$5942:$K$5942)&gt;0,IF(C6094&gt;0,"Partly repaid; remainder refinanced","Refinanced"),IF(SUM($G$6006:$K$6006)&gt;0.001,IF(C6094&gt;0,"Partial repayment; PAYMENT DEFAULT","PAYMENT DEFAULT"),"Repaid from cash"))))</f>
        <v>Partial repayment; PAYMENT DEFAULT</v>
      </c>
    </row>
    <row r="6097" customFormat="false" ht="15" hidden="false" customHeight="false" outlineLevel="0" collapsed="false">
      <c r="A6097" s="3" t="s">
        <v>373</v>
      </c>
      <c r="C6097" s="16" t="n">
        <f aca="false">SUMPRODUCT($G$6010:$K$6010,$G$6009:$K$6009-$G$6015:$K$6015+$G$6014:$K$6014)</f>
        <v>350</v>
      </c>
    </row>
    <row r="6098" customFormat="false" ht="15" hidden="false" customHeight="false" outlineLevel="0" collapsed="false">
      <c r="A6098" s="3" t="s">
        <v>374</v>
      </c>
      <c r="C6098" s="16" t="n">
        <f aca="false">SUMPRODUCT($G$6010:$K$6010,$G$6017:$K$6017)</f>
        <v>0</v>
      </c>
    </row>
    <row r="6099" customFormat="false" ht="15" hidden="false" customHeight="false" outlineLevel="0" collapsed="false">
      <c r="A6099" s="3" t="s">
        <v>375</v>
      </c>
      <c r="C6099" s="3" t="str">
        <f aca="false">IF(SUM($G$6010:$K$6010)=0,"n/a (beyond horizon)",IF(SUMPRODUCT($G$6010:$K$6010,$G$5942:$K$5942)&gt;0,"REFINANCING PASS","REFINANCING FAILURE"))</f>
        <v>REFINANCING FAILURE</v>
      </c>
    </row>
    <row r="6100" customFormat="false" ht="15" hidden="false" customHeight="false" outlineLevel="0" collapsed="false">
      <c r="A6100" s="3" t="s">
        <v>376</v>
      </c>
      <c r="C6100" s="3" t="str">
        <f aca="false">IF(SUM($G$6010:$K$6010)=0,"n/a",IF(C6098&gt;=C6097-0.001,"Repaid from cash",IF(SUMPRODUCT($G$6010:$K$6010,$G$5942:$K$5942)&gt;0,IF(C6098&gt;0,"Partly repaid; remainder refinanced","Refinanced"),IF(SUM($G$6019:$K$6019)&gt;0.001,IF(C6098&gt;0,"Partial repayment; PAYMENT DEFAULT","PAYMENT DEFAULT"),"Repaid from cash"))))</f>
        <v>PAYMENT DEFAULT</v>
      </c>
    </row>
    <row r="6101" customFormat="false" ht="15" hidden="false" customHeight="false" outlineLevel="0" collapsed="false">
      <c r="A6101" s="3" t="s">
        <v>377</v>
      </c>
      <c r="C6101" s="16" t="n">
        <f aca="false">SUMPRODUCT($G$6023:$K$6023,$G$6022:$K$6022-$G$6028:$K$6028+$G$6027:$K$6027)</f>
        <v>550</v>
      </c>
    </row>
    <row r="6102" customFormat="false" ht="15" hidden="false" customHeight="false" outlineLevel="0" collapsed="false">
      <c r="A6102" s="3" t="s">
        <v>378</v>
      </c>
      <c r="C6102" s="16" t="n">
        <f aca="false">SUMPRODUCT($G$6023:$K$6023,$G$6030:$K$6030)</f>
        <v>0</v>
      </c>
    </row>
    <row r="6103" customFormat="false" ht="15" hidden="false" customHeight="false" outlineLevel="0" collapsed="false">
      <c r="A6103" s="3" t="s">
        <v>379</v>
      </c>
      <c r="C6103" s="3" t="str">
        <f aca="false">IF(SUM($G$6023:$K$6023)=0,"n/a (beyond horizon)",IF(SUMPRODUCT($G$6023:$K$6023,$G$5942:$K$5942)&gt;0,"REFINANCING PASS","REFINANCING FAILURE"))</f>
        <v>REFINANCING FAILURE</v>
      </c>
    </row>
    <row r="6104" customFormat="false" ht="15" hidden="false" customHeight="false" outlineLevel="0" collapsed="false">
      <c r="A6104" s="3" t="s">
        <v>380</v>
      </c>
      <c r="C6104" s="3" t="str">
        <f aca="false">IF(SUM($G$6023:$K$6023)=0,"n/a",IF(C6102&gt;=C6101-0.001,"Repaid from cash",IF(SUMPRODUCT($G$6023:$K$6023,$G$5942:$K$5942)&gt;0,IF(C6102&gt;0,"Partly repaid; remainder refinanced","Refinanced"),IF(SUM($G$6032:$K$6032)&gt;0.001,IF(C6102&gt;0,"Partial repayment; PAYMENT DEFAULT","PAYMENT DEFAULT"),"Repaid from cash"))))</f>
        <v>PAYMENT DEFAULT</v>
      </c>
    </row>
    <row r="6105" customFormat="false" ht="15" hidden="false" customHeight="false" outlineLevel="0" collapsed="false">
      <c r="A6105" s="3" t="s">
        <v>381</v>
      </c>
      <c r="C6105" s="16" t="n">
        <f aca="false">SUMPRODUCT($G$6036:$K$6036,$G$6035:$K$6035-$G$6041:$K$6041+$G$6040:$K$6040)</f>
        <v>350</v>
      </c>
    </row>
    <row r="6106" customFormat="false" ht="15" hidden="false" customHeight="false" outlineLevel="0" collapsed="false">
      <c r="A6106" s="3" t="s">
        <v>382</v>
      </c>
      <c r="C6106" s="16" t="n">
        <f aca="false">SUMPRODUCT($G$6036:$K$6036,$G$6043:$K$6043)</f>
        <v>0</v>
      </c>
    </row>
    <row r="6107" customFormat="false" ht="15" hidden="false" customHeight="false" outlineLevel="0" collapsed="false">
      <c r="A6107" s="3" t="s">
        <v>383</v>
      </c>
      <c r="C6107" s="3" t="str">
        <f aca="false">IF(SUM($G$6036:$K$6036)=0,"n/a (beyond horizon)",IF(SUMPRODUCT($G$6036:$K$6036,$G$5942:$K$5942)&gt;0,"REFINANCING PASS","REFINANCING FAILURE"))</f>
        <v>REFINANCING FAILURE</v>
      </c>
    </row>
    <row r="6108" customFormat="false" ht="15" hidden="false" customHeight="false" outlineLevel="0" collapsed="false">
      <c r="A6108" s="3" t="s">
        <v>384</v>
      </c>
      <c r="C6108" s="3" t="str">
        <f aca="false">IF(SUM($G$6036:$K$6036)=0,"n/a",IF(C6106&gt;=C6105-0.001,"Repaid from cash",IF(SUMPRODUCT($G$6036:$K$6036,$G$5942:$K$5942)&gt;0,IF(C6106&gt;0,"Partly repaid; remainder refinanced","Refinanced"),IF(SUM($G$6045:$K$6045)&gt;0.001,IF(C6106&gt;0,"Partial repayment; PAYMENT DEFAULT","PAYMENT DEFAULT"),"Repaid from cash"))))</f>
        <v>PAYMENT DEFAULT</v>
      </c>
    </row>
    <row r="6109" customFormat="false" ht="15" hidden="false" customHeight="false" outlineLevel="0" collapsed="false">
      <c r="A6109" s="3" t="s">
        <v>385</v>
      </c>
      <c r="C6109" s="16" t="n">
        <f aca="false">SUMPRODUCT($G$6049:$K$6049,$G$6048:$K$6048-$G$6054:$K$6054+$G$6053:$K$6053)</f>
        <v>300</v>
      </c>
    </row>
    <row r="6110" customFormat="false" ht="15" hidden="false" customHeight="false" outlineLevel="0" collapsed="false">
      <c r="A6110" s="3" t="s">
        <v>386</v>
      </c>
      <c r="C6110" s="16" t="n">
        <f aca="false">SUMPRODUCT($G$6049:$K$6049,$G$6056:$K$6056)</f>
        <v>0</v>
      </c>
    </row>
    <row r="6111" customFormat="false" ht="15" hidden="false" customHeight="false" outlineLevel="0" collapsed="false">
      <c r="A6111" s="3" t="s">
        <v>387</v>
      </c>
      <c r="C6111" s="3" t="str">
        <f aca="false">IF(SUM($G$6049:$K$6049)=0,"n/a (beyond horizon)",IF(SUMPRODUCT($G$6049:$K$6049,$G$5942:$K$5942)&gt;0,"REFINANCING PASS","REFINANCING FAILURE"))</f>
        <v>REFINANCING FAILURE</v>
      </c>
    </row>
    <row r="6112" customFormat="false" ht="15" hidden="false" customHeight="false" outlineLevel="0" collapsed="false">
      <c r="A6112" s="3" t="s">
        <v>388</v>
      </c>
      <c r="C6112" s="3" t="str">
        <f aca="false">IF(SUM($G$6049:$K$6049)=0,"n/a",IF(C6110&gt;=C6109-0.001,"Repaid from cash",IF(SUMPRODUCT($G$6049:$K$6049,$G$5942:$K$5942)&gt;0,IF(C6110&gt;0,"Partly repaid; remainder refinanced","Refinanced"),IF(SUM($G$6058:$K$6058)&gt;0.001,IF(C6110&gt;0,"Partial repayment; PAYMENT DEFAULT","PAYMENT DEFAULT"),"Repaid from cash"))))</f>
        <v>PAYMENT DEFAULT</v>
      </c>
    </row>
    <row r="6113" customFormat="false" ht="15" hidden="false" customHeight="false" outlineLevel="0" collapsed="false">
      <c r="A6113" s="3" t="s">
        <v>389</v>
      </c>
      <c r="C6113" s="16" t="n">
        <f aca="false">SUMPRODUCT($G$6062:$K$6062,$G$6061:$K$6061-$G$6067:$K$6067+$G$6066:$K$6066)</f>
        <v>0</v>
      </c>
    </row>
    <row r="6114" customFormat="false" ht="15" hidden="false" customHeight="false" outlineLevel="0" collapsed="false">
      <c r="A6114" s="3" t="s">
        <v>390</v>
      </c>
      <c r="C6114" s="16" t="n">
        <f aca="false">SUMPRODUCT($G$6062:$K$6062,$G$6069:$K$6069)</f>
        <v>0</v>
      </c>
    </row>
    <row r="6115" customFormat="false" ht="15" hidden="false" customHeight="false" outlineLevel="0" collapsed="false">
      <c r="A6115" s="3" t="s">
        <v>391</v>
      </c>
      <c r="C6115" s="3" t="str">
        <f aca="false">IF(SUM($G$6062:$K$6062)=0,"n/a (beyond horizon)",IF(SUMPRODUCT($G$6062:$K$6062,$G$5942:$K$5942)&gt;0,"REFINANCING PASS","REFINANCING FAILURE"))</f>
        <v>n/a (beyond horizon)</v>
      </c>
    </row>
    <row r="6116" customFormat="false" ht="15" hidden="false" customHeight="false" outlineLevel="0" collapsed="false">
      <c r="A6116" s="3" t="s">
        <v>392</v>
      </c>
      <c r="C6116" s="3" t="str">
        <f aca="false">IF(SUM($G$6062:$K$6062)=0,"n/a",IF(C6114&gt;=C6113-0.001,"Repaid from cash",IF(SUMPRODUCT($G$6062:$K$6062,$G$5942:$K$5942)&gt;0,IF(C6114&gt;0,"Partly repaid; remainder refinanced","Refinanced"),IF(SUM($G$6071:$K$6071)&gt;0.001,IF(C6114&gt;0,"Partial repayment; PAYMENT DEFAULT","PAYMENT DEFAULT"),"Repaid from cash"))))</f>
        <v>n/a</v>
      </c>
    </row>
    <row r="6117" customFormat="false" ht="15" hidden="false" customHeight="false" outlineLevel="0" collapsed="false">
      <c r="A6117" s="3" t="s">
        <v>393</v>
      </c>
      <c r="C6117" s="21" t="n">
        <f aca="false">IF(C6079="REFINANCING FAILURE",1,0)+IF(C6083="REFINANCING FAILURE",1,0)+IF(C6087="REFINANCING FAILURE",1,0)+IF(C6091="REFINANCING FAILURE",1,0)+IF(C6095="REFINANCING FAILURE",1,0)+IF(C6099="REFINANCING FAILURE",1,0)+IF(C6103="REFINANCING FAILURE",1,0)+IF(C6107="REFINANCING FAILURE",1,0)+IF(C6111="REFINANCING FAILURE",1,0)+IF(C6115="REFINANCING FAILURE",1,0)</f>
        <v>7</v>
      </c>
    </row>
    <row r="6119" customFormat="false" ht="15" hidden="false" customHeight="false" outlineLevel="0" collapsed="false">
      <c r="A6119" s="24" t="s">
        <v>395</v>
      </c>
      <c r="B6119" s="25"/>
      <c r="C6119" s="25"/>
      <c r="D6119" s="25"/>
      <c r="E6119" s="25"/>
      <c r="F6119" s="25"/>
      <c r="G6119" s="25"/>
      <c r="H6119" s="25"/>
      <c r="I6119" s="25"/>
      <c r="J6119" s="25"/>
      <c r="K6119" s="25"/>
    </row>
    <row r="6120" customFormat="false" ht="15" hidden="false" customHeight="false" outlineLevel="0" collapsed="false">
      <c r="A6120" s="3" t="s">
        <v>325</v>
      </c>
      <c r="G6120" s="16" t="n">
        <f aca="false">F6132</f>
        <v>37.87</v>
      </c>
      <c r="H6120" s="16" t="n">
        <f aca="false">G6132</f>
        <v>113.5795496</v>
      </c>
      <c r="I6120" s="16" t="n">
        <f aca="false">H6132</f>
        <v>0</v>
      </c>
      <c r="J6120" s="16" t="n">
        <f aca="false">I6132</f>
        <v>-80.6951799596015</v>
      </c>
      <c r="K6120" s="16" t="n">
        <f aca="false">J6132</f>
        <v>-157.618231089083</v>
      </c>
    </row>
    <row r="6121" customFormat="false" ht="15" hidden="false" customHeight="false" outlineLevel="0" collapsed="false">
      <c r="A6121" s="3" t="s">
        <v>396</v>
      </c>
      <c r="G6121" s="16" t="n">
        <f aca="false">G5931</f>
        <v>-70.2904504</v>
      </c>
      <c r="H6121" s="16" t="n">
        <f aca="false">H5931</f>
        <v>-79.480612957</v>
      </c>
      <c r="I6121" s="16" t="n">
        <f aca="false">I5931</f>
        <v>-76.6951799596015</v>
      </c>
      <c r="J6121" s="16" t="n">
        <f aca="false">J5931</f>
        <v>-72.9230511294815</v>
      </c>
      <c r="K6121" s="16" t="n">
        <f aca="false">K5931</f>
        <v>-69.0943567535034</v>
      </c>
    </row>
    <row r="6122" customFormat="false" ht="15" hidden="false" customHeight="false" outlineLevel="0" collapsed="false">
      <c r="A6122" s="3" t="s">
        <v>397</v>
      </c>
      <c r="G6122" s="16" t="n">
        <f aca="false">CHOOSE($C$5901,Assumptions!$G$82,Assumptions!$G$101,Assumptions!$G$120)</f>
        <v>150</v>
      </c>
      <c r="H6122" s="16" t="n">
        <f aca="false">CHOOSE($C$5901,Assumptions!$H$82,Assumptions!$H$101,Assumptions!$H$120)</f>
        <v>0</v>
      </c>
      <c r="I6122" s="16" t="n">
        <f aca="false">CHOOSE($C$5901,Assumptions!$I$82,Assumptions!$I$101,Assumptions!$I$120)</f>
        <v>0</v>
      </c>
      <c r="J6122" s="16" t="n">
        <f aca="false">CHOOSE($C$5901,Assumptions!$J$82,Assumptions!$J$101,Assumptions!$J$120)</f>
        <v>0</v>
      </c>
      <c r="K6122" s="16" t="n">
        <f aca="false">CHOOSE($C$5901,Assumptions!$K$82,Assumptions!$K$101,Assumptions!$K$120)</f>
        <v>0</v>
      </c>
    </row>
    <row r="6123" customFormat="false" ht="15" hidden="false" customHeight="false" outlineLevel="0" collapsed="false">
      <c r="A6123" s="3" t="s">
        <v>398</v>
      </c>
      <c r="G6123" s="16" t="n">
        <f aca="false">G5950+G5963+G5976+G5989+G6002+G6015+G6028+G6041+G6054+G6067</f>
        <v>4</v>
      </c>
      <c r="H6123" s="16" t="n">
        <f aca="false">H5950+H5963+H5976+H5989+H6002+H6015+H6028+H6041+H6054+H6067</f>
        <v>4</v>
      </c>
      <c r="I6123" s="16" t="n">
        <f aca="false">I5950+I5963+I5976+I5989+I6002+I6015+I6028+I6041+I6054+I6067</f>
        <v>4</v>
      </c>
      <c r="J6123" s="16" t="n">
        <f aca="false">J5950+J5963+J5976+J5989+J6002+J6015+J6028+J6041+J6054+J6067</f>
        <v>4</v>
      </c>
      <c r="K6123" s="16" t="n">
        <f aca="false">K5950+K5963+K5976+K5989+K6002+K6015+K6028+K6041+K6054+K6067</f>
        <v>4</v>
      </c>
    </row>
    <row r="6124" customFormat="false" ht="15" hidden="false" customHeight="false" outlineLevel="0" collapsed="false">
      <c r="A6124" s="2" t="s">
        <v>399</v>
      </c>
      <c r="G6124" s="17" t="n">
        <f aca="false">G6120+G6121+G6122-G6123</f>
        <v>113.5795496</v>
      </c>
      <c r="H6124" s="17" t="n">
        <f aca="false">H6120+H6121+H6122-H6123</f>
        <v>30.098936643</v>
      </c>
      <c r="I6124" s="17" t="n">
        <f aca="false">I6120+I6121+I6122-I6123</f>
        <v>-80.6951799596015</v>
      </c>
      <c r="J6124" s="17" t="n">
        <f aca="false">J6120+J6121+J6122-J6123</f>
        <v>-157.618231089083</v>
      </c>
      <c r="K6124" s="17" t="n">
        <f aca="false">K6120+K6121+K6122-K6123</f>
        <v>-230.712587842586</v>
      </c>
    </row>
    <row r="6125" customFormat="false" ht="15" hidden="false" customHeight="false" outlineLevel="0" collapsed="false">
      <c r="A6125" s="3" t="s">
        <v>400</v>
      </c>
      <c r="G6125" s="16" t="n">
        <f aca="false">G5951+G5964+G5977+G5990+G6003+G6016+G6029+G6042+G6055+G6068</f>
        <v>0</v>
      </c>
      <c r="H6125" s="16" t="n">
        <f aca="false">H5951+H5964+H5977+H5990+H6003+H6016+H6029+H6042+H6055+H6068</f>
        <v>0</v>
      </c>
      <c r="I6125" s="16" t="n">
        <f aca="false">I5951+I5964+I5977+I5990+I6003+I6016+I6029+I6042+I6055+I6068</f>
        <v>0</v>
      </c>
      <c r="J6125" s="16" t="n">
        <f aca="false">J5951+J5964+J5977+J5990+J6003+J6016+J6029+J6042+J6055+J6068</f>
        <v>0</v>
      </c>
      <c r="K6125" s="16" t="n">
        <f aca="false">K5951+K5964+K5977+K5990+K6003+K6016+K6029+K6042+K6055+K6068</f>
        <v>0</v>
      </c>
    </row>
    <row r="6126" customFormat="false" ht="15" hidden="false" customHeight="false" outlineLevel="0" collapsed="false">
      <c r="A6126" s="2" t="s">
        <v>401</v>
      </c>
      <c r="G6126" s="17" t="n">
        <f aca="false">G6124+G6125</f>
        <v>113.5795496</v>
      </c>
      <c r="H6126" s="17" t="n">
        <f aca="false">H6124+H6125</f>
        <v>30.098936643</v>
      </c>
      <c r="I6126" s="17" t="n">
        <f aca="false">I6124+I6125</f>
        <v>-80.6951799596015</v>
      </c>
      <c r="J6126" s="17" t="n">
        <f aca="false">J6124+J6125</f>
        <v>-157.618231089083</v>
      </c>
      <c r="K6126" s="17" t="n">
        <f aca="false">K6124+K6125</f>
        <v>-230.712587842586</v>
      </c>
    </row>
    <row r="6127" customFormat="false" ht="15" hidden="false" customHeight="false" outlineLevel="0" collapsed="false">
      <c r="A6127" s="3" t="s">
        <v>402</v>
      </c>
      <c r="G6127" s="16" t="n">
        <f aca="false">G5952+G5965+G5978+G5991+G6004+G6017+G6030+G6043+G6056+G6069</f>
        <v>0</v>
      </c>
      <c r="H6127" s="16" t="n">
        <f aca="false">H5952+H5965+H5978+H5991+H6004+H6017+H6030+H6043+H6056+H6069</f>
        <v>30.098936643</v>
      </c>
      <c r="I6127" s="16" t="n">
        <f aca="false">I5952+I5965+I5978+I5991+I6004+I6017+I6030+I6043+I6056+I6069</f>
        <v>0</v>
      </c>
      <c r="J6127" s="16" t="n">
        <f aca="false">J5952+J5965+J5978+J5991+J6004+J6017+J6030+J6043+J6056+J6069</f>
        <v>0</v>
      </c>
      <c r="K6127" s="16" t="n">
        <f aca="false">K5952+K5965+K5978+K5991+K6004+K6017+K6030+K6043+K6056+K6069</f>
        <v>0</v>
      </c>
    </row>
    <row r="6128" customFormat="false" ht="15" hidden="false" customHeight="false" outlineLevel="0" collapsed="false">
      <c r="A6128" s="2" t="s">
        <v>403</v>
      </c>
      <c r="G6128" s="17" t="n">
        <f aca="false">G6126-G6127</f>
        <v>113.5795496</v>
      </c>
      <c r="H6128" s="17" t="n">
        <f aca="false">H6126-H6127</f>
        <v>0</v>
      </c>
      <c r="I6128" s="17" t="n">
        <f aca="false">I6126-I6127</f>
        <v>-80.6951799596015</v>
      </c>
      <c r="J6128" s="17" t="n">
        <f aca="false">J6126-J6127</f>
        <v>-157.618231089083</v>
      </c>
      <c r="K6128" s="17" t="n">
        <f aca="false">K6126-K6127</f>
        <v>-230.712587842586</v>
      </c>
    </row>
    <row r="6129" customFormat="false" ht="15" hidden="false" customHeight="false" outlineLevel="0" collapsed="false">
      <c r="A6129" s="3" t="s">
        <v>404</v>
      </c>
      <c r="G6129" s="16" t="n">
        <f aca="false">MAX(0,-G6128)</f>
        <v>0</v>
      </c>
      <c r="H6129" s="16" t="n">
        <f aca="false">MAX(0,-H6128)</f>
        <v>-0</v>
      </c>
      <c r="I6129" s="16" t="n">
        <f aca="false">MAX(0,-I6128)</f>
        <v>80.6951799596015</v>
      </c>
      <c r="J6129" s="16" t="n">
        <f aca="false">MAX(0,-J6128)</f>
        <v>157.618231089083</v>
      </c>
      <c r="K6129" s="16" t="n">
        <f aca="false">MAX(0,-K6128)</f>
        <v>230.712587842586</v>
      </c>
    </row>
    <row r="6130" customFormat="false" ht="15" hidden="false" customHeight="false" outlineLevel="0" collapsed="false">
      <c r="A6130" s="3" t="s">
        <v>405</v>
      </c>
      <c r="G6130" s="16" t="n">
        <f aca="false">MAX(0,G6128-Assumptions!$C$12)*Assumptions!$C$13</f>
        <v>0</v>
      </c>
      <c r="H6130" s="16" t="n">
        <f aca="false">MAX(0,H6128-Assumptions!$C$12)*Assumptions!$C$13</f>
        <v>0</v>
      </c>
      <c r="I6130" s="16" t="n">
        <f aca="false">MAX(0,I6128-Assumptions!$C$12)*Assumptions!$C$13</f>
        <v>0</v>
      </c>
      <c r="J6130" s="16" t="n">
        <f aca="false">MAX(0,J6128-Assumptions!$C$12)*Assumptions!$C$13</f>
        <v>0</v>
      </c>
      <c r="K6130" s="16" t="n">
        <f aca="false">MAX(0,K6128-Assumptions!$C$12)*Assumptions!$C$13</f>
        <v>0</v>
      </c>
    </row>
    <row r="6131" customFormat="false" ht="15" hidden="false" customHeight="false" outlineLevel="0" collapsed="false">
      <c r="A6131" s="3" t="s">
        <v>406</v>
      </c>
      <c r="G6131" s="16" t="n">
        <f aca="false">G5953+G5966+G5979+G5992+G6005+G6018+G6031+G6044+G6057+G6070</f>
        <v>0</v>
      </c>
      <c r="H6131" s="16" t="n">
        <f aca="false">H5953+H5966+H5979+H5992+H6005+H6018+H6031+H6044+H6057+H6070</f>
        <v>0</v>
      </c>
      <c r="I6131" s="16" t="n">
        <f aca="false">I5953+I5966+I5979+I5992+I6005+I6018+I6031+I6044+I6057+I6070</f>
        <v>0</v>
      </c>
      <c r="J6131" s="16" t="n">
        <f aca="false">J5953+J5966+J5979+J5992+J6005+J6018+J6031+J6044+J6057+J6070</f>
        <v>0</v>
      </c>
      <c r="K6131" s="16" t="n">
        <f aca="false">K5953+K5966+K5979+K5992+K6005+K6018+K6031+K6044+K6057+K6070</f>
        <v>0</v>
      </c>
    </row>
    <row r="6132" customFormat="false" ht="15" hidden="false" customHeight="false" outlineLevel="0" collapsed="false">
      <c r="A6132" s="2" t="s">
        <v>407</v>
      </c>
      <c r="F6132" s="28" t="n">
        <f aca="false">Assumptions!$C$11</f>
        <v>37.87</v>
      </c>
      <c r="G6132" s="17" t="n">
        <f aca="false">G6128-G6131</f>
        <v>113.5795496</v>
      </c>
      <c r="H6132" s="17" t="n">
        <f aca="false">H6128-H6131</f>
        <v>0</v>
      </c>
      <c r="I6132" s="17" t="n">
        <f aca="false">I6128-I6131</f>
        <v>-80.6951799596015</v>
      </c>
      <c r="J6132" s="17" t="n">
        <f aca="false">J6128-J6131</f>
        <v>-157.618231089083</v>
      </c>
      <c r="K6132" s="17" t="n">
        <f aca="false">K6128-K6131</f>
        <v>-230.712587842586</v>
      </c>
    </row>
    <row r="6133" customFormat="false" ht="15" hidden="false" customHeight="false" outlineLevel="0" collapsed="false">
      <c r="A6133" s="3" t="s">
        <v>408</v>
      </c>
      <c r="G6133" s="16" t="n">
        <f aca="false">G5954+G5967+G5980+G5993+G6006+G6019+G6032+G6045+G6058+G6071</f>
        <v>0</v>
      </c>
      <c r="H6133" s="16" t="n">
        <f aca="false">H5954+H5967+H5980+H5993+H6006+H6019+H6032+H6045+H6058+H6071</f>
        <v>769.901063357</v>
      </c>
      <c r="I6133" s="16" t="n">
        <f aca="false">I5954+I5967+I5980+I5993+I6006+I6019+I6032+I6045+I6058+I6071</f>
        <v>550</v>
      </c>
      <c r="J6133" s="16" t="n">
        <f aca="false">J5954+J5967+J5980+J5993+J6006+J6019+J6032+J6045+J6058+J6071</f>
        <v>350</v>
      </c>
      <c r="K6133" s="16" t="n">
        <f aca="false">K5954+K5967+K5980+K5993+K6006+K6019+K6032+K6045+K6058+K6071</f>
        <v>680</v>
      </c>
    </row>
    <row r="6134" customFormat="false" ht="15" hidden="false" customHeight="false" outlineLevel="0" collapsed="false">
      <c r="A6134" s="3" t="s">
        <v>409</v>
      </c>
      <c r="G6134" s="21" t="n">
        <f aca="false">IF(OR(G6129&gt;0.001,G6133&gt;0.001),1,0)</f>
        <v>0</v>
      </c>
      <c r="H6134" s="21" t="n">
        <f aca="false">IF(OR(H6129&gt;0.001,H6133&gt;0.001),1,0)</f>
        <v>1</v>
      </c>
      <c r="I6134" s="21" t="n">
        <f aca="false">IF(OR(I6129&gt;0.001,I6133&gt;0.001),1,0)</f>
        <v>1</v>
      </c>
      <c r="J6134" s="21" t="n">
        <f aca="false">IF(OR(J6129&gt;0.001,J6133&gt;0.001),1,0)</f>
        <v>1</v>
      </c>
      <c r="K6134" s="21" t="n">
        <f aca="false">IF(OR(K6129&gt;0.001,K6133&gt;0.001),1,0)</f>
        <v>1</v>
      </c>
    </row>
    <row r="6135" customFormat="false" ht="15" hidden="false" customHeight="false" outlineLevel="0" collapsed="false">
      <c r="A6135" s="3" t="s">
        <v>410</v>
      </c>
      <c r="G6135" s="21" t="n">
        <f aca="false">IF(G6134=1,1,0)</f>
        <v>0</v>
      </c>
      <c r="H6135" s="21" t="n">
        <f aca="false">IF(AND(H6134=1,SUM($G$6134:G6134)=0),1,0)</f>
        <v>1</v>
      </c>
      <c r="I6135" s="21" t="n">
        <f aca="false">IF(AND(I6134=1,SUM($G$6134:H6134)=0),1,0)</f>
        <v>0</v>
      </c>
      <c r="J6135" s="21" t="n">
        <f aca="false">IF(AND(J6134=1,SUM($G$6134:I6134)=0),1,0)</f>
        <v>0</v>
      </c>
      <c r="K6135" s="21" t="n">
        <f aca="false">IF(AND(K6134=1,SUM($G$6134:J6134)=0),1,0)</f>
        <v>0</v>
      </c>
    </row>
    <row r="6136" customFormat="false" ht="15" hidden="false" customHeight="false" outlineLevel="0" collapsed="false">
      <c r="A6136" s="3" t="s">
        <v>411</v>
      </c>
      <c r="G6136" s="16" t="n">
        <f aca="false">(G6074-F6074)-(G6125+G5923-G6123-G6127-G6131)</f>
        <v>0</v>
      </c>
      <c r="H6136" s="16" t="n">
        <f aca="false">(H6074-G6074)-(H6125+H5923-H6123-H6127-H6131)</f>
        <v>0</v>
      </c>
      <c r="I6136" s="16" t="n">
        <f aca="false">(I6074-H6074)-(I6125+I5923-I6123-I6127-I6131)</f>
        <v>0</v>
      </c>
      <c r="J6136" s="16" t="n">
        <f aca="false">(J6074-I6074)-(J6125+J5923-J6123-J6127-J6131)</f>
        <v>0</v>
      </c>
      <c r="K6136" s="16" t="n">
        <f aca="false">(K6074-J6074)-(K6125+K5923-K6123-K6127-K6131)</f>
        <v>0</v>
      </c>
    </row>
    <row r="6138" customFormat="false" ht="15" hidden="false" customHeight="false" outlineLevel="0" collapsed="false">
      <c r="A6138" s="24" t="s">
        <v>413</v>
      </c>
      <c r="B6138" s="25"/>
      <c r="C6138" s="25"/>
      <c r="D6138" s="25"/>
      <c r="E6138" s="25"/>
      <c r="F6138" s="25"/>
      <c r="G6138" s="25"/>
      <c r="H6138" s="25"/>
      <c r="I6138" s="25"/>
      <c r="J6138" s="25"/>
      <c r="K6138" s="25"/>
    </row>
    <row r="6139" customFormat="false" ht="15" hidden="false" customHeight="false" outlineLevel="0" collapsed="false">
      <c r="A6139" s="3" t="s">
        <v>414</v>
      </c>
      <c r="G6139" s="16" t="n">
        <f aca="false">G6074</f>
        <v>2621.934</v>
      </c>
      <c r="H6139" s="16" t="n">
        <f aca="false">H6074</f>
        <v>2587.835063357</v>
      </c>
      <c r="I6139" s="16" t="n">
        <f aca="false">I6074</f>
        <v>2583.835063357</v>
      </c>
      <c r="J6139" s="16" t="n">
        <f aca="false">J6074</f>
        <v>2579.835063357</v>
      </c>
      <c r="K6139" s="16" t="n">
        <f aca="false">K6074</f>
        <v>2575.835063357</v>
      </c>
    </row>
    <row r="6140" customFormat="false" ht="15" hidden="false" customHeight="false" outlineLevel="0" collapsed="false">
      <c r="A6140" s="3" t="s">
        <v>415</v>
      </c>
      <c r="G6140" s="16" t="n">
        <f aca="false">Assumptions!$O$57*G5955+Assumptions!$O$58*G5968+Assumptions!$O$59*G5981+Assumptions!$O$60*G5994+Assumptions!$O$61*G6007+Assumptions!$O$62*G6020+Assumptions!$O$63*G6033+Assumptions!$O$64*G6046+Assumptions!$O$65*G6059+Assumptions!$O$66*G6072</f>
        <v>543.324</v>
      </c>
      <c r="H6140" s="16" t="n">
        <f aca="false">Assumptions!$O$57*H5955+Assumptions!$O$58*H5968+Assumptions!$O$59*H5981+Assumptions!$O$60*H5994+Assumptions!$O$61*H6007+Assumptions!$O$62*H6020+Assumptions!$O$63*H6033+Assumptions!$O$64*H6046+Assumptions!$O$65*H6059+Assumptions!$O$66*H6072</f>
        <v>539.324</v>
      </c>
      <c r="I6140" s="16" t="n">
        <f aca="false">Assumptions!$O$57*I5955+Assumptions!$O$58*I5968+Assumptions!$O$59*I5981+Assumptions!$O$60*I5994+Assumptions!$O$61*I6007+Assumptions!$O$62*I6020+Assumptions!$O$63*I6033+Assumptions!$O$64*I6046+Assumptions!$O$65*I6059+Assumptions!$O$66*I6072</f>
        <v>535.324</v>
      </c>
      <c r="J6140" s="16" t="n">
        <f aca="false">Assumptions!$O$57*J5955+Assumptions!$O$58*J5968+Assumptions!$O$59*J5981+Assumptions!$O$60*J5994+Assumptions!$O$61*J6007+Assumptions!$O$62*J6020+Assumptions!$O$63*J6033+Assumptions!$O$64*J6046+Assumptions!$O$65*J6059+Assumptions!$O$66*J6072</f>
        <v>531.324</v>
      </c>
      <c r="K6140" s="16" t="n">
        <f aca="false">Assumptions!$O$57*K5955+Assumptions!$O$58*K5968+Assumptions!$O$59*K5981+Assumptions!$O$60*K5994+Assumptions!$O$61*K6007+Assumptions!$O$62*K6020+Assumptions!$O$63*K6033+Assumptions!$O$64*K6046+Assumptions!$O$65*K6059+Assumptions!$O$66*K6072</f>
        <v>527.324</v>
      </c>
    </row>
    <row r="6141" customFormat="false" ht="15" hidden="false" customHeight="false" outlineLevel="0" collapsed="false">
      <c r="A6141" s="3" t="s">
        <v>416</v>
      </c>
      <c r="G6141" s="16" t="n">
        <f aca="false">G6139-G6132</f>
        <v>2508.3544504</v>
      </c>
      <c r="H6141" s="16" t="n">
        <f aca="false">H6139-H6132</f>
        <v>2587.835063357</v>
      </c>
      <c r="I6141" s="16" t="n">
        <f aca="false">I6139-I6132</f>
        <v>2664.5302433166</v>
      </c>
      <c r="J6141" s="16" t="n">
        <f aca="false">J6139-J6132</f>
        <v>2737.45329444608</v>
      </c>
      <c r="K6141" s="16" t="n">
        <f aca="false">K6139-K6132</f>
        <v>2806.54765119959</v>
      </c>
    </row>
    <row r="6142" customFormat="false" ht="15" hidden="false" customHeight="false" outlineLevel="0" collapsed="false">
      <c r="A6142" s="3" t="s">
        <v>417</v>
      </c>
      <c r="G6142" s="32" t="n">
        <f aca="false">IF(G5918&gt;0,G6139/G5918,0)</f>
        <v>11.6619082748238</v>
      </c>
      <c r="H6142" s="32" t="n">
        <f aca="false">IF(H5918&gt;0,H6139/H5918,0)</f>
        <v>12.2490105604985</v>
      </c>
      <c r="I6142" s="32" t="n">
        <f aca="false">IF(I5918&gt;0,I6139/I5918,0)</f>
        <v>12.2300773437198</v>
      </c>
      <c r="J6142" s="32" t="n">
        <f aca="false">IF(J5918&gt;0,J6139/J5918,0)</f>
        <v>11.9616221171848</v>
      </c>
      <c r="K6142" s="32" t="n">
        <f aca="false">IF(K5918&gt;0,K6139/K5918,0)</f>
        <v>11.7003556374257</v>
      </c>
    </row>
    <row r="6143" customFormat="false" ht="15" hidden="false" customHeight="false" outlineLevel="0" collapsed="false">
      <c r="A6143" s="3" t="s">
        <v>418</v>
      </c>
      <c r="G6143" s="32" t="n">
        <f aca="false">IF(G5918&gt;0,G6141/G5918,0)</f>
        <v>11.1567261118361</v>
      </c>
      <c r="H6143" s="32" t="n">
        <f aca="false">IF(H5918&gt;0,H6141/H5918,0)</f>
        <v>12.2490105604985</v>
      </c>
      <c r="I6143" s="32" t="n">
        <f aca="false">IF(I5918&gt;0,I6141/I5918,0)</f>
        <v>12.6120321775122</v>
      </c>
      <c r="J6143" s="32" t="n">
        <f aca="false">IF(J5918&gt;0,J6141/J5918,0)</f>
        <v>12.6924322941011</v>
      </c>
      <c r="K6143" s="32" t="n">
        <f aca="false">IF(K5918&gt;0,K6141/K5918,0)</f>
        <v>12.7483339673236</v>
      </c>
    </row>
    <row r="6144" customFormat="false" ht="15" hidden="false" customHeight="false" outlineLevel="0" collapsed="false">
      <c r="A6144" s="3" t="s">
        <v>419</v>
      </c>
      <c r="G6144" s="32" t="n">
        <f aca="false">IF(G5922&gt;0,G5918/G5922,0)</f>
        <v>1.19979879655093</v>
      </c>
      <c r="H6144" s="32" t="n">
        <f aca="false">IF(H5922&gt;0,H5918/H5922,0)</f>
        <v>1.13432409226902</v>
      </c>
      <c r="I6144" s="32" t="n">
        <f aca="false">IF(I5922&gt;0,I5918/I5922,0)</f>
        <v>1.15154577140378</v>
      </c>
      <c r="J6144" s="32" t="n">
        <f aca="false">IF(J5922&gt;0,J5918/J5922,0)</f>
        <v>1.17820025007234</v>
      </c>
      <c r="K6144" s="32" t="n">
        <f aca="false">IF(K5922&gt;0,K5918/K5922,0)</f>
        <v>1.20534131113343</v>
      </c>
    </row>
    <row r="6145" customFormat="false" ht="15" hidden="false" customHeight="false" outlineLevel="0" collapsed="false">
      <c r="A6145" s="3" t="s">
        <v>420</v>
      </c>
      <c r="G6145" s="32" t="n">
        <f aca="false">IF(G5922&gt;0,G5921/G5922,0)</f>
        <v>0.270312151158179</v>
      </c>
      <c r="H6145" s="32" t="n">
        <f aca="false">IF(H5922&gt;0,H5921/H5922,0)</f>
        <v>0.227213635917152</v>
      </c>
      <c r="I6145" s="32" t="n">
        <f aca="false">IF(I5922&gt;0,I5921/I5922,0)</f>
        <v>0.230663267604847</v>
      </c>
      <c r="J6145" s="32" t="n">
        <f aca="false">IF(J5922&gt;0,J5921/J5922,0)</f>
        <v>0.246025741702076</v>
      </c>
      <c r="K6145" s="32" t="n">
        <f aca="false">IF(K5922&gt;0,K5921/K5922,0)</f>
        <v>0.261731600241193</v>
      </c>
    </row>
    <row r="6146" customFormat="false" ht="15" hidden="false" customHeight="false" outlineLevel="0" collapsed="false">
      <c r="A6146" s="3" t="s">
        <v>213</v>
      </c>
      <c r="G6146" s="22" t="n">
        <f aca="false">IF(G6139&gt;0,G5931/G6139,0)</f>
        <v>-0.0268086269143312</v>
      </c>
      <c r="H6146" s="22" t="n">
        <f aca="false">IF(H6139&gt;0,H5931/H6139,0)</f>
        <v>-0.0307131679612903</v>
      </c>
      <c r="I6146" s="22" t="n">
        <f aca="false">IF(I6139&gt;0,I5931/I6139,0)</f>
        <v>-0.029682691843324</v>
      </c>
      <c r="J6146" s="22" t="n">
        <f aca="false">IF(J6139&gt;0,J5931/J6139,0)</f>
        <v>-0.0282665555504896</v>
      </c>
      <c r="K6146" s="22" t="n">
        <f aca="false">IF(K6139&gt;0,K5931/K6139,0)</f>
        <v>-0.0268240609565486</v>
      </c>
    </row>
    <row r="6147" customFormat="false" ht="15" hidden="false" customHeight="false" outlineLevel="0" collapsed="false">
      <c r="A6147" s="3" t="s">
        <v>421</v>
      </c>
      <c r="G6147" s="32" t="n">
        <f aca="false">IF(G5922+G6123&gt;0,(G5918-G5929-G5926)/(G5922+G6123),0)</f>
        <v>0.734201980519497</v>
      </c>
      <c r="H6147" s="32" t="n">
        <f aca="false">IF(H5922+H6123&gt;0,(H5918-H5929-H5926)/(H5922+H6123),0)</f>
        <v>0.680613759243606</v>
      </c>
      <c r="I6147" s="32" t="n">
        <f aca="false">IF(I5922+I6123&gt;0,(I5918-I5929-I5926)/(I5922+I6123),0)</f>
        <v>0.690726575473129</v>
      </c>
      <c r="J6147" s="32" t="n">
        <f aca="false">IF(J5922+J6123&gt;0,(J5918-J5929-J5926)/(J5922+J6123),0)</f>
        <v>0.711428975850346</v>
      </c>
      <c r="K6147" s="32" t="n">
        <f aca="false">IF(K5922+K6123&gt;0,(K5918-K5929-K5926)/(K5922+K6123),0)</f>
        <v>0.732537564579027</v>
      </c>
    </row>
    <row r="6148" customFormat="false" ht="15" hidden="false" customHeight="false" outlineLevel="0" collapsed="false">
      <c r="A6148" s="3" t="s">
        <v>422</v>
      </c>
      <c r="G6148" s="16" t="n">
        <f aca="false">MAX(0,G6132)+Assumptions!$P$57*MAX(0,Assumptions!$D$57-G5955)+Assumptions!$P$58*MAX(0,Assumptions!$D$58-G5968)+Assumptions!$P$59*MAX(0,Assumptions!$D$59-G5981)+Assumptions!$P$60*MAX(0,Assumptions!$D$60-G5994)+Assumptions!$P$61*MAX(0,Assumptions!$D$61-G6007)+Assumptions!$P$62*MAX(0,Assumptions!$D$62-G6020)+Assumptions!$P$63*MAX(0,Assumptions!$D$63-G6033)+Assumptions!$P$64*MAX(0,Assumptions!$D$64-G6046)+Assumptions!$P$65*MAX(0,Assumptions!$D$65-G6059)+Assumptions!$P$66*MAX(0,Assumptions!$D$66-G6072)</f>
        <v>688.0795496</v>
      </c>
      <c r="H6148" s="16" t="n">
        <f aca="false">MAX(0,H6132)+Assumptions!$P$57*MAX(0,Assumptions!$D$57-H5955)+Assumptions!$P$58*MAX(0,Assumptions!$D$58-H5968)+Assumptions!$P$59*MAX(0,Assumptions!$D$59-H5981)+Assumptions!$P$60*MAX(0,Assumptions!$D$60-H5994)+Assumptions!$P$61*MAX(0,Assumptions!$D$61-H6007)+Assumptions!$P$62*MAX(0,Assumptions!$D$62-H6020)+Assumptions!$P$63*MAX(0,Assumptions!$D$63-H6033)+Assumptions!$P$64*MAX(0,Assumptions!$D$64-H6046)+Assumptions!$P$65*MAX(0,Assumptions!$D$65-H6059)+Assumptions!$P$66*MAX(0,Assumptions!$D$66-H6072)</f>
        <v>574.5</v>
      </c>
      <c r="I6148" s="16" t="n">
        <f aca="false">MAX(0,I6132)+Assumptions!$P$57*MAX(0,Assumptions!$D$57-I5955)+Assumptions!$P$58*MAX(0,Assumptions!$D$58-I5968)+Assumptions!$P$59*MAX(0,Assumptions!$D$59-I5981)+Assumptions!$P$60*MAX(0,Assumptions!$D$60-I5994)+Assumptions!$P$61*MAX(0,Assumptions!$D$61-I6007)+Assumptions!$P$62*MAX(0,Assumptions!$D$62-I6020)+Assumptions!$P$63*MAX(0,Assumptions!$D$63-I6033)+Assumptions!$P$64*MAX(0,Assumptions!$D$64-I6046)+Assumptions!$P$65*MAX(0,Assumptions!$D$65-I6059)+Assumptions!$P$66*MAX(0,Assumptions!$D$66-I6072)</f>
        <v>574.5</v>
      </c>
      <c r="J6148" s="16" t="n">
        <f aca="false">MAX(0,J6132)+Assumptions!$P$57*MAX(0,Assumptions!$D$57-J5955)+Assumptions!$P$58*MAX(0,Assumptions!$D$58-J5968)+Assumptions!$P$59*MAX(0,Assumptions!$D$59-J5981)+Assumptions!$P$60*MAX(0,Assumptions!$D$60-J5994)+Assumptions!$P$61*MAX(0,Assumptions!$D$61-J6007)+Assumptions!$P$62*MAX(0,Assumptions!$D$62-J6020)+Assumptions!$P$63*MAX(0,Assumptions!$D$63-J6033)+Assumptions!$P$64*MAX(0,Assumptions!$D$64-J6046)+Assumptions!$P$65*MAX(0,Assumptions!$D$65-J6059)+Assumptions!$P$66*MAX(0,Assumptions!$D$66-J6072)</f>
        <v>574.5</v>
      </c>
      <c r="K6148" s="16" t="n">
        <f aca="false">MAX(0,K6132)+Assumptions!$P$57*MAX(0,Assumptions!$D$57-K5955)+Assumptions!$P$58*MAX(0,Assumptions!$D$58-K5968)+Assumptions!$P$59*MAX(0,Assumptions!$D$59-K5981)+Assumptions!$P$60*MAX(0,Assumptions!$D$60-K5994)+Assumptions!$P$61*MAX(0,Assumptions!$D$61-K6007)+Assumptions!$P$62*MAX(0,Assumptions!$D$62-K6020)+Assumptions!$P$63*MAX(0,Assumptions!$D$63-K6033)+Assumptions!$P$64*MAX(0,Assumptions!$D$64-K6046)+Assumptions!$P$65*MAX(0,Assumptions!$D$65-K6059)+Assumptions!$P$66*MAX(0,Assumptions!$D$66-K6072)</f>
        <v>574.5</v>
      </c>
    </row>
    <row r="6149" customFormat="false" ht="15" hidden="false" customHeight="false" outlineLevel="0" collapsed="false">
      <c r="A6149" s="3" t="s">
        <v>423</v>
      </c>
      <c r="G6149" s="22" t="n">
        <f aca="false">IF(G6139&gt;0,G6139/(G6139+MAX(0,G5918*CHOOSE($C$5901,Assumptions!$C$90,Assumptions!$C$109,Assumptions!$C$128)-G6141)),0)</f>
        <v>1</v>
      </c>
      <c r="H6149" s="22" t="n">
        <f aca="false">IF(H6139&gt;0,H6139/(H6139+MAX(0,H5918*CHOOSE($C$5901,Assumptions!$C$90,Assumptions!$C$109,Assumptions!$C$128)-H6141)),0)</f>
        <v>1</v>
      </c>
      <c r="I6149" s="22" t="n">
        <f aca="false">IF(I6139&gt;0,I6139/(I6139+MAX(0,I5918*CHOOSE($C$5901,Assumptions!$C$90,Assumptions!$C$109,Assumptions!$C$128)-I6141)),0)</f>
        <v>1</v>
      </c>
      <c r="J6149" s="22" t="n">
        <f aca="false">IF(J6139&gt;0,J6139/(J6139+MAX(0,J5918*CHOOSE($C$5901,Assumptions!$C$90,Assumptions!$C$109,Assumptions!$C$128)-J6141)),0)</f>
        <v>1</v>
      </c>
      <c r="K6149" s="22" t="n">
        <f aca="false">IF(K6139&gt;0,K6139/(K6139+MAX(0,K5918*CHOOSE($C$5901,Assumptions!$C$90,Assumptions!$C$109,Assumptions!$C$128)-K6141)),0)</f>
        <v>1</v>
      </c>
    </row>
    <row r="6150" customFormat="false" ht="15" hidden="false" customHeight="false" outlineLevel="0" collapsed="false">
      <c r="A6150" s="3" t="s">
        <v>424</v>
      </c>
      <c r="G6150" s="22" t="n">
        <f aca="false">IF(G6139&gt;0,MAX(0,G6132)/G6139,0)</f>
        <v>0.0433189964354557</v>
      </c>
      <c r="H6150" s="22" t="n">
        <f aca="false">IF(H6139&gt;0,MAX(0,H6132)/H6139,0)</f>
        <v>0</v>
      </c>
      <c r="I6150" s="22" t="n">
        <f aca="false">IF(I6139&gt;0,MAX(0,I6132)/I6139,0)</f>
        <v>0</v>
      </c>
      <c r="J6150" s="22" t="n">
        <f aca="false">IF(J6139&gt;0,MAX(0,J6132)/J6139,0)</f>
        <v>0</v>
      </c>
      <c r="K6150" s="22" t="n">
        <f aca="false">IF(K6139&gt;0,MAX(0,K6132)/K6139,0)</f>
        <v>0</v>
      </c>
    </row>
    <row r="6151" customFormat="false" ht="15" hidden="false" customHeight="false" outlineLevel="0" collapsed="false">
      <c r="A6151" s="3" t="s">
        <v>425</v>
      </c>
      <c r="G6151" s="16" t="n">
        <f aca="false">Assumptions!$C$31*(1-CHOOSE($C$5901,Assumptions!$C$93,Assumptions!$C$112,Assumptions!$C$131))</f>
        <v>3840.04556666667</v>
      </c>
      <c r="H6151" s="16" t="n">
        <f aca="false">Assumptions!$C$31*(1-CHOOSE($C$5901,Assumptions!$C$93,Assumptions!$C$112,Assumptions!$C$131))</f>
        <v>3840.04556666667</v>
      </c>
      <c r="I6151" s="16" t="n">
        <f aca="false">Assumptions!$C$31*(1-CHOOSE($C$5901,Assumptions!$C$93,Assumptions!$C$112,Assumptions!$C$131))</f>
        <v>3840.04556666667</v>
      </c>
      <c r="J6151" s="16" t="n">
        <f aca="false">Assumptions!$C$31*(1-CHOOSE($C$5901,Assumptions!$C$93,Assumptions!$C$112,Assumptions!$C$131))</f>
        <v>3840.04556666667</v>
      </c>
      <c r="K6151" s="16" t="n">
        <f aca="false">Assumptions!$C$31*(1-CHOOSE($C$5901,Assumptions!$C$93,Assumptions!$C$112,Assumptions!$C$131))</f>
        <v>3840.04556666667</v>
      </c>
    </row>
    <row r="6152" customFormat="false" ht="15" hidden="false" customHeight="false" outlineLevel="0" collapsed="false">
      <c r="A6152" s="24" t="s">
        <v>426</v>
      </c>
      <c r="B6152" s="25"/>
      <c r="C6152" s="25"/>
      <c r="D6152" s="25"/>
      <c r="E6152" s="25"/>
      <c r="F6152" s="25"/>
      <c r="G6152" s="25"/>
      <c r="H6152" s="25"/>
      <c r="I6152" s="25"/>
      <c r="J6152" s="25"/>
      <c r="K6152" s="25"/>
    </row>
    <row r="6153" customFormat="false" ht="15" hidden="false" customHeight="false" outlineLevel="0" collapsed="false">
      <c r="A6153" s="24" t="s">
        <v>427</v>
      </c>
      <c r="B6153" s="25"/>
      <c r="C6153" s="25"/>
      <c r="D6153" s="25"/>
      <c r="E6153" s="25"/>
      <c r="F6153" s="25"/>
      <c r="G6153" s="25"/>
      <c r="H6153" s="25"/>
      <c r="I6153" s="25"/>
      <c r="J6153" s="25"/>
      <c r="K6153" s="25"/>
    </row>
    <row r="6154" customFormat="false" ht="15" hidden="false" customHeight="false" outlineLevel="0" collapsed="false">
      <c r="A6154" s="3" t="s">
        <v>428</v>
      </c>
      <c r="G6154" s="22" t="n">
        <f aca="false">IF(G6151&gt;0,G6139/G6151,99)</f>
        <v>0.68278721032885</v>
      </c>
      <c r="H6154" s="22" t="n">
        <f aca="false">IF(H6151&gt;0,H6139/H6151,99)</f>
        <v>0.673907384282254</v>
      </c>
      <c r="I6154" s="22" t="n">
        <f aca="false">IF(I6151&gt;0,I6139/I6151,99)</f>
        <v>0.67286572997619</v>
      </c>
      <c r="J6154" s="22" t="n">
        <f aca="false">IF(J6151&gt;0,J6139/J6151,99)</f>
        <v>0.671824075670127</v>
      </c>
      <c r="K6154" s="22" t="n">
        <f aca="false">IF(K6151&gt;0,K6139/K6151,99)</f>
        <v>0.670782421364063</v>
      </c>
    </row>
    <row r="6155" customFormat="false" ht="15" hidden="false" customHeight="false" outlineLevel="0" collapsed="false">
      <c r="A6155" s="3" t="s">
        <v>429</v>
      </c>
      <c r="G6155" s="33" t="n">
        <f aca="false">Assumptions!$G$71</f>
        <v>0.6</v>
      </c>
      <c r="H6155" s="33" t="n">
        <f aca="false">Assumptions!$H$71</f>
        <v>0.6</v>
      </c>
      <c r="I6155" s="33" t="n">
        <f aca="false">Assumptions!$I$71</f>
        <v>0.6</v>
      </c>
      <c r="J6155" s="33" t="n">
        <f aca="false">Assumptions!$J$71</f>
        <v>0.6</v>
      </c>
      <c r="K6155" s="33" t="n">
        <f aca="false">Assumptions!$K$71</f>
        <v>0.6</v>
      </c>
    </row>
    <row r="6156" customFormat="false" ht="15" hidden="false" customHeight="false" outlineLevel="0" collapsed="false">
      <c r="A6156" s="3" t="s">
        <v>430</v>
      </c>
      <c r="G6156" s="22" t="n">
        <f aca="false">G6155-G6154</f>
        <v>-0.0827872103288497</v>
      </c>
      <c r="H6156" s="22" t="n">
        <f aca="false">H6155-H6154</f>
        <v>-0.0739073842822543</v>
      </c>
      <c r="I6156" s="22" t="n">
        <f aca="false">I6155-I6154</f>
        <v>-0.0728657299761905</v>
      </c>
      <c r="J6156" s="22" t="n">
        <f aca="false">J6155-J6154</f>
        <v>-0.0718240756701265</v>
      </c>
      <c r="K6156" s="22" t="n">
        <f aca="false">K6155-K6154</f>
        <v>-0.0707824213640625</v>
      </c>
    </row>
    <row r="6157" customFormat="false" ht="15" hidden="false" customHeight="false" outlineLevel="0" collapsed="false">
      <c r="A6157" s="3" t="s">
        <v>431</v>
      </c>
      <c r="G6157" s="22" t="n">
        <f aca="false">IF(G6155=0,0,G6156/ABS(G6155))</f>
        <v>-0.137978683881416</v>
      </c>
      <c r="H6157" s="22" t="n">
        <f aca="false">IF(H6155=0,0,H6156/ABS(H6155))</f>
        <v>-0.123178973803757</v>
      </c>
      <c r="I6157" s="22" t="n">
        <f aca="false">IF(I6155=0,0,I6156/ABS(I6155))</f>
        <v>-0.121442883293651</v>
      </c>
      <c r="J6157" s="22" t="n">
        <f aca="false">IF(J6155=0,0,J6156/ABS(J6155))</f>
        <v>-0.119706792783544</v>
      </c>
      <c r="K6157" s="22" t="n">
        <f aca="false">IF(K6155=0,0,K6156/ABS(K6155))</f>
        <v>-0.117970702273438</v>
      </c>
    </row>
    <row r="6158" customFormat="false" ht="15" hidden="false" customHeight="false" outlineLevel="0" collapsed="false">
      <c r="A6158" s="3" t="s">
        <v>432</v>
      </c>
      <c r="G6158" s="21" t="n">
        <f aca="false">IF(G6156&lt;0,1,0)</f>
        <v>1</v>
      </c>
      <c r="H6158" s="21" t="n">
        <f aca="false">IF(H6156&lt;0,1,0)</f>
        <v>1</v>
      </c>
      <c r="I6158" s="21" t="n">
        <f aca="false">IF(I6156&lt;0,1,0)</f>
        <v>1</v>
      </c>
      <c r="J6158" s="21" t="n">
        <f aca="false">IF(J6156&lt;0,1,0)</f>
        <v>1</v>
      </c>
      <c r="K6158" s="21" t="n">
        <f aca="false">IF(K6156&lt;0,1,0)</f>
        <v>1</v>
      </c>
    </row>
    <row r="6159" customFormat="false" ht="15" hidden="false" customHeight="false" outlineLevel="0" collapsed="false">
      <c r="A6159" s="3" t="s">
        <v>433</v>
      </c>
      <c r="C6159" s="21" t="n">
        <f aca="false">IFERROR(INDEX($G$5908:$K$5908,MATCH(1,$G$6158:$K$6158,0)),0)</f>
        <v>2027</v>
      </c>
    </row>
    <row r="6160" customFormat="false" ht="15" hidden="false" customHeight="false" outlineLevel="0" collapsed="false">
      <c r="A6160" s="3" t="s">
        <v>434</v>
      </c>
      <c r="C6160" s="22" t="n">
        <f aca="false">MIN($G$6157:$K$6157)</f>
        <v>-0.137978683881416</v>
      </c>
    </row>
    <row r="6161" customFormat="false" ht="15" hidden="false" customHeight="false" outlineLevel="0" collapsed="false">
      <c r="A6161" s="24" t="s">
        <v>435</v>
      </c>
      <c r="B6161" s="25"/>
      <c r="C6161" s="25"/>
      <c r="D6161" s="25"/>
      <c r="E6161" s="25"/>
      <c r="F6161" s="25"/>
      <c r="G6161" s="25"/>
      <c r="H6161" s="25"/>
      <c r="I6161" s="25"/>
      <c r="J6161" s="25"/>
      <c r="K6161" s="25"/>
    </row>
    <row r="6162" customFormat="false" ht="15" hidden="false" customHeight="false" outlineLevel="0" collapsed="false">
      <c r="A6162" s="3" t="s">
        <v>428</v>
      </c>
      <c r="G6162" s="32" t="n">
        <f aca="false">IF(G5922&gt;0,G5918/G5922,99)</f>
        <v>1.19979879655093</v>
      </c>
      <c r="H6162" s="32" t="n">
        <f aca="false">IF(H5922&gt;0,H5918/H5922,99)</f>
        <v>1.13432409226902</v>
      </c>
      <c r="I6162" s="32" t="n">
        <f aca="false">IF(I5922&gt;0,I5918/I5922,99)</f>
        <v>1.15154577140378</v>
      </c>
      <c r="J6162" s="32" t="n">
        <f aca="false">IF(J5922&gt;0,J5918/J5922,99)</f>
        <v>1.17820025007234</v>
      </c>
      <c r="K6162" s="32" t="n">
        <f aca="false">IF(K5922&gt;0,K5918/K5922,99)</f>
        <v>1.20534131113343</v>
      </c>
    </row>
    <row r="6163" customFormat="false" ht="15" hidden="false" customHeight="false" outlineLevel="0" collapsed="false">
      <c r="A6163" s="3" t="s">
        <v>429</v>
      </c>
      <c r="G6163" s="34" t="n">
        <f aca="false">Assumptions!$G$72</f>
        <v>1.5</v>
      </c>
      <c r="H6163" s="34" t="n">
        <f aca="false">Assumptions!$H$72</f>
        <v>1.5</v>
      </c>
      <c r="I6163" s="34" t="n">
        <f aca="false">Assumptions!$I$72</f>
        <v>1.5</v>
      </c>
      <c r="J6163" s="34" t="n">
        <f aca="false">Assumptions!$J$72</f>
        <v>1.5</v>
      </c>
      <c r="K6163" s="34" t="n">
        <f aca="false">Assumptions!$K$72</f>
        <v>1.5</v>
      </c>
    </row>
    <row r="6164" customFormat="false" ht="15" hidden="false" customHeight="false" outlineLevel="0" collapsed="false">
      <c r="A6164" s="3" t="s">
        <v>430</v>
      </c>
      <c r="G6164" s="32" t="n">
        <f aca="false">G6162-G6163</f>
        <v>-0.300201203449072</v>
      </c>
      <c r="H6164" s="32" t="n">
        <f aca="false">H6162-H6163</f>
        <v>-0.365675907730977</v>
      </c>
      <c r="I6164" s="32" t="n">
        <f aca="false">I6162-I6163</f>
        <v>-0.348454228596216</v>
      </c>
      <c r="J6164" s="32" t="n">
        <f aca="false">J6162-J6163</f>
        <v>-0.321799749927656</v>
      </c>
      <c r="K6164" s="32" t="n">
        <f aca="false">K6162-K6163</f>
        <v>-0.294658688866573</v>
      </c>
    </row>
    <row r="6165" customFormat="false" ht="15" hidden="false" customHeight="false" outlineLevel="0" collapsed="false">
      <c r="A6165" s="3" t="s">
        <v>431</v>
      </c>
      <c r="G6165" s="22" t="n">
        <f aca="false">IF(G6163=0,0,G6164/ABS(G6163))</f>
        <v>-0.200134135632715</v>
      </c>
      <c r="H6165" s="22" t="n">
        <f aca="false">IF(H6163=0,0,H6164/ABS(H6163))</f>
        <v>-0.243783938487318</v>
      </c>
      <c r="I6165" s="22" t="n">
        <f aca="false">IF(I6163=0,0,I6164/ABS(I6163))</f>
        <v>-0.232302819064144</v>
      </c>
      <c r="J6165" s="22" t="n">
        <f aca="false">IF(J6163=0,0,J6164/ABS(J6163))</f>
        <v>-0.214533166618437</v>
      </c>
      <c r="K6165" s="22" t="n">
        <f aca="false">IF(K6163=0,0,K6164/ABS(K6163))</f>
        <v>-0.196439125911049</v>
      </c>
    </row>
    <row r="6166" customFormat="false" ht="15" hidden="false" customHeight="false" outlineLevel="0" collapsed="false">
      <c r="A6166" s="3" t="s">
        <v>432</v>
      </c>
      <c r="G6166" s="21" t="n">
        <f aca="false">IF(G6164&lt;0,1,0)</f>
        <v>1</v>
      </c>
      <c r="H6166" s="21" t="n">
        <f aca="false">IF(H6164&lt;0,1,0)</f>
        <v>1</v>
      </c>
      <c r="I6166" s="21" t="n">
        <f aca="false">IF(I6164&lt;0,1,0)</f>
        <v>1</v>
      </c>
      <c r="J6166" s="21" t="n">
        <f aca="false">IF(J6164&lt;0,1,0)</f>
        <v>1</v>
      </c>
      <c r="K6166" s="21" t="n">
        <f aca="false">IF(K6164&lt;0,1,0)</f>
        <v>1</v>
      </c>
    </row>
    <row r="6167" customFormat="false" ht="15" hidden="false" customHeight="false" outlineLevel="0" collapsed="false">
      <c r="A6167" s="3" t="s">
        <v>433</v>
      </c>
      <c r="C6167" s="21" t="n">
        <f aca="false">IFERROR(INDEX($G$5908:$K$5908,MATCH(1,$G$6166:$K$6166,0)),0)</f>
        <v>2027</v>
      </c>
    </row>
    <row r="6168" customFormat="false" ht="15" hidden="false" customHeight="false" outlineLevel="0" collapsed="false">
      <c r="A6168" s="3" t="s">
        <v>434</v>
      </c>
      <c r="C6168" s="22" t="n">
        <f aca="false">MIN($G$6165:$K$6165)</f>
        <v>-0.243783938487318</v>
      </c>
    </row>
    <row r="6169" customFormat="false" ht="15" hidden="false" customHeight="false" outlineLevel="0" collapsed="false">
      <c r="A6169" s="24" t="s">
        <v>436</v>
      </c>
      <c r="B6169" s="25"/>
      <c r="C6169" s="25"/>
      <c r="D6169" s="25"/>
      <c r="E6169" s="25"/>
      <c r="F6169" s="25"/>
      <c r="G6169" s="25"/>
      <c r="H6169" s="25"/>
      <c r="I6169" s="25"/>
      <c r="J6169" s="25"/>
      <c r="K6169" s="25"/>
    </row>
    <row r="6170" customFormat="false" ht="15" hidden="false" customHeight="false" outlineLevel="0" collapsed="false">
      <c r="A6170" s="3" t="s">
        <v>428</v>
      </c>
      <c r="G6170" s="22" t="n">
        <f aca="false">IF(G6151&gt;0,G6140/G6151,99)</f>
        <v>0.141488946046968</v>
      </c>
      <c r="H6170" s="22" t="n">
        <f aca="false">IF(H6151&gt;0,H6140/H6151,99)</f>
        <v>0.140447291740904</v>
      </c>
      <c r="I6170" s="22" t="n">
        <f aca="false">IF(I6151&gt;0,I6140/I6151,99)</f>
        <v>0.139405637434841</v>
      </c>
      <c r="J6170" s="22" t="n">
        <f aca="false">IF(J6151&gt;0,J6140/J6151,99)</f>
        <v>0.138363983128777</v>
      </c>
      <c r="K6170" s="22" t="n">
        <f aca="false">IF(K6151&gt;0,K6140/K6151,99)</f>
        <v>0.137322328822713</v>
      </c>
    </row>
    <row r="6171" customFormat="false" ht="15" hidden="false" customHeight="false" outlineLevel="0" collapsed="false">
      <c r="A6171" s="3" t="s">
        <v>429</v>
      </c>
      <c r="G6171" s="33" t="n">
        <f aca="false">Assumptions!$G$73</f>
        <v>0.4</v>
      </c>
      <c r="H6171" s="33" t="n">
        <f aca="false">Assumptions!$H$73</f>
        <v>0.4</v>
      </c>
      <c r="I6171" s="33" t="n">
        <f aca="false">Assumptions!$I$73</f>
        <v>0.4</v>
      </c>
      <c r="J6171" s="33" t="n">
        <f aca="false">Assumptions!$J$73</f>
        <v>0.4</v>
      </c>
      <c r="K6171" s="33" t="n">
        <f aca="false">Assumptions!$K$73</f>
        <v>0.4</v>
      </c>
    </row>
    <row r="6172" customFormat="false" ht="15" hidden="false" customHeight="false" outlineLevel="0" collapsed="false">
      <c r="A6172" s="3" t="s">
        <v>430</v>
      </c>
      <c r="G6172" s="22" t="n">
        <f aca="false">G6171-G6170</f>
        <v>0.258511053953032</v>
      </c>
      <c r="H6172" s="22" t="n">
        <f aca="false">H6171-H6170</f>
        <v>0.259552708259096</v>
      </c>
      <c r="I6172" s="22" t="n">
        <f aca="false">I6171-I6170</f>
        <v>0.26059436256516</v>
      </c>
      <c r="J6172" s="22" t="n">
        <f aca="false">J6171-J6170</f>
        <v>0.261636016871223</v>
      </c>
      <c r="K6172" s="22" t="n">
        <f aca="false">K6171-K6170</f>
        <v>0.262677671177287</v>
      </c>
    </row>
    <row r="6173" customFormat="false" ht="15" hidden="false" customHeight="false" outlineLevel="0" collapsed="false">
      <c r="A6173" s="3" t="s">
        <v>431</v>
      </c>
      <c r="G6173" s="22" t="n">
        <f aca="false">IF(G6171=0,0,G6172/ABS(G6171))</f>
        <v>0.646277634882579</v>
      </c>
      <c r="H6173" s="22" t="n">
        <f aca="false">IF(H6171=0,0,H6172/ABS(H6171))</f>
        <v>0.648881770647739</v>
      </c>
      <c r="I6173" s="22" t="n">
        <f aca="false">IF(I6171=0,0,I6172/ABS(I6171))</f>
        <v>0.651485906412899</v>
      </c>
      <c r="J6173" s="22" t="n">
        <f aca="false">IF(J6171=0,0,J6172/ABS(J6171))</f>
        <v>0.654090042178059</v>
      </c>
      <c r="K6173" s="22" t="n">
        <f aca="false">IF(K6171=0,0,K6172/ABS(K6171))</f>
        <v>0.656694177943218</v>
      </c>
    </row>
    <row r="6174" customFormat="false" ht="15" hidden="false" customHeight="false" outlineLevel="0" collapsed="false">
      <c r="A6174" s="3" t="s">
        <v>432</v>
      </c>
      <c r="G6174" s="21" t="n">
        <f aca="false">IF(G6172&lt;0,1,0)</f>
        <v>0</v>
      </c>
      <c r="H6174" s="21" t="n">
        <f aca="false">IF(H6172&lt;0,1,0)</f>
        <v>0</v>
      </c>
      <c r="I6174" s="21" t="n">
        <f aca="false">IF(I6172&lt;0,1,0)</f>
        <v>0</v>
      </c>
      <c r="J6174" s="21" t="n">
        <f aca="false">IF(J6172&lt;0,1,0)</f>
        <v>0</v>
      </c>
      <c r="K6174" s="21" t="n">
        <f aca="false">IF(K6172&lt;0,1,0)</f>
        <v>0</v>
      </c>
    </row>
    <row r="6175" customFormat="false" ht="15" hidden="false" customHeight="false" outlineLevel="0" collapsed="false">
      <c r="A6175" s="3" t="s">
        <v>433</v>
      </c>
      <c r="C6175" s="21" t="n">
        <f aca="false">IFERROR(INDEX($G$5908:$K$5908,MATCH(1,$G$6174:$K$6174,0)),0)</f>
        <v>0</v>
      </c>
    </row>
    <row r="6176" customFormat="false" ht="15" hidden="false" customHeight="false" outlineLevel="0" collapsed="false">
      <c r="A6176" s="3" t="s">
        <v>434</v>
      </c>
      <c r="C6176" s="22" t="n">
        <f aca="false">MIN($G$6173:$K$6173)</f>
        <v>0.646277634882579</v>
      </c>
    </row>
    <row r="6177" customFormat="false" ht="15" hidden="false" customHeight="false" outlineLevel="0" collapsed="false">
      <c r="A6177" s="24" t="s">
        <v>437</v>
      </c>
      <c r="B6177" s="25"/>
      <c r="C6177" s="25"/>
      <c r="D6177" s="25"/>
      <c r="E6177" s="25"/>
      <c r="F6177" s="25"/>
      <c r="G6177" s="25"/>
      <c r="H6177" s="25"/>
      <c r="I6177" s="25"/>
      <c r="J6177" s="25"/>
      <c r="K6177" s="25"/>
    </row>
    <row r="6178" customFormat="false" ht="15" hidden="false" customHeight="false" outlineLevel="0" collapsed="false">
      <c r="A6178" s="3" t="s">
        <v>428</v>
      </c>
      <c r="G6178" s="16" t="n">
        <f aca="false">G6148</f>
        <v>688.0795496</v>
      </c>
      <c r="H6178" s="16" t="n">
        <f aca="false">H6148</f>
        <v>574.5</v>
      </c>
      <c r="I6178" s="16" t="n">
        <f aca="false">I6148</f>
        <v>574.5</v>
      </c>
      <c r="J6178" s="16" t="n">
        <f aca="false">J6148</f>
        <v>574.5</v>
      </c>
      <c r="K6178" s="16" t="n">
        <f aca="false">K6148</f>
        <v>574.5</v>
      </c>
    </row>
    <row r="6179" customFormat="false" ht="15" hidden="false" customHeight="false" outlineLevel="0" collapsed="false">
      <c r="A6179" s="3" t="s">
        <v>429</v>
      </c>
      <c r="G6179" s="29" t="n">
        <f aca="false">Assumptions!$G$74</f>
        <v>100</v>
      </c>
      <c r="H6179" s="29" t="n">
        <f aca="false">Assumptions!$H$74</f>
        <v>100</v>
      </c>
      <c r="I6179" s="29" t="n">
        <f aca="false">Assumptions!$I$74</f>
        <v>100</v>
      </c>
      <c r="J6179" s="29" t="n">
        <f aca="false">Assumptions!$J$74</f>
        <v>100</v>
      </c>
      <c r="K6179" s="29" t="n">
        <f aca="false">Assumptions!$K$74</f>
        <v>100</v>
      </c>
    </row>
    <row r="6180" customFormat="false" ht="15" hidden="false" customHeight="false" outlineLevel="0" collapsed="false">
      <c r="A6180" s="3" t="s">
        <v>430</v>
      </c>
      <c r="G6180" s="16" t="n">
        <f aca="false">G6178-G6179</f>
        <v>588.0795496</v>
      </c>
      <c r="H6180" s="16" t="n">
        <f aca="false">H6178-H6179</f>
        <v>474.5</v>
      </c>
      <c r="I6180" s="16" t="n">
        <f aca="false">I6178-I6179</f>
        <v>474.5</v>
      </c>
      <c r="J6180" s="16" t="n">
        <f aca="false">J6178-J6179</f>
        <v>474.5</v>
      </c>
      <c r="K6180" s="16" t="n">
        <f aca="false">K6178-K6179</f>
        <v>474.5</v>
      </c>
    </row>
    <row r="6181" customFormat="false" ht="15" hidden="false" customHeight="false" outlineLevel="0" collapsed="false">
      <c r="A6181" s="3" t="s">
        <v>431</v>
      </c>
      <c r="G6181" s="22" t="n">
        <f aca="false">IF(G6179=0,0,G6180/ABS(G6179))</f>
        <v>5.880795496</v>
      </c>
      <c r="H6181" s="22" t="n">
        <f aca="false">IF(H6179=0,0,H6180/ABS(H6179))</f>
        <v>4.745</v>
      </c>
      <c r="I6181" s="22" t="n">
        <f aca="false">IF(I6179=0,0,I6180/ABS(I6179))</f>
        <v>4.745</v>
      </c>
      <c r="J6181" s="22" t="n">
        <f aca="false">IF(J6179=0,0,J6180/ABS(J6179))</f>
        <v>4.745</v>
      </c>
      <c r="K6181" s="22" t="n">
        <f aca="false">IF(K6179=0,0,K6180/ABS(K6179))</f>
        <v>4.745</v>
      </c>
    </row>
    <row r="6182" customFormat="false" ht="15" hidden="false" customHeight="false" outlineLevel="0" collapsed="false">
      <c r="A6182" s="3" t="s">
        <v>432</v>
      </c>
      <c r="G6182" s="21" t="n">
        <f aca="false">IF(G6180&lt;0,1,0)</f>
        <v>0</v>
      </c>
      <c r="H6182" s="21" t="n">
        <f aca="false">IF(H6180&lt;0,1,0)</f>
        <v>0</v>
      </c>
      <c r="I6182" s="21" t="n">
        <f aca="false">IF(I6180&lt;0,1,0)</f>
        <v>0</v>
      </c>
      <c r="J6182" s="21" t="n">
        <f aca="false">IF(J6180&lt;0,1,0)</f>
        <v>0</v>
      </c>
      <c r="K6182" s="21" t="n">
        <f aca="false">IF(K6180&lt;0,1,0)</f>
        <v>0</v>
      </c>
    </row>
    <row r="6183" customFormat="false" ht="15" hidden="false" customHeight="false" outlineLevel="0" collapsed="false">
      <c r="A6183" s="3" t="s">
        <v>433</v>
      </c>
      <c r="C6183" s="21" t="n">
        <f aca="false">IFERROR(INDEX($G$5908:$K$5908,MATCH(1,$G$6182:$K$6182,0)),0)</f>
        <v>0</v>
      </c>
    </row>
    <row r="6184" customFormat="false" ht="15" hidden="false" customHeight="false" outlineLevel="0" collapsed="false">
      <c r="A6184" s="3" t="s">
        <v>434</v>
      </c>
      <c r="C6184" s="22" t="n">
        <f aca="false">MIN($G$6181:$K$6181)</f>
        <v>4.745</v>
      </c>
    </row>
    <row r="6185" customFormat="false" ht="15" hidden="false" customHeight="false" outlineLevel="0" collapsed="false">
      <c r="A6185" s="24" t="s">
        <v>438</v>
      </c>
      <c r="B6185" s="25"/>
      <c r="C6185" s="25"/>
      <c r="D6185" s="25"/>
      <c r="E6185" s="25"/>
      <c r="F6185" s="25"/>
      <c r="G6185" s="25"/>
      <c r="H6185" s="25"/>
      <c r="I6185" s="25"/>
      <c r="J6185" s="25"/>
      <c r="K6185" s="25"/>
    </row>
    <row r="6186" customFormat="false" ht="15" hidden="false" customHeight="false" outlineLevel="0" collapsed="false">
      <c r="A6186" s="3" t="s">
        <v>428</v>
      </c>
      <c r="G6186" s="32" t="n">
        <f aca="false">IF(G5918&gt;0,G6141/G5918,99)</f>
        <v>11.1567261118361</v>
      </c>
      <c r="H6186" s="32" t="n">
        <f aca="false">IF(H5918&gt;0,H6141/H5918,99)</f>
        <v>12.2490105604985</v>
      </c>
      <c r="I6186" s="32" t="n">
        <f aca="false">IF(I5918&gt;0,I6141/I5918,99)</f>
        <v>12.6120321775122</v>
      </c>
      <c r="J6186" s="32" t="n">
        <f aca="false">IF(J5918&gt;0,J6141/J5918,99)</f>
        <v>12.6924322941011</v>
      </c>
      <c r="K6186" s="32" t="n">
        <f aca="false">IF(K5918&gt;0,K6141/K5918,99)</f>
        <v>12.7483339673236</v>
      </c>
    </row>
    <row r="6187" customFormat="false" ht="15" hidden="false" customHeight="false" outlineLevel="0" collapsed="false">
      <c r="A6187" s="3" t="s">
        <v>429</v>
      </c>
      <c r="G6187" s="34" t="n">
        <f aca="false">Assumptions!$G$75</f>
        <v>10.5</v>
      </c>
      <c r="H6187" s="34" t="n">
        <f aca="false">Assumptions!$H$75</f>
        <v>10.5</v>
      </c>
      <c r="I6187" s="34" t="n">
        <f aca="false">Assumptions!$I$75</f>
        <v>10</v>
      </c>
      <c r="J6187" s="34" t="n">
        <f aca="false">Assumptions!$J$75</f>
        <v>10</v>
      </c>
      <c r="K6187" s="34" t="n">
        <f aca="false">Assumptions!$K$75</f>
        <v>9.5</v>
      </c>
    </row>
    <row r="6188" customFormat="false" ht="15" hidden="false" customHeight="false" outlineLevel="0" collapsed="false">
      <c r="A6188" s="3" t="s">
        <v>430</v>
      </c>
      <c r="G6188" s="32" t="n">
        <f aca="false">G6187-G6186</f>
        <v>-0.656726111836072</v>
      </c>
      <c r="H6188" s="32" t="n">
        <f aca="false">H6187-H6186</f>
        <v>-1.7490105604985</v>
      </c>
      <c r="I6188" s="32" t="n">
        <f aca="false">I6187-I6186</f>
        <v>-2.61203217751216</v>
      </c>
      <c r="J6188" s="32" t="n">
        <f aca="false">J6187-J6186</f>
        <v>-2.69243229410109</v>
      </c>
      <c r="K6188" s="32" t="n">
        <f aca="false">K6187-K6186</f>
        <v>-3.24833396732355</v>
      </c>
    </row>
    <row r="6189" customFormat="false" ht="15" hidden="false" customHeight="false" outlineLevel="0" collapsed="false">
      <c r="A6189" s="3" t="s">
        <v>431</v>
      </c>
      <c r="G6189" s="22" t="n">
        <f aca="false">IF(G6187=0,0,G6188/ABS(G6187))</f>
        <v>-0.0625453439843878</v>
      </c>
      <c r="H6189" s="22" t="n">
        <f aca="false">IF(H6187=0,0,H6188/ABS(H6187))</f>
        <v>-0.166572434333191</v>
      </c>
      <c r="I6189" s="22" t="n">
        <f aca="false">IF(I6187=0,0,I6188/ABS(I6187))</f>
        <v>-0.261203217751216</v>
      </c>
      <c r="J6189" s="22" t="n">
        <f aca="false">IF(J6187=0,0,J6188/ABS(J6187))</f>
        <v>-0.269243229410109</v>
      </c>
      <c r="K6189" s="22" t="n">
        <f aca="false">IF(K6187=0,0,K6188/ABS(K6187))</f>
        <v>-0.341929891297216</v>
      </c>
    </row>
    <row r="6190" customFormat="false" ht="15" hidden="false" customHeight="false" outlineLevel="0" collapsed="false">
      <c r="A6190" s="3" t="s">
        <v>432</v>
      </c>
      <c r="G6190" s="21" t="n">
        <f aca="false">IF(G6188&lt;0,1,0)</f>
        <v>1</v>
      </c>
      <c r="H6190" s="21" t="n">
        <f aca="false">IF(H6188&lt;0,1,0)</f>
        <v>1</v>
      </c>
      <c r="I6190" s="21" t="n">
        <f aca="false">IF(I6188&lt;0,1,0)</f>
        <v>1</v>
      </c>
      <c r="J6190" s="21" t="n">
        <f aca="false">IF(J6188&lt;0,1,0)</f>
        <v>1</v>
      </c>
      <c r="K6190" s="21" t="n">
        <f aca="false">IF(K6188&lt;0,1,0)</f>
        <v>1</v>
      </c>
    </row>
    <row r="6191" customFormat="false" ht="15" hidden="false" customHeight="false" outlineLevel="0" collapsed="false">
      <c r="A6191" s="3" t="s">
        <v>433</v>
      </c>
      <c r="C6191" s="21" t="n">
        <f aca="false">IFERROR(INDEX($G$5908:$K$5908,MATCH(1,$G$6190:$K$6190,0)),0)</f>
        <v>2027</v>
      </c>
    </row>
    <row r="6192" customFormat="false" ht="15" hidden="false" customHeight="false" outlineLevel="0" collapsed="false">
      <c r="A6192" s="3" t="s">
        <v>434</v>
      </c>
      <c r="C6192" s="22" t="n">
        <f aca="false">MIN($G$6189:$K$6189)</f>
        <v>-0.341929891297216</v>
      </c>
    </row>
    <row r="6193" customFormat="false" ht="15" hidden="false" customHeight="false" outlineLevel="0" collapsed="false">
      <c r="A6193" s="3" t="s">
        <v>439</v>
      </c>
      <c r="G6193" s="21" t="n">
        <f aca="false">G6158+G6166+G6174+G6182+G6190</f>
        <v>3</v>
      </c>
      <c r="H6193" s="21" t="n">
        <f aca="false">H6158+H6166+H6174+H6182+H6190</f>
        <v>3</v>
      </c>
      <c r="I6193" s="21" t="n">
        <f aca="false">I6158+I6166+I6174+I6182+I6190</f>
        <v>3</v>
      </c>
      <c r="J6193" s="21" t="n">
        <f aca="false">J6158+J6166+J6174+J6182+J6190</f>
        <v>3</v>
      </c>
      <c r="K6193" s="21" t="n">
        <f aca="false">K6158+K6166+K6174+K6182+K6190</f>
        <v>3</v>
      </c>
    </row>
    <row r="6194" customFormat="false" ht="15" hidden="false" customHeight="false" outlineLevel="0" collapsed="false">
      <c r="A6194" s="3" t="s">
        <v>440</v>
      </c>
      <c r="C6194" s="21" t="n">
        <f aca="false">SUM($G$6193:$K$6193)</f>
        <v>15</v>
      </c>
    </row>
    <row r="6195" customFormat="false" ht="15" hidden="false" customHeight="false" outlineLevel="0" collapsed="false">
      <c r="A6195" s="3" t="s">
        <v>441</v>
      </c>
      <c r="C6195" s="22" t="n">
        <f aca="false">MIN(C6160,C6168,C6176,C6184,C6192)</f>
        <v>-0.341929891297216</v>
      </c>
    </row>
    <row r="6197" customFormat="false" ht="15" hidden="false" customHeight="false" outlineLevel="0" collapsed="false">
      <c r="A6197" s="24" t="s">
        <v>543</v>
      </c>
      <c r="B6197" s="25"/>
      <c r="C6197" s="25"/>
      <c r="D6197" s="25"/>
      <c r="E6197" s="25"/>
      <c r="F6197" s="25"/>
      <c r="G6197" s="25"/>
      <c r="H6197" s="25"/>
      <c r="I6197" s="25"/>
      <c r="J6197" s="25"/>
      <c r="K6197" s="25"/>
    </row>
    <row r="6198" customFormat="false" ht="15" hidden="false" customHeight="false" outlineLevel="0" collapsed="false">
      <c r="A6198" s="3" t="s">
        <v>544</v>
      </c>
      <c r="G6198" s="21" t="n">
        <f aca="false">IF($C$6199=1,G6135,IF(G5918=MIN($G$5918:$K$5918),1,0))</f>
        <v>0</v>
      </c>
      <c r="H6198" s="21" t="n">
        <f aca="false">IF($C$6199=1,H6135,IF(AND(H5918=MIN($G$5918:$K$5918),SUM($G$6198:G6198)=0),1,0))</f>
        <v>1</v>
      </c>
      <c r="I6198" s="21" t="n">
        <f aca="false">IF($C$6199=1,I6135,IF(AND(I5918=MIN($G$5918:$K$5918),SUM($G$6198:H6198)=0),1,0))</f>
        <v>0</v>
      </c>
      <c r="J6198" s="21" t="n">
        <f aca="false">IF($C$6199=1,J6135,IF(AND(J5918=MIN($G$5918:$K$5918),SUM($G$6198:I6198)=0),1,0))</f>
        <v>0</v>
      </c>
      <c r="K6198" s="21" t="n">
        <f aca="false">IF($C$6199=1,K6135,IF(AND(K5918=MIN($G$5918:$K$5918),SUM($G$6198:J6198)=0),1,0))</f>
        <v>0</v>
      </c>
    </row>
    <row r="6199" customFormat="false" ht="15" hidden="false" customHeight="false" outlineLevel="0" collapsed="false">
      <c r="A6199" s="3" t="s">
        <v>545</v>
      </c>
      <c r="C6199" s="21" t="n">
        <f aca="false">IF(SUM($G$6135:$K$6135)&gt;0,1,0)</f>
        <v>1</v>
      </c>
    </row>
    <row r="6200" customFormat="false" ht="15" hidden="false" customHeight="false" outlineLevel="0" collapsed="false">
      <c r="A6200" s="3" t="s">
        <v>546</v>
      </c>
      <c r="C6200" s="21" t="n">
        <f aca="false">SUMPRODUCT($G$6198:$K$6198,$G$5908:$K$5908)</f>
        <v>2028</v>
      </c>
    </row>
    <row r="6201" customFormat="false" ht="15" hidden="false" customHeight="false" outlineLevel="0" collapsed="false">
      <c r="A6201" s="3" t="s">
        <v>547</v>
      </c>
      <c r="C6201" s="16" t="n">
        <f aca="false">SUMPRODUCT($G$6198:$K$6198,$G$5918:$K$5918)</f>
        <v>211.268906217</v>
      </c>
    </row>
    <row r="6202" customFormat="false" ht="15" hidden="false" customHeight="false" outlineLevel="0" collapsed="false">
      <c r="A6202" s="3" t="s">
        <v>548</v>
      </c>
      <c r="C6202" s="16" t="n">
        <f aca="false">MAX(0,SUMPRODUCT($G$6198:$K$6198,$G$6132:$K$6132))</f>
        <v>0</v>
      </c>
    </row>
    <row r="6203" customFormat="false" ht="15" hidden="false" customHeight="false" outlineLevel="0" collapsed="false">
      <c r="A6203" s="3" t="s">
        <v>549</v>
      </c>
      <c r="C6203" s="16" t="n">
        <f aca="false">(CHOOSE($C$5901,Assumptions!$C$92,Assumptions!$C$111,Assumptions!$C$130)+$C$5905)*C6201</f>
        <v>1901.420155953</v>
      </c>
    </row>
    <row r="6204" customFormat="false" ht="15" hidden="false" customHeight="false" outlineLevel="0" collapsed="false">
      <c r="A6204" s="3" t="s">
        <v>550</v>
      </c>
      <c r="C6204" s="16" t="n">
        <f aca="false">Assumptions!$C$31*(1-CHOOSE($C$5901,Assumptions!$C$93,Assumptions!$C$112,Assumptions!$C$131))*CHOOSE($C$5901,Assumptions!$C$94,Assumptions!$C$113,Assumptions!$C$132)</f>
        <v>3264.03873166667</v>
      </c>
    </row>
    <row r="6205" customFormat="false" ht="15" hidden="false" customHeight="false" outlineLevel="0" collapsed="false">
      <c r="A6205" s="3" t="s">
        <v>551</v>
      </c>
      <c r="C6205" s="16" t="n">
        <f aca="false">MAX(C6203,C6204)+C6202</f>
        <v>3264.03873166667</v>
      </c>
    </row>
    <row r="6206" customFormat="false" ht="15" hidden="false" customHeight="false" outlineLevel="0" collapsed="false">
      <c r="A6206" s="2" t="s">
        <v>552</v>
      </c>
      <c r="C6206" s="17" t="n">
        <f aca="false">IF(ISNUMBER(Assumptions!$C$14),Assumptions!$C$14,C6205)</f>
        <v>3264.03873166667</v>
      </c>
    </row>
    <row r="6207" customFormat="false" ht="15" hidden="false" customHeight="false" outlineLevel="0" collapsed="false">
      <c r="A6207" s="3" t="s">
        <v>553</v>
      </c>
      <c r="C6207" s="16" t="n">
        <f aca="false">C6206*Assumptions!$C$15</f>
        <v>130.561549266667</v>
      </c>
    </row>
    <row r="6208" customFormat="false" ht="15" hidden="false" customHeight="false" outlineLevel="0" collapsed="false">
      <c r="A6208" s="2" t="s">
        <v>554</v>
      </c>
      <c r="C6208" s="17" t="n">
        <f aca="false">C6206-C6207</f>
        <v>3133.4771824</v>
      </c>
    </row>
    <row r="6209" customFormat="false" ht="15" hidden="false" customHeight="false" outlineLevel="0" collapsed="false">
      <c r="A6209" s="24" t="s">
        <v>555</v>
      </c>
      <c r="B6209" s="25"/>
      <c r="C6209" s="25"/>
      <c r="D6209" s="25"/>
      <c r="E6209" s="25"/>
      <c r="F6209" s="25"/>
      <c r="G6209" s="25"/>
      <c r="H6209" s="25"/>
      <c r="I6209" s="25"/>
      <c r="J6209" s="25"/>
      <c r="K6209" s="25"/>
    </row>
    <row r="6210" customFormat="false" ht="15" hidden="false" customHeight="false" outlineLevel="0" collapsed="false">
      <c r="A6210" s="3" t="s">
        <v>556</v>
      </c>
      <c r="C6210" s="16" t="n">
        <f aca="false">SUMPRODUCT($G$6198:$K$6198,$G$5955:$K$5955)*(1+SUMPRODUCT($G$6198:$K$6198,$G$5947:$K$5947)*Assumptions!$C$16/12)</f>
        <v>402.29</v>
      </c>
    </row>
    <row r="6211" customFormat="false" ht="15" hidden="false" customHeight="false" outlineLevel="0" collapsed="false">
      <c r="A6211" s="3" t="s">
        <v>557</v>
      </c>
      <c r="C6211" s="16" t="n">
        <f aca="false">SUMPRODUCT($G$6198:$K$6198,$G$5968:$K$5968)*(1+SUMPRODUCT($G$6198:$K$6198,$G$5960:$K$5960)*Assumptions!$C$16/12)</f>
        <v>91.30725</v>
      </c>
    </row>
    <row r="6212" customFormat="false" ht="15" hidden="false" customHeight="false" outlineLevel="0" collapsed="false">
      <c r="A6212" s="3" t="s">
        <v>558</v>
      </c>
      <c r="C6212" s="16" t="n">
        <f aca="false">SUMPRODUCT($G$6198:$K$6198,$G$5981:$K$5981)*(1+SUMPRODUCT($G$6198:$K$6198,$G$5973:$K$5973)*Assumptions!$C$16/12)</f>
        <v>58.3715961</v>
      </c>
    </row>
    <row r="6213" customFormat="false" ht="15" hidden="false" customHeight="false" outlineLevel="0" collapsed="false">
      <c r="A6213" s="3" t="s">
        <v>559</v>
      </c>
      <c r="C6213" s="16" t="n">
        <f aca="false">SUMPRODUCT($G$6198:$K$6198,$G$5994:$K$5994)*(1+SUMPRODUCT($G$6198:$K$6198,$G$5986:$K$5986)*Assumptions!$C$16/12)</f>
        <v>0</v>
      </c>
    </row>
    <row r="6214" customFormat="false" ht="15" hidden="false" customHeight="false" outlineLevel="0" collapsed="false">
      <c r="A6214" s="3" t="s">
        <v>560</v>
      </c>
      <c r="C6214" s="16" t="n">
        <f aca="false">SUMPRODUCT($G$6198:$K$6198,$G$6007:$K$6007)*(1+SUMPRODUCT($G$6198:$K$6198,$G$5999:$K$5999)*Assumptions!$C$16/12)</f>
        <v>424.04758635765</v>
      </c>
    </row>
    <row r="6215" customFormat="false" ht="15" hidden="false" customHeight="false" outlineLevel="0" collapsed="false">
      <c r="A6215" s="3" t="s">
        <v>561</v>
      </c>
      <c r="C6215" s="16" t="n">
        <f aca="false">SUMPRODUCT($G$6198:$K$6198,$G$6020:$K$6020)*(1+SUMPRODUCT($G$6198:$K$6198,$G$6012:$K$6012)*Assumptions!$C$16/12)</f>
        <v>357.2625</v>
      </c>
    </row>
    <row r="6216" customFormat="false" ht="15" hidden="false" customHeight="false" outlineLevel="0" collapsed="false">
      <c r="A6216" s="3" t="s">
        <v>562</v>
      </c>
      <c r="C6216" s="16" t="n">
        <f aca="false">SUMPRODUCT($G$6198:$K$6198,$G$6033:$K$6033)*(1+SUMPRODUCT($G$6198:$K$6198,$G$6025:$K$6025)*Assumptions!$C$16/12)</f>
        <v>562.203125</v>
      </c>
    </row>
    <row r="6217" customFormat="false" ht="15" hidden="false" customHeight="false" outlineLevel="0" collapsed="false">
      <c r="A6217" s="3" t="s">
        <v>563</v>
      </c>
      <c r="C6217" s="16" t="n">
        <f aca="false">SUMPRODUCT($G$6198:$K$6198,$G$6046:$K$6046)*(1+SUMPRODUCT($G$6198:$K$6198,$G$6038:$K$6038)*Assumptions!$C$16/12)</f>
        <v>353.98125</v>
      </c>
    </row>
    <row r="6218" customFormat="false" ht="15" hidden="false" customHeight="false" outlineLevel="0" collapsed="false">
      <c r="A6218" s="3" t="s">
        <v>564</v>
      </c>
      <c r="C6218" s="16" t="n">
        <f aca="false">SUMPRODUCT($G$6198:$K$6198,$G$6059:$K$6059)*(1+SUMPRODUCT($G$6198:$K$6198,$G$6051:$K$6051)*Assumptions!$C$16/12)</f>
        <v>304.59375</v>
      </c>
    </row>
    <row r="6219" customFormat="false" ht="15" hidden="false" customHeight="false" outlineLevel="0" collapsed="false">
      <c r="A6219" s="3" t="s">
        <v>565</v>
      </c>
      <c r="C6219" s="16" t="n">
        <f aca="false">SUMPRODUCT($G$6198:$K$6198,$G$6072:$K$6072)*(1+SUMPRODUCT($G$6198:$K$6198,$G$6064:$K$6064)*Assumptions!$C$16/12)</f>
        <v>79.938509</v>
      </c>
    </row>
    <row r="6220" customFormat="false" ht="15" hidden="false" customHeight="false" outlineLevel="0" collapsed="false">
      <c r="A6220" s="24" t="s">
        <v>566</v>
      </c>
      <c r="B6220" s="25"/>
      <c r="C6220" s="25"/>
      <c r="D6220" s="25"/>
      <c r="E6220" s="25"/>
      <c r="F6220" s="25"/>
      <c r="G6220" s="25"/>
      <c r="H6220" s="25"/>
      <c r="I6220" s="25"/>
      <c r="J6220" s="25"/>
      <c r="K6220" s="25"/>
    </row>
    <row r="6221" customFormat="false" ht="15" hidden="false" customHeight="false" outlineLevel="0" collapsed="false">
      <c r="A6221" s="3" t="s">
        <v>556</v>
      </c>
      <c r="C6221" s="27" t="n">
        <f aca="false">Assumptions!$M$57</f>
        <v>1</v>
      </c>
    </row>
    <row r="6222" customFormat="false" ht="15" hidden="false" customHeight="false" outlineLevel="0" collapsed="false">
      <c r="A6222" s="3" t="s">
        <v>557</v>
      </c>
      <c r="C6222" s="27" t="n">
        <f aca="false">Assumptions!$M$58</f>
        <v>1</v>
      </c>
    </row>
    <row r="6223" customFormat="false" ht="15" hidden="false" customHeight="false" outlineLevel="0" collapsed="false">
      <c r="A6223" s="3" t="s">
        <v>558</v>
      </c>
      <c r="C6223" s="27" t="n">
        <f aca="false">Assumptions!$M$59</f>
        <v>1</v>
      </c>
    </row>
    <row r="6224" customFormat="false" ht="15" hidden="false" customHeight="false" outlineLevel="0" collapsed="false">
      <c r="A6224" s="3" t="s">
        <v>559</v>
      </c>
      <c r="C6224" s="27" t="n">
        <f aca="false">Assumptions!$M$60</f>
        <v>2</v>
      </c>
    </row>
    <row r="6225" customFormat="false" ht="15" hidden="false" customHeight="false" outlineLevel="0" collapsed="false">
      <c r="A6225" s="3" t="s">
        <v>560</v>
      </c>
      <c r="C6225" s="27" t="n">
        <f aca="false">Assumptions!$M$61</f>
        <v>2</v>
      </c>
    </row>
    <row r="6226" customFormat="false" ht="15" hidden="false" customHeight="false" outlineLevel="0" collapsed="false">
      <c r="A6226" s="3" t="s">
        <v>561</v>
      </c>
      <c r="C6226" s="27" t="n">
        <f aca="false">Assumptions!$M$62</f>
        <v>2</v>
      </c>
    </row>
    <row r="6227" customFormat="false" ht="15" hidden="false" customHeight="false" outlineLevel="0" collapsed="false">
      <c r="A6227" s="3" t="s">
        <v>562</v>
      </c>
      <c r="C6227" s="27" t="n">
        <f aca="false">Assumptions!$M$63</f>
        <v>2</v>
      </c>
    </row>
    <row r="6228" customFormat="false" ht="15" hidden="false" customHeight="false" outlineLevel="0" collapsed="false">
      <c r="A6228" s="3" t="s">
        <v>563</v>
      </c>
      <c r="C6228" s="27" t="n">
        <f aca="false">Assumptions!$M$64</f>
        <v>2</v>
      </c>
    </row>
    <row r="6229" customFormat="false" ht="15" hidden="false" customHeight="false" outlineLevel="0" collapsed="false">
      <c r="A6229" s="3" t="s">
        <v>564</v>
      </c>
      <c r="C6229" s="27" t="n">
        <f aca="false">Assumptions!$M$65</f>
        <v>2</v>
      </c>
    </row>
    <row r="6230" customFormat="false" ht="15" hidden="false" customHeight="false" outlineLevel="0" collapsed="false">
      <c r="A6230" s="3" t="s">
        <v>565</v>
      </c>
      <c r="C6230" s="27" t="n">
        <f aca="false">Assumptions!$M$66</f>
        <v>3</v>
      </c>
    </row>
    <row r="6231" customFormat="false" ht="15" hidden="false" customHeight="false" outlineLevel="0" collapsed="false">
      <c r="A6231" s="24" t="s">
        <v>567</v>
      </c>
      <c r="B6231" s="25"/>
      <c r="C6231" s="25"/>
      <c r="D6231" s="25"/>
      <c r="E6231" s="25"/>
      <c r="F6231" s="25"/>
      <c r="G6231" s="25"/>
      <c r="H6231" s="25"/>
      <c r="I6231" s="25"/>
      <c r="J6231" s="25"/>
      <c r="K6231" s="25"/>
    </row>
    <row r="6232" customFormat="false" ht="15" hidden="false" customHeight="false" outlineLevel="0" collapsed="false">
      <c r="A6232" s="3" t="s">
        <v>556</v>
      </c>
      <c r="C6232" s="33" t="n">
        <f aca="false">Assumptions!$Q$57</f>
        <v>0.3</v>
      </c>
    </row>
    <row r="6233" customFormat="false" ht="15" hidden="false" customHeight="false" outlineLevel="0" collapsed="false">
      <c r="A6233" s="3" t="s">
        <v>557</v>
      </c>
      <c r="C6233" s="33" t="n">
        <f aca="false">Assumptions!$Q$58</f>
        <v>0.033</v>
      </c>
    </row>
    <row r="6234" customFormat="false" ht="15" hidden="false" customHeight="false" outlineLevel="0" collapsed="false">
      <c r="A6234" s="3" t="s">
        <v>558</v>
      </c>
      <c r="C6234" s="33" t="n">
        <f aca="false">Assumptions!$Q$59</f>
        <v>0.021</v>
      </c>
    </row>
    <row r="6235" customFormat="false" ht="15" hidden="false" customHeight="false" outlineLevel="0" collapsed="false">
      <c r="A6235" s="3" t="s">
        <v>559</v>
      </c>
      <c r="C6235" s="33" t="n">
        <f aca="false">Assumptions!$Q$60</f>
        <v>0</v>
      </c>
    </row>
    <row r="6236" customFormat="false" ht="15" hidden="false" customHeight="false" outlineLevel="0" collapsed="false">
      <c r="A6236" s="3" t="s">
        <v>560</v>
      </c>
      <c r="C6236" s="33" t="n">
        <f aca="false">Assumptions!$Q$61</f>
        <v>0</v>
      </c>
    </row>
    <row r="6237" customFormat="false" ht="15" hidden="false" customHeight="false" outlineLevel="0" collapsed="false">
      <c r="A6237" s="3" t="s">
        <v>561</v>
      </c>
      <c r="C6237" s="33" t="n">
        <f aca="false">Assumptions!$Q$62</f>
        <v>0</v>
      </c>
    </row>
    <row r="6238" customFormat="false" ht="15" hidden="false" customHeight="false" outlineLevel="0" collapsed="false">
      <c r="A6238" s="3" t="s">
        <v>562</v>
      </c>
      <c r="C6238" s="33" t="n">
        <f aca="false">Assumptions!$Q$63</f>
        <v>0</v>
      </c>
    </row>
    <row r="6239" customFormat="false" ht="15" hidden="false" customHeight="false" outlineLevel="0" collapsed="false">
      <c r="A6239" s="3" t="s">
        <v>563</v>
      </c>
      <c r="C6239" s="33" t="n">
        <f aca="false">Assumptions!$Q$64</f>
        <v>0</v>
      </c>
    </row>
    <row r="6240" customFormat="false" ht="15" hidden="false" customHeight="false" outlineLevel="0" collapsed="false">
      <c r="A6240" s="3" t="s">
        <v>564</v>
      </c>
      <c r="C6240" s="33" t="n">
        <f aca="false">Assumptions!$Q$65</f>
        <v>0</v>
      </c>
    </row>
    <row r="6241" customFormat="false" ht="15" hidden="false" customHeight="false" outlineLevel="0" collapsed="false">
      <c r="A6241" s="3" t="s">
        <v>565</v>
      </c>
      <c r="C6241" s="33" t="n">
        <f aca="false">Assumptions!$Q$66</f>
        <v>0</v>
      </c>
    </row>
    <row r="6242" customFormat="false" ht="15" hidden="false" customHeight="false" outlineLevel="0" collapsed="false">
      <c r="A6242" s="24" t="s">
        <v>568</v>
      </c>
      <c r="B6242" s="25"/>
      <c r="C6242" s="25"/>
      <c r="D6242" s="25"/>
      <c r="E6242" s="25"/>
      <c r="F6242" s="25"/>
      <c r="G6242" s="25"/>
      <c r="H6242" s="25"/>
      <c r="I6242" s="25"/>
      <c r="J6242" s="25"/>
      <c r="K6242" s="25"/>
    </row>
    <row r="6243" customFormat="false" ht="15" hidden="false" customHeight="false" outlineLevel="0" collapsed="false">
      <c r="A6243" s="3" t="s">
        <v>556</v>
      </c>
      <c r="C6243" s="16" t="n">
        <f aca="false">IF(C6232&gt;0,MIN(C6210,C6232*$C$6208),0)</f>
        <v>402.29</v>
      </c>
    </row>
    <row r="6244" customFormat="false" ht="15" hidden="false" customHeight="false" outlineLevel="0" collapsed="false">
      <c r="A6244" s="3" t="s">
        <v>557</v>
      </c>
      <c r="C6244" s="16" t="n">
        <f aca="false">IF(C6233&gt;0,MIN(C6211,C6233*$C$6208),0)</f>
        <v>91.30725</v>
      </c>
    </row>
    <row r="6245" customFormat="false" ht="15" hidden="false" customHeight="false" outlineLevel="0" collapsed="false">
      <c r="A6245" s="3" t="s">
        <v>558</v>
      </c>
      <c r="C6245" s="16" t="n">
        <f aca="false">IF(C6234&gt;0,MIN(C6212,C6234*$C$6208),0)</f>
        <v>58.3715961</v>
      </c>
    </row>
    <row r="6246" customFormat="false" ht="15" hidden="false" customHeight="false" outlineLevel="0" collapsed="false">
      <c r="A6246" s="3" t="s">
        <v>559</v>
      </c>
      <c r="C6246" s="16" t="n">
        <f aca="false">IF(C6235&gt;0,MIN(C6213,C6235*$C$6208),0)</f>
        <v>0</v>
      </c>
    </row>
    <row r="6247" customFormat="false" ht="15" hidden="false" customHeight="false" outlineLevel="0" collapsed="false">
      <c r="A6247" s="3" t="s">
        <v>560</v>
      </c>
      <c r="C6247" s="16" t="n">
        <f aca="false">IF(C6236&gt;0,MIN(C6214,C6236*$C$6208),0)</f>
        <v>0</v>
      </c>
    </row>
    <row r="6248" customFormat="false" ht="15" hidden="false" customHeight="false" outlineLevel="0" collapsed="false">
      <c r="A6248" s="3" t="s">
        <v>561</v>
      </c>
      <c r="C6248" s="16" t="n">
        <f aca="false">IF(C6237&gt;0,MIN(C6215,C6237*$C$6208),0)</f>
        <v>0</v>
      </c>
    </row>
    <row r="6249" customFormat="false" ht="15" hidden="false" customHeight="false" outlineLevel="0" collapsed="false">
      <c r="A6249" s="3" t="s">
        <v>562</v>
      </c>
      <c r="C6249" s="16" t="n">
        <f aca="false">IF(C6238&gt;0,MIN(C6216,C6238*$C$6208),0)</f>
        <v>0</v>
      </c>
    </row>
    <row r="6250" customFormat="false" ht="15" hidden="false" customHeight="false" outlineLevel="0" collapsed="false">
      <c r="A6250" s="3" t="s">
        <v>563</v>
      </c>
      <c r="C6250" s="16" t="n">
        <f aca="false">IF(C6239&gt;0,MIN(C6217,C6239*$C$6208),0)</f>
        <v>0</v>
      </c>
    </row>
    <row r="6251" customFormat="false" ht="15" hidden="false" customHeight="false" outlineLevel="0" collapsed="false">
      <c r="A6251" s="3" t="s">
        <v>564</v>
      </c>
      <c r="C6251" s="16" t="n">
        <f aca="false">IF(C6240&gt;0,MIN(C6218,C6240*$C$6208),0)</f>
        <v>0</v>
      </c>
    </row>
    <row r="6252" customFormat="false" ht="15" hidden="false" customHeight="false" outlineLevel="0" collapsed="false">
      <c r="A6252" s="3" t="s">
        <v>565</v>
      </c>
      <c r="C6252" s="16" t="n">
        <f aca="false">IF(C6241&gt;0,MIN(C6219,C6241*$C$6208),0)</f>
        <v>0</v>
      </c>
    </row>
    <row r="6253" customFormat="false" ht="15" hidden="false" customHeight="false" outlineLevel="0" collapsed="false">
      <c r="A6253" s="24" t="s">
        <v>569</v>
      </c>
      <c r="B6253" s="25"/>
      <c r="C6253" s="25"/>
      <c r="D6253" s="25"/>
      <c r="E6253" s="25"/>
      <c r="F6253" s="25"/>
      <c r="G6253" s="25"/>
      <c r="H6253" s="25"/>
      <c r="I6253" s="25"/>
      <c r="J6253" s="25"/>
      <c r="K6253" s="25"/>
    </row>
    <row r="6254" customFormat="false" ht="15" hidden="false" customHeight="false" outlineLevel="0" collapsed="false">
      <c r="A6254" s="3" t="s">
        <v>556</v>
      </c>
      <c r="C6254" s="16" t="n">
        <f aca="false">IF(C6232&gt;0,C6210-C6243,0)</f>
        <v>0</v>
      </c>
      <c r="G6254" s="21" t="n">
        <f aca="false">IF(AND(G5945=1,G5942=1),1,0)</f>
        <v>0</v>
      </c>
      <c r="H6254" s="21" t="n">
        <f aca="false">IF(G6254=1,1,IF(AND(H5945=1,H5942=1),1,0))</f>
        <v>0</v>
      </c>
      <c r="I6254" s="21" t="n">
        <f aca="false">IF(H6254=1,1,IF(AND(I5945=1,I5942=1),1,0))</f>
        <v>0</v>
      </c>
      <c r="J6254" s="21" t="n">
        <f aca="false">IF(I6254=1,1,IF(AND(J5945=1,J5942=1),1,0))</f>
        <v>0</v>
      </c>
      <c r="K6254" s="21" t="n">
        <f aca="false">IF(J6254=1,1,IF(AND(K5945=1,K5942=1),1,0))</f>
        <v>0</v>
      </c>
    </row>
    <row r="6255" customFormat="false" ht="15" hidden="false" customHeight="false" outlineLevel="0" collapsed="false">
      <c r="A6255" s="3" t="s">
        <v>557</v>
      </c>
      <c r="C6255" s="16" t="n">
        <f aca="false">IF(C6233&gt;0,C6211-C6244,0)</f>
        <v>0</v>
      </c>
      <c r="G6255" s="21" t="n">
        <f aca="false">IF(AND(G5958=1,G5942=1),1,0)</f>
        <v>0</v>
      </c>
      <c r="H6255" s="21" t="n">
        <f aca="false">IF(G6255=1,1,IF(AND(H5958=1,H5942=1),1,0))</f>
        <v>0</v>
      </c>
      <c r="I6255" s="21" t="n">
        <f aca="false">IF(H6255=1,1,IF(AND(I5958=1,I5942=1),1,0))</f>
        <v>0</v>
      </c>
      <c r="J6255" s="21" t="n">
        <f aca="false">IF(I6255=1,1,IF(AND(J5958=1,J5942=1),1,0))</f>
        <v>0</v>
      </c>
      <c r="K6255" s="21" t="n">
        <f aca="false">IF(J6255=1,1,IF(AND(K5958=1,K5942=1),1,0))</f>
        <v>0</v>
      </c>
    </row>
    <row r="6256" customFormat="false" ht="15" hidden="false" customHeight="false" outlineLevel="0" collapsed="false">
      <c r="A6256" s="3" t="s">
        <v>558</v>
      </c>
      <c r="C6256" s="16" t="n">
        <f aca="false">IF(C6234&gt;0,C6212-C6245,0)</f>
        <v>0</v>
      </c>
      <c r="G6256" s="21" t="n">
        <f aca="false">IF(AND(G5971=1,G5942=1),1,0)</f>
        <v>0</v>
      </c>
      <c r="H6256" s="21" t="n">
        <f aca="false">IF(G6256=1,1,IF(AND(H5971=1,H5942=1),1,0))</f>
        <v>0</v>
      </c>
      <c r="I6256" s="21" t="n">
        <f aca="false">IF(H6256=1,1,IF(AND(I5971=1,I5942=1),1,0))</f>
        <v>0</v>
      </c>
      <c r="J6256" s="21" t="n">
        <f aca="false">IF(I6256=1,1,IF(AND(J5971=1,J5942=1),1,0))</f>
        <v>0</v>
      </c>
      <c r="K6256" s="21" t="n">
        <f aca="false">IF(J6256=1,1,IF(AND(K5971=1,K5942=1),1,0))</f>
        <v>0</v>
      </c>
    </row>
    <row r="6257" customFormat="false" ht="15" hidden="false" customHeight="false" outlineLevel="0" collapsed="false">
      <c r="A6257" s="3" t="s">
        <v>559</v>
      </c>
      <c r="C6257" s="16" t="n">
        <f aca="false">IF(C6235&gt;0,C6213-C6246,0)</f>
        <v>0</v>
      </c>
      <c r="G6257" s="21" t="n">
        <f aca="false">IF(AND(G5984=1,G5942=1),1,0)</f>
        <v>0</v>
      </c>
      <c r="H6257" s="21" t="n">
        <f aca="false">IF(G6257=1,1,IF(AND(H5984=1,H5942=1),1,0))</f>
        <v>0</v>
      </c>
      <c r="I6257" s="21" t="n">
        <f aca="false">IF(H6257=1,1,IF(AND(I5984=1,I5942=1),1,0))</f>
        <v>0</v>
      </c>
      <c r="J6257" s="21" t="n">
        <f aca="false">IF(I6257=1,1,IF(AND(J5984=1,J5942=1),1,0))</f>
        <v>0</v>
      </c>
      <c r="K6257" s="21" t="n">
        <f aca="false">IF(J6257=1,1,IF(AND(K5984=1,K5942=1),1,0))</f>
        <v>0</v>
      </c>
    </row>
    <row r="6258" customFormat="false" ht="15" hidden="false" customHeight="false" outlineLevel="0" collapsed="false">
      <c r="A6258" s="3" t="s">
        <v>560</v>
      </c>
      <c r="C6258" s="16" t="n">
        <f aca="false">IF(C6236&gt;0,C6214-C6247,0)</f>
        <v>0</v>
      </c>
      <c r="G6258" s="21" t="n">
        <f aca="false">IF(AND(G5997=1,G5942=1),1,0)</f>
        <v>0</v>
      </c>
      <c r="H6258" s="21" t="n">
        <f aca="false">IF(G6258=1,1,IF(AND(H5997=1,H5942=1),1,0))</f>
        <v>0</v>
      </c>
      <c r="I6258" s="21" t="n">
        <f aca="false">IF(H6258=1,1,IF(AND(I5997=1,I5942=1),1,0))</f>
        <v>0</v>
      </c>
      <c r="J6258" s="21" t="n">
        <f aca="false">IF(I6258=1,1,IF(AND(J5997=1,J5942=1),1,0))</f>
        <v>0</v>
      </c>
      <c r="K6258" s="21" t="n">
        <f aca="false">IF(J6258=1,1,IF(AND(K5997=1,K5942=1),1,0))</f>
        <v>0</v>
      </c>
    </row>
    <row r="6259" customFormat="false" ht="15" hidden="false" customHeight="false" outlineLevel="0" collapsed="false">
      <c r="A6259" s="3" t="s">
        <v>561</v>
      </c>
      <c r="C6259" s="16" t="n">
        <f aca="false">IF(C6237&gt;0,C6215-C6248,0)</f>
        <v>0</v>
      </c>
      <c r="G6259" s="21" t="n">
        <f aca="false">IF(AND(G6010=1,G5942=1),1,0)</f>
        <v>0</v>
      </c>
      <c r="H6259" s="21" t="n">
        <f aca="false">IF(G6259=1,1,IF(AND(H6010=1,H5942=1),1,0))</f>
        <v>0</v>
      </c>
      <c r="I6259" s="21" t="n">
        <f aca="false">IF(H6259=1,1,IF(AND(I6010=1,I5942=1),1,0))</f>
        <v>0</v>
      </c>
      <c r="J6259" s="21" t="n">
        <f aca="false">IF(I6259=1,1,IF(AND(J6010=1,J5942=1),1,0))</f>
        <v>0</v>
      </c>
      <c r="K6259" s="21" t="n">
        <f aca="false">IF(J6259=1,1,IF(AND(K6010=1,K5942=1),1,0))</f>
        <v>0</v>
      </c>
    </row>
    <row r="6260" customFormat="false" ht="15" hidden="false" customHeight="false" outlineLevel="0" collapsed="false">
      <c r="A6260" s="3" t="s">
        <v>562</v>
      </c>
      <c r="C6260" s="16" t="n">
        <f aca="false">IF(C6238&gt;0,C6216-C6249,0)</f>
        <v>0</v>
      </c>
      <c r="G6260" s="21" t="n">
        <f aca="false">IF(AND(G6023=1,G5942=1),1,0)</f>
        <v>0</v>
      </c>
      <c r="H6260" s="21" t="n">
        <f aca="false">IF(G6260=1,1,IF(AND(H6023=1,H5942=1),1,0))</f>
        <v>0</v>
      </c>
      <c r="I6260" s="21" t="n">
        <f aca="false">IF(H6260=1,1,IF(AND(I6023=1,I5942=1),1,0))</f>
        <v>0</v>
      </c>
      <c r="J6260" s="21" t="n">
        <f aca="false">IF(I6260=1,1,IF(AND(J6023=1,J5942=1),1,0))</f>
        <v>0</v>
      </c>
      <c r="K6260" s="21" t="n">
        <f aca="false">IF(J6260=1,1,IF(AND(K6023=1,K5942=1),1,0))</f>
        <v>0</v>
      </c>
    </row>
    <row r="6261" customFormat="false" ht="15" hidden="false" customHeight="false" outlineLevel="0" collapsed="false">
      <c r="A6261" s="3" t="s">
        <v>563</v>
      </c>
      <c r="C6261" s="16" t="n">
        <f aca="false">IF(C6239&gt;0,C6217-C6250,0)</f>
        <v>0</v>
      </c>
      <c r="G6261" s="21" t="n">
        <f aca="false">IF(AND(G6036=1,G5942=1),1,0)</f>
        <v>0</v>
      </c>
      <c r="H6261" s="21" t="n">
        <f aca="false">IF(G6261=1,1,IF(AND(H6036=1,H5942=1),1,0))</f>
        <v>0</v>
      </c>
      <c r="I6261" s="21" t="n">
        <f aca="false">IF(H6261=1,1,IF(AND(I6036=1,I5942=1),1,0))</f>
        <v>0</v>
      </c>
      <c r="J6261" s="21" t="n">
        <f aca="false">IF(I6261=1,1,IF(AND(J6036=1,J5942=1),1,0))</f>
        <v>0</v>
      </c>
      <c r="K6261" s="21" t="n">
        <f aca="false">IF(J6261=1,1,IF(AND(K6036=1,K5942=1),1,0))</f>
        <v>0</v>
      </c>
    </row>
    <row r="6262" customFormat="false" ht="15" hidden="false" customHeight="false" outlineLevel="0" collapsed="false">
      <c r="A6262" s="3" t="s">
        <v>564</v>
      </c>
      <c r="C6262" s="16" t="n">
        <f aca="false">IF(C6240&gt;0,C6218-C6251,0)</f>
        <v>0</v>
      </c>
      <c r="G6262" s="21" t="n">
        <f aca="false">IF(AND(G6049=1,G5942=1),1,0)</f>
        <v>0</v>
      </c>
      <c r="H6262" s="21" t="n">
        <f aca="false">IF(G6262=1,1,IF(AND(H6049=1,H5942=1),1,0))</f>
        <v>0</v>
      </c>
      <c r="I6262" s="21" t="n">
        <f aca="false">IF(H6262=1,1,IF(AND(I6049=1,I5942=1),1,0))</f>
        <v>0</v>
      </c>
      <c r="J6262" s="21" t="n">
        <f aca="false">IF(I6262=1,1,IF(AND(J6049=1,J5942=1),1,0))</f>
        <v>0</v>
      </c>
      <c r="K6262" s="21" t="n">
        <f aca="false">IF(J6262=1,1,IF(AND(K6049=1,K5942=1),1,0))</f>
        <v>0</v>
      </c>
    </row>
    <row r="6263" customFormat="false" ht="15" hidden="false" customHeight="false" outlineLevel="0" collapsed="false">
      <c r="A6263" s="3" t="s">
        <v>565</v>
      </c>
      <c r="C6263" s="16" t="n">
        <f aca="false">IF(C6241&gt;0,C6219-C6252,0)</f>
        <v>0</v>
      </c>
      <c r="G6263" s="21" t="n">
        <f aca="false">IF(AND(G6062=1,G5942=1),1,0)</f>
        <v>0</v>
      </c>
      <c r="H6263" s="21" t="n">
        <f aca="false">IF(G6263=1,1,IF(AND(H6062=1,H5942=1),1,0))</f>
        <v>0</v>
      </c>
      <c r="I6263" s="21" t="n">
        <f aca="false">IF(H6263=1,1,IF(AND(I6062=1,I5942=1),1,0))</f>
        <v>0</v>
      </c>
      <c r="J6263" s="21" t="n">
        <f aca="false">IF(I6263=1,1,IF(AND(J6062=1,J5942=1),1,0))</f>
        <v>0</v>
      </c>
      <c r="K6263" s="21" t="n">
        <f aca="false">IF(J6263=1,1,IF(AND(K6062=1,K5942=1),1,0))</f>
        <v>0</v>
      </c>
    </row>
    <row r="6264" customFormat="false" ht="15" hidden="false" customHeight="false" outlineLevel="0" collapsed="false">
      <c r="A6264" s="24" t="s">
        <v>570</v>
      </c>
      <c r="B6264" s="25"/>
      <c r="C6264" s="25"/>
      <c r="D6264" s="25"/>
      <c r="E6264" s="25"/>
      <c r="F6264" s="25"/>
      <c r="G6264" s="25"/>
      <c r="H6264" s="25"/>
      <c r="I6264" s="25"/>
      <c r="J6264" s="25"/>
      <c r="K6264" s="25"/>
    </row>
    <row r="6265" customFormat="false" ht="15" hidden="false" customHeight="false" outlineLevel="0" collapsed="false">
      <c r="A6265" s="3" t="s">
        <v>556</v>
      </c>
      <c r="C6265" s="16" t="n">
        <f aca="false">IF(C6232&gt;0,C6254,C6210)</f>
        <v>0</v>
      </c>
    </row>
    <row r="6266" customFormat="false" ht="15" hidden="false" customHeight="false" outlineLevel="0" collapsed="false">
      <c r="A6266" s="3" t="s">
        <v>557</v>
      </c>
      <c r="C6266" s="16" t="n">
        <f aca="false">IF(C6233&gt;0,C6255,C6211)</f>
        <v>0</v>
      </c>
    </row>
    <row r="6267" customFormat="false" ht="15" hidden="false" customHeight="false" outlineLevel="0" collapsed="false">
      <c r="A6267" s="3" t="s">
        <v>558</v>
      </c>
      <c r="C6267" s="16" t="n">
        <f aca="false">IF(C6234&gt;0,C6256,C6212)</f>
        <v>0</v>
      </c>
    </row>
    <row r="6268" customFormat="false" ht="15" hidden="false" customHeight="false" outlineLevel="0" collapsed="false">
      <c r="A6268" s="3" t="s">
        <v>559</v>
      </c>
      <c r="C6268" s="16" t="n">
        <f aca="false">IF(C6235&gt;0,C6257,C6213)</f>
        <v>0</v>
      </c>
    </row>
    <row r="6269" customFormat="false" ht="15" hidden="false" customHeight="false" outlineLevel="0" collapsed="false">
      <c r="A6269" s="3" t="s">
        <v>560</v>
      </c>
      <c r="C6269" s="16" t="n">
        <f aca="false">IF(C6236&gt;0,C6258,C6214)</f>
        <v>424.04758635765</v>
      </c>
    </row>
    <row r="6270" customFormat="false" ht="15" hidden="false" customHeight="false" outlineLevel="0" collapsed="false">
      <c r="A6270" s="3" t="s">
        <v>561</v>
      </c>
      <c r="C6270" s="16" t="n">
        <f aca="false">IF(C6237&gt;0,C6259,C6215)</f>
        <v>357.2625</v>
      </c>
    </row>
    <row r="6271" customFormat="false" ht="15" hidden="false" customHeight="false" outlineLevel="0" collapsed="false">
      <c r="A6271" s="3" t="s">
        <v>562</v>
      </c>
      <c r="C6271" s="16" t="n">
        <f aca="false">IF(C6238&gt;0,C6260,C6216)</f>
        <v>562.203125</v>
      </c>
    </row>
    <row r="6272" customFormat="false" ht="15" hidden="false" customHeight="false" outlineLevel="0" collapsed="false">
      <c r="A6272" s="3" t="s">
        <v>563</v>
      </c>
      <c r="C6272" s="16" t="n">
        <f aca="false">IF(C6239&gt;0,C6261,C6217)</f>
        <v>353.98125</v>
      </c>
    </row>
    <row r="6273" customFormat="false" ht="15" hidden="false" customHeight="false" outlineLevel="0" collapsed="false">
      <c r="A6273" s="3" t="s">
        <v>564</v>
      </c>
      <c r="C6273" s="16" t="n">
        <f aca="false">IF(C6240&gt;0,C6262,C6218)</f>
        <v>304.59375</v>
      </c>
    </row>
    <row r="6274" customFormat="false" ht="15" hidden="false" customHeight="false" outlineLevel="0" collapsed="false">
      <c r="A6274" s="3" t="s">
        <v>565</v>
      </c>
      <c r="C6274" s="16" t="n">
        <f aca="false">IF(C6241&gt;0,C6263,C6219)</f>
        <v>79.938509</v>
      </c>
    </row>
    <row r="6275" customFormat="false" ht="15" hidden="false" customHeight="false" outlineLevel="0" collapsed="false">
      <c r="A6275" s="24" t="s">
        <v>571</v>
      </c>
      <c r="B6275" s="25"/>
      <c r="C6275" s="25"/>
      <c r="D6275" s="25"/>
      <c r="E6275" s="25"/>
      <c r="F6275" s="25"/>
      <c r="G6275" s="25"/>
      <c r="H6275" s="25"/>
      <c r="I6275" s="25"/>
      <c r="J6275" s="25"/>
      <c r="K6275" s="25"/>
    </row>
    <row r="6276" customFormat="false" ht="15" hidden="false" customHeight="false" outlineLevel="0" collapsed="false">
      <c r="A6276" s="3" t="s">
        <v>556</v>
      </c>
      <c r="C6276" s="21" t="n">
        <f aca="false">IF(C6232&gt;0,Assumptions!$C$17,C6221)</f>
        <v>99</v>
      </c>
    </row>
    <row r="6277" customFormat="false" ht="15" hidden="false" customHeight="false" outlineLevel="0" collapsed="false">
      <c r="A6277" s="3" t="s">
        <v>557</v>
      </c>
      <c r="C6277" s="21" t="n">
        <f aca="false">IF(C6233&gt;0,Assumptions!$C$17,C6222)</f>
        <v>99</v>
      </c>
    </row>
    <row r="6278" customFormat="false" ht="15" hidden="false" customHeight="false" outlineLevel="0" collapsed="false">
      <c r="A6278" s="3" t="s">
        <v>558</v>
      </c>
      <c r="C6278" s="21" t="n">
        <f aca="false">IF(C6234&gt;0,Assumptions!$C$17,C6223)</f>
        <v>99</v>
      </c>
    </row>
    <row r="6279" customFormat="false" ht="15" hidden="false" customHeight="false" outlineLevel="0" collapsed="false">
      <c r="A6279" s="3" t="s">
        <v>559</v>
      </c>
      <c r="C6279" s="21" t="n">
        <f aca="false">IF(C6235&gt;0,Assumptions!$C$17,C6224)</f>
        <v>2</v>
      </c>
    </row>
    <row r="6280" customFormat="false" ht="15" hidden="false" customHeight="false" outlineLevel="0" collapsed="false">
      <c r="A6280" s="3" t="s">
        <v>560</v>
      </c>
      <c r="C6280" s="21" t="n">
        <f aca="false">IF(C6236&gt;0,Assumptions!$C$17,C6225)</f>
        <v>2</v>
      </c>
    </row>
    <row r="6281" customFormat="false" ht="15" hidden="false" customHeight="false" outlineLevel="0" collapsed="false">
      <c r="A6281" s="3" t="s">
        <v>561</v>
      </c>
      <c r="C6281" s="21" t="n">
        <f aca="false">IF(C6237&gt;0,Assumptions!$C$17,C6226)</f>
        <v>2</v>
      </c>
    </row>
    <row r="6282" customFormat="false" ht="15" hidden="false" customHeight="false" outlineLevel="0" collapsed="false">
      <c r="A6282" s="3" t="s">
        <v>562</v>
      </c>
      <c r="C6282" s="21" t="n">
        <f aca="false">IF(C6238&gt;0,Assumptions!$C$17,C6227)</f>
        <v>2</v>
      </c>
    </row>
    <row r="6283" customFormat="false" ht="15" hidden="false" customHeight="false" outlineLevel="0" collapsed="false">
      <c r="A6283" s="3" t="s">
        <v>563</v>
      </c>
      <c r="C6283" s="21" t="n">
        <f aca="false">IF(C6239&gt;0,Assumptions!$C$17,C6228)</f>
        <v>2</v>
      </c>
    </row>
    <row r="6284" customFormat="false" ht="15" hidden="false" customHeight="false" outlineLevel="0" collapsed="false">
      <c r="A6284" s="3" t="s">
        <v>564</v>
      </c>
      <c r="C6284" s="21" t="n">
        <f aca="false">IF(C6240&gt;0,Assumptions!$C$17,C6229)</f>
        <v>2</v>
      </c>
    </row>
    <row r="6285" customFormat="false" ht="15" hidden="false" customHeight="false" outlineLevel="0" collapsed="false">
      <c r="A6285" s="3" t="s">
        <v>565</v>
      </c>
      <c r="C6285" s="21" t="n">
        <f aca="false">IF(C6241&gt;0,Assumptions!$C$17,C6230)</f>
        <v>3</v>
      </c>
    </row>
    <row r="6286" customFormat="false" ht="15" hidden="false" customHeight="false" outlineLevel="0" collapsed="false">
      <c r="A6286" s="24" t="s">
        <v>572</v>
      </c>
      <c r="B6286" s="25"/>
      <c r="C6286" s="25"/>
      <c r="D6286" s="25"/>
      <c r="E6286" s="25"/>
      <c r="F6286" s="25"/>
      <c r="G6286" s="25"/>
      <c r="H6286" s="25"/>
      <c r="I6286" s="25"/>
      <c r="J6286" s="25"/>
      <c r="K6286" s="25"/>
    </row>
    <row r="6287" customFormat="false" ht="15" hidden="false" customHeight="false" outlineLevel="0" collapsed="false">
      <c r="A6287" s="3" t="s">
        <v>556</v>
      </c>
      <c r="C6287" s="16" t="n">
        <f aca="false">SUMPRODUCT(($C$6276:$C$6285&lt;C6276)*$C$6265:$C$6274)</f>
        <v>2082.02672035765</v>
      </c>
    </row>
    <row r="6288" customFormat="false" ht="15" hidden="false" customHeight="false" outlineLevel="0" collapsed="false">
      <c r="A6288" s="3" t="s">
        <v>557</v>
      </c>
      <c r="C6288" s="16" t="n">
        <f aca="false">SUMPRODUCT(($C$6276:$C$6285&lt;C6277)*$C$6265:$C$6274)</f>
        <v>2082.02672035765</v>
      </c>
    </row>
    <row r="6289" customFormat="false" ht="15" hidden="false" customHeight="false" outlineLevel="0" collapsed="false">
      <c r="A6289" s="3" t="s">
        <v>558</v>
      </c>
      <c r="C6289" s="16" t="n">
        <f aca="false">SUMPRODUCT(($C$6276:$C$6285&lt;C6278)*$C$6265:$C$6274)</f>
        <v>2082.02672035765</v>
      </c>
    </row>
    <row r="6290" customFormat="false" ht="15" hidden="false" customHeight="false" outlineLevel="0" collapsed="false">
      <c r="A6290" s="3" t="s">
        <v>559</v>
      </c>
      <c r="C6290" s="16" t="n">
        <f aca="false">SUMPRODUCT(($C$6276:$C$6285&lt;C6279)*$C$6265:$C$6274)</f>
        <v>0</v>
      </c>
    </row>
    <row r="6291" customFormat="false" ht="15" hidden="false" customHeight="false" outlineLevel="0" collapsed="false">
      <c r="A6291" s="3" t="s">
        <v>560</v>
      </c>
      <c r="C6291" s="16" t="n">
        <f aca="false">SUMPRODUCT(($C$6276:$C$6285&lt;C6280)*$C$6265:$C$6274)</f>
        <v>0</v>
      </c>
    </row>
    <row r="6292" customFormat="false" ht="15" hidden="false" customHeight="false" outlineLevel="0" collapsed="false">
      <c r="A6292" s="3" t="s">
        <v>561</v>
      </c>
      <c r="C6292" s="16" t="n">
        <f aca="false">SUMPRODUCT(($C$6276:$C$6285&lt;C6281)*$C$6265:$C$6274)</f>
        <v>0</v>
      </c>
    </row>
    <row r="6293" customFormat="false" ht="15" hidden="false" customHeight="false" outlineLevel="0" collapsed="false">
      <c r="A6293" s="3" t="s">
        <v>562</v>
      </c>
      <c r="C6293" s="16" t="n">
        <f aca="false">SUMPRODUCT(($C$6276:$C$6285&lt;C6282)*$C$6265:$C$6274)</f>
        <v>0</v>
      </c>
    </row>
    <row r="6294" customFormat="false" ht="15" hidden="false" customHeight="false" outlineLevel="0" collapsed="false">
      <c r="A6294" s="3" t="s">
        <v>563</v>
      </c>
      <c r="C6294" s="16" t="n">
        <f aca="false">SUMPRODUCT(($C$6276:$C$6285&lt;C6283)*$C$6265:$C$6274)</f>
        <v>0</v>
      </c>
    </row>
    <row r="6295" customFormat="false" ht="15" hidden="false" customHeight="false" outlineLevel="0" collapsed="false">
      <c r="A6295" s="3" t="s">
        <v>564</v>
      </c>
      <c r="C6295" s="16" t="n">
        <f aca="false">SUMPRODUCT(($C$6276:$C$6285&lt;C6284)*$C$6265:$C$6274)</f>
        <v>0</v>
      </c>
    </row>
    <row r="6296" customFormat="false" ht="15" hidden="false" customHeight="false" outlineLevel="0" collapsed="false">
      <c r="A6296" s="3" t="s">
        <v>565</v>
      </c>
      <c r="C6296" s="16" t="n">
        <f aca="false">SUMPRODUCT(($C$6276:$C$6285&lt;C6285)*$C$6265:$C$6274)</f>
        <v>2002.08821135765</v>
      </c>
    </row>
    <row r="6297" customFormat="false" ht="15" hidden="false" customHeight="false" outlineLevel="0" collapsed="false">
      <c r="A6297" s="24" t="s">
        <v>573</v>
      </c>
      <c r="B6297" s="25"/>
      <c r="C6297" s="25"/>
      <c r="D6297" s="25"/>
      <c r="E6297" s="25"/>
      <c r="F6297" s="25"/>
      <c r="G6297" s="25"/>
      <c r="H6297" s="25"/>
      <c r="I6297" s="25"/>
      <c r="J6297" s="25"/>
      <c r="K6297" s="25"/>
    </row>
    <row r="6298" customFormat="false" ht="15" hidden="false" customHeight="false" outlineLevel="0" collapsed="false">
      <c r="A6298" s="3" t="s">
        <v>556</v>
      </c>
      <c r="C6298" s="16" t="n">
        <f aca="false">SUMPRODUCT(($C$6276:$C$6285=C6276)*$C$6265:$C$6274)</f>
        <v>0</v>
      </c>
    </row>
    <row r="6299" customFormat="false" ht="15" hidden="false" customHeight="false" outlineLevel="0" collapsed="false">
      <c r="A6299" s="3" t="s">
        <v>557</v>
      </c>
      <c r="C6299" s="16" t="n">
        <f aca="false">SUMPRODUCT(($C$6276:$C$6285=C6277)*$C$6265:$C$6274)</f>
        <v>0</v>
      </c>
    </row>
    <row r="6300" customFormat="false" ht="15" hidden="false" customHeight="false" outlineLevel="0" collapsed="false">
      <c r="A6300" s="3" t="s">
        <v>558</v>
      </c>
      <c r="C6300" s="16" t="n">
        <f aca="false">SUMPRODUCT(($C$6276:$C$6285=C6278)*$C$6265:$C$6274)</f>
        <v>0</v>
      </c>
    </row>
    <row r="6301" customFormat="false" ht="15" hidden="false" customHeight="false" outlineLevel="0" collapsed="false">
      <c r="A6301" s="3" t="s">
        <v>559</v>
      </c>
      <c r="C6301" s="16" t="n">
        <f aca="false">SUMPRODUCT(($C$6276:$C$6285=C6279)*$C$6265:$C$6274)</f>
        <v>2002.08821135765</v>
      </c>
    </row>
    <row r="6302" customFormat="false" ht="15" hidden="false" customHeight="false" outlineLevel="0" collapsed="false">
      <c r="A6302" s="3" t="s">
        <v>560</v>
      </c>
      <c r="C6302" s="16" t="n">
        <f aca="false">SUMPRODUCT(($C$6276:$C$6285=C6280)*$C$6265:$C$6274)</f>
        <v>2002.08821135765</v>
      </c>
    </row>
    <row r="6303" customFormat="false" ht="15" hidden="false" customHeight="false" outlineLevel="0" collapsed="false">
      <c r="A6303" s="3" t="s">
        <v>561</v>
      </c>
      <c r="C6303" s="16" t="n">
        <f aca="false">SUMPRODUCT(($C$6276:$C$6285=C6281)*$C$6265:$C$6274)</f>
        <v>2002.08821135765</v>
      </c>
    </row>
    <row r="6304" customFormat="false" ht="15" hidden="false" customHeight="false" outlineLevel="0" collapsed="false">
      <c r="A6304" s="3" t="s">
        <v>562</v>
      </c>
      <c r="C6304" s="16" t="n">
        <f aca="false">SUMPRODUCT(($C$6276:$C$6285=C6282)*$C$6265:$C$6274)</f>
        <v>2002.08821135765</v>
      </c>
    </row>
    <row r="6305" customFormat="false" ht="15" hidden="false" customHeight="false" outlineLevel="0" collapsed="false">
      <c r="A6305" s="3" t="s">
        <v>563</v>
      </c>
      <c r="C6305" s="16" t="n">
        <f aca="false">SUMPRODUCT(($C$6276:$C$6285=C6283)*$C$6265:$C$6274)</f>
        <v>2002.08821135765</v>
      </c>
    </row>
    <row r="6306" customFormat="false" ht="15" hidden="false" customHeight="false" outlineLevel="0" collapsed="false">
      <c r="A6306" s="3" t="s">
        <v>564</v>
      </c>
      <c r="C6306" s="16" t="n">
        <f aca="false">SUMPRODUCT(($C$6276:$C$6285=C6284)*$C$6265:$C$6274)</f>
        <v>2002.08821135765</v>
      </c>
    </row>
    <row r="6307" customFormat="false" ht="15" hidden="false" customHeight="false" outlineLevel="0" collapsed="false">
      <c r="A6307" s="3" t="s">
        <v>565</v>
      </c>
      <c r="C6307" s="16" t="n">
        <f aca="false">SUMPRODUCT(($C$6276:$C$6285=C6285)*$C$6265:$C$6274)</f>
        <v>79.938509</v>
      </c>
    </row>
    <row r="6308" customFormat="false" ht="15" hidden="false" customHeight="false" outlineLevel="0" collapsed="false">
      <c r="A6308" s="24" t="s">
        <v>574</v>
      </c>
      <c r="B6308" s="25"/>
      <c r="C6308" s="25"/>
      <c r="D6308" s="25"/>
      <c r="E6308" s="25"/>
      <c r="F6308" s="25"/>
      <c r="G6308" s="25"/>
      <c r="H6308" s="25"/>
      <c r="I6308" s="25"/>
      <c r="J6308" s="25"/>
      <c r="K6308" s="25"/>
    </row>
    <row r="6309" customFormat="false" ht="15" hidden="false" customHeight="false" outlineLevel="0" collapsed="false">
      <c r="A6309" s="3" t="s">
        <v>556</v>
      </c>
      <c r="C6309" s="16" t="n">
        <f aca="false">IF(C6298=0,0,C6265/C6298*MAX(0,MIN(C6298,$C$6208-SUM($C$6243:$C$6252)-C6287)))</f>
        <v>0</v>
      </c>
    </row>
    <row r="6310" customFormat="false" ht="15" hidden="false" customHeight="false" outlineLevel="0" collapsed="false">
      <c r="A6310" s="3" t="s">
        <v>557</v>
      </c>
      <c r="C6310" s="16" t="n">
        <f aca="false">IF(C6299=0,0,C6266/C6299*MAX(0,MIN(C6299,$C$6208-SUM($C$6243:$C$6252)-C6288)))</f>
        <v>0</v>
      </c>
    </row>
    <row r="6311" customFormat="false" ht="15" hidden="false" customHeight="false" outlineLevel="0" collapsed="false">
      <c r="A6311" s="3" t="s">
        <v>558</v>
      </c>
      <c r="C6311" s="16" t="n">
        <f aca="false">IF(C6300=0,0,C6267/C6300*MAX(0,MIN(C6300,$C$6208-SUM($C$6243:$C$6252)-C6289)))</f>
        <v>0</v>
      </c>
    </row>
    <row r="6312" customFormat="false" ht="15" hidden="false" customHeight="false" outlineLevel="0" collapsed="false">
      <c r="A6312" s="3" t="s">
        <v>559</v>
      </c>
      <c r="C6312" s="16" t="n">
        <f aca="false">IF(C6301=0,0,C6268/C6301*MAX(0,MIN(C6301,$C$6208-SUM($C$6243:$C$6252)-C6290)))</f>
        <v>0</v>
      </c>
    </row>
    <row r="6313" customFormat="false" ht="15" hidden="false" customHeight="false" outlineLevel="0" collapsed="false">
      <c r="A6313" s="3" t="s">
        <v>560</v>
      </c>
      <c r="C6313" s="16" t="n">
        <f aca="false">IF(C6302=0,0,C6269/C6302*MAX(0,MIN(C6302,$C$6208-SUM($C$6243:$C$6252)-C6291)))</f>
        <v>424.04758635765</v>
      </c>
    </row>
    <row r="6314" customFormat="false" ht="15" hidden="false" customHeight="false" outlineLevel="0" collapsed="false">
      <c r="A6314" s="3" t="s">
        <v>561</v>
      </c>
      <c r="C6314" s="16" t="n">
        <f aca="false">IF(C6303=0,0,C6270/C6303*MAX(0,MIN(C6303,$C$6208-SUM($C$6243:$C$6252)-C6292)))</f>
        <v>357.2625</v>
      </c>
    </row>
    <row r="6315" customFormat="false" ht="15" hidden="false" customHeight="false" outlineLevel="0" collapsed="false">
      <c r="A6315" s="3" t="s">
        <v>562</v>
      </c>
      <c r="C6315" s="16" t="n">
        <f aca="false">IF(C6304=0,0,C6271/C6304*MAX(0,MIN(C6304,$C$6208-SUM($C$6243:$C$6252)-C6293)))</f>
        <v>562.203125</v>
      </c>
    </row>
    <row r="6316" customFormat="false" ht="15" hidden="false" customHeight="false" outlineLevel="0" collapsed="false">
      <c r="A6316" s="3" t="s">
        <v>563</v>
      </c>
      <c r="C6316" s="16" t="n">
        <f aca="false">IF(C6305=0,0,C6272/C6305*MAX(0,MIN(C6305,$C$6208-SUM($C$6243:$C$6252)-C6294)))</f>
        <v>353.98125</v>
      </c>
    </row>
    <row r="6317" customFormat="false" ht="15" hidden="false" customHeight="false" outlineLevel="0" collapsed="false">
      <c r="A6317" s="3" t="s">
        <v>564</v>
      </c>
      <c r="C6317" s="16" t="n">
        <f aca="false">IF(C6306=0,0,C6273/C6306*MAX(0,MIN(C6306,$C$6208-SUM($C$6243:$C$6252)-C6295)))</f>
        <v>304.59375</v>
      </c>
    </row>
    <row r="6318" customFormat="false" ht="15" hidden="false" customHeight="false" outlineLevel="0" collapsed="false">
      <c r="A6318" s="3" t="s">
        <v>565</v>
      </c>
      <c r="C6318" s="16" t="n">
        <f aca="false">IF(C6307=0,0,C6274/C6307*MAX(0,MIN(C6307,$C$6208-SUM($C$6243:$C$6252)-C6296)))</f>
        <v>79.938509</v>
      </c>
    </row>
    <row r="6319" customFormat="false" ht="15" hidden="false" customHeight="false" outlineLevel="0" collapsed="false">
      <c r="A6319" s="24" t="s">
        <v>575</v>
      </c>
      <c r="B6319" s="25"/>
      <c r="C6319" s="25"/>
      <c r="D6319" s="25"/>
      <c r="E6319" s="25"/>
      <c r="F6319" s="25"/>
      <c r="G6319" s="25"/>
      <c r="H6319" s="25"/>
      <c r="I6319" s="25"/>
      <c r="J6319" s="25"/>
      <c r="K6319" s="25"/>
    </row>
    <row r="6320" customFormat="false" ht="15" hidden="false" customHeight="false" outlineLevel="0" collapsed="false">
      <c r="A6320" s="2" t="s">
        <v>556</v>
      </c>
      <c r="C6320" s="17" t="n">
        <f aca="false">C6243+C6309</f>
        <v>402.29</v>
      </c>
    </row>
    <row r="6321" customFormat="false" ht="15" hidden="false" customHeight="false" outlineLevel="0" collapsed="false">
      <c r="A6321" s="2" t="s">
        <v>557</v>
      </c>
      <c r="C6321" s="17" t="n">
        <f aca="false">C6244+C6310</f>
        <v>91.30725</v>
      </c>
    </row>
    <row r="6322" customFormat="false" ht="15" hidden="false" customHeight="false" outlineLevel="0" collapsed="false">
      <c r="A6322" s="2" t="s">
        <v>558</v>
      </c>
      <c r="C6322" s="17" t="n">
        <f aca="false">C6245+C6311</f>
        <v>58.3715961</v>
      </c>
    </row>
    <row r="6323" customFormat="false" ht="15" hidden="false" customHeight="false" outlineLevel="0" collapsed="false">
      <c r="A6323" s="2" t="s">
        <v>559</v>
      </c>
      <c r="C6323" s="17" t="n">
        <f aca="false">C6246+C6312</f>
        <v>0</v>
      </c>
    </row>
    <row r="6324" customFormat="false" ht="15" hidden="false" customHeight="false" outlineLevel="0" collapsed="false">
      <c r="A6324" s="2" t="s">
        <v>560</v>
      </c>
      <c r="C6324" s="17" t="n">
        <f aca="false">C6247+C6313</f>
        <v>424.04758635765</v>
      </c>
    </row>
    <row r="6325" customFormat="false" ht="15" hidden="false" customHeight="false" outlineLevel="0" collapsed="false">
      <c r="A6325" s="2" t="s">
        <v>561</v>
      </c>
      <c r="C6325" s="17" t="n">
        <f aca="false">C6248+C6314</f>
        <v>357.2625</v>
      </c>
    </row>
    <row r="6326" customFormat="false" ht="15" hidden="false" customHeight="false" outlineLevel="0" collapsed="false">
      <c r="A6326" s="2" t="s">
        <v>562</v>
      </c>
      <c r="C6326" s="17" t="n">
        <f aca="false">C6249+C6315</f>
        <v>562.203125</v>
      </c>
    </row>
    <row r="6327" customFormat="false" ht="15" hidden="false" customHeight="false" outlineLevel="0" collapsed="false">
      <c r="A6327" s="2" t="s">
        <v>563</v>
      </c>
      <c r="C6327" s="17" t="n">
        <f aca="false">C6250+C6316</f>
        <v>353.98125</v>
      </c>
    </row>
    <row r="6328" customFormat="false" ht="15" hidden="false" customHeight="false" outlineLevel="0" collapsed="false">
      <c r="A6328" s="2" t="s">
        <v>564</v>
      </c>
      <c r="C6328" s="17" t="n">
        <f aca="false">C6251+C6317</f>
        <v>304.59375</v>
      </c>
    </row>
    <row r="6329" customFormat="false" ht="15" hidden="false" customHeight="false" outlineLevel="0" collapsed="false">
      <c r="A6329" s="2" t="s">
        <v>565</v>
      </c>
      <c r="C6329" s="17" t="n">
        <f aca="false">C6252+C6318</f>
        <v>79.938509</v>
      </c>
    </row>
    <row r="6330" customFormat="false" ht="15" hidden="false" customHeight="false" outlineLevel="0" collapsed="false">
      <c r="A6330" s="24" t="s">
        <v>576</v>
      </c>
      <c r="B6330" s="25"/>
      <c r="C6330" s="25"/>
      <c r="D6330" s="25"/>
      <c r="E6330" s="25"/>
      <c r="F6330" s="25"/>
      <c r="G6330" s="25"/>
      <c r="H6330" s="25"/>
      <c r="I6330" s="25"/>
      <c r="J6330" s="25"/>
      <c r="K6330" s="25"/>
    </row>
    <row r="6331" customFormat="false" ht="15" hidden="false" customHeight="false" outlineLevel="0" collapsed="false">
      <c r="A6331" s="3" t="s">
        <v>556</v>
      </c>
      <c r="C6331" s="22" t="n">
        <f aca="false">IF(C6210=0,1,C6320/C6210)</f>
        <v>1</v>
      </c>
    </row>
    <row r="6332" customFormat="false" ht="15" hidden="false" customHeight="false" outlineLevel="0" collapsed="false">
      <c r="A6332" s="3" t="s">
        <v>557</v>
      </c>
      <c r="C6332" s="22" t="n">
        <f aca="false">IF(C6211=0,1,C6321/C6211)</f>
        <v>1</v>
      </c>
    </row>
    <row r="6333" customFormat="false" ht="15" hidden="false" customHeight="false" outlineLevel="0" collapsed="false">
      <c r="A6333" s="3" t="s">
        <v>558</v>
      </c>
      <c r="C6333" s="22" t="n">
        <f aca="false">IF(C6212=0,1,C6322/C6212)</f>
        <v>1</v>
      </c>
    </row>
    <row r="6334" customFormat="false" ht="15" hidden="false" customHeight="false" outlineLevel="0" collapsed="false">
      <c r="A6334" s="3" t="s">
        <v>559</v>
      </c>
      <c r="C6334" s="22" t="n">
        <f aca="false">IF(C6213=0,1,C6323/C6213)</f>
        <v>1</v>
      </c>
    </row>
    <row r="6335" customFormat="false" ht="15" hidden="false" customHeight="false" outlineLevel="0" collapsed="false">
      <c r="A6335" s="3" t="s">
        <v>560</v>
      </c>
      <c r="C6335" s="22" t="n">
        <f aca="false">IF(C6214=0,1,C6324/C6214)</f>
        <v>1</v>
      </c>
    </row>
    <row r="6336" customFormat="false" ht="15" hidden="false" customHeight="false" outlineLevel="0" collapsed="false">
      <c r="A6336" s="3" t="s">
        <v>561</v>
      </c>
      <c r="C6336" s="22" t="n">
        <f aca="false">IF(C6215=0,1,C6325/C6215)</f>
        <v>1</v>
      </c>
    </row>
    <row r="6337" customFormat="false" ht="15" hidden="false" customHeight="false" outlineLevel="0" collapsed="false">
      <c r="A6337" s="3" t="s">
        <v>562</v>
      </c>
      <c r="C6337" s="22" t="n">
        <f aca="false">IF(C6216=0,1,C6326/C6216)</f>
        <v>1</v>
      </c>
    </row>
    <row r="6338" customFormat="false" ht="15" hidden="false" customHeight="false" outlineLevel="0" collapsed="false">
      <c r="A6338" s="3" t="s">
        <v>563</v>
      </c>
      <c r="C6338" s="22" t="n">
        <f aca="false">IF(C6217=0,1,C6327/C6217)</f>
        <v>1</v>
      </c>
    </row>
    <row r="6339" customFormat="false" ht="15" hidden="false" customHeight="false" outlineLevel="0" collapsed="false">
      <c r="A6339" s="3" t="s">
        <v>564</v>
      </c>
      <c r="C6339" s="22" t="n">
        <f aca="false">IF(C6218=0,1,C6328/C6218)</f>
        <v>1</v>
      </c>
    </row>
    <row r="6340" customFormat="false" ht="15" hidden="false" customHeight="false" outlineLevel="0" collapsed="false">
      <c r="A6340" s="3" t="s">
        <v>565</v>
      </c>
      <c r="C6340" s="22" t="n">
        <f aca="false">IF(C6219=0,1,C6329/C6219)</f>
        <v>1</v>
      </c>
    </row>
    <row r="6341" customFormat="false" ht="15" hidden="false" customHeight="false" outlineLevel="0" collapsed="false">
      <c r="A6341" s="24" t="s">
        <v>577</v>
      </c>
      <c r="B6341" s="25"/>
      <c r="C6341" s="25"/>
      <c r="D6341" s="25"/>
      <c r="E6341" s="25"/>
      <c r="F6341" s="25"/>
      <c r="G6341" s="25"/>
      <c r="H6341" s="25"/>
      <c r="I6341" s="25"/>
      <c r="J6341" s="25"/>
      <c r="K6341" s="25"/>
    </row>
    <row r="6342" customFormat="false" ht="15" hidden="false" customHeight="false" outlineLevel="0" collapsed="false">
      <c r="A6342" s="3" t="s">
        <v>556</v>
      </c>
      <c r="C6342" s="16" t="n">
        <f aca="false">C6210-C6320</f>
        <v>0</v>
      </c>
    </row>
    <row r="6343" customFormat="false" ht="15" hidden="false" customHeight="false" outlineLevel="0" collapsed="false">
      <c r="A6343" s="3" t="s">
        <v>557</v>
      </c>
      <c r="C6343" s="16" t="n">
        <f aca="false">C6211-C6321</f>
        <v>0</v>
      </c>
    </row>
    <row r="6344" customFormat="false" ht="15" hidden="false" customHeight="false" outlineLevel="0" collapsed="false">
      <c r="A6344" s="3" t="s">
        <v>558</v>
      </c>
      <c r="C6344" s="16" t="n">
        <f aca="false">C6212-C6322</f>
        <v>0</v>
      </c>
    </row>
    <row r="6345" customFormat="false" ht="15" hidden="false" customHeight="false" outlineLevel="0" collapsed="false">
      <c r="A6345" s="3" t="s">
        <v>559</v>
      </c>
      <c r="C6345" s="16" t="n">
        <f aca="false">C6213-C6323</f>
        <v>0</v>
      </c>
    </row>
    <row r="6346" customFormat="false" ht="15" hidden="false" customHeight="false" outlineLevel="0" collapsed="false">
      <c r="A6346" s="3" t="s">
        <v>560</v>
      </c>
      <c r="C6346" s="16" t="n">
        <f aca="false">C6214-C6324</f>
        <v>0</v>
      </c>
    </row>
    <row r="6347" customFormat="false" ht="15" hidden="false" customHeight="false" outlineLevel="0" collapsed="false">
      <c r="A6347" s="3" t="s">
        <v>561</v>
      </c>
      <c r="C6347" s="16" t="n">
        <f aca="false">C6215-C6325</f>
        <v>0</v>
      </c>
    </row>
    <row r="6348" customFormat="false" ht="15" hidden="false" customHeight="false" outlineLevel="0" collapsed="false">
      <c r="A6348" s="3" t="s">
        <v>562</v>
      </c>
      <c r="C6348" s="16" t="n">
        <f aca="false">C6216-C6326</f>
        <v>0</v>
      </c>
    </row>
    <row r="6349" customFormat="false" ht="15" hidden="false" customHeight="false" outlineLevel="0" collapsed="false">
      <c r="A6349" s="3" t="s">
        <v>563</v>
      </c>
      <c r="C6349" s="16" t="n">
        <f aca="false">C6217-C6327</f>
        <v>0</v>
      </c>
    </row>
    <row r="6350" customFormat="false" ht="15" hidden="false" customHeight="false" outlineLevel="0" collapsed="false">
      <c r="A6350" s="3" t="s">
        <v>564</v>
      </c>
      <c r="C6350" s="16" t="n">
        <f aca="false">C6218-C6328</f>
        <v>0</v>
      </c>
    </row>
    <row r="6351" customFormat="false" ht="15" hidden="false" customHeight="false" outlineLevel="0" collapsed="false">
      <c r="A6351" s="3" t="s">
        <v>565</v>
      </c>
      <c r="C6351" s="16" t="n">
        <f aca="false">C6219-C6329</f>
        <v>0</v>
      </c>
    </row>
    <row r="6352" customFormat="false" ht="15" hidden="false" customHeight="false" outlineLevel="0" collapsed="false">
      <c r="A6352" s="24" t="s">
        <v>578</v>
      </c>
      <c r="B6352" s="25"/>
      <c r="C6352" s="25"/>
      <c r="D6352" s="25"/>
      <c r="E6352" s="25"/>
      <c r="F6352" s="25"/>
      <c r="G6352" s="25"/>
      <c r="H6352" s="25"/>
      <c r="I6352" s="25"/>
      <c r="J6352" s="25"/>
      <c r="K6352" s="25"/>
    </row>
    <row r="6353" customFormat="false" ht="15" hidden="false" customHeight="false" outlineLevel="0" collapsed="false">
      <c r="A6353" s="3" t="s">
        <v>556</v>
      </c>
      <c r="C6353" s="22" t="n">
        <f aca="false">IF(C6210=0,0,C6342/C6210)</f>
        <v>0</v>
      </c>
    </row>
    <row r="6354" customFormat="false" ht="15" hidden="false" customHeight="false" outlineLevel="0" collapsed="false">
      <c r="A6354" s="3" t="s">
        <v>557</v>
      </c>
      <c r="C6354" s="22" t="n">
        <f aca="false">IF(C6211=0,0,C6343/C6211)</f>
        <v>0</v>
      </c>
    </row>
    <row r="6355" customFormat="false" ht="15" hidden="false" customHeight="false" outlineLevel="0" collapsed="false">
      <c r="A6355" s="3" t="s">
        <v>558</v>
      </c>
      <c r="C6355" s="22" t="n">
        <f aca="false">IF(C6212=0,0,C6344/C6212)</f>
        <v>0</v>
      </c>
    </row>
    <row r="6356" customFormat="false" ht="15" hidden="false" customHeight="false" outlineLevel="0" collapsed="false">
      <c r="A6356" s="3" t="s">
        <v>559</v>
      </c>
      <c r="C6356" s="22" t="n">
        <f aca="false">IF(C6213=0,0,C6345/C6213)</f>
        <v>0</v>
      </c>
    </row>
    <row r="6357" customFormat="false" ht="15" hidden="false" customHeight="false" outlineLevel="0" collapsed="false">
      <c r="A6357" s="3" t="s">
        <v>560</v>
      </c>
      <c r="C6357" s="22" t="n">
        <f aca="false">IF(C6214=0,0,C6346/C6214)</f>
        <v>0</v>
      </c>
    </row>
    <row r="6358" customFormat="false" ht="15" hidden="false" customHeight="false" outlineLevel="0" collapsed="false">
      <c r="A6358" s="3" t="s">
        <v>561</v>
      </c>
      <c r="C6358" s="22" t="n">
        <f aca="false">IF(C6215=0,0,C6347/C6215)</f>
        <v>0</v>
      </c>
    </row>
    <row r="6359" customFormat="false" ht="15" hidden="false" customHeight="false" outlineLevel="0" collapsed="false">
      <c r="A6359" s="3" t="s">
        <v>562</v>
      </c>
      <c r="C6359" s="22" t="n">
        <f aca="false">IF(C6216=0,0,C6348/C6216)</f>
        <v>0</v>
      </c>
    </row>
    <row r="6360" customFormat="false" ht="15" hidden="false" customHeight="false" outlineLevel="0" collapsed="false">
      <c r="A6360" s="3" t="s">
        <v>563</v>
      </c>
      <c r="C6360" s="22" t="n">
        <f aca="false">IF(C6217=0,0,C6349/C6217)</f>
        <v>0</v>
      </c>
    </row>
    <row r="6361" customFormat="false" ht="15" hidden="false" customHeight="false" outlineLevel="0" collapsed="false">
      <c r="A6361" s="3" t="s">
        <v>564</v>
      </c>
      <c r="C6361" s="22" t="n">
        <f aca="false">IF(C6218=0,0,C6350/C6218)</f>
        <v>0</v>
      </c>
    </row>
    <row r="6362" customFormat="false" ht="15" hidden="false" customHeight="false" outlineLevel="0" collapsed="false">
      <c r="A6362" s="3" t="s">
        <v>565</v>
      </c>
      <c r="C6362" s="22" t="n">
        <f aca="false">IF(C6219=0,0,C6351/C6219)</f>
        <v>0</v>
      </c>
    </row>
    <row r="6363" customFormat="false" ht="15" hidden="false" customHeight="false" outlineLevel="0" collapsed="false">
      <c r="A6363" s="2" t="s">
        <v>579</v>
      </c>
      <c r="C6363" s="17" t="n">
        <f aca="false">MAX(0,$C$6208-SUM($C$6243:$C$6252)-SUM($C$6265:$C$6274))</f>
        <v>499.481615942349</v>
      </c>
    </row>
    <row r="6364" customFormat="false" ht="15" hidden="false" customHeight="false" outlineLevel="0" collapsed="false">
      <c r="A6364" s="3" t="s">
        <v>580</v>
      </c>
      <c r="C6364" s="16" t="n">
        <f aca="false">SUM($C$6320:$C$6329)+C6363+C6207-C6206</f>
        <v>0</v>
      </c>
    </row>
    <row r="6366" customFormat="false" ht="15" hidden="false" customHeight="false" outlineLevel="0" collapsed="false">
      <c r="A6366" s="24" t="s">
        <v>583</v>
      </c>
      <c r="B6366" s="25"/>
      <c r="C6366" s="25"/>
      <c r="D6366" s="25"/>
      <c r="E6366" s="25"/>
      <c r="F6366" s="25"/>
      <c r="G6366" s="25"/>
      <c r="H6366" s="25"/>
      <c r="I6366" s="25"/>
      <c r="J6366" s="25"/>
      <c r="K6366" s="25"/>
    </row>
    <row r="6367" customFormat="false" ht="15" hidden="false" customHeight="false" outlineLevel="0" collapsed="false">
      <c r="A6367" s="3" t="s">
        <v>584</v>
      </c>
      <c r="C6367" s="27" t="n">
        <f aca="false">Assumptions!$C$34</f>
        <v>1</v>
      </c>
    </row>
    <row r="6368" customFormat="false" ht="15" hidden="false" customHeight="false" outlineLevel="0" collapsed="false">
      <c r="A6368" s="3" t="s">
        <v>585</v>
      </c>
      <c r="C6368" s="29" t="n">
        <f aca="false">Assumptions!$C$35</f>
        <v>100</v>
      </c>
    </row>
    <row r="6369" customFormat="false" ht="15" hidden="false" customHeight="false" outlineLevel="0" collapsed="false">
      <c r="A6369" s="3" t="s">
        <v>586</v>
      </c>
      <c r="C6369" s="40" t="n">
        <f aca="false">Assumptions!$C$36</f>
        <v>98</v>
      </c>
    </row>
    <row r="6370" customFormat="false" ht="15" hidden="false" customHeight="false" outlineLevel="0" collapsed="false">
      <c r="A6370" s="3" t="s">
        <v>587</v>
      </c>
      <c r="C6370" s="16" t="n">
        <f aca="false">C6368*C6369/100*(1+Assumptions!$C$37)</f>
        <v>98.49</v>
      </c>
    </row>
    <row r="6371" customFormat="false" ht="15" hidden="false" customHeight="false" outlineLevel="0" collapsed="false">
      <c r="A6371" s="3" t="s">
        <v>588</v>
      </c>
      <c r="C6371" s="27" t="n">
        <f aca="false">Assumptions!$C$38</f>
        <v>3</v>
      </c>
    </row>
    <row r="6372" customFormat="false" ht="15" hidden="false" customHeight="false" outlineLevel="0" collapsed="false">
      <c r="A6372" s="3" t="s">
        <v>589</v>
      </c>
      <c r="C6372" s="21" t="n">
        <f aca="false">IF(C6199=1,SUMPRODUCT($G$6135:$K$6135,$G$5909:$K$5909),0)</f>
        <v>2</v>
      </c>
    </row>
    <row r="6373" customFormat="false" ht="15" hidden="false" customHeight="false" outlineLevel="0" collapsed="false">
      <c r="A6373" s="3" t="s">
        <v>590</v>
      </c>
      <c r="C6373" s="22" t="n">
        <f aca="false">IFERROR(C6368/CHOOSE(C6367,SUMPRODUCT($G$6198:$K$6198,$G$5955:$K$5955),SUMPRODUCT($G$6198:$K$6198,$G$5968:$K$5968),SUMPRODUCT($G$6198:$K$6198,$G$5981:$K$5981),SUMPRODUCT($G$6198:$K$6198,$G$5994:$K$5994),SUMPRODUCT($G$6198:$K$6198,$G$6007:$K$6007),SUMPRODUCT($G$6198:$K$6198,$G$6020:$K$6020),SUMPRODUCT($G$6198:$K$6198,$G$6033:$K$6033),SUMPRODUCT($G$6198:$K$6198,$G$6046:$K$6046),SUMPRODUCT($G$6198:$K$6198,$G$6059:$K$6059),SUMPRODUCT($G$6198:$K$6198,$G$6072:$K$6072)),0)</f>
        <v>0.255102040816327</v>
      </c>
    </row>
    <row r="6374" customFormat="false" ht="15" hidden="false" customHeight="false" outlineLevel="0" collapsed="false">
      <c r="A6374" s="3" t="s">
        <v>591</v>
      </c>
      <c r="C6374" s="16" t="n">
        <f aca="false">CHOOSE(C6367,C6320,C6321,C6322,C6323,C6324,C6325,C6326,C6327,C6328,C6329)*C6373</f>
        <v>102.625</v>
      </c>
    </row>
    <row r="6375" customFormat="false" ht="15" hidden="false" customHeight="false" outlineLevel="0" collapsed="false">
      <c r="A6375" s="3" t="s">
        <v>592</v>
      </c>
      <c r="C6375" s="22" t="n">
        <f aca="false">CHOOSE(C6367,C6331,C6332,C6333,C6334,C6335,C6336,C6337,C6338,C6339,C6340)</f>
        <v>1</v>
      </c>
    </row>
    <row r="6376" customFormat="false" ht="15" hidden="false" customHeight="false" outlineLevel="0" collapsed="false">
      <c r="A6376" s="3" t="s">
        <v>593</v>
      </c>
      <c r="C6376" s="21" t="n">
        <f aca="false">IF(C6199=1,C6372,C6371)</f>
        <v>2</v>
      </c>
    </row>
    <row r="6377" customFormat="false" ht="15" hidden="false" customHeight="false" outlineLevel="0" collapsed="false">
      <c r="A6377" s="3" t="s">
        <v>594</v>
      </c>
      <c r="C6377" s="35" t="n">
        <f aca="false">CHOOSE($C$5901,Assumptions!$C$91,Assumptions!$C$110,Assumptions!$C$129)</f>
        <v>95</v>
      </c>
    </row>
    <row r="6378" customFormat="false" ht="15" hidden="false" customHeight="false" outlineLevel="0" collapsed="false">
      <c r="A6378" s="3" t="s">
        <v>595</v>
      </c>
      <c r="C6378" s="16" t="n">
        <f aca="false">INDEX($G$5918:$K$5918,C6371)*CHOOSE($C$5901,Assumptions!$C$90,Assumptions!$C$109,Assumptions!$C$128)+MAX(0,INDEX($G$6132:$K$6132,C6371))</f>
        <v>2323.957968387</v>
      </c>
    </row>
    <row r="6379" customFormat="false" ht="15" hidden="false" customHeight="false" outlineLevel="0" collapsed="false">
      <c r="A6379" s="24" t="s">
        <v>596</v>
      </c>
      <c r="B6379" s="25"/>
      <c r="C6379" s="25"/>
      <c r="D6379" s="25"/>
      <c r="E6379" s="25"/>
      <c r="F6379" s="25"/>
      <c r="G6379" s="25"/>
      <c r="H6379" s="25"/>
      <c r="I6379" s="25"/>
      <c r="J6379" s="25"/>
      <c r="K6379" s="25"/>
    </row>
    <row r="6380" customFormat="false" ht="15" hidden="false" customHeight="false" outlineLevel="0" collapsed="false">
      <c r="A6380" s="3" t="s">
        <v>556</v>
      </c>
      <c r="C6380" s="16" t="n">
        <f aca="false">INDEX($G$5955:$K$5955,C6371)</f>
        <v>388</v>
      </c>
    </row>
    <row r="6381" customFormat="false" ht="15" hidden="false" customHeight="false" outlineLevel="0" collapsed="false">
      <c r="A6381" s="3" t="s">
        <v>557</v>
      </c>
      <c r="C6381" s="16" t="n">
        <f aca="false">INDEX($G$5968:$K$5968,C6371)</f>
        <v>90</v>
      </c>
    </row>
    <row r="6382" customFormat="false" ht="15" hidden="false" customHeight="false" outlineLevel="0" collapsed="false">
      <c r="A6382" s="3" t="s">
        <v>558</v>
      </c>
      <c r="C6382" s="16" t="n">
        <f aca="false">INDEX($G$5981:$K$5981,C6371)</f>
        <v>57.324</v>
      </c>
    </row>
    <row r="6383" customFormat="false" ht="15" hidden="false" customHeight="false" outlineLevel="0" collapsed="false">
      <c r="A6383" s="3" t="s">
        <v>559</v>
      </c>
      <c r="C6383" s="16" t="n">
        <f aca="false">INDEX($G$5994:$K$5994,C6371)</f>
        <v>0</v>
      </c>
    </row>
    <row r="6384" customFormat="false" ht="15" hidden="false" customHeight="false" outlineLevel="0" collapsed="false">
      <c r="A6384" s="3" t="s">
        <v>560</v>
      </c>
      <c r="C6384" s="16" t="n">
        <f aca="false">INDEX($G$6007:$K$6007,C6371)</f>
        <v>419.901063357</v>
      </c>
    </row>
    <row r="6385" customFormat="false" ht="15" hidden="false" customHeight="false" outlineLevel="0" collapsed="false">
      <c r="A6385" s="3" t="s">
        <v>561</v>
      </c>
      <c r="C6385" s="16" t="n">
        <f aca="false">INDEX($G$6020:$K$6020,C6371)</f>
        <v>350</v>
      </c>
    </row>
    <row r="6386" customFormat="false" ht="15" hidden="false" customHeight="false" outlineLevel="0" collapsed="false">
      <c r="A6386" s="3" t="s">
        <v>562</v>
      </c>
      <c r="C6386" s="16" t="n">
        <f aca="false">INDEX($G$6033:$K$6033,C6371)</f>
        <v>550</v>
      </c>
    </row>
    <row r="6387" customFormat="false" ht="15" hidden="false" customHeight="false" outlineLevel="0" collapsed="false">
      <c r="A6387" s="3" t="s">
        <v>563</v>
      </c>
      <c r="C6387" s="16" t="n">
        <f aca="false">INDEX($G$6046:$K$6046,C6371)</f>
        <v>350</v>
      </c>
    </row>
    <row r="6388" customFormat="false" ht="15" hidden="false" customHeight="false" outlineLevel="0" collapsed="false">
      <c r="A6388" s="3" t="s">
        <v>564</v>
      </c>
      <c r="C6388" s="16" t="n">
        <f aca="false">INDEX($G$6059:$K$6059,C6371)</f>
        <v>300</v>
      </c>
    </row>
    <row r="6389" customFormat="false" ht="15" hidden="false" customHeight="false" outlineLevel="0" collapsed="false">
      <c r="A6389" s="3" t="s">
        <v>565</v>
      </c>
      <c r="C6389" s="16" t="n">
        <f aca="false">INDEX($G$6072:$K$6072,C6371)</f>
        <v>78.61</v>
      </c>
    </row>
    <row r="6390" customFormat="false" ht="15" hidden="false" customHeight="false" outlineLevel="0" collapsed="false">
      <c r="A6390" s="24" t="s">
        <v>566</v>
      </c>
      <c r="B6390" s="25"/>
      <c r="C6390" s="25"/>
      <c r="D6390" s="25"/>
      <c r="E6390" s="25"/>
      <c r="F6390" s="25"/>
      <c r="G6390" s="25"/>
      <c r="H6390" s="25"/>
      <c r="I6390" s="25"/>
      <c r="J6390" s="25"/>
      <c r="K6390" s="25"/>
    </row>
    <row r="6391" customFormat="false" ht="15" hidden="false" customHeight="false" outlineLevel="0" collapsed="false">
      <c r="A6391" s="3" t="s">
        <v>556</v>
      </c>
      <c r="C6391" s="27" t="n">
        <f aca="false">Assumptions!$M$57</f>
        <v>1</v>
      </c>
    </row>
    <row r="6392" customFormat="false" ht="15" hidden="false" customHeight="false" outlineLevel="0" collapsed="false">
      <c r="A6392" s="3" t="s">
        <v>557</v>
      </c>
      <c r="C6392" s="27" t="n">
        <f aca="false">Assumptions!$M$58</f>
        <v>1</v>
      </c>
    </row>
    <row r="6393" customFormat="false" ht="15" hidden="false" customHeight="false" outlineLevel="0" collapsed="false">
      <c r="A6393" s="3" t="s">
        <v>558</v>
      </c>
      <c r="C6393" s="27" t="n">
        <f aca="false">Assumptions!$M$59</f>
        <v>1</v>
      </c>
    </row>
    <row r="6394" customFormat="false" ht="15" hidden="false" customHeight="false" outlineLevel="0" collapsed="false">
      <c r="A6394" s="3" t="s">
        <v>559</v>
      </c>
      <c r="C6394" s="27" t="n">
        <f aca="false">Assumptions!$M$60</f>
        <v>2</v>
      </c>
    </row>
    <row r="6395" customFormat="false" ht="15" hidden="false" customHeight="false" outlineLevel="0" collapsed="false">
      <c r="A6395" s="3" t="s">
        <v>560</v>
      </c>
      <c r="C6395" s="27" t="n">
        <f aca="false">Assumptions!$M$61</f>
        <v>2</v>
      </c>
    </row>
    <row r="6396" customFormat="false" ht="15" hidden="false" customHeight="false" outlineLevel="0" collapsed="false">
      <c r="A6396" s="3" t="s">
        <v>561</v>
      </c>
      <c r="C6396" s="27" t="n">
        <f aca="false">Assumptions!$M$62</f>
        <v>2</v>
      </c>
    </row>
    <row r="6397" customFormat="false" ht="15" hidden="false" customHeight="false" outlineLevel="0" collapsed="false">
      <c r="A6397" s="3" t="s">
        <v>562</v>
      </c>
      <c r="C6397" s="27" t="n">
        <f aca="false">Assumptions!$M$63</f>
        <v>2</v>
      </c>
    </row>
    <row r="6398" customFormat="false" ht="15" hidden="false" customHeight="false" outlineLevel="0" collapsed="false">
      <c r="A6398" s="3" t="s">
        <v>563</v>
      </c>
      <c r="C6398" s="27" t="n">
        <f aca="false">Assumptions!$M$64</f>
        <v>2</v>
      </c>
    </row>
    <row r="6399" customFormat="false" ht="15" hidden="false" customHeight="false" outlineLevel="0" collapsed="false">
      <c r="A6399" s="3" t="s">
        <v>564</v>
      </c>
      <c r="C6399" s="27" t="n">
        <f aca="false">Assumptions!$M$65</f>
        <v>2</v>
      </c>
    </row>
    <row r="6400" customFormat="false" ht="15" hidden="false" customHeight="false" outlineLevel="0" collapsed="false">
      <c r="A6400" s="3" t="s">
        <v>565</v>
      </c>
      <c r="C6400" s="27" t="n">
        <f aca="false">Assumptions!$M$66</f>
        <v>3</v>
      </c>
    </row>
    <row r="6401" customFormat="false" ht="15" hidden="false" customHeight="false" outlineLevel="0" collapsed="false">
      <c r="A6401" s="24" t="s">
        <v>567</v>
      </c>
      <c r="B6401" s="25"/>
      <c r="C6401" s="25"/>
      <c r="D6401" s="25"/>
      <c r="E6401" s="25"/>
      <c r="F6401" s="25"/>
      <c r="G6401" s="25"/>
      <c r="H6401" s="25"/>
      <c r="I6401" s="25"/>
      <c r="J6401" s="25"/>
      <c r="K6401" s="25"/>
    </row>
    <row r="6402" customFormat="false" ht="15" hidden="false" customHeight="false" outlineLevel="0" collapsed="false">
      <c r="A6402" s="3" t="s">
        <v>556</v>
      </c>
      <c r="C6402" s="33" t="n">
        <f aca="false">Assumptions!$Q$57</f>
        <v>0.3</v>
      </c>
    </row>
    <row r="6403" customFormat="false" ht="15" hidden="false" customHeight="false" outlineLevel="0" collapsed="false">
      <c r="A6403" s="3" t="s">
        <v>557</v>
      </c>
      <c r="C6403" s="33" t="n">
        <f aca="false">Assumptions!$Q$58</f>
        <v>0.033</v>
      </c>
    </row>
    <row r="6404" customFormat="false" ht="15" hidden="false" customHeight="false" outlineLevel="0" collapsed="false">
      <c r="A6404" s="3" t="s">
        <v>558</v>
      </c>
      <c r="C6404" s="33" t="n">
        <f aca="false">Assumptions!$Q$59</f>
        <v>0.021</v>
      </c>
    </row>
    <row r="6405" customFormat="false" ht="15" hidden="false" customHeight="false" outlineLevel="0" collapsed="false">
      <c r="A6405" s="3" t="s">
        <v>559</v>
      </c>
      <c r="C6405" s="33" t="n">
        <f aca="false">Assumptions!$Q$60</f>
        <v>0</v>
      </c>
    </row>
    <row r="6406" customFormat="false" ht="15" hidden="false" customHeight="false" outlineLevel="0" collapsed="false">
      <c r="A6406" s="3" t="s">
        <v>560</v>
      </c>
      <c r="C6406" s="33" t="n">
        <f aca="false">Assumptions!$Q$61</f>
        <v>0</v>
      </c>
    </row>
    <row r="6407" customFormat="false" ht="15" hidden="false" customHeight="false" outlineLevel="0" collapsed="false">
      <c r="A6407" s="3" t="s">
        <v>561</v>
      </c>
      <c r="C6407" s="33" t="n">
        <f aca="false">Assumptions!$Q$62</f>
        <v>0</v>
      </c>
    </row>
    <row r="6408" customFormat="false" ht="15" hidden="false" customHeight="false" outlineLevel="0" collapsed="false">
      <c r="A6408" s="3" t="s">
        <v>562</v>
      </c>
      <c r="C6408" s="33" t="n">
        <f aca="false">Assumptions!$Q$63</f>
        <v>0</v>
      </c>
    </row>
    <row r="6409" customFormat="false" ht="15" hidden="false" customHeight="false" outlineLevel="0" collapsed="false">
      <c r="A6409" s="3" t="s">
        <v>563</v>
      </c>
      <c r="C6409" s="33" t="n">
        <f aca="false">Assumptions!$Q$64</f>
        <v>0</v>
      </c>
    </row>
    <row r="6410" customFormat="false" ht="15" hidden="false" customHeight="false" outlineLevel="0" collapsed="false">
      <c r="A6410" s="3" t="s">
        <v>564</v>
      </c>
      <c r="C6410" s="33" t="n">
        <f aca="false">Assumptions!$Q$65</f>
        <v>0</v>
      </c>
    </row>
    <row r="6411" customFormat="false" ht="15" hidden="false" customHeight="false" outlineLevel="0" collapsed="false">
      <c r="A6411" s="3" t="s">
        <v>565</v>
      </c>
      <c r="C6411" s="33" t="n">
        <f aca="false">Assumptions!$Q$66</f>
        <v>0</v>
      </c>
    </row>
    <row r="6412" customFormat="false" ht="15" hidden="false" customHeight="false" outlineLevel="0" collapsed="false">
      <c r="A6412" s="24" t="s">
        <v>568</v>
      </c>
      <c r="B6412" s="25"/>
      <c r="C6412" s="25"/>
      <c r="D6412" s="25"/>
      <c r="E6412" s="25"/>
      <c r="F6412" s="25"/>
      <c r="G6412" s="25"/>
      <c r="H6412" s="25"/>
      <c r="I6412" s="25"/>
      <c r="J6412" s="25"/>
      <c r="K6412" s="25"/>
    </row>
    <row r="6413" customFormat="false" ht="15" hidden="false" customHeight="false" outlineLevel="0" collapsed="false">
      <c r="A6413" s="3" t="s">
        <v>556</v>
      </c>
      <c r="C6413" s="16" t="n">
        <f aca="false">IF(C6402&gt;0,MIN(C6380,C6402*$C$6378),0)</f>
        <v>388</v>
      </c>
    </row>
    <row r="6414" customFormat="false" ht="15" hidden="false" customHeight="false" outlineLevel="0" collapsed="false">
      <c r="A6414" s="3" t="s">
        <v>557</v>
      </c>
      <c r="C6414" s="16" t="n">
        <f aca="false">IF(C6403&gt;0,MIN(C6381,C6403*$C$6378),0)</f>
        <v>76.690612956771</v>
      </c>
    </row>
    <row r="6415" customFormat="false" ht="15" hidden="false" customHeight="false" outlineLevel="0" collapsed="false">
      <c r="A6415" s="3" t="s">
        <v>558</v>
      </c>
      <c r="C6415" s="16" t="n">
        <f aca="false">IF(C6404&gt;0,MIN(C6382,C6404*$C$6378),0)</f>
        <v>48.803117336127</v>
      </c>
    </row>
    <row r="6416" customFormat="false" ht="15" hidden="false" customHeight="false" outlineLevel="0" collapsed="false">
      <c r="A6416" s="3" t="s">
        <v>559</v>
      </c>
      <c r="C6416" s="16" t="n">
        <f aca="false">IF(C6405&gt;0,MIN(C6383,C6405*$C$6378),0)</f>
        <v>0</v>
      </c>
    </row>
    <row r="6417" customFormat="false" ht="15" hidden="false" customHeight="false" outlineLevel="0" collapsed="false">
      <c r="A6417" s="3" t="s">
        <v>560</v>
      </c>
      <c r="C6417" s="16" t="n">
        <f aca="false">IF(C6406&gt;0,MIN(C6384,C6406*$C$6378),0)</f>
        <v>0</v>
      </c>
    </row>
    <row r="6418" customFormat="false" ht="15" hidden="false" customHeight="false" outlineLevel="0" collapsed="false">
      <c r="A6418" s="3" t="s">
        <v>561</v>
      </c>
      <c r="C6418" s="16" t="n">
        <f aca="false">IF(C6407&gt;0,MIN(C6385,C6407*$C$6378),0)</f>
        <v>0</v>
      </c>
    </row>
    <row r="6419" customFormat="false" ht="15" hidden="false" customHeight="false" outlineLevel="0" collapsed="false">
      <c r="A6419" s="3" t="s">
        <v>562</v>
      </c>
      <c r="C6419" s="16" t="n">
        <f aca="false">IF(C6408&gt;0,MIN(C6386,C6408*$C$6378),0)</f>
        <v>0</v>
      </c>
    </row>
    <row r="6420" customFormat="false" ht="15" hidden="false" customHeight="false" outlineLevel="0" collapsed="false">
      <c r="A6420" s="3" t="s">
        <v>563</v>
      </c>
      <c r="C6420" s="16" t="n">
        <f aca="false">IF(C6409&gt;0,MIN(C6387,C6409*$C$6378),0)</f>
        <v>0</v>
      </c>
    </row>
    <row r="6421" customFormat="false" ht="15" hidden="false" customHeight="false" outlineLevel="0" collapsed="false">
      <c r="A6421" s="3" t="s">
        <v>564</v>
      </c>
      <c r="C6421" s="16" t="n">
        <f aca="false">IF(C6410&gt;0,MIN(C6388,C6410*$C$6378),0)</f>
        <v>0</v>
      </c>
    </row>
    <row r="6422" customFormat="false" ht="15" hidden="false" customHeight="false" outlineLevel="0" collapsed="false">
      <c r="A6422" s="3" t="s">
        <v>565</v>
      </c>
      <c r="C6422" s="16" t="n">
        <f aca="false">IF(C6411&gt;0,MIN(C6389,C6411*$C$6378),0)</f>
        <v>0</v>
      </c>
    </row>
    <row r="6423" customFormat="false" ht="15" hidden="false" customHeight="false" outlineLevel="0" collapsed="false">
      <c r="A6423" s="24" t="s">
        <v>569</v>
      </c>
      <c r="B6423" s="25"/>
      <c r="C6423" s="25"/>
      <c r="D6423" s="25"/>
      <c r="E6423" s="25"/>
      <c r="F6423" s="25"/>
      <c r="G6423" s="25"/>
      <c r="H6423" s="25"/>
      <c r="I6423" s="25"/>
      <c r="J6423" s="25"/>
      <c r="K6423" s="25"/>
    </row>
    <row r="6424" customFormat="false" ht="15" hidden="false" customHeight="false" outlineLevel="0" collapsed="false">
      <c r="A6424" s="3" t="s">
        <v>556</v>
      </c>
      <c r="C6424" s="16" t="n">
        <f aca="false">IF(C6402&gt;0,C6380-C6413,0)</f>
        <v>0</v>
      </c>
    </row>
    <row r="6425" customFormat="false" ht="15" hidden="false" customHeight="false" outlineLevel="0" collapsed="false">
      <c r="A6425" s="3" t="s">
        <v>557</v>
      </c>
      <c r="C6425" s="16" t="n">
        <f aca="false">IF(C6403&gt;0,C6381-C6414,0)</f>
        <v>13.309387043229</v>
      </c>
    </row>
    <row r="6426" customFormat="false" ht="15" hidden="false" customHeight="false" outlineLevel="0" collapsed="false">
      <c r="A6426" s="3" t="s">
        <v>558</v>
      </c>
      <c r="C6426" s="16" t="n">
        <f aca="false">IF(C6404&gt;0,C6382-C6415,0)</f>
        <v>8.520882663873</v>
      </c>
    </row>
    <row r="6427" customFormat="false" ht="15" hidden="false" customHeight="false" outlineLevel="0" collapsed="false">
      <c r="A6427" s="3" t="s">
        <v>559</v>
      </c>
      <c r="C6427" s="16" t="n">
        <f aca="false">IF(C6405&gt;0,C6383-C6416,0)</f>
        <v>0</v>
      </c>
    </row>
    <row r="6428" customFormat="false" ht="15" hidden="false" customHeight="false" outlineLevel="0" collapsed="false">
      <c r="A6428" s="3" t="s">
        <v>560</v>
      </c>
      <c r="C6428" s="16" t="n">
        <f aca="false">IF(C6406&gt;0,C6384-C6417,0)</f>
        <v>0</v>
      </c>
    </row>
    <row r="6429" customFormat="false" ht="15" hidden="false" customHeight="false" outlineLevel="0" collapsed="false">
      <c r="A6429" s="3" t="s">
        <v>561</v>
      </c>
      <c r="C6429" s="16" t="n">
        <f aca="false">IF(C6407&gt;0,C6385-C6418,0)</f>
        <v>0</v>
      </c>
    </row>
    <row r="6430" customFormat="false" ht="15" hidden="false" customHeight="false" outlineLevel="0" collapsed="false">
      <c r="A6430" s="3" t="s">
        <v>562</v>
      </c>
      <c r="C6430" s="16" t="n">
        <f aca="false">IF(C6408&gt;0,C6386-C6419,0)</f>
        <v>0</v>
      </c>
    </row>
    <row r="6431" customFormat="false" ht="15" hidden="false" customHeight="false" outlineLevel="0" collapsed="false">
      <c r="A6431" s="3" t="s">
        <v>563</v>
      </c>
      <c r="C6431" s="16" t="n">
        <f aca="false">IF(C6409&gt;0,C6387-C6420,0)</f>
        <v>0</v>
      </c>
    </row>
    <row r="6432" customFormat="false" ht="15" hidden="false" customHeight="false" outlineLevel="0" collapsed="false">
      <c r="A6432" s="3" t="s">
        <v>564</v>
      </c>
      <c r="C6432" s="16" t="n">
        <f aca="false">IF(C6410&gt;0,C6388-C6421,0)</f>
        <v>0</v>
      </c>
    </row>
    <row r="6433" customFormat="false" ht="15" hidden="false" customHeight="false" outlineLevel="0" collapsed="false">
      <c r="A6433" s="3" t="s">
        <v>565</v>
      </c>
      <c r="C6433" s="16" t="n">
        <f aca="false">IF(C6411&gt;0,C6389-C6422,0)</f>
        <v>0</v>
      </c>
    </row>
    <row r="6434" customFormat="false" ht="15" hidden="false" customHeight="false" outlineLevel="0" collapsed="false">
      <c r="A6434" s="24" t="s">
        <v>570</v>
      </c>
      <c r="B6434" s="25"/>
      <c r="C6434" s="25"/>
      <c r="D6434" s="25"/>
      <c r="E6434" s="25"/>
      <c r="F6434" s="25"/>
      <c r="G6434" s="25"/>
      <c r="H6434" s="25"/>
      <c r="I6434" s="25"/>
      <c r="J6434" s="25"/>
      <c r="K6434" s="25"/>
    </row>
    <row r="6435" customFormat="false" ht="15" hidden="false" customHeight="false" outlineLevel="0" collapsed="false">
      <c r="A6435" s="3" t="s">
        <v>556</v>
      </c>
      <c r="C6435" s="16" t="n">
        <f aca="false">IF(C6402&gt;0,C6424,C6380)</f>
        <v>0</v>
      </c>
    </row>
    <row r="6436" customFormat="false" ht="15" hidden="false" customHeight="false" outlineLevel="0" collapsed="false">
      <c r="A6436" s="3" t="s">
        <v>557</v>
      </c>
      <c r="C6436" s="16" t="n">
        <f aca="false">IF(C6403&gt;0,C6425,C6381)</f>
        <v>13.309387043229</v>
      </c>
    </row>
    <row r="6437" customFormat="false" ht="15" hidden="false" customHeight="false" outlineLevel="0" collapsed="false">
      <c r="A6437" s="3" t="s">
        <v>558</v>
      </c>
      <c r="C6437" s="16" t="n">
        <f aca="false">IF(C6404&gt;0,C6426,C6382)</f>
        <v>8.520882663873</v>
      </c>
    </row>
    <row r="6438" customFormat="false" ht="15" hidden="false" customHeight="false" outlineLevel="0" collapsed="false">
      <c r="A6438" s="3" t="s">
        <v>559</v>
      </c>
      <c r="C6438" s="16" t="n">
        <f aca="false">IF(C6405&gt;0,C6427,C6383)</f>
        <v>0</v>
      </c>
    </row>
    <row r="6439" customFormat="false" ht="15" hidden="false" customHeight="false" outlineLevel="0" collapsed="false">
      <c r="A6439" s="3" t="s">
        <v>560</v>
      </c>
      <c r="C6439" s="16" t="n">
        <f aca="false">IF(C6406&gt;0,C6428,C6384)</f>
        <v>419.901063357</v>
      </c>
    </row>
    <row r="6440" customFormat="false" ht="15" hidden="false" customHeight="false" outlineLevel="0" collapsed="false">
      <c r="A6440" s="3" t="s">
        <v>561</v>
      </c>
      <c r="C6440" s="16" t="n">
        <f aca="false">IF(C6407&gt;0,C6429,C6385)</f>
        <v>350</v>
      </c>
    </row>
    <row r="6441" customFormat="false" ht="15" hidden="false" customHeight="false" outlineLevel="0" collapsed="false">
      <c r="A6441" s="3" t="s">
        <v>562</v>
      </c>
      <c r="C6441" s="16" t="n">
        <f aca="false">IF(C6408&gt;0,C6430,C6386)</f>
        <v>550</v>
      </c>
    </row>
    <row r="6442" customFormat="false" ht="15" hidden="false" customHeight="false" outlineLevel="0" collapsed="false">
      <c r="A6442" s="3" t="s">
        <v>563</v>
      </c>
      <c r="C6442" s="16" t="n">
        <f aca="false">IF(C6409&gt;0,C6431,C6387)</f>
        <v>350</v>
      </c>
    </row>
    <row r="6443" customFormat="false" ht="15" hidden="false" customHeight="false" outlineLevel="0" collapsed="false">
      <c r="A6443" s="3" t="s">
        <v>564</v>
      </c>
      <c r="C6443" s="16" t="n">
        <f aca="false">IF(C6410&gt;0,C6432,C6388)</f>
        <v>300</v>
      </c>
    </row>
    <row r="6444" customFormat="false" ht="15" hidden="false" customHeight="false" outlineLevel="0" collapsed="false">
      <c r="A6444" s="3" t="s">
        <v>565</v>
      </c>
      <c r="C6444" s="16" t="n">
        <f aca="false">IF(C6411&gt;0,C6433,C6389)</f>
        <v>78.61</v>
      </c>
    </row>
    <row r="6445" customFormat="false" ht="15" hidden="false" customHeight="false" outlineLevel="0" collapsed="false">
      <c r="A6445" s="24" t="s">
        <v>571</v>
      </c>
      <c r="B6445" s="25"/>
      <c r="C6445" s="25"/>
      <c r="D6445" s="25"/>
      <c r="E6445" s="25"/>
      <c r="F6445" s="25"/>
      <c r="G6445" s="25"/>
      <c r="H6445" s="25"/>
      <c r="I6445" s="25"/>
      <c r="J6445" s="25"/>
      <c r="K6445" s="25"/>
    </row>
    <row r="6446" customFormat="false" ht="15" hidden="false" customHeight="false" outlineLevel="0" collapsed="false">
      <c r="A6446" s="3" t="s">
        <v>556</v>
      </c>
      <c r="C6446" s="21" t="n">
        <f aca="false">IF(C6402&gt;0,Assumptions!$C$17,C6391)</f>
        <v>99</v>
      </c>
    </row>
    <row r="6447" customFormat="false" ht="15" hidden="false" customHeight="false" outlineLevel="0" collapsed="false">
      <c r="A6447" s="3" t="s">
        <v>557</v>
      </c>
      <c r="C6447" s="21" t="n">
        <f aca="false">IF(C6403&gt;0,Assumptions!$C$17,C6392)</f>
        <v>99</v>
      </c>
    </row>
    <row r="6448" customFormat="false" ht="15" hidden="false" customHeight="false" outlineLevel="0" collapsed="false">
      <c r="A6448" s="3" t="s">
        <v>558</v>
      </c>
      <c r="C6448" s="21" t="n">
        <f aca="false">IF(C6404&gt;0,Assumptions!$C$17,C6393)</f>
        <v>99</v>
      </c>
    </row>
    <row r="6449" customFormat="false" ht="15" hidden="false" customHeight="false" outlineLevel="0" collapsed="false">
      <c r="A6449" s="3" t="s">
        <v>559</v>
      </c>
      <c r="C6449" s="21" t="n">
        <f aca="false">IF(C6405&gt;0,Assumptions!$C$17,C6394)</f>
        <v>2</v>
      </c>
    </row>
    <row r="6450" customFormat="false" ht="15" hidden="false" customHeight="false" outlineLevel="0" collapsed="false">
      <c r="A6450" s="3" t="s">
        <v>560</v>
      </c>
      <c r="C6450" s="21" t="n">
        <f aca="false">IF(C6406&gt;0,Assumptions!$C$17,C6395)</f>
        <v>2</v>
      </c>
    </row>
    <row r="6451" customFormat="false" ht="15" hidden="false" customHeight="false" outlineLevel="0" collapsed="false">
      <c r="A6451" s="3" t="s">
        <v>561</v>
      </c>
      <c r="C6451" s="21" t="n">
        <f aca="false">IF(C6407&gt;0,Assumptions!$C$17,C6396)</f>
        <v>2</v>
      </c>
    </row>
    <row r="6452" customFormat="false" ht="15" hidden="false" customHeight="false" outlineLevel="0" collapsed="false">
      <c r="A6452" s="3" t="s">
        <v>562</v>
      </c>
      <c r="C6452" s="21" t="n">
        <f aca="false">IF(C6408&gt;0,Assumptions!$C$17,C6397)</f>
        <v>2</v>
      </c>
    </row>
    <row r="6453" customFormat="false" ht="15" hidden="false" customHeight="false" outlineLevel="0" collapsed="false">
      <c r="A6453" s="3" t="s">
        <v>563</v>
      </c>
      <c r="C6453" s="21" t="n">
        <f aca="false">IF(C6409&gt;0,Assumptions!$C$17,C6398)</f>
        <v>2</v>
      </c>
    </row>
    <row r="6454" customFormat="false" ht="15" hidden="false" customHeight="false" outlineLevel="0" collapsed="false">
      <c r="A6454" s="3" t="s">
        <v>564</v>
      </c>
      <c r="C6454" s="21" t="n">
        <f aca="false">IF(C6410&gt;0,Assumptions!$C$17,C6399)</f>
        <v>2</v>
      </c>
    </row>
    <row r="6455" customFormat="false" ht="15" hidden="false" customHeight="false" outlineLevel="0" collapsed="false">
      <c r="A6455" s="3" t="s">
        <v>565</v>
      </c>
      <c r="C6455" s="21" t="n">
        <f aca="false">IF(C6411&gt;0,Assumptions!$C$17,C6400)</f>
        <v>3</v>
      </c>
    </row>
    <row r="6456" customFormat="false" ht="15" hidden="false" customHeight="false" outlineLevel="0" collapsed="false">
      <c r="A6456" s="24" t="s">
        <v>572</v>
      </c>
      <c r="B6456" s="25"/>
      <c r="C6456" s="25"/>
      <c r="D6456" s="25"/>
      <c r="E6456" s="25"/>
      <c r="F6456" s="25"/>
      <c r="G6456" s="25"/>
      <c r="H6456" s="25"/>
      <c r="I6456" s="25"/>
      <c r="J6456" s="25"/>
      <c r="K6456" s="25"/>
    </row>
    <row r="6457" customFormat="false" ht="15" hidden="false" customHeight="false" outlineLevel="0" collapsed="false">
      <c r="A6457" s="3" t="s">
        <v>556</v>
      </c>
      <c r="C6457" s="16" t="n">
        <f aca="false">SUMPRODUCT(($C$6446:$C$6455&lt;C6446)*$C$6435:$C$6444)</f>
        <v>2048.511063357</v>
      </c>
    </row>
    <row r="6458" customFormat="false" ht="15" hidden="false" customHeight="false" outlineLevel="0" collapsed="false">
      <c r="A6458" s="3" t="s">
        <v>557</v>
      </c>
      <c r="C6458" s="16" t="n">
        <f aca="false">SUMPRODUCT(($C$6446:$C$6455&lt;C6447)*$C$6435:$C$6444)</f>
        <v>2048.511063357</v>
      </c>
    </row>
    <row r="6459" customFormat="false" ht="15" hidden="false" customHeight="false" outlineLevel="0" collapsed="false">
      <c r="A6459" s="3" t="s">
        <v>558</v>
      </c>
      <c r="C6459" s="16" t="n">
        <f aca="false">SUMPRODUCT(($C$6446:$C$6455&lt;C6448)*$C$6435:$C$6444)</f>
        <v>2048.511063357</v>
      </c>
    </row>
    <row r="6460" customFormat="false" ht="15" hidden="false" customHeight="false" outlineLevel="0" collapsed="false">
      <c r="A6460" s="3" t="s">
        <v>559</v>
      </c>
      <c r="C6460" s="16" t="n">
        <f aca="false">SUMPRODUCT(($C$6446:$C$6455&lt;C6449)*$C$6435:$C$6444)</f>
        <v>0</v>
      </c>
    </row>
    <row r="6461" customFormat="false" ht="15" hidden="false" customHeight="false" outlineLevel="0" collapsed="false">
      <c r="A6461" s="3" t="s">
        <v>560</v>
      </c>
      <c r="C6461" s="16" t="n">
        <f aca="false">SUMPRODUCT(($C$6446:$C$6455&lt;C6450)*$C$6435:$C$6444)</f>
        <v>0</v>
      </c>
    </row>
    <row r="6462" customFormat="false" ht="15" hidden="false" customHeight="false" outlineLevel="0" collapsed="false">
      <c r="A6462" s="3" t="s">
        <v>561</v>
      </c>
      <c r="C6462" s="16" t="n">
        <f aca="false">SUMPRODUCT(($C$6446:$C$6455&lt;C6451)*$C$6435:$C$6444)</f>
        <v>0</v>
      </c>
    </row>
    <row r="6463" customFormat="false" ht="15" hidden="false" customHeight="false" outlineLevel="0" collapsed="false">
      <c r="A6463" s="3" t="s">
        <v>562</v>
      </c>
      <c r="C6463" s="16" t="n">
        <f aca="false">SUMPRODUCT(($C$6446:$C$6455&lt;C6452)*$C$6435:$C$6444)</f>
        <v>0</v>
      </c>
    </row>
    <row r="6464" customFormat="false" ht="15" hidden="false" customHeight="false" outlineLevel="0" collapsed="false">
      <c r="A6464" s="3" t="s">
        <v>563</v>
      </c>
      <c r="C6464" s="16" t="n">
        <f aca="false">SUMPRODUCT(($C$6446:$C$6455&lt;C6453)*$C$6435:$C$6444)</f>
        <v>0</v>
      </c>
    </row>
    <row r="6465" customFormat="false" ht="15" hidden="false" customHeight="false" outlineLevel="0" collapsed="false">
      <c r="A6465" s="3" t="s">
        <v>564</v>
      </c>
      <c r="C6465" s="16" t="n">
        <f aca="false">SUMPRODUCT(($C$6446:$C$6455&lt;C6454)*$C$6435:$C$6444)</f>
        <v>0</v>
      </c>
    </row>
    <row r="6466" customFormat="false" ht="15" hidden="false" customHeight="false" outlineLevel="0" collapsed="false">
      <c r="A6466" s="3" t="s">
        <v>565</v>
      </c>
      <c r="C6466" s="16" t="n">
        <f aca="false">SUMPRODUCT(($C$6446:$C$6455&lt;C6455)*$C$6435:$C$6444)</f>
        <v>1969.901063357</v>
      </c>
    </row>
    <row r="6467" customFormat="false" ht="15" hidden="false" customHeight="false" outlineLevel="0" collapsed="false">
      <c r="A6467" s="24" t="s">
        <v>573</v>
      </c>
      <c r="B6467" s="25"/>
      <c r="C6467" s="25"/>
      <c r="D6467" s="25"/>
      <c r="E6467" s="25"/>
      <c r="F6467" s="25"/>
      <c r="G6467" s="25"/>
      <c r="H6467" s="25"/>
      <c r="I6467" s="25"/>
      <c r="J6467" s="25"/>
      <c r="K6467" s="25"/>
    </row>
    <row r="6468" customFormat="false" ht="15" hidden="false" customHeight="false" outlineLevel="0" collapsed="false">
      <c r="A6468" s="3" t="s">
        <v>556</v>
      </c>
      <c r="C6468" s="16" t="n">
        <f aca="false">SUMPRODUCT(($C$6446:$C$6455=C6446)*$C$6435:$C$6444)</f>
        <v>21.830269707102</v>
      </c>
    </row>
    <row r="6469" customFormat="false" ht="15" hidden="false" customHeight="false" outlineLevel="0" collapsed="false">
      <c r="A6469" s="3" t="s">
        <v>557</v>
      </c>
      <c r="C6469" s="16" t="n">
        <f aca="false">SUMPRODUCT(($C$6446:$C$6455=C6447)*$C$6435:$C$6444)</f>
        <v>21.830269707102</v>
      </c>
    </row>
    <row r="6470" customFormat="false" ht="15" hidden="false" customHeight="false" outlineLevel="0" collapsed="false">
      <c r="A6470" s="3" t="s">
        <v>558</v>
      </c>
      <c r="C6470" s="16" t="n">
        <f aca="false">SUMPRODUCT(($C$6446:$C$6455=C6448)*$C$6435:$C$6444)</f>
        <v>21.830269707102</v>
      </c>
    </row>
    <row r="6471" customFormat="false" ht="15" hidden="false" customHeight="false" outlineLevel="0" collapsed="false">
      <c r="A6471" s="3" t="s">
        <v>559</v>
      </c>
      <c r="C6471" s="16" t="n">
        <f aca="false">SUMPRODUCT(($C$6446:$C$6455=C6449)*$C$6435:$C$6444)</f>
        <v>1969.901063357</v>
      </c>
    </row>
    <row r="6472" customFormat="false" ht="15" hidden="false" customHeight="false" outlineLevel="0" collapsed="false">
      <c r="A6472" s="3" t="s">
        <v>560</v>
      </c>
      <c r="C6472" s="16" t="n">
        <f aca="false">SUMPRODUCT(($C$6446:$C$6455=C6450)*$C$6435:$C$6444)</f>
        <v>1969.901063357</v>
      </c>
    </row>
    <row r="6473" customFormat="false" ht="15" hidden="false" customHeight="false" outlineLevel="0" collapsed="false">
      <c r="A6473" s="3" t="s">
        <v>561</v>
      </c>
      <c r="C6473" s="16" t="n">
        <f aca="false">SUMPRODUCT(($C$6446:$C$6455=C6451)*$C$6435:$C$6444)</f>
        <v>1969.901063357</v>
      </c>
    </row>
    <row r="6474" customFormat="false" ht="15" hidden="false" customHeight="false" outlineLevel="0" collapsed="false">
      <c r="A6474" s="3" t="s">
        <v>562</v>
      </c>
      <c r="C6474" s="16" t="n">
        <f aca="false">SUMPRODUCT(($C$6446:$C$6455=C6452)*$C$6435:$C$6444)</f>
        <v>1969.901063357</v>
      </c>
    </row>
    <row r="6475" customFormat="false" ht="15" hidden="false" customHeight="false" outlineLevel="0" collapsed="false">
      <c r="A6475" s="3" t="s">
        <v>563</v>
      </c>
      <c r="C6475" s="16" t="n">
        <f aca="false">SUMPRODUCT(($C$6446:$C$6455=C6453)*$C$6435:$C$6444)</f>
        <v>1969.901063357</v>
      </c>
    </row>
    <row r="6476" customFormat="false" ht="15" hidden="false" customHeight="false" outlineLevel="0" collapsed="false">
      <c r="A6476" s="3" t="s">
        <v>564</v>
      </c>
      <c r="C6476" s="16" t="n">
        <f aca="false">SUMPRODUCT(($C$6446:$C$6455=C6454)*$C$6435:$C$6444)</f>
        <v>1969.901063357</v>
      </c>
    </row>
    <row r="6477" customFormat="false" ht="15" hidden="false" customHeight="false" outlineLevel="0" collapsed="false">
      <c r="A6477" s="3" t="s">
        <v>565</v>
      </c>
      <c r="C6477" s="16" t="n">
        <f aca="false">SUMPRODUCT(($C$6446:$C$6455=C6455)*$C$6435:$C$6444)</f>
        <v>78.61</v>
      </c>
    </row>
    <row r="6478" customFormat="false" ht="15" hidden="false" customHeight="false" outlineLevel="0" collapsed="false">
      <c r="A6478" s="24" t="s">
        <v>574</v>
      </c>
      <c r="B6478" s="25"/>
      <c r="C6478" s="25"/>
      <c r="D6478" s="25"/>
      <c r="E6478" s="25"/>
      <c r="F6478" s="25"/>
      <c r="G6478" s="25"/>
      <c r="H6478" s="25"/>
      <c r="I6478" s="25"/>
      <c r="J6478" s="25"/>
      <c r="K6478" s="25"/>
    </row>
    <row r="6479" customFormat="false" ht="15" hidden="false" customHeight="false" outlineLevel="0" collapsed="false">
      <c r="A6479" s="3" t="s">
        <v>556</v>
      </c>
      <c r="C6479" s="16" t="n">
        <f aca="false">IF(C6468=0,0,C6435/C6468*MAX(0,MIN(C6468,$C$6378-SUM($C$6413:$C$6422)-C6457)))</f>
        <v>0</v>
      </c>
    </row>
    <row r="6480" customFormat="false" ht="15" hidden="false" customHeight="false" outlineLevel="0" collapsed="false">
      <c r="A6480" s="3" t="s">
        <v>557</v>
      </c>
      <c r="C6480" s="16" t="n">
        <f aca="false">IF(C6469=0,0,C6436/C6469*MAX(0,MIN(C6469,$C$6378-SUM($C$6413:$C$6422)-C6458)))</f>
        <v>0</v>
      </c>
    </row>
    <row r="6481" customFormat="false" ht="15" hidden="false" customHeight="false" outlineLevel="0" collapsed="false">
      <c r="A6481" s="3" t="s">
        <v>558</v>
      </c>
      <c r="C6481" s="16" t="n">
        <f aca="false">IF(C6470=0,0,C6437/C6470*MAX(0,MIN(C6470,$C$6378-SUM($C$6413:$C$6422)-C6459)))</f>
        <v>0</v>
      </c>
    </row>
    <row r="6482" customFormat="false" ht="15" hidden="false" customHeight="false" outlineLevel="0" collapsed="false">
      <c r="A6482" s="3" t="s">
        <v>559</v>
      </c>
      <c r="C6482" s="16" t="n">
        <f aca="false">IF(C6471=0,0,C6438/C6471*MAX(0,MIN(C6471,$C$6378-SUM($C$6413:$C$6422)-C6460)))</f>
        <v>0</v>
      </c>
    </row>
    <row r="6483" customFormat="false" ht="15" hidden="false" customHeight="false" outlineLevel="0" collapsed="false">
      <c r="A6483" s="3" t="s">
        <v>560</v>
      </c>
      <c r="C6483" s="16" t="n">
        <f aca="false">IF(C6472=0,0,C6439/C6472*MAX(0,MIN(C6472,$C$6378-SUM($C$6413:$C$6422)-C6461)))</f>
        <v>385.915756322307</v>
      </c>
    </row>
    <row r="6484" customFormat="false" ht="15" hidden="false" customHeight="false" outlineLevel="0" collapsed="false">
      <c r="A6484" s="3" t="s">
        <v>561</v>
      </c>
      <c r="C6484" s="16" t="n">
        <f aca="false">IF(C6473=0,0,C6440/C6473*MAX(0,MIN(C6473,$C$6378-SUM($C$6413:$C$6422)-C6462)))</f>
        <v>321.672237819437</v>
      </c>
    </row>
    <row r="6485" customFormat="false" ht="15" hidden="false" customHeight="false" outlineLevel="0" collapsed="false">
      <c r="A6485" s="3" t="s">
        <v>562</v>
      </c>
      <c r="C6485" s="16" t="n">
        <f aca="false">IF(C6474=0,0,C6441/C6474*MAX(0,MIN(C6474,$C$6378-SUM($C$6413:$C$6422)-C6463)))</f>
        <v>505.48494514483</v>
      </c>
    </row>
    <row r="6486" customFormat="false" ht="15" hidden="false" customHeight="false" outlineLevel="0" collapsed="false">
      <c r="A6486" s="3" t="s">
        <v>563</v>
      </c>
      <c r="C6486" s="16" t="n">
        <f aca="false">IF(C6475=0,0,C6442/C6475*MAX(0,MIN(C6475,$C$6378-SUM($C$6413:$C$6422)-C6464)))</f>
        <v>321.672237819437</v>
      </c>
    </row>
    <row r="6487" customFormat="false" ht="15" hidden="false" customHeight="false" outlineLevel="0" collapsed="false">
      <c r="A6487" s="3" t="s">
        <v>564</v>
      </c>
      <c r="C6487" s="16" t="n">
        <f aca="false">IF(C6476=0,0,C6443/C6476*MAX(0,MIN(C6476,$C$6378-SUM($C$6413:$C$6422)-C6465)))</f>
        <v>275.719060988089</v>
      </c>
    </row>
    <row r="6488" customFormat="false" ht="15" hidden="false" customHeight="false" outlineLevel="0" collapsed="false">
      <c r="A6488" s="3" t="s">
        <v>565</v>
      </c>
      <c r="C6488" s="16" t="n">
        <f aca="false">IF(C6477=0,0,C6444/C6477*MAX(0,MIN(C6477,$C$6378-SUM($C$6413:$C$6422)-C6466)))</f>
        <v>0</v>
      </c>
    </row>
    <row r="6489" customFormat="false" ht="15" hidden="false" customHeight="false" outlineLevel="0" collapsed="false">
      <c r="A6489" s="24" t="s">
        <v>575</v>
      </c>
      <c r="B6489" s="25"/>
      <c r="C6489" s="25"/>
      <c r="D6489" s="25"/>
      <c r="E6489" s="25"/>
      <c r="F6489" s="25"/>
      <c r="G6489" s="25"/>
      <c r="H6489" s="25"/>
      <c r="I6489" s="25"/>
      <c r="J6489" s="25"/>
      <c r="K6489" s="25"/>
    </row>
    <row r="6490" customFormat="false" ht="15" hidden="false" customHeight="false" outlineLevel="0" collapsed="false">
      <c r="A6490" s="2" t="s">
        <v>556</v>
      </c>
      <c r="C6490" s="17" t="n">
        <f aca="false">C6413+C6479</f>
        <v>388</v>
      </c>
    </row>
    <row r="6491" customFormat="false" ht="15" hidden="false" customHeight="false" outlineLevel="0" collapsed="false">
      <c r="A6491" s="2" t="s">
        <v>557</v>
      </c>
      <c r="C6491" s="17" t="n">
        <f aca="false">C6414+C6480</f>
        <v>76.690612956771</v>
      </c>
    </row>
    <row r="6492" customFormat="false" ht="15" hidden="false" customHeight="false" outlineLevel="0" collapsed="false">
      <c r="A6492" s="2" t="s">
        <v>558</v>
      </c>
      <c r="C6492" s="17" t="n">
        <f aca="false">C6415+C6481</f>
        <v>48.803117336127</v>
      </c>
    </row>
    <row r="6493" customFormat="false" ht="15" hidden="false" customHeight="false" outlineLevel="0" collapsed="false">
      <c r="A6493" s="2" t="s">
        <v>559</v>
      </c>
      <c r="C6493" s="17" t="n">
        <f aca="false">C6416+C6482</f>
        <v>0</v>
      </c>
    </row>
    <row r="6494" customFormat="false" ht="15" hidden="false" customHeight="false" outlineLevel="0" collapsed="false">
      <c r="A6494" s="2" t="s">
        <v>560</v>
      </c>
      <c r="C6494" s="17" t="n">
        <f aca="false">C6417+C6483</f>
        <v>385.915756322307</v>
      </c>
    </row>
    <row r="6495" customFormat="false" ht="15" hidden="false" customHeight="false" outlineLevel="0" collapsed="false">
      <c r="A6495" s="2" t="s">
        <v>561</v>
      </c>
      <c r="C6495" s="17" t="n">
        <f aca="false">C6418+C6484</f>
        <v>321.672237819437</v>
      </c>
    </row>
    <row r="6496" customFormat="false" ht="15" hidden="false" customHeight="false" outlineLevel="0" collapsed="false">
      <c r="A6496" s="2" t="s">
        <v>562</v>
      </c>
      <c r="C6496" s="17" t="n">
        <f aca="false">C6419+C6485</f>
        <v>505.48494514483</v>
      </c>
    </row>
    <row r="6497" customFormat="false" ht="15" hidden="false" customHeight="false" outlineLevel="0" collapsed="false">
      <c r="A6497" s="2" t="s">
        <v>563</v>
      </c>
      <c r="C6497" s="17" t="n">
        <f aca="false">C6420+C6486</f>
        <v>321.672237819437</v>
      </c>
    </row>
    <row r="6498" customFormat="false" ht="15" hidden="false" customHeight="false" outlineLevel="0" collapsed="false">
      <c r="A6498" s="2" t="s">
        <v>564</v>
      </c>
      <c r="C6498" s="17" t="n">
        <f aca="false">C6421+C6487</f>
        <v>275.719060988089</v>
      </c>
    </row>
    <row r="6499" customFormat="false" ht="15" hidden="false" customHeight="false" outlineLevel="0" collapsed="false">
      <c r="A6499" s="2" t="s">
        <v>565</v>
      </c>
      <c r="C6499" s="17" t="n">
        <f aca="false">C6422+C6488</f>
        <v>0</v>
      </c>
    </row>
    <row r="6500" customFormat="false" ht="15" hidden="false" customHeight="false" outlineLevel="0" collapsed="false">
      <c r="A6500" s="24" t="s">
        <v>576</v>
      </c>
      <c r="B6500" s="25"/>
      <c r="C6500" s="25"/>
      <c r="D6500" s="25"/>
      <c r="E6500" s="25"/>
      <c r="F6500" s="25"/>
      <c r="G6500" s="25"/>
      <c r="H6500" s="25"/>
      <c r="I6500" s="25"/>
      <c r="J6500" s="25"/>
      <c r="K6500" s="25"/>
    </row>
    <row r="6501" customFormat="false" ht="15" hidden="false" customHeight="false" outlineLevel="0" collapsed="false">
      <c r="A6501" s="3" t="s">
        <v>556</v>
      </c>
      <c r="C6501" s="22" t="n">
        <f aca="false">IF(C6380=0,1,C6490/C6380)</f>
        <v>1</v>
      </c>
    </row>
    <row r="6502" customFormat="false" ht="15" hidden="false" customHeight="false" outlineLevel="0" collapsed="false">
      <c r="A6502" s="3" t="s">
        <v>557</v>
      </c>
      <c r="C6502" s="22" t="n">
        <f aca="false">IF(C6381=0,1,C6491/C6381)</f>
        <v>0.8521179217419</v>
      </c>
    </row>
    <row r="6503" customFormat="false" ht="15" hidden="false" customHeight="false" outlineLevel="0" collapsed="false">
      <c r="A6503" s="3" t="s">
        <v>558</v>
      </c>
      <c r="C6503" s="22" t="n">
        <f aca="false">IF(C6382=0,1,C6492/C6382)</f>
        <v>0.851355755636854</v>
      </c>
    </row>
    <row r="6504" customFormat="false" ht="15" hidden="false" customHeight="false" outlineLevel="0" collapsed="false">
      <c r="A6504" s="3" t="s">
        <v>559</v>
      </c>
      <c r="C6504" s="22" t="n">
        <f aca="false">IF(C6383=0,1,C6493/C6383)</f>
        <v>1</v>
      </c>
    </row>
    <row r="6505" customFormat="false" ht="15" hidden="false" customHeight="false" outlineLevel="0" collapsed="false">
      <c r="A6505" s="3" t="s">
        <v>560</v>
      </c>
      <c r="C6505" s="22" t="n">
        <f aca="false">IF(C6384=0,1,C6494/C6384)</f>
        <v>0.919063536626964</v>
      </c>
    </row>
    <row r="6506" customFormat="false" ht="15" hidden="false" customHeight="false" outlineLevel="0" collapsed="false">
      <c r="A6506" s="3" t="s">
        <v>561</v>
      </c>
      <c r="C6506" s="22" t="n">
        <f aca="false">IF(C6385=0,1,C6495/C6385)</f>
        <v>0.919063536626964</v>
      </c>
    </row>
    <row r="6507" customFormat="false" ht="15" hidden="false" customHeight="false" outlineLevel="0" collapsed="false">
      <c r="A6507" s="3" t="s">
        <v>562</v>
      </c>
      <c r="C6507" s="22" t="n">
        <f aca="false">IF(C6386=0,1,C6496/C6386)</f>
        <v>0.919063536626964</v>
      </c>
    </row>
    <row r="6508" customFormat="false" ht="15" hidden="false" customHeight="false" outlineLevel="0" collapsed="false">
      <c r="A6508" s="3" t="s">
        <v>563</v>
      </c>
      <c r="C6508" s="22" t="n">
        <f aca="false">IF(C6387=0,1,C6497/C6387)</f>
        <v>0.919063536626964</v>
      </c>
    </row>
    <row r="6509" customFormat="false" ht="15" hidden="false" customHeight="false" outlineLevel="0" collapsed="false">
      <c r="A6509" s="3" t="s">
        <v>564</v>
      </c>
      <c r="C6509" s="22" t="n">
        <f aca="false">IF(C6388=0,1,C6498/C6388)</f>
        <v>0.919063536626964</v>
      </c>
    </row>
    <row r="6510" customFormat="false" ht="15" hidden="false" customHeight="false" outlineLevel="0" collapsed="false">
      <c r="A6510" s="3" t="s">
        <v>565</v>
      </c>
      <c r="C6510" s="22" t="n">
        <f aca="false">IF(C6389=0,1,C6499/C6389)</f>
        <v>0</v>
      </c>
    </row>
    <row r="6511" customFormat="false" ht="15" hidden="false" customHeight="false" outlineLevel="0" collapsed="false">
      <c r="A6511" s="24" t="s">
        <v>577</v>
      </c>
      <c r="B6511" s="25"/>
      <c r="C6511" s="25"/>
      <c r="D6511" s="25"/>
      <c r="E6511" s="25"/>
      <c r="F6511" s="25"/>
      <c r="G6511" s="25"/>
      <c r="H6511" s="25"/>
      <c r="I6511" s="25"/>
      <c r="J6511" s="25"/>
      <c r="K6511" s="25"/>
    </row>
    <row r="6512" customFormat="false" ht="15" hidden="false" customHeight="false" outlineLevel="0" collapsed="false">
      <c r="A6512" s="3" t="s">
        <v>556</v>
      </c>
      <c r="C6512" s="16" t="n">
        <f aca="false">C6380-C6490</f>
        <v>0</v>
      </c>
    </row>
    <row r="6513" customFormat="false" ht="15" hidden="false" customHeight="false" outlineLevel="0" collapsed="false">
      <c r="A6513" s="3" t="s">
        <v>557</v>
      </c>
      <c r="C6513" s="16" t="n">
        <f aca="false">C6381-C6491</f>
        <v>13.309387043229</v>
      </c>
    </row>
    <row r="6514" customFormat="false" ht="15" hidden="false" customHeight="false" outlineLevel="0" collapsed="false">
      <c r="A6514" s="3" t="s">
        <v>558</v>
      </c>
      <c r="C6514" s="16" t="n">
        <f aca="false">C6382-C6492</f>
        <v>8.520882663873</v>
      </c>
    </row>
    <row r="6515" customFormat="false" ht="15" hidden="false" customHeight="false" outlineLevel="0" collapsed="false">
      <c r="A6515" s="3" t="s">
        <v>559</v>
      </c>
      <c r="C6515" s="16" t="n">
        <f aca="false">C6383-C6493</f>
        <v>0</v>
      </c>
    </row>
    <row r="6516" customFormat="false" ht="15" hidden="false" customHeight="false" outlineLevel="0" collapsed="false">
      <c r="A6516" s="3" t="s">
        <v>560</v>
      </c>
      <c r="C6516" s="16" t="n">
        <f aca="false">C6384-C6494</f>
        <v>33.9853070346927</v>
      </c>
    </row>
    <row r="6517" customFormat="false" ht="15" hidden="false" customHeight="false" outlineLevel="0" collapsed="false">
      <c r="A6517" s="3" t="s">
        <v>561</v>
      </c>
      <c r="C6517" s="16" t="n">
        <f aca="false">C6385-C6495</f>
        <v>28.3277621805626</v>
      </c>
    </row>
    <row r="6518" customFormat="false" ht="15" hidden="false" customHeight="false" outlineLevel="0" collapsed="false">
      <c r="A6518" s="3" t="s">
        <v>562</v>
      </c>
      <c r="C6518" s="16" t="n">
        <f aca="false">C6386-C6496</f>
        <v>44.5150548551698</v>
      </c>
    </row>
    <row r="6519" customFormat="false" ht="15" hidden="false" customHeight="false" outlineLevel="0" collapsed="false">
      <c r="A6519" s="3" t="s">
        <v>563</v>
      </c>
      <c r="C6519" s="16" t="n">
        <f aca="false">C6387-C6497</f>
        <v>28.3277621805626</v>
      </c>
    </row>
    <row r="6520" customFormat="false" ht="15" hidden="false" customHeight="false" outlineLevel="0" collapsed="false">
      <c r="A6520" s="3" t="s">
        <v>564</v>
      </c>
      <c r="C6520" s="16" t="n">
        <f aca="false">C6388-C6498</f>
        <v>24.2809390119108</v>
      </c>
    </row>
    <row r="6521" customFormat="false" ht="15" hidden="false" customHeight="false" outlineLevel="0" collapsed="false">
      <c r="A6521" s="3" t="s">
        <v>565</v>
      </c>
      <c r="C6521" s="16" t="n">
        <f aca="false">C6389-C6499</f>
        <v>78.61</v>
      </c>
    </row>
    <row r="6522" customFormat="false" ht="15" hidden="false" customHeight="false" outlineLevel="0" collapsed="false">
      <c r="A6522" s="24" t="s">
        <v>578</v>
      </c>
      <c r="B6522" s="25"/>
      <c r="C6522" s="25"/>
      <c r="D6522" s="25"/>
      <c r="E6522" s="25"/>
      <c r="F6522" s="25"/>
      <c r="G6522" s="25"/>
      <c r="H6522" s="25"/>
      <c r="I6522" s="25"/>
      <c r="J6522" s="25"/>
      <c r="K6522" s="25"/>
    </row>
    <row r="6523" customFormat="false" ht="15" hidden="false" customHeight="false" outlineLevel="0" collapsed="false">
      <c r="A6523" s="3" t="s">
        <v>556</v>
      </c>
      <c r="C6523" s="22" t="n">
        <f aca="false">IF(C6380=0,0,C6512/C6380)</f>
        <v>0</v>
      </c>
    </row>
    <row r="6524" customFormat="false" ht="15" hidden="false" customHeight="false" outlineLevel="0" collapsed="false">
      <c r="A6524" s="3" t="s">
        <v>557</v>
      </c>
      <c r="C6524" s="22" t="n">
        <f aca="false">IF(C6381=0,0,C6513/C6381)</f>
        <v>0.1478820782581</v>
      </c>
    </row>
    <row r="6525" customFormat="false" ht="15" hidden="false" customHeight="false" outlineLevel="0" collapsed="false">
      <c r="A6525" s="3" t="s">
        <v>558</v>
      </c>
      <c r="C6525" s="22" t="n">
        <f aca="false">IF(C6382=0,0,C6514/C6382)</f>
        <v>0.148644244363146</v>
      </c>
    </row>
    <row r="6526" customFormat="false" ht="15" hidden="false" customHeight="false" outlineLevel="0" collapsed="false">
      <c r="A6526" s="3" t="s">
        <v>559</v>
      </c>
      <c r="C6526" s="22" t="n">
        <f aca="false">IF(C6383=0,0,C6515/C6383)</f>
        <v>0</v>
      </c>
    </row>
    <row r="6527" customFormat="false" ht="15" hidden="false" customHeight="false" outlineLevel="0" collapsed="false">
      <c r="A6527" s="3" t="s">
        <v>560</v>
      </c>
      <c r="C6527" s="22" t="n">
        <f aca="false">IF(C6384=0,0,C6516/C6384)</f>
        <v>0.0809364633730359</v>
      </c>
    </row>
    <row r="6528" customFormat="false" ht="15" hidden="false" customHeight="false" outlineLevel="0" collapsed="false">
      <c r="A6528" s="3" t="s">
        <v>561</v>
      </c>
      <c r="C6528" s="22" t="n">
        <f aca="false">IF(C6385=0,0,C6517/C6385)</f>
        <v>0.0809364633730359</v>
      </c>
    </row>
    <row r="6529" customFormat="false" ht="15" hidden="false" customHeight="false" outlineLevel="0" collapsed="false">
      <c r="A6529" s="3" t="s">
        <v>562</v>
      </c>
      <c r="C6529" s="22" t="n">
        <f aca="false">IF(C6386=0,0,C6518/C6386)</f>
        <v>0.0809364633730359</v>
      </c>
    </row>
    <row r="6530" customFormat="false" ht="15" hidden="false" customHeight="false" outlineLevel="0" collapsed="false">
      <c r="A6530" s="3" t="s">
        <v>563</v>
      </c>
      <c r="C6530" s="22" t="n">
        <f aca="false">IF(C6387=0,0,C6519/C6387)</f>
        <v>0.0809364633730359</v>
      </c>
    </row>
    <row r="6531" customFormat="false" ht="15" hidden="false" customHeight="false" outlineLevel="0" collapsed="false">
      <c r="A6531" s="3" t="s">
        <v>564</v>
      </c>
      <c r="C6531" s="22" t="n">
        <f aca="false">IF(C6388=0,0,C6520/C6388)</f>
        <v>0.080936463373036</v>
      </c>
    </row>
    <row r="6532" customFormat="false" ht="15" hidden="false" customHeight="false" outlineLevel="0" collapsed="false">
      <c r="A6532" s="3" t="s">
        <v>565</v>
      </c>
      <c r="C6532" s="22" t="n">
        <f aca="false">IF(C6389=0,0,C6521/C6389)</f>
        <v>1</v>
      </c>
    </row>
    <row r="6533" customFormat="false" ht="15" hidden="false" customHeight="false" outlineLevel="0" collapsed="false">
      <c r="A6533" s="2" t="s">
        <v>579</v>
      </c>
      <c r="C6533" s="17" t="n">
        <f aca="false">MAX(0,$C$6378-SUM($C$6413:$C$6422)-SUM($C$6435:$C$6444))</f>
        <v>0</v>
      </c>
    </row>
    <row r="6534" customFormat="false" ht="15" hidden="false" customHeight="false" outlineLevel="0" collapsed="false">
      <c r="A6534" s="3" t="s">
        <v>597</v>
      </c>
      <c r="C6534" s="35" t="n">
        <f aca="false">MIN(C6377,100*CHOOSE(C6367,C6501,C6502,C6503,C6504,C6505,C6506,C6507,C6508,C6509,C6510))</f>
        <v>95</v>
      </c>
    </row>
    <row r="6535" customFormat="false" ht="15" hidden="false" customHeight="false" outlineLevel="0" collapsed="false">
      <c r="A6535" s="3" t="s">
        <v>598</v>
      </c>
      <c r="C6535" s="21" t="n">
        <f aca="false">IF(C6199=1,C6372+Assumptions!$C$40,C6371)</f>
        <v>3</v>
      </c>
    </row>
    <row r="6536" customFormat="false" ht="15" hidden="false" customHeight="false" outlineLevel="0" collapsed="false">
      <c r="A6536" s="24" t="s">
        <v>599</v>
      </c>
      <c r="B6536" s="25"/>
      <c r="C6536" s="25"/>
      <c r="D6536" s="25"/>
      <c r="E6536" s="25"/>
      <c r="F6536" s="25"/>
      <c r="G6536" s="25"/>
      <c r="H6536" s="25"/>
      <c r="I6536" s="25"/>
      <c r="J6536" s="25"/>
      <c r="K6536" s="25"/>
    </row>
    <row r="6537" customFormat="false" ht="15" hidden="false" customHeight="false" outlineLevel="0" collapsed="false">
      <c r="A6537" s="3" t="s">
        <v>600</v>
      </c>
      <c r="C6537" s="21" t="n">
        <f aca="false">COLUMN()-COLUMN($C$1)</f>
        <v>0</v>
      </c>
      <c r="D6537" s="21" t="n">
        <f aca="false">COLUMN()-COLUMN($C$1)</f>
        <v>1</v>
      </c>
      <c r="E6537" s="21" t="n">
        <f aca="false">COLUMN()-COLUMN($C$1)</f>
        <v>2</v>
      </c>
      <c r="F6537" s="21" t="n">
        <f aca="false">COLUMN()-COLUMN($C$1)</f>
        <v>3</v>
      </c>
      <c r="G6537" s="21" t="n">
        <f aca="false">COLUMN()-COLUMN($C$1)</f>
        <v>4</v>
      </c>
      <c r="H6537" s="21" t="n">
        <f aca="false">COLUMN()-COLUMN($C$1)</f>
        <v>5</v>
      </c>
      <c r="I6537" s="21" t="n">
        <f aca="false">COLUMN()-COLUMN($C$1)</f>
        <v>6</v>
      </c>
    </row>
    <row r="6538" customFormat="false" ht="15" hidden="false" customHeight="false" outlineLevel="0" collapsed="false">
      <c r="A6538" s="3" t="s">
        <v>601</v>
      </c>
      <c r="D6538" s="31" t="n">
        <f aca="false">CHOOSE($C$6367,G5947,G5960,G5973,G5986,G5999,G6012,G6025,G6038,G6051,G6064)</f>
        <v>0.1065</v>
      </c>
      <c r="E6538" s="31" t="n">
        <f aca="false">CHOOSE($C$6367,H5947,H5960,H5973,H5986,H5999,H6012,H6025,H6038,H6051,H6064)</f>
        <v>0.105</v>
      </c>
      <c r="F6538" s="31" t="n">
        <f aca="false">CHOOSE($C$6367,I5947,I5960,I5973,I5986,I5999,I6012,I6025,I6038,I6051,I6064)</f>
        <v>0.1025</v>
      </c>
      <c r="G6538" s="31" t="n">
        <f aca="false">CHOOSE($C$6367,J5947,J5960,J5973,J5986,J5999,J6012,J6025,J6038,J6051,J6064)</f>
        <v>0.1025</v>
      </c>
      <c r="H6538" s="31" t="n">
        <f aca="false">CHOOSE($C$6367,K5947,K5960,K5973,K5986,K5999,K6012,K6025,K6038,K6051,K6064)</f>
        <v>0.1025</v>
      </c>
    </row>
    <row r="6539" customFormat="false" ht="15" hidden="false" customHeight="false" outlineLevel="0" collapsed="false">
      <c r="A6539" s="3" t="s">
        <v>602</v>
      </c>
      <c r="D6539" s="16" t="n">
        <f aca="false">IF(D6537&lt;=$C$6376,$C$6368*D6538,0)</f>
        <v>10.65</v>
      </c>
      <c r="E6539" s="16" t="n">
        <f aca="false">IF(E6537&lt;=$C$6376,$C$6368*E6538,0)</f>
        <v>10.5</v>
      </c>
      <c r="F6539" s="16" t="n">
        <f aca="false">IF(F6537&lt;=$C$6376,$C$6368*F6538,0)</f>
        <v>0</v>
      </c>
      <c r="G6539" s="16" t="n">
        <f aca="false">IF(G6537&lt;=$C$6376,$C$6368*G6538,0)</f>
        <v>0</v>
      </c>
      <c r="H6539" s="16" t="n">
        <f aca="false">IF(H6537&lt;=$C$6376,$C$6368*H6538,0)</f>
        <v>0</v>
      </c>
    </row>
    <row r="6540" customFormat="false" ht="15" hidden="false" customHeight="false" outlineLevel="0" collapsed="false">
      <c r="A6540" s="3" t="s">
        <v>603</v>
      </c>
      <c r="D6540" s="16" t="n">
        <f aca="false">IF(AND($C$6199=0,D6537=$C$6371),$C$6368*$C$6534/100,0)+IF(AND($C$6199=1,D6537=$C$6535),$C$6374,0)</f>
        <v>0</v>
      </c>
      <c r="E6540" s="16" t="n">
        <f aca="false">IF(AND($C$6199=0,E6537=$C$6371),$C$6368*$C$6534/100,0)+IF(AND($C$6199=1,E6537=$C$6535),$C$6374,0)</f>
        <v>0</v>
      </c>
      <c r="F6540" s="16" t="n">
        <f aca="false">IF(AND($C$6199=0,F6537=$C$6371),$C$6368*$C$6534/100,0)+IF(AND($C$6199=1,F6537=$C$6535),$C$6374,0)</f>
        <v>102.625</v>
      </c>
      <c r="G6540" s="16" t="n">
        <f aca="false">IF(AND($C$6199=0,G6537=$C$6371),$C$6368*$C$6534/100,0)+IF(AND($C$6199=1,G6537=$C$6535),$C$6374,0)</f>
        <v>0</v>
      </c>
      <c r="H6540" s="16" t="n">
        <f aca="false">IF(AND($C$6199=0,H6537=$C$6371),$C$6368*$C$6534/100,0)+IF(AND($C$6199=1,H6537=$C$6535),$C$6374,0)</f>
        <v>0</v>
      </c>
      <c r="I6540" s="16" t="n">
        <f aca="false">IF(AND($C$6199=0,I6537=$C$6371),$C$6368*$C$6534/100,0)+IF(AND($C$6199=1,I6537=$C$6535),$C$6374,0)</f>
        <v>0</v>
      </c>
    </row>
    <row r="6541" customFormat="false" ht="15" hidden="false" customHeight="false" outlineLevel="0" collapsed="false">
      <c r="A6541" s="2" t="s">
        <v>604</v>
      </c>
      <c r="C6541" s="17" t="n">
        <f aca="false">-$C$6370</f>
        <v>-98.49</v>
      </c>
      <c r="D6541" s="17" t="n">
        <f aca="false">D6539+D6540</f>
        <v>10.65</v>
      </c>
      <c r="E6541" s="17" t="n">
        <f aca="false">E6539+E6540</f>
        <v>10.5</v>
      </c>
      <c r="F6541" s="17" t="n">
        <f aca="false">F6539+F6540</f>
        <v>102.625</v>
      </c>
      <c r="G6541" s="17" t="n">
        <f aca="false">G6539+G6540</f>
        <v>0</v>
      </c>
      <c r="H6541" s="17" t="n">
        <f aca="false">H6539+H6540</f>
        <v>0</v>
      </c>
      <c r="I6541" s="17" t="n">
        <f aca="false">I6539+I6540</f>
        <v>0</v>
      </c>
    </row>
    <row r="6542" customFormat="false" ht="15" hidden="false" customHeight="false" outlineLevel="0" collapsed="false">
      <c r="A6542" s="3" t="s">
        <v>605</v>
      </c>
      <c r="C6542" s="16" t="n">
        <f aca="false">SUM($C$6539:$I$6539)</f>
        <v>21.15</v>
      </c>
    </row>
    <row r="6543" customFormat="false" ht="15" hidden="false" customHeight="false" outlineLevel="0" collapsed="false">
      <c r="A6543" s="3" t="s">
        <v>606</v>
      </c>
      <c r="C6543" s="16" t="n">
        <f aca="false">SUM($C$6540:$I$6540)</f>
        <v>102.625</v>
      </c>
    </row>
    <row r="6544" customFormat="false" ht="15" hidden="false" customHeight="false" outlineLevel="0" collapsed="false">
      <c r="A6544" s="3" t="s">
        <v>607</v>
      </c>
      <c r="C6544" s="16" t="n">
        <f aca="false">C6542+C6543</f>
        <v>123.775</v>
      </c>
    </row>
    <row r="6545" customFormat="false" ht="15" hidden="false" customHeight="false" outlineLevel="0" collapsed="false">
      <c r="A6545" s="3" t="s">
        <v>608</v>
      </c>
      <c r="C6545" s="16" t="n">
        <f aca="false">C6543-C6368*C6369/100</f>
        <v>4.62500000000001</v>
      </c>
    </row>
    <row r="6546" customFormat="false" ht="15" hidden="false" customHeight="false" outlineLevel="0" collapsed="false">
      <c r="A6546" s="3" t="s">
        <v>609</v>
      </c>
      <c r="C6546" s="16" t="n">
        <f aca="false">C6544-C6370</f>
        <v>25.285</v>
      </c>
    </row>
    <row r="6547" customFormat="false" ht="15" hidden="false" customHeight="false" outlineLevel="0" collapsed="false">
      <c r="A6547" s="2" t="s">
        <v>484</v>
      </c>
      <c r="C6547" s="44" t="n">
        <f aca="false">C6544/C6370</f>
        <v>1.25672657122551</v>
      </c>
    </row>
    <row r="6548" customFormat="false" ht="15" hidden="false" customHeight="false" outlineLevel="0" collapsed="false">
      <c r="A6548" s="2" t="s">
        <v>483</v>
      </c>
      <c r="C6548" s="42" t="n">
        <f aca="false">IF(C6544&lt;=0,-1,IFERROR(IRR($C$6541:$I$6541,MAX(-0.9,C6547^(1/C6535)-1)),IRR($C$6541:$I$6541,0.1)))</f>
        <v>0.0873962489027792</v>
      </c>
    </row>
    <row r="6549" customFormat="false" ht="15" hidden="false" customHeight="false" outlineLevel="0" collapsed="false">
      <c r="A6549" s="3" t="s">
        <v>610</v>
      </c>
      <c r="C6549" s="32" t="n">
        <f aca="false">MAX($G$6143:$K$6143)</f>
        <v>12.7483339673236</v>
      </c>
    </row>
    <row r="6550" customFormat="false" ht="15" hidden="false" customHeight="false" outlineLevel="0" collapsed="false">
      <c r="A6550" s="3" t="s">
        <v>611</v>
      </c>
      <c r="C6550" s="32" t="n">
        <f aca="false">MIN($G$6144:$K$6144)</f>
        <v>1.13432409226902</v>
      </c>
    </row>
    <row r="6551" customFormat="false" ht="15" hidden="false" customHeight="false" outlineLevel="0" collapsed="false">
      <c r="A6551" s="3" t="s">
        <v>612</v>
      </c>
      <c r="C6551" s="16" t="n">
        <f aca="false">SUM($G$5931:$K$5931)</f>
        <v>-368.483651199586</v>
      </c>
    </row>
    <row r="6555" customFormat="false" ht="15" hidden="false" customHeight="false" outlineLevel="0" collapsed="false">
      <c r="A6555" s="9" t="s">
        <v>1140</v>
      </c>
      <c r="B6555" s="10"/>
      <c r="C6555" s="10"/>
      <c r="D6555" s="10"/>
      <c r="E6555" s="10"/>
      <c r="F6555" s="10"/>
      <c r="G6555" s="10"/>
      <c r="H6555" s="10"/>
      <c r="I6555" s="10"/>
      <c r="J6555" s="10"/>
      <c r="K6555" s="10"/>
    </row>
    <row r="6556" customFormat="false" ht="15" hidden="false" customHeight="false" outlineLevel="0" collapsed="false">
      <c r="A6556" s="3" t="s">
        <v>1126</v>
      </c>
      <c r="C6556" s="11" t="n">
        <v>2</v>
      </c>
    </row>
    <row r="6557" customFormat="false" ht="15" hidden="false" customHeight="false" outlineLevel="0" collapsed="false">
      <c r="A6557" s="3" t="s">
        <v>1127</v>
      </c>
      <c r="C6557" s="19" t="n">
        <v>0</v>
      </c>
    </row>
    <row r="6558" customFormat="false" ht="15" hidden="false" customHeight="false" outlineLevel="0" collapsed="false">
      <c r="A6558" s="3" t="s">
        <v>1128</v>
      </c>
      <c r="C6558" s="30" t="n">
        <f aca="false">Sensitivities!$A$32</f>
        <v>0</v>
      </c>
    </row>
    <row r="6559" customFormat="false" ht="15" hidden="false" customHeight="false" outlineLevel="0" collapsed="false">
      <c r="A6559" s="3" t="s">
        <v>1129</v>
      </c>
      <c r="C6559" s="19" t="n">
        <v>0</v>
      </c>
    </row>
    <row r="6560" customFormat="false" ht="15" hidden="false" customHeight="false" outlineLevel="0" collapsed="false">
      <c r="A6560" s="3" t="s">
        <v>1130</v>
      </c>
      <c r="C6560" s="15" t="n">
        <v>0</v>
      </c>
    </row>
    <row r="6562" customFormat="false" ht="15" hidden="false" customHeight="false" outlineLevel="0" collapsed="false">
      <c r="A6562" s="24" t="s">
        <v>301</v>
      </c>
      <c r="B6562" s="25"/>
      <c r="C6562" s="25"/>
      <c r="D6562" s="25"/>
      <c r="E6562" s="25"/>
      <c r="F6562" s="25"/>
      <c r="G6562" s="25"/>
      <c r="H6562" s="25"/>
      <c r="I6562" s="25"/>
      <c r="J6562" s="25"/>
      <c r="K6562" s="25"/>
    </row>
    <row r="6563" customFormat="false" ht="15" hidden="false" customHeight="false" outlineLevel="0" collapsed="false">
      <c r="A6563" s="3" t="s">
        <v>302</v>
      </c>
      <c r="F6563" s="27" t="n">
        <f aca="false">Assumptions!$C$6</f>
        <v>2026</v>
      </c>
      <c r="G6563" s="21" t="n">
        <f aca="false">F6563+1</f>
        <v>2027</v>
      </c>
      <c r="H6563" s="21" t="n">
        <f aca="false">G6563+1</f>
        <v>2028</v>
      </c>
      <c r="I6563" s="21" t="n">
        <f aca="false">H6563+1</f>
        <v>2029</v>
      </c>
      <c r="J6563" s="21" t="n">
        <f aca="false">I6563+1</f>
        <v>2030</v>
      </c>
      <c r="K6563" s="21" t="n">
        <f aca="false">J6563+1</f>
        <v>2031</v>
      </c>
    </row>
    <row r="6564" customFormat="false" ht="15" hidden="false" customHeight="false" outlineLevel="0" collapsed="false">
      <c r="A6564" s="3" t="s">
        <v>303</v>
      </c>
      <c r="G6564" s="21" t="n">
        <f aca="false">G6563-Assumptions!$C$6</f>
        <v>1</v>
      </c>
      <c r="H6564" s="21" t="n">
        <f aca="false">H6563-Assumptions!$C$6</f>
        <v>2</v>
      </c>
      <c r="I6564" s="21" t="n">
        <f aca="false">I6563-Assumptions!$C$6</f>
        <v>3</v>
      </c>
      <c r="J6564" s="21" t="n">
        <f aca="false">J6563-Assumptions!$C$6</f>
        <v>4</v>
      </c>
      <c r="K6564" s="21" t="n">
        <f aca="false">K6563-Assumptions!$C$6</f>
        <v>5</v>
      </c>
    </row>
    <row r="6565" customFormat="false" ht="15" hidden="false" customHeight="false" outlineLevel="0" collapsed="false">
      <c r="A6565" s="3" t="s">
        <v>180</v>
      </c>
      <c r="G6565" s="22" t="n">
        <f aca="false">CHOOSE($C$6556,Assumptions!$G$79,Assumptions!$G$98,Assumptions!$G$117)+$C$6557</f>
        <v>-0.06</v>
      </c>
      <c r="H6565" s="22" t="n">
        <f aca="false">CHOOSE($C$6556,Assumptions!$H$79,Assumptions!$H$98,Assumptions!$H$117)+$C$6557</f>
        <v>-0.03</v>
      </c>
      <c r="I6565" s="22" t="n">
        <f aca="false">CHOOSE($C$6556,Assumptions!$I$79,Assumptions!$I$98,Assumptions!$I$117)+$C$6557</f>
        <v>0</v>
      </c>
      <c r="J6565" s="22" t="n">
        <f aca="false">CHOOSE($C$6556,Assumptions!$J$79,Assumptions!$J$98,Assumptions!$J$117)+$C$6557</f>
        <v>0.01</v>
      </c>
      <c r="K6565" s="22" t="n">
        <f aca="false">CHOOSE($C$6556,Assumptions!$K$79,Assumptions!$K$98,Assumptions!$K$117)+$C$6557</f>
        <v>0.01</v>
      </c>
    </row>
    <row r="6566" customFormat="false" ht="15" hidden="false" customHeight="false" outlineLevel="0" collapsed="false">
      <c r="A6566" s="3" t="s">
        <v>181</v>
      </c>
      <c r="G6566" s="22" t="n">
        <f aca="false">CHOOSE($C$6556,Assumptions!$G$80,Assumptions!$G$99,Assumptions!$G$118)</f>
        <v>0.573920660818678</v>
      </c>
      <c r="H6566" s="22" t="n">
        <f aca="false">CHOOSE($C$6556,Assumptions!$H$80,Assumptions!$H$99,Assumptions!$H$118)</f>
        <v>0.558920660818678</v>
      </c>
      <c r="I6566" s="22" t="n">
        <f aca="false">CHOOSE($C$6556,Assumptions!$I$80,Assumptions!$I$99,Assumptions!$I$118)</f>
        <v>0.558920660818678</v>
      </c>
      <c r="J6566" s="22" t="n">
        <f aca="false">CHOOSE($C$6556,Assumptions!$J$80,Assumptions!$J$99,Assumptions!$J$118)</f>
        <v>0.563920660818678</v>
      </c>
      <c r="K6566" s="22" t="n">
        <f aca="false">CHOOSE($C$6556,Assumptions!$K$80,Assumptions!$K$99,Assumptions!$K$118)</f>
        <v>0.568920660818678</v>
      </c>
    </row>
    <row r="6567" customFormat="false" ht="15" hidden="false" customHeight="false" outlineLevel="0" collapsed="false">
      <c r="A6567" s="3" t="s">
        <v>182</v>
      </c>
      <c r="G6567" s="22" t="n">
        <f aca="false">CHOOSE($C$6556,Assumptions!$G$81,Assumptions!$G$100,Assumptions!$G$119)+$C$6558</f>
        <v>0.5</v>
      </c>
      <c r="H6567" s="22" t="n">
        <f aca="false">CHOOSE($C$6556,Assumptions!$H$81,Assumptions!$H$100,Assumptions!$H$119)+$C$6558</f>
        <v>0.485</v>
      </c>
      <c r="I6567" s="22" t="n">
        <f aca="false">CHOOSE($C$6556,Assumptions!$I$81,Assumptions!$I$100,Assumptions!$I$119)+$C$6558</f>
        <v>0.485</v>
      </c>
      <c r="J6567" s="22" t="n">
        <f aca="false">CHOOSE($C$6556,Assumptions!$J$81,Assumptions!$J$100,Assumptions!$J$119)+$C$6558</f>
        <v>0.49</v>
      </c>
      <c r="K6567" s="22" t="n">
        <f aca="false">CHOOSE($C$6556,Assumptions!$K$81,Assumptions!$K$100,Assumptions!$K$119)+$C$6558</f>
        <v>0.495</v>
      </c>
    </row>
    <row r="6568" customFormat="false" ht="15" hidden="false" customHeight="false" outlineLevel="0" collapsed="false">
      <c r="A6568" s="24" t="s">
        <v>304</v>
      </c>
      <c r="B6568" s="25"/>
      <c r="C6568" s="25"/>
      <c r="D6568" s="25"/>
      <c r="E6568" s="25"/>
      <c r="F6568" s="25"/>
      <c r="G6568" s="25"/>
      <c r="H6568" s="25"/>
      <c r="I6568" s="25"/>
      <c r="J6568" s="25"/>
      <c r="K6568" s="25"/>
    </row>
    <row r="6569" customFormat="false" ht="15" hidden="false" customHeight="false" outlineLevel="0" collapsed="false">
      <c r="A6569" s="2" t="s">
        <v>275</v>
      </c>
      <c r="F6569" s="28" t="n">
        <f aca="false">'Historical Financials'!G25</f>
        <v>498.291</v>
      </c>
      <c r="G6569" s="17" t="n">
        <f aca="false">F6569*(1+G6565)</f>
        <v>468.39354</v>
      </c>
      <c r="H6569" s="17" t="n">
        <f aca="false">G6569*(1+H6565)</f>
        <v>454.3417338</v>
      </c>
      <c r="I6569" s="17" t="n">
        <f aca="false">H6569*(1+I6565)</f>
        <v>454.3417338</v>
      </c>
      <c r="J6569" s="17" t="n">
        <f aca="false">I6569*(1+J6565)</f>
        <v>458.885151138</v>
      </c>
      <c r="K6569" s="17" t="n">
        <f aca="false">J6569*(1+K6565)</f>
        <v>463.47400264938</v>
      </c>
    </row>
    <row r="6570" customFormat="false" ht="15" hidden="false" customHeight="false" outlineLevel="0" collapsed="false">
      <c r="A6570" s="3" t="s">
        <v>276</v>
      </c>
      <c r="G6570" s="16" t="n">
        <f aca="false">G6569*(1-G6566)</f>
        <v>199.57281</v>
      </c>
      <c r="H6570" s="16" t="n">
        <f aca="false">H6569*(1-H6566)</f>
        <v>200.400751707</v>
      </c>
      <c r="I6570" s="16" t="n">
        <f aca="false">I6569*(1-I6566)</f>
        <v>200.400751707</v>
      </c>
      <c r="J6570" s="16" t="n">
        <f aca="false">J6569*(1-J6566)</f>
        <v>200.11033346838</v>
      </c>
      <c r="K6570" s="16" t="n">
        <f aca="false">K6569*(1-K6566)</f>
        <v>199.794066789817</v>
      </c>
    </row>
    <row r="6571" customFormat="false" ht="15" hidden="false" customHeight="false" outlineLevel="0" collapsed="false">
      <c r="A6571" s="2" t="s">
        <v>277</v>
      </c>
      <c r="G6571" s="17" t="n">
        <f aca="false">G6569-G6570</f>
        <v>268.82073</v>
      </c>
      <c r="H6571" s="17" t="n">
        <f aca="false">H6569-H6570</f>
        <v>253.940982093</v>
      </c>
      <c r="I6571" s="17" t="n">
        <f aca="false">I6569-I6570</f>
        <v>253.940982093</v>
      </c>
      <c r="J6571" s="17" t="n">
        <f aca="false">J6569-J6570</f>
        <v>258.77481766962</v>
      </c>
      <c r="K6571" s="17" t="n">
        <f aca="false">K6569-K6570</f>
        <v>263.679935859563</v>
      </c>
    </row>
    <row r="6572" customFormat="false" ht="15" hidden="false" customHeight="false" outlineLevel="0" collapsed="false">
      <c r="A6572" s="3" t="s">
        <v>305</v>
      </c>
      <c r="G6572" s="16" t="n">
        <f aca="false">G6571-G6573</f>
        <v>34.62396</v>
      </c>
      <c r="H6572" s="16" t="n">
        <f aca="false">H6571-H6573</f>
        <v>33.5852412</v>
      </c>
      <c r="I6572" s="16" t="n">
        <f aca="false">I6571-I6573</f>
        <v>33.5852412</v>
      </c>
      <c r="J6572" s="16" t="n">
        <f aca="false">J6571-J6573</f>
        <v>33.921093612</v>
      </c>
      <c r="K6572" s="16" t="n">
        <f aca="false">K6571-K6573</f>
        <v>34.26030454812</v>
      </c>
    </row>
    <row r="6573" customFormat="false" ht="15" hidden="false" customHeight="false" outlineLevel="0" collapsed="false">
      <c r="A6573" s="2" t="s">
        <v>306</v>
      </c>
      <c r="G6573" s="17" t="n">
        <f aca="false">G6569*G6567</f>
        <v>234.19677</v>
      </c>
      <c r="H6573" s="17" t="n">
        <f aca="false">H6569*H6567</f>
        <v>220.355740893</v>
      </c>
      <c r="I6573" s="17" t="n">
        <f aca="false">I6569*I6567</f>
        <v>220.355740893</v>
      </c>
      <c r="J6573" s="17" t="n">
        <f aca="false">J6569*J6567</f>
        <v>224.85372405762</v>
      </c>
      <c r="K6573" s="17" t="n">
        <f aca="false">K6569*K6567</f>
        <v>229.419631311443</v>
      </c>
    </row>
    <row r="6574" customFormat="false" ht="15" hidden="false" customHeight="false" outlineLevel="0" collapsed="false">
      <c r="A6574" s="3" t="s">
        <v>307</v>
      </c>
      <c r="G6574" s="16" t="n">
        <f aca="false">G6569*'Historical Financials'!G30/'Historical Financials'!G25</f>
        <v>174.17542</v>
      </c>
      <c r="H6574" s="16" t="n">
        <f aca="false">H6569*'Historical Financials'!G30/'Historical Financials'!G25</f>
        <v>168.9501574</v>
      </c>
      <c r="I6574" s="16" t="n">
        <f aca="false">I6569*'Historical Financials'!G30/'Historical Financials'!G25</f>
        <v>168.9501574</v>
      </c>
      <c r="J6574" s="16" t="n">
        <f aca="false">J6569*'Historical Financials'!G30/'Historical Financials'!G25</f>
        <v>170.639658974</v>
      </c>
      <c r="K6574" s="16" t="n">
        <f aca="false">K6569*'Historical Financials'!G30/'Historical Financials'!G25</f>
        <v>172.34605556374</v>
      </c>
    </row>
    <row r="6575" customFormat="false" ht="15" hidden="false" customHeight="false" outlineLevel="0" collapsed="false">
      <c r="A6575" s="3" t="s">
        <v>308</v>
      </c>
      <c r="G6575" s="16" t="n">
        <f aca="false">G6569*'Historical Financials'!G31/'Historical Financials'!G25</f>
        <v>0</v>
      </c>
      <c r="H6575" s="16" t="n">
        <f aca="false">H6569*'Historical Financials'!G31/'Historical Financials'!G25</f>
        <v>0</v>
      </c>
      <c r="I6575" s="16" t="n">
        <f aca="false">I6569*'Historical Financials'!G31/'Historical Financials'!G25</f>
        <v>0</v>
      </c>
      <c r="J6575" s="16" t="n">
        <f aca="false">J6569*'Historical Financials'!G31/'Historical Financials'!G25</f>
        <v>0</v>
      </c>
      <c r="K6575" s="16" t="n">
        <f aca="false">K6569*'Historical Financials'!G31/'Historical Financials'!G25</f>
        <v>0</v>
      </c>
    </row>
    <row r="6576" customFormat="false" ht="15" hidden="false" customHeight="false" outlineLevel="0" collapsed="false">
      <c r="A6576" s="2" t="s">
        <v>309</v>
      </c>
      <c r="G6576" s="17" t="n">
        <f aca="false">G6573-G6574-G6575</f>
        <v>60.02135</v>
      </c>
      <c r="H6576" s="17" t="n">
        <f aca="false">H6573-H6574-H6575</f>
        <v>51.405583493</v>
      </c>
      <c r="I6576" s="17" t="n">
        <f aca="false">I6573-I6574-I6575</f>
        <v>51.405583493</v>
      </c>
      <c r="J6576" s="17" t="n">
        <f aca="false">J6573-J6574-J6575</f>
        <v>54.21406508362</v>
      </c>
      <c r="K6576" s="17" t="n">
        <f aca="false">K6573-K6574-K6575</f>
        <v>57.0735757477031</v>
      </c>
    </row>
    <row r="6577" customFormat="false" ht="15" hidden="false" customHeight="false" outlineLevel="0" collapsed="false">
      <c r="A6577" s="3" t="s">
        <v>310</v>
      </c>
      <c r="G6577" s="16" t="n">
        <f aca="false">G6603+G6616+G6629+G6642+G6655+G6668+G6681+G6694+G6707+G6720</f>
        <v>187.3888354</v>
      </c>
      <c r="H6577" s="16" t="n">
        <f aca="false">H6603+H6616+H6629+H6642+H6655+H6668+H6681+H6694+H6707+H6720</f>
        <v>186.2509204</v>
      </c>
      <c r="I6577" s="16" t="n">
        <f aca="false">I6603+I6616+I6629+I6642+I6655+I6668+I6681+I6694+I6707+I6720</f>
        <v>182.7365265363</v>
      </c>
      <c r="J6577" s="16" t="n">
        <f aca="false">J6603+J6616+J6629+J6642+J6655+J6668+J6681+J6694+J6707+J6720</f>
        <v>182.3265265363</v>
      </c>
      <c r="K6577" s="16" t="n">
        <f aca="false">K6603+K6616+K6629+K6642+K6655+K6668+K6681+K6694+K6707+K6720</f>
        <v>181.9165265363</v>
      </c>
    </row>
    <row r="6578" customFormat="false" ht="15" hidden="false" customHeight="false" outlineLevel="0" collapsed="false">
      <c r="A6578" s="3" t="s">
        <v>311</v>
      </c>
      <c r="G6578" s="16" t="n">
        <f aca="false">G6604+G6617+G6630+G6643+G6656+G6669+G6682+G6695+G6708+G6721</f>
        <v>0</v>
      </c>
      <c r="H6578" s="16" t="n">
        <f aca="false">H6604+H6617+H6630+H6643+H6656+H6669+H6682+H6695+H6708+H6721</f>
        <v>0</v>
      </c>
      <c r="I6578" s="16" t="n">
        <f aca="false">I6604+I6617+I6630+I6643+I6656+I6669+I6682+I6695+I6708+I6721</f>
        <v>0</v>
      </c>
      <c r="J6578" s="16" t="n">
        <f aca="false">J6604+J6617+J6630+J6643+J6656+J6669+J6682+J6695+J6708+J6721</f>
        <v>0</v>
      </c>
      <c r="K6578" s="16" t="n">
        <f aca="false">K6604+K6617+K6630+K6643+K6656+K6669+K6682+K6695+K6708+K6721</f>
        <v>0</v>
      </c>
    </row>
    <row r="6579" customFormat="false" ht="15" hidden="false" customHeight="false" outlineLevel="0" collapsed="false">
      <c r="A6579" s="3" t="s">
        <v>283</v>
      </c>
      <c r="G6579" s="16" t="n">
        <f aca="false">G6577+G6578</f>
        <v>187.3888354</v>
      </c>
      <c r="H6579" s="16" t="n">
        <f aca="false">H6577+H6578</f>
        <v>186.2509204</v>
      </c>
      <c r="I6579" s="16" t="n">
        <f aca="false">I6577+I6578</f>
        <v>182.7365265363</v>
      </c>
      <c r="J6579" s="16" t="n">
        <f aca="false">J6577+J6578</f>
        <v>182.3265265363</v>
      </c>
      <c r="K6579" s="16" t="n">
        <f aca="false">K6577+K6578</f>
        <v>181.9165265363</v>
      </c>
    </row>
    <row r="6580" customFormat="false" ht="15" hidden="false" customHeight="false" outlineLevel="0" collapsed="false">
      <c r="A6580" s="2" t="s">
        <v>284</v>
      </c>
      <c r="G6580" s="17" t="n">
        <f aca="false">G6576-G6579</f>
        <v>-127.3674854</v>
      </c>
      <c r="H6580" s="17" t="n">
        <f aca="false">H6576-H6579</f>
        <v>-134.845336907</v>
      </c>
      <c r="I6580" s="17" t="n">
        <f aca="false">I6576-I6579</f>
        <v>-131.3309430433</v>
      </c>
      <c r="J6580" s="17" t="n">
        <f aca="false">J6576-J6579</f>
        <v>-128.112461452679</v>
      </c>
      <c r="K6580" s="17" t="n">
        <f aca="false">K6576-K6579</f>
        <v>-124.842950788596</v>
      </c>
    </row>
    <row r="6581" customFormat="false" ht="15" hidden="false" customHeight="false" outlineLevel="0" collapsed="false">
      <c r="A6581" s="3" t="s">
        <v>312</v>
      </c>
      <c r="G6581" s="16" t="n">
        <f aca="false">MAX(0,G6580)*Assumptions!$C$9</f>
        <v>0</v>
      </c>
      <c r="H6581" s="16" t="n">
        <f aca="false">MAX(0,H6580)*Assumptions!$C$9</f>
        <v>0</v>
      </c>
      <c r="I6581" s="16" t="n">
        <f aca="false">MAX(0,I6580)*Assumptions!$C$9</f>
        <v>0</v>
      </c>
      <c r="J6581" s="16" t="n">
        <f aca="false">MAX(0,J6580)*Assumptions!$C$9</f>
        <v>0</v>
      </c>
      <c r="K6581" s="16" t="n">
        <f aca="false">MAX(0,K6580)*Assumptions!$C$9</f>
        <v>0</v>
      </c>
    </row>
    <row r="6582" customFormat="false" ht="15" hidden="false" customHeight="false" outlineLevel="0" collapsed="false">
      <c r="A6582" s="2" t="s">
        <v>313</v>
      </c>
      <c r="G6582" s="17" t="n">
        <f aca="false">G6580-G6581</f>
        <v>-127.3674854</v>
      </c>
      <c r="H6582" s="17" t="n">
        <f aca="false">H6580-H6581</f>
        <v>-134.845336907</v>
      </c>
      <c r="I6582" s="17" t="n">
        <f aca="false">I6580-I6581</f>
        <v>-131.3309430433</v>
      </c>
      <c r="J6582" s="17" t="n">
        <f aca="false">J6580-J6581</f>
        <v>-128.112461452679</v>
      </c>
      <c r="K6582" s="17" t="n">
        <f aca="false">K6580-K6581</f>
        <v>-124.842950788596</v>
      </c>
    </row>
    <row r="6583" customFormat="false" ht="15" hidden="false" customHeight="false" outlineLevel="0" collapsed="false">
      <c r="A6583" s="24" t="s">
        <v>314</v>
      </c>
      <c r="B6583" s="25"/>
      <c r="C6583" s="25"/>
      <c r="D6583" s="25"/>
      <c r="E6583" s="25"/>
      <c r="F6583" s="25"/>
      <c r="G6583" s="25"/>
      <c r="H6583" s="25"/>
      <c r="I6583" s="25"/>
      <c r="J6583" s="25"/>
      <c r="K6583" s="25"/>
    </row>
    <row r="6584" customFormat="false" ht="15" hidden="false" customHeight="false" outlineLevel="0" collapsed="false">
      <c r="A6584" s="3" t="s">
        <v>184</v>
      </c>
      <c r="G6584" s="16" t="n">
        <f aca="false">G6569*CHOOSE($C$6556,Assumptions!$C$83,Assumptions!$C$102,Assumptions!$C$121)</f>
        <v>84.3108372</v>
      </c>
      <c r="H6584" s="16" t="n">
        <f aca="false">H6569*CHOOSE($C$6556,Assumptions!$C$83,Assumptions!$C$102,Assumptions!$C$121)</f>
        <v>81.781512084</v>
      </c>
      <c r="I6584" s="16" t="n">
        <f aca="false">I6569*CHOOSE($C$6556,Assumptions!$C$83,Assumptions!$C$102,Assumptions!$C$121)</f>
        <v>81.781512084</v>
      </c>
      <c r="J6584" s="16" t="n">
        <f aca="false">J6569*CHOOSE($C$6556,Assumptions!$C$83,Assumptions!$C$102,Assumptions!$C$121)</f>
        <v>82.59932720484</v>
      </c>
      <c r="K6584" s="16" t="n">
        <f aca="false">K6569*CHOOSE($C$6556,Assumptions!$C$83,Assumptions!$C$102,Assumptions!$C$121)</f>
        <v>83.4253204768884</v>
      </c>
    </row>
    <row r="6585" customFormat="false" ht="15" hidden="false" customHeight="false" outlineLevel="0" collapsed="false">
      <c r="A6585" s="3" t="s">
        <v>315</v>
      </c>
      <c r="G6585" s="16" t="n">
        <f aca="false">CHOOSE($C$6556,Assumptions!$C$84,Assumptions!$C$103,Assumptions!$C$122)*(G6569-F6569)+CHOOSE($C$6556,Assumptions!$C$85,Assumptions!$C$104,Assumptions!$C$123)*G6569</f>
        <v>23.419677</v>
      </c>
      <c r="H6585" s="16" t="n">
        <f aca="false">CHOOSE($C$6556,Assumptions!$C$84,Assumptions!$C$103,Assumptions!$C$122)*(H6569-G6569)+CHOOSE($C$6556,Assumptions!$C$85,Assumptions!$C$104,Assumptions!$C$123)*H6569</f>
        <v>22.71708669</v>
      </c>
      <c r="I6585" s="16" t="n">
        <f aca="false">CHOOSE($C$6556,Assumptions!$C$84,Assumptions!$C$103,Assumptions!$C$122)*(I6569-H6569)+CHOOSE($C$6556,Assumptions!$C$85,Assumptions!$C$104,Assumptions!$C$123)*I6569</f>
        <v>22.71708669</v>
      </c>
      <c r="J6585" s="16" t="n">
        <f aca="false">CHOOSE($C$6556,Assumptions!$C$84,Assumptions!$C$103,Assumptions!$C$122)*(J6569-I6569)+CHOOSE($C$6556,Assumptions!$C$85,Assumptions!$C$104,Assumptions!$C$123)*J6569</f>
        <v>22.9442575569</v>
      </c>
      <c r="K6585" s="16" t="n">
        <f aca="false">CHOOSE($C$6556,Assumptions!$C$84,Assumptions!$C$103,Assumptions!$C$122)*(K6569-J6569)+CHOOSE($C$6556,Assumptions!$C$85,Assumptions!$C$104,Assumptions!$C$123)*K6569</f>
        <v>23.173700132469</v>
      </c>
    </row>
    <row r="6586" customFormat="false" ht="15" hidden="false" customHeight="false" outlineLevel="0" collapsed="false">
      <c r="A6586" s="2" t="s">
        <v>316</v>
      </c>
      <c r="G6586" s="17" t="n">
        <f aca="false">G6582+G6574+G6575+G6578-G6584-G6585</f>
        <v>-60.9225796</v>
      </c>
      <c r="H6586" s="17" t="n">
        <f aca="false">H6582+H6574+H6575+H6578-H6584-H6585</f>
        <v>-70.393778281</v>
      </c>
      <c r="I6586" s="17" t="n">
        <f aca="false">I6582+I6574+I6575+I6578-I6584-I6585</f>
        <v>-66.8793844172995</v>
      </c>
      <c r="J6586" s="17" t="n">
        <f aca="false">J6582+J6574+J6575+J6578-J6584-J6585</f>
        <v>-63.0163872404195</v>
      </c>
      <c r="K6586" s="17" t="n">
        <f aca="false">K6582+K6574+K6575+K6578-K6584-K6585</f>
        <v>-59.0959158342138</v>
      </c>
    </row>
    <row r="6588" customFormat="false" ht="15" hidden="false" customHeight="false" outlineLevel="0" collapsed="false">
      <c r="A6588" s="24" t="s">
        <v>318</v>
      </c>
      <c r="B6588" s="25"/>
      <c r="C6588" s="25"/>
      <c r="D6588" s="25"/>
      <c r="E6588" s="25"/>
      <c r="F6588" s="25"/>
      <c r="G6588" s="25"/>
      <c r="H6588" s="25"/>
      <c r="I6588" s="25"/>
      <c r="J6588" s="25"/>
      <c r="K6588" s="25"/>
    </row>
    <row r="6589" customFormat="false" ht="15" hidden="false" customHeight="false" outlineLevel="0" collapsed="false">
      <c r="A6589" s="3" t="s">
        <v>319</v>
      </c>
      <c r="G6589" s="30" t="n">
        <f aca="false">Assumptions!$G$53</f>
        <v>0.039</v>
      </c>
      <c r="H6589" s="30" t="n">
        <f aca="false">Assumptions!$H$53</f>
        <v>0.0375</v>
      </c>
      <c r="I6589" s="30" t="n">
        <f aca="false">Assumptions!$I$53</f>
        <v>0.035</v>
      </c>
      <c r="J6589" s="30" t="n">
        <f aca="false">Assumptions!$J$53</f>
        <v>0.035</v>
      </c>
      <c r="K6589" s="30" t="n">
        <f aca="false">Assumptions!$K$53</f>
        <v>0.035</v>
      </c>
    </row>
    <row r="6590" customFormat="false" ht="15" hidden="false" customHeight="false" outlineLevel="0" collapsed="false">
      <c r="A6590" s="3" t="s">
        <v>320</v>
      </c>
      <c r="C6590" s="31" t="n">
        <f aca="false">CHOOSE($C$6556,Assumptions!$C$86,Assumptions!$C$105,Assumptions!$C$124)+$C$6559</f>
        <v>0.015</v>
      </c>
    </row>
    <row r="6591" customFormat="false" ht="15" hidden="false" customHeight="false" outlineLevel="0" collapsed="false">
      <c r="A6591" s="3" t="s">
        <v>321</v>
      </c>
      <c r="C6591" s="31" t="n">
        <f aca="false">CHOOSE($C$6556,Assumptions!$C$87,Assumptions!$C$106,Assumptions!$C$125)</f>
        <v>0.1</v>
      </c>
    </row>
    <row r="6592" customFormat="false" ht="15" hidden="false" customHeight="false" outlineLevel="0" collapsed="false">
      <c r="A6592" s="3" t="s">
        <v>322</v>
      </c>
      <c r="C6592" s="32" t="n">
        <f aca="false">CHOOSE($C$6556,Assumptions!$C$88,Assumptions!$C$107,Assumptions!$C$126)</f>
        <v>9.5</v>
      </c>
    </row>
    <row r="6593" customFormat="false" ht="15" hidden="false" customHeight="false" outlineLevel="0" collapsed="false">
      <c r="A6593" s="3" t="s">
        <v>323</v>
      </c>
      <c r="C6593" s="32" t="n">
        <f aca="false">CHOOSE($C$6556,Assumptions!$C$89,Assumptions!$C$108,Assumptions!$C$127)</f>
        <v>1.5</v>
      </c>
    </row>
    <row r="6594" customFormat="false" ht="15" hidden="false" customHeight="false" outlineLevel="0" collapsed="false">
      <c r="A6594" s="3" t="s">
        <v>324</v>
      </c>
      <c r="G6594" s="16" t="n">
        <f aca="false">G6599+G6612+G6625+G6638+G6651+G6664+G6677+G6690+G6703+G6716</f>
        <v>2625.934</v>
      </c>
      <c r="H6594" s="16" t="n">
        <f aca="false">H6599+H6612+H6625+H6638+H6651+H6664+H6677+H6690+H6703+H6716</f>
        <v>2621.934</v>
      </c>
      <c r="I6594" s="16" t="n">
        <f aca="false">I6599+I6612+I6625+I6638+I6651+I6664+I6677+I6690+I6703+I6716</f>
        <v>2569.380357881</v>
      </c>
      <c r="J6594" s="16" t="n">
        <f aca="false">J6599+J6612+J6625+J6638+J6651+J6664+J6677+J6690+J6703+J6716</f>
        <v>2565.380357881</v>
      </c>
      <c r="K6594" s="16" t="n">
        <f aca="false">K6599+K6612+K6625+K6638+K6651+K6664+K6677+K6690+K6703+K6716</f>
        <v>2561.380357881</v>
      </c>
    </row>
    <row r="6595" customFormat="false" ht="15" hidden="false" customHeight="false" outlineLevel="0" collapsed="false">
      <c r="A6595" s="3" t="s">
        <v>325</v>
      </c>
      <c r="G6595" s="16" t="n">
        <f aca="false">F6787</f>
        <v>37.87</v>
      </c>
      <c r="H6595" s="16" t="n">
        <f aca="false">G6787</f>
        <v>122.9474204</v>
      </c>
      <c r="I6595" s="16" t="n">
        <f aca="false">H6787</f>
        <v>0</v>
      </c>
      <c r="J6595" s="16" t="n">
        <f aca="false">I6787</f>
        <v>-70.8793844172995</v>
      </c>
      <c r="K6595" s="16" t="n">
        <f aca="false">J6787</f>
        <v>-137.895771657719</v>
      </c>
    </row>
    <row r="6596" customFormat="false" ht="15" hidden="false" customHeight="false" outlineLevel="0" collapsed="false">
      <c r="A6596" s="3" t="s">
        <v>326</v>
      </c>
      <c r="G6596" s="16" t="n">
        <f aca="false">G6599*IF(G6600=1,$C$6591,IF(Assumptions!$I$57=1,MAX(G6589,Assumptions!$G$57)+Assumptions!$F$57+$C$6590,Assumptions!$E$57))+G6612*IF(G6613=1,$C$6591,IF(Assumptions!$I$58=1,MAX(G6589,Assumptions!$G$58)+Assumptions!$F$58+$C$6590,Assumptions!$E$58))+G6625*IF(G6626=1,$C$6591,IF(Assumptions!$I$59=1,MAX(G6589,Assumptions!$G$59)+Assumptions!$F$59+$C$6590,Assumptions!$E$59))+G6638*IF(G6639=1,$C$6591,IF(Assumptions!$I$60=1,MAX(G6589,Assumptions!$G$60)+Assumptions!$F$60+$C$6590,Assumptions!$E$60))+G6651*IF(G6652=1,$C$6591,IF(Assumptions!$I$61=1,MAX(G6589,Assumptions!$G$61)+Assumptions!$F$61+$C$6590,Assumptions!$E$61))+G6664*IF(G6665=1,$C$6591,IF(Assumptions!$I$62=1,MAX(G6589,Assumptions!$G$62)+Assumptions!$F$62+$C$6590,Assumptions!$E$62))+G6677*IF(G6678=1,$C$6591,IF(Assumptions!$I$63=1,MAX(G6589,Assumptions!$G$63)+Assumptions!$F$63+$C$6590,Assumptions!$E$63))+G6690*IF(G6691=1,$C$6591,IF(Assumptions!$I$64=1,MAX(G6589,Assumptions!$G$64)+Assumptions!$F$64+$C$6590,Assumptions!$E$64))+G6703*IF(G6704=1,$C$6591,IF(Assumptions!$I$65=1,MAX(G6589,Assumptions!$G$65)+Assumptions!$F$65+$C$6590,Assumptions!$E$65))+G6716*IF(G6717=1,$C$6591,IF(Assumptions!$I$66=1,MAX(G6589,Assumptions!$G$66)+Assumptions!$F$66+$C$6590,Assumptions!$E$66))</f>
        <v>187.3888354</v>
      </c>
      <c r="H6596" s="16" t="n">
        <f aca="false">H6599*IF(OR(H6600=1,G6909=1),$C$6591,IF(Assumptions!$I$57=1,MAX(H6589,Assumptions!$G$57)+Assumptions!$F$57+$C$6590,Assumptions!$E$57))+H6612*IF(OR(H6613=1,G6910=1),$C$6591,IF(Assumptions!$I$58=1,MAX(H6589,Assumptions!$G$58)+Assumptions!$F$58+$C$6590,Assumptions!$E$58))+H6625*IF(OR(H6626=1,G6911=1),$C$6591,IF(Assumptions!$I$59=1,MAX(H6589,Assumptions!$G$59)+Assumptions!$F$59+$C$6590,Assumptions!$E$59))+H6638*IF(OR(H6639=1,G6912=1),$C$6591,IF(Assumptions!$I$60=1,MAX(H6589,Assumptions!$G$60)+Assumptions!$F$60+$C$6590,Assumptions!$E$60))+H6651*IF(OR(H6652=1,G6913=1),$C$6591,IF(Assumptions!$I$61=1,MAX(H6589,Assumptions!$G$61)+Assumptions!$F$61+$C$6590,Assumptions!$E$61))+H6664*IF(OR(H6665=1,G6914=1),$C$6591,IF(Assumptions!$I$62=1,MAX(H6589,Assumptions!$G$62)+Assumptions!$F$62+$C$6590,Assumptions!$E$62))+H6677*IF(OR(H6678=1,G6915=1),$C$6591,IF(Assumptions!$I$63=1,MAX(H6589,Assumptions!$G$63)+Assumptions!$F$63+$C$6590,Assumptions!$E$63))+H6690*IF(OR(H6691=1,G6916=1),$C$6591,IF(Assumptions!$I$64=1,MAX(H6589,Assumptions!$G$64)+Assumptions!$F$64+$C$6590,Assumptions!$E$64))+H6703*IF(OR(H6704=1,G6917=1),$C$6591,IF(Assumptions!$I$65=1,MAX(H6589,Assumptions!$G$65)+Assumptions!$F$65+$C$6590,Assumptions!$E$65))+H6716*IF(OR(H6717=1,G6918=1),$C$6591,IF(Assumptions!$I$66=1,MAX(H6589,Assumptions!$G$66)+Assumptions!$F$66+$C$6590,Assumptions!$E$66))</f>
        <v>219.4259204</v>
      </c>
      <c r="I6596" s="16" t="n">
        <f aca="false">I6599*IF(OR(I6600=1,H6909=1),$C$6591,IF(Assumptions!$I$57=1,MAX(I6589,Assumptions!$G$57)+Assumptions!$F$57+$C$6590,Assumptions!$E$57))+I6612*IF(OR(I6613=1,H6910=1),$C$6591,IF(Assumptions!$I$58=1,MAX(I6589,Assumptions!$G$58)+Assumptions!$F$58+$C$6590,Assumptions!$E$58))+I6625*IF(OR(I6626=1,H6911=1),$C$6591,IF(Assumptions!$I$59=1,MAX(I6589,Assumptions!$G$59)+Assumptions!$F$59+$C$6590,Assumptions!$E$59))+I6638*IF(OR(I6639=1,H6912=1),$C$6591,IF(Assumptions!$I$60=1,MAX(I6589,Assumptions!$G$60)+Assumptions!$F$60+$C$6590,Assumptions!$E$60))+I6651*IF(OR(I6652=1,H6913=1),$C$6591,IF(Assumptions!$I$61=1,MAX(I6589,Assumptions!$G$61)+Assumptions!$F$61+$C$6590,Assumptions!$E$61))+I6664*IF(OR(I6665=1,H6914=1),$C$6591,IF(Assumptions!$I$62=1,MAX(I6589,Assumptions!$G$62)+Assumptions!$F$62+$C$6590,Assumptions!$E$62))+I6677*IF(OR(I6678=1,H6915=1),$C$6591,IF(Assumptions!$I$63=1,MAX(I6589,Assumptions!$G$63)+Assumptions!$F$63+$C$6590,Assumptions!$E$63))+I6690*IF(OR(I6691=1,H6916=1),$C$6591,IF(Assumptions!$I$64=1,MAX(I6589,Assumptions!$G$64)+Assumptions!$F$64+$C$6590,Assumptions!$E$64))+I6703*IF(OR(I6704=1,H6917=1),$C$6591,IF(Assumptions!$I$65=1,MAX(I6589,Assumptions!$G$65)+Assumptions!$F$65+$C$6590,Assumptions!$E$65))+I6716*IF(OR(I6717=1,H6918=1),$C$6591,IF(Assumptions!$I$66=1,MAX(I6589,Assumptions!$G$66)+Assumptions!$F$66+$C$6590,Assumptions!$E$66))</f>
        <v>188.9240265363</v>
      </c>
      <c r="J6596" s="16" t="n">
        <f aca="false">J6599*IF(OR(J6600=1,I6909=1),$C$6591,IF(Assumptions!$I$57=1,MAX(J6589,Assumptions!$G$57)+Assumptions!$F$57+$C$6590,Assumptions!$E$57))+J6612*IF(OR(J6613=1,I6910=1),$C$6591,IF(Assumptions!$I$58=1,MAX(J6589,Assumptions!$G$58)+Assumptions!$F$58+$C$6590,Assumptions!$E$58))+J6625*IF(OR(J6626=1,I6911=1),$C$6591,IF(Assumptions!$I$59=1,MAX(J6589,Assumptions!$G$59)+Assumptions!$F$59+$C$6590,Assumptions!$E$59))+J6638*IF(OR(J6639=1,I6912=1),$C$6591,IF(Assumptions!$I$60=1,MAX(J6589,Assumptions!$G$60)+Assumptions!$F$60+$C$6590,Assumptions!$E$60))+J6651*IF(OR(J6652=1,I6913=1),$C$6591,IF(Assumptions!$I$61=1,MAX(J6589,Assumptions!$G$61)+Assumptions!$F$61+$C$6590,Assumptions!$E$61))+J6664*IF(OR(J6665=1,I6914=1),$C$6591,IF(Assumptions!$I$62=1,MAX(J6589,Assumptions!$G$62)+Assumptions!$F$62+$C$6590,Assumptions!$E$62))+J6677*IF(OR(J6678=1,I6915=1),$C$6591,IF(Assumptions!$I$63=1,MAX(J6589,Assumptions!$G$63)+Assumptions!$F$63+$C$6590,Assumptions!$E$63))+J6690*IF(OR(J6691=1,I6916=1),$C$6591,IF(Assumptions!$I$64=1,MAX(J6589,Assumptions!$G$64)+Assumptions!$F$64+$C$6590,Assumptions!$E$64))+J6703*IF(OR(J6704=1,I6917=1),$C$6591,IF(Assumptions!$I$65=1,MAX(J6589,Assumptions!$G$65)+Assumptions!$F$65+$C$6590,Assumptions!$E$65))+J6716*IF(OR(J6717=1,I6918=1),$C$6591,IF(Assumptions!$I$66=1,MAX(J6589,Assumptions!$G$66)+Assumptions!$F$66+$C$6590,Assumptions!$E$66))</f>
        <v>201.401526536299</v>
      </c>
      <c r="K6596" s="16" t="n">
        <f aca="false">K6599*IF(OR(K6600=1,J6909=1),$C$6591,IF(Assumptions!$I$57=1,MAX(K6589,Assumptions!$G$57)+Assumptions!$F$57+$C$6590,Assumptions!$E$57))+K6612*IF(OR(K6613=1,J6910=1),$C$6591,IF(Assumptions!$I$58=1,MAX(K6589,Assumptions!$G$58)+Assumptions!$F$58+$C$6590,Assumptions!$E$58))+K6625*IF(OR(K6626=1,J6911=1),$C$6591,IF(Assumptions!$I$59=1,MAX(K6589,Assumptions!$G$59)+Assumptions!$F$59+$C$6590,Assumptions!$E$59))+K6638*IF(OR(K6639=1,J6912=1),$C$6591,IF(Assumptions!$I$60=1,MAX(K6589,Assumptions!$G$60)+Assumptions!$F$60+$C$6590,Assumptions!$E$60))+K6651*IF(OR(K6652=1,J6913=1),$C$6591,IF(Assumptions!$I$61=1,MAX(K6589,Assumptions!$G$61)+Assumptions!$F$61+$C$6590,Assumptions!$E$61))+K6664*IF(OR(K6665=1,J6914=1),$C$6591,IF(Assumptions!$I$62=1,MAX(K6589,Assumptions!$G$62)+Assumptions!$F$62+$C$6590,Assumptions!$E$62))+K6677*IF(OR(K6678=1,J6915=1),$C$6591,IF(Assumptions!$I$63=1,MAX(K6589,Assumptions!$G$63)+Assumptions!$F$63+$C$6590,Assumptions!$E$63))+K6690*IF(OR(K6691=1,J6916=1),$C$6591,IF(Assumptions!$I$64=1,MAX(K6589,Assumptions!$G$64)+Assumptions!$F$64+$C$6590,Assumptions!$E$64))+K6703*IF(OR(K6704=1,J6917=1),$C$6591,IF(Assumptions!$I$65=1,MAX(K6589,Assumptions!$G$65)+Assumptions!$F$65+$C$6590,Assumptions!$E$65))+K6716*IF(OR(K6717=1,J6918=1),$C$6591,IF(Assumptions!$I$66=1,MAX(K6589,Assumptions!$G$66)+Assumptions!$F$66+$C$6590,Assumptions!$E$66))</f>
        <v>192.5815265363</v>
      </c>
    </row>
    <row r="6597" customFormat="false" ht="15" hidden="false" customHeight="false" outlineLevel="0" collapsed="false">
      <c r="A6597" s="3" t="s">
        <v>327</v>
      </c>
      <c r="G6597" s="21" t="n">
        <f aca="false">IF(G6573&lt;=0,0,IF(AND((G6594-G6595)/G6573&lt;=$C$6592,G6573/G6596&gt;=$C$6593),1,0))</f>
        <v>0</v>
      </c>
      <c r="H6597" s="21" t="n">
        <f aca="false">IF(H6573&lt;=0,0,IF(AND((H6594-H6595)/H6573&lt;=$C$6592,H6573/H6596&gt;=$C$6593),1,0))</f>
        <v>0</v>
      </c>
      <c r="I6597" s="21" t="n">
        <f aca="false">IF(I6573&lt;=0,0,IF(AND((I6594-I6595)/I6573&lt;=$C$6592,I6573/I6596&gt;=$C$6593),1,0))</f>
        <v>0</v>
      </c>
      <c r="J6597" s="21" t="n">
        <f aca="false">IF(J6573&lt;=0,0,IF(AND((J6594-J6595)/J6573&lt;=$C$6592,J6573/J6596&gt;=$C$6593),1,0))</f>
        <v>0</v>
      </c>
      <c r="K6597" s="21" t="n">
        <f aca="false">IF(K6573&lt;=0,0,IF(AND((K6594-K6595)/K6573&lt;=$C$6592,K6573/K6596&gt;=$C$6593),1,0))</f>
        <v>0</v>
      </c>
    </row>
    <row r="6598" customFormat="false" ht="15" hidden="false" customHeight="false" outlineLevel="0" collapsed="false">
      <c r="A6598" s="24" t="s">
        <v>328</v>
      </c>
      <c r="B6598" s="25"/>
      <c r="C6598" s="25"/>
      <c r="D6598" s="25"/>
      <c r="E6598" s="25"/>
      <c r="F6598" s="25"/>
      <c r="G6598" s="25"/>
      <c r="H6598" s="25"/>
      <c r="I6598" s="25"/>
      <c r="J6598" s="25"/>
      <c r="K6598" s="25"/>
    </row>
    <row r="6599" customFormat="false" ht="15" hidden="false" customHeight="false" outlineLevel="0" collapsed="false">
      <c r="A6599" s="3" t="s">
        <v>329</v>
      </c>
      <c r="G6599" s="16" t="n">
        <f aca="false">F6610</f>
        <v>400</v>
      </c>
      <c r="H6599" s="16" t="n">
        <f aca="false">G6610</f>
        <v>396</v>
      </c>
      <c r="I6599" s="16" t="n">
        <f aca="false">H6610</f>
        <v>392</v>
      </c>
      <c r="J6599" s="16" t="n">
        <f aca="false">I6610</f>
        <v>388</v>
      </c>
      <c r="K6599" s="16" t="n">
        <f aca="false">J6610</f>
        <v>384</v>
      </c>
    </row>
    <row r="6600" customFormat="false" ht="15" hidden="false" customHeight="false" outlineLevel="0" collapsed="false">
      <c r="A6600" s="3" t="s">
        <v>330</v>
      </c>
      <c r="G6600" s="21" t="n">
        <f aca="false">IF(G6563=Assumptions!$K$57,1,0)</f>
        <v>0</v>
      </c>
      <c r="H6600" s="21" t="n">
        <f aca="false">IF(H6563=Assumptions!$K$57,1,0)</f>
        <v>0</v>
      </c>
      <c r="I6600" s="21" t="n">
        <f aca="false">IF(I6563=Assumptions!$K$57,1,0)</f>
        <v>0</v>
      </c>
      <c r="J6600" s="21" t="n">
        <f aca="false">IF(J6563=Assumptions!$K$57,1,0)</f>
        <v>0</v>
      </c>
      <c r="K6600" s="21" t="n">
        <f aca="false">IF(K6563=Assumptions!$K$57,1,0)</f>
        <v>1</v>
      </c>
    </row>
    <row r="6602" customFormat="false" ht="15" hidden="false" customHeight="false" outlineLevel="0" collapsed="false">
      <c r="A6602" s="3" t="s">
        <v>331</v>
      </c>
      <c r="G6602" s="31" t="n">
        <f aca="false">IF(Assumptions!$I$57=1,MAX(G6589,Assumptions!$G$57)+Assumptions!$F$57+$C$6590,Assumptions!$E$57)</f>
        <v>0.1065</v>
      </c>
      <c r="H6602" s="31" t="n">
        <f aca="false">IF(G6909=1,$C$6591,IF(Assumptions!$I$57=1,MAX(H6589,Assumptions!$G$57)+Assumptions!$F$57+$C$6590,Assumptions!$E$57))</f>
        <v>0.105</v>
      </c>
      <c r="I6602" s="31" t="n">
        <f aca="false">IF(H6909=1,$C$6591,IF(Assumptions!$I$57=1,MAX(I6589,Assumptions!$G$57)+Assumptions!$F$57+$C$6590,Assumptions!$E$57))</f>
        <v>0.1025</v>
      </c>
      <c r="J6602" s="31" t="n">
        <f aca="false">IF(I6909=1,$C$6591,IF(Assumptions!$I$57=1,MAX(J6589,Assumptions!$G$57)+Assumptions!$F$57+$C$6590,Assumptions!$E$57))</f>
        <v>0.1025</v>
      </c>
      <c r="K6602" s="31" t="n">
        <f aca="false">IF(J6909=1,$C$6591,IF(Assumptions!$I$57=1,MAX(K6589,Assumptions!$G$57)+Assumptions!$F$57+$C$6590,Assumptions!$E$57))</f>
        <v>0.1025</v>
      </c>
    </row>
    <row r="6603" customFormat="false" ht="15" hidden="false" customHeight="false" outlineLevel="0" collapsed="false">
      <c r="A6603" s="3" t="s">
        <v>332</v>
      </c>
      <c r="G6603" s="16" t="n">
        <f aca="false">G6599*G6602</f>
        <v>42.6</v>
      </c>
      <c r="H6603" s="16" t="n">
        <f aca="false">H6599*H6602</f>
        <v>41.58</v>
      </c>
      <c r="I6603" s="16" t="n">
        <f aca="false">I6599*I6602</f>
        <v>40.18</v>
      </c>
      <c r="J6603" s="16" t="n">
        <f aca="false">J6599*J6602</f>
        <v>39.77</v>
      </c>
      <c r="K6603" s="16" t="n">
        <f aca="false">K6599*K6602</f>
        <v>39.36</v>
      </c>
    </row>
    <row r="6604" customFormat="false" ht="15" hidden="false" customHeight="false" outlineLevel="0" collapsed="false">
      <c r="A6604" s="3" t="s">
        <v>333</v>
      </c>
      <c r="G6604" s="16" t="n">
        <f aca="false">G6599*Assumptions!$H$57</f>
        <v>0</v>
      </c>
      <c r="H6604" s="16" t="n">
        <f aca="false">H6599*Assumptions!$H$57</f>
        <v>0</v>
      </c>
      <c r="I6604" s="16" t="n">
        <f aca="false">I6599*Assumptions!$H$57</f>
        <v>0</v>
      </c>
      <c r="J6604" s="16" t="n">
        <f aca="false">J6599*Assumptions!$H$57</f>
        <v>0</v>
      </c>
      <c r="K6604" s="16" t="n">
        <f aca="false">K6599*Assumptions!$H$57</f>
        <v>0</v>
      </c>
    </row>
    <row r="6605" customFormat="false" ht="15" hidden="false" customHeight="false" outlineLevel="0" collapsed="false">
      <c r="A6605" s="3" t="s">
        <v>334</v>
      </c>
      <c r="G6605" s="16" t="n">
        <f aca="false">MIN(G6599,Assumptions!$L$57*Assumptions!$C$57)</f>
        <v>4</v>
      </c>
      <c r="H6605" s="16" t="n">
        <f aca="false">MIN(H6599,Assumptions!$L$57*Assumptions!$C$57)</f>
        <v>4</v>
      </c>
      <c r="I6605" s="16" t="n">
        <f aca="false">MIN(I6599,Assumptions!$L$57*Assumptions!$C$57)</f>
        <v>4</v>
      </c>
      <c r="J6605" s="16" t="n">
        <f aca="false">MIN(J6599,Assumptions!$L$57*Assumptions!$C$57)</f>
        <v>4</v>
      </c>
      <c r="K6605" s="16" t="n">
        <f aca="false">MIN(K6599,Assumptions!$L$57*Assumptions!$C$57)</f>
        <v>4</v>
      </c>
    </row>
    <row r="6606" customFormat="false" ht="15" hidden="false" customHeight="false" outlineLevel="0" collapsed="false">
      <c r="A6606" s="3" t="s">
        <v>335</v>
      </c>
      <c r="G6606" s="16" t="n">
        <f aca="false">IF(AND(Assumptions!$P$57=1,G6563&lt;Assumptions!$K$57),MIN(MAX(0,-G6779),MAX(0,Assumptions!$D$57-G6599)),0)</f>
        <v>0</v>
      </c>
      <c r="H6606" s="16" t="n">
        <f aca="false">IF(AND(Assumptions!$P$57=1,OR(H6563&lt;Assumptions!$K$57,G6909=1)),MIN(MAX(0,-H6779),MAX(0,Assumptions!$D$57-H6599)),0)</f>
        <v>0</v>
      </c>
      <c r="I6606" s="16" t="n">
        <f aca="false">IF(AND(Assumptions!$P$57=1,OR(I6563&lt;Assumptions!$K$57,H6909=1)),MIN(MAX(0,-I6779),MAX(0,Assumptions!$D$57-I6599)),0)</f>
        <v>0</v>
      </c>
      <c r="J6606" s="16" t="n">
        <f aca="false">IF(AND(Assumptions!$P$57=1,OR(J6563&lt;Assumptions!$K$57,I6909=1)),MIN(MAX(0,-J6779),MAX(0,Assumptions!$D$57-J6599)),0)</f>
        <v>0</v>
      </c>
      <c r="K6606" s="16" t="n">
        <f aca="false">IF(AND(Assumptions!$P$57=1,OR(K6563&lt;Assumptions!$K$57,J6909=1)),MIN(MAX(0,-K6779),MAX(0,Assumptions!$D$57-K6599)),0)</f>
        <v>0</v>
      </c>
    </row>
    <row r="6607" customFormat="false" ht="15" hidden="false" customHeight="false" outlineLevel="0" collapsed="false">
      <c r="A6607" s="3" t="s">
        <v>336</v>
      </c>
      <c r="G6607" s="16" t="n">
        <f aca="false">G6600*MIN(G6599-G6605+G6604,MAX(0,G6781-Assumptions!$C$12*G6597))</f>
        <v>0</v>
      </c>
      <c r="H6607" s="16" t="n">
        <f aca="false">H6600*MIN(H6599-H6605+H6604,MAX(0,H6781-Assumptions!$C$12*H6597))</f>
        <v>0</v>
      </c>
      <c r="I6607" s="16" t="n">
        <f aca="false">I6600*MIN(I6599-I6605+I6604,MAX(0,I6781-Assumptions!$C$12*I6597))</f>
        <v>0</v>
      </c>
      <c r="J6607" s="16" t="n">
        <f aca="false">J6600*MIN(J6599-J6605+J6604,MAX(0,J6781-Assumptions!$C$12*J6597))</f>
        <v>0</v>
      </c>
      <c r="K6607" s="16" t="n">
        <f aca="false">K6600*MIN(K6599-K6605+K6604,MAX(0,K6781-Assumptions!$C$12*K6597))</f>
        <v>0</v>
      </c>
    </row>
    <row r="6608" customFormat="false" ht="15" hidden="false" customHeight="false" outlineLevel="0" collapsed="false">
      <c r="A6608" s="3" t="s">
        <v>337</v>
      </c>
      <c r="G6608" s="16" t="n">
        <f aca="false">Assumptions!$N$57*MIN(G6599+G6606+G6604-G6605-G6607,MAX(0,G6785))</f>
        <v>0</v>
      </c>
      <c r="H6608" s="16" t="n">
        <f aca="false">Assumptions!$N$57*MIN(H6599+H6606+H6604-H6605-H6607,MAX(0,H6785))</f>
        <v>0</v>
      </c>
      <c r="I6608" s="16" t="n">
        <f aca="false">Assumptions!$N$57*MIN(I6599+I6606+I6604-I6605-I6607,MAX(0,I6785))</f>
        <v>0</v>
      </c>
      <c r="J6608" s="16" t="n">
        <f aca="false">Assumptions!$N$57*MIN(J6599+J6606+J6604-J6605-J6607,MAX(0,J6785))</f>
        <v>0</v>
      </c>
      <c r="K6608" s="16" t="n">
        <f aca="false">Assumptions!$N$57*MIN(K6599+K6606+K6604-K6605-K6607,MAX(0,K6785))</f>
        <v>0</v>
      </c>
    </row>
    <row r="6609" customFormat="false" ht="15" hidden="false" customHeight="false" outlineLevel="0" collapsed="false">
      <c r="A6609" s="3" t="s">
        <v>338</v>
      </c>
      <c r="G6609" s="16" t="n">
        <f aca="false">G6600*(1-G6597)*(G6599-G6605+G6604-G6607)</f>
        <v>0</v>
      </c>
      <c r="H6609" s="16" t="n">
        <f aca="false">H6600*(1-H6597)*(H6599-H6605+H6604-H6607)</f>
        <v>0</v>
      </c>
      <c r="I6609" s="16" t="n">
        <f aca="false">I6600*(1-I6597)*(I6599-I6605+I6604-I6607)</f>
        <v>0</v>
      </c>
      <c r="J6609" s="16" t="n">
        <f aca="false">J6600*(1-J6597)*(J6599-J6605+J6604-J6607)</f>
        <v>0</v>
      </c>
      <c r="K6609" s="16" t="n">
        <f aca="false">K6600*(1-K6597)*(K6599-K6605+K6604-K6607)</f>
        <v>380</v>
      </c>
    </row>
    <row r="6610" customFormat="false" ht="15" hidden="false" customHeight="false" outlineLevel="0" collapsed="false">
      <c r="A6610" s="2" t="s">
        <v>339</v>
      </c>
      <c r="F6610" s="28" t="n">
        <f aca="false">Assumptions!$C$57</f>
        <v>400</v>
      </c>
      <c r="G6610" s="17" t="n">
        <f aca="false">G6599+G6606+G6604-G6605-G6607-G6608</f>
        <v>396</v>
      </c>
      <c r="H6610" s="17" t="n">
        <f aca="false">H6599+H6606+H6604-H6605-H6607-H6608</f>
        <v>392</v>
      </c>
      <c r="I6610" s="17" t="n">
        <f aca="false">I6599+I6606+I6604-I6605-I6607-I6608</f>
        <v>388</v>
      </c>
      <c r="J6610" s="17" t="n">
        <f aca="false">J6599+J6606+J6604-J6605-J6607-J6608</f>
        <v>384</v>
      </c>
      <c r="K6610" s="17" t="n">
        <f aca="false">K6599+K6606+K6604-K6605-K6607-K6608</f>
        <v>380</v>
      </c>
    </row>
    <row r="6611" customFormat="false" ht="15" hidden="false" customHeight="false" outlineLevel="0" collapsed="false">
      <c r="A6611" s="24" t="s">
        <v>340</v>
      </c>
      <c r="B6611" s="25"/>
      <c r="C6611" s="25"/>
      <c r="D6611" s="25"/>
      <c r="E6611" s="25"/>
      <c r="F6611" s="25"/>
      <c r="G6611" s="25"/>
      <c r="H6611" s="25"/>
      <c r="I6611" s="25"/>
      <c r="J6611" s="25"/>
      <c r="K6611" s="25"/>
    </row>
    <row r="6612" customFormat="false" ht="15" hidden="false" customHeight="false" outlineLevel="0" collapsed="false">
      <c r="A6612" s="3" t="s">
        <v>329</v>
      </c>
      <c r="G6612" s="16" t="n">
        <f aca="false">F6623</f>
        <v>90</v>
      </c>
      <c r="H6612" s="16" t="n">
        <f aca="false">G6623</f>
        <v>90</v>
      </c>
      <c r="I6612" s="16" t="n">
        <f aca="false">H6623</f>
        <v>90</v>
      </c>
      <c r="J6612" s="16" t="n">
        <f aca="false">I6623</f>
        <v>90</v>
      </c>
      <c r="K6612" s="16" t="n">
        <f aca="false">J6623</f>
        <v>90</v>
      </c>
    </row>
    <row r="6613" customFormat="false" ht="15" hidden="false" customHeight="false" outlineLevel="0" collapsed="false">
      <c r="A6613" s="3" t="s">
        <v>330</v>
      </c>
      <c r="G6613" s="21" t="n">
        <f aca="false">IF(G6563=Assumptions!$K$58,1,0)</f>
        <v>0</v>
      </c>
      <c r="H6613" s="21" t="n">
        <f aca="false">IF(H6563=Assumptions!$K$58,1,0)</f>
        <v>0</v>
      </c>
      <c r="I6613" s="21" t="n">
        <f aca="false">IF(I6563=Assumptions!$K$58,1,0)</f>
        <v>0</v>
      </c>
      <c r="J6613" s="21" t="n">
        <f aca="false">IF(J6563=Assumptions!$K$58,1,0)</f>
        <v>0</v>
      </c>
      <c r="K6613" s="21" t="n">
        <f aca="false">IF(K6563=Assumptions!$K$58,1,0)</f>
        <v>0</v>
      </c>
    </row>
    <row r="6615" customFormat="false" ht="15" hidden="false" customHeight="false" outlineLevel="0" collapsed="false">
      <c r="A6615" s="3" t="s">
        <v>331</v>
      </c>
      <c r="G6615" s="31" t="n">
        <f aca="false">IF(Assumptions!$I$58=1,MAX(G6589,Assumptions!$G$58)+Assumptions!$F$58+$C$6590,Assumptions!$E$58)</f>
        <v>0.0581</v>
      </c>
      <c r="H6615" s="31" t="n">
        <f aca="false">IF(G6910=1,$C$6591,IF(Assumptions!$I$58=1,MAX(H6589,Assumptions!$G$58)+Assumptions!$F$58+$C$6590,Assumptions!$E$58))</f>
        <v>0.0581</v>
      </c>
      <c r="I6615" s="31" t="n">
        <f aca="false">IF(H6910=1,$C$6591,IF(Assumptions!$I$58=1,MAX(I6589,Assumptions!$G$58)+Assumptions!$F$58+$C$6590,Assumptions!$E$58))</f>
        <v>0.0581</v>
      </c>
      <c r="J6615" s="31" t="n">
        <f aca="false">IF(I6910=1,$C$6591,IF(Assumptions!$I$58=1,MAX(J6589,Assumptions!$G$58)+Assumptions!$F$58+$C$6590,Assumptions!$E$58))</f>
        <v>0.0581</v>
      </c>
      <c r="K6615" s="31" t="n">
        <f aca="false">IF(J6910=1,$C$6591,IF(Assumptions!$I$58=1,MAX(K6589,Assumptions!$G$58)+Assumptions!$F$58+$C$6590,Assumptions!$E$58))</f>
        <v>0.0581</v>
      </c>
    </row>
    <row r="6616" customFormat="false" ht="15" hidden="false" customHeight="false" outlineLevel="0" collapsed="false">
      <c r="A6616" s="3" t="s">
        <v>332</v>
      </c>
      <c r="G6616" s="16" t="n">
        <f aca="false">G6612*G6615</f>
        <v>5.229</v>
      </c>
      <c r="H6616" s="16" t="n">
        <f aca="false">H6612*H6615</f>
        <v>5.229</v>
      </c>
      <c r="I6616" s="16" t="n">
        <f aca="false">I6612*I6615</f>
        <v>5.229</v>
      </c>
      <c r="J6616" s="16" t="n">
        <f aca="false">J6612*J6615</f>
        <v>5.229</v>
      </c>
      <c r="K6616" s="16" t="n">
        <f aca="false">K6612*K6615</f>
        <v>5.229</v>
      </c>
    </row>
    <row r="6617" customFormat="false" ht="15" hidden="false" customHeight="false" outlineLevel="0" collapsed="false">
      <c r="A6617" s="3" t="s">
        <v>333</v>
      </c>
      <c r="G6617" s="16" t="n">
        <f aca="false">G6612*Assumptions!$H$58</f>
        <v>0</v>
      </c>
      <c r="H6617" s="16" t="n">
        <f aca="false">H6612*Assumptions!$H$58</f>
        <v>0</v>
      </c>
      <c r="I6617" s="16" t="n">
        <f aca="false">I6612*Assumptions!$H$58</f>
        <v>0</v>
      </c>
      <c r="J6617" s="16" t="n">
        <f aca="false">J6612*Assumptions!$H$58</f>
        <v>0</v>
      </c>
      <c r="K6617" s="16" t="n">
        <f aca="false">K6612*Assumptions!$H$58</f>
        <v>0</v>
      </c>
    </row>
    <row r="6618" customFormat="false" ht="15" hidden="false" customHeight="false" outlineLevel="0" collapsed="false">
      <c r="A6618" s="3" t="s">
        <v>334</v>
      </c>
      <c r="G6618" s="16" t="n">
        <f aca="false">MIN(G6612,Assumptions!$L$58*Assumptions!$C$58)</f>
        <v>0</v>
      </c>
      <c r="H6618" s="16" t="n">
        <f aca="false">MIN(H6612,Assumptions!$L$58*Assumptions!$C$58)</f>
        <v>0</v>
      </c>
      <c r="I6618" s="16" t="n">
        <f aca="false">MIN(I6612,Assumptions!$L$58*Assumptions!$C$58)</f>
        <v>0</v>
      </c>
      <c r="J6618" s="16" t="n">
        <f aca="false">MIN(J6612,Assumptions!$L$58*Assumptions!$C$58)</f>
        <v>0</v>
      </c>
      <c r="K6618" s="16" t="n">
        <f aca="false">MIN(K6612,Assumptions!$L$58*Assumptions!$C$58)</f>
        <v>0</v>
      </c>
    </row>
    <row r="6619" customFormat="false" ht="15" hidden="false" customHeight="false" outlineLevel="0" collapsed="false">
      <c r="A6619" s="3" t="s">
        <v>335</v>
      </c>
      <c r="G6619" s="16" t="n">
        <f aca="false">IF(AND(Assumptions!$P$58=1,G6563&lt;Assumptions!$K$58),MIN(MAX(0,-G6779),MAX(0,Assumptions!$D$58-G6612)),0)</f>
        <v>0</v>
      </c>
      <c r="H6619" s="16" t="n">
        <f aca="false">IF(AND(Assumptions!$P$58=1,OR(H6563&lt;Assumptions!$K$58,G6910=1)),MIN(MAX(0,-H6779),MAX(0,Assumptions!$D$58-H6612)),0)</f>
        <v>0</v>
      </c>
      <c r="I6619" s="16" t="n">
        <f aca="false">IF(AND(Assumptions!$P$58=1,OR(I6563&lt;Assumptions!$K$58,H6910=1)),MIN(MAX(0,-I6779),MAX(0,Assumptions!$D$58-I6612)),0)</f>
        <v>0</v>
      </c>
      <c r="J6619" s="16" t="n">
        <f aca="false">IF(AND(Assumptions!$P$58=1,OR(J6563&lt;Assumptions!$K$58,I6910=1)),MIN(MAX(0,-J6779),MAX(0,Assumptions!$D$58-J6612)),0)</f>
        <v>0</v>
      </c>
      <c r="K6619" s="16" t="n">
        <f aca="false">IF(AND(Assumptions!$P$58=1,OR(K6563&lt;Assumptions!$K$58,J6910=1)),MIN(MAX(0,-K6779),MAX(0,Assumptions!$D$58-K6612)),0)</f>
        <v>0</v>
      </c>
    </row>
    <row r="6620" customFormat="false" ht="15" hidden="false" customHeight="false" outlineLevel="0" collapsed="false">
      <c r="A6620" s="3" t="s">
        <v>336</v>
      </c>
      <c r="G6620" s="16" t="n">
        <f aca="false">G6613*MIN(G6612-G6618+G6617,MAX(0,G6781-Assumptions!$C$12*G6597-G6607))</f>
        <v>0</v>
      </c>
      <c r="H6620" s="16" t="n">
        <f aca="false">H6613*MIN(H6612-H6618+H6617,MAX(0,H6781-Assumptions!$C$12*H6597-H6607))</f>
        <v>0</v>
      </c>
      <c r="I6620" s="16" t="n">
        <f aca="false">I6613*MIN(I6612-I6618+I6617,MAX(0,I6781-Assumptions!$C$12*I6597-I6607))</f>
        <v>0</v>
      </c>
      <c r="J6620" s="16" t="n">
        <f aca="false">J6613*MIN(J6612-J6618+J6617,MAX(0,J6781-Assumptions!$C$12*J6597-J6607))</f>
        <v>0</v>
      </c>
      <c r="K6620" s="16" t="n">
        <f aca="false">K6613*MIN(K6612-K6618+K6617,MAX(0,K6781-Assumptions!$C$12*K6597-K6607))</f>
        <v>0</v>
      </c>
    </row>
    <row r="6621" customFormat="false" ht="15" hidden="false" customHeight="false" outlineLevel="0" collapsed="false">
      <c r="A6621" s="3" t="s">
        <v>337</v>
      </c>
      <c r="G6621" s="16" t="n">
        <f aca="false">Assumptions!$N$58*MIN(G6612+G6619+G6617-G6618-G6620,MAX(0,G6785-G6608))</f>
        <v>0</v>
      </c>
      <c r="H6621" s="16" t="n">
        <f aca="false">Assumptions!$N$58*MIN(H6612+H6619+H6617-H6618-H6620,MAX(0,H6785-H6608))</f>
        <v>0</v>
      </c>
      <c r="I6621" s="16" t="n">
        <f aca="false">Assumptions!$N$58*MIN(I6612+I6619+I6617-I6618-I6620,MAX(0,I6785-I6608))</f>
        <v>0</v>
      </c>
      <c r="J6621" s="16" t="n">
        <f aca="false">Assumptions!$N$58*MIN(J6612+J6619+J6617-J6618-J6620,MAX(0,J6785-J6608))</f>
        <v>0</v>
      </c>
      <c r="K6621" s="16" t="n">
        <f aca="false">Assumptions!$N$58*MIN(K6612+K6619+K6617-K6618-K6620,MAX(0,K6785-K6608))</f>
        <v>0</v>
      </c>
    </row>
    <row r="6622" customFormat="false" ht="15" hidden="false" customHeight="false" outlineLevel="0" collapsed="false">
      <c r="A6622" s="3" t="s">
        <v>338</v>
      </c>
      <c r="G6622" s="16" t="n">
        <f aca="false">G6613*(1-G6597)*(G6612-G6618+G6617-G6620)</f>
        <v>0</v>
      </c>
      <c r="H6622" s="16" t="n">
        <f aca="false">H6613*(1-H6597)*(H6612-H6618+H6617-H6620)</f>
        <v>0</v>
      </c>
      <c r="I6622" s="16" t="n">
        <f aca="false">I6613*(1-I6597)*(I6612-I6618+I6617-I6620)</f>
        <v>0</v>
      </c>
      <c r="J6622" s="16" t="n">
        <f aca="false">J6613*(1-J6597)*(J6612-J6618+J6617-J6620)</f>
        <v>0</v>
      </c>
      <c r="K6622" s="16" t="n">
        <f aca="false">K6613*(1-K6597)*(K6612-K6618+K6617-K6620)</f>
        <v>0</v>
      </c>
    </row>
    <row r="6623" customFormat="false" ht="15" hidden="false" customHeight="false" outlineLevel="0" collapsed="false">
      <c r="A6623" s="2" t="s">
        <v>339</v>
      </c>
      <c r="F6623" s="28" t="n">
        <f aca="false">Assumptions!$C$58</f>
        <v>90</v>
      </c>
      <c r="G6623" s="17" t="n">
        <f aca="false">G6612+G6619+G6617-G6618-G6620-G6621</f>
        <v>90</v>
      </c>
      <c r="H6623" s="17" t="n">
        <f aca="false">H6612+H6619+H6617-H6618-H6620-H6621</f>
        <v>90</v>
      </c>
      <c r="I6623" s="17" t="n">
        <f aca="false">I6612+I6619+I6617-I6618-I6620-I6621</f>
        <v>90</v>
      </c>
      <c r="J6623" s="17" t="n">
        <f aca="false">J6612+J6619+J6617-J6618-J6620-J6621</f>
        <v>90</v>
      </c>
      <c r="K6623" s="17" t="n">
        <f aca="false">K6612+K6619+K6617-K6618-K6620-K6621</f>
        <v>90</v>
      </c>
    </row>
    <row r="6624" customFormat="false" ht="15" hidden="false" customHeight="false" outlineLevel="0" collapsed="false">
      <c r="A6624" s="24" t="s">
        <v>341</v>
      </c>
      <c r="B6624" s="25"/>
      <c r="C6624" s="25"/>
      <c r="D6624" s="25"/>
      <c r="E6624" s="25"/>
      <c r="F6624" s="25"/>
      <c r="G6624" s="25"/>
      <c r="H6624" s="25"/>
      <c r="I6624" s="25"/>
      <c r="J6624" s="25"/>
      <c r="K6624" s="25"/>
    </row>
    <row r="6625" customFormat="false" ht="15" hidden="false" customHeight="false" outlineLevel="0" collapsed="false">
      <c r="A6625" s="3" t="s">
        <v>329</v>
      </c>
      <c r="G6625" s="16" t="n">
        <f aca="false">F6636</f>
        <v>57.324</v>
      </c>
      <c r="H6625" s="16" t="n">
        <f aca="false">G6636</f>
        <v>57.324</v>
      </c>
      <c r="I6625" s="16" t="n">
        <f aca="false">H6636</f>
        <v>57.324</v>
      </c>
      <c r="J6625" s="16" t="n">
        <f aca="false">I6636</f>
        <v>57.324</v>
      </c>
      <c r="K6625" s="16" t="n">
        <f aca="false">J6636</f>
        <v>57.324</v>
      </c>
    </row>
    <row r="6626" customFormat="false" ht="15" hidden="false" customHeight="false" outlineLevel="0" collapsed="false">
      <c r="A6626" s="3" t="s">
        <v>330</v>
      </c>
      <c r="G6626" s="21" t="n">
        <f aca="false">IF(G6563=Assumptions!$K$59,1,0)</f>
        <v>0</v>
      </c>
      <c r="H6626" s="21" t="n">
        <f aca="false">IF(H6563=Assumptions!$K$59,1,0)</f>
        <v>0</v>
      </c>
      <c r="I6626" s="21" t="n">
        <f aca="false">IF(I6563=Assumptions!$K$59,1,0)</f>
        <v>0</v>
      </c>
      <c r="J6626" s="21" t="n">
        <f aca="false">IF(J6563=Assumptions!$K$59,1,0)</f>
        <v>0</v>
      </c>
      <c r="K6626" s="21" t="n">
        <f aca="false">IF(K6563=Assumptions!$K$59,1,0)</f>
        <v>0</v>
      </c>
    </row>
    <row r="6628" customFormat="false" ht="15" hidden="false" customHeight="false" outlineLevel="0" collapsed="false">
      <c r="A6628" s="3" t="s">
        <v>331</v>
      </c>
      <c r="G6628" s="31" t="n">
        <f aca="false">IF(Assumptions!$I$59=1,MAX(G6589,Assumptions!$G$59)+Assumptions!$F$59+$C$6590,Assumptions!$E$59)</f>
        <v>0.0731</v>
      </c>
      <c r="H6628" s="31" t="n">
        <f aca="false">IF(G6911=1,$C$6591,IF(Assumptions!$I$59=1,MAX(H6589,Assumptions!$G$59)+Assumptions!$F$59+$C$6590,Assumptions!$E$59))</f>
        <v>0.0731</v>
      </c>
      <c r="I6628" s="31" t="n">
        <f aca="false">IF(H6911=1,$C$6591,IF(Assumptions!$I$59=1,MAX(I6589,Assumptions!$G$59)+Assumptions!$F$59+$C$6590,Assumptions!$E$59))</f>
        <v>0.0731</v>
      </c>
      <c r="J6628" s="31" t="n">
        <f aca="false">IF(I6911=1,$C$6591,IF(Assumptions!$I$59=1,MAX(J6589,Assumptions!$G$59)+Assumptions!$F$59+$C$6590,Assumptions!$E$59))</f>
        <v>0.0731</v>
      </c>
      <c r="K6628" s="31" t="n">
        <f aca="false">IF(J6911=1,$C$6591,IF(Assumptions!$I$59=1,MAX(K6589,Assumptions!$G$59)+Assumptions!$F$59+$C$6590,Assumptions!$E$59))</f>
        <v>0.0731</v>
      </c>
    </row>
    <row r="6629" customFormat="false" ht="15" hidden="false" customHeight="false" outlineLevel="0" collapsed="false">
      <c r="A6629" s="3" t="s">
        <v>332</v>
      </c>
      <c r="G6629" s="16" t="n">
        <f aca="false">G6625*G6628</f>
        <v>4.1903844</v>
      </c>
      <c r="H6629" s="16" t="n">
        <f aca="false">H6625*H6628</f>
        <v>4.1903844</v>
      </c>
      <c r="I6629" s="16" t="n">
        <f aca="false">I6625*I6628</f>
        <v>4.1903844</v>
      </c>
      <c r="J6629" s="16" t="n">
        <f aca="false">J6625*J6628</f>
        <v>4.1903844</v>
      </c>
      <c r="K6629" s="16" t="n">
        <f aca="false">K6625*K6628</f>
        <v>4.1903844</v>
      </c>
    </row>
    <row r="6630" customFormat="false" ht="15" hidden="false" customHeight="false" outlineLevel="0" collapsed="false">
      <c r="A6630" s="3" t="s">
        <v>333</v>
      </c>
      <c r="G6630" s="16" t="n">
        <f aca="false">G6625*Assumptions!$H$59</f>
        <v>0</v>
      </c>
      <c r="H6630" s="16" t="n">
        <f aca="false">H6625*Assumptions!$H$59</f>
        <v>0</v>
      </c>
      <c r="I6630" s="16" t="n">
        <f aca="false">I6625*Assumptions!$H$59</f>
        <v>0</v>
      </c>
      <c r="J6630" s="16" t="n">
        <f aca="false">J6625*Assumptions!$H$59</f>
        <v>0</v>
      </c>
      <c r="K6630" s="16" t="n">
        <f aca="false">K6625*Assumptions!$H$59</f>
        <v>0</v>
      </c>
    </row>
    <row r="6631" customFormat="false" ht="15" hidden="false" customHeight="false" outlineLevel="0" collapsed="false">
      <c r="A6631" s="3" t="s">
        <v>334</v>
      </c>
      <c r="G6631" s="16" t="n">
        <f aca="false">MIN(G6625,Assumptions!$L$59*Assumptions!$C$59)</f>
        <v>0</v>
      </c>
      <c r="H6631" s="16" t="n">
        <f aca="false">MIN(H6625,Assumptions!$L$59*Assumptions!$C$59)</f>
        <v>0</v>
      </c>
      <c r="I6631" s="16" t="n">
        <f aca="false">MIN(I6625,Assumptions!$L$59*Assumptions!$C$59)</f>
        <v>0</v>
      </c>
      <c r="J6631" s="16" t="n">
        <f aca="false">MIN(J6625,Assumptions!$L$59*Assumptions!$C$59)</f>
        <v>0</v>
      </c>
      <c r="K6631" s="16" t="n">
        <f aca="false">MIN(K6625,Assumptions!$L$59*Assumptions!$C$59)</f>
        <v>0</v>
      </c>
    </row>
    <row r="6632" customFormat="false" ht="15" hidden="false" customHeight="false" outlineLevel="0" collapsed="false">
      <c r="A6632" s="3" t="s">
        <v>335</v>
      </c>
      <c r="G6632" s="16" t="n">
        <f aca="false">IF(AND(Assumptions!$P$59=1,G6563&lt;Assumptions!$K$59),MIN(MAX(0,-G6779),MAX(0,Assumptions!$D$59-G6625)),0)</f>
        <v>0</v>
      </c>
      <c r="H6632" s="16" t="n">
        <f aca="false">IF(AND(Assumptions!$P$59=1,OR(H6563&lt;Assumptions!$K$59,G6911=1)),MIN(MAX(0,-H6779),MAX(0,Assumptions!$D$59-H6625)),0)</f>
        <v>0</v>
      </c>
      <c r="I6632" s="16" t="n">
        <f aca="false">IF(AND(Assumptions!$P$59=1,OR(I6563&lt;Assumptions!$K$59,H6911=1)),MIN(MAX(0,-I6779),MAX(0,Assumptions!$D$59-I6625)),0)</f>
        <v>0</v>
      </c>
      <c r="J6632" s="16" t="n">
        <f aca="false">IF(AND(Assumptions!$P$59=1,OR(J6563&lt;Assumptions!$K$59,I6911=1)),MIN(MAX(0,-J6779),MAX(0,Assumptions!$D$59-J6625)),0)</f>
        <v>0</v>
      </c>
      <c r="K6632" s="16" t="n">
        <f aca="false">IF(AND(Assumptions!$P$59=1,OR(K6563&lt;Assumptions!$K$59,J6911=1)),MIN(MAX(0,-K6779),MAX(0,Assumptions!$D$59-K6625)),0)</f>
        <v>0</v>
      </c>
    </row>
    <row r="6633" customFormat="false" ht="15" hidden="false" customHeight="false" outlineLevel="0" collapsed="false">
      <c r="A6633" s="3" t="s">
        <v>336</v>
      </c>
      <c r="G6633" s="16" t="n">
        <f aca="false">G6626*MIN(G6625-G6631+G6630,MAX(0,G6781-Assumptions!$C$12*G6597-G6607-G6620))</f>
        <v>0</v>
      </c>
      <c r="H6633" s="16" t="n">
        <f aca="false">H6626*MIN(H6625-H6631+H6630,MAX(0,H6781-Assumptions!$C$12*H6597-H6607-H6620))</f>
        <v>0</v>
      </c>
      <c r="I6633" s="16" t="n">
        <f aca="false">I6626*MIN(I6625-I6631+I6630,MAX(0,I6781-Assumptions!$C$12*I6597-I6607-I6620))</f>
        <v>0</v>
      </c>
      <c r="J6633" s="16" t="n">
        <f aca="false">J6626*MIN(J6625-J6631+J6630,MAX(0,J6781-Assumptions!$C$12*J6597-J6607-J6620))</f>
        <v>0</v>
      </c>
      <c r="K6633" s="16" t="n">
        <f aca="false">K6626*MIN(K6625-K6631+K6630,MAX(0,K6781-Assumptions!$C$12*K6597-K6607-K6620))</f>
        <v>0</v>
      </c>
    </row>
    <row r="6634" customFormat="false" ht="15" hidden="false" customHeight="false" outlineLevel="0" collapsed="false">
      <c r="A6634" s="3" t="s">
        <v>337</v>
      </c>
      <c r="G6634" s="16" t="n">
        <f aca="false">Assumptions!$N$59*MIN(G6625+G6632+G6630-G6631-G6633,MAX(0,G6785-G6608-G6621))</f>
        <v>0</v>
      </c>
      <c r="H6634" s="16" t="n">
        <f aca="false">Assumptions!$N$59*MIN(H6625+H6632+H6630-H6631-H6633,MAX(0,H6785-H6608-H6621))</f>
        <v>0</v>
      </c>
      <c r="I6634" s="16" t="n">
        <f aca="false">Assumptions!$N$59*MIN(I6625+I6632+I6630-I6631-I6633,MAX(0,I6785-I6608-I6621))</f>
        <v>0</v>
      </c>
      <c r="J6634" s="16" t="n">
        <f aca="false">Assumptions!$N$59*MIN(J6625+J6632+J6630-J6631-J6633,MAX(0,J6785-J6608-J6621))</f>
        <v>0</v>
      </c>
      <c r="K6634" s="16" t="n">
        <f aca="false">Assumptions!$N$59*MIN(K6625+K6632+K6630-K6631-K6633,MAX(0,K6785-K6608-K6621))</f>
        <v>0</v>
      </c>
    </row>
    <row r="6635" customFormat="false" ht="15" hidden="false" customHeight="false" outlineLevel="0" collapsed="false">
      <c r="A6635" s="3" t="s">
        <v>338</v>
      </c>
      <c r="G6635" s="16" t="n">
        <f aca="false">G6626*(1-G6597)*(G6625-G6631+G6630-G6633)</f>
        <v>0</v>
      </c>
      <c r="H6635" s="16" t="n">
        <f aca="false">H6626*(1-H6597)*(H6625-H6631+H6630-H6633)</f>
        <v>0</v>
      </c>
      <c r="I6635" s="16" t="n">
        <f aca="false">I6626*(1-I6597)*(I6625-I6631+I6630-I6633)</f>
        <v>0</v>
      </c>
      <c r="J6635" s="16" t="n">
        <f aca="false">J6626*(1-J6597)*(J6625-J6631+J6630-J6633)</f>
        <v>0</v>
      </c>
      <c r="K6635" s="16" t="n">
        <f aca="false">K6626*(1-K6597)*(K6625-K6631+K6630-K6633)</f>
        <v>0</v>
      </c>
    </row>
    <row r="6636" customFormat="false" ht="15" hidden="false" customHeight="false" outlineLevel="0" collapsed="false">
      <c r="A6636" s="2" t="s">
        <v>339</v>
      </c>
      <c r="F6636" s="28" t="n">
        <f aca="false">Assumptions!$C$59</f>
        <v>57.324</v>
      </c>
      <c r="G6636" s="17" t="n">
        <f aca="false">G6625+G6632+G6630-G6631-G6633-G6634</f>
        <v>57.324</v>
      </c>
      <c r="H6636" s="17" t="n">
        <f aca="false">H6625+H6632+H6630-H6631-H6633-H6634</f>
        <v>57.324</v>
      </c>
      <c r="I6636" s="17" t="n">
        <f aca="false">I6625+I6632+I6630-I6631-I6633-I6634</f>
        <v>57.324</v>
      </c>
      <c r="J6636" s="17" t="n">
        <f aca="false">J6625+J6632+J6630-J6631-J6633-J6634</f>
        <v>57.324</v>
      </c>
      <c r="K6636" s="17" t="n">
        <f aca="false">K6625+K6632+K6630-K6631-K6633-K6634</f>
        <v>57.324</v>
      </c>
    </row>
    <row r="6637" customFormat="false" ht="15" hidden="false" customHeight="false" outlineLevel="0" collapsed="false">
      <c r="A6637" s="24" t="s">
        <v>342</v>
      </c>
      <c r="B6637" s="25"/>
      <c r="C6637" s="25"/>
      <c r="D6637" s="25"/>
      <c r="E6637" s="25"/>
      <c r="F6637" s="25"/>
      <c r="G6637" s="25"/>
      <c r="H6637" s="25"/>
      <c r="I6637" s="25"/>
      <c r="J6637" s="25"/>
      <c r="K6637" s="25"/>
    </row>
    <row r="6638" customFormat="false" ht="15" hidden="false" customHeight="false" outlineLevel="0" collapsed="false">
      <c r="A6638" s="3" t="s">
        <v>329</v>
      </c>
      <c r="G6638" s="16" t="n">
        <f aca="false">F6649</f>
        <v>0</v>
      </c>
      <c r="H6638" s="16" t="n">
        <f aca="false">G6649</f>
        <v>0</v>
      </c>
      <c r="I6638" s="16" t="n">
        <f aca="false">H6649</f>
        <v>0</v>
      </c>
      <c r="J6638" s="16" t="n">
        <f aca="false">I6649</f>
        <v>0</v>
      </c>
      <c r="K6638" s="16" t="n">
        <f aca="false">J6649</f>
        <v>0</v>
      </c>
    </row>
    <row r="6639" customFormat="false" ht="15" hidden="false" customHeight="false" outlineLevel="0" collapsed="false">
      <c r="A6639" s="3" t="s">
        <v>330</v>
      </c>
      <c r="G6639" s="21" t="n">
        <f aca="false">IF(G6563=Assumptions!$K$60,1,0)</f>
        <v>1</v>
      </c>
      <c r="H6639" s="21" t="n">
        <f aca="false">IF(H6563=Assumptions!$K$60,1,0)</f>
        <v>0</v>
      </c>
      <c r="I6639" s="21" t="n">
        <f aca="false">IF(I6563=Assumptions!$K$60,1,0)</f>
        <v>0</v>
      </c>
      <c r="J6639" s="21" t="n">
        <f aca="false">IF(J6563=Assumptions!$K$60,1,0)</f>
        <v>0</v>
      </c>
      <c r="K6639" s="21" t="n">
        <f aca="false">IF(K6563=Assumptions!$K$60,1,0)</f>
        <v>0</v>
      </c>
    </row>
    <row r="6641" customFormat="false" ht="15" hidden="false" customHeight="false" outlineLevel="0" collapsed="false">
      <c r="A6641" s="3" t="s">
        <v>331</v>
      </c>
      <c r="G6641" s="31" t="n">
        <f aca="false">IF(Assumptions!$I$60=1,MAX(G6589,Assumptions!$G$60)+Assumptions!$F$60+$C$6590,Assumptions!$E$60)</f>
        <v>0.069</v>
      </c>
      <c r="H6641" s="31" t="n">
        <f aca="false">IF(G6912=1,$C$6591,IF(Assumptions!$I$60=1,MAX(H6589,Assumptions!$G$60)+Assumptions!$F$60+$C$6590,Assumptions!$E$60))</f>
        <v>0.0675</v>
      </c>
      <c r="I6641" s="31" t="n">
        <f aca="false">IF(H6912=1,$C$6591,IF(Assumptions!$I$60=1,MAX(I6589,Assumptions!$G$60)+Assumptions!$F$60+$C$6590,Assumptions!$E$60))</f>
        <v>0.065</v>
      </c>
      <c r="J6641" s="31" t="n">
        <f aca="false">IF(I6912=1,$C$6591,IF(Assumptions!$I$60=1,MAX(J6589,Assumptions!$G$60)+Assumptions!$F$60+$C$6590,Assumptions!$E$60))</f>
        <v>0.065</v>
      </c>
      <c r="K6641" s="31" t="n">
        <f aca="false">IF(J6912=1,$C$6591,IF(Assumptions!$I$60=1,MAX(K6589,Assumptions!$G$60)+Assumptions!$F$60+$C$6590,Assumptions!$E$60))</f>
        <v>0.065</v>
      </c>
    </row>
    <row r="6642" customFormat="false" ht="15" hidden="false" customHeight="false" outlineLevel="0" collapsed="false">
      <c r="A6642" s="3" t="s">
        <v>332</v>
      </c>
      <c r="G6642" s="16" t="n">
        <f aca="false">G6638*G6641</f>
        <v>0</v>
      </c>
      <c r="H6642" s="16" t="n">
        <f aca="false">H6638*H6641</f>
        <v>0</v>
      </c>
      <c r="I6642" s="16" t="n">
        <f aca="false">I6638*I6641</f>
        <v>0</v>
      </c>
      <c r="J6642" s="16" t="n">
        <f aca="false">J6638*J6641</f>
        <v>0</v>
      </c>
      <c r="K6642" s="16" t="n">
        <f aca="false">K6638*K6641</f>
        <v>0</v>
      </c>
    </row>
    <row r="6643" customFormat="false" ht="15" hidden="false" customHeight="false" outlineLevel="0" collapsed="false">
      <c r="A6643" s="3" t="s">
        <v>333</v>
      </c>
      <c r="G6643" s="16" t="n">
        <f aca="false">G6638*Assumptions!$H$60</f>
        <v>0</v>
      </c>
      <c r="H6643" s="16" t="n">
        <f aca="false">H6638*Assumptions!$H$60</f>
        <v>0</v>
      </c>
      <c r="I6643" s="16" t="n">
        <f aca="false">I6638*Assumptions!$H$60</f>
        <v>0</v>
      </c>
      <c r="J6643" s="16" t="n">
        <f aca="false">J6638*Assumptions!$H$60</f>
        <v>0</v>
      </c>
      <c r="K6643" s="16" t="n">
        <f aca="false">K6638*Assumptions!$H$60</f>
        <v>0</v>
      </c>
    </row>
    <row r="6644" customFormat="false" ht="15" hidden="false" customHeight="false" outlineLevel="0" collapsed="false">
      <c r="A6644" s="3" t="s">
        <v>334</v>
      </c>
      <c r="G6644" s="16" t="n">
        <f aca="false">MIN(G6638,Assumptions!$L$60*Assumptions!$C$60)</f>
        <v>0</v>
      </c>
      <c r="H6644" s="16" t="n">
        <f aca="false">MIN(H6638,Assumptions!$L$60*Assumptions!$C$60)</f>
        <v>0</v>
      </c>
      <c r="I6644" s="16" t="n">
        <f aca="false">MIN(I6638,Assumptions!$L$60*Assumptions!$C$60)</f>
        <v>0</v>
      </c>
      <c r="J6644" s="16" t="n">
        <f aca="false">MIN(J6638,Assumptions!$L$60*Assumptions!$C$60)</f>
        <v>0</v>
      </c>
      <c r="K6644" s="16" t="n">
        <f aca="false">MIN(K6638,Assumptions!$L$60*Assumptions!$C$60)</f>
        <v>0</v>
      </c>
    </row>
    <row r="6645" customFormat="false" ht="15" hidden="false" customHeight="false" outlineLevel="0" collapsed="false">
      <c r="A6645" s="3" t="s">
        <v>335</v>
      </c>
      <c r="G6645" s="16" t="n">
        <f aca="false">IF(AND(Assumptions!$P$60=1,G6563&lt;Assumptions!$K$60),MIN(MAX(0,-G6779),MAX(0,Assumptions!$D$60-G6638)),0)</f>
        <v>0</v>
      </c>
      <c r="H6645" s="16" t="n">
        <f aca="false">IF(AND(Assumptions!$P$60=1,OR(H6563&lt;Assumptions!$K$60,G6912=1)),MIN(MAX(0,-H6779),MAX(0,Assumptions!$D$60-H6638)),0)</f>
        <v>0</v>
      </c>
      <c r="I6645" s="16" t="n">
        <f aca="false">IF(AND(Assumptions!$P$60=1,OR(I6563&lt;Assumptions!$K$60,H6912=1)),MIN(MAX(0,-I6779),MAX(0,Assumptions!$D$60-I6638)),0)</f>
        <v>0</v>
      </c>
      <c r="J6645" s="16" t="n">
        <f aca="false">IF(AND(Assumptions!$P$60=1,OR(J6563&lt;Assumptions!$K$60,I6912=1)),MIN(MAX(0,-J6779),MAX(0,Assumptions!$D$60-J6638)),0)</f>
        <v>0</v>
      </c>
      <c r="K6645" s="16" t="n">
        <f aca="false">IF(AND(Assumptions!$P$60=1,OR(K6563&lt;Assumptions!$K$60,J6912=1)),MIN(MAX(0,-K6779),MAX(0,Assumptions!$D$60-K6638)),0)</f>
        <v>0</v>
      </c>
    </row>
    <row r="6646" customFormat="false" ht="15" hidden="false" customHeight="false" outlineLevel="0" collapsed="false">
      <c r="A6646" s="3" t="s">
        <v>336</v>
      </c>
      <c r="G6646" s="16" t="n">
        <f aca="false">G6639*MIN(G6638-G6644+G6643,MAX(0,G6781-Assumptions!$C$12*G6597-G6607-G6620-G6633))</f>
        <v>0</v>
      </c>
      <c r="H6646" s="16" t="n">
        <f aca="false">H6639*MIN(H6638-H6644+H6643,MAX(0,H6781-Assumptions!$C$12*H6597-H6607-H6620-H6633))</f>
        <v>0</v>
      </c>
      <c r="I6646" s="16" t="n">
        <f aca="false">I6639*MIN(I6638-I6644+I6643,MAX(0,I6781-Assumptions!$C$12*I6597-I6607-I6620-I6633))</f>
        <v>0</v>
      </c>
      <c r="J6646" s="16" t="n">
        <f aca="false">J6639*MIN(J6638-J6644+J6643,MAX(0,J6781-Assumptions!$C$12*J6597-J6607-J6620-J6633))</f>
        <v>0</v>
      </c>
      <c r="K6646" s="16" t="n">
        <f aca="false">K6639*MIN(K6638-K6644+K6643,MAX(0,K6781-Assumptions!$C$12*K6597-K6607-K6620-K6633))</f>
        <v>0</v>
      </c>
    </row>
    <row r="6647" customFormat="false" ht="15" hidden="false" customHeight="false" outlineLevel="0" collapsed="false">
      <c r="A6647" s="3" t="s">
        <v>337</v>
      </c>
      <c r="G6647" s="16" t="n">
        <f aca="false">Assumptions!$N$60*MIN(G6638+G6645+G6643-G6644-G6646,MAX(0,G6785-G6608-G6621-G6634))</f>
        <v>0</v>
      </c>
      <c r="H6647" s="16" t="n">
        <f aca="false">Assumptions!$N$60*MIN(H6638+H6645+H6643-H6644-H6646,MAX(0,H6785-H6608-H6621-H6634))</f>
        <v>0</v>
      </c>
      <c r="I6647" s="16" t="n">
        <f aca="false">Assumptions!$N$60*MIN(I6638+I6645+I6643-I6644-I6646,MAX(0,I6785-I6608-I6621-I6634))</f>
        <v>0</v>
      </c>
      <c r="J6647" s="16" t="n">
        <f aca="false">Assumptions!$N$60*MIN(J6638+J6645+J6643-J6644-J6646,MAX(0,J6785-J6608-J6621-J6634))</f>
        <v>0</v>
      </c>
      <c r="K6647" s="16" t="n">
        <f aca="false">Assumptions!$N$60*MIN(K6638+K6645+K6643-K6644-K6646,MAX(0,K6785-K6608-K6621-K6634))</f>
        <v>0</v>
      </c>
    </row>
    <row r="6648" customFormat="false" ht="15" hidden="false" customHeight="false" outlineLevel="0" collapsed="false">
      <c r="A6648" s="3" t="s">
        <v>338</v>
      </c>
      <c r="G6648" s="16" t="n">
        <f aca="false">G6639*(1-G6597)*(G6638-G6644+G6643-G6646)</f>
        <v>0</v>
      </c>
      <c r="H6648" s="16" t="n">
        <f aca="false">H6639*(1-H6597)*(H6638-H6644+H6643-H6646)</f>
        <v>0</v>
      </c>
      <c r="I6648" s="16" t="n">
        <f aca="false">I6639*(1-I6597)*(I6638-I6644+I6643-I6646)</f>
        <v>0</v>
      </c>
      <c r="J6648" s="16" t="n">
        <f aca="false">J6639*(1-J6597)*(J6638-J6644+J6643-J6646)</f>
        <v>0</v>
      </c>
      <c r="K6648" s="16" t="n">
        <f aca="false">K6639*(1-K6597)*(K6638-K6644+K6643-K6646)</f>
        <v>0</v>
      </c>
    </row>
    <row r="6649" customFormat="false" ht="15" hidden="false" customHeight="false" outlineLevel="0" collapsed="false">
      <c r="A6649" s="2" t="s">
        <v>339</v>
      </c>
      <c r="F6649" s="28" t="n">
        <f aca="false">Assumptions!$C$60</f>
        <v>0</v>
      </c>
      <c r="G6649" s="17" t="n">
        <f aca="false">G6638+G6645+G6643-G6644-G6646-G6647</f>
        <v>0</v>
      </c>
      <c r="H6649" s="17" t="n">
        <f aca="false">H6638+H6645+H6643-H6644-H6646-H6647</f>
        <v>0</v>
      </c>
      <c r="I6649" s="17" t="n">
        <f aca="false">I6638+I6645+I6643-I6644-I6646-I6647</f>
        <v>0</v>
      </c>
      <c r="J6649" s="17" t="n">
        <f aca="false">J6638+J6645+J6643-J6644-J6646-J6647</f>
        <v>0</v>
      </c>
      <c r="K6649" s="17" t="n">
        <f aca="false">K6638+K6645+K6643-K6644-K6646-K6647</f>
        <v>0</v>
      </c>
    </row>
    <row r="6650" customFormat="false" ht="15" hidden="false" customHeight="false" outlineLevel="0" collapsed="false">
      <c r="A6650" s="24" t="s">
        <v>343</v>
      </c>
      <c r="B6650" s="25"/>
      <c r="C6650" s="25"/>
      <c r="D6650" s="25"/>
      <c r="E6650" s="25"/>
      <c r="F6650" s="25"/>
      <c r="G6650" s="25"/>
      <c r="H6650" s="25"/>
      <c r="I6650" s="25"/>
      <c r="J6650" s="25"/>
      <c r="K6650" s="25"/>
    </row>
    <row r="6651" customFormat="false" ht="15" hidden="false" customHeight="false" outlineLevel="0" collapsed="false">
      <c r="A6651" s="3" t="s">
        <v>329</v>
      </c>
      <c r="G6651" s="16" t="n">
        <f aca="false">F6662</f>
        <v>450</v>
      </c>
      <c r="H6651" s="16" t="n">
        <f aca="false">G6662</f>
        <v>450</v>
      </c>
      <c r="I6651" s="16" t="n">
        <f aca="false">H6662</f>
        <v>401.446357881</v>
      </c>
      <c r="J6651" s="16" t="n">
        <f aca="false">I6662</f>
        <v>401.446357881</v>
      </c>
      <c r="K6651" s="16" t="n">
        <f aca="false">J6662</f>
        <v>401.446357881</v>
      </c>
    </row>
    <row r="6652" customFormat="false" ht="15" hidden="false" customHeight="false" outlineLevel="0" collapsed="false">
      <c r="A6652" s="3" t="s">
        <v>330</v>
      </c>
      <c r="G6652" s="21" t="n">
        <f aca="false">IF(G6563=Assumptions!$K$61,1,0)</f>
        <v>0</v>
      </c>
      <c r="H6652" s="21" t="n">
        <f aca="false">IF(H6563=Assumptions!$K$61,1,0)</f>
        <v>1</v>
      </c>
      <c r="I6652" s="21" t="n">
        <f aca="false">IF(I6563=Assumptions!$K$61,1,0)</f>
        <v>0</v>
      </c>
      <c r="J6652" s="21" t="n">
        <f aca="false">IF(J6563=Assumptions!$K$61,1,0)</f>
        <v>0</v>
      </c>
      <c r="K6652" s="21" t="n">
        <f aca="false">IF(K6563=Assumptions!$K$61,1,0)</f>
        <v>0</v>
      </c>
    </row>
    <row r="6654" customFormat="false" ht="15" hidden="false" customHeight="false" outlineLevel="0" collapsed="false">
      <c r="A6654" s="3" t="s">
        <v>331</v>
      </c>
      <c r="G6654" s="31" t="n">
        <f aca="false">IF(Assumptions!$I$61=1,MAX(G6589,Assumptions!$G$61)+Assumptions!$F$61+$C$6590,Assumptions!$E$61)</f>
        <v>0.0395</v>
      </c>
      <c r="H6654" s="31" t="n">
        <f aca="false">IF(G6913=1,$C$6591,IF(Assumptions!$I$61=1,MAX(H6589,Assumptions!$G$61)+Assumptions!$F$61+$C$6590,Assumptions!$E$61))</f>
        <v>0.0395</v>
      </c>
      <c r="I6654" s="31" t="n">
        <f aca="false">IF(H6913=1,$C$6591,IF(Assumptions!$I$61=1,MAX(I6589,Assumptions!$G$61)+Assumptions!$F$61+$C$6590,Assumptions!$E$61))</f>
        <v>0.0395</v>
      </c>
      <c r="J6654" s="31" t="n">
        <f aca="false">IF(I6913=1,$C$6591,IF(Assumptions!$I$61=1,MAX(J6589,Assumptions!$G$61)+Assumptions!$F$61+$C$6590,Assumptions!$E$61))</f>
        <v>0.0395</v>
      </c>
      <c r="K6654" s="31" t="n">
        <f aca="false">IF(J6913=1,$C$6591,IF(Assumptions!$I$61=1,MAX(K6589,Assumptions!$G$61)+Assumptions!$F$61+$C$6590,Assumptions!$E$61))</f>
        <v>0.0395</v>
      </c>
    </row>
    <row r="6655" customFormat="false" ht="15" hidden="false" customHeight="false" outlineLevel="0" collapsed="false">
      <c r="A6655" s="3" t="s">
        <v>332</v>
      </c>
      <c r="G6655" s="16" t="n">
        <f aca="false">G6651*G6654</f>
        <v>17.775</v>
      </c>
      <c r="H6655" s="16" t="n">
        <f aca="false">H6651*H6654</f>
        <v>17.775</v>
      </c>
      <c r="I6655" s="16" t="n">
        <f aca="false">I6651*I6654</f>
        <v>15.8571311362995</v>
      </c>
      <c r="J6655" s="16" t="n">
        <f aca="false">J6651*J6654</f>
        <v>15.8571311362995</v>
      </c>
      <c r="K6655" s="16" t="n">
        <f aca="false">K6651*K6654</f>
        <v>15.8571311362995</v>
      </c>
    </row>
    <row r="6656" customFormat="false" ht="15" hidden="false" customHeight="false" outlineLevel="0" collapsed="false">
      <c r="A6656" s="3" t="s">
        <v>333</v>
      </c>
      <c r="G6656" s="16" t="n">
        <f aca="false">G6651*Assumptions!$H$61</f>
        <v>0</v>
      </c>
      <c r="H6656" s="16" t="n">
        <f aca="false">H6651*Assumptions!$H$61</f>
        <v>0</v>
      </c>
      <c r="I6656" s="16" t="n">
        <f aca="false">I6651*Assumptions!$H$61</f>
        <v>0</v>
      </c>
      <c r="J6656" s="16" t="n">
        <f aca="false">J6651*Assumptions!$H$61</f>
        <v>0</v>
      </c>
      <c r="K6656" s="16" t="n">
        <f aca="false">K6651*Assumptions!$H$61</f>
        <v>0</v>
      </c>
    </row>
    <row r="6657" customFormat="false" ht="15" hidden="false" customHeight="false" outlineLevel="0" collapsed="false">
      <c r="A6657" s="3" t="s">
        <v>334</v>
      </c>
      <c r="G6657" s="16" t="n">
        <f aca="false">MIN(G6651,Assumptions!$L$61*Assumptions!$C$61)</f>
        <v>0</v>
      </c>
      <c r="H6657" s="16" t="n">
        <f aca="false">MIN(H6651,Assumptions!$L$61*Assumptions!$C$61)</f>
        <v>0</v>
      </c>
      <c r="I6657" s="16" t="n">
        <f aca="false">MIN(I6651,Assumptions!$L$61*Assumptions!$C$61)</f>
        <v>0</v>
      </c>
      <c r="J6657" s="16" t="n">
        <f aca="false">MIN(J6651,Assumptions!$L$61*Assumptions!$C$61)</f>
        <v>0</v>
      </c>
      <c r="K6657" s="16" t="n">
        <f aca="false">MIN(K6651,Assumptions!$L$61*Assumptions!$C$61)</f>
        <v>0</v>
      </c>
    </row>
    <row r="6658" customFormat="false" ht="15" hidden="false" customHeight="false" outlineLevel="0" collapsed="false">
      <c r="A6658" s="3" t="s">
        <v>335</v>
      </c>
      <c r="G6658" s="16" t="n">
        <f aca="false">IF(AND(Assumptions!$P$61=1,G6563&lt;Assumptions!$K$61),MIN(MAX(0,-G6779),MAX(0,Assumptions!$D$61-G6651)),0)</f>
        <v>0</v>
      </c>
      <c r="H6658" s="16" t="n">
        <f aca="false">IF(AND(Assumptions!$P$61=1,OR(H6563&lt;Assumptions!$K$61,G6913=1)),MIN(MAX(0,-H6779),MAX(0,Assumptions!$D$61-H6651)),0)</f>
        <v>0</v>
      </c>
      <c r="I6658" s="16" t="n">
        <f aca="false">IF(AND(Assumptions!$P$61=1,OR(I6563&lt;Assumptions!$K$61,H6913=1)),MIN(MAX(0,-I6779),MAX(0,Assumptions!$D$61-I6651)),0)</f>
        <v>0</v>
      </c>
      <c r="J6658" s="16" t="n">
        <f aca="false">IF(AND(Assumptions!$P$61=1,OR(J6563&lt;Assumptions!$K$61,I6913=1)),MIN(MAX(0,-J6779),MAX(0,Assumptions!$D$61-J6651)),0)</f>
        <v>0</v>
      </c>
      <c r="K6658" s="16" t="n">
        <f aca="false">IF(AND(Assumptions!$P$61=1,OR(K6563&lt;Assumptions!$K$61,J6913=1)),MIN(MAX(0,-K6779),MAX(0,Assumptions!$D$61-K6651)),0)</f>
        <v>0</v>
      </c>
    </row>
    <row r="6659" customFormat="false" ht="15" hidden="false" customHeight="false" outlineLevel="0" collapsed="false">
      <c r="A6659" s="3" t="s">
        <v>336</v>
      </c>
      <c r="G6659" s="16" t="n">
        <f aca="false">G6652*MIN(G6651-G6657+G6656,MAX(0,G6781-Assumptions!$C$12*G6597-G6607-G6620-G6633-G6646))</f>
        <v>0</v>
      </c>
      <c r="H6659" s="16" t="n">
        <f aca="false">H6652*MIN(H6651-H6657+H6656,MAX(0,H6781-Assumptions!$C$12*H6597-H6607-H6620-H6633-H6646))</f>
        <v>48.553642119</v>
      </c>
      <c r="I6659" s="16" t="n">
        <f aca="false">I6652*MIN(I6651-I6657+I6656,MAX(0,I6781-Assumptions!$C$12*I6597-I6607-I6620-I6633-I6646))</f>
        <v>0</v>
      </c>
      <c r="J6659" s="16" t="n">
        <f aca="false">J6652*MIN(J6651-J6657+J6656,MAX(0,J6781-Assumptions!$C$12*J6597-J6607-J6620-J6633-J6646))</f>
        <v>0</v>
      </c>
      <c r="K6659" s="16" t="n">
        <f aca="false">K6652*MIN(K6651-K6657+K6656,MAX(0,K6781-Assumptions!$C$12*K6597-K6607-K6620-K6633-K6646))</f>
        <v>0</v>
      </c>
    </row>
    <row r="6660" customFormat="false" ht="15" hidden="false" customHeight="false" outlineLevel="0" collapsed="false">
      <c r="A6660" s="3" t="s">
        <v>337</v>
      </c>
      <c r="G6660" s="16" t="n">
        <f aca="false">Assumptions!$N$61*MIN(G6651+G6658+G6656-G6657-G6659,MAX(0,G6785-G6608-G6621-G6634-G6647))</f>
        <v>0</v>
      </c>
      <c r="H6660" s="16" t="n">
        <f aca="false">Assumptions!$N$61*MIN(H6651+H6658+H6656-H6657-H6659,MAX(0,H6785-H6608-H6621-H6634-H6647))</f>
        <v>0</v>
      </c>
      <c r="I6660" s="16" t="n">
        <f aca="false">Assumptions!$N$61*MIN(I6651+I6658+I6656-I6657-I6659,MAX(0,I6785-I6608-I6621-I6634-I6647))</f>
        <v>0</v>
      </c>
      <c r="J6660" s="16" t="n">
        <f aca="false">Assumptions!$N$61*MIN(J6651+J6658+J6656-J6657-J6659,MAX(0,J6785-J6608-J6621-J6634-J6647))</f>
        <v>0</v>
      </c>
      <c r="K6660" s="16" t="n">
        <f aca="false">Assumptions!$N$61*MIN(K6651+K6658+K6656-K6657-K6659,MAX(0,K6785-K6608-K6621-K6634-K6647))</f>
        <v>0</v>
      </c>
    </row>
    <row r="6661" customFormat="false" ht="15" hidden="false" customHeight="false" outlineLevel="0" collapsed="false">
      <c r="A6661" s="3" t="s">
        <v>338</v>
      </c>
      <c r="G6661" s="16" t="n">
        <f aca="false">G6652*(1-G6597)*(G6651-G6657+G6656-G6659)</f>
        <v>0</v>
      </c>
      <c r="H6661" s="16" t="n">
        <f aca="false">H6652*(1-H6597)*(H6651-H6657+H6656-H6659)</f>
        <v>401.446357881</v>
      </c>
      <c r="I6661" s="16" t="n">
        <f aca="false">I6652*(1-I6597)*(I6651-I6657+I6656-I6659)</f>
        <v>0</v>
      </c>
      <c r="J6661" s="16" t="n">
        <f aca="false">J6652*(1-J6597)*(J6651-J6657+J6656-J6659)</f>
        <v>0</v>
      </c>
      <c r="K6661" s="16" t="n">
        <f aca="false">K6652*(1-K6597)*(K6651-K6657+K6656-K6659)</f>
        <v>0</v>
      </c>
    </row>
    <row r="6662" customFormat="false" ht="15" hidden="false" customHeight="false" outlineLevel="0" collapsed="false">
      <c r="A6662" s="2" t="s">
        <v>339</v>
      </c>
      <c r="F6662" s="28" t="n">
        <f aca="false">Assumptions!$C$61</f>
        <v>450</v>
      </c>
      <c r="G6662" s="17" t="n">
        <f aca="false">G6651+G6658+G6656-G6657-G6659-G6660</f>
        <v>450</v>
      </c>
      <c r="H6662" s="17" t="n">
        <f aca="false">H6651+H6658+H6656-H6657-H6659-H6660</f>
        <v>401.446357881</v>
      </c>
      <c r="I6662" s="17" t="n">
        <f aca="false">I6651+I6658+I6656-I6657-I6659-I6660</f>
        <v>401.446357881</v>
      </c>
      <c r="J6662" s="17" t="n">
        <f aca="false">J6651+J6658+J6656-J6657-J6659-J6660</f>
        <v>401.446357881</v>
      </c>
      <c r="K6662" s="17" t="n">
        <f aca="false">K6651+K6658+K6656-K6657-K6659-K6660</f>
        <v>401.446357881</v>
      </c>
    </row>
    <row r="6663" customFormat="false" ht="15" hidden="false" customHeight="false" outlineLevel="0" collapsed="false">
      <c r="A6663" s="24" t="s">
        <v>344</v>
      </c>
      <c r="B6663" s="25"/>
      <c r="C6663" s="25"/>
      <c r="D6663" s="25"/>
      <c r="E6663" s="25"/>
      <c r="F6663" s="25"/>
      <c r="G6663" s="25"/>
      <c r="H6663" s="25"/>
      <c r="I6663" s="25"/>
      <c r="J6663" s="25"/>
      <c r="K6663" s="25"/>
    </row>
    <row r="6664" customFormat="false" ht="15" hidden="false" customHeight="false" outlineLevel="0" collapsed="false">
      <c r="A6664" s="3" t="s">
        <v>329</v>
      </c>
      <c r="G6664" s="16" t="n">
        <f aca="false">F6675</f>
        <v>350</v>
      </c>
      <c r="H6664" s="16" t="n">
        <f aca="false">G6675</f>
        <v>350</v>
      </c>
      <c r="I6664" s="16" t="n">
        <f aca="false">H6675</f>
        <v>350</v>
      </c>
      <c r="J6664" s="16" t="n">
        <f aca="false">I6675</f>
        <v>350</v>
      </c>
      <c r="K6664" s="16" t="n">
        <f aca="false">J6675</f>
        <v>350</v>
      </c>
    </row>
    <row r="6665" customFormat="false" ht="15" hidden="false" customHeight="false" outlineLevel="0" collapsed="false">
      <c r="A6665" s="3" t="s">
        <v>330</v>
      </c>
      <c r="G6665" s="21" t="n">
        <f aca="false">IF(G6563=Assumptions!$K$62,1,0)</f>
        <v>0</v>
      </c>
      <c r="H6665" s="21" t="n">
        <f aca="false">IF(H6563=Assumptions!$K$62,1,0)</f>
        <v>1</v>
      </c>
      <c r="I6665" s="21" t="n">
        <f aca="false">IF(I6563=Assumptions!$K$62,1,0)</f>
        <v>0</v>
      </c>
      <c r="J6665" s="21" t="n">
        <f aca="false">IF(J6563=Assumptions!$K$62,1,0)</f>
        <v>0</v>
      </c>
      <c r="K6665" s="21" t="n">
        <f aca="false">IF(K6563=Assumptions!$K$62,1,0)</f>
        <v>0</v>
      </c>
    </row>
    <row r="6667" customFormat="false" ht="15" hidden="false" customHeight="false" outlineLevel="0" collapsed="false">
      <c r="A6667" s="3" t="s">
        <v>331</v>
      </c>
      <c r="G6667" s="31" t="n">
        <f aca="false">IF(Assumptions!$I$62=1,MAX(G6589,Assumptions!$G$62)+Assumptions!$F$62+$C$6590,Assumptions!$E$62)</f>
        <v>0.083</v>
      </c>
      <c r="H6667" s="31" t="n">
        <f aca="false">IF(G6914=1,$C$6591,IF(Assumptions!$I$62=1,MAX(H6589,Assumptions!$G$62)+Assumptions!$F$62+$C$6590,Assumptions!$E$62))</f>
        <v>0.083</v>
      </c>
      <c r="I6667" s="31" t="n">
        <f aca="false">IF(H6914=1,$C$6591,IF(Assumptions!$I$62=1,MAX(I6589,Assumptions!$G$62)+Assumptions!$F$62+$C$6590,Assumptions!$E$62))</f>
        <v>0.083</v>
      </c>
      <c r="J6667" s="31" t="n">
        <f aca="false">IF(I6914=1,$C$6591,IF(Assumptions!$I$62=1,MAX(J6589,Assumptions!$G$62)+Assumptions!$F$62+$C$6590,Assumptions!$E$62))</f>
        <v>0.083</v>
      </c>
      <c r="K6667" s="31" t="n">
        <f aca="false">IF(J6914=1,$C$6591,IF(Assumptions!$I$62=1,MAX(K6589,Assumptions!$G$62)+Assumptions!$F$62+$C$6590,Assumptions!$E$62))</f>
        <v>0.083</v>
      </c>
    </row>
    <row r="6668" customFormat="false" ht="15" hidden="false" customHeight="false" outlineLevel="0" collapsed="false">
      <c r="A6668" s="3" t="s">
        <v>332</v>
      </c>
      <c r="G6668" s="16" t="n">
        <f aca="false">G6664*G6667</f>
        <v>29.05</v>
      </c>
      <c r="H6668" s="16" t="n">
        <f aca="false">H6664*H6667</f>
        <v>29.05</v>
      </c>
      <c r="I6668" s="16" t="n">
        <f aca="false">I6664*I6667</f>
        <v>29.05</v>
      </c>
      <c r="J6668" s="16" t="n">
        <f aca="false">J6664*J6667</f>
        <v>29.05</v>
      </c>
      <c r="K6668" s="16" t="n">
        <f aca="false">K6664*K6667</f>
        <v>29.05</v>
      </c>
    </row>
    <row r="6669" customFormat="false" ht="15" hidden="false" customHeight="false" outlineLevel="0" collapsed="false">
      <c r="A6669" s="3" t="s">
        <v>333</v>
      </c>
      <c r="G6669" s="16" t="n">
        <f aca="false">G6664*Assumptions!$H$62</f>
        <v>0</v>
      </c>
      <c r="H6669" s="16" t="n">
        <f aca="false">H6664*Assumptions!$H$62</f>
        <v>0</v>
      </c>
      <c r="I6669" s="16" t="n">
        <f aca="false">I6664*Assumptions!$H$62</f>
        <v>0</v>
      </c>
      <c r="J6669" s="16" t="n">
        <f aca="false">J6664*Assumptions!$H$62</f>
        <v>0</v>
      </c>
      <c r="K6669" s="16" t="n">
        <f aca="false">K6664*Assumptions!$H$62</f>
        <v>0</v>
      </c>
    </row>
    <row r="6670" customFormat="false" ht="15" hidden="false" customHeight="false" outlineLevel="0" collapsed="false">
      <c r="A6670" s="3" t="s">
        <v>334</v>
      </c>
      <c r="G6670" s="16" t="n">
        <f aca="false">MIN(G6664,Assumptions!$L$62*Assumptions!$C$62)</f>
        <v>0</v>
      </c>
      <c r="H6670" s="16" t="n">
        <f aca="false">MIN(H6664,Assumptions!$L$62*Assumptions!$C$62)</f>
        <v>0</v>
      </c>
      <c r="I6670" s="16" t="n">
        <f aca="false">MIN(I6664,Assumptions!$L$62*Assumptions!$C$62)</f>
        <v>0</v>
      </c>
      <c r="J6670" s="16" t="n">
        <f aca="false">MIN(J6664,Assumptions!$L$62*Assumptions!$C$62)</f>
        <v>0</v>
      </c>
      <c r="K6670" s="16" t="n">
        <f aca="false">MIN(K6664,Assumptions!$L$62*Assumptions!$C$62)</f>
        <v>0</v>
      </c>
    </row>
    <row r="6671" customFormat="false" ht="15" hidden="false" customHeight="false" outlineLevel="0" collapsed="false">
      <c r="A6671" s="3" t="s">
        <v>335</v>
      </c>
      <c r="G6671" s="16" t="n">
        <f aca="false">IF(AND(Assumptions!$P$62=1,G6563&lt;Assumptions!$K$62),MIN(MAX(0,-G6779),MAX(0,Assumptions!$D$62-G6664)),0)</f>
        <v>0</v>
      </c>
      <c r="H6671" s="16" t="n">
        <f aca="false">IF(AND(Assumptions!$P$62=1,OR(H6563&lt;Assumptions!$K$62,G6914=1)),MIN(MAX(0,-H6779),MAX(0,Assumptions!$D$62-H6664)),0)</f>
        <v>0</v>
      </c>
      <c r="I6671" s="16" t="n">
        <f aca="false">IF(AND(Assumptions!$P$62=1,OR(I6563&lt;Assumptions!$K$62,H6914=1)),MIN(MAX(0,-I6779),MAX(0,Assumptions!$D$62-I6664)),0)</f>
        <v>0</v>
      </c>
      <c r="J6671" s="16" t="n">
        <f aca="false">IF(AND(Assumptions!$P$62=1,OR(J6563&lt;Assumptions!$K$62,I6914=1)),MIN(MAX(0,-J6779),MAX(0,Assumptions!$D$62-J6664)),0)</f>
        <v>0</v>
      </c>
      <c r="K6671" s="16" t="n">
        <f aca="false">IF(AND(Assumptions!$P$62=1,OR(K6563&lt;Assumptions!$K$62,J6914=1)),MIN(MAX(0,-K6779),MAX(0,Assumptions!$D$62-K6664)),0)</f>
        <v>0</v>
      </c>
    </row>
    <row r="6672" customFormat="false" ht="15" hidden="false" customHeight="false" outlineLevel="0" collapsed="false">
      <c r="A6672" s="3" t="s">
        <v>336</v>
      </c>
      <c r="G6672" s="16" t="n">
        <f aca="false">G6665*MIN(G6664-G6670+G6669,MAX(0,G6781-Assumptions!$C$12*G6597-G6607-G6620-G6633-G6646-G6659))</f>
        <v>0</v>
      </c>
      <c r="H6672" s="16" t="n">
        <f aca="false">H6665*MIN(H6664-H6670+H6669,MAX(0,H6781-Assumptions!$C$12*H6597-H6607-H6620-H6633-H6646-H6659))</f>
        <v>0</v>
      </c>
      <c r="I6672" s="16" t="n">
        <f aca="false">I6665*MIN(I6664-I6670+I6669,MAX(0,I6781-Assumptions!$C$12*I6597-I6607-I6620-I6633-I6646-I6659))</f>
        <v>0</v>
      </c>
      <c r="J6672" s="16" t="n">
        <f aca="false">J6665*MIN(J6664-J6670+J6669,MAX(0,J6781-Assumptions!$C$12*J6597-J6607-J6620-J6633-J6646-J6659))</f>
        <v>0</v>
      </c>
      <c r="K6672" s="16" t="n">
        <f aca="false">K6665*MIN(K6664-K6670+K6669,MAX(0,K6781-Assumptions!$C$12*K6597-K6607-K6620-K6633-K6646-K6659))</f>
        <v>0</v>
      </c>
    </row>
    <row r="6673" customFormat="false" ht="15" hidden="false" customHeight="false" outlineLevel="0" collapsed="false">
      <c r="A6673" s="3" t="s">
        <v>337</v>
      </c>
      <c r="G6673" s="16" t="n">
        <f aca="false">Assumptions!$N$62*MIN(G6664+G6671+G6669-G6670-G6672,MAX(0,G6785-G6608-G6621-G6634-G6647-G6660))</f>
        <v>0</v>
      </c>
      <c r="H6673" s="16" t="n">
        <f aca="false">Assumptions!$N$62*MIN(H6664+H6671+H6669-H6670-H6672,MAX(0,H6785-H6608-H6621-H6634-H6647-H6660))</f>
        <v>0</v>
      </c>
      <c r="I6673" s="16" t="n">
        <f aca="false">Assumptions!$N$62*MIN(I6664+I6671+I6669-I6670-I6672,MAX(0,I6785-I6608-I6621-I6634-I6647-I6660))</f>
        <v>0</v>
      </c>
      <c r="J6673" s="16" t="n">
        <f aca="false">Assumptions!$N$62*MIN(J6664+J6671+J6669-J6670-J6672,MAX(0,J6785-J6608-J6621-J6634-J6647-J6660))</f>
        <v>0</v>
      </c>
      <c r="K6673" s="16" t="n">
        <f aca="false">Assumptions!$N$62*MIN(K6664+K6671+K6669-K6670-K6672,MAX(0,K6785-K6608-K6621-K6634-K6647-K6660))</f>
        <v>0</v>
      </c>
    </row>
    <row r="6674" customFormat="false" ht="15" hidden="false" customHeight="false" outlineLevel="0" collapsed="false">
      <c r="A6674" s="3" t="s">
        <v>338</v>
      </c>
      <c r="G6674" s="16" t="n">
        <f aca="false">G6665*(1-G6597)*(G6664-G6670+G6669-G6672)</f>
        <v>0</v>
      </c>
      <c r="H6674" s="16" t="n">
        <f aca="false">H6665*(1-H6597)*(H6664-H6670+H6669-H6672)</f>
        <v>350</v>
      </c>
      <c r="I6674" s="16" t="n">
        <f aca="false">I6665*(1-I6597)*(I6664-I6670+I6669-I6672)</f>
        <v>0</v>
      </c>
      <c r="J6674" s="16" t="n">
        <f aca="false">J6665*(1-J6597)*(J6664-J6670+J6669-J6672)</f>
        <v>0</v>
      </c>
      <c r="K6674" s="16" t="n">
        <f aca="false">K6665*(1-K6597)*(K6664-K6670+K6669-K6672)</f>
        <v>0</v>
      </c>
    </row>
    <row r="6675" customFormat="false" ht="15" hidden="false" customHeight="false" outlineLevel="0" collapsed="false">
      <c r="A6675" s="2" t="s">
        <v>339</v>
      </c>
      <c r="F6675" s="28" t="n">
        <f aca="false">Assumptions!$C$62</f>
        <v>350</v>
      </c>
      <c r="G6675" s="17" t="n">
        <f aca="false">G6664+G6671+G6669-G6670-G6672-G6673</f>
        <v>350</v>
      </c>
      <c r="H6675" s="17" t="n">
        <f aca="false">H6664+H6671+H6669-H6670-H6672-H6673</f>
        <v>350</v>
      </c>
      <c r="I6675" s="17" t="n">
        <f aca="false">I6664+I6671+I6669-I6670-I6672-I6673</f>
        <v>350</v>
      </c>
      <c r="J6675" s="17" t="n">
        <f aca="false">J6664+J6671+J6669-J6670-J6672-J6673</f>
        <v>350</v>
      </c>
      <c r="K6675" s="17" t="n">
        <f aca="false">K6664+K6671+K6669-K6670-K6672-K6673</f>
        <v>350</v>
      </c>
    </row>
    <row r="6676" customFormat="false" ht="15" hidden="false" customHeight="false" outlineLevel="0" collapsed="false">
      <c r="A6676" s="24" t="s">
        <v>345</v>
      </c>
      <c r="B6676" s="25"/>
      <c r="C6676" s="25"/>
      <c r="D6676" s="25"/>
      <c r="E6676" s="25"/>
      <c r="F6676" s="25"/>
      <c r="G6676" s="25"/>
      <c r="H6676" s="25"/>
      <c r="I6676" s="25"/>
      <c r="J6676" s="25"/>
      <c r="K6676" s="25"/>
    </row>
    <row r="6677" customFormat="false" ht="15" hidden="false" customHeight="false" outlineLevel="0" collapsed="false">
      <c r="A6677" s="3" t="s">
        <v>329</v>
      </c>
      <c r="G6677" s="16" t="n">
        <f aca="false">F6688</f>
        <v>550</v>
      </c>
      <c r="H6677" s="16" t="n">
        <f aca="false">G6688</f>
        <v>550</v>
      </c>
      <c r="I6677" s="16" t="n">
        <f aca="false">H6688</f>
        <v>550</v>
      </c>
      <c r="J6677" s="16" t="n">
        <f aca="false">I6688</f>
        <v>550</v>
      </c>
      <c r="K6677" s="16" t="n">
        <f aca="false">J6688</f>
        <v>550</v>
      </c>
    </row>
    <row r="6678" customFormat="false" ht="15" hidden="false" customHeight="false" outlineLevel="0" collapsed="false">
      <c r="A6678" s="3" t="s">
        <v>330</v>
      </c>
      <c r="G6678" s="21" t="n">
        <f aca="false">IF(G6563=Assumptions!$K$63,1,0)</f>
        <v>0</v>
      </c>
      <c r="H6678" s="21" t="n">
        <f aca="false">IF(H6563=Assumptions!$K$63,1,0)</f>
        <v>0</v>
      </c>
      <c r="I6678" s="21" t="n">
        <f aca="false">IF(I6563=Assumptions!$K$63,1,0)</f>
        <v>1</v>
      </c>
      <c r="J6678" s="21" t="n">
        <f aca="false">IF(J6563=Assumptions!$K$63,1,0)</f>
        <v>0</v>
      </c>
      <c r="K6678" s="21" t="n">
        <f aca="false">IF(K6563=Assumptions!$K$63,1,0)</f>
        <v>0</v>
      </c>
    </row>
    <row r="6680" customFormat="false" ht="15" hidden="false" customHeight="false" outlineLevel="0" collapsed="false">
      <c r="A6680" s="3" t="s">
        <v>331</v>
      </c>
      <c r="G6680" s="31" t="n">
        <f aca="false">IF(Assumptions!$I$63=1,MAX(G6589,Assumptions!$G$63)+Assumptions!$F$63+$C$6590,Assumptions!$E$63)</f>
        <v>0.08875</v>
      </c>
      <c r="H6680" s="31" t="n">
        <f aca="false">IF(G6915=1,$C$6591,IF(Assumptions!$I$63=1,MAX(H6589,Assumptions!$G$63)+Assumptions!$F$63+$C$6590,Assumptions!$E$63))</f>
        <v>0.08875</v>
      </c>
      <c r="I6680" s="31" t="n">
        <f aca="false">IF(H6915=1,$C$6591,IF(Assumptions!$I$63=1,MAX(I6589,Assumptions!$G$63)+Assumptions!$F$63+$C$6590,Assumptions!$E$63))</f>
        <v>0.08875</v>
      </c>
      <c r="J6680" s="31" t="n">
        <f aca="false">IF(I6915=1,$C$6591,IF(Assumptions!$I$63=1,MAX(J6589,Assumptions!$G$63)+Assumptions!$F$63+$C$6590,Assumptions!$E$63))</f>
        <v>0.08875</v>
      </c>
      <c r="K6680" s="31" t="n">
        <f aca="false">IF(J6915=1,$C$6591,IF(Assumptions!$I$63=1,MAX(K6589,Assumptions!$G$63)+Assumptions!$F$63+$C$6590,Assumptions!$E$63))</f>
        <v>0.08875</v>
      </c>
    </row>
    <row r="6681" customFormat="false" ht="15" hidden="false" customHeight="false" outlineLevel="0" collapsed="false">
      <c r="A6681" s="3" t="s">
        <v>332</v>
      </c>
      <c r="G6681" s="16" t="n">
        <f aca="false">G6677*G6680</f>
        <v>48.8125</v>
      </c>
      <c r="H6681" s="16" t="n">
        <f aca="false">H6677*H6680</f>
        <v>48.8125</v>
      </c>
      <c r="I6681" s="16" t="n">
        <f aca="false">I6677*I6680</f>
        <v>48.8125</v>
      </c>
      <c r="J6681" s="16" t="n">
        <f aca="false">J6677*J6680</f>
        <v>48.8125</v>
      </c>
      <c r="K6681" s="16" t="n">
        <f aca="false">K6677*K6680</f>
        <v>48.8125</v>
      </c>
    </row>
    <row r="6682" customFormat="false" ht="15" hidden="false" customHeight="false" outlineLevel="0" collapsed="false">
      <c r="A6682" s="3" t="s">
        <v>333</v>
      </c>
      <c r="G6682" s="16" t="n">
        <f aca="false">G6677*Assumptions!$H$63</f>
        <v>0</v>
      </c>
      <c r="H6682" s="16" t="n">
        <f aca="false">H6677*Assumptions!$H$63</f>
        <v>0</v>
      </c>
      <c r="I6682" s="16" t="n">
        <f aca="false">I6677*Assumptions!$H$63</f>
        <v>0</v>
      </c>
      <c r="J6682" s="16" t="n">
        <f aca="false">J6677*Assumptions!$H$63</f>
        <v>0</v>
      </c>
      <c r="K6682" s="16" t="n">
        <f aca="false">K6677*Assumptions!$H$63</f>
        <v>0</v>
      </c>
    </row>
    <row r="6683" customFormat="false" ht="15" hidden="false" customHeight="false" outlineLevel="0" collapsed="false">
      <c r="A6683" s="3" t="s">
        <v>334</v>
      </c>
      <c r="G6683" s="16" t="n">
        <f aca="false">MIN(G6677,Assumptions!$L$63*Assumptions!$C$63)</f>
        <v>0</v>
      </c>
      <c r="H6683" s="16" t="n">
        <f aca="false">MIN(H6677,Assumptions!$L$63*Assumptions!$C$63)</f>
        <v>0</v>
      </c>
      <c r="I6683" s="16" t="n">
        <f aca="false">MIN(I6677,Assumptions!$L$63*Assumptions!$C$63)</f>
        <v>0</v>
      </c>
      <c r="J6683" s="16" t="n">
        <f aca="false">MIN(J6677,Assumptions!$L$63*Assumptions!$C$63)</f>
        <v>0</v>
      </c>
      <c r="K6683" s="16" t="n">
        <f aca="false">MIN(K6677,Assumptions!$L$63*Assumptions!$C$63)</f>
        <v>0</v>
      </c>
    </row>
    <row r="6684" customFormat="false" ht="15" hidden="false" customHeight="false" outlineLevel="0" collapsed="false">
      <c r="A6684" s="3" t="s">
        <v>335</v>
      </c>
      <c r="G6684" s="16" t="n">
        <f aca="false">IF(AND(Assumptions!$P$63=1,G6563&lt;Assumptions!$K$63),MIN(MAX(0,-G6779),MAX(0,Assumptions!$D$63-G6677)),0)</f>
        <v>0</v>
      </c>
      <c r="H6684" s="16" t="n">
        <f aca="false">IF(AND(Assumptions!$P$63=1,OR(H6563&lt;Assumptions!$K$63,G6915=1)),MIN(MAX(0,-H6779),MAX(0,Assumptions!$D$63-H6677)),0)</f>
        <v>0</v>
      </c>
      <c r="I6684" s="16" t="n">
        <f aca="false">IF(AND(Assumptions!$P$63=1,OR(I6563&lt;Assumptions!$K$63,H6915=1)),MIN(MAX(0,-I6779),MAX(0,Assumptions!$D$63-I6677)),0)</f>
        <v>0</v>
      </c>
      <c r="J6684" s="16" t="n">
        <f aca="false">IF(AND(Assumptions!$P$63=1,OR(J6563&lt;Assumptions!$K$63,I6915=1)),MIN(MAX(0,-J6779),MAX(0,Assumptions!$D$63-J6677)),0)</f>
        <v>0</v>
      </c>
      <c r="K6684" s="16" t="n">
        <f aca="false">IF(AND(Assumptions!$P$63=1,OR(K6563&lt;Assumptions!$K$63,J6915=1)),MIN(MAX(0,-K6779),MAX(0,Assumptions!$D$63-K6677)),0)</f>
        <v>0</v>
      </c>
    </row>
    <row r="6685" customFormat="false" ht="15" hidden="false" customHeight="false" outlineLevel="0" collapsed="false">
      <c r="A6685" s="3" t="s">
        <v>336</v>
      </c>
      <c r="G6685" s="16" t="n">
        <f aca="false">G6678*MIN(G6677-G6683+G6682,MAX(0,G6781-Assumptions!$C$12*G6597-G6607-G6620-G6633-G6646-G6659-G6672))</f>
        <v>0</v>
      </c>
      <c r="H6685" s="16" t="n">
        <f aca="false">H6678*MIN(H6677-H6683+H6682,MAX(0,H6781-Assumptions!$C$12*H6597-H6607-H6620-H6633-H6646-H6659-H6672))</f>
        <v>0</v>
      </c>
      <c r="I6685" s="16" t="n">
        <f aca="false">I6678*MIN(I6677-I6683+I6682,MAX(0,I6781-Assumptions!$C$12*I6597-I6607-I6620-I6633-I6646-I6659-I6672))</f>
        <v>0</v>
      </c>
      <c r="J6685" s="16" t="n">
        <f aca="false">J6678*MIN(J6677-J6683+J6682,MAX(0,J6781-Assumptions!$C$12*J6597-J6607-J6620-J6633-J6646-J6659-J6672))</f>
        <v>0</v>
      </c>
      <c r="K6685" s="16" t="n">
        <f aca="false">K6678*MIN(K6677-K6683+K6682,MAX(0,K6781-Assumptions!$C$12*K6597-K6607-K6620-K6633-K6646-K6659-K6672))</f>
        <v>0</v>
      </c>
    </row>
    <row r="6686" customFormat="false" ht="15" hidden="false" customHeight="false" outlineLevel="0" collapsed="false">
      <c r="A6686" s="3" t="s">
        <v>337</v>
      </c>
      <c r="G6686" s="16" t="n">
        <f aca="false">Assumptions!$N$63*MIN(G6677+G6684+G6682-G6683-G6685,MAX(0,G6785-G6608-G6621-G6634-G6647-G6660-G6673))</f>
        <v>0</v>
      </c>
      <c r="H6686" s="16" t="n">
        <f aca="false">Assumptions!$N$63*MIN(H6677+H6684+H6682-H6683-H6685,MAX(0,H6785-H6608-H6621-H6634-H6647-H6660-H6673))</f>
        <v>0</v>
      </c>
      <c r="I6686" s="16" t="n">
        <f aca="false">Assumptions!$N$63*MIN(I6677+I6684+I6682-I6683-I6685,MAX(0,I6785-I6608-I6621-I6634-I6647-I6660-I6673))</f>
        <v>0</v>
      </c>
      <c r="J6686" s="16" t="n">
        <f aca="false">Assumptions!$N$63*MIN(J6677+J6684+J6682-J6683-J6685,MAX(0,J6785-J6608-J6621-J6634-J6647-J6660-J6673))</f>
        <v>0</v>
      </c>
      <c r="K6686" s="16" t="n">
        <f aca="false">Assumptions!$N$63*MIN(K6677+K6684+K6682-K6683-K6685,MAX(0,K6785-K6608-K6621-K6634-K6647-K6660-K6673))</f>
        <v>0</v>
      </c>
    </row>
    <row r="6687" customFormat="false" ht="15" hidden="false" customHeight="false" outlineLevel="0" collapsed="false">
      <c r="A6687" s="3" t="s">
        <v>338</v>
      </c>
      <c r="G6687" s="16" t="n">
        <f aca="false">G6678*(1-G6597)*(G6677-G6683+G6682-G6685)</f>
        <v>0</v>
      </c>
      <c r="H6687" s="16" t="n">
        <f aca="false">H6678*(1-H6597)*(H6677-H6683+H6682-H6685)</f>
        <v>0</v>
      </c>
      <c r="I6687" s="16" t="n">
        <f aca="false">I6678*(1-I6597)*(I6677-I6683+I6682-I6685)</f>
        <v>550</v>
      </c>
      <c r="J6687" s="16" t="n">
        <f aca="false">J6678*(1-J6597)*(J6677-J6683+J6682-J6685)</f>
        <v>0</v>
      </c>
      <c r="K6687" s="16" t="n">
        <f aca="false">K6678*(1-K6597)*(K6677-K6683+K6682-K6685)</f>
        <v>0</v>
      </c>
    </row>
    <row r="6688" customFormat="false" ht="15" hidden="false" customHeight="false" outlineLevel="0" collapsed="false">
      <c r="A6688" s="2" t="s">
        <v>339</v>
      </c>
      <c r="F6688" s="28" t="n">
        <f aca="false">Assumptions!$C$63</f>
        <v>550</v>
      </c>
      <c r="G6688" s="17" t="n">
        <f aca="false">G6677+G6684+G6682-G6683-G6685-G6686</f>
        <v>550</v>
      </c>
      <c r="H6688" s="17" t="n">
        <f aca="false">H6677+H6684+H6682-H6683-H6685-H6686</f>
        <v>550</v>
      </c>
      <c r="I6688" s="17" t="n">
        <f aca="false">I6677+I6684+I6682-I6683-I6685-I6686</f>
        <v>550</v>
      </c>
      <c r="J6688" s="17" t="n">
        <f aca="false">J6677+J6684+J6682-J6683-J6685-J6686</f>
        <v>550</v>
      </c>
      <c r="K6688" s="17" t="n">
        <f aca="false">K6677+K6684+K6682-K6683-K6685-K6686</f>
        <v>550</v>
      </c>
    </row>
    <row r="6689" customFormat="false" ht="15" hidden="false" customHeight="false" outlineLevel="0" collapsed="false">
      <c r="A6689" s="24" t="s">
        <v>346</v>
      </c>
      <c r="B6689" s="25"/>
      <c r="C6689" s="25"/>
      <c r="D6689" s="25"/>
      <c r="E6689" s="25"/>
      <c r="F6689" s="25"/>
      <c r="G6689" s="25"/>
      <c r="H6689" s="25"/>
      <c r="I6689" s="25"/>
      <c r="J6689" s="25"/>
      <c r="K6689" s="25"/>
    </row>
    <row r="6690" customFormat="false" ht="15" hidden="false" customHeight="false" outlineLevel="0" collapsed="false">
      <c r="A6690" s="3" t="s">
        <v>329</v>
      </c>
      <c r="G6690" s="16" t="n">
        <f aca="false">F6701</f>
        <v>350</v>
      </c>
      <c r="H6690" s="16" t="n">
        <f aca="false">G6701</f>
        <v>350</v>
      </c>
      <c r="I6690" s="16" t="n">
        <f aca="false">H6701</f>
        <v>350</v>
      </c>
      <c r="J6690" s="16" t="n">
        <f aca="false">I6701</f>
        <v>350</v>
      </c>
      <c r="K6690" s="16" t="n">
        <f aca="false">J6701</f>
        <v>350</v>
      </c>
    </row>
    <row r="6691" customFormat="false" ht="15" hidden="false" customHeight="false" outlineLevel="0" collapsed="false">
      <c r="A6691" s="3" t="s">
        <v>330</v>
      </c>
      <c r="G6691" s="21" t="n">
        <f aca="false">IF(G6563=Assumptions!$K$64,1,0)</f>
        <v>0</v>
      </c>
      <c r="H6691" s="21" t="n">
        <f aca="false">IF(H6563=Assumptions!$K$64,1,0)</f>
        <v>0</v>
      </c>
      <c r="I6691" s="21" t="n">
        <f aca="false">IF(I6563=Assumptions!$K$64,1,0)</f>
        <v>0</v>
      </c>
      <c r="J6691" s="21" t="n">
        <f aca="false">IF(J6563=Assumptions!$K$64,1,0)</f>
        <v>1</v>
      </c>
      <c r="K6691" s="21" t="n">
        <f aca="false">IF(K6563=Assumptions!$K$64,1,0)</f>
        <v>0</v>
      </c>
    </row>
    <row r="6693" customFormat="false" ht="15" hidden="false" customHeight="false" outlineLevel="0" collapsed="false">
      <c r="A6693" s="3" t="s">
        <v>331</v>
      </c>
      <c r="G6693" s="31" t="n">
        <f aca="false">IF(Assumptions!$I$64=1,MAX(G6589,Assumptions!$G$64)+Assumptions!$F$64+$C$6590,Assumptions!$E$64)</f>
        <v>0.0455</v>
      </c>
      <c r="H6693" s="31" t="n">
        <f aca="false">IF(G6916=1,$C$6591,IF(Assumptions!$I$64=1,MAX(H6589,Assumptions!$G$64)+Assumptions!$F$64+$C$6590,Assumptions!$E$64))</f>
        <v>0.0455</v>
      </c>
      <c r="I6693" s="31" t="n">
        <f aca="false">IF(H6916=1,$C$6591,IF(Assumptions!$I$64=1,MAX(I6589,Assumptions!$G$64)+Assumptions!$F$64+$C$6590,Assumptions!$E$64))</f>
        <v>0.0455</v>
      </c>
      <c r="J6693" s="31" t="n">
        <f aca="false">IF(I6916=1,$C$6591,IF(Assumptions!$I$64=1,MAX(J6589,Assumptions!$G$64)+Assumptions!$F$64+$C$6590,Assumptions!$E$64))</f>
        <v>0.0455</v>
      </c>
      <c r="K6693" s="31" t="n">
        <f aca="false">IF(J6916=1,$C$6591,IF(Assumptions!$I$64=1,MAX(K6589,Assumptions!$G$64)+Assumptions!$F$64+$C$6590,Assumptions!$E$64))</f>
        <v>0.0455</v>
      </c>
    </row>
    <row r="6694" customFormat="false" ht="15" hidden="false" customHeight="false" outlineLevel="0" collapsed="false">
      <c r="A6694" s="3" t="s">
        <v>332</v>
      </c>
      <c r="G6694" s="16" t="n">
        <f aca="false">G6690*G6693</f>
        <v>15.925</v>
      </c>
      <c r="H6694" s="16" t="n">
        <f aca="false">H6690*H6693</f>
        <v>15.925</v>
      </c>
      <c r="I6694" s="16" t="n">
        <f aca="false">I6690*I6693</f>
        <v>15.925</v>
      </c>
      <c r="J6694" s="16" t="n">
        <f aca="false">J6690*J6693</f>
        <v>15.925</v>
      </c>
      <c r="K6694" s="16" t="n">
        <f aca="false">K6690*K6693</f>
        <v>15.925</v>
      </c>
    </row>
    <row r="6695" customFormat="false" ht="15" hidden="false" customHeight="false" outlineLevel="0" collapsed="false">
      <c r="A6695" s="3" t="s">
        <v>333</v>
      </c>
      <c r="G6695" s="16" t="n">
        <f aca="false">G6690*Assumptions!$H$64</f>
        <v>0</v>
      </c>
      <c r="H6695" s="16" t="n">
        <f aca="false">H6690*Assumptions!$H$64</f>
        <v>0</v>
      </c>
      <c r="I6695" s="16" t="n">
        <f aca="false">I6690*Assumptions!$H$64</f>
        <v>0</v>
      </c>
      <c r="J6695" s="16" t="n">
        <f aca="false">J6690*Assumptions!$H$64</f>
        <v>0</v>
      </c>
      <c r="K6695" s="16" t="n">
        <f aca="false">K6690*Assumptions!$H$64</f>
        <v>0</v>
      </c>
    </row>
    <row r="6696" customFormat="false" ht="15" hidden="false" customHeight="false" outlineLevel="0" collapsed="false">
      <c r="A6696" s="3" t="s">
        <v>334</v>
      </c>
      <c r="G6696" s="16" t="n">
        <f aca="false">MIN(G6690,Assumptions!$L$64*Assumptions!$C$64)</f>
        <v>0</v>
      </c>
      <c r="H6696" s="16" t="n">
        <f aca="false">MIN(H6690,Assumptions!$L$64*Assumptions!$C$64)</f>
        <v>0</v>
      </c>
      <c r="I6696" s="16" t="n">
        <f aca="false">MIN(I6690,Assumptions!$L$64*Assumptions!$C$64)</f>
        <v>0</v>
      </c>
      <c r="J6696" s="16" t="n">
        <f aca="false">MIN(J6690,Assumptions!$L$64*Assumptions!$C$64)</f>
        <v>0</v>
      </c>
      <c r="K6696" s="16" t="n">
        <f aca="false">MIN(K6690,Assumptions!$L$64*Assumptions!$C$64)</f>
        <v>0</v>
      </c>
    </row>
    <row r="6697" customFormat="false" ht="15" hidden="false" customHeight="false" outlineLevel="0" collapsed="false">
      <c r="A6697" s="3" t="s">
        <v>335</v>
      </c>
      <c r="G6697" s="16" t="n">
        <f aca="false">IF(AND(Assumptions!$P$64=1,G6563&lt;Assumptions!$K$64),MIN(MAX(0,-G6779),MAX(0,Assumptions!$D$64-G6690)),0)</f>
        <v>0</v>
      </c>
      <c r="H6697" s="16" t="n">
        <f aca="false">IF(AND(Assumptions!$P$64=1,OR(H6563&lt;Assumptions!$K$64,G6916=1)),MIN(MAX(0,-H6779),MAX(0,Assumptions!$D$64-H6690)),0)</f>
        <v>0</v>
      </c>
      <c r="I6697" s="16" t="n">
        <f aca="false">IF(AND(Assumptions!$P$64=1,OR(I6563&lt;Assumptions!$K$64,H6916=1)),MIN(MAX(0,-I6779),MAX(0,Assumptions!$D$64-I6690)),0)</f>
        <v>0</v>
      </c>
      <c r="J6697" s="16" t="n">
        <f aca="false">IF(AND(Assumptions!$P$64=1,OR(J6563&lt;Assumptions!$K$64,I6916=1)),MIN(MAX(0,-J6779),MAX(0,Assumptions!$D$64-J6690)),0)</f>
        <v>0</v>
      </c>
      <c r="K6697" s="16" t="n">
        <f aca="false">IF(AND(Assumptions!$P$64=1,OR(K6563&lt;Assumptions!$K$64,J6916=1)),MIN(MAX(0,-K6779),MAX(0,Assumptions!$D$64-K6690)),0)</f>
        <v>0</v>
      </c>
    </row>
    <row r="6698" customFormat="false" ht="15" hidden="false" customHeight="false" outlineLevel="0" collapsed="false">
      <c r="A6698" s="3" t="s">
        <v>336</v>
      </c>
      <c r="G6698" s="16" t="n">
        <f aca="false">G6691*MIN(G6690-G6696+G6695,MAX(0,G6781-Assumptions!$C$12*G6597-G6607-G6620-G6633-G6646-G6659-G6672-G6685))</f>
        <v>0</v>
      </c>
      <c r="H6698" s="16" t="n">
        <f aca="false">H6691*MIN(H6690-H6696+H6695,MAX(0,H6781-Assumptions!$C$12*H6597-H6607-H6620-H6633-H6646-H6659-H6672-H6685))</f>
        <v>0</v>
      </c>
      <c r="I6698" s="16" t="n">
        <f aca="false">I6691*MIN(I6690-I6696+I6695,MAX(0,I6781-Assumptions!$C$12*I6597-I6607-I6620-I6633-I6646-I6659-I6672-I6685))</f>
        <v>0</v>
      </c>
      <c r="J6698" s="16" t="n">
        <f aca="false">J6691*MIN(J6690-J6696+J6695,MAX(0,J6781-Assumptions!$C$12*J6597-J6607-J6620-J6633-J6646-J6659-J6672-J6685))</f>
        <v>0</v>
      </c>
      <c r="K6698" s="16" t="n">
        <f aca="false">K6691*MIN(K6690-K6696+K6695,MAX(0,K6781-Assumptions!$C$12*K6597-K6607-K6620-K6633-K6646-K6659-K6672-K6685))</f>
        <v>0</v>
      </c>
    </row>
    <row r="6699" customFormat="false" ht="15" hidden="false" customHeight="false" outlineLevel="0" collapsed="false">
      <c r="A6699" s="3" t="s">
        <v>337</v>
      </c>
      <c r="G6699" s="16" t="n">
        <f aca="false">Assumptions!$N$64*MIN(G6690+G6697+G6695-G6696-G6698,MAX(0,G6785-G6608-G6621-G6634-G6647-G6660-G6673-G6686))</f>
        <v>0</v>
      </c>
      <c r="H6699" s="16" t="n">
        <f aca="false">Assumptions!$N$64*MIN(H6690+H6697+H6695-H6696-H6698,MAX(0,H6785-H6608-H6621-H6634-H6647-H6660-H6673-H6686))</f>
        <v>0</v>
      </c>
      <c r="I6699" s="16" t="n">
        <f aca="false">Assumptions!$N$64*MIN(I6690+I6697+I6695-I6696-I6698,MAX(0,I6785-I6608-I6621-I6634-I6647-I6660-I6673-I6686))</f>
        <v>0</v>
      </c>
      <c r="J6699" s="16" t="n">
        <f aca="false">Assumptions!$N$64*MIN(J6690+J6697+J6695-J6696-J6698,MAX(0,J6785-J6608-J6621-J6634-J6647-J6660-J6673-J6686))</f>
        <v>0</v>
      </c>
      <c r="K6699" s="16" t="n">
        <f aca="false">Assumptions!$N$64*MIN(K6690+K6697+K6695-K6696-K6698,MAX(0,K6785-K6608-K6621-K6634-K6647-K6660-K6673-K6686))</f>
        <v>0</v>
      </c>
    </row>
    <row r="6700" customFormat="false" ht="15" hidden="false" customHeight="false" outlineLevel="0" collapsed="false">
      <c r="A6700" s="3" t="s">
        <v>338</v>
      </c>
      <c r="G6700" s="16" t="n">
        <f aca="false">G6691*(1-G6597)*(G6690-G6696+G6695-G6698)</f>
        <v>0</v>
      </c>
      <c r="H6700" s="16" t="n">
        <f aca="false">H6691*(1-H6597)*(H6690-H6696+H6695-H6698)</f>
        <v>0</v>
      </c>
      <c r="I6700" s="16" t="n">
        <f aca="false">I6691*(1-I6597)*(I6690-I6696+I6695-I6698)</f>
        <v>0</v>
      </c>
      <c r="J6700" s="16" t="n">
        <f aca="false">J6691*(1-J6597)*(J6690-J6696+J6695-J6698)</f>
        <v>350</v>
      </c>
      <c r="K6700" s="16" t="n">
        <f aca="false">K6691*(1-K6597)*(K6690-K6696+K6695-K6698)</f>
        <v>0</v>
      </c>
    </row>
    <row r="6701" customFormat="false" ht="15" hidden="false" customHeight="false" outlineLevel="0" collapsed="false">
      <c r="A6701" s="2" t="s">
        <v>339</v>
      </c>
      <c r="F6701" s="28" t="n">
        <f aca="false">Assumptions!$C$64</f>
        <v>350</v>
      </c>
      <c r="G6701" s="17" t="n">
        <f aca="false">G6690+G6697+G6695-G6696-G6698-G6699</f>
        <v>350</v>
      </c>
      <c r="H6701" s="17" t="n">
        <f aca="false">H6690+H6697+H6695-H6696-H6698-H6699</f>
        <v>350</v>
      </c>
      <c r="I6701" s="17" t="n">
        <f aca="false">I6690+I6697+I6695-I6696-I6698-I6699</f>
        <v>350</v>
      </c>
      <c r="J6701" s="17" t="n">
        <f aca="false">J6690+J6697+J6695-J6696-J6698-J6699</f>
        <v>350</v>
      </c>
      <c r="K6701" s="17" t="n">
        <f aca="false">K6690+K6697+K6695-K6696-K6698-K6699</f>
        <v>350</v>
      </c>
    </row>
    <row r="6702" customFormat="false" ht="15" hidden="false" customHeight="false" outlineLevel="0" collapsed="false">
      <c r="A6702" s="24" t="s">
        <v>347</v>
      </c>
      <c r="B6702" s="25"/>
      <c r="C6702" s="25"/>
      <c r="D6702" s="25"/>
      <c r="E6702" s="25"/>
      <c r="F6702" s="25"/>
      <c r="G6702" s="25"/>
      <c r="H6702" s="25"/>
      <c r="I6702" s="25"/>
      <c r="J6702" s="25"/>
      <c r="K6702" s="25"/>
    </row>
    <row r="6703" customFormat="false" ht="15" hidden="false" customHeight="false" outlineLevel="0" collapsed="false">
      <c r="A6703" s="3" t="s">
        <v>329</v>
      </c>
      <c r="G6703" s="16" t="n">
        <f aca="false">F6714</f>
        <v>300</v>
      </c>
      <c r="H6703" s="16" t="n">
        <f aca="false">G6714</f>
        <v>300</v>
      </c>
      <c r="I6703" s="16" t="n">
        <f aca="false">H6714</f>
        <v>300</v>
      </c>
      <c r="J6703" s="16" t="n">
        <f aca="false">I6714</f>
        <v>300</v>
      </c>
      <c r="K6703" s="16" t="n">
        <f aca="false">J6714</f>
        <v>300</v>
      </c>
    </row>
    <row r="6704" customFormat="false" ht="15" hidden="false" customHeight="false" outlineLevel="0" collapsed="false">
      <c r="A6704" s="3" t="s">
        <v>330</v>
      </c>
      <c r="G6704" s="21" t="n">
        <f aca="false">IF(G6563=Assumptions!$K$65,1,0)</f>
        <v>0</v>
      </c>
      <c r="H6704" s="21" t="n">
        <f aca="false">IF(H6563=Assumptions!$K$65,1,0)</f>
        <v>0</v>
      </c>
      <c r="I6704" s="21" t="n">
        <f aca="false">IF(I6563=Assumptions!$K$65,1,0)</f>
        <v>0</v>
      </c>
      <c r="J6704" s="21" t="n">
        <f aca="false">IF(J6563=Assumptions!$K$65,1,0)</f>
        <v>0</v>
      </c>
      <c r="K6704" s="21" t="n">
        <f aca="false">IF(K6563=Assumptions!$K$65,1,0)</f>
        <v>1</v>
      </c>
    </row>
    <row r="6706" customFormat="false" ht="15" hidden="false" customHeight="false" outlineLevel="0" collapsed="false">
      <c r="A6706" s="3" t="s">
        <v>331</v>
      </c>
      <c r="G6706" s="31" t="n">
        <f aca="false">IF(Assumptions!$I$65=1,MAX(G6589,Assumptions!$G$65)+Assumptions!$F$65+$C$6590,Assumptions!$E$65)</f>
        <v>0.06125</v>
      </c>
      <c r="H6706" s="31" t="n">
        <f aca="false">IF(G6917=1,$C$6591,IF(Assumptions!$I$65=1,MAX(H6589,Assumptions!$G$65)+Assumptions!$F$65+$C$6590,Assumptions!$E$65))</f>
        <v>0.06125</v>
      </c>
      <c r="I6706" s="31" t="n">
        <f aca="false">IF(H6917=1,$C$6591,IF(Assumptions!$I$65=1,MAX(I6589,Assumptions!$G$65)+Assumptions!$F$65+$C$6590,Assumptions!$E$65))</f>
        <v>0.06125</v>
      </c>
      <c r="J6706" s="31" t="n">
        <f aca="false">IF(I6917=1,$C$6591,IF(Assumptions!$I$65=1,MAX(J6589,Assumptions!$G$65)+Assumptions!$F$65+$C$6590,Assumptions!$E$65))</f>
        <v>0.06125</v>
      </c>
      <c r="K6706" s="31" t="n">
        <f aca="false">IF(J6917=1,$C$6591,IF(Assumptions!$I$65=1,MAX(K6589,Assumptions!$G$65)+Assumptions!$F$65+$C$6590,Assumptions!$E$65))</f>
        <v>0.06125</v>
      </c>
    </row>
    <row r="6707" customFormat="false" ht="15" hidden="false" customHeight="false" outlineLevel="0" collapsed="false">
      <c r="A6707" s="3" t="s">
        <v>332</v>
      </c>
      <c r="G6707" s="16" t="n">
        <f aca="false">G6703*G6706</f>
        <v>18.375</v>
      </c>
      <c r="H6707" s="16" t="n">
        <f aca="false">H6703*H6706</f>
        <v>18.375</v>
      </c>
      <c r="I6707" s="16" t="n">
        <f aca="false">I6703*I6706</f>
        <v>18.375</v>
      </c>
      <c r="J6707" s="16" t="n">
        <f aca="false">J6703*J6706</f>
        <v>18.375</v>
      </c>
      <c r="K6707" s="16" t="n">
        <f aca="false">K6703*K6706</f>
        <v>18.375</v>
      </c>
    </row>
    <row r="6708" customFormat="false" ht="15" hidden="false" customHeight="false" outlineLevel="0" collapsed="false">
      <c r="A6708" s="3" t="s">
        <v>333</v>
      </c>
      <c r="G6708" s="16" t="n">
        <f aca="false">G6703*Assumptions!$H$65</f>
        <v>0</v>
      </c>
      <c r="H6708" s="16" t="n">
        <f aca="false">H6703*Assumptions!$H$65</f>
        <v>0</v>
      </c>
      <c r="I6708" s="16" t="n">
        <f aca="false">I6703*Assumptions!$H$65</f>
        <v>0</v>
      </c>
      <c r="J6708" s="16" t="n">
        <f aca="false">J6703*Assumptions!$H$65</f>
        <v>0</v>
      </c>
      <c r="K6708" s="16" t="n">
        <f aca="false">K6703*Assumptions!$H$65</f>
        <v>0</v>
      </c>
    </row>
    <row r="6709" customFormat="false" ht="15" hidden="false" customHeight="false" outlineLevel="0" collapsed="false">
      <c r="A6709" s="3" t="s">
        <v>334</v>
      </c>
      <c r="G6709" s="16" t="n">
        <f aca="false">MIN(G6703,Assumptions!$L$65*Assumptions!$C$65)</f>
        <v>0</v>
      </c>
      <c r="H6709" s="16" t="n">
        <f aca="false">MIN(H6703,Assumptions!$L$65*Assumptions!$C$65)</f>
        <v>0</v>
      </c>
      <c r="I6709" s="16" t="n">
        <f aca="false">MIN(I6703,Assumptions!$L$65*Assumptions!$C$65)</f>
        <v>0</v>
      </c>
      <c r="J6709" s="16" t="n">
        <f aca="false">MIN(J6703,Assumptions!$L$65*Assumptions!$C$65)</f>
        <v>0</v>
      </c>
      <c r="K6709" s="16" t="n">
        <f aca="false">MIN(K6703,Assumptions!$L$65*Assumptions!$C$65)</f>
        <v>0</v>
      </c>
    </row>
    <row r="6710" customFormat="false" ht="15" hidden="false" customHeight="false" outlineLevel="0" collapsed="false">
      <c r="A6710" s="3" t="s">
        <v>335</v>
      </c>
      <c r="G6710" s="16" t="n">
        <f aca="false">IF(AND(Assumptions!$P$65=1,G6563&lt;Assumptions!$K$65),MIN(MAX(0,-G6779),MAX(0,Assumptions!$D$65-G6703)),0)</f>
        <v>0</v>
      </c>
      <c r="H6710" s="16" t="n">
        <f aca="false">IF(AND(Assumptions!$P$65=1,OR(H6563&lt;Assumptions!$K$65,G6917=1)),MIN(MAX(0,-H6779),MAX(0,Assumptions!$D$65-H6703)),0)</f>
        <v>0</v>
      </c>
      <c r="I6710" s="16" t="n">
        <f aca="false">IF(AND(Assumptions!$P$65=1,OR(I6563&lt;Assumptions!$K$65,H6917=1)),MIN(MAX(0,-I6779),MAX(0,Assumptions!$D$65-I6703)),0)</f>
        <v>0</v>
      </c>
      <c r="J6710" s="16" t="n">
        <f aca="false">IF(AND(Assumptions!$P$65=1,OR(J6563&lt;Assumptions!$K$65,I6917=1)),MIN(MAX(0,-J6779),MAX(0,Assumptions!$D$65-J6703)),0)</f>
        <v>0</v>
      </c>
      <c r="K6710" s="16" t="n">
        <f aca="false">IF(AND(Assumptions!$P$65=1,OR(K6563&lt;Assumptions!$K$65,J6917=1)),MIN(MAX(0,-K6779),MAX(0,Assumptions!$D$65-K6703)),0)</f>
        <v>0</v>
      </c>
    </row>
    <row r="6711" customFormat="false" ht="15" hidden="false" customHeight="false" outlineLevel="0" collapsed="false">
      <c r="A6711" s="3" t="s">
        <v>336</v>
      </c>
      <c r="G6711" s="16" t="n">
        <f aca="false">G6704*MIN(G6703-G6709+G6708,MAX(0,G6781-Assumptions!$C$12*G6597-G6607-G6620-G6633-G6646-G6659-G6672-G6685-G6698))</f>
        <v>0</v>
      </c>
      <c r="H6711" s="16" t="n">
        <f aca="false">H6704*MIN(H6703-H6709+H6708,MAX(0,H6781-Assumptions!$C$12*H6597-H6607-H6620-H6633-H6646-H6659-H6672-H6685-H6698))</f>
        <v>0</v>
      </c>
      <c r="I6711" s="16" t="n">
        <f aca="false">I6704*MIN(I6703-I6709+I6708,MAX(0,I6781-Assumptions!$C$12*I6597-I6607-I6620-I6633-I6646-I6659-I6672-I6685-I6698))</f>
        <v>0</v>
      </c>
      <c r="J6711" s="16" t="n">
        <f aca="false">J6704*MIN(J6703-J6709+J6708,MAX(0,J6781-Assumptions!$C$12*J6597-J6607-J6620-J6633-J6646-J6659-J6672-J6685-J6698))</f>
        <v>0</v>
      </c>
      <c r="K6711" s="16" t="n">
        <f aca="false">K6704*MIN(K6703-K6709+K6708,MAX(0,K6781-Assumptions!$C$12*K6597-K6607-K6620-K6633-K6646-K6659-K6672-K6685-K6698))</f>
        <v>0</v>
      </c>
    </row>
    <row r="6712" customFormat="false" ht="15" hidden="false" customHeight="false" outlineLevel="0" collapsed="false">
      <c r="A6712" s="3" t="s">
        <v>337</v>
      </c>
      <c r="G6712" s="16" t="n">
        <f aca="false">Assumptions!$N$65*MIN(G6703+G6710+G6708-G6709-G6711,MAX(0,G6785-G6608-G6621-G6634-G6647-G6660-G6673-G6686-G6699))</f>
        <v>0</v>
      </c>
      <c r="H6712" s="16" t="n">
        <f aca="false">Assumptions!$N$65*MIN(H6703+H6710+H6708-H6709-H6711,MAX(0,H6785-H6608-H6621-H6634-H6647-H6660-H6673-H6686-H6699))</f>
        <v>0</v>
      </c>
      <c r="I6712" s="16" t="n">
        <f aca="false">Assumptions!$N$65*MIN(I6703+I6710+I6708-I6709-I6711,MAX(0,I6785-I6608-I6621-I6634-I6647-I6660-I6673-I6686-I6699))</f>
        <v>0</v>
      </c>
      <c r="J6712" s="16" t="n">
        <f aca="false">Assumptions!$N$65*MIN(J6703+J6710+J6708-J6709-J6711,MAX(0,J6785-J6608-J6621-J6634-J6647-J6660-J6673-J6686-J6699))</f>
        <v>0</v>
      </c>
      <c r="K6712" s="16" t="n">
        <f aca="false">Assumptions!$N$65*MIN(K6703+K6710+K6708-K6709-K6711,MAX(0,K6785-K6608-K6621-K6634-K6647-K6660-K6673-K6686-K6699))</f>
        <v>0</v>
      </c>
    </row>
    <row r="6713" customFormat="false" ht="15" hidden="false" customHeight="false" outlineLevel="0" collapsed="false">
      <c r="A6713" s="3" t="s">
        <v>338</v>
      </c>
      <c r="G6713" s="16" t="n">
        <f aca="false">G6704*(1-G6597)*(G6703-G6709+G6708-G6711)</f>
        <v>0</v>
      </c>
      <c r="H6713" s="16" t="n">
        <f aca="false">H6704*(1-H6597)*(H6703-H6709+H6708-H6711)</f>
        <v>0</v>
      </c>
      <c r="I6713" s="16" t="n">
        <f aca="false">I6704*(1-I6597)*(I6703-I6709+I6708-I6711)</f>
        <v>0</v>
      </c>
      <c r="J6713" s="16" t="n">
        <f aca="false">J6704*(1-J6597)*(J6703-J6709+J6708-J6711)</f>
        <v>0</v>
      </c>
      <c r="K6713" s="16" t="n">
        <f aca="false">K6704*(1-K6597)*(K6703-K6709+K6708-K6711)</f>
        <v>300</v>
      </c>
    </row>
    <row r="6714" customFormat="false" ht="15" hidden="false" customHeight="false" outlineLevel="0" collapsed="false">
      <c r="A6714" s="2" t="s">
        <v>339</v>
      </c>
      <c r="F6714" s="28" t="n">
        <f aca="false">Assumptions!$C$65</f>
        <v>300</v>
      </c>
      <c r="G6714" s="17" t="n">
        <f aca="false">G6703+G6710+G6708-G6709-G6711-G6712</f>
        <v>300</v>
      </c>
      <c r="H6714" s="17" t="n">
        <f aca="false">H6703+H6710+H6708-H6709-H6711-H6712</f>
        <v>300</v>
      </c>
      <c r="I6714" s="17" t="n">
        <f aca="false">I6703+I6710+I6708-I6709-I6711-I6712</f>
        <v>300</v>
      </c>
      <c r="J6714" s="17" t="n">
        <f aca="false">J6703+J6710+J6708-J6709-J6711-J6712</f>
        <v>300</v>
      </c>
      <c r="K6714" s="17" t="n">
        <f aca="false">K6703+K6710+K6708-K6709-K6711-K6712</f>
        <v>300</v>
      </c>
    </row>
    <row r="6715" customFormat="false" ht="15" hidden="false" customHeight="false" outlineLevel="0" collapsed="false">
      <c r="A6715" s="24" t="s">
        <v>348</v>
      </c>
      <c r="B6715" s="25"/>
      <c r="C6715" s="25"/>
      <c r="D6715" s="25"/>
      <c r="E6715" s="25"/>
      <c r="F6715" s="25"/>
      <c r="G6715" s="25"/>
      <c r="H6715" s="25"/>
      <c r="I6715" s="25"/>
      <c r="J6715" s="25"/>
      <c r="K6715" s="25"/>
    </row>
    <row r="6716" customFormat="false" ht="15" hidden="false" customHeight="false" outlineLevel="0" collapsed="false">
      <c r="A6716" s="3" t="s">
        <v>329</v>
      </c>
      <c r="G6716" s="16" t="n">
        <f aca="false">F6727</f>
        <v>78.61</v>
      </c>
      <c r="H6716" s="16" t="n">
        <f aca="false">G6727</f>
        <v>78.61</v>
      </c>
      <c r="I6716" s="16" t="n">
        <f aca="false">H6727</f>
        <v>78.61</v>
      </c>
      <c r="J6716" s="16" t="n">
        <f aca="false">I6727</f>
        <v>78.61</v>
      </c>
      <c r="K6716" s="16" t="n">
        <f aca="false">J6727</f>
        <v>78.61</v>
      </c>
    </row>
    <row r="6717" customFormat="false" ht="15" hidden="false" customHeight="false" outlineLevel="0" collapsed="false">
      <c r="A6717" s="3" t="s">
        <v>330</v>
      </c>
      <c r="G6717" s="21" t="n">
        <f aca="false">IF(G6563=Assumptions!$K$66,1,0)</f>
        <v>0</v>
      </c>
      <c r="H6717" s="21" t="n">
        <f aca="false">IF(H6563=Assumptions!$K$66,1,0)</f>
        <v>0</v>
      </c>
      <c r="I6717" s="21" t="n">
        <f aca="false">IF(I6563=Assumptions!$K$66,1,0)</f>
        <v>0</v>
      </c>
      <c r="J6717" s="21" t="n">
        <f aca="false">IF(J6563=Assumptions!$K$66,1,0)</f>
        <v>0</v>
      </c>
      <c r="K6717" s="21" t="n">
        <f aca="false">IF(K6563=Assumptions!$K$66,1,0)</f>
        <v>0</v>
      </c>
    </row>
    <row r="6719" customFormat="false" ht="15" hidden="false" customHeight="false" outlineLevel="0" collapsed="false">
      <c r="A6719" s="3" t="s">
        <v>331</v>
      </c>
      <c r="G6719" s="31" t="n">
        <f aca="false">IF(Assumptions!$I$66=1,MAX(G6589,Assumptions!$G$66)+Assumptions!$F$66+$C$6590,Assumptions!$E$66)</f>
        <v>0.0691</v>
      </c>
      <c r="H6719" s="31" t="n">
        <f aca="false">IF(G6918=1,$C$6591,IF(Assumptions!$I$66=1,MAX(H6589,Assumptions!$G$66)+Assumptions!$F$66+$C$6590,Assumptions!$E$66))</f>
        <v>0.0676</v>
      </c>
      <c r="I6719" s="31" t="n">
        <f aca="false">IF(H6918=1,$C$6591,IF(Assumptions!$I$66=1,MAX(I6589,Assumptions!$G$66)+Assumptions!$F$66+$C$6590,Assumptions!$E$66))</f>
        <v>0.0651</v>
      </c>
      <c r="J6719" s="31" t="n">
        <f aca="false">IF(I6918=1,$C$6591,IF(Assumptions!$I$66=1,MAX(J6589,Assumptions!$G$66)+Assumptions!$F$66+$C$6590,Assumptions!$E$66))</f>
        <v>0.0651</v>
      </c>
      <c r="K6719" s="31" t="n">
        <f aca="false">IF(J6918=1,$C$6591,IF(Assumptions!$I$66=1,MAX(K6589,Assumptions!$G$66)+Assumptions!$F$66+$C$6590,Assumptions!$E$66))</f>
        <v>0.0651</v>
      </c>
    </row>
    <row r="6720" customFormat="false" ht="15" hidden="false" customHeight="false" outlineLevel="0" collapsed="false">
      <c r="A6720" s="3" t="s">
        <v>332</v>
      </c>
      <c r="G6720" s="16" t="n">
        <f aca="false">G6716*G6719</f>
        <v>5.431951</v>
      </c>
      <c r="H6720" s="16" t="n">
        <f aca="false">H6716*H6719</f>
        <v>5.314036</v>
      </c>
      <c r="I6720" s="16" t="n">
        <f aca="false">I6716*I6719</f>
        <v>5.117511</v>
      </c>
      <c r="J6720" s="16" t="n">
        <f aca="false">J6716*J6719</f>
        <v>5.117511</v>
      </c>
      <c r="K6720" s="16" t="n">
        <f aca="false">K6716*K6719</f>
        <v>5.117511</v>
      </c>
    </row>
    <row r="6721" customFormat="false" ht="15" hidden="false" customHeight="false" outlineLevel="0" collapsed="false">
      <c r="A6721" s="3" t="s">
        <v>333</v>
      </c>
      <c r="G6721" s="16" t="n">
        <f aca="false">G6716*Assumptions!$H$66</f>
        <v>0</v>
      </c>
      <c r="H6721" s="16" t="n">
        <f aca="false">H6716*Assumptions!$H$66</f>
        <v>0</v>
      </c>
      <c r="I6721" s="16" t="n">
        <f aca="false">I6716*Assumptions!$H$66</f>
        <v>0</v>
      </c>
      <c r="J6721" s="16" t="n">
        <f aca="false">J6716*Assumptions!$H$66</f>
        <v>0</v>
      </c>
      <c r="K6721" s="16" t="n">
        <f aca="false">K6716*Assumptions!$H$66</f>
        <v>0</v>
      </c>
    </row>
    <row r="6722" customFormat="false" ht="15" hidden="false" customHeight="false" outlineLevel="0" collapsed="false">
      <c r="A6722" s="3" t="s">
        <v>334</v>
      </c>
      <c r="G6722" s="16" t="n">
        <f aca="false">MIN(G6716,Assumptions!$L$66*Assumptions!$C$66)</f>
        <v>0</v>
      </c>
      <c r="H6722" s="16" t="n">
        <f aca="false">MIN(H6716,Assumptions!$L$66*Assumptions!$C$66)</f>
        <v>0</v>
      </c>
      <c r="I6722" s="16" t="n">
        <f aca="false">MIN(I6716,Assumptions!$L$66*Assumptions!$C$66)</f>
        <v>0</v>
      </c>
      <c r="J6722" s="16" t="n">
        <f aca="false">MIN(J6716,Assumptions!$L$66*Assumptions!$C$66)</f>
        <v>0</v>
      </c>
      <c r="K6722" s="16" t="n">
        <f aca="false">MIN(K6716,Assumptions!$L$66*Assumptions!$C$66)</f>
        <v>0</v>
      </c>
    </row>
    <row r="6723" customFormat="false" ht="15" hidden="false" customHeight="false" outlineLevel="0" collapsed="false">
      <c r="A6723" s="3" t="s">
        <v>335</v>
      </c>
      <c r="G6723" s="16" t="n">
        <f aca="false">IF(AND(Assumptions!$P$66=1,G6563&lt;Assumptions!$K$66),MIN(MAX(0,-G6779),MAX(0,Assumptions!$D$66-G6716)),0)</f>
        <v>0</v>
      </c>
      <c r="H6723" s="16" t="n">
        <f aca="false">IF(AND(Assumptions!$P$66=1,OR(H6563&lt;Assumptions!$K$66,G6918=1)),MIN(MAX(0,-H6779),MAX(0,Assumptions!$D$66-H6716)),0)</f>
        <v>0</v>
      </c>
      <c r="I6723" s="16" t="n">
        <f aca="false">IF(AND(Assumptions!$P$66=1,OR(I6563&lt;Assumptions!$K$66,H6918=1)),MIN(MAX(0,-I6779),MAX(0,Assumptions!$D$66-I6716)),0)</f>
        <v>0</v>
      </c>
      <c r="J6723" s="16" t="n">
        <f aca="false">IF(AND(Assumptions!$P$66=1,OR(J6563&lt;Assumptions!$K$66,I6918=1)),MIN(MAX(0,-J6779),MAX(0,Assumptions!$D$66-J6716)),0)</f>
        <v>0</v>
      </c>
      <c r="K6723" s="16" t="n">
        <f aca="false">IF(AND(Assumptions!$P$66=1,OR(K6563&lt;Assumptions!$K$66,J6918=1)),MIN(MAX(0,-K6779),MAX(0,Assumptions!$D$66-K6716)),0)</f>
        <v>0</v>
      </c>
    </row>
    <row r="6724" customFormat="false" ht="15" hidden="false" customHeight="false" outlineLevel="0" collapsed="false">
      <c r="A6724" s="3" t="s">
        <v>336</v>
      </c>
      <c r="G6724" s="16" t="n">
        <f aca="false">G6717*MIN(G6716-G6722+G6721,MAX(0,G6781-Assumptions!$C$12*G6597-G6607-G6620-G6633-G6646-G6659-G6672-G6685-G6698-G6711))</f>
        <v>0</v>
      </c>
      <c r="H6724" s="16" t="n">
        <f aca="false">H6717*MIN(H6716-H6722+H6721,MAX(0,H6781-Assumptions!$C$12*H6597-H6607-H6620-H6633-H6646-H6659-H6672-H6685-H6698-H6711))</f>
        <v>0</v>
      </c>
      <c r="I6724" s="16" t="n">
        <f aca="false">I6717*MIN(I6716-I6722+I6721,MAX(0,I6781-Assumptions!$C$12*I6597-I6607-I6620-I6633-I6646-I6659-I6672-I6685-I6698-I6711))</f>
        <v>0</v>
      </c>
      <c r="J6724" s="16" t="n">
        <f aca="false">J6717*MIN(J6716-J6722+J6721,MAX(0,J6781-Assumptions!$C$12*J6597-J6607-J6620-J6633-J6646-J6659-J6672-J6685-J6698-J6711))</f>
        <v>0</v>
      </c>
      <c r="K6724" s="16" t="n">
        <f aca="false">K6717*MIN(K6716-K6722+K6721,MAX(0,K6781-Assumptions!$C$12*K6597-K6607-K6620-K6633-K6646-K6659-K6672-K6685-K6698-K6711))</f>
        <v>0</v>
      </c>
    </row>
    <row r="6725" customFormat="false" ht="15" hidden="false" customHeight="false" outlineLevel="0" collapsed="false">
      <c r="A6725" s="3" t="s">
        <v>337</v>
      </c>
      <c r="G6725" s="16" t="n">
        <f aca="false">Assumptions!$N$66*MIN(G6716+G6723+G6721-G6722-G6724,MAX(0,G6785-G6608-G6621-G6634-G6647-G6660-G6673-G6686-G6699-G6712))</f>
        <v>0</v>
      </c>
      <c r="H6725" s="16" t="n">
        <f aca="false">Assumptions!$N$66*MIN(H6716+H6723+H6721-H6722-H6724,MAX(0,H6785-H6608-H6621-H6634-H6647-H6660-H6673-H6686-H6699-H6712))</f>
        <v>0</v>
      </c>
      <c r="I6725" s="16" t="n">
        <f aca="false">Assumptions!$N$66*MIN(I6716+I6723+I6721-I6722-I6724,MAX(0,I6785-I6608-I6621-I6634-I6647-I6660-I6673-I6686-I6699-I6712))</f>
        <v>0</v>
      </c>
      <c r="J6725" s="16" t="n">
        <f aca="false">Assumptions!$N$66*MIN(J6716+J6723+J6721-J6722-J6724,MAX(0,J6785-J6608-J6621-J6634-J6647-J6660-J6673-J6686-J6699-J6712))</f>
        <v>0</v>
      </c>
      <c r="K6725" s="16" t="n">
        <f aca="false">Assumptions!$N$66*MIN(K6716+K6723+K6721-K6722-K6724,MAX(0,K6785-K6608-K6621-K6634-K6647-K6660-K6673-K6686-K6699-K6712))</f>
        <v>0</v>
      </c>
    </row>
    <row r="6726" customFormat="false" ht="15" hidden="false" customHeight="false" outlineLevel="0" collapsed="false">
      <c r="A6726" s="3" t="s">
        <v>338</v>
      </c>
      <c r="G6726" s="16" t="n">
        <f aca="false">G6717*(1-G6597)*(G6716-G6722+G6721-G6724)</f>
        <v>0</v>
      </c>
      <c r="H6726" s="16" t="n">
        <f aca="false">H6717*(1-H6597)*(H6716-H6722+H6721-H6724)</f>
        <v>0</v>
      </c>
      <c r="I6726" s="16" t="n">
        <f aca="false">I6717*(1-I6597)*(I6716-I6722+I6721-I6724)</f>
        <v>0</v>
      </c>
      <c r="J6726" s="16" t="n">
        <f aca="false">J6717*(1-J6597)*(J6716-J6722+J6721-J6724)</f>
        <v>0</v>
      </c>
      <c r="K6726" s="16" t="n">
        <f aca="false">K6717*(1-K6597)*(K6716-K6722+K6721-K6724)</f>
        <v>0</v>
      </c>
    </row>
    <row r="6727" customFormat="false" ht="15" hidden="false" customHeight="false" outlineLevel="0" collapsed="false">
      <c r="A6727" s="2" t="s">
        <v>339</v>
      </c>
      <c r="F6727" s="28" t="n">
        <f aca="false">Assumptions!$C$66</f>
        <v>78.61</v>
      </c>
      <c r="G6727" s="17" t="n">
        <f aca="false">G6716+G6723+G6721-G6722-G6724-G6725</f>
        <v>78.61</v>
      </c>
      <c r="H6727" s="17" t="n">
        <f aca="false">H6716+H6723+H6721-H6722-H6724-H6725</f>
        <v>78.61</v>
      </c>
      <c r="I6727" s="17" t="n">
        <f aca="false">I6716+I6723+I6721-I6722-I6724-I6725</f>
        <v>78.61</v>
      </c>
      <c r="J6727" s="17" t="n">
        <f aca="false">J6716+J6723+J6721-J6722-J6724-J6725</f>
        <v>78.61</v>
      </c>
      <c r="K6727" s="17" t="n">
        <f aca="false">K6716+K6723+K6721-K6722-K6724-K6725</f>
        <v>78.61</v>
      </c>
    </row>
    <row r="6728" customFormat="false" ht="15" hidden="false" customHeight="false" outlineLevel="0" collapsed="false">
      <c r="A6728" s="24" t="s">
        <v>349</v>
      </c>
      <c r="B6728" s="25"/>
      <c r="C6728" s="25"/>
      <c r="D6728" s="25"/>
      <c r="E6728" s="25"/>
      <c r="F6728" s="25"/>
      <c r="G6728" s="25"/>
      <c r="H6728" s="25"/>
      <c r="I6728" s="25"/>
      <c r="J6728" s="25"/>
      <c r="K6728" s="25"/>
    </row>
    <row r="6729" customFormat="false" ht="15" hidden="false" customHeight="false" outlineLevel="0" collapsed="false">
      <c r="A6729" s="2" t="s">
        <v>350</v>
      </c>
      <c r="F6729" s="17" t="n">
        <f aca="false">F6610+F6623+F6636+F6649+F6662+F6675+F6688+F6701+F6714+F6727</f>
        <v>2625.934</v>
      </c>
      <c r="G6729" s="17" t="n">
        <f aca="false">G6610+G6623+G6636+G6649+G6662+G6675+G6688+G6701+G6714+G6727</f>
        <v>2621.934</v>
      </c>
      <c r="H6729" s="17" t="n">
        <f aca="false">H6610+H6623+H6636+H6649+H6662+H6675+H6688+H6701+H6714+H6727</f>
        <v>2569.380357881</v>
      </c>
      <c r="I6729" s="17" t="n">
        <f aca="false">I6610+I6623+I6636+I6649+I6662+I6675+I6688+I6701+I6714+I6727</f>
        <v>2565.380357881</v>
      </c>
      <c r="J6729" s="17" t="n">
        <f aca="false">J6610+J6623+J6636+J6649+J6662+J6675+J6688+J6701+J6714+J6727</f>
        <v>2561.380357881</v>
      </c>
      <c r="K6729" s="17" t="n">
        <f aca="false">K6610+K6623+K6636+K6649+K6662+K6675+K6688+K6701+K6714+K6727</f>
        <v>2557.380357881</v>
      </c>
    </row>
    <row r="6730" customFormat="false" ht="15" hidden="false" customHeight="false" outlineLevel="0" collapsed="false">
      <c r="A6730" s="3" t="s">
        <v>351</v>
      </c>
      <c r="G6730" s="16" t="n">
        <f aca="false">G6600*Assumptions!$C$57+G6613*Assumptions!$C$58+G6626*Assumptions!$C$59+G6639*Assumptions!$C$60+G6652*Assumptions!$C$61+G6665*Assumptions!$C$62+G6678*Assumptions!$C$63+G6691*Assumptions!$C$64+G6704*Assumptions!$C$65+G6717*Assumptions!$C$66</f>
        <v>0</v>
      </c>
      <c r="H6730" s="16" t="n">
        <f aca="false">H6600*Assumptions!$C$57+H6613*Assumptions!$C$58+H6626*Assumptions!$C$59+H6639*Assumptions!$C$60+H6652*Assumptions!$C$61+H6665*Assumptions!$C$62+H6678*Assumptions!$C$63+H6691*Assumptions!$C$64+H6704*Assumptions!$C$65+H6717*Assumptions!$C$66</f>
        <v>800</v>
      </c>
      <c r="I6730" s="16" t="n">
        <f aca="false">I6600*Assumptions!$C$57+I6613*Assumptions!$C$58+I6626*Assumptions!$C$59+I6639*Assumptions!$C$60+I6652*Assumptions!$C$61+I6665*Assumptions!$C$62+I6678*Assumptions!$C$63+I6691*Assumptions!$C$64+I6704*Assumptions!$C$65+I6717*Assumptions!$C$66</f>
        <v>550</v>
      </c>
      <c r="J6730" s="16" t="n">
        <f aca="false">J6600*Assumptions!$C$57+J6613*Assumptions!$C$58+J6626*Assumptions!$C$59+J6639*Assumptions!$C$60+J6652*Assumptions!$C$61+J6665*Assumptions!$C$62+J6678*Assumptions!$C$63+J6691*Assumptions!$C$64+J6704*Assumptions!$C$65+J6717*Assumptions!$C$66</f>
        <v>350</v>
      </c>
      <c r="K6730" s="16" t="n">
        <f aca="false">K6600*Assumptions!$C$57+K6613*Assumptions!$C$58+K6626*Assumptions!$C$59+K6639*Assumptions!$C$60+K6652*Assumptions!$C$61+K6665*Assumptions!$C$62+K6678*Assumptions!$C$63+K6691*Assumptions!$C$64+K6704*Assumptions!$C$65+K6717*Assumptions!$C$66</f>
        <v>700</v>
      </c>
    </row>
    <row r="6731" customFormat="false" ht="15" hidden="false" customHeight="false" outlineLevel="0" collapsed="false">
      <c r="A6731" s="24" t="s">
        <v>352</v>
      </c>
      <c r="B6731" s="25"/>
      <c r="C6731" s="25"/>
      <c r="D6731" s="25"/>
      <c r="E6731" s="25"/>
      <c r="F6731" s="25"/>
      <c r="G6731" s="25"/>
      <c r="H6731" s="25"/>
      <c r="I6731" s="25"/>
      <c r="J6731" s="25"/>
      <c r="K6731" s="25"/>
    </row>
    <row r="6732" customFormat="false" ht="15" hidden="false" customHeight="false" outlineLevel="0" collapsed="false">
      <c r="A6732" s="3" t="s">
        <v>353</v>
      </c>
      <c r="C6732" s="16" t="n">
        <f aca="false">SUMPRODUCT($G$6600:$K$6600,$G$6599:$K$6599-$G$6605:$K$6605+$G$6604:$K$6604)</f>
        <v>380</v>
      </c>
    </row>
    <row r="6733" customFormat="false" ht="15" hidden="false" customHeight="false" outlineLevel="0" collapsed="false">
      <c r="A6733" s="3" t="s">
        <v>354</v>
      </c>
      <c r="C6733" s="16" t="n">
        <f aca="false">SUMPRODUCT($G$6600:$K$6600,$G$6607:$K$6607)</f>
        <v>0</v>
      </c>
    </row>
    <row r="6734" customFormat="false" ht="15" hidden="false" customHeight="false" outlineLevel="0" collapsed="false">
      <c r="A6734" s="3" t="s">
        <v>355</v>
      </c>
      <c r="C6734" s="3" t="str">
        <f aca="false">IF(SUM($G$6600:$K$6600)=0,"n/a (beyond horizon)",IF(SUMPRODUCT($G$6600:$K$6600,$G$6597:$K$6597)&gt;0,"REFINANCING PASS","REFINANCING FAILURE"))</f>
        <v>REFINANCING FAILURE</v>
      </c>
    </row>
    <row r="6735" customFormat="false" ht="15" hidden="false" customHeight="false" outlineLevel="0" collapsed="false">
      <c r="A6735" s="3" t="s">
        <v>356</v>
      </c>
      <c r="C6735" s="3" t="str">
        <f aca="false">IF(SUM($G$6600:$K$6600)=0,"n/a",IF(C6733&gt;=C6732-0.001,"Repaid from cash",IF(SUMPRODUCT($G$6600:$K$6600,$G$6597:$K$6597)&gt;0,IF(C6733&gt;0,"Partly repaid; remainder refinanced","Refinanced"),IF(SUM($G$6609:$K$6609)&gt;0.001,IF(C6733&gt;0,"Partial repayment; PAYMENT DEFAULT","PAYMENT DEFAULT"),"Repaid from cash"))))</f>
        <v>PAYMENT DEFAULT</v>
      </c>
    </row>
    <row r="6736" customFormat="false" ht="15" hidden="false" customHeight="false" outlineLevel="0" collapsed="false">
      <c r="A6736" s="3" t="s">
        <v>357</v>
      </c>
      <c r="C6736" s="16" t="n">
        <f aca="false">SUMPRODUCT($G$6613:$K$6613,$G$6612:$K$6612-$G$6618:$K$6618+$G$6617:$K$6617)</f>
        <v>0</v>
      </c>
    </row>
    <row r="6737" customFormat="false" ht="15" hidden="false" customHeight="false" outlineLevel="0" collapsed="false">
      <c r="A6737" s="3" t="s">
        <v>358</v>
      </c>
      <c r="C6737" s="16" t="n">
        <f aca="false">SUMPRODUCT($G$6613:$K$6613,$G$6620:$K$6620)</f>
        <v>0</v>
      </c>
    </row>
    <row r="6738" customFormat="false" ht="15" hidden="false" customHeight="false" outlineLevel="0" collapsed="false">
      <c r="A6738" s="3" t="s">
        <v>359</v>
      </c>
      <c r="C6738" s="3" t="str">
        <f aca="false">IF(SUM($G$6613:$K$6613)=0,"n/a (beyond horizon)",IF(SUMPRODUCT($G$6613:$K$6613,$G$6597:$K$6597)&gt;0,"REFINANCING PASS","REFINANCING FAILURE"))</f>
        <v>n/a (beyond horizon)</v>
      </c>
    </row>
    <row r="6739" customFormat="false" ht="15" hidden="false" customHeight="false" outlineLevel="0" collapsed="false">
      <c r="A6739" s="3" t="s">
        <v>360</v>
      </c>
      <c r="C6739" s="3" t="str">
        <f aca="false">IF(SUM($G$6613:$K$6613)=0,"n/a",IF(C6737&gt;=C6736-0.001,"Repaid from cash",IF(SUMPRODUCT($G$6613:$K$6613,$G$6597:$K$6597)&gt;0,IF(C6737&gt;0,"Partly repaid; remainder refinanced","Refinanced"),IF(SUM($G$6622:$K$6622)&gt;0.001,IF(C6737&gt;0,"Partial repayment; PAYMENT DEFAULT","PAYMENT DEFAULT"),"Repaid from cash"))))</f>
        <v>n/a</v>
      </c>
    </row>
    <row r="6740" customFormat="false" ht="15" hidden="false" customHeight="false" outlineLevel="0" collapsed="false">
      <c r="A6740" s="3" t="s">
        <v>361</v>
      </c>
      <c r="C6740" s="16" t="n">
        <f aca="false">SUMPRODUCT($G$6626:$K$6626,$G$6625:$K$6625-$G$6631:$K$6631+$G$6630:$K$6630)</f>
        <v>0</v>
      </c>
    </row>
    <row r="6741" customFormat="false" ht="15" hidden="false" customHeight="false" outlineLevel="0" collapsed="false">
      <c r="A6741" s="3" t="s">
        <v>362</v>
      </c>
      <c r="C6741" s="16" t="n">
        <f aca="false">SUMPRODUCT($G$6626:$K$6626,$G$6633:$K$6633)</f>
        <v>0</v>
      </c>
    </row>
    <row r="6742" customFormat="false" ht="15" hidden="false" customHeight="false" outlineLevel="0" collapsed="false">
      <c r="A6742" s="3" t="s">
        <v>363</v>
      </c>
      <c r="C6742" s="3" t="str">
        <f aca="false">IF(SUM($G$6626:$K$6626)=0,"n/a (beyond horizon)",IF(SUMPRODUCT($G$6626:$K$6626,$G$6597:$K$6597)&gt;0,"REFINANCING PASS","REFINANCING FAILURE"))</f>
        <v>n/a (beyond horizon)</v>
      </c>
    </row>
    <row r="6743" customFormat="false" ht="15" hidden="false" customHeight="false" outlineLevel="0" collapsed="false">
      <c r="A6743" s="3" t="s">
        <v>364</v>
      </c>
      <c r="C6743" s="3" t="str">
        <f aca="false">IF(SUM($G$6626:$K$6626)=0,"n/a",IF(C6741&gt;=C6740-0.001,"Repaid from cash",IF(SUMPRODUCT($G$6626:$K$6626,$G$6597:$K$6597)&gt;0,IF(C6741&gt;0,"Partly repaid; remainder refinanced","Refinanced"),IF(SUM($G$6635:$K$6635)&gt;0.001,IF(C6741&gt;0,"Partial repayment; PAYMENT DEFAULT","PAYMENT DEFAULT"),"Repaid from cash"))))</f>
        <v>n/a</v>
      </c>
    </row>
    <row r="6744" customFormat="false" ht="15" hidden="false" customHeight="false" outlineLevel="0" collapsed="false">
      <c r="A6744" s="3" t="s">
        <v>365</v>
      </c>
      <c r="C6744" s="16" t="n">
        <f aca="false">SUMPRODUCT($G$6639:$K$6639,$G$6638:$K$6638-$G$6644:$K$6644+$G$6643:$K$6643)</f>
        <v>0</v>
      </c>
    </row>
    <row r="6745" customFormat="false" ht="15" hidden="false" customHeight="false" outlineLevel="0" collapsed="false">
      <c r="A6745" s="3" t="s">
        <v>366</v>
      </c>
      <c r="C6745" s="16" t="n">
        <f aca="false">SUMPRODUCT($G$6639:$K$6639,$G$6646:$K$6646)</f>
        <v>0</v>
      </c>
    </row>
    <row r="6746" customFormat="false" ht="15" hidden="false" customHeight="false" outlineLevel="0" collapsed="false">
      <c r="A6746" s="3" t="s">
        <v>367</v>
      </c>
      <c r="C6746" s="3" t="str">
        <f aca="false">IF(SUM($G$6639:$K$6639)=0,"n/a (beyond horizon)",IF(SUMPRODUCT($G$6639:$K$6639,$G$6597:$K$6597)&gt;0,"REFINANCING PASS","REFINANCING FAILURE"))</f>
        <v>REFINANCING FAILURE</v>
      </c>
    </row>
    <row r="6747" customFormat="false" ht="15" hidden="false" customHeight="false" outlineLevel="0" collapsed="false">
      <c r="A6747" s="3" t="s">
        <v>368</v>
      </c>
      <c r="C6747" s="3" t="str">
        <f aca="false">IF(SUM($G$6639:$K$6639)=0,"n/a",IF(C6745&gt;=C6744-0.001,"Repaid from cash",IF(SUMPRODUCT($G$6639:$K$6639,$G$6597:$K$6597)&gt;0,IF(C6745&gt;0,"Partly repaid; remainder refinanced","Refinanced"),IF(SUM($G$6648:$K$6648)&gt;0.001,IF(C6745&gt;0,"Partial repayment; PAYMENT DEFAULT","PAYMENT DEFAULT"),"Repaid from cash"))))</f>
        <v>Repaid from cash</v>
      </c>
    </row>
    <row r="6748" customFormat="false" ht="15" hidden="false" customHeight="false" outlineLevel="0" collapsed="false">
      <c r="A6748" s="3" t="s">
        <v>369</v>
      </c>
      <c r="C6748" s="16" t="n">
        <f aca="false">SUMPRODUCT($G$6652:$K$6652,$G$6651:$K$6651-$G$6657:$K$6657+$G$6656:$K$6656)</f>
        <v>450</v>
      </c>
    </row>
    <row r="6749" customFormat="false" ht="15" hidden="false" customHeight="false" outlineLevel="0" collapsed="false">
      <c r="A6749" s="3" t="s">
        <v>370</v>
      </c>
      <c r="C6749" s="16" t="n">
        <f aca="false">SUMPRODUCT($G$6652:$K$6652,$G$6659:$K$6659)</f>
        <v>48.553642119</v>
      </c>
    </row>
    <row r="6750" customFormat="false" ht="15" hidden="false" customHeight="false" outlineLevel="0" collapsed="false">
      <c r="A6750" s="3" t="s">
        <v>371</v>
      </c>
      <c r="C6750" s="3" t="str">
        <f aca="false">IF(SUM($G$6652:$K$6652)=0,"n/a (beyond horizon)",IF(SUMPRODUCT($G$6652:$K$6652,$G$6597:$K$6597)&gt;0,"REFINANCING PASS","REFINANCING FAILURE"))</f>
        <v>REFINANCING FAILURE</v>
      </c>
    </row>
    <row r="6751" customFormat="false" ht="15" hidden="false" customHeight="false" outlineLevel="0" collapsed="false">
      <c r="A6751" s="3" t="s">
        <v>372</v>
      </c>
      <c r="C6751" s="3" t="str">
        <f aca="false">IF(SUM($G$6652:$K$6652)=0,"n/a",IF(C6749&gt;=C6748-0.001,"Repaid from cash",IF(SUMPRODUCT($G$6652:$K$6652,$G$6597:$K$6597)&gt;0,IF(C6749&gt;0,"Partly repaid; remainder refinanced","Refinanced"),IF(SUM($G$6661:$K$6661)&gt;0.001,IF(C6749&gt;0,"Partial repayment; PAYMENT DEFAULT","PAYMENT DEFAULT"),"Repaid from cash"))))</f>
        <v>Partial repayment; PAYMENT DEFAULT</v>
      </c>
    </row>
    <row r="6752" customFormat="false" ht="15" hidden="false" customHeight="false" outlineLevel="0" collapsed="false">
      <c r="A6752" s="3" t="s">
        <v>373</v>
      </c>
      <c r="C6752" s="16" t="n">
        <f aca="false">SUMPRODUCT($G$6665:$K$6665,$G$6664:$K$6664-$G$6670:$K$6670+$G$6669:$K$6669)</f>
        <v>350</v>
      </c>
    </row>
    <row r="6753" customFormat="false" ht="15" hidden="false" customHeight="false" outlineLevel="0" collapsed="false">
      <c r="A6753" s="3" t="s">
        <v>374</v>
      </c>
      <c r="C6753" s="16" t="n">
        <f aca="false">SUMPRODUCT($G$6665:$K$6665,$G$6672:$K$6672)</f>
        <v>0</v>
      </c>
    </row>
    <row r="6754" customFormat="false" ht="15" hidden="false" customHeight="false" outlineLevel="0" collapsed="false">
      <c r="A6754" s="3" t="s">
        <v>375</v>
      </c>
      <c r="C6754" s="3" t="str">
        <f aca="false">IF(SUM($G$6665:$K$6665)=0,"n/a (beyond horizon)",IF(SUMPRODUCT($G$6665:$K$6665,$G$6597:$K$6597)&gt;0,"REFINANCING PASS","REFINANCING FAILURE"))</f>
        <v>REFINANCING FAILURE</v>
      </c>
    </row>
    <row r="6755" customFormat="false" ht="15" hidden="false" customHeight="false" outlineLevel="0" collapsed="false">
      <c r="A6755" s="3" t="s">
        <v>376</v>
      </c>
      <c r="C6755" s="3" t="str">
        <f aca="false">IF(SUM($G$6665:$K$6665)=0,"n/a",IF(C6753&gt;=C6752-0.001,"Repaid from cash",IF(SUMPRODUCT($G$6665:$K$6665,$G$6597:$K$6597)&gt;0,IF(C6753&gt;0,"Partly repaid; remainder refinanced","Refinanced"),IF(SUM($G$6674:$K$6674)&gt;0.001,IF(C6753&gt;0,"Partial repayment; PAYMENT DEFAULT","PAYMENT DEFAULT"),"Repaid from cash"))))</f>
        <v>PAYMENT DEFAULT</v>
      </c>
    </row>
    <row r="6756" customFormat="false" ht="15" hidden="false" customHeight="false" outlineLevel="0" collapsed="false">
      <c r="A6756" s="3" t="s">
        <v>377</v>
      </c>
      <c r="C6756" s="16" t="n">
        <f aca="false">SUMPRODUCT($G$6678:$K$6678,$G$6677:$K$6677-$G$6683:$K$6683+$G$6682:$K$6682)</f>
        <v>550</v>
      </c>
    </row>
    <row r="6757" customFormat="false" ht="15" hidden="false" customHeight="false" outlineLevel="0" collapsed="false">
      <c r="A6757" s="3" t="s">
        <v>378</v>
      </c>
      <c r="C6757" s="16" t="n">
        <f aca="false">SUMPRODUCT($G$6678:$K$6678,$G$6685:$K$6685)</f>
        <v>0</v>
      </c>
    </row>
    <row r="6758" customFormat="false" ht="15" hidden="false" customHeight="false" outlineLevel="0" collapsed="false">
      <c r="A6758" s="3" t="s">
        <v>379</v>
      </c>
      <c r="C6758" s="3" t="str">
        <f aca="false">IF(SUM($G$6678:$K$6678)=0,"n/a (beyond horizon)",IF(SUMPRODUCT($G$6678:$K$6678,$G$6597:$K$6597)&gt;0,"REFINANCING PASS","REFINANCING FAILURE"))</f>
        <v>REFINANCING FAILURE</v>
      </c>
    </row>
    <row r="6759" customFormat="false" ht="15" hidden="false" customHeight="false" outlineLevel="0" collapsed="false">
      <c r="A6759" s="3" t="s">
        <v>380</v>
      </c>
      <c r="C6759" s="3" t="str">
        <f aca="false">IF(SUM($G$6678:$K$6678)=0,"n/a",IF(C6757&gt;=C6756-0.001,"Repaid from cash",IF(SUMPRODUCT($G$6678:$K$6678,$G$6597:$K$6597)&gt;0,IF(C6757&gt;0,"Partly repaid; remainder refinanced","Refinanced"),IF(SUM($G$6687:$K$6687)&gt;0.001,IF(C6757&gt;0,"Partial repayment; PAYMENT DEFAULT","PAYMENT DEFAULT"),"Repaid from cash"))))</f>
        <v>PAYMENT DEFAULT</v>
      </c>
    </row>
    <row r="6760" customFormat="false" ht="15" hidden="false" customHeight="false" outlineLevel="0" collapsed="false">
      <c r="A6760" s="3" t="s">
        <v>381</v>
      </c>
      <c r="C6760" s="16" t="n">
        <f aca="false">SUMPRODUCT($G$6691:$K$6691,$G$6690:$K$6690-$G$6696:$K$6696+$G$6695:$K$6695)</f>
        <v>350</v>
      </c>
    </row>
    <row r="6761" customFormat="false" ht="15" hidden="false" customHeight="false" outlineLevel="0" collapsed="false">
      <c r="A6761" s="3" t="s">
        <v>382</v>
      </c>
      <c r="C6761" s="16" t="n">
        <f aca="false">SUMPRODUCT($G$6691:$K$6691,$G$6698:$K$6698)</f>
        <v>0</v>
      </c>
    </row>
    <row r="6762" customFormat="false" ht="15" hidden="false" customHeight="false" outlineLevel="0" collapsed="false">
      <c r="A6762" s="3" t="s">
        <v>383</v>
      </c>
      <c r="C6762" s="3" t="str">
        <f aca="false">IF(SUM($G$6691:$K$6691)=0,"n/a (beyond horizon)",IF(SUMPRODUCT($G$6691:$K$6691,$G$6597:$K$6597)&gt;0,"REFINANCING PASS","REFINANCING FAILURE"))</f>
        <v>REFINANCING FAILURE</v>
      </c>
    </row>
    <row r="6763" customFormat="false" ht="15" hidden="false" customHeight="false" outlineLevel="0" collapsed="false">
      <c r="A6763" s="3" t="s">
        <v>384</v>
      </c>
      <c r="C6763" s="3" t="str">
        <f aca="false">IF(SUM($G$6691:$K$6691)=0,"n/a",IF(C6761&gt;=C6760-0.001,"Repaid from cash",IF(SUMPRODUCT($G$6691:$K$6691,$G$6597:$K$6597)&gt;0,IF(C6761&gt;0,"Partly repaid; remainder refinanced","Refinanced"),IF(SUM($G$6700:$K$6700)&gt;0.001,IF(C6761&gt;0,"Partial repayment; PAYMENT DEFAULT","PAYMENT DEFAULT"),"Repaid from cash"))))</f>
        <v>PAYMENT DEFAULT</v>
      </c>
    </row>
    <row r="6764" customFormat="false" ht="15" hidden="false" customHeight="false" outlineLevel="0" collapsed="false">
      <c r="A6764" s="3" t="s">
        <v>385</v>
      </c>
      <c r="C6764" s="16" t="n">
        <f aca="false">SUMPRODUCT($G$6704:$K$6704,$G$6703:$K$6703-$G$6709:$K$6709+$G$6708:$K$6708)</f>
        <v>300</v>
      </c>
    </row>
    <row r="6765" customFormat="false" ht="15" hidden="false" customHeight="false" outlineLevel="0" collapsed="false">
      <c r="A6765" s="3" t="s">
        <v>386</v>
      </c>
      <c r="C6765" s="16" t="n">
        <f aca="false">SUMPRODUCT($G$6704:$K$6704,$G$6711:$K$6711)</f>
        <v>0</v>
      </c>
    </row>
    <row r="6766" customFormat="false" ht="15" hidden="false" customHeight="false" outlineLevel="0" collapsed="false">
      <c r="A6766" s="3" t="s">
        <v>387</v>
      </c>
      <c r="C6766" s="3" t="str">
        <f aca="false">IF(SUM($G$6704:$K$6704)=0,"n/a (beyond horizon)",IF(SUMPRODUCT($G$6704:$K$6704,$G$6597:$K$6597)&gt;0,"REFINANCING PASS","REFINANCING FAILURE"))</f>
        <v>REFINANCING FAILURE</v>
      </c>
    </row>
    <row r="6767" customFormat="false" ht="15" hidden="false" customHeight="false" outlineLevel="0" collapsed="false">
      <c r="A6767" s="3" t="s">
        <v>388</v>
      </c>
      <c r="C6767" s="3" t="str">
        <f aca="false">IF(SUM($G$6704:$K$6704)=0,"n/a",IF(C6765&gt;=C6764-0.001,"Repaid from cash",IF(SUMPRODUCT($G$6704:$K$6704,$G$6597:$K$6597)&gt;0,IF(C6765&gt;0,"Partly repaid; remainder refinanced","Refinanced"),IF(SUM($G$6713:$K$6713)&gt;0.001,IF(C6765&gt;0,"Partial repayment; PAYMENT DEFAULT","PAYMENT DEFAULT"),"Repaid from cash"))))</f>
        <v>PAYMENT DEFAULT</v>
      </c>
    </row>
    <row r="6768" customFormat="false" ht="15" hidden="false" customHeight="false" outlineLevel="0" collapsed="false">
      <c r="A6768" s="3" t="s">
        <v>389</v>
      </c>
      <c r="C6768" s="16" t="n">
        <f aca="false">SUMPRODUCT($G$6717:$K$6717,$G$6716:$K$6716-$G$6722:$K$6722+$G$6721:$K$6721)</f>
        <v>0</v>
      </c>
    </row>
    <row r="6769" customFormat="false" ht="15" hidden="false" customHeight="false" outlineLevel="0" collapsed="false">
      <c r="A6769" s="3" t="s">
        <v>390</v>
      </c>
      <c r="C6769" s="16" t="n">
        <f aca="false">SUMPRODUCT($G$6717:$K$6717,$G$6724:$K$6724)</f>
        <v>0</v>
      </c>
    </row>
    <row r="6770" customFormat="false" ht="15" hidden="false" customHeight="false" outlineLevel="0" collapsed="false">
      <c r="A6770" s="3" t="s">
        <v>391</v>
      </c>
      <c r="C6770" s="3" t="str">
        <f aca="false">IF(SUM($G$6717:$K$6717)=0,"n/a (beyond horizon)",IF(SUMPRODUCT($G$6717:$K$6717,$G$6597:$K$6597)&gt;0,"REFINANCING PASS","REFINANCING FAILURE"))</f>
        <v>n/a (beyond horizon)</v>
      </c>
    </row>
    <row r="6771" customFormat="false" ht="15" hidden="false" customHeight="false" outlineLevel="0" collapsed="false">
      <c r="A6771" s="3" t="s">
        <v>392</v>
      </c>
      <c r="C6771" s="3" t="str">
        <f aca="false">IF(SUM($G$6717:$K$6717)=0,"n/a",IF(C6769&gt;=C6768-0.001,"Repaid from cash",IF(SUMPRODUCT($G$6717:$K$6717,$G$6597:$K$6597)&gt;0,IF(C6769&gt;0,"Partly repaid; remainder refinanced","Refinanced"),IF(SUM($G$6726:$K$6726)&gt;0.001,IF(C6769&gt;0,"Partial repayment; PAYMENT DEFAULT","PAYMENT DEFAULT"),"Repaid from cash"))))</f>
        <v>n/a</v>
      </c>
    </row>
    <row r="6772" customFormat="false" ht="15" hidden="false" customHeight="false" outlineLevel="0" collapsed="false">
      <c r="A6772" s="3" t="s">
        <v>393</v>
      </c>
      <c r="C6772" s="21" t="n">
        <f aca="false">IF(C6734="REFINANCING FAILURE",1,0)+IF(C6738="REFINANCING FAILURE",1,0)+IF(C6742="REFINANCING FAILURE",1,0)+IF(C6746="REFINANCING FAILURE",1,0)+IF(C6750="REFINANCING FAILURE",1,0)+IF(C6754="REFINANCING FAILURE",1,0)+IF(C6758="REFINANCING FAILURE",1,0)+IF(C6762="REFINANCING FAILURE",1,0)+IF(C6766="REFINANCING FAILURE",1,0)+IF(C6770="REFINANCING FAILURE",1,0)</f>
        <v>7</v>
      </c>
    </row>
    <row r="6774" customFormat="false" ht="15" hidden="false" customHeight="false" outlineLevel="0" collapsed="false">
      <c r="A6774" s="24" t="s">
        <v>395</v>
      </c>
      <c r="B6774" s="25"/>
      <c r="C6774" s="25"/>
      <c r="D6774" s="25"/>
      <c r="E6774" s="25"/>
      <c r="F6774" s="25"/>
      <c r="G6774" s="25"/>
      <c r="H6774" s="25"/>
      <c r="I6774" s="25"/>
      <c r="J6774" s="25"/>
      <c r="K6774" s="25"/>
    </row>
    <row r="6775" customFormat="false" ht="15" hidden="false" customHeight="false" outlineLevel="0" collapsed="false">
      <c r="A6775" s="3" t="s">
        <v>325</v>
      </c>
      <c r="G6775" s="16" t="n">
        <f aca="false">F6787</f>
        <v>37.87</v>
      </c>
      <c r="H6775" s="16" t="n">
        <f aca="false">G6787</f>
        <v>122.9474204</v>
      </c>
      <c r="I6775" s="16" t="n">
        <f aca="false">H6787</f>
        <v>0</v>
      </c>
      <c r="J6775" s="16" t="n">
        <f aca="false">I6787</f>
        <v>-70.8793844172995</v>
      </c>
      <c r="K6775" s="16" t="n">
        <f aca="false">J6787</f>
        <v>-137.895771657719</v>
      </c>
    </row>
    <row r="6776" customFormat="false" ht="15" hidden="false" customHeight="false" outlineLevel="0" collapsed="false">
      <c r="A6776" s="3" t="s">
        <v>396</v>
      </c>
      <c r="G6776" s="16" t="n">
        <f aca="false">G6586</f>
        <v>-60.9225796</v>
      </c>
      <c r="H6776" s="16" t="n">
        <f aca="false">H6586</f>
        <v>-70.393778281</v>
      </c>
      <c r="I6776" s="16" t="n">
        <f aca="false">I6586</f>
        <v>-66.8793844172995</v>
      </c>
      <c r="J6776" s="16" t="n">
        <f aca="false">J6586</f>
        <v>-63.0163872404195</v>
      </c>
      <c r="K6776" s="16" t="n">
        <f aca="false">K6586</f>
        <v>-59.0959158342138</v>
      </c>
    </row>
    <row r="6777" customFormat="false" ht="15" hidden="false" customHeight="false" outlineLevel="0" collapsed="false">
      <c r="A6777" s="3" t="s">
        <v>397</v>
      </c>
      <c r="G6777" s="16" t="n">
        <f aca="false">CHOOSE($C$6556,Assumptions!$G$82,Assumptions!$G$101,Assumptions!$G$120)</f>
        <v>150</v>
      </c>
      <c r="H6777" s="16" t="n">
        <f aca="false">CHOOSE($C$6556,Assumptions!$H$82,Assumptions!$H$101,Assumptions!$H$120)</f>
        <v>0</v>
      </c>
      <c r="I6777" s="16" t="n">
        <f aca="false">CHOOSE($C$6556,Assumptions!$I$82,Assumptions!$I$101,Assumptions!$I$120)</f>
        <v>0</v>
      </c>
      <c r="J6777" s="16" t="n">
        <f aca="false">CHOOSE($C$6556,Assumptions!$J$82,Assumptions!$J$101,Assumptions!$J$120)</f>
        <v>0</v>
      </c>
      <c r="K6777" s="16" t="n">
        <f aca="false">CHOOSE($C$6556,Assumptions!$K$82,Assumptions!$K$101,Assumptions!$K$120)</f>
        <v>0</v>
      </c>
    </row>
    <row r="6778" customFormat="false" ht="15" hidden="false" customHeight="false" outlineLevel="0" collapsed="false">
      <c r="A6778" s="3" t="s">
        <v>398</v>
      </c>
      <c r="G6778" s="16" t="n">
        <f aca="false">G6605+G6618+G6631+G6644+G6657+G6670+G6683+G6696+G6709+G6722</f>
        <v>4</v>
      </c>
      <c r="H6778" s="16" t="n">
        <f aca="false">H6605+H6618+H6631+H6644+H6657+H6670+H6683+H6696+H6709+H6722</f>
        <v>4</v>
      </c>
      <c r="I6778" s="16" t="n">
        <f aca="false">I6605+I6618+I6631+I6644+I6657+I6670+I6683+I6696+I6709+I6722</f>
        <v>4</v>
      </c>
      <c r="J6778" s="16" t="n">
        <f aca="false">J6605+J6618+J6631+J6644+J6657+J6670+J6683+J6696+J6709+J6722</f>
        <v>4</v>
      </c>
      <c r="K6778" s="16" t="n">
        <f aca="false">K6605+K6618+K6631+K6644+K6657+K6670+K6683+K6696+K6709+K6722</f>
        <v>4</v>
      </c>
    </row>
    <row r="6779" customFormat="false" ht="15" hidden="false" customHeight="false" outlineLevel="0" collapsed="false">
      <c r="A6779" s="2" t="s">
        <v>399</v>
      </c>
      <c r="G6779" s="17" t="n">
        <f aca="false">G6775+G6776+G6777-G6778</f>
        <v>122.9474204</v>
      </c>
      <c r="H6779" s="17" t="n">
        <f aca="false">H6775+H6776+H6777-H6778</f>
        <v>48.553642119</v>
      </c>
      <c r="I6779" s="17" t="n">
        <f aca="false">I6775+I6776+I6777-I6778</f>
        <v>-70.8793844172995</v>
      </c>
      <c r="J6779" s="17" t="n">
        <f aca="false">J6775+J6776+J6777-J6778</f>
        <v>-137.895771657719</v>
      </c>
      <c r="K6779" s="17" t="n">
        <f aca="false">K6775+K6776+K6777-K6778</f>
        <v>-200.991687491933</v>
      </c>
    </row>
    <row r="6780" customFormat="false" ht="15" hidden="false" customHeight="false" outlineLevel="0" collapsed="false">
      <c r="A6780" s="3" t="s">
        <v>400</v>
      </c>
      <c r="G6780" s="16" t="n">
        <f aca="false">G6606+G6619+G6632+G6645+G6658+G6671+G6684+G6697+G6710+G6723</f>
        <v>0</v>
      </c>
      <c r="H6780" s="16" t="n">
        <f aca="false">H6606+H6619+H6632+H6645+H6658+H6671+H6684+H6697+H6710+H6723</f>
        <v>0</v>
      </c>
      <c r="I6780" s="16" t="n">
        <f aca="false">I6606+I6619+I6632+I6645+I6658+I6671+I6684+I6697+I6710+I6723</f>
        <v>0</v>
      </c>
      <c r="J6780" s="16" t="n">
        <f aca="false">J6606+J6619+J6632+J6645+J6658+J6671+J6684+J6697+J6710+J6723</f>
        <v>0</v>
      </c>
      <c r="K6780" s="16" t="n">
        <f aca="false">K6606+K6619+K6632+K6645+K6658+K6671+K6684+K6697+K6710+K6723</f>
        <v>0</v>
      </c>
    </row>
    <row r="6781" customFormat="false" ht="15" hidden="false" customHeight="false" outlineLevel="0" collapsed="false">
      <c r="A6781" s="2" t="s">
        <v>401</v>
      </c>
      <c r="G6781" s="17" t="n">
        <f aca="false">G6779+G6780</f>
        <v>122.9474204</v>
      </c>
      <c r="H6781" s="17" t="n">
        <f aca="false">H6779+H6780</f>
        <v>48.553642119</v>
      </c>
      <c r="I6781" s="17" t="n">
        <f aca="false">I6779+I6780</f>
        <v>-70.8793844172995</v>
      </c>
      <c r="J6781" s="17" t="n">
        <f aca="false">J6779+J6780</f>
        <v>-137.895771657719</v>
      </c>
      <c r="K6781" s="17" t="n">
        <f aca="false">K6779+K6780</f>
        <v>-200.991687491933</v>
      </c>
    </row>
    <row r="6782" customFormat="false" ht="15" hidden="false" customHeight="false" outlineLevel="0" collapsed="false">
      <c r="A6782" s="3" t="s">
        <v>402</v>
      </c>
      <c r="G6782" s="16" t="n">
        <f aca="false">G6607+G6620+G6633+G6646+G6659+G6672+G6685+G6698+G6711+G6724</f>
        <v>0</v>
      </c>
      <c r="H6782" s="16" t="n">
        <f aca="false">H6607+H6620+H6633+H6646+H6659+H6672+H6685+H6698+H6711+H6724</f>
        <v>48.553642119</v>
      </c>
      <c r="I6782" s="16" t="n">
        <f aca="false">I6607+I6620+I6633+I6646+I6659+I6672+I6685+I6698+I6711+I6724</f>
        <v>0</v>
      </c>
      <c r="J6782" s="16" t="n">
        <f aca="false">J6607+J6620+J6633+J6646+J6659+J6672+J6685+J6698+J6711+J6724</f>
        <v>0</v>
      </c>
      <c r="K6782" s="16" t="n">
        <f aca="false">K6607+K6620+K6633+K6646+K6659+K6672+K6685+K6698+K6711+K6724</f>
        <v>0</v>
      </c>
    </row>
    <row r="6783" customFormat="false" ht="15" hidden="false" customHeight="false" outlineLevel="0" collapsed="false">
      <c r="A6783" s="2" t="s">
        <v>403</v>
      </c>
      <c r="G6783" s="17" t="n">
        <f aca="false">G6781-G6782</f>
        <v>122.9474204</v>
      </c>
      <c r="H6783" s="17" t="n">
        <f aca="false">H6781-H6782</f>
        <v>0</v>
      </c>
      <c r="I6783" s="17" t="n">
        <f aca="false">I6781-I6782</f>
        <v>-70.8793844172995</v>
      </c>
      <c r="J6783" s="17" t="n">
        <f aca="false">J6781-J6782</f>
        <v>-137.895771657719</v>
      </c>
      <c r="K6783" s="17" t="n">
        <f aca="false">K6781-K6782</f>
        <v>-200.991687491933</v>
      </c>
    </row>
    <row r="6784" customFormat="false" ht="15" hidden="false" customHeight="false" outlineLevel="0" collapsed="false">
      <c r="A6784" s="3" t="s">
        <v>404</v>
      </c>
      <c r="G6784" s="16" t="n">
        <f aca="false">MAX(0,-G6783)</f>
        <v>0</v>
      </c>
      <c r="H6784" s="16" t="n">
        <f aca="false">MAX(0,-H6783)</f>
        <v>-0</v>
      </c>
      <c r="I6784" s="16" t="n">
        <f aca="false">MAX(0,-I6783)</f>
        <v>70.8793844172995</v>
      </c>
      <c r="J6784" s="16" t="n">
        <f aca="false">MAX(0,-J6783)</f>
        <v>137.895771657719</v>
      </c>
      <c r="K6784" s="16" t="n">
        <f aca="false">MAX(0,-K6783)</f>
        <v>200.991687491933</v>
      </c>
    </row>
    <row r="6785" customFormat="false" ht="15" hidden="false" customHeight="false" outlineLevel="0" collapsed="false">
      <c r="A6785" s="3" t="s">
        <v>405</v>
      </c>
      <c r="G6785" s="16" t="n">
        <f aca="false">MAX(0,G6783-Assumptions!$C$12)*Assumptions!$C$13</f>
        <v>0</v>
      </c>
      <c r="H6785" s="16" t="n">
        <f aca="false">MAX(0,H6783-Assumptions!$C$12)*Assumptions!$C$13</f>
        <v>0</v>
      </c>
      <c r="I6785" s="16" t="n">
        <f aca="false">MAX(0,I6783-Assumptions!$C$12)*Assumptions!$C$13</f>
        <v>0</v>
      </c>
      <c r="J6785" s="16" t="n">
        <f aca="false">MAX(0,J6783-Assumptions!$C$12)*Assumptions!$C$13</f>
        <v>0</v>
      </c>
      <c r="K6785" s="16" t="n">
        <f aca="false">MAX(0,K6783-Assumptions!$C$12)*Assumptions!$C$13</f>
        <v>0</v>
      </c>
    </row>
    <row r="6786" customFormat="false" ht="15" hidden="false" customHeight="false" outlineLevel="0" collapsed="false">
      <c r="A6786" s="3" t="s">
        <v>406</v>
      </c>
      <c r="G6786" s="16" t="n">
        <f aca="false">G6608+G6621+G6634+G6647+G6660+G6673+G6686+G6699+G6712+G6725</f>
        <v>0</v>
      </c>
      <c r="H6786" s="16" t="n">
        <f aca="false">H6608+H6621+H6634+H6647+H6660+H6673+H6686+H6699+H6712+H6725</f>
        <v>0</v>
      </c>
      <c r="I6786" s="16" t="n">
        <f aca="false">I6608+I6621+I6634+I6647+I6660+I6673+I6686+I6699+I6712+I6725</f>
        <v>0</v>
      </c>
      <c r="J6786" s="16" t="n">
        <f aca="false">J6608+J6621+J6634+J6647+J6660+J6673+J6686+J6699+J6712+J6725</f>
        <v>0</v>
      </c>
      <c r="K6786" s="16" t="n">
        <f aca="false">K6608+K6621+K6634+K6647+K6660+K6673+K6686+K6699+K6712+K6725</f>
        <v>0</v>
      </c>
    </row>
    <row r="6787" customFormat="false" ht="15" hidden="false" customHeight="false" outlineLevel="0" collapsed="false">
      <c r="A6787" s="2" t="s">
        <v>407</v>
      </c>
      <c r="F6787" s="28" t="n">
        <f aca="false">Assumptions!$C$11</f>
        <v>37.87</v>
      </c>
      <c r="G6787" s="17" t="n">
        <f aca="false">G6783-G6786</f>
        <v>122.9474204</v>
      </c>
      <c r="H6787" s="17" t="n">
        <f aca="false">H6783-H6786</f>
        <v>0</v>
      </c>
      <c r="I6787" s="17" t="n">
        <f aca="false">I6783-I6786</f>
        <v>-70.8793844172995</v>
      </c>
      <c r="J6787" s="17" t="n">
        <f aca="false">J6783-J6786</f>
        <v>-137.895771657719</v>
      </c>
      <c r="K6787" s="17" t="n">
        <f aca="false">K6783-K6786</f>
        <v>-200.991687491933</v>
      </c>
    </row>
    <row r="6788" customFormat="false" ht="15" hidden="false" customHeight="false" outlineLevel="0" collapsed="false">
      <c r="A6788" s="3" t="s">
        <v>408</v>
      </c>
      <c r="G6788" s="16" t="n">
        <f aca="false">G6609+G6622+G6635+G6648+G6661+G6674+G6687+G6700+G6713+G6726</f>
        <v>0</v>
      </c>
      <c r="H6788" s="16" t="n">
        <f aca="false">H6609+H6622+H6635+H6648+H6661+H6674+H6687+H6700+H6713+H6726</f>
        <v>751.446357881</v>
      </c>
      <c r="I6788" s="16" t="n">
        <f aca="false">I6609+I6622+I6635+I6648+I6661+I6674+I6687+I6700+I6713+I6726</f>
        <v>550</v>
      </c>
      <c r="J6788" s="16" t="n">
        <f aca="false">J6609+J6622+J6635+J6648+J6661+J6674+J6687+J6700+J6713+J6726</f>
        <v>350</v>
      </c>
      <c r="K6788" s="16" t="n">
        <f aca="false">K6609+K6622+K6635+K6648+K6661+K6674+K6687+K6700+K6713+K6726</f>
        <v>680</v>
      </c>
    </row>
    <row r="6789" customFormat="false" ht="15" hidden="false" customHeight="false" outlineLevel="0" collapsed="false">
      <c r="A6789" s="3" t="s">
        <v>409</v>
      </c>
      <c r="G6789" s="21" t="n">
        <f aca="false">IF(OR(G6784&gt;0.001,G6788&gt;0.001),1,0)</f>
        <v>0</v>
      </c>
      <c r="H6789" s="21" t="n">
        <f aca="false">IF(OR(H6784&gt;0.001,H6788&gt;0.001),1,0)</f>
        <v>1</v>
      </c>
      <c r="I6789" s="21" t="n">
        <f aca="false">IF(OR(I6784&gt;0.001,I6788&gt;0.001),1,0)</f>
        <v>1</v>
      </c>
      <c r="J6789" s="21" t="n">
        <f aca="false">IF(OR(J6784&gt;0.001,J6788&gt;0.001),1,0)</f>
        <v>1</v>
      </c>
      <c r="K6789" s="21" t="n">
        <f aca="false">IF(OR(K6784&gt;0.001,K6788&gt;0.001),1,0)</f>
        <v>1</v>
      </c>
    </row>
    <row r="6790" customFormat="false" ht="15" hidden="false" customHeight="false" outlineLevel="0" collapsed="false">
      <c r="A6790" s="3" t="s">
        <v>410</v>
      </c>
      <c r="G6790" s="21" t="n">
        <f aca="false">IF(G6789=1,1,0)</f>
        <v>0</v>
      </c>
      <c r="H6790" s="21" t="n">
        <f aca="false">IF(AND(H6789=1,SUM($G$6789:G6789)=0),1,0)</f>
        <v>1</v>
      </c>
      <c r="I6790" s="21" t="n">
        <f aca="false">IF(AND(I6789=1,SUM($G$6789:H6789)=0),1,0)</f>
        <v>0</v>
      </c>
      <c r="J6790" s="21" t="n">
        <f aca="false">IF(AND(J6789=1,SUM($G$6789:I6789)=0),1,0)</f>
        <v>0</v>
      </c>
      <c r="K6790" s="21" t="n">
        <f aca="false">IF(AND(K6789=1,SUM($G$6789:J6789)=0),1,0)</f>
        <v>0</v>
      </c>
    </row>
    <row r="6791" customFormat="false" ht="15" hidden="false" customHeight="false" outlineLevel="0" collapsed="false">
      <c r="A6791" s="3" t="s">
        <v>411</v>
      </c>
      <c r="G6791" s="16" t="n">
        <f aca="false">(G6729-F6729)-(G6780+G6578-G6778-G6782-G6786)</f>
        <v>0</v>
      </c>
      <c r="H6791" s="16" t="n">
        <f aca="false">(H6729-G6729)-(H6780+H6578-H6778-H6782-H6786)</f>
        <v>-3.83693077310454E-013</v>
      </c>
      <c r="I6791" s="16" t="n">
        <f aca="false">(I6729-H6729)-(I6780+I6578-I6778-I6782-I6786)</f>
        <v>0</v>
      </c>
      <c r="J6791" s="16" t="n">
        <f aca="false">(J6729-I6729)-(J6780+J6578-J6778-J6782-J6786)</f>
        <v>0</v>
      </c>
      <c r="K6791" s="16" t="n">
        <f aca="false">(K6729-J6729)-(K6780+K6578-K6778-K6782-K6786)</f>
        <v>0</v>
      </c>
    </row>
    <row r="6793" customFormat="false" ht="15" hidden="false" customHeight="false" outlineLevel="0" collapsed="false">
      <c r="A6793" s="24" t="s">
        <v>413</v>
      </c>
      <c r="B6793" s="25"/>
      <c r="C6793" s="25"/>
      <c r="D6793" s="25"/>
      <c r="E6793" s="25"/>
      <c r="F6793" s="25"/>
      <c r="G6793" s="25"/>
      <c r="H6793" s="25"/>
      <c r="I6793" s="25"/>
      <c r="J6793" s="25"/>
      <c r="K6793" s="25"/>
    </row>
    <row r="6794" customFormat="false" ht="15" hidden="false" customHeight="false" outlineLevel="0" collapsed="false">
      <c r="A6794" s="3" t="s">
        <v>414</v>
      </c>
      <c r="G6794" s="16" t="n">
        <f aca="false">G6729</f>
        <v>2621.934</v>
      </c>
      <c r="H6794" s="16" t="n">
        <f aca="false">H6729</f>
        <v>2569.380357881</v>
      </c>
      <c r="I6794" s="16" t="n">
        <f aca="false">I6729</f>
        <v>2565.380357881</v>
      </c>
      <c r="J6794" s="16" t="n">
        <f aca="false">J6729</f>
        <v>2561.380357881</v>
      </c>
      <c r="K6794" s="16" t="n">
        <f aca="false">K6729</f>
        <v>2557.380357881</v>
      </c>
    </row>
    <row r="6795" customFormat="false" ht="15" hidden="false" customHeight="false" outlineLevel="0" collapsed="false">
      <c r="A6795" s="3" t="s">
        <v>415</v>
      </c>
      <c r="G6795" s="16" t="n">
        <f aca="false">Assumptions!$O$57*G6610+Assumptions!$O$58*G6623+Assumptions!$O$59*G6636+Assumptions!$O$60*G6649+Assumptions!$O$61*G6662+Assumptions!$O$62*G6675+Assumptions!$O$63*G6688+Assumptions!$O$64*G6701+Assumptions!$O$65*G6714+Assumptions!$O$66*G6727</f>
        <v>543.324</v>
      </c>
      <c r="H6795" s="16" t="n">
        <f aca="false">Assumptions!$O$57*H6610+Assumptions!$O$58*H6623+Assumptions!$O$59*H6636+Assumptions!$O$60*H6649+Assumptions!$O$61*H6662+Assumptions!$O$62*H6675+Assumptions!$O$63*H6688+Assumptions!$O$64*H6701+Assumptions!$O$65*H6714+Assumptions!$O$66*H6727</f>
        <v>539.324</v>
      </c>
      <c r="I6795" s="16" t="n">
        <f aca="false">Assumptions!$O$57*I6610+Assumptions!$O$58*I6623+Assumptions!$O$59*I6636+Assumptions!$O$60*I6649+Assumptions!$O$61*I6662+Assumptions!$O$62*I6675+Assumptions!$O$63*I6688+Assumptions!$O$64*I6701+Assumptions!$O$65*I6714+Assumptions!$O$66*I6727</f>
        <v>535.324</v>
      </c>
      <c r="J6795" s="16" t="n">
        <f aca="false">Assumptions!$O$57*J6610+Assumptions!$O$58*J6623+Assumptions!$O$59*J6636+Assumptions!$O$60*J6649+Assumptions!$O$61*J6662+Assumptions!$O$62*J6675+Assumptions!$O$63*J6688+Assumptions!$O$64*J6701+Assumptions!$O$65*J6714+Assumptions!$O$66*J6727</f>
        <v>531.324</v>
      </c>
      <c r="K6795" s="16" t="n">
        <f aca="false">Assumptions!$O$57*K6610+Assumptions!$O$58*K6623+Assumptions!$O$59*K6636+Assumptions!$O$60*K6649+Assumptions!$O$61*K6662+Assumptions!$O$62*K6675+Assumptions!$O$63*K6688+Assumptions!$O$64*K6701+Assumptions!$O$65*K6714+Assumptions!$O$66*K6727</f>
        <v>527.324</v>
      </c>
    </row>
    <row r="6796" customFormat="false" ht="15" hidden="false" customHeight="false" outlineLevel="0" collapsed="false">
      <c r="A6796" s="3" t="s">
        <v>416</v>
      </c>
      <c r="G6796" s="16" t="n">
        <f aca="false">G6794-G6787</f>
        <v>2498.9865796</v>
      </c>
      <c r="H6796" s="16" t="n">
        <f aca="false">H6794-H6787</f>
        <v>2569.380357881</v>
      </c>
      <c r="I6796" s="16" t="n">
        <f aca="false">I6794-I6787</f>
        <v>2636.2597422983</v>
      </c>
      <c r="J6796" s="16" t="n">
        <f aca="false">J6794-J6787</f>
        <v>2699.27612953872</v>
      </c>
      <c r="K6796" s="16" t="n">
        <f aca="false">K6794-K6787</f>
        <v>2758.37204537293</v>
      </c>
    </row>
    <row r="6797" customFormat="false" ht="15" hidden="false" customHeight="false" outlineLevel="0" collapsed="false">
      <c r="A6797" s="3" t="s">
        <v>417</v>
      </c>
      <c r="G6797" s="32" t="n">
        <f aca="false">IF(G6573&gt;0,G6794/G6573,0)</f>
        <v>11.1954319438308</v>
      </c>
      <c r="H6797" s="32" t="n">
        <f aca="false">IF(H6573&gt;0,H6794/H6573,0)</f>
        <v>11.6601471215067</v>
      </c>
      <c r="I6797" s="32" t="n">
        <f aca="false">IF(I6573&gt;0,I6794/I6573,0)</f>
        <v>11.6419946559354</v>
      </c>
      <c r="J6797" s="32" t="n">
        <f aca="false">IF(J6573&gt;0,J6794/J6573,0)</f>
        <v>11.3913183720481</v>
      </c>
      <c r="K6797" s="32" t="n">
        <f aca="false">IF(K6573&gt;0,K6794/K6573,0)</f>
        <v>11.14717316588</v>
      </c>
    </row>
    <row r="6798" customFormat="false" ht="15" hidden="false" customHeight="false" outlineLevel="0" collapsed="false">
      <c r="A6798" s="3" t="s">
        <v>418</v>
      </c>
      <c r="G6798" s="32" t="n">
        <f aca="false">IF(G6573&gt;0,G6796/G6573,0)</f>
        <v>10.6704570673626</v>
      </c>
      <c r="H6798" s="32" t="n">
        <f aca="false">IF(H6573&gt;0,H6796/H6573,0)</f>
        <v>11.6601471215067</v>
      </c>
      <c r="I6798" s="32" t="n">
        <f aca="false">IF(I6573&gt;0,I6796/I6573,0)</f>
        <v>11.9636535522731</v>
      </c>
      <c r="J6798" s="32" t="n">
        <f aca="false">IF(J6573&gt;0,J6796/J6573,0)</f>
        <v>12.0045871637288</v>
      </c>
      <c r="K6798" s="32" t="n">
        <f aca="false">IF(K6573&gt;0,K6796/K6573,0)</f>
        <v>12.0232607366907</v>
      </c>
    </row>
    <row r="6799" customFormat="false" ht="15" hidden="false" customHeight="false" outlineLevel="0" collapsed="false">
      <c r="A6799" s="3" t="s">
        <v>419</v>
      </c>
      <c r="G6799" s="32" t="n">
        <f aca="false">IF(G6577&gt;0,G6573/G6577,0)</f>
        <v>1.24979041307388</v>
      </c>
      <c r="H6799" s="32" t="n">
        <f aca="false">IF(H6577&gt;0,H6573/H6577,0)</f>
        <v>1.18311222526984</v>
      </c>
      <c r="I6799" s="32" t="n">
        <f aca="false">IF(I6577&gt;0,I6573/I6577,0)</f>
        <v>1.20586587186349</v>
      </c>
      <c r="J6799" s="32" t="n">
        <f aca="false">IF(J6577&gt;0,J6573/J6577,0)</f>
        <v>1.23324745076441</v>
      </c>
      <c r="K6799" s="32" t="n">
        <f aca="false">IF(K6577&gt;0,K6573/K6577,0)</f>
        <v>1.26112583435714</v>
      </c>
    </row>
    <row r="6800" customFormat="false" ht="15" hidden="false" customHeight="false" outlineLevel="0" collapsed="false">
      <c r="A6800" s="3" t="s">
        <v>420</v>
      </c>
      <c r="G6800" s="32" t="n">
        <f aca="false">IF(G6577&gt;0,G6576/G6577,0)</f>
        <v>0.320303767681135</v>
      </c>
      <c r="H6800" s="32" t="n">
        <f aca="false">IF(H6577&gt;0,H6576/H6577,0)</f>
        <v>0.27600176891797</v>
      </c>
      <c r="I6800" s="32" t="n">
        <f aca="false">IF(I6577&gt;0,I6576/I6577,0)</f>
        <v>0.281309842467585</v>
      </c>
      <c r="J6800" s="32" t="n">
        <f aca="false">IF(J6577&gt;0,J6576/J6577,0)</f>
        <v>0.297346009456427</v>
      </c>
      <c r="K6800" s="32" t="n">
        <f aca="false">IF(K6577&gt;0,K6576/K6577,0)</f>
        <v>0.313734968638568</v>
      </c>
    </row>
    <row r="6801" customFormat="false" ht="15" hidden="false" customHeight="false" outlineLevel="0" collapsed="false">
      <c r="A6801" s="3" t="s">
        <v>213</v>
      </c>
      <c r="G6801" s="22" t="n">
        <f aca="false">IF(G6794&gt;0,G6586/G6794,0)</f>
        <v>-0.0232357410979834</v>
      </c>
      <c r="H6801" s="22" t="n">
        <f aca="false">IF(H6794&gt;0,H6586/H6794,0)</f>
        <v>-0.0273971808280867</v>
      </c>
      <c r="I6801" s="22" t="n">
        <f aca="false">IF(I6794&gt;0,I6586/I6794,0)</f>
        <v>-0.0260699682258976</v>
      </c>
      <c r="J6801" s="22" t="n">
        <f aca="false">IF(J6794&gt;0,J6586/J6794,0)</f>
        <v>-0.0246025105355896</v>
      </c>
      <c r="K6801" s="22" t="n">
        <f aca="false">IF(K6794&gt;0,K6586/K6794,0)</f>
        <v>-0.0231079884742603</v>
      </c>
    </row>
    <row r="6802" customFormat="false" ht="15" hidden="false" customHeight="false" outlineLevel="0" collapsed="false">
      <c r="A6802" s="3" t="s">
        <v>421</v>
      </c>
      <c r="G6802" s="32" t="n">
        <f aca="false">IF(G6577+G6778&gt;0,(G6573-G6584-G6581)/(G6577+G6778),0)</f>
        <v>0.783148779220797</v>
      </c>
      <c r="H6802" s="32" t="n">
        <f aca="false">IF(H6577+H6778&gt;0,(H6573-H6584-H6581)/(H6577+H6778),0)</f>
        <v>0.728376128313333</v>
      </c>
      <c r="I6802" s="32" t="n">
        <f aca="false">IF(I6577+I6778&gt;0,(I6573-I6584-I6581)/(I6577+I6778),0)</f>
        <v>0.742084215548814</v>
      </c>
      <c r="J6802" s="32" t="n">
        <f aca="false">IF(J6577+J6778&gt;0,(J6573-J6584-J6581)/(J6577+J6778),0)</f>
        <v>0.763468302110309</v>
      </c>
      <c r="K6802" s="32" t="n">
        <f aca="false">IF(K6577+K6778&gt;0,(K6573-K6584-K6581)/(K6577+K6778),0)</f>
        <v>0.785268063869781</v>
      </c>
    </row>
    <row r="6803" customFormat="false" ht="15" hidden="false" customHeight="false" outlineLevel="0" collapsed="false">
      <c r="A6803" s="3" t="s">
        <v>422</v>
      </c>
      <c r="G6803" s="16" t="n">
        <f aca="false">MAX(0,G6787)+Assumptions!$P$57*MAX(0,Assumptions!$D$57-G6610)+Assumptions!$P$58*MAX(0,Assumptions!$D$58-G6623)+Assumptions!$P$59*MAX(0,Assumptions!$D$59-G6636)+Assumptions!$P$60*MAX(0,Assumptions!$D$60-G6649)+Assumptions!$P$61*MAX(0,Assumptions!$D$61-G6662)+Assumptions!$P$62*MAX(0,Assumptions!$D$62-G6675)+Assumptions!$P$63*MAX(0,Assumptions!$D$63-G6688)+Assumptions!$P$64*MAX(0,Assumptions!$D$64-G6701)+Assumptions!$P$65*MAX(0,Assumptions!$D$65-G6714)+Assumptions!$P$66*MAX(0,Assumptions!$D$66-G6727)</f>
        <v>697.4474204</v>
      </c>
      <c r="H6803" s="16" t="n">
        <f aca="false">MAX(0,H6787)+Assumptions!$P$57*MAX(0,Assumptions!$D$57-H6610)+Assumptions!$P$58*MAX(0,Assumptions!$D$58-H6623)+Assumptions!$P$59*MAX(0,Assumptions!$D$59-H6636)+Assumptions!$P$60*MAX(0,Assumptions!$D$60-H6649)+Assumptions!$P$61*MAX(0,Assumptions!$D$61-H6662)+Assumptions!$P$62*MAX(0,Assumptions!$D$62-H6675)+Assumptions!$P$63*MAX(0,Assumptions!$D$63-H6688)+Assumptions!$P$64*MAX(0,Assumptions!$D$64-H6701)+Assumptions!$P$65*MAX(0,Assumptions!$D$65-H6714)+Assumptions!$P$66*MAX(0,Assumptions!$D$66-H6727)</f>
        <v>574.5</v>
      </c>
      <c r="I6803" s="16" t="n">
        <f aca="false">MAX(0,I6787)+Assumptions!$P$57*MAX(0,Assumptions!$D$57-I6610)+Assumptions!$P$58*MAX(0,Assumptions!$D$58-I6623)+Assumptions!$P$59*MAX(0,Assumptions!$D$59-I6636)+Assumptions!$P$60*MAX(0,Assumptions!$D$60-I6649)+Assumptions!$P$61*MAX(0,Assumptions!$D$61-I6662)+Assumptions!$P$62*MAX(0,Assumptions!$D$62-I6675)+Assumptions!$P$63*MAX(0,Assumptions!$D$63-I6688)+Assumptions!$P$64*MAX(0,Assumptions!$D$64-I6701)+Assumptions!$P$65*MAX(0,Assumptions!$D$65-I6714)+Assumptions!$P$66*MAX(0,Assumptions!$D$66-I6727)</f>
        <v>574.5</v>
      </c>
      <c r="J6803" s="16" t="n">
        <f aca="false">MAX(0,J6787)+Assumptions!$P$57*MAX(0,Assumptions!$D$57-J6610)+Assumptions!$P$58*MAX(0,Assumptions!$D$58-J6623)+Assumptions!$P$59*MAX(0,Assumptions!$D$59-J6636)+Assumptions!$P$60*MAX(0,Assumptions!$D$60-J6649)+Assumptions!$P$61*MAX(0,Assumptions!$D$61-J6662)+Assumptions!$P$62*MAX(0,Assumptions!$D$62-J6675)+Assumptions!$P$63*MAX(0,Assumptions!$D$63-J6688)+Assumptions!$P$64*MAX(0,Assumptions!$D$64-J6701)+Assumptions!$P$65*MAX(0,Assumptions!$D$65-J6714)+Assumptions!$P$66*MAX(0,Assumptions!$D$66-J6727)</f>
        <v>574.5</v>
      </c>
      <c r="K6803" s="16" t="n">
        <f aca="false">MAX(0,K6787)+Assumptions!$P$57*MAX(0,Assumptions!$D$57-K6610)+Assumptions!$P$58*MAX(0,Assumptions!$D$58-K6623)+Assumptions!$P$59*MAX(0,Assumptions!$D$59-K6636)+Assumptions!$P$60*MAX(0,Assumptions!$D$60-K6649)+Assumptions!$P$61*MAX(0,Assumptions!$D$61-K6662)+Assumptions!$P$62*MAX(0,Assumptions!$D$62-K6675)+Assumptions!$P$63*MAX(0,Assumptions!$D$63-K6688)+Assumptions!$P$64*MAX(0,Assumptions!$D$64-K6701)+Assumptions!$P$65*MAX(0,Assumptions!$D$65-K6714)+Assumptions!$P$66*MAX(0,Assumptions!$D$66-K6727)</f>
        <v>574.5</v>
      </c>
    </row>
    <row r="6804" customFormat="false" ht="15" hidden="false" customHeight="false" outlineLevel="0" collapsed="false">
      <c r="A6804" s="3" t="s">
        <v>423</v>
      </c>
      <c r="G6804" s="22" t="n">
        <f aca="false">IF(G6794&gt;0,G6794/(G6794+MAX(0,G6573*CHOOSE($C$6556,Assumptions!$C$90,Assumptions!$C$109,Assumptions!$C$128)-G6796)),0)</f>
        <v>0.971406190801315</v>
      </c>
      <c r="H6804" s="22" t="n">
        <f aca="false">IF(H6794&gt;0,H6794/(H6794+MAX(0,H6573*CHOOSE($C$6556,Assumptions!$C$90,Assumptions!$C$109,Assumptions!$C$128)-H6796)),0)</f>
        <v>1</v>
      </c>
      <c r="I6804" s="22" t="n">
        <f aca="false">IF(I6794&gt;0,I6794/(I6794+MAX(0,I6573*CHOOSE($C$6556,Assumptions!$C$90,Assumptions!$C$109,Assumptions!$C$128)-I6796)),0)</f>
        <v>1</v>
      </c>
      <c r="J6804" s="22" t="n">
        <f aca="false">IF(J6794&gt;0,J6794/(J6794+MAX(0,J6573*CHOOSE($C$6556,Assumptions!$C$90,Assumptions!$C$109,Assumptions!$C$128)-J6796)),0)</f>
        <v>1</v>
      </c>
      <c r="K6804" s="22" t="n">
        <f aca="false">IF(K6794&gt;0,K6794/(K6794+MAX(0,K6573*CHOOSE($C$6556,Assumptions!$C$90,Assumptions!$C$109,Assumptions!$C$128)-K6796)),0)</f>
        <v>1</v>
      </c>
    </row>
    <row r="6805" customFormat="false" ht="15" hidden="false" customHeight="false" outlineLevel="0" collapsed="false">
      <c r="A6805" s="3" t="s">
        <v>424</v>
      </c>
      <c r="G6805" s="22" t="n">
        <f aca="false">IF(G6794&gt;0,MAX(0,G6787)/G6794,0)</f>
        <v>0.0468918822518034</v>
      </c>
      <c r="H6805" s="22" t="n">
        <f aca="false">IF(H6794&gt;0,MAX(0,H6787)/H6794,0)</f>
        <v>0</v>
      </c>
      <c r="I6805" s="22" t="n">
        <f aca="false">IF(I6794&gt;0,MAX(0,I6787)/I6794,0)</f>
        <v>0</v>
      </c>
      <c r="J6805" s="22" t="n">
        <f aca="false">IF(J6794&gt;0,MAX(0,J6787)/J6794,0)</f>
        <v>0</v>
      </c>
      <c r="K6805" s="22" t="n">
        <f aca="false">IF(K6794&gt;0,MAX(0,K6787)/K6794,0)</f>
        <v>0</v>
      </c>
    </row>
    <row r="6806" customFormat="false" ht="15" hidden="false" customHeight="false" outlineLevel="0" collapsed="false">
      <c r="A6806" s="3" t="s">
        <v>425</v>
      </c>
      <c r="G6806" s="16" t="n">
        <f aca="false">Assumptions!$C$31*(1-CHOOSE($C$6556,Assumptions!$C$93,Assumptions!$C$112,Assumptions!$C$131))</f>
        <v>3840.04556666667</v>
      </c>
      <c r="H6806" s="16" t="n">
        <f aca="false">Assumptions!$C$31*(1-CHOOSE($C$6556,Assumptions!$C$93,Assumptions!$C$112,Assumptions!$C$131))</f>
        <v>3840.04556666667</v>
      </c>
      <c r="I6806" s="16" t="n">
        <f aca="false">Assumptions!$C$31*(1-CHOOSE($C$6556,Assumptions!$C$93,Assumptions!$C$112,Assumptions!$C$131))</f>
        <v>3840.04556666667</v>
      </c>
      <c r="J6806" s="16" t="n">
        <f aca="false">Assumptions!$C$31*(1-CHOOSE($C$6556,Assumptions!$C$93,Assumptions!$C$112,Assumptions!$C$131))</f>
        <v>3840.04556666667</v>
      </c>
      <c r="K6806" s="16" t="n">
        <f aca="false">Assumptions!$C$31*(1-CHOOSE($C$6556,Assumptions!$C$93,Assumptions!$C$112,Assumptions!$C$131))</f>
        <v>3840.04556666667</v>
      </c>
    </row>
    <row r="6807" customFormat="false" ht="15" hidden="false" customHeight="false" outlineLevel="0" collapsed="false">
      <c r="A6807" s="24" t="s">
        <v>426</v>
      </c>
      <c r="B6807" s="25"/>
      <c r="C6807" s="25"/>
      <c r="D6807" s="25"/>
      <c r="E6807" s="25"/>
      <c r="F6807" s="25"/>
      <c r="G6807" s="25"/>
      <c r="H6807" s="25"/>
      <c r="I6807" s="25"/>
      <c r="J6807" s="25"/>
      <c r="K6807" s="25"/>
    </row>
    <row r="6808" customFormat="false" ht="15" hidden="false" customHeight="false" outlineLevel="0" collapsed="false">
      <c r="A6808" s="24" t="s">
        <v>427</v>
      </c>
      <c r="B6808" s="25"/>
      <c r="C6808" s="25"/>
      <c r="D6808" s="25"/>
      <c r="E6808" s="25"/>
      <c r="F6808" s="25"/>
      <c r="G6808" s="25"/>
      <c r="H6808" s="25"/>
      <c r="I6808" s="25"/>
      <c r="J6808" s="25"/>
      <c r="K6808" s="25"/>
    </row>
    <row r="6809" customFormat="false" ht="15" hidden="false" customHeight="false" outlineLevel="0" collapsed="false">
      <c r="A6809" s="3" t="s">
        <v>428</v>
      </c>
      <c r="G6809" s="22" t="n">
        <f aca="false">IF(G6806&gt;0,G6794/G6806,99)</f>
        <v>0.68278721032885</v>
      </c>
      <c r="H6809" s="22" t="n">
        <f aca="false">IF(H6806&gt;0,H6794/H6806,99)</f>
        <v>0.6691015284257</v>
      </c>
      <c r="I6809" s="22" t="n">
        <f aca="false">IF(I6806&gt;0,I6794/I6806,99)</f>
        <v>0.668059874119636</v>
      </c>
      <c r="J6809" s="22" t="n">
        <f aca="false">IF(J6806&gt;0,J6794/J6806,99)</f>
        <v>0.667018219813572</v>
      </c>
      <c r="K6809" s="22" t="n">
        <f aca="false">IF(K6806&gt;0,K6794/K6806,99)</f>
        <v>0.665976565507508</v>
      </c>
    </row>
    <row r="6810" customFormat="false" ht="15" hidden="false" customHeight="false" outlineLevel="0" collapsed="false">
      <c r="A6810" s="3" t="s">
        <v>429</v>
      </c>
      <c r="G6810" s="33" t="n">
        <f aca="false">Assumptions!$G$71</f>
        <v>0.6</v>
      </c>
      <c r="H6810" s="33" t="n">
        <f aca="false">Assumptions!$H$71</f>
        <v>0.6</v>
      </c>
      <c r="I6810" s="33" t="n">
        <f aca="false">Assumptions!$I$71</f>
        <v>0.6</v>
      </c>
      <c r="J6810" s="33" t="n">
        <f aca="false">Assumptions!$J$71</f>
        <v>0.6</v>
      </c>
      <c r="K6810" s="33" t="n">
        <f aca="false">Assumptions!$K$71</f>
        <v>0.6</v>
      </c>
    </row>
    <row r="6811" customFormat="false" ht="15" hidden="false" customHeight="false" outlineLevel="0" collapsed="false">
      <c r="A6811" s="3" t="s">
        <v>430</v>
      </c>
      <c r="G6811" s="22" t="n">
        <f aca="false">G6810-G6809</f>
        <v>-0.0827872103288497</v>
      </c>
      <c r="H6811" s="22" t="n">
        <f aca="false">H6810-H6809</f>
        <v>-0.0691015284256999</v>
      </c>
      <c r="I6811" s="22" t="n">
        <f aca="false">I6810-I6809</f>
        <v>-0.0680598741196361</v>
      </c>
      <c r="J6811" s="22" t="n">
        <f aca="false">J6810-J6809</f>
        <v>-0.0670182198135721</v>
      </c>
      <c r="K6811" s="22" t="n">
        <f aca="false">K6810-K6809</f>
        <v>-0.0659765655075082</v>
      </c>
    </row>
    <row r="6812" customFormat="false" ht="15" hidden="false" customHeight="false" outlineLevel="0" collapsed="false">
      <c r="A6812" s="3" t="s">
        <v>431</v>
      </c>
      <c r="G6812" s="22" t="n">
        <f aca="false">IF(G6810=0,0,G6811/ABS(G6810))</f>
        <v>-0.137978683881416</v>
      </c>
      <c r="H6812" s="22" t="n">
        <f aca="false">IF(H6810=0,0,H6811/ABS(H6810))</f>
        <v>-0.115169214042833</v>
      </c>
      <c r="I6812" s="22" t="n">
        <f aca="false">IF(I6810=0,0,I6811/ABS(I6810))</f>
        <v>-0.113433123532727</v>
      </c>
      <c r="J6812" s="22" t="n">
        <f aca="false">IF(J6810=0,0,J6811/ABS(J6810))</f>
        <v>-0.11169703302262</v>
      </c>
      <c r="K6812" s="22" t="n">
        <f aca="false">IF(K6810=0,0,K6811/ABS(K6810))</f>
        <v>-0.109960942512514</v>
      </c>
    </row>
    <row r="6813" customFormat="false" ht="15" hidden="false" customHeight="false" outlineLevel="0" collapsed="false">
      <c r="A6813" s="3" t="s">
        <v>432</v>
      </c>
      <c r="G6813" s="21" t="n">
        <f aca="false">IF(G6811&lt;0,1,0)</f>
        <v>1</v>
      </c>
      <c r="H6813" s="21" t="n">
        <f aca="false">IF(H6811&lt;0,1,0)</f>
        <v>1</v>
      </c>
      <c r="I6813" s="21" t="n">
        <f aca="false">IF(I6811&lt;0,1,0)</f>
        <v>1</v>
      </c>
      <c r="J6813" s="21" t="n">
        <f aca="false">IF(J6811&lt;0,1,0)</f>
        <v>1</v>
      </c>
      <c r="K6813" s="21" t="n">
        <f aca="false">IF(K6811&lt;0,1,0)</f>
        <v>1</v>
      </c>
    </row>
    <row r="6814" customFormat="false" ht="15" hidden="false" customHeight="false" outlineLevel="0" collapsed="false">
      <c r="A6814" s="3" t="s">
        <v>433</v>
      </c>
      <c r="C6814" s="21" t="n">
        <f aca="false">IFERROR(INDEX($G$6563:$K$6563,MATCH(1,$G$6813:$K$6813,0)),0)</f>
        <v>2027</v>
      </c>
    </row>
    <row r="6815" customFormat="false" ht="15" hidden="false" customHeight="false" outlineLevel="0" collapsed="false">
      <c r="A6815" s="3" t="s">
        <v>434</v>
      </c>
      <c r="C6815" s="22" t="n">
        <f aca="false">MIN($G$6812:$K$6812)</f>
        <v>-0.137978683881416</v>
      </c>
    </row>
    <row r="6816" customFormat="false" ht="15" hidden="false" customHeight="false" outlineLevel="0" collapsed="false">
      <c r="A6816" s="24" t="s">
        <v>435</v>
      </c>
      <c r="B6816" s="25"/>
      <c r="C6816" s="25"/>
      <c r="D6816" s="25"/>
      <c r="E6816" s="25"/>
      <c r="F6816" s="25"/>
      <c r="G6816" s="25"/>
      <c r="H6816" s="25"/>
      <c r="I6816" s="25"/>
      <c r="J6816" s="25"/>
      <c r="K6816" s="25"/>
    </row>
    <row r="6817" customFormat="false" ht="15" hidden="false" customHeight="false" outlineLevel="0" collapsed="false">
      <c r="A6817" s="3" t="s">
        <v>428</v>
      </c>
      <c r="G6817" s="32" t="n">
        <f aca="false">IF(G6577&gt;0,G6573/G6577,99)</f>
        <v>1.24979041307388</v>
      </c>
      <c r="H6817" s="32" t="n">
        <f aca="false">IF(H6577&gt;0,H6573/H6577,99)</f>
        <v>1.18311222526984</v>
      </c>
      <c r="I6817" s="32" t="n">
        <f aca="false">IF(I6577&gt;0,I6573/I6577,99)</f>
        <v>1.20586587186349</v>
      </c>
      <c r="J6817" s="32" t="n">
        <f aca="false">IF(J6577&gt;0,J6573/J6577,99)</f>
        <v>1.23324745076441</v>
      </c>
      <c r="K6817" s="32" t="n">
        <f aca="false">IF(K6577&gt;0,K6573/K6577,99)</f>
        <v>1.26112583435714</v>
      </c>
    </row>
    <row r="6818" customFormat="false" ht="15" hidden="false" customHeight="false" outlineLevel="0" collapsed="false">
      <c r="A6818" s="3" t="s">
        <v>429</v>
      </c>
      <c r="G6818" s="34" t="n">
        <f aca="false">Assumptions!$G$72</f>
        <v>1.5</v>
      </c>
      <c r="H6818" s="34" t="n">
        <f aca="false">Assumptions!$H$72</f>
        <v>1.5</v>
      </c>
      <c r="I6818" s="34" t="n">
        <f aca="false">Assumptions!$I$72</f>
        <v>1.5</v>
      </c>
      <c r="J6818" s="34" t="n">
        <f aca="false">Assumptions!$J$72</f>
        <v>1.5</v>
      </c>
      <c r="K6818" s="34" t="n">
        <f aca="false">Assumptions!$K$72</f>
        <v>1.5</v>
      </c>
    </row>
    <row r="6819" customFormat="false" ht="15" hidden="false" customHeight="false" outlineLevel="0" collapsed="false">
      <c r="A6819" s="3" t="s">
        <v>430</v>
      </c>
      <c r="G6819" s="32" t="n">
        <f aca="false">G6817-G6818</f>
        <v>-0.250209586926116</v>
      </c>
      <c r="H6819" s="32" t="n">
        <f aca="false">H6817-H6818</f>
        <v>-0.316887774730159</v>
      </c>
      <c r="I6819" s="32" t="n">
        <f aca="false">I6817-I6818</f>
        <v>-0.294134128136513</v>
      </c>
      <c r="J6819" s="32" t="n">
        <f aca="false">J6817-J6818</f>
        <v>-0.266752549235595</v>
      </c>
      <c r="K6819" s="32" t="n">
        <f aca="false">K6817-K6818</f>
        <v>-0.238874165642862</v>
      </c>
    </row>
    <row r="6820" customFormat="false" ht="15" hidden="false" customHeight="false" outlineLevel="0" collapsed="false">
      <c r="A6820" s="3" t="s">
        <v>431</v>
      </c>
      <c r="G6820" s="22" t="n">
        <f aca="false">IF(G6818=0,0,G6819/ABS(G6818))</f>
        <v>-0.166806391284078</v>
      </c>
      <c r="H6820" s="22" t="n">
        <f aca="false">IF(H6818=0,0,H6819/ABS(H6818))</f>
        <v>-0.211258516486773</v>
      </c>
      <c r="I6820" s="22" t="n">
        <f aca="false">IF(I6818=0,0,I6819/ABS(I6818))</f>
        <v>-0.196089418757675</v>
      </c>
      <c r="J6820" s="22" t="n">
        <f aca="false">IF(J6818=0,0,J6819/ABS(J6818))</f>
        <v>-0.17783503282373</v>
      </c>
      <c r="K6820" s="22" t="n">
        <f aca="false">IF(K6818=0,0,K6819/ABS(K6818))</f>
        <v>-0.159249443761908</v>
      </c>
    </row>
    <row r="6821" customFormat="false" ht="15" hidden="false" customHeight="false" outlineLevel="0" collapsed="false">
      <c r="A6821" s="3" t="s">
        <v>432</v>
      </c>
      <c r="G6821" s="21" t="n">
        <f aca="false">IF(G6819&lt;0,1,0)</f>
        <v>1</v>
      </c>
      <c r="H6821" s="21" t="n">
        <f aca="false">IF(H6819&lt;0,1,0)</f>
        <v>1</v>
      </c>
      <c r="I6821" s="21" t="n">
        <f aca="false">IF(I6819&lt;0,1,0)</f>
        <v>1</v>
      </c>
      <c r="J6821" s="21" t="n">
        <f aca="false">IF(J6819&lt;0,1,0)</f>
        <v>1</v>
      </c>
      <c r="K6821" s="21" t="n">
        <f aca="false">IF(K6819&lt;0,1,0)</f>
        <v>1</v>
      </c>
    </row>
    <row r="6822" customFormat="false" ht="15" hidden="false" customHeight="false" outlineLevel="0" collapsed="false">
      <c r="A6822" s="3" t="s">
        <v>433</v>
      </c>
      <c r="C6822" s="21" t="n">
        <f aca="false">IFERROR(INDEX($G$6563:$K$6563,MATCH(1,$G$6821:$K$6821,0)),0)</f>
        <v>2027</v>
      </c>
    </row>
    <row r="6823" customFormat="false" ht="15" hidden="false" customHeight="false" outlineLevel="0" collapsed="false">
      <c r="A6823" s="3" t="s">
        <v>434</v>
      </c>
      <c r="C6823" s="22" t="n">
        <f aca="false">MIN($G$6820:$K$6820)</f>
        <v>-0.211258516486773</v>
      </c>
    </row>
    <row r="6824" customFormat="false" ht="15" hidden="false" customHeight="false" outlineLevel="0" collapsed="false">
      <c r="A6824" s="24" t="s">
        <v>436</v>
      </c>
      <c r="B6824" s="25"/>
      <c r="C6824" s="25"/>
      <c r="D6824" s="25"/>
      <c r="E6824" s="25"/>
      <c r="F6824" s="25"/>
      <c r="G6824" s="25"/>
      <c r="H6824" s="25"/>
      <c r="I6824" s="25"/>
      <c r="J6824" s="25"/>
      <c r="K6824" s="25"/>
    </row>
    <row r="6825" customFormat="false" ht="15" hidden="false" customHeight="false" outlineLevel="0" collapsed="false">
      <c r="A6825" s="3" t="s">
        <v>428</v>
      </c>
      <c r="G6825" s="22" t="n">
        <f aca="false">IF(G6806&gt;0,G6795/G6806,99)</f>
        <v>0.141488946046968</v>
      </c>
      <c r="H6825" s="22" t="n">
        <f aca="false">IF(H6806&gt;0,H6795/H6806,99)</f>
        <v>0.140447291740904</v>
      </c>
      <c r="I6825" s="22" t="n">
        <f aca="false">IF(I6806&gt;0,I6795/I6806,99)</f>
        <v>0.139405637434841</v>
      </c>
      <c r="J6825" s="22" t="n">
        <f aca="false">IF(J6806&gt;0,J6795/J6806,99)</f>
        <v>0.138363983128777</v>
      </c>
      <c r="K6825" s="22" t="n">
        <f aca="false">IF(K6806&gt;0,K6795/K6806,99)</f>
        <v>0.137322328822713</v>
      </c>
    </row>
    <row r="6826" customFormat="false" ht="15" hidden="false" customHeight="false" outlineLevel="0" collapsed="false">
      <c r="A6826" s="3" t="s">
        <v>429</v>
      </c>
      <c r="G6826" s="33" t="n">
        <f aca="false">Assumptions!$G$73</f>
        <v>0.4</v>
      </c>
      <c r="H6826" s="33" t="n">
        <f aca="false">Assumptions!$H$73</f>
        <v>0.4</v>
      </c>
      <c r="I6826" s="33" t="n">
        <f aca="false">Assumptions!$I$73</f>
        <v>0.4</v>
      </c>
      <c r="J6826" s="33" t="n">
        <f aca="false">Assumptions!$J$73</f>
        <v>0.4</v>
      </c>
      <c r="K6826" s="33" t="n">
        <f aca="false">Assumptions!$K$73</f>
        <v>0.4</v>
      </c>
    </row>
    <row r="6827" customFormat="false" ht="15" hidden="false" customHeight="false" outlineLevel="0" collapsed="false">
      <c r="A6827" s="3" t="s">
        <v>430</v>
      </c>
      <c r="G6827" s="22" t="n">
        <f aca="false">G6826-G6825</f>
        <v>0.258511053953032</v>
      </c>
      <c r="H6827" s="22" t="n">
        <f aca="false">H6826-H6825</f>
        <v>0.259552708259096</v>
      </c>
      <c r="I6827" s="22" t="n">
        <f aca="false">I6826-I6825</f>
        <v>0.26059436256516</v>
      </c>
      <c r="J6827" s="22" t="n">
        <f aca="false">J6826-J6825</f>
        <v>0.261636016871223</v>
      </c>
      <c r="K6827" s="22" t="n">
        <f aca="false">K6826-K6825</f>
        <v>0.262677671177287</v>
      </c>
    </row>
    <row r="6828" customFormat="false" ht="15" hidden="false" customHeight="false" outlineLevel="0" collapsed="false">
      <c r="A6828" s="3" t="s">
        <v>431</v>
      </c>
      <c r="G6828" s="22" t="n">
        <f aca="false">IF(G6826=0,0,G6827/ABS(G6826))</f>
        <v>0.646277634882579</v>
      </c>
      <c r="H6828" s="22" t="n">
        <f aca="false">IF(H6826=0,0,H6827/ABS(H6826))</f>
        <v>0.648881770647739</v>
      </c>
      <c r="I6828" s="22" t="n">
        <f aca="false">IF(I6826=0,0,I6827/ABS(I6826))</f>
        <v>0.651485906412899</v>
      </c>
      <c r="J6828" s="22" t="n">
        <f aca="false">IF(J6826=0,0,J6827/ABS(J6826))</f>
        <v>0.654090042178059</v>
      </c>
      <c r="K6828" s="22" t="n">
        <f aca="false">IF(K6826=0,0,K6827/ABS(K6826))</f>
        <v>0.656694177943218</v>
      </c>
    </row>
    <row r="6829" customFormat="false" ht="15" hidden="false" customHeight="false" outlineLevel="0" collapsed="false">
      <c r="A6829" s="3" t="s">
        <v>432</v>
      </c>
      <c r="G6829" s="21" t="n">
        <f aca="false">IF(G6827&lt;0,1,0)</f>
        <v>0</v>
      </c>
      <c r="H6829" s="21" t="n">
        <f aca="false">IF(H6827&lt;0,1,0)</f>
        <v>0</v>
      </c>
      <c r="I6829" s="21" t="n">
        <f aca="false">IF(I6827&lt;0,1,0)</f>
        <v>0</v>
      </c>
      <c r="J6829" s="21" t="n">
        <f aca="false">IF(J6827&lt;0,1,0)</f>
        <v>0</v>
      </c>
      <c r="K6829" s="21" t="n">
        <f aca="false">IF(K6827&lt;0,1,0)</f>
        <v>0</v>
      </c>
    </row>
    <row r="6830" customFormat="false" ht="15" hidden="false" customHeight="false" outlineLevel="0" collapsed="false">
      <c r="A6830" s="3" t="s">
        <v>433</v>
      </c>
      <c r="C6830" s="21" t="n">
        <f aca="false">IFERROR(INDEX($G$6563:$K$6563,MATCH(1,$G$6829:$K$6829,0)),0)</f>
        <v>0</v>
      </c>
    </row>
    <row r="6831" customFormat="false" ht="15" hidden="false" customHeight="false" outlineLevel="0" collapsed="false">
      <c r="A6831" s="3" t="s">
        <v>434</v>
      </c>
      <c r="C6831" s="22" t="n">
        <f aca="false">MIN($G$6828:$K$6828)</f>
        <v>0.646277634882579</v>
      </c>
    </row>
    <row r="6832" customFormat="false" ht="15" hidden="false" customHeight="false" outlineLevel="0" collapsed="false">
      <c r="A6832" s="24" t="s">
        <v>437</v>
      </c>
      <c r="B6832" s="25"/>
      <c r="C6832" s="25"/>
      <c r="D6832" s="25"/>
      <c r="E6832" s="25"/>
      <c r="F6832" s="25"/>
      <c r="G6832" s="25"/>
      <c r="H6832" s="25"/>
      <c r="I6832" s="25"/>
      <c r="J6832" s="25"/>
      <c r="K6832" s="25"/>
    </row>
    <row r="6833" customFormat="false" ht="15" hidden="false" customHeight="false" outlineLevel="0" collapsed="false">
      <c r="A6833" s="3" t="s">
        <v>428</v>
      </c>
      <c r="G6833" s="16" t="n">
        <f aca="false">G6803</f>
        <v>697.4474204</v>
      </c>
      <c r="H6833" s="16" t="n">
        <f aca="false">H6803</f>
        <v>574.5</v>
      </c>
      <c r="I6833" s="16" t="n">
        <f aca="false">I6803</f>
        <v>574.5</v>
      </c>
      <c r="J6833" s="16" t="n">
        <f aca="false">J6803</f>
        <v>574.5</v>
      </c>
      <c r="K6833" s="16" t="n">
        <f aca="false">K6803</f>
        <v>574.5</v>
      </c>
    </row>
    <row r="6834" customFormat="false" ht="15" hidden="false" customHeight="false" outlineLevel="0" collapsed="false">
      <c r="A6834" s="3" t="s">
        <v>429</v>
      </c>
      <c r="G6834" s="29" t="n">
        <f aca="false">Assumptions!$G$74</f>
        <v>100</v>
      </c>
      <c r="H6834" s="29" t="n">
        <f aca="false">Assumptions!$H$74</f>
        <v>100</v>
      </c>
      <c r="I6834" s="29" t="n">
        <f aca="false">Assumptions!$I$74</f>
        <v>100</v>
      </c>
      <c r="J6834" s="29" t="n">
        <f aca="false">Assumptions!$J$74</f>
        <v>100</v>
      </c>
      <c r="K6834" s="29" t="n">
        <f aca="false">Assumptions!$K$74</f>
        <v>100</v>
      </c>
    </row>
    <row r="6835" customFormat="false" ht="15" hidden="false" customHeight="false" outlineLevel="0" collapsed="false">
      <c r="A6835" s="3" t="s">
        <v>430</v>
      </c>
      <c r="G6835" s="16" t="n">
        <f aca="false">G6833-G6834</f>
        <v>597.4474204</v>
      </c>
      <c r="H6835" s="16" t="n">
        <f aca="false">H6833-H6834</f>
        <v>474.5</v>
      </c>
      <c r="I6835" s="16" t="n">
        <f aca="false">I6833-I6834</f>
        <v>474.5</v>
      </c>
      <c r="J6835" s="16" t="n">
        <f aca="false">J6833-J6834</f>
        <v>474.5</v>
      </c>
      <c r="K6835" s="16" t="n">
        <f aca="false">K6833-K6834</f>
        <v>474.5</v>
      </c>
    </row>
    <row r="6836" customFormat="false" ht="15" hidden="false" customHeight="false" outlineLevel="0" collapsed="false">
      <c r="A6836" s="3" t="s">
        <v>431</v>
      </c>
      <c r="G6836" s="22" t="n">
        <f aca="false">IF(G6834=0,0,G6835/ABS(G6834))</f>
        <v>5.974474204</v>
      </c>
      <c r="H6836" s="22" t="n">
        <f aca="false">IF(H6834=0,0,H6835/ABS(H6834))</f>
        <v>4.745</v>
      </c>
      <c r="I6836" s="22" t="n">
        <f aca="false">IF(I6834=0,0,I6835/ABS(I6834))</f>
        <v>4.745</v>
      </c>
      <c r="J6836" s="22" t="n">
        <f aca="false">IF(J6834=0,0,J6835/ABS(J6834))</f>
        <v>4.745</v>
      </c>
      <c r="K6836" s="22" t="n">
        <f aca="false">IF(K6834=0,0,K6835/ABS(K6834))</f>
        <v>4.745</v>
      </c>
    </row>
    <row r="6837" customFormat="false" ht="15" hidden="false" customHeight="false" outlineLevel="0" collapsed="false">
      <c r="A6837" s="3" t="s">
        <v>432</v>
      </c>
      <c r="G6837" s="21" t="n">
        <f aca="false">IF(G6835&lt;0,1,0)</f>
        <v>0</v>
      </c>
      <c r="H6837" s="21" t="n">
        <f aca="false">IF(H6835&lt;0,1,0)</f>
        <v>0</v>
      </c>
      <c r="I6837" s="21" t="n">
        <f aca="false">IF(I6835&lt;0,1,0)</f>
        <v>0</v>
      </c>
      <c r="J6837" s="21" t="n">
        <f aca="false">IF(J6835&lt;0,1,0)</f>
        <v>0</v>
      </c>
      <c r="K6837" s="21" t="n">
        <f aca="false">IF(K6835&lt;0,1,0)</f>
        <v>0</v>
      </c>
    </row>
    <row r="6838" customFormat="false" ht="15" hidden="false" customHeight="false" outlineLevel="0" collapsed="false">
      <c r="A6838" s="3" t="s">
        <v>433</v>
      </c>
      <c r="C6838" s="21" t="n">
        <f aca="false">IFERROR(INDEX($G$6563:$K$6563,MATCH(1,$G$6837:$K$6837,0)),0)</f>
        <v>0</v>
      </c>
    </row>
    <row r="6839" customFormat="false" ht="15" hidden="false" customHeight="false" outlineLevel="0" collapsed="false">
      <c r="A6839" s="3" t="s">
        <v>434</v>
      </c>
      <c r="C6839" s="22" t="n">
        <f aca="false">MIN($G$6836:$K$6836)</f>
        <v>4.745</v>
      </c>
    </row>
    <row r="6840" customFormat="false" ht="15" hidden="false" customHeight="false" outlineLevel="0" collapsed="false">
      <c r="A6840" s="24" t="s">
        <v>438</v>
      </c>
      <c r="B6840" s="25"/>
      <c r="C6840" s="25"/>
      <c r="D6840" s="25"/>
      <c r="E6840" s="25"/>
      <c r="F6840" s="25"/>
      <c r="G6840" s="25"/>
      <c r="H6840" s="25"/>
      <c r="I6840" s="25"/>
      <c r="J6840" s="25"/>
      <c r="K6840" s="25"/>
    </row>
    <row r="6841" customFormat="false" ht="15" hidden="false" customHeight="false" outlineLevel="0" collapsed="false">
      <c r="A6841" s="3" t="s">
        <v>428</v>
      </c>
      <c r="G6841" s="32" t="n">
        <f aca="false">IF(G6573&gt;0,G6796/G6573,99)</f>
        <v>10.6704570673626</v>
      </c>
      <c r="H6841" s="32" t="n">
        <f aca="false">IF(H6573&gt;0,H6796/H6573,99)</f>
        <v>11.6601471215067</v>
      </c>
      <c r="I6841" s="32" t="n">
        <f aca="false">IF(I6573&gt;0,I6796/I6573,99)</f>
        <v>11.9636535522731</v>
      </c>
      <c r="J6841" s="32" t="n">
        <f aca="false">IF(J6573&gt;0,J6796/J6573,99)</f>
        <v>12.0045871637288</v>
      </c>
      <c r="K6841" s="32" t="n">
        <f aca="false">IF(K6573&gt;0,K6796/K6573,99)</f>
        <v>12.0232607366907</v>
      </c>
    </row>
    <row r="6842" customFormat="false" ht="15" hidden="false" customHeight="false" outlineLevel="0" collapsed="false">
      <c r="A6842" s="3" t="s">
        <v>429</v>
      </c>
      <c r="G6842" s="34" t="n">
        <f aca="false">Assumptions!$G$75</f>
        <v>10.5</v>
      </c>
      <c r="H6842" s="34" t="n">
        <f aca="false">Assumptions!$H$75</f>
        <v>10.5</v>
      </c>
      <c r="I6842" s="34" t="n">
        <f aca="false">Assumptions!$I$75</f>
        <v>10</v>
      </c>
      <c r="J6842" s="34" t="n">
        <f aca="false">Assumptions!$J$75</f>
        <v>10</v>
      </c>
      <c r="K6842" s="34" t="n">
        <f aca="false">Assumptions!$K$75</f>
        <v>9.5</v>
      </c>
    </row>
    <row r="6843" customFormat="false" ht="15" hidden="false" customHeight="false" outlineLevel="0" collapsed="false">
      <c r="A6843" s="3" t="s">
        <v>430</v>
      </c>
      <c r="G6843" s="32" t="n">
        <f aca="false">G6842-G6841</f>
        <v>-0.17045706736263</v>
      </c>
      <c r="H6843" s="32" t="n">
        <f aca="false">H6842-H6841</f>
        <v>-1.16014712150674</v>
      </c>
      <c r="I6843" s="32" t="n">
        <f aca="false">I6842-I6841</f>
        <v>-1.96365355227305</v>
      </c>
      <c r="J6843" s="32" t="n">
        <f aca="false">J6842-J6841</f>
        <v>-2.00458716372878</v>
      </c>
      <c r="K6843" s="32" t="n">
        <f aca="false">K6842-K6841</f>
        <v>-2.52326073669071</v>
      </c>
    </row>
    <row r="6844" customFormat="false" ht="15" hidden="false" customHeight="false" outlineLevel="0" collapsed="false">
      <c r="A6844" s="3" t="s">
        <v>431</v>
      </c>
      <c r="G6844" s="22" t="n">
        <f aca="false">IF(G6842=0,0,G6843/ABS(G6842))</f>
        <v>-0.0162340064154886</v>
      </c>
      <c r="H6844" s="22" t="n">
        <f aca="false">IF(H6842=0,0,H6843/ABS(H6842))</f>
        <v>-0.110490202048261</v>
      </c>
      <c r="I6844" s="22" t="n">
        <f aca="false">IF(I6842=0,0,I6843/ABS(I6842))</f>
        <v>-0.196365355227305</v>
      </c>
      <c r="J6844" s="22" t="n">
        <f aca="false">IF(J6842=0,0,J6843/ABS(J6842))</f>
        <v>-0.200458716372878</v>
      </c>
      <c r="K6844" s="22" t="n">
        <f aca="false">IF(K6842=0,0,K6843/ABS(K6842))</f>
        <v>-0.265606393335864</v>
      </c>
    </row>
    <row r="6845" customFormat="false" ht="15" hidden="false" customHeight="false" outlineLevel="0" collapsed="false">
      <c r="A6845" s="3" t="s">
        <v>432</v>
      </c>
      <c r="G6845" s="21" t="n">
        <f aca="false">IF(G6843&lt;0,1,0)</f>
        <v>1</v>
      </c>
      <c r="H6845" s="21" t="n">
        <f aca="false">IF(H6843&lt;0,1,0)</f>
        <v>1</v>
      </c>
      <c r="I6845" s="21" t="n">
        <f aca="false">IF(I6843&lt;0,1,0)</f>
        <v>1</v>
      </c>
      <c r="J6845" s="21" t="n">
        <f aca="false">IF(J6843&lt;0,1,0)</f>
        <v>1</v>
      </c>
      <c r="K6845" s="21" t="n">
        <f aca="false">IF(K6843&lt;0,1,0)</f>
        <v>1</v>
      </c>
    </row>
    <row r="6846" customFormat="false" ht="15" hidden="false" customHeight="false" outlineLevel="0" collapsed="false">
      <c r="A6846" s="3" t="s">
        <v>433</v>
      </c>
      <c r="C6846" s="21" t="n">
        <f aca="false">IFERROR(INDEX($G$6563:$K$6563,MATCH(1,$G$6845:$K$6845,0)),0)</f>
        <v>2027</v>
      </c>
    </row>
    <row r="6847" customFormat="false" ht="15" hidden="false" customHeight="false" outlineLevel="0" collapsed="false">
      <c r="A6847" s="3" t="s">
        <v>434</v>
      </c>
      <c r="C6847" s="22" t="n">
        <f aca="false">MIN($G$6844:$K$6844)</f>
        <v>-0.265606393335864</v>
      </c>
    </row>
    <row r="6848" customFormat="false" ht="15" hidden="false" customHeight="false" outlineLevel="0" collapsed="false">
      <c r="A6848" s="3" t="s">
        <v>439</v>
      </c>
      <c r="G6848" s="21" t="n">
        <f aca="false">G6813+G6821+G6829+G6837+G6845</f>
        <v>3</v>
      </c>
      <c r="H6848" s="21" t="n">
        <f aca="false">H6813+H6821+H6829+H6837+H6845</f>
        <v>3</v>
      </c>
      <c r="I6848" s="21" t="n">
        <f aca="false">I6813+I6821+I6829+I6837+I6845</f>
        <v>3</v>
      </c>
      <c r="J6848" s="21" t="n">
        <f aca="false">J6813+J6821+J6829+J6837+J6845</f>
        <v>3</v>
      </c>
      <c r="K6848" s="21" t="n">
        <f aca="false">K6813+K6821+K6829+K6837+K6845</f>
        <v>3</v>
      </c>
    </row>
    <row r="6849" customFormat="false" ht="15" hidden="false" customHeight="false" outlineLevel="0" collapsed="false">
      <c r="A6849" s="3" t="s">
        <v>440</v>
      </c>
      <c r="C6849" s="21" t="n">
        <f aca="false">SUM($G$6848:$K$6848)</f>
        <v>15</v>
      </c>
    </row>
    <row r="6850" customFormat="false" ht="15" hidden="false" customHeight="false" outlineLevel="0" collapsed="false">
      <c r="A6850" s="3" t="s">
        <v>441</v>
      </c>
      <c r="C6850" s="22" t="n">
        <f aca="false">MIN(C6815,C6823,C6831,C6839,C6847)</f>
        <v>-0.265606393335864</v>
      </c>
    </row>
    <row r="6852" customFormat="false" ht="15" hidden="false" customHeight="false" outlineLevel="0" collapsed="false">
      <c r="A6852" s="24" t="s">
        <v>543</v>
      </c>
      <c r="B6852" s="25"/>
      <c r="C6852" s="25"/>
      <c r="D6852" s="25"/>
      <c r="E6852" s="25"/>
      <c r="F6852" s="25"/>
      <c r="G6852" s="25"/>
      <c r="H6852" s="25"/>
      <c r="I6852" s="25"/>
      <c r="J6852" s="25"/>
      <c r="K6852" s="25"/>
    </row>
    <row r="6853" customFormat="false" ht="15" hidden="false" customHeight="false" outlineLevel="0" collapsed="false">
      <c r="A6853" s="3" t="s">
        <v>544</v>
      </c>
      <c r="G6853" s="21" t="n">
        <f aca="false">IF($C$6854=1,G6790,IF(G6573=MIN($G$6573:$K$6573),1,0))</f>
        <v>0</v>
      </c>
      <c r="H6853" s="21" t="n">
        <f aca="false">IF($C$6854=1,H6790,IF(AND(H6573=MIN($G$6573:$K$6573),SUM($G$6853:G6853)=0),1,0))</f>
        <v>1</v>
      </c>
      <c r="I6853" s="21" t="n">
        <f aca="false">IF($C$6854=1,I6790,IF(AND(I6573=MIN($G$6573:$K$6573),SUM($G$6853:H6853)=0),1,0))</f>
        <v>0</v>
      </c>
      <c r="J6853" s="21" t="n">
        <f aca="false">IF($C$6854=1,J6790,IF(AND(J6573=MIN($G$6573:$K$6573),SUM($G$6853:I6853)=0),1,0))</f>
        <v>0</v>
      </c>
      <c r="K6853" s="21" t="n">
        <f aca="false">IF($C$6854=1,K6790,IF(AND(K6573=MIN($G$6573:$K$6573),SUM($G$6853:J6853)=0),1,0))</f>
        <v>0</v>
      </c>
    </row>
    <row r="6854" customFormat="false" ht="15" hidden="false" customHeight="false" outlineLevel="0" collapsed="false">
      <c r="A6854" s="3" t="s">
        <v>545</v>
      </c>
      <c r="C6854" s="21" t="n">
        <f aca="false">IF(SUM($G$6790:$K$6790)&gt;0,1,0)</f>
        <v>1</v>
      </c>
    </row>
    <row r="6855" customFormat="false" ht="15" hidden="false" customHeight="false" outlineLevel="0" collapsed="false">
      <c r="A6855" s="3" t="s">
        <v>546</v>
      </c>
      <c r="C6855" s="21" t="n">
        <f aca="false">SUMPRODUCT($G$6853:$K$6853,$G$6563:$K$6563)</f>
        <v>2028</v>
      </c>
    </row>
    <row r="6856" customFormat="false" ht="15" hidden="false" customHeight="false" outlineLevel="0" collapsed="false">
      <c r="A6856" s="3" t="s">
        <v>547</v>
      </c>
      <c r="C6856" s="16" t="n">
        <f aca="false">SUMPRODUCT($G$6853:$K$6853,$G$6573:$K$6573)</f>
        <v>220.355740893</v>
      </c>
    </row>
    <row r="6857" customFormat="false" ht="15" hidden="false" customHeight="false" outlineLevel="0" collapsed="false">
      <c r="A6857" s="3" t="s">
        <v>548</v>
      </c>
      <c r="C6857" s="16" t="n">
        <f aca="false">MAX(0,SUMPRODUCT($G$6853:$K$6853,$G$6787:$K$6787))</f>
        <v>0</v>
      </c>
    </row>
    <row r="6858" customFormat="false" ht="15" hidden="false" customHeight="false" outlineLevel="0" collapsed="false">
      <c r="A6858" s="3" t="s">
        <v>549</v>
      </c>
      <c r="C6858" s="16" t="n">
        <f aca="false">(CHOOSE($C$6556,Assumptions!$C$92,Assumptions!$C$111,Assumptions!$C$130)+$C$6560)*C6856</f>
        <v>1983.201668037</v>
      </c>
    </row>
    <row r="6859" customFormat="false" ht="15" hidden="false" customHeight="false" outlineLevel="0" collapsed="false">
      <c r="A6859" s="3" t="s">
        <v>550</v>
      </c>
      <c r="C6859" s="16" t="n">
        <f aca="false">Assumptions!$C$31*(1-CHOOSE($C$6556,Assumptions!$C$93,Assumptions!$C$112,Assumptions!$C$131))*CHOOSE($C$6556,Assumptions!$C$94,Assumptions!$C$113,Assumptions!$C$132)</f>
        <v>3264.03873166667</v>
      </c>
    </row>
    <row r="6860" customFormat="false" ht="15" hidden="false" customHeight="false" outlineLevel="0" collapsed="false">
      <c r="A6860" s="3" t="s">
        <v>551</v>
      </c>
      <c r="C6860" s="16" t="n">
        <f aca="false">MAX(C6858,C6859)+C6857</f>
        <v>3264.03873166667</v>
      </c>
    </row>
    <row r="6861" customFormat="false" ht="15" hidden="false" customHeight="false" outlineLevel="0" collapsed="false">
      <c r="A6861" s="2" t="s">
        <v>552</v>
      </c>
      <c r="C6861" s="17" t="n">
        <f aca="false">IF(ISNUMBER(Assumptions!$C$14),Assumptions!$C$14,C6860)</f>
        <v>3264.03873166667</v>
      </c>
    </row>
    <row r="6862" customFormat="false" ht="15" hidden="false" customHeight="false" outlineLevel="0" collapsed="false">
      <c r="A6862" s="3" t="s">
        <v>553</v>
      </c>
      <c r="C6862" s="16" t="n">
        <f aca="false">C6861*Assumptions!$C$15</f>
        <v>130.561549266667</v>
      </c>
    </row>
    <row r="6863" customFormat="false" ht="15" hidden="false" customHeight="false" outlineLevel="0" collapsed="false">
      <c r="A6863" s="2" t="s">
        <v>554</v>
      </c>
      <c r="C6863" s="17" t="n">
        <f aca="false">C6861-C6862</f>
        <v>3133.4771824</v>
      </c>
    </row>
    <row r="6864" customFormat="false" ht="15" hidden="false" customHeight="false" outlineLevel="0" collapsed="false">
      <c r="A6864" s="24" t="s">
        <v>555</v>
      </c>
      <c r="B6864" s="25"/>
      <c r="C6864" s="25"/>
      <c r="D6864" s="25"/>
      <c r="E6864" s="25"/>
      <c r="F6864" s="25"/>
      <c r="G6864" s="25"/>
      <c r="H6864" s="25"/>
      <c r="I6864" s="25"/>
      <c r="J6864" s="25"/>
      <c r="K6864" s="25"/>
    </row>
    <row r="6865" customFormat="false" ht="15" hidden="false" customHeight="false" outlineLevel="0" collapsed="false">
      <c r="A6865" s="3" t="s">
        <v>556</v>
      </c>
      <c r="C6865" s="16" t="n">
        <f aca="false">SUMPRODUCT($G$6853:$K$6853,$G$6610:$K$6610)*(1+SUMPRODUCT($G$6853:$K$6853,$G$6602:$K$6602)*Assumptions!$C$16/12)</f>
        <v>402.29</v>
      </c>
    </row>
    <row r="6866" customFormat="false" ht="15" hidden="false" customHeight="false" outlineLevel="0" collapsed="false">
      <c r="A6866" s="3" t="s">
        <v>557</v>
      </c>
      <c r="C6866" s="16" t="n">
        <f aca="false">SUMPRODUCT($G$6853:$K$6853,$G$6623:$K$6623)*(1+SUMPRODUCT($G$6853:$K$6853,$G$6615:$K$6615)*Assumptions!$C$16/12)</f>
        <v>91.30725</v>
      </c>
    </row>
    <row r="6867" customFormat="false" ht="15" hidden="false" customHeight="false" outlineLevel="0" collapsed="false">
      <c r="A6867" s="3" t="s">
        <v>558</v>
      </c>
      <c r="C6867" s="16" t="n">
        <f aca="false">SUMPRODUCT($G$6853:$K$6853,$G$6636:$K$6636)*(1+SUMPRODUCT($G$6853:$K$6853,$G$6628:$K$6628)*Assumptions!$C$16/12)</f>
        <v>58.3715961</v>
      </c>
    </row>
    <row r="6868" customFormat="false" ht="15" hidden="false" customHeight="false" outlineLevel="0" collapsed="false">
      <c r="A6868" s="3" t="s">
        <v>559</v>
      </c>
      <c r="C6868" s="16" t="n">
        <f aca="false">SUMPRODUCT($G$6853:$K$6853,$G$6649:$K$6649)*(1+SUMPRODUCT($G$6853:$K$6853,$G$6641:$K$6641)*Assumptions!$C$16/12)</f>
        <v>0</v>
      </c>
    </row>
    <row r="6869" customFormat="false" ht="15" hidden="false" customHeight="false" outlineLevel="0" collapsed="false">
      <c r="A6869" s="3" t="s">
        <v>560</v>
      </c>
      <c r="C6869" s="16" t="n">
        <f aca="false">SUMPRODUCT($G$6853:$K$6853,$G$6662:$K$6662)*(1+SUMPRODUCT($G$6853:$K$6853,$G$6654:$K$6654)*Assumptions!$C$16/12)</f>
        <v>405.410640665075</v>
      </c>
    </row>
    <row r="6870" customFormat="false" ht="15" hidden="false" customHeight="false" outlineLevel="0" collapsed="false">
      <c r="A6870" s="3" t="s">
        <v>561</v>
      </c>
      <c r="C6870" s="16" t="n">
        <f aca="false">SUMPRODUCT($G$6853:$K$6853,$G$6675:$K$6675)*(1+SUMPRODUCT($G$6853:$K$6853,$G$6667:$K$6667)*Assumptions!$C$16/12)</f>
        <v>357.2625</v>
      </c>
    </row>
    <row r="6871" customFormat="false" ht="15" hidden="false" customHeight="false" outlineLevel="0" collapsed="false">
      <c r="A6871" s="3" t="s">
        <v>562</v>
      </c>
      <c r="C6871" s="16" t="n">
        <f aca="false">SUMPRODUCT($G$6853:$K$6853,$G$6688:$K$6688)*(1+SUMPRODUCT($G$6853:$K$6853,$G$6680:$K$6680)*Assumptions!$C$16/12)</f>
        <v>562.203125</v>
      </c>
    </row>
    <row r="6872" customFormat="false" ht="15" hidden="false" customHeight="false" outlineLevel="0" collapsed="false">
      <c r="A6872" s="3" t="s">
        <v>563</v>
      </c>
      <c r="C6872" s="16" t="n">
        <f aca="false">SUMPRODUCT($G$6853:$K$6853,$G$6701:$K$6701)*(1+SUMPRODUCT($G$6853:$K$6853,$G$6693:$K$6693)*Assumptions!$C$16/12)</f>
        <v>353.98125</v>
      </c>
    </row>
    <row r="6873" customFormat="false" ht="15" hidden="false" customHeight="false" outlineLevel="0" collapsed="false">
      <c r="A6873" s="3" t="s">
        <v>564</v>
      </c>
      <c r="C6873" s="16" t="n">
        <f aca="false">SUMPRODUCT($G$6853:$K$6853,$G$6714:$K$6714)*(1+SUMPRODUCT($G$6853:$K$6853,$G$6706:$K$6706)*Assumptions!$C$16/12)</f>
        <v>304.59375</v>
      </c>
    </row>
    <row r="6874" customFormat="false" ht="15" hidden="false" customHeight="false" outlineLevel="0" collapsed="false">
      <c r="A6874" s="3" t="s">
        <v>565</v>
      </c>
      <c r="C6874" s="16" t="n">
        <f aca="false">SUMPRODUCT($G$6853:$K$6853,$G$6727:$K$6727)*(1+SUMPRODUCT($G$6853:$K$6853,$G$6719:$K$6719)*Assumptions!$C$16/12)</f>
        <v>79.938509</v>
      </c>
    </row>
    <row r="6875" customFormat="false" ht="15" hidden="false" customHeight="false" outlineLevel="0" collapsed="false">
      <c r="A6875" s="24" t="s">
        <v>566</v>
      </c>
      <c r="B6875" s="25"/>
      <c r="C6875" s="25"/>
      <c r="D6875" s="25"/>
      <c r="E6875" s="25"/>
      <c r="F6875" s="25"/>
      <c r="G6875" s="25"/>
      <c r="H6875" s="25"/>
      <c r="I6875" s="25"/>
      <c r="J6875" s="25"/>
      <c r="K6875" s="25"/>
    </row>
    <row r="6876" customFormat="false" ht="15" hidden="false" customHeight="false" outlineLevel="0" collapsed="false">
      <c r="A6876" s="3" t="s">
        <v>556</v>
      </c>
      <c r="C6876" s="27" t="n">
        <f aca="false">Assumptions!$M$57</f>
        <v>1</v>
      </c>
    </row>
    <row r="6877" customFormat="false" ht="15" hidden="false" customHeight="false" outlineLevel="0" collapsed="false">
      <c r="A6877" s="3" t="s">
        <v>557</v>
      </c>
      <c r="C6877" s="27" t="n">
        <f aca="false">Assumptions!$M$58</f>
        <v>1</v>
      </c>
    </row>
    <row r="6878" customFormat="false" ht="15" hidden="false" customHeight="false" outlineLevel="0" collapsed="false">
      <c r="A6878" s="3" t="s">
        <v>558</v>
      </c>
      <c r="C6878" s="27" t="n">
        <f aca="false">Assumptions!$M$59</f>
        <v>1</v>
      </c>
    </row>
    <row r="6879" customFormat="false" ht="15" hidden="false" customHeight="false" outlineLevel="0" collapsed="false">
      <c r="A6879" s="3" t="s">
        <v>559</v>
      </c>
      <c r="C6879" s="27" t="n">
        <f aca="false">Assumptions!$M$60</f>
        <v>2</v>
      </c>
    </row>
    <row r="6880" customFormat="false" ht="15" hidden="false" customHeight="false" outlineLevel="0" collapsed="false">
      <c r="A6880" s="3" t="s">
        <v>560</v>
      </c>
      <c r="C6880" s="27" t="n">
        <f aca="false">Assumptions!$M$61</f>
        <v>2</v>
      </c>
    </row>
    <row r="6881" customFormat="false" ht="15" hidden="false" customHeight="false" outlineLevel="0" collapsed="false">
      <c r="A6881" s="3" t="s">
        <v>561</v>
      </c>
      <c r="C6881" s="27" t="n">
        <f aca="false">Assumptions!$M$62</f>
        <v>2</v>
      </c>
    </row>
    <row r="6882" customFormat="false" ht="15" hidden="false" customHeight="false" outlineLevel="0" collapsed="false">
      <c r="A6882" s="3" t="s">
        <v>562</v>
      </c>
      <c r="C6882" s="27" t="n">
        <f aca="false">Assumptions!$M$63</f>
        <v>2</v>
      </c>
    </row>
    <row r="6883" customFormat="false" ht="15" hidden="false" customHeight="false" outlineLevel="0" collapsed="false">
      <c r="A6883" s="3" t="s">
        <v>563</v>
      </c>
      <c r="C6883" s="27" t="n">
        <f aca="false">Assumptions!$M$64</f>
        <v>2</v>
      </c>
    </row>
    <row r="6884" customFormat="false" ht="15" hidden="false" customHeight="false" outlineLevel="0" collapsed="false">
      <c r="A6884" s="3" t="s">
        <v>564</v>
      </c>
      <c r="C6884" s="27" t="n">
        <f aca="false">Assumptions!$M$65</f>
        <v>2</v>
      </c>
    </row>
    <row r="6885" customFormat="false" ht="15" hidden="false" customHeight="false" outlineLevel="0" collapsed="false">
      <c r="A6885" s="3" t="s">
        <v>565</v>
      </c>
      <c r="C6885" s="27" t="n">
        <f aca="false">Assumptions!$M$66</f>
        <v>3</v>
      </c>
    </row>
    <row r="6886" customFormat="false" ht="15" hidden="false" customHeight="false" outlineLevel="0" collapsed="false">
      <c r="A6886" s="24" t="s">
        <v>567</v>
      </c>
      <c r="B6886" s="25"/>
      <c r="C6886" s="25"/>
      <c r="D6886" s="25"/>
      <c r="E6886" s="25"/>
      <c r="F6886" s="25"/>
      <c r="G6886" s="25"/>
      <c r="H6886" s="25"/>
      <c r="I6886" s="25"/>
      <c r="J6886" s="25"/>
      <c r="K6886" s="25"/>
    </row>
    <row r="6887" customFormat="false" ht="15" hidden="false" customHeight="false" outlineLevel="0" collapsed="false">
      <c r="A6887" s="3" t="s">
        <v>556</v>
      </c>
      <c r="C6887" s="33" t="n">
        <f aca="false">Assumptions!$Q$57</f>
        <v>0.3</v>
      </c>
    </row>
    <row r="6888" customFormat="false" ht="15" hidden="false" customHeight="false" outlineLevel="0" collapsed="false">
      <c r="A6888" s="3" t="s">
        <v>557</v>
      </c>
      <c r="C6888" s="33" t="n">
        <f aca="false">Assumptions!$Q$58</f>
        <v>0.033</v>
      </c>
    </row>
    <row r="6889" customFormat="false" ht="15" hidden="false" customHeight="false" outlineLevel="0" collapsed="false">
      <c r="A6889" s="3" t="s">
        <v>558</v>
      </c>
      <c r="C6889" s="33" t="n">
        <f aca="false">Assumptions!$Q$59</f>
        <v>0.021</v>
      </c>
    </row>
    <row r="6890" customFormat="false" ht="15" hidden="false" customHeight="false" outlineLevel="0" collapsed="false">
      <c r="A6890" s="3" t="s">
        <v>559</v>
      </c>
      <c r="C6890" s="33" t="n">
        <f aca="false">Assumptions!$Q$60</f>
        <v>0</v>
      </c>
    </row>
    <row r="6891" customFormat="false" ht="15" hidden="false" customHeight="false" outlineLevel="0" collapsed="false">
      <c r="A6891" s="3" t="s">
        <v>560</v>
      </c>
      <c r="C6891" s="33" t="n">
        <f aca="false">Assumptions!$Q$61</f>
        <v>0</v>
      </c>
    </row>
    <row r="6892" customFormat="false" ht="15" hidden="false" customHeight="false" outlineLevel="0" collapsed="false">
      <c r="A6892" s="3" t="s">
        <v>561</v>
      </c>
      <c r="C6892" s="33" t="n">
        <f aca="false">Assumptions!$Q$62</f>
        <v>0</v>
      </c>
    </row>
    <row r="6893" customFormat="false" ht="15" hidden="false" customHeight="false" outlineLevel="0" collapsed="false">
      <c r="A6893" s="3" t="s">
        <v>562</v>
      </c>
      <c r="C6893" s="33" t="n">
        <f aca="false">Assumptions!$Q$63</f>
        <v>0</v>
      </c>
    </row>
    <row r="6894" customFormat="false" ht="15" hidden="false" customHeight="false" outlineLevel="0" collapsed="false">
      <c r="A6894" s="3" t="s">
        <v>563</v>
      </c>
      <c r="C6894" s="33" t="n">
        <f aca="false">Assumptions!$Q$64</f>
        <v>0</v>
      </c>
    </row>
    <row r="6895" customFormat="false" ht="15" hidden="false" customHeight="false" outlineLevel="0" collapsed="false">
      <c r="A6895" s="3" t="s">
        <v>564</v>
      </c>
      <c r="C6895" s="33" t="n">
        <f aca="false">Assumptions!$Q$65</f>
        <v>0</v>
      </c>
    </row>
    <row r="6896" customFormat="false" ht="15" hidden="false" customHeight="false" outlineLevel="0" collapsed="false">
      <c r="A6896" s="3" t="s">
        <v>565</v>
      </c>
      <c r="C6896" s="33" t="n">
        <f aca="false">Assumptions!$Q$66</f>
        <v>0</v>
      </c>
    </row>
    <row r="6897" customFormat="false" ht="15" hidden="false" customHeight="false" outlineLevel="0" collapsed="false">
      <c r="A6897" s="24" t="s">
        <v>568</v>
      </c>
      <c r="B6897" s="25"/>
      <c r="C6897" s="25"/>
      <c r="D6897" s="25"/>
      <c r="E6897" s="25"/>
      <c r="F6897" s="25"/>
      <c r="G6897" s="25"/>
      <c r="H6897" s="25"/>
      <c r="I6897" s="25"/>
      <c r="J6897" s="25"/>
      <c r="K6897" s="25"/>
    </row>
    <row r="6898" customFormat="false" ht="15" hidden="false" customHeight="false" outlineLevel="0" collapsed="false">
      <c r="A6898" s="3" t="s">
        <v>556</v>
      </c>
      <c r="C6898" s="16" t="n">
        <f aca="false">IF(C6887&gt;0,MIN(C6865,C6887*$C$6863),0)</f>
        <v>402.29</v>
      </c>
    </row>
    <row r="6899" customFormat="false" ht="15" hidden="false" customHeight="false" outlineLevel="0" collapsed="false">
      <c r="A6899" s="3" t="s">
        <v>557</v>
      </c>
      <c r="C6899" s="16" t="n">
        <f aca="false">IF(C6888&gt;0,MIN(C6866,C6888*$C$6863),0)</f>
        <v>91.30725</v>
      </c>
    </row>
    <row r="6900" customFormat="false" ht="15" hidden="false" customHeight="false" outlineLevel="0" collapsed="false">
      <c r="A6900" s="3" t="s">
        <v>558</v>
      </c>
      <c r="C6900" s="16" t="n">
        <f aca="false">IF(C6889&gt;0,MIN(C6867,C6889*$C$6863),0)</f>
        <v>58.3715961</v>
      </c>
    </row>
    <row r="6901" customFormat="false" ht="15" hidden="false" customHeight="false" outlineLevel="0" collapsed="false">
      <c r="A6901" s="3" t="s">
        <v>559</v>
      </c>
      <c r="C6901" s="16" t="n">
        <f aca="false">IF(C6890&gt;0,MIN(C6868,C6890*$C$6863),0)</f>
        <v>0</v>
      </c>
    </row>
    <row r="6902" customFormat="false" ht="15" hidden="false" customHeight="false" outlineLevel="0" collapsed="false">
      <c r="A6902" s="3" t="s">
        <v>560</v>
      </c>
      <c r="C6902" s="16" t="n">
        <f aca="false">IF(C6891&gt;0,MIN(C6869,C6891*$C$6863),0)</f>
        <v>0</v>
      </c>
    </row>
    <row r="6903" customFormat="false" ht="15" hidden="false" customHeight="false" outlineLevel="0" collapsed="false">
      <c r="A6903" s="3" t="s">
        <v>561</v>
      </c>
      <c r="C6903" s="16" t="n">
        <f aca="false">IF(C6892&gt;0,MIN(C6870,C6892*$C$6863),0)</f>
        <v>0</v>
      </c>
    </row>
    <row r="6904" customFormat="false" ht="15" hidden="false" customHeight="false" outlineLevel="0" collapsed="false">
      <c r="A6904" s="3" t="s">
        <v>562</v>
      </c>
      <c r="C6904" s="16" t="n">
        <f aca="false">IF(C6893&gt;0,MIN(C6871,C6893*$C$6863),0)</f>
        <v>0</v>
      </c>
    </row>
    <row r="6905" customFormat="false" ht="15" hidden="false" customHeight="false" outlineLevel="0" collapsed="false">
      <c r="A6905" s="3" t="s">
        <v>563</v>
      </c>
      <c r="C6905" s="16" t="n">
        <f aca="false">IF(C6894&gt;0,MIN(C6872,C6894*$C$6863),0)</f>
        <v>0</v>
      </c>
    </row>
    <row r="6906" customFormat="false" ht="15" hidden="false" customHeight="false" outlineLevel="0" collapsed="false">
      <c r="A6906" s="3" t="s">
        <v>564</v>
      </c>
      <c r="C6906" s="16" t="n">
        <f aca="false">IF(C6895&gt;0,MIN(C6873,C6895*$C$6863),0)</f>
        <v>0</v>
      </c>
    </row>
    <row r="6907" customFormat="false" ht="15" hidden="false" customHeight="false" outlineLevel="0" collapsed="false">
      <c r="A6907" s="3" t="s">
        <v>565</v>
      </c>
      <c r="C6907" s="16" t="n">
        <f aca="false">IF(C6896&gt;0,MIN(C6874,C6896*$C$6863),0)</f>
        <v>0</v>
      </c>
    </row>
    <row r="6908" customFormat="false" ht="15" hidden="false" customHeight="false" outlineLevel="0" collapsed="false">
      <c r="A6908" s="24" t="s">
        <v>569</v>
      </c>
      <c r="B6908" s="25"/>
      <c r="C6908" s="25"/>
      <c r="D6908" s="25"/>
      <c r="E6908" s="25"/>
      <c r="F6908" s="25"/>
      <c r="G6908" s="25"/>
      <c r="H6908" s="25"/>
      <c r="I6908" s="25"/>
      <c r="J6908" s="25"/>
      <c r="K6908" s="25"/>
    </row>
    <row r="6909" customFormat="false" ht="15" hidden="false" customHeight="false" outlineLevel="0" collapsed="false">
      <c r="A6909" s="3" t="s">
        <v>556</v>
      </c>
      <c r="C6909" s="16" t="n">
        <f aca="false">IF(C6887&gt;0,C6865-C6898,0)</f>
        <v>0</v>
      </c>
      <c r="G6909" s="21" t="n">
        <f aca="false">IF(AND(G6600=1,G6597=1),1,0)</f>
        <v>0</v>
      </c>
      <c r="H6909" s="21" t="n">
        <f aca="false">IF(G6909=1,1,IF(AND(H6600=1,H6597=1),1,0))</f>
        <v>0</v>
      </c>
      <c r="I6909" s="21" t="n">
        <f aca="false">IF(H6909=1,1,IF(AND(I6600=1,I6597=1),1,0))</f>
        <v>0</v>
      </c>
      <c r="J6909" s="21" t="n">
        <f aca="false">IF(I6909=1,1,IF(AND(J6600=1,J6597=1),1,0))</f>
        <v>0</v>
      </c>
      <c r="K6909" s="21" t="n">
        <f aca="false">IF(J6909=1,1,IF(AND(K6600=1,K6597=1),1,0))</f>
        <v>0</v>
      </c>
    </row>
    <row r="6910" customFormat="false" ht="15" hidden="false" customHeight="false" outlineLevel="0" collapsed="false">
      <c r="A6910" s="3" t="s">
        <v>557</v>
      </c>
      <c r="C6910" s="16" t="n">
        <f aca="false">IF(C6888&gt;0,C6866-C6899,0)</f>
        <v>0</v>
      </c>
      <c r="G6910" s="21" t="n">
        <f aca="false">IF(AND(G6613=1,G6597=1),1,0)</f>
        <v>0</v>
      </c>
      <c r="H6910" s="21" t="n">
        <f aca="false">IF(G6910=1,1,IF(AND(H6613=1,H6597=1),1,0))</f>
        <v>0</v>
      </c>
      <c r="I6910" s="21" t="n">
        <f aca="false">IF(H6910=1,1,IF(AND(I6613=1,I6597=1),1,0))</f>
        <v>0</v>
      </c>
      <c r="J6910" s="21" t="n">
        <f aca="false">IF(I6910=1,1,IF(AND(J6613=1,J6597=1),1,0))</f>
        <v>0</v>
      </c>
      <c r="K6910" s="21" t="n">
        <f aca="false">IF(J6910=1,1,IF(AND(K6613=1,K6597=1),1,0))</f>
        <v>0</v>
      </c>
    </row>
    <row r="6911" customFormat="false" ht="15" hidden="false" customHeight="false" outlineLevel="0" collapsed="false">
      <c r="A6911" s="3" t="s">
        <v>558</v>
      </c>
      <c r="C6911" s="16" t="n">
        <f aca="false">IF(C6889&gt;0,C6867-C6900,0)</f>
        <v>0</v>
      </c>
      <c r="G6911" s="21" t="n">
        <f aca="false">IF(AND(G6626=1,G6597=1),1,0)</f>
        <v>0</v>
      </c>
      <c r="H6911" s="21" t="n">
        <f aca="false">IF(G6911=1,1,IF(AND(H6626=1,H6597=1),1,0))</f>
        <v>0</v>
      </c>
      <c r="I6911" s="21" t="n">
        <f aca="false">IF(H6911=1,1,IF(AND(I6626=1,I6597=1),1,0))</f>
        <v>0</v>
      </c>
      <c r="J6911" s="21" t="n">
        <f aca="false">IF(I6911=1,1,IF(AND(J6626=1,J6597=1),1,0))</f>
        <v>0</v>
      </c>
      <c r="K6911" s="21" t="n">
        <f aca="false">IF(J6911=1,1,IF(AND(K6626=1,K6597=1),1,0))</f>
        <v>0</v>
      </c>
    </row>
    <row r="6912" customFormat="false" ht="15" hidden="false" customHeight="false" outlineLevel="0" collapsed="false">
      <c r="A6912" s="3" t="s">
        <v>559</v>
      </c>
      <c r="C6912" s="16" t="n">
        <f aca="false">IF(C6890&gt;0,C6868-C6901,0)</f>
        <v>0</v>
      </c>
      <c r="G6912" s="21" t="n">
        <f aca="false">IF(AND(G6639=1,G6597=1),1,0)</f>
        <v>0</v>
      </c>
      <c r="H6912" s="21" t="n">
        <f aca="false">IF(G6912=1,1,IF(AND(H6639=1,H6597=1),1,0))</f>
        <v>0</v>
      </c>
      <c r="I6912" s="21" t="n">
        <f aca="false">IF(H6912=1,1,IF(AND(I6639=1,I6597=1),1,0))</f>
        <v>0</v>
      </c>
      <c r="J6912" s="21" t="n">
        <f aca="false">IF(I6912=1,1,IF(AND(J6639=1,J6597=1),1,0))</f>
        <v>0</v>
      </c>
      <c r="K6912" s="21" t="n">
        <f aca="false">IF(J6912=1,1,IF(AND(K6639=1,K6597=1),1,0))</f>
        <v>0</v>
      </c>
    </row>
    <row r="6913" customFormat="false" ht="15" hidden="false" customHeight="false" outlineLevel="0" collapsed="false">
      <c r="A6913" s="3" t="s">
        <v>560</v>
      </c>
      <c r="C6913" s="16" t="n">
        <f aca="false">IF(C6891&gt;0,C6869-C6902,0)</f>
        <v>0</v>
      </c>
      <c r="G6913" s="21" t="n">
        <f aca="false">IF(AND(G6652=1,G6597=1),1,0)</f>
        <v>0</v>
      </c>
      <c r="H6913" s="21" t="n">
        <f aca="false">IF(G6913=1,1,IF(AND(H6652=1,H6597=1),1,0))</f>
        <v>0</v>
      </c>
      <c r="I6913" s="21" t="n">
        <f aca="false">IF(H6913=1,1,IF(AND(I6652=1,I6597=1),1,0))</f>
        <v>0</v>
      </c>
      <c r="J6913" s="21" t="n">
        <f aca="false">IF(I6913=1,1,IF(AND(J6652=1,J6597=1),1,0))</f>
        <v>0</v>
      </c>
      <c r="K6913" s="21" t="n">
        <f aca="false">IF(J6913=1,1,IF(AND(K6652=1,K6597=1),1,0))</f>
        <v>0</v>
      </c>
    </row>
    <row r="6914" customFormat="false" ht="15" hidden="false" customHeight="false" outlineLevel="0" collapsed="false">
      <c r="A6914" s="3" t="s">
        <v>561</v>
      </c>
      <c r="C6914" s="16" t="n">
        <f aca="false">IF(C6892&gt;0,C6870-C6903,0)</f>
        <v>0</v>
      </c>
      <c r="G6914" s="21" t="n">
        <f aca="false">IF(AND(G6665=1,G6597=1),1,0)</f>
        <v>0</v>
      </c>
      <c r="H6914" s="21" t="n">
        <f aca="false">IF(G6914=1,1,IF(AND(H6665=1,H6597=1),1,0))</f>
        <v>0</v>
      </c>
      <c r="I6914" s="21" t="n">
        <f aca="false">IF(H6914=1,1,IF(AND(I6665=1,I6597=1),1,0))</f>
        <v>0</v>
      </c>
      <c r="J6914" s="21" t="n">
        <f aca="false">IF(I6914=1,1,IF(AND(J6665=1,J6597=1),1,0))</f>
        <v>0</v>
      </c>
      <c r="K6914" s="21" t="n">
        <f aca="false">IF(J6914=1,1,IF(AND(K6665=1,K6597=1),1,0))</f>
        <v>0</v>
      </c>
    </row>
    <row r="6915" customFormat="false" ht="15" hidden="false" customHeight="false" outlineLevel="0" collapsed="false">
      <c r="A6915" s="3" t="s">
        <v>562</v>
      </c>
      <c r="C6915" s="16" t="n">
        <f aca="false">IF(C6893&gt;0,C6871-C6904,0)</f>
        <v>0</v>
      </c>
      <c r="G6915" s="21" t="n">
        <f aca="false">IF(AND(G6678=1,G6597=1),1,0)</f>
        <v>0</v>
      </c>
      <c r="H6915" s="21" t="n">
        <f aca="false">IF(G6915=1,1,IF(AND(H6678=1,H6597=1),1,0))</f>
        <v>0</v>
      </c>
      <c r="I6915" s="21" t="n">
        <f aca="false">IF(H6915=1,1,IF(AND(I6678=1,I6597=1),1,0))</f>
        <v>0</v>
      </c>
      <c r="J6915" s="21" t="n">
        <f aca="false">IF(I6915=1,1,IF(AND(J6678=1,J6597=1),1,0))</f>
        <v>0</v>
      </c>
      <c r="K6915" s="21" t="n">
        <f aca="false">IF(J6915=1,1,IF(AND(K6678=1,K6597=1),1,0))</f>
        <v>0</v>
      </c>
    </row>
    <row r="6916" customFormat="false" ht="15" hidden="false" customHeight="false" outlineLevel="0" collapsed="false">
      <c r="A6916" s="3" t="s">
        <v>563</v>
      </c>
      <c r="C6916" s="16" t="n">
        <f aca="false">IF(C6894&gt;0,C6872-C6905,0)</f>
        <v>0</v>
      </c>
      <c r="G6916" s="21" t="n">
        <f aca="false">IF(AND(G6691=1,G6597=1),1,0)</f>
        <v>0</v>
      </c>
      <c r="H6916" s="21" t="n">
        <f aca="false">IF(G6916=1,1,IF(AND(H6691=1,H6597=1),1,0))</f>
        <v>0</v>
      </c>
      <c r="I6916" s="21" t="n">
        <f aca="false">IF(H6916=1,1,IF(AND(I6691=1,I6597=1),1,0))</f>
        <v>0</v>
      </c>
      <c r="J6916" s="21" t="n">
        <f aca="false">IF(I6916=1,1,IF(AND(J6691=1,J6597=1),1,0))</f>
        <v>0</v>
      </c>
      <c r="K6916" s="21" t="n">
        <f aca="false">IF(J6916=1,1,IF(AND(K6691=1,K6597=1),1,0))</f>
        <v>0</v>
      </c>
    </row>
    <row r="6917" customFormat="false" ht="15" hidden="false" customHeight="false" outlineLevel="0" collapsed="false">
      <c r="A6917" s="3" t="s">
        <v>564</v>
      </c>
      <c r="C6917" s="16" t="n">
        <f aca="false">IF(C6895&gt;0,C6873-C6906,0)</f>
        <v>0</v>
      </c>
      <c r="G6917" s="21" t="n">
        <f aca="false">IF(AND(G6704=1,G6597=1),1,0)</f>
        <v>0</v>
      </c>
      <c r="H6917" s="21" t="n">
        <f aca="false">IF(G6917=1,1,IF(AND(H6704=1,H6597=1),1,0))</f>
        <v>0</v>
      </c>
      <c r="I6917" s="21" t="n">
        <f aca="false">IF(H6917=1,1,IF(AND(I6704=1,I6597=1),1,0))</f>
        <v>0</v>
      </c>
      <c r="J6917" s="21" t="n">
        <f aca="false">IF(I6917=1,1,IF(AND(J6704=1,J6597=1),1,0))</f>
        <v>0</v>
      </c>
      <c r="K6917" s="21" t="n">
        <f aca="false">IF(J6917=1,1,IF(AND(K6704=1,K6597=1),1,0))</f>
        <v>0</v>
      </c>
    </row>
    <row r="6918" customFormat="false" ht="15" hidden="false" customHeight="false" outlineLevel="0" collapsed="false">
      <c r="A6918" s="3" t="s">
        <v>565</v>
      </c>
      <c r="C6918" s="16" t="n">
        <f aca="false">IF(C6896&gt;0,C6874-C6907,0)</f>
        <v>0</v>
      </c>
      <c r="G6918" s="21" t="n">
        <f aca="false">IF(AND(G6717=1,G6597=1),1,0)</f>
        <v>0</v>
      </c>
      <c r="H6918" s="21" t="n">
        <f aca="false">IF(G6918=1,1,IF(AND(H6717=1,H6597=1),1,0))</f>
        <v>0</v>
      </c>
      <c r="I6918" s="21" t="n">
        <f aca="false">IF(H6918=1,1,IF(AND(I6717=1,I6597=1),1,0))</f>
        <v>0</v>
      </c>
      <c r="J6918" s="21" t="n">
        <f aca="false">IF(I6918=1,1,IF(AND(J6717=1,J6597=1),1,0))</f>
        <v>0</v>
      </c>
      <c r="K6918" s="21" t="n">
        <f aca="false">IF(J6918=1,1,IF(AND(K6717=1,K6597=1),1,0))</f>
        <v>0</v>
      </c>
    </row>
    <row r="6919" customFormat="false" ht="15" hidden="false" customHeight="false" outlineLevel="0" collapsed="false">
      <c r="A6919" s="24" t="s">
        <v>570</v>
      </c>
      <c r="B6919" s="25"/>
      <c r="C6919" s="25"/>
      <c r="D6919" s="25"/>
      <c r="E6919" s="25"/>
      <c r="F6919" s="25"/>
      <c r="G6919" s="25"/>
      <c r="H6919" s="25"/>
      <c r="I6919" s="25"/>
      <c r="J6919" s="25"/>
      <c r="K6919" s="25"/>
    </row>
    <row r="6920" customFormat="false" ht="15" hidden="false" customHeight="false" outlineLevel="0" collapsed="false">
      <c r="A6920" s="3" t="s">
        <v>556</v>
      </c>
      <c r="C6920" s="16" t="n">
        <f aca="false">IF(C6887&gt;0,C6909,C6865)</f>
        <v>0</v>
      </c>
    </row>
    <row r="6921" customFormat="false" ht="15" hidden="false" customHeight="false" outlineLevel="0" collapsed="false">
      <c r="A6921" s="3" t="s">
        <v>557</v>
      </c>
      <c r="C6921" s="16" t="n">
        <f aca="false">IF(C6888&gt;0,C6910,C6866)</f>
        <v>0</v>
      </c>
    </row>
    <row r="6922" customFormat="false" ht="15" hidden="false" customHeight="false" outlineLevel="0" collapsed="false">
      <c r="A6922" s="3" t="s">
        <v>558</v>
      </c>
      <c r="C6922" s="16" t="n">
        <f aca="false">IF(C6889&gt;0,C6911,C6867)</f>
        <v>0</v>
      </c>
    </row>
    <row r="6923" customFormat="false" ht="15" hidden="false" customHeight="false" outlineLevel="0" collapsed="false">
      <c r="A6923" s="3" t="s">
        <v>559</v>
      </c>
      <c r="C6923" s="16" t="n">
        <f aca="false">IF(C6890&gt;0,C6912,C6868)</f>
        <v>0</v>
      </c>
    </row>
    <row r="6924" customFormat="false" ht="15" hidden="false" customHeight="false" outlineLevel="0" collapsed="false">
      <c r="A6924" s="3" t="s">
        <v>560</v>
      </c>
      <c r="C6924" s="16" t="n">
        <f aca="false">IF(C6891&gt;0,C6913,C6869)</f>
        <v>405.410640665075</v>
      </c>
    </row>
    <row r="6925" customFormat="false" ht="15" hidden="false" customHeight="false" outlineLevel="0" collapsed="false">
      <c r="A6925" s="3" t="s">
        <v>561</v>
      </c>
      <c r="C6925" s="16" t="n">
        <f aca="false">IF(C6892&gt;0,C6914,C6870)</f>
        <v>357.2625</v>
      </c>
    </row>
    <row r="6926" customFormat="false" ht="15" hidden="false" customHeight="false" outlineLevel="0" collapsed="false">
      <c r="A6926" s="3" t="s">
        <v>562</v>
      </c>
      <c r="C6926" s="16" t="n">
        <f aca="false">IF(C6893&gt;0,C6915,C6871)</f>
        <v>562.203125</v>
      </c>
    </row>
    <row r="6927" customFormat="false" ht="15" hidden="false" customHeight="false" outlineLevel="0" collapsed="false">
      <c r="A6927" s="3" t="s">
        <v>563</v>
      </c>
      <c r="C6927" s="16" t="n">
        <f aca="false">IF(C6894&gt;0,C6916,C6872)</f>
        <v>353.98125</v>
      </c>
    </row>
    <row r="6928" customFormat="false" ht="15" hidden="false" customHeight="false" outlineLevel="0" collapsed="false">
      <c r="A6928" s="3" t="s">
        <v>564</v>
      </c>
      <c r="C6928" s="16" t="n">
        <f aca="false">IF(C6895&gt;0,C6917,C6873)</f>
        <v>304.59375</v>
      </c>
    </row>
    <row r="6929" customFormat="false" ht="15" hidden="false" customHeight="false" outlineLevel="0" collapsed="false">
      <c r="A6929" s="3" t="s">
        <v>565</v>
      </c>
      <c r="C6929" s="16" t="n">
        <f aca="false">IF(C6896&gt;0,C6918,C6874)</f>
        <v>79.938509</v>
      </c>
    </row>
    <row r="6930" customFormat="false" ht="15" hidden="false" customHeight="false" outlineLevel="0" collapsed="false">
      <c r="A6930" s="24" t="s">
        <v>571</v>
      </c>
      <c r="B6930" s="25"/>
      <c r="C6930" s="25"/>
      <c r="D6930" s="25"/>
      <c r="E6930" s="25"/>
      <c r="F6930" s="25"/>
      <c r="G6930" s="25"/>
      <c r="H6930" s="25"/>
      <c r="I6930" s="25"/>
      <c r="J6930" s="25"/>
      <c r="K6930" s="25"/>
    </row>
    <row r="6931" customFormat="false" ht="15" hidden="false" customHeight="false" outlineLevel="0" collapsed="false">
      <c r="A6931" s="3" t="s">
        <v>556</v>
      </c>
      <c r="C6931" s="21" t="n">
        <f aca="false">IF(C6887&gt;0,Assumptions!$C$17,C6876)</f>
        <v>99</v>
      </c>
    </row>
    <row r="6932" customFormat="false" ht="15" hidden="false" customHeight="false" outlineLevel="0" collapsed="false">
      <c r="A6932" s="3" t="s">
        <v>557</v>
      </c>
      <c r="C6932" s="21" t="n">
        <f aca="false">IF(C6888&gt;0,Assumptions!$C$17,C6877)</f>
        <v>99</v>
      </c>
    </row>
    <row r="6933" customFormat="false" ht="15" hidden="false" customHeight="false" outlineLevel="0" collapsed="false">
      <c r="A6933" s="3" t="s">
        <v>558</v>
      </c>
      <c r="C6933" s="21" t="n">
        <f aca="false">IF(C6889&gt;0,Assumptions!$C$17,C6878)</f>
        <v>99</v>
      </c>
    </row>
    <row r="6934" customFormat="false" ht="15" hidden="false" customHeight="false" outlineLevel="0" collapsed="false">
      <c r="A6934" s="3" t="s">
        <v>559</v>
      </c>
      <c r="C6934" s="21" t="n">
        <f aca="false">IF(C6890&gt;0,Assumptions!$C$17,C6879)</f>
        <v>2</v>
      </c>
    </row>
    <row r="6935" customFormat="false" ht="15" hidden="false" customHeight="false" outlineLevel="0" collapsed="false">
      <c r="A6935" s="3" t="s">
        <v>560</v>
      </c>
      <c r="C6935" s="21" t="n">
        <f aca="false">IF(C6891&gt;0,Assumptions!$C$17,C6880)</f>
        <v>2</v>
      </c>
    </row>
    <row r="6936" customFormat="false" ht="15" hidden="false" customHeight="false" outlineLevel="0" collapsed="false">
      <c r="A6936" s="3" t="s">
        <v>561</v>
      </c>
      <c r="C6936" s="21" t="n">
        <f aca="false">IF(C6892&gt;0,Assumptions!$C$17,C6881)</f>
        <v>2</v>
      </c>
    </row>
    <row r="6937" customFormat="false" ht="15" hidden="false" customHeight="false" outlineLevel="0" collapsed="false">
      <c r="A6937" s="3" t="s">
        <v>562</v>
      </c>
      <c r="C6937" s="21" t="n">
        <f aca="false">IF(C6893&gt;0,Assumptions!$C$17,C6882)</f>
        <v>2</v>
      </c>
    </row>
    <row r="6938" customFormat="false" ht="15" hidden="false" customHeight="false" outlineLevel="0" collapsed="false">
      <c r="A6938" s="3" t="s">
        <v>563</v>
      </c>
      <c r="C6938" s="21" t="n">
        <f aca="false">IF(C6894&gt;0,Assumptions!$C$17,C6883)</f>
        <v>2</v>
      </c>
    </row>
    <row r="6939" customFormat="false" ht="15" hidden="false" customHeight="false" outlineLevel="0" collapsed="false">
      <c r="A6939" s="3" t="s">
        <v>564</v>
      </c>
      <c r="C6939" s="21" t="n">
        <f aca="false">IF(C6895&gt;0,Assumptions!$C$17,C6884)</f>
        <v>2</v>
      </c>
    </row>
    <row r="6940" customFormat="false" ht="15" hidden="false" customHeight="false" outlineLevel="0" collapsed="false">
      <c r="A6940" s="3" t="s">
        <v>565</v>
      </c>
      <c r="C6940" s="21" t="n">
        <f aca="false">IF(C6896&gt;0,Assumptions!$C$17,C6885)</f>
        <v>3</v>
      </c>
    </row>
    <row r="6941" customFormat="false" ht="15" hidden="false" customHeight="false" outlineLevel="0" collapsed="false">
      <c r="A6941" s="24" t="s">
        <v>572</v>
      </c>
      <c r="B6941" s="25"/>
      <c r="C6941" s="25"/>
      <c r="D6941" s="25"/>
      <c r="E6941" s="25"/>
      <c r="F6941" s="25"/>
      <c r="G6941" s="25"/>
      <c r="H6941" s="25"/>
      <c r="I6941" s="25"/>
      <c r="J6941" s="25"/>
      <c r="K6941" s="25"/>
    </row>
    <row r="6942" customFormat="false" ht="15" hidden="false" customHeight="false" outlineLevel="0" collapsed="false">
      <c r="A6942" s="3" t="s">
        <v>556</v>
      </c>
      <c r="C6942" s="16" t="n">
        <f aca="false">SUMPRODUCT(($C$6931:$C$6940&lt;C6931)*$C$6920:$C$6929)</f>
        <v>2063.38977466508</v>
      </c>
    </row>
    <row r="6943" customFormat="false" ht="15" hidden="false" customHeight="false" outlineLevel="0" collapsed="false">
      <c r="A6943" s="3" t="s">
        <v>557</v>
      </c>
      <c r="C6943" s="16" t="n">
        <f aca="false">SUMPRODUCT(($C$6931:$C$6940&lt;C6932)*$C$6920:$C$6929)</f>
        <v>2063.38977466508</v>
      </c>
    </row>
    <row r="6944" customFormat="false" ht="15" hidden="false" customHeight="false" outlineLevel="0" collapsed="false">
      <c r="A6944" s="3" t="s">
        <v>558</v>
      </c>
      <c r="C6944" s="16" t="n">
        <f aca="false">SUMPRODUCT(($C$6931:$C$6940&lt;C6933)*$C$6920:$C$6929)</f>
        <v>2063.38977466508</v>
      </c>
    </row>
    <row r="6945" customFormat="false" ht="15" hidden="false" customHeight="false" outlineLevel="0" collapsed="false">
      <c r="A6945" s="3" t="s">
        <v>559</v>
      </c>
      <c r="C6945" s="16" t="n">
        <f aca="false">SUMPRODUCT(($C$6931:$C$6940&lt;C6934)*$C$6920:$C$6929)</f>
        <v>0</v>
      </c>
    </row>
    <row r="6946" customFormat="false" ht="15" hidden="false" customHeight="false" outlineLevel="0" collapsed="false">
      <c r="A6946" s="3" t="s">
        <v>560</v>
      </c>
      <c r="C6946" s="16" t="n">
        <f aca="false">SUMPRODUCT(($C$6931:$C$6940&lt;C6935)*$C$6920:$C$6929)</f>
        <v>0</v>
      </c>
    </row>
    <row r="6947" customFormat="false" ht="15" hidden="false" customHeight="false" outlineLevel="0" collapsed="false">
      <c r="A6947" s="3" t="s">
        <v>561</v>
      </c>
      <c r="C6947" s="16" t="n">
        <f aca="false">SUMPRODUCT(($C$6931:$C$6940&lt;C6936)*$C$6920:$C$6929)</f>
        <v>0</v>
      </c>
    </row>
    <row r="6948" customFormat="false" ht="15" hidden="false" customHeight="false" outlineLevel="0" collapsed="false">
      <c r="A6948" s="3" t="s">
        <v>562</v>
      </c>
      <c r="C6948" s="16" t="n">
        <f aca="false">SUMPRODUCT(($C$6931:$C$6940&lt;C6937)*$C$6920:$C$6929)</f>
        <v>0</v>
      </c>
    </row>
    <row r="6949" customFormat="false" ht="15" hidden="false" customHeight="false" outlineLevel="0" collapsed="false">
      <c r="A6949" s="3" t="s">
        <v>563</v>
      </c>
      <c r="C6949" s="16" t="n">
        <f aca="false">SUMPRODUCT(($C$6931:$C$6940&lt;C6938)*$C$6920:$C$6929)</f>
        <v>0</v>
      </c>
    </row>
    <row r="6950" customFormat="false" ht="15" hidden="false" customHeight="false" outlineLevel="0" collapsed="false">
      <c r="A6950" s="3" t="s">
        <v>564</v>
      </c>
      <c r="C6950" s="16" t="n">
        <f aca="false">SUMPRODUCT(($C$6931:$C$6940&lt;C6939)*$C$6920:$C$6929)</f>
        <v>0</v>
      </c>
    </row>
    <row r="6951" customFormat="false" ht="15" hidden="false" customHeight="false" outlineLevel="0" collapsed="false">
      <c r="A6951" s="3" t="s">
        <v>565</v>
      </c>
      <c r="C6951" s="16" t="n">
        <f aca="false">SUMPRODUCT(($C$6931:$C$6940&lt;C6940)*$C$6920:$C$6929)</f>
        <v>1983.45126566508</v>
      </c>
    </row>
    <row r="6952" customFormat="false" ht="15" hidden="false" customHeight="false" outlineLevel="0" collapsed="false">
      <c r="A6952" s="24" t="s">
        <v>573</v>
      </c>
      <c r="B6952" s="25"/>
      <c r="C6952" s="25"/>
      <c r="D6952" s="25"/>
      <c r="E6952" s="25"/>
      <c r="F6952" s="25"/>
      <c r="G6952" s="25"/>
      <c r="H6952" s="25"/>
      <c r="I6952" s="25"/>
      <c r="J6952" s="25"/>
      <c r="K6952" s="25"/>
    </row>
    <row r="6953" customFormat="false" ht="15" hidden="false" customHeight="false" outlineLevel="0" collapsed="false">
      <c r="A6953" s="3" t="s">
        <v>556</v>
      </c>
      <c r="C6953" s="16" t="n">
        <f aca="false">SUMPRODUCT(($C$6931:$C$6940=C6931)*$C$6920:$C$6929)</f>
        <v>0</v>
      </c>
    </row>
    <row r="6954" customFormat="false" ht="15" hidden="false" customHeight="false" outlineLevel="0" collapsed="false">
      <c r="A6954" s="3" t="s">
        <v>557</v>
      </c>
      <c r="C6954" s="16" t="n">
        <f aca="false">SUMPRODUCT(($C$6931:$C$6940=C6932)*$C$6920:$C$6929)</f>
        <v>0</v>
      </c>
    </row>
    <row r="6955" customFormat="false" ht="15" hidden="false" customHeight="false" outlineLevel="0" collapsed="false">
      <c r="A6955" s="3" t="s">
        <v>558</v>
      </c>
      <c r="C6955" s="16" t="n">
        <f aca="false">SUMPRODUCT(($C$6931:$C$6940=C6933)*$C$6920:$C$6929)</f>
        <v>0</v>
      </c>
    </row>
    <row r="6956" customFormat="false" ht="15" hidden="false" customHeight="false" outlineLevel="0" collapsed="false">
      <c r="A6956" s="3" t="s">
        <v>559</v>
      </c>
      <c r="C6956" s="16" t="n">
        <f aca="false">SUMPRODUCT(($C$6931:$C$6940=C6934)*$C$6920:$C$6929)</f>
        <v>1983.45126566508</v>
      </c>
    </row>
    <row r="6957" customFormat="false" ht="15" hidden="false" customHeight="false" outlineLevel="0" collapsed="false">
      <c r="A6957" s="3" t="s">
        <v>560</v>
      </c>
      <c r="C6957" s="16" t="n">
        <f aca="false">SUMPRODUCT(($C$6931:$C$6940=C6935)*$C$6920:$C$6929)</f>
        <v>1983.45126566508</v>
      </c>
    </row>
    <row r="6958" customFormat="false" ht="15" hidden="false" customHeight="false" outlineLevel="0" collapsed="false">
      <c r="A6958" s="3" t="s">
        <v>561</v>
      </c>
      <c r="C6958" s="16" t="n">
        <f aca="false">SUMPRODUCT(($C$6931:$C$6940=C6936)*$C$6920:$C$6929)</f>
        <v>1983.45126566508</v>
      </c>
    </row>
    <row r="6959" customFormat="false" ht="15" hidden="false" customHeight="false" outlineLevel="0" collapsed="false">
      <c r="A6959" s="3" t="s">
        <v>562</v>
      </c>
      <c r="C6959" s="16" t="n">
        <f aca="false">SUMPRODUCT(($C$6931:$C$6940=C6937)*$C$6920:$C$6929)</f>
        <v>1983.45126566508</v>
      </c>
    </row>
    <row r="6960" customFormat="false" ht="15" hidden="false" customHeight="false" outlineLevel="0" collapsed="false">
      <c r="A6960" s="3" t="s">
        <v>563</v>
      </c>
      <c r="C6960" s="16" t="n">
        <f aca="false">SUMPRODUCT(($C$6931:$C$6940=C6938)*$C$6920:$C$6929)</f>
        <v>1983.45126566508</v>
      </c>
    </row>
    <row r="6961" customFormat="false" ht="15" hidden="false" customHeight="false" outlineLevel="0" collapsed="false">
      <c r="A6961" s="3" t="s">
        <v>564</v>
      </c>
      <c r="C6961" s="16" t="n">
        <f aca="false">SUMPRODUCT(($C$6931:$C$6940=C6939)*$C$6920:$C$6929)</f>
        <v>1983.45126566508</v>
      </c>
    </row>
    <row r="6962" customFormat="false" ht="15" hidden="false" customHeight="false" outlineLevel="0" collapsed="false">
      <c r="A6962" s="3" t="s">
        <v>565</v>
      </c>
      <c r="C6962" s="16" t="n">
        <f aca="false">SUMPRODUCT(($C$6931:$C$6940=C6940)*$C$6920:$C$6929)</f>
        <v>79.938509</v>
      </c>
    </row>
    <row r="6963" customFormat="false" ht="15" hidden="false" customHeight="false" outlineLevel="0" collapsed="false">
      <c r="A6963" s="24" t="s">
        <v>574</v>
      </c>
      <c r="B6963" s="25"/>
      <c r="C6963" s="25"/>
      <c r="D6963" s="25"/>
      <c r="E6963" s="25"/>
      <c r="F6963" s="25"/>
      <c r="G6963" s="25"/>
      <c r="H6963" s="25"/>
      <c r="I6963" s="25"/>
      <c r="J6963" s="25"/>
      <c r="K6963" s="25"/>
    </row>
    <row r="6964" customFormat="false" ht="15" hidden="false" customHeight="false" outlineLevel="0" collapsed="false">
      <c r="A6964" s="3" t="s">
        <v>556</v>
      </c>
      <c r="C6964" s="16" t="n">
        <f aca="false">IF(C6953=0,0,C6920/C6953*MAX(0,MIN(C6953,$C$6863-SUM($C$6898:$C$6907)-C6942)))</f>
        <v>0</v>
      </c>
    </row>
    <row r="6965" customFormat="false" ht="15" hidden="false" customHeight="false" outlineLevel="0" collapsed="false">
      <c r="A6965" s="3" t="s">
        <v>557</v>
      </c>
      <c r="C6965" s="16" t="n">
        <f aca="false">IF(C6954=0,0,C6921/C6954*MAX(0,MIN(C6954,$C$6863-SUM($C$6898:$C$6907)-C6943)))</f>
        <v>0</v>
      </c>
    </row>
    <row r="6966" customFormat="false" ht="15" hidden="false" customHeight="false" outlineLevel="0" collapsed="false">
      <c r="A6966" s="3" t="s">
        <v>558</v>
      </c>
      <c r="C6966" s="16" t="n">
        <f aca="false">IF(C6955=0,0,C6922/C6955*MAX(0,MIN(C6955,$C$6863-SUM($C$6898:$C$6907)-C6944)))</f>
        <v>0</v>
      </c>
    </row>
    <row r="6967" customFormat="false" ht="15" hidden="false" customHeight="false" outlineLevel="0" collapsed="false">
      <c r="A6967" s="3" t="s">
        <v>559</v>
      </c>
      <c r="C6967" s="16" t="n">
        <f aca="false">IF(C6956=0,0,C6923/C6956*MAX(0,MIN(C6956,$C$6863-SUM($C$6898:$C$6907)-C6945)))</f>
        <v>0</v>
      </c>
    </row>
    <row r="6968" customFormat="false" ht="15" hidden="false" customHeight="false" outlineLevel="0" collapsed="false">
      <c r="A6968" s="3" t="s">
        <v>560</v>
      </c>
      <c r="C6968" s="16" t="n">
        <f aca="false">IF(C6957=0,0,C6924/C6957*MAX(0,MIN(C6957,$C$6863-SUM($C$6898:$C$6907)-C6946)))</f>
        <v>405.410640665075</v>
      </c>
    </row>
    <row r="6969" customFormat="false" ht="15" hidden="false" customHeight="false" outlineLevel="0" collapsed="false">
      <c r="A6969" s="3" t="s">
        <v>561</v>
      </c>
      <c r="C6969" s="16" t="n">
        <f aca="false">IF(C6958=0,0,C6925/C6958*MAX(0,MIN(C6958,$C$6863-SUM($C$6898:$C$6907)-C6947)))</f>
        <v>357.2625</v>
      </c>
    </row>
    <row r="6970" customFormat="false" ht="15" hidden="false" customHeight="false" outlineLevel="0" collapsed="false">
      <c r="A6970" s="3" t="s">
        <v>562</v>
      </c>
      <c r="C6970" s="16" t="n">
        <f aca="false">IF(C6959=0,0,C6926/C6959*MAX(0,MIN(C6959,$C$6863-SUM($C$6898:$C$6907)-C6948)))</f>
        <v>562.203125</v>
      </c>
    </row>
    <row r="6971" customFormat="false" ht="15" hidden="false" customHeight="false" outlineLevel="0" collapsed="false">
      <c r="A6971" s="3" t="s">
        <v>563</v>
      </c>
      <c r="C6971" s="16" t="n">
        <f aca="false">IF(C6960=0,0,C6927/C6960*MAX(0,MIN(C6960,$C$6863-SUM($C$6898:$C$6907)-C6949)))</f>
        <v>353.98125</v>
      </c>
    </row>
    <row r="6972" customFormat="false" ht="15" hidden="false" customHeight="false" outlineLevel="0" collapsed="false">
      <c r="A6972" s="3" t="s">
        <v>564</v>
      </c>
      <c r="C6972" s="16" t="n">
        <f aca="false">IF(C6961=0,0,C6928/C6961*MAX(0,MIN(C6961,$C$6863-SUM($C$6898:$C$6907)-C6950)))</f>
        <v>304.59375</v>
      </c>
    </row>
    <row r="6973" customFormat="false" ht="15" hidden="false" customHeight="false" outlineLevel="0" collapsed="false">
      <c r="A6973" s="3" t="s">
        <v>565</v>
      </c>
      <c r="C6973" s="16" t="n">
        <f aca="false">IF(C6962=0,0,C6929/C6962*MAX(0,MIN(C6962,$C$6863-SUM($C$6898:$C$6907)-C6951)))</f>
        <v>79.938509</v>
      </c>
    </row>
    <row r="6974" customFormat="false" ht="15" hidden="false" customHeight="false" outlineLevel="0" collapsed="false">
      <c r="A6974" s="24" t="s">
        <v>575</v>
      </c>
      <c r="B6974" s="25"/>
      <c r="C6974" s="25"/>
      <c r="D6974" s="25"/>
      <c r="E6974" s="25"/>
      <c r="F6974" s="25"/>
      <c r="G6974" s="25"/>
      <c r="H6974" s="25"/>
      <c r="I6974" s="25"/>
      <c r="J6974" s="25"/>
      <c r="K6974" s="25"/>
    </row>
    <row r="6975" customFormat="false" ht="15" hidden="false" customHeight="false" outlineLevel="0" collapsed="false">
      <c r="A6975" s="2" t="s">
        <v>556</v>
      </c>
      <c r="C6975" s="17" t="n">
        <f aca="false">C6898+C6964</f>
        <v>402.29</v>
      </c>
    </row>
    <row r="6976" customFormat="false" ht="15" hidden="false" customHeight="false" outlineLevel="0" collapsed="false">
      <c r="A6976" s="2" t="s">
        <v>557</v>
      </c>
      <c r="C6976" s="17" t="n">
        <f aca="false">C6899+C6965</f>
        <v>91.30725</v>
      </c>
    </row>
    <row r="6977" customFormat="false" ht="15" hidden="false" customHeight="false" outlineLevel="0" collapsed="false">
      <c r="A6977" s="2" t="s">
        <v>558</v>
      </c>
      <c r="C6977" s="17" t="n">
        <f aca="false">C6900+C6966</f>
        <v>58.3715961</v>
      </c>
    </row>
    <row r="6978" customFormat="false" ht="15" hidden="false" customHeight="false" outlineLevel="0" collapsed="false">
      <c r="A6978" s="2" t="s">
        <v>559</v>
      </c>
      <c r="C6978" s="17" t="n">
        <f aca="false">C6901+C6967</f>
        <v>0</v>
      </c>
    </row>
    <row r="6979" customFormat="false" ht="15" hidden="false" customHeight="false" outlineLevel="0" collapsed="false">
      <c r="A6979" s="2" t="s">
        <v>560</v>
      </c>
      <c r="C6979" s="17" t="n">
        <f aca="false">C6902+C6968</f>
        <v>405.410640665075</v>
      </c>
    </row>
    <row r="6980" customFormat="false" ht="15" hidden="false" customHeight="false" outlineLevel="0" collapsed="false">
      <c r="A6980" s="2" t="s">
        <v>561</v>
      </c>
      <c r="C6980" s="17" t="n">
        <f aca="false">C6903+C6969</f>
        <v>357.2625</v>
      </c>
    </row>
    <row r="6981" customFormat="false" ht="15" hidden="false" customHeight="false" outlineLevel="0" collapsed="false">
      <c r="A6981" s="2" t="s">
        <v>562</v>
      </c>
      <c r="C6981" s="17" t="n">
        <f aca="false">C6904+C6970</f>
        <v>562.203125</v>
      </c>
    </row>
    <row r="6982" customFormat="false" ht="15" hidden="false" customHeight="false" outlineLevel="0" collapsed="false">
      <c r="A6982" s="2" t="s">
        <v>563</v>
      </c>
      <c r="C6982" s="17" t="n">
        <f aca="false">C6905+C6971</f>
        <v>353.98125</v>
      </c>
    </row>
    <row r="6983" customFormat="false" ht="15" hidden="false" customHeight="false" outlineLevel="0" collapsed="false">
      <c r="A6983" s="2" t="s">
        <v>564</v>
      </c>
      <c r="C6983" s="17" t="n">
        <f aca="false">C6906+C6972</f>
        <v>304.59375</v>
      </c>
    </row>
    <row r="6984" customFormat="false" ht="15" hidden="false" customHeight="false" outlineLevel="0" collapsed="false">
      <c r="A6984" s="2" t="s">
        <v>565</v>
      </c>
      <c r="C6984" s="17" t="n">
        <f aca="false">C6907+C6973</f>
        <v>79.938509</v>
      </c>
    </row>
    <row r="6985" customFormat="false" ht="15" hidden="false" customHeight="false" outlineLevel="0" collapsed="false">
      <c r="A6985" s="24" t="s">
        <v>576</v>
      </c>
      <c r="B6985" s="25"/>
      <c r="C6985" s="25"/>
      <c r="D6985" s="25"/>
      <c r="E6985" s="25"/>
      <c r="F6985" s="25"/>
      <c r="G6985" s="25"/>
      <c r="H6985" s="25"/>
      <c r="I6985" s="25"/>
      <c r="J6985" s="25"/>
      <c r="K6985" s="25"/>
    </row>
    <row r="6986" customFormat="false" ht="15" hidden="false" customHeight="false" outlineLevel="0" collapsed="false">
      <c r="A6986" s="3" t="s">
        <v>556</v>
      </c>
      <c r="C6986" s="22" t="n">
        <f aca="false">IF(C6865=0,1,C6975/C6865)</f>
        <v>1</v>
      </c>
    </row>
    <row r="6987" customFormat="false" ht="15" hidden="false" customHeight="false" outlineLevel="0" collapsed="false">
      <c r="A6987" s="3" t="s">
        <v>557</v>
      </c>
      <c r="C6987" s="22" t="n">
        <f aca="false">IF(C6866=0,1,C6976/C6866)</f>
        <v>1</v>
      </c>
    </row>
    <row r="6988" customFormat="false" ht="15" hidden="false" customHeight="false" outlineLevel="0" collapsed="false">
      <c r="A6988" s="3" t="s">
        <v>558</v>
      </c>
      <c r="C6988" s="22" t="n">
        <f aca="false">IF(C6867=0,1,C6977/C6867)</f>
        <v>1</v>
      </c>
    </row>
    <row r="6989" customFormat="false" ht="15" hidden="false" customHeight="false" outlineLevel="0" collapsed="false">
      <c r="A6989" s="3" t="s">
        <v>559</v>
      </c>
      <c r="C6989" s="22" t="n">
        <f aca="false">IF(C6868=0,1,C6978/C6868)</f>
        <v>1</v>
      </c>
    </row>
    <row r="6990" customFormat="false" ht="15" hidden="false" customHeight="false" outlineLevel="0" collapsed="false">
      <c r="A6990" s="3" t="s">
        <v>560</v>
      </c>
      <c r="C6990" s="22" t="n">
        <f aca="false">IF(C6869=0,1,C6979/C6869)</f>
        <v>1</v>
      </c>
    </row>
    <row r="6991" customFormat="false" ht="15" hidden="false" customHeight="false" outlineLevel="0" collapsed="false">
      <c r="A6991" s="3" t="s">
        <v>561</v>
      </c>
      <c r="C6991" s="22" t="n">
        <f aca="false">IF(C6870=0,1,C6980/C6870)</f>
        <v>1</v>
      </c>
    </row>
    <row r="6992" customFormat="false" ht="15" hidden="false" customHeight="false" outlineLevel="0" collapsed="false">
      <c r="A6992" s="3" t="s">
        <v>562</v>
      </c>
      <c r="C6992" s="22" t="n">
        <f aca="false">IF(C6871=0,1,C6981/C6871)</f>
        <v>1</v>
      </c>
    </row>
    <row r="6993" customFormat="false" ht="15" hidden="false" customHeight="false" outlineLevel="0" collapsed="false">
      <c r="A6993" s="3" t="s">
        <v>563</v>
      </c>
      <c r="C6993" s="22" t="n">
        <f aca="false">IF(C6872=0,1,C6982/C6872)</f>
        <v>1</v>
      </c>
    </row>
    <row r="6994" customFormat="false" ht="15" hidden="false" customHeight="false" outlineLevel="0" collapsed="false">
      <c r="A6994" s="3" t="s">
        <v>564</v>
      </c>
      <c r="C6994" s="22" t="n">
        <f aca="false">IF(C6873=0,1,C6983/C6873)</f>
        <v>1</v>
      </c>
    </row>
    <row r="6995" customFormat="false" ht="15" hidden="false" customHeight="false" outlineLevel="0" collapsed="false">
      <c r="A6995" s="3" t="s">
        <v>565</v>
      </c>
      <c r="C6995" s="22" t="n">
        <f aca="false">IF(C6874=0,1,C6984/C6874)</f>
        <v>1</v>
      </c>
    </row>
    <row r="6996" customFormat="false" ht="15" hidden="false" customHeight="false" outlineLevel="0" collapsed="false">
      <c r="A6996" s="24" t="s">
        <v>577</v>
      </c>
      <c r="B6996" s="25"/>
      <c r="C6996" s="25"/>
      <c r="D6996" s="25"/>
      <c r="E6996" s="25"/>
      <c r="F6996" s="25"/>
      <c r="G6996" s="25"/>
      <c r="H6996" s="25"/>
      <c r="I6996" s="25"/>
      <c r="J6996" s="25"/>
      <c r="K6996" s="25"/>
    </row>
    <row r="6997" customFormat="false" ht="15" hidden="false" customHeight="false" outlineLevel="0" collapsed="false">
      <c r="A6997" s="3" t="s">
        <v>556</v>
      </c>
      <c r="C6997" s="16" t="n">
        <f aca="false">C6865-C6975</f>
        <v>0</v>
      </c>
    </row>
    <row r="6998" customFormat="false" ht="15" hidden="false" customHeight="false" outlineLevel="0" collapsed="false">
      <c r="A6998" s="3" t="s">
        <v>557</v>
      </c>
      <c r="C6998" s="16" t="n">
        <f aca="false">C6866-C6976</f>
        <v>0</v>
      </c>
    </row>
    <row r="6999" customFormat="false" ht="15" hidden="false" customHeight="false" outlineLevel="0" collapsed="false">
      <c r="A6999" s="3" t="s">
        <v>558</v>
      </c>
      <c r="C6999" s="16" t="n">
        <f aca="false">C6867-C6977</f>
        <v>0</v>
      </c>
    </row>
    <row r="7000" customFormat="false" ht="15" hidden="false" customHeight="false" outlineLevel="0" collapsed="false">
      <c r="A7000" s="3" t="s">
        <v>559</v>
      </c>
      <c r="C7000" s="16" t="n">
        <f aca="false">C6868-C6978</f>
        <v>0</v>
      </c>
    </row>
    <row r="7001" customFormat="false" ht="15" hidden="false" customHeight="false" outlineLevel="0" collapsed="false">
      <c r="A7001" s="3" t="s">
        <v>560</v>
      </c>
      <c r="C7001" s="16" t="n">
        <f aca="false">C6869-C6979</f>
        <v>0</v>
      </c>
    </row>
    <row r="7002" customFormat="false" ht="15" hidden="false" customHeight="false" outlineLevel="0" collapsed="false">
      <c r="A7002" s="3" t="s">
        <v>561</v>
      </c>
      <c r="C7002" s="16" t="n">
        <f aca="false">C6870-C6980</f>
        <v>0</v>
      </c>
    </row>
    <row r="7003" customFormat="false" ht="15" hidden="false" customHeight="false" outlineLevel="0" collapsed="false">
      <c r="A7003" s="3" t="s">
        <v>562</v>
      </c>
      <c r="C7003" s="16" t="n">
        <f aca="false">C6871-C6981</f>
        <v>0</v>
      </c>
    </row>
    <row r="7004" customFormat="false" ht="15" hidden="false" customHeight="false" outlineLevel="0" collapsed="false">
      <c r="A7004" s="3" t="s">
        <v>563</v>
      </c>
      <c r="C7004" s="16" t="n">
        <f aca="false">C6872-C6982</f>
        <v>0</v>
      </c>
    </row>
    <row r="7005" customFormat="false" ht="15" hidden="false" customHeight="false" outlineLevel="0" collapsed="false">
      <c r="A7005" s="3" t="s">
        <v>564</v>
      </c>
      <c r="C7005" s="16" t="n">
        <f aca="false">C6873-C6983</f>
        <v>0</v>
      </c>
    </row>
    <row r="7006" customFormat="false" ht="15" hidden="false" customHeight="false" outlineLevel="0" collapsed="false">
      <c r="A7006" s="3" t="s">
        <v>565</v>
      </c>
      <c r="C7006" s="16" t="n">
        <f aca="false">C6874-C6984</f>
        <v>0</v>
      </c>
    </row>
    <row r="7007" customFormat="false" ht="15" hidden="false" customHeight="false" outlineLevel="0" collapsed="false">
      <c r="A7007" s="24" t="s">
        <v>578</v>
      </c>
      <c r="B7007" s="25"/>
      <c r="C7007" s="25"/>
      <c r="D7007" s="25"/>
      <c r="E7007" s="25"/>
      <c r="F7007" s="25"/>
      <c r="G7007" s="25"/>
      <c r="H7007" s="25"/>
      <c r="I7007" s="25"/>
      <c r="J7007" s="25"/>
      <c r="K7007" s="25"/>
    </row>
    <row r="7008" customFormat="false" ht="15" hidden="false" customHeight="false" outlineLevel="0" collapsed="false">
      <c r="A7008" s="3" t="s">
        <v>556</v>
      </c>
      <c r="C7008" s="22" t="n">
        <f aca="false">IF(C6865=0,0,C6997/C6865)</f>
        <v>0</v>
      </c>
    </row>
    <row r="7009" customFormat="false" ht="15" hidden="false" customHeight="false" outlineLevel="0" collapsed="false">
      <c r="A7009" s="3" t="s">
        <v>557</v>
      </c>
      <c r="C7009" s="22" t="n">
        <f aca="false">IF(C6866=0,0,C6998/C6866)</f>
        <v>0</v>
      </c>
    </row>
    <row r="7010" customFormat="false" ht="15" hidden="false" customHeight="false" outlineLevel="0" collapsed="false">
      <c r="A7010" s="3" t="s">
        <v>558</v>
      </c>
      <c r="C7010" s="22" t="n">
        <f aca="false">IF(C6867=0,0,C6999/C6867)</f>
        <v>0</v>
      </c>
    </row>
    <row r="7011" customFormat="false" ht="15" hidden="false" customHeight="false" outlineLevel="0" collapsed="false">
      <c r="A7011" s="3" t="s">
        <v>559</v>
      </c>
      <c r="C7011" s="22" t="n">
        <f aca="false">IF(C6868=0,0,C7000/C6868)</f>
        <v>0</v>
      </c>
    </row>
    <row r="7012" customFormat="false" ht="15" hidden="false" customHeight="false" outlineLevel="0" collapsed="false">
      <c r="A7012" s="3" t="s">
        <v>560</v>
      </c>
      <c r="C7012" s="22" t="n">
        <f aca="false">IF(C6869=0,0,C7001/C6869)</f>
        <v>0</v>
      </c>
    </row>
    <row r="7013" customFormat="false" ht="15" hidden="false" customHeight="false" outlineLevel="0" collapsed="false">
      <c r="A7013" s="3" t="s">
        <v>561</v>
      </c>
      <c r="C7013" s="22" t="n">
        <f aca="false">IF(C6870=0,0,C7002/C6870)</f>
        <v>0</v>
      </c>
    </row>
    <row r="7014" customFormat="false" ht="15" hidden="false" customHeight="false" outlineLevel="0" collapsed="false">
      <c r="A7014" s="3" t="s">
        <v>562</v>
      </c>
      <c r="C7014" s="22" t="n">
        <f aca="false">IF(C6871=0,0,C7003/C6871)</f>
        <v>0</v>
      </c>
    </row>
    <row r="7015" customFormat="false" ht="15" hidden="false" customHeight="false" outlineLevel="0" collapsed="false">
      <c r="A7015" s="3" t="s">
        <v>563</v>
      </c>
      <c r="C7015" s="22" t="n">
        <f aca="false">IF(C6872=0,0,C7004/C6872)</f>
        <v>0</v>
      </c>
    </row>
    <row r="7016" customFormat="false" ht="15" hidden="false" customHeight="false" outlineLevel="0" collapsed="false">
      <c r="A7016" s="3" t="s">
        <v>564</v>
      </c>
      <c r="C7016" s="22" t="n">
        <f aca="false">IF(C6873=0,0,C7005/C6873)</f>
        <v>0</v>
      </c>
    </row>
    <row r="7017" customFormat="false" ht="15" hidden="false" customHeight="false" outlineLevel="0" collapsed="false">
      <c r="A7017" s="3" t="s">
        <v>565</v>
      </c>
      <c r="C7017" s="22" t="n">
        <f aca="false">IF(C6874=0,0,C7006/C6874)</f>
        <v>0</v>
      </c>
    </row>
    <row r="7018" customFormat="false" ht="15" hidden="false" customHeight="false" outlineLevel="0" collapsed="false">
      <c r="A7018" s="2" t="s">
        <v>579</v>
      </c>
      <c r="C7018" s="17" t="n">
        <f aca="false">MAX(0,$C$6863-SUM($C$6898:$C$6907)-SUM($C$6920:$C$6929))</f>
        <v>518.118561634925</v>
      </c>
    </row>
    <row r="7019" customFormat="false" ht="15" hidden="false" customHeight="false" outlineLevel="0" collapsed="false">
      <c r="A7019" s="3" t="s">
        <v>580</v>
      </c>
      <c r="C7019" s="16" t="n">
        <f aca="false">SUM($C$6975:$C$6984)+C7018+C6862-C6861</f>
        <v>0</v>
      </c>
    </row>
    <row r="7021" customFormat="false" ht="15" hidden="false" customHeight="false" outlineLevel="0" collapsed="false">
      <c r="A7021" s="24" t="s">
        <v>583</v>
      </c>
      <c r="B7021" s="25"/>
      <c r="C7021" s="25"/>
      <c r="D7021" s="25"/>
      <c r="E7021" s="25"/>
      <c r="F7021" s="25"/>
      <c r="G7021" s="25"/>
      <c r="H7021" s="25"/>
      <c r="I7021" s="25"/>
      <c r="J7021" s="25"/>
      <c r="K7021" s="25"/>
    </row>
    <row r="7022" customFormat="false" ht="15" hidden="false" customHeight="false" outlineLevel="0" collapsed="false">
      <c r="A7022" s="3" t="s">
        <v>584</v>
      </c>
      <c r="C7022" s="27" t="n">
        <f aca="false">Assumptions!$C$34</f>
        <v>1</v>
      </c>
    </row>
    <row r="7023" customFormat="false" ht="15" hidden="false" customHeight="false" outlineLevel="0" collapsed="false">
      <c r="A7023" s="3" t="s">
        <v>585</v>
      </c>
      <c r="C7023" s="29" t="n">
        <f aca="false">Assumptions!$C$35</f>
        <v>100</v>
      </c>
    </row>
    <row r="7024" customFormat="false" ht="15" hidden="false" customHeight="false" outlineLevel="0" collapsed="false">
      <c r="A7024" s="3" t="s">
        <v>586</v>
      </c>
      <c r="C7024" s="40" t="n">
        <f aca="false">Assumptions!$C$36</f>
        <v>98</v>
      </c>
    </row>
    <row r="7025" customFormat="false" ht="15" hidden="false" customHeight="false" outlineLevel="0" collapsed="false">
      <c r="A7025" s="3" t="s">
        <v>587</v>
      </c>
      <c r="C7025" s="16" t="n">
        <f aca="false">C7023*C7024/100*(1+Assumptions!$C$37)</f>
        <v>98.49</v>
      </c>
    </row>
    <row r="7026" customFormat="false" ht="15" hidden="false" customHeight="false" outlineLevel="0" collapsed="false">
      <c r="A7026" s="3" t="s">
        <v>588</v>
      </c>
      <c r="C7026" s="27" t="n">
        <f aca="false">Assumptions!$C$38</f>
        <v>3</v>
      </c>
    </row>
    <row r="7027" customFormat="false" ht="15" hidden="false" customHeight="false" outlineLevel="0" collapsed="false">
      <c r="A7027" s="3" t="s">
        <v>589</v>
      </c>
      <c r="C7027" s="21" t="n">
        <f aca="false">IF(C6854=1,SUMPRODUCT($G$6790:$K$6790,$G$6564:$K$6564),0)</f>
        <v>2</v>
      </c>
    </row>
    <row r="7028" customFormat="false" ht="15" hidden="false" customHeight="false" outlineLevel="0" collapsed="false">
      <c r="A7028" s="3" t="s">
        <v>590</v>
      </c>
      <c r="C7028" s="22" t="n">
        <f aca="false">IFERROR(C7023/CHOOSE(C7022,SUMPRODUCT($G$6853:$K$6853,$G$6610:$K$6610),SUMPRODUCT($G$6853:$K$6853,$G$6623:$K$6623),SUMPRODUCT($G$6853:$K$6853,$G$6636:$K$6636),SUMPRODUCT($G$6853:$K$6853,$G$6649:$K$6649),SUMPRODUCT($G$6853:$K$6853,$G$6662:$K$6662),SUMPRODUCT($G$6853:$K$6853,$G$6675:$K$6675),SUMPRODUCT($G$6853:$K$6853,$G$6688:$K$6688),SUMPRODUCT($G$6853:$K$6853,$G$6701:$K$6701),SUMPRODUCT($G$6853:$K$6853,$G$6714:$K$6714),SUMPRODUCT($G$6853:$K$6853,$G$6727:$K$6727)),0)</f>
        <v>0.255102040816327</v>
      </c>
    </row>
    <row r="7029" customFormat="false" ht="15" hidden="false" customHeight="false" outlineLevel="0" collapsed="false">
      <c r="A7029" s="3" t="s">
        <v>591</v>
      </c>
      <c r="C7029" s="16" t="n">
        <f aca="false">CHOOSE(C7022,C6975,C6976,C6977,C6978,C6979,C6980,C6981,C6982,C6983,C6984)*C7028</f>
        <v>102.625</v>
      </c>
    </row>
    <row r="7030" customFormat="false" ht="15" hidden="false" customHeight="false" outlineLevel="0" collapsed="false">
      <c r="A7030" s="3" t="s">
        <v>592</v>
      </c>
      <c r="C7030" s="22" t="n">
        <f aca="false">CHOOSE(C7022,C6986,C6987,C6988,C6989,C6990,C6991,C6992,C6993,C6994,C6995)</f>
        <v>1</v>
      </c>
    </row>
    <row r="7031" customFormat="false" ht="15" hidden="false" customHeight="false" outlineLevel="0" collapsed="false">
      <c r="A7031" s="3" t="s">
        <v>593</v>
      </c>
      <c r="C7031" s="21" t="n">
        <f aca="false">IF(C6854=1,C7027,C7026)</f>
        <v>2</v>
      </c>
    </row>
    <row r="7032" customFormat="false" ht="15" hidden="false" customHeight="false" outlineLevel="0" collapsed="false">
      <c r="A7032" s="3" t="s">
        <v>594</v>
      </c>
      <c r="C7032" s="35" t="n">
        <f aca="false">CHOOSE($C$6556,Assumptions!$C$91,Assumptions!$C$110,Assumptions!$C$129)</f>
        <v>95</v>
      </c>
    </row>
    <row r="7033" customFormat="false" ht="15" hidden="false" customHeight="false" outlineLevel="0" collapsed="false">
      <c r="A7033" s="3" t="s">
        <v>595</v>
      </c>
      <c r="C7033" s="16" t="n">
        <f aca="false">INDEX($G$6573:$K$6573,C7026)*CHOOSE($C$6556,Assumptions!$C$90,Assumptions!$C$109,Assumptions!$C$128)+MAX(0,INDEX($G$6787:$K$6787,C7026))</f>
        <v>2423.913149823</v>
      </c>
    </row>
    <row r="7034" customFormat="false" ht="15" hidden="false" customHeight="false" outlineLevel="0" collapsed="false">
      <c r="A7034" s="24" t="s">
        <v>596</v>
      </c>
      <c r="B7034" s="25"/>
      <c r="C7034" s="25"/>
      <c r="D7034" s="25"/>
      <c r="E7034" s="25"/>
      <c r="F7034" s="25"/>
      <c r="G7034" s="25"/>
      <c r="H7034" s="25"/>
      <c r="I7034" s="25"/>
      <c r="J7034" s="25"/>
      <c r="K7034" s="25"/>
    </row>
    <row r="7035" customFormat="false" ht="15" hidden="false" customHeight="false" outlineLevel="0" collapsed="false">
      <c r="A7035" s="3" t="s">
        <v>556</v>
      </c>
      <c r="C7035" s="16" t="n">
        <f aca="false">INDEX($G$6610:$K$6610,C7026)</f>
        <v>388</v>
      </c>
    </row>
    <row r="7036" customFormat="false" ht="15" hidden="false" customHeight="false" outlineLevel="0" collapsed="false">
      <c r="A7036" s="3" t="s">
        <v>557</v>
      </c>
      <c r="C7036" s="16" t="n">
        <f aca="false">INDEX($G$6623:$K$6623,C7026)</f>
        <v>90</v>
      </c>
    </row>
    <row r="7037" customFormat="false" ht="15" hidden="false" customHeight="false" outlineLevel="0" collapsed="false">
      <c r="A7037" s="3" t="s">
        <v>558</v>
      </c>
      <c r="C7037" s="16" t="n">
        <f aca="false">INDEX($G$6636:$K$6636,C7026)</f>
        <v>57.324</v>
      </c>
    </row>
    <row r="7038" customFormat="false" ht="15" hidden="false" customHeight="false" outlineLevel="0" collapsed="false">
      <c r="A7038" s="3" t="s">
        <v>559</v>
      </c>
      <c r="C7038" s="16" t="n">
        <f aca="false">INDEX($G$6649:$K$6649,C7026)</f>
        <v>0</v>
      </c>
    </row>
    <row r="7039" customFormat="false" ht="15" hidden="false" customHeight="false" outlineLevel="0" collapsed="false">
      <c r="A7039" s="3" t="s">
        <v>560</v>
      </c>
      <c r="C7039" s="16" t="n">
        <f aca="false">INDEX($G$6662:$K$6662,C7026)</f>
        <v>401.446357881</v>
      </c>
    </row>
    <row r="7040" customFormat="false" ht="15" hidden="false" customHeight="false" outlineLevel="0" collapsed="false">
      <c r="A7040" s="3" t="s">
        <v>561</v>
      </c>
      <c r="C7040" s="16" t="n">
        <f aca="false">INDEX($G$6675:$K$6675,C7026)</f>
        <v>350</v>
      </c>
    </row>
    <row r="7041" customFormat="false" ht="15" hidden="false" customHeight="false" outlineLevel="0" collapsed="false">
      <c r="A7041" s="3" t="s">
        <v>562</v>
      </c>
      <c r="C7041" s="16" t="n">
        <f aca="false">INDEX($G$6688:$K$6688,C7026)</f>
        <v>550</v>
      </c>
    </row>
    <row r="7042" customFormat="false" ht="15" hidden="false" customHeight="false" outlineLevel="0" collapsed="false">
      <c r="A7042" s="3" t="s">
        <v>563</v>
      </c>
      <c r="C7042" s="16" t="n">
        <f aca="false">INDEX($G$6701:$K$6701,C7026)</f>
        <v>350</v>
      </c>
    </row>
    <row r="7043" customFormat="false" ht="15" hidden="false" customHeight="false" outlineLevel="0" collapsed="false">
      <c r="A7043" s="3" t="s">
        <v>564</v>
      </c>
      <c r="C7043" s="16" t="n">
        <f aca="false">INDEX($G$6714:$K$6714,C7026)</f>
        <v>300</v>
      </c>
    </row>
    <row r="7044" customFormat="false" ht="15" hidden="false" customHeight="false" outlineLevel="0" collapsed="false">
      <c r="A7044" s="3" t="s">
        <v>565</v>
      </c>
      <c r="C7044" s="16" t="n">
        <f aca="false">INDEX($G$6727:$K$6727,C7026)</f>
        <v>78.61</v>
      </c>
    </row>
    <row r="7045" customFormat="false" ht="15" hidden="false" customHeight="false" outlineLevel="0" collapsed="false">
      <c r="A7045" s="24" t="s">
        <v>566</v>
      </c>
      <c r="B7045" s="25"/>
      <c r="C7045" s="25"/>
      <c r="D7045" s="25"/>
      <c r="E7045" s="25"/>
      <c r="F7045" s="25"/>
      <c r="G7045" s="25"/>
      <c r="H7045" s="25"/>
      <c r="I7045" s="25"/>
      <c r="J7045" s="25"/>
      <c r="K7045" s="25"/>
    </row>
    <row r="7046" customFormat="false" ht="15" hidden="false" customHeight="false" outlineLevel="0" collapsed="false">
      <c r="A7046" s="3" t="s">
        <v>556</v>
      </c>
      <c r="C7046" s="27" t="n">
        <f aca="false">Assumptions!$M$57</f>
        <v>1</v>
      </c>
    </row>
    <row r="7047" customFormat="false" ht="15" hidden="false" customHeight="false" outlineLevel="0" collapsed="false">
      <c r="A7047" s="3" t="s">
        <v>557</v>
      </c>
      <c r="C7047" s="27" t="n">
        <f aca="false">Assumptions!$M$58</f>
        <v>1</v>
      </c>
    </row>
    <row r="7048" customFormat="false" ht="15" hidden="false" customHeight="false" outlineLevel="0" collapsed="false">
      <c r="A7048" s="3" t="s">
        <v>558</v>
      </c>
      <c r="C7048" s="27" t="n">
        <f aca="false">Assumptions!$M$59</f>
        <v>1</v>
      </c>
    </row>
    <row r="7049" customFormat="false" ht="15" hidden="false" customHeight="false" outlineLevel="0" collapsed="false">
      <c r="A7049" s="3" t="s">
        <v>559</v>
      </c>
      <c r="C7049" s="27" t="n">
        <f aca="false">Assumptions!$M$60</f>
        <v>2</v>
      </c>
    </row>
    <row r="7050" customFormat="false" ht="15" hidden="false" customHeight="false" outlineLevel="0" collapsed="false">
      <c r="A7050" s="3" t="s">
        <v>560</v>
      </c>
      <c r="C7050" s="27" t="n">
        <f aca="false">Assumptions!$M$61</f>
        <v>2</v>
      </c>
    </row>
    <row r="7051" customFormat="false" ht="15" hidden="false" customHeight="false" outlineLevel="0" collapsed="false">
      <c r="A7051" s="3" t="s">
        <v>561</v>
      </c>
      <c r="C7051" s="27" t="n">
        <f aca="false">Assumptions!$M$62</f>
        <v>2</v>
      </c>
    </row>
    <row r="7052" customFormat="false" ht="15" hidden="false" customHeight="false" outlineLevel="0" collapsed="false">
      <c r="A7052" s="3" t="s">
        <v>562</v>
      </c>
      <c r="C7052" s="27" t="n">
        <f aca="false">Assumptions!$M$63</f>
        <v>2</v>
      </c>
    </row>
    <row r="7053" customFormat="false" ht="15" hidden="false" customHeight="false" outlineLevel="0" collapsed="false">
      <c r="A7053" s="3" t="s">
        <v>563</v>
      </c>
      <c r="C7053" s="27" t="n">
        <f aca="false">Assumptions!$M$64</f>
        <v>2</v>
      </c>
    </row>
    <row r="7054" customFormat="false" ht="15" hidden="false" customHeight="false" outlineLevel="0" collapsed="false">
      <c r="A7054" s="3" t="s">
        <v>564</v>
      </c>
      <c r="C7054" s="27" t="n">
        <f aca="false">Assumptions!$M$65</f>
        <v>2</v>
      </c>
    </row>
    <row r="7055" customFormat="false" ht="15" hidden="false" customHeight="false" outlineLevel="0" collapsed="false">
      <c r="A7055" s="3" t="s">
        <v>565</v>
      </c>
      <c r="C7055" s="27" t="n">
        <f aca="false">Assumptions!$M$66</f>
        <v>3</v>
      </c>
    </row>
    <row r="7056" customFormat="false" ht="15" hidden="false" customHeight="false" outlineLevel="0" collapsed="false">
      <c r="A7056" s="24" t="s">
        <v>567</v>
      </c>
      <c r="B7056" s="25"/>
      <c r="C7056" s="25"/>
      <c r="D7056" s="25"/>
      <c r="E7056" s="25"/>
      <c r="F7056" s="25"/>
      <c r="G7056" s="25"/>
      <c r="H7056" s="25"/>
      <c r="I7056" s="25"/>
      <c r="J7056" s="25"/>
      <c r="K7056" s="25"/>
    </row>
    <row r="7057" customFormat="false" ht="15" hidden="false" customHeight="false" outlineLevel="0" collapsed="false">
      <c r="A7057" s="3" t="s">
        <v>556</v>
      </c>
      <c r="C7057" s="33" t="n">
        <f aca="false">Assumptions!$Q$57</f>
        <v>0.3</v>
      </c>
    </row>
    <row r="7058" customFormat="false" ht="15" hidden="false" customHeight="false" outlineLevel="0" collapsed="false">
      <c r="A7058" s="3" t="s">
        <v>557</v>
      </c>
      <c r="C7058" s="33" t="n">
        <f aca="false">Assumptions!$Q$58</f>
        <v>0.033</v>
      </c>
    </row>
    <row r="7059" customFormat="false" ht="15" hidden="false" customHeight="false" outlineLevel="0" collapsed="false">
      <c r="A7059" s="3" t="s">
        <v>558</v>
      </c>
      <c r="C7059" s="33" t="n">
        <f aca="false">Assumptions!$Q$59</f>
        <v>0.021</v>
      </c>
    </row>
    <row r="7060" customFormat="false" ht="15" hidden="false" customHeight="false" outlineLevel="0" collapsed="false">
      <c r="A7060" s="3" t="s">
        <v>559</v>
      </c>
      <c r="C7060" s="33" t="n">
        <f aca="false">Assumptions!$Q$60</f>
        <v>0</v>
      </c>
    </row>
    <row r="7061" customFormat="false" ht="15" hidden="false" customHeight="false" outlineLevel="0" collapsed="false">
      <c r="A7061" s="3" t="s">
        <v>560</v>
      </c>
      <c r="C7061" s="33" t="n">
        <f aca="false">Assumptions!$Q$61</f>
        <v>0</v>
      </c>
    </row>
    <row r="7062" customFormat="false" ht="15" hidden="false" customHeight="false" outlineLevel="0" collapsed="false">
      <c r="A7062" s="3" t="s">
        <v>561</v>
      </c>
      <c r="C7062" s="33" t="n">
        <f aca="false">Assumptions!$Q$62</f>
        <v>0</v>
      </c>
    </row>
    <row r="7063" customFormat="false" ht="15" hidden="false" customHeight="false" outlineLevel="0" collapsed="false">
      <c r="A7063" s="3" t="s">
        <v>562</v>
      </c>
      <c r="C7063" s="33" t="n">
        <f aca="false">Assumptions!$Q$63</f>
        <v>0</v>
      </c>
    </row>
    <row r="7064" customFormat="false" ht="15" hidden="false" customHeight="false" outlineLevel="0" collapsed="false">
      <c r="A7064" s="3" t="s">
        <v>563</v>
      </c>
      <c r="C7064" s="33" t="n">
        <f aca="false">Assumptions!$Q$64</f>
        <v>0</v>
      </c>
    </row>
    <row r="7065" customFormat="false" ht="15" hidden="false" customHeight="false" outlineLevel="0" collapsed="false">
      <c r="A7065" s="3" t="s">
        <v>564</v>
      </c>
      <c r="C7065" s="33" t="n">
        <f aca="false">Assumptions!$Q$65</f>
        <v>0</v>
      </c>
    </row>
    <row r="7066" customFormat="false" ht="15" hidden="false" customHeight="false" outlineLevel="0" collapsed="false">
      <c r="A7066" s="3" t="s">
        <v>565</v>
      </c>
      <c r="C7066" s="33" t="n">
        <f aca="false">Assumptions!$Q$66</f>
        <v>0</v>
      </c>
    </row>
    <row r="7067" customFormat="false" ht="15" hidden="false" customHeight="false" outlineLevel="0" collapsed="false">
      <c r="A7067" s="24" t="s">
        <v>568</v>
      </c>
      <c r="B7067" s="25"/>
      <c r="C7067" s="25"/>
      <c r="D7067" s="25"/>
      <c r="E7067" s="25"/>
      <c r="F7067" s="25"/>
      <c r="G7067" s="25"/>
      <c r="H7067" s="25"/>
      <c r="I7067" s="25"/>
      <c r="J7067" s="25"/>
      <c r="K7067" s="25"/>
    </row>
    <row r="7068" customFormat="false" ht="15" hidden="false" customHeight="false" outlineLevel="0" collapsed="false">
      <c r="A7068" s="3" t="s">
        <v>556</v>
      </c>
      <c r="C7068" s="16" t="n">
        <f aca="false">IF(C7057&gt;0,MIN(C7035,C7057*$C$7033),0)</f>
        <v>388</v>
      </c>
    </row>
    <row r="7069" customFormat="false" ht="15" hidden="false" customHeight="false" outlineLevel="0" collapsed="false">
      <c r="A7069" s="3" t="s">
        <v>557</v>
      </c>
      <c r="C7069" s="16" t="n">
        <f aca="false">IF(C7058&gt;0,MIN(C7036,C7058*$C$7033),0)</f>
        <v>79.989133944159</v>
      </c>
    </row>
    <row r="7070" customFormat="false" ht="15" hidden="false" customHeight="false" outlineLevel="0" collapsed="false">
      <c r="A7070" s="3" t="s">
        <v>558</v>
      </c>
      <c r="C7070" s="16" t="n">
        <f aca="false">IF(C7059&gt;0,MIN(C7037,C7059*$C$7033),0)</f>
        <v>50.902176146283</v>
      </c>
    </row>
    <row r="7071" customFormat="false" ht="15" hidden="false" customHeight="false" outlineLevel="0" collapsed="false">
      <c r="A7071" s="3" t="s">
        <v>559</v>
      </c>
      <c r="C7071" s="16" t="n">
        <f aca="false">IF(C7060&gt;0,MIN(C7038,C7060*$C$7033),0)</f>
        <v>0</v>
      </c>
    </row>
    <row r="7072" customFormat="false" ht="15" hidden="false" customHeight="false" outlineLevel="0" collapsed="false">
      <c r="A7072" s="3" t="s">
        <v>560</v>
      </c>
      <c r="C7072" s="16" t="n">
        <f aca="false">IF(C7061&gt;0,MIN(C7039,C7061*$C$7033),0)</f>
        <v>0</v>
      </c>
    </row>
    <row r="7073" customFormat="false" ht="15" hidden="false" customHeight="false" outlineLevel="0" collapsed="false">
      <c r="A7073" s="3" t="s">
        <v>561</v>
      </c>
      <c r="C7073" s="16" t="n">
        <f aca="false">IF(C7062&gt;0,MIN(C7040,C7062*$C$7033),0)</f>
        <v>0</v>
      </c>
    </row>
    <row r="7074" customFormat="false" ht="15" hidden="false" customHeight="false" outlineLevel="0" collapsed="false">
      <c r="A7074" s="3" t="s">
        <v>562</v>
      </c>
      <c r="C7074" s="16" t="n">
        <f aca="false">IF(C7063&gt;0,MIN(C7041,C7063*$C$7033),0)</f>
        <v>0</v>
      </c>
    </row>
    <row r="7075" customFormat="false" ht="15" hidden="false" customHeight="false" outlineLevel="0" collapsed="false">
      <c r="A7075" s="3" t="s">
        <v>563</v>
      </c>
      <c r="C7075" s="16" t="n">
        <f aca="false">IF(C7064&gt;0,MIN(C7042,C7064*$C$7033),0)</f>
        <v>0</v>
      </c>
    </row>
    <row r="7076" customFormat="false" ht="15" hidden="false" customHeight="false" outlineLevel="0" collapsed="false">
      <c r="A7076" s="3" t="s">
        <v>564</v>
      </c>
      <c r="C7076" s="16" t="n">
        <f aca="false">IF(C7065&gt;0,MIN(C7043,C7065*$C$7033),0)</f>
        <v>0</v>
      </c>
    </row>
    <row r="7077" customFormat="false" ht="15" hidden="false" customHeight="false" outlineLevel="0" collapsed="false">
      <c r="A7077" s="3" t="s">
        <v>565</v>
      </c>
      <c r="C7077" s="16" t="n">
        <f aca="false">IF(C7066&gt;0,MIN(C7044,C7066*$C$7033),0)</f>
        <v>0</v>
      </c>
    </row>
    <row r="7078" customFormat="false" ht="15" hidden="false" customHeight="false" outlineLevel="0" collapsed="false">
      <c r="A7078" s="24" t="s">
        <v>569</v>
      </c>
      <c r="B7078" s="25"/>
      <c r="C7078" s="25"/>
      <c r="D7078" s="25"/>
      <c r="E7078" s="25"/>
      <c r="F7078" s="25"/>
      <c r="G7078" s="25"/>
      <c r="H7078" s="25"/>
      <c r="I7078" s="25"/>
      <c r="J7078" s="25"/>
      <c r="K7078" s="25"/>
    </row>
    <row r="7079" customFormat="false" ht="15" hidden="false" customHeight="false" outlineLevel="0" collapsed="false">
      <c r="A7079" s="3" t="s">
        <v>556</v>
      </c>
      <c r="C7079" s="16" t="n">
        <f aca="false">IF(C7057&gt;0,C7035-C7068,0)</f>
        <v>0</v>
      </c>
    </row>
    <row r="7080" customFormat="false" ht="15" hidden="false" customHeight="false" outlineLevel="0" collapsed="false">
      <c r="A7080" s="3" t="s">
        <v>557</v>
      </c>
      <c r="C7080" s="16" t="n">
        <f aca="false">IF(C7058&gt;0,C7036-C7069,0)</f>
        <v>10.010866055841</v>
      </c>
    </row>
    <row r="7081" customFormat="false" ht="15" hidden="false" customHeight="false" outlineLevel="0" collapsed="false">
      <c r="A7081" s="3" t="s">
        <v>558</v>
      </c>
      <c r="C7081" s="16" t="n">
        <f aca="false">IF(C7059&gt;0,C7037-C7070,0)</f>
        <v>6.42182385371699</v>
      </c>
    </row>
    <row r="7082" customFormat="false" ht="15" hidden="false" customHeight="false" outlineLevel="0" collapsed="false">
      <c r="A7082" s="3" t="s">
        <v>559</v>
      </c>
      <c r="C7082" s="16" t="n">
        <f aca="false">IF(C7060&gt;0,C7038-C7071,0)</f>
        <v>0</v>
      </c>
    </row>
    <row r="7083" customFormat="false" ht="15" hidden="false" customHeight="false" outlineLevel="0" collapsed="false">
      <c r="A7083" s="3" t="s">
        <v>560</v>
      </c>
      <c r="C7083" s="16" t="n">
        <f aca="false">IF(C7061&gt;0,C7039-C7072,0)</f>
        <v>0</v>
      </c>
    </row>
    <row r="7084" customFormat="false" ht="15" hidden="false" customHeight="false" outlineLevel="0" collapsed="false">
      <c r="A7084" s="3" t="s">
        <v>561</v>
      </c>
      <c r="C7084" s="16" t="n">
        <f aca="false">IF(C7062&gt;0,C7040-C7073,0)</f>
        <v>0</v>
      </c>
    </row>
    <row r="7085" customFormat="false" ht="15" hidden="false" customHeight="false" outlineLevel="0" collapsed="false">
      <c r="A7085" s="3" t="s">
        <v>562</v>
      </c>
      <c r="C7085" s="16" t="n">
        <f aca="false">IF(C7063&gt;0,C7041-C7074,0)</f>
        <v>0</v>
      </c>
    </row>
    <row r="7086" customFormat="false" ht="15" hidden="false" customHeight="false" outlineLevel="0" collapsed="false">
      <c r="A7086" s="3" t="s">
        <v>563</v>
      </c>
      <c r="C7086" s="16" t="n">
        <f aca="false">IF(C7064&gt;0,C7042-C7075,0)</f>
        <v>0</v>
      </c>
    </row>
    <row r="7087" customFormat="false" ht="15" hidden="false" customHeight="false" outlineLevel="0" collapsed="false">
      <c r="A7087" s="3" t="s">
        <v>564</v>
      </c>
      <c r="C7087" s="16" t="n">
        <f aca="false">IF(C7065&gt;0,C7043-C7076,0)</f>
        <v>0</v>
      </c>
    </row>
    <row r="7088" customFormat="false" ht="15" hidden="false" customHeight="false" outlineLevel="0" collapsed="false">
      <c r="A7088" s="3" t="s">
        <v>565</v>
      </c>
      <c r="C7088" s="16" t="n">
        <f aca="false">IF(C7066&gt;0,C7044-C7077,0)</f>
        <v>0</v>
      </c>
    </row>
    <row r="7089" customFormat="false" ht="15" hidden="false" customHeight="false" outlineLevel="0" collapsed="false">
      <c r="A7089" s="24" t="s">
        <v>570</v>
      </c>
      <c r="B7089" s="25"/>
      <c r="C7089" s="25"/>
      <c r="D7089" s="25"/>
      <c r="E7089" s="25"/>
      <c r="F7089" s="25"/>
      <c r="G7089" s="25"/>
      <c r="H7089" s="25"/>
      <c r="I7089" s="25"/>
      <c r="J7089" s="25"/>
      <c r="K7089" s="25"/>
    </row>
    <row r="7090" customFormat="false" ht="15" hidden="false" customHeight="false" outlineLevel="0" collapsed="false">
      <c r="A7090" s="3" t="s">
        <v>556</v>
      </c>
      <c r="C7090" s="16" t="n">
        <f aca="false">IF(C7057&gt;0,C7079,C7035)</f>
        <v>0</v>
      </c>
    </row>
    <row r="7091" customFormat="false" ht="15" hidden="false" customHeight="false" outlineLevel="0" collapsed="false">
      <c r="A7091" s="3" t="s">
        <v>557</v>
      </c>
      <c r="C7091" s="16" t="n">
        <f aca="false">IF(C7058&gt;0,C7080,C7036)</f>
        <v>10.010866055841</v>
      </c>
    </row>
    <row r="7092" customFormat="false" ht="15" hidden="false" customHeight="false" outlineLevel="0" collapsed="false">
      <c r="A7092" s="3" t="s">
        <v>558</v>
      </c>
      <c r="C7092" s="16" t="n">
        <f aca="false">IF(C7059&gt;0,C7081,C7037)</f>
        <v>6.42182385371699</v>
      </c>
    </row>
    <row r="7093" customFormat="false" ht="15" hidden="false" customHeight="false" outlineLevel="0" collapsed="false">
      <c r="A7093" s="3" t="s">
        <v>559</v>
      </c>
      <c r="C7093" s="16" t="n">
        <f aca="false">IF(C7060&gt;0,C7082,C7038)</f>
        <v>0</v>
      </c>
    </row>
    <row r="7094" customFormat="false" ht="15" hidden="false" customHeight="false" outlineLevel="0" collapsed="false">
      <c r="A7094" s="3" t="s">
        <v>560</v>
      </c>
      <c r="C7094" s="16" t="n">
        <f aca="false">IF(C7061&gt;0,C7083,C7039)</f>
        <v>401.446357881</v>
      </c>
    </row>
    <row r="7095" customFormat="false" ht="15" hidden="false" customHeight="false" outlineLevel="0" collapsed="false">
      <c r="A7095" s="3" t="s">
        <v>561</v>
      </c>
      <c r="C7095" s="16" t="n">
        <f aca="false">IF(C7062&gt;0,C7084,C7040)</f>
        <v>350</v>
      </c>
    </row>
    <row r="7096" customFormat="false" ht="15" hidden="false" customHeight="false" outlineLevel="0" collapsed="false">
      <c r="A7096" s="3" t="s">
        <v>562</v>
      </c>
      <c r="C7096" s="16" t="n">
        <f aca="false">IF(C7063&gt;0,C7085,C7041)</f>
        <v>550</v>
      </c>
    </row>
    <row r="7097" customFormat="false" ht="15" hidden="false" customHeight="false" outlineLevel="0" collapsed="false">
      <c r="A7097" s="3" t="s">
        <v>563</v>
      </c>
      <c r="C7097" s="16" t="n">
        <f aca="false">IF(C7064&gt;0,C7086,C7042)</f>
        <v>350</v>
      </c>
    </row>
    <row r="7098" customFormat="false" ht="15" hidden="false" customHeight="false" outlineLevel="0" collapsed="false">
      <c r="A7098" s="3" t="s">
        <v>564</v>
      </c>
      <c r="C7098" s="16" t="n">
        <f aca="false">IF(C7065&gt;0,C7087,C7043)</f>
        <v>300</v>
      </c>
    </row>
    <row r="7099" customFormat="false" ht="15" hidden="false" customHeight="false" outlineLevel="0" collapsed="false">
      <c r="A7099" s="3" t="s">
        <v>565</v>
      </c>
      <c r="C7099" s="16" t="n">
        <f aca="false">IF(C7066&gt;0,C7088,C7044)</f>
        <v>78.61</v>
      </c>
    </row>
    <row r="7100" customFormat="false" ht="15" hidden="false" customHeight="false" outlineLevel="0" collapsed="false">
      <c r="A7100" s="24" t="s">
        <v>571</v>
      </c>
      <c r="B7100" s="25"/>
      <c r="C7100" s="25"/>
      <c r="D7100" s="25"/>
      <c r="E7100" s="25"/>
      <c r="F7100" s="25"/>
      <c r="G7100" s="25"/>
      <c r="H7100" s="25"/>
      <c r="I7100" s="25"/>
      <c r="J7100" s="25"/>
      <c r="K7100" s="25"/>
    </row>
    <row r="7101" customFormat="false" ht="15" hidden="false" customHeight="false" outlineLevel="0" collapsed="false">
      <c r="A7101" s="3" t="s">
        <v>556</v>
      </c>
      <c r="C7101" s="21" t="n">
        <f aca="false">IF(C7057&gt;0,Assumptions!$C$17,C7046)</f>
        <v>99</v>
      </c>
    </row>
    <row r="7102" customFormat="false" ht="15" hidden="false" customHeight="false" outlineLevel="0" collapsed="false">
      <c r="A7102" s="3" t="s">
        <v>557</v>
      </c>
      <c r="C7102" s="21" t="n">
        <f aca="false">IF(C7058&gt;0,Assumptions!$C$17,C7047)</f>
        <v>99</v>
      </c>
    </row>
    <row r="7103" customFormat="false" ht="15" hidden="false" customHeight="false" outlineLevel="0" collapsed="false">
      <c r="A7103" s="3" t="s">
        <v>558</v>
      </c>
      <c r="C7103" s="21" t="n">
        <f aca="false">IF(C7059&gt;0,Assumptions!$C$17,C7048)</f>
        <v>99</v>
      </c>
    </row>
    <row r="7104" customFormat="false" ht="15" hidden="false" customHeight="false" outlineLevel="0" collapsed="false">
      <c r="A7104" s="3" t="s">
        <v>559</v>
      </c>
      <c r="C7104" s="21" t="n">
        <f aca="false">IF(C7060&gt;0,Assumptions!$C$17,C7049)</f>
        <v>2</v>
      </c>
    </row>
    <row r="7105" customFormat="false" ht="15" hidden="false" customHeight="false" outlineLevel="0" collapsed="false">
      <c r="A7105" s="3" t="s">
        <v>560</v>
      </c>
      <c r="C7105" s="21" t="n">
        <f aca="false">IF(C7061&gt;0,Assumptions!$C$17,C7050)</f>
        <v>2</v>
      </c>
    </row>
    <row r="7106" customFormat="false" ht="15" hidden="false" customHeight="false" outlineLevel="0" collapsed="false">
      <c r="A7106" s="3" t="s">
        <v>561</v>
      </c>
      <c r="C7106" s="21" t="n">
        <f aca="false">IF(C7062&gt;0,Assumptions!$C$17,C7051)</f>
        <v>2</v>
      </c>
    </row>
    <row r="7107" customFormat="false" ht="15" hidden="false" customHeight="false" outlineLevel="0" collapsed="false">
      <c r="A7107" s="3" t="s">
        <v>562</v>
      </c>
      <c r="C7107" s="21" t="n">
        <f aca="false">IF(C7063&gt;0,Assumptions!$C$17,C7052)</f>
        <v>2</v>
      </c>
    </row>
    <row r="7108" customFormat="false" ht="15" hidden="false" customHeight="false" outlineLevel="0" collapsed="false">
      <c r="A7108" s="3" t="s">
        <v>563</v>
      </c>
      <c r="C7108" s="21" t="n">
        <f aca="false">IF(C7064&gt;0,Assumptions!$C$17,C7053)</f>
        <v>2</v>
      </c>
    </row>
    <row r="7109" customFormat="false" ht="15" hidden="false" customHeight="false" outlineLevel="0" collapsed="false">
      <c r="A7109" s="3" t="s">
        <v>564</v>
      </c>
      <c r="C7109" s="21" t="n">
        <f aca="false">IF(C7065&gt;0,Assumptions!$C$17,C7054)</f>
        <v>2</v>
      </c>
    </row>
    <row r="7110" customFormat="false" ht="15" hidden="false" customHeight="false" outlineLevel="0" collapsed="false">
      <c r="A7110" s="3" t="s">
        <v>565</v>
      </c>
      <c r="C7110" s="21" t="n">
        <f aca="false">IF(C7066&gt;0,Assumptions!$C$17,C7055)</f>
        <v>3</v>
      </c>
    </row>
    <row r="7111" customFormat="false" ht="15" hidden="false" customHeight="false" outlineLevel="0" collapsed="false">
      <c r="A7111" s="24" t="s">
        <v>572</v>
      </c>
      <c r="B7111" s="25"/>
      <c r="C7111" s="25"/>
      <c r="D7111" s="25"/>
      <c r="E7111" s="25"/>
      <c r="F7111" s="25"/>
      <c r="G7111" s="25"/>
      <c r="H7111" s="25"/>
      <c r="I7111" s="25"/>
      <c r="J7111" s="25"/>
      <c r="K7111" s="25"/>
    </row>
    <row r="7112" customFormat="false" ht="15" hidden="false" customHeight="false" outlineLevel="0" collapsed="false">
      <c r="A7112" s="3" t="s">
        <v>556</v>
      </c>
      <c r="C7112" s="16" t="n">
        <f aca="false">SUMPRODUCT(($C$7101:$C$7110&lt;C7101)*$C$7090:$C$7099)</f>
        <v>2030.056357881</v>
      </c>
    </row>
    <row r="7113" customFormat="false" ht="15" hidden="false" customHeight="false" outlineLevel="0" collapsed="false">
      <c r="A7113" s="3" t="s">
        <v>557</v>
      </c>
      <c r="C7113" s="16" t="n">
        <f aca="false">SUMPRODUCT(($C$7101:$C$7110&lt;C7102)*$C$7090:$C$7099)</f>
        <v>2030.056357881</v>
      </c>
    </row>
    <row r="7114" customFormat="false" ht="15" hidden="false" customHeight="false" outlineLevel="0" collapsed="false">
      <c r="A7114" s="3" t="s">
        <v>558</v>
      </c>
      <c r="C7114" s="16" t="n">
        <f aca="false">SUMPRODUCT(($C$7101:$C$7110&lt;C7103)*$C$7090:$C$7099)</f>
        <v>2030.056357881</v>
      </c>
    </row>
    <row r="7115" customFormat="false" ht="15" hidden="false" customHeight="false" outlineLevel="0" collapsed="false">
      <c r="A7115" s="3" t="s">
        <v>559</v>
      </c>
      <c r="C7115" s="16" t="n">
        <f aca="false">SUMPRODUCT(($C$7101:$C$7110&lt;C7104)*$C$7090:$C$7099)</f>
        <v>0</v>
      </c>
    </row>
    <row r="7116" customFormat="false" ht="15" hidden="false" customHeight="false" outlineLevel="0" collapsed="false">
      <c r="A7116" s="3" t="s">
        <v>560</v>
      </c>
      <c r="C7116" s="16" t="n">
        <f aca="false">SUMPRODUCT(($C$7101:$C$7110&lt;C7105)*$C$7090:$C$7099)</f>
        <v>0</v>
      </c>
    </row>
    <row r="7117" customFormat="false" ht="15" hidden="false" customHeight="false" outlineLevel="0" collapsed="false">
      <c r="A7117" s="3" t="s">
        <v>561</v>
      </c>
      <c r="C7117" s="16" t="n">
        <f aca="false">SUMPRODUCT(($C$7101:$C$7110&lt;C7106)*$C$7090:$C$7099)</f>
        <v>0</v>
      </c>
    </row>
    <row r="7118" customFormat="false" ht="15" hidden="false" customHeight="false" outlineLevel="0" collapsed="false">
      <c r="A7118" s="3" t="s">
        <v>562</v>
      </c>
      <c r="C7118" s="16" t="n">
        <f aca="false">SUMPRODUCT(($C$7101:$C$7110&lt;C7107)*$C$7090:$C$7099)</f>
        <v>0</v>
      </c>
    </row>
    <row r="7119" customFormat="false" ht="15" hidden="false" customHeight="false" outlineLevel="0" collapsed="false">
      <c r="A7119" s="3" t="s">
        <v>563</v>
      </c>
      <c r="C7119" s="16" t="n">
        <f aca="false">SUMPRODUCT(($C$7101:$C$7110&lt;C7108)*$C$7090:$C$7099)</f>
        <v>0</v>
      </c>
    </row>
    <row r="7120" customFormat="false" ht="15" hidden="false" customHeight="false" outlineLevel="0" collapsed="false">
      <c r="A7120" s="3" t="s">
        <v>564</v>
      </c>
      <c r="C7120" s="16" t="n">
        <f aca="false">SUMPRODUCT(($C$7101:$C$7110&lt;C7109)*$C$7090:$C$7099)</f>
        <v>0</v>
      </c>
    </row>
    <row r="7121" customFormat="false" ht="15" hidden="false" customHeight="false" outlineLevel="0" collapsed="false">
      <c r="A7121" s="3" t="s">
        <v>565</v>
      </c>
      <c r="C7121" s="16" t="n">
        <f aca="false">SUMPRODUCT(($C$7101:$C$7110&lt;C7110)*$C$7090:$C$7099)</f>
        <v>1951.446357881</v>
      </c>
    </row>
    <row r="7122" customFormat="false" ht="15" hidden="false" customHeight="false" outlineLevel="0" collapsed="false">
      <c r="A7122" s="24" t="s">
        <v>573</v>
      </c>
      <c r="B7122" s="25"/>
      <c r="C7122" s="25"/>
      <c r="D7122" s="25"/>
      <c r="E7122" s="25"/>
      <c r="F7122" s="25"/>
      <c r="G7122" s="25"/>
      <c r="H7122" s="25"/>
      <c r="I7122" s="25"/>
      <c r="J7122" s="25"/>
      <c r="K7122" s="25"/>
    </row>
    <row r="7123" customFormat="false" ht="15" hidden="false" customHeight="false" outlineLevel="0" collapsed="false">
      <c r="A7123" s="3" t="s">
        <v>556</v>
      </c>
      <c r="C7123" s="16" t="n">
        <f aca="false">SUMPRODUCT(($C$7101:$C$7110=C7101)*$C$7090:$C$7099)</f>
        <v>16.432689909558</v>
      </c>
    </row>
    <row r="7124" customFormat="false" ht="15" hidden="false" customHeight="false" outlineLevel="0" collapsed="false">
      <c r="A7124" s="3" t="s">
        <v>557</v>
      </c>
      <c r="C7124" s="16" t="n">
        <f aca="false">SUMPRODUCT(($C$7101:$C$7110=C7102)*$C$7090:$C$7099)</f>
        <v>16.432689909558</v>
      </c>
    </row>
    <row r="7125" customFormat="false" ht="15" hidden="false" customHeight="false" outlineLevel="0" collapsed="false">
      <c r="A7125" s="3" t="s">
        <v>558</v>
      </c>
      <c r="C7125" s="16" t="n">
        <f aca="false">SUMPRODUCT(($C$7101:$C$7110=C7103)*$C$7090:$C$7099)</f>
        <v>16.432689909558</v>
      </c>
    </row>
    <row r="7126" customFormat="false" ht="15" hidden="false" customHeight="false" outlineLevel="0" collapsed="false">
      <c r="A7126" s="3" t="s">
        <v>559</v>
      </c>
      <c r="C7126" s="16" t="n">
        <f aca="false">SUMPRODUCT(($C$7101:$C$7110=C7104)*$C$7090:$C$7099)</f>
        <v>1951.446357881</v>
      </c>
    </row>
    <row r="7127" customFormat="false" ht="15" hidden="false" customHeight="false" outlineLevel="0" collapsed="false">
      <c r="A7127" s="3" t="s">
        <v>560</v>
      </c>
      <c r="C7127" s="16" t="n">
        <f aca="false">SUMPRODUCT(($C$7101:$C$7110=C7105)*$C$7090:$C$7099)</f>
        <v>1951.446357881</v>
      </c>
    </row>
    <row r="7128" customFormat="false" ht="15" hidden="false" customHeight="false" outlineLevel="0" collapsed="false">
      <c r="A7128" s="3" t="s">
        <v>561</v>
      </c>
      <c r="C7128" s="16" t="n">
        <f aca="false">SUMPRODUCT(($C$7101:$C$7110=C7106)*$C$7090:$C$7099)</f>
        <v>1951.446357881</v>
      </c>
    </row>
    <row r="7129" customFormat="false" ht="15" hidden="false" customHeight="false" outlineLevel="0" collapsed="false">
      <c r="A7129" s="3" t="s">
        <v>562</v>
      </c>
      <c r="C7129" s="16" t="n">
        <f aca="false">SUMPRODUCT(($C$7101:$C$7110=C7107)*$C$7090:$C$7099)</f>
        <v>1951.446357881</v>
      </c>
    </row>
    <row r="7130" customFormat="false" ht="15" hidden="false" customHeight="false" outlineLevel="0" collapsed="false">
      <c r="A7130" s="3" t="s">
        <v>563</v>
      </c>
      <c r="C7130" s="16" t="n">
        <f aca="false">SUMPRODUCT(($C$7101:$C$7110=C7108)*$C$7090:$C$7099)</f>
        <v>1951.446357881</v>
      </c>
    </row>
    <row r="7131" customFormat="false" ht="15" hidden="false" customHeight="false" outlineLevel="0" collapsed="false">
      <c r="A7131" s="3" t="s">
        <v>564</v>
      </c>
      <c r="C7131" s="16" t="n">
        <f aca="false">SUMPRODUCT(($C$7101:$C$7110=C7109)*$C$7090:$C$7099)</f>
        <v>1951.446357881</v>
      </c>
    </row>
    <row r="7132" customFormat="false" ht="15" hidden="false" customHeight="false" outlineLevel="0" collapsed="false">
      <c r="A7132" s="3" t="s">
        <v>565</v>
      </c>
      <c r="C7132" s="16" t="n">
        <f aca="false">SUMPRODUCT(($C$7101:$C$7110=C7110)*$C$7090:$C$7099)</f>
        <v>78.61</v>
      </c>
    </row>
    <row r="7133" customFormat="false" ht="15" hidden="false" customHeight="false" outlineLevel="0" collapsed="false">
      <c r="A7133" s="24" t="s">
        <v>574</v>
      </c>
      <c r="B7133" s="25"/>
      <c r="C7133" s="25"/>
      <c r="D7133" s="25"/>
      <c r="E7133" s="25"/>
      <c r="F7133" s="25"/>
      <c r="G7133" s="25"/>
      <c r="H7133" s="25"/>
      <c r="I7133" s="25"/>
      <c r="J7133" s="25"/>
      <c r="K7133" s="25"/>
    </row>
    <row r="7134" customFormat="false" ht="15" hidden="false" customHeight="false" outlineLevel="0" collapsed="false">
      <c r="A7134" s="3" t="s">
        <v>556</v>
      </c>
      <c r="C7134" s="16" t="n">
        <f aca="false">IF(C7123=0,0,C7090/C7123*MAX(0,MIN(C7123,$C$7033-SUM($C$7068:$C$7077)-C7112)))</f>
        <v>0</v>
      </c>
    </row>
    <row r="7135" customFormat="false" ht="15" hidden="false" customHeight="false" outlineLevel="0" collapsed="false">
      <c r="A7135" s="3" t="s">
        <v>557</v>
      </c>
      <c r="C7135" s="16" t="n">
        <f aca="false">IF(C7124=0,0,C7091/C7124*MAX(0,MIN(C7124,$C$7033-SUM($C$7068:$C$7077)-C7113)))</f>
        <v>0</v>
      </c>
    </row>
    <row r="7136" customFormat="false" ht="15" hidden="false" customHeight="false" outlineLevel="0" collapsed="false">
      <c r="A7136" s="3" t="s">
        <v>558</v>
      </c>
      <c r="C7136" s="16" t="n">
        <f aca="false">IF(C7125=0,0,C7092/C7125*MAX(0,MIN(C7125,$C$7033-SUM($C$7068:$C$7077)-C7114)))</f>
        <v>0</v>
      </c>
    </row>
    <row r="7137" customFormat="false" ht="15" hidden="false" customHeight="false" outlineLevel="0" collapsed="false">
      <c r="A7137" s="3" t="s">
        <v>559</v>
      </c>
      <c r="C7137" s="16" t="n">
        <f aca="false">IF(C7126=0,0,C7093/C7126*MAX(0,MIN(C7126,$C$7033-SUM($C$7068:$C$7077)-C7115)))</f>
        <v>0</v>
      </c>
    </row>
    <row r="7138" customFormat="false" ht="15" hidden="false" customHeight="false" outlineLevel="0" collapsed="false">
      <c r="A7138" s="3" t="s">
        <v>560</v>
      </c>
      <c r="C7138" s="16" t="n">
        <f aca="false">IF(C7127=0,0,C7094/C7127*MAX(0,MIN(C7127,$C$7033-SUM($C$7068:$C$7077)-C7116)))</f>
        <v>391.896029401918</v>
      </c>
    </row>
    <row r="7139" customFormat="false" ht="15" hidden="false" customHeight="false" outlineLevel="0" collapsed="false">
      <c r="A7139" s="3" t="s">
        <v>561</v>
      </c>
      <c r="C7139" s="16" t="n">
        <f aca="false">IF(C7128=0,0,C7095/C7128*MAX(0,MIN(C7128,$C$7033-SUM($C$7068:$C$7077)-C7117)))</f>
        <v>341.673570074661</v>
      </c>
    </row>
    <row r="7140" customFormat="false" ht="15" hidden="false" customHeight="false" outlineLevel="0" collapsed="false">
      <c r="A7140" s="3" t="s">
        <v>562</v>
      </c>
      <c r="C7140" s="16" t="n">
        <f aca="false">IF(C7129=0,0,C7096/C7129*MAX(0,MIN(C7129,$C$7033-SUM($C$7068:$C$7077)-C7118)))</f>
        <v>536.915610117324</v>
      </c>
    </row>
    <row r="7141" customFormat="false" ht="15" hidden="false" customHeight="false" outlineLevel="0" collapsed="false">
      <c r="A7141" s="3" t="s">
        <v>563</v>
      </c>
      <c r="C7141" s="16" t="n">
        <f aca="false">IF(C7130=0,0,C7097/C7130*MAX(0,MIN(C7130,$C$7033-SUM($C$7068:$C$7077)-C7119)))</f>
        <v>341.673570074661</v>
      </c>
    </row>
    <row r="7142" customFormat="false" ht="15" hidden="false" customHeight="false" outlineLevel="0" collapsed="false">
      <c r="A7142" s="3" t="s">
        <v>564</v>
      </c>
      <c r="C7142" s="16" t="n">
        <f aca="false">IF(C7131=0,0,C7098/C7131*MAX(0,MIN(C7131,$C$7033-SUM($C$7068:$C$7077)-C7120)))</f>
        <v>292.863060063995</v>
      </c>
    </row>
    <row r="7143" customFormat="false" ht="15" hidden="false" customHeight="false" outlineLevel="0" collapsed="false">
      <c r="A7143" s="3" t="s">
        <v>565</v>
      </c>
      <c r="C7143" s="16" t="n">
        <f aca="false">IF(C7132=0,0,C7099/C7132*MAX(0,MIN(C7132,$C$7033-SUM($C$7068:$C$7077)-C7121)))</f>
        <v>0</v>
      </c>
    </row>
    <row r="7144" customFormat="false" ht="15" hidden="false" customHeight="false" outlineLevel="0" collapsed="false">
      <c r="A7144" s="24" t="s">
        <v>575</v>
      </c>
      <c r="B7144" s="25"/>
      <c r="C7144" s="25"/>
      <c r="D7144" s="25"/>
      <c r="E7144" s="25"/>
      <c r="F7144" s="25"/>
      <c r="G7144" s="25"/>
      <c r="H7144" s="25"/>
      <c r="I7144" s="25"/>
      <c r="J7144" s="25"/>
      <c r="K7144" s="25"/>
    </row>
    <row r="7145" customFormat="false" ht="15" hidden="false" customHeight="false" outlineLevel="0" collapsed="false">
      <c r="A7145" s="2" t="s">
        <v>556</v>
      </c>
      <c r="C7145" s="17" t="n">
        <f aca="false">C7068+C7134</f>
        <v>388</v>
      </c>
    </row>
    <row r="7146" customFormat="false" ht="15" hidden="false" customHeight="false" outlineLevel="0" collapsed="false">
      <c r="A7146" s="2" t="s">
        <v>557</v>
      </c>
      <c r="C7146" s="17" t="n">
        <f aca="false">C7069+C7135</f>
        <v>79.989133944159</v>
      </c>
    </row>
    <row r="7147" customFormat="false" ht="15" hidden="false" customHeight="false" outlineLevel="0" collapsed="false">
      <c r="A7147" s="2" t="s">
        <v>558</v>
      </c>
      <c r="C7147" s="17" t="n">
        <f aca="false">C7070+C7136</f>
        <v>50.902176146283</v>
      </c>
    </row>
    <row r="7148" customFormat="false" ht="15" hidden="false" customHeight="false" outlineLevel="0" collapsed="false">
      <c r="A7148" s="2" t="s">
        <v>559</v>
      </c>
      <c r="C7148" s="17" t="n">
        <f aca="false">C7071+C7137</f>
        <v>0</v>
      </c>
    </row>
    <row r="7149" customFormat="false" ht="15" hidden="false" customHeight="false" outlineLevel="0" collapsed="false">
      <c r="A7149" s="2" t="s">
        <v>560</v>
      </c>
      <c r="C7149" s="17" t="n">
        <f aca="false">C7072+C7138</f>
        <v>391.896029401918</v>
      </c>
    </row>
    <row r="7150" customFormat="false" ht="15" hidden="false" customHeight="false" outlineLevel="0" collapsed="false">
      <c r="A7150" s="2" t="s">
        <v>561</v>
      </c>
      <c r="C7150" s="17" t="n">
        <f aca="false">C7073+C7139</f>
        <v>341.673570074661</v>
      </c>
    </row>
    <row r="7151" customFormat="false" ht="15" hidden="false" customHeight="false" outlineLevel="0" collapsed="false">
      <c r="A7151" s="2" t="s">
        <v>562</v>
      </c>
      <c r="C7151" s="17" t="n">
        <f aca="false">C7074+C7140</f>
        <v>536.915610117324</v>
      </c>
    </row>
    <row r="7152" customFormat="false" ht="15" hidden="false" customHeight="false" outlineLevel="0" collapsed="false">
      <c r="A7152" s="2" t="s">
        <v>563</v>
      </c>
      <c r="C7152" s="17" t="n">
        <f aca="false">C7075+C7141</f>
        <v>341.673570074661</v>
      </c>
    </row>
    <row r="7153" customFormat="false" ht="15" hidden="false" customHeight="false" outlineLevel="0" collapsed="false">
      <c r="A7153" s="2" t="s">
        <v>564</v>
      </c>
      <c r="C7153" s="17" t="n">
        <f aca="false">C7076+C7142</f>
        <v>292.863060063995</v>
      </c>
    </row>
    <row r="7154" customFormat="false" ht="15" hidden="false" customHeight="false" outlineLevel="0" collapsed="false">
      <c r="A7154" s="2" t="s">
        <v>565</v>
      </c>
      <c r="C7154" s="17" t="n">
        <f aca="false">C7077+C7143</f>
        <v>0</v>
      </c>
    </row>
    <row r="7155" customFormat="false" ht="15" hidden="false" customHeight="false" outlineLevel="0" collapsed="false">
      <c r="A7155" s="24" t="s">
        <v>576</v>
      </c>
      <c r="B7155" s="25"/>
      <c r="C7155" s="25"/>
      <c r="D7155" s="25"/>
      <c r="E7155" s="25"/>
      <c r="F7155" s="25"/>
      <c r="G7155" s="25"/>
      <c r="H7155" s="25"/>
      <c r="I7155" s="25"/>
      <c r="J7155" s="25"/>
      <c r="K7155" s="25"/>
    </row>
    <row r="7156" customFormat="false" ht="15" hidden="false" customHeight="false" outlineLevel="0" collapsed="false">
      <c r="A7156" s="3" t="s">
        <v>556</v>
      </c>
      <c r="C7156" s="22" t="n">
        <f aca="false">IF(C7035=0,1,C7145/C7035)</f>
        <v>1</v>
      </c>
    </row>
    <row r="7157" customFormat="false" ht="15" hidden="false" customHeight="false" outlineLevel="0" collapsed="false">
      <c r="A7157" s="3" t="s">
        <v>557</v>
      </c>
      <c r="C7157" s="22" t="n">
        <f aca="false">IF(C7036=0,1,C7146/C7036)</f>
        <v>0.8887681549351</v>
      </c>
    </row>
    <row r="7158" customFormat="false" ht="15" hidden="false" customHeight="false" outlineLevel="0" collapsed="false">
      <c r="A7158" s="3" t="s">
        <v>558</v>
      </c>
      <c r="C7158" s="22" t="n">
        <f aca="false">IF(C7037=0,1,C7147/C7037)</f>
        <v>0.887973207492202</v>
      </c>
    </row>
    <row r="7159" customFormat="false" ht="15" hidden="false" customHeight="false" outlineLevel="0" collapsed="false">
      <c r="A7159" s="3" t="s">
        <v>559</v>
      </c>
      <c r="C7159" s="22" t="n">
        <f aca="false">IF(C7038=0,1,C7148/C7038)</f>
        <v>1</v>
      </c>
    </row>
    <row r="7160" customFormat="false" ht="15" hidden="false" customHeight="false" outlineLevel="0" collapsed="false">
      <c r="A7160" s="3" t="s">
        <v>560</v>
      </c>
      <c r="C7160" s="22" t="n">
        <f aca="false">IF(C7039=0,1,C7149/C7039)</f>
        <v>0.976210200213317</v>
      </c>
    </row>
    <row r="7161" customFormat="false" ht="15" hidden="false" customHeight="false" outlineLevel="0" collapsed="false">
      <c r="A7161" s="3" t="s">
        <v>561</v>
      </c>
      <c r="C7161" s="22" t="n">
        <f aca="false">IF(C7040=0,1,C7150/C7040)</f>
        <v>0.976210200213316</v>
      </c>
    </row>
    <row r="7162" customFormat="false" ht="15" hidden="false" customHeight="false" outlineLevel="0" collapsed="false">
      <c r="A7162" s="3" t="s">
        <v>562</v>
      </c>
      <c r="C7162" s="22" t="n">
        <f aca="false">IF(C7041=0,1,C7151/C7041)</f>
        <v>0.976210200213317</v>
      </c>
    </row>
    <row r="7163" customFormat="false" ht="15" hidden="false" customHeight="false" outlineLevel="0" collapsed="false">
      <c r="A7163" s="3" t="s">
        <v>563</v>
      </c>
      <c r="C7163" s="22" t="n">
        <f aca="false">IF(C7042=0,1,C7152/C7042)</f>
        <v>0.976210200213316</v>
      </c>
    </row>
    <row r="7164" customFormat="false" ht="15" hidden="false" customHeight="false" outlineLevel="0" collapsed="false">
      <c r="A7164" s="3" t="s">
        <v>564</v>
      </c>
      <c r="C7164" s="22" t="n">
        <f aca="false">IF(C7043=0,1,C7153/C7043)</f>
        <v>0.976210200213317</v>
      </c>
    </row>
    <row r="7165" customFormat="false" ht="15" hidden="false" customHeight="false" outlineLevel="0" collapsed="false">
      <c r="A7165" s="3" t="s">
        <v>565</v>
      </c>
      <c r="C7165" s="22" t="n">
        <f aca="false">IF(C7044=0,1,C7154/C7044)</f>
        <v>0</v>
      </c>
    </row>
    <row r="7166" customFormat="false" ht="15" hidden="false" customHeight="false" outlineLevel="0" collapsed="false">
      <c r="A7166" s="24" t="s">
        <v>577</v>
      </c>
      <c r="B7166" s="25"/>
      <c r="C7166" s="25"/>
      <c r="D7166" s="25"/>
      <c r="E7166" s="25"/>
      <c r="F7166" s="25"/>
      <c r="G7166" s="25"/>
      <c r="H7166" s="25"/>
      <c r="I7166" s="25"/>
      <c r="J7166" s="25"/>
      <c r="K7166" s="25"/>
    </row>
    <row r="7167" customFormat="false" ht="15" hidden="false" customHeight="false" outlineLevel="0" collapsed="false">
      <c r="A7167" s="3" t="s">
        <v>556</v>
      </c>
      <c r="C7167" s="16" t="n">
        <f aca="false">C7035-C7145</f>
        <v>0</v>
      </c>
    </row>
    <row r="7168" customFormat="false" ht="15" hidden="false" customHeight="false" outlineLevel="0" collapsed="false">
      <c r="A7168" s="3" t="s">
        <v>557</v>
      </c>
      <c r="C7168" s="16" t="n">
        <f aca="false">C7036-C7146</f>
        <v>10.010866055841</v>
      </c>
    </row>
    <row r="7169" customFormat="false" ht="15" hidden="false" customHeight="false" outlineLevel="0" collapsed="false">
      <c r="A7169" s="3" t="s">
        <v>558</v>
      </c>
      <c r="C7169" s="16" t="n">
        <f aca="false">C7037-C7147</f>
        <v>6.42182385371699</v>
      </c>
    </row>
    <row r="7170" customFormat="false" ht="15" hidden="false" customHeight="false" outlineLevel="0" collapsed="false">
      <c r="A7170" s="3" t="s">
        <v>559</v>
      </c>
      <c r="C7170" s="16" t="n">
        <f aca="false">C7038-C7148</f>
        <v>0</v>
      </c>
    </row>
    <row r="7171" customFormat="false" ht="15" hidden="false" customHeight="false" outlineLevel="0" collapsed="false">
      <c r="A7171" s="3" t="s">
        <v>560</v>
      </c>
      <c r="C7171" s="16" t="n">
        <f aca="false">C7039-C7149</f>
        <v>9.55032847908228</v>
      </c>
    </row>
    <row r="7172" customFormat="false" ht="15" hidden="false" customHeight="false" outlineLevel="0" collapsed="false">
      <c r="A7172" s="3" t="s">
        <v>561</v>
      </c>
      <c r="C7172" s="16" t="n">
        <f aca="false">C7040-C7150</f>
        <v>8.32642992533926</v>
      </c>
    </row>
    <row r="7173" customFormat="false" ht="15" hidden="false" customHeight="false" outlineLevel="0" collapsed="false">
      <c r="A7173" s="3" t="s">
        <v>562</v>
      </c>
      <c r="C7173" s="16" t="n">
        <f aca="false">C7041-C7151</f>
        <v>13.0843898826759</v>
      </c>
    </row>
    <row r="7174" customFormat="false" ht="15" hidden="false" customHeight="false" outlineLevel="0" collapsed="false">
      <c r="A7174" s="3" t="s">
        <v>563</v>
      </c>
      <c r="C7174" s="16" t="n">
        <f aca="false">C7042-C7152</f>
        <v>8.32642992533926</v>
      </c>
    </row>
    <row r="7175" customFormat="false" ht="15" hidden="false" customHeight="false" outlineLevel="0" collapsed="false">
      <c r="A7175" s="3" t="s">
        <v>564</v>
      </c>
      <c r="C7175" s="16" t="n">
        <f aca="false">C7043-C7153</f>
        <v>7.13693993600504</v>
      </c>
    </row>
    <row r="7176" customFormat="false" ht="15" hidden="false" customHeight="false" outlineLevel="0" collapsed="false">
      <c r="A7176" s="3" t="s">
        <v>565</v>
      </c>
      <c r="C7176" s="16" t="n">
        <f aca="false">C7044-C7154</f>
        <v>78.61</v>
      </c>
    </row>
    <row r="7177" customFormat="false" ht="15" hidden="false" customHeight="false" outlineLevel="0" collapsed="false">
      <c r="A7177" s="24" t="s">
        <v>578</v>
      </c>
      <c r="B7177" s="25"/>
      <c r="C7177" s="25"/>
      <c r="D7177" s="25"/>
      <c r="E7177" s="25"/>
      <c r="F7177" s="25"/>
      <c r="G7177" s="25"/>
      <c r="H7177" s="25"/>
      <c r="I7177" s="25"/>
      <c r="J7177" s="25"/>
      <c r="K7177" s="25"/>
    </row>
    <row r="7178" customFormat="false" ht="15" hidden="false" customHeight="false" outlineLevel="0" collapsed="false">
      <c r="A7178" s="3" t="s">
        <v>556</v>
      </c>
      <c r="C7178" s="22" t="n">
        <f aca="false">IF(C7035=0,0,C7167/C7035)</f>
        <v>0</v>
      </c>
    </row>
    <row r="7179" customFormat="false" ht="15" hidden="false" customHeight="false" outlineLevel="0" collapsed="false">
      <c r="A7179" s="3" t="s">
        <v>557</v>
      </c>
      <c r="C7179" s="22" t="n">
        <f aca="false">IF(C7036=0,0,C7168/C7036)</f>
        <v>0.1112318450649</v>
      </c>
    </row>
    <row r="7180" customFormat="false" ht="15" hidden="false" customHeight="false" outlineLevel="0" collapsed="false">
      <c r="A7180" s="3" t="s">
        <v>558</v>
      </c>
      <c r="C7180" s="22" t="n">
        <f aca="false">IF(C7037=0,0,C7169/C7037)</f>
        <v>0.112026792507798</v>
      </c>
    </row>
    <row r="7181" customFormat="false" ht="15" hidden="false" customHeight="false" outlineLevel="0" collapsed="false">
      <c r="A7181" s="3" t="s">
        <v>559</v>
      </c>
      <c r="C7181" s="22" t="n">
        <f aca="false">IF(C7038=0,0,C7170/C7038)</f>
        <v>0</v>
      </c>
    </row>
    <row r="7182" customFormat="false" ht="15" hidden="false" customHeight="false" outlineLevel="0" collapsed="false">
      <c r="A7182" s="3" t="s">
        <v>560</v>
      </c>
      <c r="C7182" s="22" t="n">
        <f aca="false">IF(C7039=0,0,C7171/C7039)</f>
        <v>0.0237897997866835</v>
      </c>
    </row>
    <row r="7183" customFormat="false" ht="15" hidden="false" customHeight="false" outlineLevel="0" collapsed="false">
      <c r="A7183" s="3" t="s">
        <v>561</v>
      </c>
      <c r="C7183" s="22" t="n">
        <f aca="false">IF(C7040=0,0,C7172/C7040)</f>
        <v>0.0237897997866836</v>
      </c>
    </row>
    <row r="7184" customFormat="false" ht="15" hidden="false" customHeight="false" outlineLevel="0" collapsed="false">
      <c r="A7184" s="3" t="s">
        <v>562</v>
      </c>
      <c r="C7184" s="22" t="n">
        <f aca="false">IF(C7041=0,0,C7173/C7041)</f>
        <v>0.0237897997866834</v>
      </c>
    </row>
    <row r="7185" customFormat="false" ht="15" hidden="false" customHeight="false" outlineLevel="0" collapsed="false">
      <c r="A7185" s="3" t="s">
        <v>563</v>
      </c>
      <c r="C7185" s="22" t="n">
        <f aca="false">IF(C7042=0,0,C7174/C7042)</f>
        <v>0.0237897997866836</v>
      </c>
    </row>
    <row r="7186" customFormat="false" ht="15" hidden="false" customHeight="false" outlineLevel="0" collapsed="false">
      <c r="A7186" s="3" t="s">
        <v>564</v>
      </c>
      <c r="C7186" s="22" t="n">
        <f aca="false">IF(C7043=0,0,C7175/C7043)</f>
        <v>0.0237897997866835</v>
      </c>
    </row>
    <row r="7187" customFormat="false" ht="15" hidden="false" customHeight="false" outlineLevel="0" collapsed="false">
      <c r="A7187" s="3" t="s">
        <v>565</v>
      </c>
      <c r="C7187" s="22" t="n">
        <f aca="false">IF(C7044=0,0,C7176/C7044)</f>
        <v>1</v>
      </c>
    </row>
    <row r="7188" customFormat="false" ht="15" hidden="false" customHeight="false" outlineLevel="0" collapsed="false">
      <c r="A7188" s="2" t="s">
        <v>579</v>
      </c>
      <c r="C7188" s="17" t="n">
        <f aca="false">MAX(0,$C$7033-SUM($C$7068:$C$7077)-SUM($C$7090:$C$7099))</f>
        <v>0</v>
      </c>
    </row>
    <row r="7189" customFormat="false" ht="15" hidden="false" customHeight="false" outlineLevel="0" collapsed="false">
      <c r="A7189" s="3" t="s">
        <v>597</v>
      </c>
      <c r="C7189" s="35" t="n">
        <f aca="false">MIN(C7032,100*CHOOSE(C7022,C7156,C7157,C7158,C7159,C7160,C7161,C7162,C7163,C7164,C7165))</f>
        <v>95</v>
      </c>
    </row>
    <row r="7190" customFormat="false" ht="15" hidden="false" customHeight="false" outlineLevel="0" collapsed="false">
      <c r="A7190" s="3" t="s">
        <v>598</v>
      </c>
      <c r="C7190" s="21" t="n">
        <f aca="false">IF(C6854=1,C7027+Assumptions!$C$40,C7026)</f>
        <v>3</v>
      </c>
    </row>
    <row r="7191" customFormat="false" ht="15" hidden="false" customHeight="false" outlineLevel="0" collapsed="false">
      <c r="A7191" s="24" t="s">
        <v>599</v>
      </c>
      <c r="B7191" s="25"/>
      <c r="C7191" s="25"/>
      <c r="D7191" s="25"/>
      <c r="E7191" s="25"/>
      <c r="F7191" s="25"/>
      <c r="G7191" s="25"/>
      <c r="H7191" s="25"/>
      <c r="I7191" s="25"/>
      <c r="J7191" s="25"/>
      <c r="K7191" s="25"/>
    </row>
    <row r="7192" customFormat="false" ht="15" hidden="false" customHeight="false" outlineLevel="0" collapsed="false">
      <c r="A7192" s="3" t="s">
        <v>600</v>
      </c>
      <c r="C7192" s="21" t="n">
        <f aca="false">COLUMN()-COLUMN($C$1)</f>
        <v>0</v>
      </c>
      <c r="D7192" s="21" t="n">
        <f aca="false">COLUMN()-COLUMN($C$1)</f>
        <v>1</v>
      </c>
      <c r="E7192" s="21" t="n">
        <f aca="false">COLUMN()-COLUMN($C$1)</f>
        <v>2</v>
      </c>
      <c r="F7192" s="21" t="n">
        <f aca="false">COLUMN()-COLUMN($C$1)</f>
        <v>3</v>
      </c>
      <c r="G7192" s="21" t="n">
        <f aca="false">COLUMN()-COLUMN($C$1)</f>
        <v>4</v>
      </c>
      <c r="H7192" s="21" t="n">
        <f aca="false">COLUMN()-COLUMN($C$1)</f>
        <v>5</v>
      </c>
      <c r="I7192" s="21" t="n">
        <f aca="false">COLUMN()-COLUMN($C$1)</f>
        <v>6</v>
      </c>
    </row>
    <row r="7193" customFormat="false" ht="15" hidden="false" customHeight="false" outlineLevel="0" collapsed="false">
      <c r="A7193" s="3" t="s">
        <v>601</v>
      </c>
      <c r="D7193" s="31" t="n">
        <f aca="false">CHOOSE($C$7022,G6602,G6615,G6628,G6641,G6654,G6667,G6680,G6693,G6706,G6719)</f>
        <v>0.1065</v>
      </c>
      <c r="E7193" s="31" t="n">
        <f aca="false">CHOOSE($C$7022,H6602,H6615,H6628,H6641,H6654,H6667,H6680,H6693,H6706,H6719)</f>
        <v>0.105</v>
      </c>
      <c r="F7193" s="31" t="n">
        <f aca="false">CHOOSE($C$7022,I6602,I6615,I6628,I6641,I6654,I6667,I6680,I6693,I6706,I6719)</f>
        <v>0.1025</v>
      </c>
      <c r="G7193" s="31" t="n">
        <f aca="false">CHOOSE($C$7022,J6602,J6615,J6628,J6641,J6654,J6667,J6680,J6693,J6706,J6719)</f>
        <v>0.1025</v>
      </c>
      <c r="H7193" s="31" t="n">
        <f aca="false">CHOOSE($C$7022,K6602,K6615,K6628,K6641,K6654,K6667,K6680,K6693,K6706,K6719)</f>
        <v>0.1025</v>
      </c>
    </row>
    <row r="7194" customFormat="false" ht="15" hidden="false" customHeight="false" outlineLevel="0" collapsed="false">
      <c r="A7194" s="3" t="s">
        <v>602</v>
      </c>
      <c r="D7194" s="16" t="n">
        <f aca="false">IF(D7192&lt;=$C$7031,$C$7023*D7193,0)</f>
        <v>10.65</v>
      </c>
      <c r="E7194" s="16" t="n">
        <f aca="false">IF(E7192&lt;=$C$7031,$C$7023*E7193,0)</f>
        <v>10.5</v>
      </c>
      <c r="F7194" s="16" t="n">
        <f aca="false">IF(F7192&lt;=$C$7031,$C$7023*F7193,0)</f>
        <v>0</v>
      </c>
      <c r="G7194" s="16" t="n">
        <f aca="false">IF(G7192&lt;=$C$7031,$C$7023*G7193,0)</f>
        <v>0</v>
      </c>
      <c r="H7194" s="16" t="n">
        <f aca="false">IF(H7192&lt;=$C$7031,$C$7023*H7193,0)</f>
        <v>0</v>
      </c>
    </row>
    <row r="7195" customFormat="false" ht="15" hidden="false" customHeight="false" outlineLevel="0" collapsed="false">
      <c r="A7195" s="3" t="s">
        <v>603</v>
      </c>
      <c r="D7195" s="16" t="n">
        <f aca="false">IF(AND($C$6854=0,D7192=$C$7026),$C$7023*$C$7189/100,0)+IF(AND($C$6854=1,D7192=$C$7190),$C$7029,0)</f>
        <v>0</v>
      </c>
      <c r="E7195" s="16" t="n">
        <f aca="false">IF(AND($C$6854=0,E7192=$C$7026),$C$7023*$C$7189/100,0)+IF(AND($C$6854=1,E7192=$C$7190),$C$7029,0)</f>
        <v>0</v>
      </c>
      <c r="F7195" s="16" t="n">
        <f aca="false">IF(AND($C$6854=0,F7192=$C$7026),$C$7023*$C$7189/100,0)+IF(AND($C$6854=1,F7192=$C$7190),$C$7029,0)</f>
        <v>102.625</v>
      </c>
      <c r="G7195" s="16" t="n">
        <f aca="false">IF(AND($C$6854=0,G7192=$C$7026),$C$7023*$C$7189/100,0)+IF(AND($C$6854=1,G7192=$C$7190),$C$7029,0)</f>
        <v>0</v>
      </c>
      <c r="H7195" s="16" t="n">
        <f aca="false">IF(AND($C$6854=0,H7192=$C$7026),$C$7023*$C$7189/100,0)+IF(AND($C$6854=1,H7192=$C$7190),$C$7029,0)</f>
        <v>0</v>
      </c>
      <c r="I7195" s="16" t="n">
        <f aca="false">IF(AND($C$6854=0,I7192=$C$7026),$C$7023*$C$7189/100,0)+IF(AND($C$6854=1,I7192=$C$7190),$C$7029,0)</f>
        <v>0</v>
      </c>
    </row>
    <row r="7196" customFormat="false" ht="15" hidden="false" customHeight="false" outlineLevel="0" collapsed="false">
      <c r="A7196" s="2" t="s">
        <v>604</v>
      </c>
      <c r="C7196" s="17" t="n">
        <f aca="false">-$C$7025</f>
        <v>-98.49</v>
      </c>
      <c r="D7196" s="17" t="n">
        <f aca="false">D7194+D7195</f>
        <v>10.65</v>
      </c>
      <c r="E7196" s="17" t="n">
        <f aca="false">E7194+E7195</f>
        <v>10.5</v>
      </c>
      <c r="F7196" s="17" t="n">
        <f aca="false">F7194+F7195</f>
        <v>102.625</v>
      </c>
      <c r="G7196" s="17" t="n">
        <f aca="false">G7194+G7195</f>
        <v>0</v>
      </c>
      <c r="H7196" s="17" t="n">
        <f aca="false">H7194+H7195</f>
        <v>0</v>
      </c>
      <c r="I7196" s="17" t="n">
        <f aca="false">I7194+I7195</f>
        <v>0</v>
      </c>
    </row>
    <row r="7197" customFormat="false" ht="15" hidden="false" customHeight="false" outlineLevel="0" collapsed="false">
      <c r="A7197" s="3" t="s">
        <v>605</v>
      </c>
      <c r="C7197" s="16" t="n">
        <f aca="false">SUM($C$7194:$I$7194)</f>
        <v>21.15</v>
      </c>
    </row>
    <row r="7198" customFormat="false" ht="15" hidden="false" customHeight="false" outlineLevel="0" collapsed="false">
      <c r="A7198" s="3" t="s">
        <v>606</v>
      </c>
      <c r="C7198" s="16" t="n">
        <f aca="false">SUM($C$7195:$I$7195)</f>
        <v>102.625</v>
      </c>
    </row>
    <row r="7199" customFormat="false" ht="15" hidden="false" customHeight="false" outlineLevel="0" collapsed="false">
      <c r="A7199" s="3" t="s">
        <v>607</v>
      </c>
      <c r="C7199" s="16" t="n">
        <f aca="false">C7197+C7198</f>
        <v>123.775</v>
      </c>
    </row>
    <row r="7200" customFormat="false" ht="15" hidden="false" customHeight="false" outlineLevel="0" collapsed="false">
      <c r="A7200" s="3" t="s">
        <v>608</v>
      </c>
      <c r="C7200" s="16" t="n">
        <f aca="false">C7198-C7023*C7024/100</f>
        <v>4.62500000000001</v>
      </c>
    </row>
    <row r="7201" customFormat="false" ht="15" hidden="false" customHeight="false" outlineLevel="0" collapsed="false">
      <c r="A7201" s="3" t="s">
        <v>609</v>
      </c>
      <c r="C7201" s="16" t="n">
        <f aca="false">C7199-C7025</f>
        <v>25.285</v>
      </c>
    </row>
    <row r="7202" customFormat="false" ht="15" hidden="false" customHeight="false" outlineLevel="0" collapsed="false">
      <c r="A7202" s="2" t="s">
        <v>484</v>
      </c>
      <c r="C7202" s="44" t="n">
        <f aca="false">C7199/C7025</f>
        <v>1.25672657122551</v>
      </c>
    </row>
    <row r="7203" customFormat="false" ht="15" hidden="false" customHeight="false" outlineLevel="0" collapsed="false">
      <c r="A7203" s="2" t="s">
        <v>483</v>
      </c>
      <c r="C7203" s="42" t="n">
        <f aca="false">IF(C7199&lt;=0,-1,IFERROR(IRR($C$7196:$I$7196,MAX(-0.9,C7202^(1/C7190)-1)),IRR($C$7196:$I$7196,0.1)))</f>
        <v>0.0873962489027792</v>
      </c>
    </row>
    <row r="7204" customFormat="false" ht="15" hidden="false" customHeight="false" outlineLevel="0" collapsed="false">
      <c r="A7204" s="3" t="s">
        <v>610</v>
      </c>
      <c r="C7204" s="32" t="n">
        <f aca="false">MAX($G$6798:$K$6798)</f>
        <v>12.0232607366907</v>
      </c>
    </row>
    <row r="7205" customFormat="false" ht="15" hidden="false" customHeight="false" outlineLevel="0" collapsed="false">
      <c r="A7205" s="3" t="s">
        <v>611</v>
      </c>
      <c r="C7205" s="32" t="n">
        <f aca="false">MIN($G$6799:$K$6799)</f>
        <v>1.18311222526984</v>
      </c>
    </row>
    <row r="7206" customFormat="false" ht="15" hidden="false" customHeight="false" outlineLevel="0" collapsed="false">
      <c r="A7206" s="3" t="s">
        <v>612</v>
      </c>
      <c r="C7206" s="16" t="n">
        <f aca="false">SUM($G$6586:$K$6586)</f>
        <v>-320.308045372933</v>
      </c>
    </row>
    <row r="7210" customFormat="false" ht="15" hidden="false" customHeight="false" outlineLevel="0" collapsed="false">
      <c r="A7210" s="9" t="s">
        <v>1141</v>
      </c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</row>
    <row r="7211" customFormat="false" ht="15" hidden="false" customHeight="false" outlineLevel="0" collapsed="false">
      <c r="A7211" s="3" t="s">
        <v>1126</v>
      </c>
      <c r="C7211" s="11" t="n">
        <v>2</v>
      </c>
    </row>
    <row r="7212" customFormat="false" ht="15" hidden="false" customHeight="false" outlineLevel="0" collapsed="false">
      <c r="A7212" s="3" t="s">
        <v>1127</v>
      </c>
      <c r="C7212" s="19" t="n">
        <v>0</v>
      </c>
    </row>
    <row r="7213" customFormat="false" ht="15" hidden="false" customHeight="false" outlineLevel="0" collapsed="false">
      <c r="A7213" s="3" t="s">
        <v>1128</v>
      </c>
      <c r="C7213" s="30" t="n">
        <f aca="false">Sensitivities!$A$33</f>
        <v>0.02</v>
      </c>
    </row>
    <row r="7214" customFormat="false" ht="15" hidden="false" customHeight="false" outlineLevel="0" collapsed="false">
      <c r="A7214" s="3" t="s">
        <v>1129</v>
      </c>
      <c r="C7214" s="19" t="n">
        <v>0</v>
      </c>
    </row>
    <row r="7215" customFormat="false" ht="15" hidden="false" customHeight="false" outlineLevel="0" collapsed="false">
      <c r="A7215" s="3" t="s">
        <v>1130</v>
      </c>
      <c r="C7215" s="15" t="n">
        <v>0</v>
      </c>
    </row>
    <row r="7217" customFormat="false" ht="15" hidden="false" customHeight="false" outlineLevel="0" collapsed="false">
      <c r="A7217" s="24" t="s">
        <v>301</v>
      </c>
      <c r="B7217" s="25"/>
      <c r="C7217" s="25"/>
      <c r="D7217" s="25"/>
      <c r="E7217" s="25"/>
      <c r="F7217" s="25"/>
      <c r="G7217" s="25"/>
      <c r="H7217" s="25"/>
      <c r="I7217" s="25"/>
      <c r="J7217" s="25"/>
      <c r="K7217" s="25"/>
    </row>
    <row r="7218" customFormat="false" ht="15" hidden="false" customHeight="false" outlineLevel="0" collapsed="false">
      <c r="A7218" s="3" t="s">
        <v>302</v>
      </c>
      <c r="F7218" s="27" t="n">
        <f aca="false">Assumptions!$C$6</f>
        <v>2026</v>
      </c>
      <c r="G7218" s="21" t="n">
        <f aca="false">F7218+1</f>
        <v>2027</v>
      </c>
      <c r="H7218" s="21" t="n">
        <f aca="false">G7218+1</f>
        <v>2028</v>
      </c>
      <c r="I7218" s="21" t="n">
        <f aca="false">H7218+1</f>
        <v>2029</v>
      </c>
      <c r="J7218" s="21" t="n">
        <f aca="false">I7218+1</f>
        <v>2030</v>
      </c>
      <c r="K7218" s="21" t="n">
        <f aca="false">J7218+1</f>
        <v>2031</v>
      </c>
    </row>
    <row r="7219" customFormat="false" ht="15" hidden="false" customHeight="false" outlineLevel="0" collapsed="false">
      <c r="A7219" s="3" t="s">
        <v>303</v>
      </c>
      <c r="G7219" s="21" t="n">
        <f aca="false">G7218-Assumptions!$C$6</f>
        <v>1</v>
      </c>
      <c r="H7219" s="21" t="n">
        <f aca="false">H7218-Assumptions!$C$6</f>
        <v>2</v>
      </c>
      <c r="I7219" s="21" t="n">
        <f aca="false">I7218-Assumptions!$C$6</f>
        <v>3</v>
      </c>
      <c r="J7219" s="21" t="n">
        <f aca="false">J7218-Assumptions!$C$6</f>
        <v>4</v>
      </c>
      <c r="K7219" s="21" t="n">
        <f aca="false">K7218-Assumptions!$C$6</f>
        <v>5</v>
      </c>
    </row>
    <row r="7220" customFormat="false" ht="15" hidden="false" customHeight="false" outlineLevel="0" collapsed="false">
      <c r="A7220" s="3" t="s">
        <v>180</v>
      </c>
      <c r="G7220" s="22" t="n">
        <f aca="false">CHOOSE($C$7211,Assumptions!$G$79,Assumptions!$G$98,Assumptions!$G$117)+$C$7212</f>
        <v>-0.06</v>
      </c>
      <c r="H7220" s="22" t="n">
        <f aca="false">CHOOSE($C$7211,Assumptions!$H$79,Assumptions!$H$98,Assumptions!$H$117)+$C$7212</f>
        <v>-0.03</v>
      </c>
      <c r="I7220" s="22" t="n">
        <f aca="false">CHOOSE($C$7211,Assumptions!$I$79,Assumptions!$I$98,Assumptions!$I$117)+$C$7212</f>
        <v>0</v>
      </c>
      <c r="J7220" s="22" t="n">
        <f aca="false">CHOOSE($C$7211,Assumptions!$J$79,Assumptions!$J$98,Assumptions!$J$117)+$C$7212</f>
        <v>0.01</v>
      </c>
      <c r="K7220" s="22" t="n">
        <f aca="false">CHOOSE($C$7211,Assumptions!$K$79,Assumptions!$K$98,Assumptions!$K$117)+$C$7212</f>
        <v>0.01</v>
      </c>
    </row>
    <row r="7221" customFormat="false" ht="15" hidden="false" customHeight="false" outlineLevel="0" collapsed="false">
      <c r="A7221" s="3" t="s">
        <v>181</v>
      </c>
      <c r="G7221" s="22" t="n">
        <f aca="false">CHOOSE($C$7211,Assumptions!$G$80,Assumptions!$G$99,Assumptions!$G$118)</f>
        <v>0.573920660818678</v>
      </c>
      <c r="H7221" s="22" t="n">
        <f aca="false">CHOOSE($C$7211,Assumptions!$H$80,Assumptions!$H$99,Assumptions!$H$118)</f>
        <v>0.558920660818678</v>
      </c>
      <c r="I7221" s="22" t="n">
        <f aca="false">CHOOSE($C$7211,Assumptions!$I$80,Assumptions!$I$99,Assumptions!$I$118)</f>
        <v>0.558920660818678</v>
      </c>
      <c r="J7221" s="22" t="n">
        <f aca="false">CHOOSE($C$7211,Assumptions!$J$80,Assumptions!$J$99,Assumptions!$J$118)</f>
        <v>0.563920660818678</v>
      </c>
      <c r="K7221" s="22" t="n">
        <f aca="false">CHOOSE($C$7211,Assumptions!$K$80,Assumptions!$K$99,Assumptions!$K$118)</f>
        <v>0.568920660818678</v>
      </c>
    </row>
    <row r="7222" customFormat="false" ht="15" hidden="false" customHeight="false" outlineLevel="0" collapsed="false">
      <c r="A7222" s="3" t="s">
        <v>182</v>
      </c>
      <c r="G7222" s="22" t="n">
        <f aca="false">CHOOSE($C$7211,Assumptions!$G$81,Assumptions!$G$100,Assumptions!$G$119)+$C$7213</f>
        <v>0.52</v>
      </c>
      <c r="H7222" s="22" t="n">
        <f aca="false">CHOOSE($C$7211,Assumptions!$H$81,Assumptions!$H$100,Assumptions!$H$119)+$C$7213</f>
        <v>0.505</v>
      </c>
      <c r="I7222" s="22" t="n">
        <f aca="false">CHOOSE($C$7211,Assumptions!$I$81,Assumptions!$I$100,Assumptions!$I$119)+$C$7213</f>
        <v>0.505</v>
      </c>
      <c r="J7222" s="22" t="n">
        <f aca="false">CHOOSE($C$7211,Assumptions!$J$81,Assumptions!$J$100,Assumptions!$J$119)+$C$7213</f>
        <v>0.51</v>
      </c>
      <c r="K7222" s="22" t="n">
        <f aca="false">CHOOSE($C$7211,Assumptions!$K$81,Assumptions!$K$100,Assumptions!$K$119)+$C$7213</f>
        <v>0.515</v>
      </c>
    </row>
    <row r="7223" customFormat="false" ht="15" hidden="false" customHeight="false" outlineLevel="0" collapsed="false">
      <c r="A7223" s="24" t="s">
        <v>304</v>
      </c>
      <c r="B7223" s="25"/>
      <c r="C7223" s="25"/>
      <c r="D7223" s="25"/>
      <c r="E7223" s="25"/>
      <c r="F7223" s="25"/>
      <c r="G7223" s="25"/>
      <c r="H7223" s="25"/>
      <c r="I7223" s="25"/>
      <c r="J7223" s="25"/>
      <c r="K7223" s="25"/>
    </row>
    <row r="7224" customFormat="false" ht="15" hidden="false" customHeight="false" outlineLevel="0" collapsed="false">
      <c r="A7224" s="2" t="s">
        <v>275</v>
      </c>
      <c r="F7224" s="28" t="n">
        <f aca="false">'Historical Financials'!G25</f>
        <v>498.291</v>
      </c>
      <c r="G7224" s="17" t="n">
        <f aca="false">F7224*(1+G7220)</f>
        <v>468.39354</v>
      </c>
      <c r="H7224" s="17" t="n">
        <f aca="false">G7224*(1+H7220)</f>
        <v>454.3417338</v>
      </c>
      <c r="I7224" s="17" t="n">
        <f aca="false">H7224*(1+I7220)</f>
        <v>454.3417338</v>
      </c>
      <c r="J7224" s="17" t="n">
        <f aca="false">I7224*(1+J7220)</f>
        <v>458.885151138</v>
      </c>
      <c r="K7224" s="17" t="n">
        <f aca="false">J7224*(1+K7220)</f>
        <v>463.47400264938</v>
      </c>
    </row>
    <row r="7225" customFormat="false" ht="15" hidden="false" customHeight="false" outlineLevel="0" collapsed="false">
      <c r="A7225" s="3" t="s">
        <v>276</v>
      </c>
      <c r="G7225" s="16" t="n">
        <f aca="false">G7224*(1-G7221)</f>
        <v>199.57281</v>
      </c>
      <c r="H7225" s="16" t="n">
        <f aca="false">H7224*(1-H7221)</f>
        <v>200.400751707</v>
      </c>
      <c r="I7225" s="16" t="n">
        <f aca="false">I7224*(1-I7221)</f>
        <v>200.400751707</v>
      </c>
      <c r="J7225" s="16" t="n">
        <f aca="false">J7224*(1-J7221)</f>
        <v>200.11033346838</v>
      </c>
      <c r="K7225" s="16" t="n">
        <f aca="false">K7224*(1-K7221)</f>
        <v>199.794066789817</v>
      </c>
    </row>
    <row r="7226" customFormat="false" ht="15" hidden="false" customHeight="false" outlineLevel="0" collapsed="false">
      <c r="A7226" s="2" t="s">
        <v>277</v>
      </c>
      <c r="G7226" s="17" t="n">
        <f aca="false">G7224-G7225</f>
        <v>268.82073</v>
      </c>
      <c r="H7226" s="17" t="n">
        <f aca="false">H7224-H7225</f>
        <v>253.940982093</v>
      </c>
      <c r="I7226" s="17" t="n">
        <f aca="false">I7224-I7225</f>
        <v>253.940982093</v>
      </c>
      <c r="J7226" s="17" t="n">
        <f aca="false">J7224-J7225</f>
        <v>258.77481766962</v>
      </c>
      <c r="K7226" s="17" t="n">
        <f aca="false">K7224-K7225</f>
        <v>263.679935859563</v>
      </c>
    </row>
    <row r="7227" customFormat="false" ht="15" hidden="false" customHeight="false" outlineLevel="0" collapsed="false">
      <c r="A7227" s="3" t="s">
        <v>305</v>
      </c>
      <c r="G7227" s="16" t="n">
        <f aca="false">G7226-G7228</f>
        <v>25.2560892</v>
      </c>
      <c r="H7227" s="16" t="n">
        <f aca="false">H7226-H7228</f>
        <v>24.498406524</v>
      </c>
      <c r="I7227" s="16" t="n">
        <f aca="false">I7226-I7228</f>
        <v>24.498406524</v>
      </c>
      <c r="J7227" s="16" t="n">
        <f aca="false">J7226-J7228</f>
        <v>24.74339058924</v>
      </c>
      <c r="K7227" s="16" t="n">
        <f aca="false">K7226-K7228</f>
        <v>24.9908244951324</v>
      </c>
    </row>
    <row r="7228" customFormat="false" ht="15" hidden="false" customHeight="false" outlineLevel="0" collapsed="false">
      <c r="A7228" s="2" t="s">
        <v>306</v>
      </c>
      <c r="G7228" s="17" t="n">
        <f aca="false">G7224*G7222</f>
        <v>243.5646408</v>
      </c>
      <c r="H7228" s="17" t="n">
        <f aca="false">H7224*H7222</f>
        <v>229.442575569</v>
      </c>
      <c r="I7228" s="17" t="n">
        <f aca="false">I7224*I7222</f>
        <v>229.442575569</v>
      </c>
      <c r="J7228" s="17" t="n">
        <f aca="false">J7224*J7222</f>
        <v>234.03142708038</v>
      </c>
      <c r="K7228" s="17" t="n">
        <f aca="false">K7224*K7222</f>
        <v>238.689111364431</v>
      </c>
    </row>
    <row r="7229" customFormat="false" ht="15" hidden="false" customHeight="false" outlineLevel="0" collapsed="false">
      <c r="A7229" s="3" t="s">
        <v>307</v>
      </c>
      <c r="G7229" s="16" t="n">
        <f aca="false">G7224*'Historical Financials'!G30/'Historical Financials'!G25</f>
        <v>174.17542</v>
      </c>
      <c r="H7229" s="16" t="n">
        <f aca="false">H7224*'Historical Financials'!G30/'Historical Financials'!G25</f>
        <v>168.9501574</v>
      </c>
      <c r="I7229" s="16" t="n">
        <f aca="false">I7224*'Historical Financials'!G30/'Historical Financials'!G25</f>
        <v>168.9501574</v>
      </c>
      <c r="J7229" s="16" t="n">
        <f aca="false">J7224*'Historical Financials'!G30/'Historical Financials'!G25</f>
        <v>170.639658974</v>
      </c>
      <c r="K7229" s="16" t="n">
        <f aca="false">K7224*'Historical Financials'!G30/'Historical Financials'!G25</f>
        <v>172.34605556374</v>
      </c>
    </row>
    <row r="7230" customFormat="false" ht="15" hidden="false" customHeight="false" outlineLevel="0" collapsed="false">
      <c r="A7230" s="3" t="s">
        <v>308</v>
      </c>
      <c r="G7230" s="16" t="n">
        <f aca="false">G7224*'Historical Financials'!G31/'Historical Financials'!G25</f>
        <v>0</v>
      </c>
      <c r="H7230" s="16" t="n">
        <f aca="false">H7224*'Historical Financials'!G31/'Historical Financials'!G25</f>
        <v>0</v>
      </c>
      <c r="I7230" s="16" t="n">
        <f aca="false">I7224*'Historical Financials'!G31/'Historical Financials'!G25</f>
        <v>0</v>
      </c>
      <c r="J7230" s="16" t="n">
        <f aca="false">J7224*'Historical Financials'!G31/'Historical Financials'!G25</f>
        <v>0</v>
      </c>
      <c r="K7230" s="16" t="n">
        <f aca="false">K7224*'Historical Financials'!G31/'Historical Financials'!G25</f>
        <v>0</v>
      </c>
    </row>
    <row r="7231" customFormat="false" ht="15" hidden="false" customHeight="false" outlineLevel="0" collapsed="false">
      <c r="A7231" s="2" t="s">
        <v>309</v>
      </c>
      <c r="G7231" s="17" t="n">
        <f aca="false">G7228-G7229-G7230</f>
        <v>69.3892208</v>
      </c>
      <c r="H7231" s="17" t="n">
        <f aca="false">H7228-H7229-H7230</f>
        <v>60.492418169</v>
      </c>
      <c r="I7231" s="17" t="n">
        <f aca="false">I7228-I7229-I7230</f>
        <v>60.492418169</v>
      </c>
      <c r="J7231" s="17" t="n">
        <f aca="false">J7228-J7229-J7230</f>
        <v>63.39176810638</v>
      </c>
      <c r="K7231" s="17" t="n">
        <f aca="false">K7228-K7229-K7230</f>
        <v>66.3430558006907</v>
      </c>
    </row>
    <row r="7232" customFormat="false" ht="15" hidden="false" customHeight="false" outlineLevel="0" collapsed="false">
      <c r="A7232" s="3" t="s">
        <v>310</v>
      </c>
      <c r="G7232" s="16" t="n">
        <f aca="false">G7258+G7271+G7284+G7297+G7310+G7323+G7336+G7349+G7362+G7375</f>
        <v>187.3888354</v>
      </c>
      <c r="H7232" s="16" t="n">
        <f aca="false">H7258+H7271+H7284+H7297+H7310+H7323+H7336+H7349+H7362+H7375</f>
        <v>186.2509204</v>
      </c>
      <c r="I7232" s="16" t="n">
        <f aca="false">I7258+I7271+I7284+I7297+I7310+I7323+I7336+I7349+I7362+I7375</f>
        <v>182.007565669998</v>
      </c>
      <c r="J7232" s="16" t="n">
        <f aca="false">J7258+J7271+J7284+J7297+J7310+J7323+J7336+J7349+J7362+J7375</f>
        <v>181.597565669998</v>
      </c>
      <c r="K7232" s="16" t="n">
        <f aca="false">K7258+K7271+K7284+K7297+K7310+K7323+K7336+K7349+K7362+K7375</f>
        <v>181.187565669998</v>
      </c>
    </row>
    <row r="7233" customFormat="false" ht="15" hidden="false" customHeight="false" outlineLevel="0" collapsed="false">
      <c r="A7233" s="3" t="s">
        <v>311</v>
      </c>
      <c r="G7233" s="16" t="n">
        <f aca="false">G7259+G7272+G7285+G7298+G7311+G7324+G7337+G7350+G7363+G7376</f>
        <v>0</v>
      </c>
      <c r="H7233" s="16" t="n">
        <f aca="false">H7259+H7272+H7285+H7298+H7311+H7324+H7337+H7350+H7363+H7376</f>
        <v>0</v>
      </c>
      <c r="I7233" s="16" t="n">
        <f aca="false">I7259+I7272+I7285+I7298+I7311+I7324+I7337+I7350+I7363+I7376</f>
        <v>0</v>
      </c>
      <c r="J7233" s="16" t="n">
        <f aca="false">J7259+J7272+J7285+J7298+J7311+J7324+J7337+J7350+J7363+J7376</f>
        <v>0</v>
      </c>
      <c r="K7233" s="16" t="n">
        <f aca="false">K7259+K7272+K7285+K7298+K7311+K7324+K7337+K7350+K7363+K7376</f>
        <v>0</v>
      </c>
    </row>
    <row r="7234" customFormat="false" ht="15" hidden="false" customHeight="false" outlineLevel="0" collapsed="false">
      <c r="A7234" s="3" t="s">
        <v>283</v>
      </c>
      <c r="G7234" s="16" t="n">
        <f aca="false">G7232+G7233</f>
        <v>187.3888354</v>
      </c>
      <c r="H7234" s="16" t="n">
        <f aca="false">H7232+H7233</f>
        <v>186.2509204</v>
      </c>
      <c r="I7234" s="16" t="n">
        <f aca="false">I7232+I7233</f>
        <v>182.007565669998</v>
      </c>
      <c r="J7234" s="16" t="n">
        <f aca="false">J7232+J7233</f>
        <v>181.597565669998</v>
      </c>
      <c r="K7234" s="16" t="n">
        <f aca="false">K7232+K7233</f>
        <v>181.187565669998</v>
      </c>
    </row>
    <row r="7235" customFormat="false" ht="15" hidden="false" customHeight="false" outlineLevel="0" collapsed="false">
      <c r="A7235" s="2" t="s">
        <v>284</v>
      </c>
      <c r="G7235" s="17" t="n">
        <f aca="false">G7231-G7234</f>
        <v>-117.9996146</v>
      </c>
      <c r="H7235" s="17" t="n">
        <f aca="false">H7231-H7234</f>
        <v>-125.758502231</v>
      </c>
      <c r="I7235" s="17" t="n">
        <f aca="false">I7231-I7234</f>
        <v>-121.515147500998</v>
      </c>
      <c r="J7235" s="17" t="n">
        <f aca="false">J7231-J7234</f>
        <v>-118.205797563618</v>
      </c>
      <c r="K7235" s="17" t="n">
        <f aca="false">K7231-K7234</f>
        <v>-114.844509869307</v>
      </c>
    </row>
    <row r="7236" customFormat="false" ht="15" hidden="false" customHeight="false" outlineLevel="0" collapsed="false">
      <c r="A7236" s="3" t="s">
        <v>312</v>
      </c>
      <c r="G7236" s="16" t="n">
        <f aca="false">MAX(0,G7235)*Assumptions!$C$9</f>
        <v>0</v>
      </c>
      <c r="H7236" s="16" t="n">
        <f aca="false">MAX(0,H7235)*Assumptions!$C$9</f>
        <v>0</v>
      </c>
      <c r="I7236" s="16" t="n">
        <f aca="false">MAX(0,I7235)*Assumptions!$C$9</f>
        <v>0</v>
      </c>
      <c r="J7236" s="16" t="n">
        <f aca="false">MAX(0,J7235)*Assumptions!$C$9</f>
        <v>0</v>
      </c>
      <c r="K7236" s="16" t="n">
        <f aca="false">MAX(0,K7235)*Assumptions!$C$9</f>
        <v>0</v>
      </c>
    </row>
    <row r="7237" customFormat="false" ht="15" hidden="false" customHeight="false" outlineLevel="0" collapsed="false">
      <c r="A7237" s="2" t="s">
        <v>313</v>
      </c>
      <c r="G7237" s="17" t="n">
        <f aca="false">G7235-G7236</f>
        <v>-117.9996146</v>
      </c>
      <c r="H7237" s="17" t="n">
        <f aca="false">H7235-H7236</f>
        <v>-125.758502231</v>
      </c>
      <c r="I7237" s="17" t="n">
        <f aca="false">I7235-I7236</f>
        <v>-121.515147500998</v>
      </c>
      <c r="J7237" s="17" t="n">
        <f aca="false">J7235-J7236</f>
        <v>-118.205797563618</v>
      </c>
      <c r="K7237" s="17" t="n">
        <f aca="false">K7235-K7236</f>
        <v>-114.844509869307</v>
      </c>
    </row>
    <row r="7238" customFormat="false" ht="15" hidden="false" customHeight="false" outlineLevel="0" collapsed="false">
      <c r="A7238" s="24" t="s">
        <v>314</v>
      </c>
      <c r="B7238" s="25"/>
      <c r="C7238" s="25"/>
      <c r="D7238" s="25"/>
      <c r="E7238" s="25"/>
      <c r="F7238" s="25"/>
      <c r="G7238" s="25"/>
      <c r="H7238" s="25"/>
      <c r="I7238" s="25"/>
      <c r="J7238" s="25"/>
      <c r="K7238" s="25"/>
    </row>
    <row r="7239" customFormat="false" ht="15" hidden="false" customHeight="false" outlineLevel="0" collapsed="false">
      <c r="A7239" s="3" t="s">
        <v>184</v>
      </c>
      <c r="G7239" s="16" t="n">
        <f aca="false">G7224*CHOOSE($C$7211,Assumptions!$C$83,Assumptions!$C$102,Assumptions!$C$121)</f>
        <v>84.3108372</v>
      </c>
      <c r="H7239" s="16" t="n">
        <f aca="false">H7224*CHOOSE($C$7211,Assumptions!$C$83,Assumptions!$C$102,Assumptions!$C$121)</f>
        <v>81.781512084</v>
      </c>
      <c r="I7239" s="16" t="n">
        <f aca="false">I7224*CHOOSE($C$7211,Assumptions!$C$83,Assumptions!$C$102,Assumptions!$C$121)</f>
        <v>81.781512084</v>
      </c>
      <c r="J7239" s="16" t="n">
        <f aca="false">J7224*CHOOSE($C$7211,Assumptions!$C$83,Assumptions!$C$102,Assumptions!$C$121)</f>
        <v>82.59932720484</v>
      </c>
      <c r="K7239" s="16" t="n">
        <f aca="false">K7224*CHOOSE($C$7211,Assumptions!$C$83,Assumptions!$C$102,Assumptions!$C$121)</f>
        <v>83.4253204768884</v>
      </c>
    </row>
    <row r="7240" customFormat="false" ht="15" hidden="false" customHeight="false" outlineLevel="0" collapsed="false">
      <c r="A7240" s="3" t="s">
        <v>315</v>
      </c>
      <c r="G7240" s="16" t="n">
        <f aca="false">CHOOSE($C$7211,Assumptions!$C$84,Assumptions!$C$103,Assumptions!$C$122)*(G7224-F7224)+CHOOSE($C$7211,Assumptions!$C$85,Assumptions!$C$104,Assumptions!$C$123)*G7224</f>
        <v>23.419677</v>
      </c>
      <c r="H7240" s="16" t="n">
        <f aca="false">CHOOSE($C$7211,Assumptions!$C$84,Assumptions!$C$103,Assumptions!$C$122)*(H7224-G7224)+CHOOSE($C$7211,Assumptions!$C$85,Assumptions!$C$104,Assumptions!$C$123)*H7224</f>
        <v>22.71708669</v>
      </c>
      <c r="I7240" s="16" t="n">
        <f aca="false">CHOOSE($C$7211,Assumptions!$C$84,Assumptions!$C$103,Assumptions!$C$122)*(I7224-H7224)+CHOOSE($C$7211,Assumptions!$C$85,Assumptions!$C$104,Assumptions!$C$123)*I7224</f>
        <v>22.71708669</v>
      </c>
      <c r="J7240" s="16" t="n">
        <f aca="false">CHOOSE($C$7211,Assumptions!$C$84,Assumptions!$C$103,Assumptions!$C$122)*(J7224-I7224)+CHOOSE($C$7211,Assumptions!$C$85,Assumptions!$C$104,Assumptions!$C$123)*J7224</f>
        <v>22.9442575569</v>
      </c>
      <c r="K7240" s="16" t="n">
        <f aca="false">CHOOSE($C$7211,Assumptions!$C$84,Assumptions!$C$103,Assumptions!$C$122)*(K7224-J7224)+CHOOSE($C$7211,Assumptions!$C$85,Assumptions!$C$104,Assumptions!$C$123)*K7224</f>
        <v>23.173700132469</v>
      </c>
    </row>
    <row r="7241" customFormat="false" ht="15" hidden="false" customHeight="false" outlineLevel="0" collapsed="false">
      <c r="A7241" s="2" t="s">
        <v>316</v>
      </c>
      <c r="G7241" s="17" t="n">
        <f aca="false">G7237+G7229+G7230+G7233-G7239-G7240</f>
        <v>-51.5547088</v>
      </c>
      <c r="H7241" s="17" t="n">
        <f aca="false">H7237+H7229+H7230+H7233-H7239-H7240</f>
        <v>-61.306943605</v>
      </c>
      <c r="I7241" s="17" t="n">
        <f aca="false">I7237+I7229+I7230+I7233-I7239-I7240</f>
        <v>-57.0635888749975</v>
      </c>
      <c r="J7241" s="17" t="n">
        <f aca="false">J7237+J7229+J7230+J7233-J7239-J7240</f>
        <v>-53.1097233513575</v>
      </c>
      <c r="K7241" s="17" t="n">
        <f aca="false">K7237+K7229+K7230+K7233-K7239-K7240</f>
        <v>-49.0974749149242</v>
      </c>
    </row>
    <row r="7243" customFormat="false" ht="15" hidden="false" customHeight="false" outlineLevel="0" collapsed="false">
      <c r="A7243" s="24" t="s">
        <v>318</v>
      </c>
      <c r="B7243" s="25"/>
      <c r="C7243" s="25"/>
      <c r="D7243" s="25"/>
      <c r="E7243" s="25"/>
      <c r="F7243" s="25"/>
      <c r="G7243" s="25"/>
      <c r="H7243" s="25"/>
      <c r="I7243" s="25"/>
      <c r="J7243" s="25"/>
      <c r="K7243" s="25"/>
    </row>
    <row r="7244" customFormat="false" ht="15" hidden="false" customHeight="false" outlineLevel="0" collapsed="false">
      <c r="A7244" s="3" t="s">
        <v>319</v>
      </c>
      <c r="G7244" s="30" t="n">
        <f aca="false">Assumptions!$G$53</f>
        <v>0.039</v>
      </c>
      <c r="H7244" s="30" t="n">
        <f aca="false">Assumptions!$H$53</f>
        <v>0.0375</v>
      </c>
      <c r="I7244" s="30" t="n">
        <f aca="false">Assumptions!$I$53</f>
        <v>0.035</v>
      </c>
      <c r="J7244" s="30" t="n">
        <f aca="false">Assumptions!$J$53</f>
        <v>0.035</v>
      </c>
      <c r="K7244" s="30" t="n">
        <f aca="false">Assumptions!$K$53</f>
        <v>0.035</v>
      </c>
    </row>
    <row r="7245" customFormat="false" ht="15" hidden="false" customHeight="false" outlineLevel="0" collapsed="false">
      <c r="A7245" s="3" t="s">
        <v>320</v>
      </c>
      <c r="C7245" s="31" t="n">
        <f aca="false">CHOOSE($C$7211,Assumptions!$C$86,Assumptions!$C$105,Assumptions!$C$124)+$C$7214</f>
        <v>0.015</v>
      </c>
    </row>
    <row r="7246" customFormat="false" ht="15" hidden="false" customHeight="false" outlineLevel="0" collapsed="false">
      <c r="A7246" s="3" t="s">
        <v>321</v>
      </c>
      <c r="C7246" s="31" t="n">
        <f aca="false">CHOOSE($C$7211,Assumptions!$C$87,Assumptions!$C$106,Assumptions!$C$125)</f>
        <v>0.1</v>
      </c>
    </row>
    <row r="7247" customFormat="false" ht="15" hidden="false" customHeight="false" outlineLevel="0" collapsed="false">
      <c r="A7247" s="3" t="s">
        <v>322</v>
      </c>
      <c r="C7247" s="32" t="n">
        <f aca="false">CHOOSE($C$7211,Assumptions!$C$88,Assumptions!$C$107,Assumptions!$C$126)</f>
        <v>9.5</v>
      </c>
    </row>
    <row r="7248" customFormat="false" ht="15" hidden="false" customHeight="false" outlineLevel="0" collapsed="false">
      <c r="A7248" s="3" t="s">
        <v>323</v>
      </c>
      <c r="C7248" s="32" t="n">
        <f aca="false">CHOOSE($C$7211,Assumptions!$C$89,Assumptions!$C$108,Assumptions!$C$127)</f>
        <v>1.5</v>
      </c>
    </row>
    <row r="7249" customFormat="false" ht="15" hidden="false" customHeight="false" outlineLevel="0" collapsed="false">
      <c r="A7249" s="3" t="s">
        <v>324</v>
      </c>
      <c r="G7249" s="16" t="n">
        <f aca="false">G7254+G7267+G7280+G7293+G7306+G7319+G7332+G7345+G7358+G7371</f>
        <v>2625.934</v>
      </c>
      <c r="H7249" s="16" t="n">
        <f aca="false">H7254+H7267+H7280+H7293+H7306+H7319+H7332+H7345+H7358+H7371</f>
        <v>2621.934</v>
      </c>
      <c r="I7249" s="16" t="n">
        <f aca="false">I7254+I7267+I7280+I7293+I7306+I7319+I7332+I7345+I7358+I7371</f>
        <v>2550.925652405</v>
      </c>
      <c r="J7249" s="16" t="n">
        <f aca="false">J7254+J7267+J7280+J7293+J7306+J7319+J7332+J7345+J7358+J7371</f>
        <v>2546.925652405</v>
      </c>
      <c r="K7249" s="16" t="n">
        <f aca="false">K7254+K7267+K7280+K7293+K7306+K7319+K7332+K7345+K7358+K7371</f>
        <v>2542.925652405</v>
      </c>
    </row>
    <row r="7250" customFormat="false" ht="15" hidden="false" customHeight="false" outlineLevel="0" collapsed="false">
      <c r="A7250" s="3" t="s">
        <v>325</v>
      </c>
      <c r="G7250" s="16" t="n">
        <f aca="false">F7442</f>
        <v>37.87</v>
      </c>
      <c r="H7250" s="16" t="n">
        <f aca="false">G7442</f>
        <v>132.3152912</v>
      </c>
      <c r="I7250" s="16" t="n">
        <f aca="false">H7442</f>
        <v>0</v>
      </c>
      <c r="J7250" s="16" t="n">
        <f aca="false">I7442</f>
        <v>-61.0635888749975</v>
      </c>
      <c r="K7250" s="16" t="n">
        <f aca="false">J7442</f>
        <v>-118.173312226355</v>
      </c>
    </row>
    <row r="7251" customFormat="false" ht="15" hidden="false" customHeight="false" outlineLevel="0" collapsed="false">
      <c r="A7251" s="3" t="s">
        <v>326</v>
      </c>
      <c r="G7251" s="16" t="n">
        <f aca="false">G7254*IF(G7255=1,$C$7246,IF(Assumptions!$I$57=1,MAX(G7244,Assumptions!$G$57)+Assumptions!$F$57+$C$7245,Assumptions!$E$57))+G7267*IF(G7268=1,$C$7246,IF(Assumptions!$I$58=1,MAX(G7244,Assumptions!$G$58)+Assumptions!$F$58+$C$7245,Assumptions!$E$58))+G7280*IF(G7281=1,$C$7246,IF(Assumptions!$I$59=1,MAX(G7244,Assumptions!$G$59)+Assumptions!$F$59+$C$7245,Assumptions!$E$59))+G7293*IF(G7294=1,$C$7246,IF(Assumptions!$I$60=1,MAX(G7244,Assumptions!$G$60)+Assumptions!$F$60+$C$7245,Assumptions!$E$60))+G7306*IF(G7307=1,$C$7246,IF(Assumptions!$I$61=1,MAX(G7244,Assumptions!$G$61)+Assumptions!$F$61+$C$7245,Assumptions!$E$61))+G7319*IF(G7320=1,$C$7246,IF(Assumptions!$I$62=1,MAX(G7244,Assumptions!$G$62)+Assumptions!$F$62+$C$7245,Assumptions!$E$62))+G7332*IF(G7333=1,$C$7246,IF(Assumptions!$I$63=1,MAX(G7244,Assumptions!$G$63)+Assumptions!$F$63+$C$7245,Assumptions!$E$63))+G7345*IF(G7346=1,$C$7246,IF(Assumptions!$I$64=1,MAX(G7244,Assumptions!$G$64)+Assumptions!$F$64+$C$7245,Assumptions!$E$64))+G7358*IF(G7359=1,$C$7246,IF(Assumptions!$I$65=1,MAX(G7244,Assumptions!$G$65)+Assumptions!$F$65+$C$7245,Assumptions!$E$65))+G7371*IF(G7372=1,$C$7246,IF(Assumptions!$I$66=1,MAX(G7244,Assumptions!$G$66)+Assumptions!$F$66+$C$7245,Assumptions!$E$66))</f>
        <v>187.3888354</v>
      </c>
      <c r="H7251" s="16" t="n">
        <f aca="false">H7254*IF(OR(H7255=1,G7564=1),$C$7246,IF(Assumptions!$I$57=1,MAX(H7244,Assumptions!$G$57)+Assumptions!$F$57+$C$7245,Assumptions!$E$57))+H7267*IF(OR(H7268=1,G7565=1),$C$7246,IF(Assumptions!$I$58=1,MAX(H7244,Assumptions!$G$58)+Assumptions!$F$58+$C$7245,Assumptions!$E$58))+H7280*IF(OR(H7281=1,G7566=1),$C$7246,IF(Assumptions!$I$59=1,MAX(H7244,Assumptions!$G$59)+Assumptions!$F$59+$C$7245,Assumptions!$E$59))+H7293*IF(OR(H7294=1,G7567=1),$C$7246,IF(Assumptions!$I$60=1,MAX(H7244,Assumptions!$G$60)+Assumptions!$F$60+$C$7245,Assumptions!$E$60))+H7306*IF(OR(H7307=1,G7568=1),$C$7246,IF(Assumptions!$I$61=1,MAX(H7244,Assumptions!$G$61)+Assumptions!$F$61+$C$7245,Assumptions!$E$61))+H7319*IF(OR(H7320=1,G7569=1),$C$7246,IF(Assumptions!$I$62=1,MAX(H7244,Assumptions!$G$62)+Assumptions!$F$62+$C$7245,Assumptions!$E$62))+H7332*IF(OR(H7333=1,G7570=1),$C$7246,IF(Assumptions!$I$63=1,MAX(H7244,Assumptions!$G$63)+Assumptions!$F$63+$C$7245,Assumptions!$E$63))+H7345*IF(OR(H7346=1,G7571=1),$C$7246,IF(Assumptions!$I$64=1,MAX(H7244,Assumptions!$G$64)+Assumptions!$F$64+$C$7245,Assumptions!$E$64))+H7358*IF(OR(H7359=1,G7572=1),$C$7246,IF(Assumptions!$I$65=1,MAX(H7244,Assumptions!$G$65)+Assumptions!$F$65+$C$7245,Assumptions!$E$65))+H7371*IF(OR(H7372=1,G7573=1),$C$7246,IF(Assumptions!$I$66=1,MAX(H7244,Assumptions!$G$66)+Assumptions!$F$66+$C$7245,Assumptions!$E$66))</f>
        <v>219.4259204</v>
      </c>
      <c r="I7251" s="16" t="n">
        <f aca="false">I7254*IF(OR(I7255=1,H7564=1),$C$7246,IF(Assumptions!$I$57=1,MAX(I7244,Assumptions!$G$57)+Assumptions!$F$57+$C$7245,Assumptions!$E$57))+I7267*IF(OR(I7268=1,H7565=1),$C$7246,IF(Assumptions!$I$58=1,MAX(I7244,Assumptions!$G$58)+Assumptions!$F$58+$C$7245,Assumptions!$E$58))+I7280*IF(OR(I7281=1,H7566=1),$C$7246,IF(Assumptions!$I$59=1,MAX(I7244,Assumptions!$G$59)+Assumptions!$F$59+$C$7245,Assumptions!$E$59))+I7293*IF(OR(I7294=1,H7567=1),$C$7246,IF(Assumptions!$I$60=1,MAX(I7244,Assumptions!$G$60)+Assumptions!$F$60+$C$7245,Assumptions!$E$60))+I7306*IF(OR(I7307=1,H7568=1),$C$7246,IF(Assumptions!$I$61=1,MAX(I7244,Assumptions!$G$61)+Assumptions!$F$61+$C$7245,Assumptions!$E$61))+I7319*IF(OR(I7320=1,H7569=1),$C$7246,IF(Assumptions!$I$62=1,MAX(I7244,Assumptions!$G$62)+Assumptions!$F$62+$C$7245,Assumptions!$E$62))+I7332*IF(OR(I7333=1,H7570=1),$C$7246,IF(Assumptions!$I$63=1,MAX(I7244,Assumptions!$G$63)+Assumptions!$F$63+$C$7245,Assumptions!$E$63))+I7345*IF(OR(I7346=1,H7571=1),$C$7246,IF(Assumptions!$I$64=1,MAX(I7244,Assumptions!$G$64)+Assumptions!$F$64+$C$7245,Assumptions!$E$64))+I7358*IF(OR(I7359=1,H7572=1),$C$7246,IF(Assumptions!$I$65=1,MAX(I7244,Assumptions!$G$65)+Assumptions!$F$65+$C$7245,Assumptions!$E$65))+I7371*IF(OR(I7372=1,H7573=1),$C$7246,IF(Assumptions!$I$66=1,MAX(I7244,Assumptions!$G$66)+Assumptions!$F$66+$C$7245,Assumptions!$E$66))</f>
        <v>188.195065669998</v>
      </c>
      <c r="J7251" s="16" t="n">
        <f aca="false">J7254*IF(OR(J7255=1,I7564=1),$C$7246,IF(Assumptions!$I$57=1,MAX(J7244,Assumptions!$G$57)+Assumptions!$F$57+$C$7245,Assumptions!$E$57))+J7267*IF(OR(J7268=1,I7565=1),$C$7246,IF(Assumptions!$I$58=1,MAX(J7244,Assumptions!$G$58)+Assumptions!$F$58+$C$7245,Assumptions!$E$58))+J7280*IF(OR(J7281=1,I7566=1),$C$7246,IF(Assumptions!$I$59=1,MAX(J7244,Assumptions!$G$59)+Assumptions!$F$59+$C$7245,Assumptions!$E$59))+J7293*IF(OR(J7294=1,I7567=1),$C$7246,IF(Assumptions!$I$60=1,MAX(J7244,Assumptions!$G$60)+Assumptions!$F$60+$C$7245,Assumptions!$E$60))+J7306*IF(OR(J7307=1,I7568=1),$C$7246,IF(Assumptions!$I$61=1,MAX(J7244,Assumptions!$G$61)+Assumptions!$F$61+$C$7245,Assumptions!$E$61))+J7319*IF(OR(J7320=1,I7569=1),$C$7246,IF(Assumptions!$I$62=1,MAX(J7244,Assumptions!$G$62)+Assumptions!$F$62+$C$7245,Assumptions!$E$62))+J7332*IF(OR(J7333=1,I7570=1),$C$7246,IF(Assumptions!$I$63=1,MAX(J7244,Assumptions!$G$63)+Assumptions!$F$63+$C$7245,Assumptions!$E$63))+J7345*IF(OR(J7346=1,I7571=1),$C$7246,IF(Assumptions!$I$64=1,MAX(J7244,Assumptions!$G$64)+Assumptions!$F$64+$C$7245,Assumptions!$E$64))+J7358*IF(OR(J7359=1,I7572=1),$C$7246,IF(Assumptions!$I$65=1,MAX(J7244,Assumptions!$G$65)+Assumptions!$F$65+$C$7245,Assumptions!$E$65))+J7371*IF(OR(J7372=1,I7573=1),$C$7246,IF(Assumptions!$I$66=1,MAX(J7244,Assumptions!$G$66)+Assumptions!$F$66+$C$7245,Assumptions!$E$66))</f>
        <v>200.672565669998</v>
      </c>
      <c r="K7251" s="16" t="n">
        <f aca="false">K7254*IF(OR(K7255=1,J7564=1),$C$7246,IF(Assumptions!$I$57=1,MAX(K7244,Assumptions!$G$57)+Assumptions!$F$57+$C$7245,Assumptions!$E$57))+K7267*IF(OR(K7268=1,J7565=1),$C$7246,IF(Assumptions!$I$58=1,MAX(K7244,Assumptions!$G$58)+Assumptions!$F$58+$C$7245,Assumptions!$E$58))+K7280*IF(OR(K7281=1,J7566=1),$C$7246,IF(Assumptions!$I$59=1,MAX(K7244,Assumptions!$G$59)+Assumptions!$F$59+$C$7245,Assumptions!$E$59))+K7293*IF(OR(K7294=1,J7567=1),$C$7246,IF(Assumptions!$I$60=1,MAX(K7244,Assumptions!$G$60)+Assumptions!$F$60+$C$7245,Assumptions!$E$60))+K7306*IF(OR(K7307=1,J7568=1),$C$7246,IF(Assumptions!$I$61=1,MAX(K7244,Assumptions!$G$61)+Assumptions!$F$61+$C$7245,Assumptions!$E$61))+K7319*IF(OR(K7320=1,J7569=1),$C$7246,IF(Assumptions!$I$62=1,MAX(K7244,Assumptions!$G$62)+Assumptions!$F$62+$C$7245,Assumptions!$E$62))+K7332*IF(OR(K7333=1,J7570=1),$C$7246,IF(Assumptions!$I$63=1,MAX(K7244,Assumptions!$G$63)+Assumptions!$F$63+$C$7245,Assumptions!$E$63))+K7345*IF(OR(K7346=1,J7571=1),$C$7246,IF(Assumptions!$I$64=1,MAX(K7244,Assumptions!$G$64)+Assumptions!$F$64+$C$7245,Assumptions!$E$64))+K7358*IF(OR(K7359=1,J7572=1),$C$7246,IF(Assumptions!$I$65=1,MAX(K7244,Assumptions!$G$65)+Assumptions!$F$65+$C$7245,Assumptions!$E$65))+K7371*IF(OR(K7372=1,J7573=1),$C$7246,IF(Assumptions!$I$66=1,MAX(K7244,Assumptions!$G$66)+Assumptions!$F$66+$C$7245,Assumptions!$E$66))</f>
        <v>191.852565669998</v>
      </c>
    </row>
    <row r="7252" customFormat="false" ht="15" hidden="false" customHeight="false" outlineLevel="0" collapsed="false">
      <c r="A7252" s="3" t="s">
        <v>327</v>
      </c>
      <c r="G7252" s="21" t="n">
        <f aca="false">IF(G7228&lt;=0,0,IF(AND((G7249-G7250)/G7228&lt;=$C$7247,G7228/G7251&gt;=$C$7248),1,0))</f>
        <v>0</v>
      </c>
      <c r="H7252" s="21" t="n">
        <f aca="false">IF(H7228&lt;=0,0,IF(AND((H7249-H7250)/H7228&lt;=$C$7247,H7228/H7251&gt;=$C$7248),1,0))</f>
        <v>0</v>
      </c>
      <c r="I7252" s="21" t="n">
        <f aca="false">IF(I7228&lt;=0,0,IF(AND((I7249-I7250)/I7228&lt;=$C$7247,I7228/I7251&gt;=$C$7248),1,0))</f>
        <v>0</v>
      </c>
      <c r="J7252" s="21" t="n">
        <f aca="false">IF(J7228&lt;=0,0,IF(AND((J7249-J7250)/J7228&lt;=$C$7247,J7228/J7251&gt;=$C$7248),1,0))</f>
        <v>0</v>
      </c>
      <c r="K7252" s="21" t="n">
        <f aca="false">IF(K7228&lt;=0,0,IF(AND((K7249-K7250)/K7228&lt;=$C$7247,K7228/K7251&gt;=$C$7248),1,0))</f>
        <v>0</v>
      </c>
    </row>
    <row r="7253" customFormat="false" ht="15" hidden="false" customHeight="false" outlineLevel="0" collapsed="false">
      <c r="A7253" s="24" t="s">
        <v>328</v>
      </c>
      <c r="B7253" s="25"/>
      <c r="C7253" s="25"/>
      <c r="D7253" s="25"/>
      <c r="E7253" s="25"/>
      <c r="F7253" s="25"/>
      <c r="G7253" s="25"/>
      <c r="H7253" s="25"/>
      <c r="I7253" s="25"/>
      <c r="J7253" s="25"/>
      <c r="K7253" s="25"/>
    </row>
    <row r="7254" customFormat="false" ht="15" hidden="false" customHeight="false" outlineLevel="0" collapsed="false">
      <c r="A7254" s="3" t="s">
        <v>329</v>
      </c>
      <c r="G7254" s="16" t="n">
        <f aca="false">F7265</f>
        <v>400</v>
      </c>
      <c r="H7254" s="16" t="n">
        <f aca="false">G7265</f>
        <v>396</v>
      </c>
      <c r="I7254" s="16" t="n">
        <f aca="false">H7265</f>
        <v>392</v>
      </c>
      <c r="J7254" s="16" t="n">
        <f aca="false">I7265</f>
        <v>388</v>
      </c>
      <c r="K7254" s="16" t="n">
        <f aca="false">J7265</f>
        <v>384</v>
      </c>
    </row>
    <row r="7255" customFormat="false" ht="15" hidden="false" customHeight="false" outlineLevel="0" collapsed="false">
      <c r="A7255" s="3" t="s">
        <v>330</v>
      </c>
      <c r="G7255" s="21" t="n">
        <f aca="false">IF(G7218=Assumptions!$K$57,1,0)</f>
        <v>0</v>
      </c>
      <c r="H7255" s="21" t="n">
        <f aca="false">IF(H7218=Assumptions!$K$57,1,0)</f>
        <v>0</v>
      </c>
      <c r="I7255" s="21" t="n">
        <f aca="false">IF(I7218=Assumptions!$K$57,1,0)</f>
        <v>0</v>
      </c>
      <c r="J7255" s="21" t="n">
        <f aca="false">IF(J7218=Assumptions!$K$57,1,0)</f>
        <v>0</v>
      </c>
      <c r="K7255" s="21" t="n">
        <f aca="false">IF(K7218=Assumptions!$K$57,1,0)</f>
        <v>1</v>
      </c>
    </row>
    <row r="7257" customFormat="false" ht="15" hidden="false" customHeight="false" outlineLevel="0" collapsed="false">
      <c r="A7257" s="3" t="s">
        <v>331</v>
      </c>
      <c r="G7257" s="31" t="n">
        <f aca="false">IF(Assumptions!$I$57=1,MAX(G7244,Assumptions!$G$57)+Assumptions!$F$57+$C$7245,Assumptions!$E$57)</f>
        <v>0.1065</v>
      </c>
      <c r="H7257" s="31" t="n">
        <f aca="false">IF(G7564=1,$C$7246,IF(Assumptions!$I$57=1,MAX(H7244,Assumptions!$G$57)+Assumptions!$F$57+$C$7245,Assumptions!$E$57))</f>
        <v>0.105</v>
      </c>
      <c r="I7257" s="31" t="n">
        <f aca="false">IF(H7564=1,$C$7246,IF(Assumptions!$I$57=1,MAX(I7244,Assumptions!$G$57)+Assumptions!$F$57+$C$7245,Assumptions!$E$57))</f>
        <v>0.1025</v>
      </c>
      <c r="J7257" s="31" t="n">
        <f aca="false">IF(I7564=1,$C$7246,IF(Assumptions!$I$57=1,MAX(J7244,Assumptions!$G$57)+Assumptions!$F$57+$C$7245,Assumptions!$E$57))</f>
        <v>0.1025</v>
      </c>
      <c r="K7257" s="31" t="n">
        <f aca="false">IF(J7564=1,$C$7246,IF(Assumptions!$I$57=1,MAX(K7244,Assumptions!$G$57)+Assumptions!$F$57+$C$7245,Assumptions!$E$57))</f>
        <v>0.1025</v>
      </c>
    </row>
    <row r="7258" customFormat="false" ht="15" hidden="false" customHeight="false" outlineLevel="0" collapsed="false">
      <c r="A7258" s="3" t="s">
        <v>332</v>
      </c>
      <c r="G7258" s="16" t="n">
        <f aca="false">G7254*G7257</f>
        <v>42.6</v>
      </c>
      <c r="H7258" s="16" t="n">
        <f aca="false">H7254*H7257</f>
        <v>41.58</v>
      </c>
      <c r="I7258" s="16" t="n">
        <f aca="false">I7254*I7257</f>
        <v>40.18</v>
      </c>
      <c r="J7258" s="16" t="n">
        <f aca="false">J7254*J7257</f>
        <v>39.77</v>
      </c>
      <c r="K7258" s="16" t="n">
        <f aca="false">K7254*K7257</f>
        <v>39.36</v>
      </c>
    </row>
    <row r="7259" customFormat="false" ht="15" hidden="false" customHeight="false" outlineLevel="0" collapsed="false">
      <c r="A7259" s="3" t="s">
        <v>333</v>
      </c>
      <c r="G7259" s="16" t="n">
        <f aca="false">G7254*Assumptions!$H$57</f>
        <v>0</v>
      </c>
      <c r="H7259" s="16" t="n">
        <f aca="false">H7254*Assumptions!$H$57</f>
        <v>0</v>
      </c>
      <c r="I7259" s="16" t="n">
        <f aca="false">I7254*Assumptions!$H$57</f>
        <v>0</v>
      </c>
      <c r="J7259" s="16" t="n">
        <f aca="false">J7254*Assumptions!$H$57</f>
        <v>0</v>
      </c>
      <c r="K7259" s="16" t="n">
        <f aca="false">K7254*Assumptions!$H$57</f>
        <v>0</v>
      </c>
    </row>
    <row r="7260" customFormat="false" ht="15" hidden="false" customHeight="false" outlineLevel="0" collapsed="false">
      <c r="A7260" s="3" t="s">
        <v>334</v>
      </c>
      <c r="G7260" s="16" t="n">
        <f aca="false">MIN(G7254,Assumptions!$L$57*Assumptions!$C$57)</f>
        <v>4</v>
      </c>
      <c r="H7260" s="16" t="n">
        <f aca="false">MIN(H7254,Assumptions!$L$57*Assumptions!$C$57)</f>
        <v>4</v>
      </c>
      <c r="I7260" s="16" t="n">
        <f aca="false">MIN(I7254,Assumptions!$L$57*Assumptions!$C$57)</f>
        <v>4</v>
      </c>
      <c r="J7260" s="16" t="n">
        <f aca="false">MIN(J7254,Assumptions!$L$57*Assumptions!$C$57)</f>
        <v>4</v>
      </c>
      <c r="K7260" s="16" t="n">
        <f aca="false">MIN(K7254,Assumptions!$L$57*Assumptions!$C$57)</f>
        <v>4</v>
      </c>
    </row>
    <row r="7261" customFormat="false" ht="15" hidden="false" customHeight="false" outlineLevel="0" collapsed="false">
      <c r="A7261" s="3" t="s">
        <v>335</v>
      </c>
      <c r="G7261" s="16" t="n">
        <f aca="false">IF(AND(Assumptions!$P$57=1,G7218&lt;Assumptions!$K$57),MIN(MAX(0,-G7434),MAX(0,Assumptions!$D$57-G7254)),0)</f>
        <v>0</v>
      </c>
      <c r="H7261" s="16" t="n">
        <f aca="false">IF(AND(Assumptions!$P$57=1,OR(H7218&lt;Assumptions!$K$57,G7564=1)),MIN(MAX(0,-H7434),MAX(0,Assumptions!$D$57-H7254)),0)</f>
        <v>0</v>
      </c>
      <c r="I7261" s="16" t="n">
        <f aca="false">IF(AND(Assumptions!$P$57=1,OR(I7218&lt;Assumptions!$K$57,H7564=1)),MIN(MAX(0,-I7434),MAX(0,Assumptions!$D$57-I7254)),0)</f>
        <v>0</v>
      </c>
      <c r="J7261" s="16" t="n">
        <f aca="false">IF(AND(Assumptions!$P$57=1,OR(J7218&lt;Assumptions!$K$57,I7564=1)),MIN(MAX(0,-J7434),MAX(0,Assumptions!$D$57-J7254)),0)</f>
        <v>0</v>
      </c>
      <c r="K7261" s="16" t="n">
        <f aca="false">IF(AND(Assumptions!$P$57=1,OR(K7218&lt;Assumptions!$K$57,J7564=1)),MIN(MAX(0,-K7434),MAX(0,Assumptions!$D$57-K7254)),0)</f>
        <v>0</v>
      </c>
    </row>
    <row r="7262" customFormat="false" ht="15" hidden="false" customHeight="false" outlineLevel="0" collapsed="false">
      <c r="A7262" s="3" t="s">
        <v>336</v>
      </c>
      <c r="G7262" s="16" t="n">
        <f aca="false">G7255*MIN(G7254-G7260+G7259,MAX(0,G7436-Assumptions!$C$12*G7252))</f>
        <v>0</v>
      </c>
      <c r="H7262" s="16" t="n">
        <f aca="false">H7255*MIN(H7254-H7260+H7259,MAX(0,H7436-Assumptions!$C$12*H7252))</f>
        <v>0</v>
      </c>
      <c r="I7262" s="16" t="n">
        <f aca="false">I7255*MIN(I7254-I7260+I7259,MAX(0,I7436-Assumptions!$C$12*I7252))</f>
        <v>0</v>
      </c>
      <c r="J7262" s="16" t="n">
        <f aca="false">J7255*MIN(J7254-J7260+J7259,MAX(0,J7436-Assumptions!$C$12*J7252))</f>
        <v>0</v>
      </c>
      <c r="K7262" s="16" t="n">
        <f aca="false">K7255*MIN(K7254-K7260+K7259,MAX(0,K7436-Assumptions!$C$12*K7252))</f>
        <v>0</v>
      </c>
    </row>
    <row r="7263" customFormat="false" ht="15" hidden="false" customHeight="false" outlineLevel="0" collapsed="false">
      <c r="A7263" s="3" t="s">
        <v>337</v>
      </c>
      <c r="G7263" s="16" t="n">
        <f aca="false">Assumptions!$N$57*MIN(G7254+G7261+G7259-G7260-G7262,MAX(0,G7440))</f>
        <v>0</v>
      </c>
      <c r="H7263" s="16" t="n">
        <f aca="false">Assumptions!$N$57*MIN(H7254+H7261+H7259-H7260-H7262,MAX(0,H7440))</f>
        <v>0</v>
      </c>
      <c r="I7263" s="16" t="n">
        <f aca="false">Assumptions!$N$57*MIN(I7254+I7261+I7259-I7260-I7262,MAX(0,I7440))</f>
        <v>0</v>
      </c>
      <c r="J7263" s="16" t="n">
        <f aca="false">Assumptions!$N$57*MIN(J7254+J7261+J7259-J7260-J7262,MAX(0,J7440))</f>
        <v>0</v>
      </c>
      <c r="K7263" s="16" t="n">
        <f aca="false">Assumptions!$N$57*MIN(K7254+K7261+K7259-K7260-K7262,MAX(0,K7440))</f>
        <v>0</v>
      </c>
    </row>
    <row r="7264" customFormat="false" ht="15" hidden="false" customHeight="false" outlineLevel="0" collapsed="false">
      <c r="A7264" s="3" t="s">
        <v>338</v>
      </c>
      <c r="G7264" s="16" t="n">
        <f aca="false">G7255*(1-G7252)*(G7254-G7260+G7259-G7262)</f>
        <v>0</v>
      </c>
      <c r="H7264" s="16" t="n">
        <f aca="false">H7255*(1-H7252)*(H7254-H7260+H7259-H7262)</f>
        <v>0</v>
      </c>
      <c r="I7264" s="16" t="n">
        <f aca="false">I7255*(1-I7252)*(I7254-I7260+I7259-I7262)</f>
        <v>0</v>
      </c>
      <c r="J7264" s="16" t="n">
        <f aca="false">J7255*(1-J7252)*(J7254-J7260+J7259-J7262)</f>
        <v>0</v>
      </c>
      <c r="K7264" s="16" t="n">
        <f aca="false">K7255*(1-K7252)*(K7254-K7260+K7259-K7262)</f>
        <v>380</v>
      </c>
    </row>
    <row r="7265" customFormat="false" ht="15" hidden="false" customHeight="false" outlineLevel="0" collapsed="false">
      <c r="A7265" s="2" t="s">
        <v>339</v>
      </c>
      <c r="F7265" s="28" t="n">
        <f aca="false">Assumptions!$C$57</f>
        <v>400</v>
      </c>
      <c r="G7265" s="17" t="n">
        <f aca="false">G7254+G7261+G7259-G7260-G7262-G7263</f>
        <v>396</v>
      </c>
      <c r="H7265" s="17" t="n">
        <f aca="false">H7254+H7261+H7259-H7260-H7262-H7263</f>
        <v>392</v>
      </c>
      <c r="I7265" s="17" t="n">
        <f aca="false">I7254+I7261+I7259-I7260-I7262-I7263</f>
        <v>388</v>
      </c>
      <c r="J7265" s="17" t="n">
        <f aca="false">J7254+J7261+J7259-J7260-J7262-J7263</f>
        <v>384</v>
      </c>
      <c r="K7265" s="17" t="n">
        <f aca="false">K7254+K7261+K7259-K7260-K7262-K7263</f>
        <v>380</v>
      </c>
    </row>
    <row r="7266" customFormat="false" ht="15" hidden="false" customHeight="false" outlineLevel="0" collapsed="false">
      <c r="A7266" s="24" t="s">
        <v>340</v>
      </c>
      <c r="B7266" s="25"/>
      <c r="C7266" s="25"/>
      <c r="D7266" s="25"/>
      <c r="E7266" s="25"/>
      <c r="F7266" s="25"/>
      <c r="G7266" s="25"/>
      <c r="H7266" s="25"/>
      <c r="I7266" s="25"/>
      <c r="J7266" s="25"/>
      <c r="K7266" s="25"/>
    </row>
    <row r="7267" customFormat="false" ht="15" hidden="false" customHeight="false" outlineLevel="0" collapsed="false">
      <c r="A7267" s="3" t="s">
        <v>329</v>
      </c>
      <c r="G7267" s="16" t="n">
        <f aca="false">F7278</f>
        <v>90</v>
      </c>
      <c r="H7267" s="16" t="n">
        <f aca="false">G7278</f>
        <v>90</v>
      </c>
      <c r="I7267" s="16" t="n">
        <f aca="false">H7278</f>
        <v>90</v>
      </c>
      <c r="J7267" s="16" t="n">
        <f aca="false">I7278</f>
        <v>90</v>
      </c>
      <c r="K7267" s="16" t="n">
        <f aca="false">J7278</f>
        <v>90</v>
      </c>
    </row>
    <row r="7268" customFormat="false" ht="15" hidden="false" customHeight="false" outlineLevel="0" collapsed="false">
      <c r="A7268" s="3" t="s">
        <v>330</v>
      </c>
      <c r="G7268" s="21" t="n">
        <f aca="false">IF(G7218=Assumptions!$K$58,1,0)</f>
        <v>0</v>
      </c>
      <c r="H7268" s="21" t="n">
        <f aca="false">IF(H7218=Assumptions!$K$58,1,0)</f>
        <v>0</v>
      </c>
      <c r="I7268" s="21" t="n">
        <f aca="false">IF(I7218=Assumptions!$K$58,1,0)</f>
        <v>0</v>
      </c>
      <c r="J7268" s="21" t="n">
        <f aca="false">IF(J7218=Assumptions!$K$58,1,0)</f>
        <v>0</v>
      </c>
      <c r="K7268" s="21" t="n">
        <f aca="false">IF(K7218=Assumptions!$K$58,1,0)</f>
        <v>0</v>
      </c>
    </row>
    <row r="7270" customFormat="false" ht="15" hidden="false" customHeight="false" outlineLevel="0" collapsed="false">
      <c r="A7270" s="3" t="s">
        <v>331</v>
      </c>
      <c r="G7270" s="31" t="n">
        <f aca="false">IF(Assumptions!$I$58=1,MAX(G7244,Assumptions!$G$58)+Assumptions!$F$58+$C$7245,Assumptions!$E$58)</f>
        <v>0.0581</v>
      </c>
      <c r="H7270" s="31" t="n">
        <f aca="false">IF(G7565=1,$C$7246,IF(Assumptions!$I$58=1,MAX(H7244,Assumptions!$G$58)+Assumptions!$F$58+$C$7245,Assumptions!$E$58))</f>
        <v>0.0581</v>
      </c>
      <c r="I7270" s="31" t="n">
        <f aca="false">IF(H7565=1,$C$7246,IF(Assumptions!$I$58=1,MAX(I7244,Assumptions!$G$58)+Assumptions!$F$58+$C$7245,Assumptions!$E$58))</f>
        <v>0.0581</v>
      </c>
      <c r="J7270" s="31" t="n">
        <f aca="false">IF(I7565=1,$C$7246,IF(Assumptions!$I$58=1,MAX(J7244,Assumptions!$G$58)+Assumptions!$F$58+$C$7245,Assumptions!$E$58))</f>
        <v>0.0581</v>
      </c>
      <c r="K7270" s="31" t="n">
        <f aca="false">IF(J7565=1,$C$7246,IF(Assumptions!$I$58=1,MAX(K7244,Assumptions!$G$58)+Assumptions!$F$58+$C$7245,Assumptions!$E$58))</f>
        <v>0.0581</v>
      </c>
    </row>
    <row r="7271" customFormat="false" ht="15" hidden="false" customHeight="false" outlineLevel="0" collapsed="false">
      <c r="A7271" s="3" t="s">
        <v>332</v>
      </c>
      <c r="G7271" s="16" t="n">
        <f aca="false">G7267*G7270</f>
        <v>5.229</v>
      </c>
      <c r="H7271" s="16" t="n">
        <f aca="false">H7267*H7270</f>
        <v>5.229</v>
      </c>
      <c r="I7271" s="16" t="n">
        <f aca="false">I7267*I7270</f>
        <v>5.229</v>
      </c>
      <c r="J7271" s="16" t="n">
        <f aca="false">J7267*J7270</f>
        <v>5.229</v>
      </c>
      <c r="K7271" s="16" t="n">
        <f aca="false">K7267*K7270</f>
        <v>5.229</v>
      </c>
    </row>
    <row r="7272" customFormat="false" ht="15" hidden="false" customHeight="false" outlineLevel="0" collapsed="false">
      <c r="A7272" s="3" t="s">
        <v>333</v>
      </c>
      <c r="G7272" s="16" t="n">
        <f aca="false">G7267*Assumptions!$H$58</f>
        <v>0</v>
      </c>
      <c r="H7272" s="16" t="n">
        <f aca="false">H7267*Assumptions!$H$58</f>
        <v>0</v>
      </c>
      <c r="I7272" s="16" t="n">
        <f aca="false">I7267*Assumptions!$H$58</f>
        <v>0</v>
      </c>
      <c r="J7272" s="16" t="n">
        <f aca="false">J7267*Assumptions!$H$58</f>
        <v>0</v>
      </c>
      <c r="K7272" s="16" t="n">
        <f aca="false">K7267*Assumptions!$H$58</f>
        <v>0</v>
      </c>
    </row>
    <row r="7273" customFormat="false" ht="15" hidden="false" customHeight="false" outlineLevel="0" collapsed="false">
      <c r="A7273" s="3" t="s">
        <v>334</v>
      </c>
      <c r="G7273" s="16" t="n">
        <f aca="false">MIN(G7267,Assumptions!$L$58*Assumptions!$C$58)</f>
        <v>0</v>
      </c>
      <c r="H7273" s="16" t="n">
        <f aca="false">MIN(H7267,Assumptions!$L$58*Assumptions!$C$58)</f>
        <v>0</v>
      </c>
      <c r="I7273" s="16" t="n">
        <f aca="false">MIN(I7267,Assumptions!$L$58*Assumptions!$C$58)</f>
        <v>0</v>
      </c>
      <c r="J7273" s="16" t="n">
        <f aca="false">MIN(J7267,Assumptions!$L$58*Assumptions!$C$58)</f>
        <v>0</v>
      </c>
      <c r="K7273" s="16" t="n">
        <f aca="false">MIN(K7267,Assumptions!$L$58*Assumptions!$C$58)</f>
        <v>0</v>
      </c>
    </row>
    <row r="7274" customFormat="false" ht="15" hidden="false" customHeight="false" outlineLevel="0" collapsed="false">
      <c r="A7274" s="3" t="s">
        <v>335</v>
      </c>
      <c r="G7274" s="16" t="n">
        <f aca="false">IF(AND(Assumptions!$P$58=1,G7218&lt;Assumptions!$K$58),MIN(MAX(0,-G7434),MAX(0,Assumptions!$D$58-G7267)),0)</f>
        <v>0</v>
      </c>
      <c r="H7274" s="16" t="n">
        <f aca="false">IF(AND(Assumptions!$P$58=1,OR(H7218&lt;Assumptions!$K$58,G7565=1)),MIN(MAX(0,-H7434),MAX(0,Assumptions!$D$58-H7267)),0)</f>
        <v>0</v>
      </c>
      <c r="I7274" s="16" t="n">
        <f aca="false">IF(AND(Assumptions!$P$58=1,OR(I7218&lt;Assumptions!$K$58,H7565=1)),MIN(MAX(0,-I7434),MAX(0,Assumptions!$D$58-I7267)),0)</f>
        <v>0</v>
      </c>
      <c r="J7274" s="16" t="n">
        <f aca="false">IF(AND(Assumptions!$P$58=1,OR(J7218&lt;Assumptions!$K$58,I7565=1)),MIN(MAX(0,-J7434),MAX(0,Assumptions!$D$58-J7267)),0)</f>
        <v>0</v>
      </c>
      <c r="K7274" s="16" t="n">
        <f aca="false">IF(AND(Assumptions!$P$58=1,OR(K7218&lt;Assumptions!$K$58,J7565=1)),MIN(MAX(0,-K7434),MAX(0,Assumptions!$D$58-K7267)),0)</f>
        <v>0</v>
      </c>
    </row>
    <row r="7275" customFormat="false" ht="15" hidden="false" customHeight="false" outlineLevel="0" collapsed="false">
      <c r="A7275" s="3" t="s">
        <v>336</v>
      </c>
      <c r="G7275" s="16" t="n">
        <f aca="false">G7268*MIN(G7267-G7273+G7272,MAX(0,G7436-Assumptions!$C$12*G7252-G7262))</f>
        <v>0</v>
      </c>
      <c r="H7275" s="16" t="n">
        <f aca="false">H7268*MIN(H7267-H7273+H7272,MAX(0,H7436-Assumptions!$C$12*H7252-H7262))</f>
        <v>0</v>
      </c>
      <c r="I7275" s="16" t="n">
        <f aca="false">I7268*MIN(I7267-I7273+I7272,MAX(0,I7436-Assumptions!$C$12*I7252-I7262))</f>
        <v>0</v>
      </c>
      <c r="J7275" s="16" t="n">
        <f aca="false">J7268*MIN(J7267-J7273+J7272,MAX(0,J7436-Assumptions!$C$12*J7252-J7262))</f>
        <v>0</v>
      </c>
      <c r="K7275" s="16" t="n">
        <f aca="false">K7268*MIN(K7267-K7273+K7272,MAX(0,K7436-Assumptions!$C$12*K7252-K7262))</f>
        <v>0</v>
      </c>
    </row>
    <row r="7276" customFormat="false" ht="15" hidden="false" customHeight="false" outlineLevel="0" collapsed="false">
      <c r="A7276" s="3" t="s">
        <v>337</v>
      </c>
      <c r="G7276" s="16" t="n">
        <f aca="false">Assumptions!$N$58*MIN(G7267+G7274+G7272-G7273-G7275,MAX(0,G7440-G7263))</f>
        <v>0</v>
      </c>
      <c r="H7276" s="16" t="n">
        <f aca="false">Assumptions!$N$58*MIN(H7267+H7274+H7272-H7273-H7275,MAX(0,H7440-H7263))</f>
        <v>0</v>
      </c>
      <c r="I7276" s="16" t="n">
        <f aca="false">Assumptions!$N$58*MIN(I7267+I7274+I7272-I7273-I7275,MAX(0,I7440-I7263))</f>
        <v>0</v>
      </c>
      <c r="J7276" s="16" t="n">
        <f aca="false">Assumptions!$N$58*MIN(J7267+J7274+J7272-J7273-J7275,MAX(0,J7440-J7263))</f>
        <v>0</v>
      </c>
      <c r="K7276" s="16" t="n">
        <f aca="false">Assumptions!$N$58*MIN(K7267+K7274+K7272-K7273-K7275,MAX(0,K7440-K7263))</f>
        <v>0</v>
      </c>
    </row>
    <row r="7277" customFormat="false" ht="15" hidden="false" customHeight="false" outlineLevel="0" collapsed="false">
      <c r="A7277" s="3" t="s">
        <v>338</v>
      </c>
      <c r="G7277" s="16" t="n">
        <f aca="false">G7268*(1-G7252)*(G7267-G7273+G7272-G7275)</f>
        <v>0</v>
      </c>
      <c r="H7277" s="16" t="n">
        <f aca="false">H7268*(1-H7252)*(H7267-H7273+H7272-H7275)</f>
        <v>0</v>
      </c>
      <c r="I7277" s="16" t="n">
        <f aca="false">I7268*(1-I7252)*(I7267-I7273+I7272-I7275)</f>
        <v>0</v>
      </c>
      <c r="J7277" s="16" t="n">
        <f aca="false">J7268*(1-J7252)*(J7267-J7273+J7272-J7275)</f>
        <v>0</v>
      </c>
      <c r="K7277" s="16" t="n">
        <f aca="false">K7268*(1-K7252)*(K7267-K7273+K7272-K7275)</f>
        <v>0</v>
      </c>
    </row>
    <row r="7278" customFormat="false" ht="15" hidden="false" customHeight="false" outlineLevel="0" collapsed="false">
      <c r="A7278" s="2" t="s">
        <v>339</v>
      </c>
      <c r="F7278" s="28" t="n">
        <f aca="false">Assumptions!$C$58</f>
        <v>90</v>
      </c>
      <c r="G7278" s="17" t="n">
        <f aca="false">G7267+G7274+G7272-G7273-G7275-G7276</f>
        <v>90</v>
      </c>
      <c r="H7278" s="17" t="n">
        <f aca="false">H7267+H7274+H7272-H7273-H7275-H7276</f>
        <v>90</v>
      </c>
      <c r="I7278" s="17" t="n">
        <f aca="false">I7267+I7274+I7272-I7273-I7275-I7276</f>
        <v>90</v>
      </c>
      <c r="J7278" s="17" t="n">
        <f aca="false">J7267+J7274+J7272-J7273-J7275-J7276</f>
        <v>90</v>
      </c>
      <c r="K7278" s="17" t="n">
        <f aca="false">K7267+K7274+K7272-K7273-K7275-K7276</f>
        <v>90</v>
      </c>
    </row>
    <row r="7279" customFormat="false" ht="15" hidden="false" customHeight="false" outlineLevel="0" collapsed="false">
      <c r="A7279" s="24" t="s">
        <v>341</v>
      </c>
      <c r="B7279" s="25"/>
      <c r="C7279" s="25"/>
      <c r="D7279" s="25"/>
      <c r="E7279" s="25"/>
      <c r="F7279" s="25"/>
      <c r="G7279" s="25"/>
      <c r="H7279" s="25"/>
      <c r="I7279" s="25"/>
      <c r="J7279" s="25"/>
      <c r="K7279" s="25"/>
    </row>
    <row r="7280" customFormat="false" ht="15" hidden="false" customHeight="false" outlineLevel="0" collapsed="false">
      <c r="A7280" s="3" t="s">
        <v>329</v>
      </c>
      <c r="G7280" s="16" t="n">
        <f aca="false">F7291</f>
        <v>57.324</v>
      </c>
      <c r="H7280" s="16" t="n">
        <f aca="false">G7291</f>
        <v>57.324</v>
      </c>
      <c r="I7280" s="16" t="n">
        <f aca="false">H7291</f>
        <v>57.324</v>
      </c>
      <c r="J7280" s="16" t="n">
        <f aca="false">I7291</f>
        <v>57.324</v>
      </c>
      <c r="K7280" s="16" t="n">
        <f aca="false">J7291</f>
        <v>57.324</v>
      </c>
    </row>
    <row r="7281" customFormat="false" ht="15" hidden="false" customHeight="false" outlineLevel="0" collapsed="false">
      <c r="A7281" s="3" t="s">
        <v>330</v>
      </c>
      <c r="G7281" s="21" t="n">
        <f aca="false">IF(G7218=Assumptions!$K$59,1,0)</f>
        <v>0</v>
      </c>
      <c r="H7281" s="21" t="n">
        <f aca="false">IF(H7218=Assumptions!$K$59,1,0)</f>
        <v>0</v>
      </c>
      <c r="I7281" s="21" t="n">
        <f aca="false">IF(I7218=Assumptions!$K$59,1,0)</f>
        <v>0</v>
      </c>
      <c r="J7281" s="21" t="n">
        <f aca="false">IF(J7218=Assumptions!$K$59,1,0)</f>
        <v>0</v>
      </c>
      <c r="K7281" s="21" t="n">
        <f aca="false">IF(K7218=Assumptions!$K$59,1,0)</f>
        <v>0</v>
      </c>
    </row>
    <row r="7283" customFormat="false" ht="15" hidden="false" customHeight="false" outlineLevel="0" collapsed="false">
      <c r="A7283" s="3" t="s">
        <v>331</v>
      </c>
      <c r="G7283" s="31" t="n">
        <f aca="false">IF(Assumptions!$I$59=1,MAX(G7244,Assumptions!$G$59)+Assumptions!$F$59+$C$7245,Assumptions!$E$59)</f>
        <v>0.0731</v>
      </c>
      <c r="H7283" s="31" t="n">
        <f aca="false">IF(G7566=1,$C$7246,IF(Assumptions!$I$59=1,MAX(H7244,Assumptions!$G$59)+Assumptions!$F$59+$C$7245,Assumptions!$E$59))</f>
        <v>0.0731</v>
      </c>
      <c r="I7283" s="31" t="n">
        <f aca="false">IF(H7566=1,$C$7246,IF(Assumptions!$I$59=1,MAX(I7244,Assumptions!$G$59)+Assumptions!$F$59+$C$7245,Assumptions!$E$59))</f>
        <v>0.0731</v>
      </c>
      <c r="J7283" s="31" t="n">
        <f aca="false">IF(I7566=1,$C$7246,IF(Assumptions!$I$59=1,MAX(J7244,Assumptions!$G$59)+Assumptions!$F$59+$C$7245,Assumptions!$E$59))</f>
        <v>0.0731</v>
      </c>
      <c r="K7283" s="31" t="n">
        <f aca="false">IF(J7566=1,$C$7246,IF(Assumptions!$I$59=1,MAX(K7244,Assumptions!$G$59)+Assumptions!$F$59+$C$7245,Assumptions!$E$59))</f>
        <v>0.0731</v>
      </c>
    </row>
    <row r="7284" customFormat="false" ht="15" hidden="false" customHeight="false" outlineLevel="0" collapsed="false">
      <c r="A7284" s="3" t="s">
        <v>332</v>
      </c>
      <c r="G7284" s="16" t="n">
        <f aca="false">G7280*G7283</f>
        <v>4.1903844</v>
      </c>
      <c r="H7284" s="16" t="n">
        <f aca="false">H7280*H7283</f>
        <v>4.1903844</v>
      </c>
      <c r="I7284" s="16" t="n">
        <f aca="false">I7280*I7283</f>
        <v>4.1903844</v>
      </c>
      <c r="J7284" s="16" t="n">
        <f aca="false">J7280*J7283</f>
        <v>4.1903844</v>
      </c>
      <c r="K7284" s="16" t="n">
        <f aca="false">K7280*K7283</f>
        <v>4.1903844</v>
      </c>
    </row>
    <row r="7285" customFormat="false" ht="15" hidden="false" customHeight="false" outlineLevel="0" collapsed="false">
      <c r="A7285" s="3" t="s">
        <v>333</v>
      </c>
      <c r="G7285" s="16" t="n">
        <f aca="false">G7280*Assumptions!$H$59</f>
        <v>0</v>
      </c>
      <c r="H7285" s="16" t="n">
        <f aca="false">H7280*Assumptions!$H$59</f>
        <v>0</v>
      </c>
      <c r="I7285" s="16" t="n">
        <f aca="false">I7280*Assumptions!$H$59</f>
        <v>0</v>
      </c>
      <c r="J7285" s="16" t="n">
        <f aca="false">J7280*Assumptions!$H$59</f>
        <v>0</v>
      </c>
      <c r="K7285" s="16" t="n">
        <f aca="false">K7280*Assumptions!$H$59</f>
        <v>0</v>
      </c>
    </row>
    <row r="7286" customFormat="false" ht="15" hidden="false" customHeight="false" outlineLevel="0" collapsed="false">
      <c r="A7286" s="3" t="s">
        <v>334</v>
      </c>
      <c r="G7286" s="16" t="n">
        <f aca="false">MIN(G7280,Assumptions!$L$59*Assumptions!$C$59)</f>
        <v>0</v>
      </c>
      <c r="H7286" s="16" t="n">
        <f aca="false">MIN(H7280,Assumptions!$L$59*Assumptions!$C$59)</f>
        <v>0</v>
      </c>
      <c r="I7286" s="16" t="n">
        <f aca="false">MIN(I7280,Assumptions!$L$59*Assumptions!$C$59)</f>
        <v>0</v>
      </c>
      <c r="J7286" s="16" t="n">
        <f aca="false">MIN(J7280,Assumptions!$L$59*Assumptions!$C$59)</f>
        <v>0</v>
      </c>
      <c r="K7286" s="16" t="n">
        <f aca="false">MIN(K7280,Assumptions!$L$59*Assumptions!$C$59)</f>
        <v>0</v>
      </c>
    </row>
    <row r="7287" customFormat="false" ht="15" hidden="false" customHeight="false" outlineLevel="0" collapsed="false">
      <c r="A7287" s="3" t="s">
        <v>335</v>
      </c>
      <c r="G7287" s="16" t="n">
        <f aca="false">IF(AND(Assumptions!$P$59=1,G7218&lt;Assumptions!$K$59),MIN(MAX(0,-G7434),MAX(0,Assumptions!$D$59-G7280)),0)</f>
        <v>0</v>
      </c>
      <c r="H7287" s="16" t="n">
        <f aca="false">IF(AND(Assumptions!$P$59=1,OR(H7218&lt;Assumptions!$K$59,G7566=1)),MIN(MAX(0,-H7434),MAX(0,Assumptions!$D$59-H7280)),0)</f>
        <v>0</v>
      </c>
      <c r="I7287" s="16" t="n">
        <f aca="false">IF(AND(Assumptions!$P$59=1,OR(I7218&lt;Assumptions!$K$59,H7566=1)),MIN(MAX(0,-I7434),MAX(0,Assumptions!$D$59-I7280)),0)</f>
        <v>0</v>
      </c>
      <c r="J7287" s="16" t="n">
        <f aca="false">IF(AND(Assumptions!$P$59=1,OR(J7218&lt;Assumptions!$K$59,I7566=1)),MIN(MAX(0,-J7434),MAX(0,Assumptions!$D$59-J7280)),0)</f>
        <v>0</v>
      </c>
      <c r="K7287" s="16" t="n">
        <f aca="false">IF(AND(Assumptions!$P$59=1,OR(K7218&lt;Assumptions!$K$59,J7566=1)),MIN(MAX(0,-K7434),MAX(0,Assumptions!$D$59-K7280)),0)</f>
        <v>0</v>
      </c>
    </row>
    <row r="7288" customFormat="false" ht="15" hidden="false" customHeight="false" outlineLevel="0" collapsed="false">
      <c r="A7288" s="3" t="s">
        <v>336</v>
      </c>
      <c r="G7288" s="16" t="n">
        <f aca="false">G7281*MIN(G7280-G7286+G7285,MAX(0,G7436-Assumptions!$C$12*G7252-G7262-G7275))</f>
        <v>0</v>
      </c>
      <c r="H7288" s="16" t="n">
        <f aca="false">H7281*MIN(H7280-H7286+H7285,MAX(0,H7436-Assumptions!$C$12*H7252-H7262-H7275))</f>
        <v>0</v>
      </c>
      <c r="I7288" s="16" t="n">
        <f aca="false">I7281*MIN(I7280-I7286+I7285,MAX(0,I7436-Assumptions!$C$12*I7252-I7262-I7275))</f>
        <v>0</v>
      </c>
      <c r="J7288" s="16" t="n">
        <f aca="false">J7281*MIN(J7280-J7286+J7285,MAX(0,J7436-Assumptions!$C$12*J7252-J7262-J7275))</f>
        <v>0</v>
      </c>
      <c r="K7288" s="16" t="n">
        <f aca="false">K7281*MIN(K7280-K7286+K7285,MAX(0,K7436-Assumptions!$C$12*K7252-K7262-K7275))</f>
        <v>0</v>
      </c>
    </row>
    <row r="7289" customFormat="false" ht="15" hidden="false" customHeight="false" outlineLevel="0" collapsed="false">
      <c r="A7289" s="3" t="s">
        <v>337</v>
      </c>
      <c r="G7289" s="16" t="n">
        <f aca="false">Assumptions!$N$59*MIN(G7280+G7287+G7285-G7286-G7288,MAX(0,G7440-G7263-G7276))</f>
        <v>0</v>
      </c>
      <c r="H7289" s="16" t="n">
        <f aca="false">Assumptions!$N$59*MIN(H7280+H7287+H7285-H7286-H7288,MAX(0,H7440-H7263-H7276))</f>
        <v>0</v>
      </c>
      <c r="I7289" s="16" t="n">
        <f aca="false">Assumptions!$N$59*MIN(I7280+I7287+I7285-I7286-I7288,MAX(0,I7440-I7263-I7276))</f>
        <v>0</v>
      </c>
      <c r="J7289" s="16" t="n">
        <f aca="false">Assumptions!$N$59*MIN(J7280+J7287+J7285-J7286-J7288,MAX(0,J7440-J7263-J7276))</f>
        <v>0</v>
      </c>
      <c r="K7289" s="16" t="n">
        <f aca="false">Assumptions!$N$59*MIN(K7280+K7287+K7285-K7286-K7288,MAX(0,K7440-K7263-K7276))</f>
        <v>0</v>
      </c>
    </row>
    <row r="7290" customFormat="false" ht="15" hidden="false" customHeight="false" outlineLevel="0" collapsed="false">
      <c r="A7290" s="3" t="s">
        <v>338</v>
      </c>
      <c r="G7290" s="16" t="n">
        <f aca="false">G7281*(1-G7252)*(G7280-G7286+G7285-G7288)</f>
        <v>0</v>
      </c>
      <c r="H7290" s="16" t="n">
        <f aca="false">H7281*(1-H7252)*(H7280-H7286+H7285-H7288)</f>
        <v>0</v>
      </c>
      <c r="I7290" s="16" t="n">
        <f aca="false">I7281*(1-I7252)*(I7280-I7286+I7285-I7288)</f>
        <v>0</v>
      </c>
      <c r="J7290" s="16" t="n">
        <f aca="false">J7281*(1-J7252)*(J7280-J7286+J7285-J7288)</f>
        <v>0</v>
      </c>
      <c r="K7290" s="16" t="n">
        <f aca="false">K7281*(1-K7252)*(K7280-K7286+K7285-K7288)</f>
        <v>0</v>
      </c>
    </row>
    <row r="7291" customFormat="false" ht="15" hidden="false" customHeight="false" outlineLevel="0" collapsed="false">
      <c r="A7291" s="2" t="s">
        <v>339</v>
      </c>
      <c r="F7291" s="28" t="n">
        <f aca="false">Assumptions!$C$59</f>
        <v>57.324</v>
      </c>
      <c r="G7291" s="17" t="n">
        <f aca="false">G7280+G7287+G7285-G7286-G7288-G7289</f>
        <v>57.324</v>
      </c>
      <c r="H7291" s="17" t="n">
        <f aca="false">H7280+H7287+H7285-H7286-H7288-H7289</f>
        <v>57.324</v>
      </c>
      <c r="I7291" s="17" t="n">
        <f aca="false">I7280+I7287+I7285-I7286-I7288-I7289</f>
        <v>57.324</v>
      </c>
      <c r="J7291" s="17" t="n">
        <f aca="false">J7280+J7287+J7285-J7286-J7288-J7289</f>
        <v>57.324</v>
      </c>
      <c r="K7291" s="17" t="n">
        <f aca="false">K7280+K7287+K7285-K7286-K7288-K7289</f>
        <v>57.324</v>
      </c>
    </row>
    <row r="7292" customFormat="false" ht="15" hidden="false" customHeight="false" outlineLevel="0" collapsed="false">
      <c r="A7292" s="24" t="s">
        <v>342</v>
      </c>
      <c r="B7292" s="25"/>
      <c r="C7292" s="25"/>
      <c r="D7292" s="25"/>
      <c r="E7292" s="25"/>
      <c r="F7292" s="25"/>
      <c r="G7292" s="25"/>
      <c r="H7292" s="25"/>
      <c r="I7292" s="25"/>
      <c r="J7292" s="25"/>
      <c r="K7292" s="25"/>
    </row>
    <row r="7293" customFormat="false" ht="15" hidden="false" customHeight="false" outlineLevel="0" collapsed="false">
      <c r="A7293" s="3" t="s">
        <v>329</v>
      </c>
      <c r="G7293" s="16" t="n">
        <f aca="false">F7304</f>
        <v>0</v>
      </c>
      <c r="H7293" s="16" t="n">
        <f aca="false">G7304</f>
        <v>0</v>
      </c>
      <c r="I7293" s="16" t="n">
        <f aca="false">H7304</f>
        <v>0</v>
      </c>
      <c r="J7293" s="16" t="n">
        <f aca="false">I7304</f>
        <v>0</v>
      </c>
      <c r="K7293" s="16" t="n">
        <f aca="false">J7304</f>
        <v>0</v>
      </c>
    </row>
    <row r="7294" customFormat="false" ht="15" hidden="false" customHeight="false" outlineLevel="0" collapsed="false">
      <c r="A7294" s="3" t="s">
        <v>330</v>
      </c>
      <c r="G7294" s="21" t="n">
        <f aca="false">IF(G7218=Assumptions!$K$60,1,0)</f>
        <v>1</v>
      </c>
      <c r="H7294" s="21" t="n">
        <f aca="false">IF(H7218=Assumptions!$K$60,1,0)</f>
        <v>0</v>
      </c>
      <c r="I7294" s="21" t="n">
        <f aca="false">IF(I7218=Assumptions!$K$60,1,0)</f>
        <v>0</v>
      </c>
      <c r="J7294" s="21" t="n">
        <f aca="false">IF(J7218=Assumptions!$K$60,1,0)</f>
        <v>0</v>
      </c>
      <c r="K7294" s="21" t="n">
        <f aca="false">IF(K7218=Assumptions!$K$60,1,0)</f>
        <v>0</v>
      </c>
    </row>
    <row r="7296" customFormat="false" ht="15" hidden="false" customHeight="false" outlineLevel="0" collapsed="false">
      <c r="A7296" s="3" t="s">
        <v>331</v>
      </c>
      <c r="G7296" s="31" t="n">
        <f aca="false">IF(Assumptions!$I$60=1,MAX(G7244,Assumptions!$G$60)+Assumptions!$F$60+$C$7245,Assumptions!$E$60)</f>
        <v>0.069</v>
      </c>
      <c r="H7296" s="31" t="n">
        <f aca="false">IF(G7567=1,$C$7246,IF(Assumptions!$I$60=1,MAX(H7244,Assumptions!$G$60)+Assumptions!$F$60+$C$7245,Assumptions!$E$60))</f>
        <v>0.0675</v>
      </c>
      <c r="I7296" s="31" t="n">
        <f aca="false">IF(H7567=1,$C$7246,IF(Assumptions!$I$60=1,MAX(I7244,Assumptions!$G$60)+Assumptions!$F$60+$C$7245,Assumptions!$E$60))</f>
        <v>0.065</v>
      </c>
      <c r="J7296" s="31" t="n">
        <f aca="false">IF(I7567=1,$C$7246,IF(Assumptions!$I$60=1,MAX(J7244,Assumptions!$G$60)+Assumptions!$F$60+$C$7245,Assumptions!$E$60))</f>
        <v>0.065</v>
      </c>
      <c r="K7296" s="31" t="n">
        <f aca="false">IF(J7567=1,$C$7246,IF(Assumptions!$I$60=1,MAX(K7244,Assumptions!$G$60)+Assumptions!$F$60+$C$7245,Assumptions!$E$60))</f>
        <v>0.065</v>
      </c>
    </row>
    <row r="7297" customFormat="false" ht="15" hidden="false" customHeight="false" outlineLevel="0" collapsed="false">
      <c r="A7297" s="3" t="s">
        <v>332</v>
      </c>
      <c r="G7297" s="16" t="n">
        <f aca="false">G7293*G7296</f>
        <v>0</v>
      </c>
      <c r="H7297" s="16" t="n">
        <f aca="false">H7293*H7296</f>
        <v>0</v>
      </c>
      <c r="I7297" s="16" t="n">
        <f aca="false">I7293*I7296</f>
        <v>0</v>
      </c>
      <c r="J7297" s="16" t="n">
        <f aca="false">J7293*J7296</f>
        <v>0</v>
      </c>
      <c r="K7297" s="16" t="n">
        <f aca="false">K7293*K7296</f>
        <v>0</v>
      </c>
    </row>
    <row r="7298" customFormat="false" ht="15" hidden="false" customHeight="false" outlineLevel="0" collapsed="false">
      <c r="A7298" s="3" t="s">
        <v>333</v>
      </c>
      <c r="G7298" s="16" t="n">
        <f aca="false">G7293*Assumptions!$H$60</f>
        <v>0</v>
      </c>
      <c r="H7298" s="16" t="n">
        <f aca="false">H7293*Assumptions!$H$60</f>
        <v>0</v>
      </c>
      <c r="I7298" s="16" t="n">
        <f aca="false">I7293*Assumptions!$H$60</f>
        <v>0</v>
      </c>
      <c r="J7298" s="16" t="n">
        <f aca="false">J7293*Assumptions!$H$60</f>
        <v>0</v>
      </c>
      <c r="K7298" s="16" t="n">
        <f aca="false">K7293*Assumptions!$H$60</f>
        <v>0</v>
      </c>
    </row>
    <row r="7299" customFormat="false" ht="15" hidden="false" customHeight="false" outlineLevel="0" collapsed="false">
      <c r="A7299" s="3" t="s">
        <v>334</v>
      </c>
      <c r="G7299" s="16" t="n">
        <f aca="false">MIN(G7293,Assumptions!$L$60*Assumptions!$C$60)</f>
        <v>0</v>
      </c>
      <c r="H7299" s="16" t="n">
        <f aca="false">MIN(H7293,Assumptions!$L$60*Assumptions!$C$60)</f>
        <v>0</v>
      </c>
      <c r="I7299" s="16" t="n">
        <f aca="false">MIN(I7293,Assumptions!$L$60*Assumptions!$C$60)</f>
        <v>0</v>
      </c>
      <c r="J7299" s="16" t="n">
        <f aca="false">MIN(J7293,Assumptions!$L$60*Assumptions!$C$60)</f>
        <v>0</v>
      </c>
      <c r="K7299" s="16" t="n">
        <f aca="false">MIN(K7293,Assumptions!$L$60*Assumptions!$C$60)</f>
        <v>0</v>
      </c>
    </row>
    <row r="7300" customFormat="false" ht="15" hidden="false" customHeight="false" outlineLevel="0" collapsed="false">
      <c r="A7300" s="3" t="s">
        <v>335</v>
      </c>
      <c r="G7300" s="16" t="n">
        <f aca="false">IF(AND(Assumptions!$P$60=1,G7218&lt;Assumptions!$K$60),MIN(MAX(0,-G7434),MAX(0,Assumptions!$D$60-G7293)),0)</f>
        <v>0</v>
      </c>
      <c r="H7300" s="16" t="n">
        <f aca="false">IF(AND(Assumptions!$P$60=1,OR(H7218&lt;Assumptions!$K$60,G7567=1)),MIN(MAX(0,-H7434),MAX(0,Assumptions!$D$60-H7293)),0)</f>
        <v>0</v>
      </c>
      <c r="I7300" s="16" t="n">
        <f aca="false">IF(AND(Assumptions!$P$60=1,OR(I7218&lt;Assumptions!$K$60,H7567=1)),MIN(MAX(0,-I7434),MAX(0,Assumptions!$D$60-I7293)),0)</f>
        <v>0</v>
      </c>
      <c r="J7300" s="16" t="n">
        <f aca="false">IF(AND(Assumptions!$P$60=1,OR(J7218&lt;Assumptions!$K$60,I7567=1)),MIN(MAX(0,-J7434),MAX(0,Assumptions!$D$60-J7293)),0)</f>
        <v>0</v>
      </c>
      <c r="K7300" s="16" t="n">
        <f aca="false">IF(AND(Assumptions!$P$60=1,OR(K7218&lt;Assumptions!$K$60,J7567=1)),MIN(MAX(0,-K7434),MAX(0,Assumptions!$D$60-K7293)),0)</f>
        <v>0</v>
      </c>
    </row>
    <row r="7301" customFormat="false" ht="15" hidden="false" customHeight="false" outlineLevel="0" collapsed="false">
      <c r="A7301" s="3" t="s">
        <v>336</v>
      </c>
      <c r="G7301" s="16" t="n">
        <f aca="false">G7294*MIN(G7293-G7299+G7298,MAX(0,G7436-Assumptions!$C$12*G7252-G7262-G7275-G7288))</f>
        <v>0</v>
      </c>
      <c r="H7301" s="16" t="n">
        <f aca="false">H7294*MIN(H7293-H7299+H7298,MAX(0,H7436-Assumptions!$C$12*H7252-H7262-H7275-H7288))</f>
        <v>0</v>
      </c>
      <c r="I7301" s="16" t="n">
        <f aca="false">I7294*MIN(I7293-I7299+I7298,MAX(0,I7436-Assumptions!$C$12*I7252-I7262-I7275-I7288))</f>
        <v>0</v>
      </c>
      <c r="J7301" s="16" t="n">
        <f aca="false">J7294*MIN(J7293-J7299+J7298,MAX(0,J7436-Assumptions!$C$12*J7252-J7262-J7275-J7288))</f>
        <v>0</v>
      </c>
      <c r="K7301" s="16" t="n">
        <f aca="false">K7294*MIN(K7293-K7299+K7298,MAX(0,K7436-Assumptions!$C$12*K7252-K7262-K7275-K7288))</f>
        <v>0</v>
      </c>
    </row>
    <row r="7302" customFormat="false" ht="15" hidden="false" customHeight="false" outlineLevel="0" collapsed="false">
      <c r="A7302" s="3" t="s">
        <v>337</v>
      </c>
      <c r="G7302" s="16" t="n">
        <f aca="false">Assumptions!$N$60*MIN(G7293+G7300+G7298-G7299-G7301,MAX(0,G7440-G7263-G7276-G7289))</f>
        <v>0</v>
      </c>
      <c r="H7302" s="16" t="n">
        <f aca="false">Assumptions!$N$60*MIN(H7293+H7300+H7298-H7299-H7301,MAX(0,H7440-H7263-H7276-H7289))</f>
        <v>0</v>
      </c>
      <c r="I7302" s="16" t="n">
        <f aca="false">Assumptions!$N$60*MIN(I7293+I7300+I7298-I7299-I7301,MAX(0,I7440-I7263-I7276-I7289))</f>
        <v>0</v>
      </c>
      <c r="J7302" s="16" t="n">
        <f aca="false">Assumptions!$N$60*MIN(J7293+J7300+J7298-J7299-J7301,MAX(0,J7440-J7263-J7276-J7289))</f>
        <v>0</v>
      </c>
      <c r="K7302" s="16" t="n">
        <f aca="false">Assumptions!$N$60*MIN(K7293+K7300+K7298-K7299-K7301,MAX(0,K7440-K7263-K7276-K7289))</f>
        <v>0</v>
      </c>
    </row>
    <row r="7303" customFormat="false" ht="15" hidden="false" customHeight="false" outlineLevel="0" collapsed="false">
      <c r="A7303" s="3" t="s">
        <v>338</v>
      </c>
      <c r="G7303" s="16" t="n">
        <f aca="false">G7294*(1-G7252)*(G7293-G7299+G7298-G7301)</f>
        <v>0</v>
      </c>
      <c r="H7303" s="16" t="n">
        <f aca="false">H7294*(1-H7252)*(H7293-H7299+H7298-H7301)</f>
        <v>0</v>
      </c>
      <c r="I7303" s="16" t="n">
        <f aca="false">I7294*(1-I7252)*(I7293-I7299+I7298-I7301)</f>
        <v>0</v>
      </c>
      <c r="J7303" s="16" t="n">
        <f aca="false">J7294*(1-J7252)*(J7293-J7299+J7298-J7301)</f>
        <v>0</v>
      </c>
      <c r="K7303" s="16" t="n">
        <f aca="false">K7294*(1-K7252)*(K7293-K7299+K7298-K7301)</f>
        <v>0</v>
      </c>
    </row>
    <row r="7304" customFormat="false" ht="15" hidden="false" customHeight="false" outlineLevel="0" collapsed="false">
      <c r="A7304" s="2" t="s">
        <v>339</v>
      </c>
      <c r="F7304" s="28" t="n">
        <f aca="false">Assumptions!$C$60</f>
        <v>0</v>
      </c>
      <c r="G7304" s="17" t="n">
        <f aca="false">G7293+G7300+G7298-G7299-G7301-G7302</f>
        <v>0</v>
      </c>
      <c r="H7304" s="17" t="n">
        <f aca="false">H7293+H7300+H7298-H7299-H7301-H7302</f>
        <v>0</v>
      </c>
      <c r="I7304" s="17" t="n">
        <f aca="false">I7293+I7300+I7298-I7299-I7301-I7302</f>
        <v>0</v>
      </c>
      <c r="J7304" s="17" t="n">
        <f aca="false">J7293+J7300+J7298-J7299-J7301-J7302</f>
        <v>0</v>
      </c>
      <c r="K7304" s="17" t="n">
        <f aca="false">K7293+K7300+K7298-K7299-K7301-K7302</f>
        <v>0</v>
      </c>
    </row>
    <row r="7305" customFormat="false" ht="15" hidden="false" customHeight="false" outlineLevel="0" collapsed="false">
      <c r="A7305" s="24" t="s">
        <v>343</v>
      </c>
      <c r="B7305" s="25"/>
      <c r="C7305" s="25"/>
      <c r="D7305" s="25"/>
      <c r="E7305" s="25"/>
      <c r="F7305" s="25"/>
      <c r="G7305" s="25"/>
      <c r="H7305" s="25"/>
      <c r="I7305" s="25"/>
      <c r="J7305" s="25"/>
      <c r="K7305" s="25"/>
    </row>
    <row r="7306" customFormat="false" ht="15" hidden="false" customHeight="false" outlineLevel="0" collapsed="false">
      <c r="A7306" s="3" t="s">
        <v>329</v>
      </c>
      <c r="G7306" s="16" t="n">
        <f aca="false">F7317</f>
        <v>450</v>
      </c>
      <c r="H7306" s="16" t="n">
        <f aca="false">G7317</f>
        <v>450</v>
      </c>
      <c r="I7306" s="16" t="n">
        <f aca="false">H7317</f>
        <v>382.991652405</v>
      </c>
      <c r="J7306" s="16" t="n">
        <f aca="false">I7317</f>
        <v>382.991652405</v>
      </c>
      <c r="K7306" s="16" t="n">
        <f aca="false">J7317</f>
        <v>382.991652405</v>
      </c>
    </row>
    <row r="7307" customFormat="false" ht="15" hidden="false" customHeight="false" outlineLevel="0" collapsed="false">
      <c r="A7307" s="3" t="s">
        <v>330</v>
      </c>
      <c r="G7307" s="21" t="n">
        <f aca="false">IF(G7218=Assumptions!$K$61,1,0)</f>
        <v>0</v>
      </c>
      <c r="H7307" s="21" t="n">
        <f aca="false">IF(H7218=Assumptions!$K$61,1,0)</f>
        <v>1</v>
      </c>
      <c r="I7307" s="21" t="n">
        <f aca="false">IF(I7218=Assumptions!$K$61,1,0)</f>
        <v>0</v>
      </c>
      <c r="J7307" s="21" t="n">
        <f aca="false">IF(J7218=Assumptions!$K$61,1,0)</f>
        <v>0</v>
      </c>
      <c r="K7307" s="21" t="n">
        <f aca="false">IF(K7218=Assumptions!$K$61,1,0)</f>
        <v>0</v>
      </c>
    </row>
    <row r="7309" customFormat="false" ht="15" hidden="false" customHeight="false" outlineLevel="0" collapsed="false">
      <c r="A7309" s="3" t="s">
        <v>331</v>
      </c>
      <c r="G7309" s="31" t="n">
        <f aca="false">IF(Assumptions!$I$61=1,MAX(G7244,Assumptions!$G$61)+Assumptions!$F$61+$C$7245,Assumptions!$E$61)</f>
        <v>0.0395</v>
      </c>
      <c r="H7309" s="31" t="n">
        <f aca="false">IF(G7568=1,$C$7246,IF(Assumptions!$I$61=1,MAX(H7244,Assumptions!$G$61)+Assumptions!$F$61+$C$7245,Assumptions!$E$61))</f>
        <v>0.0395</v>
      </c>
      <c r="I7309" s="31" t="n">
        <f aca="false">IF(H7568=1,$C$7246,IF(Assumptions!$I$61=1,MAX(I7244,Assumptions!$G$61)+Assumptions!$F$61+$C$7245,Assumptions!$E$61))</f>
        <v>0.0395</v>
      </c>
      <c r="J7309" s="31" t="n">
        <f aca="false">IF(I7568=1,$C$7246,IF(Assumptions!$I$61=1,MAX(J7244,Assumptions!$G$61)+Assumptions!$F$61+$C$7245,Assumptions!$E$61))</f>
        <v>0.0395</v>
      </c>
      <c r="K7309" s="31" t="n">
        <f aca="false">IF(J7568=1,$C$7246,IF(Assumptions!$I$61=1,MAX(K7244,Assumptions!$G$61)+Assumptions!$F$61+$C$7245,Assumptions!$E$61))</f>
        <v>0.0395</v>
      </c>
    </row>
    <row r="7310" customFormat="false" ht="15" hidden="false" customHeight="false" outlineLevel="0" collapsed="false">
      <c r="A7310" s="3" t="s">
        <v>332</v>
      </c>
      <c r="G7310" s="16" t="n">
        <f aca="false">G7306*G7309</f>
        <v>17.775</v>
      </c>
      <c r="H7310" s="16" t="n">
        <f aca="false">H7306*H7309</f>
        <v>17.775</v>
      </c>
      <c r="I7310" s="16" t="n">
        <f aca="false">I7306*I7309</f>
        <v>15.1281702699975</v>
      </c>
      <c r="J7310" s="16" t="n">
        <f aca="false">J7306*J7309</f>
        <v>15.1281702699975</v>
      </c>
      <c r="K7310" s="16" t="n">
        <f aca="false">K7306*K7309</f>
        <v>15.1281702699975</v>
      </c>
    </row>
    <row r="7311" customFormat="false" ht="15" hidden="false" customHeight="false" outlineLevel="0" collapsed="false">
      <c r="A7311" s="3" t="s">
        <v>333</v>
      </c>
      <c r="G7311" s="16" t="n">
        <f aca="false">G7306*Assumptions!$H$61</f>
        <v>0</v>
      </c>
      <c r="H7311" s="16" t="n">
        <f aca="false">H7306*Assumptions!$H$61</f>
        <v>0</v>
      </c>
      <c r="I7311" s="16" t="n">
        <f aca="false">I7306*Assumptions!$H$61</f>
        <v>0</v>
      </c>
      <c r="J7311" s="16" t="n">
        <f aca="false">J7306*Assumptions!$H$61</f>
        <v>0</v>
      </c>
      <c r="K7311" s="16" t="n">
        <f aca="false">K7306*Assumptions!$H$61</f>
        <v>0</v>
      </c>
    </row>
    <row r="7312" customFormat="false" ht="15" hidden="false" customHeight="false" outlineLevel="0" collapsed="false">
      <c r="A7312" s="3" t="s">
        <v>334</v>
      </c>
      <c r="G7312" s="16" t="n">
        <f aca="false">MIN(G7306,Assumptions!$L$61*Assumptions!$C$61)</f>
        <v>0</v>
      </c>
      <c r="H7312" s="16" t="n">
        <f aca="false">MIN(H7306,Assumptions!$L$61*Assumptions!$C$61)</f>
        <v>0</v>
      </c>
      <c r="I7312" s="16" t="n">
        <f aca="false">MIN(I7306,Assumptions!$L$61*Assumptions!$C$61)</f>
        <v>0</v>
      </c>
      <c r="J7312" s="16" t="n">
        <f aca="false">MIN(J7306,Assumptions!$L$61*Assumptions!$C$61)</f>
        <v>0</v>
      </c>
      <c r="K7312" s="16" t="n">
        <f aca="false">MIN(K7306,Assumptions!$L$61*Assumptions!$C$61)</f>
        <v>0</v>
      </c>
    </row>
    <row r="7313" customFormat="false" ht="15" hidden="false" customHeight="false" outlineLevel="0" collapsed="false">
      <c r="A7313" s="3" t="s">
        <v>335</v>
      </c>
      <c r="G7313" s="16" t="n">
        <f aca="false">IF(AND(Assumptions!$P$61=1,G7218&lt;Assumptions!$K$61),MIN(MAX(0,-G7434),MAX(0,Assumptions!$D$61-G7306)),0)</f>
        <v>0</v>
      </c>
      <c r="H7313" s="16" t="n">
        <f aca="false">IF(AND(Assumptions!$P$61=1,OR(H7218&lt;Assumptions!$K$61,G7568=1)),MIN(MAX(0,-H7434),MAX(0,Assumptions!$D$61-H7306)),0)</f>
        <v>0</v>
      </c>
      <c r="I7313" s="16" t="n">
        <f aca="false">IF(AND(Assumptions!$P$61=1,OR(I7218&lt;Assumptions!$K$61,H7568=1)),MIN(MAX(0,-I7434),MAX(0,Assumptions!$D$61-I7306)),0)</f>
        <v>0</v>
      </c>
      <c r="J7313" s="16" t="n">
        <f aca="false">IF(AND(Assumptions!$P$61=1,OR(J7218&lt;Assumptions!$K$61,I7568=1)),MIN(MAX(0,-J7434),MAX(0,Assumptions!$D$61-J7306)),0)</f>
        <v>0</v>
      </c>
      <c r="K7313" s="16" t="n">
        <f aca="false">IF(AND(Assumptions!$P$61=1,OR(K7218&lt;Assumptions!$K$61,J7568=1)),MIN(MAX(0,-K7434),MAX(0,Assumptions!$D$61-K7306)),0)</f>
        <v>0</v>
      </c>
    </row>
    <row r="7314" customFormat="false" ht="15" hidden="false" customHeight="false" outlineLevel="0" collapsed="false">
      <c r="A7314" s="3" t="s">
        <v>336</v>
      </c>
      <c r="G7314" s="16" t="n">
        <f aca="false">G7307*MIN(G7306-G7312+G7311,MAX(0,G7436-Assumptions!$C$12*G7252-G7262-G7275-G7288-G7301))</f>
        <v>0</v>
      </c>
      <c r="H7314" s="16" t="n">
        <f aca="false">H7307*MIN(H7306-H7312+H7311,MAX(0,H7436-Assumptions!$C$12*H7252-H7262-H7275-H7288-H7301))</f>
        <v>67.0083475950001</v>
      </c>
      <c r="I7314" s="16" t="n">
        <f aca="false">I7307*MIN(I7306-I7312+I7311,MAX(0,I7436-Assumptions!$C$12*I7252-I7262-I7275-I7288-I7301))</f>
        <v>0</v>
      </c>
      <c r="J7314" s="16" t="n">
        <f aca="false">J7307*MIN(J7306-J7312+J7311,MAX(0,J7436-Assumptions!$C$12*J7252-J7262-J7275-J7288-J7301))</f>
        <v>0</v>
      </c>
      <c r="K7314" s="16" t="n">
        <f aca="false">K7307*MIN(K7306-K7312+K7311,MAX(0,K7436-Assumptions!$C$12*K7252-K7262-K7275-K7288-K7301))</f>
        <v>0</v>
      </c>
    </row>
    <row r="7315" customFormat="false" ht="15" hidden="false" customHeight="false" outlineLevel="0" collapsed="false">
      <c r="A7315" s="3" t="s">
        <v>337</v>
      </c>
      <c r="G7315" s="16" t="n">
        <f aca="false">Assumptions!$N$61*MIN(G7306+G7313+G7311-G7312-G7314,MAX(0,G7440-G7263-G7276-G7289-G7302))</f>
        <v>0</v>
      </c>
      <c r="H7315" s="16" t="n">
        <f aca="false">Assumptions!$N$61*MIN(H7306+H7313+H7311-H7312-H7314,MAX(0,H7440-H7263-H7276-H7289-H7302))</f>
        <v>0</v>
      </c>
      <c r="I7315" s="16" t="n">
        <f aca="false">Assumptions!$N$61*MIN(I7306+I7313+I7311-I7312-I7314,MAX(0,I7440-I7263-I7276-I7289-I7302))</f>
        <v>0</v>
      </c>
      <c r="J7315" s="16" t="n">
        <f aca="false">Assumptions!$N$61*MIN(J7306+J7313+J7311-J7312-J7314,MAX(0,J7440-J7263-J7276-J7289-J7302))</f>
        <v>0</v>
      </c>
      <c r="K7315" s="16" t="n">
        <f aca="false">Assumptions!$N$61*MIN(K7306+K7313+K7311-K7312-K7314,MAX(0,K7440-K7263-K7276-K7289-K7302))</f>
        <v>0</v>
      </c>
    </row>
    <row r="7316" customFormat="false" ht="15" hidden="false" customHeight="false" outlineLevel="0" collapsed="false">
      <c r="A7316" s="3" t="s">
        <v>338</v>
      </c>
      <c r="G7316" s="16" t="n">
        <f aca="false">G7307*(1-G7252)*(G7306-G7312+G7311-G7314)</f>
        <v>0</v>
      </c>
      <c r="H7316" s="16" t="n">
        <f aca="false">H7307*(1-H7252)*(H7306-H7312+H7311-H7314)</f>
        <v>382.991652405</v>
      </c>
      <c r="I7316" s="16" t="n">
        <f aca="false">I7307*(1-I7252)*(I7306-I7312+I7311-I7314)</f>
        <v>0</v>
      </c>
      <c r="J7316" s="16" t="n">
        <f aca="false">J7307*(1-J7252)*(J7306-J7312+J7311-J7314)</f>
        <v>0</v>
      </c>
      <c r="K7316" s="16" t="n">
        <f aca="false">K7307*(1-K7252)*(K7306-K7312+K7311-K7314)</f>
        <v>0</v>
      </c>
    </row>
    <row r="7317" customFormat="false" ht="15" hidden="false" customHeight="false" outlineLevel="0" collapsed="false">
      <c r="A7317" s="2" t="s">
        <v>339</v>
      </c>
      <c r="F7317" s="28" t="n">
        <f aca="false">Assumptions!$C$61</f>
        <v>450</v>
      </c>
      <c r="G7317" s="17" t="n">
        <f aca="false">G7306+G7313+G7311-G7312-G7314-G7315</f>
        <v>450</v>
      </c>
      <c r="H7317" s="17" t="n">
        <f aca="false">H7306+H7313+H7311-H7312-H7314-H7315</f>
        <v>382.991652405</v>
      </c>
      <c r="I7317" s="17" t="n">
        <f aca="false">I7306+I7313+I7311-I7312-I7314-I7315</f>
        <v>382.991652405</v>
      </c>
      <c r="J7317" s="17" t="n">
        <f aca="false">J7306+J7313+J7311-J7312-J7314-J7315</f>
        <v>382.991652405</v>
      </c>
      <c r="K7317" s="17" t="n">
        <f aca="false">K7306+K7313+K7311-K7312-K7314-K7315</f>
        <v>382.991652405</v>
      </c>
    </row>
    <row r="7318" customFormat="false" ht="15" hidden="false" customHeight="false" outlineLevel="0" collapsed="false">
      <c r="A7318" s="24" t="s">
        <v>344</v>
      </c>
      <c r="B7318" s="25"/>
      <c r="C7318" s="25"/>
      <c r="D7318" s="25"/>
      <c r="E7318" s="25"/>
      <c r="F7318" s="25"/>
      <c r="G7318" s="25"/>
      <c r="H7318" s="25"/>
      <c r="I7318" s="25"/>
      <c r="J7318" s="25"/>
      <c r="K7318" s="25"/>
    </row>
    <row r="7319" customFormat="false" ht="15" hidden="false" customHeight="false" outlineLevel="0" collapsed="false">
      <c r="A7319" s="3" t="s">
        <v>329</v>
      </c>
      <c r="G7319" s="16" t="n">
        <f aca="false">F7330</f>
        <v>350</v>
      </c>
      <c r="H7319" s="16" t="n">
        <f aca="false">G7330</f>
        <v>350</v>
      </c>
      <c r="I7319" s="16" t="n">
        <f aca="false">H7330</f>
        <v>350</v>
      </c>
      <c r="J7319" s="16" t="n">
        <f aca="false">I7330</f>
        <v>350</v>
      </c>
      <c r="K7319" s="16" t="n">
        <f aca="false">J7330</f>
        <v>350</v>
      </c>
    </row>
    <row r="7320" customFormat="false" ht="15" hidden="false" customHeight="false" outlineLevel="0" collapsed="false">
      <c r="A7320" s="3" t="s">
        <v>330</v>
      </c>
      <c r="G7320" s="21" t="n">
        <f aca="false">IF(G7218=Assumptions!$K$62,1,0)</f>
        <v>0</v>
      </c>
      <c r="H7320" s="21" t="n">
        <f aca="false">IF(H7218=Assumptions!$K$62,1,0)</f>
        <v>1</v>
      </c>
      <c r="I7320" s="21" t="n">
        <f aca="false">IF(I7218=Assumptions!$K$62,1,0)</f>
        <v>0</v>
      </c>
      <c r="J7320" s="21" t="n">
        <f aca="false">IF(J7218=Assumptions!$K$62,1,0)</f>
        <v>0</v>
      </c>
      <c r="K7320" s="21" t="n">
        <f aca="false">IF(K7218=Assumptions!$K$62,1,0)</f>
        <v>0</v>
      </c>
    </row>
    <row r="7322" customFormat="false" ht="15" hidden="false" customHeight="false" outlineLevel="0" collapsed="false">
      <c r="A7322" s="3" t="s">
        <v>331</v>
      </c>
      <c r="G7322" s="31" t="n">
        <f aca="false">IF(Assumptions!$I$62=1,MAX(G7244,Assumptions!$G$62)+Assumptions!$F$62+$C$7245,Assumptions!$E$62)</f>
        <v>0.083</v>
      </c>
      <c r="H7322" s="31" t="n">
        <f aca="false">IF(G7569=1,$C$7246,IF(Assumptions!$I$62=1,MAX(H7244,Assumptions!$G$62)+Assumptions!$F$62+$C$7245,Assumptions!$E$62))</f>
        <v>0.083</v>
      </c>
      <c r="I7322" s="31" t="n">
        <f aca="false">IF(H7569=1,$C$7246,IF(Assumptions!$I$62=1,MAX(I7244,Assumptions!$G$62)+Assumptions!$F$62+$C$7245,Assumptions!$E$62))</f>
        <v>0.083</v>
      </c>
      <c r="J7322" s="31" t="n">
        <f aca="false">IF(I7569=1,$C$7246,IF(Assumptions!$I$62=1,MAX(J7244,Assumptions!$G$62)+Assumptions!$F$62+$C$7245,Assumptions!$E$62))</f>
        <v>0.083</v>
      </c>
      <c r="K7322" s="31" t="n">
        <f aca="false">IF(J7569=1,$C$7246,IF(Assumptions!$I$62=1,MAX(K7244,Assumptions!$G$62)+Assumptions!$F$62+$C$7245,Assumptions!$E$62))</f>
        <v>0.083</v>
      </c>
    </row>
    <row r="7323" customFormat="false" ht="15" hidden="false" customHeight="false" outlineLevel="0" collapsed="false">
      <c r="A7323" s="3" t="s">
        <v>332</v>
      </c>
      <c r="G7323" s="16" t="n">
        <f aca="false">G7319*G7322</f>
        <v>29.05</v>
      </c>
      <c r="H7323" s="16" t="n">
        <f aca="false">H7319*H7322</f>
        <v>29.05</v>
      </c>
      <c r="I7323" s="16" t="n">
        <f aca="false">I7319*I7322</f>
        <v>29.05</v>
      </c>
      <c r="J7323" s="16" t="n">
        <f aca="false">J7319*J7322</f>
        <v>29.05</v>
      </c>
      <c r="K7323" s="16" t="n">
        <f aca="false">K7319*K7322</f>
        <v>29.05</v>
      </c>
    </row>
    <row r="7324" customFormat="false" ht="15" hidden="false" customHeight="false" outlineLevel="0" collapsed="false">
      <c r="A7324" s="3" t="s">
        <v>333</v>
      </c>
      <c r="G7324" s="16" t="n">
        <f aca="false">G7319*Assumptions!$H$62</f>
        <v>0</v>
      </c>
      <c r="H7324" s="16" t="n">
        <f aca="false">H7319*Assumptions!$H$62</f>
        <v>0</v>
      </c>
      <c r="I7324" s="16" t="n">
        <f aca="false">I7319*Assumptions!$H$62</f>
        <v>0</v>
      </c>
      <c r="J7324" s="16" t="n">
        <f aca="false">J7319*Assumptions!$H$62</f>
        <v>0</v>
      </c>
      <c r="K7324" s="16" t="n">
        <f aca="false">K7319*Assumptions!$H$62</f>
        <v>0</v>
      </c>
    </row>
    <row r="7325" customFormat="false" ht="15" hidden="false" customHeight="false" outlineLevel="0" collapsed="false">
      <c r="A7325" s="3" t="s">
        <v>334</v>
      </c>
      <c r="G7325" s="16" t="n">
        <f aca="false">MIN(G7319,Assumptions!$L$62*Assumptions!$C$62)</f>
        <v>0</v>
      </c>
      <c r="H7325" s="16" t="n">
        <f aca="false">MIN(H7319,Assumptions!$L$62*Assumptions!$C$62)</f>
        <v>0</v>
      </c>
      <c r="I7325" s="16" t="n">
        <f aca="false">MIN(I7319,Assumptions!$L$62*Assumptions!$C$62)</f>
        <v>0</v>
      </c>
      <c r="J7325" s="16" t="n">
        <f aca="false">MIN(J7319,Assumptions!$L$62*Assumptions!$C$62)</f>
        <v>0</v>
      </c>
      <c r="K7325" s="16" t="n">
        <f aca="false">MIN(K7319,Assumptions!$L$62*Assumptions!$C$62)</f>
        <v>0</v>
      </c>
    </row>
    <row r="7326" customFormat="false" ht="15" hidden="false" customHeight="false" outlineLevel="0" collapsed="false">
      <c r="A7326" s="3" t="s">
        <v>335</v>
      </c>
      <c r="G7326" s="16" t="n">
        <f aca="false">IF(AND(Assumptions!$P$62=1,G7218&lt;Assumptions!$K$62),MIN(MAX(0,-G7434),MAX(0,Assumptions!$D$62-G7319)),0)</f>
        <v>0</v>
      </c>
      <c r="H7326" s="16" t="n">
        <f aca="false">IF(AND(Assumptions!$P$62=1,OR(H7218&lt;Assumptions!$K$62,G7569=1)),MIN(MAX(0,-H7434),MAX(0,Assumptions!$D$62-H7319)),0)</f>
        <v>0</v>
      </c>
      <c r="I7326" s="16" t="n">
        <f aca="false">IF(AND(Assumptions!$P$62=1,OR(I7218&lt;Assumptions!$K$62,H7569=1)),MIN(MAX(0,-I7434),MAX(0,Assumptions!$D$62-I7319)),0)</f>
        <v>0</v>
      </c>
      <c r="J7326" s="16" t="n">
        <f aca="false">IF(AND(Assumptions!$P$62=1,OR(J7218&lt;Assumptions!$K$62,I7569=1)),MIN(MAX(0,-J7434),MAX(0,Assumptions!$D$62-J7319)),0)</f>
        <v>0</v>
      </c>
      <c r="K7326" s="16" t="n">
        <f aca="false">IF(AND(Assumptions!$P$62=1,OR(K7218&lt;Assumptions!$K$62,J7569=1)),MIN(MAX(0,-K7434),MAX(0,Assumptions!$D$62-K7319)),0)</f>
        <v>0</v>
      </c>
    </row>
    <row r="7327" customFormat="false" ht="15" hidden="false" customHeight="false" outlineLevel="0" collapsed="false">
      <c r="A7327" s="3" t="s">
        <v>336</v>
      </c>
      <c r="G7327" s="16" t="n">
        <f aca="false">G7320*MIN(G7319-G7325+G7324,MAX(0,G7436-Assumptions!$C$12*G7252-G7262-G7275-G7288-G7301-G7314))</f>
        <v>0</v>
      </c>
      <c r="H7327" s="16" t="n">
        <f aca="false">H7320*MIN(H7319-H7325+H7324,MAX(0,H7436-Assumptions!$C$12*H7252-H7262-H7275-H7288-H7301-H7314))</f>
        <v>0</v>
      </c>
      <c r="I7327" s="16" t="n">
        <f aca="false">I7320*MIN(I7319-I7325+I7324,MAX(0,I7436-Assumptions!$C$12*I7252-I7262-I7275-I7288-I7301-I7314))</f>
        <v>0</v>
      </c>
      <c r="J7327" s="16" t="n">
        <f aca="false">J7320*MIN(J7319-J7325+J7324,MAX(0,J7436-Assumptions!$C$12*J7252-J7262-J7275-J7288-J7301-J7314))</f>
        <v>0</v>
      </c>
      <c r="K7327" s="16" t="n">
        <f aca="false">K7320*MIN(K7319-K7325+K7324,MAX(0,K7436-Assumptions!$C$12*K7252-K7262-K7275-K7288-K7301-K7314))</f>
        <v>0</v>
      </c>
    </row>
    <row r="7328" customFormat="false" ht="15" hidden="false" customHeight="false" outlineLevel="0" collapsed="false">
      <c r="A7328" s="3" t="s">
        <v>337</v>
      </c>
      <c r="G7328" s="16" t="n">
        <f aca="false">Assumptions!$N$62*MIN(G7319+G7326+G7324-G7325-G7327,MAX(0,G7440-G7263-G7276-G7289-G7302-G7315))</f>
        <v>0</v>
      </c>
      <c r="H7328" s="16" t="n">
        <f aca="false">Assumptions!$N$62*MIN(H7319+H7326+H7324-H7325-H7327,MAX(0,H7440-H7263-H7276-H7289-H7302-H7315))</f>
        <v>0</v>
      </c>
      <c r="I7328" s="16" t="n">
        <f aca="false">Assumptions!$N$62*MIN(I7319+I7326+I7324-I7325-I7327,MAX(0,I7440-I7263-I7276-I7289-I7302-I7315))</f>
        <v>0</v>
      </c>
      <c r="J7328" s="16" t="n">
        <f aca="false">Assumptions!$N$62*MIN(J7319+J7326+J7324-J7325-J7327,MAX(0,J7440-J7263-J7276-J7289-J7302-J7315))</f>
        <v>0</v>
      </c>
      <c r="K7328" s="16" t="n">
        <f aca="false">Assumptions!$N$62*MIN(K7319+K7326+K7324-K7325-K7327,MAX(0,K7440-K7263-K7276-K7289-K7302-K7315))</f>
        <v>0</v>
      </c>
    </row>
    <row r="7329" customFormat="false" ht="15" hidden="false" customHeight="false" outlineLevel="0" collapsed="false">
      <c r="A7329" s="3" t="s">
        <v>338</v>
      </c>
      <c r="G7329" s="16" t="n">
        <f aca="false">G7320*(1-G7252)*(G7319-G7325+G7324-G7327)</f>
        <v>0</v>
      </c>
      <c r="H7329" s="16" t="n">
        <f aca="false">H7320*(1-H7252)*(H7319-H7325+H7324-H7327)</f>
        <v>350</v>
      </c>
      <c r="I7329" s="16" t="n">
        <f aca="false">I7320*(1-I7252)*(I7319-I7325+I7324-I7327)</f>
        <v>0</v>
      </c>
      <c r="J7329" s="16" t="n">
        <f aca="false">J7320*(1-J7252)*(J7319-J7325+J7324-J7327)</f>
        <v>0</v>
      </c>
      <c r="K7329" s="16" t="n">
        <f aca="false">K7320*(1-K7252)*(K7319-K7325+K7324-K7327)</f>
        <v>0</v>
      </c>
    </row>
    <row r="7330" customFormat="false" ht="15" hidden="false" customHeight="false" outlineLevel="0" collapsed="false">
      <c r="A7330" s="2" t="s">
        <v>339</v>
      </c>
      <c r="F7330" s="28" t="n">
        <f aca="false">Assumptions!$C$62</f>
        <v>350</v>
      </c>
      <c r="G7330" s="17" t="n">
        <f aca="false">G7319+G7326+G7324-G7325-G7327-G7328</f>
        <v>350</v>
      </c>
      <c r="H7330" s="17" t="n">
        <f aca="false">H7319+H7326+H7324-H7325-H7327-H7328</f>
        <v>350</v>
      </c>
      <c r="I7330" s="17" t="n">
        <f aca="false">I7319+I7326+I7324-I7325-I7327-I7328</f>
        <v>350</v>
      </c>
      <c r="J7330" s="17" t="n">
        <f aca="false">J7319+J7326+J7324-J7325-J7327-J7328</f>
        <v>350</v>
      </c>
      <c r="K7330" s="17" t="n">
        <f aca="false">K7319+K7326+K7324-K7325-K7327-K7328</f>
        <v>350</v>
      </c>
    </row>
    <row r="7331" customFormat="false" ht="15" hidden="false" customHeight="false" outlineLevel="0" collapsed="false">
      <c r="A7331" s="24" t="s">
        <v>345</v>
      </c>
      <c r="B7331" s="25"/>
      <c r="C7331" s="25"/>
      <c r="D7331" s="25"/>
      <c r="E7331" s="25"/>
      <c r="F7331" s="25"/>
      <c r="G7331" s="25"/>
      <c r="H7331" s="25"/>
      <c r="I7331" s="25"/>
      <c r="J7331" s="25"/>
      <c r="K7331" s="25"/>
    </row>
    <row r="7332" customFormat="false" ht="15" hidden="false" customHeight="false" outlineLevel="0" collapsed="false">
      <c r="A7332" s="3" t="s">
        <v>329</v>
      </c>
      <c r="G7332" s="16" t="n">
        <f aca="false">F7343</f>
        <v>550</v>
      </c>
      <c r="H7332" s="16" t="n">
        <f aca="false">G7343</f>
        <v>550</v>
      </c>
      <c r="I7332" s="16" t="n">
        <f aca="false">H7343</f>
        <v>550</v>
      </c>
      <c r="J7332" s="16" t="n">
        <f aca="false">I7343</f>
        <v>550</v>
      </c>
      <c r="K7332" s="16" t="n">
        <f aca="false">J7343</f>
        <v>550</v>
      </c>
    </row>
    <row r="7333" customFormat="false" ht="15" hidden="false" customHeight="false" outlineLevel="0" collapsed="false">
      <c r="A7333" s="3" t="s">
        <v>330</v>
      </c>
      <c r="G7333" s="21" t="n">
        <f aca="false">IF(G7218=Assumptions!$K$63,1,0)</f>
        <v>0</v>
      </c>
      <c r="H7333" s="21" t="n">
        <f aca="false">IF(H7218=Assumptions!$K$63,1,0)</f>
        <v>0</v>
      </c>
      <c r="I7333" s="21" t="n">
        <f aca="false">IF(I7218=Assumptions!$K$63,1,0)</f>
        <v>1</v>
      </c>
      <c r="J7333" s="21" t="n">
        <f aca="false">IF(J7218=Assumptions!$K$63,1,0)</f>
        <v>0</v>
      </c>
      <c r="K7333" s="21" t="n">
        <f aca="false">IF(K7218=Assumptions!$K$63,1,0)</f>
        <v>0</v>
      </c>
    </row>
    <row r="7335" customFormat="false" ht="15" hidden="false" customHeight="false" outlineLevel="0" collapsed="false">
      <c r="A7335" s="3" t="s">
        <v>331</v>
      </c>
      <c r="G7335" s="31" t="n">
        <f aca="false">IF(Assumptions!$I$63=1,MAX(G7244,Assumptions!$G$63)+Assumptions!$F$63+$C$7245,Assumptions!$E$63)</f>
        <v>0.08875</v>
      </c>
      <c r="H7335" s="31" t="n">
        <f aca="false">IF(G7570=1,$C$7246,IF(Assumptions!$I$63=1,MAX(H7244,Assumptions!$G$63)+Assumptions!$F$63+$C$7245,Assumptions!$E$63))</f>
        <v>0.08875</v>
      </c>
      <c r="I7335" s="31" t="n">
        <f aca="false">IF(H7570=1,$C$7246,IF(Assumptions!$I$63=1,MAX(I7244,Assumptions!$G$63)+Assumptions!$F$63+$C$7245,Assumptions!$E$63))</f>
        <v>0.08875</v>
      </c>
      <c r="J7335" s="31" t="n">
        <f aca="false">IF(I7570=1,$C$7246,IF(Assumptions!$I$63=1,MAX(J7244,Assumptions!$G$63)+Assumptions!$F$63+$C$7245,Assumptions!$E$63))</f>
        <v>0.08875</v>
      </c>
      <c r="K7335" s="31" t="n">
        <f aca="false">IF(J7570=1,$C$7246,IF(Assumptions!$I$63=1,MAX(K7244,Assumptions!$G$63)+Assumptions!$F$63+$C$7245,Assumptions!$E$63))</f>
        <v>0.08875</v>
      </c>
    </row>
    <row r="7336" customFormat="false" ht="15" hidden="false" customHeight="false" outlineLevel="0" collapsed="false">
      <c r="A7336" s="3" t="s">
        <v>332</v>
      </c>
      <c r="G7336" s="16" t="n">
        <f aca="false">G7332*G7335</f>
        <v>48.8125</v>
      </c>
      <c r="H7336" s="16" t="n">
        <f aca="false">H7332*H7335</f>
        <v>48.8125</v>
      </c>
      <c r="I7336" s="16" t="n">
        <f aca="false">I7332*I7335</f>
        <v>48.8125</v>
      </c>
      <c r="J7336" s="16" t="n">
        <f aca="false">J7332*J7335</f>
        <v>48.8125</v>
      </c>
      <c r="K7336" s="16" t="n">
        <f aca="false">K7332*K7335</f>
        <v>48.8125</v>
      </c>
    </row>
    <row r="7337" customFormat="false" ht="15" hidden="false" customHeight="false" outlineLevel="0" collapsed="false">
      <c r="A7337" s="3" t="s">
        <v>333</v>
      </c>
      <c r="G7337" s="16" t="n">
        <f aca="false">G7332*Assumptions!$H$63</f>
        <v>0</v>
      </c>
      <c r="H7337" s="16" t="n">
        <f aca="false">H7332*Assumptions!$H$63</f>
        <v>0</v>
      </c>
      <c r="I7337" s="16" t="n">
        <f aca="false">I7332*Assumptions!$H$63</f>
        <v>0</v>
      </c>
      <c r="J7337" s="16" t="n">
        <f aca="false">J7332*Assumptions!$H$63</f>
        <v>0</v>
      </c>
      <c r="K7337" s="16" t="n">
        <f aca="false">K7332*Assumptions!$H$63</f>
        <v>0</v>
      </c>
    </row>
    <row r="7338" customFormat="false" ht="15" hidden="false" customHeight="false" outlineLevel="0" collapsed="false">
      <c r="A7338" s="3" t="s">
        <v>334</v>
      </c>
      <c r="G7338" s="16" t="n">
        <f aca="false">MIN(G7332,Assumptions!$L$63*Assumptions!$C$63)</f>
        <v>0</v>
      </c>
      <c r="H7338" s="16" t="n">
        <f aca="false">MIN(H7332,Assumptions!$L$63*Assumptions!$C$63)</f>
        <v>0</v>
      </c>
      <c r="I7338" s="16" t="n">
        <f aca="false">MIN(I7332,Assumptions!$L$63*Assumptions!$C$63)</f>
        <v>0</v>
      </c>
      <c r="J7338" s="16" t="n">
        <f aca="false">MIN(J7332,Assumptions!$L$63*Assumptions!$C$63)</f>
        <v>0</v>
      </c>
      <c r="K7338" s="16" t="n">
        <f aca="false">MIN(K7332,Assumptions!$L$63*Assumptions!$C$63)</f>
        <v>0</v>
      </c>
    </row>
    <row r="7339" customFormat="false" ht="15" hidden="false" customHeight="false" outlineLevel="0" collapsed="false">
      <c r="A7339" s="3" t="s">
        <v>335</v>
      </c>
      <c r="G7339" s="16" t="n">
        <f aca="false">IF(AND(Assumptions!$P$63=1,G7218&lt;Assumptions!$K$63),MIN(MAX(0,-G7434),MAX(0,Assumptions!$D$63-G7332)),0)</f>
        <v>0</v>
      </c>
      <c r="H7339" s="16" t="n">
        <f aca="false">IF(AND(Assumptions!$P$63=1,OR(H7218&lt;Assumptions!$K$63,G7570=1)),MIN(MAX(0,-H7434),MAX(0,Assumptions!$D$63-H7332)),0)</f>
        <v>0</v>
      </c>
      <c r="I7339" s="16" t="n">
        <f aca="false">IF(AND(Assumptions!$P$63=1,OR(I7218&lt;Assumptions!$K$63,H7570=1)),MIN(MAX(0,-I7434),MAX(0,Assumptions!$D$63-I7332)),0)</f>
        <v>0</v>
      </c>
      <c r="J7339" s="16" t="n">
        <f aca="false">IF(AND(Assumptions!$P$63=1,OR(J7218&lt;Assumptions!$K$63,I7570=1)),MIN(MAX(0,-J7434),MAX(0,Assumptions!$D$63-J7332)),0)</f>
        <v>0</v>
      </c>
      <c r="K7339" s="16" t="n">
        <f aca="false">IF(AND(Assumptions!$P$63=1,OR(K7218&lt;Assumptions!$K$63,J7570=1)),MIN(MAX(0,-K7434),MAX(0,Assumptions!$D$63-K7332)),0)</f>
        <v>0</v>
      </c>
    </row>
    <row r="7340" customFormat="false" ht="15" hidden="false" customHeight="false" outlineLevel="0" collapsed="false">
      <c r="A7340" s="3" t="s">
        <v>336</v>
      </c>
      <c r="G7340" s="16" t="n">
        <f aca="false">G7333*MIN(G7332-G7338+G7337,MAX(0,G7436-Assumptions!$C$12*G7252-G7262-G7275-G7288-G7301-G7314-G7327))</f>
        <v>0</v>
      </c>
      <c r="H7340" s="16" t="n">
        <f aca="false">H7333*MIN(H7332-H7338+H7337,MAX(0,H7436-Assumptions!$C$12*H7252-H7262-H7275-H7288-H7301-H7314-H7327))</f>
        <v>0</v>
      </c>
      <c r="I7340" s="16" t="n">
        <f aca="false">I7333*MIN(I7332-I7338+I7337,MAX(0,I7436-Assumptions!$C$12*I7252-I7262-I7275-I7288-I7301-I7314-I7327))</f>
        <v>0</v>
      </c>
      <c r="J7340" s="16" t="n">
        <f aca="false">J7333*MIN(J7332-J7338+J7337,MAX(0,J7436-Assumptions!$C$12*J7252-J7262-J7275-J7288-J7301-J7314-J7327))</f>
        <v>0</v>
      </c>
      <c r="K7340" s="16" t="n">
        <f aca="false">K7333*MIN(K7332-K7338+K7337,MAX(0,K7436-Assumptions!$C$12*K7252-K7262-K7275-K7288-K7301-K7314-K7327))</f>
        <v>0</v>
      </c>
    </row>
    <row r="7341" customFormat="false" ht="15" hidden="false" customHeight="false" outlineLevel="0" collapsed="false">
      <c r="A7341" s="3" t="s">
        <v>337</v>
      </c>
      <c r="G7341" s="16" t="n">
        <f aca="false">Assumptions!$N$63*MIN(G7332+G7339+G7337-G7338-G7340,MAX(0,G7440-G7263-G7276-G7289-G7302-G7315-G7328))</f>
        <v>0</v>
      </c>
      <c r="H7341" s="16" t="n">
        <f aca="false">Assumptions!$N$63*MIN(H7332+H7339+H7337-H7338-H7340,MAX(0,H7440-H7263-H7276-H7289-H7302-H7315-H7328))</f>
        <v>0</v>
      </c>
      <c r="I7341" s="16" t="n">
        <f aca="false">Assumptions!$N$63*MIN(I7332+I7339+I7337-I7338-I7340,MAX(0,I7440-I7263-I7276-I7289-I7302-I7315-I7328))</f>
        <v>0</v>
      </c>
      <c r="J7341" s="16" t="n">
        <f aca="false">Assumptions!$N$63*MIN(J7332+J7339+J7337-J7338-J7340,MAX(0,J7440-J7263-J7276-J7289-J7302-J7315-J7328))</f>
        <v>0</v>
      </c>
      <c r="K7341" s="16" t="n">
        <f aca="false">Assumptions!$N$63*MIN(K7332+K7339+K7337-K7338-K7340,MAX(0,K7440-K7263-K7276-K7289-K7302-K7315-K7328))</f>
        <v>0</v>
      </c>
    </row>
    <row r="7342" customFormat="false" ht="15" hidden="false" customHeight="false" outlineLevel="0" collapsed="false">
      <c r="A7342" s="3" t="s">
        <v>338</v>
      </c>
      <c r="G7342" s="16" t="n">
        <f aca="false">G7333*(1-G7252)*(G7332-G7338+G7337-G7340)</f>
        <v>0</v>
      </c>
      <c r="H7342" s="16" t="n">
        <f aca="false">H7333*(1-H7252)*(H7332-H7338+H7337-H7340)</f>
        <v>0</v>
      </c>
      <c r="I7342" s="16" t="n">
        <f aca="false">I7333*(1-I7252)*(I7332-I7338+I7337-I7340)</f>
        <v>550</v>
      </c>
      <c r="J7342" s="16" t="n">
        <f aca="false">J7333*(1-J7252)*(J7332-J7338+J7337-J7340)</f>
        <v>0</v>
      </c>
      <c r="K7342" s="16" t="n">
        <f aca="false">K7333*(1-K7252)*(K7332-K7338+K7337-K7340)</f>
        <v>0</v>
      </c>
    </row>
    <row r="7343" customFormat="false" ht="15" hidden="false" customHeight="false" outlineLevel="0" collapsed="false">
      <c r="A7343" s="2" t="s">
        <v>339</v>
      </c>
      <c r="F7343" s="28" t="n">
        <f aca="false">Assumptions!$C$63</f>
        <v>550</v>
      </c>
      <c r="G7343" s="17" t="n">
        <f aca="false">G7332+G7339+G7337-G7338-G7340-G7341</f>
        <v>550</v>
      </c>
      <c r="H7343" s="17" t="n">
        <f aca="false">H7332+H7339+H7337-H7338-H7340-H7341</f>
        <v>550</v>
      </c>
      <c r="I7343" s="17" t="n">
        <f aca="false">I7332+I7339+I7337-I7338-I7340-I7341</f>
        <v>550</v>
      </c>
      <c r="J7343" s="17" t="n">
        <f aca="false">J7332+J7339+J7337-J7338-J7340-J7341</f>
        <v>550</v>
      </c>
      <c r="K7343" s="17" t="n">
        <f aca="false">K7332+K7339+K7337-K7338-K7340-K7341</f>
        <v>550</v>
      </c>
    </row>
    <row r="7344" customFormat="false" ht="15" hidden="false" customHeight="false" outlineLevel="0" collapsed="false">
      <c r="A7344" s="24" t="s">
        <v>346</v>
      </c>
      <c r="B7344" s="25"/>
      <c r="C7344" s="25"/>
      <c r="D7344" s="25"/>
      <c r="E7344" s="25"/>
      <c r="F7344" s="25"/>
      <c r="G7344" s="25"/>
      <c r="H7344" s="25"/>
      <c r="I7344" s="25"/>
      <c r="J7344" s="25"/>
      <c r="K7344" s="25"/>
    </row>
    <row r="7345" customFormat="false" ht="15" hidden="false" customHeight="false" outlineLevel="0" collapsed="false">
      <c r="A7345" s="3" t="s">
        <v>329</v>
      </c>
      <c r="G7345" s="16" t="n">
        <f aca="false">F7356</f>
        <v>350</v>
      </c>
      <c r="H7345" s="16" t="n">
        <f aca="false">G7356</f>
        <v>350</v>
      </c>
      <c r="I7345" s="16" t="n">
        <f aca="false">H7356</f>
        <v>350</v>
      </c>
      <c r="J7345" s="16" t="n">
        <f aca="false">I7356</f>
        <v>350</v>
      </c>
      <c r="K7345" s="16" t="n">
        <f aca="false">J7356</f>
        <v>350</v>
      </c>
    </row>
    <row r="7346" customFormat="false" ht="15" hidden="false" customHeight="false" outlineLevel="0" collapsed="false">
      <c r="A7346" s="3" t="s">
        <v>330</v>
      </c>
      <c r="G7346" s="21" t="n">
        <f aca="false">IF(G7218=Assumptions!$K$64,1,0)</f>
        <v>0</v>
      </c>
      <c r="H7346" s="21" t="n">
        <f aca="false">IF(H7218=Assumptions!$K$64,1,0)</f>
        <v>0</v>
      </c>
      <c r="I7346" s="21" t="n">
        <f aca="false">IF(I7218=Assumptions!$K$64,1,0)</f>
        <v>0</v>
      </c>
      <c r="J7346" s="21" t="n">
        <f aca="false">IF(J7218=Assumptions!$K$64,1,0)</f>
        <v>1</v>
      </c>
      <c r="K7346" s="21" t="n">
        <f aca="false">IF(K7218=Assumptions!$K$64,1,0)</f>
        <v>0</v>
      </c>
    </row>
    <row r="7348" customFormat="false" ht="15" hidden="false" customHeight="false" outlineLevel="0" collapsed="false">
      <c r="A7348" s="3" t="s">
        <v>331</v>
      </c>
      <c r="G7348" s="31" t="n">
        <f aca="false">IF(Assumptions!$I$64=1,MAX(G7244,Assumptions!$G$64)+Assumptions!$F$64+$C$7245,Assumptions!$E$64)</f>
        <v>0.0455</v>
      </c>
      <c r="H7348" s="31" t="n">
        <f aca="false">IF(G7571=1,$C$7246,IF(Assumptions!$I$64=1,MAX(H7244,Assumptions!$G$64)+Assumptions!$F$64+$C$7245,Assumptions!$E$64))</f>
        <v>0.0455</v>
      </c>
      <c r="I7348" s="31" t="n">
        <f aca="false">IF(H7571=1,$C$7246,IF(Assumptions!$I$64=1,MAX(I7244,Assumptions!$G$64)+Assumptions!$F$64+$C$7245,Assumptions!$E$64))</f>
        <v>0.0455</v>
      </c>
      <c r="J7348" s="31" t="n">
        <f aca="false">IF(I7571=1,$C$7246,IF(Assumptions!$I$64=1,MAX(J7244,Assumptions!$G$64)+Assumptions!$F$64+$C$7245,Assumptions!$E$64))</f>
        <v>0.0455</v>
      </c>
      <c r="K7348" s="31" t="n">
        <f aca="false">IF(J7571=1,$C$7246,IF(Assumptions!$I$64=1,MAX(K7244,Assumptions!$G$64)+Assumptions!$F$64+$C$7245,Assumptions!$E$64))</f>
        <v>0.0455</v>
      </c>
    </row>
    <row r="7349" customFormat="false" ht="15" hidden="false" customHeight="false" outlineLevel="0" collapsed="false">
      <c r="A7349" s="3" t="s">
        <v>332</v>
      </c>
      <c r="G7349" s="16" t="n">
        <f aca="false">G7345*G7348</f>
        <v>15.925</v>
      </c>
      <c r="H7349" s="16" t="n">
        <f aca="false">H7345*H7348</f>
        <v>15.925</v>
      </c>
      <c r="I7349" s="16" t="n">
        <f aca="false">I7345*I7348</f>
        <v>15.925</v>
      </c>
      <c r="J7349" s="16" t="n">
        <f aca="false">J7345*J7348</f>
        <v>15.925</v>
      </c>
      <c r="K7349" s="16" t="n">
        <f aca="false">K7345*K7348</f>
        <v>15.925</v>
      </c>
    </row>
    <row r="7350" customFormat="false" ht="15" hidden="false" customHeight="false" outlineLevel="0" collapsed="false">
      <c r="A7350" s="3" t="s">
        <v>333</v>
      </c>
      <c r="G7350" s="16" t="n">
        <f aca="false">G7345*Assumptions!$H$64</f>
        <v>0</v>
      </c>
      <c r="H7350" s="16" t="n">
        <f aca="false">H7345*Assumptions!$H$64</f>
        <v>0</v>
      </c>
      <c r="I7350" s="16" t="n">
        <f aca="false">I7345*Assumptions!$H$64</f>
        <v>0</v>
      </c>
      <c r="J7350" s="16" t="n">
        <f aca="false">J7345*Assumptions!$H$64</f>
        <v>0</v>
      </c>
      <c r="K7350" s="16" t="n">
        <f aca="false">K7345*Assumptions!$H$64</f>
        <v>0</v>
      </c>
    </row>
    <row r="7351" customFormat="false" ht="15" hidden="false" customHeight="false" outlineLevel="0" collapsed="false">
      <c r="A7351" s="3" t="s">
        <v>334</v>
      </c>
      <c r="G7351" s="16" t="n">
        <f aca="false">MIN(G7345,Assumptions!$L$64*Assumptions!$C$64)</f>
        <v>0</v>
      </c>
      <c r="H7351" s="16" t="n">
        <f aca="false">MIN(H7345,Assumptions!$L$64*Assumptions!$C$64)</f>
        <v>0</v>
      </c>
      <c r="I7351" s="16" t="n">
        <f aca="false">MIN(I7345,Assumptions!$L$64*Assumptions!$C$64)</f>
        <v>0</v>
      </c>
      <c r="J7351" s="16" t="n">
        <f aca="false">MIN(J7345,Assumptions!$L$64*Assumptions!$C$64)</f>
        <v>0</v>
      </c>
      <c r="K7351" s="16" t="n">
        <f aca="false">MIN(K7345,Assumptions!$L$64*Assumptions!$C$64)</f>
        <v>0</v>
      </c>
    </row>
    <row r="7352" customFormat="false" ht="15" hidden="false" customHeight="false" outlineLevel="0" collapsed="false">
      <c r="A7352" s="3" t="s">
        <v>335</v>
      </c>
      <c r="G7352" s="16" t="n">
        <f aca="false">IF(AND(Assumptions!$P$64=1,G7218&lt;Assumptions!$K$64),MIN(MAX(0,-G7434),MAX(0,Assumptions!$D$64-G7345)),0)</f>
        <v>0</v>
      </c>
      <c r="H7352" s="16" t="n">
        <f aca="false">IF(AND(Assumptions!$P$64=1,OR(H7218&lt;Assumptions!$K$64,G7571=1)),MIN(MAX(0,-H7434),MAX(0,Assumptions!$D$64-H7345)),0)</f>
        <v>0</v>
      </c>
      <c r="I7352" s="16" t="n">
        <f aca="false">IF(AND(Assumptions!$P$64=1,OR(I7218&lt;Assumptions!$K$64,H7571=1)),MIN(MAX(0,-I7434),MAX(0,Assumptions!$D$64-I7345)),0)</f>
        <v>0</v>
      </c>
      <c r="J7352" s="16" t="n">
        <f aca="false">IF(AND(Assumptions!$P$64=1,OR(J7218&lt;Assumptions!$K$64,I7571=1)),MIN(MAX(0,-J7434),MAX(0,Assumptions!$D$64-J7345)),0)</f>
        <v>0</v>
      </c>
      <c r="K7352" s="16" t="n">
        <f aca="false">IF(AND(Assumptions!$P$64=1,OR(K7218&lt;Assumptions!$K$64,J7571=1)),MIN(MAX(0,-K7434),MAX(0,Assumptions!$D$64-K7345)),0)</f>
        <v>0</v>
      </c>
    </row>
    <row r="7353" customFormat="false" ht="15" hidden="false" customHeight="false" outlineLevel="0" collapsed="false">
      <c r="A7353" s="3" t="s">
        <v>336</v>
      </c>
      <c r="G7353" s="16" t="n">
        <f aca="false">G7346*MIN(G7345-G7351+G7350,MAX(0,G7436-Assumptions!$C$12*G7252-G7262-G7275-G7288-G7301-G7314-G7327-G7340))</f>
        <v>0</v>
      </c>
      <c r="H7353" s="16" t="n">
        <f aca="false">H7346*MIN(H7345-H7351+H7350,MAX(0,H7436-Assumptions!$C$12*H7252-H7262-H7275-H7288-H7301-H7314-H7327-H7340))</f>
        <v>0</v>
      </c>
      <c r="I7353" s="16" t="n">
        <f aca="false">I7346*MIN(I7345-I7351+I7350,MAX(0,I7436-Assumptions!$C$12*I7252-I7262-I7275-I7288-I7301-I7314-I7327-I7340))</f>
        <v>0</v>
      </c>
      <c r="J7353" s="16" t="n">
        <f aca="false">J7346*MIN(J7345-J7351+J7350,MAX(0,J7436-Assumptions!$C$12*J7252-J7262-J7275-J7288-J7301-J7314-J7327-J7340))</f>
        <v>0</v>
      </c>
      <c r="K7353" s="16" t="n">
        <f aca="false">K7346*MIN(K7345-K7351+K7350,MAX(0,K7436-Assumptions!$C$12*K7252-K7262-K7275-K7288-K7301-K7314-K7327-K7340))</f>
        <v>0</v>
      </c>
    </row>
    <row r="7354" customFormat="false" ht="15" hidden="false" customHeight="false" outlineLevel="0" collapsed="false">
      <c r="A7354" s="3" t="s">
        <v>337</v>
      </c>
      <c r="G7354" s="16" t="n">
        <f aca="false">Assumptions!$N$64*MIN(G7345+G7352+G7350-G7351-G7353,MAX(0,G7440-G7263-G7276-G7289-G7302-G7315-G7328-G7341))</f>
        <v>0</v>
      </c>
      <c r="H7354" s="16" t="n">
        <f aca="false">Assumptions!$N$64*MIN(H7345+H7352+H7350-H7351-H7353,MAX(0,H7440-H7263-H7276-H7289-H7302-H7315-H7328-H7341))</f>
        <v>0</v>
      </c>
      <c r="I7354" s="16" t="n">
        <f aca="false">Assumptions!$N$64*MIN(I7345+I7352+I7350-I7351-I7353,MAX(0,I7440-I7263-I7276-I7289-I7302-I7315-I7328-I7341))</f>
        <v>0</v>
      </c>
      <c r="J7354" s="16" t="n">
        <f aca="false">Assumptions!$N$64*MIN(J7345+J7352+J7350-J7351-J7353,MAX(0,J7440-J7263-J7276-J7289-J7302-J7315-J7328-J7341))</f>
        <v>0</v>
      </c>
      <c r="K7354" s="16" t="n">
        <f aca="false">Assumptions!$N$64*MIN(K7345+K7352+K7350-K7351-K7353,MAX(0,K7440-K7263-K7276-K7289-K7302-K7315-K7328-K7341))</f>
        <v>0</v>
      </c>
    </row>
    <row r="7355" customFormat="false" ht="15" hidden="false" customHeight="false" outlineLevel="0" collapsed="false">
      <c r="A7355" s="3" t="s">
        <v>338</v>
      </c>
      <c r="G7355" s="16" t="n">
        <f aca="false">G7346*(1-G7252)*(G7345-G7351+G7350-G7353)</f>
        <v>0</v>
      </c>
      <c r="H7355" s="16" t="n">
        <f aca="false">H7346*(1-H7252)*(H7345-H7351+H7350-H7353)</f>
        <v>0</v>
      </c>
      <c r="I7355" s="16" t="n">
        <f aca="false">I7346*(1-I7252)*(I7345-I7351+I7350-I7353)</f>
        <v>0</v>
      </c>
      <c r="J7355" s="16" t="n">
        <f aca="false">J7346*(1-J7252)*(J7345-J7351+J7350-J7353)</f>
        <v>350</v>
      </c>
      <c r="K7355" s="16" t="n">
        <f aca="false">K7346*(1-K7252)*(K7345-K7351+K7350-K7353)</f>
        <v>0</v>
      </c>
    </row>
    <row r="7356" customFormat="false" ht="15" hidden="false" customHeight="false" outlineLevel="0" collapsed="false">
      <c r="A7356" s="2" t="s">
        <v>339</v>
      </c>
      <c r="F7356" s="28" t="n">
        <f aca="false">Assumptions!$C$64</f>
        <v>350</v>
      </c>
      <c r="G7356" s="17" t="n">
        <f aca="false">G7345+G7352+G7350-G7351-G7353-G7354</f>
        <v>350</v>
      </c>
      <c r="H7356" s="17" t="n">
        <f aca="false">H7345+H7352+H7350-H7351-H7353-H7354</f>
        <v>350</v>
      </c>
      <c r="I7356" s="17" t="n">
        <f aca="false">I7345+I7352+I7350-I7351-I7353-I7354</f>
        <v>350</v>
      </c>
      <c r="J7356" s="17" t="n">
        <f aca="false">J7345+J7352+J7350-J7351-J7353-J7354</f>
        <v>350</v>
      </c>
      <c r="K7356" s="17" t="n">
        <f aca="false">K7345+K7352+K7350-K7351-K7353-K7354</f>
        <v>350</v>
      </c>
    </row>
    <row r="7357" customFormat="false" ht="15" hidden="false" customHeight="false" outlineLevel="0" collapsed="false">
      <c r="A7357" s="24" t="s">
        <v>347</v>
      </c>
      <c r="B7357" s="25"/>
      <c r="C7357" s="25"/>
      <c r="D7357" s="25"/>
      <c r="E7357" s="25"/>
      <c r="F7357" s="25"/>
      <c r="G7357" s="25"/>
      <c r="H7357" s="25"/>
      <c r="I7357" s="25"/>
      <c r="J7357" s="25"/>
      <c r="K7357" s="25"/>
    </row>
    <row r="7358" customFormat="false" ht="15" hidden="false" customHeight="false" outlineLevel="0" collapsed="false">
      <c r="A7358" s="3" t="s">
        <v>329</v>
      </c>
      <c r="G7358" s="16" t="n">
        <f aca="false">F7369</f>
        <v>300</v>
      </c>
      <c r="H7358" s="16" t="n">
        <f aca="false">G7369</f>
        <v>300</v>
      </c>
      <c r="I7358" s="16" t="n">
        <f aca="false">H7369</f>
        <v>300</v>
      </c>
      <c r="J7358" s="16" t="n">
        <f aca="false">I7369</f>
        <v>300</v>
      </c>
      <c r="K7358" s="16" t="n">
        <f aca="false">J7369</f>
        <v>300</v>
      </c>
    </row>
    <row r="7359" customFormat="false" ht="15" hidden="false" customHeight="false" outlineLevel="0" collapsed="false">
      <c r="A7359" s="3" t="s">
        <v>330</v>
      </c>
      <c r="G7359" s="21" t="n">
        <f aca="false">IF(G7218=Assumptions!$K$65,1,0)</f>
        <v>0</v>
      </c>
      <c r="H7359" s="21" t="n">
        <f aca="false">IF(H7218=Assumptions!$K$65,1,0)</f>
        <v>0</v>
      </c>
      <c r="I7359" s="21" t="n">
        <f aca="false">IF(I7218=Assumptions!$K$65,1,0)</f>
        <v>0</v>
      </c>
      <c r="J7359" s="21" t="n">
        <f aca="false">IF(J7218=Assumptions!$K$65,1,0)</f>
        <v>0</v>
      </c>
      <c r="K7359" s="21" t="n">
        <f aca="false">IF(K7218=Assumptions!$K$65,1,0)</f>
        <v>1</v>
      </c>
    </row>
    <row r="7361" customFormat="false" ht="15" hidden="false" customHeight="false" outlineLevel="0" collapsed="false">
      <c r="A7361" s="3" t="s">
        <v>331</v>
      </c>
      <c r="G7361" s="31" t="n">
        <f aca="false">IF(Assumptions!$I$65=1,MAX(G7244,Assumptions!$G$65)+Assumptions!$F$65+$C$7245,Assumptions!$E$65)</f>
        <v>0.06125</v>
      </c>
      <c r="H7361" s="31" t="n">
        <f aca="false">IF(G7572=1,$C$7246,IF(Assumptions!$I$65=1,MAX(H7244,Assumptions!$G$65)+Assumptions!$F$65+$C$7245,Assumptions!$E$65))</f>
        <v>0.06125</v>
      </c>
      <c r="I7361" s="31" t="n">
        <f aca="false">IF(H7572=1,$C$7246,IF(Assumptions!$I$65=1,MAX(I7244,Assumptions!$G$65)+Assumptions!$F$65+$C$7245,Assumptions!$E$65))</f>
        <v>0.06125</v>
      </c>
      <c r="J7361" s="31" t="n">
        <f aca="false">IF(I7572=1,$C$7246,IF(Assumptions!$I$65=1,MAX(J7244,Assumptions!$G$65)+Assumptions!$F$65+$C$7245,Assumptions!$E$65))</f>
        <v>0.06125</v>
      </c>
      <c r="K7361" s="31" t="n">
        <f aca="false">IF(J7572=1,$C$7246,IF(Assumptions!$I$65=1,MAX(K7244,Assumptions!$G$65)+Assumptions!$F$65+$C$7245,Assumptions!$E$65))</f>
        <v>0.06125</v>
      </c>
    </row>
    <row r="7362" customFormat="false" ht="15" hidden="false" customHeight="false" outlineLevel="0" collapsed="false">
      <c r="A7362" s="3" t="s">
        <v>332</v>
      </c>
      <c r="G7362" s="16" t="n">
        <f aca="false">G7358*G7361</f>
        <v>18.375</v>
      </c>
      <c r="H7362" s="16" t="n">
        <f aca="false">H7358*H7361</f>
        <v>18.375</v>
      </c>
      <c r="I7362" s="16" t="n">
        <f aca="false">I7358*I7361</f>
        <v>18.375</v>
      </c>
      <c r="J7362" s="16" t="n">
        <f aca="false">J7358*J7361</f>
        <v>18.375</v>
      </c>
      <c r="K7362" s="16" t="n">
        <f aca="false">K7358*K7361</f>
        <v>18.375</v>
      </c>
    </row>
    <row r="7363" customFormat="false" ht="15" hidden="false" customHeight="false" outlineLevel="0" collapsed="false">
      <c r="A7363" s="3" t="s">
        <v>333</v>
      </c>
      <c r="G7363" s="16" t="n">
        <f aca="false">G7358*Assumptions!$H$65</f>
        <v>0</v>
      </c>
      <c r="H7363" s="16" t="n">
        <f aca="false">H7358*Assumptions!$H$65</f>
        <v>0</v>
      </c>
      <c r="I7363" s="16" t="n">
        <f aca="false">I7358*Assumptions!$H$65</f>
        <v>0</v>
      </c>
      <c r="J7363" s="16" t="n">
        <f aca="false">J7358*Assumptions!$H$65</f>
        <v>0</v>
      </c>
      <c r="K7363" s="16" t="n">
        <f aca="false">K7358*Assumptions!$H$65</f>
        <v>0</v>
      </c>
    </row>
    <row r="7364" customFormat="false" ht="15" hidden="false" customHeight="false" outlineLevel="0" collapsed="false">
      <c r="A7364" s="3" t="s">
        <v>334</v>
      </c>
      <c r="G7364" s="16" t="n">
        <f aca="false">MIN(G7358,Assumptions!$L$65*Assumptions!$C$65)</f>
        <v>0</v>
      </c>
      <c r="H7364" s="16" t="n">
        <f aca="false">MIN(H7358,Assumptions!$L$65*Assumptions!$C$65)</f>
        <v>0</v>
      </c>
      <c r="I7364" s="16" t="n">
        <f aca="false">MIN(I7358,Assumptions!$L$65*Assumptions!$C$65)</f>
        <v>0</v>
      </c>
      <c r="J7364" s="16" t="n">
        <f aca="false">MIN(J7358,Assumptions!$L$65*Assumptions!$C$65)</f>
        <v>0</v>
      </c>
      <c r="K7364" s="16" t="n">
        <f aca="false">MIN(K7358,Assumptions!$L$65*Assumptions!$C$65)</f>
        <v>0</v>
      </c>
    </row>
    <row r="7365" customFormat="false" ht="15" hidden="false" customHeight="false" outlineLevel="0" collapsed="false">
      <c r="A7365" s="3" t="s">
        <v>335</v>
      </c>
      <c r="G7365" s="16" t="n">
        <f aca="false">IF(AND(Assumptions!$P$65=1,G7218&lt;Assumptions!$K$65),MIN(MAX(0,-G7434),MAX(0,Assumptions!$D$65-G7358)),0)</f>
        <v>0</v>
      </c>
      <c r="H7365" s="16" t="n">
        <f aca="false">IF(AND(Assumptions!$P$65=1,OR(H7218&lt;Assumptions!$K$65,G7572=1)),MIN(MAX(0,-H7434),MAX(0,Assumptions!$D$65-H7358)),0)</f>
        <v>0</v>
      </c>
      <c r="I7365" s="16" t="n">
        <f aca="false">IF(AND(Assumptions!$P$65=1,OR(I7218&lt;Assumptions!$K$65,H7572=1)),MIN(MAX(0,-I7434),MAX(0,Assumptions!$D$65-I7358)),0)</f>
        <v>0</v>
      </c>
      <c r="J7365" s="16" t="n">
        <f aca="false">IF(AND(Assumptions!$P$65=1,OR(J7218&lt;Assumptions!$K$65,I7572=1)),MIN(MAX(0,-J7434),MAX(0,Assumptions!$D$65-J7358)),0)</f>
        <v>0</v>
      </c>
      <c r="K7365" s="16" t="n">
        <f aca="false">IF(AND(Assumptions!$P$65=1,OR(K7218&lt;Assumptions!$K$65,J7572=1)),MIN(MAX(0,-K7434),MAX(0,Assumptions!$D$65-K7358)),0)</f>
        <v>0</v>
      </c>
    </row>
    <row r="7366" customFormat="false" ht="15" hidden="false" customHeight="false" outlineLevel="0" collapsed="false">
      <c r="A7366" s="3" t="s">
        <v>336</v>
      </c>
      <c r="G7366" s="16" t="n">
        <f aca="false">G7359*MIN(G7358-G7364+G7363,MAX(0,G7436-Assumptions!$C$12*G7252-G7262-G7275-G7288-G7301-G7314-G7327-G7340-G7353))</f>
        <v>0</v>
      </c>
      <c r="H7366" s="16" t="n">
        <f aca="false">H7359*MIN(H7358-H7364+H7363,MAX(0,H7436-Assumptions!$C$12*H7252-H7262-H7275-H7288-H7301-H7314-H7327-H7340-H7353))</f>
        <v>0</v>
      </c>
      <c r="I7366" s="16" t="n">
        <f aca="false">I7359*MIN(I7358-I7364+I7363,MAX(0,I7436-Assumptions!$C$12*I7252-I7262-I7275-I7288-I7301-I7314-I7327-I7340-I7353))</f>
        <v>0</v>
      </c>
      <c r="J7366" s="16" t="n">
        <f aca="false">J7359*MIN(J7358-J7364+J7363,MAX(0,J7436-Assumptions!$C$12*J7252-J7262-J7275-J7288-J7301-J7314-J7327-J7340-J7353))</f>
        <v>0</v>
      </c>
      <c r="K7366" s="16" t="n">
        <f aca="false">K7359*MIN(K7358-K7364+K7363,MAX(0,K7436-Assumptions!$C$12*K7252-K7262-K7275-K7288-K7301-K7314-K7327-K7340-K7353))</f>
        <v>0</v>
      </c>
    </row>
    <row r="7367" customFormat="false" ht="15" hidden="false" customHeight="false" outlineLevel="0" collapsed="false">
      <c r="A7367" s="3" t="s">
        <v>337</v>
      </c>
      <c r="G7367" s="16" t="n">
        <f aca="false">Assumptions!$N$65*MIN(G7358+G7365+G7363-G7364-G7366,MAX(0,G7440-G7263-G7276-G7289-G7302-G7315-G7328-G7341-G7354))</f>
        <v>0</v>
      </c>
      <c r="H7367" s="16" t="n">
        <f aca="false">Assumptions!$N$65*MIN(H7358+H7365+H7363-H7364-H7366,MAX(0,H7440-H7263-H7276-H7289-H7302-H7315-H7328-H7341-H7354))</f>
        <v>0</v>
      </c>
      <c r="I7367" s="16" t="n">
        <f aca="false">Assumptions!$N$65*MIN(I7358+I7365+I7363-I7364-I7366,MAX(0,I7440-I7263-I7276-I7289-I7302-I7315-I7328-I7341-I7354))</f>
        <v>0</v>
      </c>
      <c r="J7367" s="16" t="n">
        <f aca="false">Assumptions!$N$65*MIN(J7358+J7365+J7363-J7364-J7366,MAX(0,J7440-J7263-J7276-J7289-J7302-J7315-J7328-J7341-J7354))</f>
        <v>0</v>
      </c>
      <c r="K7367" s="16" t="n">
        <f aca="false">Assumptions!$N$65*MIN(K7358+K7365+K7363-K7364-K7366,MAX(0,K7440-K7263-K7276-K7289-K7302-K7315-K7328-K7341-K7354))</f>
        <v>0</v>
      </c>
    </row>
    <row r="7368" customFormat="false" ht="15" hidden="false" customHeight="false" outlineLevel="0" collapsed="false">
      <c r="A7368" s="3" t="s">
        <v>338</v>
      </c>
      <c r="G7368" s="16" t="n">
        <f aca="false">G7359*(1-G7252)*(G7358-G7364+G7363-G7366)</f>
        <v>0</v>
      </c>
      <c r="H7368" s="16" t="n">
        <f aca="false">H7359*(1-H7252)*(H7358-H7364+H7363-H7366)</f>
        <v>0</v>
      </c>
      <c r="I7368" s="16" t="n">
        <f aca="false">I7359*(1-I7252)*(I7358-I7364+I7363-I7366)</f>
        <v>0</v>
      </c>
      <c r="J7368" s="16" t="n">
        <f aca="false">J7359*(1-J7252)*(J7358-J7364+J7363-J7366)</f>
        <v>0</v>
      </c>
      <c r="K7368" s="16" t="n">
        <f aca="false">K7359*(1-K7252)*(K7358-K7364+K7363-K7366)</f>
        <v>300</v>
      </c>
    </row>
    <row r="7369" customFormat="false" ht="15" hidden="false" customHeight="false" outlineLevel="0" collapsed="false">
      <c r="A7369" s="2" t="s">
        <v>339</v>
      </c>
      <c r="F7369" s="28" t="n">
        <f aca="false">Assumptions!$C$65</f>
        <v>300</v>
      </c>
      <c r="G7369" s="17" t="n">
        <f aca="false">G7358+G7365+G7363-G7364-G7366-G7367</f>
        <v>300</v>
      </c>
      <c r="H7369" s="17" t="n">
        <f aca="false">H7358+H7365+H7363-H7364-H7366-H7367</f>
        <v>300</v>
      </c>
      <c r="I7369" s="17" t="n">
        <f aca="false">I7358+I7365+I7363-I7364-I7366-I7367</f>
        <v>300</v>
      </c>
      <c r="J7369" s="17" t="n">
        <f aca="false">J7358+J7365+J7363-J7364-J7366-J7367</f>
        <v>300</v>
      </c>
      <c r="K7369" s="17" t="n">
        <f aca="false">K7358+K7365+K7363-K7364-K7366-K7367</f>
        <v>300</v>
      </c>
    </row>
    <row r="7370" customFormat="false" ht="15" hidden="false" customHeight="false" outlineLevel="0" collapsed="false">
      <c r="A7370" s="24" t="s">
        <v>348</v>
      </c>
      <c r="B7370" s="25"/>
      <c r="C7370" s="25"/>
      <c r="D7370" s="25"/>
      <c r="E7370" s="25"/>
      <c r="F7370" s="25"/>
      <c r="G7370" s="25"/>
      <c r="H7370" s="25"/>
      <c r="I7370" s="25"/>
      <c r="J7370" s="25"/>
      <c r="K7370" s="25"/>
    </row>
    <row r="7371" customFormat="false" ht="15" hidden="false" customHeight="false" outlineLevel="0" collapsed="false">
      <c r="A7371" s="3" t="s">
        <v>329</v>
      </c>
      <c r="G7371" s="16" t="n">
        <f aca="false">F7382</f>
        <v>78.61</v>
      </c>
      <c r="H7371" s="16" t="n">
        <f aca="false">G7382</f>
        <v>78.61</v>
      </c>
      <c r="I7371" s="16" t="n">
        <f aca="false">H7382</f>
        <v>78.61</v>
      </c>
      <c r="J7371" s="16" t="n">
        <f aca="false">I7382</f>
        <v>78.61</v>
      </c>
      <c r="K7371" s="16" t="n">
        <f aca="false">J7382</f>
        <v>78.61</v>
      </c>
    </row>
    <row r="7372" customFormat="false" ht="15" hidden="false" customHeight="false" outlineLevel="0" collapsed="false">
      <c r="A7372" s="3" t="s">
        <v>330</v>
      </c>
      <c r="G7372" s="21" t="n">
        <f aca="false">IF(G7218=Assumptions!$K$66,1,0)</f>
        <v>0</v>
      </c>
      <c r="H7372" s="21" t="n">
        <f aca="false">IF(H7218=Assumptions!$K$66,1,0)</f>
        <v>0</v>
      </c>
      <c r="I7372" s="21" t="n">
        <f aca="false">IF(I7218=Assumptions!$K$66,1,0)</f>
        <v>0</v>
      </c>
      <c r="J7372" s="21" t="n">
        <f aca="false">IF(J7218=Assumptions!$K$66,1,0)</f>
        <v>0</v>
      </c>
      <c r="K7372" s="21" t="n">
        <f aca="false">IF(K7218=Assumptions!$K$66,1,0)</f>
        <v>0</v>
      </c>
    </row>
    <row r="7374" customFormat="false" ht="15" hidden="false" customHeight="false" outlineLevel="0" collapsed="false">
      <c r="A7374" s="3" t="s">
        <v>331</v>
      </c>
      <c r="G7374" s="31" t="n">
        <f aca="false">IF(Assumptions!$I$66=1,MAX(G7244,Assumptions!$G$66)+Assumptions!$F$66+$C$7245,Assumptions!$E$66)</f>
        <v>0.0691</v>
      </c>
      <c r="H7374" s="31" t="n">
        <f aca="false">IF(G7573=1,$C$7246,IF(Assumptions!$I$66=1,MAX(H7244,Assumptions!$G$66)+Assumptions!$F$66+$C$7245,Assumptions!$E$66))</f>
        <v>0.0676</v>
      </c>
      <c r="I7374" s="31" t="n">
        <f aca="false">IF(H7573=1,$C$7246,IF(Assumptions!$I$66=1,MAX(I7244,Assumptions!$G$66)+Assumptions!$F$66+$C$7245,Assumptions!$E$66))</f>
        <v>0.0651</v>
      </c>
      <c r="J7374" s="31" t="n">
        <f aca="false">IF(I7573=1,$C$7246,IF(Assumptions!$I$66=1,MAX(J7244,Assumptions!$G$66)+Assumptions!$F$66+$C$7245,Assumptions!$E$66))</f>
        <v>0.0651</v>
      </c>
      <c r="K7374" s="31" t="n">
        <f aca="false">IF(J7573=1,$C$7246,IF(Assumptions!$I$66=1,MAX(K7244,Assumptions!$G$66)+Assumptions!$F$66+$C$7245,Assumptions!$E$66))</f>
        <v>0.0651</v>
      </c>
    </row>
    <row r="7375" customFormat="false" ht="15" hidden="false" customHeight="false" outlineLevel="0" collapsed="false">
      <c r="A7375" s="3" t="s">
        <v>332</v>
      </c>
      <c r="G7375" s="16" t="n">
        <f aca="false">G7371*G7374</f>
        <v>5.431951</v>
      </c>
      <c r="H7375" s="16" t="n">
        <f aca="false">H7371*H7374</f>
        <v>5.314036</v>
      </c>
      <c r="I7375" s="16" t="n">
        <f aca="false">I7371*I7374</f>
        <v>5.117511</v>
      </c>
      <c r="J7375" s="16" t="n">
        <f aca="false">J7371*J7374</f>
        <v>5.117511</v>
      </c>
      <c r="K7375" s="16" t="n">
        <f aca="false">K7371*K7374</f>
        <v>5.117511</v>
      </c>
    </row>
    <row r="7376" customFormat="false" ht="15" hidden="false" customHeight="false" outlineLevel="0" collapsed="false">
      <c r="A7376" s="3" t="s">
        <v>333</v>
      </c>
      <c r="G7376" s="16" t="n">
        <f aca="false">G7371*Assumptions!$H$66</f>
        <v>0</v>
      </c>
      <c r="H7376" s="16" t="n">
        <f aca="false">H7371*Assumptions!$H$66</f>
        <v>0</v>
      </c>
      <c r="I7376" s="16" t="n">
        <f aca="false">I7371*Assumptions!$H$66</f>
        <v>0</v>
      </c>
      <c r="J7376" s="16" t="n">
        <f aca="false">J7371*Assumptions!$H$66</f>
        <v>0</v>
      </c>
      <c r="K7376" s="16" t="n">
        <f aca="false">K7371*Assumptions!$H$66</f>
        <v>0</v>
      </c>
    </row>
    <row r="7377" customFormat="false" ht="15" hidden="false" customHeight="false" outlineLevel="0" collapsed="false">
      <c r="A7377" s="3" t="s">
        <v>334</v>
      </c>
      <c r="G7377" s="16" t="n">
        <f aca="false">MIN(G7371,Assumptions!$L$66*Assumptions!$C$66)</f>
        <v>0</v>
      </c>
      <c r="H7377" s="16" t="n">
        <f aca="false">MIN(H7371,Assumptions!$L$66*Assumptions!$C$66)</f>
        <v>0</v>
      </c>
      <c r="I7377" s="16" t="n">
        <f aca="false">MIN(I7371,Assumptions!$L$66*Assumptions!$C$66)</f>
        <v>0</v>
      </c>
      <c r="J7377" s="16" t="n">
        <f aca="false">MIN(J7371,Assumptions!$L$66*Assumptions!$C$66)</f>
        <v>0</v>
      </c>
      <c r="K7377" s="16" t="n">
        <f aca="false">MIN(K7371,Assumptions!$L$66*Assumptions!$C$66)</f>
        <v>0</v>
      </c>
    </row>
    <row r="7378" customFormat="false" ht="15" hidden="false" customHeight="false" outlineLevel="0" collapsed="false">
      <c r="A7378" s="3" t="s">
        <v>335</v>
      </c>
      <c r="G7378" s="16" t="n">
        <f aca="false">IF(AND(Assumptions!$P$66=1,G7218&lt;Assumptions!$K$66),MIN(MAX(0,-G7434),MAX(0,Assumptions!$D$66-G7371)),0)</f>
        <v>0</v>
      </c>
      <c r="H7378" s="16" t="n">
        <f aca="false">IF(AND(Assumptions!$P$66=1,OR(H7218&lt;Assumptions!$K$66,G7573=1)),MIN(MAX(0,-H7434),MAX(0,Assumptions!$D$66-H7371)),0)</f>
        <v>0</v>
      </c>
      <c r="I7378" s="16" t="n">
        <f aca="false">IF(AND(Assumptions!$P$66=1,OR(I7218&lt;Assumptions!$K$66,H7573=1)),MIN(MAX(0,-I7434),MAX(0,Assumptions!$D$66-I7371)),0)</f>
        <v>0</v>
      </c>
      <c r="J7378" s="16" t="n">
        <f aca="false">IF(AND(Assumptions!$P$66=1,OR(J7218&lt;Assumptions!$K$66,I7573=1)),MIN(MAX(0,-J7434),MAX(0,Assumptions!$D$66-J7371)),0)</f>
        <v>0</v>
      </c>
      <c r="K7378" s="16" t="n">
        <f aca="false">IF(AND(Assumptions!$P$66=1,OR(K7218&lt;Assumptions!$K$66,J7573=1)),MIN(MAX(0,-K7434),MAX(0,Assumptions!$D$66-K7371)),0)</f>
        <v>0</v>
      </c>
    </row>
    <row r="7379" customFormat="false" ht="15" hidden="false" customHeight="false" outlineLevel="0" collapsed="false">
      <c r="A7379" s="3" t="s">
        <v>336</v>
      </c>
      <c r="G7379" s="16" t="n">
        <f aca="false">G7372*MIN(G7371-G7377+G7376,MAX(0,G7436-Assumptions!$C$12*G7252-G7262-G7275-G7288-G7301-G7314-G7327-G7340-G7353-G7366))</f>
        <v>0</v>
      </c>
      <c r="H7379" s="16" t="n">
        <f aca="false">H7372*MIN(H7371-H7377+H7376,MAX(0,H7436-Assumptions!$C$12*H7252-H7262-H7275-H7288-H7301-H7314-H7327-H7340-H7353-H7366))</f>
        <v>0</v>
      </c>
      <c r="I7379" s="16" t="n">
        <f aca="false">I7372*MIN(I7371-I7377+I7376,MAX(0,I7436-Assumptions!$C$12*I7252-I7262-I7275-I7288-I7301-I7314-I7327-I7340-I7353-I7366))</f>
        <v>0</v>
      </c>
      <c r="J7379" s="16" t="n">
        <f aca="false">J7372*MIN(J7371-J7377+J7376,MAX(0,J7436-Assumptions!$C$12*J7252-J7262-J7275-J7288-J7301-J7314-J7327-J7340-J7353-J7366))</f>
        <v>0</v>
      </c>
      <c r="K7379" s="16" t="n">
        <f aca="false">K7372*MIN(K7371-K7377+K7376,MAX(0,K7436-Assumptions!$C$12*K7252-K7262-K7275-K7288-K7301-K7314-K7327-K7340-K7353-K7366))</f>
        <v>0</v>
      </c>
    </row>
    <row r="7380" customFormat="false" ht="15" hidden="false" customHeight="false" outlineLevel="0" collapsed="false">
      <c r="A7380" s="3" t="s">
        <v>337</v>
      </c>
      <c r="G7380" s="16" t="n">
        <f aca="false">Assumptions!$N$66*MIN(G7371+G7378+G7376-G7377-G7379,MAX(0,G7440-G7263-G7276-G7289-G7302-G7315-G7328-G7341-G7354-G7367))</f>
        <v>0</v>
      </c>
      <c r="H7380" s="16" t="n">
        <f aca="false">Assumptions!$N$66*MIN(H7371+H7378+H7376-H7377-H7379,MAX(0,H7440-H7263-H7276-H7289-H7302-H7315-H7328-H7341-H7354-H7367))</f>
        <v>0</v>
      </c>
      <c r="I7380" s="16" t="n">
        <f aca="false">Assumptions!$N$66*MIN(I7371+I7378+I7376-I7377-I7379,MAX(0,I7440-I7263-I7276-I7289-I7302-I7315-I7328-I7341-I7354-I7367))</f>
        <v>0</v>
      </c>
      <c r="J7380" s="16" t="n">
        <f aca="false">Assumptions!$N$66*MIN(J7371+J7378+J7376-J7377-J7379,MAX(0,J7440-J7263-J7276-J7289-J7302-J7315-J7328-J7341-J7354-J7367))</f>
        <v>0</v>
      </c>
      <c r="K7380" s="16" t="n">
        <f aca="false">Assumptions!$N$66*MIN(K7371+K7378+K7376-K7377-K7379,MAX(0,K7440-K7263-K7276-K7289-K7302-K7315-K7328-K7341-K7354-K7367))</f>
        <v>0</v>
      </c>
    </row>
    <row r="7381" customFormat="false" ht="15" hidden="false" customHeight="false" outlineLevel="0" collapsed="false">
      <c r="A7381" s="3" t="s">
        <v>338</v>
      </c>
      <c r="G7381" s="16" t="n">
        <f aca="false">G7372*(1-G7252)*(G7371-G7377+G7376-G7379)</f>
        <v>0</v>
      </c>
      <c r="H7381" s="16" t="n">
        <f aca="false">H7372*(1-H7252)*(H7371-H7377+H7376-H7379)</f>
        <v>0</v>
      </c>
      <c r="I7381" s="16" t="n">
        <f aca="false">I7372*(1-I7252)*(I7371-I7377+I7376-I7379)</f>
        <v>0</v>
      </c>
      <c r="J7381" s="16" t="n">
        <f aca="false">J7372*(1-J7252)*(J7371-J7377+J7376-J7379)</f>
        <v>0</v>
      </c>
      <c r="K7381" s="16" t="n">
        <f aca="false">K7372*(1-K7252)*(K7371-K7377+K7376-K7379)</f>
        <v>0</v>
      </c>
    </row>
    <row r="7382" customFormat="false" ht="15" hidden="false" customHeight="false" outlineLevel="0" collapsed="false">
      <c r="A7382" s="2" t="s">
        <v>339</v>
      </c>
      <c r="F7382" s="28" t="n">
        <f aca="false">Assumptions!$C$66</f>
        <v>78.61</v>
      </c>
      <c r="G7382" s="17" t="n">
        <f aca="false">G7371+G7378+G7376-G7377-G7379-G7380</f>
        <v>78.61</v>
      </c>
      <c r="H7382" s="17" t="n">
        <f aca="false">H7371+H7378+H7376-H7377-H7379-H7380</f>
        <v>78.61</v>
      </c>
      <c r="I7382" s="17" t="n">
        <f aca="false">I7371+I7378+I7376-I7377-I7379-I7380</f>
        <v>78.61</v>
      </c>
      <c r="J7382" s="17" t="n">
        <f aca="false">J7371+J7378+J7376-J7377-J7379-J7380</f>
        <v>78.61</v>
      </c>
      <c r="K7382" s="17" t="n">
        <f aca="false">K7371+K7378+K7376-K7377-K7379-K7380</f>
        <v>78.61</v>
      </c>
    </row>
    <row r="7383" customFormat="false" ht="15" hidden="false" customHeight="false" outlineLevel="0" collapsed="false">
      <c r="A7383" s="24" t="s">
        <v>349</v>
      </c>
      <c r="B7383" s="25"/>
      <c r="C7383" s="25"/>
      <c r="D7383" s="25"/>
      <c r="E7383" s="25"/>
      <c r="F7383" s="25"/>
      <c r="G7383" s="25"/>
      <c r="H7383" s="25"/>
      <c r="I7383" s="25"/>
      <c r="J7383" s="25"/>
      <c r="K7383" s="25"/>
    </row>
    <row r="7384" customFormat="false" ht="15" hidden="false" customHeight="false" outlineLevel="0" collapsed="false">
      <c r="A7384" s="2" t="s">
        <v>350</v>
      </c>
      <c r="F7384" s="17" t="n">
        <f aca="false">F7265+F7278+F7291+F7304+F7317+F7330+F7343+F7356+F7369+F7382</f>
        <v>2625.934</v>
      </c>
      <c r="G7384" s="17" t="n">
        <f aca="false">G7265+G7278+G7291+G7304+G7317+G7330+G7343+G7356+G7369+G7382</f>
        <v>2621.934</v>
      </c>
      <c r="H7384" s="17" t="n">
        <f aca="false">H7265+H7278+H7291+H7304+H7317+H7330+H7343+H7356+H7369+H7382</f>
        <v>2550.925652405</v>
      </c>
      <c r="I7384" s="17" t="n">
        <f aca="false">I7265+I7278+I7291+I7304+I7317+I7330+I7343+I7356+I7369+I7382</f>
        <v>2546.925652405</v>
      </c>
      <c r="J7384" s="17" t="n">
        <f aca="false">J7265+J7278+J7291+J7304+J7317+J7330+J7343+J7356+J7369+J7382</f>
        <v>2542.925652405</v>
      </c>
      <c r="K7384" s="17" t="n">
        <f aca="false">K7265+K7278+K7291+K7304+K7317+K7330+K7343+K7356+K7369+K7382</f>
        <v>2538.925652405</v>
      </c>
    </row>
    <row r="7385" customFormat="false" ht="15" hidden="false" customHeight="false" outlineLevel="0" collapsed="false">
      <c r="A7385" s="3" t="s">
        <v>351</v>
      </c>
      <c r="G7385" s="16" t="n">
        <f aca="false">G7255*Assumptions!$C$57+G7268*Assumptions!$C$58+G7281*Assumptions!$C$59+G7294*Assumptions!$C$60+G7307*Assumptions!$C$61+G7320*Assumptions!$C$62+G7333*Assumptions!$C$63+G7346*Assumptions!$C$64+G7359*Assumptions!$C$65+G7372*Assumptions!$C$66</f>
        <v>0</v>
      </c>
      <c r="H7385" s="16" t="n">
        <f aca="false">H7255*Assumptions!$C$57+H7268*Assumptions!$C$58+H7281*Assumptions!$C$59+H7294*Assumptions!$C$60+H7307*Assumptions!$C$61+H7320*Assumptions!$C$62+H7333*Assumptions!$C$63+H7346*Assumptions!$C$64+H7359*Assumptions!$C$65+H7372*Assumptions!$C$66</f>
        <v>800</v>
      </c>
      <c r="I7385" s="16" t="n">
        <f aca="false">I7255*Assumptions!$C$57+I7268*Assumptions!$C$58+I7281*Assumptions!$C$59+I7294*Assumptions!$C$60+I7307*Assumptions!$C$61+I7320*Assumptions!$C$62+I7333*Assumptions!$C$63+I7346*Assumptions!$C$64+I7359*Assumptions!$C$65+I7372*Assumptions!$C$66</f>
        <v>550</v>
      </c>
      <c r="J7385" s="16" t="n">
        <f aca="false">J7255*Assumptions!$C$57+J7268*Assumptions!$C$58+J7281*Assumptions!$C$59+J7294*Assumptions!$C$60+J7307*Assumptions!$C$61+J7320*Assumptions!$C$62+J7333*Assumptions!$C$63+J7346*Assumptions!$C$64+J7359*Assumptions!$C$65+J7372*Assumptions!$C$66</f>
        <v>350</v>
      </c>
      <c r="K7385" s="16" t="n">
        <f aca="false">K7255*Assumptions!$C$57+K7268*Assumptions!$C$58+K7281*Assumptions!$C$59+K7294*Assumptions!$C$60+K7307*Assumptions!$C$61+K7320*Assumptions!$C$62+K7333*Assumptions!$C$63+K7346*Assumptions!$C$64+K7359*Assumptions!$C$65+K7372*Assumptions!$C$66</f>
        <v>700</v>
      </c>
    </row>
    <row r="7386" customFormat="false" ht="15" hidden="false" customHeight="false" outlineLevel="0" collapsed="false">
      <c r="A7386" s="24" t="s">
        <v>352</v>
      </c>
      <c r="B7386" s="25"/>
      <c r="C7386" s="25"/>
      <c r="D7386" s="25"/>
      <c r="E7386" s="25"/>
      <c r="F7386" s="25"/>
      <c r="G7386" s="25"/>
      <c r="H7386" s="25"/>
      <c r="I7386" s="25"/>
      <c r="J7386" s="25"/>
      <c r="K7386" s="25"/>
    </row>
    <row r="7387" customFormat="false" ht="15" hidden="false" customHeight="false" outlineLevel="0" collapsed="false">
      <c r="A7387" s="3" t="s">
        <v>353</v>
      </c>
      <c r="C7387" s="16" t="n">
        <f aca="false">SUMPRODUCT($G$7255:$K$7255,$G$7254:$K$7254-$G$7260:$K$7260+$G$7259:$K$7259)</f>
        <v>380</v>
      </c>
    </row>
    <row r="7388" customFormat="false" ht="15" hidden="false" customHeight="false" outlineLevel="0" collapsed="false">
      <c r="A7388" s="3" t="s">
        <v>354</v>
      </c>
      <c r="C7388" s="16" t="n">
        <f aca="false">SUMPRODUCT($G$7255:$K$7255,$G$7262:$K$7262)</f>
        <v>0</v>
      </c>
    </row>
    <row r="7389" customFormat="false" ht="15" hidden="false" customHeight="false" outlineLevel="0" collapsed="false">
      <c r="A7389" s="3" t="s">
        <v>355</v>
      </c>
      <c r="C7389" s="3" t="str">
        <f aca="false">IF(SUM($G$7255:$K$7255)=0,"n/a (beyond horizon)",IF(SUMPRODUCT($G$7255:$K$7255,$G$7252:$K$7252)&gt;0,"REFINANCING PASS","REFINANCING FAILURE"))</f>
        <v>REFINANCING FAILURE</v>
      </c>
    </row>
    <row r="7390" customFormat="false" ht="15" hidden="false" customHeight="false" outlineLevel="0" collapsed="false">
      <c r="A7390" s="3" t="s">
        <v>356</v>
      </c>
      <c r="C7390" s="3" t="str">
        <f aca="false">IF(SUM($G$7255:$K$7255)=0,"n/a",IF(C7388&gt;=C7387-0.001,"Repaid from cash",IF(SUMPRODUCT($G$7255:$K$7255,$G$7252:$K$7252)&gt;0,IF(C7388&gt;0,"Partly repaid; remainder refinanced","Refinanced"),IF(SUM($G$7264:$K$7264)&gt;0.001,IF(C7388&gt;0,"Partial repayment; PAYMENT DEFAULT","PAYMENT DEFAULT"),"Repaid from cash"))))</f>
        <v>PAYMENT DEFAULT</v>
      </c>
    </row>
    <row r="7391" customFormat="false" ht="15" hidden="false" customHeight="false" outlineLevel="0" collapsed="false">
      <c r="A7391" s="3" t="s">
        <v>357</v>
      </c>
      <c r="C7391" s="16" t="n">
        <f aca="false">SUMPRODUCT($G$7268:$K$7268,$G$7267:$K$7267-$G$7273:$K$7273+$G$7272:$K$7272)</f>
        <v>0</v>
      </c>
    </row>
    <row r="7392" customFormat="false" ht="15" hidden="false" customHeight="false" outlineLevel="0" collapsed="false">
      <c r="A7392" s="3" t="s">
        <v>358</v>
      </c>
      <c r="C7392" s="16" t="n">
        <f aca="false">SUMPRODUCT($G$7268:$K$7268,$G$7275:$K$7275)</f>
        <v>0</v>
      </c>
    </row>
    <row r="7393" customFormat="false" ht="15" hidden="false" customHeight="false" outlineLevel="0" collapsed="false">
      <c r="A7393" s="3" t="s">
        <v>359</v>
      </c>
      <c r="C7393" s="3" t="str">
        <f aca="false">IF(SUM($G$7268:$K$7268)=0,"n/a (beyond horizon)",IF(SUMPRODUCT($G$7268:$K$7268,$G$7252:$K$7252)&gt;0,"REFINANCING PASS","REFINANCING FAILURE"))</f>
        <v>n/a (beyond horizon)</v>
      </c>
    </row>
    <row r="7394" customFormat="false" ht="15" hidden="false" customHeight="false" outlineLevel="0" collapsed="false">
      <c r="A7394" s="3" t="s">
        <v>360</v>
      </c>
      <c r="C7394" s="3" t="str">
        <f aca="false">IF(SUM($G$7268:$K$7268)=0,"n/a",IF(C7392&gt;=C7391-0.001,"Repaid from cash",IF(SUMPRODUCT($G$7268:$K$7268,$G$7252:$K$7252)&gt;0,IF(C7392&gt;0,"Partly repaid; remainder refinanced","Refinanced"),IF(SUM($G$7277:$K$7277)&gt;0.001,IF(C7392&gt;0,"Partial repayment; PAYMENT DEFAULT","PAYMENT DEFAULT"),"Repaid from cash"))))</f>
        <v>n/a</v>
      </c>
    </row>
    <row r="7395" customFormat="false" ht="15" hidden="false" customHeight="false" outlineLevel="0" collapsed="false">
      <c r="A7395" s="3" t="s">
        <v>361</v>
      </c>
      <c r="C7395" s="16" t="n">
        <f aca="false">SUMPRODUCT($G$7281:$K$7281,$G$7280:$K$7280-$G$7286:$K$7286+$G$7285:$K$7285)</f>
        <v>0</v>
      </c>
    </row>
    <row r="7396" customFormat="false" ht="15" hidden="false" customHeight="false" outlineLevel="0" collapsed="false">
      <c r="A7396" s="3" t="s">
        <v>362</v>
      </c>
      <c r="C7396" s="16" t="n">
        <f aca="false">SUMPRODUCT($G$7281:$K$7281,$G$7288:$K$7288)</f>
        <v>0</v>
      </c>
    </row>
    <row r="7397" customFormat="false" ht="15" hidden="false" customHeight="false" outlineLevel="0" collapsed="false">
      <c r="A7397" s="3" t="s">
        <v>363</v>
      </c>
      <c r="C7397" s="3" t="str">
        <f aca="false">IF(SUM($G$7281:$K$7281)=0,"n/a (beyond horizon)",IF(SUMPRODUCT($G$7281:$K$7281,$G$7252:$K$7252)&gt;0,"REFINANCING PASS","REFINANCING FAILURE"))</f>
        <v>n/a (beyond horizon)</v>
      </c>
    </row>
    <row r="7398" customFormat="false" ht="15" hidden="false" customHeight="false" outlineLevel="0" collapsed="false">
      <c r="A7398" s="3" t="s">
        <v>364</v>
      </c>
      <c r="C7398" s="3" t="str">
        <f aca="false">IF(SUM($G$7281:$K$7281)=0,"n/a",IF(C7396&gt;=C7395-0.001,"Repaid from cash",IF(SUMPRODUCT($G$7281:$K$7281,$G$7252:$K$7252)&gt;0,IF(C7396&gt;0,"Partly repaid; remainder refinanced","Refinanced"),IF(SUM($G$7290:$K$7290)&gt;0.001,IF(C7396&gt;0,"Partial repayment; PAYMENT DEFAULT","PAYMENT DEFAULT"),"Repaid from cash"))))</f>
        <v>n/a</v>
      </c>
    </row>
    <row r="7399" customFormat="false" ht="15" hidden="false" customHeight="false" outlineLevel="0" collapsed="false">
      <c r="A7399" s="3" t="s">
        <v>365</v>
      </c>
      <c r="C7399" s="16" t="n">
        <f aca="false">SUMPRODUCT($G$7294:$K$7294,$G$7293:$K$7293-$G$7299:$K$7299+$G$7298:$K$7298)</f>
        <v>0</v>
      </c>
    </row>
    <row r="7400" customFormat="false" ht="15" hidden="false" customHeight="false" outlineLevel="0" collapsed="false">
      <c r="A7400" s="3" t="s">
        <v>366</v>
      </c>
      <c r="C7400" s="16" t="n">
        <f aca="false">SUMPRODUCT($G$7294:$K$7294,$G$7301:$K$7301)</f>
        <v>0</v>
      </c>
    </row>
    <row r="7401" customFormat="false" ht="15" hidden="false" customHeight="false" outlineLevel="0" collapsed="false">
      <c r="A7401" s="3" t="s">
        <v>367</v>
      </c>
      <c r="C7401" s="3" t="str">
        <f aca="false">IF(SUM($G$7294:$K$7294)=0,"n/a (beyond horizon)",IF(SUMPRODUCT($G$7294:$K$7294,$G$7252:$K$7252)&gt;0,"REFINANCING PASS","REFINANCING FAILURE"))</f>
        <v>REFINANCING FAILURE</v>
      </c>
    </row>
    <row r="7402" customFormat="false" ht="15" hidden="false" customHeight="false" outlineLevel="0" collapsed="false">
      <c r="A7402" s="3" t="s">
        <v>368</v>
      </c>
      <c r="C7402" s="3" t="str">
        <f aca="false">IF(SUM($G$7294:$K$7294)=0,"n/a",IF(C7400&gt;=C7399-0.001,"Repaid from cash",IF(SUMPRODUCT($G$7294:$K$7294,$G$7252:$K$7252)&gt;0,IF(C7400&gt;0,"Partly repaid; remainder refinanced","Refinanced"),IF(SUM($G$7303:$K$7303)&gt;0.001,IF(C7400&gt;0,"Partial repayment; PAYMENT DEFAULT","PAYMENT DEFAULT"),"Repaid from cash"))))</f>
        <v>Repaid from cash</v>
      </c>
    </row>
    <row r="7403" customFormat="false" ht="15" hidden="false" customHeight="false" outlineLevel="0" collapsed="false">
      <c r="A7403" s="3" t="s">
        <v>369</v>
      </c>
      <c r="C7403" s="16" t="n">
        <f aca="false">SUMPRODUCT($G$7307:$K$7307,$G$7306:$K$7306-$G$7312:$K$7312+$G$7311:$K$7311)</f>
        <v>450</v>
      </c>
    </row>
    <row r="7404" customFormat="false" ht="15" hidden="false" customHeight="false" outlineLevel="0" collapsed="false">
      <c r="A7404" s="3" t="s">
        <v>370</v>
      </c>
      <c r="C7404" s="16" t="n">
        <f aca="false">SUMPRODUCT($G$7307:$K$7307,$G$7314:$K$7314)</f>
        <v>67.0083475950001</v>
      </c>
    </row>
    <row r="7405" customFormat="false" ht="15" hidden="false" customHeight="false" outlineLevel="0" collapsed="false">
      <c r="A7405" s="3" t="s">
        <v>371</v>
      </c>
      <c r="C7405" s="3" t="str">
        <f aca="false">IF(SUM($G$7307:$K$7307)=0,"n/a (beyond horizon)",IF(SUMPRODUCT($G$7307:$K$7307,$G$7252:$K$7252)&gt;0,"REFINANCING PASS","REFINANCING FAILURE"))</f>
        <v>REFINANCING FAILURE</v>
      </c>
    </row>
    <row r="7406" customFormat="false" ht="15" hidden="false" customHeight="false" outlineLevel="0" collapsed="false">
      <c r="A7406" s="3" t="s">
        <v>372</v>
      </c>
      <c r="C7406" s="3" t="str">
        <f aca="false">IF(SUM($G$7307:$K$7307)=0,"n/a",IF(C7404&gt;=C7403-0.001,"Repaid from cash",IF(SUMPRODUCT($G$7307:$K$7307,$G$7252:$K$7252)&gt;0,IF(C7404&gt;0,"Partly repaid; remainder refinanced","Refinanced"),IF(SUM($G$7316:$K$7316)&gt;0.001,IF(C7404&gt;0,"Partial repayment; PAYMENT DEFAULT","PAYMENT DEFAULT"),"Repaid from cash"))))</f>
        <v>Partial repayment; PAYMENT DEFAULT</v>
      </c>
    </row>
    <row r="7407" customFormat="false" ht="15" hidden="false" customHeight="false" outlineLevel="0" collapsed="false">
      <c r="A7407" s="3" t="s">
        <v>373</v>
      </c>
      <c r="C7407" s="16" t="n">
        <f aca="false">SUMPRODUCT($G$7320:$K$7320,$G$7319:$K$7319-$G$7325:$K$7325+$G$7324:$K$7324)</f>
        <v>350</v>
      </c>
    </row>
    <row r="7408" customFormat="false" ht="15" hidden="false" customHeight="false" outlineLevel="0" collapsed="false">
      <c r="A7408" s="3" t="s">
        <v>374</v>
      </c>
      <c r="C7408" s="16" t="n">
        <f aca="false">SUMPRODUCT($G$7320:$K$7320,$G$7327:$K$7327)</f>
        <v>0</v>
      </c>
    </row>
    <row r="7409" customFormat="false" ht="15" hidden="false" customHeight="false" outlineLevel="0" collapsed="false">
      <c r="A7409" s="3" t="s">
        <v>375</v>
      </c>
      <c r="C7409" s="3" t="str">
        <f aca="false">IF(SUM($G$7320:$K$7320)=0,"n/a (beyond horizon)",IF(SUMPRODUCT($G$7320:$K$7320,$G$7252:$K$7252)&gt;0,"REFINANCING PASS","REFINANCING FAILURE"))</f>
        <v>REFINANCING FAILURE</v>
      </c>
    </row>
    <row r="7410" customFormat="false" ht="15" hidden="false" customHeight="false" outlineLevel="0" collapsed="false">
      <c r="A7410" s="3" t="s">
        <v>376</v>
      </c>
      <c r="C7410" s="3" t="str">
        <f aca="false">IF(SUM($G$7320:$K$7320)=0,"n/a",IF(C7408&gt;=C7407-0.001,"Repaid from cash",IF(SUMPRODUCT($G$7320:$K$7320,$G$7252:$K$7252)&gt;0,IF(C7408&gt;0,"Partly repaid; remainder refinanced","Refinanced"),IF(SUM($G$7329:$K$7329)&gt;0.001,IF(C7408&gt;0,"Partial repayment; PAYMENT DEFAULT","PAYMENT DEFAULT"),"Repaid from cash"))))</f>
        <v>PAYMENT DEFAULT</v>
      </c>
    </row>
    <row r="7411" customFormat="false" ht="15" hidden="false" customHeight="false" outlineLevel="0" collapsed="false">
      <c r="A7411" s="3" t="s">
        <v>377</v>
      </c>
      <c r="C7411" s="16" t="n">
        <f aca="false">SUMPRODUCT($G$7333:$K$7333,$G$7332:$K$7332-$G$7338:$K$7338+$G$7337:$K$7337)</f>
        <v>550</v>
      </c>
    </row>
    <row r="7412" customFormat="false" ht="15" hidden="false" customHeight="false" outlineLevel="0" collapsed="false">
      <c r="A7412" s="3" t="s">
        <v>378</v>
      </c>
      <c r="C7412" s="16" t="n">
        <f aca="false">SUMPRODUCT($G$7333:$K$7333,$G$7340:$K$7340)</f>
        <v>0</v>
      </c>
    </row>
    <row r="7413" customFormat="false" ht="15" hidden="false" customHeight="false" outlineLevel="0" collapsed="false">
      <c r="A7413" s="3" t="s">
        <v>379</v>
      </c>
      <c r="C7413" s="3" t="str">
        <f aca="false">IF(SUM($G$7333:$K$7333)=0,"n/a (beyond horizon)",IF(SUMPRODUCT($G$7333:$K$7333,$G$7252:$K$7252)&gt;0,"REFINANCING PASS","REFINANCING FAILURE"))</f>
        <v>REFINANCING FAILURE</v>
      </c>
    </row>
    <row r="7414" customFormat="false" ht="15" hidden="false" customHeight="false" outlineLevel="0" collapsed="false">
      <c r="A7414" s="3" t="s">
        <v>380</v>
      </c>
      <c r="C7414" s="3" t="str">
        <f aca="false">IF(SUM($G$7333:$K$7333)=0,"n/a",IF(C7412&gt;=C7411-0.001,"Repaid from cash",IF(SUMPRODUCT($G$7333:$K$7333,$G$7252:$K$7252)&gt;0,IF(C7412&gt;0,"Partly repaid; remainder refinanced","Refinanced"),IF(SUM($G$7342:$K$7342)&gt;0.001,IF(C7412&gt;0,"Partial repayment; PAYMENT DEFAULT","PAYMENT DEFAULT"),"Repaid from cash"))))</f>
        <v>PAYMENT DEFAULT</v>
      </c>
    </row>
    <row r="7415" customFormat="false" ht="15" hidden="false" customHeight="false" outlineLevel="0" collapsed="false">
      <c r="A7415" s="3" t="s">
        <v>381</v>
      </c>
      <c r="C7415" s="16" t="n">
        <f aca="false">SUMPRODUCT($G$7346:$K$7346,$G$7345:$K$7345-$G$7351:$K$7351+$G$7350:$K$7350)</f>
        <v>350</v>
      </c>
    </row>
    <row r="7416" customFormat="false" ht="15" hidden="false" customHeight="false" outlineLevel="0" collapsed="false">
      <c r="A7416" s="3" t="s">
        <v>382</v>
      </c>
      <c r="C7416" s="16" t="n">
        <f aca="false">SUMPRODUCT($G$7346:$K$7346,$G$7353:$K$7353)</f>
        <v>0</v>
      </c>
    </row>
    <row r="7417" customFormat="false" ht="15" hidden="false" customHeight="false" outlineLevel="0" collapsed="false">
      <c r="A7417" s="3" t="s">
        <v>383</v>
      </c>
      <c r="C7417" s="3" t="str">
        <f aca="false">IF(SUM($G$7346:$K$7346)=0,"n/a (beyond horizon)",IF(SUMPRODUCT($G$7346:$K$7346,$G$7252:$K$7252)&gt;0,"REFINANCING PASS","REFINANCING FAILURE"))</f>
        <v>REFINANCING FAILURE</v>
      </c>
    </row>
    <row r="7418" customFormat="false" ht="15" hidden="false" customHeight="false" outlineLevel="0" collapsed="false">
      <c r="A7418" s="3" t="s">
        <v>384</v>
      </c>
      <c r="C7418" s="3" t="str">
        <f aca="false">IF(SUM($G$7346:$K$7346)=0,"n/a",IF(C7416&gt;=C7415-0.001,"Repaid from cash",IF(SUMPRODUCT($G$7346:$K$7346,$G$7252:$K$7252)&gt;0,IF(C7416&gt;0,"Partly repaid; remainder refinanced","Refinanced"),IF(SUM($G$7355:$K$7355)&gt;0.001,IF(C7416&gt;0,"Partial repayment; PAYMENT DEFAULT","PAYMENT DEFAULT"),"Repaid from cash"))))</f>
        <v>PAYMENT DEFAULT</v>
      </c>
    </row>
    <row r="7419" customFormat="false" ht="15" hidden="false" customHeight="false" outlineLevel="0" collapsed="false">
      <c r="A7419" s="3" t="s">
        <v>385</v>
      </c>
      <c r="C7419" s="16" t="n">
        <f aca="false">SUMPRODUCT($G$7359:$K$7359,$G$7358:$K$7358-$G$7364:$K$7364+$G$7363:$K$7363)</f>
        <v>300</v>
      </c>
    </row>
    <row r="7420" customFormat="false" ht="15" hidden="false" customHeight="false" outlineLevel="0" collapsed="false">
      <c r="A7420" s="3" t="s">
        <v>386</v>
      </c>
      <c r="C7420" s="16" t="n">
        <f aca="false">SUMPRODUCT($G$7359:$K$7359,$G$7366:$K$7366)</f>
        <v>0</v>
      </c>
    </row>
    <row r="7421" customFormat="false" ht="15" hidden="false" customHeight="false" outlineLevel="0" collapsed="false">
      <c r="A7421" s="3" t="s">
        <v>387</v>
      </c>
      <c r="C7421" s="3" t="str">
        <f aca="false">IF(SUM($G$7359:$K$7359)=0,"n/a (beyond horizon)",IF(SUMPRODUCT($G$7359:$K$7359,$G$7252:$K$7252)&gt;0,"REFINANCING PASS","REFINANCING FAILURE"))</f>
        <v>REFINANCING FAILURE</v>
      </c>
    </row>
    <row r="7422" customFormat="false" ht="15" hidden="false" customHeight="false" outlineLevel="0" collapsed="false">
      <c r="A7422" s="3" t="s">
        <v>388</v>
      </c>
      <c r="C7422" s="3" t="str">
        <f aca="false">IF(SUM($G$7359:$K$7359)=0,"n/a",IF(C7420&gt;=C7419-0.001,"Repaid from cash",IF(SUMPRODUCT($G$7359:$K$7359,$G$7252:$K$7252)&gt;0,IF(C7420&gt;0,"Partly repaid; remainder refinanced","Refinanced"),IF(SUM($G$7368:$K$7368)&gt;0.001,IF(C7420&gt;0,"Partial repayment; PAYMENT DEFAULT","PAYMENT DEFAULT"),"Repaid from cash"))))</f>
        <v>PAYMENT DEFAULT</v>
      </c>
    </row>
    <row r="7423" customFormat="false" ht="15" hidden="false" customHeight="false" outlineLevel="0" collapsed="false">
      <c r="A7423" s="3" t="s">
        <v>389</v>
      </c>
      <c r="C7423" s="16" t="n">
        <f aca="false">SUMPRODUCT($G$7372:$K$7372,$G$7371:$K$7371-$G$7377:$K$7377+$G$7376:$K$7376)</f>
        <v>0</v>
      </c>
    </row>
    <row r="7424" customFormat="false" ht="15" hidden="false" customHeight="false" outlineLevel="0" collapsed="false">
      <c r="A7424" s="3" t="s">
        <v>390</v>
      </c>
      <c r="C7424" s="16" t="n">
        <f aca="false">SUMPRODUCT($G$7372:$K$7372,$G$7379:$K$7379)</f>
        <v>0</v>
      </c>
    </row>
    <row r="7425" customFormat="false" ht="15" hidden="false" customHeight="false" outlineLevel="0" collapsed="false">
      <c r="A7425" s="3" t="s">
        <v>391</v>
      </c>
      <c r="C7425" s="3" t="str">
        <f aca="false">IF(SUM($G$7372:$K$7372)=0,"n/a (beyond horizon)",IF(SUMPRODUCT($G$7372:$K$7372,$G$7252:$K$7252)&gt;0,"REFINANCING PASS","REFINANCING FAILURE"))</f>
        <v>n/a (beyond horizon)</v>
      </c>
    </row>
    <row r="7426" customFormat="false" ht="15" hidden="false" customHeight="false" outlineLevel="0" collapsed="false">
      <c r="A7426" s="3" t="s">
        <v>392</v>
      </c>
      <c r="C7426" s="3" t="str">
        <f aca="false">IF(SUM($G$7372:$K$7372)=0,"n/a",IF(C7424&gt;=C7423-0.001,"Repaid from cash",IF(SUMPRODUCT($G$7372:$K$7372,$G$7252:$K$7252)&gt;0,IF(C7424&gt;0,"Partly repaid; remainder refinanced","Refinanced"),IF(SUM($G$7381:$K$7381)&gt;0.001,IF(C7424&gt;0,"Partial repayment; PAYMENT DEFAULT","PAYMENT DEFAULT"),"Repaid from cash"))))</f>
        <v>n/a</v>
      </c>
    </row>
    <row r="7427" customFormat="false" ht="15" hidden="false" customHeight="false" outlineLevel="0" collapsed="false">
      <c r="A7427" s="3" t="s">
        <v>393</v>
      </c>
      <c r="C7427" s="21" t="n">
        <f aca="false">IF(C7389="REFINANCING FAILURE",1,0)+IF(C7393="REFINANCING FAILURE",1,0)+IF(C7397="REFINANCING FAILURE",1,0)+IF(C7401="REFINANCING FAILURE",1,0)+IF(C7405="REFINANCING FAILURE",1,0)+IF(C7409="REFINANCING FAILURE",1,0)+IF(C7413="REFINANCING FAILURE",1,0)+IF(C7417="REFINANCING FAILURE",1,0)+IF(C7421="REFINANCING FAILURE",1,0)+IF(C7425="REFINANCING FAILURE",1,0)</f>
        <v>7</v>
      </c>
    </row>
    <row r="7429" customFormat="false" ht="15" hidden="false" customHeight="false" outlineLevel="0" collapsed="false">
      <c r="A7429" s="24" t="s">
        <v>395</v>
      </c>
      <c r="B7429" s="25"/>
      <c r="C7429" s="25"/>
      <c r="D7429" s="25"/>
      <c r="E7429" s="25"/>
      <c r="F7429" s="25"/>
      <c r="G7429" s="25"/>
      <c r="H7429" s="25"/>
      <c r="I7429" s="25"/>
      <c r="J7429" s="25"/>
      <c r="K7429" s="25"/>
    </row>
    <row r="7430" customFormat="false" ht="15" hidden="false" customHeight="false" outlineLevel="0" collapsed="false">
      <c r="A7430" s="3" t="s">
        <v>325</v>
      </c>
      <c r="G7430" s="16" t="n">
        <f aca="false">F7442</f>
        <v>37.87</v>
      </c>
      <c r="H7430" s="16" t="n">
        <f aca="false">G7442</f>
        <v>132.3152912</v>
      </c>
      <c r="I7430" s="16" t="n">
        <f aca="false">H7442</f>
        <v>0</v>
      </c>
      <c r="J7430" s="16" t="n">
        <f aca="false">I7442</f>
        <v>-61.0635888749975</v>
      </c>
      <c r="K7430" s="16" t="n">
        <f aca="false">J7442</f>
        <v>-118.173312226355</v>
      </c>
    </row>
    <row r="7431" customFormat="false" ht="15" hidden="false" customHeight="false" outlineLevel="0" collapsed="false">
      <c r="A7431" s="3" t="s">
        <v>396</v>
      </c>
      <c r="G7431" s="16" t="n">
        <f aca="false">G7241</f>
        <v>-51.5547088</v>
      </c>
      <c r="H7431" s="16" t="n">
        <f aca="false">H7241</f>
        <v>-61.306943605</v>
      </c>
      <c r="I7431" s="16" t="n">
        <f aca="false">I7241</f>
        <v>-57.0635888749975</v>
      </c>
      <c r="J7431" s="16" t="n">
        <f aca="false">J7241</f>
        <v>-53.1097233513575</v>
      </c>
      <c r="K7431" s="16" t="n">
        <f aca="false">K7241</f>
        <v>-49.0974749149242</v>
      </c>
    </row>
    <row r="7432" customFormat="false" ht="15" hidden="false" customHeight="false" outlineLevel="0" collapsed="false">
      <c r="A7432" s="3" t="s">
        <v>397</v>
      </c>
      <c r="G7432" s="16" t="n">
        <f aca="false">CHOOSE($C$7211,Assumptions!$G$82,Assumptions!$G$101,Assumptions!$G$120)</f>
        <v>150</v>
      </c>
      <c r="H7432" s="16" t="n">
        <f aca="false">CHOOSE($C$7211,Assumptions!$H$82,Assumptions!$H$101,Assumptions!$H$120)</f>
        <v>0</v>
      </c>
      <c r="I7432" s="16" t="n">
        <f aca="false">CHOOSE($C$7211,Assumptions!$I$82,Assumptions!$I$101,Assumptions!$I$120)</f>
        <v>0</v>
      </c>
      <c r="J7432" s="16" t="n">
        <f aca="false">CHOOSE($C$7211,Assumptions!$J$82,Assumptions!$J$101,Assumptions!$J$120)</f>
        <v>0</v>
      </c>
      <c r="K7432" s="16" t="n">
        <f aca="false">CHOOSE($C$7211,Assumptions!$K$82,Assumptions!$K$101,Assumptions!$K$120)</f>
        <v>0</v>
      </c>
    </row>
    <row r="7433" customFormat="false" ht="15" hidden="false" customHeight="false" outlineLevel="0" collapsed="false">
      <c r="A7433" s="3" t="s">
        <v>398</v>
      </c>
      <c r="G7433" s="16" t="n">
        <f aca="false">G7260+G7273+G7286+G7299+G7312+G7325+G7338+G7351+G7364+G7377</f>
        <v>4</v>
      </c>
      <c r="H7433" s="16" t="n">
        <f aca="false">H7260+H7273+H7286+H7299+H7312+H7325+H7338+H7351+H7364+H7377</f>
        <v>4</v>
      </c>
      <c r="I7433" s="16" t="n">
        <f aca="false">I7260+I7273+I7286+I7299+I7312+I7325+I7338+I7351+I7364+I7377</f>
        <v>4</v>
      </c>
      <c r="J7433" s="16" t="n">
        <f aca="false">J7260+J7273+J7286+J7299+J7312+J7325+J7338+J7351+J7364+J7377</f>
        <v>4</v>
      </c>
      <c r="K7433" s="16" t="n">
        <f aca="false">K7260+K7273+K7286+K7299+K7312+K7325+K7338+K7351+K7364+K7377</f>
        <v>4</v>
      </c>
    </row>
    <row r="7434" customFormat="false" ht="15" hidden="false" customHeight="false" outlineLevel="0" collapsed="false">
      <c r="A7434" s="2" t="s">
        <v>399</v>
      </c>
      <c r="G7434" s="17" t="n">
        <f aca="false">G7430+G7431+G7432-G7433</f>
        <v>132.3152912</v>
      </c>
      <c r="H7434" s="17" t="n">
        <f aca="false">H7430+H7431+H7432-H7433</f>
        <v>67.0083475950001</v>
      </c>
      <c r="I7434" s="17" t="n">
        <f aca="false">I7430+I7431+I7432-I7433</f>
        <v>-61.0635888749975</v>
      </c>
      <c r="J7434" s="17" t="n">
        <f aca="false">J7430+J7431+J7432-J7433</f>
        <v>-118.173312226355</v>
      </c>
      <c r="K7434" s="17" t="n">
        <f aca="false">K7430+K7431+K7432-K7433</f>
        <v>-171.270787141279</v>
      </c>
    </row>
    <row r="7435" customFormat="false" ht="15" hidden="false" customHeight="false" outlineLevel="0" collapsed="false">
      <c r="A7435" s="3" t="s">
        <v>400</v>
      </c>
      <c r="G7435" s="16" t="n">
        <f aca="false">G7261+G7274+G7287+G7300+G7313+G7326+G7339+G7352+G7365+G7378</f>
        <v>0</v>
      </c>
      <c r="H7435" s="16" t="n">
        <f aca="false">H7261+H7274+H7287+H7300+H7313+H7326+H7339+H7352+H7365+H7378</f>
        <v>0</v>
      </c>
      <c r="I7435" s="16" t="n">
        <f aca="false">I7261+I7274+I7287+I7300+I7313+I7326+I7339+I7352+I7365+I7378</f>
        <v>0</v>
      </c>
      <c r="J7435" s="16" t="n">
        <f aca="false">J7261+J7274+J7287+J7300+J7313+J7326+J7339+J7352+J7365+J7378</f>
        <v>0</v>
      </c>
      <c r="K7435" s="16" t="n">
        <f aca="false">K7261+K7274+K7287+K7300+K7313+K7326+K7339+K7352+K7365+K7378</f>
        <v>0</v>
      </c>
    </row>
    <row r="7436" customFormat="false" ht="15" hidden="false" customHeight="false" outlineLevel="0" collapsed="false">
      <c r="A7436" s="2" t="s">
        <v>401</v>
      </c>
      <c r="G7436" s="17" t="n">
        <f aca="false">G7434+G7435</f>
        <v>132.3152912</v>
      </c>
      <c r="H7436" s="17" t="n">
        <f aca="false">H7434+H7435</f>
        <v>67.0083475950001</v>
      </c>
      <c r="I7436" s="17" t="n">
        <f aca="false">I7434+I7435</f>
        <v>-61.0635888749975</v>
      </c>
      <c r="J7436" s="17" t="n">
        <f aca="false">J7434+J7435</f>
        <v>-118.173312226355</v>
      </c>
      <c r="K7436" s="17" t="n">
        <f aca="false">K7434+K7435</f>
        <v>-171.270787141279</v>
      </c>
    </row>
    <row r="7437" customFormat="false" ht="15" hidden="false" customHeight="false" outlineLevel="0" collapsed="false">
      <c r="A7437" s="3" t="s">
        <v>402</v>
      </c>
      <c r="G7437" s="16" t="n">
        <f aca="false">G7262+G7275+G7288+G7301+G7314+G7327+G7340+G7353+G7366+G7379</f>
        <v>0</v>
      </c>
      <c r="H7437" s="16" t="n">
        <f aca="false">H7262+H7275+H7288+H7301+H7314+H7327+H7340+H7353+H7366+H7379</f>
        <v>67.0083475950001</v>
      </c>
      <c r="I7437" s="16" t="n">
        <f aca="false">I7262+I7275+I7288+I7301+I7314+I7327+I7340+I7353+I7366+I7379</f>
        <v>0</v>
      </c>
      <c r="J7437" s="16" t="n">
        <f aca="false">J7262+J7275+J7288+J7301+J7314+J7327+J7340+J7353+J7366+J7379</f>
        <v>0</v>
      </c>
      <c r="K7437" s="16" t="n">
        <f aca="false">K7262+K7275+K7288+K7301+K7314+K7327+K7340+K7353+K7366+K7379</f>
        <v>0</v>
      </c>
    </row>
    <row r="7438" customFormat="false" ht="15" hidden="false" customHeight="false" outlineLevel="0" collapsed="false">
      <c r="A7438" s="2" t="s">
        <v>403</v>
      </c>
      <c r="G7438" s="17" t="n">
        <f aca="false">G7436-G7437</f>
        <v>132.3152912</v>
      </c>
      <c r="H7438" s="17" t="n">
        <f aca="false">H7436-H7437</f>
        <v>0</v>
      </c>
      <c r="I7438" s="17" t="n">
        <f aca="false">I7436-I7437</f>
        <v>-61.0635888749975</v>
      </c>
      <c r="J7438" s="17" t="n">
        <f aca="false">J7436-J7437</f>
        <v>-118.173312226355</v>
      </c>
      <c r="K7438" s="17" t="n">
        <f aca="false">K7436-K7437</f>
        <v>-171.270787141279</v>
      </c>
    </row>
    <row r="7439" customFormat="false" ht="15" hidden="false" customHeight="false" outlineLevel="0" collapsed="false">
      <c r="A7439" s="3" t="s">
        <v>404</v>
      </c>
      <c r="G7439" s="16" t="n">
        <f aca="false">MAX(0,-G7438)</f>
        <v>0</v>
      </c>
      <c r="H7439" s="16" t="n">
        <f aca="false">MAX(0,-H7438)</f>
        <v>-0</v>
      </c>
      <c r="I7439" s="16" t="n">
        <f aca="false">MAX(0,-I7438)</f>
        <v>61.0635888749975</v>
      </c>
      <c r="J7439" s="16" t="n">
        <f aca="false">MAX(0,-J7438)</f>
        <v>118.173312226355</v>
      </c>
      <c r="K7439" s="16" t="n">
        <f aca="false">MAX(0,-K7438)</f>
        <v>171.270787141279</v>
      </c>
    </row>
    <row r="7440" customFormat="false" ht="15" hidden="false" customHeight="false" outlineLevel="0" collapsed="false">
      <c r="A7440" s="3" t="s">
        <v>405</v>
      </c>
      <c r="G7440" s="16" t="n">
        <f aca="false">MAX(0,G7438-Assumptions!$C$12)*Assumptions!$C$13</f>
        <v>0</v>
      </c>
      <c r="H7440" s="16" t="n">
        <f aca="false">MAX(0,H7438-Assumptions!$C$12)*Assumptions!$C$13</f>
        <v>0</v>
      </c>
      <c r="I7440" s="16" t="n">
        <f aca="false">MAX(0,I7438-Assumptions!$C$12)*Assumptions!$C$13</f>
        <v>0</v>
      </c>
      <c r="J7440" s="16" t="n">
        <f aca="false">MAX(0,J7438-Assumptions!$C$12)*Assumptions!$C$13</f>
        <v>0</v>
      </c>
      <c r="K7440" s="16" t="n">
        <f aca="false">MAX(0,K7438-Assumptions!$C$12)*Assumptions!$C$13</f>
        <v>0</v>
      </c>
    </row>
    <row r="7441" customFormat="false" ht="15" hidden="false" customHeight="false" outlineLevel="0" collapsed="false">
      <c r="A7441" s="3" t="s">
        <v>406</v>
      </c>
      <c r="G7441" s="16" t="n">
        <f aca="false">G7263+G7276+G7289+G7302+G7315+G7328+G7341+G7354+G7367+G7380</f>
        <v>0</v>
      </c>
      <c r="H7441" s="16" t="n">
        <f aca="false">H7263+H7276+H7289+H7302+H7315+H7328+H7341+H7354+H7367+H7380</f>
        <v>0</v>
      </c>
      <c r="I7441" s="16" t="n">
        <f aca="false">I7263+I7276+I7289+I7302+I7315+I7328+I7341+I7354+I7367+I7380</f>
        <v>0</v>
      </c>
      <c r="J7441" s="16" t="n">
        <f aca="false">J7263+J7276+J7289+J7302+J7315+J7328+J7341+J7354+J7367+J7380</f>
        <v>0</v>
      </c>
      <c r="K7441" s="16" t="n">
        <f aca="false">K7263+K7276+K7289+K7302+K7315+K7328+K7341+K7354+K7367+K7380</f>
        <v>0</v>
      </c>
    </row>
    <row r="7442" customFormat="false" ht="15" hidden="false" customHeight="false" outlineLevel="0" collapsed="false">
      <c r="A7442" s="2" t="s">
        <v>407</v>
      </c>
      <c r="F7442" s="28" t="n">
        <f aca="false">Assumptions!$C$11</f>
        <v>37.87</v>
      </c>
      <c r="G7442" s="17" t="n">
        <f aca="false">G7438-G7441</f>
        <v>132.3152912</v>
      </c>
      <c r="H7442" s="17" t="n">
        <f aca="false">H7438-H7441</f>
        <v>0</v>
      </c>
      <c r="I7442" s="17" t="n">
        <f aca="false">I7438-I7441</f>
        <v>-61.0635888749975</v>
      </c>
      <c r="J7442" s="17" t="n">
        <f aca="false">J7438-J7441</f>
        <v>-118.173312226355</v>
      </c>
      <c r="K7442" s="17" t="n">
        <f aca="false">K7438-K7441</f>
        <v>-171.270787141279</v>
      </c>
    </row>
    <row r="7443" customFormat="false" ht="15" hidden="false" customHeight="false" outlineLevel="0" collapsed="false">
      <c r="A7443" s="3" t="s">
        <v>408</v>
      </c>
      <c r="G7443" s="16" t="n">
        <f aca="false">G7264+G7277+G7290+G7303+G7316+G7329+G7342+G7355+G7368+G7381</f>
        <v>0</v>
      </c>
      <c r="H7443" s="16" t="n">
        <f aca="false">H7264+H7277+H7290+H7303+H7316+H7329+H7342+H7355+H7368+H7381</f>
        <v>732.991652405</v>
      </c>
      <c r="I7443" s="16" t="n">
        <f aca="false">I7264+I7277+I7290+I7303+I7316+I7329+I7342+I7355+I7368+I7381</f>
        <v>550</v>
      </c>
      <c r="J7443" s="16" t="n">
        <f aca="false">J7264+J7277+J7290+J7303+J7316+J7329+J7342+J7355+J7368+J7381</f>
        <v>350</v>
      </c>
      <c r="K7443" s="16" t="n">
        <f aca="false">K7264+K7277+K7290+K7303+K7316+K7329+K7342+K7355+K7368+K7381</f>
        <v>680</v>
      </c>
    </row>
    <row r="7444" customFormat="false" ht="15" hidden="false" customHeight="false" outlineLevel="0" collapsed="false">
      <c r="A7444" s="3" t="s">
        <v>409</v>
      </c>
      <c r="G7444" s="21" t="n">
        <f aca="false">IF(OR(G7439&gt;0.001,G7443&gt;0.001),1,0)</f>
        <v>0</v>
      </c>
      <c r="H7444" s="21" t="n">
        <f aca="false">IF(OR(H7439&gt;0.001,H7443&gt;0.001),1,0)</f>
        <v>1</v>
      </c>
      <c r="I7444" s="21" t="n">
        <f aca="false">IF(OR(I7439&gt;0.001,I7443&gt;0.001),1,0)</f>
        <v>1</v>
      </c>
      <c r="J7444" s="21" t="n">
        <f aca="false">IF(OR(J7439&gt;0.001,J7443&gt;0.001),1,0)</f>
        <v>1</v>
      </c>
      <c r="K7444" s="21" t="n">
        <f aca="false">IF(OR(K7439&gt;0.001,K7443&gt;0.001),1,0)</f>
        <v>1</v>
      </c>
    </row>
    <row r="7445" customFormat="false" ht="15" hidden="false" customHeight="false" outlineLevel="0" collapsed="false">
      <c r="A7445" s="3" t="s">
        <v>410</v>
      </c>
      <c r="G7445" s="21" t="n">
        <f aca="false">IF(G7444=1,1,0)</f>
        <v>0</v>
      </c>
      <c r="H7445" s="21" t="n">
        <f aca="false">IF(AND(H7444=1,SUM($G$7444:G7444)=0),1,0)</f>
        <v>1</v>
      </c>
      <c r="I7445" s="21" t="n">
        <f aca="false">IF(AND(I7444=1,SUM($G$7444:H7444)=0),1,0)</f>
        <v>0</v>
      </c>
      <c r="J7445" s="21" t="n">
        <f aca="false">IF(AND(J7444=1,SUM($G$7444:I7444)=0),1,0)</f>
        <v>0</v>
      </c>
      <c r="K7445" s="21" t="n">
        <f aca="false">IF(AND(K7444=1,SUM($G$7444:J7444)=0),1,0)</f>
        <v>0</v>
      </c>
    </row>
    <row r="7446" customFormat="false" ht="15" hidden="false" customHeight="false" outlineLevel="0" collapsed="false">
      <c r="A7446" s="3" t="s">
        <v>411</v>
      </c>
      <c r="G7446" s="16" t="n">
        <f aca="false">(G7384-F7384)-(G7435+G7233-G7433-G7437-G7441)</f>
        <v>0</v>
      </c>
      <c r="H7446" s="16" t="n">
        <f aca="false">(H7384-G7384)-(H7435+H7233-H7433-H7437-H7441)</f>
        <v>0</v>
      </c>
      <c r="I7446" s="16" t="n">
        <f aca="false">(I7384-H7384)-(I7435+I7233-I7433-I7437-I7441)</f>
        <v>0</v>
      </c>
      <c r="J7446" s="16" t="n">
        <f aca="false">(J7384-I7384)-(J7435+J7233-J7433-J7437-J7441)</f>
        <v>0</v>
      </c>
      <c r="K7446" s="16" t="n">
        <f aca="false">(K7384-J7384)-(K7435+K7233-K7433-K7437-K7441)</f>
        <v>0</v>
      </c>
    </row>
    <row r="7448" customFormat="false" ht="15" hidden="false" customHeight="false" outlineLevel="0" collapsed="false">
      <c r="A7448" s="24" t="s">
        <v>413</v>
      </c>
      <c r="B7448" s="25"/>
      <c r="C7448" s="25"/>
      <c r="D7448" s="25"/>
      <c r="E7448" s="25"/>
      <c r="F7448" s="25"/>
      <c r="G7448" s="25"/>
      <c r="H7448" s="25"/>
      <c r="I7448" s="25"/>
      <c r="J7448" s="25"/>
      <c r="K7448" s="25"/>
    </row>
    <row r="7449" customFormat="false" ht="15" hidden="false" customHeight="false" outlineLevel="0" collapsed="false">
      <c r="A7449" s="3" t="s">
        <v>414</v>
      </c>
      <c r="G7449" s="16" t="n">
        <f aca="false">G7384</f>
        <v>2621.934</v>
      </c>
      <c r="H7449" s="16" t="n">
        <f aca="false">H7384</f>
        <v>2550.925652405</v>
      </c>
      <c r="I7449" s="16" t="n">
        <f aca="false">I7384</f>
        <v>2546.925652405</v>
      </c>
      <c r="J7449" s="16" t="n">
        <f aca="false">J7384</f>
        <v>2542.925652405</v>
      </c>
      <c r="K7449" s="16" t="n">
        <f aca="false">K7384</f>
        <v>2538.925652405</v>
      </c>
    </row>
    <row r="7450" customFormat="false" ht="15" hidden="false" customHeight="false" outlineLevel="0" collapsed="false">
      <c r="A7450" s="3" t="s">
        <v>415</v>
      </c>
      <c r="G7450" s="16" t="n">
        <f aca="false">Assumptions!$O$57*G7265+Assumptions!$O$58*G7278+Assumptions!$O$59*G7291+Assumptions!$O$60*G7304+Assumptions!$O$61*G7317+Assumptions!$O$62*G7330+Assumptions!$O$63*G7343+Assumptions!$O$64*G7356+Assumptions!$O$65*G7369+Assumptions!$O$66*G7382</f>
        <v>543.324</v>
      </c>
      <c r="H7450" s="16" t="n">
        <f aca="false">Assumptions!$O$57*H7265+Assumptions!$O$58*H7278+Assumptions!$O$59*H7291+Assumptions!$O$60*H7304+Assumptions!$O$61*H7317+Assumptions!$O$62*H7330+Assumptions!$O$63*H7343+Assumptions!$O$64*H7356+Assumptions!$O$65*H7369+Assumptions!$O$66*H7382</f>
        <v>539.324</v>
      </c>
      <c r="I7450" s="16" t="n">
        <f aca="false">Assumptions!$O$57*I7265+Assumptions!$O$58*I7278+Assumptions!$O$59*I7291+Assumptions!$O$60*I7304+Assumptions!$O$61*I7317+Assumptions!$O$62*I7330+Assumptions!$O$63*I7343+Assumptions!$O$64*I7356+Assumptions!$O$65*I7369+Assumptions!$O$66*I7382</f>
        <v>535.324</v>
      </c>
      <c r="J7450" s="16" t="n">
        <f aca="false">Assumptions!$O$57*J7265+Assumptions!$O$58*J7278+Assumptions!$O$59*J7291+Assumptions!$O$60*J7304+Assumptions!$O$61*J7317+Assumptions!$O$62*J7330+Assumptions!$O$63*J7343+Assumptions!$O$64*J7356+Assumptions!$O$65*J7369+Assumptions!$O$66*J7382</f>
        <v>531.324</v>
      </c>
      <c r="K7450" s="16" t="n">
        <f aca="false">Assumptions!$O$57*K7265+Assumptions!$O$58*K7278+Assumptions!$O$59*K7291+Assumptions!$O$60*K7304+Assumptions!$O$61*K7317+Assumptions!$O$62*K7330+Assumptions!$O$63*K7343+Assumptions!$O$64*K7356+Assumptions!$O$65*K7369+Assumptions!$O$66*K7382</f>
        <v>527.324</v>
      </c>
    </row>
    <row r="7451" customFormat="false" ht="15" hidden="false" customHeight="false" outlineLevel="0" collapsed="false">
      <c r="A7451" s="3" t="s">
        <v>416</v>
      </c>
      <c r="G7451" s="16" t="n">
        <f aca="false">G7449-G7442</f>
        <v>2489.6187088</v>
      </c>
      <c r="H7451" s="16" t="n">
        <f aca="false">H7449-H7442</f>
        <v>2550.925652405</v>
      </c>
      <c r="I7451" s="16" t="n">
        <f aca="false">I7449-I7442</f>
        <v>2607.98924128</v>
      </c>
      <c r="J7451" s="16" t="n">
        <f aca="false">J7449-J7442</f>
        <v>2661.09896463136</v>
      </c>
      <c r="K7451" s="16" t="n">
        <f aca="false">K7449-K7442</f>
        <v>2710.19643954628</v>
      </c>
    </row>
    <row r="7452" customFormat="false" ht="15" hidden="false" customHeight="false" outlineLevel="0" collapsed="false">
      <c r="A7452" s="3" t="s">
        <v>417</v>
      </c>
      <c r="G7452" s="32" t="n">
        <f aca="false">IF(G7228&gt;0,G7449/G7228,0)</f>
        <v>10.7648384075296</v>
      </c>
      <c r="H7452" s="32" t="n">
        <f aca="false">IF(H7228&gt;0,H7449/H7228,0)</f>
        <v>11.117926331148</v>
      </c>
      <c r="I7452" s="32" t="n">
        <f aca="false">IF(I7228&gt;0,I7449/I7228,0)</f>
        <v>11.1004927751043</v>
      </c>
      <c r="J7452" s="32" t="n">
        <f aca="false">IF(J7228&gt;0,J7449/J7228,0)</f>
        <v>10.8657443324123</v>
      </c>
      <c r="K7452" s="32" t="n">
        <f aca="false">IF(K7228&gt;0,K7449/K7228,0)</f>
        <v>10.6369563231922</v>
      </c>
    </row>
    <row r="7453" customFormat="false" ht="15" hidden="false" customHeight="false" outlineLevel="0" collapsed="false">
      <c r="A7453" s="3" t="s">
        <v>418</v>
      </c>
      <c r="G7453" s="32" t="n">
        <f aca="false">IF(G7228&gt;0,G7451/G7228,0)</f>
        <v>10.2215933340025</v>
      </c>
      <c r="H7453" s="32" t="n">
        <f aca="false">IF(H7228&gt;0,H7451/H7228,0)</f>
        <v>11.117926331148</v>
      </c>
      <c r="I7453" s="32" t="n">
        <f aca="false">IF(I7228&gt;0,I7451/I7228,0)</f>
        <v>11.3666316498252</v>
      </c>
      <c r="J7453" s="32" t="n">
        <f aca="false">IF(J7228&gt;0,J7451/J7228,0)</f>
        <v>11.3706906710327</v>
      </c>
      <c r="K7453" s="32" t="n">
        <f aca="false">IF(K7228&gt;0,K7451/K7228,0)</f>
        <v>11.3545038734857</v>
      </c>
    </row>
    <row r="7454" customFormat="false" ht="15" hidden="false" customHeight="false" outlineLevel="0" collapsed="false">
      <c r="A7454" s="3" t="s">
        <v>419</v>
      </c>
      <c r="G7454" s="32" t="n">
        <f aca="false">IF(G7232&gt;0,G7228/G7232,0)</f>
        <v>1.29978202959684</v>
      </c>
      <c r="H7454" s="32" t="n">
        <f aca="false">IF(H7232&gt;0,H7228/H7232,0)</f>
        <v>1.23190035827066</v>
      </c>
      <c r="I7454" s="32" t="n">
        <f aca="false">IF(I7232&gt;0,I7228/I7232,0)</f>
        <v>1.26062108860358</v>
      </c>
      <c r="J7454" s="32" t="n">
        <f aca="false">IF(J7232&gt;0,J7228/J7232,0)</f>
        <v>1.28873658750287</v>
      </c>
      <c r="K7454" s="32" t="n">
        <f aca="false">IF(K7232&gt;0,K7228/K7232,0)</f>
        <v>1.31735922651095</v>
      </c>
    </row>
    <row r="7455" customFormat="false" ht="15" hidden="false" customHeight="false" outlineLevel="0" collapsed="false">
      <c r="A7455" s="3" t="s">
        <v>420</v>
      </c>
      <c r="G7455" s="32" t="n">
        <f aca="false">IF(G7232&gt;0,G7231/G7232,0)</f>
        <v>0.37029538420409</v>
      </c>
      <c r="H7455" s="32" t="n">
        <f aca="false">IF(H7232&gt;0,H7231/H7232,0)</f>
        <v>0.324789901918788</v>
      </c>
      <c r="I7455" s="32" t="n">
        <f aca="false">IF(I7232&gt;0,I7231/I7232,0)</f>
        <v>0.332362107840508</v>
      </c>
      <c r="J7455" s="32" t="n">
        <f aca="false">IF(J7232&gt;0,J7231/J7232,0)</f>
        <v>0.349078292280507</v>
      </c>
      <c r="K7455" s="32" t="n">
        <f aca="false">IF(K7232&gt;0,K7231/K7232,0)</f>
        <v>0.366156780987518</v>
      </c>
    </row>
    <row r="7456" customFormat="false" ht="15" hidden="false" customHeight="false" outlineLevel="0" collapsed="false">
      <c r="A7456" s="3" t="s">
        <v>213</v>
      </c>
      <c r="G7456" s="22" t="n">
        <f aca="false">IF(G7449&gt;0,G7241/G7449,0)</f>
        <v>-0.0196628552816356</v>
      </c>
      <c r="H7456" s="22" t="n">
        <f aca="false">IF(H7449&gt;0,H7241/H7449,0)</f>
        <v>-0.024033214589065</v>
      </c>
      <c r="I7456" s="22" t="n">
        <f aca="false">IF(I7449&gt;0,I7241/I7449,0)</f>
        <v>-0.0224048899193872</v>
      </c>
      <c r="J7456" s="22" t="n">
        <f aca="false">IF(J7449&gt;0,J7241/J7449,0)</f>
        <v>-0.0208852835713574</v>
      </c>
      <c r="K7456" s="22" t="n">
        <f aca="false">IF(K7449&gt;0,K7241/K7449,0)</f>
        <v>-0.019337893911315</v>
      </c>
    </row>
    <row r="7457" customFormat="false" ht="15" hidden="false" customHeight="false" outlineLevel="0" collapsed="false">
      <c r="A7457" s="3" t="s">
        <v>421</v>
      </c>
      <c r="G7457" s="32" t="n">
        <f aca="false">IF(G7232+G7433&gt;0,(G7228-G7239-G7236)/(G7232+G7433),0)</f>
        <v>0.832095577922097</v>
      </c>
      <c r="H7457" s="32" t="n">
        <f aca="false">IF(H7232+H7433&gt;0,(H7228-H7239-H7236)/(H7232+H7433),0)</f>
        <v>0.776138497383059</v>
      </c>
      <c r="I7457" s="32" t="n">
        <f aca="false">IF(I7232+I7433&gt;0,(I7228-I7239-I7236)/(I7232+I7433),0)</f>
        <v>0.793844395270301</v>
      </c>
      <c r="J7457" s="32" t="n">
        <f aca="false">IF(J7232+J7433&gt;0,(J7228-J7239-J7236)/(J7232+J7433),0)</f>
        <v>0.815916412097745</v>
      </c>
      <c r="K7457" s="32" t="n">
        <f aca="false">IF(K7232+K7433&gt;0,(K7228-K7239-K7236)/(K7232+K7433),0)</f>
        <v>0.838413693304987</v>
      </c>
    </row>
    <row r="7458" customFormat="false" ht="15" hidden="false" customHeight="false" outlineLevel="0" collapsed="false">
      <c r="A7458" s="3" t="s">
        <v>422</v>
      </c>
      <c r="G7458" s="16" t="n">
        <f aca="false">MAX(0,G7442)+Assumptions!$P$57*MAX(0,Assumptions!$D$57-G7265)+Assumptions!$P$58*MAX(0,Assumptions!$D$58-G7278)+Assumptions!$P$59*MAX(0,Assumptions!$D$59-G7291)+Assumptions!$P$60*MAX(0,Assumptions!$D$60-G7304)+Assumptions!$P$61*MAX(0,Assumptions!$D$61-G7317)+Assumptions!$P$62*MAX(0,Assumptions!$D$62-G7330)+Assumptions!$P$63*MAX(0,Assumptions!$D$63-G7343)+Assumptions!$P$64*MAX(0,Assumptions!$D$64-G7356)+Assumptions!$P$65*MAX(0,Assumptions!$D$65-G7369)+Assumptions!$P$66*MAX(0,Assumptions!$D$66-G7382)</f>
        <v>706.8152912</v>
      </c>
      <c r="H7458" s="16" t="n">
        <f aca="false">MAX(0,H7442)+Assumptions!$P$57*MAX(0,Assumptions!$D$57-H7265)+Assumptions!$P$58*MAX(0,Assumptions!$D$58-H7278)+Assumptions!$P$59*MAX(0,Assumptions!$D$59-H7291)+Assumptions!$P$60*MAX(0,Assumptions!$D$60-H7304)+Assumptions!$P$61*MAX(0,Assumptions!$D$61-H7317)+Assumptions!$P$62*MAX(0,Assumptions!$D$62-H7330)+Assumptions!$P$63*MAX(0,Assumptions!$D$63-H7343)+Assumptions!$P$64*MAX(0,Assumptions!$D$64-H7356)+Assumptions!$P$65*MAX(0,Assumptions!$D$65-H7369)+Assumptions!$P$66*MAX(0,Assumptions!$D$66-H7382)</f>
        <v>574.5</v>
      </c>
      <c r="I7458" s="16" t="n">
        <f aca="false">MAX(0,I7442)+Assumptions!$P$57*MAX(0,Assumptions!$D$57-I7265)+Assumptions!$P$58*MAX(0,Assumptions!$D$58-I7278)+Assumptions!$P$59*MAX(0,Assumptions!$D$59-I7291)+Assumptions!$P$60*MAX(0,Assumptions!$D$60-I7304)+Assumptions!$P$61*MAX(0,Assumptions!$D$61-I7317)+Assumptions!$P$62*MAX(0,Assumptions!$D$62-I7330)+Assumptions!$P$63*MAX(0,Assumptions!$D$63-I7343)+Assumptions!$P$64*MAX(0,Assumptions!$D$64-I7356)+Assumptions!$P$65*MAX(0,Assumptions!$D$65-I7369)+Assumptions!$P$66*MAX(0,Assumptions!$D$66-I7382)</f>
        <v>574.5</v>
      </c>
      <c r="J7458" s="16" t="n">
        <f aca="false">MAX(0,J7442)+Assumptions!$P$57*MAX(0,Assumptions!$D$57-J7265)+Assumptions!$P$58*MAX(0,Assumptions!$D$58-J7278)+Assumptions!$P$59*MAX(0,Assumptions!$D$59-J7291)+Assumptions!$P$60*MAX(0,Assumptions!$D$60-J7304)+Assumptions!$P$61*MAX(0,Assumptions!$D$61-J7317)+Assumptions!$P$62*MAX(0,Assumptions!$D$62-J7330)+Assumptions!$P$63*MAX(0,Assumptions!$D$63-J7343)+Assumptions!$P$64*MAX(0,Assumptions!$D$64-J7356)+Assumptions!$P$65*MAX(0,Assumptions!$D$65-J7369)+Assumptions!$P$66*MAX(0,Assumptions!$D$66-J7382)</f>
        <v>574.5</v>
      </c>
      <c r="K7458" s="16" t="n">
        <f aca="false">MAX(0,K7442)+Assumptions!$P$57*MAX(0,Assumptions!$D$57-K7265)+Assumptions!$P$58*MAX(0,Assumptions!$D$58-K7278)+Assumptions!$P$59*MAX(0,Assumptions!$D$59-K7291)+Assumptions!$P$60*MAX(0,Assumptions!$D$60-K7304)+Assumptions!$P$61*MAX(0,Assumptions!$D$61-K7317)+Assumptions!$P$62*MAX(0,Assumptions!$D$62-K7330)+Assumptions!$P$63*MAX(0,Assumptions!$D$63-K7343)+Assumptions!$P$64*MAX(0,Assumptions!$D$64-K7356)+Assumptions!$P$65*MAX(0,Assumptions!$D$65-K7369)+Assumptions!$P$66*MAX(0,Assumptions!$D$66-K7382)</f>
        <v>574.5</v>
      </c>
    </row>
    <row r="7459" customFormat="false" ht="15" hidden="false" customHeight="false" outlineLevel="0" collapsed="false">
      <c r="A7459" s="3" t="s">
        <v>423</v>
      </c>
      <c r="G7459" s="22" t="n">
        <f aca="false">IF(G7449&gt;0,G7449/(G7449+MAX(0,G7228*CHOOSE($C$7211,Assumptions!$C$90,Assumptions!$C$109,Assumptions!$C$128)-G7451)),0)</f>
        <v>0.932566045246441</v>
      </c>
      <c r="H7459" s="22" t="n">
        <f aca="false">IF(H7449&gt;0,H7449/(H7449+MAX(0,H7228*CHOOSE($C$7211,Assumptions!$C$90,Assumptions!$C$109,Assumptions!$C$128)-H7451)),0)</f>
        <v>1</v>
      </c>
      <c r="I7459" s="22" t="n">
        <f aca="false">IF(I7449&gt;0,I7449/(I7449+MAX(0,I7228*CHOOSE($C$7211,Assumptions!$C$90,Assumptions!$C$109,Assumptions!$C$128)-I7451)),0)</f>
        <v>1</v>
      </c>
      <c r="J7459" s="22" t="n">
        <f aca="false">IF(J7449&gt;0,J7449/(J7449+MAX(0,J7228*CHOOSE($C$7211,Assumptions!$C$90,Assumptions!$C$109,Assumptions!$C$128)-J7451)),0)</f>
        <v>1</v>
      </c>
      <c r="K7459" s="22" t="n">
        <f aca="false">IF(K7449&gt;0,K7449/(K7449+MAX(0,K7228*CHOOSE($C$7211,Assumptions!$C$90,Assumptions!$C$109,Assumptions!$C$128)-K7451)),0)</f>
        <v>1</v>
      </c>
    </row>
    <row r="7460" customFormat="false" ht="15" hidden="false" customHeight="false" outlineLevel="0" collapsed="false">
      <c r="A7460" s="3" t="s">
        <v>424</v>
      </c>
      <c r="G7460" s="22" t="n">
        <f aca="false">IF(G7449&gt;0,MAX(0,G7442)/G7449,0)</f>
        <v>0.0504647680681512</v>
      </c>
      <c r="H7460" s="22" t="n">
        <f aca="false">IF(H7449&gt;0,MAX(0,H7442)/H7449,0)</f>
        <v>0</v>
      </c>
      <c r="I7460" s="22" t="n">
        <f aca="false">IF(I7449&gt;0,MAX(0,I7442)/I7449,0)</f>
        <v>0</v>
      </c>
      <c r="J7460" s="22" t="n">
        <f aca="false">IF(J7449&gt;0,MAX(0,J7442)/J7449,0)</f>
        <v>0</v>
      </c>
      <c r="K7460" s="22" t="n">
        <f aca="false">IF(K7449&gt;0,MAX(0,K7442)/K7449,0)</f>
        <v>0</v>
      </c>
    </row>
    <row r="7461" customFormat="false" ht="15" hidden="false" customHeight="false" outlineLevel="0" collapsed="false">
      <c r="A7461" s="3" t="s">
        <v>425</v>
      </c>
      <c r="G7461" s="16" t="n">
        <f aca="false">Assumptions!$C$31*(1-CHOOSE($C$7211,Assumptions!$C$93,Assumptions!$C$112,Assumptions!$C$131))</f>
        <v>3840.04556666667</v>
      </c>
      <c r="H7461" s="16" t="n">
        <f aca="false">Assumptions!$C$31*(1-CHOOSE($C$7211,Assumptions!$C$93,Assumptions!$C$112,Assumptions!$C$131))</f>
        <v>3840.04556666667</v>
      </c>
      <c r="I7461" s="16" t="n">
        <f aca="false">Assumptions!$C$31*(1-CHOOSE($C$7211,Assumptions!$C$93,Assumptions!$C$112,Assumptions!$C$131))</f>
        <v>3840.04556666667</v>
      </c>
      <c r="J7461" s="16" t="n">
        <f aca="false">Assumptions!$C$31*(1-CHOOSE($C$7211,Assumptions!$C$93,Assumptions!$C$112,Assumptions!$C$131))</f>
        <v>3840.04556666667</v>
      </c>
      <c r="K7461" s="16" t="n">
        <f aca="false">Assumptions!$C$31*(1-CHOOSE($C$7211,Assumptions!$C$93,Assumptions!$C$112,Assumptions!$C$131))</f>
        <v>3840.04556666667</v>
      </c>
    </row>
    <row r="7462" customFormat="false" ht="15" hidden="false" customHeight="false" outlineLevel="0" collapsed="false">
      <c r="A7462" s="24" t="s">
        <v>426</v>
      </c>
      <c r="B7462" s="25"/>
      <c r="C7462" s="25"/>
      <c r="D7462" s="25"/>
      <c r="E7462" s="25"/>
      <c r="F7462" s="25"/>
      <c r="G7462" s="25"/>
      <c r="H7462" s="25"/>
      <c r="I7462" s="25"/>
      <c r="J7462" s="25"/>
      <c r="K7462" s="25"/>
    </row>
    <row r="7463" customFormat="false" ht="15" hidden="false" customHeight="false" outlineLevel="0" collapsed="false">
      <c r="A7463" s="24" t="s">
        <v>427</v>
      </c>
      <c r="B7463" s="25"/>
      <c r="C7463" s="25"/>
      <c r="D7463" s="25"/>
      <c r="E7463" s="25"/>
      <c r="F7463" s="25"/>
      <c r="G7463" s="25"/>
      <c r="H7463" s="25"/>
      <c r="I7463" s="25"/>
      <c r="J7463" s="25"/>
      <c r="K7463" s="25"/>
    </row>
    <row r="7464" customFormat="false" ht="15" hidden="false" customHeight="false" outlineLevel="0" collapsed="false">
      <c r="A7464" s="3" t="s">
        <v>428</v>
      </c>
      <c r="G7464" s="22" t="n">
        <f aca="false">IF(G7461&gt;0,G7449/G7461,99)</f>
        <v>0.68278721032885</v>
      </c>
      <c r="H7464" s="22" t="n">
        <f aca="false">IF(H7461&gt;0,H7449/H7461,99)</f>
        <v>0.664295672569146</v>
      </c>
      <c r="I7464" s="22" t="n">
        <f aca="false">IF(I7461&gt;0,I7449/I7461,99)</f>
        <v>0.663254018263082</v>
      </c>
      <c r="J7464" s="22" t="n">
        <f aca="false">IF(J7461&gt;0,J7449/J7461,99)</f>
        <v>0.662212363957018</v>
      </c>
      <c r="K7464" s="22" t="n">
        <f aca="false">IF(K7461&gt;0,K7449/K7461,99)</f>
        <v>0.661170709650954</v>
      </c>
    </row>
    <row r="7465" customFormat="false" ht="15" hidden="false" customHeight="false" outlineLevel="0" collapsed="false">
      <c r="A7465" s="3" t="s">
        <v>429</v>
      </c>
      <c r="G7465" s="33" t="n">
        <f aca="false">Assumptions!$G$71</f>
        <v>0.6</v>
      </c>
      <c r="H7465" s="33" t="n">
        <f aca="false">Assumptions!$H$71</f>
        <v>0.6</v>
      </c>
      <c r="I7465" s="33" t="n">
        <f aca="false">Assumptions!$I$71</f>
        <v>0.6</v>
      </c>
      <c r="J7465" s="33" t="n">
        <f aca="false">Assumptions!$J$71</f>
        <v>0.6</v>
      </c>
      <c r="K7465" s="33" t="n">
        <f aca="false">Assumptions!$K$71</f>
        <v>0.6</v>
      </c>
    </row>
    <row r="7466" customFormat="false" ht="15" hidden="false" customHeight="false" outlineLevel="0" collapsed="false">
      <c r="A7466" s="3" t="s">
        <v>430</v>
      </c>
      <c r="G7466" s="22" t="n">
        <f aca="false">G7465-G7464</f>
        <v>-0.0827872103288497</v>
      </c>
      <c r="H7466" s="22" t="n">
        <f aca="false">H7465-H7464</f>
        <v>-0.0642956725691459</v>
      </c>
      <c r="I7466" s="22" t="n">
        <f aca="false">I7465-I7464</f>
        <v>-0.063254018263082</v>
      </c>
      <c r="J7466" s="22" t="n">
        <f aca="false">J7465-J7464</f>
        <v>-0.062212363957018</v>
      </c>
      <c r="K7466" s="22" t="n">
        <f aca="false">K7465-K7464</f>
        <v>-0.0611707096509542</v>
      </c>
    </row>
    <row r="7467" customFormat="false" ht="15" hidden="false" customHeight="false" outlineLevel="0" collapsed="false">
      <c r="A7467" s="3" t="s">
        <v>431</v>
      </c>
      <c r="G7467" s="22" t="n">
        <f aca="false">IF(G7465=0,0,G7466/ABS(G7465))</f>
        <v>-0.137978683881416</v>
      </c>
      <c r="H7467" s="22" t="n">
        <f aca="false">IF(H7465=0,0,H7466/ABS(H7465))</f>
        <v>-0.10715945428191</v>
      </c>
      <c r="I7467" s="22" t="n">
        <f aca="false">IF(I7465=0,0,I7466/ABS(I7465))</f>
        <v>-0.105423363771803</v>
      </c>
      <c r="J7467" s="22" t="n">
        <f aca="false">IF(J7465=0,0,J7466/ABS(J7465))</f>
        <v>-0.103687273261697</v>
      </c>
      <c r="K7467" s="22" t="n">
        <f aca="false">IF(K7465=0,0,K7466/ABS(K7465))</f>
        <v>-0.10195118275159</v>
      </c>
    </row>
    <row r="7468" customFormat="false" ht="15" hidden="false" customHeight="false" outlineLevel="0" collapsed="false">
      <c r="A7468" s="3" t="s">
        <v>432</v>
      </c>
      <c r="G7468" s="21" t="n">
        <f aca="false">IF(G7466&lt;0,1,0)</f>
        <v>1</v>
      </c>
      <c r="H7468" s="21" t="n">
        <f aca="false">IF(H7466&lt;0,1,0)</f>
        <v>1</v>
      </c>
      <c r="I7468" s="21" t="n">
        <f aca="false">IF(I7466&lt;0,1,0)</f>
        <v>1</v>
      </c>
      <c r="J7468" s="21" t="n">
        <f aca="false">IF(J7466&lt;0,1,0)</f>
        <v>1</v>
      </c>
      <c r="K7468" s="21" t="n">
        <f aca="false">IF(K7466&lt;0,1,0)</f>
        <v>1</v>
      </c>
    </row>
    <row r="7469" customFormat="false" ht="15" hidden="false" customHeight="false" outlineLevel="0" collapsed="false">
      <c r="A7469" s="3" t="s">
        <v>433</v>
      </c>
      <c r="C7469" s="21" t="n">
        <f aca="false">IFERROR(INDEX($G$7218:$K$7218,MATCH(1,$G$7468:$K$7468,0)),0)</f>
        <v>2027</v>
      </c>
    </row>
    <row r="7470" customFormat="false" ht="15" hidden="false" customHeight="false" outlineLevel="0" collapsed="false">
      <c r="A7470" s="3" t="s">
        <v>434</v>
      </c>
      <c r="C7470" s="22" t="n">
        <f aca="false">MIN($G$7467:$K$7467)</f>
        <v>-0.137978683881416</v>
      </c>
    </row>
    <row r="7471" customFormat="false" ht="15" hidden="false" customHeight="false" outlineLevel="0" collapsed="false">
      <c r="A7471" s="24" t="s">
        <v>435</v>
      </c>
      <c r="B7471" s="25"/>
      <c r="C7471" s="25"/>
      <c r="D7471" s="25"/>
      <c r="E7471" s="25"/>
      <c r="F7471" s="25"/>
      <c r="G7471" s="25"/>
      <c r="H7471" s="25"/>
      <c r="I7471" s="25"/>
      <c r="J7471" s="25"/>
      <c r="K7471" s="25"/>
    </row>
    <row r="7472" customFormat="false" ht="15" hidden="false" customHeight="false" outlineLevel="0" collapsed="false">
      <c r="A7472" s="3" t="s">
        <v>428</v>
      </c>
      <c r="G7472" s="32" t="n">
        <f aca="false">IF(G7232&gt;0,G7228/G7232,99)</f>
        <v>1.29978202959684</v>
      </c>
      <c r="H7472" s="32" t="n">
        <f aca="false">IF(H7232&gt;0,H7228/H7232,99)</f>
        <v>1.23190035827066</v>
      </c>
      <c r="I7472" s="32" t="n">
        <f aca="false">IF(I7232&gt;0,I7228/I7232,99)</f>
        <v>1.26062108860358</v>
      </c>
      <c r="J7472" s="32" t="n">
        <f aca="false">IF(J7232&gt;0,J7228/J7232,99)</f>
        <v>1.28873658750287</v>
      </c>
      <c r="K7472" s="32" t="n">
        <f aca="false">IF(K7232&gt;0,K7228/K7232,99)</f>
        <v>1.31735922651095</v>
      </c>
    </row>
    <row r="7473" customFormat="false" ht="15" hidden="false" customHeight="false" outlineLevel="0" collapsed="false">
      <c r="A7473" s="3" t="s">
        <v>429</v>
      </c>
      <c r="G7473" s="34" t="n">
        <f aca="false">Assumptions!$G$72</f>
        <v>1.5</v>
      </c>
      <c r="H7473" s="34" t="n">
        <f aca="false">Assumptions!$H$72</f>
        <v>1.5</v>
      </c>
      <c r="I7473" s="34" t="n">
        <f aca="false">Assumptions!$I$72</f>
        <v>1.5</v>
      </c>
      <c r="J7473" s="34" t="n">
        <f aca="false">Assumptions!$J$72</f>
        <v>1.5</v>
      </c>
      <c r="K7473" s="34" t="n">
        <f aca="false">Assumptions!$K$72</f>
        <v>1.5</v>
      </c>
    </row>
    <row r="7474" customFormat="false" ht="15" hidden="false" customHeight="false" outlineLevel="0" collapsed="false">
      <c r="A7474" s="3" t="s">
        <v>430</v>
      </c>
      <c r="G7474" s="32" t="n">
        <f aca="false">G7472-G7473</f>
        <v>-0.200217970403161</v>
      </c>
      <c r="H7474" s="32" t="n">
        <f aca="false">H7472-H7473</f>
        <v>-0.268099641729341</v>
      </c>
      <c r="I7474" s="32" t="n">
        <f aca="false">I7472-I7473</f>
        <v>-0.239378911396419</v>
      </c>
      <c r="J7474" s="32" t="n">
        <f aca="false">J7472-J7473</f>
        <v>-0.211263412497135</v>
      </c>
      <c r="K7474" s="32" t="n">
        <f aca="false">K7472-K7473</f>
        <v>-0.182640773489045</v>
      </c>
    </row>
    <row r="7475" customFormat="false" ht="15" hidden="false" customHeight="false" outlineLevel="0" collapsed="false">
      <c r="A7475" s="3" t="s">
        <v>431</v>
      </c>
      <c r="G7475" s="22" t="n">
        <f aca="false">IF(G7473=0,0,G7474/ABS(G7473))</f>
        <v>-0.133478646935441</v>
      </c>
      <c r="H7475" s="22" t="n">
        <f aca="false">IF(H7473=0,0,H7474/ABS(H7473))</f>
        <v>-0.178733094486227</v>
      </c>
      <c r="I7475" s="22" t="n">
        <f aca="false">IF(I7473=0,0,I7474/ABS(I7473))</f>
        <v>-0.159585940930946</v>
      </c>
      <c r="J7475" s="22" t="n">
        <f aca="false">IF(J7473=0,0,J7474/ABS(J7473))</f>
        <v>-0.14084227499809</v>
      </c>
      <c r="K7475" s="22" t="n">
        <f aca="false">IF(K7473=0,0,K7474/ABS(K7473))</f>
        <v>-0.121760515659363</v>
      </c>
    </row>
    <row r="7476" customFormat="false" ht="15" hidden="false" customHeight="false" outlineLevel="0" collapsed="false">
      <c r="A7476" s="3" t="s">
        <v>432</v>
      </c>
      <c r="G7476" s="21" t="n">
        <f aca="false">IF(G7474&lt;0,1,0)</f>
        <v>1</v>
      </c>
      <c r="H7476" s="21" t="n">
        <f aca="false">IF(H7474&lt;0,1,0)</f>
        <v>1</v>
      </c>
      <c r="I7476" s="21" t="n">
        <f aca="false">IF(I7474&lt;0,1,0)</f>
        <v>1</v>
      </c>
      <c r="J7476" s="21" t="n">
        <f aca="false">IF(J7474&lt;0,1,0)</f>
        <v>1</v>
      </c>
      <c r="K7476" s="21" t="n">
        <f aca="false">IF(K7474&lt;0,1,0)</f>
        <v>1</v>
      </c>
    </row>
    <row r="7477" customFormat="false" ht="15" hidden="false" customHeight="false" outlineLevel="0" collapsed="false">
      <c r="A7477" s="3" t="s">
        <v>433</v>
      </c>
      <c r="C7477" s="21" t="n">
        <f aca="false">IFERROR(INDEX($G$7218:$K$7218,MATCH(1,$G$7476:$K$7476,0)),0)</f>
        <v>2027</v>
      </c>
    </row>
    <row r="7478" customFormat="false" ht="15" hidden="false" customHeight="false" outlineLevel="0" collapsed="false">
      <c r="A7478" s="3" t="s">
        <v>434</v>
      </c>
      <c r="C7478" s="22" t="n">
        <f aca="false">MIN($G$7475:$K$7475)</f>
        <v>-0.178733094486227</v>
      </c>
    </row>
    <row r="7479" customFormat="false" ht="15" hidden="false" customHeight="false" outlineLevel="0" collapsed="false">
      <c r="A7479" s="24" t="s">
        <v>436</v>
      </c>
      <c r="B7479" s="25"/>
      <c r="C7479" s="25"/>
      <c r="D7479" s="25"/>
      <c r="E7479" s="25"/>
      <c r="F7479" s="25"/>
      <c r="G7479" s="25"/>
      <c r="H7479" s="25"/>
      <c r="I7479" s="25"/>
      <c r="J7479" s="25"/>
      <c r="K7479" s="25"/>
    </row>
    <row r="7480" customFormat="false" ht="15" hidden="false" customHeight="false" outlineLevel="0" collapsed="false">
      <c r="A7480" s="3" t="s">
        <v>428</v>
      </c>
      <c r="G7480" s="22" t="n">
        <f aca="false">IF(G7461&gt;0,G7450/G7461,99)</f>
        <v>0.141488946046968</v>
      </c>
      <c r="H7480" s="22" t="n">
        <f aca="false">IF(H7461&gt;0,H7450/H7461,99)</f>
        <v>0.140447291740904</v>
      </c>
      <c r="I7480" s="22" t="n">
        <f aca="false">IF(I7461&gt;0,I7450/I7461,99)</f>
        <v>0.139405637434841</v>
      </c>
      <c r="J7480" s="22" t="n">
        <f aca="false">IF(J7461&gt;0,J7450/J7461,99)</f>
        <v>0.138363983128777</v>
      </c>
      <c r="K7480" s="22" t="n">
        <f aca="false">IF(K7461&gt;0,K7450/K7461,99)</f>
        <v>0.137322328822713</v>
      </c>
    </row>
    <row r="7481" customFormat="false" ht="15" hidden="false" customHeight="false" outlineLevel="0" collapsed="false">
      <c r="A7481" s="3" t="s">
        <v>429</v>
      </c>
      <c r="G7481" s="33" t="n">
        <f aca="false">Assumptions!$G$73</f>
        <v>0.4</v>
      </c>
      <c r="H7481" s="33" t="n">
        <f aca="false">Assumptions!$H$73</f>
        <v>0.4</v>
      </c>
      <c r="I7481" s="33" t="n">
        <f aca="false">Assumptions!$I$73</f>
        <v>0.4</v>
      </c>
      <c r="J7481" s="33" t="n">
        <f aca="false">Assumptions!$J$73</f>
        <v>0.4</v>
      </c>
      <c r="K7481" s="33" t="n">
        <f aca="false">Assumptions!$K$73</f>
        <v>0.4</v>
      </c>
    </row>
    <row r="7482" customFormat="false" ht="15" hidden="false" customHeight="false" outlineLevel="0" collapsed="false">
      <c r="A7482" s="3" t="s">
        <v>430</v>
      </c>
      <c r="G7482" s="22" t="n">
        <f aca="false">G7481-G7480</f>
        <v>0.258511053953032</v>
      </c>
      <c r="H7482" s="22" t="n">
        <f aca="false">H7481-H7480</f>
        <v>0.259552708259096</v>
      </c>
      <c r="I7482" s="22" t="n">
        <f aca="false">I7481-I7480</f>
        <v>0.26059436256516</v>
      </c>
      <c r="J7482" s="22" t="n">
        <f aca="false">J7481-J7480</f>
        <v>0.261636016871223</v>
      </c>
      <c r="K7482" s="22" t="n">
        <f aca="false">K7481-K7480</f>
        <v>0.262677671177287</v>
      </c>
    </row>
    <row r="7483" customFormat="false" ht="15" hidden="false" customHeight="false" outlineLevel="0" collapsed="false">
      <c r="A7483" s="3" t="s">
        <v>431</v>
      </c>
      <c r="G7483" s="22" t="n">
        <f aca="false">IF(G7481=0,0,G7482/ABS(G7481))</f>
        <v>0.646277634882579</v>
      </c>
      <c r="H7483" s="22" t="n">
        <f aca="false">IF(H7481=0,0,H7482/ABS(H7481))</f>
        <v>0.648881770647739</v>
      </c>
      <c r="I7483" s="22" t="n">
        <f aca="false">IF(I7481=0,0,I7482/ABS(I7481))</f>
        <v>0.651485906412899</v>
      </c>
      <c r="J7483" s="22" t="n">
        <f aca="false">IF(J7481=0,0,J7482/ABS(J7481))</f>
        <v>0.654090042178059</v>
      </c>
      <c r="K7483" s="22" t="n">
        <f aca="false">IF(K7481=0,0,K7482/ABS(K7481))</f>
        <v>0.656694177943218</v>
      </c>
    </row>
    <row r="7484" customFormat="false" ht="15" hidden="false" customHeight="false" outlineLevel="0" collapsed="false">
      <c r="A7484" s="3" t="s">
        <v>432</v>
      </c>
      <c r="G7484" s="21" t="n">
        <f aca="false">IF(G7482&lt;0,1,0)</f>
        <v>0</v>
      </c>
      <c r="H7484" s="21" t="n">
        <f aca="false">IF(H7482&lt;0,1,0)</f>
        <v>0</v>
      </c>
      <c r="I7484" s="21" t="n">
        <f aca="false">IF(I7482&lt;0,1,0)</f>
        <v>0</v>
      </c>
      <c r="J7484" s="21" t="n">
        <f aca="false">IF(J7482&lt;0,1,0)</f>
        <v>0</v>
      </c>
      <c r="K7484" s="21" t="n">
        <f aca="false">IF(K7482&lt;0,1,0)</f>
        <v>0</v>
      </c>
    </row>
    <row r="7485" customFormat="false" ht="15" hidden="false" customHeight="false" outlineLevel="0" collapsed="false">
      <c r="A7485" s="3" t="s">
        <v>433</v>
      </c>
      <c r="C7485" s="21" t="n">
        <f aca="false">IFERROR(INDEX($G$7218:$K$7218,MATCH(1,$G$7484:$K$7484,0)),0)</f>
        <v>0</v>
      </c>
    </row>
    <row r="7486" customFormat="false" ht="15" hidden="false" customHeight="false" outlineLevel="0" collapsed="false">
      <c r="A7486" s="3" t="s">
        <v>434</v>
      </c>
      <c r="C7486" s="22" t="n">
        <f aca="false">MIN($G$7483:$K$7483)</f>
        <v>0.646277634882579</v>
      </c>
    </row>
    <row r="7487" customFormat="false" ht="15" hidden="false" customHeight="false" outlineLevel="0" collapsed="false">
      <c r="A7487" s="24" t="s">
        <v>437</v>
      </c>
      <c r="B7487" s="25"/>
      <c r="C7487" s="25"/>
      <c r="D7487" s="25"/>
      <c r="E7487" s="25"/>
      <c r="F7487" s="25"/>
      <c r="G7487" s="25"/>
      <c r="H7487" s="25"/>
      <c r="I7487" s="25"/>
      <c r="J7487" s="25"/>
      <c r="K7487" s="25"/>
    </row>
    <row r="7488" customFormat="false" ht="15" hidden="false" customHeight="false" outlineLevel="0" collapsed="false">
      <c r="A7488" s="3" t="s">
        <v>428</v>
      </c>
      <c r="G7488" s="16" t="n">
        <f aca="false">G7458</f>
        <v>706.8152912</v>
      </c>
      <c r="H7488" s="16" t="n">
        <f aca="false">H7458</f>
        <v>574.5</v>
      </c>
      <c r="I7488" s="16" t="n">
        <f aca="false">I7458</f>
        <v>574.5</v>
      </c>
      <c r="J7488" s="16" t="n">
        <f aca="false">J7458</f>
        <v>574.5</v>
      </c>
      <c r="K7488" s="16" t="n">
        <f aca="false">K7458</f>
        <v>574.5</v>
      </c>
    </row>
    <row r="7489" customFormat="false" ht="15" hidden="false" customHeight="false" outlineLevel="0" collapsed="false">
      <c r="A7489" s="3" t="s">
        <v>429</v>
      </c>
      <c r="G7489" s="29" t="n">
        <f aca="false">Assumptions!$G$74</f>
        <v>100</v>
      </c>
      <c r="H7489" s="29" t="n">
        <f aca="false">Assumptions!$H$74</f>
        <v>100</v>
      </c>
      <c r="I7489" s="29" t="n">
        <f aca="false">Assumptions!$I$74</f>
        <v>100</v>
      </c>
      <c r="J7489" s="29" t="n">
        <f aca="false">Assumptions!$J$74</f>
        <v>100</v>
      </c>
      <c r="K7489" s="29" t="n">
        <f aca="false">Assumptions!$K$74</f>
        <v>100</v>
      </c>
    </row>
    <row r="7490" customFormat="false" ht="15" hidden="false" customHeight="false" outlineLevel="0" collapsed="false">
      <c r="A7490" s="3" t="s">
        <v>430</v>
      </c>
      <c r="G7490" s="16" t="n">
        <f aca="false">G7488-G7489</f>
        <v>606.8152912</v>
      </c>
      <c r="H7490" s="16" t="n">
        <f aca="false">H7488-H7489</f>
        <v>474.5</v>
      </c>
      <c r="I7490" s="16" t="n">
        <f aca="false">I7488-I7489</f>
        <v>474.5</v>
      </c>
      <c r="J7490" s="16" t="n">
        <f aca="false">J7488-J7489</f>
        <v>474.5</v>
      </c>
      <c r="K7490" s="16" t="n">
        <f aca="false">K7488-K7489</f>
        <v>474.5</v>
      </c>
    </row>
    <row r="7491" customFormat="false" ht="15" hidden="false" customHeight="false" outlineLevel="0" collapsed="false">
      <c r="A7491" s="3" t="s">
        <v>431</v>
      </c>
      <c r="G7491" s="22" t="n">
        <f aca="false">IF(G7489=0,0,G7490/ABS(G7489))</f>
        <v>6.068152912</v>
      </c>
      <c r="H7491" s="22" t="n">
        <f aca="false">IF(H7489=0,0,H7490/ABS(H7489))</f>
        <v>4.745</v>
      </c>
      <c r="I7491" s="22" t="n">
        <f aca="false">IF(I7489=0,0,I7490/ABS(I7489))</f>
        <v>4.745</v>
      </c>
      <c r="J7491" s="22" t="n">
        <f aca="false">IF(J7489=0,0,J7490/ABS(J7489))</f>
        <v>4.745</v>
      </c>
      <c r="K7491" s="22" t="n">
        <f aca="false">IF(K7489=0,0,K7490/ABS(K7489))</f>
        <v>4.745</v>
      </c>
    </row>
    <row r="7492" customFormat="false" ht="15" hidden="false" customHeight="false" outlineLevel="0" collapsed="false">
      <c r="A7492" s="3" t="s">
        <v>432</v>
      </c>
      <c r="G7492" s="21" t="n">
        <f aca="false">IF(G7490&lt;0,1,0)</f>
        <v>0</v>
      </c>
      <c r="H7492" s="21" t="n">
        <f aca="false">IF(H7490&lt;0,1,0)</f>
        <v>0</v>
      </c>
      <c r="I7492" s="21" t="n">
        <f aca="false">IF(I7490&lt;0,1,0)</f>
        <v>0</v>
      </c>
      <c r="J7492" s="21" t="n">
        <f aca="false">IF(J7490&lt;0,1,0)</f>
        <v>0</v>
      </c>
      <c r="K7492" s="21" t="n">
        <f aca="false">IF(K7490&lt;0,1,0)</f>
        <v>0</v>
      </c>
    </row>
    <row r="7493" customFormat="false" ht="15" hidden="false" customHeight="false" outlineLevel="0" collapsed="false">
      <c r="A7493" s="3" t="s">
        <v>433</v>
      </c>
      <c r="C7493" s="21" t="n">
        <f aca="false">IFERROR(INDEX($G$7218:$K$7218,MATCH(1,$G$7492:$K$7492,0)),0)</f>
        <v>0</v>
      </c>
    </row>
    <row r="7494" customFormat="false" ht="15" hidden="false" customHeight="false" outlineLevel="0" collapsed="false">
      <c r="A7494" s="3" t="s">
        <v>434</v>
      </c>
      <c r="C7494" s="22" t="n">
        <f aca="false">MIN($G$7491:$K$7491)</f>
        <v>4.745</v>
      </c>
    </row>
    <row r="7495" customFormat="false" ht="15" hidden="false" customHeight="false" outlineLevel="0" collapsed="false">
      <c r="A7495" s="24" t="s">
        <v>438</v>
      </c>
      <c r="B7495" s="25"/>
      <c r="C7495" s="25"/>
      <c r="D7495" s="25"/>
      <c r="E7495" s="25"/>
      <c r="F7495" s="25"/>
      <c r="G7495" s="25"/>
      <c r="H7495" s="25"/>
      <c r="I7495" s="25"/>
      <c r="J7495" s="25"/>
      <c r="K7495" s="25"/>
    </row>
    <row r="7496" customFormat="false" ht="15" hidden="false" customHeight="false" outlineLevel="0" collapsed="false">
      <c r="A7496" s="3" t="s">
        <v>428</v>
      </c>
      <c r="G7496" s="32" t="n">
        <f aca="false">IF(G7228&gt;0,G7451/G7228,99)</f>
        <v>10.2215933340025</v>
      </c>
      <c r="H7496" s="32" t="n">
        <f aca="false">IF(H7228&gt;0,H7451/H7228,99)</f>
        <v>11.117926331148</v>
      </c>
      <c r="I7496" s="32" t="n">
        <f aca="false">IF(I7228&gt;0,I7451/I7228,99)</f>
        <v>11.3666316498252</v>
      </c>
      <c r="J7496" s="32" t="n">
        <f aca="false">IF(J7228&gt;0,J7451/J7228,99)</f>
        <v>11.3706906710327</v>
      </c>
      <c r="K7496" s="32" t="n">
        <f aca="false">IF(K7228&gt;0,K7451/K7228,99)</f>
        <v>11.3545038734857</v>
      </c>
    </row>
    <row r="7497" customFormat="false" ht="15" hidden="false" customHeight="false" outlineLevel="0" collapsed="false">
      <c r="A7497" s="3" t="s">
        <v>429</v>
      </c>
      <c r="G7497" s="34" t="n">
        <f aca="false">Assumptions!$G$75</f>
        <v>10.5</v>
      </c>
      <c r="H7497" s="34" t="n">
        <f aca="false">Assumptions!$H$75</f>
        <v>10.5</v>
      </c>
      <c r="I7497" s="34" t="n">
        <f aca="false">Assumptions!$I$75</f>
        <v>10</v>
      </c>
      <c r="J7497" s="34" t="n">
        <f aca="false">Assumptions!$J$75</f>
        <v>10</v>
      </c>
      <c r="K7497" s="34" t="n">
        <f aca="false">Assumptions!$K$75</f>
        <v>9.5</v>
      </c>
    </row>
    <row r="7498" customFormat="false" ht="15" hidden="false" customHeight="false" outlineLevel="0" collapsed="false">
      <c r="A7498" s="3" t="s">
        <v>430</v>
      </c>
      <c r="G7498" s="32" t="n">
        <f aca="false">G7497-G7496</f>
        <v>0.278406665997473</v>
      </c>
      <c r="H7498" s="32" t="n">
        <f aca="false">H7497-H7496</f>
        <v>-0.617926331148</v>
      </c>
      <c r="I7498" s="32" t="n">
        <f aca="false">I7497-I7496</f>
        <v>-1.36663164982516</v>
      </c>
      <c r="J7498" s="32" t="n">
        <f aca="false">J7497-J7496</f>
        <v>-1.37069067103274</v>
      </c>
      <c r="K7498" s="32" t="n">
        <f aca="false">K7497-K7496</f>
        <v>-1.85450387348566</v>
      </c>
    </row>
    <row r="7499" customFormat="false" ht="15" hidden="false" customHeight="false" outlineLevel="0" collapsed="false">
      <c r="A7499" s="3" t="s">
        <v>431</v>
      </c>
      <c r="G7499" s="22" t="n">
        <f aca="false">IF(G7497=0,0,G7498/ABS(G7497))</f>
        <v>0.0265149205711879</v>
      </c>
      <c r="H7499" s="22" t="n">
        <f aca="false">IF(H7497=0,0,H7498/ABS(H7497))</f>
        <v>-0.058850126776</v>
      </c>
      <c r="I7499" s="22" t="n">
        <f aca="false">IF(I7497=0,0,I7498/ABS(I7497))</f>
        <v>-0.136663164982516</v>
      </c>
      <c r="J7499" s="22" t="n">
        <f aca="false">IF(J7497=0,0,J7498/ABS(J7497))</f>
        <v>-0.137069067103274</v>
      </c>
      <c r="K7499" s="22" t="n">
        <f aca="false">IF(K7497=0,0,K7498/ABS(K7497))</f>
        <v>-0.195210934051122</v>
      </c>
    </row>
    <row r="7500" customFormat="false" ht="15" hidden="false" customHeight="false" outlineLevel="0" collapsed="false">
      <c r="A7500" s="3" t="s">
        <v>432</v>
      </c>
      <c r="G7500" s="21" t="n">
        <f aca="false">IF(G7498&lt;0,1,0)</f>
        <v>0</v>
      </c>
      <c r="H7500" s="21" t="n">
        <f aca="false">IF(H7498&lt;0,1,0)</f>
        <v>1</v>
      </c>
      <c r="I7500" s="21" t="n">
        <f aca="false">IF(I7498&lt;0,1,0)</f>
        <v>1</v>
      </c>
      <c r="J7500" s="21" t="n">
        <f aca="false">IF(J7498&lt;0,1,0)</f>
        <v>1</v>
      </c>
      <c r="K7500" s="21" t="n">
        <f aca="false">IF(K7498&lt;0,1,0)</f>
        <v>1</v>
      </c>
    </row>
    <row r="7501" customFormat="false" ht="15" hidden="false" customHeight="false" outlineLevel="0" collapsed="false">
      <c r="A7501" s="3" t="s">
        <v>433</v>
      </c>
      <c r="C7501" s="21" t="n">
        <f aca="false">IFERROR(INDEX($G$7218:$K$7218,MATCH(1,$G$7500:$K$7500,0)),0)</f>
        <v>2028</v>
      </c>
    </row>
    <row r="7502" customFormat="false" ht="15" hidden="false" customHeight="false" outlineLevel="0" collapsed="false">
      <c r="A7502" s="3" t="s">
        <v>434</v>
      </c>
      <c r="C7502" s="22" t="n">
        <f aca="false">MIN($G$7499:$K$7499)</f>
        <v>-0.195210934051122</v>
      </c>
    </row>
    <row r="7503" customFormat="false" ht="15" hidden="false" customHeight="false" outlineLevel="0" collapsed="false">
      <c r="A7503" s="3" t="s">
        <v>439</v>
      </c>
      <c r="G7503" s="21" t="n">
        <f aca="false">G7468+G7476+G7484+G7492+G7500</f>
        <v>2</v>
      </c>
      <c r="H7503" s="21" t="n">
        <f aca="false">H7468+H7476+H7484+H7492+H7500</f>
        <v>3</v>
      </c>
      <c r="I7503" s="21" t="n">
        <f aca="false">I7468+I7476+I7484+I7492+I7500</f>
        <v>3</v>
      </c>
      <c r="J7503" s="21" t="n">
        <f aca="false">J7468+J7476+J7484+J7492+J7500</f>
        <v>3</v>
      </c>
      <c r="K7503" s="21" t="n">
        <f aca="false">K7468+K7476+K7484+K7492+K7500</f>
        <v>3</v>
      </c>
    </row>
    <row r="7504" customFormat="false" ht="15" hidden="false" customHeight="false" outlineLevel="0" collapsed="false">
      <c r="A7504" s="3" t="s">
        <v>440</v>
      </c>
      <c r="C7504" s="21" t="n">
        <f aca="false">SUM($G$7503:$K$7503)</f>
        <v>14</v>
      </c>
    </row>
    <row r="7505" customFormat="false" ht="15" hidden="false" customHeight="false" outlineLevel="0" collapsed="false">
      <c r="A7505" s="3" t="s">
        <v>441</v>
      </c>
      <c r="C7505" s="22" t="n">
        <f aca="false">MIN(C7470,C7478,C7486,C7494,C7502)</f>
        <v>-0.195210934051122</v>
      </c>
    </row>
    <row r="7507" customFormat="false" ht="15" hidden="false" customHeight="false" outlineLevel="0" collapsed="false">
      <c r="A7507" s="24" t="s">
        <v>543</v>
      </c>
      <c r="B7507" s="25"/>
      <c r="C7507" s="25"/>
      <c r="D7507" s="25"/>
      <c r="E7507" s="25"/>
      <c r="F7507" s="25"/>
      <c r="G7507" s="25"/>
      <c r="H7507" s="25"/>
      <c r="I7507" s="25"/>
      <c r="J7507" s="25"/>
      <c r="K7507" s="25"/>
    </row>
    <row r="7508" customFormat="false" ht="15" hidden="false" customHeight="false" outlineLevel="0" collapsed="false">
      <c r="A7508" s="3" t="s">
        <v>544</v>
      </c>
      <c r="G7508" s="21" t="n">
        <f aca="false">IF($C$7509=1,G7445,IF(G7228=MIN($G$7228:$K$7228),1,0))</f>
        <v>0</v>
      </c>
      <c r="H7508" s="21" t="n">
        <f aca="false">IF($C$7509=1,H7445,IF(AND(H7228=MIN($G$7228:$K$7228),SUM($G$7508:G7508)=0),1,0))</f>
        <v>1</v>
      </c>
      <c r="I7508" s="21" t="n">
        <f aca="false">IF($C$7509=1,I7445,IF(AND(I7228=MIN($G$7228:$K$7228),SUM($G$7508:H7508)=0),1,0))</f>
        <v>0</v>
      </c>
      <c r="J7508" s="21" t="n">
        <f aca="false">IF($C$7509=1,J7445,IF(AND(J7228=MIN($G$7228:$K$7228),SUM($G$7508:I7508)=0),1,0))</f>
        <v>0</v>
      </c>
      <c r="K7508" s="21" t="n">
        <f aca="false">IF($C$7509=1,K7445,IF(AND(K7228=MIN($G$7228:$K$7228),SUM($G$7508:J7508)=0),1,0))</f>
        <v>0</v>
      </c>
    </row>
    <row r="7509" customFormat="false" ht="15" hidden="false" customHeight="false" outlineLevel="0" collapsed="false">
      <c r="A7509" s="3" t="s">
        <v>545</v>
      </c>
      <c r="C7509" s="21" t="n">
        <f aca="false">IF(SUM($G$7445:$K$7445)&gt;0,1,0)</f>
        <v>1</v>
      </c>
    </row>
    <row r="7510" customFormat="false" ht="15" hidden="false" customHeight="false" outlineLevel="0" collapsed="false">
      <c r="A7510" s="3" t="s">
        <v>546</v>
      </c>
      <c r="C7510" s="21" t="n">
        <f aca="false">SUMPRODUCT($G$7508:$K$7508,$G$7218:$K$7218)</f>
        <v>2028</v>
      </c>
    </row>
    <row r="7511" customFormat="false" ht="15" hidden="false" customHeight="false" outlineLevel="0" collapsed="false">
      <c r="A7511" s="3" t="s">
        <v>547</v>
      </c>
      <c r="C7511" s="16" t="n">
        <f aca="false">SUMPRODUCT($G$7508:$K$7508,$G$7228:$K$7228)</f>
        <v>229.442575569</v>
      </c>
    </row>
    <row r="7512" customFormat="false" ht="15" hidden="false" customHeight="false" outlineLevel="0" collapsed="false">
      <c r="A7512" s="3" t="s">
        <v>548</v>
      </c>
      <c r="C7512" s="16" t="n">
        <f aca="false">MAX(0,SUMPRODUCT($G$7508:$K$7508,$G$7442:$K$7442))</f>
        <v>0</v>
      </c>
    </row>
    <row r="7513" customFormat="false" ht="15" hidden="false" customHeight="false" outlineLevel="0" collapsed="false">
      <c r="A7513" s="3" t="s">
        <v>549</v>
      </c>
      <c r="C7513" s="16" t="n">
        <f aca="false">(CHOOSE($C$7211,Assumptions!$C$92,Assumptions!$C$111,Assumptions!$C$130)+$C$7215)*C7511</f>
        <v>2064.983180121</v>
      </c>
    </row>
    <row r="7514" customFormat="false" ht="15" hidden="false" customHeight="false" outlineLevel="0" collapsed="false">
      <c r="A7514" s="3" t="s">
        <v>550</v>
      </c>
      <c r="C7514" s="16" t="n">
        <f aca="false">Assumptions!$C$31*(1-CHOOSE($C$7211,Assumptions!$C$93,Assumptions!$C$112,Assumptions!$C$131))*CHOOSE($C$7211,Assumptions!$C$94,Assumptions!$C$113,Assumptions!$C$132)</f>
        <v>3264.03873166667</v>
      </c>
    </row>
    <row r="7515" customFormat="false" ht="15" hidden="false" customHeight="false" outlineLevel="0" collapsed="false">
      <c r="A7515" s="3" t="s">
        <v>551</v>
      </c>
      <c r="C7515" s="16" t="n">
        <f aca="false">MAX(C7513,C7514)+C7512</f>
        <v>3264.03873166667</v>
      </c>
    </row>
    <row r="7516" customFormat="false" ht="15" hidden="false" customHeight="false" outlineLevel="0" collapsed="false">
      <c r="A7516" s="2" t="s">
        <v>552</v>
      </c>
      <c r="C7516" s="17" t="n">
        <f aca="false">IF(ISNUMBER(Assumptions!$C$14),Assumptions!$C$14,C7515)</f>
        <v>3264.03873166667</v>
      </c>
    </row>
    <row r="7517" customFormat="false" ht="15" hidden="false" customHeight="false" outlineLevel="0" collapsed="false">
      <c r="A7517" s="3" t="s">
        <v>553</v>
      </c>
      <c r="C7517" s="16" t="n">
        <f aca="false">C7516*Assumptions!$C$15</f>
        <v>130.561549266667</v>
      </c>
    </row>
    <row r="7518" customFormat="false" ht="15" hidden="false" customHeight="false" outlineLevel="0" collapsed="false">
      <c r="A7518" s="2" t="s">
        <v>554</v>
      </c>
      <c r="C7518" s="17" t="n">
        <f aca="false">C7516-C7517</f>
        <v>3133.4771824</v>
      </c>
    </row>
    <row r="7519" customFormat="false" ht="15" hidden="false" customHeight="false" outlineLevel="0" collapsed="false">
      <c r="A7519" s="24" t="s">
        <v>555</v>
      </c>
      <c r="B7519" s="25"/>
      <c r="C7519" s="25"/>
      <c r="D7519" s="25"/>
      <c r="E7519" s="25"/>
      <c r="F7519" s="25"/>
      <c r="G7519" s="25"/>
      <c r="H7519" s="25"/>
      <c r="I7519" s="25"/>
      <c r="J7519" s="25"/>
      <c r="K7519" s="25"/>
    </row>
    <row r="7520" customFormat="false" ht="15" hidden="false" customHeight="false" outlineLevel="0" collapsed="false">
      <c r="A7520" s="3" t="s">
        <v>556</v>
      </c>
      <c r="C7520" s="16" t="n">
        <f aca="false">SUMPRODUCT($G$7508:$K$7508,$G$7265:$K$7265)*(1+SUMPRODUCT($G$7508:$K$7508,$G$7257:$K$7257)*Assumptions!$C$16/12)</f>
        <v>402.29</v>
      </c>
    </row>
    <row r="7521" customFormat="false" ht="15" hidden="false" customHeight="false" outlineLevel="0" collapsed="false">
      <c r="A7521" s="3" t="s">
        <v>557</v>
      </c>
      <c r="C7521" s="16" t="n">
        <f aca="false">SUMPRODUCT($G$7508:$K$7508,$G$7278:$K$7278)*(1+SUMPRODUCT($G$7508:$K$7508,$G$7270:$K$7270)*Assumptions!$C$16/12)</f>
        <v>91.30725</v>
      </c>
    </row>
    <row r="7522" customFormat="false" ht="15" hidden="false" customHeight="false" outlineLevel="0" collapsed="false">
      <c r="A7522" s="3" t="s">
        <v>558</v>
      </c>
      <c r="C7522" s="16" t="n">
        <f aca="false">SUMPRODUCT($G$7508:$K$7508,$G$7291:$K$7291)*(1+SUMPRODUCT($G$7508:$K$7508,$G$7283:$K$7283)*Assumptions!$C$16/12)</f>
        <v>58.3715961</v>
      </c>
    </row>
    <row r="7523" customFormat="false" ht="15" hidden="false" customHeight="false" outlineLevel="0" collapsed="false">
      <c r="A7523" s="3" t="s">
        <v>559</v>
      </c>
      <c r="C7523" s="16" t="n">
        <f aca="false">SUMPRODUCT($G$7508:$K$7508,$G$7304:$K$7304)*(1+SUMPRODUCT($G$7508:$K$7508,$G$7296:$K$7296)*Assumptions!$C$16/12)</f>
        <v>0</v>
      </c>
    </row>
    <row r="7524" customFormat="false" ht="15" hidden="false" customHeight="false" outlineLevel="0" collapsed="false">
      <c r="A7524" s="3" t="s">
        <v>560</v>
      </c>
      <c r="C7524" s="16" t="n">
        <f aca="false">SUMPRODUCT($G$7508:$K$7508,$G$7317:$K$7317)*(1+SUMPRODUCT($G$7508:$K$7508,$G$7309:$K$7309)*Assumptions!$C$16/12)</f>
        <v>386.773694972499</v>
      </c>
    </row>
    <row r="7525" customFormat="false" ht="15" hidden="false" customHeight="false" outlineLevel="0" collapsed="false">
      <c r="A7525" s="3" t="s">
        <v>561</v>
      </c>
      <c r="C7525" s="16" t="n">
        <f aca="false">SUMPRODUCT($G$7508:$K$7508,$G$7330:$K$7330)*(1+SUMPRODUCT($G$7508:$K$7508,$G$7322:$K$7322)*Assumptions!$C$16/12)</f>
        <v>357.2625</v>
      </c>
    </row>
    <row r="7526" customFormat="false" ht="15" hidden="false" customHeight="false" outlineLevel="0" collapsed="false">
      <c r="A7526" s="3" t="s">
        <v>562</v>
      </c>
      <c r="C7526" s="16" t="n">
        <f aca="false">SUMPRODUCT($G$7508:$K$7508,$G$7343:$K$7343)*(1+SUMPRODUCT($G$7508:$K$7508,$G$7335:$K$7335)*Assumptions!$C$16/12)</f>
        <v>562.203125</v>
      </c>
    </row>
    <row r="7527" customFormat="false" ht="15" hidden="false" customHeight="false" outlineLevel="0" collapsed="false">
      <c r="A7527" s="3" t="s">
        <v>563</v>
      </c>
      <c r="C7527" s="16" t="n">
        <f aca="false">SUMPRODUCT($G$7508:$K$7508,$G$7356:$K$7356)*(1+SUMPRODUCT($G$7508:$K$7508,$G$7348:$K$7348)*Assumptions!$C$16/12)</f>
        <v>353.98125</v>
      </c>
    </row>
    <row r="7528" customFormat="false" ht="15" hidden="false" customHeight="false" outlineLevel="0" collapsed="false">
      <c r="A7528" s="3" t="s">
        <v>564</v>
      </c>
      <c r="C7528" s="16" t="n">
        <f aca="false">SUMPRODUCT($G$7508:$K$7508,$G$7369:$K$7369)*(1+SUMPRODUCT($G$7508:$K$7508,$G$7361:$K$7361)*Assumptions!$C$16/12)</f>
        <v>304.59375</v>
      </c>
    </row>
    <row r="7529" customFormat="false" ht="15" hidden="false" customHeight="false" outlineLevel="0" collapsed="false">
      <c r="A7529" s="3" t="s">
        <v>565</v>
      </c>
      <c r="C7529" s="16" t="n">
        <f aca="false">SUMPRODUCT($G$7508:$K$7508,$G$7382:$K$7382)*(1+SUMPRODUCT($G$7508:$K$7508,$G$7374:$K$7374)*Assumptions!$C$16/12)</f>
        <v>79.938509</v>
      </c>
    </row>
    <row r="7530" customFormat="false" ht="15" hidden="false" customHeight="false" outlineLevel="0" collapsed="false">
      <c r="A7530" s="24" t="s">
        <v>566</v>
      </c>
      <c r="B7530" s="25"/>
      <c r="C7530" s="25"/>
      <c r="D7530" s="25"/>
      <c r="E7530" s="25"/>
      <c r="F7530" s="25"/>
      <c r="G7530" s="25"/>
      <c r="H7530" s="25"/>
      <c r="I7530" s="25"/>
      <c r="J7530" s="25"/>
      <c r="K7530" s="25"/>
    </row>
    <row r="7531" customFormat="false" ht="15" hidden="false" customHeight="false" outlineLevel="0" collapsed="false">
      <c r="A7531" s="3" t="s">
        <v>556</v>
      </c>
      <c r="C7531" s="27" t="n">
        <f aca="false">Assumptions!$M$57</f>
        <v>1</v>
      </c>
    </row>
    <row r="7532" customFormat="false" ht="15" hidden="false" customHeight="false" outlineLevel="0" collapsed="false">
      <c r="A7532" s="3" t="s">
        <v>557</v>
      </c>
      <c r="C7532" s="27" t="n">
        <f aca="false">Assumptions!$M$58</f>
        <v>1</v>
      </c>
    </row>
    <row r="7533" customFormat="false" ht="15" hidden="false" customHeight="false" outlineLevel="0" collapsed="false">
      <c r="A7533" s="3" t="s">
        <v>558</v>
      </c>
      <c r="C7533" s="27" t="n">
        <f aca="false">Assumptions!$M$59</f>
        <v>1</v>
      </c>
    </row>
    <row r="7534" customFormat="false" ht="15" hidden="false" customHeight="false" outlineLevel="0" collapsed="false">
      <c r="A7534" s="3" t="s">
        <v>559</v>
      </c>
      <c r="C7534" s="27" t="n">
        <f aca="false">Assumptions!$M$60</f>
        <v>2</v>
      </c>
    </row>
    <row r="7535" customFormat="false" ht="15" hidden="false" customHeight="false" outlineLevel="0" collapsed="false">
      <c r="A7535" s="3" t="s">
        <v>560</v>
      </c>
      <c r="C7535" s="27" t="n">
        <f aca="false">Assumptions!$M$61</f>
        <v>2</v>
      </c>
    </row>
    <row r="7536" customFormat="false" ht="15" hidden="false" customHeight="false" outlineLevel="0" collapsed="false">
      <c r="A7536" s="3" t="s">
        <v>561</v>
      </c>
      <c r="C7536" s="27" t="n">
        <f aca="false">Assumptions!$M$62</f>
        <v>2</v>
      </c>
    </row>
    <row r="7537" customFormat="false" ht="15" hidden="false" customHeight="false" outlineLevel="0" collapsed="false">
      <c r="A7537" s="3" t="s">
        <v>562</v>
      </c>
      <c r="C7537" s="27" t="n">
        <f aca="false">Assumptions!$M$63</f>
        <v>2</v>
      </c>
    </row>
    <row r="7538" customFormat="false" ht="15" hidden="false" customHeight="false" outlineLevel="0" collapsed="false">
      <c r="A7538" s="3" t="s">
        <v>563</v>
      </c>
      <c r="C7538" s="27" t="n">
        <f aca="false">Assumptions!$M$64</f>
        <v>2</v>
      </c>
    </row>
    <row r="7539" customFormat="false" ht="15" hidden="false" customHeight="false" outlineLevel="0" collapsed="false">
      <c r="A7539" s="3" t="s">
        <v>564</v>
      </c>
      <c r="C7539" s="27" t="n">
        <f aca="false">Assumptions!$M$65</f>
        <v>2</v>
      </c>
    </row>
    <row r="7540" customFormat="false" ht="15" hidden="false" customHeight="false" outlineLevel="0" collapsed="false">
      <c r="A7540" s="3" t="s">
        <v>565</v>
      </c>
      <c r="C7540" s="27" t="n">
        <f aca="false">Assumptions!$M$66</f>
        <v>3</v>
      </c>
    </row>
    <row r="7541" customFormat="false" ht="15" hidden="false" customHeight="false" outlineLevel="0" collapsed="false">
      <c r="A7541" s="24" t="s">
        <v>567</v>
      </c>
      <c r="B7541" s="25"/>
      <c r="C7541" s="25"/>
      <c r="D7541" s="25"/>
      <c r="E7541" s="25"/>
      <c r="F7541" s="25"/>
      <c r="G7541" s="25"/>
      <c r="H7541" s="25"/>
      <c r="I7541" s="25"/>
      <c r="J7541" s="25"/>
      <c r="K7541" s="25"/>
    </row>
    <row r="7542" customFormat="false" ht="15" hidden="false" customHeight="false" outlineLevel="0" collapsed="false">
      <c r="A7542" s="3" t="s">
        <v>556</v>
      </c>
      <c r="C7542" s="33" t="n">
        <f aca="false">Assumptions!$Q$57</f>
        <v>0.3</v>
      </c>
    </row>
    <row r="7543" customFormat="false" ht="15" hidden="false" customHeight="false" outlineLevel="0" collapsed="false">
      <c r="A7543" s="3" t="s">
        <v>557</v>
      </c>
      <c r="C7543" s="33" t="n">
        <f aca="false">Assumptions!$Q$58</f>
        <v>0.033</v>
      </c>
    </row>
    <row r="7544" customFormat="false" ht="15" hidden="false" customHeight="false" outlineLevel="0" collapsed="false">
      <c r="A7544" s="3" t="s">
        <v>558</v>
      </c>
      <c r="C7544" s="33" t="n">
        <f aca="false">Assumptions!$Q$59</f>
        <v>0.021</v>
      </c>
    </row>
    <row r="7545" customFormat="false" ht="15" hidden="false" customHeight="false" outlineLevel="0" collapsed="false">
      <c r="A7545" s="3" t="s">
        <v>559</v>
      </c>
      <c r="C7545" s="33" t="n">
        <f aca="false">Assumptions!$Q$60</f>
        <v>0</v>
      </c>
    </row>
    <row r="7546" customFormat="false" ht="15" hidden="false" customHeight="false" outlineLevel="0" collapsed="false">
      <c r="A7546" s="3" t="s">
        <v>560</v>
      </c>
      <c r="C7546" s="33" t="n">
        <f aca="false">Assumptions!$Q$61</f>
        <v>0</v>
      </c>
    </row>
    <row r="7547" customFormat="false" ht="15" hidden="false" customHeight="false" outlineLevel="0" collapsed="false">
      <c r="A7547" s="3" t="s">
        <v>561</v>
      </c>
      <c r="C7547" s="33" t="n">
        <f aca="false">Assumptions!$Q$62</f>
        <v>0</v>
      </c>
    </row>
    <row r="7548" customFormat="false" ht="15" hidden="false" customHeight="false" outlineLevel="0" collapsed="false">
      <c r="A7548" s="3" t="s">
        <v>562</v>
      </c>
      <c r="C7548" s="33" t="n">
        <f aca="false">Assumptions!$Q$63</f>
        <v>0</v>
      </c>
    </row>
    <row r="7549" customFormat="false" ht="15" hidden="false" customHeight="false" outlineLevel="0" collapsed="false">
      <c r="A7549" s="3" t="s">
        <v>563</v>
      </c>
      <c r="C7549" s="33" t="n">
        <f aca="false">Assumptions!$Q$64</f>
        <v>0</v>
      </c>
    </row>
    <row r="7550" customFormat="false" ht="15" hidden="false" customHeight="false" outlineLevel="0" collapsed="false">
      <c r="A7550" s="3" t="s">
        <v>564</v>
      </c>
      <c r="C7550" s="33" t="n">
        <f aca="false">Assumptions!$Q$65</f>
        <v>0</v>
      </c>
    </row>
    <row r="7551" customFormat="false" ht="15" hidden="false" customHeight="false" outlineLevel="0" collapsed="false">
      <c r="A7551" s="3" t="s">
        <v>565</v>
      </c>
      <c r="C7551" s="33" t="n">
        <f aca="false">Assumptions!$Q$66</f>
        <v>0</v>
      </c>
    </row>
    <row r="7552" customFormat="false" ht="15" hidden="false" customHeight="false" outlineLevel="0" collapsed="false">
      <c r="A7552" s="24" t="s">
        <v>568</v>
      </c>
      <c r="B7552" s="25"/>
      <c r="C7552" s="25"/>
      <c r="D7552" s="25"/>
      <c r="E7552" s="25"/>
      <c r="F7552" s="25"/>
      <c r="G7552" s="25"/>
      <c r="H7552" s="25"/>
      <c r="I7552" s="25"/>
      <c r="J7552" s="25"/>
      <c r="K7552" s="25"/>
    </row>
    <row r="7553" customFormat="false" ht="15" hidden="false" customHeight="false" outlineLevel="0" collapsed="false">
      <c r="A7553" s="3" t="s">
        <v>556</v>
      </c>
      <c r="C7553" s="16" t="n">
        <f aca="false">IF(C7542&gt;0,MIN(C7520,C7542*$C$7518),0)</f>
        <v>402.29</v>
      </c>
    </row>
    <row r="7554" customFormat="false" ht="15" hidden="false" customHeight="false" outlineLevel="0" collapsed="false">
      <c r="A7554" s="3" t="s">
        <v>557</v>
      </c>
      <c r="C7554" s="16" t="n">
        <f aca="false">IF(C7543&gt;0,MIN(C7521,C7543*$C$7518),0)</f>
        <v>91.30725</v>
      </c>
    </row>
    <row r="7555" customFormat="false" ht="15" hidden="false" customHeight="false" outlineLevel="0" collapsed="false">
      <c r="A7555" s="3" t="s">
        <v>558</v>
      </c>
      <c r="C7555" s="16" t="n">
        <f aca="false">IF(C7544&gt;0,MIN(C7522,C7544*$C$7518),0)</f>
        <v>58.3715961</v>
      </c>
    </row>
    <row r="7556" customFormat="false" ht="15" hidden="false" customHeight="false" outlineLevel="0" collapsed="false">
      <c r="A7556" s="3" t="s">
        <v>559</v>
      </c>
      <c r="C7556" s="16" t="n">
        <f aca="false">IF(C7545&gt;0,MIN(C7523,C7545*$C$7518),0)</f>
        <v>0</v>
      </c>
    </row>
    <row r="7557" customFormat="false" ht="15" hidden="false" customHeight="false" outlineLevel="0" collapsed="false">
      <c r="A7557" s="3" t="s">
        <v>560</v>
      </c>
      <c r="C7557" s="16" t="n">
        <f aca="false">IF(C7546&gt;0,MIN(C7524,C7546*$C$7518),0)</f>
        <v>0</v>
      </c>
    </row>
    <row r="7558" customFormat="false" ht="15" hidden="false" customHeight="false" outlineLevel="0" collapsed="false">
      <c r="A7558" s="3" t="s">
        <v>561</v>
      </c>
      <c r="C7558" s="16" t="n">
        <f aca="false">IF(C7547&gt;0,MIN(C7525,C7547*$C$7518),0)</f>
        <v>0</v>
      </c>
    </row>
    <row r="7559" customFormat="false" ht="15" hidden="false" customHeight="false" outlineLevel="0" collapsed="false">
      <c r="A7559" s="3" t="s">
        <v>562</v>
      </c>
      <c r="C7559" s="16" t="n">
        <f aca="false">IF(C7548&gt;0,MIN(C7526,C7548*$C$7518),0)</f>
        <v>0</v>
      </c>
    </row>
    <row r="7560" customFormat="false" ht="15" hidden="false" customHeight="false" outlineLevel="0" collapsed="false">
      <c r="A7560" s="3" t="s">
        <v>563</v>
      </c>
      <c r="C7560" s="16" t="n">
        <f aca="false">IF(C7549&gt;0,MIN(C7527,C7549*$C$7518),0)</f>
        <v>0</v>
      </c>
    </row>
    <row r="7561" customFormat="false" ht="15" hidden="false" customHeight="false" outlineLevel="0" collapsed="false">
      <c r="A7561" s="3" t="s">
        <v>564</v>
      </c>
      <c r="C7561" s="16" t="n">
        <f aca="false">IF(C7550&gt;0,MIN(C7528,C7550*$C$7518),0)</f>
        <v>0</v>
      </c>
    </row>
    <row r="7562" customFormat="false" ht="15" hidden="false" customHeight="false" outlineLevel="0" collapsed="false">
      <c r="A7562" s="3" t="s">
        <v>565</v>
      </c>
      <c r="C7562" s="16" t="n">
        <f aca="false">IF(C7551&gt;0,MIN(C7529,C7551*$C$7518),0)</f>
        <v>0</v>
      </c>
    </row>
    <row r="7563" customFormat="false" ht="15" hidden="false" customHeight="false" outlineLevel="0" collapsed="false">
      <c r="A7563" s="24" t="s">
        <v>569</v>
      </c>
      <c r="B7563" s="25"/>
      <c r="C7563" s="25"/>
      <c r="D7563" s="25"/>
      <c r="E7563" s="25"/>
      <c r="F7563" s="25"/>
      <c r="G7563" s="25"/>
      <c r="H7563" s="25"/>
      <c r="I7563" s="25"/>
      <c r="J7563" s="25"/>
      <c r="K7563" s="25"/>
    </row>
    <row r="7564" customFormat="false" ht="15" hidden="false" customHeight="false" outlineLevel="0" collapsed="false">
      <c r="A7564" s="3" t="s">
        <v>556</v>
      </c>
      <c r="C7564" s="16" t="n">
        <f aca="false">IF(C7542&gt;0,C7520-C7553,0)</f>
        <v>0</v>
      </c>
      <c r="G7564" s="21" t="n">
        <f aca="false">IF(AND(G7255=1,G7252=1),1,0)</f>
        <v>0</v>
      </c>
      <c r="H7564" s="21" t="n">
        <f aca="false">IF(G7564=1,1,IF(AND(H7255=1,H7252=1),1,0))</f>
        <v>0</v>
      </c>
      <c r="I7564" s="21" t="n">
        <f aca="false">IF(H7564=1,1,IF(AND(I7255=1,I7252=1),1,0))</f>
        <v>0</v>
      </c>
      <c r="J7564" s="21" t="n">
        <f aca="false">IF(I7564=1,1,IF(AND(J7255=1,J7252=1),1,0))</f>
        <v>0</v>
      </c>
      <c r="K7564" s="21" t="n">
        <f aca="false">IF(J7564=1,1,IF(AND(K7255=1,K7252=1),1,0))</f>
        <v>0</v>
      </c>
    </row>
    <row r="7565" customFormat="false" ht="15" hidden="false" customHeight="false" outlineLevel="0" collapsed="false">
      <c r="A7565" s="3" t="s">
        <v>557</v>
      </c>
      <c r="C7565" s="16" t="n">
        <f aca="false">IF(C7543&gt;0,C7521-C7554,0)</f>
        <v>0</v>
      </c>
      <c r="G7565" s="21" t="n">
        <f aca="false">IF(AND(G7268=1,G7252=1),1,0)</f>
        <v>0</v>
      </c>
      <c r="H7565" s="21" t="n">
        <f aca="false">IF(G7565=1,1,IF(AND(H7268=1,H7252=1),1,0))</f>
        <v>0</v>
      </c>
      <c r="I7565" s="21" t="n">
        <f aca="false">IF(H7565=1,1,IF(AND(I7268=1,I7252=1),1,0))</f>
        <v>0</v>
      </c>
      <c r="J7565" s="21" t="n">
        <f aca="false">IF(I7565=1,1,IF(AND(J7268=1,J7252=1),1,0))</f>
        <v>0</v>
      </c>
      <c r="K7565" s="21" t="n">
        <f aca="false">IF(J7565=1,1,IF(AND(K7268=1,K7252=1),1,0))</f>
        <v>0</v>
      </c>
    </row>
    <row r="7566" customFormat="false" ht="15" hidden="false" customHeight="false" outlineLevel="0" collapsed="false">
      <c r="A7566" s="3" t="s">
        <v>558</v>
      </c>
      <c r="C7566" s="16" t="n">
        <f aca="false">IF(C7544&gt;0,C7522-C7555,0)</f>
        <v>0</v>
      </c>
      <c r="G7566" s="21" t="n">
        <f aca="false">IF(AND(G7281=1,G7252=1),1,0)</f>
        <v>0</v>
      </c>
      <c r="H7566" s="21" t="n">
        <f aca="false">IF(G7566=1,1,IF(AND(H7281=1,H7252=1),1,0))</f>
        <v>0</v>
      </c>
      <c r="I7566" s="21" t="n">
        <f aca="false">IF(H7566=1,1,IF(AND(I7281=1,I7252=1),1,0))</f>
        <v>0</v>
      </c>
      <c r="J7566" s="21" t="n">
        <f aca="false">IF(I7566=1,1,IF(AND(J7281=1,J7252=1),1,0))</f>
        <v>0</v>
      </c>
      <c r="K7566" s="21" t="n">
        <f aca="false">IF(J7566=1,1,IF(AND(K7281=1,K7252=1),1,0))</f>
        <v>0</v>
      </c>
    </row>
    <row r="7567" customFormat="false" ht="15" hidden="false" customHeight="false" outlineLevel="0" collapsed="false">
      <c r="A7567" s="3" t="s">
        <v>559</v>
      </c>
      <c r="C7567" s="16" t="n">
        <f aca="false">IF(C7545&gt;0,C7523-C7556,0)</f>
        <v>0</v>
      </c>
      <c r="G7567" s="21" t="n">
        <f aca="false">IF(AND(G7294=1,G7252=1),1,0)</f>
        <v>0</v>
      </c>
      <c r="H7567" s="21" t="n">
        <f aca="false">IF(G7567=1,1,IF(AND(H7294=1,H7252=1),1,0))</f>
        <v>0</v>
      </c>
      <c r="I7567" s="21" t="n">
        <f aca="false">IF(H7567=1,1,IF(AND(I7294=1,I7252=1),1,0))</f>
        <v>0</v>
      </c>
      <c r="J7567" s="21" t="n">
        <f aca="false">IF(I7567=1,1,IF(AND(J7294=1,J7252=1),1,0))</f>
        <v>0</v>
      </c>
      <c r="K7567" s="21" t="n">
        <f aca="false">IF(J7567=1,1,IF(AND(K7294=1,K7252=1),1,0))</f>
        <v>0</v>
      </c>
    </row>
    <row r="7568" customFormat="false" ht="15" hidden="false" customHeight="false" outlineLevel="0" collapsed="false">
      <c r="A7568" s="3" t="s">
        <v>560</v>
      </c>
      <c r="C7568" s="16" t="n">
        <f aca="false">IF(C7546&gt;0,C7524-C7557,0)</f>
        <v>0</v>
      </c>
      <c r="G7568" s="21" t="n">
        <f aca="false">IF(AND(G7307=1,G7252=1),1,0)</f>
        <v>0</v>
      </c>
      <c r="H7568" s="21" t="n">
        <f aca="false">IF(G7568=1,1,IF(AND(H7307=1,H7252=1),1,0))</f>
        <v>0</v>
      </c>
      <c r="I7568" s="21" t="n">
        <f aca="false">IF(H7568=1,1,IF(AND(I7307=1,I7252=1),1,0))</f>
        <v>0</v>
      </c>
      <c r="J7568" s="21" t="n">
        <f aca="false">IF(I7568=1,1,IF(AND(J7307=1,J7252=1),1,0))</f>
        <v>0</v>
      </c>
      <c r="K7568" s="21" t="n">
        <f aca="false">IF(J7568=1,1,IF(AND(K7307=1,K7252=1),1,0))</f>
        <v>0</v>
      </c>
    </row>
    <row r="7569" customFormat="false" ht="15" hidden="false" customHeight="false" outlineLevel="0" collapsed="false">
      <c r="A7569" s="3" t="s">
        <v>561</v>
      </c>
      <c r="C7569" s="16" t="n">
        <f aca="false">IF(C7547&gt;0,C7525-C7558,0)</f>
        <v>0</v>
      </c>
      <c r="G7569" s="21" t="n">
        <f aca="false">IF(AND(G7320=1,G7252=1),1,0)</f>
        <v>0</v>
      </c>
      <c r="H7569" s="21" t="n">
        <f aca="false">IF(G7569=1,1,IF(AND(H7320=1,H7252=1),1,0))</f>
        <v>0</v>
      </c>
      <c r="I7569" s="21" t="n">
        <f aca="false">IF(H7569=1,1,IF(AND(I7320=1,I7252=1),1,0))</f>
        <v>0</v>
      </c>
      <c r="J7569" s="21" t="n">
        <f aca="false">IF(I7569=1,1,IF(AND(J7320=1,J7252=1),1,0))</f>
        <v>0</v>
      </c>
      <c r="K7569" s="21" t="n">
        <f aca="false">IF(J7569=1,1,IF(AND(K7320=1,K7252=1),1,0))</f>
        <v>0</v>
      </c>
    </row>
    <row r="7570" customFormat="false" ht="15" hidden="false" customHeight="false" outlineLevel="0" collapsed="false">
      <c r="A7570" s="3" t="s">
        <v>562</v>
      </c>
      <c r="C7570" s="16" t="n">
        <f aca="false">IF(C7548&gt;0,C7526-C7559,0)</f>
        <v>0</v>
      </c>
      <c r="G7570" s="21" t="n">
        <f aca="false">IF(AND(G7333=1,G7252=1),1,0)</f>
        <v>0</v>
      </c>
      <c r="H7570" s="21" t="n">
        <f aca="false">IF(G7570=1,1,IF(AND(H7333=1,H7252=1),1,0))</f>
        <v>0</v>
      </c>
      <c r="I7570" s="21" t="n">
        <f aca="false">IF(H7570=1,1,IF(AND(I7333=1,I7252=1),1,0))</f>
        <v>0</v>
      </c>
      <c r="J7570" s="21" t="n">
        <f aca="false">IF(I7570=1,1,IF(AND(J7333=1,J7252=1),1,0))</f>
        <v>0</v>
      </c>
      <c r="K7570" s="21" t="n">
        <f aca="false">IF(J7570=1,1,IF(AND(K7333=1,K7252=1),1,0))</f>
        <v>0</v>
      </c>
    </row>
    <row r="7571" customFormat="false" ht="15" hidden="false" customHeight="false" outlineLevel="0" collapsed="false">
      <c r="A7571" s="3" t="s">
        <v>563</v>
      </c>
      <c r="C7571" s="16" t="n">
        <f aca="false">IF(C7549&gt;0,C7527-C7560,0)</f>
        <v>0</v>
      </c>
      <c r="G7571" s="21" t="n">
        <f aca="false">IF(AND(G7346=1,G7252=1),1,0)</f>
        <v>0</v>
      </c>
      <c r="H7571" s="21" t="n">
        <f aca="false">IF(G7571=1,1,IF(AND(H7346=1,H7252=1),1,0))</f>
        <v>0</v>
      </c>
      <c r="I7571" s="21" t="n">
        <f aca="false">IF(H7571=1,1,IF(AND(I7346=1,I7252=1),1,0))</f>
        <v>0</v>
      </c>
      <c r="J7571" s="21" t="n">
        <f aca="false">IF(I7571=1,1,IF(AND(J7346=1,J7252=1),1,0))</f>
        <v>0</v>
      </c>
      <c r="K7571" s="21" t="n">
        <f aca="false">IF(J7571=1,1,IF(AND(K7346=1,K7252=1),1,0))</f>
        <v>0</v>
      </c>
    </row>
    <row r="7572" customFormat="false" ht="15" hidden="false" customHeight="false" outlineLevel="0" collapsed="false">
      <c r="A7572" s="3" t="s">
        <v>564</v>
      </c>
      <c r="C7572" s="16" t="n">
        <f aca="false">IF(C7550&gt;0,C7528-C7561,0)</f>
        <v>0</v>
      </c>
      <c r="G7572" s="21" t="n">
        <f aca="false">IF(AND(G7359=1,G7252=1),1,0)</f>
        <v>0</v>
      </c>
      <c r="H7572" s="21" t="n">
        <f aca="false">IF(G7572=1,1,IF(AND(H7359=1,H7252=1),1,0))</f>
        <v>0</v>
      </c>
      <c r="I7572" s="21" t="n">
        <f aca="false">IF(H7572=1,1,IF(AND(I7359=1,I7252=1),1,0))</f>
        <v>0</v>
      </c>
      <c r="J7572" s="21" t="n">
        <f aca="false">IF(I7572=1,1,IF(AND(J7359=1,J7252=1),1,0))</f>
        <v>0</v>
      </c>
      <c r="K7572" s="21" t="n">
        <f aca="false">IF(J7572=1,1,IF(AND(K7359=1,K7252=1),1,0))</f>
        <v>0</v>
      </c>
    </row>
    <row r="7573" customFormat="false" ht="15" hidden="false" customHeight="false" outlineLevel="0" collapsed="false">
      <c r="A7573" s="3" t="s">
        <v>565</v>
      </c>
      <c r="C7573" s="16" t="n">
        <f aca="false">IF(C7551&gt;0,C7529-C7562,0)</f>
        <v>0</v>
      </c>
      <c r="G7573" s="21" t="n">
        <f aca="false">IF(AND(G7372=1,G7252=1),1,0)</f>
        <v>0</v>
      </c>
      <c r="H7573" s="21" t="n">
        <f aca="false">IF(G7573=1,1,IF(AND(H7372=1,H7252=1),1,0))</f>
        <v>0</v>
      </c>
      <c r="I7573" s="21" t="n">
        <f aca="false">IF(H7573=1,1,IF(AND(I7372=1,I7252=1),1,0))</f>
        <v>0</v>
      </c>
      <c r="J7573" s="21" t="n">
        <f aca="false">IF(I7573=1,1,IF(AND(J7372=1,J7252=1),1,0))</f>
        <v>0</v>
      </c>
      <c r="K7573" s="21" t="n">
        <f aca="false">IF(J7573=1,1,IF(AND(K7372=1,K7252=1),1,0))</f>
        <v>0</v>
      </c>
    </row>
    <row r="7574" customFormat="false" ht="15" hidden="false" customHeight="false" outlineLevel="0" collapsed="false">
      <c r="A7574" s="24" t="s">
        <v>570</v>
      </c>
      <c r="B7574" s="25"/>
      <c r="C7574" s="25"/>
      <c r="D7574" s="25"/>
      <c r="E7574" s="25"/>
      <c r="F7574" s="25"/>
      <c r="G7574" s="25"/>
      <c r="H7574" s="25"/>
      <c r="I7574" s="25"/>
      <c r="J7574" s="25"/>
      <c r="K7574" s="25"/>
    </row>
    <row r="7575" customFormat="false" ht="15" hidden="false" customHeight="false" outlineLevel="0" collapsed="false">
      <c r="A7575" s="3" t="s">
        <v>556</v>
      </c>
      <c r="C7575" s="16" t="n">
        <f aca="false">IF(C7542&gt;0,C7564,C7520)</f>
        <v>0</v>
      </c>
    </row>
    <row r="7576" customFormat="false" ht="15" hidden="false" customHeight="false" outlineLevel="0" collapsed="false">
      <c r="A7576" s="3" t="s">
        <v>557</v>
      </c>
      <c r="C7576" s="16" t="n">
        <f aca="false">IF(C7543&gt;0,C7565,C7521)</f>
        <v>0</v>
      </c>
    </row>
    <row r="7577" customFormat="false" ht="15" hidden="false" customHeight="false" outlineLevel="0" collapsed="false">
      <c r="A7577" s="3" t="s">
        <v>558</v>
      </c>
      <c r="C7577" s="16" t="n">
        <f aca="false">IF(C7544&gt;0,C7566,C7522)</f>
        <v>0</v>
      </c>
    </row>
    <row r="7578" customFormat="false" ht="15" hidden="false" customHeight="false" outlineLevel="0" collapsed="false">
      <c r="A7578" s="3" t="s">
        <v>559</v>
      </c>
      <c r="C7578" s="16" t="n">
        <f aca="false">IF(C7545&gt;0,C7567,C7523)</f>
        <v>0</v>
      </c>
    </row>
    <row r="7579" customFormat="false" ht="15" hidden="false" customHeight="false" outlineLevel="0" collapsed="false">
      <c r="A7579" s="3" t="s">
        <v>560</v>
      </c>
      <c r="C7579" s="16" t="n">
        <f aca="false">IF(C7546&gt;0,C7568,C7524)</f>
        <v>386.773694972499</v>
      </c>
    </row>
    <row r="7580" customFormat="false" ht="15" hidden="false" customHeight="false" outlineLevel="0" collapsed="false">
      <c r="A7580" s="3" t="s">
        <v>561</v>
      </c>
      <c r="C7580" s="16" t="n">
        <f aca="false">IF(C7547&gt;0,C7569,C7525)</f>
        <v>357.2625</v>
      </c>
    </row>
    <row r="7581" customFormat="false" ht="15" hidden="false" customHeight="false" outlineLevel="0" collapsed="false">
      <c r="A7581" s="3" t="s">
        <v>562</v>
      </c>
      <c r="C7581" s="16" t="n">
        <f aca="false">IF(C7548&gt;0,C7570,C7526)</f>
        <v>562.203125</v>
      </c>
    </row>
    <row r="7582" customFormat="false" ht="15" hidden="false" customHeight="false" outlineLevel="0" collapsed="false">
      <c r="A7582" s="3" t="s">
        <v>563</v>
      </c>
      <c r="C7582" s="16" t="n">
        <f aca="false">IF(C7549&gt;0,C7571,C7527)</f>
        <v>353.98125</v>
      </c>
    </row>
    <row r="7583" customFormat="false" ht="15" hidden="false" customHeight="false" outlineLevel="0" collapsed="false">
      <c r="A7583" s="3" t="s">
        <v>564</v>
      </c>
      <c r="C7583" s="16" t="n">
        <f aca="false">IF(C7550&gt;0,C7572,C7528)</f>
        <v>304.59375</v>
      </c>
    </row>
    <row r="7584" customFormat="false" ht="15" hidden="false" customHeight="false" outlineLevel="0" collapsed="false">
      <c r="A7584" s="3" t="s">
        <v>565</v>
      </c>
      <c r="C7584" s="16" t="n">
        <f aca="false">IF(C7551&gt;0,C7573,C7529)</f>
        <v>79.938509</v>
      </c>
    </row>
    <row r="7585" customFormat="false" ht="15" hidden="false" customHeight="false" outlineLevel="0" collapsed="false">
      <c r="A7585" s="24" t="s">
        <v>571</v>
      </c>
      <c r="B7585" s="25"/>
      <c r="C7585" s="25"/>
      <c r="D7585" s="25"/>
      <c r="E7585" s="25"/>
      <c r="F7585" s="25"/>
      <c r="G7585" s="25"/>
      <c r="H7585" s="25"/>
      <c r="I7585" s="25"/>
      <c r="J7585" s="25"/>
      <c r="K7585" s="25"/>
    </row>
    <row r="7586" customFormat="false" ht="15" hidden="false" customHeight="false" outlineLevel="0" collapsed="false">
      <c r="A7586" s="3" t="s">
        <v>556</v>
      </c>
      <c r="C7586" s="21" t="n">
        <f aca="false">IF(C7542&gt;0,Assumptions!$C$17,C7531)</f>
        <v>99</v>
      </c>
    </row>
    <row r="7587" customFormat="false" ht="15" hidden="false" customHeight="false" outlineLevel="0" collapsed="false">
      <c r="A7587" s="3" t="s">
        <v>557</v>
      </c>
      <c r="C7587" s="21" t="n">
        <f aca="false">IF(C7543&gt;0,Assumptions!$C$17,C7532)</f>
        <v>99</v>
      </c>
    </row>
    <row r="7588" customFormat="false" ht="15" hidden="false" customHeight="false" outlineLevel="0" collapsed="false">
      <c r="A7588" s="3" t="s">
        <v>558</v>
      </c>
      <c r="C7588" s="21" t="n">
        <f aca="false">IF(C7544&gt;0,Assumptions!$C$17,C7533)</f>
        <v>99</v>
      </c>
    </row>
    <row r="7589" customFormat="false" ht="15" hidden="false" customHeight="false" outlineLevel="0" collapsed="false">
      <c r="A7589" s="3" t="s">
        <v>559</v>
      </c>
      <c r="C7589" s="21" t="n">
        <f aca="false">IF(C7545&gt;0,Assumptions!$C$17,C7534)</f>
        <v>2</v>
      </c>
    </row>
    <row r="7590" customFormat="false" ht="15" hidden="false" customHeight="false" outlineLevel="0" collapsed="false">
      <c r="A7590" s="3" t="s">
        <v>560</v>
      </c>
      <c r="C7590" s="21" t="n">
        <f aca="false">IF(C7546&gt;0,Assumptions!$C$17,C7535)</f>
        <v>2</v>
      </c>
    </row>
    <row r="7591" customFormat="false" ht="15" hidden="false" customHeight="false" outlineLevel="0" collapsed="false">
      <c r="A7591" s="3" t="s">
        <v>561</v>
      </c>
      <c r="C7591" s="21" t="n">
        <f aca="false">IF(C7547&gt;0,Assumptions!$C$17,C7536)</f>
        <v>2</v>
      </c>
    </row>
    <row r="7592" customFormat="false" ht="15" hidden="false" customHeight="false" outlineLevel="0" collapsed="false">
      <c r="A7592" s="3" t="s">
        <v>562</v>
      </c>
      <c r="C7592" s="21" t="n">
        <f aca="false">IF(C7548&gt;0,Assumptions!$C$17,C7537)</f>
        <v>2</v>
      </c>
    </row>
    <row r="7593" customFormat="false" ht="15" hidden="false" customHeight="false" outlineLevel="0" collapsed="false">
      <c r="A7593" s="3" t="s">
        <v>563</v>
      </c>
      <c r="C7593" s="21" t="n">
        <f aca="false">IF(C7549&gt;0,Assumptions!$C$17,C7538)</f>
        <v>2</v>
      </c>
    </row>
    <row r="7594" customFormat="false" ht="15" hidden="false" customHeight="false" outlineLevel="0" collapsed="false">
      <c r="A7594" s="3" t="s">
        <v>564</v>
      </c>
      <c r="C7594" s="21" t="n">
        <f aca="false">IF(C7550&gt;0,Assumptions!$C$17,C7539)</f>
        <v>2</v>
      </c>
    </row>
    <row r="7595" customFormat="false" ht="15" hidden="false" customHeight="false" outlineLevel="0" collapsed="false">
      <c r="A7595" s="3" t="s">
        <v>565</v>
      </c>
      <c r="C7595" s="21" t="n">
        <f aca="false">IF(C7551&gt;0,Assumptions!$C$17,C7540)</f>
        <v>3</v>
      </c>
    </row>
    <row r="7596" customFormat="false" ht="15" hidden="false" customHeight="false" outlineLevel="0" collapsed="false">
      <c r="A7596" s="24" t="s">
        <v>572</v>
      </c>
      <c r="B7596" s="25"/>
      <c r="C7596" s="25"/>
      <c r="D7596" s="25"/>
      <c r="E7596" s="25"/>
      <c r="F7596" s="25"/>
      <c r="G7596" s="25"/>
      <c r="H7596" s="25"/>
      <c r="I7596" s="25"/>
      <c r="J7596" s="25"/>
      <c r="K7596" s="25"/>
    </row>
    <row r="7597" customFormat="false" ht="15" hidden="false" customHeight="false" outlineLevel="0" collapsed="false">
      <c r="A7597" s="3" t="s">
        <v>556</v>
      </c>
      <c r="C7597" s="16" t="n">
        <f aca="false">SUMPRODUCT(($C$7586:$C$7595&lt;C7586)*$C$7575:$C$7584)</f>
        <v>2044.7528289725</v>
      </c>
    </row>
    <row r="7598" customFormat="false" ht="15" hidden="false" customHeight="false" outlineLevel="0" collapsed="false">
      <c r="A7598" s="3" t="s">
        <v>557</v>
      </c>
      <c r="C7598" s="16" t="n">
        <f aca="false">SUMPRODUCT(($C$7586:$C$7595&lt;C7587)*$C$7575:$C$7584)</f>
        <v>2044.7528289725</v>
      </c>
    </row>
    <row r="7599" customFormat="false" ht="15" hidden="false" customHeight="false" outlineLevel="0" collapsed="false">
      <c r="A7599" s="3" t="s">
        <v>558</v>
      </c>
      <c r="C7599" s="16" t="n">
        <f aca="false">SUMPRODUCT(($C$7586:$C$7595&lt;C7588)*$C$7575:$C$7584)</f>
        <v>2044.7528289725</v>
      </c>
    </row>
    <row r="7600" customFormat="false" ht="15" hidden="false" customHeight="false" outlineLevel="0" collapsed="false">
      <c r="A7600" s="3" t="s">
        <v>559</v>
      </c>
      <c r="C7600" s="16" t="n">
        <f aca="false">SUMPRODUCT(($C$7586:$C$7595&lt;C7589)*$C$7575:$C$7584)</f>
        <v>0</v>
      </c>
    </row>
    <row r="7601" customFormat="false" ht="15" hidden="false" customHeight="false" outlineLevel="0" collapsed="false">
      <c r="A7601" s="3" t="s">
        <v>560</v>
      </c>
      <c r="C7601" s="16" t="n">
        <f aca="false">SUMPRODUCT(($C$7586:$C$7595&lt;C7590)*$C$7575:$C$7584)</f>
        <v>0</v>
      </c>
    </row>
    <row r="7602" customFormat="false" ht="15" hidden="false" customHeight="false" outlineLevel="0" collapsed="false">
      <c r="A7602" s="3" t="s">
        <v>561</v>
      </c>
      <c r="C7602" s="16" t="n">
        <f aca="false">SUMPRODUCT(($C$7586:$C$7595&lt;C7591)*$C$7575:$C$7584)</f>
        <v>0</v>
      </c>
    </row>
    <row r="7603" customFormat="false" ht="15" hidden="false" customHeight="false" outlineLevel="0" collapsed="false">
      <c r="A7603" s="3" t="s">
        <v>562</v>
      </c>
      <c r="C7603" s="16" t="n">
        <f aca="false">SUMPRODUCT(($C$7586:$C$7595&lt;C7592)*$C$7575:$C$7584)</f>
        <v>0</v>
      </c>
    </row>
    <row r="7604" customFormat="false" ht="15" hidden="false" customHeight="false" outlineLevel="0" collapsed="false">
      <c r="A7604" s="3" t="s">
        <v>563</v>
      </c>
      <c r="C7604" s="16" t="n">
        <f aca="false">SUMPRODUCT(($C$7586:$C$7595&lt;C7593)*$C$7575:$C$7584)</f>
        <v>0</v>
      </c>
    </row>
    <row r="7605" customFormat="false" ht="15" hidden="false" customHeight="false" outlineLevel="0" collapsed="false">
      <c r="A7605" s="3" t="s">
        <v>564</v>
      </c>
      <c r="C7605" s="16" t="n">
        <f aca="false">SUMPRODUCT(($C$7586:$C$7595&lt;C7594)*$C$7575:$C$7584)</f>
        <v>0</v>
      </c>
    </row>
    <row r="7606" customFormat="false" ht="15" hidden="false" customHeight="false" outlineLevel="0" collapsed="false">
      <c r="A7606" s="3" t="s">
        <v>565</v>
      </c>
      <c r="C7606" s="16" t="n">
        <f aca="false">SUMPRODUCT(($C$7586:$C$7595&lt;C7595)*$C$7575:$C$7584)</f>
        <v>1964.8143199725</v>
      </c>
    </row>
    <row r="7607" customFormat="false" ht="15" hidden="false" customHeight="false" outlineLevel="0" collapsed="false">
      <c r="A7607" s="24" t="s">
        <v>573</v>
      </c>
      <c r="B7607" s="25"/>
      <c r="C7607" s="25"/>
      <c r="D7607" s="25"/>
      <c r="E7607" s="25"/>
      <c r="F7607" s="25"/>
      <c r="G7607" s="25"/>
      <c r="H7607" s="25"/>
      <c r="I7607" s="25"/>
      <c r="J7607" s="25"/>
      <c r="K7607" s="25"/>
    </row>
    <row r="7608" customFormat="false" ht="15" hidden="false" customHeight="false" outlineLevel="0" collapsed="false">
      <c r="A7608" s="3" t="s">
        <v>556</v>
      </c>
      <c r="C7608" s="16" t="n">
        <f aca="false">SUMPRODUCT(($C$7586:$C$7595=C7586)*$C$7575:$C$7584)</f>
        <v>0</v>
      </c>
    </row>
    <row r="7609" customFormat="false" ht="15" hidden="false" customHeight="false" outlineLevel="0" collapsed="false">
      <c r="A7609" s="3" t="s">
        <v>557</v>
      </c>
      <c r="C7609" s="16" t="n">
        <f aca="false">SUMPRODUCT(($C$7586:$C$7595=C7587)*$C$7575:$C$7584)</f>
        <v>0</v>
      </c>
    </row>
    <row r="7610" customFormat="false" ht="15" hidden="false" customHeight="false" outlineLevel="0" collapsed="false">
      <c r="A7610" s="3" t="s">
        <v>558</v>
      </c>
      <c r="C7610" s="16" t="n">
        <f aca="false">SUMPRODUCT(($C$7586:$C$7595=C7588)*$C$7575:$C$7584)</f>
        <v>0</v>
      </c>
    </row>
    <row r="7611" customFormat="false" ht="15" hidden="false" customHeight="false" outlineLevel="0" collapsed="false">
      <c r="A7611" s="3" t="s">
        <v>559</v>
      </c>
      <c r="C7611" s="16" t="n">
        <f aca="false">SUMPRODUCT(($C$7586:$C$7595=C7589)*$C$7575:$C$7584)</f>
        <v>1964.8143199725</v>
      </c>
    </row>
    <row r="7612" customFormat="false" ht="15" hidden="false" customHeight="false" outlineLevel="0" collapsed="false">
      <c r="A7612" s="3" t="s">
        <v>560</v>
      </c>
      <c r="C7612" s="16" t="n">
        <f aca="false">SUMPRODUCT(($C$7586:$C$7595=C7590)*$C$7575:$C$7584)</f>
        <v>1964.8143199725</v>
      </c>
    </row>
    <row r="7613" customFormat="false" ht="15" hidden="false" customHeight="false" outlineLevel="0" collapsed="false">
      <c r="A7613" s="3" t="s">
        <v>561</v>
      </c>
      <c r="C7613" s="16" t="n">
        <f aca="false">SUMPRODUCT(($C$7586:$C$7595=C7591)*$C$7575:$C$7584)</f>
        <v>1964.8143199725</v>
      </c>
    </row>
    <row r="7614" customFormat="false" ht="15" hidden="false" customHeight="false" outlineLevel="0" collapsed="false">
      <c r="A7614" s="3" t="s">
        <v>562</v>
      </c>
      <c r="C7614" s="16" t="n">
        <f aca="false">SUMPRODUCT(($C$7586:$C$7595=C7592)*$C$7575:$C$7584)</f>
        <v>1964.8143199725</v>
      </c>
    </row>
    <row r="7615" customFormat="false" ht="15" hidden="false" customHeight="false" outlineLevel="0" collapsed="false">
      <c r="A7615" s="3" t="s">
        <v>563</v>
      </c>
      <c r="C7615" s="16" t="n">
        <f aca="false">SUMPRODUCT(($C$7586:$C$7595=C7593)*$C$7575:$C$7584)</f>
        <v>1964.8143199725</v>
      </c>
    </row>
    <row r="7616" customFormat="false" ht="15" hidden="false" customHeight="false" outlineLevel="0" collapsed="false">
      <c r="A7616" s="3" t="s">
        <v>564</v>
      </c>
      <c r="C7616" s="16" t="n">
        <f aca="false">SUMPRODUCT(($C$7586:$C$7595=C7594)*$C$7575:$C$7584)</f>
        <v>1964.8143199725</v>
      </c>
    </row>
    <row r="7617" customFormat="false" ht="15" hidden="false" customHeight="false" outlineLevel="0" collapsed="false">
      <c r="A7617" s="3" t="s">
        <v>565</v>
      </c>
      <c r="C7617" s="16" t="n">
        <f aca="false">SUMPRODUCT(($C$7586:$C$7595=C7595)*$C$7575:$C$7584)</f>
        <v>79.938509</v>
      </c>
    </row>
    <row r="7618" customFormat="false" ht="15" hidden="false" customHeight="false" outlineLevel="0" collapsed="false">
      <c r="A7618" s="24" t="s">
        <v>574</v>
      </c>
      <c r="B7618" s="25"/>
      <c r="C7618" s="25"/>
      <c r="D7618" s="25"/>
      <c r="E7618" s="25"/>
      <c r="F7618" s="25"/>
      <c r="G7618" s="25"/>
      <c r="H7618" s="25"/>
      <c r="I7618" s="25"/>
      <c r="J7618" s="25"/>
      <c r="K7618" s="25"/>
    </row>
    <row r="7619" customFormat="false" ht="15" hidden="false" customHeight="false" outlineLevel="0" collapsed="false">
      <c r="A7619" s="3" t="s">
        <v>556</v>
      </c>
      <c r="C7619" s="16" t="n">
        <f aca="false">IF(C7608=0,0,C7575/C7608*MAX(0,MIN(C7608,$C$7518-SUM($C$7553:$C$7562)-C7597)))</f>
        <v>0</v>
      </c>
    </row>
    <row r="7620" customFormat="false" ht="15" hidden="false" customHeight="false" outlineLevel="0" collapsed="false">
      <c r="A7620" s="3" t="s">
        <v>557</v>
      </c>
      <c r="C7620" s="16" t="n">
        <f aca="false">IF(C7609=0,0,C7576/C7609*MAX(0,MIN(C7609,$C$7518-SUM($C$7553:$C$7562)-C7598)))</f>
        <v>0</v>
      </c>
    </row>
    <row r="7621" customFormat="false" ht="15" hidden="false" customHeight="false" outlineLevel="0" collapsed="false">
      <c r="A7621" s="3" t="s">
        <v>558</v>
      </c>
      <c r="C7621" s="16" t="n">
        <f aca="false">IF(C7610=0,0,C7577/C7610*MAX(0,MIN(C7610,$C$7518-SUM($C$7553:$C$7562)-C7599)))</f>
        <v>0</v>
      </c>
    </row>
    <row r="7622" customFormat="false" ht="15" hidden="false" customHeight="false" outlineLevel="0" collapsed="false">
      <c r="A7622" s="3" t="s">
        <v>559</v>
      </c>
      <c r="C7622" s="16" t="n">
        <f aca="false">IF(C7611=0,0,C7578/C7611*MAX(0,MIN(C7611,$C$7518-SUM($C$7553:$C$7562)-C7600)))</f>
        <v>0</v>
      </c>
    </row>
    <row r="7623" customFormat="false" ht="15" hidden="false" customHeight="false" outlineLevel="0" collapsed="false">
      <c r="A7623" s="3" t="s">
        <v>560</v>
      </c>
      <c r="C7623" s="16" t="n">
        <f aca="false">IF(C7612=0,0,C7579/C7612*MAX(0,MIN(C7612,$C$7518-SUM($C$7553:$C$7562)-C7601)))</f>
        <v>386.773694972499</v>
      </c>
    </row>
    <row r="7624" customFormat="false" ht="15" hidden="false" customHeight="false" outlineLevel="0" collapsed="false">
      <c r="A7624" s="3" t="s">
        <v>561</v>
      </c>
      <c r="C7624" s="16" t="n">
        <f aca="false">IF(C7613=0,0,C7580/C7613*MAX(0,MIN(C7613,$C$7518-SUM($C$7553:$C$7562)-C7602)))</f>
        <v>357.2625</v>
      </c>
    </row>
    <row r="7625" customFormat="false" ht="15" hidden="false" customHeight="false" outlineLevel="0" collapsed="false">
      <c r="A7625" s="3" t="s">
        <v>562</v>
      </c>
      <c r="C7625" s="16" t="n">
        <f aca="false">IF(C7614=0,0,C7581/C7614*MAX(0,MIN(C7614,$C$7518-SUM($C$7553:$C$7562)-C7603)))</f>
        <v>562.203125</v>
      </c>
    </row>
    <row r="7626" customFormat="false" ht="15" hidden="false" customHeight="false" outlineLevel="0" collapsed="false">
      <c r="A7626" s="3" t="s">
        <v>563</v>
      </c>
      <c r="C7626" s="16" t="n">
        <f aca="false">IF(C7615=0,0,C7582/C7615*MAX(0,MIN(C7615,$C$7518-SUM($C$7553:$C$7562)-C7604)))</f>
        <v>353.98125</v>
      </c>
    </row>
    <row r="7627" customFormat="false" ht="15" hidden="false" customHeight="false" outlineLevel="0" collapsed="false">
      <c r="A7627" s="3" t="s">
        <v>564</v>
      </c>
      <c r="C7627" s="16" t="n">
        <f aca="false">IF(C7616=0,0,C7583/C7616*MAX(0,MIN(C7616,$C$7518-SUM($C$7553:$C$7562)-C7605)))</f>
        <v>304.59375</v>
      </c>
    </row>
    <row r="7628" customFormat="false" ht="15" hidden="false" customHeight="false" outlineLevel="0" collapsed="false">
      <c r="A7628" s="3" t="s">
        <v>565</v>
      </c>
      <c r="C7628" s="16" t="n">
        <f aca="false">IF(C7617=0,0,C7584/C7617*MAX(0,MIN(C7617,$C$7518-SUM($C$7553:$C$7562)-C7606)))</f>
        <v>79.938509</v>
      </c>
    </row>
    <row r="7629" customFormat="false" ht="15" hidden="false" customHeight="false" outlineLevel="0" collapsed="false">
      <c r="A7629" s="24" t="s">
        <v>575</v>
      </c>
      <c r="B7629" s="25"/>
      <c r="C7629" s="25"/>
      <c r="D7629" s="25"/>
      <c r="E7629" s="25"/>
      <c r="F7629" s="25"/>
      <c r="G7629" s="25"/>
      <c r="H7629" s="25"/>
      <c r="I7629" s="25"/>
      <c r="J7629" s="25"/>
      <c r="K7629" s="25"/>
    </row>
    <row r="7630" customFormat="false" ht="15" hidden="false" customHeight="false" outlineLevel="0" collapsed="false">
      <c r="A7630" s="2" t="s">
        <v>556</v>
      </c>
      <c r="C7630" s="17" t="n">
        <f aca="false">C7553+C7619</f>
        <v>402.29</v>
      </c>
    </row>
    <row r="7631" customFormat="false" ht="15" hidden="false" customHeight="false" outlineLevel="0" collapsed="false">
      <c r="A7631" s="2" t="s">
        <v>557</v>
      </c>
      <c r="C7631" s="17" t="n">
        <f aca="false">C7554+C7620</f>
        <v>91.30725</v>
      </c>
    </row>
    <row r="7632" customFormat="false" ht="15" hidden="false" customHeight="false" outlineLevel="0" collapsed="false">
      <c r="A7632" s="2" t="s">
        <v>558</v>
      </c>
      <c r="C7632" s="17" t="n">
        <f aca="false">C7555+C7621</f>
        <v>58.3715961</v>
      </c>
    </row>
    <row r="7633" customFormat="false" ht="15" hidden="false" customHeight="false" outlineLevel="0" collapsed="false">
      <c r="A7633" s="2" t="s">
        <v>559</v>
      </c>
      <c r="C7633" s="17" t="n">
        <f aca="false">C7556+C7622</f>
        <v>0</v>
      </c>
    </row>
    <row r="7634" customFormat="false" ht="15" hidden="false" customHeight="false" outlineLevel="0" collapsed="false">
      <c r="A7634" s="2" t="s">
        <v>560</v>
      </c>
      <c r="C7634" s="17" t="n">
        <f aca="false">C7557+C7623</f>
        <v>386.773694972499</v>
      </c>
    </row>
    <row r="7635" customFormat="false" ht="15" hidden="false" customHeight="false" outlineLevel="0" collapsed="false">
      <c r="A7635" s="2" t="s">
        <v>561</v>
      </c>
      <c r="C7635" s="17" t="n">
        <f aca="false">C7558+C7624</f>
        <v>357.2625</v>
      </c>
    </row>
    <row r="7636" customFormat="false" ht="15" hidden="false" customHeight="false" outlineLevel="0" collapsed="false">
      <c r="A7636" s="2" t="s">
        <v>562</v>
      </c>
      <c r="C7636" s="17" t="n">
        <f aca="false">C7559+C7625</f>
        <v>562.203125</v>
      </c>
    </row>
    <row r="7637" customFormat="false" ht="15" hidden="false" customHeight="false" outlineLevel="0" collapsed="false">
      <c r="A7637" s="2" t="s">
        <v>563</v>
      </c>
      <c r="C7637" s="17" t="n">
        <f aca="false">C7560+C7626</f>
        <v>353.98125</v>
      </c>
    </row>
    <row r="7638" customFormat="false" ht="15" hidden="false" customHeight="false" outlineLevel="0" collapsed="false">
      <c r="A7638" s="2" t="s">
        <v>564</v>
      </c>
      <c r="C7638" s="17" t="n">
        <f aca="false">C7561+C7627</f>
        <v>304.59375</v>
      </c>
    </row>
    <row r="7639" customFormat="false" ht="15" hidden="false" customHeight="false" outlineLevel="0" collapsed="false">
      <c r="A7639" s="2" t="s">
        <v>565</v>
      </c>
      <c r="C7639" s="17" t="n">
        <f aca="false">C7562+C7628</f>
        <v>79.938509</v>
      </c>
    </row>
    <row r="7640" customFormat="false" ht="15" hidden="false" customHeight="false" outlineLevel="0" collapsed="false">
      <c r="A7640" s="24" t="s">
        <v>576</v>
      </c>
      <c r="B7640" s="25"/>
      <c r="C7640" s="25"/>
      <c r="D7640" s="25"/>
      <c r="E7640" s="25"/>
      <c r="F7640" s="25"/>
      <c r="G7640" s="25"/>
      <c r="H7640" s="25"/>
      <c r="I7640" s="25"/>
      <c r="J7640" s="25"/>
      <c r="K7640" s="25"/>
    </row>
    <row r="7641" customFormat="false" ht="15" hidden="false" customHeight="false" outlineLevel="0" collapsed="false">
      <c r="A7641" s="3" t="s">
        <v>556</v>
      </c>
      <c r="C7641" s="22" t="n">
        <f aca="false">IF(C7520=0,1,C7630/C7520)</f>
        <v>1</v>
      </c>
    </row>
    <row r="7642" customFormat="false" ht="15" hidden="false" customHeight="false" outlineLevel="0" collapsed="false">
      <c r="A7642" s="3" t="s">
        <v>557</v>
      </c>
      <c r="C7642" s="22" t="n">
        <f aca="false">IF(C7521=0,1,C7631/C7521)</f>
        <v>1</v>
      </c>
    </row>
    <row r="7643" customFormat="false" ht="15" hidden="false" customHeight="false" outlineLevel="0" collapsed="false">
      <c r="A7643" s="3" t="s">
        <v>558</v>
      </c>
      <c r="C7643" s="22" t="n">
        <f aca="false">IF(C7522=0,1,C7632/C7522)</f>
        <v>1</v>
      </c>
    </row>
    <row r="7644" customFormat="false" ht="15" hidden="false" customHeight="false" outlineLevel="0" collapsed="false">
      <c r="A7644" s="3" t="s">
        <v>559</v>
      </c>
      <c r="C7644" s="22" t="n">
        <f aca="false">IF(C7523=0,1,C7633/C7523)</f>
        <v>1</v>
      </c>
    </row>
    <row r="7645" customFormat="false" ht="15" hidden="false" customHeight="false" outlineLevel="0" collapsed="false">
      <c r="A7645" s="3" t="s">
        <v>560</v>
      </c>
      <c r="C7645" s="22" t="n">
        <f aca="false">IF(C7524=0,1,C7634/C7524)</f>
        <v>1</v>
      </c>
    </row>
    <row r="7646" customFormat="false" ht="15" hidden="false" customHeight="false" outlineLevel="0" collapsed="false">
      <c r="A7646" s="3" t="s">
        <v>561</v>
      </c>
      <c r="C7646" s="22" t="n">
        <f aca="false">IF(C7525=0,1,C7635/C7525)</f>
        <v>1</v>
      </c>
    </row>
    <row r="7647" customFormat="false" ht="15" hidden="false" customHeight="false" outlineLevel="0" collapsed="false">
      <c r="A7647" s="3" t="s">
        <v>562</v>
      </c>
      <c r="C7647" s="22" t="n">
        <f aca="false">IF(C7526=0,1,C7636/C7526)</f>
        <v>1</v>
      </c>
    </row>
    <row r="7648" customFormat="false" ht="15" hidden="false" customHeight="false" outlineLevel="0" collapsed="false">
      <c r="A7648" s="3" t="s">
        <v>563</v>
      </c>
      <c r="C7648" s="22" t="n">
        <f aca="false">IF(C7527=0,1,C7637/C7527)</f>
        <v>1</v>
      </c>
    </row>
    <row r="7649" customFormat="false" ht="15" hidden="false" customHeight="false" outlineLevel="0" collapsed="false">
      <c r="A7649" s="3" t="s">
        <v>564</v>
      </c>
      <c r="C7649" s="22" t="n">
        <f aca="false">IF(C7528=0,1,C7638/C7528)</f>
        <v>1</v>
      </c>
    </row>
    <row r="7650" customFormat="false" ht="15" hidden="false" customHeight="false" outlineLevel="0" collapsed="false">
      <c r="A7650" s="3" t="s">
        <v>565</v>
      </c>
      <c r="C7650" s="22" t="n">
        <f aca="false">IF(C7529=0,1,C7639/C7529)</f>
        <v>1</v>
      </c>
    </row>
    <row r="7651" customFormat="false" ht="15" hidden="false" customHeight="false" outlineLevel="0" collapsed="false">
      <c r="A7651" s="24" t="s">
        <v>577</v>
      </c>
      <c r="B7651" s="25"/>
      <c r="C7651" s="25"/>
      <c r="D7651" s="25"/>
      <c r="E7651" s="25"/>
      <c r="F7651" s="25"/>
      <c r="G7651" s="25"/>
      <c r="H7651" s="25"/>
      <c r="I7651" s="25"/>
      <c r="J7651" s="25"/>
      <c r="K7651" s="25"/>
    </row>
    <row r="7652" customFormat="false" ht="15" hidden="false" customHeight="false" outlineLevel="0" collapsed="false">
      <c r="A7652" s="3" t="s">
        <v>556</v>
      </c>
      <c r="C7652" s="16" t="n">
        <f aca="false">C7520-C7630</f>
        <v>0</v>
      </c>
    </row>
    <row r="7653" customFormat="false" ht="15" hidden="false" customHeight="false" outlineLevel="0" collapsed="false">
      <c r="A7653" s="3" t="s">
        <v>557</v>
      </c>
      <c r="C7653" s="16" t="n">
        <f aca="false">C7521-C7631</f>
        <v>0</v>
      </c>
    </row>
    <row r="7654" customFormat="false" ht="15" hidden="false" customHeight="false" outlineLevel="0" collapsed="false">
      <c r="A7654" s="3" t="s">
        <v>558</v>
      </c>
      <c r="C7654" s="16" t="n">
        <f aca="false">C7522-C7632</f>
        <v>0</v>
      </c>
    </row>
    <row r="7655" customFormat="false" ht="15" hidden="false" customHeight="false" outlineLevel="0" collapsed="false">
      <c r="A7655" s="3" t="s">
        <v>559</v>
      </c>
      <c r="C7655" s="16" t="n">
        <f aca="false">C7523-C7633</f>
        <v>0</v>
      </c>
    </row>
    <row r="7656" customFormat="false" ht="15" hidden="false" customHeight="false" outlineLevel="0" collapsed="false">
      <c r="A7656" s="3" t="s">
        <v>560</v>
      </c>
      <c r="C7656" s="16" t="n">
        <f aca="false">C7524-C7634</f>
        <v>0</v>
      </c>
    </row>
    <row r="7657" customFormat="false" ht="15" hidden="false" customHeight="false" outlineLevel="0" collapsed="false">
      <c r="A7657" s="3" t="s">
        <v>561</v>
      </c>
      <c r="C7657" s="16" t="n">
        <f aca="false">C7525-C7635</f>
        <v>0</v>
      </c>
    </row>
    <row r="7658" customFormat="false" ht="15" hidden="false" customHeight="false" outlineLevel="0" collapsed="false">
      <c r="A7658" s="3" t="s">
        <v>562</v>
      </c>
      <c r="C7658" s="16" t="n">
        <f aca="false">C7526-C7636</f>
        <v>0</v>
      </c>
    </row>
    <row r="7659" customFormat="false" ht="15" hidden="false" customHeight="false" outlineLevel="0" collapsed="false">
      <c r="A7659" s="3" t="s">
        <v>563</v>
      </c>
      <c r="C7659" s="16" t="n">
        <f aca="false">C7527-C7637</f>
        <v>0</v>
      </c>
    </row>
    <row r="7660" customFormat="false" ht="15" hidden="false" customHeight="false" outlineLevel="0" collapsed="false">
      <c r="A7660" s="3" t="s">
        <v>564</v>
      </c>
      <c r="C7660" s="16" t="n">
        <f aca="false">C7528-C7638</f>
        <v>0</v>
      </c>
    </row>
    <row r="7661" customFormat="false" ht="15" hidden="false" customHeight="false" outlineLevel="0" collapsed="false">
      <c r="A7661" s="3" t="s">
        <v>565</v>
      </c>
      <c r="C7661" s="16" t="n">
        <f aca="false">C7529-C7639</f>
        <v>0</v>
      </c>
    </row>
    <row r="7662" customFormat="false" ht="15" hidden="false" customHeight="false" outlineLevel="0" collapsed="false">
      <c r="A7662" s="24" t="s">
        <v>578</v>
      </c>
      <c r="B7662" s="25"/>
      <c r="C7662" s="25"/>
      <c r="D7662" s="25"/>
      <c r="E7662" s="25"/>
      <c r="F7662" s="25"/>
      <c r="G7662" s="25"/>
      <c r="H7662" s="25"/>
      <c r="I7662" s="25"/>
      <c r="J7662" s="25"/>
      <c r="K7662" s="25"/>
    </row>
    <row r="7663" customFormat="false" ht="15" hidden="false" customHeight="false" outlineLevel="0" collapsed="false">
      <c r="A7663" s="3" t="s">
        <v>556</v>
      </c>
      <c r="C7663" s="22" t="n">
        <f aca="false">IF(C7520=0,0,C7652/C7520)</f>
        <v>0</v>
      </c>
    </row>
    <row r="7664" customFormat="false" ht="15" hidden="false" customHeight="false" outlineLevel="0" collapsed="false">
      <c r="A7664" s="3" t="s">
        <v>557</v>
      </c>
      <c r="C7664" s="22" t="n">
        <f aca="false">IF(C7521=0,0,C7653/C7521)</f>
        <v>0</v>
      </c>
    </row>
    <row r="7665" customFormat="false" ht="15" hidden="false" customHeight="false" outlineLevel="0" collapsed="false">
      <c r="A7665" s="3" t="s">
        <v>558</v>
      </c>
      <c r="C7665" s="22" t="n">
        <f aca="false">IF(C7522=0,0,C7654/C7522)</f>
        <v>0</v>
      </c>
    </row>
    <row r="7666" customFormat="false" ht="15" hidden="false" customHeight="false" outlineLevel="0" collapsed="false">
      <c r="A7666" s="3" t="s">
        <v>559</v>
      </c>
      <c r="C7666" s="22" t="n">
        <f aca="false">IF(C7523=0,0,C7655/C7523)</f>
        <v>0</v>
      </c>
    </row>
    <row r="7667" customFormat="false" ht="15" hidden="false" customHeight="false" outlineLevel="0" collapsed="false">
      <c r="A7667" s="3" t="s">
        <v>560</v>
      </c>
      <c r="C7667" s="22" t="n">
        <f aca="false">IF(C7524=0,0,C7656/C7524)</f>
        <v>0</v>
      </c>
    </row>
    <row r="7668" customFormat="false" ht="15" hidden="false" customHeight="false" outlineLevel="0" collapsed="false">
      <c r="A7668" s="3" t="s">
        <v>561</v>
      </c>
      <c r="C7668" s="22" t="n">
        <f aca="false">IF(C7525=0,0,C7657/C7525)</f>
        <v>0</v>
      </c>
    </row>
    <row r="7669" customFormat="false" ht="15" hidden="false" customHeight="false" outlineLevel="0" collapsed="false">
      <c r="A7669" s="3" t="s">
        <v>562</v>
      </c>
      <c r="C7669" s="22" t="n">
        <f aca="false">IF(C7526=0,0,C7658/C7526)</f>
        <v>0</v>
      </c>
    </row>
    <row r="7670" customFormat="false" ht="15" hidden="false" customHeight="false" outlineLevel="0" collapsed="false">
      <c r="A7670" s="3" t="s">
        <v>563</v>
      </c>
      <c r="C7670" s="22" t="n">
        <f aca="false">IF(C7527=0,0,C7659/C7527)</f>
        <v>0</v>
      </c>
    </row>
    <row r="7671" customFormat="false" ht="15" hidden="false" customHeight="false" outlineLevel="0" collapsed="false">
      <c r="A7671" s="3" t="s">
        <v>564</v>
      </c>
      <c r="C7671" s="22" t="n">
        <f aca="false">IF(C7528=0,0,C7660/C7528)</f>
        <v>0</v>
      </c>
    </row>
    <row r="7672" customFormat="false" ht="15" hidden="false" customHeight="false" outlineLevel="0" collapsed="false">
      <c r="A7672" s="3" t="s">
        <v>565</v>
      </c>
      <c r="C7672" s="22" t="n">
        <f aca="false">IF(C7529=0,0,C7661/C7529)</f>
        <v>0</v>
      </c>
    </row>
    <row r="7673" customFormat="false" ht="15" hidden="false" customHeight="false" outlineLevel="0" collapsed="false">
      <c r="A7673" s="2" t="s">
        <v>579</v>
      </c>
      <c r="C7673" s="17" t="n">
        <f aca="false">MAX(0,$C$7518-SUM($C$7553:$C$7562)-SUM($C$7575:$C$7584))</f>
        <v>536.755507327501</v>
      </c>
    </row>
    <row r="7674" customFormat="false" ht="15" hidden="false" customHeight="false" outlineLevel="0" collapsed="false">
      <c r="A7674" s="3" t="s">
        <v>580</v>
      </c>
      <c r="C7674" s="16" t="n">
        <f aca="false">SUM($C$7630:$C$7639)+C7673+C7517-C7516</f>
        <v>0</v>
      </c>
    </row>
    <row r="7676" customFormat="false" ht="15" hidden="false" customHeight="false" outlineLevel="0" collapsed="false">
      <c r="A7676" s="24" t="s">
        <v>583</v>
      </c>
      <c r="B7676" s="25"/>
      <c r="C7676" s="25"/>
      <c r="D7676" s="25"/>
      <c r="E7676" s="25"/>
      <c r="F7676" s="25"/>
      <c r="G7676" s="25"/>
      <c r="H7676" s="25"/>
      <c r="I7676" s="25"/>
      <c r="J7676" s="25"/>
      <c r="K7676" s="25"/>
    </row>
    <row r="7677" customFormat="false" ht="15" hidden="false" customHeight="false" outlineLevel="0" collapsed="false">
      <c r="A7677" s="3" t="s">
        <v>584</v>
      </c>
      <c r="C7677" s="27" t="n">
        <f aca="false">Assumptions!$C$34</f>
        <v>1</v>
      </c>
    </row>
    <row r="7678" customFormat="false" ht="15" hidden="false" customHeight="false" outlineLevel="0" collapsed="false">
      <c r="A7678" s="3" t="s">
        <v>585</v>
      </c>
      <c r="C7678" s="29" t="n">
        <f aca="false">Assumptions!$C$35</f>
        <v>100</v>
      </c>
    </row>
    <row r="7679" customFormat="false" ht="15" hidden="false" customHeight="false" outlineLevel="0" collapsed="false">
      <c r="A7679" s="3" t="s">
        <v>586</v>
      </c>
      <c r="C7679" s="40" t="n">
        <f aca="false">Assumptions!$C$36</f>
        <v>98</v>
      </c>
    </row>
    <row r="7680" customFormat="false" ht="15" hidden="false" customHeight="false" outlineLevel="0" collapsed="false">
      <c r="A7680" s="3" t="s">
        <v>587</v>
      </c>
      <c r="C7680" s="16" t="n">
        <f aca="false">C7678*C7679/100*(1+Assumptions!$C$37)</f>
        <v>98.49</v>
      </c>
    </row>
    <row r="7681" customFormat="false" ht="15" hidden="false" customHeight="false" outlineLevel="0" collapsed="false">
      <c r="A7681" s="3" t="s">
        <v>588</v>
      </c>
      <c r="C7681" s="27" t="n">
        <f aca="false">Assumptions!$C$38</f>
        <v>3</v>
      </c>
    </row>
    <row r="7682" customFormat="false" ht="15" hidden="false" customHeight="false" outlineLevel="0" collapsed="false">
      <c r="A7682" s="3" t="s">
        <v>589</v>
      </c>
      <c r="C7682" s="21" t="n">
        <f aca="false">IF(C7509=1,SUMPRODUCT($G$7445:$K$7445,$G$7219:$K$7219),0)</f>
        <v>2</v>
      </c>
    </row>
    <row r="7683" customFormat="false" ht="15" hidden="false" customHeight="false" outlineLevel="0" collapsed="false">
      <c r="A7683" s="3" t="s">
        <v>590</v>
      </c>
      <c r="C7683" s="22" t="n">
        <f aca="false">IFERROR(C7678/CHOOSE(C7677,SUMPRODUCT($G$7508:$K$7508,$G$7265:$K$7265),SUMPRODUCT($G$7508:$K$7508,$G$7278:$K$7278),SUMPRODUCT($G$7508:$K$7508,$G$7291:$K$7291),SUMPRODUCT($G$7508:$K$7508,$G$7304:$K$7304),SUMPRODUCT($G$7508:$K$7508,$G$7317:$K$7317),SUMPRODUCT($G$7508:$K$7508,$G$7330:$K$7330),SUMPRODUCT($G$7508:$K$7508,$G$7343:$K$7343),SUMPRODUCT($G$7508:$K$7508,$G$7356:$K$7356),SUMPRODUCT($G$7508:$K$7508,$G$7369:$K$7369),SUMPRODUCT($G$7508:$K$7508,$G$7382:$K$7382)),0)</f>
        <v>0.255102040816327</v>
      </c>
    </row>
    <row r="7684" customFormat="false" ht="15" hidden="false" customHeight="false" outlineLevel="0" collapsed="false">
      <c r="A7684" s="3" t="s">
        <v>591</v>
      </c>
      <c r="C7684" s="16" t="n">
        <f aca="false">CHOOSE(C7677,C7630,C7631,C7632,C7633,C7634,C7635,C7636,C7637,C7638,C7639)*C7683</f>
        <v>102.625</v>
      </c>
    </row>
    <row r="7685" customFormat="false" ht="15" hidden="false" customHeight="false" outlineLevel="0" collapsed="false">
      <c r="A7685" s="3" t="s">
        <v>592</v>
      </c>
      <c r="C7685" s="22" t="n">
        <f aca="false">CHOOSE(C7677,C7641,C7642,C7643,C7644,C7645,C7646,C7647,C7648,C7649,C7650)</f>
        <v>1</v>
      </c>
    </row>
    <row r="7686" customFormat="false" ht="15" hidden="false" customHeight="false" outlineLevel="0" collapsed="false">
      <c r="A7686" s="3" t="s">
        <v>593</v>
      </c>
      <c r="C7686" s="21" t="n">
        <f aca="false">IF(C7509=1,C7682,C7681)</f>
        <v>2</v>
      </c>
    </row>
    <row r="7687" customFormat="false" ht="15" hidden="false" customHeight="false" outlineLevel="0" collapsed="false">
      <c r="A7687" s="3" t="s">
        <v>594</v>
      </c>
      <c r="C7687" s="35" t="n">
        <f aca="false">CHOOSE($C$7211,Assumptions!$C$91,Assumptions!$C$110,Assumptions!$C$129)</f>
        <v>95</v>
      </c>
    </row>
    <row r="7688" customFormat="false" ht="15" hidden="false" customHeight="false" outlineLevel="0" collapsed="false">
      <c r="A7688" s="3" t="s">
        <v>595</v>
      </c>
      <c r="C7688" s="16" t="n">
        <f aca="false">INDEX($G$7228:$K$7228,C7681)*CHOOSE($C$7211,Assumptions!$C$90,Assumptions!$C$109,Assumptions!$C$128)+MAX(0,INDEX($G$7442:$K$7442,C7681))</f>
        <v>2523.868331259</v>
      </c>
    </row>
    <row r="7689" customFormat="false" ht="15" hidden="false" customHeight="false" outlineLevel="0" collapsed="false">
      <c r="A7689" s="24" t="s">
        <v>596</v>
      </c>
      <c r="B7689" s="25"/>
      <c r="C7689" s="25"/>
      <c r="D7689" s="25"/>
      <c r="E7689" s="25"/>
      <c r="F7689" s="25"/>
      <c r="G7689" s="25"/>
      <c r="H7689" s="25"/>
      <c r="I7689" s="25"/>
      <c r="J7689" s="25"/>
      <c r="K7689" s="25"/>
    </row>
    <row r="7690" customFormat="false" ht="15" hidden="false" customHeight="false" outlineLevel="0" collapsed="false">
      <c r="A7690" s="3" t="s">
        <v>556</v>
      </c>
      <c r="C7690" s="16" t="n">
        <f aca="false">INDEX($G$7265:$K$7265,C7681)</f>
        <v>388</v>
      </c>
    </row>
    <row r="7691" customFormat="false" ht="15" hidden="false" customHeight="false" outlineLevel="0" collapsed="false">
      <c r="A7691" s="3" t="s">
        <v>557</v>
      </c>
      <c r="C7691" s="16" t="n">
        <f aca="false">INDEX($G$7278:$K$7278,C7681)</f>
        <v>90</v>
      </c>
    </row>
    <row r="7692" customFormat="false" ht="15" hidden="false" customHeight="false" outlineLevel="0" collapsed="false">
      <c r="A7692" s="3" t="s">
        <v>558</v>
      </c>
      <c r="C7692" s="16" t="n">
        <f aca="false">INDEX($G$7291:$K$7291,C7681)</f>
        <v>57.324</v>
      </c>
    </row>
    <row r="7693" customFormat="false" ht="15" hidden="false" customHeight="false" outlineLevel="0" collapsed="false">
      <c r="A7693" s="3" t="s">
        <v>559</v>
      </c>
      <c r="C7693" s="16" t="n">
        <f aca="false">INDEX($G$7304:$K$7304,C7681)</f>
        <v>0</v>
      </c>
    </row>
    <row r="7694" customFormat="false" ht="15" hidden="false" customHeight="false" outlineLevel="0" collapsed="false">
      <c r="A7694" s="3" t="s">
        <v>560</v>
      </c>
      <c r="C7694" s="16" t="n">
        <f aca="false">INDEX($G$7317:$K$7317,C7681)</f>
        <v>382.991652405</v>
      </c>
    </row>
    <row r="7695" customFormat="false" ht="15" hidden="false" customHeight="false" outlineLevel="0" collapsed="false">
      <c r="A7695" s="3" t="s">
        <v>561</v>
      </c>
      <c r="C7695" s="16" t="n">
        <f aca="false">INDEX($G$7330:$K$7330,C7681)</f>
        <v>350</v>
      </c>
    </row>
    <row r="7696" customFormat="false" ht="15" hidden="false" customHeight="false" outlineLevel="0" collapsed="false">
      <c r="A7696" s="3" t="s">
        <v>562</v>
      </c>
      <c r="C7696" s="16" t="n">
        <f aca="false">INDEX($G$7343:$K$7343,C7681)</f>
        <v>550</v>
      </c>
    </row>
    <row r="7697" customFormat="false" ht="15" hidden="false" customHeight="false" outlineLevel="0" collapsed="false">
      <c r="A7697" s="3" t="s">
        <v>563</v>
      </c>
      <c r="C7697" s="16" t="n">
        <f aca="false">INDEX($G$7356:$K$7356,C7681)</f>
        <v>350</v>
      </c>
    </row>
    <row r="7698" customFormat="false" ht="15" hidden="false" customHeight="false" outlineLevel="0" collapsed="false">
      <c r="A7698" s="3" t="s">
        <v>564</v>
      </c>
      <c r="C7698" s="16" t="n">
        <f aca="false">INDEX($G$7369:$K$7369,C7681)</f>
        <v>300</v>
      </c>
    </row>
    <row r="7699" customFormat="false" ht="15" hidden="false" customHeight="false" outlineLevel="0" collapsed="false">
      <c r="A7699" s="3" t="s">
        <v>565</v>
      </c>
      <c r="C7699" s="16" t="n">
        <f aca="false">INDEX($G$7382:$K$7382,C7681)</f>
        <v>78.61</v>
      </c>
    </row>
    <row r="7700" customFormat="false" ht="15" hidden="false" customHeight="false" outlineLevel="0" collapsed="false">
      <c r="A7700" s="24" t="s">
        <v>566</v>
      </c>
      <c r="B7700" s="25"/>
      <c r="C7700" s="25"/>
      <c r="D7700" s="25"/>
      <c r="E7700" s="25"/>
      <c r="F7700" s="25"/>
      <c r="G7700" s="25"/>
      <c r="H7700" s="25"/>
      <c r="I7700" s="25"/>
      <c r="J7700" s="25"/>
      <c r="K7700" s="25"/>
    </row>
    <row r="7701" customFormat="false" ht="15" hidden="false" customHeight="false" outlineLevel="0" collapsed="false">
      <c r="A7701" s="3" t="s">
        <v>556</v>
      </c>
      <c r="C7701" s="27" t="n">
        <f aca="false">Assumptions!$M$57</f>
        <v>1</v>
      </c>
    </row>
    <row r="7702" customFormat="false" ht="15" hidden="false" customHeight="false" outlineLevel="0" collapsed="false">
      <c r="A7702" s="3" t="s">
        <v>557</v>
      </c>
      <c r="C7702" s="27" t="n">
        <f aca="false">Assumptions!$M$58</f>
        <v>1</v>
      </c>
    </row>
    <row r="7703" customFormat="false" ht="15" hidden="false" customHeight="false" outlineLevel="0" collapsed="false">
      <c r="A7703" s="3" t="s">
        <v>558</v>
      </c>
      <c r="C7703" s="27" t="n">
        <f aca="false">Assumptions!$M$59</f>
        <v>1</v>
      </c>
    </row>
    <row r="7704" customFormat="false" ht="15" hidden="false" customHeight="false" outlineLevel="0" collapsed="false">
      <c r="A7704" s="3" t="s">
        <v>559</v>
      </c>
      <c r="C7704" s="27" t="n">
        <f aca="false">Assumptions!$M$60</f>
        <v>2</v>
      </c>
    </row>
    <row r="7705" customFormat="false" ht="15" hidden="false" customHeight="false" outlineLevel="0" collapsed="false">
      <c r="A7705" s="3" t="s">
        <v>560</v>
      </c>
      <c r="C7705" s="27" t="n">
        <f aca="false">Assumptions!$M$61</f>
        <v>2</v>
      </c>
    </row>
    <row r="7706" customFormat="false" ht="15" hidden="false" customHeight="false" outlineLevel="0" collapsed="false">
      <c r="A7706" s="3" t="s">
        <v>561</v>
      </c>
      <c r="C7706" s="27" t="n">
        <f aca="false">Assumptions!$M$62</f>
        <v>2</v>
      </c>
    </row>
    <row r="7707" customFormat="false" ht="15" hidden="false" customHeight="false" outlineLevel="0" collapsed="false">
      <c r="A7707" s="3" t="s">
        <v>562</v>
      </c>
      <c r="C7707" s="27" t="n">
        <f aca="false">Assumptions!$M$63</f>
        <v>2</v>
      </c>
    </row>
    <row r="7708" customFormat="false" ht="15" hidden="false" customHeight="false" outlineLevel="0" collapsed="false">
      <c r="A7708" s="3" t="s">
        <v>563</v>
      </c>
      <c r="C7708" s="27" t="n">
        <f aca="false">Assumptions!$M$64</f>
        <v>2</v>
      </c>
    </row>
    <row r="7709" customFormat="false" ht="15" hidden="false" customHeight="false" outlineLevel="0" collapsed="false">
      <c r="A7709" s="3" t="s">
        <v>564</v>
      </c>
      <c r="C7709" s="27" t="n">
        <f aca="false">Assumptions!$M$65</f>
        <v>2</v>
      </c>
    </row>
    <row r="7710" customFormat="false" ht="15" hidden="false" customHeight="false" outlineLevel="0" collapsed="false">
      <c r="A7710" s="3" t="s">
        <v>565</v>
      </c>
      <c r="C7710" s="27" t="n">
        <f aca="false">Assumptions!$M$66</f>
        <v>3</v>
      </c>
    </row>
    <row r="7711" customFormat="false" ht="15" hidden="false" customHeight="false" outlineLevel="0" collapsed="false">
      <c r="A7711" s="24" t="s">
        <v>567</v>
      </c>
      <c r="B7711" s="25"/>
      <c r="C7711" s="25"/>
      <c r="D7711" s="25"/>
      <c r="E7711" s="25"/>
      <c r="F7711" s="25"/>
      <c r="G7711" s="25"/>
      <c r="H7711" s="25"/>
      <c r="I7711" s="25"/>
      <c r="J7711" s="25"/>
      <c r="K7711" s="25"/>
    </row>
    <row r="7712" customFormat="false" ht="15" hidden="false" customHeight="false" outlineLevel="0" collapsed="false">
      <c r="A7712" s="3" t="s">
        <v>556</v>
      </c>
      <c r="C7712" s="33" t="n">
        <f aca="false">Assumptions!$Q$57</f>
        <v>0.3</v>
      </c>
    </row>
    <row r="7713" customFormat="false" ht="15" hidden="false" customHeight="false" outlineLevel="0" collapsed="false">
      <c r="A7713" s="3" t="s">
        <v>557</v>
      </c>
      <c r="C7713" s="33" t="n">
        <f aca="false">Assumptions!$Q$58</f>
        <v>0.033</v>
      </c>
    </row>
    <row r="7714" customFormat="false" ht="15" hidden="false" customHeight="false" outlineLevel="0" collapsed="false">
      <c r="A7714" s="3" t="s">
        <v>558</v>
      </c>
      <c r="C7714" s="33" t="n">
        <f aca="false">Assumptions!$Q$59</f>
        <v>0.021</v>
      </c>
    </row>
    <row r="7715" customFormat="false" ht="15" hidden="false" customHeight="false" outlineLevel="0" collapsed="false">
      <c r="A7715" s="3" t="s">
        <v>559</v>
      </c>
      <c r="C7715" s="33" t="n">
        <f aca="false">Assumptions!$Q$60</f>
        <v>0</v>
      </c>
    </row>
    <row r="7716" customFormat="false" ht="15" hidden="false" customHeight="false" outlineLevel="0" collapsed="false">
      <c r="A7716" s="3" t="s">
        <v>560</v>
      </c>
      <c r="C7716" s="33" t="n">
        <f aca="false">Assumptions!$Q$61</f>
        <v>0</v>
      </c>
    </row>
    <row r="7717" customFormat="false" ht="15" hidden="false" customHeight="false" outlineLevel="0" collapsed="false">
      <c r="A7717" s="3" t="s">
        <v>561</v>
      </c>
      <c r="C7717" s="33" t="n">
        <f aca="false">Assumptions!$Q$62</f>
        <v>0</v>
      </c>
    </row>
    <row r="7718" customFormat="false" ht="15" hidden="false" customHeight="false" outlineLevel="0" collapsed="false">
      <c r="A7718" s="3" t="s">
        <v>562</v>
      </c>
      <c r="C7718" s="33" t="n">
        <f aca="false">Assumptions!$Q$63</f>
        <v>0</v>
      </c>
    </row>
    <row r="7719" customFormat="false" ht="15" hidden="false" customHeight="false" outlineLevel="0" collapsed="false">
      <c r="A7719" s="3" t="s">
        <v>563</v>
      </c>
      <c r="C7719" s="33" t="n">
        <f aca="false">Assumptions!$Q$64</f>
        <v>0</v>
      </c>
    </row>
    <row r="7720" customFormat="false" ht="15" hidden="false" customHeight="false" outlineLevel="0" collapsed="false">
      <c r="A7720" s="3" t="s">
        <v>564</v>
      </c>
      <c r="C7720" s="33" t="n">
        <f aca="false">Assumptions!$Q$65</f>
        <v>0</v>
      </c>
    </row>
    <row r="7721" customFormat="false" ht="15" hidden="false" customHeight="false" outlineLevel="0" collapsed="false">
      <c r="A7721" s="3" t="s">
        <v>565</v>
      </c>
      <c r="C7721" s="33" t="n">
        <f aca="false">Assumptions!$Q$66</f>
        <v>0</v>
      </c>
    </row>
    <row r="7722" customFormat="false" ht="15" hidden="false" customHeight="false" outlineLevel="0" collapsed="false">
      <c r="A7722" s="24" t="s">
        <v>568</v>
      </c>
      <c r="B7722" s="25"/>
      <c r="C7722" s="25"/>
      <c r="D7722" s="25"/>
      <c r="E7722" s="25"/>
      <c r="F7722" s="25"/>
      <c r="G7722" s="25"/>
      <c r="H7722" s="25"/>
      <c r="I7722" s="25"/>
      <c r="J7722" s="25"/>
      <c r="K7722" s="25"/>
    </row>
    <row r="7723" customFormat="false" ht="15" hidden="false" customHeight="false" outlineLevel="0" collapsed="false">
      <c r="A7723" s="3" t="s">
        <v>556</v>
      </c>
      <c r="C7723" s="16" t="n">
        <f aca="false">IF(C7712&gt;0,MIN(C7690,C7712*$C$7688),0)</f>
        <v>388</v>
      </c>
    </row>
    <row r="7724" customFormat="false" ht="15" hidden="false" customHeight="false" outlineLevel="0" collapsed="false">
      <c r="A7724" s="3" t="s">
        <v>557</v>
      </c>
      <c r="C7724" s="16" t="n">
        <f aca="false">IF(C7713&gt;0,MIN(C7691,C7713*$C$7688),0)</f>
        <v>83.287654931547</v>
      </c>
    </row>
    <row r="7725" customFormat="false" ht="15" hidden="false" customHeight="false" outlineLevel="0" collapsed="false">
      <c r="A7725" s="3" t="s">
        <v>558</v>
      </c>
      <c r="C7725" s="16" t="n">
        <f aca="false">IF(C7714&gt;0,MIN(C7692,C7714*$C$7688),0)</f>
        <v>53.001234956439</v>
      </c>
    </row>
    <row r="7726" customFormat="false" ht="15" hidden="false" customHeight="false" outlineLevel="0" collapsed="false">
      <c r="A7726" s="3" t="s">
        <v>559</v>
      </c>
      <c r="C7726" s="16" t="n">
        <f aca="false">IF(C7715&gt;0,MIN(C7693,C7715*$C$7688),0)</f>
        <v>0</v>
      </c>
    </row>
    <row r="7727" customFormat="false" ht="15" hidden="false" customHeight="false" outlineLevel="0" collapsed="false">
      <c r="A7727" s="3" t="s">
        <v>560</v>
      </c>
      <c r="C7727" s="16" t="n">
        <f aca="false">IF(C7716&gt;0,MIN(C7694,C7716*$C$7688),0)</f>
        <v>0</v>
      </c>
    </row>
    <row r="7728" customFormat="false" ht="15" hidden="false" customHeight="false" outlineLevel="0" collapsed="false">
      <c r="A7728" s="3" t="s">
        <v>561</v>
      </c>
      <c r="C7728" s="16" t="n">
        <f aca="false">IF(C7717&gt;0,MIN(C7695,C7717*$C$7688),0)</f>
        <v>0</v>
      </c>
    </row>
    <row r="7729" customFormat="false" ht="15" hidden="false" customHeight="false" outlineLevel="0" collapsed="false">
      <c r="A7729" s="3" t="s">
        <v>562</v>
      </c>
      <c r="C7729" s="16" t="n">
        <f aca="false">IF(C7718&gt;0,MIN(C7696,C7718*$C$7688),0)</f>
        <v>0</v>
      </c>
    </row>
    <row r="7730" customFormat="false" ht="15" hidden="false" customHeight="false" outlineLevel="0" collapsed="false">
      <c r="A7730" s="3" t="s">
        <v>563</v>
      </c>
      <c r="C7730" s="16" t="n">
        <f aca="false">IF(C7719&gt;0,MIN(C7697,C7719*$C$7688),0)</f>
        <v>0</v>
      </c>
    </row>
    <row r="7731" customFormat="false" ht="15" hidden="false" customHeight="false" outlineLevel="0" collapsed="false">
      <c r="A7731" s="3" t="s">
        <v>564</v>
      </c>
      <c r="C7731" s="16" t="n">
        <f aca="false">IF(C7720&gt;0,MIN(C7698,C7720*$C$7688),0)</f>
        <v>0</v>
      </c>
    </row>
    <row r="7732" customFormat="false" ht="15" hidden="false" customHeight="false" outlineLevel="0" collapsed="false">
      <c r="A7732" s="3" t="s">
        <v>565</v>
      </c>
      <c r="C7732" s="16" t="n">
        <f aca="false">IF(C7721&gt;0,MIN(C7699,C7721*$C$7688),0)</f>
        <v>0</v>
      </c>
    </row>
    <row r="7733" customFormat="false" ht="15" hidden="false" customHeight="false" outlineLevel="0" collapsed="false">
      <c r="A7733" s="24" t="s">
        <v>569</v>
      </c>
      <c r="B7733" s="25"/>
      <c r="C7733" s="25"/>
      <c r="D7733" s="25"/>
      <c r="E7733" s="25"/>
      <c r="F7733" s="25"/>
      <c r="G7733" s="25"/>
      <c r="H7733" s="25"/>
      <c r="I7733" s="25"/>
      <c r="J7733" s="25"/>
      <c r="K7733" s="25"/>
    </row>
    <row r="7734" customFormat="false" ht="15" hidden="false" customHeight="false" outlineLevel="0" collapsed="false">
      <c r="A7734" s="3" t="s">
        <v>556</v>
      </c>
      <c r="C7734" s="16" t="n">
        <f aca="false">IF(C7712&gt;0,C7690-C7723,0)</f>
        <v>0</v>
      </c>
    </row>
    <row r="7735" customFormat="false" ht="15" hidden="false" customHeight="false" outlineLevel="0" collapsed="false">
      <c r="A7735" s="3" t="s">
        <v>557</v>
      </c>
      <c r="C7735" s="16" t="n">
        <f aca="false">IF(C7713&gt;0,C7691-C7724,0)</f>
        <v>6.71234506845299</v>
      </c>
    </row>
    <row r="7736" customFormat="false" ht="15" hidden="false" customHeight="false" outlineLevel="0" collapsed="false">
      <c r="A7736" s="3" t="s">
        <v>558</v>
      </c>
      <c r="C7736" s="16" t="n">
        <f aca="false">IF(C7714&gt;0,C7692-C7725,0)</f>
        <v>4.32276504356099</v>
      </c>
    </row>
    <row r="7737" customFormat="false" ht="15" hidden="false" customHeight="false" outlineLevel="0" collapsed="false">
      <c r="A7737" s="3" t="s">
        <v>559</v>
      </c>
      <c r="C7737" s="16" t="n">
        <f aca="false">IF(C7715&gt;0,C7693-C7726,0)</f>
        <v>0</v>
      </c>
    </row>
    <row r="7738" customFormat="false" ht="15" hidden="false" customHeight="false" outlineLevel="0" collapsed="false">
      <c r="A7738" s="3" t="s">
        <v>560</v>
      </c>
      <c r="C7738" s="16" t="n">
        <f aca="false">IF(C7716&gt;0,C7694-C7727,0)</f>
        <v>0</v>
      </c>
    </row>
    <row r="7739" customFormat="false" ht="15" hidden="false" customHeight="false" outlineLevel="0" collapsed="false">
      <c r="A7739" s="3" t="s">
        <v>561</v>
      </c>
      <c r="C7739" s="16" t="n">
        <f aca="false">IF(C7717&gt;0,C7695-C7728,0)</f>
        <v>0</v>
      </c>
    </row>
    <row r="7740" customFormat="false" ht="15" hidden="false" customHeight="false" outlineLevel="0" collapsed="false">
      <c r="A7740" s="3" t="s">
        <v>562</v>
      </c>
      <c r="C7740" s="16" t="n">
        <f aca="false">IF(C7718&gt;0,C7696-C7729,0)</f>
        <v>0</v>
      </c>
    </row>
    <row r="7741" customFormat="false" ht="15" hidden="false" customHeight="false" outlineLevel="0" collapsed="false">
      <c r="A7741" s="3" t="s">
        <v>563</v>
      </c>
      <c r="C7741" s="16" t="n">
        <f aca="false">IF(C7719&gt;0,C7697-C7730,0)</f>
        <v>0</v>
      </c>
    </row>
    <row r="7742" customFormat="false" ht="15" hidden="false" customHeight="false" outlineLevel="0" collapsed="false">
      <c r="A7742" s="3" t="s">
        <v>564</v>
      </c>
      <c r="C7742" s="16" t="n">
        <f aca="false">IF(C7720&gt;0,C7698-C7731,0)</f>
        <v>0</v>
      </c>
    </row>
    <row r="7743" customFormat="false" ht="15" hidden="false" customHeight="false" outlineLevel="0" collapsed="false">
      <c r="A7743" s="3" t="s">
        <v>565</v>
      </c>
      <c r="C7743" s="16" t="n">
        <f aca="false">IF(C7721&gt;0,C7699-C7732,0)</f>
        <v>0</v>
      </c>
    </row>
    <row r="7744" customFormat="false" ht="15" hidden="false" customHeight="false" outlineLevel="0" collapsed="false">
      <c r="A7744" s="24" t="s">
        <v>570</v>
      </c>
      <c r="B7744" s="25"/>
      <c r="C7744" s="25"/>
      <c r="D7744" s="25"/>
      <c r="E7744" s="25"/>
      <c r="F7744" s="25"/>
      <c r="G7744" s="25"/>
      <c r="H7744" s="25"/>
      <c r="I7744" s="25"/>
      <c r="J7744" s="25"/>
      <c r="K7744" s="25"/>
    </row>
    <row r="7745" customFormat="false" ht="15" hidden="false" customHeight="false" outlineLevel="0" collapsed="false">
      <c r="A7745" s="3" t="s">
        <v>556</v>
      </c>
      <c r="C7745" s="16" t="n">
        <f aca="false">IF(C7712&gt;0,C7734,C7690)</f>
        <v>0</v>
      </c>
    </row>
    <row r="7746" customFormat="false" ht="15" hidden="false" customHeight="false" outlineLevel="0" collapsed="false">
      <c r="A7746" s="3" t="s">
        <v>557</v>
      </c>
      <c r="C7746" s="16" t="n">
        <f aca="false">IF(C7713&gt;0,C7735,C7691)</f>
        <v>6.71234506845299</v>
      </c>
    </row>
    <row r="7747" customFormat="false" ht="15" hidden="false" customHeight="false" outlineLevel="0" collapsed="false">
      <c r="A7747" s="3" t="s">
        <v>558</v>
      </c>
      <c r="C7747" s="16" t="n">
        <f aca="false">IF(C7714&gt;0,C7736,C7692)</f>
        <v>4.32276504356099</v>
      </c>
    </row>
    <row r="7748" customFormat="false" ht="15" hidden="false" customHeight="false" outlineLevel="0" collapsed="false">
      <c r="A7748" s="3" t="s">
        <v>559</v>
      </c>
      <c r="C7748" s="16" t="n">
        <f aca="false">IF(C7715&gt;0,C7737,C7693)</f>
        <v>0</v>
      </c>
    </row>
    <row r="7749" customFormat="false" ht="15" hidden="false" customHeight="false" outlineLevel="0" collapsed="false">
      <c r="A7749" s="3" t="s">
        <v>560</v>
      </c>
      <c r="C7749" s="16" t="n">
        <f aca="false">IF(C7716&gt;0,C7738,C7694)</f>
        <v>382.991652405</v>
      </c>
    </row>
    <row r="7750" customFormat="false" ht="15" hidden="false" customHeight="false" outlineLevel="0" collapsed="false">
      <c r="A7750" s="3" t="s">
        <v>561</v>
      </c>
      <c r="C7750" s="16" t="n">
        <f aca="false">IF(C7717&gt;0,C7739,C7695)</f>
        <v>350</v>
      </c>
    </row>
    <row r="7751" customFormat="false" ht="15" hidden="false" customHeight="false" outlineLevel="0" collapsed="false">
      <c r="A7751" s="3" t="s">
        <v>562</v>
      </c>
      <c r="C7751" s="16" t="n">
        <f aca="false">IF(C7718&gt;0,C7740,C7696)</f>
        <v>550</v>
      </c>
    </row>
    <row r="7752" customFormat="false" ht="15" hidden="false" customHeight="false" outlineLevel="0" collapsed="false">
      <c r="A7752" s="3" t="s">
        <v>563</v>
      </c>
      <c r="C7752" s="16" t="n">
        <f aca="false">IF(C7719&gt;0,C7741,C7697)</f>
        <v>350</v>
      </c>
    </row>
    <row r="7753" customFormat="false" ht="15" hidden="false" customHeight="false" outlineLevel="0" collapsed="false">
      <c r="A7753" s="3" t="s">
        <v>564</v>
      </c>
      <c r="C7753" s="16" t="n">
        <f aca="false">IF(C7720&gt;0,C7742,C7698)</f>
        <v>300</v>
      </c>
    </row>
    <row r="7754" customFormat="false" ht="15" hidden="false" customHeight="false" outlineLevel="0" collapsed="false">
      <c r="A7754" s="3" t="s">
        <v>565</v>
      </c>
      <c r="C7754" s="16" t="n">
        <f aca="false">IF(C7721&gt;0,C7743,C7699)</f>
        <v>78.61</v>
      </c>
    </row>
    <row r="7755" customFormat="false" ht="15" hidden="false" customHeight="false" outlineLevel="0" collapsed="false">
      <c r="A7755" s="24" t="s">
        <v>571</v>
      </c>
      <c r="B7755" s="25"/>
      <c r="C7755" s="25"/>
      <c r="D7755" s="25"/>
      <c r="E7755" s="25"/>
      <c r="F7755" s="25"/>
      <c r="G7755" s="25"/>
      <c r="H7755" s="25"/>
      <c r="I7755" s="25"/>
      <c r="J7755" s="25"/>
      <c r="K7755" s="25"/>
    </row>
    <row r="7756" customFormat="false" ht="15" hidden="false" customHeight="false" outlineLevel="0" collapsed="false">
      <c r="A7756" s="3" t="s">
        <v>556</v>
      </c>
      <c r="C7756" s="21" t="n">
        <f aca="false">IF(C7712&gt;0,Assumptions!$C$17,C7701)</f>
        <v>99</v>
      </c>
    </row>
    <row r="7757" customFormat="false" ht="15" hidden="false" customHeight="false" outlineLevel="0" collapsed="false">
      <c r="A7757" s="3" t="s">
        <v>557</v>
      </c>
      <c r="C7757" s="21" t="n">
        <f aca="false">IF(C7713&gt;0,Assumptions!$C$17,C7702)</f>
        <v>99</v>
      </c>
    </row>
    <row r="7758" customFormat="false" ht="15" hidden="false" customHeight="false" outlineLevel="0" collapsed="false">
      <c r="A7758" s="3" t="s">
        <v>558</v>
      </c>
      <c r="C7758" s="21" t="n">
        <f aca="false">IF(C7714&gt;0,Assumptions!$C$17,C7703)</f>
        <v>99</v>
      </c>
    </row>
    <row r="7759" customFormat="false" ht="15" hidden="false" customHeight="false" outlineLevel="0" collapsed="false">
      <c r="A7759" s="3" t="s">
        <v>559</v>
      </c>
      <c r="C7759" s="21" t="n">
        <f aca="false">IF(C7715&gt;0,Assumptions!$C$17,C7704)</f>
        <v>2</v>
      </c>
    </row>
    <row r="7760" customFormat="false" ht="15" hidden="false" customHeight="false" outlineLevel="0" collapsed="false">
      <c r="A7760" s="3" t="s">
        <v>560</v>
      </c>
      <c r="C7760" s="21" t="n">
        <f aca="false">IF(C7716&gt;0,Assumptions!$C$17,C7705)</f>
        <v>2</v>
      </c>
    </row>
    <row r="7761" customFormat="false" ht="15" hidden="false" customHeight="false" outlineLevel="0" collapsed="false">
      <c r="A7761" s="3" t="s">
        <v>561</v>
      </c>
      <c r="C7761" s="21" t="n">
        <f aca="false">IF(C7717&gt;0,Assumptions!$C$17,C7706)</f>
        <v>2</v>
      </c>
    </row>
    <row r="7762" customFormat="false" ht="15" hidden="false" customHeight="false" outlineLevel="0" collapsed="false">
      <c r="A7762" s="3" t="s">
        <v>562</v>
      </c>
      <c r="C7762" s="21" t="n">
        <f aca="false">IF(C7718&gt;0,Assumptions!$C$17,C7707)</f>
        <v>2</v>
      </c>
    </row>
    <row r="7763" customFormat="false" ht="15" hidden="false" customHeight="false" outlineLevel="0" collapsed="false">
      <c r="A7763" s="3" t="s">
        <v>563</v>
      </c>
      <c r="C7763" s="21" t="n">
        <f aca="false">IF(C7719&gt;0,Assumptions!$C$17,C7708)</f>
        <v>2</v>
      </c>
    </row>
    <row r="7764" customFormat="false" ht="15" hidden="false" customHeight="false" outlineLevel="0" collapsed="false">
      <c r="A7764" s="3" t="s">
        <v>564</v>
      </c>
      <c r="C7764" s="21" t="n">
        <f aca="false">IF(C7720&gt;0,Assumptions!$C$17,C7709)</f>
        <v>2</v>
      </c>
    </row>
    <row r="7765" customFormat="false" ht="15" hidden="false" customHeight="false" outlineLevel="0" collapsed="false">
      <c r="A7765" s="3" t="s">
        <v>565</v>
      </c>
      <c r="C7765" s="21" t="n">
        <f aca="false">IF(C7721&gt;0,Assumptions!$C$17,C7710)</f>
        <v>3</v>
      </c>
    </row>
    <row r="7766" customFormat="false" ht="15" hidden="false" customHeight="false" outlineLevel="0" collapsed="false">
      <c r="A7766" s="24" t="s">
        <v>572</v>
      </c>
      <c r="B7766" s="25"/>
      <c r="C7766" s="25"/>
      <c r="D7766" s="25"/>
      <c r="E7766" s="25"/>
      <c r="F7766" s="25"/>
      <c r="G7766" s="25"/>
      <c r="H7766" s="25"/>
      <c r="I7766" s="25"/>
      <c r="J7766" s="25"/>
      <c r="K7766" s="25"/>
    </row>
    <row r="7767" customFormat="false" ht="15" hidden="false" customHeight="false" outlineLevel="0" collapsed="false">
      <c r="A7767" s="3" t="s">
        <v>556</v>
      </c>
      <c r="C7767" s="16" t="n">
        <f aca="false">SUMPRODUCT(($C$7756:$C$7765&lt;C7756)*$C$7745:$C$7754)</f>
        <v>2011.601652405</v>
      </c>
    </row>
    <row r="7768" customFormat="false" ht="15" hidden="false" customHeight="false" outlineLevel="0" collapsed="false">
      <c r="A7768" s="3" t="s">
        <v>557</v>
      </c>
      <c r="C7768" s="16" t="n">
        <f aca="false">SUMPRODUCT(($C$7756:$C$7765&lt;C7757)*$C$7745:$C$7754)</f>
        <v>2011.601652405</v>
      </c>
    </row>
    <row r="7769" customFormat="false" ht="15" hidden="false" customHeight="false" outlineLevel="0" collapsed="false">
      <c r="A7769" s="3" t="s">
        <v>558</v>
      </c>
      <c r="C7769" s="16" t="n">
        <f aca="false">SUMPRODUCT(($C$7756:$C$7765&lt;C7758)*$C$7745:$C$7754)</f>
        <v>2011.601652405</v>
      </c>
    </row>
    <row r="7770" customFormat="false" ht="15" hidden="false" customHeight="false" outlineLevel="0" collapsed="false">
      <c r="A7770" s="3" t="s">
        <v>559</v>
      </c>
      <c r="C7770" s="16" t="n">
        <f aca="false">SUMPRODUCT(($C$7756:$C$7765&lt;C7759)*$C$7745:$C$7754)</f>
        <v>0</v>
      </c>
    </row>
    <row r="7771" customFormat="false" ht="15" hidden="false" customHeight="false" outlineLevel="0" collapsed="false">
      <c r="A7771" s="3" t="s">
        <v>560</v>
      </c>
      <c r="C7771" s="16" t="n">
        <f aca="false">SUMPRODUCT(($C$7756:$C$7765&lt;C7760)*$C$7745:$C$7754)</f>
        <v>0</v>
      </c>
    </row>
    <row r="7772" customFormat="false" ht="15" hidden="false" customHeight="false" outlineLevel="0" collapsed="false">
      <c r="A7772" s="3" t="s">
        <v>561</v>
      </c>
      <c r="C7772" s="16" t="n">
        <f aca="false">SUMPRODUCT(($C$7756:$C$7765&lt;C7761)*$C$7745:$C$7754)</f>
        <v>0</v>
      </c>
    </row>
    <row r="7773" customFormat="false" ht="15" hidden="false" customHeight="false" outlineLevel="0" collapsed="false">
      <c r="A7773" s="3" t="s">
        <v>562</v>
      </c>
      <c r="C7773" s="16" t="n">
        <f aca="false">SUMPRODUCT(($C$7756:$C$7765&lt;C7762)*$C$7745:$C$7754)</f>
        <v>0</v>
      </c>
    </row>
    <row r="7774" customFormat="false" ht="15" hidden="false" customHeight="false" outlineLevel="0" collapsed="false">
      <c r="A7774" s="3" t="s">
        <v>563</v>
      </c>
      <c r="C7774" s="16" t="n">
        <f aca="false">SUMPRODUCT(($C$7756:$C$7765&lt;C7763)*$C$7745:$C$7754)</f>
        <v>0</v>
      </c>
    </row>
    <row r="7775" customFormat="false" ht="15" hidden="false" customHeight="false" outlineLevel="0" collapsed="false">
      <c r="A7775" s="3" t="s">
        <v>564</v>
      </c>
      <c r="C7775" s="16" t="n">
        <f aca="false">SUMPRODUCT(($C$7756:$C$7765&lt;C7764)*$C$7745:$C$7754)</f>
        <v>0</v>
      </c>
    </row>
    <row r="7776" customFormat="false" ht="15" hidden="false" customHeight="false" outlineLevel="0" collapsed="false">
      <c r="A7776" s="3" t="s">
        <v>565</v>
      </c>
      <c r="C7776" s="16" t="n">
        <f aca="false">SUMPRODUCT(($C$7756:$C$7765&lt;C7765)*$C$7745:$C$7754)</f>
        <v>1932.991652405</v>
      </c>
    </row>
    <row r="7777" customFormat="false" ht="15" hidden="false" customHeight="false" outlineLevel="0" collapsed="false">
      <c r="A7777" s="24" t="s">
        <v>573</v>
      </c>
      <c r="B7777" s="25"/>
      <c r="C7777" s="25"/>
      <c r="D7777" s="25"/>
      <c r="E7777" s="25"/>
      <c r="F7777" s="25"/>
      <c r="G7777" s="25"/>
      <c r="H7777" s="25"/>
      <c r="I7777" s="25"/>
      <c r="J7777" s="25"/>
      <c r="K7777" s="25"/>
    </row>
    <row r="7778" customFormat="false" ht="15" hidden="false" customHeight="false" outlineLevel="0" collapsed="false">
      <c r="A7778" s="3" t="s">
        <v>556</v>
      </c>
      <c r="C7778" s="16" t="n">
        <f aca="false">SUMPRODUCT(($C$7756:$C$7765=C7756)*$C$7745:$C$7754)</f>
        <v>11.035110112014</v>
      </c>
    </row>
    <row r="7779" customFormat="false" ht="15" hidden="false" customHeight="false" outlineLevel="0" collapsed="false">
      <c r="A7779" s="3" t="s">
        <v>557</v>
      </c>
      <c r="C7779" s="16" t="n">
        <f aca="false">SUMPRODUCT(($C$7756:$C$7765=C7757)*$C$7745:$C$7754)</f>
        <v>11.035110112014</v>
      </c>
    </row>
    <row r="7780" customFormat="false" ht="15" hidden="false" customHeight="false" outlineLevel="0" collapsed="false">
      <c r="A7780" s="3" t="s">
        <v>558</v>
      </c>
      <c r="C7780" s="16" t="n">
        <f aca="false">SUMPRODUCT(($C$7756:$C$7765=C7758)*$C$7745:$C$7754)</f>
        <v>11.035110112014</v>
      </c>
    </row>
    <row r="7781" customFormat="false" ht="15" hidden="false" customHeight="false" outlineLevel="0" collapsed="false">
      <c r="A7781" s="3" t="s">
        <v>559</v>
      </c>
      <c r="C7781" s="16" t="n">
        <f aca="false">SUMPRODUCT(($C$7756:$C$7765=C7759)*$C$7745:$C$7754)</f>
        <v>1932.991652405</v>
      </c>
    </row>
    <row r="7782" customFormat="false" ht="15" hidden="false" customHeight="false" outlineLevel="0" collapsed="false">
      <c r="A7782" s="3" t="s">
        <v>560</v>
      </c>
      <c r="C7782" s="16" t="n">
        <f aca="false">SUMPRODUCT(($C$7756:$C$7765=C7760)*$C$7745:$C$7754)</f>
        <v>1932.991652405</v>
      </c>
    </row>
    <row r="7783" customFormat="false" ht="15" hidden="false" customHeight="false" outlineLevel="0" collapsed="false">
      <c r="A7783" s="3" t="s">
        <v>561</v>
      </c>
      <c r="C7783" s="16" t="n">
        <f aca="false">SUMPRODUCT(($C$7756:$C$7765=C7761)*$C$7745:$C$7754)</f>
        <v>1932.991652405</v>
      </c>
    </row>
    <row r="7784" customFormat="false" ht="15" hidden="false" customHeight="false" outlineLevel="0" collapsed="false">
      <c r="A7784" s="3" t="s">
        <v>562</v>
      </c>
      <c r="C7784" s="16" t="n">
        <f aca="false">SUMPRODUCT(($C$7756:$C$7765=C7762)*$C$7745:$C$7754)</f>
        <v>1932.991652405</v>
      </c>
    </row>
    <row r="7785" customFormat="false" ht="15" hidden="false" customHeight="false" outlineLevel="0" collapsed="false">
      <c r="A7785" s="3" t="s">
        <v>563</v>
      </c>
      <c r="C7785" s="16" t="n">
        <f aca="false">SUMPRODUCT(($C$7756:$C$7765=C7763)*$C$7745:$C$7754)</f>
        <v>1932.991652405</v>
      </c>
    </row>
    <row r="7786" customFormat="false" ht="15" hidden="false" customHeight="false" outlineLevel="0" collapsed="false">
      <c r="A7786" s="3" t="s">
        <v>564</v>
      </c>
      <c r="C7786" s="16" t="n">
        <f aca="false">SUMPRODUCT(($C$7756:$C$7765=C7764)*$C$7745:$C$7754)</f>
        <v>1932.991652405</v>
      </c>
    </row>
    <row r="7787" customFormat="false" ht="15" hidden="false" customHeight="false" outlineLevel="0" collapsed="false">
      <c r="A7787" s="3" t="s">
        <v>565</v>
      </c>
      <c r="C7787" s="16" t="n">
        <f aca="false">SUMPRODUCT(($C$7756:$C$7765=C7765)*$C$7745:$C$7754)</f>
        <v>78.61</v>
      </c>
    </row>
    <row r="7788" customFormat="false" ht="15" hidden="false" customHeight="false" outlineLevel="0" collapsed="false">
      <c r="A7788" s="24" t="s">
        <v>574</v>
      </c>
      <c r="B7788" s="25"/>
      <c r="C7788" s="25"/>
      <c r="D7788" s="25"/>
      <c r="E7788" s="25"/>
      <c r="F7788" s="25"/>
      <c r="G7788" s="25"/>
      <c r="H7788" s="25"/>
      <c r="I7788" s="25"/>
      <c r="J7788" s="25"/>
      <c r="K7788" s="25"/>
    </row>
    <row r="7789" customFormat="false" ht="15" hidden="false" customHeight="false" outlineLevel="0" collapsed="false">
      <c r="A7789" s="3" t="s">
        <v>556</v>
      </c>
      <c r="C7789" s="16" t="n">
        <f aca="false">IF(C7778=0,0,C7745/C7778*MAX(0,MIN(C7778,$C$7688-SUM($C$7723:$C$7732)-C7767)))</f>
        <v>0</v>
      </c>
    </row>
    <row r="7790" customFormat="false" ht="15" hidden="false" customHeight="false" outlineLevel="0" collapsed="false">
      <c r="A7790" s="3" t="s">
        <v>557</v>
      </c>
      <c r="C7790" s="16" t="n">
        <f aca="false">IF(C7779=0,0,C7746/C7779*MAX(0,MIN(C7779,$C$7688-SUM($C$7723:$C$7732)-C7768)))</f>
        <v>0</v>
      </c>
    </row>
    <row r="7791" customFormat="false" ht="15" hidden="false" customHeight="false" outlineLevel="0" collapsed="false">
      <c r="A7791" s="3" t="s">
        <v>558</v>
      </c>
      <c r="C7791" s="16" t="n">
        <f aca="false">IF(C7780=0,0,C7747/C7780*MAX(0,MIN(C7780,$C$7688-SUM($C$7723:$C$7732)-C7769)))</f>
        <v>0</v>
      </c>
    </row>
    <row r="7792" customFormat="false" ht="15" hidden="false" customHeight="false" outlineLevel="0" collapsed="false">
      <c r="A7792" s="3" t="s">
        <v>559</v>
      </c>
      <c r="C7792" s="16" t="n">
        <f aca="false">IF(C7781=0,0,C7748/C7781*MAX(0,MIN(C7781,$C$7688-SUM($C$7723:$C$7732)-C7770)))</f>
        <v>0</v>
      </c>
    </row>
    <row r="7793" customFormat="false" ht="15" hidden="false" customHeight="false" outlineLevel="0" collapsed="false">
      <c r="A7793" s="3" t="s">
        <v>560</v>
      </c>
      <c r="C7793" s="16" t="n">
        <f aca="false">IF(C7782=0,0,C7749/C7782*MAX(0,MIN(C7782,$C$7688-SUM($C$7723:$C$7732)-C7771)))</f>
        <v>382.991652405</v>
      </c>
    </row>
    <row r="7794" customFormat="false" ht="15" hidden="false" customHeight="false" outlineLevel="0" collapsed="false">
      <c r="A7794" s="3" t="s">
        <v>561</v>
      </c>
      <c r="C7794" s="16" t="n">
        <f aca="false">IF(C7783=0,0,C7750/C7783*MAX(0,MIN(C7783,$C$7688-SUM($C$7723:$C$7732)-C7772)))</f>
        <v>350</v>
      </c>
    </row>
    <row r="7795" customFormat="false" ht="15" hidden="false" customHeight="false" outlineLevel="0" collapsed="false">
      <c r="A7795" s="3" t="s">
        <v>562</v>
      </c>
      <c r="C7795" s="16" t="n">
        <f aca="false">IF(C7784=0,0,C7751/C7784*MAX(0,MIN(C7784,$C$7688-SUM($C$7723:$C$7732)-C7773)))</f>
        <v>550</v>
      </c>
    </row>
    <row r="7796" customFormat="false" ht="15" hidden="false" customHeight="false" outlineLevel="0" collapsed="false">
      <c r="A7796" s="3" t="s">
        <v>563</v>
      </c>
      <c r="C7796" s="16" t="n">
        <f aca="false">IF(C7785=0,0,C7752/C7785*MAX(0,MIN(C7785,$C$7688-SUM($C$7723:$C$7732)-C7774)))</f>
        <v>350</v>
      </c>
    </row>
    <row r="7797" customFormat="false" ht="15" hidden="false" customHeight="false" outlineLevel="0" collapsed="false">
      <c r="A7797" s="3" t="s">
        <v>564</v>
      </c>
      <c r="C7797" s="16" t="n">
        <f aca="false">IF(C7786=0,0,C7753/C7786*MAX(0,MIN(C7786,$C$7688-SUM($C$7723:$C$7732)-C7775)))</f>
        <v>300</v>
      </c>
    </row>
    <row r="7798" customFormat="false" ht="15" hidden="false" customHeight="false" outlineLevel="0" collapsed="false">
      <c r="A7798" s="3" t="s">
        <v>565</v>
      </c>
      <c r="C7798" s="16" t="n">
        <f aca="false">IF(C7787=0,0,C7754/C7787*MAX(0,MIN(C7787,$C$7688-SUM($C$7723:$C$7732)-C7776)))</f>
        <v>66.5877889660142</v>
      </c>
    </row>
    <row r="7799" customFormat="false" ht="15" hidden="false" customHeight="false" outlineLevel="0" collapsed="false">
      <c r="A7799" s="24" t="s">
        <v>575</v>
      </c>
      <c r="B7799" s="25"/>
      <c r="C7799" s="25"/>
      <c r="D7799" s="25"/>
      <c r="E7799" s="25"/>
      <c r="F7799" s="25"/>
      <c r="G7799" s="25"/>
      <c r="H7799" s="25"/>
      <c r="I7799" s="25"/>
      <c r="J7799" s="25"/>
      <c r="K7799" s="25"/>
    </row>
    <row r="7800" customFormat="false" ht="15" hidden="false" customHeight="false" outlineLevel="0" collapsed="false">
      <c r="A7800" s="2" t="s">
        <v>556</v>
      </c>
      <c r="C7800" s="17" t="n">
        <f aca="false">C7723+C7789</f>
        <v>388</v>
      </c>
    </row>
    <row r="7801" customFormat="false" ht="15" hidden="false" customHeight="false" outlineLevel="0" collapsed="false">
      <c r="A7801" s="2" t="s">
        <v>557</v>
      </c>
      <c r="C7801" s="17" t="n">
        <f aca="false">C7724+C7790</f>
        <v>83.287654931547</v>
      </c>
    </row>
    <row r="7802" customFormat="false" ht="15" hidden="false" customHeight="false" outlineLevel="0" collapsed="false">
      <c r="A7802" s="2" t="s">
        <v>558</v>
      </c>
      <c r="C7802" s="17" t="n">
        <f aca="false">C7725+C7791</f>
        <v>53.001234956439</v>
      </c>
    </row>
    <row r="7803" customFormat="false" ht="15" hidden="false" customHeight="false" outlineLevel="0" collapsed="false">
      <c r="A7803" s="2" t="s">
        <v>559</v>
      </c>
      <c r="C7803" s="17" t="n">
        <f aca="false">C7726+C7792</f>
        <v>0</v>
      </c>
    </row>
    <row r="7804" customFormat="false" ht="15" hidden="false" customHeight="false" outlineLevel="0" collapsed="false">
      <c r="A7804" s="2" t="s">
        <v>560</v>
      </c>
      <c r="C7804" s="17" t="n">
        <f aca="false">C7727+C7793</f>
        <v>382.991652405</v>
      </c>
    </row>
    <row r="7805" customFormat="false" ht="15" hidden="false" customHeight="false" outlineLevel="0" collapsed="false">
      <c r="A7805" s="2" t="s">
        <v>561</v>
      </c>
      <c r="C7805" s="17" t="n">
        <f aca="false">C7728+C7794</f>
        <v>350</v>
      </c>
    </row>
    <row r="7806" customFormat="false" ht="15" hidden="false" customHeight="false" outlineLevel="0" collapsed="false">
      <c r="A7806" s="2" t="s">
        <v>562</v>
      </c>
      <c r="C7806" s="17" t="n">
        <f aca="false">C7729+C7795</f>
        <v>550</v>
      </c>
    </row>
    <row r="7807" customFormat="false" ht="15" hidden="false" customHeight="false" outlineLevel="0" collapsed="false">
      <c r="A7807" s="2" t="s">
        <v>563</v>
      </c>
      <c r="C7807" s="17" t="n">
        <f aca="false">C7730+C7796</f>
        <v>350</v>
      </c>
    </row>
    <row r="7808" customFormat="false" ht="15" hidden="false" customHeight="false" outlineLevel="0" collapsed="false">
      <c r="A7808" s="2" t="s">
        <v>564</v>
      </c>
      <c r="C7808" s="17" t="n">
        <f aca="false">C7731+C7797</f>
        <v>300</v>
      </c>
    </row>
    <row r="7809" customFormat="false" ht="15" hidden="false" customHeight="false" outlineLevel="0" collapsed="false">
      <c r="A7809" s="2" t="s">
        <v>565</v>
      </c>
      <c r="C7809" s="17" t="n">
        <f aca="false">C7732+C7798</f>
        <v>66.5877889660142</v>
      </c>
    </row>
    <row r="7810" customFormat="false" ht="15" hidden="false" customHeight="false" outlineLevel="0" collapsed="false">
      <c r="A7810" s="24" t="s">
        <v>576</v>
      </c>
      <c r="B7810" s="25"/>
      <c r="C7810" s="25"/>
      <c r="D7810" s="25"/>
      <c r="E7810" s="25"/>
      <c r="F7810" s="25"/>
      <c r="G7810" s="25"/>
      <c r="H7810" s="25"/>
      <c r="I7810" s="25"/>
      <c r="J7810" s="25"/>
      <c r="K7810" s="25"/>
    </row>
    <row r="7811" customFormat="false" ht="15" hidden="false" customHeight="false" outlineLevel="0" collapsed="false">
      <c r="A7811" s="3" t="s">
        <v>556</v>
      </c>
      <c r="C7811" s="22" t="n">
        <f aca="false">IF(C7690=0,1,C7800/C7690)</f>
        <v>1</v>
      </c>
    </row>
    <row r="7812" customFormat="false" ht="15" hidden="false" customHeight="false" outlineLevel="0" collapsed="false">
      <c r="A7812" s="3" t="s">
        <v>557</v>
      </c>
      <c r="C7812" s="22" t="n">
        <f aca="false">IF(C7691=0,1,C7801/C7691)</f>
        <v>0.9254183881283</v>
      </c>
    </row>
    <row r="7813" customFormat="false" ht="15" hidden="false" customHeight="false" outlineLevel="0" collapsed="false">
      <c r="A7813" s="3" t="s">
        <v>558</v>
      </c>
      <c r="C7813" s="22" t="n">
        <f aca="false">IF(C7692=0,1,C7802/C7692)</f>
        <v>0.924590659347551</v>
      </c>
    </row>
    <row r="7814" customFormat="false" ht="15" hidden="false" customHeight="false" outlineLevel="0" collapsed="false">
      <c r="A7814" s="3" t="s">
        <v>559</v>
      </c>
      <c r="C7814" s="22" t="n">
        <f aca="false">IF(C7693=0,1,C7803/C7693)</f>
        <v>1</v>
      </c>
    </row>
    <row r="7815" customFormat="false" ht="15" hidden="false" customHeight="false" outlineLevel="0" collapsed="false">
      <c r="A7815" s="3" t="s">
        <v>560</v>
      </c>
      <c r="C7815" s="22" t="n">
        <f aca="false">IF(C7694=0,1,C7804/C7694)</f>
        <v>1</v>
      </c>
    </row>
    <row r="7816" customFormat="false" ht="15" hidden="false" customHeight="false" outlineLevel="0" collapsed="false">
      <c r="A7816" s="3" t="s">
        <v>561</v>
      </c>
      <c r="C7816" s="22" t="n">
        <f aca="false">IF(C7695=0,1,C7805/C7695)</f>
        <v>1</v>
      </c>
    </row>
    <row r="7817" customFormat="false" ht="15" hidden="false" customHeight="false" outlineLevel="0" collapsed="false">
      <c r="A7817" s="3" t="s">
        <v>562</v>
      </c>
      <c r="C7817" s="22" t="n">
        <f aca="false">IF(C7696=0,1,C7806/C7696)</f>
        <v>1</v>
      </c>
    </row>
    <row r="7818" customFormat="false" ht="15" hidden="false" customHeight="false" outlineLevel="0" collapsed="false">
      <c r="A7818" s="3" t="s">
        <v>563</v>
      </c>
      <c r="C7818" s="22" t="n">
        <f aca="false">IF(C7697=0,1,C7807/C7697)</f>
        <v>1</v>
      </c>
    </row>
    <row r="7819" customFormat="false" ht="15" hidden="false" customHeight="false" outlineLevel="0" collapsed="false">
      <c r="A7819" s="3" t="s">
        <v>564</v>
      </c>
      <c r="C7819" s="22" t="n">
        <f aca="false">IF(C7698=0,1,C7808/C7698)</f>
        <v>1</v>
      </c>
    </row>
    <row r="7820" customFormat="false" ht="15" hidden="false" customHeight="false" outlineLevel="0" collapsed="false">
      <c r="A7820" s="3" t="s">
        <v>565</v>
      </c>
      <c r="C7820" s="22" t="n">
        <f aca="false">IF(C7699=0,1,C7809/C7699)</f>
        <v>0.847065118509276</v>
      </c>
    </row>
    <row r="7821" customFormat="false" ht="15" hidden="false" customHeight="false" outlineLevel="0" collapsed="false">
      <c r="A7821" s="24" t="s">
        <v>577</v>
      </c>
      <c r="B7821" s="25"/>
      <c r="C7821" s="25"/>
      <c r="D7821" s="25"/>
      <c r="E7821" s="25"/>
      <c r="F7821" s="25"/>
      <c r="G7821" s="25"/>
      <c r="H7821" s="25"/>
      <c r="I7821" s="25"/>
      <c r="J7821" s="25"/>
      <c r="K7821" s="25"/>
    </row>
    <row r="7822" customFormat="false" ht="15" hidden="false" customHeight="false" outlineLevel="0" collapsed="false">
      <c r="A7822" s="3" t="s">
        <v>556</v>
      </c>
      <c r="C7822" s="16" t="n">
        <f aca="false">C7690-C7800</f>
        <v>0</v>
      </c>
    </row>
    <row r="7823" customFormat="false" ht="15" hidden="false" customHeight="false" outlineLevel="0" collapsed="false">
      <c r="A7823" s="3" t="s">
        <v>557</v>
      </c>
      <c r="C7823" s="16" t="n">
        <f aca="false">C7691-C7801</f>
        <v>6.71234506845299</v>
      </c>
    </row>
    <row r="7824" customFormat="false" ht="15" hidden="false" customHeight="false" outlineLevel="0" collapsed="false">
      <c r="A7824" s="3" t="s">
        <v>558</v>
      </c>
      <c r="C7824" s="16" t="n">
        <f aca="false">C7692-C7802</f>
        <v>4.32276504356099</v>
      </c>
    </row>
    <row r="7825" customFormat="false" ht="15" hidden="false" customHeight="false" outlineLevel="0" collapsed="false">
      <c r="A7825" s="3" t="s">
        <v>559</v>
      </c>
      <c r="C7825" s="16" t="n">
        <f aca="false">C7693-C7803</f>
        <v>0</v>
      </c>
    </row>
    <row r="7826" customFormat="false" ht="15" hidden="false" customHeight="false" outlineLevel="0" collapsed="false">
      <c r="A7826" s="3" t="s">
        <v>560</v>
      </c>
      <c r="C7826" s="16" t="n">
        <f aca="false">C7694-C7804</f>
        <v>0</v>
      </c>
    </row>
    <row r="7827" customFormat="false" ht="15" hidden="false" customHeight="false" outlineLevel="0" collapsed="false">
      <c r="A7827" s="3" t="s">
        <v>561</v>
      </c>
      <c r="C7827" s="16" t="n">
        <f aca="false">C7695-C7805</f>
        <v>0</v>
      </c>
    </row>
    <row r="7828" customFormat="false" ht="15" hidden="false" customHeight="false" outlineLevel="0" collapsed="false">
      <c r="A7828" s="3" t="s">
        <v>562</v>
      </c>
      <c r="C7828" s="16" t="n">
        <f aca="false">C7696-C7806</f>
        <v>0</v>
      </c>
    </row>
    <row r="7829" customFormat="false" ht="15" hidden="false" customHeight="false" outlineLevel="0" collapsed="false">
      <c r="A7829" s="3" t="s">
        <v>563</v>
      </c>
      <c r="C7829" s="16" t="n">
        <f aca="false">C7697-C7807</f>
        <v>0</v>
      </c>
    </row>
    <row r="7830" customFormat="false" ht="15" hidden="false" customHeight="false" outlineLevel="0" collapsed="false">
      <c r="A7830" s="3" t="s">
        <v>564</v>
      </c>
      <c r="C7830" s="16" t="n">
        <f aca="false">C7698-C7808</f>
        <v>0</v>
      </c>
    </row>
    <row r="7831" customFormat="false" ht="15" hidden="false" customHeight="false" outlineLevel="0" collapsed="false">
      <c r="A7831" s="3" t="s">
        <v>565</v>
      </c>
      <c r="C7831" s="16" t="n">
        <f aca="false">C7699-C7809</f>
        <v>12.0222110339858</v>
      </c>
    </row>
    <row r="7832" customFormat="false" ht="15" hidden="false" customHeight="false" outlineLevel="0" collapsed="false">
      <c r="A7832" s="24" t="s">
        <v>578</v>
      </c>
      <c r="B7832" s="25"/>
      <c r="C7832" s="25"/>
      <c r="D7832" s="25"/>
      <c r="E7832" s="25"/>
      <c r="F7832" s="25"/>
      <c r="G7832" s="25"/>
      <c r="H7832" s="25"/>
      <c r="I7832" s="25"/>
      <c r="J7832" s="25"/>
      <c r="K7832" s="25"/>
    </row>
    <row r="7833" customFormat="false" ht="15" hidden="false" customHeight="false" outlineLevel="0" collapsed="false">
      <c r="A7833" s="3" t="s">
        <v>556</v>
      </c>
      <c r="C7833" s="22" t="n">
        <f aca="false">IF(C7690=0,0,C7822/C7690)</f>
        <v>0</v>
      </c>
    </row>
    <row r="7834" customFormat="false" ht="15" hidden="false" customHeight="false" outlineLevel="0" collapsed="false">
      <c r="A7834" s="3" t="s">
        <v>557</v>
      </c>
      <c r="C7834" s="22" t="n">
        <f aca="false">IF(C7691=0,0,C7823/C7691)</f>
        <v>0.0745816118716999</v>
      </c>
    </row>
    <row r="7835" customFormat="false" ht="15" hidden="false" customHeight="false" outlineLevel="0" collapsed="false">
      <c r="A7835" s="3" t="s">
        <v>558</v>
      </c>
      <c r="C7835" s="22" t="n">
        <f aca="false">IF(C7692=0,0,C7824/C7692)</f>
        <v>0.0754093406524491</v>
      </c>
    </row>
    <row r="7836" customFormat="false" ht="15" hidden="false" customHeight="false" outlineLevel="0" collapsed="false">
      <c r="A7836" s="3" t="s">
        <v>559</v>
      </c>
      <c r="C7836" s="22" t="n">
        <f aca="false">IF(C7693=0,0,C7825/C7693)</f>
        <v>0</v>
      </c>
    </row>
    <row r="7837" customFormat="false" ht="15" hidden="false" customHeight="false" outlineLevel="0" collapsed="false">
      <c r="A7837" s="3" t="s">
        <v>560</v>
      </c>
      <c r="C7837" s="22" t="n">
        <f aca="false">IF(C7694=0,0,C7826/C7694)</f>
        <v>0</v>
      </c>
    </row>
    <row r="7838" customFormat="false" ht="15" hidden="false" customHeight="false" outlineLevel="0" collapsed="false">
      <c r="A7838" s="3" t="s">
        <v>561</v>
      </c>
      <c r="C7838" s="22" t="n">
        <f aca="false">IF(C7695=0,0,C7827/C7695)</f>
        <v>0</v>
      </c>
    </row>
    <row r="7839" customFormat="false" ht="15" hidden="false" customHeight="false" outlineLevel="0" collapsed="false">
      <c r="A7839" s="3" t="s">
        <v>562</v>
      </c>
      <c r="C7839" s="22" t="n">
        <f aca="false">IF(C7696=0,0,C7828/C7696)</f>
        <v>0</v>
      </c>
    </row>
    <row r="7840" customFormat="false" ht="15" hidden="false" customHeight="false" outlineLevel="0" collapsed="false">
      <c r="A7840" s="3" t="s">
        <v>563</v>
      </c>
      <c r="C7840" s="22" t="n">
        <f aca="false">IF(C7697=0,0,C7829/C7697)</f>
        <v>0</v>
      </c>
    </row>
    <row r="7841" customFormat="false" ht="15" hidden="false" customHeight="false" outlineLevel="0" collapsed="false">
      <c r="A7841" s="3" t="s">
        <v>564</v>
      </c>
      <c r="C7841" s="22" t="n">
        <f aca="false">IF(C7698=0,0,C7830/C7698)</f>
        <v>0</v>
      </c>
    </row>
    <row r="7842" customFormat="false" ht="15" hidden="false" customHeight="false" outlineLevel="0" collapsed="false">
      <c r="A7842" s="3" t="s">
        <v>565</v>
      </c>
      <c r="C7842" s="22" t="n">
        <f aca="false">IF(C7699=0,0,C7831/C7699)</f>
        <v>0.152934881490724</v>
      </c>
    </row>
    <row r="7843" customFormat="false" ht="15" hidden="false" customHeight="false" outlineLevel="0" collapsed="false">
      <c r="A7843" s="2" t="s">
        <v>579</v>
      </c>
      <c r="C7843" s="17" t="n">
        <f aca="false">MAX(0,$C$7688-SUM($C$7723:$C$7732)-SUM($C$7745:$C$7754))</f>
        <v>0</v>
      </c>
    </row>
    <row r="7844" customFormat="false" ht="15" hidden="false" customHeight="false" outlineLevel="0" collapsed="false">
      <c r="A7844" s="3" t="s">
        <v>597</v>
      </c>
      <c r="C7844" s="35" t="n">
        <f aca="false">MIN(C7687,100*CHOOSE(C7677,C7811,C7812,C7813,C7814,C7815,C7816,C7817,C7818,C7819,C7820))</f>
        <v>95</v>
      </c>
    </row>
    <row r="7845" customFormat="false" ht="15" hidden="false" customHeight="false" outlineLevel="0" collapsed="false">
      <c r="A7845" s="3" t="s">
        <v>598</v>
      </c>
      <c r="C7845" s="21" t="n">
        <f aca="false">IF(C7509=1,C7682+Assumptions!$C$40,C7681)</f>
        <v>3</v>
      </c>
    </row>
    <row r="7846" customFormat="false" ht="15" hidden="false" customHeight="false" outlineLevel="0" collapsed="false">
      <c r="A7846" s="24" t="s">
        <v>599</v>
      </c>
      <c r="B7846" s="25"/>
      <c r="C7846" s="25"/>
      <c r="D7846" s="25"/>
      <c r="E7846" s="25"/>
      <c r="F7846" s="25"/>
      <c r="G7846" s="25"/>
      <c r="H7846" s="25"/>
      <c r="I7846" s="25"/>
      <c r="J7846" s="25"/>
      <c r="K7846" s="25"/>
    </row>
    <row r="7847" customFormat="false" ht="15" hidden="false" customHeight="false" outlineLevel="0" collapsed="false">
      <c r="A7847" s="3" t="s">
        <v>600</v>
      </c>
      <c r="C7847" s="21" t="n">
        <f aca="false">COLUMN()-COLUMN($C$1)</f>
        <v>0</v>
      </c>
      <c r="D7847" s="21" t="n">
        <f aca="false">COLUMN()-COLUMN($C$1)</f>
        <v>1</v>
      </c>
      <c r="E7847" s="21" t="n">
        <f aca="false">COLUMN()-COLUMN($C$1)</f>
        <v>2</v>
      </c>
      <c r="F7847" s="21" t="n">
        <f aca="false">COLUMN()-COLUMN($C$1)</f>
        <v>3</v>
      </c>
      <c r="G7847" s="21" t="n">
        <f aca="false">COLUMN()-COLUMN($C$1)</f>
        <v>4</v>
      </c>
      <c r="H7847" s="21" t="n">
        <f aca="false">COLUMN()-COLUMN($C$1)</f>
        <v>5</v>
      </c>
      <c r="I7847" s="21" t="n">
        <f aca="false">COLUMN()-COLUMN($C$1)</f>
        <v>6</v>
      </c>
    </row>
    <row r="7848" customFormat="false" ht="15" hidden="false" customHeight="false" outlineLevel="0" collapsed="false">
      <c r="A7848" s="3" t="s">
        <v>601</v>
      </c>
      <c r="D7848" s="31" t="n">
        <f aca="false">CHOOSE($C$7677,G7257,G7270,G7283,G7296,G7309,G7322,G7335,G7348,G7361,G7374)</f>
        <v>0.1065</v>
      </c>
      <c r="E7848" s="31" t="n">
        <f aca="false">CHOOSE($C$7677,H7257,H7270,H7283,H7296,H7309,H7322,H7335,H7348,H7361,H7374)</f>
        <v>0.105</v>
      </c>
      <c r="F7848" s="31" t="n">
        <f aca="false">CHOOSE($C$7677,I7257,I7270,I7283,I7296,I7309,I7322,I7335,I7348,I7361,I7374)</f>
        <v>0.1025</v>
      </c>
      <c r="G7848" s="31" t="n">
        <f aca="false">CHOOSE($C$7677,J7257,J7270,J7283,J7296,J7309,J7322,J7335,J7348,J7361,J7374)</f>
        <v>0.1025</v>
      </c>
      <c r="H7848" s="31" t="n">
        <f aca="false">CHOOSE($C$7677,K7257,K7270,K7283,K7296,K7309,K7322,K7335,K7348,K7361,K7374)</f>
        <v>0.1025</v>
      </c>
    </row>
    <row r="7849" customFormat="false" ht="15" hidden="false" customHeight="false" outlineLevel="0" collapsed="false">
      <c r="A7849" s="3" t="s">
        <v>602</v>
      </c>
      <c r="D7849" s="16" t="n">
        <f aca="false">IF(D7847&lt;=$C$7686,$C$7678*D7848,0)</f>
        <v>10.65</v>
      </c>
      <c r="E7849" s="16" t="n">
        <f aca="false">IF(E7847&lt;=$C$7686,$C$7678*E7848,0)</f>
        <v>10.5</v>
      </c>
      <c r="F7849" s="16" t="n">
        <f aca="false">IF(F7847&lt;=$C$7686,$C$7678*F7848,0)</f>
        <v>0</v>
      </c>
      <c r="G7849" s="16" t="n">
        <f aca="false">IF(G7847&lt;=$C$7686,$C$7678*G7848,0)</f>
        <v>0</v>
      </c>
      <c r="H7849" s="16" t="n">
        <f aca="false">IF(H7847&lt;=$C$7686,$C$7678*H7848,0)</f>
        <v>0</v>
      </c>
    </row>
    <row r="7850" customFormat="false" ht="15" hidden="false" customHeight="false" outlineLevel="0" collapsed="false">
      <c r="A7850" s="3" t="s">
        <v>603</v>
      </c>
      <c r="D7850" s="16" t="n">
        <f aca="false">IF(AND($C$7509=0,D7847=$C$7681),$C$7678*$C$7844/100,0)+IF(AND($C$7509=1,D7847=$C$7845),$C$7684,0)</f>
        <v>0</v>
      </c>
      <c r="E7850" s="16" t="n">
        <f aca="false">IF(AND($C$7509=0,E7847=$C$7681),$C$7678*$C$7844/100,0)+IF(AND($C$7509=1,E7847=$C$7845),$C$7684,0)</f>
        <v>0</v>
      </c>
      <c r="F7850" s="16" t="n">
        <f aca="false">IF(AND($C$7509=0,F7847=$C$7681),$C$7678*$C$7844/100,0)+IF(AND($C$7509=1,F7847=$C$7845),$C$7684,0)</f>
        <v>102.625</v>
      </c>
      <c r="G7850" s="16" t="n">
        <f aca="false">IF(AND($C$7509=0,G7847=$C$7681),$C$7678*$C$7844/100,0)+IF(AND($C$7509=1,G7847=$C$7845),$C$7684,0)</f>
        <v>0</v>
      </c>
      <c r="H7850" s="16" t="n">
        <f aca="false">IF(AND($C$7509=0,H7847=$C$7681),$C$7678*$C$7844/100,0)+IF(AND($C$7509=1,H7847=$C$7845),$C$7684,0)</f>
        <v>0</v>
      </c>
      <c r="I7850" s="16" t="n">
        <f aca="false">IF(AND($C$7509=0,I7847=$C$7681),$C$7678*$C$7844/100,0)+IF(AND($C$7509=1,I7847=$C$7845),$C$7684,0)</f>
        <v>0</v>
      </c>
    </row>
    <row r="7851" customFormat="false" ht="15" hidden="false" customHeight="false" outlineLevel="0" collapsed="false">
      <c r="A7851" s="2" t="s">
        <v>604</v>
      </c>
      <c r="C7851" s="17" t="n">
        <f aca="false">-$C$7680</f>
        <v>-98.49</v>
      </c>
      <c r="D7851" s="17" t="n">
        <f aca="false">D7849+D7850</f>
        <v>10.65</v>
      </c>
      <c r="E7851" s="17" t="n">
        <f aca="false">E7849+E7850</f>
        <v>10.5</v>
      </c>
      <c r="F7851" s="17" t="n">
        <f aca="false">F7849+F7850</f>
        <v>102.625</v>
      </c>
      <c r="G7851" s="17" t="n">
        <f aca="false">G7849+G7850</f>
        <v>0</v>
      </c>
      <c r="H7851" s="17" t="n">
        <f aca="false">H7849+H7850</f>
        <v>0</v>
      </c>
      <c r="I7851" s="17" t="n">
        <f aca="false">I7849+I7850</f>
        <v>0</v>
      </c>
    </row>
    <row r="7852" customFormat="false" ht="15" hidden="false" customHeight="false" outlineLevel="0" collapsed="false">
      <c r="A7852" s="3" t="s">
        <v>605</v>
      </c>
      <c r="C7852" s="16" t="n">
        <f aca="false">SUM($C$7849:$I$7849)</f>
        <v>21.15</v>
      </c>
    </row>
    <row r="7853" customFormat="false" ht="15" hidden="false" customHeight="false" outlineLevel="0" collapsed="false">
      <c r="A7853" s="3" t="s">
        <v>606</v>
      </c>
      <c r="C7853" s="16" t="n">
        <f aca="false">SUM($C$7850:$I$7850)</f>
        <v>102.625</v>
      </c>
    </row>
    <row r="7854" customFormat="false" ht="15" hidden="false" customHeight="false" outlineLevel="0" collapsed="false">
      <c r="A7854" s="3" t="s">
        <v>607</v>
      </c>
      <c r="C7854" s="16" t="n">
        <f aca="false">C7852+C7853</f>
        <v>123.775</v>
      </c>
    </row>
    <row r="7855" customFormat="false" ht="15" hidden="false" customHeight="false" outlineLevel="0" collapsed="false">
      <c r="A7855" s="3" t="s">
        <v>608</v>
      </c>
      <c r="C7855" s="16" t="n">
        <f aca="false">C7853-C7678*C7679/100</f>
        <v>4.62500000000001</v>
      </c>
    </row>
    <row r="7856" customFormat="false" ht="15" hidden="false" customHeight="false" outlineLevel="0" collapsed="false">
      <c r="A7856" s="3" t="s">
        <v>609</v>
      </c>
      <c r="C7856" s="16" t="n">
        <f aca="false">C7854-C7680</f>
        <v>25.285</v>
      </c>
    </row>
    <row r="7857" customFormat="false" ht="15" hidden="false" customHeight="false" outlineLevel="0" collapsed="false">
      <c r="A7857" s="2" t="s">
        <v>484</v>
      </c>
      <c r="C7857" s="44" t="n">
        <f aca="false">C7854/C7680</f>
        <v>1.25672657122551</v>
      </c>
    </row>
    <row r="7858" customFormat="false" ht="15" hidden="false" customHeight="false" outlineLevel="0" collapsed="false">
      <c r="A7858" s="2" t="s">
        <v>483</v>
      </c>
      <c r="C7858" s="42" t="n">
        <f aca="false">IF(C7854&lt;=0,-1,IFERROR(IRR($C$7851:$I$7851,MAX(-0.9,C7857^(1/C7845)-1)),IRR($C$7851:$I$7851,0.1)))</f>
        <v>0.0873962489027792</v>
      </c>
    </row>
    <row r="7859" customFormat="false" ht="15" hidden="false" customHeight="false" outlineLevel="0" collapsed="false">
      <c r="A7859" s="3" t="s">
        <v>610</v>
      </c>
      <c r="C7859" s="32" t="n">
        <f aca="false">MAX($G$7453:$K$7453)</f>
        <v>11.3706906710327</v>
      </c>
    </row>
    <row r="7860" customFormat="false" ht="15" hidden="false" customHeight="false" outlineLevel="0" collapsed="false">
      <c r="A7860" s="3" t="s">
        <v>611</v>
      </c>
      <c r="C7860" s="32" t="n">
        <f aca="false">MIN($G$7454:$K$7454)</f>
        <v>1.23190035827066</v>
      </c>
    </row>
    <row r="7861" customFormat="false" ht="15" hidden="false" customHeight="false" outlineLevel="0" collapsed="false">
      <c r="A7861" s="3" t="s">
        <v>612</v>
      </c>
      <c r="C7861" s="16" t="n">
        <f aca="false">SUM($G$7241:$K$7241)</f>
        <v>-272.132439546279</v>
      </c>
    </row>
    <row r="7865" customFormat="false" ht="15" hidden="false" customHeight="false" outlineLevel="0" collapsed="false">
      <c r="A7865" s="9" t="s">
        <v>1142</v>
      </c>
      <c r="B7865" s="10"/>
      <c r="C7865" s="10"/>
      <c r="D7865" s="10"/>
      <c r="E7865" s="10"/>
      <c r="F7865" s="10"/>
      <c r="G7865" s="10"/>
      <c r="H7865" s="10"/>
      <c r="I7865" s="10"/>
      <c r="J7865" s="10"/>
      <c r="K7865" s="10"/>
    </row>
    <row r="7866" customFormat="false" ht="15" hidden="false" customHeight="false" outlineLevel="0" collapsed="false">
      <c r="A7866" s="3" t="s">
        <v>1126</v>
      </c>
      <c r="C7866" s="11" t="n">
        <v>2</v>
      </c>
    </row>
    <row r="7867" customFormat="false" ht="15" hidden="false" customHeight="false" outlineLevel="0" collapsed="false">
      <c r="A7867" s="3" t="s">
        <v>1127</v>
      </c>
      <c r="C7867" s="19" t="n">
        <v>0</v>
      </c>
    </row>
    <row r="7868" customFormat="false" ht="15" hidden="false" customHeight="false" outlineLevel="0" collapsed="false">
      <c r="A7868" s="3" t="s">
        <v>1128</v>
      </c>
      <c r="C7868" s="30" t="n">
        <f aca="false">Sensitivities!$A$34</f>
        <v>0.04</v>
      </c>
    </row>
    <row r="7869" customFormat="false" ht="15" hidden="false" customHeight="false" outlineLevel="0" collapsed="false">
      <c r="A7869" s="3" t="s">
        <v>1129</v>
      </c>
      <c r="C7869" s="19" t="n">
        <v>0</v>
      </c>
    </row>
    <row r="7870" customFormat="false" ht="15" hidden="false" customHeight="false" outlineLevel="0" collapsed="false">
      <c r="A7870" s="3" t="s">
        <v>1130</v>
      </c>
      <c r="C7870" s="15" t="n">
        <v>0</v>
      </c>
    </row>
    <row r="7872" customFormat="false" ht="15" hidden="false" customHeight="false" outlineLevel="0" collapsed="false">
      <c r="A7872" s="24" t="s">
        <v>301</v>
      </c>
      <c r="B7872" s="25"/>
      <c r="C7872" s="25"/>
      <c r="D7872" s="25"/>
      <c r="E7872" s="25"/>
      <c r="F7872" s="25"/>
      <c r="G7872" s="25"/>
      <c r="H7872" s="25"/>
      <c r="I7872" s="25"/>
      <c r="J7872" s="25"/>
      <c r="K7872" s="25"/>
    </row>
    <row r="7873" customFormat="false" ht="15" hidden="false" customHeight="false" outlineLevel="0" collapsed="false">
      <c r="A7873" s="3" t="s">
        <v>302</v>
      </c>
      <c r="F7873" s="27" t="n">
        <f aca="false">Assumptions!$C$6</f>
        <v>2026</v>
      </c>
      <c r="G7873" s="21" t="n">
        <f aca="false">F7873+1</f>
        <v>2027</v>
      </c>
      <c r="H7873" s="21" t="n">
        <f aca="false">G7873+1</f>
        <v>2028</v>
      </c>
      <c r="I7873" s="21" t="n">
        <f aca="false">H7873+1</f>
        <v>2029</v>
      </c>
      <c r="J7873" s="21" t="n">
        <f aca="false">I7873+1</f>
        <v>2030</v>
      </c>
      <c r="K7873" s="21" t="n">
        <f aca="false">J7873+1</f>
        <v>2031</v>
      </c>
    </row>
    <row r="7874" customFormat="false" ht="15" hidden="false" customHeight="false" outlineLevel="0" collapsed="false">
      <c r="A7874" s="3" t="s">
        <v>303</v>
      </c>
      <c r="G7874" s="21" t="n">
        <f aca="false">G7873-Assumptions!$C$6</f>
        <v>1</v>
      </c>
      <c r="H7874" s="21" t="n">
        <f aca="false">H7873-Assumptions!$C$6</f>
        <v>2</v>
      </c>
      <c r="I7874" s="21" t="n">
        <f aca="false">I7873-Assumptions!$C$6</f>
        <v>3</v>
      </c>
      <c r="J7874" s="21" t="n">
        <f aca="false">J7873-Assumptions!$C$6</f>
        <v>4</v>
      </c>
      <c r="K7874" s="21" t="n">
        <f aca="false">K7873-Assumptions!$C$6</f>
        <v>5</v>
      </c>
    </row>
    <row r="7875" customFormat="false" ht="15" hidden="false" customHeight="false" outlineLevel="0" collapsed="false">
      <c r="A7875" s="3" t="s">
        <v>180</v>
      </c>
      <c r="G7875" s="22" t="n">
        <f aca="false">CHOOSE($C$7866,Assumptions!$G$79,Assumptions!$G$98,Assumptions!$G$117)+$C$7867</f>
        <v>-0.06</v>
      </c>
      <c r="H7875" s="22" t="n">
        <f aca="false">CHOOSE($C$7866,Assumptions!$H$79,Assumptions!$H$98,Assumptions!$H$117)+$C$7867</f>
        <v>-0.03</v>
      </c>
      <c r="I7875" s="22" t="n">
        <f aca="false">CHOOSE($C$7866,Assumptions!$I$79,Assumptions!$I$98,Assumptions!$I$117)+$C$7867</f>
        <v>0</v>
      </c>
      <c r="J7875" s="22" t="n">
        <f aca="false">CHOOSE($C$7866,Assumptions!$J$79,Assumptions!$J$98,Assumptions!$J$117)+$C$7867</f>
        <v>0.01</v>
      </c>
      <c r="K7875" s="22" t="n">
        <f aca="false">CHOOSE($C$7866,Assumptions!$K$79,Assumptions!$K$98,Assumptions!$K$117)+$C$7867</f>
        <v>0.01</v>
      </c>
    </row>
    <row r="7876" customFormat="false" ht="15" hidden="false" customHeight="false" outlineLevel="0" collapsed="false">
      <c r="A7876" s="3" t="s">
        <v>181</v>
      </c>
      <c r="G7876" s="22" t="n">
        <f aca="false">CHOOSE($C$7866,Assumptions!$G$80,Assumptions!$G$99,Assumptions!$G$118)</f>
        <v>0.573920660818678</v>
      </c>
      <c r="H7876" s="22" t="n">
        <f aca="false">CHOOSE($C$7866,Assumptions!$H$80,Assumptions!$H$99,Assumptions!$H$118)</f>
        <v>0.558920660818678</v>
      </c>
      <c r="I7876" s="22" t="n">
        <f aca="false">CHOOSE($C$7866,Assumptions!$I$80,Assumptions!$I$99,Assumptions!$I$118)</f>
        <v>0.558920660818678</v>
      </c>
      <c r="J7876" s="22" t="n">
        <f aca="false">CHOOSE($C$7866,Assumptions!$J$80,Assumptions!$J$99,Assumptions!$J$118)</f>
        <v>0.563920660818678</v>
      </c>
      <c r="K7876" s="22" t="n">
        <f aca="false">CHOOSE($C$7866,Assumptions!$K$80,Assumptions!$K$99,Assumptions!$K$118)</f>
        <v>0.568920660818678</v>
      </c>
    </row>
    <row r="7877" customFormat="false" ht="15" hidden="false" customHeight="false" outlineLevel="0" collapsed="false">
      <c r="A7877" s="3" t="s">
        <v>182</v>
      </c>
      <c r="G7877" s="22" t="n">
        <f aca="false">CHOOSE($C$7866,Assumptions!$G$81,Assumptions!$G$100,Assumptions!$G$119)+$C$7868</f>
        <v>0.54</v>
      </c>
      <c r="H7877" s="22" t="n">
        <f aca="false">CHOOSE($C$7866,Assumptions!$H$81,Assumptions!$H$100,Assumptions!$H$119)+$C$7868</f>
        <v>0.525</v>
      </c>
      <c r="I7877" s="22" t="n">
        <f aca="false">CHOOSE($C$7866,Assumptions!$I$81,Assumptions!$I$100,Assumptions!$I$119)+$C$7868</f>
        <v>0.525</v>
      </c>
      <c r="J7877" s="22" t="n">
        <f aca="false">CHOOSE($C$7866,Assumptions!$J$81,Assumptions!$J$100,Assumptions!$J$119)+$C$7868</f>
        <v>0.53</v>
      </c>
      <c r="K7877" s="22" t="n">
        <f aca="false">CHOOSE($C$7866,Assumptions!$K$81,Assumptions!$K$100,Assumptions!$K$119)+$C$7868</f>
        <v>0.535</v>
      </c>
    </row>
    <row r="7878" customFormat="false" ht="15" hidden="false" customHeight="false" outlineLevel="0" collapsed="false">
      <c r="A7878" s="24" t="s">
        <v>304</v>
      </c>
      <c r="B7878" s="25"/>
      <c r="C7878" s="25"/>
      <c r="D7878" s="25"/>
      <c r="E7878" s="25"/>
      <c r="F7878" s="25"/>
      <c r="G7878" s="25"/>
      <c r="H7878" s="25"/>
      <c r="I7878" s="25"/>
      <c r="J7878" s="25"/>
      <c r="K7878" s="25"/>
    </row>
    <row r="7879" customFormat="false" ht="15" hidden="false" customHeight="false" outlineLevel="0" collapsed="false">
      <c r="A7879" s="2" t="s">
        <v>275</v>
      </c>
      <c r="F7879" s="28" t="n">
        <f aca="false">'Historical Financials'!G25</f>
        <v>498.291</v>
      </c>
      <c r="G7879" s="17" t="n">
        <f aca="false">F7879*(1+G7875)</f>
        <v>468.39354</v>
      </c>
      <c r="H7879" s="17" t="n">
        <f aca="false">G7879*(1+H7875)</f>
        <v>454.3417338</v>
      </c>
      <c r="I7879" s="17" t="n">
        <f aca="false">H7879*(1+I7875)</f>
        <v>454.3417338</v>
      </c>
      <c r="J7879" s="17" t="n">
        <f aca="false">I7879*(1+J7875)</f>
        <v>458.885151138</v>
      </c>
      <c r="K7879" s="17" t="n">
        <f aca="false">J7879*(1+K7875)</f>
        <v>463.47400264938</v>
      </c>
    </row>
    <row r="7880" customFormat="false" ht="15" hidden="false" customHeight="false" outlineLevel="0" collapsed="false">
      <c r="A7880" s="3" t="s">
        <v>276</v>
      </c>
      <c r="G7880" s="16" t="n">
        <f aca="false">G7879*(1-G7876)</f>
        <v>199.57281</v>
      </c>
      <c r="H7880" s="16" t="n">
        <f aca="false">H7879*(1-H7876)</f>
        <v>200.400751707</v>
      </c>
      <c r="I7880" s="16" t="n">
        <f aca="false">I7879*(1-I7876)</f>
        <v>200.400751707</v>
      </c>
      <c r="J7880" s="16" t="n">
        <f aca="false">J7879*(1-J7876)</f>
        <v>200.11033346838</v>
      </c>
      <c r="K7880" s="16" t="n">
        <f aca="false">K7879*(1-K7876)</f>
        <v>199.794066789817</v>
      </c>
    </row>
    <row r="7881" customFormat="false" ht="15" hidden="false" customHeight="false" outlineLevel="0" collapsed="false">
      <c r="A7881" s="2" t="s">
        <v>277</v>
      </c>
      <c r="G7881" s="17" t="n">
        <f aca="false">G7879-G7880</f>
        <v>268.82073</v>
      </c>
      <c r="H7881" s="17" t="n">
        <f aca="false">H7879-H7880</f>
        <v>253.940982093</v>
      </c>
      <c r="I7881" s="17" t="n">
        <f aca="false">I7879-I7880</f>
        <v>253.940982093</v>
      </c>
      <c r="J7881" s="17" t="n">
        <f aca="false">J7879-J7880</f>
        <v>258.77481766962</v>
      </c>
      <c r="K7881" s="17" t="n">
        <f aca="false">K7879-K7880</f>
        <v>263.679935859563</v>
      </c>
    </row>
    <row r="7882" customFormat="false" ht="15" hidden="false" customHeight="false" outlineLevel="0" collapsed="false">
      <c r="A7882" s="3" t="s">
        <v>305</v>
      </c>
      <c r="G7882" s="16" t="n">
        <f aca="false">G7881-G7883</f>
        <v>15.8882184</v>
      </c>
      <c r="H7882" s="16" t="n">
        <f aca="false">H7881-H7883</f>
        <v>15.411571848</v>
      </c>
      <c r="I7882" s="16" t="n">
        <f aca="false">I7881-I7883</f>
        <v>15.411571848</v>
      </c>
      <c r="J7882" s="16" t="n">
        <f aca="false">J7881-J7883</f>
        <v>15.56568756648</v>
      </c>
      <c r="K7882" s="16" t="n">
        <f aca="false">K7881-K7883</f>
        <v>15.7213444421448</v>
      </c>
    </row>
    <row r="7883" customFormat="false" ht="15" hidden="false" customHeight="false" outlineLevel="0" collapsed="false">
      <c r="A7883" s="2" t="s">
        <v>306</v>
      </c>
      <c r="G7883" s="17" t="n">
        <f aca="false">G7879*G7877</f>
        <v>252.9325116</v>
      </c>
      <c r="H7883" s="17" t="n">
        <f aca="false">H7879*H7877</f>
        <v>238.529410245</v>
      </c>
      <c r="I7883" s="17" t="n">
        <f aca="false">I7879*I7877</f>
        <v>238.529410245</v>
      </c>
      <c r="J7883" s="17" t="n">
        <f aca="false">J7879*J7877</f>
        <v>243.20913010314</v>
      </c>
      <c r="K7883" s="17" t="n">
        <f aca="false">K7879*K7877</f>
        <v>247.958591417418</v>
      </c>
    </row>
    <row r="7884" customFormat="false" ht="15" hidden="false" customHeight="false" outlineLevel="0" collapsed="false">
      <c r="A7884" s="3" t="s">
        <v>307</v>
      </c>
      <c r="G7884" s="16" t="n">
        <f aca="false">G7879*'Historical Financials'!G30/'Historical Financials'!G25</f>
        <v>174.17542</v>
      </c>
      <c r="H7884" s="16" t="n">
        <f aca="false">H7879*'Historical Financials'!G30/'Historical Financials'!G25</f>
        <v>168.9501574</v>
      </c>
      <c r="I7884" s="16" t="n">
        <f aca="false">I7879*'Historical Financials'!G30/'Historical Financials'!G25</f>
        <v>168.9501574</v>
      </c>
      <c r="J7884" s="16" t="n">
        <f aca="false">J7879*'Historical Financials'!G30/'Historical Financials'!G25</f>
        <v>170.639658974</v>
      </c>
      <c r="K7884" s="16" t="n">
        <f aca="false">K7879*'Historical Financials'!G30/'Historical Financials'!G25</f>
        <v>172.34605556374</v>
      </c>
    </row>
    <row r="7885" customFormat="false" ht="15" hidden="false" customHeight="false" outlineLevel="0" collapsed="false">
      <c r="A7885" s="3" t="s">
        <v>308</v>
      </c>
      <c r="G7885" s="16" t="n">
        <f aca="false">G7879*'Historical Financials'!G31/'Historical Financials'!G25</f>
        <v>0</v>
      </c>
      <c r="H7885" s="16" t="n">
        <f aca="false">H7879*'Historical Financials'!G31/'Historical Financials'!G25</f>
        <v>0</v>
      </c>
      <c r="I7885" s="16" t="n">
        <f aca="false">I7879*'Historical Financials'!G31/'Historical Financials'!G25</f>
        <v>0</v>
      </c>
      <c r="J7885" s="16" t="n">
        <f aca="false">J7879*'Historical Financials'!G31/'Historical Financials'!G25</f>
        <v>0</v>
      </c>
      <c r="K7885" s="16" t="n">
        <f aca="false">K7879*'Historical Financials'!G31/'Historical Financials'!G25</f>
        <v>0</v>
      </c>
    </row>
    <row r="7886" customFormat="false" ht="15" hidden="false" customHeight="false" outlineLevel="0" collapsed="false">
      <c r="A7886" s="2" t="s">
        <v>309</v>
      </c>
      <c r="G7886" s="17" t="n">
        <f aca="false">G7883-G7884-G7885</f>
        <v>78.7570916</v>
      </c>
      <c r="H7886" s="17" t="n">
        <f aca="false">H7883-H7884-H7885</f>
        <v>69.579252845</v>
      </c>
      <c r="I7886" s="17" t="n">
        <f aca="false">I7883-I7884-I7885</f>
        <v>69.579252845</v>
      </c>
      <c r="J7886" s="17" t="n">
        <f aca="false">J7883-J7884-J7885</f>
        <v>72.56947112914</v>
      </c>
      <c r="K7886" s="17" t="n">
        <f aca="false">K7883-K7884-K7885</f>
        <v>75.6125358536783</v>
      </c>
    </row>
    <row r="7887" customFormat="false" ht="15" hidden="false" customHeight="false" outlineLevel="0" collapsed="false">
      <c r="A7887" s="3" t="s">
        <v>310</v>
      </c>
      <c r="G7887" s="16" t="n">
        <f aca="false">G7913+G7926+G7939+G7952+G7965+G7978+G7991+G8004+G8017+G8030</f>
        <v>187.3888354</v>
      </c>
      <c r="H7887" s="16" t="n">
        <f aca="false">H7913+H7926+H7939+H7952+H7965+H7978+H7991+H8004+H8017+H8030</f>
        <v>186.2509204</v>
      </c>
      <c r="I7887" s="16" t="n">
        <f aca="false">I7913+I7926+I7939+I7952+I7965+I7978+I7991+I8004+I8017+I8030</f>
        <v>181.278604803696</v>
      </c>
      <c r="J7887" s="16" t="n">
        <f aca="false">J7913+J7926+J7939+J7952+J7965+J7978+J7991+J8004+J8017+J8030</f>
        <v>180.868604803696</v>
      </c>
      <c r="K7887" s="16" t="n">
        <f aca="false">K7913+K7926+K7939+K7952+K7965+K7978+K7991+K8004+K8017+K8030</f>
        <v>180.458604803696</v>
      </c>
    </row>
    <row r="7888" customFormat="false" ht="15" hidden="false" customHeight="false" outlineLevel="0" collapsed="false">
      <c r="A7888" s="3" t="s">
        <v>311</v>
      </c>
      <c r="G7888" s="16" t="n">
        <f aca="false">G7914+G7927+G7940+G7953+G7966+G7979+G7992+G8005+G8018+G8031</f>
        <v>0</v>
      </c>
      <c r="H7888" s="16" t="n">
        <f aca="false">H7914+H7927+H7940+H7953+H7966+H7979+H7992+H8005+H8018+H8031</f>
        <v>0</v>
      </c>
      <c r="I7888" s="16" t="n">
        <f aca="false">I7914+I7927+I7940+I7953+I7966+I7979+I7992+I8005+I8018+I8031</f>
        <v>0</v>
      </c>
      <c r="J7888" s="16" t="n">
        <f aca="false">J7914+J7927+J7940+J7953+J7966+J7979+J7992+J8005+J8018+J8031</f>
        <v>0</v>
      </c>
      <c r="K7888" s="16" t="n">
        <f aca="false">K7914+K7927+K7940+K7953+K7966+K7979+K7992+K8005+K8018+K8031</f>
        <v>0</v>
      </c>
    </row>
    <row r="7889" customFormat="false" ht="15" hidden="false" customHeight="false" outlineLevel="0" collapsed="false">
      <c r="A7889" s="3" t="s">
        <v>283</v>
      </c>
      <c r="G7889" s="16" t="n">
        <f aca="false">G7887+G7888</f>
        <v>187.3888354</v>
      </c>
      <c r="H7889" s="16" t="n">
        <f aca="false">H7887+H7888</f>
        <v>186.2509204</v>
      </c>
      <c r="I7889" s="16" t="n">
        <f aca="false">I7887+I7888</f>
        <v>181.278604803696</v>
      </c>
      <c r="J7889" s="16" t="n">
        <f aca="false">J7887+J7888</f>
        <v>180.868604803696</v>
      </c>
      <c r="K7889" s="16" t="n">
        <f aca="false">K7887+K7888</f>
        <v>180.458604803696</v>
      </c>
    </row>
    <row r="7890" customFormat="false" ht="15" hidden="false" customHeight="false" outlineLevel="0" collapsed="false">
      <c r="A7890" s="2" t="s">
        <v>284</v>
      </c>
      <c r="G7890" s="17" t="n">
        <f aca="false">G7886-G7889</f>
        <v>-108.6317438</v>
      </c>
      <c r="H7890" s="17" t="n">
        <f aca="false">H7886-H7889</f>
        <v>-116.671667555</v>
      </c>
      <c r="I7890" s="17" t="n">
        <f aca="false">I7886-I7889</f>
        <v>-111.699351958695</v>
      </c>
      <c r="J7890" s="17" t="n">
        <f aca="false">J7886-J7889</f>
        <v>-108.299133674555</v>
      </c>
      <c r="K7890" s="17" t="n">
        <f aca="false">K7886-K7889</f>
        <v>-104.846068950017</v>
      </c>
    </row>
    <row r="7891" customFormat="false" ht="15" hidden="false" customHeight="false" outlineLevel="0" collapsed="false">
      <c r="A7891" s="3" t="s">
        <v>312</v>
      </c>
      <c r="G7891" s="16" t="n">
        <f aca="false">MAX(0,G7890)*Assumptions!$C$9</f>
        <v>0</v>
      </c>
      <c r="H7891" s="16" t="n">
        <f aca="false">MAX(0,H7890)*Assumptions!$C$9</f>
        <v>0</v>
      </c>
      <c r="I7891" s="16" t="n">
        <f aca="false">MAX(0,I7890)*Assumptions!$C$9</f>
        <v>0</v>
      </c>
      <c r="J7891" s="16" t="n">
        <f aca="false">MAX(0,J7890)*Assumptions!$C$9</f>
        <v>0</v>
      </c>
      <c r="K7891" s="16" t="n">
        <f aca="false">MAX(0,K7890)*Assumptions!$C$9</f>
        <v>0</v>
      </c>
    </row>
    <row r="7892" customFormat="false" ht="15" hidden="false" customHeight="false" outlineLevel="0" collapsed="false">
      <c r="A7892" s="2" t="s">
        <v>313</v>
      </c>
      <c r="G7892" s="17" t="n">
        <f aca="false">G7890-G7891</f>
        <v>-108.6317438</v>
      </c>
      <c r="H7892" s="17" t="n">
        <f aca="false">H7890-H7891</f>
        <v>-116.671667555</v>
      </c>
      <c r="I7892" s="17" t="n">
        <f aca="false">I7890-I7891</f>
        <v>-111.699351958695</v>
      </c>
      <c r="J7892" s="17" t="n">
        <f aca="false">J7890-J7891</f>
        <v>-108.299133674555</v>
      </c>
      <c r="K7892" s="17" t="n">
        <f aca="false">K7890-K7891</f>
        <v>-104.846068950017</v>
      </c>
    </row>
    <row r="7893" customFormat="false" ht="15" hidden="false" customHeight="false" outlineLevel="0" collapsed="false">
      <c r="A7893" s="24" t="s">
        <v>314</v>
      </c>
      <c r="B7893" s="25"/>
      <c r="C7893" s="25"/>
      <c r="D7893" s="25"/>
      <c r="E7893" s="25"/>
      <c r="F7893" s="25"/>
      <c r="G7893" s="25"/>
      <c r="H7893" s="25"/>
      <c r="I7893" s="25"/>
      <c r="J7893" s="25"/>
      <c r="K7893" s="25"/>
    </row>
    <row r="7894" customFormat="false" ht="15" hidden="false" customHeight="false" outlineLevel="0" collapsed="false">
      <c r="A7894" s="3" t="s">
        <v>184</v>
      </c>
      <c r="G7894" s="16" t="n">
        <f aca="false">G7879*CHOOSE($C$7866,Assumptions!$C$83,Assumptions!$C$102,Assumptions!$C$121)</f>
        <v>84.3108372</v>
      </c>
      <c r="H7894" s="16" t="n">
        <f aca="false">H7879*CHOOSE($C$7866,Assumptions!$C$83,Assumptions!$C$102,Assumptions!$C$121)</f>
        <v>81.781512084</v>
      </c>
      <c r="I7894" s="16" t="n">
        <f aca="false">I7879*CHOOSE($C$7866,Assumptions!$C$83,Assumptions!$C$102,Assumptions!$C$121)</f>
        <v>81.781512084</v>
      </c>
      <c r="J7894" s="16" t="n">
        <f aca="false">J7879*CHOOSE($C$7866,Assumptions!$C$83,Assumptions!$C$102,Assumptions!$C$121)</f>
        <v>82.59932720484</v>
      </c>
      <c r="K7894" s="16" t="n">
        <f aca="false">K7879*CHOOSE($C$7866,Assumptions!$C$83,Assumptions!$C$102,Assumptions!$C$121)</f>
        <v>83.4253204768884</v>
      </c>
    </row>
    <row r="7895" customFormat="false" ht="15" hidden="false" customHeight="false" outlineLevel="0" collapsed="false">
      <c r="A7895" s="3" t="s">
        <v>315</v>
      </c>
      <c r="G7895" s="16" t="n">
        <f aca="false">CHOOSE($C$7866,Assumptions!$C$84,Assumptions!$C$103,Assumptions!$C$122)*(G7879-F7879)+CHOOSE($C$7866,Assumptions!$C$85,Assumptions!$C$104,Assumptions!$C$123)*G7879</f>
        <v>23.419677</v>
      </c>
      <c r="H7895" s="16" t="n">
        <f aca="false">CHOOSE($C$7866,Assumptions!$C$84,Assumptions!$C$103,Assumptions!$C$122)*(H7879-G7879)+CHOOSE($C$7866,Assumptions!$C$85,Assumptions!$C$104,Assumptions!$C$123)*H7879</f>
        <v>22.71708669</v>
      </c>
      <c r="I7895" s="16" t="n">
        <f aca="false">CHOOSE($C$7866,Assumptions!$C$84,Assumptions!$C$103,Assumptions!$C$122)*(I7879-H7879)+CHOOSE($C$7866,Assumptions!$C$85,Assumptions!$C$104,Assumptions!$C$123)*I7879</f>
        <v>22.71708669</v>
      </c>
      <c r="J7895" s="16" t="n">
        <f aca="false">CHOOSE($C$7866,Assumptions!$C$84,Assumptions!$C$103,Assumptions!$C$122)*(J7879-I7879)+CHOOSE($C$7866,Assumptions!$C$85,Assumptions!$C$104,Assumptions!$C$123)*J7879</f>
        <v>22.9442575569</v>
      </c>
      <c r="K7895" s="16" t="n">
        <f aca="false">CHOOSE($C$7866,Assumptions!$C$84,Assumptions!$C$103,Assumptions!$C$122)*(K7879-J7879)+CHOOSE($C$7866,Assumptions!$C$85,Assumptions!$C$104,Assumptions!$C$123)*K7879</f>
        <v>23.173700132469</v>
      </c>
    </row>
    <row r="7896" customFormat="false" ht="15" hidden="false" customHeight="false" outlineLevel="0" collapsed="false">
      <c r="A7896" s="2" t="s">
        <v>316</v>
      </c>
      <c r="G7896" s="17" t="n">
        <f aca="false">G7892+G7884+G7885+G7888-G7894-G7895</f>
        <v>-42.186838</v>
      </c>
      <c r="H7896" s="17" t="n">
        <f aca="false">H7892+H7884+H7885+H7888-H7894-H7895</f>
        <v>-52.220108929</v>
      </c>
      <c r="I7896" s="17" t="n">
        <f aca="false">I7892+I7884+I7885+I7888-I7894-I7895</f>
        <v>-47.2477933326955</v>
      </c>
      <c r="J7896" s="17" t="n">
        <f aca="false">J7892+J7884+J7885+J7888-J7894-J7895</f>
        <v>-43.2030594622955</v>
      </c>
      <c r="K7896" s="17" t="n">
        <f aca="false">K7892+K7884+K7885+K7888-K7894-K7895</f>
        <v>-39.0990339956346</v>
      </c>
    </row>
    <row r="7898" customFormat="false" ht="15" hidden="false" customHeight="false" outlineLevel="0" collapsed="false">
      <c r="A7898" s="24" t="s">
        <v>318</v>
      </c>
      <c r="B7898" s="25"/>
      <c r="C7898" s="25"/>
      <c r="D7898" s="25"/>
      <c r="E7898" s="25"/>
      <c r="F7898" s="25"/>
      <c r="G7898" s="25"/>
      <c r="H7898" s="25"/>
      <c r="I7898" s="25"/>
      <c r="J7898" s="25"/>
      <c r="K7898" s="25"/>
    </row>
    <row r="7899" customFormat="false" ht="15" hidden="false" customHeight="false" outlineLevel="0" collapsed="false">
      <c r="A7899" s="3" t="s">
        <v>319</v>
      </c>
      <c r="G7899" s="30" t="n">
        <f aca="false">Assumptions!$G$53</f>
        <v>0.039</v>
      </c>
      <c r="H7899" s="30" t="n">
        <f aca="false">Assumptions!$H$53</f>
        <v>0.0375</v>
      </c>
      <c r="I7899" s="30" t="n">
        <f aca="false">Assumptions!$I$53</f>
        <v>0.035</v>
      </c>
      <c r="J7899" s="30" t="n">
        <f aca="false">Assumptions!$J$53</f>
        <v>0.035</v>
      </c>
      <c r="K7899" s="30" t="n">
        <f aca="false">Assumptions!$K$53</f>
        <v>0.035</v>
      </c>
    </row>
    <row r="7900" customFormat="false" ht="15" hidden="false" customHeight="false" outlineLevel="0" collapsed="false">
      <c r="A7900" s="3" t="s">
        <v>320</v>
      </c>
      <c r="C7900" s="31" t="n">
        <f aca="false">CHOOSE($C$7866,Assumptions!$C$86,Assumptions!$C$105,Assumptions!$C$124)+$C$7869</f>
        <v>0.015</v>
      </c>
    </row>
    <row r="7901" customFormat="false" ht="15" hidden="false" customHeight="false" outlineLevel="0" collapsed="false">
      <c r="A7901" s="3" t="s">
        <v>321</v>
      </c>
      <c r="C7901" s="31" t="n">
        <f aca="false">CHOOSE($C$7866,Assumptions!$C$87,Assumptions!$C$106,Assumptions!$C$125)</f>
        <v>0.1</v>
      </c>
    </row>
    <row r="7902" customFormat="false" ht="15" hidden="false" customHeight="false" outlineLevel="0" collapsed="false">
      <c r="A7902" s="3" t="s">
        <v>322</v>
      </c>
      <c r="C7902" s="32" t="n">
        <f aca="false">CHOOSE($C$7866,Assumptions!$C$88,Assumptions!$C$107,Assumptions!$C$126)</f>
        <v>9.5</v>
      </c>
    </row>
    <row r="7903" customFormat="false" ht="15" hidden="false" customHeight="false" outlineLevel="0" collapsed="false">
      <c r="A7903" s="3" t="s">
        <v>323</v>
      </c>
      <c r="C7903" s="32" t="n">
        <f aca="false">CHOOSE($C$7866,Assumptions!$C$89,Assumptions!$C$108,Assumptions!$C$127)</f>
        <v>1.5</v>
      </c>
    </row>
    <row r="7904" customFormat="false" ht="15" hidden="false" customHeight="false" outlineLevel="0" collapsed="false">
      <c r="A7904" s="3" t="s">
        <v>324</v>
      </c>
      <c r="G7904" s="16" t="n">
        <f aca="false">G7909+G7922+G7935+G7948+G7961+G7974+G7987+G8000+G8013+G8026</f>
        <v>2625.934</v>
      </c>
      <c r="H7904" s="16" t="n">
        <f aca="false">H7909+H7922+H7935+H7948+H7961+H7974+H7987+H8000+H8013+H8026</f>
        <v>2621.934</v>
      </c>
      <c r="I7904" s="16" t="n">
        <f aca="false">I7909+I7922+I7935+I7948+I7961+I7974+I7987+I8000+I8013+I8026</f>
        <v>2532.470946929</v>
      </c>
      <c r="J7904" s="16" t="n">
        <f aca="false">J7909+J7922+J7935+J7948+J7961+J7974+J7987+J8000+J8013+J8026</f>
        <v>2528.470946929</v>
      </c>
      <c r="K7904" s="16" t="n">
        <f aca="false">K7909+K7922+K7935+K7948+K7961+K7974+K7987+K8000+K8013+K8026</f>
        <v>2524.470946929</v>
      </c>
    </row>
    <row r="7905" customFormat="false" ht="15" hidden="false" customHeight="false" outlineLevel="0" collapsed="false">
      <c r="A7905" s="3" t="s">
        <v>325</v>
      </c>
      <c r="G7905" s="16" t="n">
        <f aca="false">F8097</f>
        <v>37.87</v>
      </c>
      <c r="H7905" s="16" t="n">
        <f aca="false">G8097</f>
        <v>141.683162</v>
      </c>
      <c r="I7905" s="16" t="n">
        <f aca="false">H8097</f>
        <v>0</v>
      </c>
      <c r="J7905" s="16" t="n">
        <f aca="false">I8097</f>
        <v>-51.2477933326955</v>
      </c>
      <c r="K7905" s="16" t="n">
        <f aca="false">J8097</f>
        <v>-98.450852794991</v>
      </c>
    </row>
    <row r="7906" customFormat="false" ht="15" hidden="false" customHeight="false" outlineLevel="0" collapsed="false">
      <c r="A7906" s="3" t="s">
        <v>326</v>
      </c>
      <c r="G7906" s="16" t="n">
        <f aca="false">G7909*IF(G7910=1,$C$7901,IF(Assumptions!$I$57=1,MAX(G7899,Assumptions!$G$57)+Assumptions!$F$57+$C$7900,Assumptions!$E$57))+G7922*IF(G7923=1,$C$7901,IF(Assumptions!$I$58=1,MAX(G7899,Assumptions!$G$58)+Assumptions!$F$58+$C$7900,Assumptions!$E$58))+G7935*IF(G7936=1,$C$7901,IF(Assumptions!$I$59=1,MAX(G7899,Assumptions!$G$59)+Assumptions!$F$59+$C$7900,Assumptions!$E$59))+G7948*IF(G7949=1,$C$7901,IF(Assumptions!$I$60=1,MAX(G7899,Assumptions!$G$60)+Assumptions!$F$60+$C$7900,Assumptions!$E$60))+G7961*IF(G7962=1,$C$7901,IF(Assumptions!$I$61=1,MAX(G7899,Assumptions!$G$61)+Assumptions!$F$61+$C$7900,Assumptions!$E$61))+G7974*IF(G7975=1,$C$7901,IF(Assumptions!$I$62=1,MAX(G7899,Assumptions!$G$62)+Assumptions!$F$62+$C$7900,Assumptions!$E$62))+G7987*IF(G7988=1,$C$7901,IF(Assumptions!$I$63=1,MAX(G7899,Assumptions!$G$63)+Assumptions!$F$63+$C$7900,Assumptions!$E$63))+G8000*IF(G8001=1,$C$7901,IF(Assumptions!$I$64=1,MAX(G7899,Assumptions!$G$64)+Assumptions!$F$64+$C$7900,Assumptions!$E$64))+G8013*IF(G8014=1,$C$7901,IF(Assumptions!$I$65=1,MAX(G7899,Assumptions!$G$65)+Assumptions!$F$65+$C$7900,Assumptions!$E$65))+G8026*IF(G8027=1,$C$7901,IF(Assumptions!$I$66=1,MAX(G7899,Assumptions!$G$66)+Assumptions!$F$66+$C$7900,Assumptions!$E$66))</f>
        <v>187.3888354</v>
      </c>
      <c r="H7906" s="16" t="n">
        <f aca="false">H7909*IF(OR(H7910=1,G8219=1),$C$7901,IF(Assumptions!$I$57=1,MAX(H7899,Assumptions!$G$57)+Assumptions!$F$57+$C$7900,Assumptions!$E$57))+H7922*IF(OR(H7923=1,G8220=1),$C$7901,IF(Assumptions!$I$58=1,MAX(H7899,Assumptions!$G$58)+Assumptions!$F$58+$C$7900,Assumptions!$E$58))+H7935*IF(OR(H7936=1,G8221=1),$C$7901,IF(Assumptions!$I$59=1,MAX(H7899,Assumptions!$G$59)+Assumptions!$F$59+$C$7900,Assumptions!$E$59))+H7948*IF(OR(H7949=1,G8222=1),$C$7901,IF(Assumptions!$I$60=1,MAX(H7899,Assumptions!$G$60)+Assumptions!$F$60+$C$7900,Assumptions!$E$60))+H7961*IF(OR(H7962=1,G8223=1),$C$7901,IF(Assumptions!$I$61=1,MAX(H7899,Assumptions!$G$61)+Assumptions!$F$61+$C$7900,Assumptions!$E$61))+H7974*IF(OR(H7975=1,G8224=1),$C$7901,IF(Assumptions!$I$62=1,MAX(H7899,Assumptions!$G$62)+Assumptions!$F$62+$C$7900,Assumptions!$E$62))+H7987*IF(OR(H7988=1,G8225=1),$C$7901,IF(Assumptions!$I$63=1,MAX(H7899,Assumptions!$G$63)+Assumptions!$F$63+$C$7900,Assumptions!$E$63))+H8000*IF(OR(H8001=1,G8226=1),$C$7901,IF(Assumptions!$I$64=1,MAX(H7899,Assumptions!$G$64)+Assumptions!$F$64+$C$7900,Assumptions!$E$64))+H8013*IF(OR(H8014=1,G8227=1),$C$7901,IF(Assumptions!$I$65=1,MAX(H7899,Assumptions!$G$65)+Assumptions!$F$65+$C$7900,Assumptions!$E$65))+H8026*IF(OR(H8027=1,G8228=1),$C$7901,IF(Assumptions!$I$66=1,MAX(H7899,Assumptions!$G$66)+Assumptions!$F$66+$C$7900,Assumptions!$E$66))</f>
        <v>219.4259204</v>
      </c>
      <c r="I7906" s="16" t="n">
        <f aca="false">I7909*IF(OR(I7910=1,H8219=1),$C$7901,IF(Assumptions!$I$57=1,MAX(I7899,Assumptions!$G$57)+Assumptions!$F$57+$C$7900,Assumptions!$E$57))+I7922*IF(OR(I7923=1,H8220=1),$C$7901,IF(Assumptions!$I$58=1,MAX(I7899,Assumptions!$G$58)+Assumptions!$F$58+$C$7900,Assumptions!$E$58))+I7935*IF(OR(I7936=1,H8221=1),$C$7901,IF(Assumptions!$I$59=1,MAX(I7899,Assumptions!$G$59)+Assumptions!$F$59+$C$7900,Assumptions!$E$59))+I7948*IF(OR(I7949=1,H8222=1),$C$7901,IF(Assumptions!$I$60=1,MAX(I7899,Assumptions!$G$60)+Assumptions!$F$60+$C$7900,Assumptions!$E$60))+I7961*IF(OR(I7962=1,H8223=1),$C$7901,IF(Assumptions!$I$61=1,MAX(I7899,Assumptions!$G$61)+Assumptions!$F$61+$C$7900,Assumptions!$E$61))+I7974*IF(OR(I7975=1,H8224=1),$C$7901,IF(Assumptions!$I$62=1,MAX(I7899,Assumptions!$G$62)+Assumptions!$F$62+$C$7900,Assumptions!$E$62))+I7987*IF(OR(I7988=1,H8225=1),$C$7901,IF(Assumptions!$I$63=1,MAX(I7899,Assumptions!$G$63)+Assumptions!$F$63+$C$7900,Assumptions!$E$63))+I8000*IF(OR(I8001=1,H8226=1),$C$7901,IF(Assumptions!$I$64=1,MAX(I7899,Assumptions!$G$64)+Assumptions!$F$64+$C$7900,Assumptions!$E$64))+I8013*IF(OR(I8014=1,H8227=1),$C$7901,IF(Assumptions!$I$65=1,MAX(I7899,Assumptions!$G$65)+Assumptions!$F$65+$C$7900,Assumptions!$E$65))+I8026*IF(OR(I8027=1,H8228=1),$C$7901,IF(Assumptions!$I$66=1,MAX(I7899,Assumptions!$G$66)+Assumptions!$F$66+$C$7900,Assumptions!$E$66))</f>
        <v>187.466104803696</v>
      </c>
      <c r="J7906" s="16" t="n">
        <f aca="false">J7909*IF(OR(J7910=1,I8219=1),$C$7901,IF(Assumptions!$I$57=1,MAX(J7899,Assumptions!$G$57)+Assumptions!$F$57+$C$7900,Assumptions!$E$57))+J7922*IF(OR(J7923=1,I8220=1),$C$7901,IF(Assumptions!$I$58=1,MAX(J7899,Assumptions!$G$58)+Assumptions!$F$58+$C$7900,Assumptions!$E$58))+J7935*IF(OR(J7936=1,I8221=1),$C$7901,IF(Assumptions!$I$59=1,MAX(J7899,Assumptions!$G$59)+Assumptions!$F$59+$C$7900,Assumptions!$E$59))+J7948*IF(OR(J7949=1,I8222=1),$C$7901,IF(Assumptions!$I$60=1,MAX(J7899,Assumptions!$G$60)+Assumptions!$F$60+$C$7900,Assumptions!$E$60))+J7961*IF(OR(J7962=1,I8223=1),$C$7901,IF(Assumptions!$I$61=1,MAX(J7899,Assumptions!$G$61)+Assumptions!$F$61+$C$7900,Assumptions!$E$61))+J7974*IF(OR(J7975=1,I8224=1),$C$7901,IF(Assumptions!$I$62=1,MAX(J7899,Assumptions!$G$62)+Assumptions!$F$62+$C$7900,Assumptions!$E$62))+J7987*IF(OR(J7988=1,I8225=1),$C$7901,IF(Assumptions!$I$63=1,MAX(J7899,Assumptions!$G$63)+Assumptions!$F$63+$C$7900,Assumptions!$E$63))+J8000*IF(OR(J8001=1,I8226=1),$C$7901,IF(Assumptions!$I$64=1,MAX(J7899,Assumptions!$G$64)+Assumptions!$F$64+$C$7900,Assumptions!$E$64))+J8013*IF(OR(J8014=1,I8227=1),$C$7901,IF(Assumptions!$I$65=1,MAX(J7899,Assumptions!$G$65)+Assumptions!$F$65+$C$7900,Assumptions!$E$65))+J8026*IF(OR(J8027=1,I8228=1),$C$7901,IF(Assumptions!$I$66=1,MAX(J7899,Assumptions!$G$66)+Assumptions!$F$66+$C$7900,Assumptions!$E$66))</f>
        <v>199.943604803695</v>
      </c>
      <c r="K7906" s="16" t="n">
        <f aca="false">K7909*IF(OR(K7910=1,J8219=1),$C$7901,IF(Assumptions!$I$57=1,MAX(K7899,Assumptions!$G$57)+Assumptions!$F$57+$C$7900,Assumptions!$E$57))+K7922*IF(OR(K7923=1,J8220=1),$C$7901,IF(Assumptions!$I$58=1,MAX(K7899,Assumptions!$G$58)+Assumptions!$F$58+$C$7900,Assumptions!$E$58))+K7935*IF(OR(K7936=1,J8221=1),$C$7901,IF(Assumptions!$I$59=1,MAX(K7899,Assumptions!$G$59)+Assumptions!$F$59+$C$7900,Assumptions!$E$59))+K7948*IF(OR(K7949=1,J8222=1),$C$7901,IF(Assumptions!$I$60=1,MAX(K7899,Assumptions!$G$60)+Assumptions!$F$60+$C$7900,Assumptions!$E$60))+K7961*IF(OR(K7962=1,J8223=1),$C$7901,IF(Assumptions!$I$61=1,MAX(K7899,Assumptions!$G$61)+Assumptions!$F$61+$C$7900,Assumptions!$E$61))+K7974*IF(OR(K7975=1,J8224=1),$C$7901,IF(Assumptions!$I$62=1,MAX(K7899,Assumptions!$G$62)+Assumptions!$F$62+$C$7900,Assumptions!$E$62))+K7987*IF(OR(K7988=1,J8225=1),$C$7901,IF(Assumptions!$I$63=1,MAX(K7899,Assumptions!$G$63)+Assumptions!$F$63+$C$7900,Assumptions!$E$63))+K8000*IF(OR(K8001=1,J8226=1),$C$7901,IF(Assumptions!$I$64=1,MAX(K7899,Assumptions!$G$64)+Assumptions!$F$64+$C$7900,Assumptions!$E$64))+K8013*IF(OR(K8014=1,J8227=1),$C$7901,IF(Assumptions!$I$65=1,MAX(K7899,Assumptions!$G$65)+Assumptions!$F$65+$C$7900,Assumptions!$E$65))+K8026*IF(OR(K8027=1,J8228=1),$C$7901,IF(Assumptions!$I$66=1,MAX(K7899,Assumptions!$G$66)+Assumptions!$F$66+$C$7900,Assumptions!$E$66))</f>
        <v>191.123604803696</v>
      </c>
    </row>
    <row r="7907" customFormat="false" ht="15" hidden="false" customHeight="false" outlineLevel="0" collapsed="false">
      <c r="A7907" s="3" t="s">
        <v>327</v>
      </c>
      <c r="G7907" s="21" t="n">
        <f aca="false">IF(G7883&lt;=0,0,IF(AND((G7904-G7905)/G7883&lt;=$C$7902,G7883/G7906&gt;=$C$7903),1,0))</f>
        <v>0</v>
      </c>
      <c r="H7907" s="21" t="n">
        <f aca="false">IF(H7883&lt;=0,0,IF(AND((H7904-H7905)/H7883&lt;=$C$7902,H7883/H7906&gt;=$C$7903),1,0))</f>
        <v>0</v>
      </c>
      <c r="I7907" s="21" t="n">
        <f aca="false">IF(I7883&lt;=0,0,IF(AND((I7904-I7905)/I7883&lt;=$C$7902,I7883/I7906&gt;=$C$7903),1,0))</f>
        <v>0</v>
      </c>
      <c r="J7907" s="21" t="n">
        <f aca="false">IF(J7883&lt;=0,0,IF(AND((J7904-J7905)/J7883&lt;=$C$7902,J7883/J7906&gt;=$C$7903),1,0))</f>
        <v>0</v>
      </c>
      <c r="K7907" s="21" t="n">
        <f aca="false">IF(K7883&lt;=0,0,IF(AND((K7904-K7905)/K7883&lt;=$C$7902,K7883/K7906&gt;=$C$7903),1,0))</f>
        <v>0</v>
      </c>
    </row>
    <row r="7908" customFormat="false" ht="15" hidden="false" customHeight="false" outlineLevel="0" collapsed="false">
      <c r="A7908" s="24" t="s">
        <v>328</v>
      </c>
      <c r="B7908" s="25"/>
      <c r="C7908" s="25"/>
      <c r="D7908" s="25"/>
      <c r="E7908" s="25"/>
      <c r="F7908" s="25"/>
      <c r="G7908" s="25"/>
      <c r="H7908" s="25"/>
      <c r="I7908" s="25"/>
      <c r="J7908" s="25"/>
      <c r="K7908" s="25"/>
    </row>
    <row r="7909" customFormat="false" ht="15" hidden="false" customHeight="false" outlineLevel="0" collapsed="false">
      <c r="A7909" s="3" t="s">
        <v>329</v>
      </c>
      <c r="G7909" s="16" t="n">
        <f aca="false">F7920</f>
        <v>400</v>
      </c>
      <c r="H7909" s="16" t="n">
        <f aca="false">G7920</f>
        <v>396</v>
      </c>
      <c r="I7909" s="16" t="n">
        <f aca="false">H7920</f>
        <v>392</v>
      </c>
      <c r="J7909" s="16" t="n">
        <f aca="false">I7920</f>
        <v>388</v>
      </c>
      <c r="K7909" s="16" t="n">
        <f aca="false">J7920</f>
        <v>384</v>
      </c>
    </row>
    <row r="7910" customFormat="false" ht="15" hidden="false" customHeight="false" outlineLevel="0" collapsed="false">
      <c r="A7910" s="3" t="s">
        <v>330</v>
      </c>
      <c r="G7910" s="21" t="n">
        <f aca="false">IF(G7873=Assumptions!$K$57,1,0)</f>
        <v>0</v>
      </c>
      <c r="H7910" s="21" t="n">
        <f aca="false">IF(H7873=Assumptions!$K$57,1,0)</f>
        <v>0</v>
      </c>
      <c r="I7910" s="21" t="n">
        <f aca="false">IF(I7873=Assumptions!$K$57,1,0)</f>
        <v>0</v>
      </c>
      <c r="J7910" s="21" t="n">
        <f aca="false">IF(J7873=Assumptions!$K$57,1,0)</f>
        <v>0</v>
      </c>
      <c r="K7910" s="21" t="n">
        <f aca="false">IF(K7873=Assumptions!$K$57,1,0)</f>
        <v>1</v>
      </c>
    </row>
    <row r="7912" customFormat="false" ht="15" hidden="false" customHeight="false" outlineLevel="0" collapsed="false">
      <c r="A7912" s="3" t="s">
        <v>331</v>
      </c>
      <c r="G7912" s="31" t="n">
        <f aca="false">IF(Assumptions!$I$57=1,MAX(G7899,Assumptions!$G$57)+Assumptions!$F$57+$C$7900,Assumptions!$E$57)</f>
        <v>0.1065</v>
      </c>
      <c r="H7912" s="31" t="n">
        <f aca="false">IF(G8219=1,$C$7901,IF(Assumptions!$I$57=1,MAX(H7899,Assumptions!$G$57)+Assumptions!$F$57+$C$7900,Assumptions!$E$57))</f>
        <v>0.105</v>
      </c>
      <c r="I7912" s="31" t="n">
        <f aca="false">IF(H8219=1,$C$7901,IF(Assumptions!$I$57=1,MAX(I7899,Assumptions!$G$57)+Assumptions!$F$57+$C$7900,Assumptions!$E$57))</f>
        <v>0.1025</v>
      </c>
      <c r="J7912" s="31" t="n">
        <f aca="false">IF(I8219=1,$C$7901,IF(Assumptions!$I$57=1,MAX(J7899,Assumptions!$G$57)+Assumptions!$F$57+$C$7900,Assumptions!$E$57))</f>
        <v>0.1025</v>
      </c>
      <c r="K7912" s="31" t="n">
        <f aca="false">IF(J8219=1,$C$7901,IF(Assumptions!$I$57=1,MAX(K7899,Assumptions!$G$57)+Assumptions!$F$57+$C$7900,Assumptions!$E$57))</f>
        <v>0.1025</v>
      </c>
    </row>
    <row r="7913" customFormat="false" ht="15" hidden="false" customHeight="false" outlineLevel="0" collapsed="false">
      <c r="A7913" s="3" t="s">
        <v>332</v>
      </c>
      <c r="G7913" s="16" t="n">
        <f aca="false">G7909*G7912</f>
        <v>42.6</v>
      </c>
      <c r="H7913" s="16" t="n">
        <f aca="false">H7909*H7912</f>
        <v>41.58</v>
      </c>
      <c r="I7913" s="16" t="n">
        <f aca="false">I7909*I7912</f>
        <v>40.18</v>
      </c>
      <c r="J7913" s="16" t="n">
        <f aca="false">J7909*J7912</f>
        <v>39.77</v>
      </c>
      <c r="K7913" s="16" t="n">
        <f aca="false">K7909*K7912</f>
        <v>39.36</v>
      </c>
    </row>
    <row r="7914" customFormat="false" ht="15" hidden="false" customHeight="false" outlineLevel="0" collapsed="false">
      <c r="A7914" s="3" t="s">
        <v>333</v>
      </c>
      <c r="G7914" s="16" t="n">
        <f aca="false">G7909*Assumptions!$H$57</f>
        <v>0</v>
      </c>
      <c r="H7914" s="16" t="n">
        <f aca="false">H7909*Assumptions!$H$57</f>
        <v>0</v>
      </c>
      <c r="I7914" s="16" t="n">
        <f aca="false">I7909*Assumptions!$H$57</f>
        <v>0</v>
      </c>
      <c r="J7914" s="16" t="n">
        <f aca="false">J7909*Assumptions!$H$57</f>
        <v>0</v>
      </c>
      <c r="K7914" s="16" t="n">
        <f aca="false">K7909*Assumptions!$H$57</f>
        <v>0</v>
      </c>
    </row>
    <row r="7915" customFormat="false" ht="15" hidden="false" customHeight="false" outlineLevel="0" collapsed="false">
      <c r="A7915" s="3" t="s">
        <v>334</v>
      </c>
      <c r="G7915" s="16" t="n">
        <f aca="false">MIN(G7909,Assumptions!$L$57*Assumptions!$C$57)</f>
        <v>4</v>
      </c>
      <c r="H7915" s="16" t="n">
        <f aca="false">MIN(H7909,Assumptions!$L$57*Assumptions!$C$57)</f>
        <v>4</v>
      </c>
      <c r="I7915" s="16" t="n">
        <f aca="false">MIN(I7909,Assumptions!$L$57*Assumptions!$C$57)</f>
        <v>4</v>
      </c>
      <c r="J7915" s="16" t="n">
        <f aca="false">MIN(J7909,Assumptions!$L$57*Assumptions!$C$57)</f>
        <v>4</v>
      </c>
      <c r="K7915" s="16" t="n">
        <f aca="false">MIN(K7909,Assumptions!$L$57*Assumptions!$C$57)</f>
        <v>4</v>
      </c>
    </row>
    <row r="7916" customFormat="false" ht="15" hidden="false" customHeight="false" outlineLevel="0" collapsed="false">
      <c r="A7916" s="3" t="s">
        <v>335</v>
      </c>
      <c r="G7916" s="16" t="n">
        <f aca="false">IF(AND(Assumptions!$P$57=1,G7873&lt;Assumptions!$K$57),MIN(MAX(0,-G8089),MAX(0,Assumptions!$D$57-G7909)),0)</f>
        <v>0</v>
      </c>
      <c r="H7916" s="16" t="n">
        <f aca="false">IF(AND(Assumptions!$P$57=1,OR(H7873&lt;Assumptions!$K$57,G8219=1)),MIN(MAX(0,-H8089),MAX(0,Assumptions!$D$57-H7909)),0)</f>
        <v>0</v>
      </c>
      <c r="I7916" s="16" t="n">
        <f aca="false">IF(AND(Assumptions!$P$57=1,OR(I7873&lt;Assumptions!$K$57,H8219=1)),MIN(MAX(0,-I8089),MAX(0,Assumptions!$D$57-I7909)),0)</f>
        <v>0</v>
      </c>
      <c r="J7916" s="16" t="n">
        <f aca="false">IF(AND(Assumptions!$P$57=1,OR(J7873&lt;Assumptions!$K$57,I8219=1)),MIN(MAX(0,-J8089),MAX(0,Assumptions!$D$57-J7909)),0)</f>
        <v>0</v>
      </c>
      <c r="K7916" s="16" t="n">
        <f aca="false">IF(AND(Assumptions!$P$57=1,OR(K7873&lt;Assumptions!$K$57,J8219=1)),MIN(MAX(0,-K8089),MAX(0,Assumptions!$D$57-K7909)),0)</f>
        <v>0</v>
      </c>
    </row>
    <row r="7917" customFormat="false" ht="15" hidden="false" customHeight="false" outlineLevel="0" collapsed="false">
      <c r="A7917" s="3" t="s">
        <v>336</v>
      </c>
      <c r="G7917" s="16" t="n">
        <f aca="false">G7910*MIN(G7909-G7915+G7914,MAX(0,G8091-Assumptions!$C$12*G7907))</f>
        <v>0</v>
      </c>
      <c r="H7917" s="16" t="n">
        <f aca="false">H7910*MIN(H7909-H7915+H7914,MAX(0,H8091-Assumptions!$C$12*H7907))</f>
        <v>0</v>
      </c>
      <c r="I7917" s="16" t="n">
        <f aca="false">I7910*MIN(I7909-I7915+I7914,MAX(0,I8091-Assumptions!$C$12*I7907))</f>
        <v>0</v>
      </c>
      <c r="J7917" s="16" t="n">
        <f aca="false">J7910*MIN(J7909-J7915+J7914,MAX(0,J8091-Assumptions!$C$12*J7907))</f>
        <v>0</v>
      </c>
      <c r="K7917" s="16" t="n">
        <f aca="false">K7910*MIN(K7909-K7915+K7914,MAX(0,K8091-Assumptions!$C$12*K7907))</f>
        <v>0</v>
      </c>
    </row>
    <row r="7918" customFormat="false" ht="15" hidden="false" customHeight="false" outlineLevel="0" collapsed="false">
      <c r="A7918" s="3" t="s">
        <v>337</v>
      </c>
      <c r="G7918" s="16" t="n">
        <f aca="false">Assumptions!$N$57*MIN(G7909+G7916+G7914-G7915-G7917,MAX(0,G8095))</f>
        <v>0</v>
      </c>
      <c r="H7918" s="16" t="n">
        <f aca="false">Assumptions!$N$57*MIN(H7909+H7916+H7914-H7915-H7917,MAX(0,H8095))</f>
        <v>0</v>
      </c>
      <c r="I7918" s="16" t="n">
        <f aca="false">Assumptions!$N$57*MIN(I7909+I7916+I7914-I7915-I7917,MAX(0,I8095))</f>
        <v>0</v>
      </c>
      <c r="J7918" s="16" t="n">
        <f aca="false">Assumptions!$N$57*MIN(J7909+J7916+J7914-J7915-J7917,MAX(0,J8095))</f>
        <v>0</v>
      </c>
      <c r="K7918" s="16" t="n">
        <f aca="false">Assumptions!$N$57*MIN(K7909+K7916+K7914-K7915-K7917,MAX(0,K8095))</f>
        <v>0</v>
      </c>
    </row>
    <row r="7919" customFormat="false" ht="15" hidden="false" customHeight="false" outlineLevel="0" collapsed="false">
      <c r="A7919" s="3" t="s">
        <v>338</v>
      </c>
      <c r="G7919" s="16" t="n">
        <f aca="false">G7910*(1-G7907)*(G7909-G7915+G7914-G7917)</f>
        <v>0</v>
      </c>
      <c r="H7919" s="16" t="n">
        <f aca="false">H7910*(1-H7907)*(H7909-H7915+H7914-H7917)</f>
        <v>0</v>
      </c>
      <c r="I7919" s="16" t="n">
        <f aca="false">I7910*(1-I7907)*(I7909-I7915+I7914-I7917)</f>
        <v>0</v>
      </c>
      <c r="J7919" s="16" t="n">
        <f aca="false">J7910*(1-J7907)*(J7909-J7915+J7914-J7917)</f>
        <v>0</v>
      </c>
      <c r="K7919" s="16" t="n">
        <f aca="false">K7910*(1-K7907)*(K7909-K7915+K7914-K7917)</f>
        <v>380</v>
      </c>
    </row>
    <row r="7920" customFormat="false" ht="15" hidden="false" customHeight="false" outlineLevel="0" collapsed="false">
      <c r="A7920" s="2" t="s">
        <v>339</v>
      </c>
      <c r="F7920" s="28" t="n">
        <f aca="false">Assumptions!$C$57</f>
        <v>400</v>
      </c>
      <c r="G7920" s="17" t="n">
        <f aca="false">G7909+G7916+G7914-G7915-G7917-G7918</f>
        <v>396</v>
      </c>
      <c r="H7920" s="17" t="n">
        <f aca="false">H7909+H7916+H7914-H7915-H7917-H7918</f>
        <v>392</v>
      </c>
      <c r="I7920" s="17" t="n">
        <f aca="false">I7909+I7916+I7914-I7915-I7917-I7918</f>
        <v>388</v>
      </c>
      <c r="J7920" s="17" t="n">
        <f aca="false">J7909+J7916+J7914-J7915-J7917-J7918</f>
        <v>384</v>
      </c>
      <c r="K7920" s="17" t="n">
        <f aca="false">K7909+K7916+K7914-K7915-K7917-K7918</f>
        <v>380</v>
      </c>
    </row>
    <row r="7921" customFormat="false" ht="15" hidden="false" customHeight="false" outlineLevel="0" collapsed="false">
      <c r="A7921" s="24" t="s">
        <v>340</v>
      </c>
      <c r="B7921" s="25"/>
      <c r="C7921" s="25"/>
      <c r="D7921" s="25"/>
      <c r="E7921" s="25"/>
      <c r="F7921" s="25"/>
      <c r="G7921" s="25"/>
      <c r="H7921" s="25"/>
      <c r="I7921" s="25"/>
      <c r="J7921" s="25"/>
      <c r="K7921" s="25"/>
    </row>
    <row r="7922" customFormat="false" ht="15" hidden="false" customHeight="false" outlineLevel="0" collapsed="false">
      <c r="A7922" s="3" t="s">
        <v>329</v>
      </c>
      <c r="G7922" s="16" t="n">
        <f aca="false">F7933</f>
        <v>90</v>
      </c>
      <c r="H7922" s="16" t="n">
        <f aca="false">G7933</f>
        <v>90</v>
      </c>
      <c r="I7922" s="16" t="n">
        <f aca="false">H7933</f>
        <v>90</v>
      </c>
      <c r="J7922" s="16" t="n">
        <f aca="false">I7933</f>
        <v>90</v>
      </c>
      <c r="K7922" s="16" t="n">
        <f aca="false">J7933</f>
        <v>90</v>
      </c>
    </row>
    <row r="7923" customFormat="false" ht="15" hidden="false" customHeight="false" outlineLevel="0" collapsed="false">
      <c r="A7923" s="3" t="s">
        <v>330</v>
      </c>
      <c r="G7923" s="21" t="n">
        <f aca="false">IF(G7873=Assumptions!$K$58,1,0)</f>
        <v>0</v>
      </c>
      <c r="H7923" s="21" t="n">
        <f aca="false">IF(H7873=Assumptions!$K$58,1,0)</f>
        <v>0</v>
      </c>
      <c r="I7923" s="21" t="n">
        <f aca="false">IF(I7873=Assumptions!$K$58,1,0)</f>
        <v>0</v>
      </c>
      <c r="J7923" s="21" t="n">
        <f aca="false">IF(J7873=Assumptions!$K$58,1,0)</f>
        <v>0</v>
      </c>
      <c r="K7923" s="21" t="n">
        <f aca="false">IF(K7873=Assumptions!$K$58,1,0)</f>
        <v>0</v>
      </c>
    </row>
    <row r="7925" customFormat="false" ht="15" hidden="false" customHeight="false" outlineLevel="0" collapsed="false">
      <c r="A7925" s="3" t="s">
        <v>331</v>
      </c>
      <c r="G7925" s="31" t="n">
        <f aca="false">IF(Assumptions!$I$58=1,MAX(G7899,Assumptions!$G$58)+Assumptions!$F$58+$C$7900,Assumptions!$E$58)</f>
        <v>0.0581</v>
      </c>
      <c r="H7925" s="31" t="n">
        <f aca="false">IF(G8220=1,$C$7901,IF(Assumptions!$I$58=1,MAX(H7899,Assumptions!$G$58)+Assumptions!$F$58+$C$7900,Assumptions!$E$58))</f>
        <v>0.0581</v>
      </c>
      <c r="I7925" s="31" t="n">
        <f aca="false">IF(H8220=1,$C$7901,IF(Assumptions!$I$58=1,MAX(I7899,Assumptions!$G$58)+Assumptions!$F$58+$C$7900,Assumptions!$E$58))</f>
        <v>0.0581</v>
      </c>
      <c r="J7925" s="31" t="n">
        <f aca="false">IF(I8220=1,$C$7901,IF(Assumptions!$I$58=1,MAX(J7899,Assumptions!$G$58)+Assumptions!$F$58+$C$7900,Assumptions!$E$58))</f>
        <v>0.0581</v>
      </c>
      <c r="K7925" s="31" t="n">
        <f aca="false">IF(J8220=1,$C$7901,IF(Assumptions!$I$58=1,MAX(K7899,Assumptions!$G$58)+Assumptions!$F$58+$C$7900,Assumptions!$E$58))</f>
        <v>0.0581</v>
      </c>
    </row>
    <row r="7926" customFormat="false" ht="15" hidden="false" customHeight="false" outlineLevel="0" collapsed="false">
      <c r="A7926" s="3" t="s">
        <v>332</v>
      </c>
      <c r="G7926" s="16" t="n">
        <f aca="false">G7922*G7925</f>
        <v>5.229</v>
      </c>
      <c r="H7926" s="16" t="n">
        <f aca="false">H7922*H7925</f>
        <v>5.229</v>
      </c>
      <c r="I7926" s="16" t="n">
        <f aca="false">I7922*I7925</f>
        <v>5.229</v>
      </c>
      <c r="J7926" s="16" t="n">
        <f aca="false">J7922*J7925</f>
        <v>5.229</v>
      </c>
      <c r="K7926" s="16" t="n">
        <f aca="false">K7922*K7925</f>
        <v>5.229</v>
      </c>
    </row>
    <row r="7927" customFormat="false" ht="15" hidden="false" customHeight="false" outlineLevel="0" collapsed="false">
      <c r="A7927" s="3" t="s">
        <v>333</v>
      </c>
      <c r="G7927" s="16" t="n">
        <f aca="false">G7922*Assumptions!$H$58</f>
        <v>0</v>
      </c>
      <c r="H7927" s="16" t="n">
        <f aca="false">H7922*Assumptions!$H$58</f>
        <v>0</v>
      </c>
      <c r="I7927" s="16" t="n">
        <f aca="false">I7922*Assumptions!$H$58</f>
        <v>0</v>
      </c>
      <c r="J7927" s="16" t="n">
        <f aca="false">J7922*Assumptions!$H$58</f>
        <v>0</v>
      </c>
      <c r="K7927" s="16" t="n">
        <f aca="false">K7922*Assumptions!$H$58</f>
        <v>0</v>
      </c>
    </row>
    <row r="7928" customFormat="false" ht="15" hidden="false" customHeight="false" outlineLevel="0" collapsed="false">
      <c r="A7928" s="3" t="s">
        <v>334</v>
      </c>
      <c r="G7928" s="16" t="n">
        <f aca="false">MIN(G7922,Assumptions!$L$58*Assumptions!$C$58)</f>
        <v>0</v>
      </c>
      <c r="H7928" s="16" t="n">
        <f aca="false">MIN(H7922,Assumptions!$L$58*Assumptions!$C$58)</f>
        <v>0</v>
      </c>
      <c r="I7928" s="16" t="n">
        <f aca="false">MIN(I7922,Assumptions!$L$58*Assumptions!$C$58)</f>
        <v>0</v>
      </c>
      <c r="J7928" s="16" t="n">
        <f aca="false">MIN(J7922,Assumptions!$L$58*Assumptions!$C$58)</f>
        <v>0</v>
      </c>
      <c r="K7928" s="16" t="n">
        <f aca="false">MIN(K7922,Assumptions!$L$58*Assumptions!$C$58)</f>
        <v>0</v>
      </c>
    </row>
    <row r="7929" customFormat="false" ht="15" hidden="false" customHeight="false" outlineLevel="0" collapsed="false">
      <c r="A7929" s="3" t="s">
        <v>335</v>
      </c>
      <c r="G7929" s="16" t="n">
        <f aca="false">IF(AND(Assumptions!$P$58=1,G7873&lt;Assumptions!$K$58),MIN(MAX(0,-G8089),MAX(0,Assumptions!$D$58-G7922)),0)</f>
        <v>0</v>
      </c>
      <c r="H7929" s="16" t="n">
        <f aca="false">IF(AND(Assumptions!$P$58=1,OR(H7873&lt;Assumptions!$K$58,G8220=1)),MIN(MAX(0,-H8089),MAX(0,Assumptions!$D$58-H7922)),0)</f>
        <v>0</v>
      </c>
      <c r="I7929" s="16" t="n">
        <f aca="false">IF(AND(Assumptions!$P$58=1,OR(I7873&lt;Assumptions!$K$58,H8220=1)),MIN(MAX(0,-I8089),MAX(0,Assumptions!$D$58-I7922)),0)</f>
        <v>0</v>
      </c>
      <c r="J7929" s="16" t="n">
        <f aca="false">IF(AND(Assumptions!$P$58=1,OR(J7873&lt;Assumptions!$K$58,I8220=1)),MIN(MAX(0,-J8089),MAX(0,Assumptions!$D$58-J7922)),0)</f>
        <v>0</v>
      </c>
      <c r="K7929" s="16" t="n">
        <f aca="false">IF(AND(Assumptions!$P$58=1,OR(K7873&lt;Assumptions!$K$58,J8220=1)),MIN(MAX(0,-K8089),MAX(0,Assumptions!$D$58-K7922)),0)</f>
        <v>0</v>
      </c>
    </row>
    <row r="7930" customFormat="false" ht="15" hidden="false" customHeight="false" outlineLevel="0" collapsed="false">
      <c r="A7930" s="3" t="s">
        <v>336</v>
      </c>
      <c r="G7930" s="16" t="n">
        <f aca="false">G7923*MIN(G7922-G7928+G7927,MAX(0,G8091-Assumptions!$C$12*G7907-G7917))</f>
        <v>0</v>
      </c>
      <c r="H7930" s="16" t="n">
        <f aca="false">H7923*MIN(H7922-H7928+H7927,MAX(0,H8091-Assumptions!$C$12*H7907-H7917))</f>
        <v>0</v>
      </c>
      <c r="I7930" s="16" t="n">
        <f aca="false">I7923*MIN(I7922-I7928+I7927,MAX(0,I8091-Assumptions!$C$12*I7907-I7917))</f>
        <v>0</v>
      </c>
      <c r="J7930" s="16" t="n">
        <f aca="false">J7923*MIN(J7922-J7928+J7927,MAX(0,J8091-Assumptions!$C$12*J7907-J7917))</f>
        <v>0</v>
      </c>
      <c r="K7930" s="16" t="n">
        <f aca="false">K7923*MIN(K7922-K7928+K7927,MAX(0,K8091-Assumptions!$C$12*K7907-K7917))</f>
        <v>0</v>
      </c>
    </row>
    <row r="7931" customFormat="false" ht="15" hidden="false" customHeight="false" outlineLevel="0" collapsed="false">
      <c r="A7931" s="3" t="s">
        <v>337</v>
      </c>
      <c r="G7931" s="16" t="n">
        <f aca="false">Assumptions!$N$58*MIN(G7922+G7929+G7927-G7928-G7930,MAX(0,G8095-G7918))</f>
        <v>0</v>
      </c>
      <c r="H7931" s="16" t="n">
        <f aca="false">Assumptions!$N$58*MIN(H7922+H7929+H7927-H7928-H7930,MAX(0,H8095-H7918))</f>
        <v>0</v>
      </c>
      <c r="I7931" s="16" t="n">
        <f aca="false">Assumptions!$N$58*MIN(I7922+I7929+I7927-I7928-I7930,MAX(0,I8095-I7918))</f>
        <v>0</v>
      </c>
      <c r="J7931" s="16" t="n">
        <f aca="false">Assumptions!$N$58*MIN(J7922+J7929+J7927-J7928-J7930,MAX(0,J8095-J7918))</f>
        <v>0</v>
      </c>
      <c r="K7931" s="16" t="n">
        <f aca="false">Assumptions!$N$58*MIN(K7922+K7929+K7927-K7928-K7930,MAX(0,K8095-K7918))</f>
        <v>0</v>
      </c>
    </row>
    <row r="7932" customFormat="false" ht="15" hidden="false" customHeight="false" outlineLevel="0" collapsed="false">
      <c r="A7932" s="3" t="s">
        <v>338</v>
      </c>
      <c r="G7932" s="16" t="n">
        <f aca="false">G7923*(1-G7907)*(G7922-G7928+G7927-G7930)</f>
        <v>0</v>
      </c>
      <c r="H7932" s="16" t="n">
        <f aca="false">H7923*(1-H7907)*(H7922-H7928+H7927-H7930)</f>
        <v>0</v>
      </c>
      <c r="I7932" s="16" t="n">
        <f aca="false">I7923*(1-I7907)*(I7922-I7928+I7927-I7930)</f>
        <v>0</v>
      </c>
      <c r="J7932" s="16" t="n">
        <f aca="false">J7923*(1-J7907)*(J7922-J7928+J7927-J7930)</f>
        <v>0</v>
      </c>
      <c r="K7932" s="16" t="n">
        <f aca="false">K7923*(1-K7907)*(K7922-K7928+K7927-K7930)</f>
        <v>0</v>
      </c>
    </row>
    <row r="7933" customFormat="false" ht="15" hidden="false" customHeight="false" outlineLevel="0" collapsed="false">
      <c r="A7933" s="2" t="s">
        <v>339</v>
      </c>
      <c r="F7933" s="28" t="n">
        <f aca="false">Assumptions!$C$58</f>
        <v>90</v>
      </c>
      <c r="G7933" s="17" t="n">
        <f aca="false">G7922+G7929+G7927-G7928-G7930-G7931</f>
        <v>90</v>
      </c>
      <c r="H7933" s="17" t="n">
        <f aca="false">H7922+H7929+H7927-H7928-H7930-H7931</f>
        <v>90</v>
      </c>
      <c r="I7933" s="17" t="n">
        <f aca="false">I7922+I7929+I7927-I7928-I7930-I7931</f>
        <v>90</v>
      </c>
      <c r="J7933" s="17" t="n">
        <f aca="false">J7922+J7929+J7927-J7928-J7930-J7931</f>
        <v>90</v>
      </c>
      <c r="K7933" s="17" t="n">
        <f aca="false">K7922+K7929+K7927-K7928-K7930-K7931</f>
        <v>90</v>
      </c>
    </row>
    <row r="7934" customFormat="false" ht="15" hidden="false" customHeight="false" outlineLevel="0" collapsed="false">
      <c r="A7934" s="24" t="s">
        <v>341</v>
      </c>
      <c r="B7934" s="25"/>
      <c r="C7934" s="25"/>
      <c r="D7934" s="25"/>
      <c r="E7934" s="25"/>
      <c r="F7934" s="25"/>
      <c r="G7934" s="25"/>
      <c r="H7934" s="25"/>
      <c r="I7934" s="25"/>
      <c r="J7934" s="25"/>
      <c r="K7934" s="25"/>
    </row>
    <row r="7935" customFormat="false" ht="15" hidden="false" customHeight="false" outlineLevel="0" collapsed="false">
      <c r="A7935" s="3" t="s">
        <v>329</v>
      </c>
      <c r="G7935" s="16" t="n">
        <f aca="false">F7946</f>
        <v>57.324</v>
      </c>
      <c r="H7935" s="16" t="n">
        <f aca="false">G7946</f>
        <v>57.324</v>
      </c>
      <c r="I7935" s="16" t="n">
        <f aca="false">H7946</f>
        <v>57.324</v>
      </c>
      <c r="J7935" s="16" t="n">
        <f aca="false">I7946</f>
        <v>57.324</v>
      </c>
      <c r="K7935" s="16" t="n">
        <f aca="false">J7946</f>
        <v>57.324</v>
      </c>
    </row>
    <row r="7936" customFormat="false" ht="15" hidden="false" customHeight="false" outlineLevel="0" collapsed="false">
      <c r="A7936" s="3" t="s">
        <v>330</v>
      </c>
      <c r="G7936" s="21" t="n">
        <f aca="false">IF(G7873=Assumptions!$K$59,1,0)</f>
        <v>0</v>
      </c>
      <c r="H7936" s="21" t="n">
        <f aca="false">IF(H7873=Assumptions!$K$59,1,0)</f>
        <v>0</v>
      </c>
      <c r="I7936" s="21" t="n">
        <f aca="false">IF(I7873=Assumptions!$K$59,1,0)</f>
        <v>0</v>
      </c>
      <c r="J7936" s="21" t="n">
        <f aca="false">IF(J7873=Assumptions!$K$59,1,0)</f>
        <v>0</v>
      </c>
      <c r="K7936" s="21" t="n">
        <f aca="false">IF(K7873=Assumptions!$K$59,1,0)</f>
        <v>0</v>
      </c>
    </row>
    <row r="7938" customFormat="false" ht="15" hidden="false" customHeight="false" outlineLevel="0" collapsed="false">
      <c r="A7938" s="3" t="s">
        <v>331</v>
      </c>
      <c r="G7938" s="31" t="n">
        <f aca="false">IF(Assumptions!$I$59=1,MAX(G7899,Assumptions!$G$59)+Assumptions!$F$59+$C$7900,Assumptions!$E$59)</f>
        <v>0.0731</v>
      </c>
      <c r="H7938" s="31" t="n">
        <f aca="false">IF(G8221=1,$C$7901,IF(Assumptions!$I$59=1,MAX(H7899,Assumptions!$G$59)+Assumptions!$F$59+$C$7900,Assumptions!$E$59))</f>
        <v>0.0731</v>
      </c>
      <c r="I7938" s="31" t="n">
        <f aca="false">IF(H8221=1,$C$7901,IF(Assumptions!$I$59=1,MAX(I7899,Assumptions!$G$59)+Assumptions!$F$59+$C$7900,Assumptions!$E$59))</f>
        <v>0.0731</v>
      </c>
      <c r="J7938" s="31" t="n">
        <f aca="false">IF(I8221=1,$C$7901,IF(Assumptions!$I$59=1,MAX(J7899,Assumptions!$G$59)+Assumptions!$F$59+$C$7900,Assumptions!$E$59))</f>
        <v>0.0731</v>
      </c>
      <c r="K7938" s="31" t="n">
        <f aca="false">IF(J8221=1,$C$7901,IF(Assumptions!$I$59=1,MAX(K7899,Assumptions!$G$59)+Assumptions!$F$59+$C$7900,Assumptions!$E$59))</f>
        <v>0.0731</v>
      </c>
    </row>
    <row r="7939" customFormat="false" ht="15" hidden="false" customHeight="false" outlineLevel="0" collapsed="false">
      <c r="A7939" s="3" t="s">
        <v>332</v>
      </c>
      <c r="G7939" s="16" t="n">
        <f aca="false">G7935*G7938</f>
        <v>4.1903844</v>
      </c>
      <c r="H7939" s="16" t="n">
        <f aca="false">H7935*H7938</f>
        <v>4.1903844</v>
      </c>
      <c r="I7939" s="16" t="n">
        <f aca="false">I7935*I7938</f>
        <v>4.1903844</v>
      </c>
      <c r="J7939" s="16" t="n">
        <f aca="false">J7935*J7938</f>
        <v>4.1903844</v>
      </c>
      <c r="K7939" s="16" t="n">
        <f aca="false">K7935*K7938</f>
        <v>4.1903844</v>
      </c>
    </row>
    <row r="7940" customFormat="false" ht="15" hidden="false" customHeight="false" outlineLevel="0" collapsed="false">
      <c r="A7940" s="3" t="s">
        <v>333</v>
      </c>
      <c r="G7940" s="16" t="n">
        <f aca="false">G7935*Assumptions!$H$59</f>
        <v>0</v>
      </c>
      <c r="H7940" s="16" t="n">
        <f aca="false">H7935*Assumptions!$H$59</f>
        <v>0</v>
      </c>
      <c r="I7940" s="16" t="n">
        <f aca="false">I7935*Assumptions!$H$59</f>
        <v>0</v>
      </c>
      <c r="J7940" s="16" t="n">
        <f aca="false">J7935*Assumptions!$H$59</f>
        <v>0</v>
      </c>
      <c r="K7940" s="16" t="n">
        <f aca="false">K7935*Assumptions!$H$59</f>
        <v>0</v>
      </c>
    </row>
    <row r="7941" customFormat="false" ht="15" hidden="false" customHeight="false" outlineLevel="0" collapsed="false">
      <c r="A7941" s="3" t="s">
        <v>334</v>
      </c>
      <c r="G7941" s="16" t="n">
        <f aca="false">MIN(G7935,Assumptions!$L$59*Assumptions!$C$59)</f>
        <v>0</v>
      </c>
      <c r="H7941" s="16" t="n">
        <f aca="false">MIN(H7935,Assumptions!$L$59*Assumptions!$C$59)</f>
        <v>0</v>
      </c>
      <c r="I7941" s="16" t="n">
        <f aca="false">MIN(I7935,Assumptions!$L$59*Assumptions!$C$59)</f>
        <v>0</v>
      </c>
      <c r="J7941" s="16" t="n">
        <f aca="false">MIN(J7935,Assumptions!$L$59*Assumptions!$C$59)</f>
        <v>0</v>
      </c>
      <c r="K7941" s="16" t="n">
        <f aca="false">MIN(K7935,Assumptions!$L$59*Assumptions!$C$59)</f>
        <v>0</v>
      </c>
    </row>
    <row r="7942" customFormat="false" ht="15" hidden="false" customHeight="false" outlineLevel="0" collapsed="false">
      <c r="A7942" s="3" t="s">
        <v>335</v>
      </c>
      <c r="G7942" s="16" t="n">
        <f aca="false">IF(AND(Assumptions!$P$59=1,G7873&lt;Assumptions!$K$59),MIN(MAX(0,-G8089),MAX(0,Assumptions!$D$59-G7935)),0)</f>
        <v>0</v>
      </c>
      <c r="H7942" s="16" t="n">
        <f aca="false">IF(AND(Assumptions!$P$59=1,OR(H7873&lt;Assumptions!$K$59,G8221=1)),MIN(MAX(0,-H8089),MAX(0,Assumptions!$D$59-H7935)),0)</f>
        <v>0</v>
      </c>
      <c r="I7942" s="16" t="n">
        <f aca="false">IF(AND(Assumptions!$P$59=1,OR(I7873&lt;Assumptions!$K$59,H8221=1)),MIN(MAX(0,-I8089),MAX(0,Assumptions!$D$59-I7935)),0)</f>
        <v>0</v>
      </c>
      <c r="J7942" s="16" t="n">
        <f aca="false">IF(AND(Assumptions!$P$59=1,OR(J7873&lt;Assumptions!$K$59,I8221=1)),MIN(MAX(0,-J8089),MAX(0,Assumptions!$D$59-J7935)),0)</f>
        <v>0</v>
      </c>
      <c r="K7942" s="16" t="n">
        <f aca="false">IF(AND(Assumptions!$P$59=1,OR(K7873&lt;Assumptions!$K$59,J8221=1)),MIN(MAX(0,-K8089),MAX(0,Assumptions!$D$59-K7935)),0)</f>
        <v>0</v>
      </c>
    </row>
    <row r="7943" customFormat="false" ht="15" hidden="false" customHeight="false" outlineLevel="0" collapsed="false">
      <c r="A7943" s="3" t="s">
        <v>336</v>
      </c>
      <c r="G7943" s="16" t="n">
        <f aca="false">G7936*MIN(G7935-G7941+G7940,MAX(0,G8091-Assumptions!$C$12*G7907-G7917-G7930))</f>
        <v>0</v>
      </c>
      <c r="H7943" s="16" t="n">
        <f aca="false">H7936*MIN(H7935-H7941+H7940,MAX(0,H8091-Assumptions!$C$12*H7907-H7917-H7930))</f>
        <v>0</v>
      </c>
      <c r="I7943" s="16" t="n">
        <f aca="false">I7936*MIN(I7935-I7941+I7940,MAX(0,I8091-Assumptions!$C$12*I7907-I7917-I7930))</f>
        <v>0</v>
      </c>
      <c r="J7943" s="16" t="n">
        <f aca="false">J7936*MIN(J7935-J7941+J7940,MAX(0,J8091-Assumptions!$C$12*J7907-J7917-J7930))</f>
        <v>0</v>
      </c>
      <c r="K7943" s="16" t="n">
        <f aca="false">K7936*MIN(K7935-K7941+K7940,MAX(0,K8091-Assumptions!$C$12*K7907-K7917-K7930))</f>
        <v>0</v>
      </c>
    </row>
    <row r="7944" customFormat="false" ht="15" hidden="false" customHeight="false" outlineLevel="0" collapsed="false">
      <c r="A7944" s="3" t="s">
        <v>337</v>
      </c>
      <c r="G7944" s="16" t="n">
        <f aca="false">Assumptions!$N$59*MIN(G7935+G7942+G7940-G7941-G7943,MAX(0,G8095-G7918-G7931))</f>
        <v>0</v>
      </c>
      <c r="H7944" s="16" t="n">
        <f aca="false">Assumptions!$N$59*MIN(H7935+H7942+H7940-H7941-H7943,MAX(0,H8095-H7918-H7931))</f>
        <v>0</v>
      </c>
      <c r="I7944" s="16" t="n">
        <f aca="false">Assumptions!$N$59*MIN(I7935+I7942+I7940-I7941-I7943,MAX(0,I8095-I7918-I7931))</f>
        <v>0</v>
      </c>
      <c r="J7944" s="16" t="n">
        <f aca="false">Assumptions!$N$59*MIN(J7935+J7942+J7940-J7941-J7943,MAX(0,J8095-J7918-J7931))</f>
        <v>0</v>
      </c>
      <c r="K7944" s="16" t="n">
        <f aca="false">Assumptions!$N$59*MIN(K7935+K7942+K7940-K7941-K7943,MAX(0,K8095-K7918-K7931))</f>
        <v>0</v>
      </c>
    </row>
    <row r="7945" customFormat="false" ht="15" hidden="false" customHeight="false" outlineLevel="0" collapsed="false">
      <c r="A7945" s="3" t="s">
        <v>338</v>
      </c>
      <c r="G7945" s="16" t="n">
        <f aca="false">G7936*(1-G7907)*(G7935-G7941+G7940-G7943)</f>
        <v>0</v>
      </c>
      <c r="H7945" s="16" t="n">
        <f aca="false">H7936*(1-H7907)*(H7935-H7941+H7940-H7943)</f>
        <v>0</v>
      </c>
      <c r="I7945" s="16" t="n">
        <f aca="false">I7936*(1-I7907)*(I7935-I7941+I7940-I7943)</f>
        <v>0</v>
      </c>
      <c r="J7945" s="16" t="n">
        <f aca="false">J7936*(1-J7907)*(J7935-J7941+J7940-J7943)</f>
        <v>0</v>
      </c>
      <c r="K7945" s="16" t="n">
        <f aca="false">K7936*(1-K7907)*(K7935-K7941+K7940-K7943)</f>
        <v>0</v>
      </c>
    </row>
    <row r="7946" customFormat="false" ht="15" hidden="false" customHeight="false" outlineLevel="0" collapsed="false">
      <c r="A7946" s="2" t="s">
        <v>339</v>
      </c>
      <c r="F7946" s="28" t="n">
        <f aca="false">Assumptions!$C$59</f>
        <v>57.324</v>
      </c>
      <c r="G7946" s="17" t="n">
        <f aca="false">G7935+G7942+G7940-G7941-G7943-G7944</f>
        <v>57.324</v>
      </c>
      <c r="H7946" s="17" t="n">
        <f aca="false">H7935+H7942+H7940-H7941-H7943-H7944</f>
        <v>57.324</v>
      </c>
      <c r="I7946" s="17" t="n">
        <f aca="false">I7935+I7942+I7940-I7941-I7943-I7944</f>
        <v>57.324</v>
      </c>
      <c r="J7946" s="17" t="n">
        <f aca="false">J7935+J7942+J7940-J7941-J7943-J7944</f>
        <v>57.324</v>
      </c>
      <c r="K7946" s="17" t="n">
        <f aca="false">K7935+K7942+K7940-K7941-K7943-K7944</f>
        <v>57.324</v>
      </c>
    </row>
    <row r="7947" customFormat="false" ht="15" hidden="false" customHeight="false" outlineLevel="0" collapsed="false">
      <c r="A7947" s="24" t="s">
        <v>342</v>
      </c>
      <c r="B7947" s="25"/>
      <c r="C7947" s="25"/>
      <c r="D7947" s="25"/>
      <c r="E7947" s="25"/>
      <c r="F7947" s="25"/>
      <c r="G7947" s="25"/>
      <c r="H7947" s="25"/>
      <c r="I7947" s="25"/>
      <c r="J7947" s="25"/>
      <c r="K7947" s="25"/>
    </row>
    <row r="7948" customFormat="false" ht="15" hidden="false" customHeight="false" outlineLevel="0" collapsed="false">
      <c r="A7948" s="3" t="s">
        <v>329</v>
      </c>
      <c r="G7948" s="16" t="n">
        <f aca="false">F7959</f>
        <v>0</v>
      </c>
      <c r="H7948" s="16" t="n">
        <f aca="false">G7959</f>
        <v>0</v>
      </c>
      <c r="I7948" s="16" t="n">
        <f aca="false">H7959</f>
        <v>0</v>
      </c>
      <c r="J7948" s="16" t="n">
        <f aca="false">I7959</f>
        <v>0</v>
      </c>
      <c r="K7948" s="16" t="n">
        <f aca="false">J7959</f>
        <v>0</v>
      </c>
    </row>
    <row r="7949" customFormat="false" ht="15" hidden="false" customHeight="false" outlineLevel="0" collapsed="false">
      <c r="A7949" s="3" t="s">
        <v>330</v>
      </c>
      <c r="G7949" s="21" t="n">
        <f aca="false">IF(G7873=Assumptions!$K$60,1,0)</f>
        <v>1</v>
      </c>
      <c r="H7949" s="21" t="n">
        <f aca="false">IF(H7873=Assumptions!$K$60,1,0)</f>
        <v>0</v>
      </c>
      <c r="I7949" s="21" t="n">
        <f aca="false">IF(I7873=Assumptions!$K$60,1,0)</f>
        <v>0</v>
      </c>
      <c r="J7949" s="21" t="n">
        <f aca="false">IF(J7873=Assumptions!$K$60,1,0)</f>
        <v>0</v>
      </c>
      <c r="K7949" s="21" t="n">
        <f aca="false">IF(K7873=Assumptions!$K$60,1,0)</f>
        <v>0</v>
      </c>
    </row>
    <row r="7951" customFormat="false" ht="15" hidden="false" customHeight="false" outlineLevel="0" collapsed="false">
      <c r="A7951" s="3" t="s">
        <v>331</v>
      </c>
      <c r="G7951" s="31" t="n">
        <f aca="false">IF(Assumptions!$I$60=1,MAX(G7899,Assumptions!$G$60)+Assumptions!$F$60+$C$7900,Assumptions!$E$60)</f>
        <v>0.069</v>
      </c>
      <c r="H7951" s="31" t="n">
        <f aca="false">IF(G8222=1,$C$7901,IF(Assumptions!$I$60=1,MAX(H7899,Assumptions!$G$60)+Assumptions!$F$60+$C$7900,Assumptions!$E$60))</f>
        <v>0.0675</v>
      </c>
      <c r="I7951" s="31" t="n">
        <f aca="false">IF(H8222=1,$C$7901,IF(Assumptions!$I$60=1,MAX(I7899,Assumptions!$G$60)+Assumptions!$F$60+$C$7900,Assumptions!$E$60))</f>
        <v>0.065</v>
      </c>
      <c r="J7951" s="31" t="n">
        <f aca="false">IF(I8222=1,$C$7901,IF(Assumptions!$I$60=1,MAX(J7899,Assumptions!$G$60)+Assumptions!$F$60+$C$7900,Assumptions!$E$60))</f>
        <v>0.065</v>
      </c>
      <c r="K7951" s="31" t="n">
        <f aca="false">IF(J8222=1,$C$7901,IF(Assumptions!$I$60=1,MAX(K7899,Assumptions!$G$60)+Assumptions!$F$60+$C$7900,Assumptions!$E$60))</f>
        <v>0.065</v>
      </c>
    </row>
    <row r="7952" customFormat="false" ht="15" hidden="false" customHeight="false" outlineLevel="0" collapsed="false">
      <c r="A7952" s="3" t="s">
        <v>332</v>
      </c>
      <c r="G7952" s="16" t="n">
        <f aca="false">G7948*G7951</f>
        <v>0</v>
      </c>
      <c r="H7952" s="16" t="n">
        <f aca="false">H7948*H7951</f>
        <v>0</v>
      </c>
      <c r="I7952" s="16" t="n">
        <f aca="false">I7948*I7951</f>
        <v>0</v>
      </c>
      <c r="J7952" s="16" t="n">
        <f aca="false">J7948*J7951</f>
        <v>0</v>
      </c>
      <c r="K7952" s="16" t="n">
        <f aca="false">K7948*K7951</f>
        <v>0</v>
      </c>
    </row>
    <row r="7953" customFormat="false" ht="15" hidden="false" customHeight="false" outlineLevel="0" collapsed="false">
      <c r="A7953" s="3" t="s">
        <v>333</v>
      </c>
      <c r="G7953" s="16" t="n">
        <f aca="false">G7948*Assumptions!$H$60</f>
        <v>0</v>
      </c>
      <c r="H7953" s="16" t="n">
        <f aca="false">H7948*Assumptions!$H$60</f>
        <v>0</v>
      </c>
      <c r="I7953" s="16" t="n">
        <f aca="false">I7948*Assumptions!$H$60</f>
        <v>0</v>
      </c>
      <c r="J7953" s="16" t="n">
        <f aca="false">J7948*Assumptions!$H$60</f>
        <v>0</v>
      </c>
      <c r="K7953" s="16" t="n">
        <f aca="false">K7948*Assumptions!$H$60</f>
        <v>0</v>
      </c>
    </row>
    <row r="7954" customFormat="false" ht="15" hidden="false" customHeight="false" outlineLevel="0" collapsed="false">
      <c r="A7954" s="3" t="s">
        <v>334</v>
      </c>
      <c r="G7954" s="16" t="n">
        <f aca="false">MIN(G7948,Assumptions!$L$60*Assumptions!$C$60)</f>
        <v>0</v>
      </c>
      <c r="H7954" s="16" t="n">
        <f aca="false">MIN(H7948,Assumptions!$L$60*Assumptions!$C$60)</f>
        <v>0</v>
      </c>
      <c r="I7954" s="16" t="n">
        <f aca="false">MIN(I7948,Assumptions!$L$60*Assumptions!$C$60)</f>
        <v>0</v>
      </c>
      <c r="J7954" s="16" t="n">
        <f aca="false">MIN(J7948,Assumptions!$L$60*Assumptions!$C$60)</f>
        <v>0</v>
      </c>
      <c r="K7954" s="16" t="n">
        <f aca="false">MIN(K7948,Assumptions!$L$60*Assumptions!$C$60)</f>
        <v>0</v>
      </c>
    </row>
    <row r="7955" customFormat="false" ht="15" hidden="false" customHeight="false" outlineLevel="0" collapsed="false">
      <c r="A7955" s="3" t="s">
        <v>335</v>
      </c>
      <c r="G7955" s="16" t="n">
        <f aca="false">IF(AND(Assumptions!$P$60=1,G7873&lt;Assumptions!$K$60),MIN(MAX(0,-G8089),MAX(0,Assumptions!$D$60-G7948)),0)</f>
        <v>0</v>
      </c>
      <c r="H7955" s="16" t="n">
        <f aca="false">IF(AND(Assumptions!$P$60=1,OR(H7873&lt;Assumptions!$K$60,G8222=1)),MIN(MAX(0,-H8089),MAX(0,Assumptions!$D$60-H7948)),0)</f>
        <v>0</v>
      </c>
      <c r="I7955" s="16" t="n">
        <f aca="false">IF(AND(Assumptions!$P$60=1,OR(I7873&lt;Assumptions!$K$60,H8222=1)),MIN(MAX(0,-I8089),MAX(0,Assumptions!$D$60-I7948)),0)</f>
        <v>0</v>
      </c>
      <c r="J7955" s="16" t="n">
        <f aca="false">IF(AND(Assumptions!$P$60=1,OR(J7873&lt;Assumptions!$K$60,I8222=1)),MIN(MAX(0,-J8089),MAX(0,Assumptions!$D$60-J7948)),0)</f>
        <v>0</v>
      </c>
      <c r="K7955" s="16" t="n">
        <f aca="false">IF(AND(Assumptions!$P$60=1,OR(K7873&lt;Assumptions!$K$60,J8222=1)),MIN(MAX(0,-K8089),MAX(0,Assumptions!$D$60-K7948)),0)</f>
        <v>0</v>
      </c>
    </row>
    <row r="7956" customFormat="false" ht="15" hidden="false" customHeight="false" outlineLevel="0" collapsed="false">
      <c r="A7956" s="3" t="s">
        <v>336</v>
      </c>
      <c r="G7956" s="16" t="n">
        <f aca="false">G7949*MIN(G7948-G7954+G7953,MAX(0,G8091-Assumptions!$C$12*G7907-G7917-G7930-G7943))</f>
        <v>0</v>
      </c>
      <c r="H7956" s="16" t="n">
        <f aca="false">H7949*MIN(H7948-H7954+H7953,MAX(0,H8091-Assumptions!$C$12*H7907-H7917-H7930-H7943))</f>
        <v>0</v>
      </c>
      <c r="I7956" s="16" t="n">
        <f aca="false">I7949*MIN(I7948-I7954+I7953,MAX(0,I8091-Assumptions!$C$12*I7907-I7917-I7930-I7943))</f>
        <v>0</v>
      </c>
      <c r="J7956" s="16" t="n">
        <f aca="false">J7949*MIN(J7948-J7954+J7953,MAX(0,J8091-Assumptions!$C$12*J7907-J7917-J7930-J7943))</f>
        <v>0</v>
      </c>
      <c r="K7956" s="16" t="n">
        <f aca="false">K7949*MIN(K7948-K7954+K7953,MAX(0,K8091-Assumptions!$C$12*K7907-K7917-K7930-K7943))</f>
        <v>0</v>
      </c>
    </row>
    <row r="7957" customFormat="false" ht="15" hidden="false" customHeight="false" outlineLevel="0" collapsed="false">
      <c r="A7957" s="3" t="s">
        <v>337</v>
      </c>
      <c r="G7957" s="16" t="n">
        <f aca="false">Assumptions!$N$60*MIN(G7948+G7955+G7953-G7954-G7956,MAX(0,G8095-G7918-G7931-G7944))</f>
        <v>0</v>
      </c>
      <c r="H7957" s="16" t="n">
        <f aca="false">Assumptions!$N$60*MIN(H7948+H7955+H7953-H7954-H7956,MAX(0,H8095-H7918-H7931-H7944))</f>
        <v>0</v>
      </c>
      <c r="I7957" s="16" t="n">
        <f aca="false">Assumptions!$N$60*MIN(I7948+I7955+I7953-I7954-I7956,MAX(0,I8095-I7918-I7931-I7944))</f>
        <v>0</v>
      </c>
      <c r="J7957" s="16" t="n">
        <f aca="false">Assumptions!$N$60*MIN(J7948+J7955+J7953-J7954-J7956,MAX(0,J8095-J7918-J7931-J7944))</f>
        <v>0</v>
      </c>
      <c r="K7957" s="16" t="n">
        <f aca="false">Assumptions!$N$60*MIN(K7948+K7955+K7953-K7954-K7956,MAX(0,K8095-K7918-K7931-K7944))</f>
        <v>0</v>
      </c>
    </row>
    <row r="7958" customFormat="false" ht="15" hidden="false" customHeight="false" outlineLevel="0" collapsed="false">
      <c r="A7958" s="3" t="s">
        <v>338</v>
      </c>
      <c r="G7958" s="16" t="n">
        <f aca="false">G7949*(1-G7907)*(G7948-G7954+G7953-G7956)</f>
        <v>0</v>
      </c>
      <c r="H7958" s="16" t="n">
        <f aca="false">H7949*(1-H7907)*(H7948-H7954+H7953-H7956)</f>
        <v>0</v>
      </c>
      <c r="I7958" s="16" t="n">
        <f aca="false">I7949*(1-I7907)*(I7948-I7954+I7953-I7956)</f>
        <v>0</v>
      </c>
      <c r="J7958" s="16" t="n">
        <f aca="false">J7949*(1-J7907)*(J7948-J7954+J7953-J7956)</f>
        <v>0</v>
      </c>
      <c r="K7958" s="16" t="n">
        <f aca="false">K7949*(1-K7907)*(K7948-K7954+K7953-K7956)</f>
        <v>0</v>
      </c>
    </row>
    <row r="7959" customFormat="false" ht="15" hidden="false" customHeight="false" outlineLevel="0" collapsed="false">
      <c r="A7959" s="2" t="s">
        <v>339</v>
      </c>
      <c r="F7959" s="28" t="n">
        <f aca="false">Assumptions!$C$60</f>
        <v>0</v>
      </c>
      <c r="G7959" s="17" t="n">
        <f aca="false">G7948+G7955+G7953-G7954-G7956-G7957</f>
        <v>0</v>
      </c>
      <c r="H7959" s="17" t="n">
        <f aca="false">H7948+H7955+H7953-H7954-H7956-H7957</f>
        <v>0</v>
      </c>
      <c r="I7959" s="17" t="n">
        <f aca="false">I7948+I7955+I7953-I7954-I7956-I7957</f>
        <v>0</v>
      </c>
      <c r="J7959" s="17" t="n">
        <f aca="false">J7948+J7955+J7953-J7954-J7956-J7957</f>
        <v>0</v>
      </c>
      <c r="K7959" s="17" t="n">
        <f aca="false">K7948+K7955+K7953-K7954-K7956-K7957</f>
        <v>0</v>
      </c>
    </row>
    <row r="7960" customFormat="false" ht="15" hidden="false" customHeight="false" outlineLevel="0" collapsed="false">
      <c r="A7960" s="24" t="s">
        <v>343</v>
      </c>
      <c r="B7960" s="25"/>
      <c r="C7960" s="25"/>
      <c r="D7960" s="25"/>
      <c r="E7960" s="25"/>
      <c r="F7960" s="25"/>
      <c r="G7960" s="25"/>
      <c r="H7960" s="25"/>
      <c r="I7960" s="25"/>
      <c r="J7960" s="25"/>
      <c r="K7960" s="25"/>
    </row>
    <row r="7961" customFormat="false" ht="15" hidden="false" customHeight="false" outlineLevel="0" collapsed="false">
      <c r="A7961" s="3" t="s">
        <v>329</v>
      </c>
      <c r="G7961" s="16" t="n">
        <f aca="false">F7972</f>
        <v>450</v>
      </c>
      <c r="H7961" s="16" t="n">
        <f aca="false">G7972</f>
        <v>450</v>
      </c>
      <c r="I7961" s="16" t="n">
        <f aca="false">H7972</f>
        <v>364.536946929</v>
      </c>
      <c r="J7961" s="16" t="n">
        <f aca="false">I7972</f>
        <v>364.536946929</v>
      </c>
      <c r="K7961" s="16" t="n">
        <f aca="false">J7972</f>
        <v>364.536946929</v>
      </c>
    </row>
    <row r="7962" customFormat="false" ht="15" hidden="false" customHeight="false" outlineLevel="0" collapsed="false">
      <c r="A7962" s="3" t="s">
        <v>330</v>
      </c>
      <c r="G7962" s="21" t="n">
        <f aca="false">IF(G7873=Assumptions!$K$61,1,0)</f>
        <v>0</v>
      </c>
      <c r="H7962" s="21" t="n">
        <f aca="false">IF(H7873=Assumptions!$K$61,1,0)</f>
        <v>1</v>
      </c>
      <c r="I7962" s="21" t="n">
        <f aca="false">IF(I7873=Assumptions!$K$61,1,0)</f>
        <v>0</v>
      </c>
      <c r="J7962" s="21" t="n">
        <f aca="false">IF(J7873=Assumptions!$K$61,1,0)</f>
        <v>0</v>
      </c>
      <c r="K7962" s="21" t="n">
        <f aca="false">IF(K7873=Assumptions!$K$61,1,0)</f>
        <v>0</v>
      </c>
    </row>
    <row r="7964" customFormat="false" ht="15" hidden="false" customHeight="false" outlineLevel="0" collapsed="false">
      <c r="A7964" s="3" t="s">
        <v>331</v>
      </c>
      <c r="G7964" s="31" t="n">
        <f aca="false">IF(Assumptions!$I$61=1,MAX(G7899,Assumptions!$G$61)+Assumptions!$F$61+$C$7900,Assumptions!$E$61)</f>
        <v>0.0395</v>
      </c>
      <c r="H7964" s="31" t="n">
        <f aca="false">IF(G8223=1,$C$7901,IF(Assumptions!$I$61=1,MAX(H7899,Assumptions!$G$61)+Assumptions!$F$61+$C$7900,Assumptions!$E$61))</f>
        <v>0.0395</v>
      </c>
      <c r="I7964" s="31" t="n">
        <f aca="false">IF(H8223=1,$C$7901,IF(Assumptions!$I$61=1,MAX(I7899,Assumptions!$G$61)+Assumptions!$F$61+$C$7900,Assumptions!$E$61))</f>
        <v>0.0395</v>
      </c>
      <c r="J7964" s="31" t="n">
        <f aca="false">IF(I8223=1,$C$7901,IF(Assumptions!$I$61=1,MAX(J7899,Assumptions!$G$61)+Assumptions!$F$61+$C$7900,Assumptions!$E$61))</f>
        <v>0.0395</v>
      </c>
      <c r="K7964" s="31" t="n">
        <f aca="false">IF(J8223=1,$C$7901,IF(Assumptions!$I$61=1,MAX(K7899,Assumptions!$G$61)+Assumptions!$F$61+$C$7900,Assumptions!$E$61))</f>
        <v>0.0395</v>
      </c>
    </row>
    <row r="7965" customFormat="false" ht="15" hidden="false" customHeight="false" outlineLevel="0" collapsed="false">
      <c r="A7965" s="3" t="s">
        <v>332</v>
      </c>
      <c r="G7965" s="16" t="n">
        <f aca="false">G7961*G7964</f>
        <v>17.775</v>
      </c>
      <c r="H7965" s="16" t="n">
        <f aca="false">H7961*H7964</f>
        <v>17.775</v>
      </c>
      <c r="I7965" s="16" t="n">
        <f aca="false">I7961*I7964</f>
        <v>14.3992094036955</v>
      </c>
      <c r="J7965" s="16" t="n">
        <f aca="false">J7961*J7964</f>
        <v>14.3992094036955</v>
      </c>
      <c r="K7965" s="16" t="n">
        <f aca="false">K7961*K7964</f>
        <v>14.3992094036955</v>
      </c>
    </row>
    <row r="7966" customFormat="false" ht="15" hidden="false" customHeight="false" outlineLevel="0" collapsed="false">
      <c r="A7966" s="3" t="s">
        <v>333</v>
      </c>
      <c r="G7966" s="16" t="n">
        <f aca="false">G7961*Assumptions!$H$61</f>
        <v>0</v>
      </c>
      <c r="H7966" s="16" t="n">
        <f aca="false">H7961*Assumptions!$H$61</f>
        <v>0</v>
      </c>
      <c r="I7966" s="16" t="n">
        <f aca="false">I7961*Assumptions!$H$61</f>
        <v>0</v>
      </c>
      <c r="J7966" s="16" t="n">
        <f aca="false">J7961*Assumptions!$H$61</f>
        <v>0</v>
      </c>
      <c r="K7966" s="16" t="n">
        <f aca="false">K7961*Assumptions!$H$61</f>
        <v>0</v>
      </c>
    </row>
    <row r="7967" customFormat="false" ht="15" hidden="false" customHeight="false" outlineLevel="0" collapsed="false">
      <c r="A7967" s="3" t="s">
        <v>334</v>
      </c>
      <c r="G7967" s="16" t="n">
        <f aca="false">MIN(G7961,Assumptions!$L$61*Assumptions!$C$61)</f>
        <v>0</v>
      </c>
      <c r="H7967" s="16" t="n">
        <f aca="false">MIN(H7961,Assumptions!$L$61*Assumptions!$C$61)</f>
        <v>0</v>
      </c>
      <c r="I7967" s="16" t="n">
        <f aca="false">MIN(I7961,Assumptions!$L$61*Assumptions!$C$61)</f>
        <v>0</v>
      </c>
      <c r="J7967" s="16" t="n">
        <f aca="false">MIN(J7961,Assumptions!$L$61*Assumptions!$C$61)</f>
        <v>0</v>
      </c>
      <c r="K7967" s="16" t="n">
        <f aca="false">MIN(K7961,Assumptions!$L$61*Assumptions!$C$61)</f>
        <v>0</v>
      </c>
    </row>
    <row r="7968" customFormat="false" ht="15" hidden="false" customHeight="false" outlineLevel="0" collapsed="false">
      <c r="A7968" s="3" t="s">
        <v>335</v>
      </c>
      <c r="G7968" s="16" t="n">
        <f aca="false">IF(AND(Assumptions!$P$61=1,G7873&lt;Assumptions!$K$61),MIN(MAX(0,-G8089),MAX(0,Assumptions!$D$61-G7961)),0)</f>
        <v>0</v>
      </c>
      <c r="H7968" s="16" t="n">
        <f aca="false">IF(AND(Assumptions!$P$61=1,OR(H7873&lt;Assumptions!$K$61,G8223=1)),MIN(MAX(0,-H8089),MAX(0,Assumptions!$D$61-H7961)),0)</f>
        <v>0</v>
      </c>
      <c r="I7968" s="16" t="n">
        <f aca="false">IF(AND(Assumptions!$P$61=1,OR(I7873&lt;Assumptions!$K$61,H8223=1)),MIN(MAX(0,-I8089),MAX(0,Assumptions!$D$61-I7961)),0)</f>
        <v>0</v>
      </c>
      <c r="J7968" s="16" t="n">
        <f aca="false">IF(AND(Assumptions!$P$61=1,OR(J7873&lt;Assumptions!$K$61,I8223=1)),MIN(MAX(0,-J8089),MAX(0,Assumptions!$D$61-J7961)),0)</f>
        <v>0</v>
      </c>
      <c r="K7968" s="16" t="n">
        <f aca="false">IF(AND(Assumptions!$P$61=1,OR(K7873&lt;Assumptions!$K$61,J8223=1)),MIN(MAX(0,-K8089),MAX(0,Assumptions!$D$61-K7961)),0)</f>
        <v>0</v>
      </c>
    </row>
    <row r="7969" customFormat="false" ht="15" hidden="false" customHeight="false" outlineLevel="0" collapsed="false">
      <c r="A7969" s="3" t="s">
        <v>336</v>
      </c>
      <c r="G7969" s="16" t="n">
        <f aca="false">G7962*MIN(G7961-G7967+G7966,MAX(0,G8091-Assumptions!$C$12*G7907-G7917-G7930-G7943-G7956))</f>
        <v>0</v>
      </c>
      <c r="H7969" s="16" t="n">
        <f aca="false">H7962*MIN(H7961-H7967+H7966,MAX(0,H8091-Assumptions!$C$12*H7907-H7917-H7930-H7943-H7956))</f>
        <v>85.4630530710001</v>
      </c>
      <c r="I7969" s="16" t="n">
        <f aca="false">I7962*MIN(I7961-I7967+I7966,MAX(0,I8091-Assumptions!$C$12*I7907-I7917-I7930-I7943-I7956))</f>
        <v>0</v>
      </c>
      <c r="J7969" s="16" t="n">
        <f aca="false">J7962*MIN(J7961-J7967+J7966,MAX(0,J8091-Assumptions!$C$12*J7907-J7917-J7930-J7943-J7956))</f>
        <v>0</v>
      </c>
      <c r="K7969" s="16" t="n">
        <f aca="false">K7962*MIN(K7961-K7967+K7966,MAX(0,K8091-Assumptions!$C$12*K7907-K7917-K7930-K7943-K7956))</f>
        <v>0</v>
      </c>
    </row>
    <row r="7970" customFormat="false" ht="15" hidden="false" customHeight="false" outlineLevel="0" collapsed="false">
      <c r="A7970" s="3" t="s">
        <v>337</v>
      </c>
      <c r="G7970" s="16" t="n">
        <f aca="false">Assumptions!$N$61*MIN(G7961+G7968+G7966-G7967-G7969,MAX(0,G8095-G7918-G7931-G7944-G7957))</f>
        <v>0</v>
      </c>
      <c r="H7970" s="16" t="n">
        <f aca="false">Assumptions!$N$61*MIN(H7961+H7968+H7966-H7967-H7969,MAX(0,H8095-H7918-H7931-H7944-H7957))</f>
        <v>0</v>
      </c>
      <c r="I7970" s="16" t="n">
        <f aca="false">Assumptions!$N$61*MIN(I7961+I7968+I7966-I7967-I7969,MAX(0,I8095-I7918-I7931-I7944-I7957))</f>
        <v>0</v>
      </c>
      <c r="J7970" s="16" t="n">
        <f aca="false">Assumptions!$N$61*MIN(J7961+J7968+J7966-J7967-J7969,MAX(0,J8095-J7918-J7931-J7944-J7957))</f>
        <v>0</v>
      </c>
      <c r="K7970" s="16" t="n">
        <f aca="false">Assumptions!$N$61*MIN(K7961+K7968+K7966-K7967-K7969,MAX(0,K8095-K7918-K7931-K7944-K7957))</f>
        <v>0</v>
      </c>
    </row>
    <row r="7971" customFormat="false" ht="15" hidden="false" customHeight="false" outlineLevel="0" collapsed="false">
      <c r="A7971" s="3" t="s">
        <v>338</v>
      </c>
      <c r="G7971" s="16" t="n">
        <f aca="false">G7962*(1-G7907)*(G7961-G7967+G7966-G7969)</f>
        <v>0</v>
      </c>
      <c r="H7971" s="16" t="n">
        <f aca="false">H7962*(1-H7907)*(H7961-H7967+H7966-H7969)</f>
        <v>364.536946929</v>
      </c>
      <c r="I7971" s="16" t="n">
        <f aca="false">I7962*(1-I7907)*(I7961-I7967+I7966-I7969)</f>
        <v>0</v>
      </c>
      <c r="J7971" s="16" t="n">
        <f aca="false">J7962*(1-J7907)*(J7961-J7967+J7966-J7969)</f>
        <v>0</v>
      </c>
      <c r="K7971" s="16" t="n">
        <f aca="false">K7962*(1-K7907)*(K7961-K7967+K7966-K7969)</f>
        <v>0</v>
      </c>
    </row>
    <row r="7972" customFormat="false" ht="15" hidden="false" customHeight="false" outlineLevel="0" collapsed="false">
      <c r="A7972" s="2" t="s">
        <v>339</v>
      </c>
      <c r="F7972" s="28" t="n">
        <f aca="false">Assumptions!$C$61</f>
        <v>450</v>
      </c>
      <c r="G7972" s="17" t="n">
        <f aca="false">G7961+G7968+G7966-G7967-G7969-G7970</f>
        <v>450</v>
      </c>
      <c r="H7972" s="17" t="n">
        <f aca="false">H7961+H7968+H7966-H7967-H7969-H7970</f>
        <v>364.536946929</v>
      </c>
      <c r="I7972" s="17" t="n">
        <f aca="false">I7961+I7968+I7966-I7967-I7969-I7970</f>
        <v>364.536946929</v>
      </c>
      <c r="J7972" s="17" t="n">
        <f aca="false">J7961+J7968+J7966-J7967-J7969-J7970</f>
        <v>364.536946929</v>
      </c>
      <c r="K7972" s="17" t="n">
        <f aca="false">K7961+K7968+K7966-K7967-K7969-K7970</f>
        <v>364.536946929</v>
      </c>
    </row>
    <row r="7973" customFormat="false" ht="15" hidden="false" customHeight="false" outlineLevel="0" collapsed="false">
      <c r="A7973" s="24" t="s">
        <v>344</v>
      </c>
      <c r="B7973" s="25"/>
      <c r="C7973" s="25"/>
      <c r="D7973" s="25"/>
      <c r="E7973" s="25"/>
      <c r="F7973" s="25"/>
      <c r="G7973" s="25"/>
      <c r="H7973" s="25"/>
      <c r="I7973" s="25"/>
      <c r="J7973" s="25"/>
      <c r="K7973" s="25"/>
    </row>
    <row r="7974" customFormat="false" ht="15" hidden="false" customHeight="false" outlineLevel="0" collapsed="false">
      <c r="A7974" s="3" t="s">
        <v>329</v>
      </c>
      <c r="G7974" s="16" t="n">
        <f aca="false">F7985</f>
        <v>350</v>
      </c>
      <c r="H7974" s="16" t="n">
        <f aca="false">G7985</f>
        <v>350</v>
      </c>
      <c r="I7974" s="16" t="n">
        <f aca="false">H7985</f>
        <v>350</v>
      </c>
      <c r="J7974" s="16" t="n">
        <f aca="false">I7985</f>
        <v>350</v>
      </c>
      <c r="K7974" s="16" t="n">
        <f aca="false">J7985</f>
        <v>350</v>
      </c>
    </row>
    <row r="7975" customFormat="false" ht="15" hidden="false" customHeight="false" outlineLevel="0" collapsed="false">
      <c r="A7975" s="3" t="s">
        <v>330</v>
      </c>
      <c r="G7975" s="21" t="n">
        <f aca="false">IF(G7873=Assumptions!$K$62,1,0)</f>
        <v>0</v>
      </c>
      <c r="H7975" s="21" t="n">
        <f aca="false">IF(H7873=Assumptions!$K$62,1,0)</f>
        <v>1</v>
      </c>
      <c r="I7975" s="21" t="n">
        <f aca="false">IF(I7873=Assumptions!$K$62,1,0)</f>
        <v>0</v>
      </c>
      <c r="J7975" s="21" t="n">
        <f aca="false">IF(J7873=Assumptions!$K$62,1,0)</f>
        <v>0</v>
      </c>
      <c r="K7975" s="21" t="n">
        <f aca="false">IF(K7873=Assumptions!$K$62,1,0)</f>
        <v>0</v>
      </c>
    </row>
    <row r="7977" customFormat="false" ht="15" hidden="false" customHeight="false" outlineLevel="0" collapsed="false">
      <c r="A7977" s="3" t="s">
        <v>331</v>
      </c>
      <c r="G7977" s="31" t="n">
        <f aca="false">IF(Assumptions!$I$62=1,MAX(G7899,Assumptions!$G$62)+Assumptions!$F$62+$C$7900,Assumptions!$E$62)</f>
        <v>0.083</v>
      </c>
      <c r="H7977" s="31" t="n">
        <f aca="false">IF(G8224=1,$C$7901,IF(Assumptions!$I$62=1,MAX(H7899,Assumptions!$G$62)+Assumptions!$F$62+$C$7900,Assumptions!$E$62))</f>
        <v>0.083</v>
      </c>
      <c r="I7977" s="31" t="n">
        <f aca="false">IF(H8224=1,$C$7901,IF(Assumptions!$I$62=1,MAX(I7899,Assumptions!$G$62)+Assumptions!$F$62+$C$7900,Assumptions!$E$62))</f>
        <v>0.083</v>
      </c>
      <c r="J7977" s="31" t="n">
        <f aca="false">IF(I8224=1,$C$7901,IF(Assumptions!$I$62=1,MAX(J7899,Assumptions!$G$62)+Assumptions!$F$62+$C$7900,Assumptions!$E$62))</f>
        <v>0.083</v>
      </c>
      <c r="K7977" s="31" t="n">
        <f aca="false">IF(J8224=1,$C$7901,IF(Assumptions!$I$62=1,MAX(K7899,Assumptions!$G$62)+Assumptions!$F$62+$C$7900,Assumptions!$E$62))</f>
        <v>0.083</v>
      </c>
    </row>
    <row r="7978" customFormat="false" ht="15" hidden="false" customHeight="false" outlineLevel="0" collapsed="false">
      <c r="A7978" s="3" t="s">
        <v>332</v>
      </c>
      <c r="G7978" s="16" t="n">
        <f aca="false">G7974*G7977</f>
        <v>29.05</v>
      </c>
      <c r="H7978" s="16" t="n">
        <f aca="false">H7974*H7977</f>
        <v>29.05</v>
      </c>
      <c r="I7978" s="16" t="n">
        <f aca="false">I7974*I7977</f>
        <v>29.05</v>
      </c>
      <c r="J7978" s="16" t="n">
        <f aca="false">J7974*J7977</f>
        <v>29.05</v>
      </c>
      <c r="K7978" s="16" t="n">
        <f aca="false">K7974*K7977</f>
        <v>29.05</v>
      </c>
    </row>
    <row r="7979" customFormat="false" ht="15" hidden="false" customHeight="false" outlineLevel="0" collapsed="false">
      <c r="A7979" s="3" t="s">
        <v>333</v>
      </c>
      <c r="G7979" s="16" t="n">
        <f aca="false">G7974*Assumptions!$H$62</f>
        <v>0</v>
      </c>
      <c r="H7979" s="16" t="n">
        <f aca="false">H7974*Assumptions!$H$62</f>
        <v>0</v>
      </c>
      <c r="I7979" s="16" t="n">
        <f aca="false">I7974*Assumptions!$H$62</f>
        <v>0</v>
      </c>
      <c r="J7979" s="16" t="n">
        <f aca="false">J7974*Assumptions!$H$62</f>
        <v>0</v>
      </c>
      <c r="K7979" s="16" t="n">
        <f aca="false">K7974*Assumptions!$H$62</f>
        <v>0</v>
      </c>
    </row>
    <row r="7980" customFormat="false" ht="15" hidden="false" customHeight="false" outlineLevel="0" collapsed="false">
      <c r="A7980" s="3" t="s">
        <v>334</v>
      </c>
      <c r="G7980" s="16" t="n">
        <f aca="false">MIN(G7974,Assumptions!$L$62*Assumptions!$C$62)</f>
        <v>0</v>
      </c>
      <c r="H7980" s="16" t="n">
        <f aca="false">MIN(H7974,Assumptions!$L$62*Assumptions!$C$62)</f>
        <v>0</v>
      </c>
      <c r="I7980" s="16" t="n">
        <f aca="false">MIN(I7974,Assumptions!$L$62*Assumptions!$C$62)</f>
        <v>0</v>
      </c>
      <c r="J7980" s="16" t="n">
        <f aca="false">MIN(J7974,Assumptions!$L$62*Assumptions!$C$62)</f>
        <v>0</v>
      </c>
      <c r="K7980" s="16" t="n">
        <f aca="false">MIN(K7974,Assumptions!$L$62*Assumptions!$C$62)</f>
        <v>0</v>
      </c>
    </row>
    <row r="7981" customFormat="false" ht="15" hidden="false" customHeight="false" outlineLevel="0" collapsed="false">
      <c r="A7981" s="3" t="s">
        <v>335</v>
      </c>
      <c r="G7981" s="16" t="n">
        <f aca="false">IF(AND(Assumptions!$P$62=1,G7873&lt;Assumptions!$K$62),MIN(MAX(0,-G8089),MAX(0,Assumptions!$D$62-G7974)),0)</f>
        <v>0</v>
      </c>
      <c r="H7981" s="16" t="n">
        <f aca="false">IF(AND(Assumptions!$P$62=1,OR(H7873&lt;Assumptions!$K$62,G8224=1)),MIN(MAX(0,-H8089),MAX(0,Assumptions!$D$62-H7974)),0)</f>
        <v>0</v>
      </c>
      <c r="I7981" s="16" t="n">
        <f aca="false">IF(AND(Assumptions!$P$62=1,OR(I7873&lt;Assumptions!$K$62,H8224=1)),MIN(MAX(0,-I8089),MAX(0,Assumptions!$D$62-I7974)),0)</f>
        <v>0</v>
      </c>
      <c r="J7981" s="16" t="n">
        <f aca="false">IF(AND(Assumptions!$P$62=1,OR(J7873&lt;Assumptions!$K$62,I8224=1)),MIN(MAX(0,-J8089),MAX(0,Assumptions!$D$62-J7974)),0)</f>
        <v>0</v>
      </c>
      <c r="K7981" s="16" t="n">
        <f aca="false">IF(AND(Assumptions!$P$62=1,OR(K7873&lt;Assumptions!$K$62,J8224=1)),MIN(MAX(0,-K8089),MAX(0,Assumptions!$D$62-K7974)),0)</f>
        <v>0</v>
      </c>
    </row>
    <row r="7982" customFormat="false" ht="15" hidden="false" customHeight="false" outlineLevel="0" collapsed="false">
      <c r="A7982" s="3" t="s">
        <v>336</v>
      </c>
      <c r="G7982" s="16" t="n">
        <f aca="false">G7975*MIN(G7974-G7980+G7979,MAX(0,G8091-Assumptions!$C$12*G7907-G7917-G7930-G7943-G7956-G7969))</f>
        <v>0</v>
      </c>
      <c r="H7982" s="16" t="n">
        <f aca="false">H7975*MIN(H7974-H7980+H7979,MAX(0,H8091-Assumptions!$C$12*H7907-H7917-H7930-H7943-H7956-H7969))</f>
        <v>0</v>
      </c>
      <c r="I7982" s="16" t="n">
        <f aca="false">I7975*MIN(I7974-I7980+I7979,MAX(0,I8091-Assumptions!$C$12*I7907-I7917-I7930-I7943-I7956-I7969))</f>
        <v>0</v>
      </c>
      <c r="J7982" s="16" t="n">
        <f aca="false">J7975*MIN(J7974-J7980+J7979,MAX(0,J8091-Assumptions!$C$12*J7907-J7917-J7930-J7943-J7956-J7969))</f>
        <v>0</v>
      </c>
      <c r="K7982" s="16" t="n">
        <f aca="false">K7975*MIN(K7974-K7980+K7979,MAX(0,K8091-Assumptions!$C$12*K7907-K7917-K7930-K7943-K7956-K7969))</f>
        <v>0</v>
      </c>
    </row>
    <row r="7983" customFormat="false" ht="15" hidden="false" customHeight="false" outlineLevel="0" collapsed="false">
      <c r="A7983" s="3" t="s">
        <v>337</v>
      </c>
      <c r="G7983" s="16" t="n">
        <f aca="false">Assumptions!$N$62*MIN(G7974+G7981+G7979-G7980-G7982,MAX(0,G8095-G7918-G7931-G7944-G7957-G7970))</f>
        <v>0</v>
      </c>
      <c r="H7983" s="16" t="n">
        <f aca="false">Assumptions!$N$62*MIN(H7974+H7981+H7979-H7980-H7982,MAX(0,H8095-H7918-H7931-H7944-H7957-H7970))</f>
        <v>0</v>
      </c>
      <c r="I7983" s="16" t="n">
        <f aca="false">Assumptions!$N$62*MIN(I7974+I7981+I7979-I7980-I7982,MAX(0,I8095-I7918-I7931-I7944-I7957-I7970))</f>
        <v>0</v>
      </c>
      <c r="J7983" s="16" t="n">
        <f aca="false">Assumptions!$N$62*MIN(J7974+J7981+J7979-J7980-J7982,MAX(0,J8095-J7918-J7931-J7944-J7957-J7970))</f>
        <v>0</v>
      </c>
      <c r="K7983" s="16" t="n">
        <f aca="false">Assumptions!$N$62*MIN(K7974+K7981+K7979-K7980-K7982,MAX(0,K8095-K7918-K7931-K7944-K7957-K7970))</f>
        <v>0</v>
      </c>
    </row>
    <row r="7984" customFormat="false" ht="15" hidden="false" customHeight="false" outlineLevel="0" collapsed="false">
      <c r="A7984" s="3" t="s">
        <v>338</v>
      </c>
      <c r="G7984" s="16" t="n">
        <f aca="false">G7975*(1-G7907)*(G7974-G7980+G7979-G7982)</f>
        <v>0</v>
      </c>
      <c r="H7984" s="16" t="n">
        <f aca="false">H7975*(1-H7907)*(H7974-H7980+H7979-H7982)</f>
        <v>350</v>
      </c>
      <c r="I7984" s="16" t="n">
        <f aca="false">I7975*(1-I7907)*(I7974-I7980+I7979-I7982)</f>
        <v>0</v>
      </c>
      <c r="J7984" s="16" t="n">
        <f aca="false">J7975*(1-J7907)*(J7974-J7980+J7979-J7982)</f>
        <v>0</v>
      </c>
      <c r="K7984" s="16" t="n">
        <f aca="false">K7975*(1-K7907)*(K7974-K7980+K7979-K7982)</f>
        <v>0</v>
      </c>
    </row>
    <row r="7985" customFormat="false" ht="15" hidden="false" customHeight="false" outlineLevel="0" collapsed="false">
      <c r="A7985" s="2" t="s">
        <v>339</v>
      </c>
      <c r="F7985" s="28" t="n">
        <f aca="false">Assumptions!$C$62</f>
        <v>350</v>
      </c>
      <c r="G7985" s="17" t="n">
        <f aca="false">G7974+G7981+G7979-G7980-G7982-G7983</f>
        <v>350</v>
      </c>
      <c r="H7985" s="17" t="n">
        <f aca="false">H7974+H7981+H7979-H7980-H7982-H7983</f>
        <v>350</v>
      </c>
      <c r="I7985" s="17" t="n">
        <f aca="false">I7974+I7981+I7979-I7980-I7982-I7983</f>
        <v>350</v>
      </c>
      <c r="J7985" s="17" t="n">
        <f aca="false">J7974+J7981+J7979-J7980-J7982-J7983</f>
        <v>350</v>
      </c>
      <c r="K7985" s="17" t="n">
        <f aca="false">K7974+K7981+K7979-K7980-K7982-K7983</f>
        <v>350</v>
      </c>
    </row>
    <row r="7986" customFormat="false" ht="15" hidden="false" customHeight="false" outlineLevel="0" collapsed="false">
      <c r="A7986" s="24" t="s">
        <v>345</v>
      </c>
      <c r="B7986" s="25"/>
      <c r="C7986" s="25"/>
      <c r="D7986" s="25"/>
      <c r="E7986" s="25"/>
      <c r="F7986" s="25"/>
      <c r="G7986" s="25"/>
      <c r="H7986" s="25"/>
      <c r="I7986" s="25"/>
      <c r="J7986" s="25"/>
      <c r="K7986" s="25"/>
    </row>
    <row r="7987" customFormat="false" ht="15" hidden="false" customHeight="false" outlineLevel="0" collapsed="false">
      <c r="A7987" s="3" t="s">
        <v>329</v>
      </c>
      <c r="G7987" s="16" t="n">
        <f aca="false">F7998</f>
        <v>550</v>
      </c>
      <c r="H7987" s="16" t="n">
        <f aca="false">G7998</f>
        <v>550</v>
      </c>
      <c r="I7987" s="16" t="n">
        <f aca="false">H7998</f>
        <v>550</v>
      </c>
      <c r="J7987" s="16" t="n">
        <f aca="false">I7998</f>
        <v>550</v>
      </c>
      <c r="K7987" s="16" t="n">
        <f aca="false">J7998</f>
        <v>550</v>
      </c>
    </row>
    <row r="7988" customFormat="false" ht="15" hidden="false" customHeight="false" outlineLevel="0" collapsed="false">
      <c r="A7988" s="3" t="s">
        <v>330</v>
      </c>
      <c r="G7988" s="21" t="n">
        <f aca="false">IF(G7873=Assumptions!$K$63,1,0)</f>
        <v>0</v>
      </c>
      <c r="H7988" s="21" t="n">
        <f aca="false">IF(H7873=Assumptions!$K$63,1,0)</f>
        <v>0</v>
      </c>
      <c r="I7988" s="21" t="n">
        <f aca="false">IF(I7873=Assumptions!$K$63,1,0)</f>
        <v>1</v>
      </c>
      <c r="J7988" s="21" t="n">
        <f aca="false">IF(J7873=Assumptions!$K$63,1,0)</f>
        <v>0</v>
      </c>
      <c r="K7988" s="21" t="n">
        <f aca="false">IF(K7873=Assumptions!$K$63,1,0)</f>
        <v>0</v>
      </c>
    </row>
    <row r="7990" customFormat="false" ht="15" hidden="false" customHeight="false" outlineLevel="0" collapsed="false">
      <c r="A7990" s="3" t="s">
        <v>331</v>
      </c>
      <c r="G7990" s="31" t="n">
        <f aca="false">IF(Assumptions!$I$63=1,MAX(G7899,Assumptions!$G$63)+Assumptions!$F$63+$C$7900,Assumptions!$E$63)</f>
        <v>0.08875</v>
      </c>
      <c r="H7990" s="31" t="n">
        <f aca="false">IF(G8225=1,$C$7901,IF(Assumptions!$I$63=1,MAX(H7899,Assumptions!$G$63)+Assumptions!$F$63+$C$7900,Assumptions!$E$63))</f>
        <v>0.08875</v>
      </c>
      <c r="I7990" s="31" t="n">
        <f aca="false">IF(H8225=1,$C$7901,IF(Assumptions!$I$63=1,MAX(I7899,Assumptions!$G$63)+Assumptions!$F$63+$C$7900,Assumptions!$E$63))</f>
        <v>0.08875</v>
      </c>
      <c r="J7990" s="31" t="n">
        <f aca="false">IF(I8225=1,$C$7901,IF(Assumptions!$I$63=1,MAX(J7899,Assumptions!$G$63)+Assumptions!$F$63+$C$7900,Assumptions!$E$63))</f>
        <v>0.08875</v>
      </c>
      <c r="K7990" s="31" t="n">
        <f aca="false">IF(J8225=1,$C$7901,IF(Assumptions!$I$63=1,MAX(K7899,Assumptions!$G$63)+Assumptions!$F$63+$C$7900,Assumptions!$E$63))</f>
        <v>0.08875</v>
      </c>
    </row>
    <row r="7991" customFormat="false" ht="15" hidden="false" customHeight="false" outlineLevel="0" collapsed="false">
      <c r="A7991" s="3" t="s">
        <v>332</v>
      </c>
      <c r="G7991" s="16" t="n">
        <f aca="false">G7987*G7990</f>
        <v>48.8125</v>
      </c>
      <c r="H7991" s="16" t="n">
        <f aca="false">H7987*H7990</f>
        <v>48.8125</v>
      </c>
      <c r="I7991" s="16" t="n">
        <f aca="false">I7987*I7990</f>
        <v>48.8125</v>
      </c>
      <c r="J7991" s="16" t="n">
        <f aca="false">J7987*J7990</f>
        <v>48.8125</v>
      </c>
      <c r="K7991" s="16" t="n">
        <f aca="false">K7987*K7990</f>
        <v>48.8125</v>
      </c>
    </row>
    <row r="7992" customFormat="false" ht="15" hidden="false" customHeight="false" outlineLevel="0" collapsed="false">
      <c r="A7992" s="3" t="s">
        <v>333</v>
      </c>
      <c r="G7992" s="16" t="n">
        <f aca="false">G7987*Assumptions!$H$63</f>
        <v>0</v>
      </c>
      <c r="H7992" s="16" t="n">
        <f aca="false">H7987*Assumptions!$H$63</f>
        <v>0</v>
      </c>
      <c r="I7992" s="16" t="n">
        <f aca="false">I7987*Assumptions!$H$63</f>
        <v>0</v>
      </c>
      <c r="J7992" s="16" t="n">
        <f aca="false">J7987*Assumptions!$H$63</f>
        <v>0</v>
      </c>
      <c r="K7992" s="16" t="n">
        <f aca="false">K7987*Assumptions!$H$63</f>
        <v>0</v>
      </c>
    </row>
    <row r="7993" customFormat="false" ht="15" hidden="false" customHeight="false" outlineLevel="0" collapsed="false">
      <c r="A7993" s="3" t="s">
        <v>334</v>
      </c>
      <c r="G7993" s="16" t="n">
        <f aca="false">MIN(G7987,Assumptions!$L$63*Assumptions!$C$63)</f>
        <v>0</v>
      </c>
      <c r="H7993" s="16" t="n">
        <f aca="false">MIN(H7987,Assumptions!$L$63*Assumptions!$C$63)</f>
        <v>0</v>
      </c>
      <c r="I7993" s="16" t="n">
        <f aca="false">MIN(I7987,Assumptions!$L$63*Assumptions!$C$63)</f>
        <v>0</v>
      </c>
      <c r="J7993" s="16" t="n">
        <f aca="false">MIN(J7987,Assumptions!$L$63*Assumptions!$C$63)</f>
        <v>0</v>
      </c>
      <c r="K7993" s="16" t="n">
        <f aca="false">MIN(K7987,Assumptions!$L$63*Assumptions!$C$63)</f>
        <v>0</v>
      </c>
    </row>
    <row r="7994" customFormat="false" ht="15" hidden="false" customHeight="false" outlineLevel="0" collapsed="false">
      <c r="A7994" s="3" t="s">
        <v>335</v>
      </c>
      <c r="G7994" s="16" t="n">
        <f aca="false">IF(AND(Assumptions!$P$63=1,G7873&lt;Assumptions!$K$63),MIN(MAX(0,-G8089),MAX(0,Assumptions!$D$63-G7987)),0)</f>
        <v>0</v>
      </c>
      <c r="H7994" s="16" t="n">
        <f aca="false">IF(AND(Assumptions!$P$63=1,OR(H7873&lt;Assumptions!$K$63,G8225=1)),MIN(MAX(0,-H8089),MAX(0,Assumptions!$D$63-H7987)),0)</f>
        <v>0</v>
      </c>
      <c r="I7994" s="16" t="n">
        <f aca="false">IF(AND(Assumptions!$P$63=1,OR(I7873&lt;Assumptions!$K$63,H8225=1)),MIN(MAX(0,-I8089),MAX(0,Assumptions!$D$63-I7987)),0)</f>
        <v>0</v>
      </c>
      <c r="J7994" s="16" t="n">
        <f aca="false">IF(AND(Assumptions!$P$63=1,OR(J7873&lt;Assumptions!$K$63,I8225=1)),MIN(MAX(0,-J8089),MAX(0,Assumptions!$D$63-J7987)),0)</f>
        <v>0</v>
      </c>
      <c r="K7994" s="16" t="n">
        <f aca="false">IF(AND(Assumptions!$P$63=1,OR(K7873&lt;Assumptions!$K$63,J8225=1)),MIN(MAX(0,-K8089),MAX(0,Assumptions!$D$63-K7987)),0)</f>
        <v>0</v>
      </c>
    </row>
    <row r="7995" customFormat="false" ht="15" hidden="false" customHeight="false" outlineLevel="0" collapsed="false">
      <c r="A7995" s="3" t="s">
        <v>336</v>
      </c>
      <c r="G7995" s="16" t="n">
        <f aca="false">G7988*MIN(G7987-G7993+G7992,MAX(0,G8091-Assumptions!$C$12*G7907-G7917-G7930-G7943-G7956-G7969-G7982))</f>
        <v>0</v>
      </c>
      <c r="H7995" s="16" t="n">
        <f aca="false">H7988*MIN(H7987-H7993+H7992,MAX(0,H8091-Assumptions!$C$12*H7907-H7917-H7930-H7943-H7956-H7969-H7982))</f>
        <v>0</v>
      </c>
      <c r="I7995" s="16" t="n">
        <f aca="false">I7988*MIN(I7987-I7993+I7992,MAX(0,I8091-Assumptions!$C$12*I7907-I7917-I7930-I7943-I7956-I7969-I7982))</f>
        <v>0</v>
      </c>
      <c r="J7995" s="16" t="n">
        <f aca="false">J7988*MIN(J7987-J7993+J7992,MAX(0,J8091-Assumptions!$C$12*J7907-J7917-J7930-J7943-J7956-J7969-J7982))</f>
        <v>0</v>
      </c>
      <c r="K7995" s="16" t="n">
        <f aca="false">K7988*MIN(K7987-K7993+K7992,MAX(0,K8091-Assumptions!$C$12*K7907-K7917-K7930-K7943-K7956-K7969-K7982))</f>
        <v>0</v>
      </c>
    </row>
    <row r="7996" customFormat="false" ht="15" hidden="false" customHeight="false" outlineLevel="0" collapsed="false">
      <c r="A7996" s="3" t="s">
        <v>337</v>
      </c>
      <c r="G7996" s="16" t="n">
        <f aca="false">Assumptions!$N$63*MIN(G7987+G7994+G7992-G7993-G7995,MAX(0,G8095-G7918-G7931-G7944-G7957-G7970-G7983))</f>
        <v>0</v>
      </c>
      <c r="H7996" s="16" t="n">
        <f aca="false">Assumptions!$N$63*MIN(H7987+H7994+H7992-H7993-H7995,MAX(0,H8095-H7918-H7931-H7944-H7957-H7970-H7983))</f>
        <v>0</v>
      </c>
      <c r="I7996" s="16" t="n">
        <f aca="false">Assumptions!$N$63*MIN(I7987+I7994+I7992-I7993-I7995,MAX(0,I8095-I7918-I7931-I7944-I7957-I7970-I7983))</f>
        <v>0</v>
      </c>
      <c r="J7996" s="16" t="n">
        <f aca="false">Assumptions!$N$63*MIN(J7987+J7994+J7992-J7993-J7995,MAX(0,J8095-J7918-J7931-J7944-J7957-J7970-J7983))</f>
        <v>0</v>
      </c>
      <c r="K7996" s="16" t="n">
        <f aca="false">Assumptions!$N$63*MIN(K7987+K7994+K7992-K7993-K7995,MAX(0,K8095-K7918-K7931-K7944-K7957-K7970-K7983))</f>
        <v>0</v>
      </c>
    </row>
    <row r="7997" customFormat="false" ht="15" hidden="false" customHeight="false" outlineLevel="0" collapsed="false">
      <c r="A7997" s="3" t="s">
        <v>338</v>
      </c>
      <c r="G7997" s="16" t="n">
        <f aca="false">G7988*(1-G7907)*(G7987-G7993+G7992-G7995)</f>
        <v>0</v>
      </c>
      <c r="H7997" s="16" t="n">
        <f aca="false">H7988*(1-H7907)*(H7987-H7993+H7992-H7995)</f>
        <v>0</v>
      </c>
      <c r="I7997" s="16" t="n">
        <f aca="false">I7988*(1-I7907)*(I7987-I7993+I7992-I7995)</f>
        <v>550</v>
      </c>
      <c r="J7997" s="16" t="n">
        <f aca="false">J7988*(1-J7907)*(J7987-J7993+J7992-J7995)</f>
        <v>0</v>
      </c>
      <c r="K7997" s="16" t="n">
        <f aca="false">K7988*(1-K7907)*(K7987-K7993+K7992-K7995)</f>
        <v>0</v>
      </c>
    </row>
    <row r="7998" customFormat="false" ht="15" hidden="false" customHeight="false" outlineLevel="0" collapsed="false">
      <c r="A7998" s="2" t="s">
        <v>339</v>
      </c>
      <c r="F7998" s="28" t="n">
        <f aca="false">Assumptions!$C$63</f>
        <v>550</v>
      </c>
      <c r="G7998" s="17" t="n">
        <f aca="false">G7987+G7994+G7992-G7993-G7995-G7996</f>
        <v>550</v>
      </c>
      <c r="H7998" s="17" t="n">
        <f aca="false">H7987+H7994+H7992-H7993-H7995-H7996</f>
        <v>550</v>
      </c>
      <c r="I7998" s="17" t="n">
        <f aca="false">I7987+I7994+I7992-I7993-I7995-I7996</f>
        <v>550</v>
      </c>
      <c r="J7998" s="17" t="n">
        <f aca="false">J7987+J7994+J7992-J7993-J7995-J7996</f>
        <v>550</v>
      </c>
      <c r="K7998" s="17" t="n">
        <f aca="false">K7987+K7994+K7992-K7993-K7995-K7996</f>
        <v>550</v>
      </c>
    </row>
    <row r="7999" customFormat="false" ht="15" hidden="false" customHeight="false" outlineLevel="0" collapsed="false">
      <c r="A7999" s="24" t="s">
        <v>346</v>
      </c>
      <c r="B7999" s="25"/>
      <c r="C7999" s="25"/>
      <c r="D7999" s="25"/>
      <c r="E7999" s="25"/>
      <c r="F7999" s="25"/>
      <c r="G7999" s="25"/>
      <c r="H7999" s="25"/>
      <c r="I7999" s="25"/>
      <c r="J7999" s="25"/>
      <c r="K7999" s="25"/>
    </row>
    <row r="8000" customFormat="false" ht="15" hidden="false" customHeight="false" outlineLevel="0" collapsed="false">
      <c r="A8000" s="3" t="s">
        <v>329</v>
      </c>
      <c r="G8000" s="16" t="n">
        <f aca="false">F8011</f>
        <v>350</v>
      </c>
      <c r="H8000" s="16" t="n">
        <f aca="false">G8011</f>
        <v>350</v>
      </c>
      <c r="I8000" s="16" t="n">
        <f aca="false">H8011</f>
        <v>350</v>
      </c>
      <c r="J8000" s="16" t="n">
        <f aca="false">I8011</f>
        <v>350</v>
      </c>
      <c r="K8000" s="16" t="n">
        <f aca="false">J8011</f>
        <v>350</v>
      </c>
    </row>
    <row r="8001" customFormat="false" ht="15" hidden="false" customHeight="false" outlineLevel="0" collapsed="false">
      <c r="A8001" s="3" t="s">
        <v>330</v>
      </c>
      <c r="G8001" s="21" t="n">
        <f aca="false">IF(G7873=Assumptions!$K$64,1,0)</f>
        <v>0</v>
      </c>
      <c r="H8001" s="21" t="n">
        <f aca="false">IF(H7873=Assumptions!$K$64,1,0)</f>
        <v>0</v>
      </c>
      <c r="I8001" s="21" t="n">
        <f aca="false">IF(I7873=Assumptions!$K$64,1,0)</f>
        <v>0</v>
      </c>
      <c r="J8001" s="21" t="n">
        <f aca="false">IF(J7873=Assumptions!$K$64,1,0)</f>
        <v>1</v>
      </c>
      <c r="K8001" s="21" t="n">
        <f aca="false">IF(K7873=Assumptions!$K$64,1,0)</f>
        <v>0</v>
      </c>
    </row>
    <row r="8003" customFormat="false" ht="15" hidden="false" customHeight="false" outlineLevel="0" collapsed="false">
      <c r="A8003" s="3" t="s">
        <v>331</v>
      </c>
      <c r="G8003" s="31" t="n">
        <f aca="false">IF(Assumptions!$I$64=1,MAX(G7899,Assumptions!$G$64)+Assumptions!$F$64+$C$7900,Assumptions!$E$64)</f>
        <v>0.0455</v>
      </c>
      <c r="H8003" s="31" t="n">
        <f aca="false">IF(G8226=1,$C$7901,IF(Assumptions!$I$64=1,MAX(H7899,Assumptions!$G$64)+Assumptions!$F$64+$C$7900,Assumptions!$E$64))</f>
        <v>0.0455</v>
      </c>
      <c r="I8003" s="31" t="n">
        <f aca="false">IF(H8226=1,$C$7901,IF(Assumptions!$I$64=1,MAX(I7899,Assumptions!$G$64)+Assumptions!$F$64+$C$7900,Assumptions!$E$64))</f>
        <v>0.0455</v>
      </c>
      <c r="J8003" s="31" t="n">
        <f aca="false">IF(I8226=1,$C$7901,IF(Assumptions!$I$64=1,MAX(J7899,Assumptions!$G$64)+Assumptions!$F$64+$C$7900,Assumptions!$E$64))</f>
        <v>0.0455</v>
      </c>
      <c r="K8003" s="31" t="n">
        <f aca="false">IF(J8226=1,$C$7901,IF(Assumptions!$I$64=1,MAX(K7899,Assumptions!$G$64)+Assumptions!$F$64+$C$7900,Assumptions!$E$64))</f>
        <v>0.0455</v>
      </c>
    </row>
    <row r="8004" customFormat="false" ht="15" hidden="false" customHeight="false" outlineLevel="0" collapsed="false">
      <c r="A8004" s="3" t="s">
        <v>332</v>
      </c>
      <c r="G8004" s="16" t="n">
        <f aca="false">G8000*G8003</f>
        <v>15.925</v>
      </c>
      <c r="H8004" s="16" t="n">
        <f aca="false">H8000*H8003</f>
        <v>15.925</v>
      </c>
      <c r="I8004" s="16" t="n">
        <f aca="false">I8000*I8003</f>
        <v>15.925</v>
      </c>
      <c r="J8004" s="16" t="n">
        <f aca="false">J8000*J8003</f>
        <v>15.925</v>
      </c>
      <c r="K8004" s="16" t="n">
        <f aca="false">K8000*K8003</f>
        <v>15.925</v>
      </c>
    </row>
    <row r="8005" customFormat="false" ht="15" hidden="false" customHeight="false" outlineLevel="0" collapsed="false">
      <c r="A8005" s="3" t="s">
        <v>333</v>
      </c>
      <c r="G8005" s="16" t="n">
        <f aca="false">G8000*Assumptions!$H$64</f>
        <v>0</v>
      </c>
      <c r="H8005" s="16" t="n">
        <f aca="false">H8000*Assumptions!$H$64</f>
        <v>0</v>
      </c>
      <c r="I8005" s="16" t="n">
        <f aca="false">I8000*Assumptions!$H$64</f>
        <v>0</v>
      </c>
      <c r="J8005" s="16" t="n">
        <f aca="false">J8000*Assumptions!$H$64</f>
        <v>0</v>
      </c>
      <c r="K8005" s="16" t="n">
        <f aca="false">K8000*Assumptions!$H$64</f>
        <v>0</v>
      </c>
    </row>
    <row r="8006" customFormat="false" ht="15" hidden="false" customHeight="false" outlineLevel="0" collapsed="false">
      <c r="A8006" s="3" t="s">
        <v>334</v>
      </c>
      <c r="G8006" s="16" t="n">
        <f aca="false">MIN(G8000,Assumptions!$L$64*Assumptions!$C$64)</f>
        <v>0</v>
      </c>
      <c r="H8006" s="16" t="n">
        <f aca="false">MIN(H8000,Assumptions!$L$64*Assumptions!$C$64)</f>
        <v>0</v>
      </c>
      <c r="I8006" s="16" t="n">
        <f aca="false">MIN(I8000,Assumptions!$L$64*Assumptions!$C$64)</f>
        <v>0</v>
      </c>
      <c r="J8006" s="16" t="n">
        <f aca="false">MIN(J8000,Assumptions!$L$64*Assumptions!$C$64)</f>
        <v>0</v>
      </c>
      <c r="K8006" s="16" t="n">
        <f aca="false">MIN(K8000,Assumptions!$L$64*Assumptions!$C$64)</f>
        <v>0</v>
      </c>
    </row>
    <row r="8007" customFormat="false" ht="15" hidden="false" customHeight="false" outlineLevel="0" collapsed="false">
      <c r="A8007" s="3" t="s">
        <v>335</v>
      </c>
      <c r="G8007" s="16" t="n">
        <f aca="false">IF(AND(Assumptions!$P$64=1,G7873&lt;Assumptions!$K$64),MIN(MAX(0,-G8089),MAX(0,Assumptions!$D$64-G8000)),0)</f>
        <v>0</v>
      </c>
      <c r="H8007" s="16" t="n">
        <f aca="false">IF(AND(Assumptions!$P$64=1,OR(H7873&lt;Assumptions!$K$64,G8226=1)),MIN(MAX(0,-H8089),MAX(0,Assumptions!$D$64-H8000)),0)</f>
        <v>0</v>
      </c>
      <c r="I8007" s="16" t="n">
        <f aca="false">IF(AND(Assumptions!$P$64=1,OR(I7873&lt;Assumptions!$K$64,H8226=1)),MIN(MAX(0,-I8089),MAX(0,Assumptions!$D$64-I8000)),0)</f>
        <v>0</v>
      </c>
      <c r="J8007" s="16" t="n">
        <f aca="false">IF(AND(Assumptions!$P$64=1,OR(J7873&lt;Assumptions!$K$64,I8226=1)),MIN(MAX(0,-J8089),MAX(0,Assumptions!$D$64-J8000)),0)</f>
        <v>0</v>
      </c>
      <c r="K8007" s="16" t="n">
        <f aca="false">IF(AND(Assumptions!$P$64=1,OR(K7873&lt;Assumptions!$K$64,J8226=1)),MIN(MAX(0,-K8089),MAX(0,Assumptions!$D$64-K8000)),0)</f>
        <v>0</v>
      </c>
    </row>
    <row r="8008" customFormat="false" ht="15" hidden="false" customHeight="false" outlineLevel="0" collapsed="false">
      <c r="A8008" s="3" t="s">
        <v>336</v>
      </c>
      <c r="G8008" s="16" t="n">
        <f aca="false">G8001*MIN(G8000-G8006+G8005,MAX(0,G8091-Assumptions!$C$12*G7907-G7917-G7930-G7943-G7956-G7969-G7982-G7995))</f>
        <v>0</v>
      </c>
      <c r="H8008" s="16" t="n">
        <f aca="false">H8001*MIN(H8000-H8006+H8005,MAX(0,H8091-Assumptions!$C$12*H7907-H7917-H7930-H7943-H7956-H7969-H7982-H7995))</f>
        <v>0</v>
      </c>
      <c r="I8008" s="16" t="n">
        <f aca="false">I8001*MIN(I8000-I8006+I8005,MAX(0,I8091-Assumptions!$C$12*I7907-I7917-I7930-I7943-I7956-I7969-I7982-I7995))</f>
        <v>0</v>
      </c>
      <c r="J8008" s="16" t="n">
        <f aca="false">J8001*MIN(J8000-J8006+J8005,MAX(0,J8091-Assumptions!$C$12*J7907-J7917-J7930-J7943-J7956-J7969-J7982-J7995))</f>
        <v>0</v>
      </c>
      <c r="K8008" s="16" t="n">
        <f aca="false">K8001*MIN(K8000-K8006+K8005,MAX(0,K8091-Assumptions!$C$12*K7907-K7917-K7930-K7943-K7956-K7969-K7982-K7995))</f>
        <v>0</v>
      </c>
    </row>
    <row r="8009" customFormat="false" ht="15" hidden="false" customHeight="false" outlineLevel="0" collapsed="false">
      <c r="A8009" s="3" t="s">
        <v>337</v>
      </c>
      <c r="G8009" s="16" t="n">
        <f aca="false">Assumptions!$N$64*MIN(G8000+G8007+G8005-G8006-G8008,MAX(0,G8095-G7918-G7931-G7944-G7957-G7970-G7983-G7996))</f>
        <v>0</v>
      </c>
      <c r="H8009" s="16" t="n">
        <f aca="false">Assumptions!$N$64*MIN(H8000+H8007+H8005-H8006-H8008,MAX(0,H8095-H7918-H7931-H7944-H7957-H7970-H7983-H7996))</f>
        <v>0</v>
      </c>
      <c r="I8009" s="16" t="n">
        <f aca="false">Assumptions!$N$64*MIN(I8000+I8007+I8005-I8006-I8008,MAX(0,I8095-I7918-I7931-I7944-I7957-I7970-I7983-I7996))</f>
        <v>0</v>
      </c>
      <c r="J8009" s="16" t="n">
        <f aca="false">Assumptions!$N$64*MIN(J8000+J8007+J8005-J8006-J8008,MAX(0,J8095-J7918-J7931-J7944-J7957-J7970-J7983-J7996))</f>
        <v>0</v>
      </c>
      <c r="K8009" s="16" t="n">
        <f aca="false">Assumptions!$N$64*MIN(K8000+K8007+K8005-K8006-K8008,MAX(0,K8095-K7918-K7931-K7944-K7957-K7970-K7983-K7996))</f>
        <v>0</v>
      </c>
    </row>
    <row r="8010" customFormat="false" ht="15" hidden="false" customHeight="false" outlineLevel="0" collapsed="false">
      <c r="A8010" s="3" t="s">
        <v>338</v>
      </c>
      <c r="G8010" s="16" t="n">
        <f aca="false">G8001*(1-G7907)*(G8000-G8006+G8005-G8008)</f>
        <v>0</v>
      </c>
      <c r="H8010" s="16" t="n">
        <f aca="false">H8001*(1-H7907)*(H8000-H8006+H8005-H8008)</f>
        <v>0</v>
      </c>
      <c r="I8010" s="16" t="n">
        <f aca="false">I8001*(1-I7907)*(I8000-I8006+I8005-I8008)</f>
        <v>0</v>
      </c>
      <c r="J8010" s="16" t="n">
        <f aca="false">J8001*(1-J7907)*(J8000-J8006+J8005-J8008)</f>
        <v>350</v>
      </c>
      <c r="K8010" s="16" t="n">
        <f aca="false">K8001*(1-K7907)*(K8000-K8006+K8005-K8008)</f>
        <v>0</v>
      </c>
    </row>
    <row r="8011" customFormat="false" ht="15" hidden="false" customHeight="false" outlineLevel="0" collapsed="false">
      <c r="A8011" s="2" t="s">
        <v>339</v>
      </c>
      <c r="F8011" s="28" t="n">
        <f aca="false">Assumptions!$C$64</f>
        <v>350</v>
      </c>
      <c r="G8011" s="17" t="n">
        <f aca="false">G8000+G8007+G8005-G8006-G8008-G8009</f>
        <v>350</v>
      </c>
      <c r="H8011" s="17" t="n">
        <f aca="false">H8000+H8007+H8005-H8006-H8008-H8009</f>
        <v>350</v>
      </c>
      <c r="I8011" s="17" t="n">
        <f aca="false">I8000+I8007+I8005-I8006-I8008-I8009</f>
        <v>350</v>
      </c>
      <c r="J8011" s="17" t="n">
        <f aca="false">J8000+J8007+J8005-J8006-J8008-J8009</f>
        <v>350</v>
      </c>
      <c r="K8011" s="17" t="n">
        <f aca="false">K8000+K8007+K8005-K8006-K8008-K8009</f>
        <v>350</v>
      </c>
    </row>
    <row r="8012" customFormat="false" ht="15" hidden="false" customHeight="false" outlineLevel="0" collapsed="false">
      <c r="A8012" s="24" t="s">
        <v>347</v>
      </c>
      <c r="B8012" s="25"/>
      <c r="C8012" s="25"/>
      <c r="D8012" s="25"/>
      <c r="E8012" s="25"/>
      <c r="F8012" s="25"/>
      <c r="G8012" s="25"/>
      <c r="H8012" s="25"/>
      <c r="I8012" s="25"/>
      <c r="J8012" s="25"/>
      <c r="K8012" s="25"/>
    </row>
    <row r="8013" customFormat="false" ht="15" hidden="false" customHeight="false" outlineLevel="0" collapsed="false">
      <c r="A8013" s="3" t="s">
        <v>329</v>
      </c>
      <c r="G8013" s="16" t="n">
        <f aca="false">F8024</f>
        <v>300</v>
      </c>
      <c r="H8013" s="16" t="n">
        <f aca="false">G8024</f>
        <v>300</v>
      </c>
      <c r="I8013" s="16" t="n">
        <f aca="false">H8024</f>
        <v>300</v>
      </c>
      <c r="J8013" s="16" t="n">
        <f aca="false">I8024</f>
        <v>300</v>
      </c>
      <c r="K8013" s="16" t="n">
        <f aca="false">J8024</f>
        <v>300</v>
      </c>
    </row>
    <row r="8014" customFormat="false" ht="15" hidden="false" customHeight="false" outlineLevel="0" collapsed="false">
      <c r="A8014" s="3" t="s">
        <v>330</v>
      </c>
      <c r="G8014" s="21" t="n">
        <f aca="false">IF(G7873=Assumptions!$K$65,1,0)</f>
        <v>0</v>
      </c>
      <c r="H8014" s="21" t="n">
        <f aca="false">IF(H7873=Assumptions!$K$65,1,0)</f>
        <v>0</v>
      </c>
      <c r="I8014" s="21" t="n">
        <f aca="false">IF(I7873=Assumptions!$K$65,1,0)</f>
        <v>0</v>
      </c>
      <c r="J8014" s="21" t="n">
        <f aca="false">IF(J7873=Assumptions!$K$65,1,0)</f>
        <v>0</v>
      </c>
      <c r="K8014" s="21" t="n">
        <f aca="false">IF(K7873=Assumptions!$K$65,1,0)</f>
        <v>1</v>
      </c>
    </row>
    <row r="8016" customFormat="false" ht="15" hidden="false" customHeight="false" outlineLevel="0" collapsed="false">
      <c r="A8016" s="3" t="s">
        <v>331</v>
      </c>
      <c r="G8016" s="31" t="n">
        <f aca="false">IF(Assumptions!$I$65=1,MAX(G7899,Assumptions!$G$65)+Assumptions!$F$65+$C$7900,Assumptions!$E$65)</f>
        <v>0.06125</v>
      </c>
      <c r="H8016" s="31" t="n">
        <f aca="false">IF(G8227=1,$C$7901,IF(Assumptions!$I$65=1,MAX(H7899,Assumptions!$G$65)+Assumptions!$F$65+$C$7900,Assumptions!$E$65))</f>
        <v>0.06125</v>
      </c>
      <c r="I8016" s="31" t="n">
        <f aca="false">IF(H8227=1,$C$7901,IF(Assumptions!$I$65=1,MAX(I7899,Assumptions!$G$65)+Assumptions!$F$65+$C$7900,Assumptions!$E$65))</f>
        <v>0.06125</v>
      </c>
      <c r="J8016" s="31" t="n">
        <f aca="false">IF(I8227=1,$C$7901,IF(Assumptions!$I$65=1,MAX(J7899,Assumptions!$G$65)+Assumptions!$F$65+$C$7900,Assumptions!$E$65))</f>
        <v>0.06125</v>
      </c>
      <c r="K8016" s="31" t="n">
        <f aca="false">IF(J8227=1,$C$7901,IF(Assumptions!$I$65=1,MAX(K7899,Assumptions!$G$65)+Assumptions!$F$65+$C$7900,Assumptions!$E$65))</f>
        <v>0.06125</v>
      </c>
    </row>
    <row r="8017" customFormat="false" ht="15" hidden="false" customHeight="false" outlineLevel="0" collapsed="false">
      <c r="A8017" s="3" t="s">
        <v>332</v>
      </c>
      <c r="G8017" s="16" t="n">
        <f aca="false">G8013*G8016</f>
        <v>18.375</v>
      </c>
      <c r="H8017" s="16" t="n">
        <f aca="false">H8013*H8016</f>
        <v>18.375</v>
      </c>
      <c r="I8017" s="16" t="n">
        <f aca="false">I8013*I8016</f>
        <v>18.375</v>
      </c>
      <c r="J8017" s="16" t="n">
        <f aca="false">J8013*J8016</f>
        <v>18.375</v>
      </c>
      <c r="K8017" s="16" t="n">
        <f aca="false">K8013*K8016</f>
        <v>18.375</v>
      </c>
    </row>
    <row r="8018" customFormat="false" ht="15" hidden="false" customHeight="false" outlineLevel="0" collapsed="false">
      <c r="A8018" s="3" t="s">
        <v>333</v>
      </c>
      <c r="G8018" s="16" t="n">
        <f aca="false">G8013*Assumptions!$H$65</f>
        <v>0</v>
      </c>
      <c r="H8018" s="16" t="n">
        <f aca="false">H8013*Assumptions!$H$65</f>
        <v>0</v>
      </c>
      <c r="I8018" s="16" t="n">
        <f aca="false">I8013*Assumptions!$H$65</f>
        <v>0</v>
      </c>
      <c r="J8018" s="16" t="n">
        <f aca="false">J8013*Assumptions!$H$65</f>
        <v>0</v>
      </c>
      <c r="K8018" s="16" t="n">
        <f aca="false">K8013*Assumptions!$H$65</f>
        <v>0</v>
      </c>
    </row>
    <row r="8019" customFormat="false" ht="15" hidden="false" customHeight="false" outlineLevel="0" collapsed="false">
      <c r="A8019" s="3" t="s">
        <v>334</v>
      </c>
      <c r="G8019" s="16" t="n">
        <f aca="false">MIN(G8013,Assumptions!$L$65*Assumptions!$C$65)</f>
        <v>0</v>
      </c>
      <c r="H8019" s="16" t="n">
        <f aca="false">MIN(H8013,Assumptions!$L$65*Assumptions!$C$65)</f>
        <v>0</v>
      </c>
      <c r="I8019" s="16" t="n">
        <f aca="false">MIN(I8013,Assumptions!$L$65*Assumptions!$C$65)</f>
        <v>0</v>
      </c>
      <c r="J8019" s="16" t="n">
        <f aca="false">MIN(J8013,Assumptions!$L$65*Assumptions!$C$65)</f>
        <v>0</v>
      </c>
      <c r="K8019" s="16" t="n">
        <f aca="false">MIN(K8013,Assumptions!$L$65*Assumptions!$C$65)</f>
        <v>0</v>
      </c>
    </row>
    <row r="8020" customFormat="false" ht="15" hidden="false" customHeight="false" outlineLevel="0" collapsed="false">
      <c r="A8020" s="3" t="s">
        <v>335</v>
      </c>
      <c r="G8020" s="16" t="n">
        <f aca="false">IF(AND(Assumptions!$P$65=1,G7873&lt;Assumptions!$K$65),MIN(MAX(0,-G8089),MAX(0,Assumptions!$D$65-G8013)),0)</f>
        <v>0</v>
      </c>
      <c r="H8020" s="16" t="n">
        <f aca="false">IF(AND(Assumptions!$P$65=1,OR(H7873&lt;Assumptions!$K$65,G8227=1)),MIN(MAX(0,-H8089),MAX(0,Assumptions!$D$65-H8013)),0)</f>
        <v>0</v>
      </c>
      <c r="I8020" s="16" t="n">
        <f aca="false">IF(AND(Assumptions!$P$65=1,OR(I7873&lt;Assumptions!$K$65,H8227=1)),MIN(MAX(0,-I8089),MAX(0,Assumptions!$D$65-I8013)),0)</f>
        <v>0</v>
      </c>
      <c r="J8020" s="16" t="n">
        <f aca="false">IF(AND(Assumptions!$P$65=1,OR(J7873&lt;Assumptions!$K$65,I8227=1)),MIN(MAX(0,-J8089),MAX(0,Assumptions!$D$65-J8013)),0)</f>
        <v>0</v>
      </c>
      <c r="K8020" s="16" t="n">
        <f aca="false">IF(AND(Assumptions!$P$65=1,OR(K7873&lt;Assumptions!$K$65,J8227=1)),MIN(MAX(0,-K8089),MAX(0,Assumptions!$D$65-K8013)),0)</f>
        <v>0</v>
      </c>
    </row>
    <row r="8021" customFormat="false" ht="15" hidden="false" customHeight="false" outlineLevel="0" collapsed="false">
      <c r="A8021" s="3" t="s">
        <v>336</v>
      </c>
      <c r="G8021" s="16" t="n">
        <f aca="false">G8014*MIN(G8013-G8019+G8018,MAX(0,G8091-Assumptions!$C$12*G7907-G7917-G7930-G7943-G7956-G7969-G7982-G7995-G8008))</f>
        <v>0</v>
      </c>
      <c r="H8021" s="16" t="n">
        <f aca="false">H8014*MIN(H8013-H8019+H8018,MAX(0,H8091-Assumptions!$C$12*H7907-H7917-H7930-H7943-H7956-H7969-H7982-H7995-H8008))</f>
        <v>0</v>
      </c>
      <c r="I8021" s="16" t="n">
        <f aca="false">I8014*MIN(I8013-I8019+I8018,MAX(0,I8091-Assumptions!$C$12*I7907-I7917-I7930-I7943-I7956-I7969-I7982-I7995-I8008))</f>
        <v>0</v>
      </c>
      <c r="J8021" s="16" t="n">
        <f aca="false">J8014*MIN(J8013-J8019+J8018,MAX(0,J8091-Assumptions!$C$12*J7907-J7917-J7930-J7943-J7956-J7969-J7982-J7995-J8008))</f>
        <v>0</v>
      </c>
      <c r="K8021" s="16" t="n">
        <f aca="false">K8014*MIN(K8013-K8019+K8018,MAX(0,K8091-Assumptions!$C$12*K7907-K7917-K7930-K7943-K7956-K7969-K7982-K7995-K8008))</f>
        <v>0</v>
      </c>
    </row>
    <row r="8022" customFormat="false" ht="15" hidden="false" customHeight="false" outlineLevel="0" collapsed="false">
      <c r="A8022" s="3" t="s">
        <v>337</v>
      </c>
      <c r="G8022" s="16" t="n">
        <f aca="false">Assumptions!$N$65*MIN(G8013+G8020+G8018-G8019-G8021,MAX(0,G8095-G7918-G7931-G7944-G7957-G7970-G7983-G7996-G8009))</f>
        <v>0</v>
      </c>
      <c r="H8022" s="16" t="n">
        <f aca="false">Assumptions!$N$65*MIN(H8013+H8020+H8018-H8019-H8021,MAX(0,H8095-H7918-H7931-H7944-H7957-H7970-H7983-H7996-H8009))</f>
        <v>0</v>
      </c>
      <c r="I8022" s="16" t="n">
        <f aca="false">Assumptions!$N$65*MIN(I8013+I8020+I8018-I8019-I8021,MAX(0,I8095-I7918-I7931-I7944-I7957-I7970-I7983-I7996-I8009))</f>
        <v>0</v>
      </c>
      <c r="J8022" s="16" t="n">
        <f aca="false">Assumptions!$N$65*MIN(J8013+J8020+J8018-J8019-J8021,MAX(0,J8095-J7918-J7931-J7944-J7957-J7970-J7983-J7996-J8009))</f>
        <v>0</v>
      </c>
      <c r="K8022" s="16" t="n">
        <f aca="false">Assumptions!$N$65*MIN(K8013+K8020+K8018-K8019-K8021,MAX(0,K8095-K7918-K7931-K7944-K7957-K7970-K7983-K7996-K8009))</f>
        <v>0</v>
      </c>
    </row>
    <row r="8023" customFormat="false" ht="15" hidden="false" customHeight="false" outlineLevel="0" collapsed="false">
      <c r="A8023" s="3" t="s">
        <v>338</v>
      </c>
      <c r="G8023" s="16" t="n">
        <f aca="false">G8014*(1-G7907)*(G8013-G8019+G8018-G8021)</f>
        <v>0</v>
      </c>
      <c r="H8023" s="16" t="n">
        <f aca="false">H8014*(1-H7907)*(H8013-H8019+H8018-H8021)</f>
        <v>0</v>
      </c>
      <c r="I8023" s="16" t="n">
        <f aca="false">I8014*(1-I7907)*(I8013-I8019+I8018-I8021)</f>
        <v>0</v>
      </c>
      <c r="J8023" s="16" t="n">
        <f aca="false">J8014*(1-J7907)*(J8013-J8019+J8018-J8021)</f>
        <v>0</v>
      </c>
      <c r="K8023" s="16" t="n">
        <f aca="false">K8014*(1-K7907)*(K8013-K8019+K8018-K8021)</f>
        <v>300</v>
      </c>
    </row>
    <row r="8024" customFormat="false" ht="15" hidden="false" customHeight="false" outlineLevel="0" collapsed="false">
      <c r="A8024" s="2" t="s">
        <v>339</v>
      </c>
      <c r="F8024" s="28" t="n">
        <f aca="false">Assumptions!$C$65</f>
        <v>300</v>
      </c>
      <c r="G8024" s="17" t="n">
        <f aca="false">G8013+G8020+G8018-G8019-G8021-G8022</f>
        <v>300</v>
      </c>
      <c r="H8024" s="17" t="n">
        <f aca="false">H8013+H8020+H8018-H8019-H8021-H8022</f>
        <v>300</v>
      </c>
      <c r="I8024" s="17" t="n">
        <f aca="false">I8013+I8020+I8018-I8019-I8021-I8022</f>
        <v>300</v>
      </c>
      <c r="J8024" s="17" t="n">
        <f aca="false">J8013+J8020+J8018-J8019-J8021-J8022</f>
        <v>300</v>
      </c>
      <c r="K8024" s="17" t="n">
        <f aca="false">K8013+K8020+K8018-K8019-K8021-K8022</f>
        <v>300</v>
      </c>
    </row>
    <row r="8025" customFormat="false" ht="15" hidden="false" customHeight="false" outlineLevel="0" collapsed="false">
      <c r="A8025" s="24" t="s">
        <v>348</v>
      </c>
      <c r="B8025" s="25"/>
      <c r="C8025" s="25"/>
      <c r="D8025" s="25"/>
      <c r="E8025" s="25"/>
      <c r="F8025" s="25"/>
      <c r="G8025" s="25"/>
      <c r="H8025" s="25"/>
      <c r="I8025" s="25"/>
      <c r="J8025" s="25"/>
      <c r="K8025" s="25"/>
    </row>
    <row r="8026" customFormat="false" ht="15" hidden="false" customHeight="false" outlineLevel="0" collapsed="false">
      <c r="A8026" s="3" t="s">
        <v>329</v>
      </c>
      <c r="G8026" s="16" t="n">
        <f aca="false">F8037</f>
        <v>78.61</v>
      </c>
      <c r="H8026" s="16" t="n">
        <f aca="false">G8037</f>
        <v>78.61</v>
      </c>
      <c r="I8026" s="16" t="n">
        <f aca="false">H8037</f>
        <v>78.61</v>
      </c>
      <c r="J8026" s="16" t="n">
        <f aca="false">I8037</f>
        <v>78.61</v>
      </c>
      <c r="K8026" s="16" t="n">
        <f aca="false">J8037</f>
        <v>78.61</v>
      </c>
    </row>
    <row r="8027" customFormat="false" ht="15" hidden="false" customHeight="false" outlineLevel="0" collapsed="false">
      <c r="A8027" s="3" t="s">
        <v>330</v>
      </c>
      <c r="G8027" s="21" t="n">
        <f aca="false">IF(G7873=Assumptions!$K$66,1,0)</f>
        <v>0</v>
      </c>
      <c r="H8027" s="21" t="n">
        <f aca="false">IF(H7873=Assumptions!$K$66,1,0)</f>
        <v>0</v>
      </c>
      <c r="I8027" s="21" t="n">
        <f aca="false">IF(I7873=Assumptions!$K$66,1,0)</f>
        <v>0</v>
      </c>
      <c r="J8027" s="21" t="n">
        <f aca="false">IF(J7873=Assumptions!$K$66,1,0)</f>
        <v>0</v>
      </c>
      <c r="K8027" s="21" t="n">
        <f aca="false">IF(K7873=Assumptions!$K$66,1,0)</f>
        <v>0</v>
      </c>
    </row>
    <row r="8029" customFormat="false" ht="15" hidden="false" customHeight="false" outlineLevel="0" collapsed="false">
      <c r="A8029" s="3" t="s">
        <v>331</v>
      </c>
      <c r="G8029" s="31" t="n">
        <f aca="false">IF(Assumptions!$I$66=1,MAX(G7899,Assumptions!$G$66)+Assumptions!$F$66+$C$7900,Assumptions!$E$66)</f>
        <v>0.0691</v>
      </c>
      <c r="H8029" s="31" t="n">
        <f aca="false">IF(G8228=1,$C$7901,IF(Assumptions!$I$66=1,MAX(H7899,Assumptions!$G$66)+Assumptions!$F$66+$C$7900,Assumptions!$E$66))</f>
        <v>0.0676</v>
      </c>
      <c r="I8029" s="31" t="n">
        <f aca="false">IF(H8228=1,$C$7901,IF(Assumptions!$I$66=1,MAX(I7899,Assumptions!$G$66)+Assumptions!$F$66+$C$7900,Assumptions!$E$66))</f>
        <v>0.0651</v>
      </c>
      <c r="J8029" s="31" t="n">
        <f aca="false">IF(I8228=1,$C$7901,IF(Assumptions!$I$66=1,MAX(J7899,Assumptions!$G$66)+Assumptions!$F$66+$C$7900,Assumptions!$E$66))</f>
        <v>0.0651</v>
      </c>
      <c r="K8029" s="31" t="n">
        <f aca="false">IF(J8228=1,$C$7901,IF(Assumptions!$I$66=1,MAX(K7899,Assumptions!$G$66)+Assumptions!$F$66+$C$7900,Assumptions!$E$66))</f>
        <v>0.0651</v>
      </c>
    </row>
    <row r="8030" customFormat="false" ht="15" hidden="false" customHeight="false" outlineLevel="0" collapsed="false">
      <c r="A8030" s="3" t="s">
        <v>332</v>
      </c>
      <c r="G8030" s="16" t="n">
        <f aca="false">G8026*G8029</f>
        <v>5.431951</v>
      </c>
      <c r="H8030" s="16" t="n">
        <f aca="false">H8026*H8029</f>
        <v>5.314036</v>
      </c>
      <c r="I8030" s="16" t="n">
        <f aca="false">I8026*I8029</f>
        <v>5.117511</v>
      </c>
      <c r="J8030" s="16" t="n">
        <f aca="false">J8026*J8029</f>
        <v>5.117511</v>
      </c>
      <c r="K8030" s="16" t="n">
        <f aca="false">K8026*K8029</f>
        <v>5.117511</v>
      </c>
    </row>
    <row r="8031" customFormat="false" ht="15" hidden="false" customHeight="false" outlineLevel="0" collapsed="false">
      <c r="A8031" s="3" t="s">
        <v>333</v>
      </c>
      <c r="G8031" s="16" t="n">
        <f aca="false">G8026*Assumptions!$H$66</f>
        <v>0</v>
      </c>
      <c r="H8031" s="16" t="n">
        <f aca="false">H8026*Assumptions!$H$66</f>
        <v>0</v>
      </c>
      <c r="I8031" s="16" t="n">
        <f aca="false">I8026*Assumptions!$H$66</f>
        <v>0</v>
      </c>
      <c r="J8031" s="16" t="n">
        <f aca="false">J8026*Assumptions!$H$66</f>
        <v>0</v>
      </c>
      <c r="K8031" s="16" t="n">
        <f aca="false">K8026*Assumptions!$H$66</f>
        <v>0</v>
      </c>
    </row>
    <row r="8032" customFormat="false" ht="15" hidden="false" customHeight="false" outlineLevel="0" collapsed="false">
      <c r="A8032" s="3" t="s">
        <v>334</v>
      </c>
      <c r="G8032" s="16" t="n">
        <f aca="false">MIN(G8026,Assumptions!$L$66*Assumptions!$C$66)</f>
        <v>0</v>
      </c>
      <c r="H8032" s="16" t="n">
        <f aca="false">MIN(H8026,Assumptions!$L$66*Assumptions!$C$66)</f>
        <v>0</v>
      </c>
      <c r="I8032" s="16" t="n">
        <f aca="false">MIN(I8026,Assumptions!$L$66*Assumptions!$C$66)</f>
        <v>0</v>
      </c>
      <c r="J8032" s="16" t="n">
        <f aca="false">MIN(J8026,Assumptions!$L$66*Assumptions!$C$66)</f>
        <v>0</v>
      </c>
      <c r="K8032" s="16" t="n">
        <f aca="false">MIN(K8026,Assumptions!$L$66*Assumptions!$C$66)</f>
        <v>0</v>
      </c>
    </row>
    <row r="8033" customFormat="false" ht="15" hidden="false" customHeight="false" outlineLevel="0" collapsed="false">
      <c r="A8033" s="3" t="s">
        <v>335</v>
      </c>
      <c r="G8033" s="16" t="n">
        <f aca="false">IF(AND(Assumptions!$P$66=1,G7873&lt;Assumptions!$K$66),MIN(MAX(0,-G8089),MAX(0,Assumptions!$D$66-G8026)),0)</f>
        <v>0</v>
      </c>
      <c r="H8033" s="16" t="n">
        <f aca="false">IF(AND(Assumptions!$P$66=1,OR(H7873&lt;Assumptions!$K$66,G8228=1)),MIN(MAX(0,-H8089),MAX(0,Assumptions!$D$66-H8026)),0)</f>
        <v>0</v>
      </c>
      <c r="I8033" s="16" t="n">
        <f aca="false">IF(AND(Assumptions!$P$66=1,OR(I7873&lt;Assumptions!$K$66,H8228=1)),MIN(MAX(0,-I8089),MAX(0,Assumptions!$D$66-I8026)),0)</f>
        <v>0</v>
      </c>
      <c r="J8033" s="16" t="n">
        <f aca="false">IF(AND(Assumptions!$P$66=1,OR(J7873&lt;Assumptions!$K$66,I8228=1)),MIN(MAX(0,-J8089),MAX(0,Assumptions!$D$66-J8026)),0)</f>
        <v>0</v>
      </c>
      <c r="K8033" s="16" t="n">
        <f aca="false">IF(AND(Assumptions!$P$66=1,OR(K7873&lt;Assumptions!$K$66,J8228=1)),MIN(MAX(0,-K8089),MAX(0,Assumptions!$D$66-K8026)),0)</f>
        <v>0</v>
      </c>
    </row>
    <row r="8034" customFormat="false" ht="15" hidden="false" customHeight="false" outlineLevel="0" collapsed="false">
      <c r="A8034" s="3" t="s">
        <v>336</v>
      </c>
      <c r="G8034" s="16" t="n">
        <f aca="false">G8027*MIN(G8026-G8032+G8031,MAX(0,G8091-Assumptions!$C$12*G7907-G7917-G7930-G7943-G7956-G7969-G7982-G7995-G8008-G8021))</f>
        <v>0</v>
      </c>
      <c r="H8034" s="16" t="n">
        <f aca="false">H8027*MIN(H8026-H8032+H8031,MAX(0,H8091-Assumptions!$C$12*H7907-H7917-H7930-H7943-H7956-H7969-H7982-H7995-H8008-H8021))</f>
        <v>0</v>
      </c>
      <c r="I8034" s="16" t="n">
        <f aca="false">I8027*MIN(I8026-I8032+I8031,MAX(0,I8091-Assumptions!$C$12*I7907-I7917-I7930-I7943-I7956-I7969-I7982-I7995-I8008-I8021))</f>
        <v>0</v>
      </c>
      <c r="J8034" s="16" t="n">
        <f aca="false">J8027*MIN(J8026-J8032+J8031,MAX(0,J8091-Assumptions!$C$12*J7907-J7917-J7930-J7943-J7956-J7969-J7982-J7995-J8008-J8021))</f>
        <v>0</v>
      </c>
      <c r="K8034" s="16" t="n">
        <f aca="false">K8027*MIN(K8026-K8032+K8031,MAX(0,K8091-Assumptions!$C$12*K7907-K7917-K7930-K7943-K7956-K7969-K7982-K7995-K8008-K8021))</f>
        <v>0</v>
      </c>
    </row>
    <row r="8035" customFormat="false" ht="15" hidden="false" customHeight="false" outlineLevel="0" collapsed="false">
      <c r="A8035" s="3" t="s">
        <v>337</v>
      </c>
      <c r="G8035" s="16" t="n">
        <f aca="false">Assumptions!$N$66*MIN(G8026+G8033+G8031-G8032-G8034,MAX(0,G8095-G7918-G7931-G7944-G7957-G7970-G7983-G7996-G8009-G8022))</f>
        <v>0</v>
      </c>
      <c r="H8035" s="16" t="n">
        <f aca="false">Assumptions!$N$66*MIN(H8026+H8033+H8031-H8032-H8034,MAX(0,H8095-H7918-H7931-H7944-H7957-H7970-H7983-H7996-H8009-H8022))</f>
        <v>0</v>
      </c>
      <c r="I8035" s="16" t="n">
        <f aca="false">Assumptions!$N$66*MIN(I8026+I8033+I8031-I8032-I8034,MAX(0,I8095-I7918-I7931-I7944-I7957-I7970-I7983-I7996-I8009-I8022))</f>
        <v>0</v>
      </c>
      <c r="J8035" s="16" t="n">
        <f aca="false">Assumptions!$N$66*MIN(J8026+J8033+J8031-J8032-J8034,MAX(0,J8095-J7918-J7931-J7944-J7957-J7970-J7983-J7996-J8009-J8022))</f>
        <v>0</v>
      </c>
      <c r="K8035" s="16" t="n">
        <f aca="false">Assumptions!$N$66*MIN(K8026+K8033+K8031-K8032-K8034,MAX(0,K8095-K7918-K7931-K7944-K7957-K7970-K7983-K7996-K8009-K8022))</f>
        <v>0</v>
      </c>
    </row>
    <row r="8036" customFormat="false" ht="15" hidden="false" customHeight="false" outlineLevel="0" collapsed="false">
      <c r="A8036" s="3" t="s">
        <v>338</v>
      </c>
      <c r="G8036" s="16" t="n">
        <f aca="false">G8027*(1-G7907)*(G8026-G8032+G8031-G8034)</f>
        <v>0</v>
      </c>
      <c r="H8036" s="16" t="n">
        <f aca="false">H8027*(1-H7907)*(H8026-H8032+H8031-H8034)</f>
        <v>0</v>
      </c>
      <c r="I8036" s="16" t="n">
        <f aca="false">I8027*(1-I7907)*(I8026-I8032+I8031-I8034)</f>
        <v>0</v>
      </c>
      <c r="J8036" s="16" t="n">
        <f aca="false">J8027*(1-J7907)*(J8026-J8032+J8031-J8034)</f>
        <v>0</v>
      </c>
      <c r="K8036" s="16" t="n">
        <f aca="false">K8027*(1-K7907)*(K8026-K8032+K8031-K8034)</f>
        <v>0</v>
      </c>
    </row>
    <row r="8037" customFormat="false" ht="15" hidden="false" customHeight="false" outlineLevel="0" collapsed="false">
      <c r="A8037" s="2" t="s">
        <v>339</v>
      </c>
      <c r="F8037" s="28" t="n">
        <f aca="false">Assumptions!$C$66</f>
        <v>78.61</v>
      </c>
      <c r="G8037" s="17" t="n">
        <f aca="false">G8026+G8033+G8031-G8032-G8034-G8035</f>
        <v>78.61</v>
      </c>
      <c r="H8037" s="17" t="n">
        <f aca="false">H8026+H8033+H8031-H8032-H8034-H8035</f>
        <v>78.61</v>
      </c>
      <c r="I8037" s="17" t="n">
        <f aca="false">I8026+I8033+I8031-I8032-I8034-I8035</f>
        <v>78.61</v>
      </c>
      <c r="J8037" s="17" t="n">
        <f aca="false">J8026+J8033+J8031-J8032-J8034-J8035</f>
        <v>78.61</v>
      </c>
      <c r="K8037" s="17" t="n">
        <f aca="false">K8026+K8033+K8031-K8032-K8034-K8035</f>
        <v>78.61</v>
      </c>
    </row>
    <row r="8038" customFormat="false" ht="15" hidden="false" customHeight="false" outlineLevel="0" collapsed="false">
      <c r="A8038" s="24" t="s">
        <v>349</v>
      </c>
      <c r="B8038" s="25"/>
      <c r="C8038" s="25"/>
      <c r="D8038" s="25"/>
      <c r="E8038" s="25"/>
      <c r="F8038" s="25"/>
      <c r="G8038" s="25"/>
      <c r="H8038" s="25"/>
      <c r="I8038" s="25"/>
      <c r="J8038" s="25"/>
      <c r="K8038" s="25"/>
    </row>
    <row r="8039" customFormat="false" ht="15" hidden="false" customHeight="false" outlineLevel="0" collapsed="false">
      <c r="A8039" s="2" t="s">
        <v>350</v>
      </c>
      <c r="F8039" s="17" t="n">
        <f aca="false">F7920+F7933+F7946+F7959+F7972+F7985+F7998+F8011+F8024+F8037</f>
        <v>2625.934</v>
      </c>
      <c r="G8039" s="17" t="n">
        <f aca="false">G7920+G7933+G7946+G7959+G7972+G7985+G7998+G8011+G8024+G8037</f>
        <v>2621.934</v>
      </c>
      <c r="H8039" s="17" t="n">
        <f aca="false">H7920+H7933+H7946+H7959+H7972+H7985+H7998+H8011+H8024+H8037</f>
        <v>2532.470946929</v>
      </c>
      <c r="I8039" s="17" t="n">
        <f aca="false">I7920+I7933+I7946+I7959+I7972+I7985+I7998+I8011+I8024+I8037</f>
        <v>2528.470946929</v>
      </c>
      <c r="J8039" s="17" t="n">
        <f aca="false">J7920+J7933+J7946+J7959+J7972+J7985+J7998+J8011+J8024+J8037</f>
        <v>2524.470946929</v>
      </c>
      <c r="K8039" s="17" t="n">
        <f aca="false">K7920+K7933+K7946+K7959+K7972+K7985+K7998+K8011+K8024+K8037</f>
        <v>2520.470946929</v>
      </c>
    </row>
    <row r="8040" customFormat="false" ht="15" hidden="false" customHeight="false" outlineLevel="0" collapsed="false">
      <c r="A8040" s="3" t="s">
        <v>351</v>
      </c>
      <c r="G8040" s="16" t="n">
        <f aca="false">G7910*Assumptions!$C$57+G7923*Assumptions!$C$58+G7936*Assumptions!$C$59+G7949*Assumptions!$C$60+G7962*Assumptions!$C$61+G7975*Assumptions!$C$62+G7988*Assumptions!$C$63+G8001*Assumptions!$C$64+G8014*Assumptions!$C$65+G8027*Assumptions!$C$66</f>
        <v>0</v>
      </c>
      <c r="H8040" s="16" t="n">
        <f aca="false">H7910*Assumptions!$C$57+H7923*Assumptions!$C$58+H7936*Assumptions!$C$59+H7949*Assumptions!$C$60+H7962*Assumptions!$C$61+H7975*Assumptions!$C$62+H7988*Assumptions!$C$63+H8001*Assumptions!$C$64+H8014*Assumptions!$C$65+H8027*Assumptions!$C$66</f>
        <v>800</v>
      </c>
      <c r="I8040" s="16" t="n">
        <f aca="false">I7910*Assumptions!$C$57+I7923*Assumptions!$C$58+I7936*Assumptions!$C$59+I7949*Assumptions!$C$60+I7962*Assumptions!$C$61+I7975*Assumptions!$C$62+I7988*Assumptions!$C$63+I8001*Assumptions!$C$64+I8014*Assumptions!$C$65+I8027*Assumptions!$C$66</f>
        <v>550</v>
      </c>
      <c r="J8040" s="16" t="n">
        <f aca="false">J7910*Assumptions!$C$57+J7923*Assumptions!$C$58+J7936*Assumptions!$C$59+J7949*Assumptions!$C$60+J7962*Assumptions!$C$61+J7975*Assumptions!$C$62+J7988*Assumptions!$C$63+J8001*Assumptions!$C$64+J8014*Assumptions!$C$65+J8027*Assumptions!$C$66</f>
        <v>350</v>
      </c>
      <c r="K8040" s="16" t="n">
        <f aca="false">K7910*Assumptions!$C$57+K7923*Assumptions!$C$58+K7936*Assumptions!$C$59+K7949*Assumptions!$C$60+K7962*Assumptions!$C$61+K7975*Assumptions!$C$62+K7988*Assumptions!$C$63+K8001*Assumptions!$C$64+K8014*Assumptions!$C$65+K8027*Assumptions!$C$66</f>
        <v>700</v>
      </c>
    </row>
    <row r="8041" customFormat="false" ht="15" hidden="false" customHeight="false" outlineLevel="0" collapsed="false">
      <c r="A8041" s="24" t="s">
        <v>352</v>
      </c>
      <c r="B8041" s="25"/>
      <c r="C8041" s="25"/>
      <c r="D8041" s="25"/>
      <c r="E8041" s="25"/>
      <c r="F8041" s="25"/>
      <c r="G8041" s="25"/>
      <c r="H8041" s="25"/>
      <c r="I8041" s="25"/>
      <c r="J8041" s="25"/>
      <c r="K8041" s="25"/>
    </row>
    <row r="8042" customFormat="false" ht="15" hidden="false" customHeight="false" outlineLevel="0" collapsed="false">
      <c r="A8042" s="3" t="s">
        <v>353</v>
      </c>
      <c r="C8042" s="16" t="n">
        <f aca="false">SUMPRODUCT($G$7910:$K$7910,$G$7909:$K$7909-$G$7915:$K$7915+$G$7914:$K$7914)</f>
        <v>380</v>
      </c>
    </row>
    <row r="8043" customFormat="false" ht="15" hidden="false" customHeight="false" outlineLevel="0" collapsed="false">
      <c r="A8043" s="3" t="s">
        <v>354</v>
      </c>
      <c r="C8043" s="16" t="n">
        <f aca="false">SUMPRODUCT($G$7910:$K$7910,$G$7917:$K$7917)</f>
        <v>0</v>
      </c>
    </row>
    <row r="8044" customFormat="false" ht="15" hidden="false" customHeight="false" outlineLevel="0" collapsed="false">
      <c r="A8044" s="3" t="s">
        <v>355</v>
      </c>
      <c r="C8044" s="3" t="str">
        <f aca="false">IF(SUM($G$7910:$K$7910)=0,"n/a (beyond horizon)",IF(SUMPRODUCT($G$7910:$K$7910,$G$7907:$K$7907)&gt;0,"REFINANCING PASS","REFINANCING FAILURE"))</f>
        <v>REFINANCING FAILURE</v>
      </c>
    </row>
    <row r="8045" customFormat="false" ht="15" hidden="false" customHeight="false" outlineLevel="0" collapsed="false">
      <c r="A8045" s="3" t="s">
        <v>356</v>
      </c>
      <c r="C8045" s="3" t="str">
        <f aca="false">IF(SUM($G$7910:$K$7910)=0,"n/a",IF(C8043&gt;=C8042-0.001,"Repaid from cash",IF(SUMPRODUCT($G$7910:$K$7910,$G$7907:$K$7907)&gt;0,IF(C8043&gt;0,"Partly repaid; remainder refinanced","Refinanced"),IF(SUM($G$7919:$K$7919)&gt;0.001,IF(C8043&gt;0,"Partial repayment; PAYMENT DEFAULT","PAYMENT DEFAULT"),"Repaid from cash"))))</f>
        <v>PAYMENT DEFAULT</v>
      </c>
    </row>
    <row r="8046" customFormat="false" ht="15" hidden="false" customHeight="false" outlineLevel="0" collapsed="false">
      <c r="A8046" s="3" t="s">
        <v>357</v>
      </c>
      <c r="C8046" s="16" t="n">
        <f aca="false">SUMPRODUCT($G$7923:$K$7923,$G$7922:$K$7922-$G$7928:$K$7928+$G$7927:$K$7927)</f>
        <v>0</v>
      </c>
    </row>
    <row r="8047" customFormat="false" ht="15" hidden="false" customHeight="false" outlineLevel="0" collapsed="false">
      <c r="A8047" s="3" t="s">
        <v>358</v>
      </c>
      <c r="C8047" s="16" t="n">
        <f aca="false">SUMPRODUCT($G$7923:$K$7923,$G$7930:$K$7930)</f>
        <v>0</v>
      </c>
    </row>
    <row r="8048" customFormat="false" ht="15" hidden="false" customHeight="false" outlineLevel="0" collapsed="false">
      <c r="A8048" s="3" t="s">
        <v>359</v>
      </c>
      <c r="C8048" s="3" t="str">
        <f aca="false">IF(SUM($G$7923:$K$7923)=0,"n/a (beyond horizon)",IF(SUMPRODUCT($G$7923:$K$7923,$G$7907:$K$7907)&gt;0,"REFINANCING PASS","REFINANCING FAILURE"))</f>
        <v>n/a (beyond horizon)</v>
      </c>
    </row>
    <row r="8049" customFormat="false" ht="15" hidden="false" customHeight="false" outlineLevel="0" collapsed="false">
      <c r="A8049" s="3" t="s">
        <v>360</v>
      </c>
      <c r="C8049" s="3" t="str">
        <f aca="false">IF(SUM($G$7923:$K$7923)=0,"n/a",IF(C8047&gt;=C8046-0.001,"Repaid from cash",IF(SUMPRODUCT($G$7923:$K$7923,$G$7907:$K$7907)&gt;0,IF(C8047&gt;0,"Partly repaid; remainder refinanced","Refinanced"),IF(SUM($G$7932:$K$7932)&gt;0.001,IF(C8047&gt;0,"Partial repayment; PAYMENT DEFAULT","PAYMENT DEFAULT"),"Repaid from cash"))))</f>
        <v>n/a</v>
      </c>
    </row>
    <row r="8050" customFormat="false" ht="15" hidden="false" customHeight="false" outlineLevel="0" collapsed="false">
      <c r="A8050" s="3" t="s">
        <v>361</v>
      </c>
      <c r="C8050" s="16" t="n">
        <f aca="false">SUMPRODUCT($G$7936:$K$7936,$G$7935:$K$7935-$G$7941:$K$7941+$G$7940:$K$7940)</f>
        <v>0</v>
      </c>
    </row>
    <row r="8051" customFormat="false" ht="15" hidden="false" customHeight="false" outlineLevel="0" collapsed="false">
      <c r="A8051" s="3" t="s">
        <v>362</v>
      </c>
      <c r="C8051" s="16" t="n">
        <f aca="false">SUMPRODUCT($G$7936:$K$7936,$G$7943:$K$7943)</f>
        <v>0</v>
      </c>
    </row>
    <row r="8052" customFormat="false" ht="15" hidden="false" customHeight="false" outlineLevel="0" collapsed="false">
      <c r="A8052" s="3" t="s">
        <v>363</v>
      </c>
      <c r="C8052" s="3" t="str">
        <f aca="false">IF(SUM($G$7936:$K$7936)=0,"n/a (beyond horizon)",IF(SUMPRODUCT($G$7936:$K$7936,$G$7907:$K$7907)&gt;0,"REFINANCING PASS","REFINANCING FAILURE"))</f>
        <v>n/a (beyond horizon)</v>
      </c>
    </row>
    <row r="8053" customFormat="false" ht="15" hidden="false" customHeight="false" outlineLevel="0" collapsed="false">
      <c r="A8053" s="3" t="s">
        <v>364</v>
      </c>
      <c r="C8053" s="3" t="str">
        <f aca="false">IF(SUM($G$7936:$K$7936)=0,"n/a",IF(C8051&gt;=C8050-0.001,"Repaid from cash",IF(SUMPRODUCT($G$7936:$K$7936,$G$7907:$K$7907)&gt;0,IF(C8051&gt;0,"Partly repaid; remainder refinanced","Refinanced"),IF(SUM($G$7945:$K$7945)&gt;0.001,IF(C8051&gt;0,"Partial repayment; PAYMENT DEFAULT","PAYMENT DEFAULT"),"Repaid from cash"))))</f>
        <v>n/a</v>
      </c>
    </row>
    <row r="8054" customFormat="false" ht="15" hidden="false" customHeight="false" outlineLevel="0" collapsed="false">
      <c r="A8054" s="3" t="s">
        <v>365</v>
      </c>
      <c r="C8054" s="16" t="n">
        <f aca="false">SUMPRODUCT($G$7949:$K$7949,$G$7948:$K$7948-$G$7954:$K$7954+$G$7953:$K$7953)</f>
        <v>0</v>
      </c>
    </row>
    <row r="8055" customFormat="false" ht="15" hidden="false" customHeight="false" outlineLevel="0" collapsed="false">
      <c r="A8055" s="3" t="s">
        <v>366</v>
      </c>
      <c r="C8055" s="16" t="n">
        <f aca="false">SUMPRODUCT($G$7949:$K$7949,$G$7956:$K$7956)</f>
        <v>0</v>
      </c>
    </row>
    <row r="8056" customFormat="false" ht="15" hidden="false" customHeight="false" outlineLevel="0" collapsed="false">
      <c r="A8056" s="3" t="s">
        <v>367</v>
      </c>
      <c r="C8056" s="3" t="str">
        <f aca="false">IF(SUM($G$7949:$K$7949)=0,"n/a (beyond horizon)",IF(SUMPRODUCT($G$7949:$K$7949,$G$7907:$K$7907)&gt;0,"REFINANCING PASS","REFINANCING FAILURE"))</f>
        <v>REFINANCING FAILURE</v>
      </c>
    </row>
    <row r="8057" customFormat="false" ht="15" hidden="false" customHeight="false" outlineLevel="0" collapsed="false">
      <c r="A8057" s="3" t="s">
        <v>368</v>
      </c>
      <c r="C8057" s="3" t="str">
        <f aca="false">IF(SUM($G$7949:$K$7949)=0,"n/a",IF(C8055&gt;=C8054-0.001,"Repaid from cash",IF(SUMPRODUCT($G$7949:$K$7949,$G$7907:$K$7907)&gt;0,IF(C8055&gt;0,"Partly repaid; remainder refinanced","Refinanced"),IF(SUM($G$7958:$K$7958)&gt;0.001,IF(C8055&gt;0,"Partial repayment; PAYMENT DEFAULT","PAYMENT DEFAULT"),"Repaid from cash"))))</f>
        <v>Repaid from cash</v>
      </c>
    </row>
    <row r="8058" customFormat="false" ht="15" hidden="false" customHeight="false" outlineLevel="0" collapsed="false">
      <c r="A8058" s="3" t="s">
        <v>369</v>
      </c>
      <c r="C8058" s="16" t="n">
        <f aca="false">SUMPRODUCT($G$7962:$K$7962,$G$7961:$K$7961-$G$7967:$K$7967+$G$7966:$K$7966)</f>
        <v>450</v>
      </c>
    </row>
    <row r="8059" customFormat="false" ht="15" hidden="false" customHeight="false" outlineLevel="0" collapsed="false">
      <c r="A8059" s="3" t="s">
        <v>370</v>
      </c>
      <c r="C8059" s="16" t="n">
        <f aca="false">SUMPRODUCT($G$7962:$K$7962,$G$7969:$K$7969)</f>
        <v>85.4630530710001</v>
      </c>
    </row>
    <row r="8060" customFormat="false" ht="15" hidden="false" customHeight="false" outlineLevel="0" collapsed="false">
      <c r="A8060" s="3" t="s">
        <v>371</v>
      </c>
      <c r="C8060" s="3" t="str">
        <f aca="false">IF(SUM($G$7962:$K$7962)=0,"n/a (beyond horizon)",IF(SUMPRODUCT($G$7962:$K$7962,$G$7907:$K$7907)&gt;0,"REFINANCING PASS","REFINANCING FAILURE"))</f>
        <v>REFINANCING FAILURE</v>
      </c>
    </row>
    <row r="8061" customFormat="false" ht="15" hidden="false" customHeight="false" outlineLevel="0" collapsed="false">
      <c r="A8061" s="3" t="s">
        <v>372</v>
      </c>
      <c r="C8061" s="3" t="str">
        <f aca="false">IF(SUM($G$7962:$K$7962)=0,"n/a",IF(C8059&gt;=C8058-0.001,"Repaid from cash",IF(SUMPRODUCT($G$7962:$K$7962,$G$7907:$K$7907)&gt;0,IF(C8059&gt;0,"Partly repaid; remainder refinanced","Refinanced"),IF(SUM($G$7971:$K$7971)&gt;0.001,IF(C8059&gt;0,"Partial repayment; PAYMENT DEFAULT","PAYMENT DEFAULT"),"Repaid from cash"))))</f>
        <v>Partial repayment; PAYMENT DEFAULT</v>
      </c>
    </row>
    <row r="8062" customFormat="false" ht="15" hidden="false" customHeight="false" outlineLevel="0" collapsed="false">
      <c r="A8062" s="3" t="s">
        <v>373</v>
      </c>
      <c r="C8062" s="16" t="n">
        <f aca="false">SUMPRODUCT($G$7975:$K$7975,$G$7974:$K$7974-$G$7980:$K$7980+$G$7979:$K$7979)</f>
        <v>350</v>
      </c>
    </row>
    <row r="8063" customFormat="false" ht="15" hidden="false" customHeight="false" outlineLevel="0" collapsed="false">
      <c r="A8063" s="3" t="s">
        <v>374</v>
      </c>
      <c r="C8063" s="16" t="n">
        <f aca="false">SUMPRODUCT($G$7975:$K$7975,$G$7982:$K$7982)</f>
        <v>0</v>
      </c>
    </row>
    <row r="8064" customFormat="false" ht="15" hidden="false" customHeight="false" outlineLevel="0" collapsed="false">
      <c r="A8064" s="3" t="s">
        <v>375</v>
      </c>
      <c r="C8064" s="3" t="str">
        <f aca="false">IF(SUM($G$7975:$K$7975)=0,"n/a (beyond horizon)",IF(SUMPRODUCT($G$7975:$K$7975,$G$7907:$K$7907)&gt;0,"REFINANCING PASS","REFINANCING FAILURE"))</f>
        <v>REFINANCING FAILURE</v>
      </c>
    </row>
    <row r="8065" customFormat="false" ht="15" hidden="false" customHeight="false" outlineLevel="0" collapsed="false">
      <c r="A8065" s="3" t="s">
        <v>376</v>
      </c>
      <c r="C8065" s="3" t="str">
        <f aca="false">IF(SUM($G$7975:$K$7975)=0,"n/a",IF(C8063&gt;=C8062-0.001,"Repaid from cash",IF(SUMPRODUCT($G$7975:$K$7975,$G$7907:$K$7907)&gt;0,IF(C8063&gt;0,"Partly repaid; remainder refinanced","Refinanced"),IF(SUM($G$7984:$K$7984)&gt;0.001,IF(C8063&gt;0,"Partial repayment; PAYMENT DEFAULT","PAYMENT DEFAULT"),"Repaid from cash"))))</f>
        <v>PAYMENT DEFAULT</v>
      </c>
    </row>
    <row r="8066" customFormat="false" ht="15" hidden="false" customHeight="false" outlineLevel="0" collapsed="false">
      <c r="A8066" s="3" t="s">
        <v>377</v>
      </c>
      <c r="C8066" s="16" t="n">
        <f aca="false">SUMPRODUCT($G$7988:$K$7988,$G$7987:$K$7987-$G$7993:$K$7993+$G$7992:$K$7992)</f>
        <v>550</v>
      </c>
    </row>
    <row r="8067" customFormat="false" ht="15" hidden="false" customHeight="false" outlineLevel="0" collapsed="false">
      <c r="A8067" s="3" t="s">
        <v>378</v>
      </c>
      <c r="C8067" s="16" t="n">
        <f aca="false">SUMPRODUCT($G$7988:$K$7988,$G$7995:$K$7995)</f>
        <v>0</v>
      </c>
    </row>
    <row r="8068" customFormat="false" ht="15" hidden="false" customHeight="false" outlineLevel="0" collapsed="false">
      <c r="A8068" s="3" t="s">
        <v>379</v>
      </c>
      <c r="C8068" s="3" t="str">
        <f aca="false">IF(SUM($G$7988:$K$7988)=0,"n/a (beyond horizon)",IF(SUMPRODUCT($G$7988:$K$7988,$G$7907:$K$7907)&gt;0,"REFINANCING PASS","REFINANCING FAILURE"))</f>
        <v>REFINANCING FAILURE</v>
      </c>
    </row>
    <row r="8069" customFormat="false" ht="15" hidden="false" customHeight="false" outlineLevel="0" collapsed="false">
      <c r="A8069" s="3" t="s">
        <v>380</v>
      </c>
      <c r="C8069" s="3" t="str">
        <f aca="false">IF(SUM($G$7988:$K$7988)=0,"n/a",IF(C8067&gt;=C8066-0.001,"Repaid from cash",IF(SUMPRODUCT($G$7988:$K$7988,$G$7907:$K$7907)&gt;0,IF(C8067&gt;0,"Partly repaid; remainder refinanced","Refinanced"),IF(SUM($G$7997:$K$7997)&gt;0.001,IF(C8067&gt;0,"Partial repayment; PAYMENT DEFAULT","PAYMENT DEFAULT"),"Repaid from cash"))))</f>
        <v>PAYMENT DEFAULT</v>
      </c>
    </row>
    <row r="8070" customFormat="false" ht="15" hidden="false" customHeight="false" outlineLevel="0" collapsed="false">
      <c r="A8070" s="3" t="s">
        <v>381</v>
      </c>
      <c r="C8070" s="16" t="n">
        <f aca="false">SUMPRODUCT($G$8001:$K$8001,$G$8000:$K$8000-$G$8006:$K$8006+$G$8005:$K$8005)</f>
        <v>350</v>
      </c>
    </row>
    <row r="8071" customFormat="false" ht="15" hidden="false" customHeight="false" outlineLevel="0" collapsed="false">
      <c r="A8071" s="3" t="s">
        <v>382</v>
      </c>
      <c r="C8071" s="16" t="n">
        <f aca="false">SUMPRODUCT($G$8001:$K$8001,$G$8008:$K$8008)</f>
        <v>0</v>
      </c>
    </row>
    <row r="8072" customFormat="false" ht="15" hidden="false" customHeight="false" outlineLevel="0" collapsed="false">
      <c r="A8072" s="3" t="s">
        <v>383</v>
      </c>
      <c r="C8072" s="3" t="str">
        <f aca="false">IF(SUM($G$8001:$K$8001)=0,"n/a (beyond horizon)",IF(SUMPRODUCT($G$8001:$K$8001,$G$7907:$K$7907)&gt;0,"REFINANCING PASS","REFINANCING FAILURE"))</f>
        <v>REFINANCING FAILURE</v>
      </c>
    </row>
    <row r="8073" customFormat="false" ht="15" hidden="false" customHeight="false" outlineLevel="0" collapsed="false">
      <c r="A8073" s="3" t="s">
        <v>384</v>
      </c>
      <c r="C8073" s="3" t="str">
        <f aca="false">IF(SUM($G$8001:$K$8001)=0,"n/a",IF(C8071&gt;=C8070-0.001,"Repaid from cash",IF(SUMPRODUCT($G$8001:$K$8001,$G$7907:$K$7907)&gt;0,IF(C8071&gt;0,"Partly repaid; remainder refinanced","Refinanced"),IF(SUM($G$8010:$K$8010)&gt;0.001,IF(C8071&gt;0,"Partial repayment; PAYMENT DEFAULT","PAYMENT DEFAULT"),"Repaid from cash"))))</f>
        <v>PAYMENT DEFAULT</v>
      </c>
    </row>
    <row r="8074" customFormat="false" ht="15" hidden="false" customHeight="false" outlineLevel="0" collapsed="false">
      <c r="A8074" s="3" t="s">
        <v>385</v>
      </c>
      <c r="C8074" s="16" t="n">
        <f aca="false">SUMPRODUCT($G$8014:$K$8014,$G$8013:$K$8013-$G$8019:$K$8019+$G$8018:$K$8018)</f>
        <v>300</v>
      </c>
    </row>
    <row r="8075" customFormat="false" ht="15" hidden="false" customHeight="false" outlineLevel="0" collapsed="false">
      <c r="A8075" s="3" t="s">
        <v>386</v>
      </c>
      <c r="C8075" s="16" t="n">
        <f aca="false">SUMPRODUCT($G$8014:$K$8014,$G$8021:$K$8021)</f>
        <v>0</v>
      </c>
    </row>
    <row r="8076" customFormat="false" ht="15" hidden="false" customHeight="false" outlineLevel="0" collapsed="false">
      <c r="A8076" s="3" t="s">
        <v>387</v>
      </c>
      <c r="C8076" s="3" t="str">
        <f aca="false">IF(SUM($G$8014:$K$8014)=0,"n/a (beyond horizon)",IF(SUMPRODUCT($G$8014:$K$8014,$G$7907:$K$7907)&gt;0,"REFINANCING PASS","REFINANCING FAILURE"))</f>
        <v>REFINANCING FAILURE</v>
      </c>
    </row>
    <row r="8077" customFormat="false" ht="15" hidden="false" customHeight="false" outlineLevel="0" collapsed="false">
      <c r="A8077" s="3" t="s">
        <v>388</v>
      </c>
      <c r="C8077" s="3" t="str">
        <f aca="false">IF(SUM($G$8014:$K$8014)=0,"n/a",IF(C8075&gt;=C8074-0.001,"Repaid from cash",IF(SUMPRODUCT($G$8014:$K$8014,$G$7907:$K$7907)&gt;0,IF(C8075&gt;0,"Partly repaid; remainder refinanced","Refinanced"),IF(SUM($G$8023:$K$8023)&gt;0.001,IF(C8075&gt;0,"Partial repayment; PAYMENT DEFAULT","PAYMENT DEFAULT"),"Repaid from cash"))))</f>
        <v>PAYMENT DEFAULT</v>
      </c>
    </row>
    <row r="8078" customFormat="false" ht="15" hidden="false" customHeight="false" outlineLevel="0" collapsed="false">
      <c r="A8078" s="3" t="s">
        <v>389</v>
      </c>
      <c r="C8078" s="16" t="n">
        <f aca="false">SUMPRODUCT($G$8027:$K$8027,$G$8026:$K$8026-$G$8032:$K$8032+$G$8031:$K$8031)</f>
        <v>0</v>
      </c>
    </row>
    <row r="8079" customFormat="false" ht="15" hidden="false" customHeight="false" outlineLevel="0" collapsed="false">
      <c r="A8079" s="3" t="s">
        <v>390</v>
      </c>
      <c r="C8079" s="16" t="n">
        <f aca="false">SUMPRODUCT($G$8027:$K$8027,$G$8034:$K$8034)</f>
        <v>0</v>
      </c>
    </row>
    <row r="8080" customFormat="false" ht="15" hidden="false" customHeight="false" outlineLevel="0" collapsed="false">
      <c r="A8080" s="3" t="s">
        <v>391</v>
      </c>
      <c r="C8080" s="3" t="str">
        <f aca="false">IF(SUM($G$8027:$K$8027)=0,"n/a (beyond horizon)",IF(SUMPRODUCT($G$8027:$K$8027,$G$7907:$K$7907)&gt;0,"REFINANCING PASS","REFINANCING FAILURE"))</f>
        <v>n/a (beyond horizon)</v>
      </c>
    </row>
    <row r="8081" customFormat="false" ht="15" hidden="false" customHeight="false" outlineLevel="0" collapsed="false">
      <c r="A8081" s="3" t="s">
        <v>392</v>
      </c>
      <c r="C8081" s="3" t="str">
        <f aca="false">IF(SUM($G$8027:$K$8027)=0,"n/a",IF(C8079&gt;=C8078-0.001,"Repaid from cash",IF(SUMPRODUCT($G$8027:$K$8027,$G$7907:$K$7907)&gt;0,IF(C8079&gt;0,"Partly repaid; remainder refinanced","Refinanced"),IF(SUM($G$8036:$K$8036)&gt;0.001,IF(C8079&gt;0,"Partial repayment; PAYMENT DEFAULT","PAYMENT DEFAULT"),"Repaid from cash"))))</f>
        <v>n/a</v>
      </c>
    </row>
    <row r="8082" customFormat="false" ht="15" hidden="false" customHeight="false" outlineLevel="0" collapsed="false">
      <c r="A8082" s="3" t="s">
        <v>393</v>
      </c>
      <c r="C8082" s="21" t="n">
        <f aca="false">IF(C8044="REFINANCING FAILURE",1,0)+IF(C8048="REFINANCING FAILURE",1,0)+IF(C8052="REFINANCING FAILURE",1,0)+IF(C8056="REFINANCING FAILURE",1,0)+IF(C8060="REFINANCING FAILURE",1,0)+IF(C8064="REFINANCING FAILURE",1,0)+IF(C8068="REFINANCING FAILURE",1,0)+IF(C8072="REFINANCING FAILURE",1,0)+IF(C8076="REFINANCING FAILURE",1,0)+IF(C8080="REFINANCING FAILURE",1,0)</f>
        <v>7</v>
      </c>
    </row>
    <row r="8084" customFormat="false" ht="15" hidden="false" customHeight="false" outlineLevel="0" collapsed="false">
      <c r="A8084" s="24" t="s">
        <v>395</v>
      </c>
      <c r="B8084" s="25"/>
      <c r="C8084" s="25"/>
      <c r="D8084" s="25"/>
      <c r="E8084" s="25"/>
      <c r="F8084" s="25"/>
      <c r="G8084" s="25"/>
      <c r="H8084" s="25"/>
      <c r="I8084" s="25"/>
      <c r="J8084" s="25"/>
      <c r="K8084" s="25"/>
    </row>
    <row r="8085" customFormat="false" ht="15" hidden="false" customHeight="false" outlineLevel="0" collapsed="false">
      <c r="A8085" s="3" t="s">
        <v>325</v>
      </c>
      <c r="G8085" s="16" t="n">
        <f aca="false">F8097</f>
        <v>37.87</v>
      </c>
      <c r="H8085" s="16" t="n">
        <f aca="false">G8097</f>
        <v>141.683162</v>
      </c>
      <c r="I8085" s="16" t="n">
        <f aca="false">H8097</f>
        <v>0</v>
      </c>
      <c r="J8085" s="16" t="n">
        <f aca="false">I8097</f>
        <v>-51.2477933326955</v>
      </c>
      <c r="K8085" s="16" t="n">
        <f aca="false">J8097</f>
        <v>-98.450852794991</v>
      </c>
    </row>
    <row r="8086" customFormat="false" ht="15" hidden="false" customHeight="false" outlineLevel="0" collapsed="false">
      <c r="A8086" s="3" t="s">
        <v>396</v>
      </c>
      <c r="G8086" s="16" t="n">
        <f aca="false">G7896</f>
        <v>-42.186838</v>
      </c>
      <c r="H8086" s="16" t="n">
        <f aca="false">H7896</f>
        <v>-52.220108929</v>
      </c>
      <c r="I8086" s="16" t="n">
        <f aca="false">I7896</f>
        <v>-47.2477933326955</v>
      </c>
      <c r="J8086" s="16" t="n">
        <f aca="false">J7896</f>
        <v>-43.2030594622955</v>
      </c>
      <c r="K8086" s="16" t="n">
        <f aca="false">K7896</f>
        <v>-39.0990339956346</v>
      </c>
    </row>
    <row r="8087" customFormat="false" ht="15" hidden="false" customHeight="false" outlineLevel="0" collapsed="false">
      <c r="A8087" s="3" t="s">
        <v>397</v>
      </c>
      <c r="G8087" s="16" t="n">
        <f aca="false">CHOOSE($C$7866,Assumptions!$G$82,Assumptions!$G$101,Assumptions!$G$120)</f>
        <v>150</v>
      </c>
      <c r="H8087" s="16" t="n">
        <f aca="false">CHOOSE($C$7866,Assumptions!$H$82,Assumptions!$H$101,Assumptions!$H$120)</f>
        <v>0</v>
      </c>
      <c r="I8087" s="16" t="n">
        <f aca="false">CHOOSE($C$7866,Assumptions!$I$82,Assumptions!$I$101,Assumptions!$I$120)</f>
        <v>0</v>
      </c>
      <c r="J8087" s="16" t="n">
        <f aca="false">CHOOSE($C$7866,Assumptions!$J$82,Assumptions!$J$101,Assumptions!$J$120)</f>
        <v>0</v>
      </c>
      <c r="K8087" s="16" t="n">
        <f aca="false">CHOOSE($C$7866,Assumptions!$K$82,Assumptions!$K$101,Assumptions!$K$120)</f>
        <v>0</v>
      </c>
    </row>
    <row r="8088" customFormat="false" ht="15" hidden="false" customHeight="false" outlineLevel="0" collapsed="false">
      <c r="A8088" s="3" t="s">
        <v>398</v>
      </c>
      <c r="G8088" s="16" t="n">
        <f aca="false">G7915+G7928+G7941+G7954+G7967+G7980+G7993+G8006+G8019+G8032</f>
        <v>4</v>
      </c>
      <c r="H8088" s="16" t="n">
        <f aca="false">H7915+H7928+H7941+H7954+H7967+H7980+H7993+H8006+H8019+H8032</f>
        <v>4</v>
      </c>
      <c r="I8088" s="16" t="n">
        <f aca="false">I7915+I7928+I7941+I7954+I7967+I7980+I7993+I8006+I8019+I8032</f>
        <v>4</v>
      </c>
      <c r="J8088" s="16" t="n">
        <f aca="false">J7915+J7928+J7941+J7954+J7967+J7980+J7993+J8006+J8019+J8032</f>
        <v>4</v>
      </c>
      <c r="K8088" s="16" t="n">
        <f aca="false">K7915+K7928+K7941+K7954+K7967+K7980+K7993+K8006+K8019+K8032</f>
        <v>4</v>
      </c>
    </row>
    <row r="8089" customFormat="false" ht="15" hidden="false" customHeight="false" outlineLevel="0" collapsed="false">
      <c r="A8089" s="2" t="s">
        <v>399</v>
      </c>
      <c r="G8089" s="17" t="n">
        <f aca="false">G8085+G8086+G8087-G8088</f>
        <v>141.683162</v>
      </c>
      <c r="H8089" s="17" t="n">
        <f aca="false">H8085+H8086+H8087-H8088</f>
        <v>85.4630530710001</v>
      </c>
      <c r="I8089" s="17" t="n">
        <f aca="false">I8085+I8086+I8087-I8088</f>
        <v>-51.2477933326955</v>
      </c>
      <c r="J8089" s="17" t="n">
        <f aca="false">J8085+J8086+J8087-J8088</f>
        <v>-98.450852794991</v>
      </c>
      <c r="K8089" s="17" t="n">
        <f aca="false">K8085+K8086+K8087-K8088</f>
        <v>-141.549886790626</v>
      </c>
    </row>
    <row r="8090" customFormat="false" ht="15" hidden="false" customHeight="false" outlineLevel="0" collapsed="false">
      <c r="A8090" s="3" t="s">
        <v>400</v>
      </c>
      <c r="G8090" s="16" t="n">
        <f aca="false">G7916+G7929+G7942+G7955+G7968+G7981+G7994+G8007+G8020+G8033</f>
        <v>0</v>
      </c>
      <c r="H8090" s="16" t="n">
        <f aca="false">H7916+H7929+H7942+H7955+H7968+H7981+H7994+H8007+H8020+H8033</f>
        <v>0</v>
      </c>
      <c r="I8090" s="16" t="n">
        <f aca="false">I7916+I7929+I7942+I7955+I7968+I7981+I7994+I8007+I8020+I8033</f>
        <v>0</v>
      </c>
      <c r="J8090" s="16" t="n">
        <f aca="false">J7916+J7929+J7942+J7955+J7968+J7981+J7994+J8007+J8020+J8033</f>
        <v>0</v>
      </c>
      <c r="K8090" s="16" t="n">
        <f aca="false">K7916+K7929+K7942+K7955+K7968+K7981+K7994+K8007+K8020+K8033</f>
        <v>0</v>
      </c>
    </row>
    <row r="8091" customFormat="false" ht="15" hidden="false" customHeight="false" outlineLevel="0" collapsed="false">
      <c r="A8091" s="2" t="s">
        <v>401</v>
      </c>
      <c r="G8091" s="17" t="n">
        <f aca="false">G8089+G8090</f>
        <v>141.683162</v>
      </c>
      <c r="H8091" s="17" t="n">
        <f aca="false">H8089+H8090</f>
        <v>85.4630530710001</v>
      </c>
      <c r="I8091" s="17" t="n">
        <f aca="false">I8089+I8090</f>
        <v>-51.2477933326955</v>
      </c>
      <c r="J8091" s="17" t="n">
        <f aca="false">J8089+J8090</f>
        <v>-98.450852794991</v>
      </c>
      <c r="K8091" s="17" t="n">
        <f aca="false">K8089+K8090</f>
        <v>-141.549886790626</v>
      </c>
    </row>
    <row r="8092" customFormat="false" ht="15" hidden="false" customHeight="false" outlineLevel="0" collapsed="false">
      <c r="A8092" s="3" t="s">
        <v>402</v>
      </c>
      <c r="G8092" s="16" t="n">
        <f aca="false">G7917+G7930+G7943+G7956+G7969+G7982+G7995+G8008+G8021+G8034</f>
        <v>0</v>
      </c>
      <c r="H8092" s="16" t="n">
        <f aca="false">H7917+H7930+H7943+H7956+H7969+H7982+H7995+H8008+H8021+H8034</f>
        <v>85.4630530710001</v>
      </c>
      <c r="I8092" s="16" t="n">
        <f aca="false">I7917+I7930+I7943+I7956+I7969+I7982+I7995+I8008+I8021+I8034</f>
        <v>0</v>
      </c>
      <c r="J8092" s="16" t="n">
        <f aca="false">J7917+J7930+J7943+J7956+J7969+J7982+J7995+J8008+J8021+J8034</f>
        <v>0</v>
      </c>
      <c r="K8092" s="16" t="n">
        <f aca="false">K7917+K7930+K7943+K7956+K7969+K7982+K7995+K8008+K8021+K8034</f>
        <v>0</v>
      </c>
    </row>
    <row r="8093" customFormat="false" ht="15" hidden="false" customHeight="false" outlineLevel="0" collapsed="false">
      <c r="A8093" s="2" t="s">
        <v>403</v>
      </c>
      <c r="G8093" s="17" t="n">
        <f aca="false">G8091-G8092</f>
        <v>141.683162</v>
      </c>
      <c r="H8093" s="17" t="n">
        <f aca="false">H8091-H8092</f>
        <v>0</v>
      </c>
      <c r="I8093" s="17" t="n">
        <f aca="false">I8091-I8092</f>
        <v>-51.2477933326955</v>
      </c>
      <c r="J8093" s="17" t="n">
        <f aca="false">J8091-J8092</f>
        <v>-98.450852794991</v>
      </c>
      <c r="K8093" s="17" t="n">
        <f aca="false">K8091-K8092</f>
        <v>-141.549886790626</v>
      </c>
    </row>
    <row r="8094" customFormat="false" ht="15" hidden="false" customHeight="false" outlineLevel="0" collapsed="false">
      <c r="A8094" s="3" t="s">
        <v>404</v>
      </c>
      <c r="G8094" s="16" t="n">
        <f aca="false">MAX(0,-G8093)</f>
        <v>0</v>
      </c>
      <c r="H8094" s="16" t="n">
        <f aca="false">MAX(0,-H8093)</f>
        <v>-0</v>
      </c>
      <c r="I8094" s="16" t="n">
        <f aca="false">MAX(0,-I8093)</f>
        <v>51.2477933326955</v>
      </c>
      <c r="J8094" s="16" t="n">
        <f aca="false">MAX(0,-J8093)</f>
        <v>98.450852794991</v>
      </c>
      <c r="K8094" s="16" t="n">
        <f aca="false">MAX(0,-K8093)</f>
        <v>141.549886790626</v>
      </c>
    </row>
    <row r="8095" customFormat="false" ht="15" hidden="false" customHeight="false" outlineLevel="0" collapsed="false">
      <c r="A8095" s="3" t="s">
        <v>405</v>
      </c>
      <c r="G8095" s="16" t="n">
        <f aca="false">MAX(0,G8093-Assumptions!$C$12)*Assumptions!$C$13</f>
        <v>0</v>
      </c>
      <c r="H8095" s="16" t="n">
        <f aca="false">MAX(0,H8093-Assumptions!$C$12)*Assumptions!$C$13</f>
        <v>0</v>
      </c>
      <c r="I8095" s="16" t="n">
        <f aca="false">MAX(0,I8093-Assumptions!$C$12)*Assumptions!$C$13</f>
        <v>0</v>
      </c>
      <c r="J8095" s="16" t="n">
        <f aca="false">MAX(0,J8093-Assumptions!$C$12)*Assumptions!$C$13</f>
        <v>0</v>
      </c>
      <c r="K8095" s="16" t="n">
        <f aca="false">MAX(0,K8093-Assumptions!$C$12)*Assumptions!$C$13</f>
        <v>0</v>
      </c>
    </row>
    <row r="8096" customFormat="false" ht="15" hidden="false" customHeight="false" outlineLevel="0" collapsed="false">
      <c r="A8096" s="3" t="s">
        <v>406</v>
      </c>
      <c r="G8096" s="16" t="n">
        <f aca="false">G7918+G7931+G7944+G7957+G7970+G7983+G7996+G8009+G8022+G8035</f>
        <v>0</v>
      </c>
      <c r="H8096" s="16" t="n">
        <f aca="false">H7918+H7931+H7944+H7957+H7970+H7983+H7996+H8009+H8022+H8035</f>
        <v>0</v>
      </c>
      <c r="I8096" s="16" t="n">
        <f aca="false">I7918+I7931+I7944+I7957+I7970+I7983+I7996+I8009+I8022+I8035</f>
        <v>0</v>
      </c>
      <c r="J8096" s="16" t="n">
        <f aca="false">J7918+J7931+J7944+J7957+J7970+J7983+J7996+J8009+J8022+J8035</f>
        <v>0</v>
      </c>
      <c r="K8096" s="16" t="n">
        <f aca="false">K7918+K7931+K7944+K7957+K7970+K7983+K7996+K8009+K8022+K8035</f>
        <v>0</v>
      </c>
    </row>
    <row r="8097" customFormat="false" ht="15" hidden="false" customHeight="false" outlineLevel="0" collapsed="false">
      <c r="A8097" s="2" t="s">
        <v>407</v>
      </c>
      <c r="F8097" s="28" t="n">
        <f aca="false">Assumptions!$C$11</f>
        <v>37.87</v>
      </c>
      <c r="G8097" s="17" t="n">
        <f aca="false">G8093-G8096</f>
        <v>141.683162</v>
      </c>
      <c r="H8097" s="17" t="n">
        <f aca="false">H8093-H8096</f>
        <v>0</v>
      </c>
      <c r="I8097" s="17" t="n">
        <f aca="false">I8093-I8096</f>
        <v>-51.2477933326955</v>
      </c>
      <c r="J8097" s="17" t="n">
        <f aca="false">J8093-J8096</f>
        <v>-98.450852794991</v>
      </c>
      <c r="K8097" s="17" t="n">
        <f aca="false">K8093-K8096</f>
        <v>-141.549886790626</v>
      </c>
    </row>
    <row r="8098" customFormat="false" ht="15" hidden="false" customHeight="false" outlineLevel="0" collapsed="false">
      <c r="A8098" s="3" t="s">
        <v>408</v>
      </c>
      <c r="G8098" s="16" t="n">
        <f aca="false">G7919+G7932+G7945+G7958+G7971+G7984+G7997+G8010+G8023+G8036</f>
        <v>0</v>
      </c>
      <c r="H8098" s="16" t="n">
        <f aca="false">H7919+H7932+H7945+H7958+H7971+H7984+H7997+H8010+H8023+H8036</f>
        <v>714.536946929</v>
      </c>
      <c r="I8098" s="16" t="n">
        <f aca="false">I7919+I7932+I7945+I7958+I7971+I7984+I7997+I8010+I8023+I8036</f>
        <v>550</v>
      </c>
      <c r="J8098" s="16" t="n">
        <f aca="false">J7919+J7932+J7945+J7958+J7971+J7984+J7997+J8010+J8023+J8036</f>
        <v>350</v>
      </c>
      <c r="K8098" s="16" t="n">
        <f aca="false">K7919+K7932+K7945+K7958+K7971+K7984+K7997+K8010+K8023+K8036</f>
        <v>680</v>
      </c>
    </row>
    <row r="8099" customFormat="false" ht="15" hidden="false" customHeight="false" outlineLevel="0" collapsed="false">
      <c r="A8099" s="3" t="s">
        <v>409</v>
      </c>
      <c r="G8099" s="21" t="n">
        <f aca="false">IF(OR(G8094&gt;0.001,G8098&gt;0.001),1,0)</f>
        <v>0</v>
      </c>
      <c r="H8099" s="21" t="n">
        <f aca="false">IF(OR(H8094&gt;0.001,H8098&gt;0.001),1,0)</f>
        <v>1</v>
      </c>
      <c r="I8099" s="21" t="n">
        <f aca="false">IF(OR(I8094&gt;0.001,I8098&gt;0.001),1,0)</f>
        <v>1</v>
      </c>
      <c r="J8099" s="21" t="n">
        <f aca="false">IF(OR(J8094&gt;0.001,J8098&gt;0.001),1,0)</f>
        <v>1</v>
      </c>
      <c r="K8099" s="21" t="n">
        <f aca="false">IF(OR(K8094&gt;0.001,K8098&gt;0.001),1,0)</f>
        <v>1</v>
      </c>
    </row>
    <row r="8100" customFormat="false" ht="15" hidden="false" customHeight="false" outlineLevel="0" collapsed="false">
      <c r="A8100" s="3" t="s">
        <v>410</v>
      </c>
      <c r="G8100" s="21" t="n">
        <f aca="false">IF(G8099=1,1,0)</f>
        <v>0</v>
      </c>
      <c r="H8100" s="21" t="n">
        <f aca="false">IF(AND(H8099=1,SUM($G$8099:G8099)=0),1,0)</f>
        <v>1</v>
      </c>
      <c r="I8100" s="21" t="n">
        <f aca="false">IF(AND(I8099=1,SUM($G$8099:H8099)=0),1,0)</f>
        <v>0</v>
      </c>
      <c r="J8100" s="21" t="n">
        <f aca="false">IF(AND(J8099=1,SUM($G$8099:I8099)=0),1,0)</f>
        <v>0</v>
      </c>
      <c r="K8100" s="21" t="n">
        <f aca="false">IF(AND(K8099=1,SUM($G$8099:J8099)=0),1,0)</f>
        <v>0</v>
      </c>
    </row>
    <row r="8101" customFormat="false" ht="15" hidden="false" customHeight="false" outlineLevel="0" collapsed="false">
      <c r="A8101" s="3" t="s">
        <v>411</v>
      </c>
      <c r="G8101" s="16" t="n">
        <f aca="false">(G8039-F8039)-(G8090+G7888-G8088-G8092-G8096)</f>
        <v>0</v>
      </c>
      <c r="H8101" s="16" t="n">
        <f aca="false">(H8039-G8039)-(H8090+H7888-H8088-H8092-H8096)</f>
        <v>0</v>
      </c>
      <c r="I8101" s="16" t="n">
        <f aca="false">(I8039-H8039)-(I8090+I7888-I8088-I8092-I8096)</f>
        <v>0</v>
      </c>
      <c r="J8101" s="16" t="n">
        <f aca="false">(J8039-I8039)-(J8090+J7888-J8088-J8092-J8096)</f>
        <v>0</v>
      </c>
      <c r="K8101" s="16" t="n">
        <f aca="false">(K8039-J8039)-(K8090+K7888-K8088-K8092-K8096)</f>
        <v>0</v>
      </c>
    </row>
    <row r="8103" customFormat="false" ht="15" hidden="false" customHeight="false" outlineLevel="0" collapsed="false">
      <c r="A8103" s="24" t="s">
        <v>413</v>
      </c>
      <c r="B8103" s="25"/>
      <c r="C8103" s="25"/>
      <c r="D8103" s="25"/>
      <c r="E8103" s="25"/>
      <c r="F8103" s="25"/>
      <c r="G8103" s="25"/>
      <c r="H8103" s="25"/>
      <c r="I8103" s="25"/>
      <c r="J8103" s="25"/>
      <c r="K8103" s="25"/>
    </row>
    <row r="8104" customFormat="false" ht="15" hidden="false" customHeight="false" outlineLevel="0" collapsed="false">
      <c r="A8104" s="3" t="s">
        <v>414</v>
      </c>
      <c r="G8104" s="16" t="n">
        <f aca="false">G8039</f>
        <v>2621.934</v>
      </c>
      <c r="H8104" s="16" t="n">
        <f aca="false">H8039</f>
        <v>2532.470946929</v>
      </c>
      <c r="I8104" s="16" t="n">
        <f aca="false">I8039</f>
        <v>2528.470946929</v>
      </c>
      <c r="J8104" s="16" t="n">
        <f aca="false">J8039</f>
        <v>2524.470946929</v>
      </c>
      <c r="K8104" s="16" t="n">
        <f aca="false">K8039</f>
        <v>2520.470946929</v>
      </c>
    </row>
    <row r="8105" customFormat="false" ht="15" hidden="false" customHeight="false" outlineLevel="0" collapsed="false">
      <c r="A8105" s="3" t="s">
        <v>415</v>
      </c>
      <c r="G8105" s="16" t="n">
        <f aca="false">Assumptions!$O$57*G7920+Assumptions!$O$58*G7933+Assumptions!$O$59*G7946+Assumptions!$O$60*G7959+Assumptions!$O$61*G7972+Assumptions!$O$62*G7985+Assumptions!$O$63*G7998+Assumptions!$O$64*G8011+Assumptions!$O$65*G8024+Assumptions!$O$66*G8037</f>
        <v>543.324</v>
      </c>
      <c r="H8105" s="16" t="n">
        <f aca="false">Assumptions!$O$57*H7920+Assumptions!$O$58*H7933+Assumptions!$O$59*H7946+Assumptions!$O$60*H7959+Assumptions!$O$61*H7972+Assumptions!$O$62*H7985+Assumptions!$O$63*H7998+Assumptions!$O$64*H8011+Assumptions!$O$65*H8024+Assumptions!$O$66*H8037</f>
        <v>539.324</v>
      </c>
      <c r="I8105" s="16" t="n">
        <f aca="false">Assumptions!$O$57*I7920+Assumptions!$O$58*I7933+Assumptions!$O$59*I7946+Assumptions!$O$60*I7959+Assumptions!$O$61*I7972+Assumptions!$O$62*I7985+Assumptions!$O$63*I7998+Assumptions!$O$64*I8011+Assumptions!$O$65*I8024+Assumptions!$O$66*I8037</f>
        <v>535.324</v>
      </c>
      <c r="J8105" s="16" t="n">
        <f aca="false">Assumptions!$O$57*J7920+Assumptions!$O$58*J7933+Assumptions!$O$59*J7946+Assumptions!$O$60*J7959+Assumptions!$O$61*J7972+Assumptions!$O$62*J7985+Assumptions!$O$63*J7998+Assumptions!$O$64*J8011+Assumptions!$O$65*J8024+Assumptions!$O$66*J8037</f>
        <v>531.324</v>
      </c>
      <c r="K8105" s="16" t="n">
        <f aca="false">Assumptions!$O$57*K7920+Assumptions!$O$58*K7933+Assumptions!$O$59*K7946+Assumptions!$O$60*K7959+Assumptions!$O$61*K7972+Assumptions!$O$62*K7985+Assumptions!$O$63*K7998+Assumptions!$O$64*K8011+Assumptions!$O$65*K8024+Assumptions!$O$66*K8037</f>
        <v>527.324</v>
      </c>
    </row>
    <row r="8106" customFormat="false" ht="15" hidden="false" customHeight="false" outlineLevel="0" collapsed="false">
      <c r="A8106" s="3" t="s">
        <v>416</v>
      </c>
      <c r="G8106" s="16" t="n">
        <f aca="false">G8104-G8097</f>
        <v>2480.250838</v>
      </c>
      <c r="H8106" s="16" t="n">
        <f aca="false">H8104-H8097</f>
        <v>2532.470946929</v>
      </c>
      <c r="I8106" s="16" t="n">
        <f aca="false">I8104-I8097</f>
        <v>2579.7187402617</v>
      </c>
      <c r="J8106" s="16" t="n">
        <f aca="false">J8104-J8097</f>
        <v>2622.92179972399</v>
      </c>
      <c r="K8106" s="16" t="n">
        <f aca="false">K8104-K8097</f>
        <v>2662.02083371963</v>
      </c>
    </row>
    <row r="8107" customFormat="false" ht="15" hidden="false" customHeight="false" outlineLevel="0" collapsed="false">
      <c r="A8107" s="3" t="s">
        <v>417</v>
      </c>
      <c r="G8107" s="32" t="n">
        <f aca="false">IF(G7883&gt;0,G8104/G7883,0)</f>
        <v>10.3661406887322</v>
      </c>
      <c r="H8107" s="32" t="n">
        <f aca="false">IF(H7883&gt;0,H8104/H7883,0)</f>
        <v>10.6170176010071</v>
      </c>
      <c r="I8107" s="32" t="n">
        <f aca="false">IF(I7883&gt;0,I8104/I7883,0)</f>
        <v>10.6002481804317</v>
      </c>
      <c r="J8107" s="32" t="n">
        <f aca="false">IF(J7883&gt;0,J8104/J7883,0)</f>
        <v>10.379836258032</v>
      </c>
      <c r="K8107" s="32" t="n">
        <f aca="false">IF(K7883&gt;0,K8104/K7883,0)</f>
        <v>10.1648865341632</v>
      </c>
    </row>
    <row r="8108" customFormat="false" ht="15" hidden="false" customHeight="false" outlineLevel="0" collapsed="false">
      <c r="A8108" s="3" t="s">
        <v>418</v>
      </c>
      <c r="G8108" s="32" t="n">
        <f aca="false">IF(G7883&gt;0,G8106/G7883,0)</f>
        <v>9.80597876607651</v>
      </c>
      <c r="H8108" s="32" t="n">
        <f aca="false">IF(H7883&gt;0,H8106/H7883,0)</f>
        <v>10.6170176010071</v>
      </c>
      <c r="I8108" s="32" t="n">
        <f aca="false">IF(I7883&gt;0,I8106/I7883,0)</f>
        <v>10.8150971304209</v>
      </c>
      <c r="J8108" s="32" t="n">
        <f aca="false">IF(J7883&gt;0,J8106/J7883,0)</f>
        <v>10.7846354230685</v>
      </c>
      <c r="K8108" s="32" t="n">
        <f aca="false">IF(K7883&gt;0,K8106/K7883,0)</f>
        <v>10.7357475234174</v>
      </c>
    </row>
    <row r="8109" customFormat="false" ht="15" hidden="false" customHeight="false" outlineLevel="0" collapsed="false">
      <c r="A8109" s="3" t="s">
        <v>419</v>
      </c>
      <c r="G8109" s="32" t="n">
        <f aca="false">IF(G7887&gt;0,G7883/G7887,0)</f>
        <v>1.34977364611979</v>
      </c>
      <c r="H8109" s="32" t="n">
        <f aca="false">IF(H7887&gt;0,H7883/H7887,0)</f>
        <v>1.28068849127148</v>
      </c>
      <c r="I8109" s="32" t="n">
        <f aca="false">IF(I7887&gt;0,I7883/I7887,0)</f>
        <v>1.31581667071688</v>
      </c>
      <c r="J8109" s="32" t="n">
        <f aca="false">IF(J7887&gt;0,J7883/J7887,0)</f>
        <v>1.34467300373719</v>
      </c>
      <c r="K8109" s="32" t="n">
        <f aca="false">IF(K7887&gt;0,K7883/K7887,0)</f>
        <v>1.37404692720056</v>
      </c>
    </row>
    <row r="8110" customFormat="false" ht="15" hidden="false" customHeight="false" outlineLevel="0" collapsed="false">
      <c r="A8110" s="3" t="s">
        <v>420</v>
      </c>
      <c r="G8110" s="32" t="n">
        <f aca="false">IF(G7887&gt;0,G7886/G7887,0)</f>
        <v>0.420287000727046</v>
      </c>
      <c r="H8110" s="32" t="n">
        <f aca="false">IF(H7887&gt;0,H7886/H7887,0)</f>
        <v>0.373578034919607</v>
      </c>
      <c r="I8110" s="32" t="n">
        <f aca="false">IF(I7887&gt;0,I7886/I7887,0)</f>
        <v>0.383824957834084</v>
      </c>
      <c r="J8110" s="32" t="n">
        <f aca="false">IF(J7887&gt;0,J7886/J7887,0)</f>
        <v>0.401227571849204</v>
      </c>
      <c r="K8110" s="32" t="n">
        <f aca="false">IF(K7887&gt;0,K7886/K7887,0)</f>
        <v>0.419002108189467</v>
      </c>
    </row>
    <row r="8111" customFormat="false" ht="15" hidden="false" customHeight="false" outlineLevel="0" collapsed="false">
      <c r="A8111" s="3" t="s">
        <v>213</v>
      </c>
      <c r="G8111" s="22" t="n">
        <f aca="false">IF(G8104&gt;0,G7896/G8104,0)</f>
        <v>-0.0160899694652878</v>
      </c>
      <c r="H8111" s="22" t="n">
        <f aca="false">IF(H8104&gt;0,H7896/H8104,0)</f>
        <v>-0.020620220339477</v>
      </c>
      <c r="I8111" s="22" t="n">
        <f aca="false">IF(I8104&gt;0,I7896/I8104,0)</f>
        <v>-0.0186863105506833</v>
      </c>
      <c r="J8111" s="22" t="n">
        <f aca="false">IF(J8104&gt;0,J7896/J8104,0)</f>
        <v>-0.0171137083256401</v>
      </c>
      <c r="K8111" s="22" t="n">
        <f aca="false">IF(K8104&gt;0,K7896/K8104,0)</f>
        <v>-0.015512590630443</v>
      </c>
    </row>
    <row r="8112" customFormat="false" ht="15" hidden="false" customHeight="false" outlineLevel="0" collapsed="false">
      <c r="A8112" s="3" t="s">
        <v>421</v>
      </c>
      <c r="G8112" s="32" t="n">
        <f aca="false">IF(G7887+G8088&gt;0,(G7883-G7894-G7891)/(G7887+G8088),0)</f>
        <v>0.881042376623396</v>
      </c>
      <c r="H8112" s="32" t="n">
        <f aca="false">IF(H7887+H8088&gt;0,(H7883-H7894-H7891)/(H7887+H8088),0)</f>
        <v>0.823900866452786</v>
      </c>
      <c r="I8112" s="32" t="n">
        <f aca="false">IF(I7887+I8088&gt;0,(I7883-I7894-I7891)/(I7887+I8088),0)</f>
        <v>0.846011865898256</v>
      </c>
      <c r="J8112" s="32" t="n">
        <f aca="false">IF(J7887+J8088&gt;0,(J7883-J7894-J7891)/(J7887+J8088),0)</f>
        <v>0.868778141474292</v>
      </c>
      <c r="K8112" s="32" t="n">
        <f aca="false">IF(K7887+K8088&gt;0,(K7883-K7894-K7891)/(K7887+K8088),0)</f>
        <v>0.891979374535709</v>
      </c>
    </row>
    <row r="8113" customFormat="false" ht="15" hidden="false" customHeight="false" outlineLevel="0" collapsed="false">
      <c r="A8113" s="3" t="s">
        <v>422</v>
      </c>
      <c r="G8113" s="16" t="n">
        <f aca="false">MAX(0,G8097)+Assumptions!$P$57*MAX(0,Assumptions!$D$57-G7920)+Assumptions!$P$58*MAX(0,Assumptions!$D$58-G7933)+Assumptions!$P$59*MAX(0,Assumptions!$D$59-G7946)+Assumptions!$P$60*MAX(0,Assumptions!$D$60-G7959)+Assumptions!$P$61*MAX(0,Assumptions!$D$61-G7972)+Assumptions!$P$62*MAX(0,Assumptions!$D$62-G7985)+Assumptions!$P$63*MAX(0,Assumptions!$D$63-G7998)+Assumptions!$P$64*MAX(0,Assumptions!$D$64-G8011)+Assumptions!$P$65*MAX(0,Assumptions!$D$65-G8024)+Assumptions!$P$66*MAX(0,Assumptions!$D$66-G8037)</f>
        <v>716.183162</v>
      </c>
      <c r="H8113" s="16" t="n">
        <f aca="false">MAX(0,H8097)+Assumptions!$P$57*MAX(0,Assumptions!$D$57-H7920)+Assumptions!$P$58*MAX(0,Assumptions!$D$58-H7933)+Assumptions!$P$59*MAX(0,Assumptions!$D$59-H7946)+Assumptions!$P$60*MAX(0,Assumptions!$D$60-H7959)+Assumptions!$P$61*MAX(0,Assumptions!$D$61-H7972)+Assumptions!$P$62*MAX(0,Assumptions!$D$62-H7985)+Assumptions!$P$63*MAX(0,Assumptions!$D$63-H7998)+Assumptions!$P$64*MAX(0,Assumptions!$D$64-H8011)+Assumptions!$P$65*MAX(0,Assumptions!$D$65-H8024)+Assumptions!$P$66*MAX(0,Assumptions!$D$66-H8037)</f>
        <v>574.5</v>
      </c>
      <c r="I8113" s="16" t="n">
        <f aca="false">MAX(0,I8097)+Assumptions!$P$57*MAX(0,Assumptions!$D$57-I7920)+Assumptions!$P$58*MAX(0,Assumptions!$D$58-I7933)+Assumptions!$P$59*MAX(0,Assumptions!$D$59-I7946)+Assumptions!$P$60*MAX(0,Assumptions!$D$60-I7959)+Assumptions!$P$61*MAX(0,Assumptions!$D$61-I7972)+Assumptions!$P$62*MAX(0,Assumptions!$D$62-I7985)+Assumptions!$P$63*MAX(0,Assumptions!$D$63-I7998)+Assumptions!$P$64*MAX(0,Assumptions!$D$64-I8011)+Assumptions!$P$65*MAX(0,Assumptions!$D$65-I8024)+Assumptions!$P$66*MAX(0,Assumptions!$D$66-I8037)</f>
        <v>574.5</v>
      </c>
      <c r="J8113" s="16" t="n">
        <f aca="false">MAX(0,J8097)+Assumptions!$P$57*MAX(0,Assumptions!$D$57-J7920)+Assumptions!$P$58*MAX(0,Assumptions!$D$58-J7933)+Assumptions!$P$59*MAX(0,Assumptions!$D$59-J7946)+Assumptions!$P$60*MAX(0,Assumptions!$D$60-J7959)+Assumptions!$P$61*MAX(0,Assumptions!$D$61-J7972)+Assumptions!$P$62*MAX(0,Assumptions!$D$62-J7985)+Assumptions!$P$63*MAX(0,Assumptions!$D$63-J7998)+Assumptions!$P$64*MAX(0,Assumptions!$D$64-J8011)+Assumptions!$P$65*MAX(0,Assumptions!$D$65-J8024)+Assumptions!$P$66*MAX(0,Assumptions!$D$66-J8037)</f>
        <v>574.5</v>
      </c>
      <c r="K8113" s="16" t="n">
        <f aca="false">MAX(0,K8097)+Assumptions!$P$57*MAX(0,Assumptions!$D$57-K7920)+Assumptions!$P$58*MAX(0,Assumptions!$D$58-K7933)+Assumptions!$P$59*MAX(0,Assumptions!$D$59-K7946)+Assumptions!$P$60*MAX(0,Assumptions!$D$60-K7959)+Assumptions!$P$61*MAX(0,Assumptions!$D$61-K7972)+Assumptions!$P$62*MAX(0,Assumptions!$D$62-K7985)+Assumptions!$P$63*MAX(0,Assumptions!$D$63-K7998)+Assumptions!$P$64*MAX(0,Assumptions!$D$64-K8011)+Assumptions!$P$65*MAX(0,Assumptions!$D$65-K8024)+Assumptions!$P$66*MAX(0,Assumptions!$D$66-K8037)</f>
        <v>574.5</v>
      </c>
    </row>
    <row r="8114" customFormat="false" ht="15" hidden="false" customHeight="false" outlineLevel="0" collapsed="false">
      <c r="A8114" s="3" t="s">
        <v>423</v>
      </c>
      <c r="G8114" s="22" t="n">
        <f aca="false">IF(G8104&gt;0,G8104/(G8104+MAX(0,G7883*CHOOSE($C$7866,Assumptions!$C$90,Assumptions!$C$109,Assumptions!$C$128)-G8106)),0)</f>
        <v>0.896712412688318</v>
      </c>
      <c r="H8114" s="22" t="n">
        <f aca="false">IF(H8104&gt;0,H8104/(H8104+MAX(0,H7883*CHOOSE($C$7866,Assumptions!$C$90,Assumptions!$C$109,Assumptions!$C$128)-H8106)),0)</f>
        <v>0.96518341827337</v>
      </c>
      <c r="I8114" s="22" t="n">
        <f aca="false">IF(I8104&gt;0,I8104/(I8104+MAX(0,I7883*CHOOSE($C$7866,Assumptions!$C$90,Assumptions!$C$109,Assumptions!$C$128)-I8106)),0)</f>
        <v>0.982855792309104</v>
      </c>
      <c r="J8114" s="22" t="n">
        <f aca="false">IF(J8104&gt;0,J8104/(J8104+MAX(0,J7883*CHOOSE($C$7866,Assumptions!$C$90,Assumptions!$C$109,Assumptions!$C$128)-J8106)),0)</f>
        <v>0.979673384177783</v>
      </c>
      <c r="K8114" s="22" t="n">
        <f aca="false">IF(K8104&gt;0,K8104/(K8104+MAX(0,K7883*CHOOSE($C$7866,Assumptions!$C$90,Assumptions!$C$109,Assumptions!$C$128)-K8106)),0)</f>
        <v>0.974662100456204</v>
      </c>
    </row>
    <row r="8115" customFormat="false" ht="15" hidden="false" customHeight="false" outlineLevel="0" collapsed="false">
      <c r="A8115" s="3" t="s">
        <v>424</v>
      </c>
      <c r="G8115" s="22" t="n">
        <f aca="false">IF(G8104&gt;0,MAX(0,G8097)/G8104,0)</f>
        <v>0.054037653884499</v>
      </c>
      <c r="H8115" s="22" t="n">
        <f aca="false">IF(H8104&gt;0,MAX(0,H8097)/H8104,0)</f>
        <v>0</v>
      </c>
      <c r="I8115" s="22" t="n">
        <f aca="false">IF(I8104&gt;0,MAX(0,I8097)/I8104,0)</f>
        <v>0</v>
      </c>
      <c r="J8115" s="22" t="n">
        <f aca="false">IF(J8104&gt;0,MAX(0,J8097)/J8104,0)</f>
        <v>0</v>
      </c>
      <c r="K8115" s="22" t="n">
        <f aca="false">IF(K8104&gt;0,MAX(0,K8097)/K8104,0)</f>
        <v>0</v>
      </c>
    </row>
    <row r="8116" customFormat="false" ht="15" hidden="false" customHeight="false" outlineLevel="0" collapsed="false">
      <c r="A8116" s="3" t="s">
        <v>425</v>
      </c>
      <c r="G8116" s="16" t="n">
        <f aca="false">Assumptions!$C$31*(1-CHOOSE($C$7866,Assumptions!$C$93,Assumptions!$C$112,Assumptions!$C$131))</f>
        <v>3840.04556666667</v>
      </c>
      <c r="H8116" s="16" t="n">
        <f aca="false">Assumptions!$C$31*(1-CHOOSE($C$7866,Assumptions!$C$93,Assumptions!$C$112,Assumptions!$C$131))</f>
        <v>3840.04556666667</v>
      </c>
      <c r="I8116" s="16" t="n">
        <f aca="false">Assumptions!$C$31*(1-CHOOSE($C$7866,Assumptions!$C$93,Assumptions!$C$112,Assumptions!$C$131))</f>
        <v>3840.04556666667</v>
      </c>
      <c r="J8116" s="16" t="n">
        <f aca="false">Assumptions!$C$31*(1-CHOOSE($C$7866,Assumptions!$C$93,Assumptions!$C$112,Assumptions!$C$131))</f>
        <v>3840.04556666667</v>
      </c>
      <c r="K8116" s="16" t="n">
        <f aca="false">Assumptions!$C$31*(1-CHOOSE($C$7866,Assumptions!$C$93,Assumptions!$C$112,Assumptions!$C$131))</f>
        <v>3840.04556666667</v>
      </c>
    </row>
    <row r="8117" customFormat="false" ht="15" hidden="false" customHeight="false" outlineLevel="0" collapsed="false">
      <c r="A8117" s="24" t="s">
        <v>426</v>
      </c>
      <c r="B8117" s="25"/>
      <c r="C8117" s="25"/>
      <c r="D8117" s="25"/>
      <c r="E8117" s="25"/>
      <c r="F8117" s="25"/>
      <c r="G8117" s="25"/>
      <c r="H8117" s="25"/>
      <c r="I8117" s="25"/>
      <c r="J8117" s="25"/>
      <c r="K8117" s="25"/>
    </row>
    <row r="8118" customFormat="false" ht="15" hidden="false" customHeight="false" outlineLevel="0" collapsed="false">
      <c r="A8118" s="24" t="s">
        <v>427</v>
      </c>
      <c r="B8118" s="25"/>
      <c r="C8118" s="25"/>
      <c r="D8118" s="25"/>
      <c r="E8118" s="25"/>
      <c r="F8118" s="25"/>
      <c r="G8118" s="25"/>
      <c r="H8118" s="25"/>
      <c r="I8118" s="25"/>
      <c r="J8118" s="25"/>
      <c r="K8118" s="25"/>
    </row>
    <row r="8119" customFormat="false" ht="15" hidden="false" customHeight="false" outlineLevel="0" collapsed="false">
      <c r="A8119" s="3" t="s">
        <v>428</v>
      </c>
      <c r="G8119" s="22" t="n">
        <f aca="false">IF(G8116&gt;0,G8104/G8116,99)</f>
        <v>0.68278721032885</v>
      </c>
      <c r="H8119" s="22" t="n">
        <f aca="false">IF(H8116&gt;0,H8104/H8116,99)</f>
        <v>0.659489816712592</v>
      </c>
      <c r="I8119" s="22" t="n">
        <f aca="false">IF(I8116&gt;0,I8104/I8116,99)</f>
        <v>0.658448162406528</v>
      </c>
      <c r="J8119" s="22" t="n">
        <f aca="false">IF(J8116&gt;0,J8104/J8116,99)</f>
        <v>0.657406508100464</v>
      </c>
      <c r="K8119" s="22" t="n">
        <f aca="false">IF(K8116&gt;0,K8104/K8116,99)</f>
        <v>0.6563648537944</v>
      </c>
    </row>
    <row r="8120" customFormat="false" ht="15" hidden="false" customHeight="false" outlineLevel="0" collapsed="false">
      <c r="A8120" s="3" t="s">
        <v>429</v>
      </c>
      <c r="G8120" s="33" t="n">
        <f aca="false">Assumptions!$G$71</f>
        <v>0.6</v>
      </c>
      <c r="H8120" s="33" t="n">
        <f aca="false">Assumptions!$H$71</f>
        <v>0.6</v>
      </c>
      <c r="I8120" s="33" t="n">
        <f aca="false">Assumptions!$I$71</f>
        <v>0.6</v>
      </c>
      <c r="J8120" s="33" t="n">
        <f aca="false">Assumptions!$J$71</f>
        <v>0.6</v>
      </c>
      <c r="K8120" s="33" t="n">
        <f aca="false">Assumptions!$K$71</f>
        <v>0.6</v>
      </c>
    </row>
    <row r="8121" customFormat="false" ht="15" hidden="false" customHeight="false" outlineLevel="0" collapsed="false">
      <c r="A8121" s="3" t="s">
        <v>430</v>
      </c>
      <c r="G8121" s="22" t="n">
        <f aca="false">G8120-G8119</f>
        <v>-0.0827872103288497</v>
      </c>
      <c r="H8121" s="22" t="n">
        <f aca="false">H8120-H8119</f>
        <v>-0.0594898167125917</v>
      </c>
      <c r="I8121" s="22" t="n">
        <f aca="false">I8120-I8119</f>
        <v>-0.0584481624065277</v>
      </c>
      <c r="J8121" s="22" t="n">
        <f aca="false">J8120-J8119</f>
        <v>-0.0574065081004638</v>
      </c>
      <c r="K8121" s="22" t="n">
        <f aca="false">K8120-K8119</f>
        <v>-0.0563648537943999</v>
      </c>
    </row>
    <row r="8122" customFormat="false" ht="15" hidden="false" customHeight="false" outlineLevel="0" collapsed="false">
      <c r="A8122" s="3" t="s">
        <v>431</v>
      </c>
      <c r="G8122" s="22" t="n">
        <f aca="false">IF(G8120=0,0,G8121/ABS(G8120))</f>
        <v>-0.137978683881416</v>
      </c>
      <c r="H8122" s="22" t="n">
        <f aca="false">IF(H8120=0,0,H8121/ABS(H8120))</f>
        <v>-0.0991496945209861</v>
      </c>
      <c r="I8122" s="22" t="n">
        <f aca="false">IF(I8120=0,0,I8121/ABS(I8120))</f>
        <v>-0.0974136040108796</v>
      </c>
      <c r="J8122" s="22" t="n">
        <f aca="false">IF(J8120=0,0,J8121/ABS(J8120))</f>
        <v>-0.095677513500773</v>
      </c>
      <c r="K8122" s="22" t="n">
        <f aca="false">IF(K8120=0,0,K8121/ABS(K8120))</f>
        <v>-0.0939414229906666</v>
      </c>
    </row>
    <row r="8123" customFormat="false" ht="15" hidden="false" customHeight="false" outlineLevel="0" collapsed="false">
      <c r="A8123" s="3" t="s">
        <v>432</v>
      </c>
      <c r="G8123" s="21" t="n">
        <f aca="false">IF(G8121&lt;0,1,0)</f>
        <v>1</v>
      </c>
      <c r="H8123" s="21" t="n">
        <f aca="false">IF(H8121&lt;0,1,0)</f>
        <v>1</v>
      </c>
      <c r="I8123" s="21" t="n">
        <f aca="false">IF(I8121&lt;0,1,0)</f>
        <v>1</v>
      </c>
      <c r="J8123" s="21" t="n">
        <f aca="false">IF(J8121&lt;0,1,0)</f>
        <v>1</v>
      </c>
      <c r="K8123" s="21" t="n">
        <f aca="false">IF(K8121&lt;0,1,0)</f>
        <v>1</v>
      </c>
    </row>
    <row r="8124" customFormat="false" ht="15" hidden="false" customHeight="false" outlineLevel="0" collapsed="false">
      <c r="A8124" s="3" t="s">
        <v>433</v>
      </c>
      <c r="C8124" s="21" t="n">
        <f aca="false">IFERROR(INDEX($G$7873:$K$7873,MATCH(1,$G$8123:$K$8123,0)),0)</f>
        <v>2027</v>
      </c>
    </row>
    <row r="8125" customFormat="false" ht="15" hidden="false" customHeight="false" outlineLevel="0" collapsed="false">
      <c r="A8125" s="3" t="s">
        <v>434</v>
      </c>
      <c r="C8125" s="22" t="n">
        <f aca="false">MIN($G$8122:$K$8122)</f>
        <v>-0.137978683881416</v>
      </c>
    </row>
    <row r="8126" customFormat="false" ht="15" hidden="false" customHeight="false" outlineLevel="0" collapsed="false">
      <c r="A8126" s="24" t="s">
        <v>435</v>
      </c>
      <c r="B8126" s="25"/>
      <c r="C8126" s="25"/>
      <c r="D8126" s="25"/>
      <c r="E8126" s="25"/>
      <c r="F8126" s="25"/>
      <c r="G8126" s="25"/>
      <c r="H8126" s="25"/>
      <c r="I8126" s="25"/>
      <c r="J8126" s="25"/>
      <c r="K8126" s="25"/>
    </row>
    <row r="8127" customFormat="false" ht="15" hidden="false" customHeight="false" outlineLevel="0" collapsed="false">
      <c r="A8127" s="3" t="s">
        <v>428</v>
      </c>
      <c r="G8127" s="32" t="n">
        <f aca="false">IF(G7887&gt;0,G7883/G7887,99)</f>
        <v>1.34977364611979</v>
      </c>
      <c r="H8127" s="32" t="n">
        <f aca="false">IF(H7887&gt;0,H7883/H7887,99)</f>
        <v>1.28068849127148</v>
      </c>
      <c r="I8127" s="32" t="n">
        <f aca="false">IF(I7887&gt;0,I7883/I7887,99)</f>
        <v>1.31581667071688</v>
      </c>
      <c r="J8127" s="32" t="n">
        <f aca="false">IF(J7887&gt;0,J7883/J7887,99)</f>
        <v>1.34467300373719</v>
      </c>
      <c r="K8127" s="32" t="n">
        <f aca="false">IF(K7887&gt;0,K7883/K7887,99)</f>
        <v>1.37404692720056</v>
      </c>
    </row>
    <row r="8128" customFormat="false" ht="15" hidden="false" customHeight="false" outlineLevel="0" collapsed="false">
      <c r="A8128" s="3" t="s">
        <v>429</v>
      </c>
      <c r="G8128" s="34" t="n">
        <f aca="false">Assumptions!$G$72</f>
        <v>1.5</v>
      </c>
      <c r="H8128" s="34" t="n">
        <f aca="false">Assumptions!$H$72</f>
        <v>1.5</v>
      </c>
      <c r="I8128" s="34" t="n">
        <f aca="false">Assumptions!$I$72</f>
        <v>1.5</v>
      </c>
      <c r="J8128" s="34" t="n">
        <f aca="false">Assumptions!$J$72</f>
        <v>1.5</v>
      </c>
      <c r="K8128" s="34" t="n">
        <f aca="false">Assumptions!$K$72</f>
        <v>1.5</v>
      </c>
    </row>
    <row r="8129" customFormat="false" ht="15" hidden="false" customHeight="false" outlineLevel="0" collapsed="false">
      <c r="A8129" s="3" t="s">
        <v>430</v>
      </c>
      <c r="G8129" s="32" t="n">
        <f aca="false">G8127-G8128</f>
        <v>-0.150226353880206</v>
      </c>
      <c r="H8129" s="32" t="n">
        <f aca="false">H8127-H8128</f>
        <v>-0.219311508728522</v>
      </c>
      <c r="I8129" s="32" t="n">
        <f aca="false">I8127-I8128</f>
        <v>-0.184183329283118</v>
      </c>
      <c r="J8129" s="32" t="n">
        <f aca="false">J8127-J8128</f>
        <v>-0.15532699626281</v>
      </c>
      <c r="K8129" s="32" t="n">
        <f aca="false">K8127-K8128</f>
        <v>-0.125953072799438</v>
      </c>
    </row>
    <row r="8130" customFormat="false" ht="15" hidden="false" customHeight="false" outlineLevel="0" collapsed="false">
      <c r="A8130" s="3" t="s">
        <v>431</v>
      </c>
      <c r="G8130" s="22" t="n">
        <f aca="false">IF(G8128=0,0,G8129/ABS(G8128))</f>
        <v>-0.100150902586804</v>
      </c>
      <c r="H8130" s="22" t="n">
        <f aca="false">IF(H8128=0,0,H8129/ABS(H8128))</f>
        <v>-0.146207672485682</v>
      </c>
      <c r="I8130" s="22" t="n">
        <f aca="false">IF(I8128=0,0,I8129/ABS(I8128))</f>
        <v>-0.122788886188745</v>
      </c>
      <c r="J8130" s="22" t="n">
        <f aca="false">IF(J8128=0,0,J8129/ABS(J8128))</f>
        <v>-0.103551330841873</v>
      </c>
      <c r="K8130" s="22" t="n">
        <f aca="false">IF(K8128=0,0,K8129/ABS(K8128))</f>
        <v>-0.0839687151996255</v>
      </c>
    </row>
    <row r="8131" customFormat="false" ht="15" hidden="false" customHeight="false" outlineLevel="0" collapsed="false">
      <c r="A8131" s="3" t="s">
        <v>432</v>
      </c>
      <c r="G8131" s="21" t="n">
        <f aca="false">IF(G8129&lt;0,1,0)</f>
        <v>1</v>
      </c>
      <c r="H8131" s="21" t="n">
        <f aca="false">IF(H8129&lt;0,1,0)</f>
        <v>1</v>
      </c>
      <c r="I8131" s="21" t="n">
        <f aca="false">IF(I8129&lt;0,1,0)</f>
        <v>1</v>
      </c>
      <c r="J8131" s="21" t="n">
        <f aca="false">IF(J8129&lt;0,1,0)</f>
        <v>1</v>
      </c>
      <c r="K8131" s="21" t="n">
        <f aca="false">IF(K8129&lt;0,1,0)</f>
        <v>1</v>
      </c>
    </row>
    <row r="8132" customFormat="false" ht="15" hidden="false" customHeight="false" outlineLevel="0" collapsed="false">
      <c r="A8132" s="3" t="s">
        <v>433</v>
      </c>
      <c r="C8132" s="21" t="n">
        <f aca="false">IFERROR(INDEX($G$7873:$K$7873,MATCH(1,$G$8131:$K$8131,0)),0)</f>
        <v>2027</v>
      </c>
    </row>
    <row r="8133" customFormat="false" ht="15" hidden="false" customHeight="false" outlineLevel="0" collapsed="false">
      <c r="A8133" s="3" t="s">
        <v>434</v>
      </c>
      <c r="C8133" s="22" t="n">
        <f aca="false">MIN($G$8130:$K$8130)</f>
        <v>-0.146207672485682</v>
      </c>
    </row>
    <row r="8134" customFormat="false" ht="15" hidden="false" customHeight="false" outlineLevel="0" collapsed="false">
      <c r="A8134" s="24" t="s">
        <v>436</v>
      </c>
      <c r="B8134" s="25"/>
      <c r="C8134" s="25"/>
      <c r="D8134" s="25"/>
      <c r="E8134" s="25"/>
      <c r="F8134" s="25"/>
      <c r="G8134" s="25"/>
      <c r="H8134" s="25"/>
      <c r="I8134" s="25"/>
      <c r="J8134" s="25"/>
      <c r="K8134" s="25"/>
    </row>
    <row r="8135" customFormat="false" ht="15" hidden="false" customHeight="false" outlineLevel="0" collapsed="false">
      <c r="A8135" s="3" t="s">
        <v>428</v>
      </c>
      <c r="G8135" s="22" t="n">
        <f aca="false">IF(G8116&gt;0,G8105/G8116,99)</f>
        <v>0.141488946046968</v>
      </c>
      <c r="H8135" s="22" t="n">
        <f aca="false">IF(H8116&gt;0,H8105/H8116,99)</f>
        <v>0.140447291740904</v>
      </c>
      <c r="I8135" s="22" t="n">
        <f aca="false">IF(I8116&gt;0,I8105/I8116,99)</f>
        <v>0.139405637434841</v>
      </c>
      <c r="J8135" s="22" t="n">
        <f aca="false">IF(J8116&gt;0,J8105/J8116,99)</f>
        <v>0.138363983128777</v>
      </c>
      <c r="K8135" s="22" t="n">
        <f aca="false">IF(K8116&gt;0,K8105/K8116,99)</f>
        <v>0.137322328822713</v>
      </c>
    </row>
    <row r="8136" customFormat="false" ht="15" hidden="false" customHeight="false" outlineLevel="0" collapsed="false">
      <c r="A8136" s="3" t="s">
        <v>429</v>
      </c>
      <c r="G8136" s="33" t="n">
        <f aca="false">Assumptions!$G$73</f>
        <v>0.4</v>
      </c>
      <c r="H8136" s="33" t="n">
        <f aca="false">Assumptions!$H$73</f>
        <v>0.4</v>
      </c>
      <c r="I8136" s="33" t="n">
        <f aca="false">Assumptions!$I$73</f>
        <v>0.4</v>
      </c>
      <c r="J8136" s="33" t="n">
        <f aca="false">Assumptions!$J$73</f>
        <v>0.4</v>
      </c>
      <c r="K8136" s="33" t="n">
        <f aca="false">Assumptions!$K$73</f>
        <v>0.4</v>
      </c>
    </row>
    <row r="8137" customFormat="false" ht="15" hidden="false" customHeight="false" outlineLevel="0" collapsed="false">
      <c r="A8137" s="3" t="s">
        <v>430</v>
      </c>
      <c r="G8137" s="22" t="n">
        <f aca="false">G8136-G8135</f>
        <v>0.258511053953032</v>
      </c>
      <c r="H8137" s="22" t="n">
        <f aca="false">H8136-H8135</f>
        <v>0.259552708259096</v>
      </c>
      <c r="I8137" s="22" t="n">
        <f aca="false">I8136-I8135</f>
        <v>0.26059436256516</v>
      </c>
      <c r="J8137" s="22" t="n">
        <f aca="false">J8136-J8135</f>
        <v>0.261636016871223</v>
      </c>
      <c r="K8137" s="22" t="n">
        <f aca="false">K8136-K8135</f>
        <v>0.262677671177287</v>
      </c>
    </row>
    <row r="8138" customFormat="false" ht="15" hidden="false" customHeight="false" outlineLevel="0" collapsed="false">
      <c r="A8138" s="3" t="s">
        <v>431</v>
      </c>
      <c r="G8138" s="22" t="n">
        <f aca="false">IF(G8136=0,0,G8137/ABS(G8136))</f>
        <v>0.646277634882579</v>
      </c>
      <c r="H8138" s="22" t="n">
        <f aca="false">IF(H8136=0,0,H8137/ABS(H8136))</f>
        <v>0.648881770647739</v>
      </c>
      <c r="I8138" s="22" t="n">
        <f aca="false">IF(I8136=0,0,I8137/ABS(I8136))</f>
        <v>0.651485906412899</v>
      </c>
      <c r="J8138" s="22" t="n">
        <f aca="false">IF(J8136=0,0,J8137/ABS(J8136))</f>
        <v>0.654090042178059</v>
      </c>
      <c r="K8138" s="22" t="n">
        <f aca="false">IF(K8136=0,0,K8137/ABS(K8136))</f>
        <v>0.656694177943218</v>
      </c>
    </row>
    <row r="8139" customFormat="false" ht="15" hidden="false" customHeight="false" outlineLevel="0" collapsed="false">
      <c r="A8139" s="3" t="s">
        <v>432</v>
      </c>
      <c r="G8139" s="21" t="n">
        <f aca="false">IF(G8137&lt;0,1,0)</f>
        <v>0</v>
      </c>
      <c r="H8139" s="21" t="n">
        <f aca="false">IF(H8137&lt;0,1,0)</f>
        <v>0</v>
      </c>
      <c r="I8139" s="21" t="n">
        <f aca="false">IF(I8137&lt;0,1,0)</f>
        <v>0</v>
      </c>
      <c r="J8139" s="21" t="n">
        <f aca="false">IF(J8137&lt;0,1,0)</f>
        <v>0</v>
      </c>
      <c r="K8139" s="21" t="n">
        <f aca="false">IF(K8137&lt;0,1,0)</f>
        <v>0</v>
      </c>
    </row>
    <row r="8140" customFormat="false" ht="15" hidden="false" customHeight="false" outlineLevel="0" collapsed="false">
      <c r="A8140" s="3" t="s">
        <v>433</v>
      </c>
      <c r="C8140" s="21" t="n">
        <f aca="false">IFERROR(INDEX($G$7873:$K$7873,MATCH(1,$G$8139:$K$8139,0)),0)</f>
        <v>0</v>
      </c>
    </row>
    <row r="8141" customFormat="false" ht="15" hidden="false" customHeight="false" outlineLevel="0" collapsed="false">
      <c r="A8141" s="3" t="s">
        <v>434</v>
      </c>
      <c r="C8141" s="22" t="n">
        <f aca="false">MIN($G$8138:$K$8138)</f>
        <v>0.646277634882579</v>
      </c>
    </row>
    <row r="8142" customFormat="false" ht="15" hidden="false" customHeight="false" outlineLevel="0" collapsed="false">
      <c r="A8142" s="24" t="s">
        <v>437</v>
      </c>
      <c r="B8142" s="25"/>
      <c r="C8142" s="25"/>
      <c r="D8142" s="25"/>
      <c r="E8142" s="25"/>
      <c r="F8142" s="25"/>
      <c r="G8142" s="25"/>
      <c r="H8142" s="25"/>
      <c r="I8142" s="25"/>
      <c r="J8142" s="25"/>
      <c r="K8142" s="25"/>
    </row>
    <row r="8143" customFormat="false" ht="15" hidden="false" customHeight="false" outlineLevel="0" collapsed="false">
      <c r="A8143" s="3" t="s">
        <v>428</v>
      </c>
      <c r="G8143" s="16" t="n">
        <f aca="false">G8113</f>
        <v>716.183162</v>
      </c>
      <c r="H8143" s="16" t="n">
        <f aca="false">H8113</f>
        <v>574.5</v>
      </c>
      <c r="I8143" s="16" t="n">
        <f aca="false">I8113</f>
        <v>574.5</v>
      </c>
      <c r="J8143" s="16" t="n">
        <f aca="false">J8113</f>
        <v>574.5</v>
      </c>
      <c r="K8143" s="16" t="n">
        <f aca="false">K8113</f>
        <v>574.5</v>
      </c>
    </row>
    <row r="8144" customFormat="false" ht="15" hidden="false" customHeight="false" outlineLevel="0" collapsed="false">
      <c r="A8144" s="3" t="s">
        <v>429</v>
      </c>
      <c r="G8144" s="29" t="n">
        <f aca="false">Assumptions!$G$74</f>
        <v>100</v>
      </c>
      <c r="H8144" s="29" t="n">
        <f aca="false">Assumptions!$H$74</f>
        <v>100</v>
      </c>
      <c r="I8144" s="29" t="n">
        <f aca="false">Assumptions!$I$74</f>
        <v>100</v>
      </c>
      <c r="J8144" s="29" t="n">
        <f aca="false">Assumptions!$J$74</f>
        <v>100</v>
      </c>
      <c r="K8144" s="29" t="n">
        <f aca="false">Assumptions!$K$74</f>
        <v>100</v>
      </c>
    </row>
    <row r="8145" customFormat="false" ht="15" hidden="false" customHeight="false" outlineLevel="0" collapsed="false">
      <c r="A8145" s="3" t="s">
        <v>430</v>
      </c>
      <c r="G8145" s="16" t="n">
        <f aca="false">G8143-G8144</f>
        <v>616.183162</v>
      </c>
      <c r="H8145" s="16" t="n">
        <f aca="false">H8143-H8144</f>
        <v>474.5</v>
      </c>
      <c r="I8145" s="16" t="n">
        <f aca="false">I8143-I8144</f>
        <v>474.5</v>
      </c>
      <c r="J8145" s="16" t="n">
        <f aca="false">J8143-J8144</f>
        <v>474.5</v>
      </c>
      <c r="K8145" s="16" t="n">
        <f aca="false">K8143-K8144</f>
        <v>474.5</v>
      </c>
    </row>
    <row r="8146" customFormat="false" ht="15" hidden="false" customHeight="false" outlineLevel="0" collapsed="false">
      <c r="A8146" s="3" t="s">
        <v>431</v>
      </c>
      <c r="G8146" s="22" t="n">
        <f aca="false">IF(G8144=0,0,G8145/ABS(G8144))</f>
        <v>6.16183162</v>
      </c>
      <c r="H8146" s="22" t="n">
        <f aca="false">IF(H8144=0,0,H8145/ABS(H8144))</f>
        <v>4.745</v>
      </c>
      <c r="I8146" s="22" t="n">
        <f aca="false">IF(I8144=0,0,I8145/ABS(I8144))</f>
        <v>4.745</v>
      </c>
      <c r="J8146" s="22" t="n">
        <f aca="false">IF(J8144=0,0,J8145/ABS(J8144))</f>
        <v>4.745</v>
      </c>
      <c r="K8146" s="22" t="n">
        <f aca="false">IF(K8144=0,0,K8145/ABS(K8144))</f>
        <v>4.745</v>
      </c>
    </row>
    <row r="8147" customFormat="false" ht="15" hidden="false" customHeight="false" outlineLevel="0" collapsed="false">
      <c r="A8147" s="3" t="s">
        <v>432</v>
      </c>
      <c r="G8147" s="21" t="n">
        <f aca="false">IF(G8145&lt;0,1,0)</f>
        <v>0</v>
      </c>
      <c r="H8147" s="21" t="n">
        <f aca="false">IF(H8145&lt;0,1,0)</f>
        <v>0</v>
      </c>
      <c r="I8147" s="21" t="n">
        <f aca="false">IF(I8145&lt;0,1,0)</f>
        <v>0</v>
      </c>
      <c r="J8147" s="21" t="n">
        <f aca="false">IF(J8145&lt;0,1,0)</f>
        <v>0</v>
      </c>
      <c r="K8147" s="21" t="n">
        <f aca="false">IF(K8145&lt;0,1,0)</f>
        <v>0</v>
      </c>
    </row>
    <row r="8148" customFormat="false" ht="15" hidden="false" customHeight="false" outlineLevel="0" collapsed="false">
      <c r="A8148" s="3" t="s">
        <v>433</v>
      </c>
      <c r="C8148" s="21" t="n">
        <f aca="false">IFERROR(INDEX($G$7873:$K$7873,MATCH(1,$G$8147:$K$8147,0)),0)</f>
        <v>0</v>
      </c>
    </row>
    <row r="8149" customFormat="false" ht="15" hidden="false" customHeight="false" outlineLevel="0" collapsed="false">
      <c r="A8149" s="3" t="s">
        <v>434</v>
      </c>
      <c r="C8149" s="22" t="n">
        <f aca="false">MIN($G$8146:$K$8146)</f>
        <v>4.745</v>
      </c>
    </row>
    <row r="8150" customFormat="false" ht="15" hidden="false" customHeight="false" outlineLevel="0" collapsed="false">
      <c r="A8150" s="24" t="s">
        <v>438</v>
      </c>
      <c r="B8150" s="25"/>
      <c r="C8150" s="25"/>
      <c r="D8150" s="25"/>
      <c r="E8150" s="25"/>
      <c r="F8150" s="25"/>
      <c r="G8150" s="25"/>
      <c r="H8150" s="25"/>
      <c r="I8150" s="25"/>
      <c r="J8150" s="25"/>
      <c r="K8150" s="25"/>
    </row>
    <row r="8151" customFormat="false" ht="15" hidden="false" customHeight="false" outlineLevel="0" collapsed="false">
      <c r="A8151" s="3" t="s">
        <v>428</v>
      </c>
      <c r="G8151" s="32" t="n">
        <f aca="false">IF(G7883&gt;0,G8106/G7883,99)</f>
        <v>9.80597876607651</v>
      </c>
      <c r="H8151" s="32" t="n">
        <f aca="false">IF(H7883&gt;0,H8106/H7883,99)</f>
        <v>10.6170176010071</v>
      </c>
      <c r="I8151" s="32" t="n">
        <f aca="false">IF(I7883&gt;0,I8106/I7883,99)</f>
        <v>10.8150971304209</v>
      </c>
      <c r="J8151" s="32" t="n">
        <f aca="false">IF(J7883&gt;0,J8106/J7883,99)</f>
        <v>10.7846354230685</v>
      </c>
      <c r="K8151" s="32" t="n">
        <f aca="false">IF(K7883&gt;0,K8106/K7883,99)</f>
        <v>10.7357475234174</v>
      </c>
    </row>
    <row r="8152" customFormat="false" ht="15" hidden="false" customHeight="false" outlineLevel="0" collapsed="false">
      <c r="A8152" s="3" t="s">
        <v>429</v>
      </c>
      <c r="G8152" s="34" t="n">
        <f aca="false">Assumptions!$G$75</f>
        <v>10.5</v>
      </c>
      <c r="H8152" s="34" t="n">
        <f aca="false">Assumptions!$H$75</f>
        <v>10.5</v>
      </c>
      <c r="I8152" s="34" t="n">
        <f aca="false">Assumptions!$I$75</f>
        <v>10</v>
      </c>
      <c r="J8152" s="34" t="n">
        <f aca="false">Assumptions!$J$75</f>
        <v>10</v>
      </c>
      <c r="K8152" s="34" t="n">
        <f aca="false">Assumptions!$K$75</f>
        <v>9.5</v>
      </c>
    </row>
    <row r="8153" customFormat="false" ht="15" hidden="false" customHeight="false" outlineLevel="0" collapsed="false">
      <c r="A8153" s="3" t="s">
        <v>430</v>
      </c>
      <c r="G8153" s="32" t="n">
        <f aca="false">G8152-G8151</f>
        <v>0.694021233923492</v>
      </c>
      <c r="H8153" s="32" t="n">
        <f aca="false">H8152-H8151</f>
        <v>-0.117017601007063</v>
      </c>
      <c r="I8153" s="32" t="n">
        <f aca="false">I8152-I8151</f>
        <v>-0.815097130420925</v>
      </c>
      <c r="J8153" s="32" t="n">
        <f aca="false">J8152-J8151</f>
        <v>-0.784635423068467</v>
      </c>
      <c r="K8153" s="32" t="n">
        <f aca="false">K8152-K8151</f>
        <v>-1.23574752341744</v>
      </c>
    </row>
    <row r="8154" customFormat="false" ht="15" hidden="false" customHeight="false" outlineLevel="0" collapsed="false">
      <c r="A8154" s="3" t="s">
        <v>431</v>
      </c>
      <c r="G8154" s="22" t="n">
        <f aca="false">IF(G8152=0,0,G8153/ABS(G8152))</f>
        <v>0.0660972603736659</v>
      </c>
      <c r="H8154" s="22" t="n">
        <f aca="false">IF(H8152=0,0,H8153/ABS(H8152))</f>
        <v>-0.0111445334292441</v>
      </c>
      <c r="I8154" s="22" t="n">
        <f aca="false">IF(I8152=0,0,I8153/ABS(I8152))</f>
        <v>-0.0815097130420925</v>
      </c>
      <c r="J8154" s="22" t="n">
        <f aca="false">IF(J8152=0,0,J8153/ABS(J8152))</f>
        <v>-0.0784635423068467</v>
      </c>
      <c r="K8154" s="22" t="n">
        <f aca="false">IF(K8152=0,0,K8153/ABS(K8152))</f>
        <v>-0.13007868667552</v>
      </c>
    </row>
    <row r="8155" customFormat="false" ht="15" hidden="false" customHeight="false" outlineLevel="0" collapsed="false">
      <c r="A8155" s="3" t="s">
        <v>432</v>
      </c>
      <c r="G8155" s="21" t="n">
        <f aca="false">IF(G8153&lt;0,1,0)</f>
        <v>0</v>
      </c>
      <c r="H8155" s="21" t="n">
        <f aca="false">IF(H8153&lt;0,1,0)</f>
        <v>1</v>
      </c>
      <c r="I8155" s="21" t="n">
        <f aca="false">IF(I8153&lt;0,1,0)</f>
        <v>1</v>
      </c>
      <c r="J8155" s="21" t="n">
        <f aca="false">IF(J8153&lt;0,1,0)</f>
        <v>1</v>
      </c>
      <c r="K8155" s="21" t="n">
        <f aca="false">IF(K8153&lt;0,1,0)</f>
        <v>1</v>
      </c>
    </row>
    <row r="8156" customFormat="false" ht="15" hidden="false" customHeight="false" outlineLevel="0" collapsed="false">
      <c r="A8156" s="3" t="s">
        <v>433</v>
      </c>
      <c r="C8156" s="21" t="n">
        <f aca="false">IFERROR(INDEX($G$7873:$K$7873,MATCH(1,$G$8155:$K$8155,0)),0)</f>
        <v>2028</v>
      </c>
    </row>
    <row r="8157" customFormat="false" ht="15" hidden="false" customHeight="false" outlineLevel="0" collapsed="false">
      <c r="A8157" s="3" t="s">
        <v>434</v>
      </c>
      <c r="C8157" s="22" t="n">
        <f aca="false">MIN($G$8154:$K$8154)</f>
        <v>-0.13007868667552</v>
      </c>
    </row>
    <row r="8158" customFormat="false" ht="15" hidden="false" customHeight="false" outlineLevel="0" collapsed="false">
      <c r="A8158" s="3" t="s">
        <v>439</v>
      </c>
      <c r="G8158" s="21" t="n">
        <f aca="false">G8123+G8131+G8139+G8147+G8155</f>
        <v>2</v>
      </c>
      <c r="H8158" s="21" t="n">
        <f aca="false">H8123+H8131+H8139+H8147+H8155</f>
        <v>3</v>
      </c>
      <c r="I8158" s="21" t="n">
        <f aca="false">I8123+I8131+I8139+I8147+I8155</f>
        <v>3</v>
      </c>
      <c r="J8158" s="21" t="n">
        <f aca="false">J8123+J8131+J8139+J8147+J8155</f>
        <v>3</v>
      </c>
      <c r="K8158" s="21" t="n">
        <f aca="false">K8123+K8131+K8139+K8147+K8155</f>
        <v>3</v>
      </c>
    </row>
    <row r="8159" customFormat="false" ht="15" hidden="false" customHeight="false" outlineLevel="0" collapsed="false">
      <c r="A8159" s="3" t="s">
        <v>440</v>
      </c>
      <c r="C8159" s="21" t="n">
        <f aca="false">SUM($G$8158:$K$8158)</f>
        <v>14</v>
      </c>
    </row>
    <row r="8160" customFormat="false" ht="15" hidden="false" customHeight="false" outlineLevel="0" collapsed="false">
      <c r="A8160" s="3" t="s">
        <v>441</v>
      </c>
      <c r="C8160" s="22" t="n">
        <f aca="false">MIN(C8125,C8133,C8141,C8149,C8157)</f>
        <v>-0.146207672485682</v>
      </c>
    </row>
    <row r="8162" customFormat="false" ht="15" hidden="false" customHeight="false" outlineLevel="0" collapsed="false">
      <c r="A8162" s="24" t="s">
        <v>543</v>
      </c>
      <c r="B8162" s="25"/>
      <c r="C8162" s="25"/>
      <c r="D8162" s="25"/>
      <c r="E8162" s="25"/>
      <c r="F8162" s="25"/>
      <c r="G8162" s="25"/>
      <c r="H8162" s="25"/>
      <c r="I8162" s="25"/>
      <c r="J8162" s="25"/>
      <c r="K8162" s="25"/>
    </row>
    <row r="8163" customFormat="false" ht="15" hidden="false" customHeight="false" outlineLevel="0" collapsed="false">
      <c r="A8163" s="3" t="s">
        <v>544</v>
      </c>
      <c r="G8163" s="21" t="n">
        <f aca="false">IF($C$8164=1,G8100,IF(G7883=MIN($G$7883:$K$7883),1,0))</f>
        <v>0</v>
      </c>
      <c r="H8163" s="21" t="n">
        <f aca="false">IF($C$8164=1,H8100,IF(AND(H7883=MIN($G$7883:$K$7883),SUM($G$8163:G8163)=0),1,0))</f>
        <v>1</v>
      </c>
      <c r="I8163" s="21" t="n">
        <f aca="false">IF($C$8164=1,I8100,IF(AND(I7883=MIN($G$7883:$K$7883),SUM($G$8163:H8163)=0),1,0))</f>
        <v>0</v>
      </c>
      <c r="J8163" s="21" t="n">
        <f aca="false">IF($C$8164=1,J8100,IF(AND(J7883=MIN($G$7883:$K$7883),SUM($G$8163:I8163)=0),1,0))</f>
        <v>0</v>
      </c>
      <c r="K8163" s="21" t="n">
        <f aca="false">IF($C$8164=1,K8100,IF(AND(K7883=MIN($G$7883:$K$7883),SUM($G$8163:J8163)=0),1,0))</f>
        <v>0</v>
      </c>
    </row>
    <row r="8164" customFormat="false" ht="15" hidden="false" customHeight="false" outlineLevel="0" collapsed="false">
      <c r="A8164" s="3" t="s">
        <v>545</v>
      </c>
      <c r="C8164" s="21" t="n">
        <f aca="false">IF(SUM($G$8100:$K$8100)&gt;0,1,0)</f>
        <v>1</v>
      </c>
    </row>
    <row r="8165" customFormat="false" ht="15" hidden="false" customHeight="false" outlineLevel="0" collapsed="false">
      <c r="A8165" s="3" t="s">
        <v>546</v>
      </c>
      <c r="C8165" s="21" t="n">
        <f aca="false">SUMPRODUCT($G$8163:$K$8163,$G$7873:$K$7873)</f>
        <v>2028</v>
      </c>
    </row>
    <row r="8166" customFormat="false" ht="15" hidden="false" customHeight="false" outlineLevel="0" collapsed="false">
      <c r="A8166" s="3" t="s">
        <v>547</v>
      </c>
      <c r="C8166" s="16" t="n">
        <f aca="false">SUMPRODUCT($G$8163:$K$8163,$G$7883:$K$7883)</f>
        <v>238.529410245</v>
      </c>
    </row>
    <row r="8167" customFormat="false" ht="15" hidden="false" customHeight="false" outlineLevel="0" collapsed="false">
      <c r="A8167" s="3" t="s">
        <v>548</v>
      </c>
      <c r="C8167" s="16" t="n">
        <f aca="false">MAX(0,SUMPRODUCT($G$8163:$K$8163,$G$8097:$K$8097))</f>
        <v>0</v>
      </c>
    </row>
    <row r="8168" customFormat="false" ht="15" hidden="false" customHeight="false" outlineLevel="0" collapsed="false">
      <c r="A8168" s="3" t="s">
        <v>549</v>
      </c>
      <c r="C8168" s="16" t="n">
        <f aca="false">(CHOOSE($C$7866,Assumptions!$C$92,Assumptions!$C$111,Assumptions!$C$130)+$C$7870)*C8166</f>
        <v>2146.764692205</v>
      </c>
    </row>
    <row r="8169" customFormat="false" ht="15" hidden="false" customHeight="false" outlineLevel="0" collapsed="false">
      <c r="A8169" s="3" t="s">
        <v>550</v>
      </c>
      <c r="C8169" s="16" t="n">
        <f aca="false">Assumptions!$C$31*(1-CHOOSE($C$7866,Assumptions!$C$93,Assumptions!$C$112,Assumptions!$C$131))*CHOOSE($C$7866,Assumptions!$C$94,Assumptions!$C$113,Assumptions!$C$132)</f>
        <v>3264.03873166667</v>
      </c>
    </row>
    <row r="8170" customFormat="false" ht="15" hidden="false" customHeight="false" outlineLevel="0" collapsed="false">
      <c r="A8170" s="3" t="s">
        <v>551</v>
      </c>
      <c r="C8170" s="16" t="n">
        <f aca="false">MAX(C8168,C8169)+C8167</f>
        <v>3264.03873166667</v>
      </c>
    </row>
    <row r="8171" customFormat="false" ht="15" hidden="false" customHeight="false" outlineLevel="0" collapsed="false">
      <c r="A8171" s="2" t="s">
        <v>552</v>
      </c>
      <c r="C8171" s="17" t="n">
        <f aca="false">IF(ISNUMBER(Assumptions!$C$14),Assumptions!$C$14,C8170)</f>
        <v>3264.03873166667</v>
      </c>
    </row>
    <row r="8172" customFormat="false" ht="15" hidden="false" customHeight="false" outlineLevel="0" collapsed="false">
      <c r="A8172" s="3" t="s">
        <v>553</v>
      </c>
      <c r="C8172" s="16" t="n">
        <f aca="false">C8171*Assumptions!$C$15</f>
        <v>130.561549266667</v>
      </c>
    </row>
    <row r="8173" customFormat="false" ht="15" hidden="false" customHeight="false" outlineLevel="0" collapsed="false">
      <c r="A8173" s="2" t="s">
        <v>554</v>
      </c>
      <c r="C8173" s="17" t="n">
        <f aca="false">C8171-C8172</f>
        <v>3133.4771824</v>
      </c>
    </row>
    <row r="8174" customFormat="false" ht="15" hidden="false" customHeight="false" outlineLevel="0" collapsed="false">
      <c r="A8174" s="24" t="s">
        <v>555</v>
      </c>
      <c r="B8174" s="25"/>
      <c r="C8174" s="25"/>
      <c r="D8174" s="25"/>
      <c r="E8174" s="25"/>
      <c r="F8174" s="25"/>
      <c r="G8174" s="25"/>
      <c r="H8174" s="25"/>
      <c r="I8174" s="25"/>
      <c r="J8174" s="25"/>
      <c r="K8174" s="25"/>
    </row>
    <row r="8175" customFormat="false" ht="15" hidden="false" customHeight="false" outlineLevel="0" collapsed="false">
      <c r="A8175" s="3" t="s">
        <v>556</v>
      </c>
      <c r="C8175" s="16" t="n">
        <f aca="false">SUMPRODUCT($G$8163:$K$8163,$G$7920:$K$7920)*(1+SUMPRODUCT($G$8163:$K$8163,$G$7912:$K$7912)*Assumptions!$C$16/12)</f>
        <v>402.29</v>
      </c>
    </row>
    <row r="8176" customFormat="false" ht="15" hidden="false" customHeight="false" outlineLevel="0" collapsed="false">
      <c r="A8176" s="3" t="s">
        <v>557</v>
      </c>
      <c r="C8176" s="16" t="n">
        <f aca="false">SUMPRODUCT($G$8163:$K$8163,$G$7933:$K$7933)*(1+SUMPRODUCT($G$8163:$K$8163,$G$7925:$K$7925)*Assumptions!$C$16/12)</f>
        <v>91.30725</v>
      </c>
    </row>
    <row r="8177" customFormat="false" ht="15" hidden="false" customHeight="false" outlineLevel="0" collapsed="false">
      <c r="A8177" s="3" t="s">
        <v>558</v>
      </c>
      <c r="C8177" s="16" t="n">
        <f aca="false">SUMPRODUCT($G$8163:$K$8163,$G$7946:$K$7946)*(1+SUMPRODUCT($G$8163:$K$8163,$G$7938:$K$7938)*Assumptions!$C$16/12)</f>
        <v>58.3715961</v>
      </c>
    </row>
    <row r="8178" customFormat="false" ht="15" hidden="false" customHeight="false" outlineLevel="0" collapsed="false">
      <c r="A8178" s="3" t="s">
        <v>559</v>
      </c>
      <c r="C8178" s="16" t="n">
        <f aca="false">SUMPRODUCT($G$8163:$K$8163,$G$7959:$K$7959)*(1+SUMPRODUCT($G$8163:$K$8163,$G$7951:$K$7951)*Assumptions!$C$16/12)</f>
        <v>0</v>
      </c>
    </row>
    <row r="8179" customFormat="false" ht="15" hidden="false" customHeight="false" outlineLevel="0" collapsed="false">
      <c r="A8179" s="3" t="s">
        <v>560</v>
      </c>
      <c r="C8179" s="16" t="n">
        <f aca="false">SUMPRODUCT($G$8163:$K$8163,$G$7972:$K$7972)*(1+SUMPRODUCT($G$8163:$K$8163,$G$7964:$K$7964)*Assumptions!$C$16/12)</f>
        <v>368.136749279924</v>
      </c>
    </row>
    <row r="8180" customFormat="false" ht="15" hidden="false" customHeight="false" outlineLevel="0" collapsed="false">
      <c r="A8180" s="3" t="s">
        <v>561</v>
      </c>
      <c r="C8180" s="16" t="n">
        <f aca="false">SUMPRODUCT($G$8163:$K$8163,$G$7985:$K$7985)*(1+SUMPRODUCT($G$8163:$K$8163,$G$7977:$K$7977)*Assumptions!$C$16/12)</f>
        <v>357.2625</v>
      </c>
    </row>
    <row r="8181" customFormat="false" ht="15" hidden="false" customHeight="false" outlineLevel="0" collapsed="false">
      <c r="A8181" s="3" t="s">
        <v>562</v>
      </c>
      <c r="C8181" s="16" t="n">
        <f aca="false">SUMPRODUCT($G$8163:$K$8163,$G$7998:$K$7998)*(1+SUMPRODUCT($G$8163:$K$8163,$G$7990:$K$7990)*Assumptions!$C$16/12)</f>
        <v>562.203125</v>
      </c>
    </row>
    <row r="8182" customFormat="false" ht="15" hidden="false" customHeight="false" outlineLevel="0" collapsed="false">
      <c r="A8182" s="3" t="s">
        <v>563</v>
      </c>
      <c r="C8182" s="16" t="n">
        <f aca="false">SUMPRODUCT($G$8163:$K$8163,$G$8011:$K$8011)*(1+SUMPRODUCT($G$8163:$K$8163,$G$8003:$K$8003)*Assumptions!$C$16/12)</f>
        <v>353.98125</v>
      </c>
    </row>
    <row r="8183" customFormat="false" ht="15" hidden="false" customHeight="false" outlineLevel="0" collapsed="false">
      <c r="A8183" s="3" t="s">
        <v>564</v>
      </c>
      <c r="C8183" s="16" t="n">
        <f aca="false">SUMPRODUCT($G$8163:$K$8163,$G$8024:$K$8024)*(1+SUMPRODUCT($G$8163:$K$8163,$G$8016:$K$8016)*Assumptions!$C$16/12)</f>
        <v>304.59375</v>
      </c>
    </row>
    <row r="8184" customFormat="false" ht="15" hidden="false" customHeight="false" outlineLevel="0" collapsed="false">
      <c r="A8184" s="3" t="s">
        <v>565</v>
      </c>
      <c r="C8184" s="16" t="n">
        <f aca="false">SUMPRODUCT($G$8163:$K$8163,$G$8037:$K$8037)*(1+SUMPRODUCT($G$8163:$K$8163,$G$8029:$K$8029)*Assumptions!$C$16/12)</f>
        <v>79.938509</v>
      </c>
    </row>
    <row r="8185" customFormat="false" ht="15" hidden="false" customHeight="false" outlineLevel="0" collapsed="false">
      <c r="A8185" s="24" t="s">
        <v>566</v>
      </c>
      <c r="B8185" s="25"/>
      <c r="C8185" s="25"/>
      <c r="D8185" s="25"/>
      <c r="E8185" s="25"/>
      <c r="F8185" s="25"/>
      <c r="G8185" s="25"/>
      <c r="H8185" s="25"/>
      <c r="I8185" s="25"/>
      <c r="J8185" s="25"/>
      <c r="K8185" s="25"/>
    </row>
    <row r="8186" customFormat="false" ht="15" hidden="false" customHeight="false" outlineLevel="0" collapsed="false">
      <c r="A8186" s="3" t="s">
        <v>556</v>
      </c>
      <c r="C8186" s="27" t="n">
        <f aca="false">Assumptions!$M$57</f>
        <v>1</v>
      </c>
    </row>
    <row r="8187" customFormat="false" ht="15" hidden="false" customHeight="false" outlineLevel="0" collapsed="false">
      <c r="A8187" s="3" t="s">
        <v>557</v>
      </c>
      <c r="C8187" s="27" t="n">
        <f aca="false">Assumptions!$M$58</f>
        <v>1</v>
      </c>
    </row>
    <row r="8188" customFormat="false" ht="15" hidden="false" customHeight="false" outlineLevel="0" collapsed="false">
      <c r="A8188" s="3" t="s">
        <v>558</v>
      </c>
      <c r="C8188" s="27" t="n">
        <f aca="false">Assumptions!$M$59</f>
        <v>1</v>
      </c>
    </row>
    <row r="8189" customFormat="false" ht="15" hidden="false" customHeight="false" outlineLevel="0" collapsed="false">
      <c r="A8189" s="3" t="s">
        <v>559</v>
      </c>
      <c r="C8189" s="27" t="n">
        <f aca="false">Assumptions!$M$60</f>
        <v>2</v>
      </c>
    </row>
    <row r="8190" customFormat="false" ht="15" hidden="false" customHeight="false" outlineLevel="0" collapsed="false">
      <c r="A8190" s="3" t="s">
        <v>560</v>
      </c>
      <c r="C8190" s="27" t="n">
        <f aca="false">Assumptions!$M$61</f>
        <v>2</v>
      </c>
    </row>
    <row r="8191" customFormat="false" ht="15" hidden="false" customHeight="false" outlineLevel="0" collapsed="false">
      <c r="A8191" s="3" t="s">
        <v>561</v>
      </c>
      <c r="C8191" s="27" t="n">
        <f aca="false">Assumptions!$M$62</f>
        <v>2</v>
      </c>
    </row>
    <row r="8192" customFormat="false" ht="15" hidden="false" customHeight="false" outlineLevel="0" collapsed="false">
      <c r="A8192" s="3" t="s">
        <v>562</v>
      </c>
      <c r="C8192" s="27" t="n">
        <f aca="false">Assumptions!$M$63</f>
        <v>2</v>
      </c>
    </row>
    <row r="8193" customFormat="false" ht="15" hidden="false" customHeight="false" outlineLevel="0" collapsed="false">
      <c r="A8193" s="3" t="s">
        <v>563</v>
      </c>
      <c r="C8193" s="27" t="n">
        <f aca="false">Assumptions!$M$64</f>
        <v>2</v>
      </c>
    </row>
    <row r="8194" customFormat="false" ht="15" hidden="false" customHeight="false" outlineLevel="0" collapsed="false">
      <c r="A8194" s="3" t="s">
        <v>564</v>
      </c>
      <c r="C8194" s="27" t="n">
        <f aca="false">Assumptions!$M$65</f>
        <v>2</v>
      </c>
    </row>
    <row r="8195" customFormat="false" ht="15" hidden="false" customHeight="false" outlineLevel="0" collapsed="false">
      <c r="A8195" s="3" t="s">
        <v>565</v>
      </c>
      <c r="C8195" s="27" t="n">
        <f aca="false">Assumptions!$M$66</f>
        <v>3</v>
      </c>
    </row>
    <row r="8196" customFormat="false" ht="15" hidden="false" customHeight="false" outlineLevel="0" collapsed="false">
      <c r="A8196" s="24" t="s">
        <v>567</v>
      </c>
      <c r="B8196" s="25"/>
      <c r="C8196" s="25"/>
      <c r="D8196" s="25"/>
      <c r="E8196" s="25"/>
      <c r="F8196" s="25"/>
      <c r="G8196" s="25"/>
      <c r="H8196" s="25"/>
      <c r="I8196" s="25"/>
      <c r="J8196" s="25"/>
      <c r="K8196" s="25"/>
    </row>
    <row r="8197" customFormat="false" ht="15" hidden="false" customHeight="false" outlineLevel="0" collapsed="false">
      <c r="A8197" s="3" t="s">
        <v>556</v>
      </c>
      <c r="C8197" s="33" t="n">
        <f aca="false">Assumptions!$Q$57</f>
        <v>0.3</v>
      </c>
    </row>
    <row r="8198" customFormat="false" ht="15" hidden="false" customHeight="false" outlineLevel="0" collapsed="false">
      <c r="A8198" s="3" t="s">
        <v>557</v>
      </c>
      <c r="C8198" s="33" t="n">
        <f aca="false">Assumptions!$Q$58</f>
        <v>0.033</v>
      </c>
    </row>
    <row r="8199" customFormat="false" ht="15" hidden="false" customHeight="false" outlineLevel="0" collapsed="false">
      <c r="A8199" s="3" t="s">
        <v>558</v>
      </c>
      <c r="C8199" s="33" t="n">
        <f aca="false">Assumptions!$Q$59</f>
        <v>0.021</v>
      </c>
    </row>
    <row r="8200" customFormat="false" ht="15" hidden="false" customHeight="false" outlineLevel="0" collapsed="false">
      <c r="A8200" s="3" t="s">
        <v>559</v>
      </c>
      <c r="C8200" s="33" t="n">
        <f aca="false">Assumptions!$Q$60</f>
        <v>0</v>
      </c>
    </row>
    <row r="8201" customFormat="false" ht="15" hidden="false" customHeight="false" outlineLevel="0" collapsed="false">
      <c r="A8201" s="3" t="s">
        <v>560</v>
      </c>
      <c r="C8201" s="33" t="n">
        <f aca="false">Assumptions!$Q$61</f>
        <v>0</v>
      </c>
    </row>
    <row r="8202" customFormat="false" ht="15" hidden="false" customHeight="false" outlineLevel="0" collapsed="false">
      <c r="A8202" s="3" t="s">
        <v>561</v>
      </c>
      <c r="C8202" s="33" t="n">
        <f aca="false">Assumptions!$Q$62</f>
        <v>0</v>
      </c>
    </row>
    <row r="8203" customFormat="false" ht="15" hidden="false" customHeight="false" outlineLevel="0" collapsed="false">
      <c r="A8203" s="3" t="s">
        <v>562</v>
      </c>
      <c r="C8203" s="33" t="n">
        <f aca="false">Assumptions!$Q$63</f>
        <v>0</v>
      </c>
    </row>
    <row r="8204" customFormat="false" ht="15" hidden="false" customHeight="false" outlineLevel="0" collapsed="false">
      <c r="A8204" s="3" t="s">
        <v>563</v>
      </c>
      <c r="C8204" s="33" t="n">
        <f aca="false">Assumptions!$Q$64</f>
        <v>0</v>
      </c>
    </row>
    <row r="8205" customFormat="false" ht="15" hidden="false" customHeight="false" outlineLevel="0" collapsed="false">
      <c r="A8205" s="3" t="s">
        <v>564</v>
      </c>
      <c r="C8205" s="33" t="n">
        <f aca="false">Assumptions!$Q$65</f>
        <v>0</v>
      </c>
    </row>
    <row r="8206" customFormat="false" ht="15" hidden="false" customHeight="false" outlineLevel="0" collapsed="false">
      <c r="A8206" s="3" t="s">
        <v>565</v>
      </c>
      <c r="C8206" s="33" t="n">
        <f aca="false">Assumptions!$Q$66</f>
        <v>0</v>
      </c>
    </row>
    <row r="8207" customFormat="false" ht="15" hidden="false" customHeight="false" outlineLevel="0" collapsed="false">
      <c r="A8207" s="24" t="s">
        <v>568</v>
      </c>
      <c r="B8207" s="25"/>
      <c r="C8207" s="25"/>
      <c r="D8207" s="25"/>
      <c r="E8207" s="25"/>
      <c r="F8207" s="25"/>
      <c r="G8207" s="25"/>
      <c r="H8207" s="25"/>
      <c r="I8207" s="25"/>
      <c r="J8207" s="25"/>
      <c r="K8207" s="25"/>
    </row>
    <row r="8208" customFormat="false" ht="15" hidden="false" customHeight="false" outlineLevel="0" collapsed="false">
      <c r="A8208" s="3" t="s">
        <v>556</v>
      </c>
      <c r="C8208" s="16" t="n">
        <f aca="false">IF(C8197&gt;0,MIN(C8175,C8197*$C$8173),0)</f>
        <v>402.29</v>
      </c>
    </row>
    <row r="8209" customFormat="false" ht="15" hidden="false" customHeight="false" outlineLevel="0" collapsed="false">
      <c r="A8209" s="3" t="s">
        <v>557</v>
      </c>
      <c r="C8209" s="16" t="n">
        <f aca="false">IF(C8198&gt;0,MIN(C8176,C8198*$C$8173),0)</f>
        <v>91.30725</v>
      </c>
    </row>
    <row r="8210" customFormat="false" ht="15" hidden="false" customHeight="false" outlineLevel="0" collapsed="false">
      <c r="A8210" s="3" t="s">
        <v>558</v>
      </c>
      <c r="C8210" s="16" t="n">
        <f aca="false">IF(C8199&gt;0,MIN(C8177,C8199*$C$8173),0)</f>
        <v>58.3715961</v>
      </c>
    </row>
    <row r="8211" customFormat="false" ht="15" hidden="false" customHeight="false" outlineLevel="0" collapsed="false">
      <c r="A8211" s="3" t="s">
        <v>559</v>
      </c>
      <c r="C8211" s="16" t="n">
        <f aca="false">IF(C8200&gt;0,MIN(C8178,C8200*$C$8173),0)</f>
        <v>0</v>
      </c>
    </row>
    <row r="8212" customFormat="false" ht="15" hidden="false" customHeight="false" outlineLevel="0" collapsed="false">
      <c r="A8212" s="3" t="s">
        <v>560</v>
      </c>
      <c r="C8212" s="16" t="n">
        <f aca="false">IF(C8201&gt;0,MIN(C8179,C8201*$C$8173),0)</f>
        <v>0</v>
      </c>
    </row>
    <row r="8213" customFormat="false" ht="15" hidden="false" customHeight="false" outlineLevel="0" collapsed="false">
      <c r="A8213" s="3" t="s">
        <v>561</v>
      </c>
      <c r="C8213" s="16" t="n">
        <f aca="false">IF(C8202&gt;0,MIN(C8180,C8202*$C$8173),0)</f>
        <v>0</v>
      </c>
    </row>
    <row r="8214" customFormat="false" ht="15" hidden="false" customHeight="false" outlineLevel="0" collapsed="false">
      <c r="A8214" s="3" t="s">
        <v>562</v>
      </c>
      <c r="C8214" s="16" t="n">
        <f aca="false">IF(C8203&gt;0,MIN(C8181,C8203*$C$8173),0)</f>
        <v>0</v>
      </c>
    </row>
    <row r="8215" customFormat="false" ht="15" hidden="false" customHeight="false" outlineLevel="0" collapsed="false">
      <c r="A8215" s="3" t="s">
        <v>563</v>
      </c>
      <c r="C8215" s="16" t="n">
        <f aca="false">IF(C8204&gt;0,MIN(C8182,C8204*$C$8173),0)</f>
        <v>0</v>
      </c>
    </row>
    <row r="8216" customFormat="false" ht="15" hidden="false" customHeight="false" outlineLevel="0" collapsed="false">
      <c r="A8216" s="3" t="s">
        <v>564</v>
      </c>
      <c r="C8216" s="16" t="n">
        <f aca="false">IF(C8205&gt;0,MIN(C8183,C8205*$C$8173),0)</f>
        <v>0</v>
      </c>
    </row>
    <row r="8217" customFormat="false" ht="15" hidden="false" customHeight="false" outlineLevel="0" collapsed="false">
      <c r="A8217" s="3" t="s">
        <v>565</v>
      </c>
      <c r="C8217" s="16" t="n">
        <f aca="false">IF(C8206&gt;0,MIN(C8184,C8206*$C$8173),0)</f>
        <v>0</v>
      </c>
    </row>
    <row r="8218" customFormat="false" ht="15" hidden="false" customHeight="false" outlineLevel="0" collapsed="false">
      <c r="A8218" s="24" t="s">
        <v>569</v>
      </c>
      <c r="B8218" s="25"/>
      <c r="C8218" s="25"/>
      <c r="D8218" s="25"/>
      <c r="E8218" s="25"/>
      <c r="F8218" s="25"/>
      <c r="G8218" s="25"/>
      <c r="H8218" s="25"/>
      <c r="I8218" s="25"/>
      <c r="J8218" s="25"/>
      <c r="K8218" s="25"/>
    </row>
    <row r="8219" customFormat="false" ht="15" hidden="false" customHeight="false" outlineLevel="0" collapsed="false">
      <c r="A8219" s="3" t="s">
        <v>556</v>
      </c>
      <c r="C8219" s="16" t="n">
        <f aca="false">IF(C8197&gt;0,C8175-C8208,0)</f>
        <v>0</v>
      </c>
      <c r="G8219" s="21" t="n">
        <f aca="false">IF(AND(G7910=1,G7907=1),1,0)</f>
        <v>0</v>
      </c>
      <c r="H8219" s="21" t="n">
        <f aca="false">IF(G8219=1,1,IF(AND(H7910=1,H7907=1),1,0))</f>
        <v>0</v>
      </c>
      <c r="I8219" s="21" t="n">
        <f aca="false">IF(H8219=1,1,IF(AND(I7910=1,I7907=1),1,0))</f>
        <v>0</v>
      </c>
      <c r="J8219" s="21" t="n">
        <f aca="false">IF(I8219=1,1,IF(AND(J7910=1,J7907=1),1,0))</f>
        <v>0</v>
      </c>
      <c r="K8219" s="21" t="n">
        <f aca="false">IF(J8219=1,1,IF(AND(K7910=1,K7907=1),1,0))</f>
        <v>0</v>
      </c>
    </row>
    <row r="8220" customFormat="false" ht="15" hidden="false" customHeight="false" outlineLevel="0" collapsed="false">
      <c r="A8220" s="3" t="s">
        <v>557</v>
      </c>
      <c r="C8220" s="16" t="n">
        <f aca="false">IF(C8198&gt;0,C8176-C8209,0)</f>
        <v>0</v>
      </c>
      <c r="G8220" s="21" t="n">
        <f aca="false">IF(AND(G7923=1,G7907=1),1,0)</f>
        <v>0</v>
      </c>
      <c r="H8220" s="21" t="n">
        <f aca="false">IF(G8220=1,1,IF(AND(H7923=1,H7907=1),1,0))</f>
        <v>0</v>
      </c>
      <c r="I8220" s="21" t="n">
        <f aca="false">IF(H8220=1,1,IF(AND(I7923=1,I7907=1),1,0))</f>
        <v>0</v>
      </c>
      <c r="J8220" s="21" t="n">
        <f aca="false">IF(I8220=1,1,IF(AND(J7923=1,J7907=1),1,0))</f>
        <v>0</v>
      </c>
      <c r="K8220" s="21" t="n">
        <f aca="false">IF(J8220=1,1,IF(AND(K7923=1,K7907=1),1,0))</f>
        <v>0</v>
      </c>
    </row>
    <row r="8221" customFormat="false" ht="15" hidden="false" customHeight="false" outlineLevel="0" collapsed="false">
      <c r="A8221" s="3" t="s">
        <v>558</v>
      </c>
      <c r="C8221" s="16" t="n">
        <f aca="false">IF(C8199&gt;0,C8177-C8210,0)</f>
        <v>0</v>
      </c>
      <c r="G8221" s="21" t="n">
        <f aca="false">IF(AND(G7936=1,G7907=1),1,0)</f>
        <v>0</v>
      </c>
      <c r="H8221" s="21" t="n">
        <f aca="false">IF(G8221=1,1,IF(AND(H7936=1,H7907=1),1,0))</f>
        <v>0</v>
      </c>
      <c r="I8221" s="21" t="n">
        <f aca="false">IF(H8221=1,1,IF(AND(I7936=1,I7907=1),1,0))</f>
        <v>0</v>
      </c>
      <c r="J8221" s="21" t="n">
        <f aca="false">IF(I8221=1,1,IF(AND(J7936=1,J7907=1),1,0))</f>
        <v>0</v>
      </c>
      <c r="K8221" s="21" t="n">
        <f aca="false">IF(J8221=1,1,IF(AND(K7936=1,K7907=1),1,0))</f>
        <v>0</v>
      </c>
    </row>
    <row r="8222" customFormat="false" ht="15" hidden="false" customHeight="false" outlineLevel="0" collapsed="false">
      <c r="A8222" s="3" t="s">
        <v>559</v>
      </c>
      <c r="C8222" s="16" t="n">
        <f aca="false">IF(C8200&gt;0,C8178-C8211,0)</f>
        <v>0</v>
      </c>
      <c r="G8222" s="21" t="n">
        <f aca="false">IF(AND(G7949=1,G7907=1),1,0)</f>
        <v>0</v>
      </c>
      <c r="H8222" s="21" t="n">
        <f aca="false">IF(G8222=1,1,IF(AND(H7949=1,H7907=1),1,0))</f>
        <v>0</v>
      </c>
      <c r="I8222" s="21" t="n">
        <f aca="false">IF(H8222=1,1,IF(AND(I7949=1,I7907=1),1,0))</f>
        <v>0</v>
      </c>
      <c r="J8222" s="21" t="n">
        <f aca="false">IF(I8222=1,1,IF(AND(J7949=1,J7907=1),1,0))</f>
        <v>0</v>
      </c>
      <c r="K8222" s="21" t="n">
        <f aca="false">IF(J8222=1,1,IF(AND(K7949=1,K7907=1),1,0))</f>
        <v>0</v>
      </c>
    </row>
    <row r="8223" customFormat="false" ht="15" hidden="false" customHeight="false" outlineLevel="0" collapsed="false">
      <c r="A8223" s="3" t="s">
        <v>560</v>
      </c>
      <c r="C8223" s="16" t="n">
        <f aca="false">IF(C8201&gt;0,C8179-C8212,0)</f>
        <v>0</v>
      </c>
      <c r="G8223" s="21" t="n">
        <f aca="false">IF(AND(G7962=1,G7907=1),1,0)</f>
        <v>0</v>
      </c>
      <c r="H8223" s="21" t="n">
        <f aca="false">IF(G8223=1,1,IF(AND(H7962=1,H7907=1),1,0))</f>
        <v>0</v>
      </c>
      <c r="I8223" s="21" t="n">
        <f aca="false">IF(H8223=1,1,IF(AND(I7962=1,I7907=1),1,0))</f>
        <v>0</v>
      </c>
      <c r="J8223" s="21" t="n">
        <f aca="false">IF(I8223=1,1,IF(AND(J7962=1,J7907=1),1,0))</f>
        <v>0</v>
      </c>
      <c r="K8223" s="21" t="n">
        <f aca="false">IF(J8223=1,1,IF(AND(K7962=1,K7907=1),1,0))</f>
        <v>0</v>
      </c>
    </row>
    <row r="8224" customFormat="false" ht="15" hidden="false" customHeight="false" outlineLevel="0" collapsed="false">
      <c r="A8224" s="3" t="s">
        <v>561</v>
      </c>
      <c r="C8224" s="16" t="n">
        <f aca="false">IF(C8202&gt;0,C8180-C8213,0)</f>
        <v>0</v>
      </c>
      <c r="G8224" s="21" t="n">
        <f aca="false">IF(AND(G7975=1,G7907=1),1,0)</f>
        <v>0</v>
      </c>
      <c r="H8224" s="21" t="n">
        <f aca="false">IF(G8224=1,1,IF(AND(H7975=1,H7907=1),1,0))</f>
        <v>0</v>
      </c>
      <c r="I8224" s="21" t="n">
        <f aca="false">IF(H8224=1,1,IF(AND(I7975=1,I7907=1),1,0))</f>
        <v>0</v>
      </c>
      <c r="J8224" s="21" t="n">
        <f aca="false">IF(I8224=1,1,IF(AND(J7975=1,J7907=1),1,0))</f>
        <v>0</v>
      </c>
      <c r="K8224" s="21" t="n">
        <f aca="false">IF(J8224=1,1,IF(AND(K7975=1,K7907=1),1,0))</f>
        <v>0</v>
      </c>
    </row>
    <row r="8225" customFormat="false" ht="15" hidden="false" customHeight="false" outlineLevel="0" collapsed="false">
      <c r="A8225" s="3" t="s">
        <v>562</v>
      </c>
      <c r="C8225" s="16" t="n">
        <f aca="false">IF(C8203&gt;0,C8181-C8214,0)</f>
        <v>0</v>
      </c>
      <c r="G8225" s="21" t="n">
        <f aca="false">IF(AND(G7988=1,G7907=1),1,0)</f>
        <v>0</v>
      </c>
      <c r="H8225" s="21" t="n">
        <f aca="false">IF(G8225=1,1,IF(AND(H7988=1,H7907=1),1,0))</f>
        <v>0</v>
      </c>
      <c r="I8225" s="21" t="n">
        <f aca="false">IF(H8225=1,1,IF(AND(I7988=1,I7907=1),1,0))</f>
        <v>0</v>
      </c>
      <c r="J8225" s="21" t="n">
        <f aca="false">IF(I8225=1,1,IF(AND(J7988=1,J7907=1),1,0))</f>
        <v>0</v>
      </c>
      <c r="K8225" s="21" t="n">
        <f aca="false">IF(J8225=1,1,IF(AND(K7988=1,K7907=1),1,0))</f>
        <v>0</v>
      </c>
    </row>
    <row r="8226" customFormat="false" ht="15" hidden="false" customHeight="false" outlineLevel="0" collapsed="false">
      <c r="A8226" s="3" t="s">
        <v>563</v>
      </c>
      <c r="C8226" s="16" t="n">
        <f aca="false">IF(C8204&gt;0,C8182-C8215,0)</f>
        <v>0</v>
      </c>
      <c r="G8226" s="21" t="n">
        <f aca="false">IF(AND(G8001=1,G7907=1),1,0)</f>
        <v>0</v>
      </c>
      <c r="H8226" s="21" t="n">
        <f aca="false">IF(G8226=1,1,IF(AND(H8001=1,H7907=1),1,0))</f>
        <v>0</v>
      </c>
      <c r="I8226" s="21" t="n">
        <f aca="false">IF(H8226=1,1,IF(AND(I8001=1,I7907=1),1,0))</f>
        <v>0</v>
      </c>
      <c r="J8226" s="21" t="n">
        <f aca="false">IF(I8226=1,1,IF(AND(J8001=1,J7907=1),1,0))</f>
        <v>0</v>
      </c>
      <c r="K8226" s="21" t="n">
        <f aca="false">IF(J8226=1,1,IF(AND(K8001=1,K7907=1),1,0))</f>
        <v>0</v>
      </c>
    </row>
    <row r="8227" customFormat="false" ht="15" hidden="false" customHeight="false" outlineLevel="0" collapsed="false">
      <c r="A8227" s="3" t="s">
        <v>564</v>
      </c>
      <c r="C8227" s="16" t="n">
        <f aca="false">IF(C8205&gt;0,C8183-C8216,0)</f>
        <v>0</v>
      </c>
      <c r="G8227" s="21" t="n">
        <f aca="false">IF(AND(G8014=1,G7907=1),1,0)</f>
        <v>0</v>
      </c>
      <c r="H8227" s="21" t="n">
        <f aca="false">IF(G8227=1,1,IF(AND(H8014=1,H7907=1),1,0))</f>
        <v>0</v>
      </c>
      <c r="I8227" s="21" t="n">
        <f aca="false">IF(H8227=1,1,IF(AND(I8014=1,I7907=1),1,0))</f>
        <v>0</v>
      </c>
      <c r="J8227" s="21" t="n">
        <f aca="false">IF(I8227=1,1,IF(AND(J8014=1,J7907=1),1,0))</f>
        <v>0</v>
      </c>
      <c r="K8227" s="21" t="n">
        <f aca="false">IF(J8227=1,1,IF(AND(K8014=1,K7907=1),1,0))</f>
        <v>0</v>
      </c>
    </row>
    <row r="8228" customFormat="false" ht="15" hidden="false" customHeight="false" outlineLevel="0" collapsed="false">
      <c r="A8228" s="3" t="s">
        <v>565</v>
      </c>
      <c r="C8228" s="16" t="n">
        <f aca="false">IF(C8206&gt;0,C8184-C8217,0)</f>
        <v>0</v>
      </c>
      <c r="G8228" s="21" t="n">
        <f aca="false">IF(AND(G8027=1,G7907=1),1,0)</f>
        <v>0</v>
      </c>
      <c r="H8228" s="21" t="n">
        <f aca="false">IF(G8228=1,1,IF(AND(H8027=1,H7907=1),1,0))</f>
        <v>0</v>
      </c>
      <c r="I8228" s="21" t="n">
        <f aca="false">IF(H8228=1,1,IF(AND(I8027=1,I7907=1),1,0))</f>
        <v>0</v>
      </c>
      <c r="J8228" s="21" t="n">
        <f aca="false">IF(I8228=1,1,IF(AND(J8027=1,J7907=1),1,0))</f>
        <v>0</v>
      </c>
      <c r="K8228" s="21" t="n">
        <f aca="false">IF(J8228=1,1,IF(AND(K8027=1,K7907=1),1,0))</f>
        <v>0</v>
      </c>
    </row>
    <row r="8229" customFormat="false" ht="15" hidden="false" customHeight="false" outlineLevel="0" collapsed="false">
      <c r="A8229" s="24" t="s">
        <v>570</v>
      </c>
      <c r="B8229" s="25"/>
      <c r="C8229" s="25"/>
      <c r="D8229" s="25"/>
      <c r="E8229" s="25"/>
      <c r="F8229" s="25"/>
      <c r="G8229" s="25"/>
      <c r="H8229" s="25"/>
      <c r="I8229" s="25"/>
      <c r="J8229" s="25"/>
      <c r="K8229" s="25"/>
    </row>
    <row r="8230" customFormat="false" ht="15" hidden="false" customHeight="false" outlineLevel="0" collapsed="false">
      <c r="A8230" s="3" t="s">
        <v>556</v>
      </c>
      <c r="C8230" s="16" t="n">
        <f aca="false">IF(C8197&gt;0,C8219,C8175)</f>
        <v>0</v>
      </c>
    </row>
    <row r="8231" customFormat="false" ht="15" hidden="false" customHeight="false" outlineLevel="0" collapsed="false">
      <c r="A8231" s="3" t="s">
        <v>557</v>
      </c>
      <c r="C8231" s="16" t="n">
        <f aca="false">IF(C8198&gt;0,C8220,C8176)</f>
        <v>0</v>
      </c>
    </row>
    <row r="8232" customFormat="false" ht="15" hidden="false" customHeight="false" outlineLevel="0" collapsed="false">
      <c r="A8232" s="3" t="s">
        <v>558</v>
      </c>
      <c r="C8232" s="16" t="n">
        <f aca="false">IF(C8199&gt;0,C8221,C8177)</f>
        <v>0</v>
      </c>
    </row>
    <row r="8233" customFormat="false" ht="15" hidden="false" customHeight="false" outlineLevel="0" collapsed="false">
      <c r="A8233" s="3" t="s">
        <v>559</v>
      </c>
      <c r="C8233" s="16" t="n">
        <f aca="false">IF(C8200&gt;0,C8222,C8178)</f>
        <v>0</v>
      </c>
    </row>
    <row r="8234" customFormat="false" ht="15" hidden="false" customHeight="false" outlineLevel="0" collapsed="false">
      <c r="A8234" s="3" t="s">
        <v>560</v>
      </c>
      <c r="C8234" s="16" t="n">
        <f aca="false">IF(C8201&gt;0,C8223,C8179)</f>
        <v>368.136749279924</v>
      </c>
    </row>
    <row r="8235" customFormat="false" ht="15" hidden="false" customHeight="false" outlineLevel="0" collapsed="false">
      <c r="A8235" s="3" t="s">
        <v>561</v>
      </c>
      <c r="C8235" s="16" t="n">
        <f aca="false">IF(C8202&gt;0,C8224,C8180)</f>
        <v>357.2625</v>
      </c>
    </row>
    <row r="8236" customFormat="false" ht="15" hidden="false" customHeight="false" outlineLevel="0" collapsed="false">
      <c r="A8236" s="3" t="s">
        <v>562</v>
      </c>
      <c r="C8236" s="16" t="n">
        <f aca="false">IF(C8203&gt;0,C8225,C8181)</f>
        <v>562.203125</v>
      </c>
    </row>
    <row r="8237" customFormat="false" ht="15" hidden="false" customHeight="false" outlineLevel="0" collapsed="false">
      <c r="A8237" s="3" t="s">
        <v>563</v>
      </c>
      <c r="C8237" s="16" t="n">
        <f aca="false">IF(C8204&gt;0,C8226,C8182)</f>
        <v>353.98125</v>
      </c>
    </row>
    <row r="8238" customFormat="false" ht="15" hidden="false" customHeight="false" outlineLevel="0" collapsed="false">
      <c r="A8238" s="3" t="s">
        <v>564</v>
      </c>
      <c r="C8238" s="16" t="n">
        <f aca="false">IF(C8205&gt;0,C8227,C8183)</f>
        <v>304.59375</v>
      </c>
    </row>
    <row r="8239" customFormat="false" ht="15" hidden="false" customHeight="false" outlineLevel="0" collapsed="false">
      <c r="A8239" s="3" t="s">
        <v>565</v>
      </c>
      <c r="C8239" s="16" t="n">
        <f aca="false">IF(C8206&gt;0,C8228,C8184)</f>
        <v>79.938509</v>
      </c>
    </row>
    <row r="8240" customFormat="false" ht="15" hidden="false" customHeight="false" outlineLevel="0" collapsed="false">
      <c r="A8240" s="24" t="s">
        <v>571</v>
      </c>
      <c r="B8240" s="25"/>
      <c r="C8240" s="25"/>
      <c r="D8240" s="25"/>
      <c r="E8240" s="25"/>
      <c r="F8240" s="25"/>
      <c r="G8240" s="25"/>
      <c r="H8240" s="25"/>
      <c r="I8240" s="25"/>
      <c r="J8240" s="25"/>
      <c r="K8240" s="25"/>
    </row>
    <row r="8241" customFormat="false" ht="15" hidden="false" customHeight="false" outlineLevel="0" collapsed="false">
      <c r="A8241" s="3" t="s">
        <v>556</v>
      </c>
      <c r="C8241" s="21" t="n">
        <f aca="false">IF(C8197&gt;0,Assumptions!$C$17,C8186)</f>
        <v>99</v>
      </c>
    </row>
    <row r="8242" customFormat="false" ht="15" hidden="false" customHeight="false" outlineLevel="0" collapsed="false">
      <c r="A8242" s="3" t="s">
        <v>557</v>
      </c>
      <c r="C8242" s="21" t="n">
        <f aca="false">IF(C8198&gt;0,Assumptions!$C$17,C8187)</f>
        <v>99</v>
      </c>
    </row>
    <row r="8243" customFormat="false" ht="15" hidden="false" customHeight="false" outlineLevel="0" collapsed="false">
      <c r="A8243" s="3" t="s">
        <v>558</v>
      </c>
      <c r="C8243" s="21" t="n">
        <f aca="false">IF(C8199&gt;0,Assumptions!$C$17,C8188)</f>
        <v>99</v>
      </c>
    </row>
    <row r="8244" customFormat="false" ht="15" hidden="false" customHeight="false" outlineLevel="0" collapsed="false">
      <c r="A8244" s="3" t="s">
        <v>559</v>
      </c>
      <c r="C8244" s="21" t="n">
        <f aca="false">IF(C8200&gt;0,Assumptions!$C$17,C8189)</f>
        <v>2</v>
      </c>
    </row>
    <row r="8245" customFormat="false" ht="15" hidden="false" customHeight="false" outlineLevel="0" collapsed="false">
      <c r="A8245" s="3" t="s">
        <v>560</v>
      </c>
      <c r="C8245" s="21" t="n">
        <f aca="false">IF(C8201&gt;0,Assumptions!$C$17,C8190)</f>
        <v>2</v>
      </c>
    </row>
    <row r="8246" customFormat="false" ht="15" hidden="false" customHeight="false" outlineLevel="0" collapsed="false">
      <c r="A8246" s="3" t="s">
        <v>561</v>
      </c>
      <c r="C8246" s="21" t="n">
        <f aca="false">IF(C8202&gt;0,Assumptions!$C$17,C8191)</f>
        <v>2</v>
      </c>
    </row>
    <row r="8247" customFormat="false" ht="15" hidden="false" customHeight="false" outlineLevel="0" collapsed="false">
      <c r="A8247" s="3" t="s">
        <v>562</v>
      </c>
      <c r="C8247" s="21" t="n">
        <f aca="false">IF(C8203&gt;0,Assumptions!$C$17,C8192)</f>
        <v>2</v>
      </c>
    </row>
    <row r="8248" customFormat="false" ht="15" hidden="false" customHeight="false" outlineLevel="0" collapsed="false">
      <c r="A8248" s="3" t="s">
        <v>563</v>
      </c>
      <c r="C8248" s="21" t="n">
        <f aca="false">IF(C8204&gt;0,Assumptions!$C$17,C8193)</f>
        <v>2</v>
      </c>
    </row>
    <row r="8249" customFormat="false" ht="15" hidden="false" customHeight="false" outlineLevel="0" collapsed="false">
      <c r="A8249" s="3" t="s">
        <v>564</v>
      </c>
      <c r="C8249" s="21" t="n">
        <f aca="false">IF(C8205&gt;0,Assumptions!$C$17,C8194)</f>
        <v>2</v>
      </c>
    </row>
    <row r="8250" customFormat="false" ht="15" hidden="false" customHeight="false" outlineLevel="0" collapsed="false">
      <c r="A8250" s="3" t="s">
        <v>565</v>
      </c>
      <c r="C8250" s="21" t="n">
        <f aca="false">IF(C8206&gt;0,Assumptions!$C$17,C8195)</f>
        <v>3</v>
      </c>
    </row>
    <row r="8251" customFormat="false" ht="15" hidden="false" customHeight="false" outlineLevel="0" collapsed="false">
      <c r="A8251" s="24" t="s">
        <v>572</v>
      </c>
      <c r="B8251" s="25"/>
      <c r="C8251" s="25"/>
      <c r="D8251" s="25"/>
      <c r="E8251" s="25"/>
      <c r="F8251" s="25"/>
      <c r="G8251" s="25"/>
      <c r="H8251" s="25"/>
      <c r="I8251" s="25"/>
      <c r="J8251" s="25"/>
      <c r="K8251" s="25"/>
    </row>
    <row r="8252" customFormat="false" ht="15" hidden="false" customHeight="false" outlineLevel="0" collapsed="false">
      <c r="A8252" s="3" t="s">
        <v>556</v>
      </c>
      <c r="C8252" s="16" t="n">
        <f aca="false">SUMPRODUCT(($C$8241:$C$8250&lt;C8241)*$C$8230:$C$8239)</f>
        <v>2026.11588327992</v>
      </c>
    </row>
    <row r="8253" customFormat="false" ht="15" hidden="false" customHeight="false" outlineLevel="0" collapsed="false">
      <c r="A8253" s="3" t="s">
        <v>557</v>
      </c>
      <c r="C8253" s="16" t="n">
        <f aca="false">SUMPRODUCT(($C$8241:$C$8250&lt;C8242)*$C$8230:$C$8239)</f>
        <v>2026.11588327992</v>
      </c>
    </row>
    <row r="8254" customFormat="false" ht="15" hidden="false" customHeight="false" outlineLevel="0" collapsed="false">
      <c r="A8254" s="3" t="s">
        <v>558</v>
      </c>
      <c r="C8254" s="16" t="n">
        <f aca="false">SUMPRODUCT(($C$8241:$C$8250&lt;C8243)*$C$8230:$C$8239)</f>
        <v>2026.11588327992</v>
      </c>
    </row>
    <row r="8255" customFormat="false" ht="15" hidden="false" customHeight="false" outlineLevel="0" collapsed="false">
      <c r="A8255" s="3" t="s">
        <v>559</v>
      </c>
      <c r="C8255" s="16" t="n">
        <f aca="false">SUMPRODUCT(($C$8241:$C$8250&lt;C8244)*$C$8230:$C$8239)</f>
        <v>0</v>
      </c>
    </row>
    <row r="8256" customFormat="false" ht="15" hidden="false" customHeight="false" outlineLevel="0" collapsed="false">
      <c r="A8256" s="3" t="s">
        <v>560</v>
      </c>
      <c r="C8256" s="16" t="n">
        <f aca="false">SUMPRODUCT(($C$8241:$C$8250&lt;C8245)*$C$8230:$C$8239)</f>
        <v>0</v>
      </c>
    </row>
    <row r="8257" customFormat="false" ht="15" hidden="false" customHeight="false" outlineLevel="0" collapsed="false">
      <c r="A8257" s="3" t="s">
        <v>561</v>
      </c>
      <c r="C8257" s="16" t="n">
        <f aca="false">SUMPRODUCT(($C$8241:$C$8250&lt;C8246)*$C$8230:$C$8239)</f>
        <v>0</v>
      </c>
    </row>
    <row r="8258" customFormat="false" ht="15" hidden="false" customHeight="false" outlineLevel="0" collapsed="false">
      <c r="A8258" s="3" t="s">
        <v>562</v>
      </c>
      <c r="C8258" s="16" t="n">
        <f aca="false">SUMPRODUCT(($C$8241:$C$8250&lt;C8247)*$C$8230:$C$8239)</f>
        <v>0</v>
      </c>
    </row>
    <row r="8259" customFormat="false" ht="15" hidden="false" customHeight="false" outlineLevel="0" collapsed="false">
      <c r="A8259" s="3" t="s">
        <v>563</v>
      </c>
      <c r="C8259" s="16" t="n">
        <f aca="false">SUMPRODUCT(($C$8241:$C$8250&lt;C8248)*$C$8230:$C$8239)</f>
        <v>0</v>
      </c>
    </row>
    <row r="8260" customFormat="false" ht="15" hidden="false" customHeight="false" outlineLevel="0" collapsed="false">
      <c r="A8260" s="3" t="s">
        <v>564</v>
      </c>
      <c r="C8260" s="16" t="n">
        <f aca="false">SUMPRODUCT(($C$8241:$C$8250&lt;C8249)*$C$8230:$C$8239)</f>
        <v>0</v>
      </c>
    </row>
    <row r="8261" customFormat="false" ht="15" hidden="false" customHeight="false" outlineLevel="0" collapsed="false">
      <c r="A8261" s="3" t="s">
        <v>565</v>
      </c>
      <c r="C8261" s="16" t="n">
        <f aca="false">SUMPRODUCT(($C$8241:$C$8250&lt;C8250)*$C$8230:$C$8239)</f>
        <v>1946.17737427992</v>
      </c>
    </row>
    <row r="8262" customFormat="false" ht="15" hidden="false" customHeight="false" outlineLevel="0" collapsed="false">
      <c r="A8262" s="24" t="s">
        <v>573</v>
      </c>
      <c r="B8262" s="25"/>
      <c r="C8262" s="25"/>
      <c r="D8262" s="25"/>
      <c r="E8262" s="25"/>
      <c r="F8262" s="25"/>
      <c r="G8262" s="25"/>
      <c r="H8262" s="25"/>
      <c r="I8262" s="25"/>
      <c r="J8262" s="25"/>
      <c r="K8262" s="25"/>
    </row>
    <row r="8263" customFormat="false" ht="15" hidden="false" customHeight="false" outlineLevel="0" collapsed="false">
      <c r="A8263" s="3" t="s">
        <v>556</v>
      </c>
      <c r="C8263" s="16" t="n">
        <f aca="false">SUMPRODUCT(($C$8241:$C$8250=C8241)*$C$8230:$C$8239)</f>
        <v>0</v>
      </c>
    </row>
    <row r="8264" customFormat="false" ht="15" hidden="false" customHeight="false" outlineLevel="0" collapsed="false">
      <c r="A8264" s="3" t="s">
        <v>557</v>
      </c>
      <c r="C8264" s="16" t="n">
        <f aca="false">SUMPRODUCT(($C$8241:$C$8250=C8242)*$C$8230:$C$8239)</f>
        <v>0</v>
      </c>
    </row>
    <row r="8265" customFormat="false" ht="15" hidden="false" customHeight="false" outlineLevel="0" collapsed="false">
      <c r="A8265" s="3" t="s">
        <v>558</v>
      </c>
      <c r="C8265" s="16" t="n">
        <f aca="false">SUMPRODUCT(($C$8241:$C$8250=C8243)*$C$8230:$C$8239)</f>
        <v>0</v>
      </c>
    </row>
    <row r="8266" customFormat="false" ht="15" hidden="false" customHeight="false" outlineLevel="0" collapsed="false">
      <c r="A8266" s="3" t="s">
        <v>559</v>
      </c>
      <c r="C8266" s="16" t="n">
        <f aca="false">SUMPRODUCT(($C$8241:$C$8250=C8244)*$C$8230:$C$8239)</f>
        <v>1946.17737427992</v>
      </c>
    </row>
    <row r="8267" customFormat="false" ht="15" hidden="false" customHeight="false" outlineLevel="0" collapsed="false">
      <c r="A8267" s="3" t="s">
        <v>560</v>
      </c>
      <c r="C8267" s="16" t="n">
        <f aca="false">SUMPRODUCT(($C$8241:$C$8250=C8245)*$C$8230:$C$8239)</f>
        <v>1946.17737427992</v>
      </c>
    </row>
    <row r="8268" customFormat="false" ht="15" hidden="false" customHeight="false" outlineLevel="0" collapsed="false">
      <c r="A8268" s="3" t="s">
        <v>561</v>
      </c>
      <c r="C8268" s="16" t="n">
        <f aca="false">SUMPRODUCT(($C$8241:$C$8250=C8246)*$C$8230:$C$8239)</f>
        <v>1946.17737427992</v>
      </c>
    </row>
    <row r="8269" customFormat="false" ht="15" hidden="false" customHeight="false" outlineLevel="0" collapsed="false">
      <c r="A8269" s="3" t="s">
        <v>562</v>
      </c>
      <c r="C8269" s="16" t="n">
        <f aca="false">SUMPRODUCT(($C$8241:$C$8250=C8247)*$C$8230:$C$8239)</f>
        <v>1946.17737427992</v>
      </c>
    </row>
    <row r="8270" customFormat="false" ht="15" hidden="false" customHeight="false" outlineLevel="0" collapsed="false">
      <c r="A8270" s="3" t="s">
        <v>563</v>
      </c>
      <c r="C8270" s="16" t="n">
        <f aca="false">SUMPRODUCT(($C$8241:$C$8250=C8248)*$C$8230:$C$8239)</f>
        <v>1946.17737427992</v>
      </c>
    </row>
    <row r="8271" customFormat="false" ht="15" hidden="false" customHeight="false" outlineLevel="0" collapsed="false">
      <c r="A8271" s="3" t="s">
        <v>564</v>
      </c>
      <c r="C8271" s="16" t="n">
        <f aca="false">SUMPRODUCT(($C$8241:$C$8250=C8249)*$C$8230:$C$8239)</f>
        <v>1946.17737427992</v>
      </c>
    </row>
    <row r="8272" customFormat="false" ht="15" hidden="false" customHeight="false" outlineLevel="0" collapsed="false">
      <c r="A8272" s="3" t="s">
        <v>565</v>
      </c>
      <c r="C8272" s="16" t="n">
        <f aca="false">SUMPRODUCT(($C$8241:$C$8250=C8250)*$C$8230:$C$8239)</f>
        <v>79.938509</v>
      </c>
    </row>
    <row r="8273" customFormat="false" ht="15" hidden="false" customHeight="false" outlineLevel="0" collapsed="false">
      <c r="A8273" s="24" t="s">
        <v>574</v>
      </c>
      <c r="B8273" s="25"/>
      <c r="C8273" s="25"/>
      <c r="D8273" s="25"/>
      <c r="E8273" s="25"/>
      <c r="F8273" s="25"/>
      <c r="G8273" s="25"/>
      <c r="H8273" s="25"/>
      <c r="I8273" s="25"/>
      <c r="J8273" s="25"/>
      <c r="K8273" s="25"/>
    </row>
    <row r="8274" customFormat="false" ht="15" hidden="false" customHeight="false" outlineLevel="0" collapsed="false">
      <c r="A8274" s="3" t="s">
        <v>556</v>
      </c>
      <c r="C8274" s="16" t="n">
        <f aca="false">IF(C8263=0,0,C8230/C8263*MAX(0,MIN(C8263,$C$8173-SUM($C$8208:$C$8217)-C8252)))</f>
        <v>0</v>
      </c>
    </row>
    <row r="8275" customFormat="false" ht="15" hidden="false" customHeight="false" outlineLevel="0" collapsed="false">
      <c r="A8275" s="3" t="s">
        <v>557</v>
      </c>
      <c r="C8275" s="16" t="n">
        <f aca="false">IF(C8264=0,0,C8231/C8264*MAX(0,MIN(C8264,$C$8173-SUM($C$8208:$C$8217)-C8253)))</f>
        <v>0</v>
      </c>
    </row>
    <row r="8276" customFormat="false" ht="15" hidden="false" customHeight="false" outlineLevel="0" collapsed="false">
      <c r="A8276" s="3" t="s">
        <v>558</v>
      </c>
      <c r="C8276" s="16" t="n">
        <f aca="false">IF(C8265=0,0,C8232/C8265*MAX(0,MIN(C8265,$C$8173-SUM($C$8208:$C$8217)-C8254)))</f>
        <v>0</v>
      </c>
    </row>
    <row r="8277" customFormat="false" ht="15" hidden="false" customHeight="false" outlineLevel="0" collapsed="false">
      <c r="A8277" s="3" t="s">
        <v>559</v>
      </c>
      <c r="C8277" s="16" t="n">
        <f aca="false">IF(C8266=0,0,C8233/C8266*MAX(0,MIN(C8266,$C$8173-SUM($C$8208:$C$8217)-C8255)))</f>
        <v>0</v>
      </c>
    </row>
    <row r="8278" customFormat="false" ht="15" hidden="false" customHeight="false" outlineLevel="0" collapsed="false">
      <c r="A8278" s="3" t="s">
        <v>560</v>
      </c>
      <c r="C8278" s="16" t="n">
        <f aca="false">IF(C8267=0,0,C8234/C8267*MAX(0,MIN(C8267,$C$8173-SUM($C$8208:$C$8217)-C8256)))</f>
        <v>368.136749279924</v>
      </c>
    </row>
    <row r="8279" customFormat="false" ht="15" hidden="false" customHeight="false" outlineLevel="0" collapsed="false">
      <c r="A8279" s="3" t="s">
        <v>561</v>
      </c>
      <c r="C8279" s="16" t="n">
        <f aca="false">IF(C8268=0,0,C8235/C8268*MAX(0,MIN(C8268,$C$8173-SUM($C$8208:$C$8217)-C8257)))</f>
        <v>357.2625</v>
      </c>
    </row>
    <row r="8280" customFormat="false" ht="15" hidden="false" customHeight="false" outlineLevel="0" collapsed="false">
      <c r="A8280" s="3" t="s">
        <v>562</v>
      </c>
      <c r="C8280" s="16" t="n">
        <f aca="false">IF(C8269=0,0,C8236/C8269*MAX(0,MIN(C8269,$C$8173-SUM($C$8208:$C$8217)-C8258)))</f>
        <v>562.203125</v>
      </c>
    </row>
    <row r="8281" customFormat="false" ht="15" hidden="false" customHeight="false" outlineLevel="0" collapsed="false">
      <c r="A8281" s="3" t="s">
        <v>563</v>
      </c>
      <c r="C8281" s="16" t="n">
        <f aca="false">IF(C8270=0,0,C8237/C8270*MAX(0,MIN(C8270,$C$8173-SUM($C$8208:$C$8217)-C8259)))</f>
        <v>353.98125</v>
      </c>
    </row>
    <row r="8282" customFormat="false" ht="15" hidden="false" customHeight="false" outlineLevel="0" collapsed="false">
      <c r="A8282" s="3" t="s">
        <v>564</v>
      </c>
      <c r="C8282" s="16" t="n">
        <f aca="false">IF(C8271=0,0,C8238/C8271*MAX(0,MIN(C8271,$C$8173-SUM($C$8208:$C$8217)-C8260)))</f>
        <v>304.59375</v>
      </c>
    </row>
    <row r="8283" customFormat="false" ht="15" hidden="false" customHeight="false" outlineLevel="0" collapsed="false">
      <c r="A8283" s="3" t="s">
        <v>565</v>
      </c>
      <c r="C8283" s="16" t="n">
        <f aca="false">IF(C8272=0,0,C8239/C8272*MAX(0,MIN(C8272,$C$8173-SUM($C$8208:$C$8217)-C8261)))</f>
        <v>79.938509</v>
      </c>
    </row>
    <row r="8284" customFormat="false" ht="15" hidden="false" customHeight="false" outlineLevel="0" collapsed="false">
      <c r="A8284" s="24" t="s">
        <v>575</v>
      </c>
      <c r="B8284" s="25"/>
      <c r="C8284" s="25"/>
      <c r="D8284" s="25"/>
      <c r="E8284" s="25"/>
      <c r="F8284" s="25"/>
      <c r="G8284" s="25"/>
      <c r="H8284" s="25"/>
      <c r="I8284" s="25"/>
      <c r="J8284" s="25"/>
      <c r="K8284" s="25"/>
    </row>
    <row r="8285" customFormat="false" ht="15" hidden="false" customHeight="false" outlineLevel="0" collapsed="false">
      <c r="A8285" s="2" t="s">
        <v>556</v>
      </c>
      <c r="C8285" s="17" t="n">
        <f aca="false">C8208+C8274</f>
        <v>402.29</v>
      </c>
    </row>
    <row r="8286" customFormat="false" ht="15" hidden="false" customHeight="false" outlineLevel="0" collapsed="false">
      <c r="A8286" s="2" t="s">
        <v>557</v>
      </c>
      <c r="C8286" s="17" t="n">
        <f aca="false">C8209+C8275</f>
        <v>91.30725</v>
      </c>
    </row>
    <row r="8287" customFormat="false" ht="15" hidden="false" customHeight="false" outlineLevel="0" collapsed="false">
      <c r="A8287" s="2" t="s">
        <v>558</v>
      </c>
      <c r="C8287" s="17" t="n">
        <f aca="false">C8210+C8276</f>
        <v>58.3715961</v>
      </c>
    </row>
    <row r="8288" customFormat="false" ht="15" hidden="false" customHeight="false" outlineLevel="0" collapsed="false">
      <c r="A8288" s="2" t="s">
        <v>559</v>
      </c>
      <c r="C8288" s="17" t="n">
        <f aca="false">C8211+C8277</f>
        <v>0</v>
      </c>
    </row>
    <row r="8289" customFormat="false" ht="15" hidden="false" customHeight="false" outlineLevel="0" collapsed="false">
      <c r="A8289" s="2" t="s">
        <v>560</v>
      </c>
      <c r="C8289" s="17" t="n">
        <f aca="false">C8212+C8278</f>
        <v>368.136749279924</v>
      </c>
    </row>
    <row r="8290" customFormat="false" ht="15" hidden="false" customHeight="false" outlineLevel="0" collapsed="false">
      <c r="A8290" s="2" t="s">
        <v>561</v>
      </c>
      <c r="C8290" s="17" t="n">
        <f aca="false">C8213+C8279</f>
        <v>357.2625</v>
      </c>
    </row>
    <row r="8291" customFormat="false" ht="15" hidden="false" customHeight="false" outlineLevel="0" collapsed="false">
      <c r="A8291" s="2" t="s">
        <v>562</v>
      </c>
      <c r="C8291" s="17" t="n">
        <f aca="false">C8214+C8280</f>
        <v>562.203125</v>
      </c>
    </row>
    <row r="8292" customFormat="false" ht="15" hidden="false" customHeight="false" outlineLevel="0" collapsed="false">
      <c r="A8292" s="2" t="s">
        <v>563</v>
      </c>
      <c r="C8292" s="17" t="n">
        <f aca="false">C8215+C8281</f>
        <v>353.98125</v>
      </c>
    </row>
    <row r="8293" customFormat="false" ht="15" hidden="false" customHeight="false" outlineLevel="0" collapsed="false">
      <c r="A8293" s="2" t="s">
        <v>564</v>
      </c>
      <c r="C8293" s="17" t="n">
        <f aca="false">C8216+C8282</f>
        <v>304.59375</v>
      </c>
    </row>
    <row r="8294" customFormat="false" ht="15" hidden="false" customHeight="false" outlineLevel="0" collapsed="false">
      <c r="A8294" s="2" t="s">
        <v>565</v>
      </c>
      <c r="C8294" s="17" t="n">
        <f aca="false">C8217+C8283</f>
        <v>79.938509</v>
      </c>
    </row>
    <row r="8295" customFormat="false" ht="15" hidden="false" customHeight="false" outlineLevel="0" collapsed="false">
      <c r="A8295" s="24" t="s">
        <v>576</v>
      </c>
      <c r="B8295" s="25"/>
      <c r="C8295" s="25"/>
      <c r="D8295" s="25"/>
      <c r="E8295" s="25"/>
      <c r="F8295" s="25"/>
      <c r="G8295" s="25"/>
      <c r="H8295" s="25"/>
      <c r="I8295" s="25"/>
      <c r="J8295" s="25"/>
      <c r="K8295" s="25"/>
    </row>
    <row r="8296" customFormat="false" ht="15" hidden="false" customHeight="false" outlineLevel="0" collapsed="false">
      <c r="A8296" s="3" t="s">
        <v>556</v>
      </c>
      <c r="C8296" s="22" t="n">
        <f aca="false">IF(C8175=0,1,C8285/C8175)</f>
        <v>1</v>
      </c>
    </row>
    <row r="8297" customFormat="false" ht="15" hidden="false" customHeight="false" outlineLevel="0" collapsed="false">
      <c r="A8297" s="3" t="s">
        <v>557</v>
      </c>
      <c r="C8297" s="22" t="n">
        <f aca="false">IF(C8176=0,1,C8286/C8176)</f>
        <v>1</v>
      </c>
    </row>
    <row r="8298" customFormat="false" ht="15" hidden="false" customHeight="false" outlineLevel="0" collapsed="false">
      <c r="A8298" s="3" t="s">
        <v>558</v>
      </c>
      <c r="C8298" s="22" t="n">
        <f aca="false">IF(C8177=0,1,C8287/C8177)</f>
        <v>1</v>
      </c>
    </row>
    <row r="8299" customFormat="false" ht="15" hidden="false" customHeight="false" outlineLevel="0" collapsed="false">
      <c r="A8299" s="3" t="s">
        <v>559</v>
      </c>
      <c r="C8299" s="22" t="n">
        <f aca="false">IF(C8178=0,1,C8288/C8178)</f>
        <v>1</v>
      </c>
    </row>
    <row r="8300" customFormat="false" ht="15" hidden="false" customHeight="false" outlineLevel="0" collapsed="false">
      <c r="A8300" s="3" t="s">
        <v>560</v>
      </c>
      <c r="C8300" s="22" t="n">
        <f aca="false">IF(C8179=0,1,C8289/C8179)</f>
        <v>1</v>
      </c>
    </row>
    <row r="8301" customFormat="false" ht="15" hidden="false" customHeight="false" outlineLevel="0" collapsed="false">
      <c r="A8301" s="3" t="s">
        <v>561</v>
      </c>
      <c r="C8301" s="22" t="n">
        <f aca="false">IF(C8180=0,1,C8290/C8180)</f>
        <v>1</v>
      </c>
    </row>
    <row r="8302" customFormat="false" ht="15" hidden="false" customHeight="false" outlineLevel="0" collapsed="false">
      <c r="A8302" s="3" t="s">
        <v>562</v>
      </c>
      <c r="C8302" s="22" t="n">
        <f aca="false">IF(C8181=0,1,C8291/C8181)</f>
        <v>1</v>
      </c>
    </row>
    <row r="8303" customFormat="false" ht="15" hidden="false" customHeight="false" outlineLevel="0" collapsed="false">
      <c r="A8303" s="3" t="s">
        <v>563</v>
      </c>
      <c r="C8303" s="22" t="n">
        <f aca="false">IF(C8182=0,1,C8292/C8182)</f>
        <v>1</v>
      </c>
    </row>
    <row r="8304" customFormat="false" ht="15" hidden="false" customHeight="false" outlineLevel="0" collapsed="false">
      <c r="A8304" s="3" t="s">
        <v>564</v>
      </c>
      <c r="C8304" s="22" t="n">
        <f aca="false">IF(C8183=0,1,C8293/C8183)</f>
        <v>1</v>
      </c>
    </row>
    <row r="8305" customFormat="false" ht="15" hidden="false" customHeight="false" outlineLevel="0" collapsed="false">
      <c r="A8305" s="3" t="s">
        <v>565</v>
      </c>
      <c r="C8305" s="22" t="n">
        <f aca="false">IF(C8184=0,1,C8294/C8184)</f>
        <v>1</v>
      </c>
    </row>
    <row r="8306" customFormat="false" ht="15" hidden="false" customHeight="false" outlineLevel="0" collapsed="false">
      <c r="A8306" s="24" t="s">
        <v>577</v>
      </c>
      <c r="B8306" s="25"/>
      <c r="C8306" s="25"/>
      <c r="D8306" s="25"/>
      <c r="E8306" s="25"/>
      <c r="F8306" s="25"/>
      <c r="G8306" s="25"/>
      <c r="H8306" s="25"/>
      <c r="I8306" s="25"/>
      <c r="J8306" s="25"/>
      <c r="K8306" s="25"/>
    </row>
    <row r="8307" customFormat="false" ht="15" hidden="false" customHeight="false" outlineLevel="0" collapsed="false">
      <c r="A8307" s="3" t="s">
        <v>556</v>
      </c>
      <c r="C8307" s="16" t="n">
        <f aca="false">C8175-C8285</f>
        <v>0</v>
      </c>
    </row>
    <row r="8308" customFormat="false" ht="15" hidden="false" customHeight="false" outlineLevel="0" collapsed="false">
      <c r="A8308" s="3" t="s">
        <v>557</v>
      </c>
      <c r="C8308" s="16" t="n">
        <f aca="false">C8176-C8286</f>
        <v>0</v>
      </c>
    </row>
    <row r="8309" customFormat="false" ht="15" hidden="false" customHeight="false" outlineLevel="0" collapsed="false">
      <c r="A8309" s="3" t="s">
        <v>558</v>
      </c>
      <c r="C8309" s="16" t="n">
        <f aca="false">C8177-C8287</f>
        <v>0</v>
      </c>
    </row>
    <row r="8310" customFormat="false" ht="15" hidden="false" customHeight="false" outlineLevel="0" collapsed="false">
      <c r="A8310" s="3" t="s">
        <v>559</v>
      </c>
      <c r="C8310" s="16" t="n">
        <f aca="false">C8178-C8288</f>
        <v>0</v>
      </c>
    </row>
    <row r="8311" customFormat="false" ht="15" hidden="false" customHeight="false" outlineLevel="0" collapsed="false">
      <c r="A8311" s="3" t="s">
        <v>560</v>
      </c>
      <c r="C8311" s="16" t="n">
        <f aca="false">C8179-C8289</f>
        <v>0</v>
      </c>
    </row>
    <row r="8312" customFormat="false" ht="15" hidden="false" customHeight="false" outlineLevel="0" collapsed="false">
      <c r="A8312" s="3" t="s">
        <v>561</v>
      </c>
      <c r="C8312" s="16" t="n">
        <f aca="false">C8180-C8290</f>
        <v>0</v>
      </c>
    </row>
    <row r="8313" customFormat="false" ht="15" hidden="false" customHeight="false" outlineLevel="0" collapsed="false">
      <c r="A8313" s="3" t="s">
        <v>562</v>
      </c>
      <c r="C8313" s="16" t="n">
        <f aca="false">C8181-C8291</f>
        <v>0</v>
      </c>
    </row>
    <row r="8314" customFormat="false" ht="15" hidden="false" customHeight="false" outlineLevel="0" collapsed="false">
      <c r="A8314" s="3" t="s">
        <v>563</v>
      </c>
      <c r="C8314" s="16" t="n">
        <f aca="false">C8182-C8292</f>
        <v>0</v>
      </c>
    </row>
    <row r="8315" customFormat="false" ht="15" hidden="false" customHeight="false" outlineLevel="0" collapsed="false">
      <c r="A8315" s="3" t="s">
        <v>564</v>
      </c>
      <c r="C8315" s="16" t="n">
        <f aca="false">C8183-C8293</f>
        <v>0</v>
      </c>
    </row>
    <row r="8316" customFormat="false" ht="15" hidden="false" customHeight="false" outlineLevel="0" collapsed="false">
      <c r="A8316" s="3" t="s">
        <v>565</v>
      </c>
      <c r="C8316" s="16" t="n">
        <f aca="false">C8184-C8294</f>
        <v>0</v>
      </c>
    </row>
    <row r="8317" customFormat="false" ht="15" hidden="false" customHeight="false" outlineLevel="0" collapsed="false">
      <c r="A8317" s="24" t="s">
        <v>578</v>
      </c>
      <c r="B8317" s="25"/>
      <c r="C8317" s="25"/>
      <c r="D8317" s="25"/>
      <c r="E8317" s="25"/>
      <c r="F8317" s="25"/>
      <c r="G8317" s="25"/>
      <c r="H8317" s="25"/>
      <c r="I8317" s="25"/>
      <c r="J8317" s="25"/>
      <c r="K8317" s="25"/>
    </row>
    <row r="8318" customFormat="false" ht="15" hidden="false" customHeight="false" outlineLevel="0" collapsed="false">
      <c r="A8318" s="3" t="s">
        <v>556</v>
      </c>
      <c r="C8318" s="22" t="n">
        <f aca="false">IF(C8175=0,0,C8307/C8175)</f>
        <v>0</v>
      </c>
    </row>
    <row r="8319" customFormat="false" ht="15" hidden="false" customHeight="false" outlineLevel="0" collapsed="false">
      <c r="A8319" s="3" t="s">
        <v>557</v>
      </c>
      <c r="C8319" s="22" t="n">
        <f aca="false">IF(C8176=0,0,C8308/C8176)</f>
        <v>0</v>
      </c>
    </row>
    <row r="8320" customFormat="false" ht="15" hidden="false" customHeight="false" outlineLevel="0" collapsed="false">
      <c r="A8320" s="3" t="s">
        <v>558</v>
      </c>
      <c r="C8320" s="22" t="n">
        <f aca="false">IF(C8177=0,0,C8309/C8177)</f>
        <v>0</v>
      </c>
    </row>
    <row r="8321" customFormat="false" ht="15" hidden="false" customHeight="false" outlineLevel="0" collapsed="false">
      <c r="A8321" s="3" t="s">
        <v>559</v>
      </c>
      <c r="C8321" s="22" t="n">
        <f aca="false">IF(C8178=0,0,C8310/C8178)</f>
        <v>0</v>
      </c>
    </row>
    <row r="8322" customFormat="false" ht="15" hidden="false" customHeight="false" outlineLevel="0" collapsed="false">
      <c r="A8322" s="3" t="s">
        <v>560</v>
      </c>
      <c r="C8322" s="22" t="n">
        <f aca="false">IF(C8179=0,0,C8311/C8179)</f>
        <v>0</v>
      </c>
    </row>
    <row r="8323" customFormat="false" ht="15" hidden="false" customHeight="false" outlineLevel="0" collapsed="false">
      <c r="A8323" s="3" t="s">
        <v>561</v>
      </c>
      <c r="C8323" s="22" t="n">
        <f aca="false">IF(C8180=0,0,C8312/C8180)</f>
        <v>0</v>
      </c>
    </row>
    <row r="8324" customFormat="false" ht="15" hidden="false" customHeight="false" outlineLevel="0" collapsed="false">
      <c r="A8324" s="3" t="s">
        <v>562</v>
      </c>
      <c r="C8324" s="22" t="n">
        <f aca="false">IF(C8181=0,0,C8313/C8181)</f>
        <v>0</v>
      </c>
    </row>
    <row r="8325" customFormat="false" ht="15" hidden="false" customHeight="false" outlineLevel="0" collapsed="false">
      <c r="A8325" s="3" t="s">
        <v>563</v>
      </c>
      <c r="C8325" s="22" t="n">
        <f aca="false">IF(C8182=0,0,C8314/C8182)</f>
        <v>0</v>
      </c>
    </row>
    <row r="8326" customFormat="false" ht="15" hidden="false" customHeight="false" outlineLevel="0" collapsed="false">
      <c r="A8326" s="3" t="s">
        <v>564</v>
      </c>
      <c r="C8326" s="22" t="n">
        <f aca="false">IF(C8183=0,0,C8315/C8183)</f>
        <v>0</v>
      </c>
    </row>
    <row r="8327" customFormat="false" ht="15" hidden="false" customHeight="false" outlineLevel="0" collapsed="false">
      <c r="A8327" s="3" t="s">
        <v>565</v>
      </c>
      <c r="C8327" s="22" t="n">
        <f aca="false">IF(C8184=0,0,C8316/C8184)</f>
        <v>0</v>
      </c>
    </row>
    <row r="8328" customFormat="false" ht="15" hidden="false" customHeight="false" outlineLevel="0" collapsed="false">
      <c r="A8328" s="2" t="s">
        <v>579</v>
      </c>
      <c r="C8328" s="17" t="n">
        <f aca="false">MAX(0,$C$8173-SUM($C$8208:$C$8217)-SUM($C$8230:$C$8239))</f>
        <v>555.392453020076</v>
      </c>
    </row>
    <row r="8329" customFormat="false" ht="15" hidden="false" customHeight="false" outlineLevel="0" collapsed="false">
      <c r="A8329" s="3" t="s">
        <v>580</v>
      </c>
      <c r="C8329" s="16" t="n">
        <f aca="false">SUM($C$8285:$C$8294)+C8328+C8172-C8171</f>
        <v>0</v>
      </c>
    </row>
    <row r="8331" customFormat="false" ht="15" hidden="false" customHeight="false" outlineLevel="0" collapsed="false">
      <c r="A8331" s="24" t="s">
        <v>583</v>
      </c>
      <c r="B8331" s="25"/>
      <c r="C8331" s="25"/>
      <c r="D8331" s="25"/>
      <c r="E8331" s="25"/>
      <c r="F8331" s="25"/>
      <c r="G8331" s="25"/>
      <c r="H8331" s="25"/>
      <c r="I8331" s="25"/>
      <c r="J8331" s="25"/>
      <c r="K8331" s="25"/>
    </row>
    <row r="8332" customFormat="false" ht="15" hidden="false" customHeight="false" outlineLevel="0" collapsed="false">
      <c r="A8332" s="3" t="s">
        <v>584</v>
      </c>
      <c r="C8332" s="27" t="n">
        <f aca="false">Assumptions!$C$34</f>
        <v>1</v>
      </c>
    </row>
    <row r="8333" customFormat="false" ht="15" hidden="false" customHeight="false" outlineLevel="0" collapsed="false">
      <c r="A8333" s="3" t="s">
        <v>585</v>
      </c>
      <c r="C8333" s="29" t="n">
        <f aca="false">Assumptions!$C$35</f>
        <v>100</v>
      </c>
    </row>
    <row r="8334" customFormat="false" ht="15" hidden="false" customHeight="false" outlineLevel="0" collapsed="false">
      <c r="A8334" s="3" t="s">
        <v>586</v>
      </c>
      <c r="C8334" s="40" t="n">
        <f aca="false">Assumptions!$C$36</f>
        <v>98</v>
      </c>
    </row>
    <row r="8335" customFormat="false" ht="15" hidden="false" customHeight="false" outlineLevel="0" collapsed="false">
      <c r="A8335" s="3" t="s">
        <v>587</v>
      </c>
      <c r="C8335" s="16" t="n">
        <f aca="false">C8333*C8334/100*(1+Assumptions!$C$37)</f>
        <v>98.49</v>
      </c>
    </row>
    <row r="8336" customFormat="false" ht="15" hidden="false" customHeight="false" outlineLevel="0" collapsed="false">
      <c r="A8336" s="3" t="s">
        <v>588</v>
      </c>
      <c r="C8336" s="27" t="n">
        <f aca="false">Assumptions!$C$38</f>
        <v>3</v>
      </c>
    </row>
    <row r="8337" customFormat="false" ht="15" hidden="false" customHeight="false" outlineLevel="0" collapsed="false">
      <c r="A8337" s="3" t="s">
        <v>589</v>
      </c>
      <c r="C8337" s="21" t="n">
        <f aca="false">IF(C8164=1,SUMPRODUCT($G$8100:$K$8100,$G$7874:$K$7874),0)</f>
        <v>2</v>
      </c>
    </row>
    <row r="8338" customFormat="false" ht="15" hidden="false" customHeight="false" outlineLevel="0" collapsed="false">
      <c r="A8338" s="3" t="s">
        <v>590</v>
      </c>
      <c r="C8338" s="22" t="n">
        <f aca="false">IFERROR(C8333/CHOOSE(C8332,SUMPRODUCT($G$8163:$K$8163,$G$7920:$K$7920),SUMPRODUCT($G$8163:$K$8163,$G$7933:$K$7933),SUMPRODUCT($G$8163:$K$8163,$G$7946:$K$7946),SUMPRODUCT($G$8163:$K$8163,$G$7959:$K$7959),SUMPRODUCT($G$8163:$K$8163,$G$7972:$K$7972),SUMPRODUCT($G$8163:$K$8163,$G$7985:$K$7985),SUMPRODUCT($G$8163:$K$8163,$G$7998:$K$7998),SUMPRODUCT($G$8163:$K$8163,$G$8011:$K$8011),SUMPRODUCT($G$8163:$K$8163,$G$8024:$K$8024),SUMPRODUCT($G$8163:$K$8163,$G$8037:$K$8037)),0)</f>
        <v>0.255102040816327</v>
      </c>
    </row>
    <row r="8339" customFormat="false" ht="15" hidden="false" customHeight="false" outlineLevel="0" collapsed="false">
      <c r="A8339" s="3" t="s">
        <v>591</v>
      </c>
      <c r="C8339" s="16" t="n">
        <f aca="false">CHOOSE(C8332,C8285,C8286,C8287,C8288,C8289,C8290,C8291,C8292,C8293,C8294)*C8338</f>
        <v>102.625</v>
      </c>
    </row>
    <row r="8340" customFormat="false" ht="15" hidden="false" customHeight="false" outlineLevel="0" collapsed="false">
      <c r="A8340" s="3" t="s">
        <v>592</v>
      </c>
      <c r="C8340" s="22" t="n">
        <f aca="false">CHOOSE(C8332,C8296,C8297,C8298,C8299,C8300,C8301,C8302,C8303,C8304,C8305)</f>
        <v>1</v>
      </c>
    </row>
    <row r="8341" customFormat="false" ht="15" hidden="false" customHeight="false" outlineLevel="0" collapsed="false">
      <c r="A8341" s="3" t="s">
        <v>593</v>
      </c>
      <c r="C8341" s="21" t="n">
        <f aca="false">IF(C8164=1,C8337,C8336)</f>
        <v>2</v>
      </c>
    </row>
    <row r="8342" customFormat="false" ht="15" hidden="false" customHeight="false" outlineLevel="0" collapsed="false">
      <c r="A8342" s="3" t="s">
        <v>594</v>
      </c>
      <c r="C8342" s="35" t="n">
        <f aca="false">CHOOSE($C$7866,Assumptions!$C$91,Assumptions!$C$110,Assumptions!$C$129)</f>
        <v>95</v>
      </c>
    </row>
    <row r="8343" customFormat="false" ht="15" hidden="false" customHeight="false" outlineLevel="0" collapsed="false">
      <c r="A8343" s="3" t="s">
        <v>595</v>
      </c>
      <c r="C8343" s="16" t="n">
        <f aca="false">INDEX($G$7883:$K$7883,C8336)*CHOOSE($C$7866,Assumptions!$C$90,Assumptions!$C$109,Assumptions!$C$128)+MAX(0,INDEX($G$8097:$K$8097,C8336))</f>
        <v>2623.823512695</v>
      </c>
    </row>
    <row r="8344" customFormat="false" ht="15" hidden="false" customHeight="false" outlineLevel="0" collapsed="false">
      <c r="A8344" s="24" t="s">
        <v>596</v>
      </c>
      <c r="B8344" s="25"/>
      <c r="C8344" s="25"/>
      <c r="D8344" s="25"/>
      <c r="E8344" s="25"/>
      <c r="F8344" s="25"/>
      <c r="G8344" s="25"/>
      <c r="H8344" s="25"/>
      <c r="I8344" s="25"/>
      <c r="J8344" s="25"/>
      <c r="K8344" s="25"/>
    </row>
    <row r="8345" customFormat="false" ht="15" hidden="false" customHeight="false" outlineLevel="0" collapsed="false">
      <c r="A8345" s="3" t="s">
        <v>556</v>
      </c>
      <c r="C8345" s="16" t="n">
        <f aca="false">INDEX($G$7920:$K$7920,C8336)</f>
        <v>388</v>
      </c>
    </row>
    <row r="8346" customFormat="false" ht="15" hidden="false" customHeight="false" outlineLevel="0" collapsed="false">
      <c r="A8346" s="3" t="s">
        <v>557</v>
      </c>
      <c r="C8346" s="16" t="n">
        <f aca="false">INDEX($G$7933:$K$7933,C8336)</f>
        <v>90</v>
      </c>
    </row>
    <row r="8347" customFormat="false" ht="15" hidden="false" customHeight="false" outlineLevel="0" collapsed="false">
      <c r="A8347" s="3" t="s">
        <v>558</v>
      </c>
      <c r="C8347" s="16" t="n">
        <f aca="false">INDEX($G$7946:$K$7946,C8336)</f>
        <v>57.324</v>
      </c>
    </row>
    <row r="8348" customFormat="false" ht="15" hidden="false" customHeight="false" outlineLevel="0" collapsed="false">
      <c r="A8348" s="3" t="s">
        <v>559</v>
      </c>
      <c r="C8348" s="16" t="n">
        <f aca="false">INDEX($G$7959:$K$7959,C8336)</f>
        <v>0</v>
      </c>
    </row>
    <row r="8349" customFormat="false" ht="15" hidden="false" customHeight="false" outlineLevel="0" collapsed="false">
      <c r="A8349" s="3" t="s">
        <v>560</v>
      </c>
      <c r="C8349" s="16" t="n">
        <f aca="false">INDEX($G$7972:$K$7972,C8336)</f>
        <v>364.536946929</v>
      </c>
    </row>
    <row r="8350" customFormat="false" ht="15" hidden="false" customHeight="false" outlineLevel="0" collapsed="false">
      <c r="A8350" s="3" t="s">
        <v>561</v>
      </c>
      <c r="C8350" s="16" t="n">
        <f aca="false">INDEX($G$7985:$K$7985,C8336)</f>
        <v>350</v>
      </c>
    </row>
    <row r="8351" customFormat="false" ht="15" hidden="false" customHeight="false" outlineLevel="0" collapsed="false">
      <c r="A8351" s="3" t="s">
        <v>562</v>
      </c>
      <c r="C8351" s="16" t="n">
        <f aca="false">INDEX($G$7998:$K$7998,C8336)</f>
        <v>550</v>
      </c>
    </row>
    <row r="8352" customFormat="false" ht="15" hidden="false" customHeight="false" outlineLevel="0" collapsed="false">
      <c r="A8352" s="3" t="s">
        <v>563</v>
      </c>
      <c r="C8352" s="16" t="n">
        <f aca="false">INDEX($G$8011:$K$8011,C8336)</f>
        <v>350</v>
      </c>
    </row>
    <row r="8353" customFormat="false" ht="15" hidden="false" customHeight="false" outlineLevel="0" collapsed="false">
      <c r="A8353" s="3" t="s">
        <v>564</v>
      </c>
      <c r="C8353" s="16" t="n">
        <f aca="false">INDEX($G$8024:$K$8024,C8336)</f>
        <v>300</v>
      </c>
    </row>
    <row r="8354" customFormat="false" ht="15" hidden="false" customHeight="false" outlineLevel="0" collapsed="false">
      <c r="A8354" s="3" t="s">
        <v>565</v>
      </c>
      <c r="C8354" s="16" t="n">
        <f aca="false">INDEX($G$8037:$K$8037,C8336)</f>
        <v>78.61</v>
      </c>
    </row>
    <row r="8355" customFormat="false" ht="15" hidden="false" customHeight="false" outlineLevel="0" collapsed="false">
      <c r="A8355" s="24" t="s">
        <v>566</v>
      </c>
      <c r="B8355" s="25"/>
      <c r="C8355" s="25"/>
      <c r="D8355" s="25"/>
      <c r="E8355" s="25"/>
      <c r="F8355" s="25"/>
      <c r="G8355" s="25"/>
      <c r="H8355" s="25"/>
      <c r="I8355" s="25"/>
      <c r="J8355" s="25"/>
      <c r="K8355" s="25"/>
    </row>
    <row r="8356" customFormat="false" ht="15" hidden="false" customHeight="false" outlineLevel="0" collapsed="false">
      <c r="A8356" s="3" t="s">
        <v>556</v>
      </c>
      <c r="C8356" s="27" t="n">
        <f aca="false">Assumptions!$M$57</f>
        <v>1</v>
      </c>
    </row>
    <row r="8357" customFormat="false" ht="15" hidden="false" customHeight="false" outlineLevel="0" collapsed="false">
      <c r="A8357" s="3" t="s">
        <v>557</v>
      </c>
      <c r="C8357" s="27" t="n">
        <f aca="false">Assumptions!$M$58</f>
        <v>1</v>
      </c>
    </row>
    <row r="8358" customFormat="false" ht="15" hidden="false" customHeight="false" outlineLevel="0" collapsed="false">
      <c r="A8358" s="3" t="s">
        <v>558</v>
      </c>
      <c r="C8358" s="27" t="n">
        <f aca="false">Assumptions!$M$59</f>
        <v>1</v>
      </c>
    </row>
    <row r="8359" customFormat="false" ht="15" hidden="false" customHeight="false" outlineLevel="0" collapsed="false">
      <c r="A8359" s="3" t="s">
        <v>559</v>
      </c>
      <c r="C8359" s="27" t="n">
        <f aca="false">Assumptions!$M$60</f>
        <v>2</v>
      </c>
    </row>
    <row r="8360" customFormat="false" ht="15" hidden="false" customHeight="false" outlineLevel="0" collapsed="false">
      <c r="A8360" s="3" t="s">
        <v>560</v>
      </c>
      <c r="C8360" s="27" t="n">
        <f aca="false">Assumptions!$M$61</f>
        <v>2</v>
      </c>
    </row>
    <row r="8361" customFormat="false" ht="15" hidden="false" customHeight="false" outlineLevel="0" collapsed="false">
      <c r="A8361" s="3" t="s">
        <v>561</v>
      </c>
      <c r="C8361" s="27" t="n">
        <f aca="false">Assumptions!$M$62</f>
        <v>2</v>
      </c>
    </row>
    <row r="8362" customFormat="false" ht="15" hidden="false" customHeight="false" outlineLevel="0" collapsed="false">
      <c r="A8362" s="3" t="s">
        <v>562</v>
      </c>
      <c r="C8362" s="27" t="n">
        <f aca="false">Assumptions!$M$63</f>
        <v>2</v>
      </c>
    </row>
    <row r="8363" customFormat="false" ht="15" hidden="false" customHeight="false" outlineLevel="0" collapsed="false">
      <c r="A8363" s="3" t="s">
        <v>563</v>
      </c>
      <c r="C8363" s="27" t="n">
        <f aca="false">Assumptions!$M$64</f>
        <v>2</v>
      </c>
    </row>
    <row r="8364" customFormat="false" ht="15" hidden="false" customHeight="false" outlineLevel="0" collapsed="false">
      <c r="A8364" s="3" t="s">
        <v>564</v>
      </c>
      <c r="C8364" s="27" t="n">
        <f aca="false">Assumptions!$M$65</f>
        <v>2</v>
      </c>
    </row>
    <row r="8365" customFormat="false" ht="15" hidden="false" customHeight="false" outlineLevel="0" collapsed="false">
      <c r="A8365" s="3" t="s">
        <v>565</v>
      </c>
      <c r="C8365" s="27" t="n">
        <f aca="false">Assumptions!$M$66</f>
        <v>3</v>
      </c>
    </row>
    <row r="8366" customFormat="false" ht="15" hidden="false" customHeight="false" outlineLevel="0" collapsed="false">
      <c r="A8366" s="24" t="s">
        <v>567</v>
      </c>
      <c r="B8366" s="25"/>
      <c r="C8366" s="25"/>
      <c r="D8366" s="25"/>
      <c r="E8366" s="25"/>
      <c r="F8366" s="25"/>
      <c r="G8366" s="25"/>
      <c r="H8366" s="25"/>
      <c r="I8366" s="25"/>
      <c r="J8366" s="25"/>
      <c r="K8366" s="25"/>
    </row>
    <row r="8367" customFormat="false" ht="15" hidden="false" customHeight="false" outlineLevel="0" collapsed="false">
      <c r="A8367" s="3" t="s">
        <v>556</v>
      </c>
      <c r="C8367" s="33" t="n">
        <f aca="false">Assumptions!$Q$57</f>
        <v>0.3</v>
      </c>
    </row>
    <row r="8368" customFormat="false" ht="15" hidden="false" customHeight="false" outlineLevel="0" collapsed="false">
      <c r="A8368" s="3" t="s">
        <v>557</v>
      </c>
      <c r="C8368" s="33" t="n">
        <f aca="false">Assumptions!$Q$58</f>
        <v>0.033</v>
      </c>
    </row>
    <row r="8369" customFormat="false" ht="15" hidden="false" customHeight="false" outlineLevel="0" collapsed="false">
      <c r="A8369" s="3" t="s">
        <v>558</v>
      </c>
      <c r="C8369" s="33" t="n">
        <f aca="false">Assumptions!$Q$59</f>
        <v>0.021</v>
      </c>
    </row>
    <row r="8370" customFormat="false" ht="15" hidden="false" customHeight="false" outlineLevel="0" collapsed="false">
      <c r="A8370" s="3" t="s">
        <v>559</v>
      </c>
      <c r="C8370" s="33" t="n">
        <f aca="false">Assumptions!$Q$60</f>
        <v>0</v>
      </c>
    </row>
    <row r="8371" customFormat="false" ht="15" hidden="false" customHeight="false" outlineLevel="0" collapsed="false">
      <c r="A8371" s="3" t="s">
        <v>560</v>
      </c>
      <c r="C8371" s="33" t="n">
        <f aca="false">Assumptions!$Q$61</f>
        <v>0</v>
      </c>
    </row>
    <row r="8372" customFormat="false" ht="15" hidden="false" customHeight="false" outlineLevel="0" collapsed="false">
      <c r="A8372" s="3" t="s">
        <v>561</v>
      </c>
      <c r="C8372" s="33" t="n">
        <f aca="false">Assumptions!$Q$62</f>
        <v>0</v>
      </c>
    </row>
    <row r="8373" customFormat="false" ht="15" hidden="false" customHeight="false" outlineLevel="0" collapsed="false">
      <c r="A8373" s="3" t="s">
        <v>562</v>
      </c>
      <c r="C8373" s="33" t="n">
        <f aca="false">Assumptions!$Q$63</f>
        <v>0</v>
      </c>
    </row>
    <row r="8374" customFormat="false" ht="15" hidden="false" customHeight="false" outlineLevel="0" collapsed="false">
      <c r="A8374" s="3" t="s">
        <v>563</v>
      </c>
      <c r="C8374" s="33" t="n">
        <f aca="false">Assumptions!$Q$64</f>
        <v>0</v>
      </c>
    </row>
    <row r="8375" customFormat="false" ht="15" hidden="false" customHeight="false" outlineLevel="0" collapsed="false">
      <c r="A8375" s="3" t="s">
        <v>564</v>
      </c>
      <c r="C8375" s="33" t="n">
        <f aca="false">Assumptions!$Q$65</f>
        <v>0</v>
      </c>
    </row>
    <row r="8376" customFormat="false" ht="15" hidden="false" customHeight="false" outlineLevel="0" collapsed="false">
      <c r="A8376" s="3" t="s">
        <v>565</v>
      </c>
      <c r="C8376" s="33" t="n">
        <f aca="false">Assumptions!$Q$66</f>
        <v>0</v>
      </c>
    </row>
    <row r="8377" customFormat="false" ht="15" hidden="false" customHeight="false" outlineLevel="0" collapsed="false">
      <c r="A8377" s="24" t="s">
        <v>568</v>
      </c>
      <c r="B8377" s="25"/>
      <c r="C8377" s="25"/>
      <c r="D8377" s="25"/>
      <c r="E8377" s="25"/>
      <c r="F8377" s="25"/>
      <c r="G8377" s="25"/>
      <c r="H8377" s="25"/>
      <c r="I8377" s="25"/>
      <c r="J8377" s="25"/>
      <c r="K8377" s="25"/>
    </row>
    <row r="8378" customFormat="false" ht="15" hidden="false" customHeight="false" outlineLevel="0" collapsed="false">
      <c r="A8378" s="3" t="s">
        <v>556</v>
      </c>
      <c r="C8378" s="16" t="n">
        <f aca="false">IF(C8367&gt;0,MIN(C8345,C8367*$C$8343),0)</f>
        <v>388</v>
      </c>
    </row>
    <row r="8379" customFormat="false" ht="15" hidden="false" customHeight="false" outlineLevel="0" collapsed="false">
      <c r="A8379" s="3" t="s">
        <v>557</v>
      </c>
      <c r="C8379" s="16" t="n">
        <f aca="false">IF(C8368&gt;0,MIN(C8346,C8368*$C$8343),0)</f>
        <v>86.586175918935</v>
      </c>
    </row>
    <row r="8380" customFormat="false" ht="15" hidden="false" customHeight="false" outlineLevel="0" collapsed="false">
      <c r="A8380" s="3" t="s">
        <v>558</v>
      </c>
      <c r="C8380" s="16" t="n">
        <f aca="false">IF(C8369&gt;0,MIN(C8347,C8369*$C$8343),0)</f>
        <v>55.100293766595</v>
      </c>
    </row>
    <row r="8381" customFormat="false" ht="15" hidden="false" customHeight="false" outlineLevel="0" collapsed="false">
      <c r="A8381" s="3" t="s">
        <v>559</v>
      </c>
      <c r="C8381" s="16" t="n">
        <f aca="false">IF(C8370&gt;0,MIN(C8348,C8370*$C$8343),0)</f>
        <v>0</v>
      </c>
    </row>
    <row r="8382" customFormat="false" ht="15" hidden="false" customHeight="false" outlineLevel="0" collapsed="false">
      <c r="A8382" s="3" t="s">
        <v>560</v>
      </c>
      <c r="C8382" s="16" t="n">
        <f aca="false">IF(C8371&gt;0,MIN(C8349,C8371*$C$8343),0)</f>
        <v>0</v>
      </c>
    </row>
    <row r="8383" customFormat="false" ht="15" hidden="false" customHeight="false" outlineLevel="0" collapsed="false">
      <c r="A8383" s="3" t="s">
        <v>561</v>
      </c>
      <c r="C8383" s="16" t="n">
        <f aca="false">IF(C8372&gt;0,MIN(C8350,C8372*$C$8343),0)</f>
        <v>0</v>
      </c>
    </row>
    <row r="8384" customFormat="false" ht="15" hidden="false" customHeight="false" outlineLevel="0" collapsed="false">
      <c r="A8384" s="3" t="s">
        <v>562</v>
      </c>
      <c r="C8384" s="16" t="n">
        <f aca="false">IF(C8373&gt;0,MIN(C8351,C8373*$C$8343),0)</f>
        <v>0</v>
      </c>
    </row>
    <row r="8385" customFormat="false" ht="15" hidden="false" customHeight="false" outlineLevel="0" collapsed="false">
      <c r="A8385" s="3" t="s">
        <v>563</v>
      </c>
      <c r="C8385" s="16" t="n">
        <f aca="false">IF(C8374&gt;0,MIN(C8352,C8374*$C$8343),0)</f>
        <v>0</v>
      </c>
    </row>
    <row r="8386" customFormat="false" ht="15" hidden="false" customHeight="false" outlineLevel="0" collapsed="false">
      <c r="A8386" s="3" t="s">
        <v>564</v>
      </c>
      <c r="C8386" s="16" t="n">
        <f aca="false">IF(C8375&gt;0,MIN(C8353,C8375*$C$8343),0)</f>
        <v>0</v>
      </c>
    </row>
    <row r="8387" customFormat="false" ht="15" hidden="false" customHeight="false" outlineLevel="0" collapsed="false">
      <c r="A8387" s="3" t="s">
        <v>565</v>
      </c>
      <c r="C8387" s="16" t="n">
        <f aca="false">IF(C8376&gt;0,MIN(C8354,C8376*$C$8343),0)</f>
        <v>0</v>
      </c>
    </row>
    <row r="8388" customFormat="false" ht="15" hidden="false" customHeight="false" outlineLevel="0" collapsed="false">
      <c r="A8388" s="24" t="s">
        <v>569</v>
      </c>
      <c r="B8388" s="25"/>
      <c r="C8388" s="25"/>
      <c r="D8388" s="25"/>
      <c r="E8388" s="25"/>
      <c r="F8388" s="25"/>
      <c r="G8388" s="25"/>
      <c r="H8388" s="25"/>
      <c r="I8388" s="25"/>
      <c r="J8388" s="25"/>
      <c r="K8388" s="25"/>
    </row>
    <row r="8389" customFormat="false" ht="15" hidden="false" customHeight="false" outlineLevel="0" collapsed="false">
      <c r="A8389" s="3" t="s">
        <v>556</v>
      </c>
      <c r="C8389" s="16" t="n">
        <f aca="false">IF(C8367&gt;0,C8345-C8378,0)</f>
        <v>0</v>
      </c>
    </row>
    <row r="8390" customFormat="false" ht="15" hidden="false" customHeight="false" outlineLevel="0" collapsed="false">
      <c r="A8390" s="3" t="s">
        <v>557</v>
      </c>
      <c r="C8390" s="16" t="n">
        <f aca="false">IF(C8368&gt;0,C8346-C8379,0)</f>
        <v>3.41382408106499</v>
      </c>
    </row>
    <row r="8391" customFormat="false" ht="15" hidden="false" customHeight="false" outlineLevel="0" collapsed="false">
      <c r="A8391" s="3" t="s">
        <v>558</v>
      </c>
      <c r="C8391" s="16" t="n">
        <f aca="false">IF(C8369&gt;0,C8347-C8380,0)</f>
        <v>2.22370623340499</v>
      </c>
    </row>
    <row r="8392" customFormat="false" ht="15" hidden="false" customHeight="false" outlineLevel="0" collapsed="false">
      <c r="A8392" s="3" t="s">
        <v>559</v>
      </c>
      <c r="C8392" s="16" t="n">
        <f aca="false">IF(C8370&gt;0,C8348-C8381,0)</f>
        <v>0</v>
      </c>
    </row>
    <row r="8393" customFormat="false" ht="15" hidden="false" customHeight="false" outlineLevel="0" collapsed="false">
      <c r="A8393" s="3" t="s">
        <v>560</v>
      </c>
      <c r="C8393" s="16" t="n">
        <f aca="false">IF(C8371&gt;0,C8349-C8382,0)</f>
        <v>0</v>
      </c>
    </row>
    <row r="8394" customFormat="false" ht="15" hidden="false" customHeight="false" outlineLevel="0" collapsed="false">
      <c r="A8394" s="3" t="s">
        <v>561</v>
      </c>
      <c r="C8394" s="16" t="n">
        <f aca="false">IF(C8372&gt;0,C8350-C8383,0)</f>
        <v>0</v>
      </c>
    </row>
    <row r="8395" customFormat="false" ht="15" hidden="false" customHeight="false" outlineLevel="0" collapsed="false">
      <c r="A8395" s="3" t="s">
        <v>562</v>
      </c>
      <c r="C8395" s="16" t="n">
        <f aca="false">IF(C8373&gt;0,C8351-C8384,0)</f>
        <v>0</v>
      </c>
    </row>
    <row r="8396" customFormat="false" ht="15" hidden="false" customHeight="false" outlineLevel="0" collapsed="false">
      <c r="A8396" s="3" t="s">
        <v>563</v>
      </c>
      <c r="C8396" s="16" t="n">
        <f aca="false">IF(C8374&gt;0,C8352-C8385,0)</f>
        <v>0</v>
      </c>
    </row>
    <row r="8397" customFormat="false" ht="15" hidden="false" customHeight="false" outlineLevel="0" collapsed="false">
      <c r="A8397" s="3" t="s">
        <v>564</v>
      </c>
      <c r="C8397" s="16" t="n">
        <f aca="false">IF(C8375&gt;0,C8353-C8386,0)</f>
        <v>0</v>
      </c>
    </row>
    <row r="8398" customFormat="false" ht="15" hidden="false" customHeight="false" outlineLevel="0" collapsed="false">
      <c r="A8398" s="3" t="s">
        <v>565</v>
      </c>
      <c r="C8398" s="16" t="n">
        <f aca="false">IF(C8376&gt;0,C8354-C8387,0)</f>
        <v>0</v>
      </c>
    </row>
    <row r="8399" customFormat="false" ht="15" hidden="false" customHeight="false" outlineLevel="0" collapsed="false">
      <c r="A8399" s="24" t="s">
        <v>570</v>
      </c>
      <c r="B8399" s="25"/>
      <c r="C8399" s="25"/>
      <c r="D8399" s="25"/>
      <c r="E8399" s="25"/>
      <c r="F8399" s="25"/>
      <c r="G8399" s="25"/>
      <c r="H8399" s="25"/>
      <c r="I8399" s="25"/>
      <c r="J8399" s="25"/>
      <c r="K8399" s="25"/>
    </row>
    <row r="8400" customFormat="false" ht="15" hidden="false" customHeight="false" outlineLevel="0" collapsed="false">
      <c r="A8400" s="3" t="s">
        <v>556</v>
      </c>
      <c r="C8400" s="16" t="n">
        <f aca="false">IF(C8367&gt;0,C8389,C8345)</f>
        <v>0</v>
      </c>
    </row>
    <row r="8401" customFormat="false" ht="15" hidden="false" customHeight="false" outlineLevel="0" collapsed="false">
      <c r="A8401" s="3" t="s">
        <v>557</v>
      </c>
      <c r="C8401" s="16" t="n">
        <f aca="false">IF(C8368&gt;0,C8390,C8346)</f>
        <v>3.41382408106499</v>
      </c>
    </row>
    <row r="8402" customFormat="false" ht="15" hidden="false" customHeight="false" outlineLevel="0" collapsed="false">
      <c r="A8402" s="3" t="s">
        <v>558</v>
      </c>
      <c r="C8402" s="16" t="n">
        <f aca="false">IF(C8369&gt;0,C8391,C8347)</f>
        <v>2.22370623340499</v>
      </c>
    </row>
    <row r="8403" customFormat="false" ht="15" hidden="false" customHeight="false" outlineLevel="0" collapsed="false">
      <c r="A8403" s="3" t="s">
        <v>559</v>
      </c>
      <c r="C8403" s="16" t="n">
        <f aca="false">IF(C8370&gt;0,C8392,C8348)</f>
        <v>0</v>
      </c>
    </row>
    <row r="8404" customFormat="false" ht="15" hidden="false" customHeight="false" outlineLevel="0" collapsed="false">
      <c r="A8404" s="3" t="s">
        <v>560</v>
      </c>
      <c r="C8404" s="16" t="n">
        <f aca="false">IF(C8371&gt;0,C8393,C8349)</f>
        <v>364.536946929</v>
      </c>
    </row>
    <row r="8405" customFormat="false" ht="15" hidden="false" customHeight="false" outlineLevel="0" collapsed="false">
      <c r="A8405" s="3" t="s">
        <v>561</v>
      </c>
      <c r="C8405" s="16" t="n">
        <f aca="false">IF(C8372&gt;0,C8394,C8350)</f>
        <v>350</v>
      </c>
    </row>
    <row r="8406" customFormat="false" ht="15" hidden="false" customHeight="false" outlineLevel="0" collapsed="false">
      <c r="A8406" s="3" t="s">
        <v>562</v>
      </c>
      <c r="C8406" s="16" t="n">
        <f aca="false">IF(C8373&gt;0,C8395,C8351)</f>
        <v>550</v>
      </c>
    </row>
    <row r="8407" customFormat="false" ht="15" hidden="false" customHeight="false" outlineLevel="0" collapsed="false">
      <c r="A8407" s="3" t="s">
        <v>563</v>
      </c>
      <c r="C8407" s="16" t="n">
        <f aca="false">IF(C8374&gt;0,C8396,C8352)</f>
        <v>350</v>
      </c>
    </row>
    <row r="8408" customFormat="false" ht="15" hidden="false" customHeight="false" outlineLevel="0" collapsed="false">
      <c r="A8408" s="3" t="s">
        <v>564</v>
      </c>
      <c r="C8408" s="16" t="n">
        <f aca="false">IF(C8375&gt;0,C8397,C8353)</f>
        <v>300</v>
      </c>
    </row>
    <row r="8409" customFormat="false" ht="15" hidden="false" customHeight="false" outlineLevel="0" collapsed="false">
      <c r="A8409" s="3" t="s">
        <v>565</v>
      </c>
      <c r="C8409" s="16" t="n">
        <f aca="false">IF(C8376&gt;0,C8398,C8354)</f>
        <v>78.61</v>
      </c>
    </row>
    <row r="8410" customFormat="false" ht="15" hidden="false" customHeight="false" outlineLevel="0" collapsed="false">
      <c r="A8410" s="24" t="s">
        <v>571</v>
      </c>
      <c r="B8410" s="25"/>
      <c r="C8410" s="25"/>
      <c r="D8410" s="25"/>
      <c r="E8410" s="25"/>
      <c r="F8410" s="25"/>
      <c r="G8410" s="25"/>
      <c r="H8410" s="25"/>
      <c r="I8410" s="25"/>
      <c r="J8410" s="25"/>
      <c r="K8410" s="25"/>
    </row>
    <row r="8411" customFormat="false" ht="15" hidden="false" customHeight="false" outlineLevel="0" collapsed="false">
      <c r="A8411" s="3" t="s">
        <v>556</v>
      </c>
      <c r="C8411" s="21" t="n">
        <f aca="false">IF(C8367&gt;0,Assumptions!$C$17,C8356)</f>
        <v>99</v>
      </c>
    </row>
    <row r="8412" customFormat="false" ht="15" hidden="false" customHeight="false" outlineLevel="0" collapsed="false">
      <c r="A8412" s="3" t="s">
        <v>557</v>
      </c>
      <c r="C8412" s="21" t="n">
        <f aca="false">IF(C8368&gt;0,Assumptions!$C$17,C8357)</f>
        <v>99</v>
      </c>
    </row>
    <row r="8413" customFormat="false" ht="15" hidden="false" customHeight="false" outlineLevel="0" collapsed="false">
      <c r="A8413" s="3" t="s">
        <v>558</v>
      </c>
      <c r="C8413" s="21" t="n">
        <f aca="false">IF(C8369&gt;0,Assumptions!$C$17,C8358)</f>
        <v>99</v>
      </c>
    </row>
    <row r="8414" customFormat="false" ht="15" hidden="false" customHeight="false" outlineLevel="0" collapsed="false">
      <c r="A8414" s="3" t="s">
        <v>559</v>
      </c>
      <c r="C8414" s="21" t="n">
        <f aca="false">IF(C8370&gt;0,Assumptions!$C$17,C8359)</f>
        <v>2</v>
      </c>
    </row>
    <row r="8415" customFormat="false" ht="15" hidden="false" customHeight="false" outlineLevel="0" collapsed="false">
      <c r="A8415" s="3" t="s">
        <v>560</v>
      </c>
      <c r="C8415" s="21" t="n">
        <f aca="false">IF(C8371&gt;0,Assumptions!$C$17,C8360)</f>
        <v>2</v>
      </c>
    </row>
    <row r="8416" customFormat="false" ht="15" hidden="false" customHeight="false" outlineLevel="0" collapsed="false">
      <c r="A8416" s="3" t="s">
        <v>561</v>
      </c>
      <c r="C8416" s="21" t="n">
        <f aca="false">IF(C8372&gt;0,Assumptions!$C$17,C8361)</f>
        <v>2</v>
      </c>
    </row>
    <row r="8417" customFormat="false" ht="15" hidden="false" customHeight="false" outlineLevel="0" collapsed="false">
      <c r="A8417" s="3" t="s">
        <v>562</v>
      </c>
      <c r="C8417" s="21" t="n">
        <f aca="false">IF(C8373&gt;0,Assumptions!$C$17,C8362)</f>
        <v>2</v>
      </c>
    </row>
    <row r="8418" customFormat="false" ht="15" hidden="false" customHeight="false" outlineLevel="0" collapsed="false">
      <c r="A8418" s="3" t="s">
        <v>563</v>
      </c>
      <c r="C8418" s="21" t="n">
        <f aca="false">IF(C8374&gt;0,Assumptions!$C$17,C8363)</f>
        <v>2</v>
      </c>
    </row>
    <row r="8419" customFormat="false" ht="15" hidden="false" customHeight="false" outlineLevel="0" collapsed="false">
      <c r="A8419" s="3" t="s">
        <v>564</v>
      </c>
      <c r="C8419" s="21" t="n">
        <f aca="false">IF(C8375&gt;0,Assumptions!$C$17,C8364)</f>
        <v>2</v>
      </c>
    </row>
    <row r="8420" customFormat="false" ht="15" hidden="false" customHeight="false" outlineLevel="0" collapsed="false">
      <c r="A8420" s="3" t="s">
        <v>565</v>
      </c>
      <c r="C8420" s="21" t="n">
        <f aca="false">IF(C8376&gt;0,Assumptions!$C$17,C8365)</f>
        <v>3</v>
      </c>
    </row>
    <row r="8421" customFormat="false" ht="15" hidden="false" customHeight="false" outlineLevel="0" collapsed="false">
      <c r="A8421" s="24" t="s">
        <v>572</v>
      </c>
      <c r="B8421" s="25"/>
      <c r="C8421" s="25"/>
      <c r="D8421" s="25"/>
      <c r="E8421" s="25"/>
      <c r="F8421" s="25"/>
      <c r="G8421" s="25"/>
      <c r="H8421" s="25"/>
      <c r="I8421" s="25"/>
      <c r="J8421" s="25"/>
      <c r="K8421" s="25"/>
    </row>
    <row r="8422" customFormat="false" ht="15" hidden="false" customHeight="false" outlineLevel="0" collapsed="false">
      <c r="A8422" s="3" t="s">
        <v>556</v>
      </c>
      <c r="C8422" s="16" t="n">
        <f aca="false">SUMPRODUCT(($C$8411:$C$8420&lt;C8411)*$C$8400:$C$8409)</f>
        <v>1993.146946929</v>
      </c>
    </row>
    <row r="8423" customFormat="false" ht="15" hidden="false" customHeight="false" outlineLevel="0" collapsed="false">
      <c r="A8423" s="3" t="s">
        <v>557</v>
      </c>
      <c r="C8423" s="16" t="n">
        <f aca="false">SUMPRODUCT(($C$8411:$C$8420&lt;C8412)*$C$8400:$C$8409)</f>
        <v>1993.146946929</v>
      </c>
    </row>
    <row r="8424" customFormat="false" ht="15" hidden="false" customHeight="false" outlineLevel="0" collapsed="false">
      <c r="A8424" s="3" t="s">
        <v>558</v>
      </c>
      <c r="C8424" s="16" t="n">
        <f aca="false">SUMPRODUCT(($C$8411:$C$8420&lt;C8413)*$C$8400:$C$8409)</f>
        <v>1993.146946929</v>
      </c>
    </row>
    <row r="8425" customFormat="false" ht="15" hidden="false" customHeight="false" outlineLevel="0" collapsed="false">
      <c r="A8425" s="3" t="s">
        <v>559</v>
      </c>
      <c r="C8425" s="16" t="n">
        <f aca="false">SUMPRODUCT(($C$8411:$C$8420&lt;C8414)*$C$8400:$C$8409)</f>
        <v>0</v>
      </c>
    </row>
    <row r="8426" customFormat="false" ht="15" hidden="false" customHeight="false" outlineLevel="0" collapsed="false">
      <c r="A8426" s="3" t="s">
        <v>560</v>
      </c>
      <c r="C8426" s="16" t="n">
        <f aca="false">SUMPRODUCT(($C$8411:$C$8420&lt;C8415)*$C$8400:$C$8409)</f>
        <v>0</v>
      </c>
    </row>
    <row r="8427" customFormat="false" ht="15" hidden="false" customHeight="false" outlineLevel="0" collapsed="false">
      <c r="A8427" s="3" t="s">
        <v>561</v>
      </c>
      <c r="C8427" s="16" t="n">
        <f aca="false">SUMPRODUCT(($C$8411:$C$8420&lt;C8416)*$C$8400:$C$8409)</f>
        <v>0</v>
      </c>
    </row>
    <row r="8428" customFormat="false" ht="15" hidden="false" customHeight="false" outlineLevel="0" collapsed="false">
      <c r="A8428" s="3" t="s">
        <v>562</v>
      </c>
      <c r="C8428" s="16" t="n">
        <f aca="false">SUMPRODUCT(($C$8411:$C$8420&lt;C8417)*$C$8400:$C$8409)</f>
        <v>0</v>
      </c>
    </row>
    <row r="8429" customFormat="false" ht="15" hidden="false" customHeight="false" outlineLevel="0" collapsed="false">
      <c r="A8429" s="3" t="s">
        <v>563</v>
      </c>
      <c r="C8429" s="16" t="n">
        <f aca="false">SUMPRODUCT(($C$8411:$C$8420&lt;C8418)*$C$8400:$C$8409)</f>
        <v>0</v>
      </c>
    </row>
    <row r="8430" customFormat="false" ht="15" hidden="false" customHeight="false" outlineLevel="0" collapsed="false">
      <c r="A8430" s="3" t="s">
        <v>564</v>
      </c>
      <c r="C8430" s="16" t="n">
        <f aca="false">SUMPRODUCT(($C$8411:$C$8420&lt;C8419)*$C$8400:$C$8409)</f>
        <v>0</v>
      </c>
    </row>
    <row r="8431" customFormat="false" ht="15" hidden="false" customHeight="false" outlineLevel="0" collapsed="false">
      <c r="A8431" s="3" t="s">
        <v>565</v>
      </c>
      <c r="C8431" s="16" t="n">
        <f aca="false">SUMPRODUCT(($C$8411:$C$8420&lt;C8420)*$C$8400:$C$8409)</f>
        <v>1914.536946929</v>
      </c>
    </row>
    <row r="8432" customFormat="false" ht="15" hidden="false" customHeight="false" outlineLevel="0" collapsed="false">
      <c r="A8432" s="24" t="s">
        <v>573</v>
      </c>
      <c r="B8432" s="25"/>
      <c r="C8432" s="25"/>
      <c r="D8432" s="25"/>
      <c r="E8432" s="25"/>
      <c r="F8432" s="25"/>
      <c r="G8432" s="25"/>
      <c r="H8432" s="25"/>
      <c r="I8432" s="25"/>
      <c r="J8432" s="25"/>
      <c r="K8432" s="25"/>
    </row>
    <row r="8433" customFormat="false" ht="15" hidden="false" customHeight="false" outlineLevel="0" collapsed="false">
      <c r="A8433" s="3" t="s">
        <v>556</v>
      </c>
      <c r="C8433" s="16" t="n">
        <f aca="false">SUMPRODUCT(($C$8411:$C$8420=C8411)*$C$8400:$C$8409)</f>
        <v>5.63753031446998</v>
      </c>
    </row>
    <row r="8434" customFormat="false" ht="15" hidden="false" customHeight="false" outlineLevel="0" collapsed="false">
      <c r="A8434" s="3" t="s">
        <v>557</v>
      </c>
      <c r="C8434" s="16" t="n">
        <f aca="false">SUMPRODUCT(($C$8411:$C$8420=C8412)*$C$8400:$C$8409)</f>
        <v>5.63753031446998</v>
      </c>
    </row>
    <row r="8435" customFormat="false" ht="15" hidden="false" customHeight="false" outlineLevel="0" collapsed="false">
      <c r="A8435" s="3" t="s">
        <v>558</v>
      </c>
      <c r="C8435" s="16" t="n">
        <f aca="false">SUMPRODUCT(($C$8411:$C$8420=C8413)*$C$8400:$C$8409)</f>
        <v>5.63753031446998</v>
      </c>
    </row>
    <row r="8436" customFormat="false" ht="15" hidden="false" customHeight="false" outlineLevel="0" collapsed="false">
      <c r="A8436" s="3" t="s">
        <v>559</v>
      </c>
      <c r="C8436" s="16" t="n">
        <f aca="false">SUMPRODUCT(($C$8411:$C$8420=C8414)*$C$8400:$C$8409)</f>
        <v>1914.536946929</v>
      </c>
    </row>
    <row r="8437" customFormat="false" ht="15" hidden="false" customHeight="false" outlineLevel="0" collapsed="false">
      <c r="A8437" s="3" t="s">
        <v>560</v>
      </c>
      <c r="C8437" s="16" t="n">
        <f aca="false">SUMPRODUCT(($C$8411:$C$8420=C8415)*$C$8400:$C$8409)</f>
        <v>1914.536946929</v>
      </c>
    </row>
    <row r="8438" customFormat="false" ht="15" hidden="false" customHeight="false" outlineLevel="0" collapsed="false">
      <c r="A8438" s="3" t="s">
        <v>561</v>
      </c>
      <c r="C8438" s="16" t="n">
        <f aca="false">SUMPRODUCT(($C$8411:$C$8420=C8416)*$C$8400:$C$8409)</f>
        <v>1914.536946929</v>
      </c>
    </row>
    <row r="8439" customFormat="false" ht="15" hidden="false" customHeight="false" outlineLevel="0" collapsed="false">
      <c r="A8439" s="3" t="s">
        <v>562</v>
      </c>
      <c r="C8439" s="16" t="n">
        <f aca="false">SUMPRODUCT(($C$8411:$C$8420=C8417)*$C$8400:$C$8409)</f>
        <v>1914.536946929</v>
      </c>
    </row>
    <row r="8440" customFormat="false" ht="15" hidden="false" customHeight="false" outlineLevel="0" collapsed="false">
      <c r="A8440" s="3" t="s">
        <v>563</v>
      </c>
      <c r="C8440" s="16" t="n">
        <f aca="false">SUMPRODUCT(($C$8411:$C$8420=C8418)*$C$8400:$C$8409)</f>
        <v>1914.536946929</v>
      </c>
    </row>
    <row r="8441" customFormat="false" ht="15" hidden="false" customHeight="false" outlineLevel="0" collapsed="false">
      <c r="A8441" s="3" t="s">
        <v>564</v>
      </c>
      <c r="C8441" s="16" t="n">
        <f aca="false">SUMPRODUCT(($C$8411:$C$8420=C8419)*$C$8400:$C$8409)</f>
        <v>1914.536946929</v>
      </c>
    </row>
    <row r="8442" customFormat="false" ht="15" hidden="false" customHeight="false" outlineLevel="0" collapsed="false">
      <c r="A8442" s="3" t="s">
        <v>565</v>
      </c>
      <c r="C8442" s="16" t="n">
        <f aca="false">SUMPRODUCT(($C$8411:$C$8420=C8420)*$C$8400:$C$8409)</f>
        <v>78.61</v>
      </c>
    </row>
    <row r="8443" customFormat="false" ht="15" hidden="false" customHeight="false" outlineLevel="0" collapsed="false">
      <c r="A8443" s="24" t="s">
        <v>574</v>
      </c>
      <c r="B8443" s="25"/>
      <c r="C8443" s="25"/>
      <c r="D8443" s="25"/>
      <c r="E8443" s="25"/>
      <c r="F8443" s="25"/>
      <c r="G8443" s="25"/>
      <c r="H8443" s="25"/>
      <c r="I8443" s="25"/>
      <c r="J8443" s="25"/>
      <c r="K8443" s="25"/>
    </row>
    <row r="8444" customFormat="false" ht="15" hidden="false" customHeight="false" outlineLevel="0" collapsed="false">
      <c r="A8444" s="3" t="s">
        <v>556</v>
      </c>
      <c r="C8444" s="16" t="n">
        <f aca="false">IF(C8433=0,0,C8400/C8433*MAX(0,MIN(C8433,$C$8343-SUM($C$8378:$C$8387)-C8422)))</f>
        <v>0</v>
      </c>
    </row>
    <row r="8445" customFormat="false" ht="15" hidden="false" customHeight="false" outlineLevel="0" collapsed="false">
      <c r="A8445" s="3" t="s">
        <v>557</v>
      </c>
      <c r="C8445" s="16" t="n">
        <f aca="false">IF(C8434=0,0,C8401/C8434*MAX(0,MIN(C8434,$C$8343-SUM($C$8378:$C$8387)-C8423)))</f>
        <v>3.41382408106499</v>
      </c>
    </row>
    <row r="8446" customFormat="false" ht="15" hidden="false" customHeight="false" outlineLevel="0" collapsed="false">
      <c r="A8446" s="3" t="s">
        <v>558</v>
      </c>
      <c r="C8446" s="16" t="n">
        <f aca="false">IF(C8435=0,0,C8402/C8435*MAX(0,MIN(C8435,$C$8343-SUM($C$8378:$C$8387)-C8424)))</f>
        <v>2.22370623340499</v>
      </c>
    </row>
    <row r="8447" customFormat="false" ht="15" hidden="false" customHeight="false" outlineLevel="0" collapsed="false">
      <c r="A8447" s="3" t="s">
        <v>559</v>
      </c>
      <c r="C8447" s="16" t="n">
        <f aca="false">IF(C8436=0,0,C8403/C8436*MAX(0,MIN(C8436,$C$8343-SUM($C$8378:$C$8387)-C8425)))</f>
        <v>0</v>
      </c>
    </row>
    <row r="8448" customFormat="false" ht="15" hidden="false" customHeight="false" outlineLevel="0" collapsed="false">
      <c r="A8448" s="3" t="s">
        <v>560</v>
      </c>
      <c r="C8448" s="16" t="n">
        <f aca="false">IF(C8437=0,0,C8404/C8437*MAX(0,MIN(C8437,$C$8343-SUM($C$8378:$C$8387)-C8426)))</f>
        <v>364.536946929</v>
      </c>
    </row>
    <row r="8449" customFormat="false" ht="15" hidden="false" customHeight="false" outlineLevel="0" collapsed="false">
      <c r="A8449" s="3" t="s">
        <v>561</v>
      </c>
      <c r="C8449" s="16" t="n">
        <f aca="false">IF(C8438=0,0,C8405/C8438*MAX(0,MIN(C8438,$C$8343-SUM($C$8378:$C$8387)-C8427)))</f>
        <v>350</v>
      </c>
    </row>
    <row r="8450" customFormat="false" ht="15" hidden="false" customHeight="false" outlineLevel="0" collapsed="false">
      <c r="A8450" s="3" t="s">
        <v>562</v>
      </c>
      <c r="C8450" s="16" t="n">
        <f aca="false">IF(C8439=0,0,C8406/C8439*MAX(0,MIN(C8439,$C$8343-SUM($C$8378:$C$8387)-C8428)))</f>
        <v>550</v>
      </c>
    </row>
    <row r="8451" customFormat="false" ht="15" hidden="false" customHeight="false" outlineLevel="0" collapsed="false">
      <c r="A8451" s="3" t="s">
        <v>563</v>
      </c>
      <c r="C8451" s="16" t="n">
        <f aca="false">IF(C8440=0,0,C8407/C8440*MAX(0,MIN(C8440,$C$8343-SUM($C$8378:$C$8387)-C8429)))</f>
        <v>350</v>
      </c>
    </row>
    <row r="8452" customFormat="false" ht="15" hidden="false" customHeight="false" outlineLevel="0" collapsed="false">
      <c r="A8452" s="3" t="s">
        <v>564</v>
      </c>
      <c r="C8452" s="16" t="n">
        <f aca="false">IF(C8441=0,0,C8408/C8441*MAX(0,MIN(C8441,$C$8343-SUM($C$8378:$C$8387)-C8430)))</f>
        <v>300</v>
      </c>
    </row>
    <row r="8453" customFormat="false" ht="15" hidden="false" customHeight="false" outlineLevel="0" collapsed="false">
      <c r="A8453" s="3" t="s">
        <v>565</v>
      </c>
      <c r="C8453" s="16" t="n">
        <f aca="false">IF(C8442=0,0,C8409/C8442*MAX(0,MIN(C8442,$C$8343-SUM($C$8378:$C$8387)-C8431)))</f>
        <v>78.61</v>
      </c>
    </row>
    <row r="8454" customFormat="false" ht="15" hidden="false" customHeight="false" outlineLevel="0" collapsed="false">
      <c r="A8454" s="24" t="s">
        <v>575</v>
      </c>
      <c r="B8454" s="25"/>
      <c r="C8454" s="25"/>
      <c r="D8454" s="25"/>
      <c r="E8454" s="25"/>
      <c r="F8454" s="25"/>
      <c r="G8454" s="25"/>
      <c r="H8454" s="25"/>
      <c r="I8454" s="25"/>
      <c r="J8454" s="25"/>
      <c r="K8454" s="25"/>
    </row>
    <row r="8455" customFormat="false" ht="15" hidden="false" customHeight="false" outlineLevel="0" collapsed="false">
      <c r="A8455" s="2" t="s">
        <v>556</v>
      </c>
      <c r="C8455" s="17" t="n">
        <f aca="false">C8378+C8444</f>
        <v>388</v>
      </c>
    </row>
    <row r="8456" customFormat="false" ht="15" hidden="false" customHeight="false" outlineLevel="0" collapsed="false">
      <c r="A8456" s="2" t="s">
        <v>557</v>
      </c>
      <c r="C8456" s="17" t="n">
        <f aca="false">C8379+C8445</f>
        <v>90</v>
      </c>
    </row>
    <row r="8457" customFormat="false" ht="15" hidden="false" customHeight="false" outlineLevel="0" collapsed="false">
      <c r="A8457" s="2" t="s">
        <v>558</v>
      </c>
      <c r="C8457" s="17" t="n">
        <f aca="false">C8380+C8446</f>
        <v>57.324</v>
      </c>
    </row>
    <row r="8458" customFormat="false" ht="15" hidden="false" customHeight="false" outlineLevel="0" collapsed="false">
      <c r="A8458" s="2" t="s">
        <v>559</v>
      </c>
      <c r="C8458" s="17" t="n">
        <f aca="false">C8381+C8447</f>
        <v>0</v>
      </c>
    </row>
    <row r="8459" customFormat="false" ht="15" hidden="false" customHeight="false" outlineLevel="0" collapsed="false">
      <c r="A8459" s="2" t="s">
        <v>560</v>
      </c>
      <c r="C8459" s="17" t="n">
        <f aca="false">C8382+C8448</f>
        <v>364.536946929</v>
      </c>
    </row>
    <row r="8460" customFormat="false" ht="15" hidden="false" customHeight="false" outlineLevel="0" collapsed="false">
      <c r="A8460" s="2" t="s">
        <v>561</v>
      </c>
      <c r="C8460" s="17" t="n">
        <f aca="false">C8383+C8449</f>
        <v>350</v>
      </c>
    </row>
    <row r="8461" customFormat="false" ht="15" hidden="false" customHeight="false" outlineLevel="0" collapsed="false">
      <c r="A8461" s="2" t="s">
        <v>562</v>
      </c>
      <c r="C8461" s="17" t="n">
        <f aca="false">C8384+C8450</f>
        <v>550</v>
      </c>
    </row>
    <row r="8462" customFormat="false" ht="15" hidden="false" customHeight="false" outlineLevel="0" collapsed="false">
      <c r="A8462" s="2" t="s">
        <v>563</v>
      </c>
      <c r="C8462" s="17" t="n">
        <f aca="false">C8385+C8451</f>
        <v>350</v>
      </c>
    </row>
    <row r="8463" customFormat="false" ht="15" hidden="false" customHeight="false" outlineLevel="0" collapsed="false">
      <c r="A8463" s="2" t="s">
        <v>564</v>
      </c>
      <c r="C8463" s="17" t="n">
        <f aca="false">C8386+C8452</f>
        <v>300</v>
      </c>
    </row>
    <row r="8464" customFormat="false" ht="15" hidden="false" customHeight="false" outlineLevel="0" collapsed="false">
      <c r="A8464" s="2" t="s">
        <v>565</v>
      </c>
      <c r="C8464" s="17" t="n">
        <f aca="false">C8387+C8453</f>
        <v>78.61</v>
      </c>
    </row>
    <row r="8465" customFormat="false" ht="15" hidden="false" customHeight="false" outlineLevel="0" collapsed="false">
      <c r="A8465" s="24" t="s">
        <v>576</v>
      </c>
      <c r="B8465" s="25"/>
      <c r="C8465" s="25"/>
      <c r="D8465" s="25"/>
      <c r="E8465" s="25"/>
      <c r="F8465" s="25"/>
      <c r="G8465" s="25"/>
      <c r="H8465" s="25"/>
      <c r="I8465" s="25"/>
      <c r="J8465" s="25"/>
      <c r="K8465" s="25"/>
    </row>
    <row r="8466" customFormat="false" ht="15" hidden="false" customHeight="false" outlineLevel="0" collapsed="false">
      <c r="A8466" s="3" t="s">
        <v>556</v>
      </c>
      <c r="C8466" s="22" t="n">
        <f aca="false">IF(C8345=0,1,C8455/C8345)</f>
        <v>1</v>
      </c>
    </row>
    <row r="8467" customFormat="false" ht="15" hidden="false" customHeight="false" outlineLevel="0" collapsed="false">
      <c r="A8467" s="3" t="s">
        <v>557</v>
      </c>
      <c r="C8467" s="22" t="n">
        <f aca="false">IF(C8346=0,1,C8456/C8346)</f>
        <v>1</v>
      </c>
    </row>
    <row r="8468" customFormat="false" ht="15" hidden="false" customHeight="false" outlineLevel="0" collapsed="false">
      <c r="A8468" s="3" t="s">
        <v>558</v>
      </c>
      <c r="C8468" s="22" t="n">
        <f aca="false">IF(C8347=0,1,C8457/C8347)</f>
        <v>1</v>
      </c>
    </row>
    <row r="8469" customFormat="false" ht="15" hidden="false" customHeight="false" outlineLevel="0" collapsed="false">
      <c r="A8469" s="3" t="s">
        <v>559</v>
      </c>
      <c r="C8469" s="22" t="n">
        <f aca="false">IF(C8348=0,1,C8458/C8348)</f>
        <v>1</v>
      </c>
    </row>
    <row r="8470" customFormat="false" ht="15" hidden="false" customHeight="false" outlineLevel="0" collapsed="false">
      <c r="A8470" s="3" t="s">
        <v>560</v>
      </c>
      <c r="C8470" s="22" t="n">
        <f aca="false">IF(C8349=0,1,C8459/C8349)</f>
        <v>1</v>
      </c>
    </row>
    <row r="8471" customFormat="false" ht="15" hidden="false" customHeight="false" outlineLevel="0" collapsed="false">
      <c r="A8471" s="3" t="s">
        <v>561</v>
      </c>
      <c r="C8471" s="22" t="n">
        <f aca="false">IF(C8350=0,1,C8460/C8350)</f>
        <v>1</v>
      </c>
    </row>
    <row r="8472" customFormat="false" ht="15" hidden="false" customHeight="false" outlineLevel="0" collapsed="false">
      <c r="A8472" s="3" t="s">
        <v>562</v>
      </c>
      <c r="C8472" s="22" t="n">
        <f aca="false">IF(C8351=0,1,C8461/C8351)</f>
        <v>1</v>
      </c>
    </row>
    <row r="8473" customFormat="false" ht="15" hidden="false" customHeight="false" outlineLevel="0" collapsed="false">
      <c r="A8473" s="3" t="s">
        <v>563</v>
      </c>
      <c r="C8473" s="22" t="n">
        <f aca="false">IF(C8352=0,1,C8462/C8352)</f>
        <v>1</v>
      </c>
    </row>
    <row r="8474" customFormat="false" ht="15" hidden="false" customHeight="false" outlineLevel="0" collapsed="false">
      <c r="A8474" s="3" t="s">
        <v>564</v>
      </c>
      <c r="C8474" s="22" t="n">
        <f aca="false">IF(C8353=0,1,C8463/C8353)</f>
        <v>1</v>
      </c>
    </row>
    <row r="8475" customFormat="false" ht="15" hidden="false" customHeight="false" outlineLevel="0" collapsed="false">
      <c r="A8475" s="3" t="s">
        <v>565</v>
      </c>
      <c r="C8475" s="22" t="n">
        <f aca="false">IF(C8354=0,1,C8464/C8354)</f>
        <v>1</v>
      </c>
    </row>
    <row r="8476" customFormat="false" ht="15" hidden="false" customHeight="false" outlineLevel="0" collapsed="false">
      <c r="A8476" s="24" t="s">
        <v>577</v>
      </c>
      <c r="B8476" s="25"/>
      <c r="C8476" s="25"/>
      <c r="D8476" s="25"/>
      <c r="E8476" s="25"/>
      <c r="F8476" s="25"/>
      <c r="G8476" s="25"/>
      <c r="H8476" s="25"/>
      <c r="I8476" s="25"/>
      <c r="J8476" s="25"/>
      <c r="K8476" s="25"/>
    </row>
    <row r="8477" customFormat="false" ht="15" hidden="false" customHeight="false" outlineLevel="0" collapsed="false">
      <c r="A8477" s="3" t="s">
        <v>556</v>
      </c>
      <c r="C8477" s="16" t="n">
        <f aca="false">C8345-C8455</f>
        <v>0</v>
      </c>
    </row>
    <row r="8478" customFormat="false" ht="15" hidden="false" customHeight="false" outlineLevel="0" collapsed="false">
      <c r="A8478" s="3" t="s">
        <v>557</v>
      </c>
      <c r="C8478" s="16" t="n">
        <f aca="false">C8346-C8456</f>
        <v>0</v>
      </c>
    </row>
    <row r="8479" customFormat="false" ht="15" hidden="false" customHeight="false" outlineLevel="0" collapsed="false">
      <c r="A8479" s="3" t="s">
        <v>558</v>
      </c>
      <c r="C8479" s="16" t="n">
        <f aca="false">C8347-C8457</f>
        <v>0</v>
      </c>
    </row>
    <row r="8480" customFormat="false" ht="15" hidden="false" customHeight="false" outlineLevel="0" collapsed="false">
      <c r="A8480" s="3" t="s">
        <v>559</v>
      </c>
      <c r="C8480" s="16" t="n">
        <f aca="false">C8348-C8458</f>
        <v>0</v>
      </c>
    </row>
    <row r="8481" customFormat="false" ht="15" hidden="false" customHeight="false" outlineLevel="0" collapsed="false">
      <c r="A8481" s="3" t="s">
        <v>560</v>
      </c>
      <c r="C8481" s="16" t="n">
        <f aca="false">C8349-C8459</f>
        <v>0</v>
      </c>
    </row>
    <row r="8482" customFormat="false" ht="15" hidden="false" customHeight="false" outlineLevel="0" collapsed="false">
      <c r="A8482" s="3" t="s">
        <v>561</v>
      </c>
      <c r="C8482" s="16" t="n">
        <f aca="false">C8350-C8460</f>
        <v>0</v>
      </c>
    </row>
    <row r="8483" customFormat="false" ht="15" hidden="false" customHeight="false" outlineLevel="0" collapsed="false">
      <c r="A8483" s="3" t="s">
        <v>562</v>
      </c>
      <c r="C8483" s="16" t="n">
        <f aca="false">C8351-C8461</f>
        <v>0</v>
      </c>
    </row>
    <row r="8484" customFormat="false" ht="15" hidden="false" customHeight="false" outlineLevel="0" collapsed="false">
      <c r="A8484" s="3" t="s">
        <v>563</v>
      </c>
      <c r="C8484" s="16" t="n">
        <f aca="false">C8352-C8462</f>
        <v>0</v>
      </c>
    </row>
    <row r="8485" customFormat="false" ht="15" hidden="false" customHeight="false" outlineLevel="0" collapsed="false">
      <c r="A8485" s="3" t="s">
        <v>564</v>
      </c>
      <c r="C8485" s="16" t="n">
        <f aca="false">C8353-C8463</f>
        <v>0</v>
      </c>
    </row>
    <row r="8486" customFormat="false" ht="15" hidden="false" customHeight="false" outlineLevel="0" collapsed="false">
      <c r="A8486" s="3" t="s">
        <v>565</v>
      </c>
      <c r="C8486" s="16" t="n">
        <f aca="false">C8354-C8464</f>
        <v>0</v>
      </c>
    </row>
    <row r="8487" customFormat="false" ht="15" hidden="false" customHeight="false" outlineLevel="0" collapsed="false">
      <c r="A8487" s="24" t="s">
        <v>578</v>
      </c>
      <c r="B8487" s="25"/>
      <c r="C8487" s="25"/>
      <c r="D8487" s="25"/>
      <c r="E8487" s="25"/>
      <c r="F8487" s="25"/>
      <c r="G8487" s="25"/>
      <c r="H8487" s="25"/>
      <c r="I8487" s="25"/>
      <c r="J8487" s="25"/>
      <c r="K8487" s="25"/>
    </row>
    <row r="8488" customFormat="false" ht="15" hidden="false" customHeight="false" outlineLevel="0" collapsed="false">
      <c r="A8488" s="3" t="s">
        <v>556</v>
      </c>
      <c r="C8488" s="22" t="n">
        <f aca="false">IF(C8345=0,0,C8477/C8345)</f>
        <v>0</v>
      </c>
    </row>
    <row r="8489" customFormat="false" ht="15" hidden="false" customHeight="false" outlineLevel="0" collapsed="false">
      <c r="A8489" s="3" t="s">
        <v>557</v>
      </c>
      <c r="C8489" s="22" t="n">
        <f aca="false">IF(C8346=0,0,C8478/C8346)</f>
        <v>0</v>
      </c>
    </row>
    <row r="8490" customFormat="false" ht="15" hidden="false" customHeight="false" outlineLevel="0" collapsed="false">
      <c r="A8490" s="3" t="s">
        <v>558</v>
      </c>
      <c r="C8490" s="22" t="n">
        <f aca="false">IF(C8347=0,0,C8479/C8347)</f>
        <v>0</v>
      </c>
    </row>
    <row r="8491" customFormat="false" ht="15" hidden="false" customHeight="false" outlineLevel="0" collapsed="false">
      <c r="A8491" s="3" t="s">
        <v>559</v>
      </c>
      <c r="C8491" s="22" t="n">
        <f aca="false">IF(C8348=0,0,C8480/C8348)</f>
        <v>0</v>
      </c>
    </row>
    <row r="8492" customFormat="false" ht="15" hidden="false" customHeight="false" outlineLevel="0" collapsed="false">
      <c r="A8492" s="3" t="s">
        <v>560</v>
      </c>
      <c r="C8492" s="22" t="n">
        <f aca="false">IF(C8349=0,0,C8481/C8349)</f>
        <v>0</v>
      </c>
    </row>
    <row r="8493" customFormat="false" ht="15" hidden="false" customHeight="false" outlineLevel="0" collapsed="false">
      <c r="A8493" s="3" t="s">
        <v>561</v>
      </c>
      <c r="C8493" s="22" t="n">
        <f aca="false">IF(C8350=0,0,C8482/C8350)</f>
        <v>0</v>
      </c>
    </row>
    <row r="8494" customFormat="false" ht="15" hidden="false" customHeight="false" outlineLevel="0" collapsed="false">
      <c r="A8494" s="3" t="s">
        <v>562</v>
      </c>
      <c r="C8494" s="22" t="n">
        <f aca="false">IF(C8351=0,0,C8483/C8351)</f>
        <v>0</v>
      </c>
    </row>
    <row r="8495" customFormat="false" ht="15" hidden="false" customHeight="false" outlineLevel="0" collapsed="false">
      <c r="A8495" s="3" t="s">
        <v>563</v>
      </c>
      <c r="C8495" s="22" t="n">
        <f aca="false">IF(C8352=0,0,C8484/C8352)</f>
        <v>0</v>
      </c>
    </row>
    <row r="8496" customFormat="false" ht="15" hidden="false" customHeight="false" outlineLevel="0" collapsed="false">
      <c r="A8496" s="3" t="s">
        <v>564</v>
      </c>
      <c r="C8496" s="22" t="n">
        <f aca="false">IF(C8353=0,0,C8485/C8353)</f>
        <v>0</v>
      </c>
    </row>
    <row r="8497" customFormat="false" ht="15" hidden="false" customHeight="false" outlineLevel="0" collapsed="false">
      <c r="A8497" s="3" t="s">
        <v>565</v>
      </c>
      <c r="C8497" s="22" t="n">
        <f aca="false">IF(C8354=0,0,C8486/C8354)</f>
        <v>0</v>
      </c>
    </row>
    <row r="8498" customFormat="false" ht="15" hidden="false" customHeight="false" outlineLevel="0" collapsed="false">
      <c r="A8498" s="2" t="s">
        <v>579</v>
      </c>
      <c r="C8498" s="17" t="n">
        <f aca="false">MAX(0,$C$8343-SUM($C$8378:$C$8387)-SUM($C$8400:$C$8409))</f>
        <v>95.3525657660005</v>
      </c>
    </row>
    <row r="8499" customFormat="false" ht="15" hidden="false" customHeight="false" outlineLevel="0" collapsed="false">
      <c r="A8499" s="3" t="s">
        <v>597</v>
      </c>
      <c r="C8499" s="35" t="n">
        <f aca="false">MIN(C8342,100*CHOOSE(C8332,C8466,C8467,C8468,C8469,C8470,C8471,C8472,C8473,C8474,C8475))</f>
        <v>95</v>
      </c>
    </row>
    <row r="8500" customFormat="false" ht="15" hidden="false" customHeight="false" outlineLevel="0" collapsed="false">
      <c r="A8500" s="3" t="s">
        <v>598</v>
      </c>
      <c r="C8500" s="21" t="n">
        <f aca="false">IF(C8164=1,C8337+Assumptions!$C$40,C8336)</f>
        <v>3</v>
      </c>
    </row>
    <row r="8501" customFormat="false" ht="15" hidden="false" customHeight="false" outlineLevel="0" collapsed="false">
      <c r="A8501" s="24" t="s">
        <v>599</v>
      </c>
      <c r="B8501" s="25"/>
      <c r="C8501" s="25"/>
      <c r="D8501" s="25"/>
      <c r="E8501" s="25"/>
      <c r="F8501" s="25"/>
      <c r="G8501" s="25"/>
      <c r="H8501" s="25"/>
      <c r="I8501" s="25"/>
      <c r="J8501" s="25"/>
      <c r="K8501" s="25"/>
    </row>
    <row r="8502" customFormat="false" ht="15" hidden="false" customHeight="false" outlineLevel="0" collapsed="false">
      <c r="A8502" s="3" t="s">
        <v>600</v>
      </c>
      <c r="C8502" s="21" t="n">
        <f aca="false">COLUMN()-COLUMN($C$1)</f>
        <v>0</v>
      </c>
      <c r="D8502" s="21" t="n">
        <f aca="false">COLUMN()-COLUMN($C$1)</f>
        <v>1</v>
      </c>
      <c r="E8502" s="21" t="n">
        <f aca="false">COLUMN()-COLUMN($C$1)</f>
        <v>2</v>
      </c>
      <c r="F8502" s="21" t="n">
        <f aca="false">COLUMN()-COLUMN($C$1)</f>
        <v>3</v>
      </c>
      <c r="G8502" s="21" t="n">
        <f aca="false">COLUMN()-COLUMN($C$1)</f>
        <v>4</v>
      </c>
      <c r="H8502" s="21" t="n">
        <f aca="false">COLUMN()-COLUMN($C$1)</f>
        <v>5</v>
      </c>
      <c r="I8502" s="21" t="n">
        <f aca="false">COLUMN()-COLUMN($C$1)</f>
        <v>6</v>
      </c>
    </row>
    <row r="8503" customFormat="false" ht="15" hidden="false" customHeight="false" outlineLevel="0" collapsed="false">
      <c r="A8503" s="3" t="s">
        <v>601</v>
      </c>
      <c r="D8503" s="31" t="n">
        <f aca="false">CHOOSE($C$8332,G7912,G7925,G7938,G7951,G7964,G7977,G7990,G8003,G8016,G8029)</f>
        <v>0.1065</v>
      </c>
      <c r="E8503" s="31" t="n">
        <f aca="false">CHOOSE($C$8332,H7912,H7925,H7938,H7951,H7964,H7977,H7990,H8003,H8016,H8029)</f>
        <v>0.105</v>
      </c>
      <c r="F8503" s="31" t="n">
        <f aca="false">CHOOSE($C$8332,I7912,I7925,I7938,I7951,I7964,I7977,I7990,I8003,I8016,I8029)</f>
        <v>0.1025</v>
      </c>
      <c r="G8503" s="31" t="n">
        <f aca="false">CHOOSE($C$8332,J7912,J7925,J7938,J7951,J7964,J7977,J7990,J8003,J8016,J8029)</f>
        <v>0.1025</v>
      </c>
      <c r="H8503" s="31" t="n">
        <f aca="false">CHOOSE($C$8332,K7912,K7925,K7938,K7951,K7964,K7977,K7990,K8003,K8016,K8029)</f>
        <v>0.1025</v>
      </c>
    </row>
    <row r="8504" customFormat="false" ht="15" hidden="false" customHeight="false" outlineLevel="0" collapsed="false">
      <c r="A8504" s="3" t="s">
        <v>602</v>
      </c>
      <c r="D8504" s="16" t="n">
        <f aca="false">IF(D8502&lt;=$C$8341,$C$8333*D8503,0)</f>
        <v>10.65</v>
      </c>
      <c r="E8504" s="16" t="n">
        <f aca="false">IF(E8502&lt;=$C$8341,$C$8333*E8503,0)</f>
        <v>10.5</v>
      </c>
      <c r="F8504" s="16" t="n">
        <f aca="false">IF(F8502&lt;=$C$8341,$C$8333*F8503,0)</f>
        <v>0</v>
      </c>
      <c r="G8504" s="16" t="n">
        <f aca="false">IF(G8502&lt;=$C$8341,$C$8333*G8503,0)</f>
        <v>0</v>
      </c>
      <c r="H8504" s="16" t="n">
        <f aca="false">IF(H8502&lt;=$C$8341,$C$8333*H8503,0)</f>
        <v>0</v>
      </c>
    </row>
    <row r="8505" customFormat="false" ht="15" hidden="false" customHeight="false" outlineLevel="0" collapsed="false">
      <c r="A8505" s="3" t="s">
        <v>603</v>
      </c>
      <c r="D8505" s="16" t="n">
        <f aca="false">IF(AND($C$8164=0,D8502=$C$8336),$C$8333*$C$8499/100,0)+IF(AND($C$8164=1,D8502=$C$8500),$C$8339,0)</f>
        <v>0</v>
      </c>
      <c r="E8505" s="16" t="n">
        <f aca="false">IF(AND($C$8164=0,E8502=$C$8336),$C$8333*$C$8499/100,0)+IF(AND($C$8164=1,E8502=$C$8500),$C$8339,0)</f>
        <v>0</v>
      </c>
      <c r="F8505" s="16" t="n">
        <f aca="false">IF(AND($C$8164=0,F8502=$C$8336),$C$8333*$C$8499/100,0)+IF(AND($C$8164=1,F8502=$C$8500),$C$8339,0)</f>
        <v>102.625</v>
      </c>
      <c r="G8505" s="16" t="n">
        <f aca="false">IF(AND($C$8164=0,G8502=$C$8336),$C$8333*$C$8499/100,0)+IF(AND($C$8164=1,G8502=$C$8500),$C$8339,0)</f>
        <v>0</v>
      </c>
      <c r="H8505" s="16" t="n">
        <f aca="false">IF(AND($C$8164=0,H8502=$C$8336),$C$8333*$C$8499/100,0)+IF(AND($C$8164=1,H8502=$C$8500),$C$8339,0)</f>
        <v>0</v>
      </c>
      <c r="I8505" s="16" t="n">
        <f aca="false">IF(AND($C$8164=0,I8502=$C$8336),$C$8333*$C$8499/100,0)+IF(AND($C$8164=1,I8502=$C$8500),$C$8339,0)</f>
        <v>0</v>
      </c>
    </row>
    <row r="8506" customFormat="false" ht="15" hidden="false" customHeight="false" outlineLevel="0" collapsed="false">
      <c r="A8506" s="2" t="s">
        <v>604</v>
      </c>
      <c r="C8506" s="17" t="n">
        <f aca="false">-$C$8335</f>
        <v>-98.49</v>
      </c>
      <c r="D8506" s="17" t="n">
        <f aca="false">D8504+D8505</f>
        <v>10.65</v>
      </c>
      <c r="E8506" s="17" t="n">
        <f aca="false">E8504+E8505</f>
        <v>10.5</v>
      </c>
      <c r="F8506" s="17" t="n">
        <f aca="false">F8504+F8505</f>
        <v>102.625</v>
      </c>
      <c r="G8506" s="17" t="n">
        <f aca="false">G8504+G8505</f>
        <v>0</v>
      </c>
      <c r="H8506" s="17" t="n">
        <f aca="false">H8504+H8505</f>
        <v>0</v>
      </c>
      <c r="I8506" s="17" t="n">
        <f aca="false">I8504+I8505</f>
        <v>0</v>
      </c>
    </row>
    <row r="8507" customFormat="false" ht="15" hidden="false" customHeight="false" outlineLevel="0" collapsed="false">
      <c r="A8507" s="3" t="s">
        <v>605</v>
      </c>
      <c r="C8507" s="16" t="n">
        <f aca="false">SUM($C$8504:$I$8504)</f>
        <v>21.15</v>
      </c>
    </row>
    <row r="8508" customFormat="false" ht="15" hidden="false" customHeight="false" outlineLevel="0" collapsed="false">
      <c r="A8508" s="3" t="s">
        <v>606</v>
      </c>
      <c r="C8508" s="16" t="n">
        <f aca="false">SUM($C$8505:$I$8505)</f>
        <v>102.625</v>
      </c>
    </row>
    <row r="8509" customFormat="false" ht="15" hidden="false" customHeight="false" outlineLevel="0" collapsed="false">
      <c r="A8509" s="3" t="s">
        <v>607</v>
      </c>
      <c r="C8509" s="16" t="n">
        <f aca="false">C8507+C8508</f>
        <v>123.775</v>
      </c>
    </row>
    <row r="8510" customFormat="false" ht="15" hidden="false" customHeight="false" outlineLevel="0" collapsed="false">
      <c r="A8510" s="3" t="s">
        <v>608</v>
      </c>
      <c r="C8510" s="16" t="n">
        <f aca="false">C8508-C8333*C8334/100</f>
        <v>4.62500000000001</v>
      </c>
    </row>
    <row r="8511" customFormat="false" ht="15" hidden="false" customHeight="false" outlineLevel="0" collapsed="false">
      <c r="A8511" s="3" t="s">
        <v>609</v>
      </c>
      <c r="C8511" s="16" t="n">
        <f aca="false">C8509-C8335</f>
        <v>25.285</v>
      </c>
    </row>
    <row r="8512" customFormat="false" ht="15" hidden="false" customHeight="false" outlineLevel="0" collapsed="false">
      <c r="A8512" s="2" t="s">
        <v>484</v>
      </c>
      <c r="C8512" s="44" t="n">
        <f aca="false">C8509/C8335</f>
        <v>1.25672657122551</v>
      </c>
    </row>
    <row r="8513" customFormat="false" ht="15" hidden="false" customHeight="false" outlineLevel="0" collapsed="false">
      <c r="A8513" s="2" t="s">
        <v>483</v>
      </c>
      <c r="C8513" s="42" t="n">
        <f aca="false">IF(C8509&lt;=0,-1,IFERROR(IRR($C$8506:$I$8506,MAX(-0.9,C8512^(1/C8500)-1)),IRR($C$8506:$I$8506,0.1)))</f>
        <v>0.0873962489027792</v>
      </c>
    </row>
    <row r="8514" customFormat="false" ht="15" hidden="false" customHeight="false" outlineLevel="0" collapsed="false">
      <c r="A8514" s="3" t="s">
        <v>610</v>
      </c>
      <c r="C8514" s="32" t="n">
        <f aca="false">MAX($G$8108:$K$8108)</f>
        <v>10.8150971304209</v>
      </c>
    </row>
    <row r="8515" customFormat="false" ht="15" hidden="false" customHeight="false" outlineLevel="0" collapsed="false">
      <c r="A8515" s="3" t="s">
        <v>611</v>
      </c>
      <c r="C8515" s="32" t="n">
        <f aca="false">MIN($G$8109:$K$8109)</f>
        <v>1.28068849127148</v>
      </c>
    </row>
    <row r="8516" customFormat="false" ht="15" hidden="false" customHeight="false" outlineLevel="0" collapsed="false">
      <c r="A8516" s="3" t="s">
        <v>612</v>
      </c>
      <c r="C8516" s="16" t="n">
        <f aca="false">SUM($G$7896:$K$7896)</f>
        <v>-223.956833719625</v>
      </c>
    </row>
    <row r="8520" customFormat="false" ht="15" hidden="false" customHeight="false" outlineLevel="0" collapsed="false">
      <c r="A8520" s="9" t="s">
        <v>1143</v>
      </c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</row>
    <row r="8521" customFormat="false" ht="15" hidden="false" customHeight="false" outlineLevel="0" collapsed="false">
      <c r="A8521" s="3" t="s">
        <v>1126</v>
      </c>
      <c r="C8521" s="11" t="n">
        <v>3</v>
      </c>
    </row>
    <row r="8522" customFormat="false" ht="15" hidden="false" customHeight="false" outlineLevel="0" collapsed="false">
      <c r="A8522" s="3" t="s">
        <v>1127</v>
      </c>
      <c r="C8522" s="19" t="n">
        <v>0</v>
      </c>
    </row>
    <row r="8523" customFormat="false" ht="15" hidden="false" customHeight="false" outlineLevel="0" collapsed="false">
      <c r="A8523" s="3" t="s">
        <v>1128</v>
      </c>
      <c r="C8523" s="30" t="n">
        <f aca="false">Sensitivities!$A$30</f>
        <v>-0.04</v>
      </c>
    </row>
    <row r="8524" customFormat="false" ht="15" hidden="false" customHeight="false" outlineLevel="0" collapsed="false">
      <c r="A8524" s="3" t="s">
        <v>1129</v>
      </c>
      <c r="C8524" s="19" t="n">
        <v>0</v>
      </c>
    </row>
    <row r="8525" customFormat="false" ht="15" hidden="false" customHeight="false" outlineLevel="0" collapsed="false">
      <c r="A8525" s="3" t="s">
        <v>1130</v>
      </c>
      <c r="C8525" s="15" t="n">
        <v>0</v>
      </c>
    </row>
    <row r="8527" customFormat="false" ht="15" hidden="false" customHeight="false" outlineLevel="0" collapsed="false">
      <c r="A8527" s="24" t="s">
        <v>301</v>
      </c>
      <c r="B8527" s="25"/>
      <c r="C8527" s="25"/>
      <c r="D8527" s="25"/>
      <c r="E8527" s="25"/>
      <c r="F8527" s="25"/>
      <c r="G8527" s="25"/>
      <c r="H8527" s="25"/>
      <c r="I8527" s="25"/>
      <c r="J8527" s="25"/>
      <c r="K8527" s="25"/>
    </row>
    <row r="8528" customFormat="false" ht="15" hidden="false" customHeight="false" outlineLevel="0" collapsed="false">
      <c r="A8528" s="3" t="s">
        <v>302</v>
      </c>
      <c r="F8528" s="27" t="n">
        <f aca="false">Assumptions!$C$6</f>
        <v>2026</v>
      </c>
      <c r="G8528" s="21" t="n">
        <f aca="false">F8528+1</f>
        <v>2027</v>
      </c>
      <c r="H8528" s="21" t="n">
        <f aca="false">G8528+1</f>
        <v>2028</v>
      </c>
      <c r="I8528" s="21" t="n">
        <f aca="false">H8528+1</f>
        <v>2029</v>
      </c>
      <c r="J8528" s="21" t="n">
        <f aca="false">I8528+1</f>
        <v>2030</v>
      </c>
      <c r="K8528" s="21" t="n">
        <f aca="false">J8528+1</f>
        <v>2031</v>
      </c>
    </row>
    <row r="8529" customFormat="false" ht="15" hidden="false" customHeight="false" outlineLevel="0" collapsed="false">
      <c r="A8529" s="3" t="s">
        <v>303</v>
      </c>
      <c r="G8529" s="21" t="n">
        <f aca="false">G8528-Assumptions!$C$6</f>
        <v>1</v>
      </c>
      <c r="H8529" s="21" t="n">
        <f aca="false">H8528-Assumptions!$C$6</f>
        <v>2</v>
      </c>
      <c r="I8529" s="21" t="n">
        <f aca="false">I8528-Assumptions!$C$6</f>
        <v>3</v>
      </c>
      <c r="J8529" s="21" t="n">
        <f aca="false">J8528-Assumptions!$C$6</f>
        <v>4</v>
      </c>
      <c r="K8529" s="21" t="n">
        <f aca="false">K8528-Assumptions!$C$6</f>
        <v>5</v>
      </c>
    </row>
    <row r="8530" customFormat="false" ht="15" hidden="false" customHeight="false" outlineLevel="0" collapsed="false">
      <c r="A8530" s="3" t="s">
        <v>180</v>
      </c>
      <c r="G8530" s="22" t="n">
        <f aca="false">CHOOSE($C$8521,Assumptions!$G$79,Assumptions!$G$98,Assumptions!$G$117)+$C$8522</f>
        <v>-0.1</v>
      </c>
      <c r="H8530" s="22" t="n">
        <f aca="false">CHOOSE($C$8521,Assumptions!$H$79,Assumptions!$H$98,Assumptions!$H$117)+$C$8522</f>
        <v>-0.07</v>
      </c>
      <c r="I8530" s="22" t="n">
        <f aca="false">CHOOSE($C$8521,Assumptions!$I$79,Assumptions!$I$98,Assumptions!$I$117)+$C$8522</f>
        <v>-0.03</v>
      </c>
      <c r="J8530" s="22" t="n">
        <f aca="false">CHOOSE($C$8521,Assumptions!$J$79,Assumptions!$J$98,Assumptions!$J$117)+$C$8522</f>
        <v>0</v>
      </c>
      <c r="K8530" s="22" t="n">
        <f aca="false">CHOOSE($C$8521,Assumptions!$K$79,Assumptions!$K$98,Assumptions!$K$117)+$C$8522</f>
        <v>0.01</v>
      </c>
    </row>
    <row r="8531" customFormat="false" ht="15" hidden="false" customHeight="false" outlineLevel="0" collapsed="false">
      <c r="A8531" s="3" t="s">
        <v>181</v>
      </c>
      <c r="G8531" s="22" t="n">
        <f aca="false">CHOOSE($C$8521,Assumptions!$G$80,Assumptions!$G$99,Assumptions!$G$118)</f>
        <v>0.533920660818678</v>
      </c>
      <c r="H8531" s="22" t="n">
        <f aca="false">CHOOSE($C$8521,Assumptions!$H$80,Assumptions!$H$99,Assumptions!$H$118)</f>
        <v>0.503920660818678</v>
      </c>
      <c r="I8531" s="22" t="n">
        <f aca="false">CHOOSE($C$8521,Assumptions!$I$80,Assumptions!$I$99,Assumptions!$I$118)</f>
        <v>0.498920660818678</v>
      </c>
      <c r="J8531" s="22" t="n">
        <f aca="false">CHOOSE($C$8521,Assumptions!$J$80,Assumptions!$J$99,Assumptions!$J$118)</f>
        <v>0.503920660818678</v>
      </c>
      <c r="K8531" s="22" t="n">
        <f aca="false">CHOOSE($C$8521,Assumptions!$K$80,Assumptions!$K$99,Assumptions!$K$118)</f>
        <v>0.513920660818678</v>
      </c>
    </row>
    <row r="8532" customFormat="false" ht="15" hidden="false" customHeight="false" outlineLevel="0" collapsed="false">
      <c r="A8532" s="3" t="s">
        <v>182</v>
      </c>
      <c r="G8532" s="22" t="n">
        <f aca="false">CHOOSE($C$8521,Assumptions!$G$81,Assumptions!$G$100,Assumptions!$G$119)+$C$8523</f>
        <v>0.42</v>
      </c>
      <c r="H8532" s="22" t="n">
        <f aca="false">CHOOSE($C$8521,Assumptions!$H$81,Assumptions!$H$100,Assumptions!$H$119)+$C$8523</f>
        <v>0.39</v>
      </c>
      <c r="I8532" s="22" t="n">
        <f aca="false">CHOOSE($C$8521,Assumptions!$I$81,Assumptions!$I$100,Assumptions!$I$119)+$C$8523</f>
        <v>0.385</v>
      </c>
      <c r="J8532" s="22" t="n">
        <f aca="false">CHOOSE($C$8521,Assumptions!$J$81,Assumptions!$J$100,Assumptions!$J$119)+$C$8523</f>
        <v>0.39</v>
      </c>
      <c r="K8532" s="22" t="n">
        <f aca="false">CHOOSE($C$8521,Assumptions!$K$81,Assumptions!$K$100,Assumptions!$K$119)+$C$8523</f>
        <v>0.4</v>
      </c>
    </row>
    <row r="8533" customFormat="false" ht="15" hidden="false" customHeight="false" outlineLevel="0" collapsed="false">
      <c r="A8533" s="24" t="s">
        <v>304</v>
      </c>
      <c r="B8533" s="25"/>
      <c r="C8533" s="25"/>
      <c r="D8533" s="25"/>
      <c r="E8533" s="25"/>
      <c r="F8533" s="25"/>
      <c r="G8533" s="25"/>
      <c r="H8533" s="25"/>
      <c r="I8533" s="25"/>
      <c r="J8533" s="25"/>
      <c r="K8533" s="25"/>
    </row>
    <row r="8534" customFormat="false" ht="15" hidden="false" customHeight="false" outlineLevel="0" collapsed="false">
      <c r="A8534" s="2" t="s">
        <v>275</v>
      </c>
      <c r="F8534" s="28" t="n">
        <f aca="false">'Historical Financials'!G25</f>
        <v>498.291</v>
      </c>
      <c r="G8534" s="17" t="n">
        <f aca="false">F8534*(1+G8530)</f>
        <v>448.4619</v>
      </c>
      <c r="H8534" s="17" t="n">
        <f aca="false">G8534*(1+H8530)</f>
        <v>417.069567</v>
      </c>
      <c r="I8534" s="17" t="n">
        <f aca="false">H8534*(1+I8530)</f>
        <v>404.55747999</v>
      </c>
      <c r="J8534" s="17" t="n">
        <f aca="false">I8534*(1+J8530)</f>
        <v>404.55747999</v>
      </c>
      <c r="K8534" s="17" t="n">
        <f aca="false">J8534*(1+K8530)</f>
        <v>408.6030547899</v>
      </c>
    </row>
    <row r="8535" customFormat="false" ht="15" hidden="false" customHeight="false" outlineLevel="0" collapsed="false">
      <c r="A8535" s="3" t="s">
        <v>276</v>
      </c>
      <c r="G8535" s="16" t="n">
        <f aca="false">G8534*(1-G8531)</f>
        <v>209.018826</v>
      </c>
      <c r="H8535" s="16" t="n">
        <f aca="false">H8534*(1-H8531)</f>
        <v>206.89959519</v>
      </c>
      <c r="I8535" s="16" t="n">
        <f aca="false">I8534*(1-I8531)</f>
        <v>202.71539473425</v>
      </c>
      <c r="J8535" s="16" t="n">
        <f aca="false">J8534*(1-J8531)</f>
        <v>200.6926073343</v>
      </c>
      <c r="K8535" s="16" t="n">
        <f aca="false">K8534*(1-K8531)</f>
        <v>198.613502859744</v>
      </c>
    </row>
    <row r="8536" customFormat="false" ht="15" hidden="false" customHeight="false" outlineLevel="0" collapsed="false">
      <c r="A8536" s="2" t="s">
        <v>277</v>
      </c>
      <c r="G8536" s="17" t="n">
        <f aca="false">G8534-G8535</f>
        <v>239.443074</v>
      </c>
      <c r="H8536" s="17" t="n">
        <f aca="false">H8534-H8535</f>
        <v>210.16997181</v>
      </c>
      <c r="I8536" s="17" t="n">
        <f aca="false">I8534-I8535</f>
        <v>201.84208525575</v>
      </c>
      <c r="J8536" s="17" t="n">
        <f aca="false">J8534-J8535</f>
        <v>203.8648726557</v>
      </c>
      <c r="K8536" s="17" t="n">
        <f aca="false">K8534-K8535</f>
        <v>209.989551930156</v>
      </c>
    </row>
    <row r="8537" customFormat="false" ht="15" hidden="false" customHeight="false" outlineLevel="0" collapsed="false">
      <c r="A8537" s="3" t="s">
        <v>305</v>
      </c>
      <c r="G8537" s="16" t="n">
        <f aca="false">G8536-G8538</f>
        <v>51.089076</v>
      </c>
      <c r="H8537" s="16" t="n">
        <f aca="false">H8536-H8538</f>
        <v>47.51284068</v>
      </c>
      <c r="I8537" s="16" t="n">
        <f aca="false">I8536-I8538</f>
        <v>46.0874554596</v>
      </c>
      <c r="J8537" s="16" t="n">
        <f aca="false">J8536-J8538</f>
        <v>46.0874554596</v>
      </c>
      <c r="K8537" s="16" t="n">
        <f aca="false">K8536-K8538</f>
        <v>46.548330014196</v>
      </c>
    </row>
    <row r="8538" customFormat="false" ht="15" hidden="false" customHeight="false" outlineLevel="0" collapsed="false">
      <c r="A8538" s="2" t="s">
        <v>306</v>
      </c>
      <c r="G8538" s="17" t="n">
        <f aca="false">G8534*G8532</f>
        <v>188.353998</v>
      </c>
      <c r="H8538" s="17" t="n">
        <f aca="false">H8534*H8532</f>
        <v>162.65713113</v>
      </c>
      <c r="I8538" s="17" t="n">
        <f aca="false">I8534*I8532</f>
        <v>155.75462979615</v>
      </c>
      <c r="J8538" s="17" t="n">
        <f aca="false">J8534*J8532</f>
        <v>157.7774171961</v>
      </c>
      <c r="K8538" s="17" t="n">
        <f aca="false">K8534*K8532</f>
        <v>163.44122191596</v>
      </c>
    </row>
    <row r="8539" customFormat="false" ht="15" hidden="false" customHeight="false" outlineLevel="0" collapsed="false">
      <c r="A8539" s="3" t="s">
        <v>307</v>
      </c>
      <c r="G8539" s="16" t="n">
        <f aca="false">G8534*'Historical Financials'!G30/'Historical Financials'!G25</f>
        <v>166.7637</v>
      </c>
      <c r="H8539" s="16" t="n">
        <f aca="false">H8534*'Historical Financials'!G30/'Historical Financials'!G25</f>
        <v>155.090241</v>
      </c>
      <c r="I8539" s="16" t="n">
        <f aca="false">I8534*'Historical Financials'!G30/'Historical Financials'!G25</f>
        <v>150.43753377</v>
      </c>
      <c r="J8539" s="16" t="n">
        <f aca="false">J8534*'Historical Financials'!G30/'Historical Financials'!G25</f>
        <v>150.43753377</v>
      </c>
      <c r="K8539" s="16" t="n">
        <f aca="false">K8534*'Historical Financials'!G30/'Historical Financials'!G25</f>
        <v>151.9419091077</v>
      </c>
    </row>
    <row r="8540" customFormat="false" ht="15" hidden="false" customHeight="false" outlineLevel="0" collapsed="false">
      <c r="A8540" s="3" t="s">
        <v>308</v>
      </c>
      <c r="G8540" s="16" t="n">
        <f aca="false">G8534*'Historical Financials'!G31/'Historical Financials'!G25</f>
        <v>0</v>
      </c>
      <c r="H8540" s="16" t="n">
        <f aca="false">H8534*'Historical Financials'!G31/'Historical Financials'!G25</f>
        <v>0</v>
      </c>
      <c r="I8540" s="16" t="n">
        <f aca="false">I8534*'Historical Financials'!G31/'Historical Financials'!G25</f>
        <v>0</v>
      </c>
      <c r="J8540" s="16" t="n">
        <f aca="false">J8534*'Historical Financials'!G31/'Historical Financials'!G25</f>
        <v>0</v>
      </c>
      <c r="K8540" s="16" t="n">
        <f aca="false">K8534*'Historical Financials'!G31/'Historical Financials'!G25</f>
        <v>0</v>
      </c>
    </row>
    <row r="8541" customFormat="false" ht="15" hidden="false" customHeight="false" outlineLevel="0" collapsed="false">
      <c r="A8541" s="2" t="s">
        <v>309</v>
      </c>
      <c r="G8541" s="17" t="n">
        <f aca="false">G8538-G8539-G8540</f>
        <v>21.590298</v>
      </c>
      <c r="H8541" s="17" t="n">
        <f aca="false">H8538-H8539-H8540</f>
        <v>7.56689013000002</v>
      </c>
      <c r="I8541" s="17" t="n">
        <f aca="false">I8538-I8539-I8540</f>
        <v>5.31709602615004</v>
      </c>
      <c r="J8541" s="17" t="n">
        <f aca="false">J8538-J8539-J8540</f>
        <v>7.33988342610004</v>
      </c>
      <c r="K8541" s="17" t="n">
        <f aca="false">K8538-K8539-K8540</f>
        <v>11.49931280826</v>
      </c>
    </row>
    <row r="8542" customFormat="false" ht="15" hidden="false" customHeight="false" outlineLevel="0" collapsed="false">
      <c r="A8542" s="3" t="s">
        <v>310</v>
      </c>
      <c r="G8542" s="16" t="n">
        <f aca="false">G8568+G8581+G8594+G8607+G8620+G8633+G8646+G8659+G8672+G8685</f>
        <v>194.5679854</v>
      </c>
      <c r="H8542" s="16" t="n">
        <f aca="false">H8568+H8581+H8594+H8607+H8620+H8633+H8646+H8659+H8672+H8685</f>
        <v>193.3700704</v>
      </c>
      <c r="I8542" s="16" t="n">
        <f aca="false">I8568+I8581+I8594+I8607+I8620+I8633+I8646+I8659+I8672+I8685</f>
        <v>191.7135454</v>
      </c>
      <c r="J8542" s="16" t="n">
        <f aca="false">J8568+J8581+J8594+J8607+J8620+J8633+J8646+J8659+J8672+J8685</f>
        <v>191.2435454</v>
      </c>
      <c r="K8542" s="16" t="n">
        <f aca="false">K8568+K8581+K8594+K8607+K8620+K8633+K8646+K8659+K8672+K8685</f>
        <v>190.7735454</v>
      </c>
    </row>
    <row r="8543" customFormat="false" ht="15" hidden="false" customHeight="false" outlineLevel="0" collapsed="false">
      <c r="A8543" s="3" t="s">
        <v>311</v>
      </c>
      <c r="G8543" s="16" t="n">
        <f aca="false">G8569+G8582+G8595+G8608+G8621+G8634+G8647+G8660+G8673+G8686</f>
        <v>0</v>
      </c>
      <c r="H8543" s="16" t="n">
        <f aca="false">H8569+H8582+H8595+H8608+H8621+H8634+H8647+H8660+H8673+H8686</f>
        <v>0</v>
      </c>
      <c r="I8543" s="16" t="n">
        <f aca="false">I8569+I8582+I8595+I8608+I8621+I8634+I8647+I8660+I8673+I8686</f>
        <v>0</v>
      </c>
      <c r="J8543" s="16" t="n">
        <f aca="false">J8569+J8582+J8595+J8608+J8621+J8634+J8647+J8660+J8673+J8686</f>
        <v>0</v>
      </c>
      <c r="K8543" s="16" t="n">
        <f aca="false">K8569+K8582+K8595+K8608+K8621+K8634+K8647+K8660+K8673+K8686</f>
        <v>0</v>
      </c>
    </row>
    <row r="8544" customFormat="false" ht="15" hidden="false" customHeight="false" outlineLevel="0" collapsed="false">
      <c r="A8544" s="3" t="s">
        <v>283</v>
      </c>
      <c r="G8544" s="16" t="n">
        <f aca="false">G8542+G8543</f>
        <v>194.5679854</v>
      </c>
      <c r="H8544" s="16" t="n">
        <f aca="false">H8542+H8543</f>
        <v>193.3700704</v>
      </c>
      <c r="I8544" s="16" t="n">
        <f aca="false">I8542+I8543</f>
        <v>191.7135454</v>
      </c>
      <c r="J8544" s="16" t="n">
        <f aca="false">J8542+J8543</f>
        <v>191.2435454</v>
      </c>
      <c r="K8544" s="16" t="n">
        <f aca="false">K8542+K8543</f>
        <v>190.7735454</v>
      </c>
    </row>
    <row r="8545" customFormat="false" ht="15" hidden="false" customHeight="false" outlineLevel="0" collapsed="false">
      <c r="A8545" s="2" t="s">
        <v>284</v>
      </c>
      <c r="G8545" s="17" t="n">
        <f aca="false">G8541-G8544</f>
        <v>-172.9776874</v>
      </c>
      <c r="H8545" s="17" t="n">
        <f aca="false">H8541-H8544</f>
        <v>-185.80318027</v>
      </c>
      <c r="I8545" s="17" t="n">
        <f aca="false">I8541-I8544</f>
        <v>-186.39644937385</v>
      </c>
      <c r="J8545" s="17" t="n">
        <f aca="false">J8541-J8544</f>
        <v>-183.9036619739</v>
      </c>
      <c r="K8545" s="17" t="n">
        <f aca="false">K8541-K8544</f>
        <v>-179.27423259174</v>
      </c>
    </row>
    <row r="8546" customFormat="false" ht="15" hidden="false" customHeight="false" outlineLevel="0" collapsed="false">
      <c r="A8546" s="3" t="s">
        <v>312</v>
      </c>
      <c r="G8546" s="16" t="n">
        <f aca="false">MAX(0,G8545)*Assumptions!$C$9</f>
        <v>0</v>
      </c>
      <c r="H8546" s="16" t="n">
        <f aca="false">MAX(0,H8545)*Assumptions!$C$9</f>
        <v>0</v>
      </c>
      <c r="I8546" s="16" t="n">
        <f aca="false">MAX(0,I8545)*Assumptions!$C$9</f>
        <v>0</v>
      </c>
      <c r="J8546" s="16" t="n">
        <f aca="false">MAX(0,J8545)*Assumptions!$C$9</f>
        <v>0</v>
      </c>
      <c r="K8546" s="16" t="n">
        <f aca="false">MAX(0,K8545)*Assumptions!$C$9</f>
        <v>0</v>
      </c>
    </row>
    <row r="8547" customFormat="false" ht="15" hidden="false" customHeight="false" outlineLevel="0" collapsed="false">
      <c r="A8547" s="2" t="s">
        <v>313</v>
      </c>
      <c r="G8547" s="17" t="n">
        <f aca="false">G8545-G8546</f>
        <v>-172.9776874</v>
      </c>
      <c r="H8547" s="17" t="n">
        <f aca="false">H8545-H8546</f>
        <v>-185.80318027</v>
      </c>
      <c r="I8547" s="17" t="n">
        <f aca="false">I8545-I8546</f>
        <v>-186.39644937385</v>
      </c>
      <c r="J8547" s="17" t="n">
        <f aca="false">J8545-J8546</f>
        <v>-183.9036619739</v>
      </c>
      <c r="K8547" s="17" t="n">
        <f aca="false">K8545-K8546</f>
        <v>-179.27423259174</v>
      </c>
    </row>
    <row r="8548" customFormat="false" ht="15" hidden="false" customHeight="false" outlineLevel="0" collapsed="false">
      <c r="A8548" s="24" t="s">
        <v>314</v>
      </c>
      <c r="B8548" s="25"/>
      <c r="C8548" s="25"/>
      <c r="D8548" s="25"/>
      <c r="E8548" s="25"/>
      <c r="F8548" s="25"/>
      <c r="G8548" s="25"/>
      <c r="H8548" s="25"/>
      <c r="I8548" s="25"/>
      <c r="J8548" s="25"/>
      <c r="K8548" s="25"/>
    </row>
    <row r="8549" customFormat="false" ht="15" hidden="false" customHeight="false" outlineLevel="0" collapsed="false">
      <c r="A8549" s="3" t="s">
        <v>184</v>
      </c>
      <c r="G8549" s="16" t="n">
        <f aca="false">G8534*CHOOSE($C$8521,Assumptions!$C$83,Assumptions!$C$102,Assumptions!$C$121)</f>
        <v>58.300047</v>
      </c>
      <c r="H8549" s="16" t="n">
        <f aca="false">H8534*CHOOSE($C$8521,Assumptions!$C$83,Assumptions!$C$102,Assumptions!$C$121)</f>
        <v>54.21904371</v>
      </c>
      <c r="I8549" s="16" t="n">
        <f aca="false">I8534*CHOOSE($C$8521,Assumptions!$C$83,Assumptions!$C$102,Assumptions!$C$121)</f>
        <v>52.5924723987</v>
      </c>
      <c r="J8549" s="16" t="n">
        <f aca="false">J8534*CHOOSE($C$8521,Assumptions!$C$83,Assumptions!$C$102,Assumptions!$C$121)</f>
        <v>52.5924723987</v>
      </c>
      <c r="K8549" s="16" t="n">
        <f aca="false">K8534*CHOOSE($C$8521,Assumptions!$C$83,Assumptions!$C$102,Assumptions!$C$121)</f>
        <v>53.118397122687</v>
      </c>
    </row>
    <row r="8550" customFormat="false" ht="15" hidden="false" customHeight="false" outlineLevel="0" collapsed="false">
      <c r="A8550" s="3" t="s">
        <v>315</v>
      </c>
      <c r="G8550" s="16" t="n">
        <f aca="false">CHOOSE($C$8521,Assumptions!$C$84,Assumptions!$C$103,Assumptions!$C$122)*(G8534-F8534)+CHOOSE($C$8521,Assumptions!$C$85,Assumptions!$C$104,Assumptions!$C$123)*G8534</f>
        <v>0</v>
      </c>
      <c r="H8550" s="16" t="n">
        <f aca="false">CHOOSE($C$8521,Assumptions!$C$84,Assumptions!$C$103,Assumptions!$C$122)*(H8534-G8534)+CHOOSE($C$8521,Assumptions!$C$85,Assumptions!$C$104,Assumptions!$C$123)*H8534</f>
        <v>0</v>
      </c>
      <c r="I8550" s="16" t="n">
        <f aca="false">CHOOSE($C$8521,Assumptions!$C$84,Assumptions!$C$103,Assumptions!$C$122)*(I8534-H8534)+CHOOSE($C$8521,Assumptions!$C$85,Assumptions!$C$104,Assumptions!$C$123)*I8534</f>
        <v>0</v>
      </c>
      <c r="J8550" s="16" t="n">
        <f aca="false">CHOOSE($C$8521,Assumptions!$C$84,Assumptions!$C$103,Assumptions!$C$122)*(J8534-I8534)+CHOOSE($C$8521,Assumptions!$C$85,Assumptions!$C$104,Assumptions!$C$123)*J8534</f>
        <v>0</v>
      </c>
      <c r="K8550" s="16" t="n">
        <f aca="false">CHOOSE($C$8521,Assumptions!$C$84,Assumptions!$C$103,Assumptions!$C$122)*(K8534-J8534)+CHOOSE($C$8521,Assumptions!$C$85,Assumptions!$C$104,Assumptions!$C$123)*K8534</f>
        <v>0</v>
      </c>
    </row>
    <row r="8551" customFormat="false" ht="15" hidden="false" customHeight="false" outlineLevel="0" collapsed="false">
      <c r="A8551" s="2" t="s">
        <v>316</v>
      </c>
      <c r="G8551" s="17" t="n">
        <f aca="false">G8547+G8539+G8540+G8543-G8549-G8550</f>
        <v>-64.5140344</v>
      </c>
      <c r="H8551" s="17" t="n">
        <f aca="false">H8547+H8539+H8540+H8543-H8549-H8550</f>
        <v>-84.93198298</v>
      </c>
      <c r="I8551" s="17" t="n">
        <f aca="false">I8547+I8539+I8540+I8543-I8549-I8550</f>
        <v>-88.55138800255</v>
      </c>
      <c r="J8551" s="17" t="n">
        <f aca="false">J8547+J8539+J8540+J8543-J8549-J8550</f>
        <v>-86.0586006026</v>
      </c>
      <c r="K8551" s="17" t="n">
        <f aca="false">K8547+K8539+K8540+K8543-K8549-K8550</f>
        <v>-80.450720606727</v>
      </c>
    </row>
    <row r="8553" customFormat="false" ht="15" hidden="false" customHeight="false" outlineLevel="0" collapsed="false">
      <c r="A8553" s="24" t="s">
        <v>318</v>
      </c>
      <c r="B8553" s="25"/>
      <c r="C8553" s="25"/>
      <c r="D8553" s="25"/>
      <c r="E8553" s="25"/>
      <c r="F8553" s="25"/>
      <c r="G8553" s="25"/>
      <c r="H8553" s="25"/>
      <c r="I8553" s="25"/>
      <c r="J8553" s="25"/>
      <c r="K8553" s="25"/>
    </row>
    <row r="8554" customFormat="false" ht="15" hidden="false" customHeight="false" outlineLevel="0" collapsed="false">
      <c r="A8554" s="3" t="s">
        <v>319</v>
      </c>
      <c r="G8554" s="30" t="n">
        <f aca="false">Assumptions!$G$53</f>
        <v>0.039</v>
      </c>
      <c r="H8554" s="30" t="n">
        <f aca="false">Assumptions!$H$53</f>
        <v>0.0375</v>
      </c>
      <c r="I8554" s="30" t="n">
        <f aca="false">Assumptions!$I$53</f>
        <v>0.035</v>
      </c>
      <c r="J8554" s="30" t="n">
        <f aca="false">Assumptions!$J$53</f>
        <v>0.035</v>
      </c>
      <c r="K8554" s="30" t="n">
        <f aca="false">Assumptions!$K$53</f>
        <v>0.035</v>
      </c>
    </row>
    <row r="8555" customFormat="false" ht="15" hidden="false" customHeight="false" outlineLevel="0" collapsed="false">
      <c r="A8555" s="3" t="s">
        <v>320</v>
      </c>
      <c r="C8555" s="31" t="n">
        <f aca="false">CHOOSE($C$8521,Assumptions!$C$86,Assumptions!$C$105,Assumptions!$C$124)+$C$8524</f>
        <v>0.03</v>
      </c>
    </row>
    <row r="8556" customFormat="false" ht="15" hidden="false" customHeight="false" outlineLevel="0" collapsed="false">
      <c r="A8556" s="3" t="s">
        <v>321</v>
      </c>
      <c r="C8556" s="31" t="n">
        <f aca="false">CHOOSE($C$8521,Assumptions!$C$87,Assumptions!$C$106,Assumptions!$C$125)</f>
        <v>0.12</v>
      </c>
    </row>
    <row r="8557" customFormat="false" ht="15" hidden="false" customHeight="false" outlineLevel="0" collapsed="false">
      <c r="A8557" s="3" t="s">
        <v>322</v>
      </c>
      <c r="C8557" s="32" t="n">
        <f aca="false">CHOOSE($C$8521,Assumptions!$C$88,Assumptions!$C$107,Assumptions!$C$126)</f>
        <v>9</v>
      </c>
    </row>
    <row r="8558" customFormat="false" ht="15" hidden="false" customHeight="false" outlineLevel="0" collapsed="false">
      <c r="A8558" s="3" t="s">
        <v>323</v>
      </c>
      <c r="C8558" s="32" t="n">
        <f aca="false">CHOOSE($C$8521,Assumptions!$C$89,Assumptions!$C$108,Assumptions!$C$127)</f>
        <v>1.75</v>
      </c>
    </row>
    <row r="8559" customFormat="false" ht="15" hidden="false" customHeight="false" outlineLevel="0" collapsed="false">
      <c r="A8559" s="3" t="s">
        <v>324</v>
      </c>
      <c r="G8559" s="16" t="n">
        <f aca="false">G8564+G8577+G8590+G8603+G8616+G8629+G8642+G8655+G8668+G8681</f>
        <v>2625.934</v>
      </c>
      <c r="H8559" s="16" t="n">
        <f aca="false">H8564+H8577+H8590+H8603+H8616+H8629+H8642+H8655+H8668+H8681</f>
        <v>2621.934</v>
      </c>
      <c r="I8559" s="16" t="n">
        <f aca="false">I8564+I8577+I8590+I8603+I8616+I8629+I8642+I8655+I8668+I8681</f>
        <v>2617.934</v>
      </c>
      <c r="J8559" s="16" t="n">
        <f aca="false">J8564+J8577+J8590+J8603+J8616+J8629+J8642+J8655+J8668+J8681</f>
        <v>2613.934</v>
      </c>
      <c r="K8559" s="16" t="n">
        <f aca="false">K8564+K8577+K8590+K8603+K8616+K8629+K8642+K8655+K8668+K8681</f>
        <v>2609.934</v>
      </c>
    </row>
    <row r="8560" customFormat="false" ht="15" hidden="false" customHeight="false" outlineLevel="0" collapsed="false">
      <c r="A8560" s="3" t="s">
        <v>325</v>
      </c>
      <c r="G8560" s="16" t="n">
        <f aca="false">F8752</f>
        <v>37.87</v>
      </c>
      <c r="H8560" s="16" t="n">
        <f aca="false">G8752</f>
        <v>69.3559656000001</v>
      </c>
      <c r="I8560" s="16" t="n">
        <f aca="false">H8752</f>
        <v>-19.5760173799999</v>
      </c>
      <c r="J8560" s="16" t="n">
        <f aca="false">I8752</f>
        <v>-112.12740538255</v>
      </c>
      <c r="K8560" s="16" t="n">
        <f aca="false">J8752</f>
        <v>-202.18600598515</v>
      </c>
    </row>
    <row r="8561" customFormat="false" ht="15" hidden="false" customHeight="false" outlineLevel="0" collapsed="false">
      <c r="A8561" s="3" t="s">
        <v>326</v>
      </c>
      <c r="G8561" s="16" t="n">
        <f aca="false">G8564*IF(G8565=1,$C$8556,IF(Assumptions!$I$57=1,MAX(G8554,Assumptions!$G$57)+Assumptions!$F$57+$C$8555,Assumptions!$E$57))+G8577*IF(G8578=1,$C$8556,IF(Assumptions!$I$58=1,MAX(G8554,Assumptions!$G$58)+Assumptions!$F$58+$C$8555,Assumptions!$E$58))+G8590*IF(G8591=1,$C$8556,IF(Assumptions!$I$59=1,MAX(G8554,Assumptions!$G$59)+Assumptions!$F$59+$C$8555,Assumptions!$E$59))+G8603*IF(G8604=1,$C$8556,IF(Assumptions!$I$60=1,MAX(G8554,Assumptions!$G$60)+Assumptions!$F$60+$C$8555,Assumptions!$E$60))+G8616*IF(G8617=1,$C$8556,IF(Assumptions!$I$61=1,MAX(G8554,Assumptions!$G$61)+Assumptions!$F$61+$C$8555,Assumptions!$E$61))+G8629*IF(G8630=1,$C$8556,IF(Assumptions!$I$62=1,MAX(G8554,Assumptions!$G$62)+Assumptions!$F$62+$C$8555,Assumptions!$E$62))+G8642*IF(G8643=1,$C$8556,IF(Assumptions!$I$63=1,MAX(G8554,Assumptions!$G$63)+Assumptions!$F$63+$C$8555,Assumptions!$E$63))+G8655*IF(G8656=1,$C$8556,IF(Assumptions!$I$64=1,MAX(G8554,Assumptions!$G$64)+Assumptions!$F$64+$C$8555,Assumptions!$E$64))+G8668*IF(G8669=1,$C$8556,IF(Assumptions!$I$65=1,MAX(G8554,Assumptions!$G$65)+Assumptions!$F$65+$C$8555,Assumptions!$E$65))+G8681*IF(G8682=1,$C$8556,IF(Assumptions!$I$66=1,MAX(G8554,Assumptions!$G$66)+Assumptions!$F$66+$C$8555,Assumptions!$E$66))</f>
        <v>194.5679854</v>
      </c>
      <c r="H8561" s="16" t="n">
        <f aca="false">H8564*IF(OR(H8565=1,G8874=1),$C$8556,IF(Assumptions!$I$57=1,MAX(H8554,Assumptions!$G$57)+Assumptions!$F$57+$C$8555,Assumptions!$E$57))+H8577*IF(OR(H8578=1,G8875=1),$C$8556,IF(Assumptions!$I$58=1,MAX(H8554,Assumptions!$G$58)+Assumptions!$F$58+$C$8555,Assumptions!$E$58))+H8590*IF(OR(H8591=1,G8876=1),$C$8556,IF(Assumptions!$I$59=1,MAX(H8554,Assumptions!$G$59)+Assumptions!$F$59+$C$8555,Assumptions!$E$59))+H8603*IF(OR(H8604=1,G8877=1),$C$8556,IF(Assumptions!$I$60=1,MAX(H8554,Assumptions!$G$60)+Assumptions!$F$60+$C$8555,Assumptions!$E$60))+H8616*IF(OR(H8617=1,G8878=1),$C$8556,IF(Assumptions!$I$61=1,MAX(H8554,Assumptions!$G$61)+Assumptions!$F$61+$C$8555,Assumptions!$E$61))+H8629*IF(OR(H8630=1,G8879=1),$C$8556,IF(Assumptions!$I$62=1,MAX(H8554,Assumptions!$G$62)+Assumptions!$F$62+$C$8555,Assumptions!$E$62))+H8642*IF(OR(H8643=1,G8880=1),$C$8556,IF(Assumptions!$I$63=1,MAX(H8554,Assumptions!$G$63)+Assumptions!$F$63+$C$8555,Assumptions!$E$63))+H8655*IF(OR(H8656=1,G8881=1),$C$8556,IF(Assumptions!$I$64=1,MAX(H8554,Assumptions!$G$64)+Assumptions!$F$64+$C$8555,Assumptions!$E$64))+H8668*IF(OR(H8669=1,G8882=1),$C$8556,IF(Assumptions!$I$65=1,MAX(H8554,Assumptions!$G$65)+Assumptions!$F$65+$C$8555,Assumptions!$E$65))+H8681*IF(OR(H8682=1,G8883=1),$C$8556,IF(Assumptions!$I$66=1,MAX(H8554,Assumptions!$G$66)+Assumptions!$F$66+$C$8555,Assumptions!$E$66))</f>
        <v>242.5450704</v>
      </c>
      <c r="I8561" s="16" t="n">
        <f aca="false">I8564*IF(OR(I8565=1,H8874=1),$C$8556,IF(Assumptions!$I$57=1,MAX(I8554,Assumptions!$G$57)+Assumptions!$F$57+$C$8555,Assumptions!$E$57))+I8577*IF(OR(I8578=1,H8875=1),$C$8556,IF(Assumptions!$I$58=1,MAX(I8554,Assumptions!$G$58)+Assumptions!$F$58+$C$8555,Assumptions!$E$58))+I8590*IF(OR(I8591=1,H8876=1),$C$8556,IF(Assumptions!$I$59=1,MAX(I8554,Assumptions!$G$59)+Assumptions!$F$59+$C$8555,Assumptions!$E$59))+I8603*IF(OR(I8604=1,H8877=1),$C$8556,IF(Assumptions!$I$60=1,MAX(I8554,Assumptions!$G$60)+Assumptions!$F$60+$C$8555,Assumptions!$E$60))+I8616*IF(OR(I8617=1,H8878=1),$C$8556,IF(Assumptions!$I$61=1,MAX(I8554,Assumptions!$G$61)+Assumptions!$F$61+$C$8555,Assumptions!$E$61))+I8629*IF(OR(I8630=1,H8879=1),$C$8556,IF(Assumptions!$I$62=1,MAX(I8554,Assumptions!$G$62)+Assumptions!$F$62+$C$8555,Assumptions!$E$62))+I8642*IF(OR(I8643=1,H8880=1),$C$8556,IF(Assumptions!$I$63=1,MAX(I8554,Assumptions!$G$63)+Assumptions!$F$63+$C$8555,Assumptions!$E$63))+I8655*IF(OR(I8656=1,H8881=1),$C$8556,IF(Assumptions!$I$64=1,MAX(I8554,Assumptions!$G$64)+Assumptions!$F$64+$C$8555,Assumptions!$E$64))+I8668*IF(OR(I8669=1,H8882=1),$C$8556,IF(Assumptions!$I$65=1,MAX(I8554,Assumptions!$G$65)+Assumptions!$F$65+$C$8555,Assumptions!$E$65))+I8681*IF(OR(I8682=1,H8883=1),$C$8556,IF(Assumptions!$I$66=1,MAX(I8554,Assumptions!$G$66)+Assumptions!$F$66+$C$8555,Assumptions!$E$66))</f>
        <v>208.9010454</v>
      </c>
      <c r="J8561" s="16" t="n">
        <f aca="false">J8564*IF(OR(J8565=1,I8874=1),$C$8556,IF(Assumptions!$I$57=1,MAX(J8554,Assumptions!$G$57)+Assumptions!$F$57+$C$8555,Assumptions!$E$57))+J8577*IF(OR(J8578=1,I8875=1),$C$8556,IF(Assumptions!$I$58=1,MAX(J8554,Assumptions!$G$58)+Assumptions!$F$58+$C$8555,Assumptions!$E$58))+J8590*IF(OR(J8591=1,I8876=1),$C$8556,IF(Assumptions!$I$59=1,MAX(J8554,Assumptions!$G$59)+Assumptions!$F$59+$C$8555,Assumptions!$E$59))+J8603*IF(OR(J8604=1,I8877=1),$C$8556,IF(Assumptions!$I$60=1,MAX(J8554,Assumptions!$G$60)+Assumptions!$F$60+$C$8555,Assumptions!$E$60))+J8616*IF(OR(J8617=1,I8878=1),$C$8556,IF(Assumptions!$I$61=1,MAX(J8554,Assumptions!$G$61)+Assumptions!$F$61+$C$8555,Assumptions!$E$61))+J8629*IF(OR(J8630=1,I8879=1),$C$8556,IF(Assumptions!$I$62=1,MAX(J8554,Assumptions!$G$62)+Assumptions!$F$62+$C$8555,Assumptions!$E$62))+J8642*IF(OR(J8643=1,I8880=1),$C$8556,IF(Assumptions!$I$63=1,MAX(J8554,Assumptions!$G$63)+Assumptions!$F$63+$C$8555,Assumptions!$E$63))+J8655*IF(OR(J8656=1,I8881=1),$C$8556,IF(Assumptions!$I$64=1,MAX(J8554,Assumptions!$G$64)+Assumptions!$F$64+$C$8555,Assumptions!$E$64))+J8668*IF(OR(J8669=1,I8882=1),$C$8556,IF(Assumptions!$I$65=1,MAX(J8554,Assumptions!$G$65)+Assumptions!$F$65+$C$8555,Assumptions!$E$65))+J8681*IF(OR(J8682=1,I8883=1),$C$8556,IF(Assumptions!$I$66=1,MAX(J8554,Assumptions!$G$66)+Assumptions!$F$66+$C$8555,Assumptions!$E$66))</f>
        <v>217.3185454</v>
      </c>
      <c r="K8561" s="16" t="n">
        <f aca="false">K8564*IF(OR(K8565=1,J8874=1),$C$8556,IF(Assumptions!$I$57=1,MAX(K8554,Assumptions!$G$57)+Assumptions!$F$57+$C$8555,Assumptions!$E$57))+K8577*IF(OR(K8578=1,J8875=1),$C$8556,IF(Assumptions!$I$58=1,MAX(K8554,Assumptions!$G$58)+Assumptions!$F$58+$C$8555,Assumptions!$E$58))+K8590*IF(OR(K8591=1,J8876=1),$C$8556,IF(Assumptions!$I$59=1,MAX(K8554,Assumptions!$G$59)+Assumptions!$F$59+$C$8555,Assumptions!$E$59))+K8603*IF(OR(K8604=1,J8877=1),$C$8556,IF(Assumptions!$I$60=1,MAX(K8554,Assumptions!$G$60)+Assumptions!$F$60+$C$8555,Assumptions!$E$60))+K8616*IF(OR(K8617=1,J8878=1),$C$8556,IF(Assumptions!$I$61=1,MAX(K8554,Assumptions!$G$61)+Assumptions!$F$61+$C$8555,Assumptions!$E$61))+K8629*IF(OR(K8630=1,J8879=1),$C$8556,IF(Assumptions!$I$62=1,MAX(K8554,Assumptions!$G$62)+Assumptions!$F$62+$C$8555,Assumptions!$E$62))+K8642*IF(OR(K8643=1,J8880=1),$C$8556,IF(Assumptions!$I$63=1,MAX(K8554,Assumptions!$G$63)+Assumptions!$F$63+$C$8555,Assumptions!$E$63))+K8655*IF(OR(K8656=1,J8881=1),$C$8556,IF(Assumptions!$I$64=1,MAX(K8554,Assumptions!$G$64)+Assumptions!$F$64+$C$8555,Assumptions!$E$64))+K8668*IF(OR(K8669=1,J8882=1),$C$8556,IF(Assumptions!$I$65=1,MAX(K8554,Assumptions!$G$65)+Assumptions!$F$65+$C$8555,Assumptions!$E$65))+K8681*IF(OR(K8682=1,J8883=1),$C$8556,IF(Assumptions!$I$66=1,MAX(K8554,Assumptions!$G$66)+Assumptions!$F$66+$C$8555,Assumptions!$E$66))</f>
        <v>209.3585454</v>
      </c>
    </row>
    <row r="8562" customFormat="false" ht="15" hidden="false" customHeight="false" outlineLevel="0" collapsed="false">
      <c r="A8562" s="3" t="s">
        <v>327</v>
      </c>
      <c r="G8562" s="21" t="n">
        <f aca="false">IF(G8538&lt;=0,0,IF(AND((G8559-G8560)/G8538&lt;=$C$8557,G8538/G8561&gt;=$C$8558),1,0))</f>
        <v>0</v>
      </c>
      <c r="H8562" s="21" t="n">
        <f aca="false">IF(H8538&lt;=0,0,IF(AND((H8559-H8560)/H8538&lt;=$C$8557,H8538/H8561&gt;=$C$8558),1,0))</f>
        <v>0</v>
      </c>
      <c r="I8562" s="21" t="n">
        <f aca="false">IF(I8538&lt;=0,0,IF(AND((I8559-I8560)/I8538&lt;=$C$8557,I8538/I8561&gt;=$C$8558),1,0))</f>
        <v>0</v>
      </c>
      <c r="J8562" s="21" t="n">
        <f aca="false">IF(J8538&lt;=0,0,IF(AND((J8559-J8560)/J8538&lt;=$C$8557,J8538/J8561&gt;=$C$8558),1,0))</f>
        <v>0</v>
      </c>
      <c r="K8562" s="21" t="n">
        <f aca="false">IF(K8538&lt;=0,0,IF(AND((K8559-K8560)/K8538&lt;=$C$8557,K8538/K8561&gt;=$C$8558),1,0))</f>
        <v>0</v>
      </c>
    </row>
    <row r="8563" customFormat="false" ht="15" hidden="false" customHeight="false" outlineLevel="0" collapsed="false">
      <c r="A8563" s="24" t="s">
        <v>328</v>
      </c>
      <c r="B8563" s="25"/>
      <c r="C8563" s="25"/>
      <c r="D8563" s="25"/>
      <c r="E8563" s="25"/>
      <c r="F8563" s="25"/>
      <c r="G8563" s="25"/>
      <c r="H8563" s="25"/>
      <c r="I8563" s="25"/>
      <c r="J8563" s="25"/>
      <c r="K8563" s="25"/>
    </row>
    <row r="8564" customFormat="false" ht="15" hidden="false" customHeight="false" outlineLevel="0" collapsed="false">
      <c r="A8564" s="3" t="s">
        <v>329</v>
      </c>
      <c r="G8564" s="16" t="n">
        <f aca="false">F8575</f>
        <v>400</v>
      </c>
      <c r="H8564" s="16" t="n">
        <f aca="false">G8575</f>
        <v>396</v>
      </c>
      <c r="I8564" s="16" t="n">
        <f aca="false">H8575</f>
        <v>392</v>
      </c>
      <c r="J8564" s="16" t="n">
        <f aca="false">I8575</f>
        <v>388</v>
      </c>
      <c r="K8564" s="16" t="n">
        <f aca="false">J8575</f>
        <v>384</v>
      </c>
    </row>
    <row r="8565" customFormat="false" ht="15" hidden="false" customHeight="false" outlineLevel="0" collapsed="false">
      <c r="A8565" s="3" t="s">
        <v>330</v>
      </c>
      <c r="G8565" s="21" t="n">
        <f aca="false">IF(G8528=Assumptions!$K$57,1,0)</f>
        <v>0</v>
      </c>
      <c r="H8565" s="21" t="n">
        <f aca="false">IF(H8528=Assumptions!$K$57,1,0)</f>
        <v>0</v>
      </c>
      <c r="I8565" s="21" t="n">
        <f aca="false">IF(I8528=Assumptions!$K$57,1,0)</f>
        <v>0</v>
      </c>
      <c r="J8565" s="21" t="n">
        <f aca="false">IF(J8528=Assumptions!$K$57,1,0)</f>
        <v>0</v>
      </c>
      <c r="K8565" s="21" t="n">
        <f aca="false">IF(K8528=Assumptions!$K$57,1,0)</f>
        <v>1</v>
      </c>
    </row>
    <row r="8567" customFormat="false" ht="15" hidden="false" customHeight="false" outlineLevel="0" collapsed="false">
      <c r="A8567" s="3" t="s">
        <v>331</v>
      </c>
      <c r="G8567" s="31" t="n">
        <f aca="false">IF(Assumptions!$I$57=1,MAX(G8554,Assumptions!$G$57)+Assumptions!$F$57+$C$8555,Assumptions!$E$57)</f>
        <v>0.1215</v>
      </c>
      <c r="H8567" s="31" t="n">
        <f aca="false">IF(G8874=1,$C$8556,IF(Assumptions!$I$57=1,MAX(H8554,Assumptions!$G$57)+Assumptions!$F$57+$C$8555,Assumptions!$E$57))</f>
        <v>0.12</v>
      </c>
      <c r="I8567" s="31" t="n">
        <f aca="false">IF(H8874=1,$C$8556,IF(Assumptions!$I$57=1,MAX(I8554,Assumptions!$G$57)+Assumptions!$F$57+$C$8555,Assumptions!$E$57))</f>
        <v>0.1175</v>
      </c>
      <c r="J8567" s="31" t="n">
        <f aca="false">IF(I8874=1,$C$8556,IF(Assumptions!$I$57=1,MAX(J8554,Assumptions!$G$57)+Assumptions!$F$57+$C$8555,Assumptions!$E$57))</f>
        <v>0.1175</v>
      </c>
      <c r="K8567" s="31" t="n">
        <f aca="false">IF(J8874=1,$C$8556,IF(Assumptions!$I$57=1,MAX(K8554,Assumptions!$G$57)+Assumptions!$F$57+$C$8555,Assumptions!$E$57))</f>
        <v>0.1175</v>
      </c>
    </row>
    <row r="8568" customFormat="false" ht="15" hidden="false" customHeight="false" outlineLevel="0" collapsed="false">
      <c r="A8568" s="3" t="s">
        <v>332</v>
      </c>
      <c r="G8568" s="16" t="n">
        <f aca="false">G8564*G8567</f>
        <v>48.6</v>
      </c>
      <c r="H8568" s="16" t="n">
        <f aca="false">H8564*H8567</f>
        <v>47.52</v>
      </c>
      <c r="I8568" s="16" t="n">
        <f aca="false">I8564*I8567</f>
        <v>46.06</v>
      </c>
      <c r="J8568" s="16" t="n">
        <f aca="false">J8564*J8567</f>
        <v>45.59</v>
      </c>
      <c r="K8568" s="16" t="n">
        <f aca="false">K8564*K8567</f>
        <v>45.12</v>
      </c>
    </row>
    <row r="8569" customFormat="false" ht="15" hidden="false" customHeight="false" outlineLevel="0" collapsed="false">
      <c r="A8569" s="3" t="s">
        <v>333</v>
      </c>
      <c r="G8569" s="16" t="n">
        <f aca="false">G8564*Assumptions!$H$57</f>
        <v>0</v>
      </c>
      <c r="H8569" s="16" t="n">
        <f aca="false">H8564*Assumptions!$H$57</f>
        <v>0</v>
      </c>
      <c r="I8569" s="16" t="n">
        <f aca="false">I8564*Assumptions!$H$57</f>
        <v>0</v>
      </c>
      <c r="J8569" s="16" t="n">
        <f aca="false">J8564*Assumptions!$H$57</f>
        <v>0</v>
      </c>
      <c r="K8569" s="16" t="n">
        <f aca="false">K8564*Assumptions!$H$57</f>
        <v>0</v>
      </c>
    </row>
    <row r="8570" customFormat="false" ht="15" hidden="false" customHeight="false" outlineLevel="0" collapsed="false">
      <c r="A8570" s="3" t="s">
        <v>334</v>
      </c>
      <c r="G8570" s="16" t="n">
        <f aca="false">MIN(G8564,Assumptions!$L$57*Assumptions!$C$57)</f>
        <v>4</v>
      </c>
      <c r="H8570" s="16" t="n">
        <f aca="false">MIN(H8564,Assumptions!$L$57*Assumptions!$C$57)</f>
        <v>4</v>
      </c>
      <c r="I8570" s="16" t="n">
        <f aca="false">MIN(I8564,Assumptions!$L$57*Assumptions!$C$57)</f>
        <v>4</v>
      </c>
      <c r="J8570" s="16" t="n">
        <f aca="false">MIN(J8564,Assumptions!$L$57*Assumptions!$C$57)</f>
        <v>4</v>
      </c>
      <c r="K8570" s="16" t="n">
        <f aca="false">MIN(K8564,Assumptions!$L$57*Assumptions!$C$57)</f>
        <v>4</v>
      </c>
    </row>
    <row r="8571" customFormat="false" ht="15" hidden="false" customHeight="false" outlineLevel="0" collapsed="false">
      <c r="A8571" s="3" t="s">
        <v>335</v>
      </c>
      <c r="G8571" s="16" t="n">
        <f aca="false">IF(AND(Assumptions!$P$57=1,G8528&lt;Assumptions!$K$57),MIN(MAX(0,-G8744),MAX(0,Assumptions!$D$57-G8564)),0)</f>
        <v>0</v>
      </c>
      <c r="H8571" s="16" t="n">
        <f aca="false">IF(AND(Assumptions!$P$57=1,OR(H8528&lt;Assumptions!$K$57,G8874=1)),MIN(MAX(0,-H8744),MAX(0,Assumptions!$D$57-H8564)),0)</f>
        <v>0</v>
      </c>
      <c r="I8571" s="16" t="n">
        <f aca="false">IF(AND(Assumptions!$P$57=1,OR(I8528&lt;Assumptions!$K$57,H8874=1)),MIN(MAX(0,-I8744),MAX(0,Assumptions!$D$57-I8564)),0)</f>
        <v>0</v>
      </c>
      <c r="J8571" s="16" t="n">
        <f aca="false">IF(AND(Assumptions!$P$57=1,OR(J8528&lt;Assumptions!$K$57,I8874=1)),MIN(MAX(0,-J8744),MAX(0,Assumptions!$D$57-J8564)),0)</f>
        <v>0</v>
      </c>
      <c r="K8571" s="16" t="n">
        <f aca="false">IF(AND(Assumptions!$P$57=1,OR(K8528&lt;Assumptions!$K$57,J8874=1)),MIN(MAX(0,-K8744),MAX(0,Assumptions!$D$57-K8564)),0)</f>
        <v>0</v>
      </c>
    </row>
    <row r="8572" customFormat="false" ht="15" hidden="false" customHeight="false" outlineLevel="0" collapsed="false">
      <c r="A8572" s="3" t="s">
        <v>336</v>
      </c>
      <c r="G8572" s="16" t="n">
        <f aca="false">G8565*MIN(G8564-G8570+G8569,MAX(0,G8746-Assumptions!$C$12*G8562))</f>
        <v>0</v>
      </c>
      <c r="H8572" s="16" t="n">
        <f aca="false">H8565*MIN(H8564-H8570+H8569,MAX(0,H8746-Assumptions!$C$12*H8562))</f>
        <v>0</v>
      </c>
      <c r="I8572" s="16" t="n">
        <f aca="false">I8565*MIN(I8564-I8570+I8569,MAX(0,I8746-Assumptions!$C$12*I8562))</f>
        <v>0</v>
      </c>
      <c r="J8572" s="16" t="n">
        <f aca="false">J8565*MIN(J8564-J8570+J8569,MAX(0,J8746-Assumptions!$C$12*J8562))</f>
        <v>0</v>
      </c>
      <c r="K8572" s="16" t="n">
        <f aca="false">K8565*MIN(K8564-K8570+K8569,MAX(0,K8746-Assumptions!$C$12*K8562))</f>
        <v>0</v>
      </c>
    </row>
    <row r="8573" customFormat="false" ht="15" hidden="false" customHeight="false" outlineLevel="0" collapsed="false">
      <c r="A8573" s="3" t="s">
        <v>337</v>
      </c>
      <c r="G8573" s="16" t="n">
        <f aca="false">Assumptions!$N$57*MIN(G8564+G8571+G8569-G8570-G8572,MAX(0,G8750))</f>
        <v>0</v>
      </c>
      <c r="H8573" s="16" t="n">
        <f aca="false">Assumptions!$N$57*MIN(H8564+H8571+H8569-H8570-H8572,MAX(0,H8750))</f>
        <v>0</v>
      </c>
      <c r="I8573" s="16" t="n">
        <f aca="false">Assumptions!$N$57*MIN(I8564+I8571+I8569-I8570-I8572,MAX(0,I8750))</f>
        <v>0</v>
      </c>
      <c r="J8573" s="16" t="n">
        <f aca="false">Assumptions!$N$57*MIN(J8564+J8571+J8569-J8570-J8572,MAX(0,J8750))</f>
        <v>0</v>
      </c>
      <c r="K8573" s="16" t="n">
        <f aca="false">Assumptions!$N$57*MIN(K8564+K8571+K8569-K8570-K8572,MAX(0,K8750))</f>
        <v>0</v>
      </c>
    </row>
    <row r="8574" customFormat="false" ht="15" hidden="false" customHeight="false" outlineLevel="0" collapsed="false">
      <c r="A8574" s="3" t="s">
        <v>338</v>
      </c>
      <c r="G8574" s="16" t="n">
        <f aca="false">G8565*(1-G8562)*(G8564-G8570+G8569-G8572)</f>
        <v>0</v>
      </c>
      <c r="H8574" s="16" t="n">
        <f aca="false">H8565*(1-H8562)*(H8564-H8570+H8569-H8572)</f>
        <v>0</v>
      </c>
      <c r="I8574" s="16" t="n">
        <f aca="false">I8565*(1-I8562)*(I8564-I8570+I8569-I8572)</f>
        <v>0</v>
      </c>
      <c r="J8574" s="16" t="n">
        <f aca="false">J8565*(1-J8562)*(J8564-J8570+J8569-J8572)</f>
        <v>0</v>
      </c>
      <c r="K8574" s="16" t="n">
        <f aca="false">K8565*(1-K8562)*(K8564-K8570+K8569-K8572)</f>
        <v>380</v>
      </c>
    </row>
    <row r="8575" customFormat="false" ht="15" hidden="false" customHeight="false" outlineLevel="0" collapsed="false">
      <c r="A8575" s="2" t="s">
        <v>339</v>
      </c>
      <c r="F8575" s="28" t="n">
        <f aca="false">Assumptions!$C$57</f>
        <v>400</v>
      </c>
      <c r="G8575" s="17" t="n">
        <f aca="false">G8564+G8571+G8569-G8570-G8572-G8573</f>
        <v>396</v>
      </c>
      <c r="H8575" s="17" t="n">
        <f aca="false">H8564+H8571+H8569-H8570-H8572-H8573</f>
        <v>392</v>
      </c>
      <c r="I8575" s="17" t="n">
        <f aca="false">I8564+I8571+I8569-I8570-I8572-I8573</f>
        <v>388</v>
      </c>
      <c r="J8575" s="17" t="n">
        <f aca="false">J8564+J8571+J8569-J8570-J8572-J8573</f>
        <v>384</v>
      </c>
      <c r="K8575" s="17" t="n">
        <f aca="false">K8564+K8571+K8569-K8570-K8572-K8573</f>
        <v>380</v>
      </c>
    </row>
    <row r="8576" customFormat="false" ht="15" hidden="false" customHeight="false" outlineLevel="0" collapsed="false">
      <c r="A8576" s="24" t="s">
        <v>340</v>
      </c>
      <c r="B8576" s="25"/>
      <c r="C8576" s="25"/>
      <c r="D8576" s="25"/>
      <c r="E8576" s="25"/>
      <c r="F8576" s="25"/>
      <c r="G8576" s="25"/>
      <c r="H8576" s="25"/>
      <c r="I8576" s="25"/>
      <c r="J8576" s="25"/>
      <c r="K8576" s="25"/>
    </row>
    <row r="8577" customFormat="false" ht="15" hidden="false" customHeight="false" outlineLevel="0" collapsed="false">
      <c r="A8577" s="3" t="s">
        <v>329</v>
      </c>
      <c r="G8577" s="16" t="n">
        <f aca="false">F8588</f>
        <v>90</v>
      </c>
      <c r="H8577" s="16" t="n">
        <f aca="false">G8588</f>
        <v>90</v>
      </c>
      <c r="I8577" s="16" t="n">
        <f aca="false">H8588</f>
        <v>90</v>
      </c>
      <c r="J8577" s="16" t="n">
        <f aca="false">I8588</f>
        <v>90</v>
      </c>
      <c r="K8577" s="16" t="n">
        <f aca="false">J8588</f>
        <v>90</v>
      </c>
    </row>
    <row r="8578" customFormat="false" ht="15" hidden="false" customHeight="false" outlineLevel="0" collapsed="false">
      <c r="A8578" s="3" t="s">
        <v>330</v>
      </c>
      <c r="G8578" s="21" t="n">
        <f aca="false">IF(G8528=Assumptions!$K$58,1,0)</f>
        <v>0</v>
      </c>
      <c r="H8578" s="21" t="n">
        <f aca="false">IF(H8528=Assumptions!$K$58,1,0)</f>
        <v>0</v>
      </c>
      <c r="I8578" s="21" t="n">
        <f aca="false">IF(I8528=Assumptions!$K$58,1,0)</f>
        <v>0</v>
      </c>
      <c r="J8578" s="21" t="n">
        <f aca="false">IF(J8528=Assumptions!$K$58,1,0)</f>
        <v>0</v>
      </c>
      <c r="K8578" s="21" t="n">
        <f aca="false">IF(K8528=Assumptions!$K$58,1,0)</f>
        <v>0</v>
      </c>
    </row>
    <row r="8580" customFormat="false" ht="15" hidden="false" customHeight="false" outlineLevel="0" collapsed="false">
      <c r="A8580" s="3" t="s">
        <v>331</v>
      </c>
      <c r="G8580" s="31" t="n">
        <f aca="false">IF(Assumptions!$I$58=1,MAX(G8554,Assumptions!$G$58)+Assumptions!$F$58+$C$8555,Assumptions!$E$58)</f>
        <v>0.0581</v>
      </c>
      <c r="H8580" s="31" t="n">
        <f aca="false">IF(G8875=1,$C$8556,IF(Assumptions!$I$58=1,MAX(H8554,Assumptions!$G$58)+Assumptions!$F$58+$C$8555,Assumptions!$E$58))</f>
        <v>0.0581</v>
      </c>
      <c r="I8580" s="31" t="n">
        <f aca="false">IF(H8875=1,$C$8556,IF(Assumptions!$I$58=1,MAX(I8554,Assumptions!$G$58)+Assumptions!$F$58+$C$8555,Assumptions!$E$58))</f>
        <v>0.0581</v>
      </c>
      <c r="J8580" s="31" t="n">
        <f aca="false">IF(I8875=1,$C$8556,IF(Assumptions!$I$58=1,MAX(J8554,Assumptions!$G$58)+Assumptions!$F$58+$C$8555,Assumptions!$E$58))</f>
        <v>0.0581</v>
      </c>
      <c r="K8580" s="31" t="n">
        <f aca="false">IF(J8875=1,$C$8556,IF(Assumptions!$I$58=1,MAX(K8554,Assumptions!$G$58)+Assumptions!$F$58+$C$8555,Assumptions!$E$58))</f>
        <v>0.0581</v>
      </c>
    </row>
    <row r="8581" customFormat="false" ht="15" hidden="false" customHeight="false" outlineLevel="0" collapsed="false">
      <c r="A8581" s="3" t="s">
        <v>332</v>
      </c>
      <c r="G8581" s="16" t="n">
        <f aca="false">G8577*G8580</f>
        <v>5.229</v>
      </c>
      <c r="H8581" s="16" t="n">
        <f aca="false">H8577*H8580</f>
        <v>5.229</v>
      </c>
      <c r="I8581" s="16" t="n">
        <f aca="false">I8577*I8580</f>
        <v>5.229</v>
      </c>
      <c r="J8581" s="16" t="n">
        <f aca="false">J8577*J8580</f>
        <v>5.229</v>
      </c>
      <c r="K8581" s="16" t="n">
        <f aca="false">K8577*K8580</f>
        <v>5.229</v>
      </c>
    </row>
    <row r="8582" customFormat="false" ht="15" hidden="false" customHeight="false" outlineLevel="0" collapsed="false">
      <c r="A8582" s="3" t="s">
        <v>333</v>
      </c>
      <c r="G8582" s="16" t="n">
        <f aca="false">G8577*Assumptions!$H$58</f>
        <v>0</v>
      </c>
      <c r="H8582" s="16" t="n">
        <f aca="false">H8577*Assumptions!$H$58</f>
        <v>0</v>
      </c>
      <c r="I8582" s="16" t="n">
        <f aca="false">I8577*Assumptions!$H$58</f>
        <v>0</v>
      </c>
      <c r="J8582" s="16" t="n">
        <f aca="false">J8577*Assumptions!$H$58</f>
        <v>0</v>
      </c>
      <c r="K8582" s="16" t="n">
        <f aca="false">K8577*Assumptions!$H$58</f>
        <v>0</v>
      </c>
    </row>
    <row r="8583" customFormat="false" ht="15" hidden="false" customHeight="false" outlineLevel="0" collapsed="false">
      <c r="A8583" s="3" t="s">
        <v>334</v>
      </c>
      <c r="G8583" s="16" t="n">
        <f aca="false">MIN(G8577,Assumptions!$L$58*Assumptions!$C$58)</f>
        <v>0</v>
      </c>
      <c r="H8583" s="16" t="n">
        <f aca="false">MIN(H8577,Assumptions!$L$58*Assumptions!$C$58)</f>
        <v>0</v>
      </c>
      <c r="I8583" s="16" t="n">
        <f aca="false">MIN(I8577,Assumptions!$L$58*Assumptions!$C$58)</f>
        <v>0</v>
      </c>
      <c r="J8583" s="16" t="n">
        <f aca="false">MIN(J8577,Assumptions!$L$58*Assumptions!$C$58)</f>
        <v>0</v>
      </c>
      <c r="K8583" s="16" t="n">
        <f aca="false">MIN(K8577,Assumptions!$L$58*Assumptions!$C$58)</f>
        <v>0</v>
      </c>
    </row>
    <row r="8584" customFormat="false" ht="15" hidden="false" customHeight="false" outlineLevel="0" collapsed="false">
      <c r="A8584" s="3" t="s">
        <v>335</v>
      </c>
      <c r="G8584" s="16" t="n">
        <f aca="false">IF(AND(Assumptions!$P$58=1,G8528&lt;Assumptions!$K$58),MIN(MAX(0,-G8744),MAX(0,Assumptions!$D$58-G8577)),0)</f>
        <v>0</v>
      </c>
      <c r="H8584" s="16" t="n">
        <f aca="false">IF(AND(Assumptions!$P$58=1,OR(H8528&lt;Assumptions!$K$58,G8875=1)),MIN(MAX(0,-H8744),MAX(0,Assumptions!$D$58-H8577)),0)</f>
        <v>0</v>
      </c>
      <c r="I8584" s="16" t="n">
        <f aca="false">IF(AND(Assumptions!$P$58=1,OR(I8528&lt;Assumptions!$K$58,H8875=1)),MIN(MAX(0,-I8744),MAX(0,Assumptions!$D$58-I8577)),0)</f>
        <v>0</v>
      </c>
      <c r="J8584" s="16" t="n">
        <f aca="false">IF(AND(Assumptions!$P$58=1,OR(J8528&lt;Assumptions!$K$58,I8875=1)),MIN(MAX(0,-J8744),MAX(0,Assumptions!$D$58-J8577)),0)</f>
        <v>0</v>
      </c>
      <c r="K8584" s="16" t="n">
        <f aca="false">IF(AND(Assumptions!$P$58=1,OR(K8528&lt;Assumptions!$K$58,J8875=1)),MIN(MAX(0,-K8744),MAX(0,Assumptions!$D$58-K8577)),0)</f>
        <v>0</v>
      </c>
    </row>
    <row r="8585" customFormat="false" ht="15" hidden="false" customHeight="false" outlineLevel="0" collapsed="false">
      <c r="A8585" s="3" t="s">
        <v>336</v>
      </c>
      <c r="G8585" s="16" t="n">
        <f aca="false">G8578*MIN(G8577-G8583+G8582,MAX(0,G8746-Assumptions!$C$12*G8562-G8572))</f>
        <v>0</v>
      </c>
      <c r="H8585" s="16" t="n">
        <f aca="false">H8578*MIN(H8577-H8583+H8582,MAX(0,H8746-Assumptions!$C$12*H8562-H8572))</f>
        <v>0</v>
      </c>
      <c r="I8585" s="16" t="n">
        <f aca="false">I8578*MIN(I8577-I8583+I8582,MAX(0,I8746-Assumptions!$C$12*I8562-I8572))</f>
        <v>0</v>
      </c>
      <c r="J8585" s="16" t="n">
        <f aca="false">J8578*MIN(J8577-J8583+J8582,MAX(0,J8746-Assumptions!$C$12*J8562-J8572))</f>
        <v>0</v>
      </c>
      <c r="K8585" s="16" t="n">
        <f aca="false">K8578*MIN(K8577-K8583+K8582,MAX(0,K8746-Assumptions!$C$12*K8562-K8572))</f>
        <v>0</v>
      </c>
    </row>
    <row r="8586" customFormat="false" ht="15" hidden="false" customHeight="false" outlineLevel="0" collapsed="false">
      <c r="A8586" s="3" t="s">
        <v>337</v>
      </c>
      <c r="G8586" s="16" t="n">
        <f aca="false">Assumptions!$N$58*MIN(G8577+G8584+G8582-G8583-G8585,MAX(0,G8750-G8573))</f>
        <v>0</v>
      </c>
      <c r="H8586" s="16" t="n">
        <f aca="false">Assumptions!$N$58*MIN(H8577+H8584+H8582-H8583-H8585,MAX(0,H8750-H8573))</f>
        <v>0</v>
      </c>
      <c r="I8586" s="16" t="n">
        <f aca="false">Assumptions!$N$58*MIN(I8577+I8584+I8582-I8583-I8585,MAX(0,I8750-I8573))</f>
        <v>0</v>
      </c>
      <c r="J8586" s="16" t="n">
        <f aca="false">Assumptions!$N$58*MIN(J8577+J8584+J8582-J8583-J8585,MAX(0,J8750-J8573))</f>
        <v>0</v>
      </c>
      <c r="K8586" s="16" t="n">
        <f aca="false">Assumptions!$N$58*MIN(K8577+K8584+K8582-K8583-K8585,MAX(0,K8750-K8573))</f>
        <v>0</v>
      </c>
    </row>
    <row r="8587" customFormat="false" ht="15" hidden="false" customHeight="false" outlineLevel="0" collapsed="false">
      <c r="A8587" s="3" t="s">
        <v>338</v>
      </c>
      <c r="G8587" s="16" t="n">
        <f aca="false">G8578*(1-G8562)*(G8577-G8583+G8582-G8585)</f>
        <v>0</v>
      </c>
      <c r="H8587" s="16" t="n">
        <f aca="false">H8578*(1-H8562)*(H8577-H8583+H8582-H8585)</f>
        <v>0</v>
      </c>
      <c r="I8587" s="16" t="n">
        <f aca="false">I8578*(1-I8562)*(I8577-I8583+I8582-I8585)</f>
        <v>0</v>
      </c>
      <c r="J8587" s="16" t="n">
        <f aca="false">J8578*(1-J8562)*(J8577-J8583+J8582-J8585)</f>
        <v>0</v>
      </c>
      <c r="K8587" s="16" t="n">
        <f aca="false">K8578*(1-K8562)*(K8577-K8583+K8582-K8585)</f>
        <v>0</v>
      </c>
    </row>
    <row r="8588" customFormat="false" ht="15" hidden="false" customHeight="false" outlineLevel="0" collapsed="false">
      <c r="A8588" s="2" t="s">
        <v>339</v>
      </c>
      <c r="F8588" s="28" t="n">
        <f aca="false">Assumptions!$C$58</f>
        <v>90</v>
      </c>
      <c r="G8588" s="17" t="n">
        <f aca="false">G8577+G8584+G8582-G8583-G8585-G8586</f>
        <v>90</v>
      </c>
      <c r="H8588" s="17" t="n">
        <f aca="false">H8577+H8584+H8582-H8583-H8585-H8586</f>
        <v>90</v>
      </c>
      <c r="I8588" s="17" t="n">
        <f aca="false">I8577+I8584+I8582-I8583-I8585-I8586</f>
        <v>90</v>
      </c>
      <c r="J8588" s="17" t="n">
        <f aca="false">J8577+J8584+J8582-J8583-J8585-J8586</f>
        <v>90</v>
      </c>
      <c r="K8588" s="17" t="n">
        <f aca="false">K8577+K8584+K8582-K8583-K8585-K8586</f>
        <v>90</v>
      </c>
    </row>
    <row r="8589" customFormat="false" ht="15" hidden="false" customHeight="false" outlineLevel="0" collapsed="false">
      <c r="A8589" s="24" t="s">
        <v>341</v>
      </c>
      <c r="B8589" s="25"/>
      <c r="C8589" s="25"/>
      <c r="D8589" s="25"/>
      <c r="E8589" s="25"/>
      <c r="F8589" s="25"/>
      <c r="G8589" s="25"/>
      <c r="H8589" s="25"/>
      <c r="I8589" s="25"/>
      <c r="J8589" s="25"/>
      <c r="K8589" s="25"/>
    </row>
    <row r="8590" customFormat="false" ht="15" hidden="false" customHeight="false" outlineLevel="0" collapsed="false">
      <c r="A8590" s="3" t="s">
        <v>329</v>
      </c>
      <c r="G8590" s="16" t="n">
        <f aca="false">F8601</f>
        <v>57.324</v>
      </c>
      <c r="H8590" s="16" t="n">
        <f aca="false">G8601</f>
        <v>57.324</v>
      </c>
      <c r="I8590" s="16" t="n">
        <f aca="false">H8601</f>
        <v>57.324</v>
      </c>
      <c r="J8590" s="16" t="n">
        <f aca="false">I8601</f>
        <v>57.324</v>
      </c>
      <c r="K8590" s="16" t="n">
        <f aca="false">J8601</f>
        <v>57.324</v>
      </c>
    </row>
    <row r="8591" customFormat="false" ht="15" hidden="false" customHeight="false" outlineLevel="0" collapsed="false">
      <c r="A8591" s="3" t="s">
        <v>330</v>
      </c>
      <c r="G8591" s="21" t="n">
        <f aca="false">IF(G8528=Assumptions!$K$59,1,0)</f>
        <v>0</v>
      </c>
      <c r="H8591" s="21" t="n">
        <f aca="false">IF(H8528=Assumptions!$K$59,1,0)</f>
        <v>0</v>
      </c>
      <c r="I8591" s="21" t="n">
        <f aca="false">IF(I8528=Assumptions!$K$59,1,0)</f>
        <v>0</v>
      </c>
      <c r="J8591" s="21" t="n">
        <f aca="false">IF(J8528=Assumptions!$K$59,1,0)</f>
        <v>0</v>
      </c>
      <c r="K8591" s="21" t="n">
        <f aca="false">IF(K8528=Assumptions!$K$59,1,0)</f>
        <v>0</v>
      </c>
    </row>
    <row r="8593" customFormat="false" ht="15" hidden="false" customHeight="false" outlineLevel="0" collapsed="false">
      <c r="A8593" s="3" t="s">
        <v>331</v>
      </c>
      <c r="G8593" s="31" t="n">
        <f aca="false">IF(Assumptions!$I$59=1,MAX(G8554,Assumptions!$G$59)+Assumptions!$F$59+$C$8555,Assumptions!$E$59)</f>
        <v>0.0731</v>
      </c>
      <c r="H8593" s="31" t="n">
        <f aca="false">IF(G8876=1,$C$8556,IF(Assumptions!$I$59=1,MAX(H8554,Assumptions!$G$59)+Assumptions!$F$59+$C$8555,Assumptions!$E$59))</f>
        <v>0.0731</v>
      </c>
      <c r="I8593" s="31" t="n">
        <f aca="false">IF(H8876=1,$C$8556,IF(Assumptions!$I$59=1,MAX(I8554,Assumptions!$G$59)+Assumptions!$F$59+$C$8555,Assumptions!$E$59))</f>
        <v>0.0731</v>
      </c>
      <c r="J8593" s="31" t="n">
        <f aca="false">IF(I8876=1,$C$8556,IF(Assumptions!$I$59=1,MAX(J8554,Assumptions!$G$59)+Assumptions!$F$59+$C$8555,Assumptions!$E$59))</f>
        <v>0.0731</v>
      </c>
      <c r="K8593" s="31" t="n">
        <f aca="false">IF(J8876=1,$C$8556,IF(Assumptions!$I$59=1,MAX(K8554,Assumptions!$G$59)+Assumptions!$F$59+$C$8555,Assumptions!$E$59))</f>
        <v>0.0731</v>
      </c>
    </row>
    <row r="8594" customFormat="false" ht="15" hidden="false" customHeight="false" outlineLevel="0" collapsed="false">
      <c r="A8594" s="3" t="s">
        <v>332</v>
      </c>
      <c r="G8594" s="16" t="n">
        <f aca="false">G8590*G8593</f>
        <v>4.1903844</v>
      </c>
      <c r="H8594" s="16" t="n">
        <f aca="false">H8590*H8593</f>
        <v>4.1903844</v>
      </c>
      <c r="I8594" s="16" t="n">
        <f aca="false">I8590*I8593</f>
        <v>4.1903844</v>
      </c>
      <c r="J8594" s="16" t="n">
        <f aca="false">J8590*J8593</f>
        <v>4.1903844</v>
      </c>
      <c r="K8594" s="16" t="n">
        <f aca="false">K8590*K8593</f>
        <v>4.1903844</v>
      </c>
    </row>
    <row r="8595" customFormat="false" ht="15" hidden="false" customHeight="false" outlineLevel="0" collapsed="false">
      <c r="A8595" s="3" t="s">
        <v>333</v>
      </c>
      <c r="G8595" s="16" t="n">
        <f aca="false">G8590*Assumptions!$H$59</f>
        <v>0</v>
      </c>
      <c r="H8595" s="16" t="n">
        <f aca="false">H8590*Assumptions!$H$59</f>
        <v>0</v>
      </c>
      <c r="I8595" s="16" t="n">
        <f aca="false">I8590*Assumptions!$H$59</f>
        <v>0</v>
      </c>
      <c r="J8595" s="16" t="n">
        <f aca="false">J8590*Assumptions!$H$59</f>
        <v>0</v>
      </c>
      <c r="K8595" s="16" t="n">
        <f aca="false">K8590*Assumptions!$H$59</f>
        <v>0</v>
      </c>
    </row>
    <row r="8596" customFormat="false" ht="15" hidden="false" customHeight="false" outlineLevel="0" collapsed="false">
      <c r="A8596" s="3" t="s">
        <v>334</v>
      </c>
      <c r="G8596" s="16" t="n">
        <f aca="false">MIN(G8590,Assumptions!$L$59*Assumptions!$C$59)</f>
        <v>0</v>
      </c>
      <c r="H8596" s="16" t="n">
        <f aca="false">MIN(H8590,Assumptions!$L$59*Assumptions!$C$59)</f>
        <v>0</v>
      </c>
      <c r="I8596" s="16" t="n">
        <f aca="false">MIN(I8590,Assumptions!$L$59*Assumptions!$C$59)</f>
        <v>0</v>
      </c>
      <c r="J8596" s="16" t="n">
        <f aca="false">MIN(J8590,Assumptions!$L$59*Assumptions!$C$59)</f>
        <v>0</v>
      </c>
      <c r="K8596" s="16" t="n">
        <f aca="false">MIN(K8590,Assumptions!$L$59*Assumptions!$C$59)</f>
        <v>0</v>
      </c>
    </row>
    <row r="8597" customFormat="false" ht="15" hidden="false" customHeight="false" outlineLevel="0" collapsed="false">
      <c r="A8597" s="3" t="s">
        <v>335</v>
      </c>
      <c r="G8597" s="16" t="n">
        <f aca="false">IF(AND(Assumptions!$P$59=1,G8528&lt;Assumptions!$K$59),MIN(MAX(0,-G8744),MAX(0,Assumptions!$D$59-G8590)),0)</f>
        <v>0</v>
      </c>
      <c r="H8597" s="16" t="n">
        <f aca="false">IF(AND(Assumptions!$P$59=1,OR(H8528&lt;Assumptions!$K$59,G8876=1)),MIN(MAX(0,-H8744),MAX(0,Assumptions!$D$59-H8590)),0)</f>
        <v>0</v>
      </c>
      <c r="I8597" s="16" t="n">
        <f aca="false">IF(AND(Assumptions!$P$59=1,OR(I8528&lt;Assumptions!$K$59,H8876=1)),MIN(MAX(0,-I8744),MAX(0,Assumptions!$D$59-I8590)),0)</f>
        <v>0</v>
      </c>
      <c r="J8597" s="16" t="n">
        <f aca="false">IF(AND(Assumptions!$P$59=1,OR(J8528&lt;Assumptions!$K$59,I8876=1)),MIN(MAX(0,-J8744),MAX(0,Assumptions!$D$59-J8590)),0)</f>
        <v>0</v>
      </c>
      <c r="K8597" s="16" t="n">
        <f aca="false">IF(AND(Assumptions!$P$59=1,OR(K8528&lt;Assumptions!$K$59,J8876=1)),MIN(MAX(0,-K8744),MAX(0,Assumptions!$D$59-K8590)),0)</f>
        <v>0</v>
      </c>
    </row>
    <row r="8598" customFormat="false" ht="15" hidden="false" customHeight="false" outlineLevel="0" collapsed="false">
      <c r="A8598" s="3" t="s">
        <v>336</v>
      </c>
      <c r="G8598" s="16" t="n">
        <f aca="false">G8591*MIN(G8590-G8596+G8595,MAX(0,G8746-Assumptions!$C$12*G8562-G8572-G8585))</f>
        <v>0</v>
      </c>
      <c r="H8598" s="16" t="n">
        <f aca="false">H8591*MIN(H8590-H8596+H8595,MAX(0,H8746-Assumptions!$C$12*H8562-H8572-H8585))</f>
        <v>0</v>
      </c>
      <c r="I8598" s="16" t="n">
        <f aca="false">I8591*MIN(I8590-I8596+I8595,MAX(0,I8746-Assumptions!$C$12*I8562-I8572-I8585))</f>
        <v>0</v>
      </c>
      <c r="J8598" s="16" t="n">
        <f aca="false">J8591*MIN(J8590-J8596+J8595,MAX(0,J8746-Assumptions!$C$12*J8562-J8572-J8585))</f>
        <v>0</v>
      </c>
      <c r="K8598" s="16" t="n">
        <f aca="false">K8591*MIN(K8590-K8596+K8595,MAX(0,K8746-Assumptions!$C$12*K8562-K8572-K8585))</f>
        <v>0</v>
      </c>
    </row>
    <row r="8599" customFormat="false" ht="15" hidden="false" customHeight="false" outlineLevel="0" collapsed="false">
      <c r="A8599" s="3" t="s">
        <v>337</v>
      </c>
      <c r="G8599" s="16" t="n">
        <f aca="false">Assumptions!$N$59*MIN(G8590+G8597+G8595-G8596-G8598,MAX(0,G8750-G8573-G8586))</f>
        <v>0</v>
      </c>
      <c r="H8599" s="16" t="n">
        <f aca="false">Assumptions!$N$59*MIN(H8590+H8597+H8595-H8596-H8598,MAX(0,H8750-H8573-H8586))</f>
        <v>0</v>
      </c>
      <c r="I8599" s="16" t="n">
        <f aca="false">Assumptions!$N$59*MIN(I8590+I8597+I8595-I8596-I8598,MAX(0,I8750-I8573-I8586))</f>
        <v>0</v>
      </c>
      <c r="J8599" s="16" t="n">
        <f aca="false">Assumptions!$N$59*MIN(J8590+J8597+J8595-J8596-J8598,MAX(0,J8750-J8573-J8586))</f>
        <v>0</v>
      </c>
      <c r="K8599" s="16" t="n">
        <f aca="false">Assumptions!$N$59*MIN(K8590+K8597+K8595-K8596-K8598,MAX(0,K8750-K8573-K8586))</f>
        <v>0</v>
      </c>
    </row>
    <row r="8600" customFormat="false" ht="15" hidden="false" customHeight="false" outlineLevel="0" collapsed="false">
      <c r="A8600" s="3" t="s">
        <v>338</v>
      </c>
      <c r="G8600" s="16" t="n">
        <f aca="false">G8591*(1-G8562)*(G8590-G8596+G8595-G8598)</f>
        <v>0</v>
      </c>
      <c r="H8600" s="16" t="n">
        <f aca="false">H8591*(1-H8562)*(H8590-H8596+H8595-H8598)</f>
        <v>0</v>
      </c>
      <c r="I8600" s="16" t="n">
        <f aca="false">I8591*(1-I8562)*(I8590-I8596+I8595-I8598)</f>
        <v>0</v>
      </c>
      <c r="J8600" s="16" t="n">
        <f aca="false">J8591*(1-J8562)*(J8590-J8596+J8595-J8598)</f>
        <v>0</v>
      </c>
      <c r="K8600" s="16" t="n">
        <f aca="false">K8591*(1-K8562)*(K8590-K8596+K8595-K8598)</f>
        <v>0</v>
      </c>
    </row>
    <row r="8601" customFormat="false" ht="15" hidden="false" customHeight="false" outlineLevel="0" collapsed="false">
      <c r="A8601" s="2" t="s">
        <v>339</v>
      </c>
      <c r="F8601" s="28" t="n">
        <f aca="false">Assumptions!$C$59</f>
        <v>57.324</v>
      </c>
      <c r="G8601" s="17" t="n">
        <f aca="false">G8590+G8597+G8595-G8596-G8598-G8599</f>
        <v>57.324</v>
      </c>
      <c r="H8601" s="17" t="n">
        <f aca="false">H8590+H8597+H8595-H8596-H8598-H8599</f>
        <v>57.324</v>
      </c>
      <c r="I8601" s="17" t="n">
        <f aca="false">I8590+I8597+I8595-I8596-I8598-I8599</f>
        <v>57.324</v>
      </c>
      <c r="J8601" s="17" t="n">
        <f aca="false">J8590+J8597+J8595-J8596-J8598-J8599</f>
        <v>57.324</v>
      </c>
      <c r="K8601" s="17" t="n">
        <f aca="false">K8590+K8597+K8595-K8596-K8598-K8599</f>
        <v>57.324</v>
      </c>
    </row>
    <row r="8602" customFormat="false" ht="15" hidden="false" customHeight="false" outlineLevel="0" collapsed="false">
      <c r="A8602" s="24" t="s">
        <v>342</v>
      </c>
      <c r="B8602" s="25"/>
      <c r="C8602" s="25"/>
      <c r="D8602" s="25"/>
      <c r="E8602" s="25"/>
      <c r="F8602" s="25"/>
      <c r="G8602" s="25"/>
      <c r="H8602" s="25"/>
      <c r="I8602" s="25"/>
      <c r="J8602" s="25"/>
      <c r="K8602" s="25"/>
    </row>
    <row r="8603" customFormat="false" ht="15" hidden="false" customHeight="false" outlineLevel="0" collapsed="false">
      <c r="A8603" s="3" t="s">
        <v>329</v>
      </c>
      <c r="G8603" s="16" t="n">
        <f aca="false">F8614</f>
        <v>0</v>
      </c>
      <c r="H8603" s="16" t="n">
        <f aca="false">G8614</f>
        <v>0</v>
      </c>
      <c r="I8603" s="16" t="n">
        <f aca="false">H8614</f>
        <v>0</v>
      </c>
      <c r="J8603" s="16" t="n">
        <f aca="false">I8614</f>
        <v>0</v>
      </c>
      <c r="K8603" s="16" t="n">
        <f aca="false">J8614</f>
        <v>0</v>
      </c>
    </row>
    <row r="8604" customFormat="false" ht="15" hidden="false" customHeight="false" outlineLevel="0" collapsed="false">
      <c r="A8604" s="3" t="s">
        <v>330</v>
      </c>
      <c r="G8604" s="21" t="n">
        <f aca="false">IF(G8528=Assumptions!$K$60,1,0)</f>
        <v>1</v>
      </c>
      <c r="H8604" s="21" t="n">
        <f aca="false">IF(H8528=Assumptions!$K$60,1,0)</f>
        <v>0</v>
      </c>
      <c r="I8604" s="21" t="n">
        <f aca="false">IF(I8528=Assumptions!$K$60,1,0)</f>
        <v>0</v>
      </c>
      <c r="J8604" s="21" t="n">
        <f aca="false">IF(J8528=Assumptions!$K$60,1,0)</f>
        <v>0</v>
      </c>
      <c r="K8604" s="21" t="n">
        <f aca="false">IF(K8528=Assumptions!$K$60,1,0)</f>
        <v>0</v>
      </c>
    </row>
    <row r="8606" customFormat="false" ht="15" hidden="false" customHeight="false" outlineLevel="0" collapsed="false">
      <c r="A8606" s="3" t="s">
        <v>331</v>
      </c>
      <c r="G8606" s="31" t="n">
        <f aca="false">IF(Assumptions!$I$60=1,MAX(G8554,Assumptions!$G$60)+Assumptions!$F$60+$C$8555,Assumptions!$E$60)</f>
        <v>0.084</v>
      </c>
      <c r="H8606" s="31" t="n">
        <f aca="false">IF(G8877=1,$C$8556,IF(Assumptions!$I$60=1,MAX(H8554,Assumptions!$G$60)+Assumptions!$F$60+$C$8555,Assumptions!$E$60))</f>
        <v>0.0825</v>
      </c>
      <c r="I8606" s="31" t="n">
        <f aca="false">IF(H8877=1,$C$8556,IF(Assumptions!$I$60=1,MAX(I8554,Assumptions!$G$60)+Assumptions!$F$60+$C$8555,Assumptions!$E$60))</f>
        <v>0.08</v>
      </c>
      <c r="J8606" s="31" t="n">
        <f aca="false">IF(I8877=1,$C$8556,IF(Assumptions!$I$60=1,MAX(J8554,Assumptions!$G$60)+Assumptions!$F$60+$C$8555,Assumptions!$E$60))</f>
        <v>0.08</v>
      </c>
      <c r="K8606" s="31" t="n">
        <f aca="false">IF(J8877=1,$C$8556,IF(Assumptions!$I$60=1,MAX(K8554,Assumptions!$G$60)+Assumptions!$F$60+$C$8555,Assumptions!$E$60))</f>
        <v>0.08</v>
      </c>
    </row>
    <row r="8607" customFormat="false" ht="15" hidden="false" customHeight="false" outlineLevel="0" collapsed="false">
      <c r="A8607" s="3" t="s">
        <v>332</v>
      </c>
      <c r="G8607" s="16" t="n">
        <f aca="false">G8603*G8606</f>
        <v>0</v>
      </c>
      <c r="H8607" s="16" t="n">
        <f aca="false">H8603*H8606</f>
        <v>0</v>
      </c>
      <c r="I8607" s="16" t="n">
        <f aca="false">I8603*I8606</f>
        <v>0</v>
      </c>
      <c r="J8607" s="16" t="n">
        <f aca="false">J8603*J8606</f>
        <v>0</v>
      </c>
      <c r="K8607" s="16" t="n">
        <f aca="false">K8603*K8606</f>
        <v>0</v>
      </c>
    </row>
    <row r="8608" customFormat="false" ht="15" hidden="false" customHeight="false" outlineLevel="0" collapsed="false">
      <c r="A8608" s="3" t="s">
        <v>333</v>
      </c>
      <c r="G8608" s="16" t="n">
        <f aca="false">G8603*Assumptions!$H$60</f>
        <v>0</v>
      </c>
      <c r="H8608" s="16" t="n">
        <f aca="false">H8603*Assumptions!$H$60</f>
        <v>0</v>
      </c>
      <c r="I8608" s="16" t="n">
        <f aca="false">I8603*Assumptions!$H$60</f>
        <v>0</v>
      </c>
      <c r="J8608" s="16" t="n">
        <f aca="false">J8603*Assumptions!$H$60</f>
        <v>0</v>
      </c>
      <c r="K8608" s="16" t="n">
        <f aca="false">K8603*Assumptions!$H$60</f>
        <v>0</v>
      </c>
    </row>
    <row r="8609" customFormat="false" ht="15" hidden="false" customHeight="false" outlineLevel="0" collapsed="false">
      <c r="A8609" s="3" t="s">
        <v>334</v>
      </c>
      <c r="G8609" s="16" t="n">
        <f aca="false">MIN(G8603,Assumptions!$L$60*Assumptions!$C$60)</f>
        <v>0</v>
      </c>
      <c r="H8609" s="16" t="n">
        <f aca="false">MIN(H8603,Assumptions!$L$60*Assumptions!$C$60)</f>
        <v>0</v>
      </c>
      <c r="I8609" s="16" t="n">
        <f aca="false">MIN(I8603,Assumptions!$L$60*Assumptions!$C$60)</f>
        <v>0</v>
      </c>
      <c r="J8609" s="16" t="n">
        <f aca="false">MIN(J8603,Assumptions!$L$60*Assumptions!$C$60)</f>
        <v>0</v>
      </c>
      <c r="K8609" s="16" t="n">
        <f aca="false">MIN(K8603,Assumptions!$L$60*Assumptions!$C$60)</f>
        <v>0</v>
      </c>
    </row>
    <row r="8610" customFormat="false" ht="15" hidden="false" customHeight="false" outlineLevel="0" collapsed="false">
      <c r="A8610" s="3" t="s">
        <v>335</v>
      </c>
      <c r="G8610" s="16" t="n">
        <f aca="false">IF(AND(Assumptions!$P$60=1,G8528&lt;Assumptions!$K$60),MIN(MAX(0,-G8744),MAX(0,Assumptions!$D$60-G8603)),0)</f>
        <v>0</v>
      </c>
      <c r="H8610" s="16" t="n">
        <f aca="false">IF(AND(Assumptions!$P$60=1,OR(H8528&lt;Assumptions!$K$60,G8877=1)),MIN(MAX(0,-H8744),MAX(0,Assumptions!$D$60-H8603)),0)</f>
        <v>0</v>
      </c>
      <c r="I8610" s="16" t="n">
        <f aca="false">IF(AND(Assumptions!$P$60=1,OR(I8528&lt;Assumptions!$K$60,H8877=1)),MIN(MAX(0,-I8744),MAX(0,Assumptions!$D$60-I8603)),0)</f>
        <v>0</v>
      </c>
      <c r="J8610" s="16" t="n">
        <f aca="false">IF(AND(Assumptions!$P$60=1,OR(J8528&lt;Assumptions!$K$60,I8877=1)),MIN(MAX(0,-J8744),MAX(0,Assumptions!$D$60-J8603)),0)</f>
        <v>0</v>
      </c>
      <c r="K8610" s="16" t="n">
        <f aca="false">IF(AND(Assumptions!$P$60=1,OR(K8528&lt;Assumptions!$K$60,J8877=1)),MIN(MAX(0,-K8744),MAX(0,Assumptions!$D$60-K8603)),0)</f>
        <v>0</v>
      </c>
    </row>
    <row r="8611" customFormat="false" ht="15" hidden="false" customHeight="false" outlineLevel="0" collapsed="false">
      <c r="A8611" s="3" t="s">
        <v>336</v>
      </c>
      <c r="G8611" s="16" t="n">
        <f aca="false">G8604*MIN(G8603-G8609+G8608,MAX(0,G8746-Assumptions!$C$12*G8562-G8572-G8585-G8598))</f>
        <v>0</v>
      </c>
      <c r="H8611" s="16" t="n">
        <f aca="false">H8604*MIN(H8603-H8609+H8608,MAX(0,H8746-Assumptions!$C$12*H8562-H8572-H8585-H8598))</f>
        <v>0</v>
      </c>
      <c r="I8611" s="16" t="n">
        <f aca="false">I8604*MIN(I8603-I8609+I8608,MAX(0,I8746-Assumptions!$C$12*I8562-I8572-I8585-I8598))</f>
        <v>0</v>
      </c>
      <c r="J8611" s="16" t="n">
        <f aca="false">J8604*MIN(J8603-J8609+J8608,MAX(0,J8746-Assumptions!$C$12*J8562-J8572-J8585-J8598))</f>
        <v>0</v>
      </c>
      <c r="K8611" s="16" t="n">
        <f aca="false">K8604*MIN(K8603-K8609+K8608,MAX(0,K8746-Assumptions!$C$12*K8562-K8572-K8585-K8598))</f>
        <v>0</v>
      </c>
    </row>
    <row r="8612" customFormat="false" ht="15" hidden="false" customHeight="false" outlineLevel="0" collapsed="false">
      <c r="A8612" s="3" t="s">
        <v>337</v>
      </c>
      <c r="G8612" s="16" t="n">
        <f aca="false">Assumptions!$N$60*MIN(G8603+G8610+G8608-G8609-G8611,MAX(0,G8750-G8573-G8586-G8599))</f>
        <v>0</v>
      </c>
      <c r="H8612" s="16" t="n">
        <f aca="false">Assumptions!$N$60*MIN(H8603+H8610+H8608-H8609-H8611,MAX(0,H8750-H8573-H8586-H8599))</f>
        <v>0</v>
      </c>
      <c r="I8612" s="16" t="n">
        <f aca="false">Assumptions!$N$60*MIN(I8603+I8610+I8608-I8609-I8611,MAX(0,I8750-I8573-I8586-I8599))</f>
        <v>0</v>
      </c>
      <c r="J8612" s="16" t="n">
        <f aca="false">Assumptions!$N$60*MIN(J8603+J8610+J8608-J8609-J8611,MAX(0,J8750-J8573-J8586-J8599))</f>
        <v>0</v>
      </c>
      <c r="K8612" s="16" t="n">
        <f aca="false">Assumptions!$N$60*MIN(K8603+K8610+K8608-K8609-K8611,MAX(0,K8750-K8573-K8586-K8599))</f>
        <v>0</v>
      </c>
    </row>
    <row r="8613" customFormat="false" ht="15" hidden="false" customHeight="false" outlineLevel="0" collapsed="false">
      <c r="A8613" s="3" t="s">
        <v>338</v>
      </c>
      <c r="G8613" s="16" t="n">
        <f aca="false">G8604*(1-G8562)*(G8603-G8609+G8608-G8611)</f>
        <v>0</v>
      </c>
      <c r="H8613" s="16" t="n">
        <f aca="false">H8604*(1-H8562)*(H8603-H8609+H8608-H8611)</f>
        <v>0</v>
      </c>
      <c r="I8613" s="16" t="n">
        <f aca="false">I8604*(1-I8562)*(I8603-I8609+I8608-I8611)</f>
        <v>0</v>
      </c>
      <c r="J8613" s="16" t="n">
        <f aca="false">J8604*(1-J8562)*(J8603-J8609+J8608-J8611)</f>
        <v>0</v>
      </c>
      <c r="K8613" s="16" t="n">
        <f aca="false">K8604*(1-K8562)*(K8603-K8609+K8608-K8611)</f>
        <v>0</v>
      </c>
    </row>
    <row r="8614" customFormat="false" ht="15" hidden="false" customHeight="false" outlineLevel="0" collapsed="false">
      <c r="A8614" s="2" t="s">
        <v>339</v>
      </c>
      <c r="F8614" s="28" t="n">
        <f aca="false">Assumptions!$C$60</f>
        <v>0</v>
      </c>
      <c r="G8614" s="17" t="n">
        <f aca="false">G8603+G8610+G8608-G8609-G8611-G8612</f>
        <v>0</v>
      </c>
      <c r="H8614" s="17" t="n">
        <f aca="false">H8603+H8610+H8608-H8609-H8611-H8612</f>
        <v>0</v>
      </c>
      <c r="I8614" s="17" t="n">
        <f aca="false">I8603+I8610+I8608-I8609-I8611-I8612</f>
        <v>0</v>
      </c>
      <c r="J8614" s="17" t="n">
        <f aca="false">J8603+J8610+J8608-J8609-J8611-J8612</f>
        <v>0</v>
      </c>
      <c r="K8614" s="17" t="n">
        <f aca="false">K8603+K8610+K8608-K8609-K8611-K8612</f>
        <v>0</v>
      </c>
    </row>
    <row r="8615" customFormat="false" ht="15" hidden="false" customHeight="false" outlineLevel="0" collapsed="false">
      <c r="A8615" s="24" t="s">
        <v>343</v>
      </c>
      <c r="B8615" s="25"/>
      <c r="C8615" s="25"/>
      <c r="D8615" s="25"/>
      <c r="E8615" s="25"/>
      <c r="F8615" s="25"/>
      <c r="G8615" s="25"/>
      <c r="H8615" s="25"/>
      <c r="I8615" s="25"/>
      <c r="J8615" s="25"/>
      <c r="K8615" s="25"/>
    </row>
    <row r="8616" customFormat="false" ht="15" hidden="false" customHeight="false" outlineLevel="0" collapsed="false">
      <c r="A8616" s="3" t="s">
        <v>329</v>
      </c>
      <c r="G8616" s="16" t="n">
        <f aca="false">F8627</f>
        <v>450</v>
      </c>
      <c r="H8616" s="16" t="n">
        <f aca="false">G8627</f>
        <v>450</v>
      </c>
      <c r="I8616" s="16" t="n">
        <f aca="false">H8627</f>
        <v>450</v>
      </c>
      <c r="J8616" s="16" t="n">
        <f aca="false">I8627</f>
        <v>450</v>
      </c>
      <c r="K8616" s="16" t="n">
        <f aca="false">J8627</f>
        <v>450</v>
      </c>
    </row>
    <row r="8617" customFormat="false" ht="15" hidden="false" customHeight="false" outlineLevel="0" collapsed="false">
      <c r="A8617" s="3" t="s">
        <v>330</v>
      </c>
      <c r="G8617" s="21" t="n">
        <f aca="false">IF(G8528=Assumptions!$K$61,1,0)</f>
        <v>0</v>
      </c>
      <c r="H8617" s="21" t="n">
        <f aca="false">IF(H8528=Assumptions!$K$61,1,0)</f>
        <v>1</v>
      </c>
      <c r="I8617" s="21" t="n">
        <f aca="false">IF(I8528=Assumptions!$K$61,1,0)</f>
        <v>0</v>
      </c>
      <c r="J8617" s="21" t="n">
        <f aca="false">IF(J8528=Assumptions!$K$61,1,0)</f>
        <v>0</v>
      </c>
      <c r="K8617" s="21" t="n">
        <f aca="false">IF(K8528=Assumptions!$K$61,1,0)</f>
        <v>0</v>
      </c>
    </row>
    <row r="8619" customFormat="false" ht="15" hidden="false" customHeight="false" outlineLevel="0" collapsed="false">
      <c r="A8619" s="3" t="s">
        <v>331</v>
      </c>
      <c r="G8619" s="31" t="n">
        <f aca="false">IF(Assumptions!$I$61=1,MAX(G8554,Assumptions!$G$61)+Assumptions!$F$61+$C$8555,Assumptions!$E$61)</f>
        <v>0.0395</v>
      </c>
      <c r="H8619" s="31" t="n">
        <f aca="false">IF(G8878=1,$C$8556,IF(Assumptions!$I$61=1,MAX(H8554,Assumptions!$G$61)+Assumptions!$F$61+$C$8555,Assumptions!$E$61))</f>
        <v>0.0395</v>
      </c>
      <c r="I8619" s="31" t="n">
        <f aca="false">IF(H8878=1,$C$8556,IF(Assumptions!$I$61=1,MAX(I8554,Assumptions!$G$61)+Assumptions!$F$61+$C$8555,Assumptions!$E$61))</f>
        <v>0.0395</v>
      </c>
      <c r="J8619" s="31" t="n">
        <f aca="false">IF(I8878=1,$C$8556,IF(Assumptions!$I$61=1,MAX(J8554,Assumptions!$G$61)+Assumptions!$F$61+$C$8555,Assumptions!$E$61))</f>
        <v>0.0395</v>
      </c>
      <c r="K8619" s="31" t="n">
        <f aca="false">IF(J8878=1,$C$8556,IF(Assumptions!$I$61=1,MAX(K8554,Assumptions!$G$61)+Assumptions!$F$61+$C$8555,Assumptions!$E$61))</f>
        <v>0.0395</v>
      </c>
    </row>
    <row r="8620" customFormat="false" ht="15" hidden="false" customHeight="false" outlineLevel="0" collapsed="false">
      <c r="A8620" s="3" t="s">
        <v>332</v>
      </c>
      <c r="G8620" s="16" t="n">
        <f aca="false">G8616*G8619</f>
        <v>17.775</v>
      </c>
      <c r="H8620" s="16" t="n">
        <f aca="false">H8616*H8619</f>
        <v>17.775</v>
      </c>
      <c r="I8620" s="16" t="n">
        <f aca="false">I8616*I8619</f>
        <v>17.775</v>
      </c>
      <c r="J8620" s="16" t="n">
        <f aca="false">J8616*J8619</f>
        <v>17.775</v>
      </c>
      <c r="K8620" s="16" t="n">
        <f aca="false">K8616*K8619</f>
        <v>17.775</v>
      </c>
    </row>
    <row r="8621" customFormat="false" ht="15" hidden="false" customHeight="false" outlineLevel="0" collapsed="false">
      <c r="A8621" s="3" t="s">
        <v>333</v>
      </c>
      <c r="G8621" s="16" t="n">
        <f aca="false">G8616*Assumptions!$H$61</f>
        <v>0</v>
      </c>
      <c r="H8621" s="16" t="n">
        <f aca="false">H8616*Assumptions!$H$61</f>
        <v>0</v>
      </c>
      <c r="I8621" s="16" t="n">
        <f aca="false">I8616*Assumptions!$H$61</f>
        <v>0</v>
      </c>
      <c r="J8621" s="16" t="n">
        <f aca="false">J8616*Assumptions!$H$61</f>
        <v>0</v>
      </c>
      <c r="K8621" s="16" t="n">
        <f aca="false">K8616*Assumptions!$H$61</f>
        <v>0</v>
      </c>
    </row>
    <row r="8622" customFormat="false" ht="15" hidden="false" customHeight="false" outlineLevel="0" collapsed="false">
      <c r="A8622" s="3" t="s">
        <v>334</v>
      </c>
      <c r="G8622" s="16" t="n">
        <f aca="false">MIN(G8616,Assumptions!$L$61*Assumptions!$C$61)</f>
        <v>0</v>
      </c>
      <c r="H8622" s="16" t="n">
        <f aca="false">MIN(H8616,Assumptions!$L$61*Assumptions!$C$61)</f>
        <v>0</v>
      </c>
      <c r="I8622" s="16" t="n">
        <f aca="false">MIN(I8616,Assumptions!$L$61*Assumptions!$C$61)</f>
        <v>0</v>
      </c>
      <c r="J8622" s="16" t="n">
        <f aca="false">MIN(J8616,Assumptions!$L$61*Assumptions!$C$61)</f>
        <v>0</v>
      </c>
      <c r="K8622" s="16" t="n">
        <f aca="false">MIN(K8616,Assumptions!$L$61*Assumptions!$C$61)</f>
        <v>0</v>
      </c>
    </row>
    <row r="8623" customFormat="false" ht="15" hidden="false" customHeight="false" outlineLevel="0" collapsed="false">
      <c r="A8623" s="3" t="s">
        <v>335</v>
      </c>
      <c r="G8623" s="16" t="n">
        <f aca="false">IF(AND(Assumptions!$P$61=1,G8528&lt;Assumptions!$K$61),MIN(MAX(0,-G8744),MAX(0,Assumptions!$D$61-G8616)),0)</f>
        <v>0</v>
      </c>
      <c r="H8623" s="16" t="n">
        <f aca="false">IF(AND(Assumptions!$P$61=1,OR(H8528&lt;Assumptions!$K$61,G8878=1)),MIN(MAX(0,-H8744),MAX(0,Assumptions!$D$61-H8616)),0)</f>
        <v>0</v>
      </c>
      <c r="I8623" s="16" t="n">
        <f aca="false">IF(AND(Assumptions!$P$61=1,OR(I8528&lt;Assumptions!$K$61,H8878=1)),MIN(MAX(0,-I8744),MAX(0,Assumptions!$D$61-I8616)),0)</f>
        <v>0</v>
      </c>
      <c r="J8623" s="16" t="n">
        <f aca="false">IF(AND(Assumptions!$P$61=1,OR(J8528&lt;Assumptions!$K$61,I8878=1)),MIN(MAX(0,-J8744),MAX(0,Assumptions!$D$61-J8616)),0)</f>
        <v>0</v>
      </c>
      <c r="K8623" s="16" t="n">
        <f aca="false">IF(AND(Assumptions!$P$61=1,OR(K8528&lt;Assumptions!$K$61,J8878=1)),MIN(MAX(0,-K8744),MAX(0,Assumptions!$D$61-K8616)),0)</f>
        <v>0</v>
      </c>
    </row>
    <row r="8624" customFormat="false" ht="15" hidden="false" customHeight="false" outlineLevel="0" collapsed="false">
      <c r="A8624" s="3" t="s">
        <v>336</v>
      </c>
      <c r="G8624" s="16" t="n">
        <f aca="false">G8617*MIN(G8616-G8622+G8621,MAX(0,G8746-Assumptions!$C$12*G8562-G8572-G8585-G8598-G8611))</f>
        <v>0</v>
      </c>
      <c r="H8624" s="16" t="n">
        <f aca="false">H8617*MIN(H8616-H8622+H8621,MAX(0,H8746-Assumptions!$C$12*H8562-H8572-H8585-H8598-H8611))</f>
        <v>0</v>
      </c>
      <c r="I8624" s="16" t="n">
        <f aca="false">I8617*MIN(I8616-I8622+I8621,MAX(0,I8746-Assumptions!$C$12*I8562-I8572-I8585-I8598-I8611))</f>
        <v>0</v>
      </c>
      <c r="J8624" s="16" t="n">
        <f aca="false">J8617*MIN(J8616-J8622+J8621,MAX(0,J8746-Assumptions!$C$12*J8562-J8572-J8585-J8598-J8611))</f>
        <v>0</v>
      </c>
      <c r="K8624" s="16" t="n">
        <f aca="false">K8617*MIN(K8616-K8622+K8621,MAX(0,K8746-Assumptions!$C$12*K8562-K8572-K8585-K8598-K8611))</f>
        <v>0</v>
      </c>
    </row>
    <row r="8625" customFormat="false" ht="15" hidden="false" customHeight="false" outlineLevel="0" collapsed="false">
      <c r="A8625" s="3" t="s">
        <v>337</v>
      </c>
      <c r="G8625" s="16" t="n">
        <f aca="false">Assumptions!$N$61*MIN(G8616+G8623+G8621-G8622-G8624,MAX(0,G8750-G8573-G8586-G8599-G8612))</f>
        <v>0</v>
      </c>
      <c r="H8625" s="16" t="n">
        <f aca="false">Assumptions!$N$61*MIN(H8616+H8623+H8621-H8622-H8624,MAX(0,H8750-H8573-H8586-H8599-H8612))</f>
        <v>0</v>
      </c>
      <c r="I8625" s="16" t="n">
        <f aca="false">Assumptions!$N$61*MIN(I8616+I8623+I8621-I8622-I8624,MAX(0,I8750-I8573-I8586-I8599-I8612))</f>
        <v>0</v>
      </c>
      <c r="J8625" s="16" t="n">
        <f aca="false">Assumptions!$N$61*MIN(J8616+J8623+J8621-J8622-J8624,MAX(0,J8750-J8573-J8586-J8599-J8612))</f>
        <v>0</v>
      </c>
      <c r="K8625" s="16" t="n">
        <f aca="false">Assumptions!$N$61*MIN(K8616+K8623+K8621-K8622-K8624,MAX(0,K8750-K8573-K8586-K8599-K8612))</f>
        <v>0</v>
      </c>
    </row>
    <row r="8626" customFormat="false" ht="15" hidden="false" customHeight="false" outlineLevel="0" collapsed="false">
      <c r="A8626" s="3" t="s">
        <v>338</v>
      </c>
      <c r="G8626" s="16" t="n">
        <f aca="false">G8617*(1-G8562)*(G8616-G8622+G8621-G8624)</f>
        <v>0</v>
      </c>
      <c r="H8626" s="16" t="n">
        <f aca="false">H8617*(1-H8562)*(H8616-H8622+H8621-H8624)</f>
        <v>450</v>
      </c>
      <c r="I8626" s="16" t="n">
        <f aca="false">I8617*(1-I8562)*(I8616-I8622+I8621-I8624)</f>
        <v>0</v>
      </c>
      <c r="J8626" s="16" t="n">
        <f aca="false">J8617*(1-J8562)*(J8616-J8622+J8621-J8624)</f>
        <v>0</v>
      </c>
      <c r="K8626" s="16" t="n">
        <f aca="false">K8617*(1-K8562)*(K8616-K8622+K8621-K8624)</f>
        <v>0</v>
      </c>
    </row>
    <row r="8627" customFormat="false" ht="15" hidden="false" customHeight="false" outlineLevel="0" collapsed="false">
      <c r="A8627" s="2" t="s">
        <v>339</v>
      </c>
      <c r="F8627" s="28" t="n">
        <f aca="false">Assumptions!$C$61</f>
        <v>450</v>
      </c>
      <c r="G8627" s="17" t="n">
        <f aca="false">G8616+G8623+G8621-G8622-G8624-G8625</f>
        <v>450</v>
      </c>
      <c r="H8627" s="17" t="n">
        <f aca="false">H8616+H8623+H8621-H8622-H8624-H8625</f>
        <v>450</v>
      </c>
      <c r="I8627" s="17" t="n">
        <f aca="false">I8616+I8623+I8621-I8622-I8624-I8625</f>
        <v>450</v>
      </c>
      <c r="J8627" s="17" t="n">
        <f aca="false">J8616+J8623+J8621-J8622-J8624-J8625</f>
        <v>450</v>
      </c>
      <c r="K8627" s="17" t="n">
        <f aca="false">K8616+K8623+K8621-K8622-K8624-K8625</f>
        <v>450</v>
      </c>
    </row>
    <row r="8628" customFormat="false" ht="15" hidden="false" customHeight="false" outlineLevel="0" collapsed="false">
      <c r="A8628" s="24" t="s">
        <v>344</v>
      </c>
      <c r="B8628" s="25"/>
      <c r="C8628" s="25"/>
      <c r="D8628" s="25"/>
      <c r="E8628" s="25"/>
      <c r="F8628" s="25"/>
      <c r="G8628" s="25"/>
      <c r="H8628" s="25"/>
      <c r="I8628" s="25"/>
      <c r="J8628" s="25"/>
      <c r="K8628" s="25"/>
    </row>
    <row r="8629" customFormat="false" ht="15" hidden="false" customHeight="false" outlineLevel="0" collapsed="false">
      <c r="A8629" s="3" t="s">
        <v>329</v>
      </c>
      <c r="G8629" s="16" t="n">
        <f aca="false">F8640</f>
        <v>350</v>
      </c>
      <c r="H8629" s="16" t="n">
        <f aca="false">G8640</f>
        <v>350</v>
      </c>
      <c r="I8629" s="16" t="n">
        <f aca="false">H8640</f>
        <v>350</v>
      </c>
      <c r="J8629" s="16" t="n">
        <f aca="false">I8640</f>
        <v>350</v>
      </c>
      <c r="K8629" s="16" t="n">
        <f aca="false">J8640</f>
        <v>350</v>
      </c>
    </row>
    <row r="8630" customFormat="false" ht="15" hidden="false" customHeight="false" outlineLevel="0" collapsed="false">
      <c r="A8630" s="3" t="s">
        <v>330</v>
      </c>
      <c r="G8630" s="21" t="n">
        <f aca="false">IF(G8528=Assumptions!$K$62,1,0)</f>
        <v>0</v>
      </c>
      <c r="H8630" s="21" t="n">
        <f aca="false">IF(H8528=Assumptions!$K$62,1,0)</f>
        <v>1</v>
      </c>
      <c r="I8630" s="21" t="n">
        <f aca="false">IF(I8528=Assumptions!$K$62,1,0)</f>
        <v>0</v>
      </c>
      <c r="J8630" s="21" t="n">
        <f aca="false">IF(J8528=Assumptions!$K$62,1,0)</f>
        <v>0</v>
      </c>
      <c r="K8630" s="21" t="n">
        <f aca="false">IF(K8528=Assumptions!$K$62,1,0)</f>
        <v>0</v>
      </c>
    </row>
    <row r="8632" customFormat="false" ht="15" hidden="false" customHeight="false" outlineLevel="0" collapsed="false">
      <c r="A8632" s="3" t="s">
        <v>331</v>
      </c>
      <c r="G8632" s="31" t="n">
        <f aca="false">IF(Assumptions!$I$62=1,MAX(G8554,Assumptions!$G$62)+Assumptions!$F$62+$C$8555,Assumptions!$E$62)</f>
        <v>0.083</v>
      </c>
      <c r="H8632" s="31" t="n">
        <f aca="false">IF(G8879=1,$C$8556,IF(Assumptions!$I$62=1,MAX(H8554,Assumptions!$G$62)+Assumptions!$F$62+$C$8555,Assumptions!$E$62))</f>
        <v>0.083</v>
      </c>
      <c r="I8632" s="31" t="n">
        <f aca="false">IF(H8879=1,$C$8556,IF(Assumptions!$I$62=1,MAX(I8554,Assumptions!$G$62)+Assumptions!$F$62+$C$8555,Assumptions!$E$62))</f>
        <v>0.083</v>
      </c>
      <c r="J8632" s="31" t="n">
        <f aca="false">IF(I8879=1,$C$8556,IF(Assumptions!$I$62=1,MAX(J8554,Assumptions!$G$62)+Assumptions!$F$62+$C$8555,Assumptions!$E$62))</f>
        <v>0.083</v>
      </c>
      <c r="K8632" s="31" t="n">
        <f aca="false">IF(J8879=1,$C$8556,IF(Assumptions!$I$62=1,MAX(K8554,Assumptions!$G$62)+Assumptions!$F$62+$C$8555,Assumptions!$E$62))</f>
        <v>0.083</v>
      </c>
    </row>
    <row r="8633" customFormat="false" ht="15" hidden="false" customHeight="false" outlineLevel="0" collapsed="false">
      <c r="A8633" s="3" t="s">
        <v>332</v>
      </c>
      <c r="G8633" s="16" t="n">
        <f aca="false">G8629*G8632</f>
        <v>29.05</v>
      </c>
      <c r="H8633" s="16" t="n">
        <f aca="false">H8629*H8632</f>
        <v>29.05</v>
      </c>
      <c r="I8633" s="16" t="n">
        <f aca="false">I8629*I8632</f>
        <v>29.05</v>
      </c>
      <c r="J8633" s="16" t="n">
        <f aca="false">J8629*J8632</f>
        <v>29.05</v>
      </c>
      <c r="K8633" s="16" t="n">
        <f aca="false">K8629*K8632</f>
        <v>29.05</v>
      </c>
    </row>
    <row r="8634" customFormat="false" ht="15" hidden="false" customHeight="false" outlineLevel="0" collapsed="false">
      <c r="A8634" s="3" t="s">
        <v>333</v>
      </c>
      <c r="G8634" s="16" t="n">
        <f aca="false">G8629*Assumptions!$H$62</f>
        <v>0</v>
      </c>
      <c r="H8634" s="16" t="n">
        <f aca="false">H8629*Assumptions!$H$62</f>
        <v>0</v>
      </c>
      <c r="I8634" s="16" t="n">
        <f aca="false">I8629*Assumptions!$H$62</f>
        <v>0</v>
      </c>
      <c r="J8634" s="16" t="n">
        <f aca="false">J8629*Assumptions!$H$62</f>
        <v>0</v>
      </c>
      <c r="K8634" s="16" t="n">
        <f aca="false">K8629*Assumptions!$H$62</f>
        <v>0</v>
      </c>
    </row>
    <row r="8635" customFormat="false" ht="15" hidden="false" customHeight="false" outlineLevel="0" collapsed="false">
      <c r="A8635" s="3" t="s">
        <v>334</v>
      </c>
      <c r="G8635" s="16" t="n">
        <f aca="false">MIN(G8629,Assumptions!$L$62*Assumptions!$C$62)</f>
        <v>0</v>
      </c>
      <c r="H8635" s="16" t="n">
        <f aca="false">MIN(H8629,Assumptions!$L$62*Assumptions!$C$62)</f>
        <v>0</v>
      </c>
      <c r="I8635" s="16" t="n">
        <f aca="false">MIN(I8629,Assumptions!$L$62*Assumptions!$C$62)</f>
        <v>0</v>
      </c>
      <c r="J8635" s="16" t="n">
        <f aca="false">MIN(J8629,Assumptions!$L$62*Assumptions!$C$62)</f>
        <v>0</v>
      </c>
      <c r="K8635" s="16" t="n">
        <f aca="false">MIN(K8629,Assumptions!$L$62*Assumptions!$C$62)</f>
        <v>0</v>
      </c>
    </row>
    <row r="8636" customFormat="false" ht="15" hidden="false" customHeight="false" outlineLevel="0" collapsed="false">
      <c r="A8636" s="3" t="s">
        <v>335</v>
      </c>
      <c r="G8636" s="16" t="n">
        <f aca="false">IF(AND(Assumptions!$P$62=1,G8528&lt;Assumptions!$K$62),MIN(MAX(0,-G8744),MAX(0,Assumptions!$D$62-G8629)),0)</f>
        <v>0</v>
      </c>
      <c r="H8636" s="16" t="n">
        <f aca="false">IF(AND(Assumptions!$P$62=1,OR(H8528&lt;Assumptions!$K$62,G8879=1)),MIN(MAX(0,-H8744),MAX(0,Assumptions!$D$62-H8629)),0)</f>
        <v>0</v>
      </c>
      <c r="I8636" s="16" t="n">
        <f aca="false">IF(AND(Assumptions!$P$62=1,OR(I8528&lt;Assumptions!$K$62,H8879=1)),MIN(MAX(0,-I8744),MAX(0,Assumptions!$D$62-I8629)),0)</f>
        <v>0</v>
      </c>
      <c r="J8636" s="16" t="n">
        <f aca="false">IF(AND(Assumptions!$P$62=1,OR(J8528&lt;Assumptions!$K$62,I8879=1)),MIN(MAX(0,-J8744),MAX(0,Assumptions!$D$62-J8629)),0)</f>
        <v>0</v>
      </c>
      <c r="K8636" s="16" t="n">
        <f aca="false">IF(AND(Assumptions!$P$62=1,OR(K8528&lt;Assumptions!$K$62,J8879=1)),MIN(MAX(0,-K8744),MAX(0,Assumptions!$D$62-K8629)),0)</f>
        <v>0</v>
      </c>
    </row>
    <row r="8637" customFormat="false" ht="15" hidden="false" customHeight="false" outlineLevel="0" collapsed="false">
      <c r="A8637" s="3" t="s">
        <v>336</v>
      </c>
      <c r="G8637" s="16" t="n">
        <f aca="false">G8630*MIN(G8629-G8635+G8634,MAX(0,G8746-Assumptions!$C$12*G8562-G8572-G8585-G8598-G8611-G8624))</f>
        <v>0</v>
      </c>
      <c r="H8637" s="16" t="n">
        <f aca="false">H8630*MIN(H8629-H8635+H8634,MAX(0,H8746-Assumptions!$C$12*H8562-H8572-H8585-H8598-H8611-H8624))</f>
        <v>0</v>
      </c>
      <c r="I8637" s="16" t="n">
        <f aca="false">I8630*MIN(I8629-I8635+I8634,MAX(0,I8746-Assumptions!$C$12*I8562-I8572-I8585-I8598-I8611-I8624))</f>
        <v>0</v>
      </c>
      <c r="J8637" s="16" t="n">
        <f aca="false">J8630*MIN(J8629-J8635+J8634,MAX(0,J8746-Assumptions!$C$12*J8562-J8572-J8585-J8598-J8611-J8624))</f>
        <v>0</v>
      </c>
      <c r="K8637" s="16" t="n">
        <f aca="false">K8630*MIN(K8629-K8635+K8634,MAX(0,K8746-Assumptions!$C$12*K8562-K8572-K8585-K8598-K8611-K8624))</f>
        <v>0</v>
      </c>
    </row>
    <row r="8638" customFormat="false" ht="15" hidden="false" customHeight="false" outlineLevel="0" collapsed="false">
      <c r="A8638" s="3" t="s">
        <v>337</v>
      </c>
      <c r="G8638" s="16" t="n">
        <f aca="false">Assumptions!$N$62*MIN(G8629+G8636+G8634-G8635-G8637,MAX(0,G8750-G8573-G8586-G8599-G8612-G8625))</f>
        <v>0</v>
      </c>
      <c r="H8638" s="16" t="n">
        <f aca="false">Assumptions!$N$62*MIN(H8629+H8636+H8634-H8635-H8637,MAX(0,H8750-H8573-H8586-H8599-H8612-H8625))</f>
        <v>0</v>
      </c>
      <c r="I8638" s="16" t="n">
        <f aca="false">Assumptions!$N$62*MIN(I8629+I8636+I8634-I8635-I8637,MAX(0,I8750-I8573-I8586-I8599-I8612-I8625))</f>
        <v>0</v>
      </c>
      <c r="J8638" s="16" t="n">
        <f aca="false">Assumptions!$N$62*MIN(J8629+J8636+J8634-J8635-J8637,MAX(0,J8750-J8573-J8586-J8599-J8612-J8625))</f>
        <v>0</v>
      </c>
      <c r="K8638" s="16" t="n">
        <f aca="false">Assumptions!$N$62*MIN(K8629+K8636+K8634-K8635-K8637,MAX(0,K8750-K8573-K8586-K8599-K8612-K8625))</f>
        <v>0</v>
      </c>
    </row>
    <row r="8639" customFormat="false" ht="15" hidden="false" customHeight="false" outlineLevel="0" collapsed="false">
      <c r="A8639" s="3" t="s">
        <v>338</v>
      </c>
      <c r="G8639" s="16" t="n">
        <f aca="false">G8630*(1-G8562)*(G8629-G8635+G8634-G8637)</f>
        <v>0</v>
      </c>
      <c r="H8639" s="16" t="n">
        <f aca="false">H8630*(1-H8562)*(H8629-H8635+H8634-H8637)</f>
        <v>350</v>
      </c>
      <c r="I8639" s="16" t="n">
        <f aca="false">I8630*(1-I8562)*(I8629-I8635+I8634-I8637)</f>
        <v>0</v>
      </c>
      <c r="J8639" s="16" t="n">
        <f aca="false">J8630*(1-J8562)*(J8629-J8635+J8634-J8637)</f>
        <v>0</v>
      </c>
      <c r="K8639" s="16" t="n">
        <f aca="false">K8630*(1-K8562)*(K8629-K8635+K8634-K8637)</f>
        <v>0</v>
      </c>
    </row>
    <row r="8640" customFormat="false" ht="15" hidden="false" customHeight="false" outlineLevel="0" collapsed="false">
      <c r="A8640" s="2" t="s">
        <v>339</v>
      </c>
      <c r="F8640" s="28" t="n">
        <f aca="false">Assumptions!$C$62</f>
        <v>350</v>
      </c>
      <c r="G8640" s="17" t="n">
        <f aca="false">G8629+G8636+G8634-G8635-G8637-G8638</f>
        <v>350</v>
      </c>
      <c r="H8640" s="17" t="n">
        <f aca="false">H8629+H8636+H8634-H8635-H8637-H8638</f>
        <v>350</v>
      </c>
      <c r="I8640" s="17" t="n">
        <f aca="false">I8629+I8636+I8634-I8635-I8637-I8638</f>
        <v>350</v>
      </c>
      <c r="J8640" s="17" t="n">
        <f aca="false">J8629+J8636+J8634-J8635-J8637-J8638</f>
        <v>350</v>
      </c>
      <c r="K8640" s="17" t="n">
        <f aca="false">K8629+K8636+K8634-K8635-K8637-K8638</f>
        <v>350</v>
      </c>
    </row>
    <row r="8641" customFormat="false" ht="15" hidden="false" customHeight="false" outlineLevel="0" collapsed="false">
      <c r="A8641" s="24" t="s">
        <v>345</v>
      </c>
      <c r="B8641" s="25"/>
      <c r="C8641" s="25"/>
      <c r="D8641" s="25"/>
      <c r="E8641" s="25"/>
      <c r="F8641" s="25"/>
      <c r="G8641" s="25"/>
      <c r="H8641" s="25"/>
      <c r="I8641" s="25"/>
      <c r="J8641" s="25"/>
      <c r="K8641" s="25"/>
    </row>
    <row r="8642" customFormat="false" ht="15" hidden="false" customHeight="false" outlineLevel="0" collapsed="false">
      <c r="A8642" s="3" t="s">
        <v>329</v>
      </c>
      <c r="G8642" s="16" t="n">
        <f aca="false">F8653</f>
        <v>550</v>
      </c>
      <c r="H8642" s="16" t="n">
        <f aca="false">G8653</f>
        <v>550</v>
      </c>
      <c r="I8642" s="16" t="n">
        <f aca="false">H8653</f>
        <v>550</v>
      </c>
      <c r="J8642" s="16" t="n">
        <f aca="false">I8653</f>
        <v>550</v>
      </c>
      <c r="K8642" s="16" t="n">
        <f aca="false">J8653</f>
        <v>550</v>
      </c>
    </row>
    <row r="8643" customFormat="false" ht="15" hidden="false" customHeight="false" outlineLevel="0" collapsed="false">
      <c r="A8643" s="3" t="s">
        <v>330</v>
      </c>
      <c r="G8643" s="21" t="n">
        <f aca="false">IF(G8528=Assumptions!$K$63,1,0)</f>
        <v>0</v>
      </c>
      <c r="H8643" s="21" t="n">
        <f aca="false">IF(H8528=Assumptions!$K$63,1,0)</f>
        <v>0</v>
      </c>
      <c r="I8643" s="21" t="n">
        <f aca="false">IF(I8528=Assumptions!$K$63,1,0)</f>
        <v>1</v>
      </c>
      <c r="J8643" s="21" t="n">
        <f aca="false">IF(J8528=Assumptions!$K$63,1,0)</f>
        <v>0</v>
      </c>
      <c r="K8643" s="21" t="n">
        <f aca="false">IF(K8528=Assumptions!$K$63,1,0)</f>
        <v>0</v>
      </c>
    </row>
    <row r="8645" customFormat="false" ht="15" hidden="false" customHeight="false" outlineLevel="0" collapsed="false">
      <c r="A8645" s="3" t="s">
        <v>331</v>
      </c>
      <c r="G8645" s="31" t="n">
        <f aca="false">IF(Assumptions!$I$63=1,MAX(G8554,Assumptions!$G$63)+Assumptions!$F$63+$C$8555,Assumptions!$E$63)</f>
        <v>0.08875</v>
      </c>
      <c r="H8645" s="31" t="n">
        <f aca="false">IF(G8880=1,$C$8556,IF(Assumptions!$I$63=1,MAX(H8554,Assumptions!$G$63)+Assumptions!$F$63+$C$8555,Assumptions!$E$63))</f>
        <v>0.08875</v>
      </c>
      <c r="I8645" s="31" t="n">
        <f aca="false">IF(H8880=1,$C$8556,IF(Assumptions!$I$63=1,MAX(I8554,Assumptions!$G$63)+Assumptions!$F$63+$C$8555,Assumptions!$E$63))</f>
        <v>0.08875</v>
      </c>
      <c r="J8645" s="31" t="n">
        <f aca="false">IF(I8880=1,$C$8556,IF(Assumptions!$I$63=1,MAX(J8554,Assumptions!$G$63)+Assumptions!$F$63+$C$8555,Assumptions!$E$63))</f>
        <v>0.08875</v>
      </c>
      <c r="K8645" s="31" t="n">
        <f aca="false">IF(J8880=1,$C$8556,IF(Assumptions!$I$63=1,MAX(K8554,Assumptions!$G$63)+Assumptions!$F$63+$C$8555,Assumptions!$E$63))</f>
        <v>0.08875</v>
      </c>
    </row>
    <row r="8646" customFormat="false" ht="15" hidden="false" customHeight="false" outlineLevel="0" collapsed="false">
      <c r="A8646" s="3" t="s">
        <v>332</v>
      </c>
      <c r="G8646" s="16" t="n">
        <f aca="false">G8642*G8645</f>
        <v>48.8125</v>
      </c>
      <c r="H8646" s="16" t="n">
        <f aca="false">H8642*H8645</f>
        <v>48.8125</v>
      </c>
      <c r="I8646" s="16" t="n">
        <f aca="false">I8642*I8645</f>
        <v>48.8125</v>
      </c>
      <c r="J8646" s="16" t="n">
        <f aca="false">J8642*J8645</f>
        <v>48.8125</v>
      </c>
      <c r="K8646" s="16" t="n">
        <f aca="false">K8642*K8645</f>
        <v>48.8125</v>
      </c>
    </row>
    <row r="8647" customFormat="false" ht="15" hidden="false" customHeight="false" outlineLevel="0" collapsed="false">
      <c r="A8647" s="3" t="s">
        <v>333</v>
      </c>
      <c r="G8647" s="16" t="n">
        <f aca="false">G8642*Assumptions!$H$63</f>
        <v>0</v>
      </c>
      <c r="H8647" s="16" t="n">
        <f aca="false">H8642*Assumptions!$H$63</f>
        <v>0</v>
      </c>
      <c r="I8647" s="16" t="n">
        <f aca="false">I8642*Assumptions!$H$63</f>
        <v>0</v>
      </c>
      <c r="J8647" s="16" t="n">
        <f aca="false">J8642*Assumptions!$H$63</f>
        <v>0</v>
      </c>
      <c r="K8647" s="16" t="n">
        <f aca="false">K8642*Assumptions!$H$63</f>
        <v>0</v>
      </c>
    </row>
    <row r="8648" customFormat="false" ht="15" hidden="false" customHeight="false" outlineLevel="0" collapsed="false">
      <c r="A8648" s="3" t="s">
        <v>334</v>
      </c>
      <c r="G8648" s="16" t="n">
        <f aca="false">MIN(G8642,Assumptions!$L$63*Assumptions!$C$63)</f>
        <v>0</v>
      </c>
      <c r="H8648" s="16" t="n">
        <f aca="false">MIN(H8642,Assumptions!$L$63*Assumptions!$C$63)</f>
        <v>0</v>
      </c>
      <c r="I8648" s="16" t="n">
        <f aca="false">MIN(I8642,Assumptions!$L$63*Assumptions!$C$63)</f>
        <v>0</v>
      </c>
      <c r="J8648" s="16" t="n">
        <f aca="false">MIN(J8642,Assumptions!$L$63*Assumptions!$C$63)</f>
        <v>0</v>
      </c>
      <c r="K8648" s="16" t="n">
        <f aca="false">MIN(K8642,Assumptions!$L$63*Assumptions!$C$63)</f>
        <v>0</v>
      </c>
    </row>
    <row r="8649" customFormat="false" ht="15" hidden="false" customHeight="false" outlineLevel="0" collapsed="false">
      <c r="A8649" s="3" t="s">
        <v>335</v>
      </c>
      <c r="G8649" s="16" t="n">
        <f aca="false">IF(AND(Assumptions!$P$63=1,G8528&lt;Assumptions!$K$63),MIN(MAX(0,-G8744),MAX(0,Assumptions!$D$63-G8642)),0)</f>
        <v>0</v>
      </c>
      <c r="H8649" s="16" t="n">
        <f aca="false">IF(AND(Assumptions!$P$63=1,OR(H8528&lt;Assumptions!$K$63,G8880=1)),MIN(MAX(0,-H8744),MAX(0,Assumptions!$D$63-H8642)),0)</f>
        <v>0</v>
      </c>
      <c r="I8649" s="16" t="n">
        <f aca="false">IF(AND(Assumptions!$P$63=1,OR(I8528&lt;Assumptions!$K$63,H8880=1)),MIN(MAX(0,-I8744),MAX(0,Assumptions!$D$63-I8642)),0)</f>
        <v>0</v>
      </c>
      <c r="J8649" s="16" t="n">
        <f aca="false">IF(AND(Assumptions!$P$63=1,OR(J8528&lt;Assumptions!$K$63,I8880=1)),MIN(MAX(0,-J8744),MAX(0,Assumptions!$D$63-J8642)),0)</f>
        <v>0</v>
      </c>
      <c r="K8649" s="16" t="n">
        <f aca="false">IF(AND(Assumptions!$P$63=1,OR(K8528&lt;Assumptions!$K$63,J8880=1)),MIN(MAX(0,-K8744),MAX(0,Assumptions!$D$63-K8642)),0)</f>
        <v>0</v>
      </c>
    </row>
    <row r="8650" customFormat="false" ht="15" hidden="false" customHeight="false" outlineLevel="0" collapsed="false">
      <c r="A8650" s="3" t="s">
        <v>336</v>
      </c>
      <c r="G8650" s="16" t="n">
        <f aca="false">G8643*MIN(G8642-G8648+G8647,MAX(0,G8746-Assumptions!$C$12*G8562-G8572-G8585-G8598-G8611-G8624-G8637))</f>
        <v>0</v>
      </c>
      <c r="H8650" s="16" t="n">
        <f aca="false">H8643*MIN(H8642-H8648+H8647,MAX(0,H8746-Assumptions!$C$12*H8562-H8572-H8585-H8598-H8611-H8624-H8637))</f>
        <v>0</v>
      </c>
      <c r="I8650" s="16" t="n">
        <f aca="false">I8643*MIN(I8642-I8648+I8647,MAX(0,I8746-Assumptions!$C$12*I8562-I8572-I8585-I8598-I8611-I8624-I8637))</f>
        <v>0</v>
      </c>
      <c r="J8650" s="16" t="n">
        <f aca="false">J8643*MIN(J8642-J8648+J8647,MAX(0,J8746-Assumptions!$C$12*J8562-J8572-J8585-J8598-J8611-J8624-J8637))</f>
        <v>0</v>
      </c>
      <c r="K8650" s="16" t="n">
        <f aca="false">K8643*MIN(K8642-K8648+K8647,MAX(0,K8746-Assumptions!$C$12*K8562-K8572-K8585-K8598-K8611-K8624-K8637))</f>
        <v>0</v>
      </c>
    </row>
    <row r="8651" customFormat="false" ht="15" hidden="false" customHeight="false" outlineLevel="0" collapsed="false">
      <c r="A8651" s="3" t="s">
        <v>337</v>
      </c>
      <c r="G8651" s="16" t="n">
        <f aca="false">Assumptions!$N$63*MIN(G8642+G8649+G8647-G8648-G8650,MAX(0,G8750-G8573-G8586-G8599-G8612-G8625-G8638))</f>
        <v>0</v>
      </c>
      <c r="H8651" s="16" t="n">
        <f aca="false">Assumptions!$N$63*MIN(H8642+H8649+H8647-H8648-H8650,MAX(0,H8750-H8573-H8586-H8599-H8612-H8625-H8638))</f>
        <v>0</v>
      </c>
      <c r="I8651" s="16" t="n">
        <f aca="false">Assumptions!$N$63*MIN(I8642+I8649+I8647-I8648-I8650,MAX(0,I8750-I8573-I8586-I8599-I8612-I8625-I8638))</f>
        <v>0</v>
      </c>
      <c r="J8651" s="16" t="n">
        <f aca="false">Assumptions!$N$63*MIN(J8642+J8649+J8647-J8648-J8650,MAX(0,J8750-J8573-J8586-J8599-J8612-J8625-J8638))</f>
        <v>0</v>
      </c>
      <c r="K8651" s="16" t="n">
        <f aca="false">Assumptions!$N$63*MIN(K8642+K8649+K8647-K8648-K8650,MAX(0,K8750-K8573-K8586-K8599-K8612-K8625-K8638))</f>
        <v>0</v>
      </c>
    </row>
    <row r="8652" customFormat="false" ht="15" hidden="false" customHeight="false" outlineLevel="0" collapsed="false">
      <c r="A8652" s="3" t="s">
        <v>338</v>
      </c>
      <c r="G8652" s="16" t="n">
        <f aca="false">G8643*(1-G8562)*(G8642-G8648+G8647-G8650)</f>
        <v>0</v>
      </c>
      <c r="H8652" s="16" t="n">
        <f aca="false">H8643*(1-H8562)*(H8642-H8648+H8647-H8650)</f>
        <v>0</v>
      </c>
      <c r="I8652" s="16" t="n">
        <f aca="false">I8643*(1-I8562)*(I8642-I8648+I8647-I8650)</f>
        <v>550</v>
      </c>
      <c r="J8652" s="16" t="n">
        <f aca="false">J8643*(1-J8562)*(J8642-J8648+J8647-J8650)</f>
        <v>0</v>
      </c>
      <c r="K8652" s="16" t="n">
        <f aca="false">K8643*(1-K8562)*(K8642-K8648+K8647-K8650)</f>
        <v>0</v>
      </c>
    </row>
    <row r="8653" customFormat="false" ht="15" hidden="false" customHeight="false" outlineLevel="0" collapsed="false">
      <c r="A8653" s="2" t="s">
        <v>339</v>
      </c>
      <c r="F8653" s="28" t="n">
        <f aca="false">Assumptions!$C$63</f>
        <v>550</v>
      </c>
      <c r="G8653" s="17" t="n">
        <f aca="false">G8642+G8649+G8647-G8648-G8650-G8651</f>
        <v>550</v>
      </c>
      <c r="H8653" s="17" t="n">
        <f aca="false">H8642+H8649+H8647-H8648-H8650-H8651</f>
        <v>550</v>
      </c>
      <c r="I8653" s="17" t="n">
        <f aca="false">I8642+I8649+I8647-I8648-I8650-I8651</f>
        <v>550</v>
      </c>
      <c r="J8653" s="17" t="n">
        <f aca="false">J8642+J8649+J8647-J8648-J8650-J8651</f>
        <v>550</v>
      </c>
      <c r="K8653" s="17" t="n">
        <f aca="false">K8642+K8649+K8647-K8648-K8650-K8651</f>
        <v>550</v>
      </c>
    </row>
    <row r="8654" customFormat="false" ht="15" hidden="false" customHeight="false" outlineLevel="0" collapsed="false">
      <c r="A8654" s="24" t="s">
        <v>346</v>
      </c>
      <c r="B8654" s="25"/>
      <c r="C8654" s="25"/>
      <c r="D8654" s="25"/>
      <c r="E8654" s="25"/>
      <c r="F8654" s="25"/>
      <c r="G8654" s="25"/>
      <c r="H8654" s="25"/>
      <c r="I8654" s="25"/>
      <c r="J8654" s="25"/>
      <c r="K8654" s="25"/>
    </row>
    <row r="8655" customFormat="false" ht="15" hidden="false" customHeight="false" outlineLevel="0" collapsed="false">
      <c r="A8655" s="3" t="s">
        <v>329</v>
      </c>
      <c r="G8655" s="16" t="n">
        <f aca="false">F8666</f>
        <v>350</v>
      </c>
      <c r="H8655" s="16" t="n">
        <f aca="false">G8666</f>
        <v>350</v>
      </c>
      <c r="I8655" s="16" t="n">
        <f aca="false">H8666</f>
        <v>350</v>
      </c>
      <c r="J8655" s="16" t="n">
        <f aca="false">I8666</f>
        <v>350</v>
      </c>
      <c r="K8655" s="16" t="n">
        <f aca="false">J8666</f>
        <v>350</v>
      </c>
    </row>
    <row r="8656" customFormat="false" ht="15" hidden="false" customHeight="false" outlineLevel="0" collapsed="false">
      <c r="A8656" s="3" t="s">
        <v>330</v>
      </c>
      <c r="G8656" s="21" t="n">
        <f aca="false">IF(G8528=Assumptions!$K$64,1,0)</f>
        <v>0</v>
      </c>
      <c r="H8656" s="21" t="n">
        <f aca="false">IF(H8528=Assumptions!$K$64,1,0)</f>
        <v>0</v>
      </c>
      <c r="I8656" s="21" t="n">
        <f aca="false">IF(I8528=Assumptions!$K$64,1,0)</f>
        <v>0</v>
      </c>
      <c r="J8656" s="21" t="n">
        <f aca="false">IF(J8528=Assumptions!$K$64,1,0)</f>
        <v>1</v>
      </c>
      <c r="K8656" s="21" t="n">
        <f aca="false">IF(K8528=Assumptions!$K$64,1,0)</f>
        <v>0</v>
      </c>
    </row>
    <row r="8658" customFormat="false" ht="15" hidden="false" customHeight="false" outlineLevel="0" collapsed="false">
      <c r="A8658" s="3" t="s">
        <v>331</v>
      </c>
      <c r="G8658" s="31" t="n">
        <f aca="false">IF(Assumptions!$I$64=1,MAX(G8554,Assumptions!$G$64)+Assumptions!$F$64+$C$8555,Assumptions!$E$64)</f>
        <v>0.0455</v>
      </c>
      <c r="H8658" s="31" t="n">
        <f aca="false">IF(G8881=1,$C$8556,IF(Assumptions!$I$64=1,MAX(H8554,Assumptions!$G$64)+Assumptions!$F$64+$C$8555,Assumptions!$E$64))</f>
        <v>0.0455</v>
      </c>
      <c r="I8658" s="31" t="n">
        <f aca="false">IF(H8881=1,$C$8556,IF(Assumptions!$I$64=1,MAX(I8554,Assumptions!$G$64)+Assumptions!$F$64+$C$8555,Assumptions!$E$64))</f>
        <v>0.0455</v>
      </c>
      <c r="J8658" s="31" t="n">
        <f aca="false">IF(I8881=1,$C$8556,IF(Assumptions!$I$64=1,MAX(J8554,Assumptions!$G$64)+Assumptions!$F$64+$C$8555,Assumptions!$E$64))</f>
        <v>0.0455</v>
      </c>
      <c r="K8658" s="31" t="n">
        <f aca="false">IF(J8881=1,$C$8556,IF(Assumptions!$I$64=1,MAX(K8554,Assumptions!$G$64)+Assumptions!$F$64+$C$8555,Assumptions!$E$64))</f>
        <v>0.0455</v>
      </c>
    </row>
    <row r="8659" customFormat="false" ht="15" hidden="false" customHeight="false" outlineLevel="0" collapsed="false">
      <c r="A8659" s="3" t="s">
        <v>332</v>
      </c>
      <c r="G8659" s="16" t="n">
        <f aca="false">G8655*G8658</f>
        <v>15.925</v>
      </c>
      <c r="H8659" s="16" t="n">
        <f aca="false">H8655*H8658</f>
        <v>15.925</v>
      </c>
      <c r="I8659" s="16" t="n">
        <f aca="false">I8655*I8658</f>
        <v>15.925</v>
      </c>
      <c r="J8659" s="16" t="n">
        <f aca="false">J8655*J8658</f>
        <v>15.925</v>
      </c>
      <c r="K8659" s="16" t="n">
        <f aca="false">K8655*K8658</f>
        <v>15.925</v>
      </c>
    </row>
    <row r="8660" customFormat="false" ht="15" hidden="false" customHeight="false" outlineLevel="0" collapsed="false">
      <c r="A8660" s="3" t="s">
        <v>333</v>
      </c>
      <c r="G8660" s="16" t="n">
        <f aca="false">G8655*Assumptions!$H$64</f>
        <v>0</v>
      </c>
      <c r="H8660" s="16" t="n">
        <f aca="false">H8655*Assumptions!$H$64</f>
        <v>0</v>
      </c>
      <c r="I8660" s="16" t="n">
        <f aca="false">I8655*Assumptions!$H$64</f>
        <v>0</v>
      </c>
      <c r="J8660" s="16" t="n">
        <f aca="false">J8655*Assumptions!$H$64</f>
        <v>0</v>
      </c>
      <c r="K8660" s="16" t="n">
        <f aca="false">K8655*Assumptions!$H$64</f>
        <v>0</v>
      </c>
    </row>
    <row r="8661" customFormat="false" ht="15" hidden="false" customHeight="false" outlineLevel="0" collapsed="false">
      <c r="A8661" s="3" t="s">
        <v>334</v>
      </c>
      <c r="G8661" s="16" t="n">
        <f aca="false">MIN(G8655,Assumptions!$L$64*Assumptions!$C$64)</f>
        <v>0</v>
      </c>
      <c r="H8661" s="16" t="n">
        <f aca="false">MIN(H8655,Assumptions!$L$64*Assumptions!$C$64)</f>
        <v>0</v>
      </c>
      <c r="I8661" s="16" t="n">
        <f aca="false">MIN(I8655,Assumptions!$L$64*Assumptions!$C$64)</f>
        <v>0</v>
      </c>
      <c r="J8661" s="16" t="n">
        <f aca="false">MIN(J8655,Assumptions!$L$64*Assumptions!$C$64)</f>
        <v>0</v>
      </c>
      <c r="K8661" s="16" t="n">
        <f aca="false">MIN(K8655,Assumptions!$L$64*Assumptions!$C$64)</f>
        <v>0</v>
      </c>
    </row>
    <row r="8662" customFormat="false" ht="15" hidden="false" customHeight="false" outlineLevel="0" collapsed="false">
      <c r="A8662" s="3" t="s">
        <v>335</v>
      </c>
      <c r="G8662" s="16" t="n">
        <f aca="false">IF(AND(Assumptions!$P$64=1,G8528&lt;Assumptions!$K$64),MIN(MAX(0,-G8744),MAX(0,Assumptions!$D$64-G8655)),0)</f>
        <v>0</v>
      </c>
      <c r="H8662" s="16" t="n">
        <f aca="false">IF(AND(Assumptions!$P$64=1,OR(H8528&lt;Assumptions!$K$64,G8881=1)),MIN(MAX(0,-H8744),MAX(0,Assumptions!$D$64-H8655)),0)</f>
        <v>0</v>
      </c>
      <c r="I8662" s="16" t="n">
        <f aca="false">IF(AND(Assumptions!$P$64=1,OR(I8528&lt;Assumptions!$K$64,H8881=1)),MIN(MAX(0,-I8744),MAX(0,Assumptions!$D$64-I8655)),0)</f>
        <v>0</v>
      </c>
      <c r="J8662" s="16" t="n">
        <f aca="false">IF(AND(Assumptions!$P$64=1,OR(J8528&lt;Assumptions!$K$64,I8881=1)),MIN(MAX(0,-J8744),MAX(0,Assumptions!$D$64-J8655)),0)</f>
        <v>0</v>
      </c>
      <c r="K8662" s="16" t="n">
        <f aca="false">IF(AND(Assumptions!$P$64=1,OR(K8528&lt;Assumptions!$K$64,J8881=1)),MIN(MAX(0,-K8744),MAX(0,Assumptions!$D$64-K8655)),0)</f>
        <v>0</v>
      </c>
    </row>
    <row r="8663" customFormat="false" ht="15" hidden="false" customHeight="false" outlineLevel="0" collapsed="false">
      <c r="A8663" s="3" t="s">
        <v>336</v>
      </c>
      <c r="G8663" s="16" t="n">
        <f aca="false">G8656*MIN(G8655-G8661+G8660,MAX(0,G8746-Assumptions!$C$12*G8562-G8572-G8585-G8598-G8611-G8624-G8637-G8650))</f>
        <v>0</v>
      </c>
      <c r="H8663" s="16" t="n">
        <f aca="false">H8656*MIN(H8655-H8661+H8660,MAX(0,H8746-Assumptions!$C$12*H8562-H8572-H8585-H8598-H8611-H8624-H8637-H8650))</f>
        <v>0</v>
      </c>
      <c r="I8663" s="16" t="n">
        <f aca="false">I8656*MIN(I8655-I8661+I8660,MAX(0,I8746-Assumptions!$C$12*I8562-I8572-I8585-I8598-I8611-I8624-I8637-I8650))</f>
        <v>0</v>
      </c>
      <c r="J8663" s="16" t="n">
        <f aca="false">J8656*MIN(J8655-J8661+J8660,MAX(0,J8746-Assumptions!$C$12*J8562-J8572-J8585-J8598-J8611-J8624-J8637-J8650))</f>
        <v>0</v>
      </c>
      <c r="K8663" s="16" t="n">
        <f aca="false">K8656*MIN(K8655-K8661+K8660,MAX(0,K8746-Assumptions!$C$12*K8562-K8572-K8585-K8598-K8611-K8624-K8637-K8650))</f>
        <v>0</v>
      </c>
    </row>
    <row r="8664" customFormat="false" ht="15" hidden="false" customHeight="false" outlineLevel="0" collapsed="false">
      <c r="A8664" s="3" t="s">
        <v>337</v>
      </c>
      <c r="G8664" s="16" t="n">
        <f aca="false">Assumptions!$N$64*MIN(G8655+G8662+G8660-G8661-G8663,MAX(0,G8750-G8573-G8586-G8599-G8612-G8625-G8638-G8651))</f>
        <v>0</v>
      </c>
      <c r="H8664" s="16" t="n">
        <f aca="false">Assumptions!$N$64*MIN(H8655+H8662+H8660-H8661-H8663,MAX(0,H8750-H8573-H8586-H8599-H8612-H8625-H8638-H8651))</f>
        <v>0</v>
      </c>
      <c r="I8664" s="16" t="n">
        <f aca="false">Assumptions!$N$64*MIN(I8655+I8662+I8660-I8661-I8663,MAX(0,I8750-I8573-I8586-I8599-I8612-I8625-I8638-I8651))</f>
        <v>0</v>
      </c>
      <c r="J8664" s="16" t="n">
        <f aca="false">Assumptions!$N$64*MIN(J8655+J8662+J8660-J8661-J8663,MAX(0,J8750-J8573-J8586-J8599-J8612-J8625-J8638-J8651))</f>
        <v>0</v>
      </c>
      <c r="K8664" s="16" t="n">
        <f aca="false">Assumptions!$N$64*MIN(K8655+K8662+K8660-K8661-K8663,MAX(0,K8750-K8573-K8586-K8599-K8612-K8625-K8638-K8651))</f>
        <v>0</v>
      </c>
    </row>
    <row r="8665" customFormat="false" ht="15" hidden="false" customHeight="false" outlineLevel="0" collapsed="false">
      <c r="A8665" s="3" t="s">
        <v>338</v>
      </c>
      <c r="G8665" s="16" t="n">
        <f aca="false">G8656*(1-G8562)*(G8655-G8661+G8660-G8663)</f>
        <v>0</v>
      </c>
      <c r="H8665" s="16" t="n">
        <f aca="false">H8656*(1-H8562)*(H8655-H8661+H8660-H8663)</f>
        <v>0</v>
      </c>
      <c r="I8665" s="16" t="n">
        <f aca="false">I8656*(1-I8562)*(I8655-I8661+I8660-I8663)</f>
        <v>0</v>
      </c>
      <c r="J8665" s="16" t="n">
        <f aca="false">J8656*(1-J8562)*(J8655-J8661+J8660-J8663)</f>
        <v>350</v>
      </c>
      <c r="K8665" s="16" t="n">
        <f aca="false">K8656*(1-K8562)*(K8655-K8661+K8660-K8663)</f>
        <v>0</v>
      </c>
    </row>
    <row r="8666" customFormat="false" ht="15" hidden="false" customHeight="false" outlineLevel="0" collapsed="false">
      <c r="A8666" s="2" t="s">
        <v>339</v>
      </c>
      <c r="F8666" s="28" t="n">
        <f aca="false">Assumptions!$C$64</f>
        <v>350</v>
      </c>
      <c r="G8666" s="17" t="n">
        <f aca="false">G8655+G8662+G8660-G8661-G8663-G8664</f>
        <v>350</v>
      </c>
      <c r="H8666" s="17" t="n">
        <f aca="false">H8655+H8662+H8660-H8661-H8663-H8664</f>
        <v>350</v>
      </c>
      <c r="I8666" s="17" t="n">
        <f aca="false">I8655+I8662+I8660-I8661-I8663-I8664</f>
        <v>350</v>
      </c>
      <c r="J8666" s="17" t="n">
        <f aca="false">J8655+J8662+J8660-J8661-J8663-J8664</f>
        <v>350</v>
      </c>
      <c r="K8666" s="17" t="n">
        <f aca="false">K8655+K8662+K8660-K8661-K8663-K8664</f>
        <v>350</v>
      </c>
    </row>
    <row r="8667" customFormat="false" ht="15" hidden="false" customHeight="false" outlineLevel="0" collapsed="false">
      <c r="A8667" s="24" t="s">
        <v>347</v>
      </c>
      <c r="B8667" s="25"/>
      <c r="C8667" s="25"/>
      <c r="D8667" s="25"/>
      <c r="E8667" s="25"/>
      <c r="F8667" s="25"/>
      <c r="G8667" s="25"/>
      <c r="H8667" s="25"/>
      <c r="I8667" s="25"/>
      <c r="J8667" s="25"/>
      <c r="K8667" s="25"/>
    </row>
    <row r="8668" customFormat="false" ht="15" hidden="false" customHeight="false" outlineLevel="0" collapsed="false">
      <c r="A8668" s="3" t="s">
        <v>329</v>
      </c>
      <c r="G8668" s="16" t="n">
        <f aca="false">F8679</f>
        <v>300</v>
      </c>
      <c r="H8668" s="16" t="n">
        <f aca="false">G8679</f>
        <v>300</v>
      </c>
      <c r="I8668" s="16" t="n">
        <f aca="false">H8679</f>
        <v>300</v>
      </c>
      <c r="J8668" s="16" t="n">
        <f aca="false">I8679</f>
        <v>300</v>
      </c>
      <c r="K8668" s="16" t="n">
        <f aca="false">J8679</f>
        <v>300</v>
      </c>
    </row>
    <row r="8669" customFormat="false" ht="15" hidden="false" customHeight="false" outlineLevel="0" collapsed="false">
      <c r="A8669" s="3" t="s">
        <v>330</v>
      </c>
      <c r="G8669" s="21" t="n">
        <f aca="false">IF(G8528=Assumptions!$K$65,1,0)</f>
        <v>0</v>
      </c>
      <c r="H8669" s="21" t="n">
        <f aca="false">IF(H8528=Assumptions!$K$65,1,0)</f>
        <v>0</v>
      </c>
      <c r="I8669" s="21" t="n">
        <f aca="false">IF(I8528=Assumptions!$K$65,1,0)</f>
        <v>0</v>
      </c>
      <c r="J8669" s="21" t="n">
        <f aca="false">IF(J8528=Assumptions!$K$65,1,0)</f>
        <v>0</v>
      </c>
      <c r="K8669" s="21" t="n">
        <f aca="false">IF(K8528=Assumptions!$K$65,1,0)</f>
        <v>1</v>
      </c>
    </row>
    <row r="8671" customFormat="false" ht="15" hidden="false" customHeight="false" outlineLevel="0" collapsed="false">
      <c r="A8671" s="3" t="s">
        <v>331</v>
      </c>
      <c r="G8671" s="31" t="n">
        <f aca="false">IF(Assumptions!$I$65=1,MAX(G8554,Assumptions!$G$65)+Assumptions!$F$65+$C$8555,Assumptions!$E$65)</f>
        <v>0.06125</v>
      </c>
      <c r="H8671" s="31" t="n">
        <f aca="false">IF(G8882=1,$C$8556,IF(Assumptions!$I$65=1,MAX(H8554,Assumptions!$G$65)+Assumptions!$F$65+$C$8555,Assumptions!$E$65))</f>
        <v>0.06125</v>
      </c>
      <c r="I8671" s="31" t="n">
        <f aca="false">IF(H8882=1,$C$8556,IF(Assumptions!$I$65=1,MAX(I8554,Assumptions!$G$65)+Assumptions!$F$65+$C$8555,Assumptions!$E$65))</f>
        <v>0.06125</v>
      </c>
      <c r="J8671" s="31" t="n">
        <f aca="false">IF(I8882=1,$C$8556,IF(Assumptions!$I$65=1,MAX(J8554,Assumptions!$G$65)+Assumptions!$F$65+$C$8555,Assumptions!$E$65))</f>
        <v>0.06125</v>
      </c>
      <c r="K8671" s="31" t="n">
        <f aca="false">IF(J8882=1,$C$8556,IF(Assumptions!$I$65=1,MAX(K8554,Assumptions!$G$65)+Assumptions!$F$65+$C$8555,Assumptions!$E$65))</f>
        <v>0.06125</v>
      </c>
    </row>
    <row r="8672" customFormat="false" ht="15" hidden="false" customHeight="false" outlineLevel="0" collapsed="false">
      <c r="A8672" s="3" t="s">
        <v>332</v>
      </c>
      <c r="G8672" s="16" t="n">
        <f aca="false">G8668*G8671</f>
        <v>18.375</v>
      </c>
      <c r="H8672" s="16" t="n">
        <f aca="false">H8668*H8671</f>
        <v>18.375</v>
      </c>
      <c r="I8672" s="16" t="n">
        <f aca="false">I8668*I8671</f>
        <v>18.375</v>
      </c>
      <c r="J8672" s="16" t="n">
        <f aca="false">J8668*J8671</f>
        <v>18.375</v>
      </c>
      <c r="K8672" s="16" t="n">
        <f aca="false">K8668*K8671</f>
        <v>18.375</v>
      </c>
    </row>
    <row r="8673" customFormat="false" ht="15" hidden="false" customHeight="false" outlineLevel="0" collapsed="false">
      <c r="A8673" s="3" t="s">
        <v>333</v>
      </c>
      <c r="G8673" s="16" t="n">
        <f aca="false">G8668*Assumptions!$H$65</f>
        <v>0</v>
      </c>
      <c r="H8673" s="16" t="n">
        <f aca="false">H8668*Assumptions!$H$65</f>
        <v>0</v>
      </c>
      <c r="I8673" s="16" t="n">
        <f aca="false">I8668*Assumptions!$H$65</f>
        <v>0</v>
      </c>
      <c r="J8673" s="16" t="n">
        <f aca="false">J8668*Assumptions!$H$65</f>
        <v>0</v>
      </c>
      <c r="K8673" s="16" t="n">
        <f aca="false">K8668*Assumptions!$H$65</f>
        <v>0</v>
      </c>
    </row>
    <row r="8674" customFormat="false" ht="15" hidden="false" customHeight="false" outlineLevel="0" collapsed="false">
      <c r="A8674" s="3" t="s">
        <v>334</v>
      </c>
      <c r="G8674" s="16" t="n">
        <f aca="false">MIN(G8668,Assumptions!$L$65*Assumptions!$C$65)</f>
        <v>0</v>
      </c>
      <c r="H8674" s="16" t="n">
        <f aca="false">MIN(H8668,Assumptions!$L$65*Assumptions!$C$65)</f>
        <v>0</v>
      </c>
      <c r="I8674" s="16" t="n">
        <f aca="false">MIN(I8668,Assumptions!$L$65*Assumptions!$C$65)</f>
        <v>0</v>
      </c>
      <c r="J8674" s="16" t="n">
        <f aca="false">MIN(J8668,Assumptions!$L$65*Assumptions!$C$65)</f>
        <v>0</v>
      </c>
      <c r="K8674" s="16" t="n">
        <f aca="false">MIN(K8668,Assumptions!$L$65*Assumptions!$C$65)</f>
        <v>0</v>
      </c>
    </row>
    <row r="8675" customFormat="false" ht="15" hidden="false" customHeight="false" outlineLevel="0" collapsed="false">
      <c r="A8675" s="3" t="s">
        <v>335</v>
      </c>
      <c r="G8675" s="16" t="n">
        <f aca="false">IF(AND(Assumptions!$P$65=1,G8528&lt;Assumptions!$K$65),MIN(MAX(0,-G8744),MAX(0,Assumptions!$D$65-G8668)),0)</f>
        <v>0</v>
      </c>
      <c r="H8675" s="16" t="n">
        <f aca="false">IF(AND(Assumptions!$P$65=1,OR(H8528&lt;Assumptions!$K$65,G8882=1)),MIN(MAX(0,-H8744),MAX(0,Assumptions!$D$65-H8668)),0)</f>
        <v>0</v>
      </c>
      <c r="I8675" s="16" t="n">
        <f aca="false">IF(AND(Assumptions!$P$65=1,OR(I8528&lt;Assumptions!$K$65,H8882=1)),MIN(MAX(0,-I8744),MAX(0,Assumptions!$D$65-I8668)),0)</f>
        <v>0</v>
      </c>
      <c r="J8675" s="16" t="n">
        <f aca="false">IF(AND(Assumptions!$P$65=1,OR(J8528&lt;Assumptions!$K$65,I8882=1)),MIN(MAX(0,-J8744),MAX(0,Assumptions!$D$65-J8668)),0)</f>
        <v>0</v>
      </c>
      <c r="K8675" s="16" t="n">
        <f aca="false">IF(AND(Assumptions!$P$65=1,OR(K8528&lt;Assumptions!$K$65,J8882=1)),MIN(MAX(0,-K8744),MAX(0,Assumptions!$D$65-K8668)),0)</f>
        <v>0</v>
      </c>
    </row>
    <row r="8676" customFormat="false" ht="15" hidden="false" customHeight="false" outlineLevel="0" collapsed="false">
      <c r="A8676" s="3" t="s">
        <v>336</v>
      </c>
      <c r="G8676" s="16" t="n">
        <f aca="false">G8669*MIN(G8668-G8674+G8673,MAX(0,G8746-Assumptions!$C$12*G8562-G8572-G8585-G8598-G8611-G8624-G8637-G8650-G8663))</f>
        <v>0</v>
      </c>
      <c r="H8676" s="16" t="n">
        <f aca="false">H8669*MIN(H8668-H8674+H8673,MAX(0,H8746-Assumptions!$C$12*H8562-H8572-H8585-H8598-H8611-H8624-H8637-H8650-H8663))</f>
        <v>0</v>
      </c>
      <c r="I8676" s="16" t="n">
        <f aca="false">I8669*MIN(I8668-I8674+I8673,MAX(0,I8746-Assumptions!$C$12*I8562-I8572-I8585-I8598-I8611-I8624-I8637-I8650-I8663))</f>
        <v>0</v>
      </c>
      <c r="J8676" s="16" t="n">
        <f aca="false">J8669*MIN(J8668-J8674+J8673,MAX(0,J8746-Assumptions!$C$12*J8562-J8572-J8585-J8598-J8611-J8624-J8637-J8650-J8663))</f>
        <v>0</v>
      </c>
      <c r="K8676" s="16" t="n">
        <f aca="false">K8669*MIN(K8668-K8674+K8673,MAX(0,K8746-Assumptions!$C$12*K8562-K8572-K8585-K8598-K8611-K8624-K8637-K8650-K8663))</f>
        <v>0</v>
      </c>
    </row>
    <row r="8677" customFormat="false" ht="15" hidden="false" customHeight="false" outlineLevel="0" collapsed="false">
      <c r="A8677" s="3" t="s">
        <v>337</v>
      </c>
      <c r="G8677" s="16" t="n">
        <f aca="false">Assumptions!$N$65*MIN(G8668+G8675+G8673-G8674-G8676,MAX(0,G8750-G8573-G8586-G8599-G8612-G8625-G8638-G8651-G8664))</f>
        <v>0</v>
      </c>
      <c r="H8677" s="16" t="n">
        <f aca="false">Assumptions!$N$65*MIN(H8668+H8675+H8673-H8674-H8676,MAX(0,H8750-H8573-H8586-H8599-H8612-H8625-H8638-H8651-H8664))</f>
        <v>0</v>
      </c>
      <c r="I8677" s="16" t="n">
        <f aca="false">Assumptions!$N$65*MIN(I8668+I8675+I8673-I8674-I8676,MAX(0,I8750-I8573-I8586-I8599-I8612-I8625-I8638-I8651-I8664))</f>
        <v>0</v>
      </c>
      <c r="J8677" s="16" t="n">
        <f aca="false">Assumptions!$N$65*MIN(J8668+J8675+J8673-J8674-J8676,MAX(0,J8750-J8573-J8586-J8599-J8612-J8625-J8638-J8651-J8664))</f>
        <v>0</v>
      </c>
      <c r="K8677" s="16" t="n">
        <f aca="false">Assumptions!$N$65*MIN(K8668+K8675+K8673-K8674-K8676,MAX(0,K8750-K8573-K8586-K8599-K8612-K8625-K8638-K8651-K8664))</f>
        <v>0</v>
      </c>
    </row>
    <row r="8678" customFormat="false" ht="15" hidden="false" customHeight="false" outlineLevel="0" collapsed="false">
      <c r="A8678" s="3" t="s">
        <v>338</v>
      </c>
      <c r="G8678" s="16" t="n">
        <f aca="false">G8669*(1-G8562)*(G8668-G8674+G8673-G8676)</f>
        <v>0</v>
      </c>
      <c r="H8678" s="16" t="n">
        <f aca="false">H8669*(1-H8562)*(H8668-H8674+H8673-H8676)</f>
        <v>0</v>
      </c>
      <c r="I8678" s="16" t="n">
        <f aca="false">I8669*(1-I8562)*(I8668-I8674+I8673-I8676)</f>
        <v>0</v>
      </c>
      <c r="J8678" s="16" t="n">
        <f aca="false">J8669*(1-J8562)*(J8668-J8674+J8673-J8676)</f>
        <v>0</v>
      </c>
      <c r="K8678" s="16" t="n">
        <f aca="false">K8669*(1-K8562)*(K8668-K8674+K8673-K8676)</f>
        <v>300</v>
      </c>
    </row>
    <row r="8679" customFormat="false" ht="15" hidden="false" customHeight="false" outlineLevel="0" collapsed="false">
      <c r="A8679" s="2" t="s">
        <v>339</v>
      </c>
      <c r="F8679" s="28" t="n">
        <f aca="false">Assumptions!$C$65</f>
        <v>300</v>
      </c>
      <c r="G8679" s="17" t="n">
        <f aca="false">G8668+G8675+G8673-G8674-G8676-G8677</f>
        <v>300</v>
      </c>
      <c r="H8679" s="17" t="n">
        <f aca="false">H8668+H8675+H8673-H8674-H8676-H8677</f>
        <v>300</v>
      </c>
      <c r="I8679" s="17" t="n">
        <f aca="false">I8668+I8675+I8673-I8674-I8676-I8677</f>
        <v>300</v>
      </c>
      <c r="J8679" s="17" t="n">
        <f aca="false">J8668+J8675+J8673-J8674-J8676-J8677</f>
        <v>300</v>
      </c>
      <c r="K8679" s="17" t="n">
        <f aca="false">K8668+K8675+K8673-K8674-K8676-K8677</f>
        <v>300</v>
      </c>
    </row>
    <row r="8680" customFormat="false" ht="15" hidden="false" customHeight="false" outlineLevel="0" collapsed="false">
      <c r="A8680" s="24" t="s">
        <v>348</v>
      </c>
      <c r="B8680" s="25"/>
      <c r="C8680" s="25"/>
      <c r="D8680" s="25"/>
      <c r="E8680" s="25"/>
      <c r="F8680" s="25"/>
      <c r="G8680" s="25"/>
      <c r="H8680" s="25"/>
      <c r="I8680" s="25"/>
      <c r="J8680" s="25"/>
      <c r="K8680" s="25"/>
    </row>
    <row r="8681" customFormat="false" ht="15" hidden="false" customHeight="false" outlineLevel="0" collapsed="false">
      <c r="A8681" s="3" t="s">
        <v>329</v>
      </c>
      <c r="G8681" s="16" t="n">
        <f aca="false">F8692</f>
        <v>78.61</v>
      </c>
      <c r="H8681" s="16" t="n">
        <f aca="false">G8692</f>
        <v>78.61</v>
      </c>
      <c r="I8681" s="16" t="n">
        <f aca="false">H8692</f>
        <v>78.61</v>
      </c>
      <c r="J8681" s="16" t="n">
        <f aca="false">I8692</f>
        <v>78.61</v>
      </c>
      <c r="K8681" s="16" t="n">
        <f aca="false">J8692</f>
        <v>78.61</v>
      </c>
    </row>
    <row r="8682" customFormat="false" ht="15" hidden="false" customHeight="false" outlineLevel="0" collapsed="false">
      <c r="A8682" s="3" t="s">
        <v>330</v>
      </c>
      <c r="G8682" s="21" t="n">
        <f aca="false">IF(G8528=Assumptions!$K$66,1,0)</f>
        <v>0</v>
      </c>
      <c r="H8682" s="21" t="n">
        <f aca="false">IF(H8528=Assumptions!$K$66,1,0)</f>
        <v>0</v>
      </c>
      <c r="I8682" s="21" t="n">
        <f aca="false">IF(I8528=Assumptions!$K$66,1,0)</f>
        <v>0</v>
      </c>
      <c r="J8682" s="21" t="n">
        <f aca="false">IF(J8528=Assumptions!$K$66,1,0)</f>
        <v>0</v>
      </c>
      <c r="K8682" s="21" t="n">
        <f aca="false">IF(K8528=Assumptions!$K$66,1,0)</f>
        <v>0</v>
      </c>
    </row>
    <row r="8684" customFormat="false" ht="15" hidden="false" customHeight="false" outlineLevel="0" collapsed="false">
      <c r="A8684" s="3" t="s">
        <v>331</v>
      </c>
      <c r="G8684" s="31" t="n">
        <f aca="false">IF(Assumptions!$I$66=1,MAX(G8554,Assumptions!$G$66)+Assumptions!$F$66+$C$8555,Assumptions!$E$66)</f>
        <v>0.0841</v>
      </c>
      <c r="H8684" s="31" t="n">
        <f aca="false">IF(G8883=1,$C$8556,IF(Assumptions!$I$66=1,MAX(H8554,Assumptions!$G$66)+Assumptions!$F$66+$C$8555,Assumptions!$E$66))</f>
        <v>0.0826</v>
      </c>
      <c r="I8684" s="31" t="n">
        <f aca="false">IF(H8883=1,$C$8556,IF(Assumptions!$I$66=1,MAX(I8554,Assumptions!$G$66)+Assumptions!$F$66+$C$8555,Assumptions!$E$66))</f>
        <v>0.0801</v>
      </c>
      <c r="J8684" s="31" t="n">
        <f aca="false">IF(I8883=1,$C$8556,IF(Assumptions!$I$66=1,MAX(J8554,Assumptions!$G$66)+Assumptions!$F$66+$C$8555,Assumptions!$E$66))</f>
        <v>0.0801</v>
      </c>
      <c r="K8684" s="31" t="n">
        <f aca="false">IF(J8883=1,$C$8556,IF(Assumptions!$I$66=1,MAX(K8554,Assumptions!$G$66)+Assumptions!$F$66+$C$8555,Assumptions!$E$66))</f>
        <v>0.0801</v>
      </c>
    </row>
    <row r="8685" customFormat="false" ht="15" hidden="false" customHeight="false" outlineLevel="0" collapsed="false">
      <c r="A8685" s="3" t="s">
        <v>332</v>
      </c>
      <c r="G8685" s="16" t="n">
        <f aca="false">G8681*G8684</f>
        <v>6.611101</v>
      </c>
      <c r="H8685" s="16" t="n">
        <f aca="false">H8681*H8684</f>
        <v>6.493186</v>
      </c>
      <c r="I8685" s="16" t="n">
        <f aca="false">I8681*I8684</f>
        <v>6.296661</v>
      </c>
      <c r="J8685" s="16" t="n">
        <f aca="false">J8681*J8684</f>
        <v>6.296661</v>
      </c>
      <c r="K8685" s="16" t="n">
        <f aca="false">K8681*K8684</f>
        <v>6.296661</v>
      </c>
    </row>
    <row r="8686" customFormat="false" ht="15" hidden="false" customHeight="false" outlineLevel="0" collapsed="false">
      <c r="A8686" s="3" t="s">
        <v>333</v>
      </c>
      <c r="G8686" s="16" t="n">
        <f aca="false">G8681*Assumptions!$H$66</f>
        <v>0</v>
      </c>
      <c r="H8686" s="16" t="n">
        <f aca="false">H8681*Assumptions!$H$66</f>
        <v>0</v>
      </c>
      <c r="I8686" s="16" t="n">
        <f aca="false">I8681*Assumptions!$H$66</f>
        <v>0</v>
      </c>
      <c r="J8686" s="16" t="n">
        <f aca="false">J8681*Assumptions!$H$66</f>
        <v>0</v>
      </c>
      <c r="K8686" s="16" t="n">
        <f aca="false">K8681*Assumptions!$H$66</f>
        <v>0</v>
      </c>
    </row>
    <row r="8687" customFormat="false" ht="15" hidden="false" customHeight="false" outlineLevel="0" collapsed="false">
      <c r="A8687" s="3" t="s">
        <v>334</v>
      </c>
      <c r="G8687" s="16" t="n">
        <f aca="false">MIN(G8681,Assumptions!$L$66*Assumptions!$C$66)</f>
        <v>0</v>
      </c>
      <c r="H8687" s="16" t="n">
        <f aca="false">MIN(H8681,Assumptions!$L$66*Assumptions!$C$66)</f>
        <v>0</v>
      </c>
      <c r="I8687" s="16" t="n">
        <f aca="false">MIN(I8681,Assumptions!$L$66*Assumptions!$C$66)</f>
        <v>0</v>
      </c>
      <c r="J8687" s="16" t="n">
        <f aca="false">MIN(J8681,Assumptions!$L$66*Assumptions!$C$66)</f>
        <v>0</v>
      </c>
      <c r="K8687" s="16" t="n">
        <f aca="false">MIN(K8681,Assumptions!$L$66*Assumptions!$C$66)</f>
        <v>0</v>
      </c>
    </row>
    <row r="8688" customFormat="false" ht="15" hidden="false" customHeight="false" outlineLevel="0" collapsed="false">
      <c r="A8688" s="3" t="s">
        <v>335</v>
      </c>
      <c r="G8688" s="16" t="n">
        <f aca="false">IF(AND(Assumptions!$P$66=1,G8528&lt;Assumptions!$K$66),MIN(MAX(0,-G8744),MAX(0,Assumptions!$D$66-G8681)),0)</f>
        <v>0</v>
      </c>
      <c r="H8688" s="16" t="n">
        <f aca="false">IF(AND(Assumptions!$P$66=1,OR(H8528&lt;Assumptions!$K$66,G8883=1)),MIN(MAX(0,-H8744),MAX(0,Assumptions!$D$66-H8681)),0)</f>
        <v>0</v>
      </c>
      <c r="I8688" s="16" t="n">
        <f aca="false">IF(AND(Assumptions!$P$66=1,OR(I8528&lt;Assumptions!$K$66,H8883=1)),MIN(MAX(0,-I8744),MAX(0,Assumptions!$D$66-I8681)),0)</f>
        <v>0</v>
      </c>
      <c r="J8688" s="16" t="n">
        <f aca="false">IF(AND(Assumptions!$P$66=1,OR(J8528&lt;Assumptions!$K$66,I8883=1)),MIN(MAX(0,-J8744),MAX(0,Assumptions!$D$66-J8681)),0)</f>
        <v>0</v>
      </c>
      <c r="K8688" s="16" t="n">
        <f aca="false">IF(AND(Assumptions!$P$66=1,OR(K8528&lt;Assumptions!$K$66,J8883=1)),MIN(MAX(0,-K8744),MAX(0,Assumptions!$D$66-K8681)),0)</f>
        <v>0</v>
      </c>
    </row>
    <row r="8689" customFormat="false" ht="15" hidden="false" customHeight="false" outlineLevel="0" collapsed="false">
      <c r="A8689" s="3" t="s">
        <v>336</v>
      </c>
      <c r="G8689" s="16" t="n">
        <f aca="false">G8682*MIN(G8681-G8687+G8686,MAX(0,G8746-Assumptions!$C$12*G8562-G8572-G8585-G8598-G8611-G8624-G8637-G8650-G8663-G8676))</f>
        <v>0</v>
      </c>
      <c r="H8689" s="16" t="n">
        <f aca="false">H8682*MIN(H8681-H8687+H8686,MAX(0,H8746-Assumptions!$C$12*H8562-H8572-H8585-H8598-H8611-H8624-H8637-H8650-H8663-H8676))</f>
        <v>0</v>
      </c>
      <c r="I8689" s="16" t="n">
        <f aca="false">I8682*MIN(I8681-I8687+I8686,MAX(0,I8746-Assumptions!$C$12*I8562-I8572-I8585-I8598-I8611-I8624-I8637-I8650-I8663-I8676))</f>
        <v>0</v>
      </c>
      <c r="J8689" s="16" t="n">
        <f aca="false">J8682*MIN(J8681-J8687+J8686,MAX(0,J8746-Assumptions!$C$12*J8562-J8572-J8585-J8598-J8611-J8624-J8637-J8650-J8663-J8676))</f>
        <v>0</v>
      </c>
      <c r="K8689" s="16" t="n">
        <f aca="false">K8682*MIN(K8681-K8687+K8686,MAX(0,K8746-Assumptions!$C$12*K8562-K8572-K8585-K8598-K8611-K8624-K8637-K8650-K8663-K8676))</f>
        <v>0</v>
      </c>
    </row>
    <row r="8690" customFormat="false" ht="15" hidden="false" customHeight="false" outlineLevel="0" collapsed="false">
      <c r="A8690" s="3" t="s">
        <v>337</v>
      </c>
      <c r="G8690" s="16" t="n">
        <f aca="false">Assumptions!$N$66*MIN(G8681+G8688+G8686-G8687-G8689,MAX(0,G8750-G8573-G8586-G8599-G8612-G8625-G8638-G8651-G8664-G8677))</f>
        <v>0</v>
      </c>
      <c r="H8690" s="16" t="n">
        <f aca="false">Assumptions!$N$66*MIN(H8681+H8688+H8686-H8687-H8689,MAX(0,H8750-H8573-H8586-H8599-H8612-H8625-H8638-H8651-H8664-H8677))</f>
        <v>0</v>
      </c>
      <c r="I8690" s="16" t="n">
        <f aca="false">Assumptions!$N$66*MIN(I8681+I8688+I8686-I8687-I8689,MAX(0,I8750-I8573-I8586-I8599-I8612-I8625-I8638-I8651-I8664-I8677))</f>
        <v>0</v>
      </c>
      <c r="J8690" s="16" t="n">
        <f aca="false">Assumptions!$N$66*MIN(J8681+J8688+J8686-J8687-J8689,MAX(0,J8750-J8573-J8586-J8599-J8612-J8625-J8638-J8651-J8664-J8677))</f>
        <v>0</v>
      </c>
      <c r="K8690" s="16" t="n">
        <f aca="false">Assumptions!$N$66*MIN(K8681+K8688+K8686-K8687-K8689,MAX(0,K8750-K8573-K8586-K8599-K8612-K8625-K8638-K8651-K8664-K8677))</f>
        <v>0</v>
      </c>
    </row>
    <row r="8691" customFormat="false" ht="15" hidden="false" customHeight="false" outlineLevel="0" collapsed="false">
      <c r="A8691" s="3" t="s">
        <v>338</v>
      </c>
      <c r="G8691" s="16" t="n">
        <f aca="false">G8682*(1-G8562)*(G8681-G8687+G8686-G8689)</f>
        <v>0</v>
      </c>
      <c r="H8691" s="16" t="n">
        <f aca="false">H8682*(1-H8562)*(H8681-H8687+H8686-H8689)</f>
        <v>0</v>
      </c>
      <c r="I8691" s="16" t="n">
        <f aca="false">I8682*(1-I8562)*(I8681-I8687+I8686-I8689)</f>
        <v>0</v>
      </c>
      <c r="J8691" s="16" t="n">
        <f aca="false">J8682*(1-J8562)*(J8681-J8687+J8686-J8689)</f>
        <v>0</v>
      </c>
      <c r="K8691" s="16" t="n">
        <f aca="false">K8682*(1-K8562)*(K8681-K8687+K8686-K8689)</f>
        <v>0</v>
      </c>
    </row>
    <row r="8692" customFormat="false" ht="15" hidden="false" customHeight="false" outlineLevel="0" collapsed="false">
      <c r="A8692" s="2" t="s">
        <v>339</v>
      </c>
      <c r="F8692" s="28" t="n">
        <f aca="false">Assumptions!$C$66</f>
        <v>78.61</v>
      </c>
      <c r="G8692" s="17" t="n">
        <f aca="false">G8681+G8688+G8686-G8687-G8689-G8690</f>
        <v>78.61</v>
      </c>
      <c r="H8692" s="17" t="n">
        <f aca="false">H8681+H8688+H8686-H8687-H8689-H8690</f>
        <v>78.61</v>
      </c>
      <c r="I8692" s="17" t="n">
        <f aca="false">I8681+I8688+I8686-I8687-I8689-I8690</f>
        <v>78.61</v>
      </c>
      <c r="J8692" s="17" t="n">
        <f aca="false">J8681+J8688+J8686-J8687-J8689-J8690</f>
        <v>78.61</v>
      </c>
      <c r="K8692" s="17" t="n">
        <f aca="false">K8681+K8688+K8686-K8687-K8689-K8690</f>
        <v>78.61</v>
      </c>
    </row>
    <row r="8693" customFormat="false" ht="15" hidden="false" customHeight="false" outlineLevel="0" collapsed="false">
      <c r="A8693" s="24" t="s">
        <v>349</v>
      </c>
      <c r="B8693" s="25"/>
      <c r="C8693" s="25"/>
      <c r="D8693" s="25"/>
      <c r="E8693" s="25"/>
      <c r="F8693" s="25"/>
      <c r="G8693" s="25"/>
      <c r="H8693" s="25"/>
      <c r="I8693" s="25"/>
      <c r="J8693" s="25"/>
      <c r="K8693" s="25"/>
    </row>
    <row r="8694" customFormat="false" ht="15" hidden="false" customHeight="false" outlineLevel="0" collapsed="false">
      <c r="A8694" s="2" t="s">
        <v>350</v>
      </c>
      <c r="F8694" s="17" t="n">
        <f aca="false">F8575+F8588+F8601+F8614+F8627+F8640+F8653+F8666+F8679+F8692</f>
        <v>2625.934</v>
      </c>
      <c r="G8694" s="17" t="n">
        <f aca="false">G8575+G8588+G8601+G8614+G8627+G8640+G8653+G8666+G8679+G8692</f>
        <v>2621.934</v>
      </c>
      <c r="H8694" s="17" t="n">
        <f aca="false">H8575+H8588+H8601+H8614+H8627+H8640+H8653+H8666+H8679+H8692</f>
        <v>2617.934</v>
      </c>
      <c r="I8694" s="17" t="n">
        <f aca="false">I8575+I8588+I8601+I8614+I8627+I8640+I8653+I8666+I8679+I8692</f>
        <v>2613.934</v>
      </c>
      <c r="J8694" s="17" t="n">
        <f aca="false">J8575+J8588+J8601+J8614+J8627+J8640+J8653+J8666+J8679+J8692</f>
        <v>2609.934</v>
      </c>
      <c r="K8694" s="17" t="n">
        <f aca="false">K8575+K8588+K8601+K8614+K8627+K8640+K8653+K8666+K8679+K8692</f>
        <v>2605.934</v>
      </c>
    </row>
    <row r="8695" customFormat="false" ht="15" hidden="false" customHeight="false" outlineLevel="0" collapsed="false">
      <c r="A8695" s="3" t="s">
        <v>351</v>
      </c>
      <c r="G8695" s="16" t="n">
        <f aca="false">G8565*Assumptions!$C$57+G8578*Assumptions!$C$58+G8591*Assumptions!$C$59+G8604*Assumptions!$C$60+G8617*Assumptions!$C$61+G8630*Assumptions!$C$62+G8643*Assumptions!$C$63+G8656*Assumptions!$C$64+G8669*Assumptions!$C$65+G8682*Assumptions!$C$66</f>
        <v>0</v>
      </c>
      <c r="H8695" s="16" t="n">
        <f aca="false">H8565*Assumptions!$C$57+H8578*Assumptions!$C$58+H8591*Assumptions!$C$59+H8604*Assumptions!$C$60+H8617*Assumptions!$C$61+H8630*Assumptions!$C$62+H8643*Assumptions!$C$63+H8656*Assumptions!$C$64+H8669*Assumptions!$C$65+H8682*Assumptions!$C$66</f>
        <v>800</v>
      </c>
      <c r="I8695" s="16" t="n">
        <f aca="false">I8565*Assumptions!$C$57+I8578*Assumptions!$C$58+I8591*Assumptions!$C$59+I8604*Assumptions!$C$60+I8617*Assumptions!$C$61+I8630*Assumptions!$C$62+I8643*Assumptions!$C$63+I8656*Assumptions!$C$64+I8669*Assumptions!$C$65+I8682*Assumptions!$C$66</f>
        <v>550</v>
      </c>
      <c r="J8695" s="16" t="n">
        <f aca="false">J8565*Assumptions!$C$57+J8578*Assumptions!$C$58+J8591*Assumptions!$C$59+J8604*Assumptions!$C$60+J8617*Assumptions!$C$61+J8630*Assumptions!$C$62+J8643*Assumptions!$C$63+J8656*Assumptions!$C$64+J8669*Assumptions!$C$65+J8682*Assumptions!$C$66</f>
        <v>350</v>
      </c>
      <c r="K8695" s="16" t="n">
        <f aca="false">K8565*Assumptions!$C$57+K8578*Assumptions!$C$58+K8591*Assumptions!$C$59+K8604*Assumptions!$C$60+K8617*Assumptions!$C$61+K8630*Assumptions!$C$62+K8643*Assumptions!$C$63+K8656*Assumptions!$C$64+K8669*Assumptions!$C$65+K8682*Assumptions!$C$66</f>
        <v>700</v>
      </c>
    </row>
    <row r="8696" customFormat="false" ht="15" hidden="false" customHeight="false" outlineLevel="0" collapsed="false">
      <c r="A8696" s="24" t="s">
        <v>352</v>
      </c>
      <c r="B8696" s="25"/>
      <c r="C8696" s="25"/>
      <c r="D8696" s="25"/>
      <c r="E8696" s="25"/>
      <c r="F8696" s="25"/>
      <c r="G8696" s="25"/>
      <c r="H8696" s="25"/>
      <c r="I8696" s="25"/>
      <c r="J8696" s="25"/>
      <c r="K8696" s="25"/>
    </row>
    <row r="8697" customFormat="false" ht="15" hidden="false" customHeight="false" outlineLevel="0" collapsed="false">
      <c r="A8697" s="3" t="s">
        <v>353</v>
      </c>
      <c r="C8697" s="16" t="n">
        <f aca="false">SUMPRODUCT($G$8565:$K$8565,$G$8564:$K$8564-$G$8570:$K$8570+$G$8569:$K$8569)</f>
        <v>380</v>
      </c>
    </row>
    <row r="8698" customFormat="false" ht="15" hidden="false" customHeight="false" outlineLevel="0" collapsed="false">
      <c r="A8698" s="3" t="s">
        <v>354</v>
      </c>
      <c r="C8698" s="16" t="n">
        <f aca="false">SUMPRODUCT($G$8565:$K$8565,$G$8572:$K$8572)</f>
        <v>0</v>
      </c>
    </row>
    <row r="8699" customFormat="false" ht="15" hidden="false" customHeight="false" outlineLevel="0" collapsed="false">
      <c r="A8699" s="3" t="s">
        <v>355</v>
      </c>
      <c r="C8699" s="3" t="str">
        <f aca="false">IF(SUM($G$8565:$K$8565)=0,"n/a (beyond horizon)",IF(SUMPRODUCT($G$8565:$K$8565,$G$8562:$K$8562)&gt;0,"REFINANCING PASS","REFINANCING FAILURE"))</f>
        <v>REFINANCING FAILURE</v>
      </c>
    </row>
    <row r="8700" customFormat="false" ht="15" hidden="false" customHeight="false" outlineLevel="0" collapsed="false">
      <c r="A8700" s="3" t="s">
        <v>356</v>
      </c>
      <c r="C8700" s="3" t="str">
        <f aca="false">IF(SUM($G$8565:$K$8565)=0,"n/a",IF(C8698&gt;=C8697-0.001,"Repaid from cash",IF(SUMPRODUCT($G$8565:$K$8565,$G$8562:$K$8562)&gt;0,IF(C8698&gt;0,"Partly repaid; remainder refinanced","Refinanced"),IF(SUM($G$8574:$K$8574)&gt;0.001,IF(C8698&gt;0,"Partial repayment; PAYMENT DEFAULT","PAYMENT DEFAULT"),"Repaid from cash"))))</f>
        <v>PAYMENT DEFAULT</v>
      </c>
    </row>
    <row r="8701" customFormat="false" ht="15" hidden="false" customHeight="false" outlineLevel="0" collapsed="false">
      <c r="A8701" s="3" t="s">
        <v>357</v>
      </c>
      <c r="C8701" s="16" t="n">
        <f aca="false">SUMPRODUCT($G$8578:$K$8578,$G$8577:$K$8577-$G$8583:$K$8583+$G$8582:$K$8582)</f>
        <v>0</v>
      </c>
    </row>
    <row r="8702" customFormat="false" ht="15" hidden="false" customHeight="false" outlineLevel="0" collapsed="false">
      <c r="A8702" s="3" t="s">
        <v>358</v>
      </c>
      <c r="C8702" s="16" t="n">
        <f aca="false">SUMPRODUCT($G$8578:$K$8578,$G$8585:$K$8585)</f>
        <v>0</v>
      </c>
    </row>
    <row r="8703" customFormat="false" ht="15" hidden="false" customHeight="false" outlineLevel="0" collapsed="false">
      <c r="A8703" s="3" t="s">
        <v>359</v>
      </c>
      <c r="C8703" s="3" t="str">
        <f aca="false">IF(SUM($G$8578:$K$8578)=0,"n/a (beyond horizon)",IF(SUMPRODUCT($G$8578:$K$8578,$G$8562:$K$8562)&gt;0,"REFINANCING PASS","REFINANCING FAILURE"))</f>
        <v>n/a (beyond horizon)</v>
      </c>
    </row>
    <row r="8704" customFormat="false" ht="15" hidden="false" customHeight="false" outlineLevel="0" collapsed="false">
      <c r="A8704" s="3" t="s">
        <v>360</v>
      </c>
      <c r="C8704" s="3" t="str">
        <f aca="false">IF(SUM($G$8578:$K$8578)=0,"n/a",IF(C8702&gt;=C8701-0.001,"Repaid from cash",IF(SUMPRODUCT($G$8578:$K$8578,$G$8562:$K$8562)&gt;0,IF(C8702&gt;0,"Partly repaid; remainder refinanced","Refinanced"),IF(SUM($G$8587:$K$8587)&gt;0.001,IF(C8702&gt;0,"Partial repayment; PAYMENT DEFAULT","PAYMENT DEFAULT"),"Repaid from cash"))))</f>
        <v>n/a</v>
      </c>
    </row>
    <row r="8705" customFormat="false" ht="15" hidden="false" customHeight="false" outlineLevel="0" collapsed="false">
      <c r="A8705" s="3" t="s">
        <v>361</v>
      </c>
      <c r="C8705" s="16" t="n">
        <f aca="false">SUMPRODUCT($G$8591:$K$8591,$G$8590:$K$8590-$G$8596:$K$8596+$G$8595:$K$8595)</f>
        <v>0</v>
      </c>
    </row>
    <row r="8706" customFormat="false" ht="15" hidden="false" customHeight="false" outlineLevel="0" collapsed="false">
      <c r="A8706" s="3" t="s">
        <v>362</v>
      </c>
      <c r="C8706" s="16" t="n">
        <f aca="false">SUMPRODUCT($G$8591:$K$8591,$G$8598:$K$8598)</f>
        <v>0</v>
      </c>
    </row>
    <row r="8707" customFormat="false" ht="15" hidden="false" customHeight="false" outlineLevel="0" collapsed="false">
      <c r="A8707" s="3" t="s">
        <v>363</v>
      </c>
      <c r="C8707" s="3" t="str">
        <f aca="false">IF(SUM($G$8591:$K$8591)=0,"n/a (beyond horizon)",IF(SUMPRODUCT($G$8591:$K$8591,$G$8562:$K$8562)&gt;0,"REFINANCING PASS","REFINANCING FAILURE"))</f>
        <v>n/a (beyond horizon)</v>
      </c>
    </row>
    <row r="8708" customFormat="false" ht="15" hidden="false" customHeight="false" outlineLevel="0" collapsed="false">
      <c r="A8708" s="3" t="s">
        <v>364</v>
      </c>
      <c r="C8708" s="3" t="str">
        <f aca="false">IF(SUM($G$8591:$K$8591)=0,"n/a",IF(C8706&gt;=C8705-0.001,"Repaid from cash",IF(SUMPRODUCT($G$8591:$K$8591,$G$8562:$K$8562)&gt;0,IF(C8706&gt;0,"Partly repaid; remainder refinanced","Refinanced"),IF(SUM($G$8600:$K$8600)&gt;0.001,IF(C8706&gt;0,"Partial repayment; PAYMENT DEFAULT","PAYMENT DEFAULT"),"Repaid from cash"))))</f>
        <v>n/a</v>
      </c>
    </row>
    <row r="8709" customFormat="false" ht="15" hidden="false" customHeight="false" outlineLevel="0" collapsed="false">
      <c r="A8709" s="3" t="s">
        <v>365</v>
      </c>
      <c r="C8709" s="16" t="n">
        <f aca="false">SUMPRODUCT($G$8604:$K$8604,$G$8603:$K$8603-$G$8609:$K$8609+$G$8608:$K$8608)</f>
        <v>0</v>
      </c>
    </row>
    <row r="8710" customFormat="false" ht="15" hidden="false" customHeight="false" outlineLevel="0" collapsed="false">
      <c r="A8710" s="3" t="s">
        <v>366</v>
      </c>
      <c r="C8710" s="16" t="n">
        <f aca="false">SUMPRODUCT($G$8604:$K$8604,$G$8611:$K$8611)</f>
        <v>0</v>
      </c>
    </row>
    <row r="8711" customFormat="false" ht="15" hidden="false" customHeight="false" outlineLevel="0" collapsed="false">
      <c r="A8711" s="3" t="s">
        <v>367</v>
      </c>
      <c r="C8711" s="3" t="str">
        <f aca="false">IF(SUM($G$8604:$K$8604)=0,"n/a (beyond horizon)",IF(SUMPRODUCT($G$8604:$K$8604,$G$8562:$K$8562)&gt;0,"REFINANCING PASS","REFINANCING FAILURE"))</f>
        <v>REFINANCING FAILURE</v>
      </c>
    </row>
    <row r="8712" customFormat="false" ht="15" hidden="false" customHeight="false" outlineLevel="0" collapsed="false">
      <c r="A8712" s="3" t="s">
        <v>368</v>
      </c>
      <c r="C8712" s="3" t="str">
        <f aca="false">IF(SUM($G$8604:$K$8604)=0,"n/a",IF(C8710&gt;=C8709-0.001,"Repaid from cash",IF(SUMPRODUCT($G$8604:$K$8604,$G$8562:$K$8562)&gt;0,IF(C8710&gt;0,"Partly repaid; remainder refinanced","Refinanced"),IF(SUM($G$8613:$K$8613)&gt;0.001,IF(C8710&gt;0,"Partial repayment; PAYMENT DEFAULT","PAYMENT DEFAULT"),"Repaid from cash"))))</f>
        <v>Repaid from cash</v>
      </c>
    </row>
    <row r="8713" customFormat="false" ht="15" hidden="false" customHeight="false" outlineLevel="0" collapsed="false">
      <c r="A8713" s="3" t="s">
        <v>369</v>
      </c>
      <c r="C8713" s="16" t="n">
        <f aca="false">SUMPRODUCT($G$8617:$K$8617,$G$8616:$K$8616-$G$8622:$K$8622+$G$8621:$K$8621)</f>
        <v>450</v>
      </c>
    </row>
    <row r="8714" customFormat="false" ht="15" hidden="false" customHeight="false" outlineLevel="0" collapsed="false">
      <c r="A8714" s="3" t="s">
        <v>370</v>
      </c>
      <c r="C8714" s="16" t="n">
        <f aca="false">SUMPRODUCT($G$8617:$K$8617,$G$8624:$K$8624)</f>
        <v>0</v>
      </c>
    </row>
    <row r="8715" customFormat="false" ht="15" hidden="false" customHeight="false" outlineLevel="0" collapsed="false">
      <c r="A8715" s="3" t="s">
        <v>371</v>
      </c>
      <c r="C8715" s="3" t="str">
        <f aca="false">IF(SUM($G$8617:$K$8617)=0,"n/a (beyond horizon)",IF(SUMPRODUCT($G$8617:$K$8617,$G$8562:$K$8562)&gt;0,"REFINANCING PASS","REFINANCING FAILURE"))</f>
        <v>REFINANCING FAILURE</v>
      </c>
    </row>
    <row r="8716" customFormat="false" ht="15" hidden="false" customHeight="false" outlineLevel="0" collapsed="false">
      <c r="A8716" s="3" t="s">
        <v>372</v>
      </c>
      <c r="C8716" s="3" t="str">
        <f aca="false">IF(SUM($G$8617:$K$8617)=0,"n/a",IF(C8714&gt;=C8713-0.001,"Repaid from cash",IF(SUMPRODUCT($G$8617:$K$8617,$G$8562:$K$8562)&gt;0,IF(C8714&gt;0,"Partly repaid; remainder refinanced","Refinanced"),IF(SUM($G$8626:$K$8626)&gt;0.001,IF(C8714&gt;0,"Partial repayment; PAYMENT DEFAULT","PAYMENT DEFAULT"),"Repaid from cash"))))</f>
        <v>PAYMENT DEFAULT</v>
      </c>
    </row>
    <row r="8717" customFormat="false" ht="15" hidden="false" customHeight="false" outlineLevel="0" collapsed="false">
      <c r="A8717" s="3" t="s">
        <v>373</v>
      </c>
      <c r="C8717" s="16" t="n">
        <f aca="false">SUMPRODUCT($G$8630:$K$8630,$G$8629:$K$8629-$G$8635:$K$8635+$G$8634:$K$8634)</f>
        <v>350</v>
      </c>
    </row>
    <row r="8718" customFormat="false" ht="15" hidden="false" customHeight="false" outlineLevel="0" collapsed="false">
      <c r="A8718" s="3" t="s">
        <v>374</v>
      </c>
      <c r="C8718" s="16" t="n">
        <f aca="false">SUMPRODUCT($G$8630:$K$8630,$G$8637:$K$8637)</f>
        <v>0</v>
      </c>
    </row>
    <row r="8719" customFormat="false" ht="15" hidden="false" customHeight="false" outlineLevel="0" collapsed="false">
      <c r="A8719" s="3" t="s">
        <v>375</v>
      </c>
      <c r="C8719" s="3" t="str">
        <f aca="false">IF(SUM($G$8630:$K$8630)=0,"n/a (beyond horizon)",IF(SUMPRODUCT($G$8630:$K$8630,$G$8562:$K$8562)&gt;0,"REFINANCING PASS","REFINANCING FAILURE"))</f>
        <v>REFINANCING FAILURE</v>
      </c>
    </row>
    <row r="8720" customFormat="false" ht="15" hidden="false" customHeight="false" outlineLevel="0" collapsed="false">
      <c r="A8720" s="3" t="s">
        <v>376</v>
      </c>
      <c r="C8720" s="3" t="str">
        <f aca="false">IF(SUM($G$8630:$K$8630)=0,"n/a",IF(C8718&gt;=C8717-0.001,"Repaid from cash",IF(SUMPRODUCT($G$8630:$K$8630,$G$8562:$K$8562)&gt;0,IF(C8718&gt;0,"Partly repaid; remainder refinanced","Refinanced"),IF(SUM($G$8639:$K$8639)&gt;0.001,IF(C8718&gt;0,"Partial repayment; PAYMENT DEFAULT","PAYMENT DEFAULT"),"Repaid from cash"))))</f>
        <v>PAYMENT DEFAULT</v>
      </c>
    </row>
    <row r="8721" customFormat="false" ht="15" hidden="false" customHeight="false" outlineLevel="0" collapsed="false">
      <c r="A8721" s="3" t="s">
        <v>377</v>
      </c>
      <c r="C8721" s="16" t="n">
        <f aca="false">SUMPRODUCT($G$8643:$K$8643,$G$8642:$K$8642-$G$8648:$K$8648+$G$8647:$K$8647)</f>
        <v>550</v>
      </c>
    </row>
    <row r="8722" customFormat="false" ht="15" hidden="false" customHeight="false" outlineLevel="0" collapsed="false">
      <c r="A8722" s="3" t="s">
        <v>378</v>
      </c>
      <c r="C8722" s="16" t="n">
        <f aca="false">SUMPRODUCT($G$8643:$K$8643,$G$8650:$K$8650)</f>
        <v>0</v>
      </c>
    </row>
    <row r="8723" customFormat="false" ht="15" hidden="false" customHeight="false" outlineLevel="0" collapsed="false">
      <c r="A8723" s="3" t="s">
        <v>379</v>
      </c>
      <c r="C8723" s="3" t="str">
        <f aca="false">IF(SUM($G$8643:$K$8643)=0,"n/a (beyond horizon)",IF(SUMPRODUCT($G$8643:$K$8643,$G$8562:$K$8562)&gt;0,"REFINANCING PASS","REFINANCING FAILURE"))</f>
        <v>REFINANCING FAILURE</v>
      </c>
    </row>
    <row r="8724" customFormat="false" ht="15" hidden="false" customHeight="false" outlineLevel="0" collapsed="false">
      <c r="A8724" s="3" t="s">
        <v>380</v>
      </c>
      <c r="C8724" s="3" t="str">
        <f aca="false">IF(SUM($G$8643:$K$8643)=0,"n/a",IF(C8722&gt;=C8721-0.001,"Repaid from cash",IF(SUMPRODUCT($G$8643:$K$8643,$G$8562:$K$8562)&gt;0,IF(C8722&gt;0,"Partly repaid; remainder refinanced","Refinanced"),IF(SUM($G$8652:$K$8652)&gt;0.001,IF(C8722&gt;0,"Partial repayment; PAYMENT DEFAULT","PAYMENT DEFAULT"),"Repaid from cash"))))</f>
        <v>PAYMENT DEFAULT</v>
      </c>
    </row>
    <row r="8725" customFormat="false" ht="15" hidden="false" customHeight="false" outlineLevel="0" collapsed="false">
      <c r="A8725" s="3" t="s">
        <v>381</v>
      </c>
      <c r="C8725" s="16" t="n">
        <f aca="false">SUMPRODUCT($G$8656:$K$8656,$G$8655:$K$8655-$G$8661:$K$8661+$G$8660:$K$8660)</f>
        <v>350</v>
      </c>
    </row>
    <row r="8726" customFormat="false" ht="15" hidden="false" customHeight="false" outlineLevel="0" collapsed="false">
      <c r="A8726" s="3" t="s">
        <v>382</v>
      </c>
      <c r="C8726" s="16" t="n">
        <f aca="false">SUMPRODUCT($G$8656:$K$8656,$G$8663:$K$8663)</f>
        <v>0</v>
      </c>
    </row>
    <row r="8727" customFormat="false" ht="15" hidden="false" customHeight="false" outlineLevel="0" collapsed="false">
      <c r="A8727" s="3" t="s">
        <v>383</v>
      </c>
      <c r="C8727" s="3" t="str">
        <f aca="false">IF(SUM($G$8656:$K$8656)=0,"n/a (beyond horizon)",IF(SUMPRODUCT($G$8656:$K$8656,$G$8562:$K$8562)&gt;0,"REFINANCING PASS","REFINANCING FAILURE"))</f>
        <v>REFINANCING FAILURE</v>
      </c>
    </row>
    <row r="8728" customFormat="false" ht="15" hidden="false" customHeight="false" outlineLevel="0" collapsed="false">
      <c r="A8728" s="3" t="s">
        <v>384</v>
      </c>
      <c r="C8728" s="3" t="str">
        <f aca="false">IF(SUM($G$8656:$K$8656)=0,"n/a",IF(C8726&gt;=C8725-0.001,"Repaid from cash",IF(SUMPRODUCT($G$8656:$K$8656,$G$8562:$K$8562)&gt;0,IF(C8726&gt;0,"Partly repaid; remainder refinanced","Refinanced"),IF(SUM($G$8665:$K$8665)&gt;0.001,IF(C8726&gt;0,"Partial repayment; PAYMENT DEFAULT","PAYMENT DEFAULT"),"Repaid from cash"))))</f>
        <v>PAYMENT DEFAULT</v>
      </c>
    </row>
    <row r="8729" customFormat="false" ht="15" hidden="false" customHeight="false" outlineLevel="0" collapsed="false">
      <c r="A8729" s="3" t="s">
        <v>385</v>
      </c>
      <c r="C8729" s="16" t="n">
        <f aca="false">SUMPRODUCT($G$8669:$K$8669,$G$8668:$K$8668-$G$8674:$K$8674+$G$8673:$K$8673)</f>
        <v>300</v>
      </c>
    </row>
    <row r="8730" customFormat="false" ht="15" hidden="false" customHeight="false" outlineLevel="0" collapsed="false">
      <c r="A8730" s="3" t="s">
        <v>386</v>
      </c>
      <c r="C8730" s="16" t="n">
        <f aca="false">SUMPRODUCT($G$8669:$K$8669,$G$8676:$K$8676)</f>
        <v>0</v>
      </c>
    </row>
    <row r="8731" customFormat="false" ht="15" hidden="false" customHeight="false" outlineLevel="0" collapsed="false">
      <c r="A8731" s="3" t="s">
        <v>387</v>
      </c>
      <c r="C8731" s="3" t="str">
        <f aca="false">IF(SUM($G$8669:$K$8669)=0,"n/a (beyond horizon)",IF(SUMPRODUCT($G$8669:$K$8669,$G$8562:$K$8562)&gt;0,"REFINANCING PASS","REFINANCING FAILURE"))</f>
        <v>REFINANCING FAILURE</v>
      </c>
    </row>
    <row r="8732" customFormat="false" ht="15" hidden="false" customHeight="false" outlineLevel="0" collapsed="false">
      <c r="A8732" s="3" t="s">
        <v>388</v>
      </c>
      <c r="C8732" s="3" t="str">
        <f aca="false">IF(SUM($G$8669:$K$8669)=0,"n/a",IF(C8730&gt;=C8729-0.001,"Repaid from cash",IF(SUMPRODUCT($G$8669:$K$8669,$G$8562:$K$8562)&gt;0,IF(C8730&gt;0,"Partly repaid; remainder refinanced","Refinanced"),IF(SUM($G$8678:$K$8678)&gt;0.001,IF(C8730&gt;0,"Partial repayment; PAYMENT DEFAULT","PAYMENT DEFAULT"),"Repaid from cash"))))</f>
        <v>PAYMENT DEFAULT</v>
      </c>
    </row>
    <row r="8733" customFormat="false" ht="15" hidden="false" customHeight="false" outlineLevel="0" collapsed="false">
      <c r="A8733" s="3" t="s">
        <v>389</v>
      </c>
      <c r="C8733" s="16" t="n">
        <f aca="false">SUMPRODUCT($G$8682:$K$8682,$G$8681:$K$8681-$G$8687:$K$8687+$G$8686:$K$8686)</f>
        <v>0</v>
      </c>
    </row>
    <row r="8734" customFormat="false" ht="15" hidden="false" customHeight="false" outlineLevel="0" collapsed="false">
      <c r="A8734" s="3" t="s">
        <v>390</v>
      </c>
      <c r="C8734" s="16" t="n">
        <f aca="false">SUMPRODUCT($G$8682:$K$8682,$G$8689:$K$8689)</f>
        <v>0</v>
      </c>
    </row>
    <row r="8735" customFormat="false" ht="15" hidden="false" customHeight="false" outlineLevel="0" collapsed="false">
      <c r="A8735" s="3" t="s">
        <v>391</v>
      </c>
      <c r="C8735" s="3" t="str">
        <f aca="false">IF(SUM($G$8682:$K$8682)=0,"n/a (beyond horizon)",IF(SUMPRODUCT($G$8682:$K$8682,$G$8562:$K$8562)&gt;0,"REFINANCING PASS","REFINANCING FAILURE"))</f>
        <v>n/a (beyond horizon)</v>
      </c>
    </row>
    <row r="8736" customFormat="false" ht="15" hidden="false" customHeight="false" outlineLevel="0" collapsed="false">
      <c r="A8736" s="3" t="s">
        <v>392</v>
      </c>
      <c r="C8736" s="3" t="str">
        <f aca="false">IF(SUM($G$8682:$K$8682)=0,"n/a",IF(C8734&gt;=C8733-0.001,"Repaid from cash",IF(SUMPRODUCT($G$8682:$K$8682,$G$8562:$K$8562)&gt;0,IF(C8734&gt;0,"Partly repaid; remainder refinanced","Refinanced"),IF(SUM($G$8691:$K$8691)&gt;0.001,IF(C8734&gt;0,"Partial repayment; PAYMENT DEFAULT","PAYMENT DEFAULT"),"Repaid from cash"))))</f>
        <v>n/a</v>
      </c>
    </row>
    <row r="8737" customFormat="false" ht="15" hidden="false" customHeight="false" outlineLevel="0" collapsed="false">
      <c r="A8737" s="3" t="s">
        <v>393</v>
      </c>
      <c r="C8737" s="21" t="n">
        <f aca="false">IF(C8699="REFINANCING FAILURE",1,0)+IF(C8703="REFINANCING FAILURE",1,0)+IF(C8707="REFINANCING FAILURE",1,0)+IF(C8711="REFINANCING FAILURE",1,0)+IF(C8715="REFINANCING FAILURE",1,0)+IF(C8719="REFINANCING FAILURE",1,0)+IF(C8723="REFINANCING FAILURE",1,0)+IF(C8727="REFINANCING FAILURE",1,0)+IF(C8731="REFINANCING FAILURE",1,0)+IF(C8735="REFINANCING FAILURE",1,0)</f>
        <v>7</v>
      </c>
    </row>
    <row r="8739" customFormat="false" ht="15" hidden="false" customHeight="false" outlineLevel="0" collapsed="false">
      <c r="A8739" s="24" t="s">
        <v>395</v>
      </c>
      <c r="B8739" s="25"/>
      <c r="C8739" s="25"/>
      <c r="D8739" s="25"/>
      <c r="E8739" s="25"/>
      <c r="F8739" s="25"/>
      <c r="G8739" s="25"/>
      <c r="H8739" s="25"/>
      <c r="I8739" s="25"/>
      <c r="J8739" s="25"/>
      <c r="K8739" s="25"/>
    </row>
    <row r="8740" customFormat="false" ht="15" hidden="false" customHeight="false" outlineLevel="0" collapsed="false">
      <c r="A8740" s="3" t="s">
        <v>325</v>
      </c>
      <c r="G8740" s="16" t="n">
        <f aca="false">F8752</f>
        <v>37.87</v>
      </c>
      <c r="H8740" s="16" t="n">
        <f aca="false">G8752</f>
        <v>69.3559656000001</v>
      </c>
      <c r="I8740" s="16" t="n">
        <f aca="false">H8752</f>
        <v>-19.5760173799999</v>
      </c>
      <c r="J8740" s="16" t="n">
        <f aca="false">I8752</f>
        <v>-112.12740538255</v>
      </c>
      <c r="K8740" s="16" t="n">
        <f aca="false">J8752</f>
        <v>-202.18600598515</v>
      </c>
    </row>
    <row r="8741" customFormat="false" ht="15" hidden="false" customHeight="false" outlineLevel="0" collapsed="false">
      <c r="A8741" s="3" t="s">
        <v>396</v>
      </c>
      <c r="G8741" s="16" t="n">
        <f aca="false">G8551</f>
        <v>-64.5140344</v>
      </c>
      <c r="H8741" s="16" t="n">
        <f aca="false">H8551</f>
        <v>-84.93198298</v>
      </c>
      <c r="I8741" s="16" t="n">
        <f aca="false">I8551</f>
        <v>-88.55138800255</v>
      </c>
      <c r="J8741" s="16" t="n">
        <f aca="false">J8551</f>
        <v>-86.0586006026</v>
      </c>
      <c r="K8741" s="16" t="n">
        <f aca="false">K8551</f>
        <v>-80.450720606727</v>
      </c>
    </row>
    <row r="8742" customFormat="false" ht="15" hidden="false" customHeight="false" outlineLevel="0" collapsed="false">
      <c r="A8742" s="3" t="s">
        <v>397</v>
      </c>
      <c r="G8742" s="16" t="n">
        <f aca="false">CHOOSE($C$8521,Assumptions!$G$82,Assumptions!$G$101,Assumptions!$G$120)</f>
        <v>100</v>
      </c>
      <c r="H8742" s="16" t="n">
        <f aca="false">CHOOSE($C$8521,Assumptions!$H$82,Assumptions!$H$101,Assumptions!$H$120)</f>
        <v>0</v>
      </c>
      <c r="I8742" s="16" t="n">
        <f aca="false">CHOOSE($C$8521,Assumptions!$I$82,Assumptions!$I$101,Assumptions!$I$120)</f>
        <v>0</v>
      </c>
      <c r="J8742" s="16" t="n">
        <f aca="false">CHOOSE($C$8521,Assumptions!$J$82,Assumptions!$J$101,Assumptions!$J$120)</f>
        <v>0</v>
      </c>
      <c r="K8742" s="16" t="n">
        <f aca="false">CHOOSE($C$8521,Assumptions!$K$82,Assumptions!$K$101,Assumptions!$K$120)</f>
        <v>0</v>
      </c>
    </row>
    <row r="8743" customFormat="false" ht="15" hidden="false" customHeight="false" outlineLevel="0" collapsed="false">
      <c r="A8743" s="3" t="s">
        <v>398</v>
      </c>
      <c r="G8743" s="16" t="n">
        <f aca="false">G8570+G8583+G8596+G8609+G8622+G8635+G8648+G8661+G8674+G8687</f>
        <v>4</v>
      </c>
      <c r="H8743" s="16" t="n">
        <f aca="false">H8570+H8583+H8596+H8609+H8622+H8635+H8648+H8661+H8674+H8687</f>
        <v>4</v>
      </c>
      <c r="I8743" s="16" t="n">
        <f aca="false">I8570+I8583+I8596+I8609+I8622+I8635+I8648+I8661+I8674+I8687</f>
        <v>4</v>
      </c>
      <c r="J8743" s="16" t="n">
        <f aca="false">J8570+J8583+J8596+J8609+J8622+J8635+J8648+J8661+J8674+J8687</f>
        <v>4</v>
      </c>
      <c r="K8743" s="16" t="n">
        <f aca="false">K8570+K8583+K8596+K8609+K8622+K8635+K8648+K8661+K8674+K8687</f>
        <v>4</v>
      </c>
    </row>
    <row r="8744" customFormat="false" ht="15" hidden="false" customHeight="false" outlineLevel="0" collapsed="false">
      <c r="A8744" s="2" t="s">
        <v>399</v>
      </c>
      <c r="G8744" s="17" t="n">
        <f aca="false">G8740+G8741+G8742-G8743</f>
        <v>69.3559656000001</v>
      </c>
      <c r="H8744" s="17" t="n">
        <f aca="false">H8740+H8741+H8742-H8743</f>
        <v>-19.5760173799999</v>
      </c>
      <c r="I8744" s="17" t="n">
        <f aca="false">I8740+I8741+I8742-I8743</f>
        <v>-112.12740538255</v>
      </c>
      <c r="J8744" s="17" t="n">
        <f aca="false">J8740+J8741+J8742-J8743</f>
        <v>-202.18600598515</v>
      </c>
      <c r="K8744" s="17" t="n">
        <f aca="false">K8740+K8741+K8742-K8743</f>
        <v>-286.636726591877</v>
      </c>
    </row>
    <row r="8745" customFormat="false" ht="15" hidden="false" customHeight="false" outlineLevel="0" collapsed="false">
      <c r="A8745" s="3" t="s">
        <v>400</v>
      </c>
      <c r="G8745" s="16" t="n">
        <f aca="false">G8571+G8584+G8597+G8610+G8623+G8636+G8649+G8662+G8675+G8688</f>
        <v>0</v>
      </c>
      <c r="H8745" s="16" t="n">
        <f aca="false">H8571+H8584+H8597+H8610+H8623+H8636+H8649+H8662+H8675+H8688</f>
        <v>0</v>
      </c>
      <c r="I8745" s="16" t="n">
        <f aca="false">I8571+I8584+I8597+I8610+I8623+I8636+I8649+I8662+I8675+I8688</f>
        <v>0</v>
      </c>
      <c r="J8745" s="16" t="n">
        <f aca="false">J8571+J8584+J8597+J8610+J8623+J8636+J8649+J8662+J8675+J8688</f>
        <v>0</v>
      </c>
      <c r="K8745" s="16" t="n">
        <f aca="false">K8571+K8584+K8597+K8610+K8623+K8636+K8649+K8662+K8675+K8688</f>
        <v>0</v>
      </c>
    </row>
    <row r="8746" customFormat="false" ht="15" hidden="false" customHeight="false" outlineLevel="0" collapsed="false">
      <c r="A8746" s="2" t="s">
        <v>401</v>
      </c>
      <c r="G8746" s="17" t="n">
        <f aca="false">G8744+G8745</f>
        <v>69.3559656000001</v>
      </c>
      <c r="H8746" s="17" t="n">
        <f aca="false">H8744+H8745</f>
        <v>-19.5760173799999</v>
      </c>
      <c r="I8746" s="17" t="n">
        <f aca="false">I8744+I8745</f>
        <v>-112.12740538255</v>
      </c>
      <c r="J8746" s="17" t="n">
        <f aca="false">J8744+J8745</f>
        <v>-202.18600598515</v>
      </c>
      <c r="K8746" s="17" t="n">
        <f aca="false">K8744+K8745</f>
        <v>-286.636726591877</v>
      </c>
    </row>
    <row r="8747" customFormat="false" ht="15" hidden="false" customHeight="false" outlineLevel="0" collapsed="false">
      <c r="A8747" s="3" t="s">
        <v>402</v>
      </c>
      <c r="G8747" s="16" t="n">
        <f aca="false">G8572+G8585+G8598+G8611+G8624+G8637+G8650+G8663+G8676+G8689</f>
        <v>0</v>
      </c>
      <c r="H8747" s="16" t="n">
        <f aca="false">H8572+H8585+H8598+H8611+H8624+H8637+H8650+H8663+H8676+H8689</f>
        <v>0</v>
      </c>
      <c r="I8747" s="16" t="n">
        <f aca="false">I8572+I8585+I8598+I8611+I8624+I8637+I8650+I8663+I8676+I8689</f>
        <v>0</v>
      </c>
      <c r="J8747" s="16" t="n">
        <f aca="false">J8572+J8585+J8598+J8611+J8624+J8637+J8650+J8663+J8676+J8689</f>
        <v>0</v>
      </c>
      <c r="K8747" s="16" t="n">
        <f aca="false">K8572+K8585+K8598+K8611+K8624+K8637+K8650+K8663+K8676+K8689</f>
        <v>0</v>
      </c>
    </row>
    <row r="8748" customFormat="false" ht="15" hidden="false" customHeight="false" outlineLevel="0" collapsed="false">
      <c r="A8748" s="2" t="s">
        <v>403</v>
      </c>
      <c r="G8748" s="17" t="n">
        <f aca="false">G8746-G8747</f>
        <v>69.3559656000001</v>
      </c>
      <c r="H8748" s="17" t="n">
        <f aca="false">H8746-H8747</f>
        <v>-19.5760173799999</v>
      </c>
      <c r="I8748" s="17" t="n">
        <f aca="false">I8746-I8747</f>
        <v>-112.12740538255</v>
      </c>
      <c r="J8748" s="17" t="n">
        <f aca="false">J8746-J8747</f>
        <v>-202.18600598515</v>
      </c>
      <c r="K8748" s="17" t="n">
        <f aca="false">K8746-K8747</f>
        <v>-286.636726591877</v>
      </c>
    </row>
    <row r="8749" customFormat="false" ht="15" hidden="false" customHeight="false" outlineLevel="0" collapsed="false">
      <c r="A8749" s="3" t="s">
        <v>404</v>
      </c>
      <c r="G8749" s="16" t="n">
        <f aca="false">MAX(0,-G8748)</f>
        <v>0</v>
      </c>
      <c r="H8749" s="16" t="n">
        <f aca="false">MAX(0,-H8748)</f>
        <v>19.5760173799999</v>
      </c>
      <c r="I8749" s="16" t="n">
        <f aca="false">MAX(0,-I8748)</f>
        <v>112.12740538255</v>
      </c>
      <c r="J8749" s="16" t="n">
        <f aca="false">MAX(0,-J8748)</f>
        <v>202.18600598515</v>
      </c>
      <c r="K8749" s="16" t="n">
        <f aca="false">MAX(0,-K8748)</f>
        <v>286.636726591877</v>
      </c>
    </row>
    <row r="8750" customFormat="false" ht="15" hidden="false" customHeight="false" outlineLevel="0" collapsed="false">
      <c r="A8750" s="3" t="s">
        <v>405</v>
      </c>
      <c r="G8750" s="16" t="n">
        <f aca="false">MAX(0,G8748-Assumptions!$C$12)*Assumptions!$C$13</f>
        <v>0</v>
      </c>
      <c r="H8750" s="16" t="n">
        <f aca="false">MAX(0,H8748-Assumptions!$C$12)*Assumptions!$C$13</f>
        <v>0</v>
      </c>
      <c r="I8750" s="16" t="n">
        <f aca="false">MAX(0,I8748-Assumptions!$C$12)*Assumptions!$C$13</f>
        <v>0</v>
      </c>
      <c r="J8750" s="16" t="n">
        <f aca="false">MAX(0,J8748-Assumptions!$C$12)*Assumptions!$C$13</f>
        <v>0</v>
      </c>
      <c r="K8750" s="16" t="n">
        <f aca="false">MAX(0,K8748-Assumptions!$C$12)*Assumptions!$C$13</f>
        <v>0</v>
      </c>
    </row>
    <row r="8751" customFormat="false" ht="15" hidden="false" customHeight="false" outlineLevel="0" collapsed="false">
      <c r="A8751" s="3" t="s">
        <v>406</v>
      </c>
      <c r="G8751" s="16" t="n">
        <f aca="false">G8573+G8586+G8599+G8612+G8625+G8638+G8651+G8664+G8677+G8690</f>
        <v>0</v>
      </c>
      <c r="H8751" s="16" t="n">
        <f aca="false">H8573+H8586+H8599+H8612+H8625+H8638+H8651+H8664+H8677+H8690</f>
        <v>0</v>
      </c>
      <c r="I8751" s="16" t="n">
        <f aca="false">I8573+I8586+I8599+I8612+I8625+I8638+I8651+I8664+I8677+I8690</f>
        <v>0</v>
      </c>
      <c r="J8751" s="16" t="n">
        <f aca="false">J8573+J8586+J8599+J8612+J8625+J8638+J8651+J8664+J8677+J8690</f>
        <v>0</v>
      </c>
      <c r="K8751" s="16" t="n">
        <f aca="false">K8573+K8586+K8599+K8612+K8625+K8638+K8651+K8664+K8677+K8690</f>
        <v>0</v>
      </c>
    </row>
    <row r="8752" customFormat="false" ht="15" hidden="false" customHeight="false" outlineLevel="0" collapsed="false">
      <c r="A8752" s="2" t="s">
        <v>407</v>
      </c>
      <c r="F8752" s="28" t="n">
        <f aca="false">Assumptions!$C$11</f>
        <v>37.87</v>
      </c>
      <c r="G8752" s="17" t="n">
        <f aca="false">G8748-G8751</f>
        <v>69.3559656000001</v>
      </c>
      <c r="H8752" s="17" t="n">
        <f aca="false">H8748-H8751</f>
        <v>-19.5760173799999</v>
      </c>
      <c r="I8752" s="17" t="n">
        <f aca="false">I8748-I8751</f>
        <v>-112.12740538255</v>
      </c>
      <c r="J8752" s="17" t="n">
        <f aca="false">J8748-J8751</f>
        <v>-202.18600598515</v>
      </c>
      <c r="K8752" s="17" t="n">
        <f aca="false">K8748-K8751</f>
        <v>-286.636726591877</v>
      </c>
    </row>
    <row r="8753" customFormat="false" ht="15" hidden="false" customHeight="false" outlineLevel="0" collapsed="false">
      <c r="A8753" s="3" t="s">
        <v>408</v>
      </c>
      <c r="G8753" s="16" t="n">
        <f aca="false">G8574+G8587+G8600+G8613+G8626+G8639+G8652+G8665+G8678+G8691</f>
        <v>0</v>
      </c>
      <c r="H8753" s="16" t="n">
        <f aca="false">H8574+H8587+H8600+H8613+H8626+H8639+H8652+H8665+H8678+H8691</f>
        <v>800</v>
      </c>
      <c r="I8753" s="16" t="n">
        <f aca="false">I8574+I8587+I8600+I8613+I8626+I8639+I8652+I8665+I8678+I8691</f>
        <v>550</v>
      </c>
      <c r="J8753" s="16" t="n">
        <f aca="false">J8574+J8587+J8600+J8613+J8626+J8639+J8652+J8665+J8678+J8691</f>
        <v>350</v>
      </c>
      <c r="K8753" s="16" t="n">
        <f aca="false">K8574+K8587+K8600+K8613+K8626+K8639+K8652+K8665+K8678+K8691</f>
        <v>680</v>
      </c>
    </row>
    <row r="8754" customFormat="false" ht="15" hidden="false" customHeight="false" outlineLevel="0" collapsed="false">
      <c r="A8754" s="3" t="s">
        <v>409</v>
      </c>
      <c r="G8754" s="21" t="n">
        <f aca="false">IF(OR(G8749&gt;0.001,G8753&gt;0.001),1,0)</f>
        <v>0</v>
      </c>
      <c r="H8754" s="21" t="n">
        <f aca="false">IF(OR(H8749&gt;0.001,H8753&gt;0.001),1,0)</f>
        <v>1</v>
      </c>
      <c r="I8754" s="21" t="n">
        <f aca="false">IF(OR(I8749&gt;0.001,I8753&gt;0.001),1,0)</f>
        <v>1</v>
      </c>
      <c r="J8754" s="21" t="n">
        <f aca="false">IF(OR(J8749&gt;0.001,J8753&gt;0.001),1,0)</f>
        <v>1</v>
      </c>
      <c r="K8754" s="21" t="n">
        <f aca="false">IF(OR(K8749&gt;0.001,K8753&gt;0.001),1,0)</f>
        <v>1</v>
      </c>
    </row>
    <row r="8755" customFormat="false" ht="15" hidden="false" customHeight="false" outlineLevel="0" collapsed="false">
      <c r="A8755" s="3" t="s">
        <v>410</v>
      </c>
      <c r="G8755" s="21" t="n">
        <f aca="false">IF(G8754=1,1,0)</f>
        <v>0</v>
      </c>
      <c r="H8755" s="21" t="n">
        <f aca="false">IF(AND(H8754=1,SUM($G$8754:G8754)=0),1,0)</f>
        <v>1</v>
      </c>
      <c r="I8755" s="21" t="n">
        <f aca="false">IF(AND(I8754=1,SUM($G$8754:H8754)=0),1,0)</f>
        <v>0</v>
      </c>
      <c r="J8755" s="21" t="n">
        <f aca="false">IF(AND(J8754=1,SUM($G$8754:I8754)=0),1,0)</f>
        <v>0</v>
      </c>
      <c r="K8755" s="21" t="n">
        <f aca="false">IF(AND(K8754=1,SUM($G$8754:J8754)=0),1,0)</f>
        <v>0</v>
      </c>
    </row>
    <row r="8756" customFormat="false" ht="15" hidden="false" customHeight="false" outlineLevel="0" collapsed="false">
      <c r="A8756" s="3" t="s">
        <v>411</v>
      </c>
      <c r="G8756" s="16" t="n">
        <f aca="false">(G8694-F8694)-(G8745+G8543-G8743-G8747-G8751)</f>
        <v>0</v>
      </c>
      <c r="H8756" s="16" t="n">
        <f aca="false">(H8694-G8694)-(H8745+H8543-H8743-H8747-H8751)</f>
        <v>0</v>
      </c>
      <c r="I8756" s="16" t="n">
        <f aca="false">(I8694-H8694)-(I8745+I8543-I8743-I8747-I8751)</f>
        <v>0</v>
      </c>
      <c r="J8756" s="16" t="n">
        <f aca="false">(J8694-I8694)-(J8745+J8543-J8743-J8747-J8751)</f>
        <v>0</v>
      </c>
      <c r="K8756" s="16" t="n">
        <f aca="false">(K8694-J8694)-(K8745+K8543-K8743-K8747-K8751)</f>
        <v>0</v>
      </c>
    </row>
    <row r="8758" customFormat="false" ht="15" hidden="false" customHeight="false" outlineLevel="0" collapsed="false">
      <c r="A8758" s="24" t="s">
        <v>413</v>
      </c>
      <c r="B8758" s="25"/>
      <c r="C8758" s="25"/>
      <c r="D8758" s="25"/>
      <c r="E8758" s="25"/>
      <c r="F8758" s="25"/>
      <c r="G8758" s="25"/>
      <c r="H8758" s="25"/>
      <c r="I8758" s="25"/>
      <c r="J8758" s="25"/>
      <c r="K8758" s="25"/>
    </row>
    <row r="8759" customFormat="false" ht="15" hidden="false" customHeight="false" outlineLevel="0" collapsed="false">
      <c r="A8759" s="3" t="s">
        <v>414</v>
      </c>
      <c r="G8759" s="16" t="n">
        <f aca="false">G8694</f>
        <v>2621.934</v>
      </c>
      <c r="H8759" s="16" t="n">
        <f aca="false">H8694</f>
        <v>2617.934</v>
      </c>
      <c r="I8759" s="16" t="n">
        <f aca="false">I8694</f>
        <v>2613.934</v>
      </c>
      <c r="J8759" s="16" t="n">
        <f aca="false">J8694</f>
        <v>2609.934</v>
      </c>
      <c r="K8759" s="16" t="n">
        <f aca="false">K8694</f>
        <v>2605.934</v>
      </c>
    </row>
    <row r="8760" customFormat="false" ht="15" hidden="false" customHeight="false" outlineLevel="0" collapsed="false">
      <c r="A8760" s="3" t="s">
        <v>415</v>
      </c>
      <c r="G8760" s="16" t="n">
        <f aca="false">Assumptions!$O$57*G8575+Assumptions!$O$58*G8588+Assumptions!$O$59*G8601+Assumptions!$O$60*G8614+Assumptions!$O$61*G8627+Assumptions!$O$62*G8640+Assumptions!$O$63*G8653+Assumptions!$O$64*G8666+Assumptions!$O$65*G8679+Assumptions!$O$66*G8692</f>
        <v>543.324</v>
      </c>
      <c r="H8760" s="16" t="n">
        <f aca="false">Assumptions!$O$57*H8575+Assumptions!$O$58*H8588+Assumptions!$O$59*H8601+Assumptions!$O$60*H8614+Assumptions!$O$61*H8627+Assumptions!$O$62*H8640+Assumptions!$O$63*H8653+Assumptions!$O$64*H8666+Assumptions!$O$65*H8679+Assumptions!$O$66*H8692</f>
        <v>539.324</v>
      </c>
      <c r="I8760" s="16" t="n">
        <f aca="false">Assumptions!$O$57*I8575+Assumptions!$O$58*I8588+Assumptions!$O$59*I8601+Assumptions!$O$60*I8614+Assumptions!$O$61*I8627+Assumptions!$O$62*I8640+Assumptions!$O$63*I8653+Assumptions!$O$64*I8666+Assumptions!$O$65*I8679+Assumptions!$O$66*I8692</f>
        <v>535.324</v>
      </c>
      <c r="J8760" s="16" t="n">
        <f aca="false">Assumptions!$O$57*J8575+Assumptions!$O$58*J8588+Assumptions!$O$59*J8601+Assumptions!$O$60*J8614+Assumptions!$O$61*J8627+Assumptions!$O$62*J8640+Assumptions!$O$63*J8653+Assumptions!$O$64*J8666+Assumptions!$O$65*J8679+Assumptions!$O$66*J8692</f>
        <v>531.324</v>
      </c>
      <c r="K8760" s="16" t="n">
        <f aca="false">Assumptions!$O$57*K8575+Assumptions!$O$58*K8588+Assumptions!$O$59*K8601+Assumptions!$O$60*K8614+Assumptions!$O$61*K8627+Assumptions!$O$62*K8640+Assumptions!$O$63*K8653+Assumptions!$O$64*K8666+Assumptions!$O$65*K8679+Assumptions!$O$66*K8692</f>
        <v>527.324</v>
      </c>
    </row>
    <row r="8761" customFormat="false" ht="15" hidden="false" customHeight="false" outlineLevel="0" collapsed="false">
      <c r="A8761" s="3" t="s">
        <v>416</v>
      </c>
      <c r="G8761" s="16" t="n">
        <f aca="false">G8759-G8752</f>
        <v>2552.5780344</v>
      </c>
      <c r="H8761" s="16" t="n">
        <f aca="false">H8759-H8752</f>
        <v>2637.51001738</v>
      </c>
      <c r="I8761" s="16" t="n">
        <f aca="false">I8759-I8752</f>
        <v>2726.06140538255</v>
      </c>
      <c r="J8761" s="16" t="n">
        <f aca="false">J8759-J8752</f>
        <v>2812.12000598515</v>
      </c>
      <c r="K8761" s="16" t="n">
        <f aca="false">K8759-K8752</f>
        <v>2892.57072659188</v>
      </c>
    </row>
    <row r="8762" customFormat="false" ht="15" hidden="false" customHeight="false" outlineLevel="0" collapsed="false">
      <c r="A8762" s="3" t="s">
        <v>417</v>
      </c>
      <c r="G8762" s="32" t="n">
        <f aca="false">IF(G8538&gt;0,G8759/G8538,0)</f>
        <v>13.9202460677262</v>
      </c>
      <c r="H8762" s="32" t="n">
        <f aca="false">IF(H8538&gt;0,H8759/H8538,0)</f>
        <v>16.0948000362042</v>
      </c>
      <c r="I8762" s="32" t="n">
        <f aca="false">IF(I8538&gt;0,I8759/I8538,0)</f>
        <v>16.7823839549495</v>
      </c>
      <c r="J8762" s="32" t="n">
        <f aca="false">IF(J8538&gt;0,J8759/J8538,0)</f>
        <v>16.5418730156809</v>
      </c>
      <c r="K8762" s="32" t="n">
        <f aca="false">IF(K8538&gt;0,K8759/K8538,0)</f>
        <v>15.9441661623158</v>
      </c>
    </row>
    <row r="8763" customFormat="false" ht="15" hidden="false" customHeight="false" outlineLevel="0" collapsed="false">
      <c r="A8763" s="3" t="s">
        <v>418</v>
      </c>
      <c r="G8763" s="32" t="n">
        <f aca="false">IF(G8538&gt;0,G8761/G8538,0)</f>
        <v>13.5520247061599</v>
      </c>
      <c r="H8763" s="32" t="n">
        <f aca="false">IF(H8538&gt;0,H8761/H8538,0)</f>
        <v>16.2151514603564</v>
      </c>
      <c r="I8763" s="32" t="n">
        <f aca="false">IF(I8538&gt;0,I8761/I8538,0)</f>
        <v>17.5022816910829</v>
      </c>
      <c r="J8763" s="32" t="n">
        <f aca="false">IF(J8538&gt;0,J8761/J8538,0)</f>
        <v>17.8233365456223</v>
      </c>
      <c r="K8763" s="32" t="n">
        <f aca="false">IF(K8538&gt;0,K8761/K8538,0)</f>
        <v>17.697926463614</v>
      </c>
    </row>
    <row r="8764" customFormat="false" ht="15" hidden="false" customHeight="false" outlineLevel="0" collapsed="false">
      <c r="A8764" s="3" t="s">
        <v>419</v>
      </c>
      <c r="G8764" s="32" t="n">
        <f aca="false">IF(G8542&gt;0,G8538/G8542,0)</f>
        <v>0.968062642025999</v>
      </c>
      <c r="H8764" s="32" t="n">
        <f aca="false">IF(H8542&gt;0,H8538/H8542,0)</f>
        <v>0.841170150031657</v>
      </c>
      <c r="I8764" s="32" t="n">
        <f aca="false">IF(I8542&gt;0,I8538/I8542,0)</f>
        <v>0.812434142152952</v>
      </c>
      <c r="J8764" s="32" t="n">
        <f aca="false">IF(J8542&gt;0,J8538/J8542,0)</f>
        <v>0.825007802831185</v>
      </c>
      <c r="K8764" s="32" t="n">
        <f aca="false">IF(K8542&gt;0,K8538/K8542,0)</f>
        <v>0.856728964035702</v>
      </c>
    </row>
    <row r="8765" customFormat="false" ht="15" hidden="false" customHeight="false" outlineLevel="0" collapsed="false">
      <c r="A8765" s="3" t="s">
        <v>420</v>
      </c>
      <c r="G8765" s="32" t="n">
        <f aca="false">IF(G8542&gt;0,G8541/G8542,0)</f>
        <v>0.110965316085346</v>
      </c>
      <c r="H8765" s="32" t="n">
        <f aca="false">IF(H8542&gt;0,H8541/H8542,0)</f>
        <v>0.0391316511099539</v>
      </c>
      <c r="I8765" s="32" t="n">
        <f aca="false">IF(I8542&gt;0,I8541/I8542,0)</f>
        <v>0.0277345871156689</v>
      </c>
      <c r="J8765" s="32" t="n">
        <f aca="false">IF(J8542&gt;0,J8541/J8542,0)</f>
        <v>0.0383797707302912</v>
      </c>
      <c r="K8765" s="32" t="n">
        <f aca="false">IF(K8542&gt;0,K8541/K8542,0)</f>
        <v>0.0602772925572521</v>
      </c>
    </row>
    <row r="8766" customFormat="false" ht="15" hidden="false" customHeight="false" outlineLevel="0" collapsed="false">
      <c r="A8766" s="3" t="s">
        <v>213</v>
      </c>
      <c r="G8766" s="22" t="n">
        <f aca="false">IF(G8759&gt;0,G8551/G8759,0)</f>
        <v>-0.024605514250168</v>
      </c>
      <c r="H8766" s="22" t="n">
        <f aca="false">IF(H8759&gt;0,H8551/H8759,0)</f>
        <v>-0.0324423698152818</v>
      </c>
      <c r="I8766" s="22" t="n">
        <f aca="false">IF(I8759&gt;0,I8551/I8759,0)</f>
        <v>-0.033876673245212</v>
      </c>
      <c r="J8766" s="22" t="n">
        <f aca="false">IF(J8759&gt;0,J8551/J8759,0)</f>
        <v>-0.0329734777211224</v>
      </c>
      <c r="K8766" s="22" t="n">
        <f aca="false">IF(K8759&gt;0,K8551/K8759,0)</f>
        <v>-0.0308721251600106</v>
      </c>
    </row>
    <row r="8767" customFormat="false" ht="15" hidden="false" customHeight="false" outlineLevel="0" collapsed="false">
      <c r="A8767" s="3" t="s">
        <v>421</v>
      </c>
      <c r="G8767" s="32" t="n">
        <f aca="false">IF(G8542+G8743&gt;0,(G8538-G8549-G8546)/(G8542+G8743),0)</f>
        <v>0.654959311482243</v>
      </c>
      <c r="H8767" s="32" t="n">
        <f aca="false">IF(H8542+H8743&gt;0,(H8538-H8549-H8546)/(H8542+H8743),0)</f>
        <v>0.549415051634901</v>
      </c>
      <c r="I8767" s="32" t="n">
        <f aca="false">IF(I8542+I8743&gt;0,(I8538-I8549-I8546)/(I8542+I8743),0)</f>
        <v>0.52710790756259</v>
      </c>
      <c r="J8767" s="32" t="n">
        <f aca="false">IF(J8542+J8743&gt;0,(J8538-J8549-J8546)/(J8542+J8743),0)</f>
        <v>0.538737117183081</v>
      </c>
      <c r="K8767" s="32" t="n">
        <f aca="false">IF(K8542+K8743&gt;0,(K8538-K8549-K8546)/(K8542+K8743),0)</f>
        <v>0.566415857793761</v>
      </c>
    </row>
    <row r="8768" customFormat="false" ht="15" hidden="false" customHeight="false" outlineLevel="0" collapsed="false">
      <c r="A8768" s="3" t="s">
        <v>422</v>
      </c>
      <c r="G8768" s="16" t="n">
        <f aca="false">MAX(0,G8752)+Assumptions!$P$57*MAX(0,Assumptions!$D$57-G8575)+Assumptions!$P$58*MAX(0,Assumptions!$D$58-G8588)+Assumptions!$P$59*MAX(0,Assumptions!$D$59-G8601)+Assumptions!$P$60*MAX(0,Assumptions!$D$60-G8614)+Assumptions!$P$61*MAX(0,Assumptions!$D$61-G8627)+Assumptions!$P$62*MAX(0,Assumptions!$D$62-G8640)+Assumptions!$P$63*MAX(0,Assumptions!$D$63-G8653)+Assumptions!$P$64*MAX(0,Assumptions!$D$64-G8666)+Assumptions!$P$65*MAX(0,Assumptions!$D$65-G8679)+Assumptions!$P$66*MAX(0,Assumptions!$D$66-G8692)</f>
        <v>643.8559656</v>
      </c>
      <c r="H8768" s="16" t="n">
        <f aca="false">MAX(0,H8752)+Assumptions!$P$57*MAX(0,Assumptions!$D$57-H8575)+Assumptions!$P$58*MAX(0,Assumptions!$D$58-H8588)+Assumptions!$P$59*MAX(0,Assumptions!$D$59-H8601)+Assumptions!$P$60*MAX(0,Assumptions!$D$60-H8614)+Assumptions!$P$61*MAX(0,Assumptions!$D$61-H8627)+Assumptions!$P$62*MAX(0,Assumptions!$D$62-H8640)+Assumptions!$P$63*MAX(0,Assumptions!$D$63-H8653)+Assumptions!$P$64*MAX(0,Assumptions!$D$64-H8666)+Assumptions!$P$65*MAX(0,Assumptions!$D$65-H8679)+Assumptions!$P$66*MAX(0,Assumptions!$D$66-H8692)</f>
        <v>574.5</v>
      </c>
      <c r="I8768" s="16" t="n">
        <f aca="false">MAX(0,I8752)+Assumptions!$P$57*MAX(0,Assumptions!$D$57-I8575)+Assumptions!$P$58*MAX(0,Assumptions!$D$58-I8588)+Assumptions!$P$59*MAX(0,Assumptions!$D$59-I8601)+Assumptions!$P$60*MAX(0,Assumptions!$D$60-I8614)+Assumptions!$P$61*MAX(0,Assumptions!$D$61-I8627)+Assumptions!$P$62*MAX(0,Assumptions!$D$62-I8640)+Assumptions!$P$63*MAX(0,Assumptions!$D$63-I8653)+Assumptions!$P$64*MAX(0,Assumptions!$D$64-I8666)+Assumptions!$P$65*MAX(0,Assumptions!$D$65-I8679)+Assumptions!$P$66*MAX(0,Assumptions!$D$66-I8692)</f>
        <v>574.5</v>
      </c>
      <c r="J8768" s="16" t="n">
        <f aca="false">MAX(0,J8752)+Assumptions!$P$57*MAX(0,Assumptions!$D$57-J8575)+Assumptions!$P$58*MAX(0,Assumptions!$D$58-J8588)+Assumptions!$P$59*MAX(0,Assumptions!$D$59-J8601)+Assumptions!$P$60*MAX(0,Assumptions!$D$60-J8614)+Assumptions!$P$61*MAX(0,Assumptions!$D$61-J8627)+Assumptions!$P$62*MAX(0,Assumptions!$D$62-J8640)+Assumptions!$P$63*MAX(0,Assumptions!$D$63-J8653)+Assumptions!$P$64*MAX(0,Assumptions!$D$64-J8666)+Assumptions!$P$65*MAX(0,Assumptions!$D$65-J8679)+Assumptions!$P$66*MAX(0,Assumptions!$D$66-J8692)</f>
        <v>574.5</v>
      </c>
      <c r="K8768" s="16" t="n">
        <f aca="false">MAX(0,K8752)+Assumptions!$P$57*MAX(0,Assumptions!$D$57-K8575)+Assumptions!$P$58*MAX(0,Assumptions!$D$58-K8588)+Assumptions!$P$59*MAX(0,Assumptions!$D$59-K8601)+Assumptions!$P$60*MAX(0,Assumptions!$D$60-K8614)+Assumptions!$P$61*MAX(0,Assumptions!$D$61-K8627)+Assumptions!$P$62*MAX(0,Assumptions!$D$62-K8640)+Assumptions!$P$63*MAX(0,Assumptions!$D$63-K8653)+Assumptions!$P$64*MAX(0,Assumptions!$D$64-K8666)+Assumptions!$P$65*MAX(0,Assumptions!$D$65-K8679)+Assumptions!$P$66*MAX(0,Assumptions!$D$66-K8692)</f>
        <v>574.5</v>
      </c>
    </row>
    <row r="8769" customFormat="false" ht="15" hidden="false" customHeight="false" outlineLevel="0" collapsed="false">
      <c r="A8769" s="3" t="s">
        <v>423</v>
      </c>
      <c r="G8769" s="22" t="n">
        <f aca="false">IF(G8759&gt;0,G8759/(G8759+MAX(0,G8538*CHOOSE($C$8521,Assumptions!$C$90,Assumptions!$C$109,Assumptions!$C$128)-G8761)),0)</f>
        <v>1</v>
      </c>
      <c r="H8769" s="22" t="n">
        <f aca="false">IF(H8759&gt;0,H8759/(H8759+MAX(0,H8538*CHOOSE($C$8521,Assumptions!$C$90,Assumptions!$C$109,Assumptions!$C$128)-H8761)),0)</f>
        <v>1</v>
      </c>
      <c r="I8769" s="22" t="n">
        <f aca="false">IF(I8759&gt;0,I8759/(I8759+MAX(0,I8538*CHOOSE($C$8521,Assumptions!$C$90,Assumptions!$C$109,Assumptions!$C$128)-I8761)),0)</f>
        <v>1</v>
      </c>
      <c r="J8769" s="22" t="n">
        <f aca="false">IF(J8759&gt;0,J8759/(J8759+MAX(0,J8538*CHOOSE($C$8521,Assumptions!$C$90,Assumptions!$C$109,Assumptions!$C$128)-J8761)),0)</f>
        <v>1</v>
      </c>
      <c r="K8769" s="22" t="n">
        <f aca="false">IF(K8759&gt;0,K8759/(K8759+MAX(0,K8538*CHOOSE($C$8521,Assumptions!$C$90,Assumptions!$C$109,Assumptions!$C$128)-K8761)),0)</f>
        <v>1</v>
      </c>
    </row>
    <row r="8770" customFormat="false" ht="15" hidden="false" customHeight="false" outlineLevel="0" collapsed="false">
      <c r="A8770" s="3" t="s">
        <v>424</v>
      </c>
      <c r="G8770" s="22" t="n">
        <f aca="false">IF(G8759&gt;0,MAX(0,G8752)/G8759,0)</f>
        <v>0.0264522164173469</v>
      </c>
      <c r="H8770" s="22" t="n">
        <f aca="false">IF(H8759&gt;0,MAX(0,H8752)/H8759,0)</f>
        <v>0</v>
      </c>
      <c r="I8770" s="22" t="n">
        <f aca="false">IF(I8759&gt;0,MAX(0,I8752)/I8759,0)</f>
        <v>0</v>
      </c>
      <c r="J8770" s="22" t="n">
        <f aca="false">IF(J8759&gt;0,MAX(0,J8752)/J8759,0)</f>
        <v>0</v>
      </c>
      <c r="K8770" s="22" t="n">
        <f aca="false">IF(K8759&gt;0,MAX(0,K8752)/K8759,0)</f>
        <v>0</v>
      </c>
    </row>
    <row r="8771" customFormat="false" ht="15" hidden="false" customHeight="false" outlineLevel="0" collapsed="false">
      <c r="A8771" s="3" t="s">
        <v>425</v>
      </c>
      <c r="G8771" s="16" t="n">
        <f aca="false">Assumptions!$C$31*(1-CHOOSE($C$8521,Assumptions!$C$93,Assumptions!$C$112,Assumptions!$C$131))</f>
        <v>3162.39046666667</v>
      </c>
      <c r="H8771" s="16" t="n">
        <f aca="false">Assumptions!$C$31*(1-CHOOSE($C$8521,Assumptions!$C$93,Assumptions!$C$112,Assumptions!$C$131))</f>
        <v>3162.39046666667</v>
      </c>
      <c r="I8771" s="16" t="n">
        <f aca="false">Assumptions!$C$31*(1-CHOOSE($C$8521,Assumptions!$C$93,Assumptions!$C$112,Assumptions!$C$131))</f>
        <v>3162.39046666667</v>
      </c>
      <c r="J8771" s="16" t="n">
        <f aca="false">Assumptions!$C$31*(1-CHOOSE($C$8521,Assumptions!$C$93,Assumptions!$C$112,Assumptions!$C$131))</f>
        <v>3162.39046666667</v>
      </c>
      <c r="K8771" s="16" t="n">
        <f aca="false">Assumptions!$C$31*(1-CHOOSE($C$8521,Assumptions!$C$93,Assumptions!$C$112,Assumptions!$C$131))</f>
        <v>3162.39046666667</v>
      </c>
    </row>
    <row r="8772" customFormat="false" ht="15" hidden="false" customHeight="false" outlineLevel="0" collapsed="false">
      <c r="A8772" s="24" t="s">
        <v>426</v>
      </c>
      <c r="B8772" s="25"/>
      <c r="C8772" s="25"/>
      <c r="D8772" s="25"/>
      <c r="E8772" s="25"/>
      <c r="F8772" s="25"/>
      <c r="G8772" s="25"/>
      <c r="H8772" s="25"/>
      <c r="I8772" s="25"/>
      <c r="J8772" s="25"/>
      <c r="K8772" s="25"/>
    </row>
    <row r="8773" customFormat="false" ht="15" hidden="false" customHeight="false" outlineLevel="0" collapsed="false">
      <c r="A8773" s="24" t="s">
        <v>427</v>
      </c>
      <c r="B8773" s="25"/>
      <c r="C8773" s="25"/>
      <c r="D8773" s="25"/>
      <c r="E8773" s="25"/>
      <c r="F8773" s="25"/>
      <c r="G8773" s="25"/>
      <c r="H8773" s="25"/>
      <c r="I8773" s="25"/>
      <c r="J8773" s="25"/>
      <c r="K8773" s="25"/>
    </row>
    <row r="8774" customFormat="false" ht="15" hidden="false" customHeight="false" outlineLevel="0" collapsed="false">
      <c r="A8774" s="3" t="s">
        <v>428</v>
      </c>
      <c r="G8774" s="22" t="n">
        <f aca="false">IF(G8771&gt;0,G8759/G8771,99)</f>
        <v>0.829098755399318</v>
      </c>
      <c r="H8774" s="22" t="n">
        <f aca="false">IF(H8771&gt;0,H8759/H8771,99)</f>
        <v>0.82783388945624</v>
      </c>
      <c r="I8774" s="22" t="n">
        <f aca="false">IF(I8771&gt;0,I8759/I8771,99)</f>
        <v>0.826569023513162</v>
      </c>
      <c r="J8774" s="22" t="n">
        <f aca="false">IF(J8771&gt;0,J8759/J8771,99)</f>
        <v>0.825304157570085</v>
      </c>
      <c r="K8774" s="22" t="n">
        <f aca="false">IF(K8771&gt;0,K8759/K8771,99)</f>
        <v>0.824039291627007</v>
      </c>
    </row>
    <row r="8775" customFormat="false" ht="15" hidden="false" customHeight="false" outlineLevel="0" collapsed="false">
      <c r="A8775" s="3" t="s">
        <v>429</v>
      </c>
      <c r="G8775" s="33" t="n">
        <f aca="false">Assumptions!$G$71</f>
        <v>0.6</v>
      </c>
      <c r="H8775" s="33" t="n">
        <f aca="false">Assumptions!$H$71</f>
        <v>0.6</v>
      </c>
      <c r="I8775" s="33" t="n">
        <f aca="false">Assumptions!$I$71</f>
        <v>0.6</v>
      </c>
      <c r="J8775" s="33" t="n">
        <f aca="false">Assumptions!$J$71</f>
        <v>0.6</v>
      </c>
      <c r="K8775" s="33" t="n">
        <f aca="false">Assumptions!$K$71</f>
        <v>0.6</v>
      </c>
    </row>
    <row r="8776" customFormat="false" ht="15" hidden="false" customHeight="false" outlineLevel="0" collapsed="false">
      <c r="A8776" s="3" t="s">
        <v>430</v>
      </c>
      <c r="G8776" s="22" t="n">
        <f aca="false">G8775-G8774</f>
        <v>-0.229098755399318</v>
      </c>
      <c r="H8776" s="22" t="n">
        <f aca="false">H8775-H8774</f>
        <v>-0.22783388945624</v>
      </c>
      <c r="I8776" s="22" t="n">
        <f aca="false">I8775-I8774</f>
        <v>-0.226569023513162</v>
      </c>
      <c r="J8776" s="22" t="n">
        <f aca="false">J8775-J8774</f>
        <v>-0.225304157570085</v>
      </c>
      <c r="K8776" s="22" t="n">
        <f aca="false">K8775-K8774</f>
        <v>-0.224039291627007</v>
      </c>
    </row>
    <row r="8777" customFormat="false" ht="15" hidden="false" customHeight="false" outlineLevel="0" collapsed="false">
      <c r="A8777" s="3" t="s">
        <v>431</v>
      </c>
      <c r="G8777" s="22" t="n">
        <f aca="false">IF(G8775=0,0,G8776/ABS(G8775))</f>
        <v>-0.381831258998863</v>
      </c>
      <c r="H8777" s="22" t="n">
        <f aca="false">IF(H8775=0,0,H8776/ABS(H8775))</f>
        <v>-0.379723149093733</v>
      </c>
      <c r="I8777" s="22" t="n">
        <f aca="false">IF(I8775=0,0,I8776/ABS(I8775))</f>
        <v>-0.377615039188604</v>
      </c>
      <c r="J8777" s="22" t="n">
        <f aca="false">IF(J8775=0,0,J8776/ABS(J8775))</f>
        <v>-0.375506929283475</v>
      </c>
      <c r="K8777" s="22" t="n">
        <f aca="false">IF(K8775=0,0,K8776/ABS(K8775))</f>
        <v>-0.373398819378345</v>
      </c>
    </row>
    <row r="8778" customFormat="false" ht="15" hidden="false" customHeight="false" outlineLevel="0" collapsed="false">
      <c r="A8778" s="3" t="s">
        <v>432</v>
      </c>
      <c r="G8778" s="21" t="n">
        <f aca="false">IF(G8776&lt;0,1,0)</f>
        <v>1</v>
      </c>
      <c r="H8778" s="21" t="n">
        <f aca="false">IF(H8776&lt;0,1,0)</f>
        <v>1</v>
      </c>
      <c r="I8778" s="21" t="n">
        <f aca="false">IF(I8776&lt;0,1,0)</f>
        <v>1</v>
      </c>
      <c r="J8778" s="21" t="n">
        <f aca="false">IF(J8776&lt;0,1,0)</f>
        <v>1</v>
      </c>
      <c r="K8778" s="21" t="n">
        <f aca="false">IF(K8776&lt;0,1,0)</f>
        <v>1</v>
      </c>
    </row>
    <row r="8779" customFormat="false" ht="15" hidden="false" customHeight="false" outlineLevel="0" collapsed="false">
      <c r="A8779" s="3" t="s">
        <v>433</v>
      </c>
      <c r="C8779" s="21" t="n">
        <f aca="false">IFERROR(INDEX($G$8528:$K$8528,MATCH(1,$G$8778:$K$8778,0)),0)</f>
        <v>2027</v>
      </c>
    </row>
    <row r="8780" customFormat="false" ht="15" hidden="false" customHeight="false" outlineLevel="0" collapsed="false">
      <c r="A8780" s="3" t="s">
        <v>434</v>
      </c>
      <c r="C8780" s="22" t="n">
        <f aca="false">MIN($G$8777:$K$8777)</f>
        <v>-0.381831258998863</v>
      </c>
    </row>
    <row r="8781" customFormat="false" ht="15" hidden="false" customHeight="false" outlineLevel="0" collapsed="false">
      <c r="A8781" s="24" t="s">
        <v>435</v>
      </c>
      <c r="B8781" s="25"/>
      <c r="C8781" s="25"/>
      <c r="D8781" s="25"/>
      <c r="E8781" s="25"/>
      <c r="F8781" s="25"/>
      <c r="G8781" s="25"/>
      <c r="H8781" s="25"/>
      <c r="I8781" s="25"/>
      <c r="J8781" s="25"/>
      <c r="K8781" s="25"/>
    </row>
    <row r="8782" customFormat="false" ht="15" hidden="false" customHeight="false" outlineLevel="0" collapsed="false">
      <c r="A8782" s="3" t="s">
        <v>428</v>
      </c>
      <c r="G8782" s="32" t="n">
        <f aca="false">IF(G8542&gt;0,G8538/G8542,99)</f>
        <v>0.968062642025999</v>
      </c>
      <c r="H8782" s="32" t="n">
        <f aca="false">IF(H8542&gt;0,H8538/H8542,99)</f>
        <v>0.841170150031657</v>
      </c>
      <c r="I8782" s="32" t="n">
        <f aca="false">IF(I8542&gt;0,I8538/I8542,99)</f>
        <v>0.812434142152952</v>
      </c>
      <c r="J8782" s="32" t="n">
        <f aca="false">IF(J8542&gt;0,J8538/J8542,99)</f>
        <v>0.825007802831185</v>
      </c>
      <c r="K8782" s="32" t="n">
        <f aca="false">IF(K8542&gt;0,K8538/K8542,99)</f>
        <v>0.856728964035702</v>
      </c>
    </row>
    <row r="8783" customFormat="false" ht="15" hidden="false" customHeight="false" outlineLevel="0" collapsed="false">
      <c r="A8783" s="3" t="s">
        <v>429</v>
      </c>
      <c r="G8783" s="34" t="n">
        <f aca="false">Assumptions!$G$72</f>
        <v>1.5</v>
      </c>
      <c r="H8783" s="34" t="n">
        <f aca="false">Assumptions!$H$72</f>
        <v>1.5</v>
      </c>
      <c r="I8783" s="34" t="n">
        <f aca="false">Assumptions!$I$72</f>
        <v>1.5</v>
      </c>
      <c r="J8783" s="34" t="n">
        <f aca="false">Assumptions!$J$72</f>
        <v>1.5</v>
      </c>
      <c r="K8783" s="34" t="n">
        <f aca="false">Assumptions!$K$72</f>
        <v>1.5</v>
      </c>
    </row>
    <row r="8784" customFormat="false" ht="15" hidden="false" customHeight="false" outlineLevel="0" collapsed="false">
      <c r="A8784" s="3" t="s">
        <v>430</v>
      </c>
      <c r="G8784" s="32" t="n">
        <f aca="false">G8782-G8783</f>
        <v>-0.531937357974001</v>
      </c>
      <c r="H8784" s="32" t="n">
        <f aca="false">H8782-H8783</f>
        <v>-0.658829849968343</v>
      </c>
      <c r="I8784" s="32" t="n">
        <f aca="false">I8782-I8783</f>
        <v>-0.687565857847048</v>
      </c>
      <c r="J8784" s="32" t="n">
        <f aca="false">J8782-J8783</f>
        <v>-0.674992197168815</v>
      </c>
      <c r="K8784" s="32" t="n">
        <f aca="false">K8782-K8783</f>
        <v>-0.643271035964298</v>
      </c>
    </row>
    <row r="8785" customFormat="false" ht="15" hidden="false" customHeight="false" outlineLevel="0" collapsed="false">
      <c r="A8785" s="3" t="s">
        <v>431</v>
      </c>
      <c r="G8785" s="22" t="n">
        <f aca="false">IF(G8783=0,0,G8784/ABS(G8783))</f>
        <v>-0.354624905316001</v>
      </c>
      <c r="H8785" s="22" t="n">
        <f aca="false">IF(H8783=0,0,H8784/ABS(H8783))</f>
        <v>-0.439219899978896</v>
      </c>
      <c r="I8785" s="22" t="n">
        <f aca="false">IF(I8783=0,0,I8784/ABS(I8783))</f>
        <v>-0.458377238564699</v>
      </c>
      <c r="J8785" s="22" t="n">
        <f aca="false">IF(J8783=0,0,J8784/ABS(J8783))</f>
        <v>-0.449994798112543</v>
      </c>
      <c r="K8785" s="22" t="n">
        <f aca="false">IF(K8783=0,0,K8784/ABS(K8783))</f>
        <v>-0.428847357309532</v>
      </c>
    </row>
    <row r="8786" customFormat="false" ht="15" hidden="false" customHeight="false" outlineLevel="0" collapsed="false">
      <c r="A8786" s="3" t="s">
        <v>432</v>
      </c>
      <c r="G8786" s="21" t="n">
        <f aca="false">IF(G8784&lt;0,1,0)</f>
        <v>1</v>
      </c>
      <c r="H8786" s="21" t="n">
        <f aca="false">IF(H8784&lt;0,1,0)</f>
        <v>1</v>
      </c>
      <c r="I8786" s="21" t="n">
        <f aca="false">IF(I8784&lt;0,1,0)</f>
        <v>1</v>
      </c>
      <c r="J8786" s="21" t="n">
        <f aca="false">IF(J8784&lt;0,1,0)</f>
        <v>1</v>
      </c>
      <c r="K8786" s="21" t="n">
        <f aca="false">IF(K8784&lt;0,1,0)</f>
        <v>1</v>
      </c>
    </row>
    <row r="8787" customFormat="false" ht="15" hidden="false" customHeight="false" outlineLevel="0" collapsed="false">
      <c r="A8787" s="3" t="s">
        <v>433</v>
      </c>
      <c r="C8787" s="21" t="n">
        <f aca="false">IFERROR(INDEX($G$8528:$K$8528,MATCH(1,$G$8786:$K$8786,0)),0)</f>
        <v>2027</v>
      </c>
    </row>
    <row r="8788" customFormat="false" ht="15" hidden="false" customHeight="false" outlineLevel="0" collapsed="false">
      <c r="A8788" s="3" t="s">
        <v>434</v>
      </c>
      <c r="C8788" s="22" t="n">
        <f aca="false">MIN($G$8785:$K$8785)</f>
        <v>-0.458377238564699</v>
      </c>
    </row>
    <row r="8789" customFormat="false" ht="15" hidden="false" customHeight="false" outlineLevel="0" collapsed="false">
      <c r="A8789" s="24" t="s">
        <v>436</v>
      </c>
      <c r="B8789" s="25"/>
      <c r="C8789" s="25"/>
      <c r="D8789" s="25"/>
      <c r="E8789" s="25"/>
      <c r="F8789" s="25"/>
      <c r="G8789" s="25"/>
      <c r="H8789" s="25"/>
      <c r="I8789" s="25"/>
      <c r="J8789" s="25"/>
      <c r="K8789" s="25"/>
    </row>
    <row r="8790" customFormat="false" ht="15" hidden="false" customHeight="false" outlineLevel="0" collapsed="false">
      <c r="A8790" s="3" t="s">
        <v>428</v>
      </c>
      <c r="G8790" s="22" t="n">
        <f aca="false">IF(G8771&gt;0,G8760/G8771,99)</f>
        <v>0.171808005914176</v>
      </c>
      <c r="H8790" s="22" t="n">
        <f aca="false">IF(H8771&gt;0,H8760/H8771,99)</f>
        <v>0.170543139971098</v>
      </c>
      <c r="I8790" s="22" t="n">
        <f aca="false">IF(I8771&gt;0,I8760/I8771,99)</f>
        <v>0.169278274028021</v>
      </c>
      <c r="J8790" s="22" t="n">
        <f aca="false">IF(J8771&gt;0,J8760/J8771,99)</f>
        <v>0.168013408084943</v>
      </c>
      <c r="K8790" s="22" t="n">
        <f aca="false">IF(K8771&gt;0,K8760/K8771,99)</f>
        <v>0.166748542141865</v>
      </c>
    </row>
    <row r="8791" customFormat="false" ht="15" hidden="false" customHeight="false" outlineLevel="0" collapsed="false">
      <c r="A8791" s="3" t="s">
        <v>429</v>
      </c>
      <c r="G8791" s="33" t="n">
        <f aca="false">Assumptions!$G$73</f>
        <v>0.4</v>
      </c>
      <c r="H8791" s="33" t="n">
        <f aca="false">Assumptions!$H$73</f>
        <v>0.4</v>
      </c>
      <c r="I8791" s="33" t="n">
        <f aca="false">Assumptions!$I$73</f>
        <v>0.4</v>
      </c>
      <c r="J8791" s="33" t="n">
        <f aca="false">Assumptions!$J$73</f>
        <v>0.4</v>
      </c>
      <c r="K8791" s="33" t="n">
        <f aca="false">Assumptions!$K$73</f>
        <v>0.4</v>
      </c>
    </row>
    <row r="8792" customFormat="false" ht="15" hidden="false" customHeight="false" outlineLevel="0" collapsed="false">
      <c r="A8792" s="3" t="s">
        <v>430</v>
      </c>
      <c r="G8792" s="22" t="n">
        <f aca="false">G8791-G8790</f>
        <v>0.228191994085824</v>
      </c>
      <c r="H8792" s="22" t="n">
        <f aca="false">H8791-H8790</f>
        <v>0.229456860028902</v>
      </c>
      <c r="I8792" s="22" t="n">
        <f aca="false">I8791-I8790</f>
        <v>0.230721725971979</v>
      </c>
      <c r="J8792" s="22" t="n">
        <f aca="false">J8791-J8790</f>
        <v>0.231986591915057</v>
      </c>
      <c r="K8792" s="22" t="n">
        <f aca="false">K8791-K8790</f>
        <v>0.233251457858135</v>
      </c>
    </row>
    <row r="8793" customFormat="false" ht="15" hidden="false" customHeight="false" outlineLevel="0" collapsed="false">
      <c r="A8793" s="3" t="s">
        <v>431</v>
      </c>
      <c r="G8793" s="22" t="n">
        <f aca="false">IF(G8791=0,0,G8792/ABS(G8791))</f>
        <v>0.57047998521456</v>
      </c>
      <c r="H8793" s="22" t="n">
        <f aca="false">IF(H8791=0,0,H8792/ABS(H8791))</f>
        <v>0.573642150072254</v>
      </c>
      <c r="I8793" s="22" t="n">
        <f aca="false">IF(I8791=0,0,I8792/ABS(I8791))</f>
        <v>0.576804314929948</v>
      </c>
      <c r="J8793" s="22" t="n">
        <f aca="false">IF(J8791=0,0,J8792/ABS(J8791))</f>
        <v>0.579966479787643</v>
      </c>
      <c r="K8793" s="22" t="n">
        <f aca="false">IF(K8791=0,0,K8792/ABS(K8791))</f>
        <v>0.583128644645337</v>
      </c>
    </row>
    <row r="8794" customFormat="false" ht="15" hidden="false" customHeight="false" outlineLevel="0" collapsed="false">
      <c r="A8794" s="3" t="s">
        <v>432</v>
      </c>
      <c r="G8794" s="21" t="n">
        <f aca="false">IF(G8792&lt;0,1,0)</f>
        <v>0</v>
      </c>
      <c r="H8794" s="21" t="n">
        <f aca="false">IF(H8792&lt;0,1,0)</f>
        <v>0</v>
      </c>
      <c r="I8794" s="21" t="n">
        <f aca="false">IF(I8792&lt;0,1,0)</f>
        <v>0</v>
      </c>
      <c r="J8794" s="21" t="n">
        <f aca="false">IF(J8792&lt;0,1,0)</f>
        <v>0</v>
      </c>
      <c r="K8794" s="21" t="n">
        <f aca="false">IF(K8792&lt;0,1,0)</f>
        <v>0</v>
      </c>
    </row>
    <row r="8795" customFormat="false" ht="15" hidden="false" customHeight="false" outlineLevel="0" collapsed="false">
      <c r="A8795" s="3" t="s">
        <v>433</v>
      </c>
      <c r="C8795" s="21" t="n">
        <f aca="false">IFERROR(INDEX($G$8528:$K$8528,MATCH(1,$G$8794:$K$8794,0)),0)</f>
        <v>0</v>
      </c>
    </row>
    <row r="8796" customFormat="false" ht="15" hidden="false" customHeight="false" outlineLevel="0" collapsed="false">
      <c r="A8796" s="3" t="s">
        <v>434</v>
      </c>
      <c r="C8796" s="22" t="n">
        <f aca="false">MIN($G$8793:$K$8793)</f>
        <v>0.57047998521456</v>
      </c>
    </row>
    <row r="8797" customFormat="false" ht="15" hidden="false" customHeight="false" outlineLevel="0" collapsed="false">
      <c r="A8797" s="24" t="s">
        <v>437</v>
      </c>
      <c r="B8797" s="25"/>
      <c r="C8797" s="25"/>
      <c r="D8797" s="25"/>
      <c r="E8797" s="25"/>
      <c r="F8797" s="25"/>
      <c r="G8797" s="25"/>
      <c r="H8797" s="25"/>
      <c r="I8797" s="25"/>
      <c r="J8797" s="25"/>
      <c r="K8797" s="25"/>
    </row>
    <row r="8798" customFormat="false" ht="15" hidden="false" customHeight="false" outlineLevel="0" collapsed="false">
      <c r="A8798" s="3" t="s">
        <v>428</v>
      </c>
      <c r="G8798" s="16" t="n">
        <f aca="false">G8768</f>
        <v>643.8559656</v>
      </c>
      <c r="H8798" s="16" t="n">
        <f aca="false">H8768</f>
        <v>574.5</v>
      </c>
      <c r="I8798" s="16" t="n">
        <f aca="false">I8768</f>
        <v>574.5</v>
      </c>
      <c r="J8798" s="16" t="n">
        <f aca="false">J8768</f>
        <v>574.5</v>
      </c>
      <c r="K8798" s="16" t="n">
        <f aca="false">K8768</f>
        <v>574.5</v>
      </c>
    </row>
    <row r="8799" customFormat="false" ht="15" hidden="false" customHeight="false" outlineLevel="0" collapsed="false">
      <c r="A8799" s="3" t="s">
        <v>429</v>
      </c>
      <c r="G8799" s="29" t="n">
        <f aca="false">Assumptions!$G$74</f>
        <v>100</v>
      </c>
      <c r="H8799" s="29" t="n">
        <f aca="false">Assumptions!$H$74</f>
        <v>100</v>
      </c>
      <c r="I8799" s="29" t="n">
        <f aca="false">Assumptions!$I$74</f>
        <v>100</v>
      </c>
      <c r="J8799" s="29" t="n">
        <f aca="false">Assumptions!$J$74</f>
        <v>100</v>
      </c>
      <c r="K8799" s="29" t="n">
        <f aca="false">Assumptions!$K$74</f>
        <v>100</v>
      </c>
    </row>
    <row r="8800" customFormat="false" ht="15" hidden="false" customHeight="false" outlineLevel="0" collapsed="false">
      <c r="A8800" s="3" t="s">
        <v>430</v>
      </c>
      <c r="G8800" s="16" t="n">
        <f aca="false">G8798-G8799</f>
        <v>543.8559656</v>
      </c>
      <c r="H8800" s="16" t="n">
        <f aca="false">H8798-H8799</f>
        <v>474.5</v>
      </c>
      <c r="I8800" s="16" t="n">
        <f aca="false">I8798-I8799</f>
        <v>474.5</v>
      </c>
      <c r="J8800" s="16" t="n">
        <f aca="false">J8798-J8799</f>
        <v>474.5</v>
      </c>
      <c r="K8800" s="16" t="n">
        <f aca="false">K8798-K8799</f>
        <v>474.5</v>
      </c>
    </row>
    <row r="8801" customFormat="false" ht="15" hidden="false" customHeight="false" outlineLevel="0" collapsed="false">
      <c r="A8801" s="3" t="s">
        <v>431</v>
      </c>
      <c r="G8801" s="22" t="n">
        <f aca="false">IF(G8799=0,0,G8800/ABS(G8799))</f>
        <v>5.438559656</v>
      </c>
      <c r="H8801" s="22" t="n">
        <f aca="false">IF(H8799=0,0,H8800/ABS(H8799))</f>
        <v>4.745</v>
      </c>
      <c r="I8801" s="22" t="n">
        <f aca="false">IF(I8799=0,0,I8800/ABS(I8799))</f>
        <v>4.745</v>
      </c>
      <c r="J8801" s="22" t="n">
        <f aca="false">IF(J8799=0,0,J8800/ABS(J8799))</f>
        <v>4.745</v>
      </c>
      <c r="K8801" s="22" t="n">
        <f aca="false">IF(K8799=0,0,K8800/ABS(K8799))</f>
        <v>4.745</v>
      </c>
    </row>
    <row r="8802" customFormat="false" ht="15" hidden="false" customHeight="false" outlineLevel="0" collapsed="false">
      <c r="A8802" s="3" t="s">
        <v>432</v>
      </c>
      <c r="G8802" s="21" t="n">
        <f aca="false">IF(G8800&lt;0,1,0)</f>
        <v>0</v>
      </c>
      <c r="H8802" s="21" t="n">
        <f aca="false">IF(H8800&lt;0,1,0)</f>
        <v>0</v>
      </c>
      <c r="I8802" s="21" t="n">
        <f aca="false">IF(I8800&lt;0,1,0)</f>
        <v>0</v>
      </c>
      <c r="J8802" s="21" t="n">
        <f aca="false">IF(J8800&lt;0,1,0)</f>
        <v>0</v>
      </c>
      <c r="K8802" s="21" t="n">
        <f aca="false">IF(K8800&lt;0,1,0)</f>
        <v>0</v>
      </c>
    </row>
    <row r="8803" customFormat="false" ht="15" hidden="false" customHeight="false" outlineLevel="0" collapsed="false">
      <c r="A8803" s="3" t="s">
        <v>433</v>
      </c>
      <c r="C8803" s="21" t="n">
        <f aca="false">IFERROR(INDEX($G$8528:$K$8528,MATCH(1,$G$8802:$K$8802,0)),0)</f>
        <v>0</v>
      </c>
    </row>
    <row r="8804" customFormat="false" ht="15" hidden="false" customHeight="false" outlineLevel="0" collapsed="false">
      <c r="A8804" s="3" t="s">
        <v>434</v>
      </c>
      <c r="C8804" s="22" t="n">
        <f aca="false">MIN($G$8801:$K$8801)</f>
        <v>4.745</v>
      </c>
    </row>
    <row r="8805" customFormat="false" ht="15" hidden="false" customHeight="false" outlineLevel="0" collapsed="false">
      <c r="A8805" s="24" t="s">
        <v>438</v>
      </c>
      <c r="B8805" s="25"/>
      <c r="C8805" s="25"/>
      <c r="D8805" s="25"/>
      <c r="E8805" s="25"/>
      <c r="F8805" s="25"/>
      <c r="G8805" s="25"/>
      <c r="H8805" s="25"/>
      <c r="I8805" s="25"/>
      <c r="J8805" s="25"/>
      <c r="K8805" s="25"/>
    </row>
    <row r="8806" customFormat="false" ht="15" hidden="false" customHeight="false" outlineLevel="0" collapsed="false">
      <c r="A8806" s="3" t="s">
        <v>428</v>
      </c>
      <c r="G8806" s="32" t="n">
        <f aca="false">IF(G8538&gt;0,G8761/G8538,99)</f>
        <v>13.5520247061599</v>
      </c>
      <c r="H8806" s="32" t="n">
        <f aca="false">IF(H8538&gt;0,H8761/H8538,99)</f>
        <v>16.2151514603564</v>
      </c>
      <c r="I8806" s="32" t="n">
        <f aca="false">IF(I8538&gt;0,I8761/I8538,99)</f>
        <v>17.5022816910829</v>
      </c>
      <c r="J8806" s="32" t="n">
        <f aca="false">IF(J8538&gt;0,J8761/J8538,99)</f>
        <v>17.8233365456223</v>
      </c>
      <c r="K8806" s="32" t="n">
        <f aca="false">IF(K8538&gt;0,K8761/K8538,99)</f>
        <v>17.697926463614</v>
      </c>
    </row>
    <row r="8807" customFormat="false" ht="15" hidden="false" customHeight="false" outlineLevel="0" collapsed="false">
      <c r="A8807" s="3" t="s">
        <v>429</v>
      </c>
      <c r="G8807" s="34" t="n">
        <f aca="false">Assumptions!$G$75</f>
        <v>10.5</v>
      </c>
      <c r="H8807" s="34" t="n">
        <f aca="false">Assumptions!$H$75</f>
        <v>10.5</v>
      </c>
      <c r="I8807" s="34" t="n">
        <f aca="false">Assumptions!$I$75</f>
        <v>10</v>
      </c>
      <c r="J8807" s="34" t="n">
        <f aca="false">Assumptions!$J$75</f>
        <v>10</v>
      </c>
      <c r="K8807" s="34" t="n">
        <f aca="false">Assumptions!$K$75</f>
        <v>9.5</v>
      </c>
    </row>
    <row r="8808" customFormat="false" ht="15" hidden="false" customHeight="false" outlineLevel="0" collapsed="false">
      <c r="A8808" s="3" t="s">
        <v>430</v>
      </c>
      <c r="G8808" s="32" t="n">
        <f aca="false">G8807-G8806</f>
        <v>-3.05202470615994</v>
      </c>
      <c r="H8808" s="32" t="n">
        <f aca="false">H8807-H8806</f>
        <v>-5.71515146035639</v>
      </c>
      <c r="I8808" s="32" t="n">
        <f aca="false">I8807-I8806</f>
        <v>-7.50228169108289</v>
      </c>
      <c r="J8808" s="32" t="n">
        <f aca="false">J8807-J8806</f>
        <v>-7.82333654562233</v>
      </c>
      <c r="K8808" s="32" t="n">
        <f aca="false">K8807-K8806</f>
        <v>-8.197926463614</v>
      </c>
    </row>
    <row r="8809" customFormat="false" ht="15" hidden="false" customHeight="false" outlineLevel="0" collapsed="false">
      <c r="A8809" s="3" t="s">
        <v>431</v>
      </c>
      <c r="G8809" s="22" t="n">
        <f aca="false">IF(G8807=0,0,G8808/ABS(G8807))</f>
        <v>-0.29066901963428</v>
      </c>
      <c r="H8809" s="22" t="n">
        <f aca="false">IF(H8807=0,0,H8808/ABS(H8807))</f>
        <v>-0.544300139081561</v>
      </c>
      <c r="I8809" s="22" t="n">
        <f aca="false">IF(I8807=0,0,I8808/ABS(I8807))</f>
        <v>-0.750228169108289</v>
      </c>
      <c r="J8809" s="22" t="n">
        <f aca="false">IF(J8807=0,0,J8808/ABS(J8807))</f>
        <v>-0.782333654562233</v>
      </c>
      <c r="K8809" s="22" t="n">
        <f aca="false">IF(K8807=0,0,K8808/ABS(K8807))</f>
        <v>-0.862939627748842</v>
      </c>
    </row>
    <row r="8810" customFormat="false" ht="15" hidden="false" customHeight="false" outlineLevel="0" collapsed="false">
      <c r="A8810" s="3" t="s">
        <v>432</v>
      </c>
      <c r="G8810" s="21" t="n">
        <f aca="false">IF(G8808&lt;0,1,0)</f>
        <v>1</v>
      </c>
      <c r="H8810" s="21" t="n">
        <f aca="false">IF(H8808&lt;0,1,0)</f>
        <v>1</v>
      </c>
      <c r="I8810" s="21" t="n">
        <f aca="false">IF(I8808&lt;0,1,0)</f>
        <v>1</v>
      </c>
      <c r="J8810" s="21" t="n">
        <f aca="false">IF(J8808&lt;0,1,0)</f>
        <v>1</v>
      </c>
      <c r="K8810" s="21" t="n">
        <f aca="false">IF(K8808&lt;0,1,0)</f>
        <v>1</v>
      </c>
    </row>
    <row r="8811" customFormat="false" ht="15" hidden="false" customHeight="false" outlineLevel="0" collapsed="false">
      <c r="A8811" s="3" t="s">
        <v>433</v>
      </c>
      <c r="C8811" s="21" t="n">
        <f aca="false">IFERROR(INDEX($G$8528:$K$8528,MATCH(1,$G$8810:$K$8810,0)),0)</f>
        <v>2027</v>
      </c>
    </row>
    <row r="8812" customFormat="false" ht="15" hidden="false" customHeight="false" outlineLevel="0" collapsed="false">
      <c r="A8812" s="3" t="s">
        <v>434</v>
      </c>
      <c r="C8812" s="22" t="n">
        <f aca="false">MIN($G$8809:$K$8809)</f>
        <v>-0.862939627748842</v>
      </c>
    </row>
    <row r="8813" customFormat="false" ht="15" hidden="false" customHeight="false" outlineLevel="0" collapsed="false">
      <c r="A8813" s="3" t="s">
        <v>439</v>
      </c>
      <c r="G8813" s="21" t="n">
        <f aca="false">G8778+G8786+G8794+G8802+G8810</f>
        <v>3</v>
      </c>
      <c r="H8813" s="21" t="n">
        <f aca="false">H8778+H8786+H8794+H8802+H8810</f>
        <v>3</v>
      </c>
      <c r="I8813" s="21" t="n">
        <f aca="false">I8778+I8786+I8794+I8802+I8810</f>
        <v>3</v>
      </c>
      <c r="J8813" s="21" t="n">
        <f aca="false">J8778+J8786+J8794+J8802+J8810</f>
        <v>3</v>
      </c>
      <c r="K8813" s="21" t="n">
        <f aca="false">K8778+K8786+K8794+K8802+K8810</f>
        <v>3</v>
      </c>
    </row>
    <row r="8814" customFormat="false" ht="15" hidden="false" customHeight="false" outlineLevel="0" collapsed="false">
      <c r="A8814" s="3" t="s">
        <v>440</v>
      </c>
      <c r="C8814" s="21" t="n">
        <f aca="false">SUM($G$8813:$K$8813)</f>
        <v>15</v>
      </c>
    </row>
    <row r="8815" customFormat="false" ht="15" hidden="false" customHeight="false" outlineLevel="0" collapsed="false">
      <c r="A8815" s="3" t="s">
        <v>441</v>
      </c>
      <c r="C8815" s="22" t="n">
        <f aca="false">MIN(C8780,C8788,C8796,C8804,C8812)</f>
        <v>-0.862939627748842</v>
      </c>
    </row>
    <row r="8817" customFormat="false" ht="15" hidden="false" customHeight="false" outlineLevel="0" collapsed="false">
      <c r="A8817" s="24" t="s">
        <v>543</v>
      </c>
      <c r="B8817" s="25"/>
      <c r="C8817" s="25"/>
      <c r="D8817" s="25"/>
      <c r="E8817" s="25"/>
      <c r="F8817" s="25"/>
      <c r="G8817" s="25"/>
      <c r="H8817" s="25"/>
      <c r="I8817" s="25"/>
      <c r="J8817" s="25"/>
      <c r="K8817" s="25"/>
    </row>
    <row r="8818" customFormat="false" ht="15" hidden="false" customHeight="false" outlineLevel="0" collapsed="false">
      <c r="A8818" s="3" t="s">
        <v>544</v>
      </c>
      <c r="G8818" s="21" t="n">
        <f aca="false">IF($C$8819=1,G8755,IF(G8538=MIN($G$8538:$K$8538),1,0))</f>
        <v>0</v>
      </c>
      <c r="H8818" s="21" t="n">
        <f aca="false">IF($C$8819=1,H8755,IF(AND(H8538=MIN($G$8538:$K$8538),SUM($G$8818:G8818)=0),1,0))</f>
        <v>1</v>
      </c>
      <c r="I8818" s="21" t="n">
        <f aca="false">IF($C$8819=1,I8755,IF(AND(I8538=MIN($G$8538:$K$8538),SUM($G$8818:H8818)=0),1,0))</f>
        <v>0</v>
      </c>
      <c r="J8818" s="21" t="n">
        <f aca="false">IF($C$8819=1,J8755,IF(AND(J8538=MIN($G$8538:$K$8538),SUM($G$8818:I8818)=0),1,0))</f>
        <v>0</v>
      </c>
      <c r="K8818" s="21" t="n">
        <f aca="false">IF($C$8819=1,K8755,IF(AND(K8538=MIN($G$8538:$K$8538),SUM($G$8818:J8818)=0),1,0))</f>
        <v>0</v>
      </c>
    </row>
    <row r="8819" customFormat="false" ht="15" hidden="false" customHeight="false" outlineLevel="0" collapsed="false">
      <c r="A8819" s="3" t="s">
        <v>545</v>
      </c>
      <c r="C8819" s="21" t="n">
        <f aca="false">IF(SUM($G$8755:$K$8755)&gt;0,1,0)</f>
        <v>1</v>
      </c>
    </row>
    <row r="8820" customFormat="false" ht="15" hidden="false" customHeight="false" outlineLevel="0" collapsed="false">
      <c r="A8820" s="3" t="s">
        <v>546</v>
      </c>
      <c r="C8820" s="21" t="n">
        <f aca="false">SUMPRODUCT($G$8818:$K$8818,$G$8528:$K$8528)</f>
        <v>2028</v>
      </c>
    </row>
    <row r="8821" customFormat="false" ht="15" hidden="false" customHeight="false" outlineLevel="0" collapsed="false">
      <c r="A8821" s="3" t="s">
        <v>547</v>
      </c>
      <c r="C8821" s="16" t="n">
        <f aca="false">SUMPRODUCT($G$8818:$K$8818,$G$8538:$K$8538)</f>
        <v>162.65713113</v>
      </c>
    </row>
    <row r="8822" customFormat="false" ht="15" hidden="false" customHeight="false" outlineLevel="0" collapsed="false">
      <c r="A8822" s="3" t="s">
        <v>548</v>
      </c>
      <c r="C8822" s="16" t="n">
        <f aca="false">MAX(0,SUMPRODUCT($G$8818:$K$8818,$G$8752:$K$8752))</f>
        <v>0</v>
      </c>
    </row>
    <row r="8823" customFormat="false" ht="15" hidden="false" customHeight="false" outlineLevel="0" collapsed="false">
      <c r="A8823" s="3" t="s">
        <v>549</v>
      </c>
      <c r="C8823" s="16" t="n">
        <f aca="false">(CHOOSE($C$8521,Assumptions!$C$92,Assumptions!$C$111,Assumptions!$C$130)+$C$8525)*C8821</f>
        <v>1301.25704904</v>
      </c>
    </row>
    <row r="8824" customFormat="false" ht="15" hidden="false" customHeight="false" outlineLevel="0" collapsed="false">
      <c r="A8824" s="3" t="s">
        <v>550</v>
      </c>
      <c r="C8824" s="16" t="n">
        <f aca="false">Assumptions!$C$31*(1-CHOOSE($C$8521,Assumptions!$C$93,Assumptions!$C$112,Assumptions!$C$131))*CHOOSE($C$8521,Assumptions!$C$94,Assumptions!$C$113,Assumptions!$C$132)</f>
        <v>2688.03189666667</v>
      </c>
    </row>
    <row r="8825" customFormat="false" ht="15" hidden="false" customHeight="false" outlineLevel="0" collapsed="false">
      <c r="A8825" s="3" t="s">
        <v>551</v>
      </c>
      <c r="C8825" s="16" t="n">
        <f aca="false">MAX(C8823,C8824)+C8822</f>
        <v>2688.03189666667</v>
      </c>
    </row>
    <row r="8826" customFormat="false" ht="15" hidden="false" customHeight="false" outlineLevel="0" collapsed="false">
      <c r="A8826" s="2" t="s">
        <v>552</v>
      </c>
      <c r="C8826" s="17" t="n">
        <f aca="false">IF(ISNUMBER(Assumptions!$C$14),Assumptions!$C$14,C8825)</f>
        <v>2688.03189666667</v>
      </c>
    </row>
    <row r="8827" customFormat="false" ht="15" hidden="false" customHeight="false" outlineLevel="0" collapsed="false">
      <c r="A8827" s="3" t="s">
        <v>553</v>
      </c>
      <c r="C8827" s="16" t="n">
        <f aca="false">C8826*Assumptions!$C$15</f>
        <v>107.521275866667</v>
      </c>
    </row>
    <row r="8828" customFormat="false" ht="15" hidden="false" customHeight="false" outlineLevel="0" collapsed="false">
      <c r="A8828" s="2" t="s">
        <v>554</v>
      </c>
      <c r="C8828" s="17" t="n">
        <f aca="false">C8826-C8827</f>
        <v>2580.5106208</v>
      </c>
    </row>
    <row r="8829" customFormat="false" ht="15" hidden="false" customHeight="false" outlineLevel="0" collapsed="false">
      <c r="A8829" s="24" t="s">
        <v>555</v>
      </c>
      <c r="B8829" s="25"/>
      <c r="C8829" s="25"/>
      <c r="D8829" s="25"/>
      <c r="E8829" s="25"/>
      <c r="F8829" s="25"/>
      <c r="G8829" s="25"/>
      <c r="H8829" s="25"/>
      <c r="I8829" s="25"/>
      <c r="J8829" s="25"/>
      <c r="K8829" s="25"/>
    </row>
    <row r="8830" customFormat="false" ht="15" hidden="false" customHeight="false" outlineLevel="0" collapsed="false">
      <c r="A8830" s="3" t="s">
        <v>556</v>
      </c>
      <c r="C8830" s="16" t="n">
        <f aca="false">SUMPRODUCT($G$8818:$K$8818,$G$8575:$K$8575)*(1+SUMPRODUCT($G$8818:$K$8818,$G$8567:$K$8567)*Assumptions!$C$16/12)</f>
        <v>403.76</v>
      </c>
    </row>
    <row r="8831" customFormat="false" ht="15" hidden="false" customHeight="false" outlineLevel="0" collapsed="false">
      <c r="A8831" s="3" t="s">
        <v>557</v>
      </c>
      <c r="C8831" s="16" t="n">
        <f aca="false">SUMPRODUCT($G$8818:$K$8818,$G$8588:$K$8588)*(1+SUMPRODUCT($G$8818:$K$8818,$G$8580:$K$8580)*Assumptions!$C$16/12)</f>
        <v>91.30725</v>
      </c>
    </row>
    <row r="8832" customFormat="false" ht="15" hidden="false" customHeight="false" outlineLevel="0" collapsed="false">
      <c r="A8832" s="3" t="s">
        <v>558</v>
      </c>
      <c r="C8832" s="16" t="n">
        <f aca="false">SUMPRODUCT($G$8818:$K$8818,$G$8601:$K$8601)*(1+SUMPRODUCT($G$8818:$K$8818,$G$8593:$K$8593)*Assumptions!$C$16/12)</f>
        <v>58.3715961</v>
      </c>
    </row>
    <row r="8833" customFormat="false" ht="15" hidden="false" customHeight="false" outlineLevel="0" collapsed="false">
      <c r="A8833" s="3" t="s">
        <v>559</v>
      </c>
      <c r="C8833" s="16" t="n">
        <f aca="false">SUMPRODUCT($G$8818:$K$8818,$G$8614:$K$8614)*(1+SUMPRODUCT($G$8818:$K$8818,$G$8606:$K$8606)*Assumptions!$C$16/12)</f>
        <v>0</v>
      </c>
    </row>
    <row r="8834" customFormat="false" ht="15" hidden="false" customHeight="false" outlineLevel="0" collapsed="false">
      <c r="A8834" s="3" t="s">
        <v>560</v>
      </c>
      <c r="C8834" s="16" t="n">
        <f aca="false">SUMPRODUCT($G$8818:$K$8818,$G$8627:$K$8627)*(1+SUMPRODUCT($G$8818:$K$8818,$G$8619:$K$8619)*Assumptions!$C$16/12)</f>
        <v>454.44375</v>
      </c>
    </row>
    <row r="8835" customFormat="false" ht="15" hidden="false" customHeight="false" outlineLevel="0" collapsed="false">
      <c r="A8835" s="3" t="s">
        <v>561</v>
      </c>
      <c r="C8835" s="16" t="n">
        <f aca="false">SUMPRODUCT($G$8818:$K$8818,$G$8640:$K$8640)*(1+SUMPRODUCT($G$8818:$K$8818,$G$8632:$K$8632)*Assumptions!$C$16/12)</f>
        <v>357.2625</v>
      </c>
    </row>
    <row r="8836" customFormat="false" ht="15" hidden="false" customHeight="false" outlineLevel="0" collapsed="false">
      <c r="A8836" s="3" t="s">
        <v>562</v>
      </c>
      <c r="C8836" s="16" t="n">
        <f aca="false">SUMPRODUCT($G$8818:$K$8818,$G$8653:$K$8653)*(1+SUMPRODUCT($G$8818:$K$8818,$G$8645:$K$8645)*Assumptions!$C$16/12)</f>
        <v>562.203125</v>
      </c>
    </row>
    <row r="8837" customFormat="false" ht="15" hidden="false" customHeight="false" outlineLevel="0" collapsed="false">
      <c r="A8837" s="3" t="s">
        <v>563</v>
      </c>
      <c r="C8837" s="16" t="n">
        <f aca="false">SUMPRODUCT($G$8818:$K$8818,$G$8666:$K$8666)*(1+SUMPRODUCT($G$8818:$K$8818,$G$8658:$K$8658)*Assumptions!$C$16/12)</f>
        <v>353.98125</v>
      </c>
    </row>
    <row r="8838" customFormat="false" ht="15" hidden="false" customHeight="false" outlineLevel="0" collapsed="false">
      <c r="A8838" s="3" t="s">
        <v>564</v>
      </c>
      <c r="C8838" s="16" t="n">
        <f aca="false">SUMPRODUCT($G$8818:$K$8818,$G$8679:$K$8679)*(1+SUMPRODUCT($G$8818:$K$8818,$G$8671:$K$8671)*Assumptions!$C$16/12)</f>
        <v>304.59375</v>
      </c>
    </row>
    <row r="8839" customFormat="false" ht="15" hidden="false" customHeight="false" outlineLevel="0" collapsed="false">
      <c r="A8839" s="3" t="s">
        <v>565</v>
      </c>
      <c r="C8839" s="16" t="n">
        <f aca="false">SUMPRODUCT($G$8818:$K$8818,$G$8692:$K$8692)*(1+SUMPRODUCT($G$8818:$K$8818,$G$8684:$K$8684)*Assumptions!$C$16/12)</f>
        <v>80.2332965</v>
      </c>
    </row>
    <row r="8840" customFormat="false" ht="15" hidden="false" customHeight="false" outlineLevel="0" collapsed="false">
      <c r="A8840" s="24" t="s">
        <v>566</v>
      </c>
      <c r="B8840" s="25"/>
      <c r="C8840" s="25"/>
      <c r="D8840" s="25"/>
      <c r="E8840" s="25"/>
      <c r="F8840" s="25"/>
      <c r="G8840" s="25"/>
      <c r="H8840" s="25"/>
      <c r="I8840" s="25"/>
      <c r="J8840" s="25"/>
      <c r="K8840" s="25"/>
    </row>
    <row r="8841" customFormat="false" ht="15" hidden="false" customHeight="false" outlineLevel="0" collapsed="false">
      <c r="A8841" s="3" t="s">
        <v>556</v>
      </c>
      <c r="C8841" s="27" t="n">
        <f aca="false">Assumptions!$M$57</f>
        <v>1</v>
      </c>
    </row>
    <row r="8842" customFormat="false" ht="15" hidden="false" customHeight="false" outlineLevel="0" collapsed="false">
      <c r="A8842" s="3" t="s">
        <v>557</v>
      </c>
      <c r="C8842" s="27" t="n">
        <f aca="false">Assumptions!$M$58</f>
        <v>1</v>
      </c>
    </row>
    <row r="8843" customFormat="false" ht="15" hidden="false" customHeight="false" outlineLevel="0" collapsed="false">
      <c r="A8843" s="3" t="s">
        <v>558</v>
      </c>
      <c r="C8843" s="27" t="n">
        <f aca="false">Assumptions!$M$59</f>
        <v>1</v>
      </c>
    </row>
    <row r="8844" customFormat="false" ht="15" hidden="false" customHeight="false" outlineLevel="0" collapsed="false">
      <c r="A8844" s="3" t="s">
        <v>559</v>
      </c>
      <c r="C8844" s="27" t="n">
        <f aca="false">Assumptions!$M$60</f>
        <v>2</v>
      </c>
    </row>
    <row r="8845" customFormat="false" ht="15" hidden="false" customHeight="false" outlineLevel="0" collapsed="false">
      <c r="A8845" s="3" t="s">
        <v>560</v>
      </c>
      <c r="C8845" s="27" t="n">
        <f aca="false">Assumptions!$M$61</f>
        <v>2</v>
      </c>
    </row>
    <row r="8846" customFormat="false" ht="15" hidden="false" customHeight="false" outlineLevel="0" collapsed="false">
      <c r="A8846" s="3" t="s">
        <v>561</v>
      </c>
      <c r="C8846" s="27" t="n">
        <f aca="false">Assumptions!$M$62</f>
        <v>2</v>
      </c>
    </row>
    <row r="8847" customFormat="false" ht="15" hidden="false" customHeight="false" outlineLevel="0" collapsed="false">
      <c r="A8847" s="3" t="s">
        <v>562</v>
      </c>
      <c r="C8847" s="27" t="n">
        <f aca="false">Assumptions!$M$63</f>
        <v>2</v>
      </c>
    </row>
    <row r="8848" customFormat="false" ht="15" hidden="false" customHeight="false" outlineLevel="0" collapsed="false">
      <c r="A8848" s="3" t="s">
        <v>563</v>
      </c>
      <c r="C8848" s="27" t="n">
        <f aca="false">Assumptions!$M$64</f>
        <v>2</v>
      </c>
    </row>
    <row r="8849" customFormat="false" ht="15" hidden="false" customHeight="false" outlineLevel="0" collapsed="false">
      <c r="A8849" s="3" t="s">
        <v>564</v>
      </c>
      <c r="C8849" s="27" t="n">
        <f aca="false">Assumptions!$M$65</f>
        <v>2</v>
      </c>
    </row>
    <row r="8850" customFormat="false" ht="15" hidden="false" customHeight="false" outlineLevel="0" collapsed="false">
      <c r="A8850" s="3" t="s">
        <v>565</v>
      </c>
      <c r="C8850" s="27" t="n">
        <f aca="false">Assumptions!$M$66</f>
        <v>3</v>
      </c>
    </row>
    <row r="8851" customFormat="false" ht="15" hidden="false" customHeight="false" outlineLevel="0" collapsed="false">
      <c r="A8851" s="24" t="s">
        <v>567</v>
      </c>
      <c r="B8851" s="25"/>
      <c r="C8851" s="25"/>
      <c r="D8851" s="25"/>
      <c r="E8851" s="25"/>
      <c r="F8851" s="25"/>
      <c r="G8851" s="25"/>
      <c r="H8851" s="25"/>
      <c r="I8851" s="25"/>
      <c r="J8851" s="25"/>
      <c r="K8851" s="25"/>
    </row>
    <row r="8852" customFormat="false" ht="15" hidden="false" customHeight="false" outlineLevel="0" collapsed="false">
      <c r="A8852" s="3" t="s">
        <v>556</v>
      </c>
      <c r="C8852" s="33" t="n">
        <f aca="false">Assumptions!$Q$57</f>
        <v>0.3</v>
      </c>
    </row>
    <row r="8853" customFormat="false" ht="15" hidden="false" customHeight="false" outlineLevel="0" collapsed="false">
      <c r="A8853" s="3" t="s">
        <v>557</v>
      </c>
      <c r="C8853" s="33" t="n">
        <f aca="false">Assumptions!$Q$58</f>
        <v>0.033</v>
      </c>
    </row>
    <row r="8854" customFormat="false" ht="15" hidden="false" customHeight="false" outlineLevel="0" collapsed="false">
      <c r="A8854" s="3" t="s">
        <v>558</v>
      </c>
      <c r="C8854" s="33" t="n">
        <f aca="false">Assumptions!$Q$59</f>
        <v>0.021</v>
      </c>
    </row>
    <row r="8855" customFormat="false" ht="15" hidden="false" customHeight="false" outlineLevel="0" collapsed="false">
      <c r="A8855" s="3" t="s">
        <v>559</v>
      </c>
      <c r="C8855" s="33" t="n">
        <f aca="false">Assumptions!$Q$60</f>
        <v>0</v>
      </c>
    </row>
    <row r="8856" customFormat="false" ht="15" hidden="false" customHeight="false" outlineLevel="0" collapsed="false">
      <c r="A8856" s="3" t="s">
        <v>560</v>
      </c>
      <c r="C8856" s="33" t="n">
        <f aca="false">Assumptions!$Q$61</f>
        <v>0</v>
      </c>
    </row>
    <row r="8857" customFormat="false" ht="15" hidden="false" customHeight="false" outlineLevel="0" collapsed="false">
      <c r="A8857" s="3" t="s">
        <v>561</v>
      </c>
      <c r="C8857" s="33" t="n">
        <f aca="false">Assumptions!$Q$62</f>
        <v>0</v>
      </c>
    </row>
    <row r="8858" customFormat="false" ht="15" hidden="false" customHeight="false" outlineLevel="0" collapsed="false">
      <c r="A8858" s="3" t="s">
        <v>562</v>
      </c>
      <c r="C8858" s="33" t="n">
        <f aca="false">Assumptions!$Q$63</f>
        <v>0</v>
      </c>
    </row>
    <row r="8859" customFormat="false" ht="15" hidden="false" customHeight="false" outlineLevel="0" collapsed="false">
      <c r="A8859" s="3" t="s">
        <v>563</v>
      </c>
      <c r="C8859" s="33" t="n">
        <f aca="false">Assumptions!$Q$64</f>
        <v>0</v>
      </c>
    </row>
    <row r="8860" customFormat="false" ht="15" hidden="false" customHeight="false" outlineLevel="0" collapsed="false">
      <c r="A8860" s="3" t="s">
        <v>564</v>
      </c>
      <c r="C8860" s="33" t="n">
        <f aca="false">Assumptions!$Q$65</f>
        <v>0</v>
      </c>
    </row>
    <row r="8861" customFormat="false" ht="15" hidden="false" customHeight="false" outlineLevel="0" collapsed="false">
      <c r="A8861" s="3" t="s">
        <v>565</v>
      </c>
      <c r="C8861" s="33" t="n">
        <f aca="false">Assumptions!$Q$66</f>
        <v>0</v>
      </c>
    </row>
    <row r="8862" customFormat="false" ht="15" hidden="false" customHeight="false" outlineLevel="0" collapsed="false">
      <c r="A8862" s="24" t="s">
        <v>568</v>
      </c>
      <c r="B8862" s="25"/>
      <c r="C8862" s="25"/>
      <c r="D8862" s="25"/>
      <c r="E8862" s="25"/>
      <c r="F8862" s="25"/>
      <c r="G8862" s="25"/>
      <c r="H8862" s="25"/>
      <c r="I8862" s="25"/>
      <c r="J8862" s="25"/>
      <c r="K8862" s="25"/>
    </row>
    <row r="8863" customFormat="false" ht="15" hidden="false" customHeight="false" outlineLevel="0" collapsed="false">
      <c r="A8863" s="3" t="s">
        <v>556</v>
      </c>
      <c r="C8863" s="16" t="n">
        <f aca="false">IF(C8852&gt;0,MIN(C8830,C8852*$C$8828),0)</f>
        <v>403.76</v>
      </c>
    </row>
    <row r="8864" customFormat="false" ht="15" hidden="false" customHeight="false" outlineLevel="0" collapsed="false">
      <c r="A8864" s="3" t="s">
        <v>557</v>
      </c>
      <c r="C8864" s="16" t="n">
        <f aca="false">IF(C8853&gt;0,MIN(C8831,C8853*$C$8828),0)</f>
        <v>85.1568504864</v>
      </c>
    </row>
    <row r="8865" customFormat="false" ht="15" hidden="false" customHeight="false" outlineLevel="0" collapsed="false">
      <c r="A8865" s="3" t="s">
        <v>558</v>
      </c>
      <c r="C8865" s="16" t="n">
        <f aca="false">IF(C8854&gt;0,MIN(C8832,C8854*$C$8828),0)</f>
        <v>54.1907230368</v>
      </c>
    </row>
    <row r="8866" customFormat="false" ht="15" hidden="false" customHeight="false" outlineLevel="0" collapsed="false">
      <c r="A8866" s="3" t="s">
        <v>559</v>
      </c>
      <c r="C8866" s="16" t="n">
        <f aca="false">IF(C8855&gt;0,MIN(C8833,C8855*$C$8828),0)</f>
        <v>0</v>
      </c>
    </row>
    <row r="8867" customFormat="false" ht="15" hidden="false" customHeight="false" outlineLevel="0" collapsed="false">
      <c r="A8867" s="3" t="s">
        <v>560</v>
      </c>
      <c r="C8867" s="16" t="n">
        <f aca="false">IF(C8856&gt;0,MIN(C8834,C8856*$C$8828),0)</f>
        <v>0</v>
      </c>
    </row>
    <row r="8868" customFormat="false" ht="15" hidden="false" customHeight="false" outlineLevel="0" collapsed="false">
      <c r="A8868" s="3" t="s">
        <v>561</v>
      </c>
      <c r="C8868" s="16" t="n">
        <f aca="false">IF(C8857&gt;0,MIN(C8835,C8857*$C$8828),0)</f>
        <v>0</v>
      </c>
    </row>
    <row r="8869" customFormat="false" ht="15" hidden="false" customHeight="false" outlineLevel="0" collapsed="false">
      <c r="A8869" s="3" t="s">
        <v>562</v>
      </c>
      <c r="C8869" s="16" t="n">
        <f aca="false">IF(C8858&gt;0,MIN(C8836,C8858*$C$8828),0)</f>
        <v>0</v>
      </c>
    </row>
    <row r="8870" customFormat="false" ht="15" hidden="false" customHeight="false" outlineLevel="0" collapsed="false">
      <c r="A8870" s="3" t="s">
        <v>563</v>
      </c>
      <c r="C8870" s="16" t="n">
        <f aca="false">IF(C8859&gt;0,MIN(C8837,C8859*$C$8828),0)</f>
        <v>0</v>
      </c>
    </row>
    <row r="8871" customFormat="false" ht="15" hidden="false" customHeight="false" outlineLevel="0" collapsed="false">
      <c r="A8871" s="3" t="s">
        <v>564</v>
      </c>
      <c r="C8871" s="16" t="n">
        <f aca="false">IF(C8860&gt;0,MIN(C8838,C8860*$C$8828),0)</f>
        <v>0</v>
      </c>
    </row>
    <row r="8872" customFormat="false" ht="15" hidden="false" customHeight="false" outlineLevel="0" collapsed="false">
      <c r="A8872" s="3" t="s">
        <v>565</v>
      </c>
      <c r="C8872" s="16" t="n">
        <f aca="false">IF(C8861&gt;0,MIN(C8839,C8861*$C$8828),0)</f>
        <v>0</v>
      </c>
    </row>
    <row r="8873" customFormat="false" ht="15" hidden="false" customHeight="false" outlineLevel="0" collapsed="false">
      <c r="A8873" s="24" t="s">
        <v>569</v>
      </c>
      <c r="B8873" s="25"/>
      <c r="C8873" s="25"/>
      <c r="D8873" s="25"/>
      <c r="E8873" s="25"/>
      <c r="F8873" s="25"/>
      <c r="G8873" s="25"/>
      <c r="H8873" s="25"/>
      <c r="I8873" s="25"/>
      <c r="J8873" s="25"/>
      <c r="K8873" s="25"/>
    </row>
    <row r="8874" customFormat="false" ht="15" hidden="false" customHeight="false" outlineLevel="0" collapsed="false">
      <c r="A8874" s="3" t="s">
        <v>556</v>
      </c>
      <c r="C8874" s="16" t="n">
        <f aca="false">IF(C8852&gt;0,C8830-C8863,0)</f>
        <v>0</v>
      </c>
      <c r="G8874" s="21" t="n">
        <f aca="false">IF(AND(G8565=1,G8562=1),1,0)</f>
        <v>0</v>
      </c>
      <c r="H8874" s="21" t="n">
        <f aca="false">IF(G8874=1,1,IF(AND(H8565=1,H8562=1),1,0))</f>
        <v>0</v>
      </c>
      <c r="I8874" s="21" t="n">
        <f aca="false">IF(H8874=1,1,IF(AND(I8565=1,I8562=1),1,0))</f>
        <v>0</v>
      </c>
      <c r="J8874" s="21" t="n">
        <f aca="false">IF(I8874=1,1,IF(AND(J8565=1,J8562=1),1,0))</f>
        <v>0</v>
      </c>
      <c r="K8874" s="21" t="n">
        <f aca="false">IF(J8874=1,1,IF(AND(K8565=1,K8562=1),1,0))</f>
        <v>0</v>
      </c>
    </row>
    <row r="8875" customFormat="false" ht="15" hidden="false" customHeight="false" outlineLevel="0" collapsed="false">
      <c r="A8875" s="3" t="s">
        <v>557</v>
      </c>
      <c r="C8875" s="16" t="n">
        <f aca="false">IF(C8853&gt;0,C8831-C8864,0)</f>
        <v>6.15039951360001</v>
      </c>
      <c r="G8875" s="21" t="n">
        <f aca="false">IF(AND(G8578=1,G8562=1),1,0)</f>
        <v>0</v>
      </c>
      <c r="H8875" s="21" t="n">
        <f aca="false">IF(G8875=1,1,IF(AND(H8578=1,H8562=1),1,0))</f>
        <v>0</v>
      </c>
      <c r="I8875" s="21" t="n">
        <f aca="false">IF(H8875=1,1,IF(AND(I8578=1,I8562=1),1,0))</f>
        <v>0</v>
      </c>
      <c r="J8875" s="21" t="n">
        <f aca="false">IF(I8875=1,1,IF(AND(J8578=1,J8562=1),1,0))</f>
        <v>0</v>
      </c>
      <c r="K8875" s="21" t="n">
        <f aca="false">IF(J8875=1,1,IF(AND(K8578=1,K8562=1),1,0))</f>
        <v>0</v>
      </c>
    </row>
    <row r="8876" customFormat="false" ht="15" hidden="false" customHeight="false" outlineLevel="0" collapsed="false">
      <c r="A8876" s="3" t="s">
        <v>558</v>
      </c>
      <c r="C8876" s="16" t="n">
        <f aca="false">IF(C8854&gt;0,C8832-C8865,0)</f>
        <v>4.1808730632</v>
      </c>
      <c r="G8876" s="21" t="n">
        <f aca="false">IF(AND(G8591=1,G8562=1),1,0)</f>
        <v>0</v>
      </c>
      <c r="H8876" s="21" t="n">
        <f aca="false">IF(G8876=1,1,IF(AND(H8591=1,H8562=1),1,0))</f>
        <v>0</v>
      </c>
      <c r="I8876" s="21" t="n">
        <f aca="false">IF(H8876=1,1,IF(AND(I8591=1,I8562=1),1,0))</f>
        <v>0</v>
      </c>
      <c r="J8876" s="21" t="n">
        <f aca="false">IF(I8876=1,1,IF(AND(J8591=1,J8562=1),1,0))</f>
        <v>0</v>
      </c>
      <c r="K8876" s="21" t="n">
        <f aca="false">IF(J8876=1,1,IF(AND(K8591=1,K8562=1),1,0))</f>
        <v>0</v>
      </c>
    </row>
    <row r="8877" customFormat="false" ht="15" hidden="false" customHeight="false" outlineLevel="0" collapsed="false">
      <c r="A8877" s="3" t="s">
        <v>559</v>
      </c>
      <c r="C8877" s="16" t="n">
        <f aca="false">IF(C8855&gt;0,C8833-C8866,0)</f>
        <v>0</v>
      </c>
      <c r="G8877" s="21" t="n">
        <f aca="false">IF(AND(G8604=1,G8562=1),1,0)</f>
        <v>0</v>
      </c>
      <c r="H8877" s="21" t="n">
        <f aca="false">IF(G8877=1,1,IF(AND(H8604=1,H8562=1),1,0))</f>
        <v>0</v>
      </c>
      <c r="I8877" s="21" t="n">
        <f aca="false">IF(H8877=1,1,IF(AND(I8604=1,I8562=1),1,0))</f>
        <v>0</v>
      </c>
      <c r="J8877" s="21" t="n">
        <f aca="false">IF(I8877=1,1,IF(AND(J8604=1,J8562=1),1,0))</f>
        <v>0</v>
      </c>
      <c r="K8877" s="21" t="n">
        <f aca="false">IF(J8877=1,1,IF(AND(K8604=1,K8562=1),1,0))</f>
        <v>0</v>
      </c>
    </row>
    <row r="8878" customFormat="false" ht="15" hidden="false" customHeight="false" outlineLevel="0" collapsed="false">
      <c r="A8878" s="3" t="s">
        <v>560</v>
      </c>
      <c r="C8878" s="16" t="n">
        <f aca="false">IF(C8856&gt;0,C8834-C8867,0)</f>
        <v>0</v>
      </c>
      <c r="G8878" s="21" t="n">
        <f aca="false">IF(AND(G8617=1,G8562=1),1,0)</f>
        <v>0</v>
      </c>
      <c r="H8878" s="21" t="n">
        <f aca="false">IF(G8878=1,1,IF(AND(H8617=1,H8562=1),1,0))</f>
        <v>0</v>
      </c>
      <c r="I8878" s="21" t="n">
        <f aca="false">IF(H8878=1,1,IF(AND(I8617=1,I8562=1),1,0))</f>
        <v>0</v>
      </c>
      <c r="J8878" s="21" t="n">
        <f aca="false">IF(I8878=1,1,IF(AND(J8617=1,J8562=1),1,0))</f>
        <v>0</v>
      </c>
      <c r="K8878" s="21" t="n">
        <f aca="false">IF(J8878=1,1,IF(AND(K8617=1,K8562=1),1,0))</f>
        <v>0</v>
      </c>
    </row>
    <row r="8879" customFormat="false" ht="15" hidden="false" customHeight="false" outlineLevel="0" collapsed="false">
      <c r="A8879" s="3" t="s">
        <v>561</v>
      </c>
      <c r="C8879" s="16" t="n">
        <f aca="false">IF(C8857&gt;0,C8835-C8868,0)</f>
        <v>0</v>
      </c>
      <c r="G8879" s="21" t="n">
        <f aca="false">IF(AND(G8630=1,G8562=1),1,0)</f>
        <v>0</v>
      </c>
      <c r="H8879" s="21" t="n">
        <f aca="false">IF(G8879=1,1,IF(AND(H8630=1,H8562=1),1,0))</f>
        <v>0</v>
      </c>
      <c r="I8879" s="21" t="n">
        <f aca="false">IF(H8879=1,1,IF(AND(I8630=1,I8562=1),1,0))</f>
        <v>0</v>
      </c>
      <c r="J8879" s="21" t="n">
        <f aca="false">IF(I8879=1,1,IF(AND(J8630=1,J8562=1),1,0))</f>
        <v>0</v>
      </c>
      <c r="K8879" s="21" t="n">
        <f aca="false">IF(J8879=1,1,IF(AND(K8630=1,K8562=1),1,0))</f>
        <v>0</v>
      </c>
    </row>
    <row r="8880" customFormat="false" ht="15" hidden="false" customHeight="false" outlineLevel="0" collapsed="false">
      <c r="A8880" s="3" t="s">
        <v>562</v>
      </c>
      <c r="C8880" s="16" t="n">
        <f aca="false">IF(C8858&gt;0,C8836-C8869,0)</f>
        <v>0</v>
      </c>
      <c r="G8880" s="21" t="n">
        <f aca="false">IF(AND(G8643=1,G8562=1),1,0)</f>
        <v>0</v>
      </c>
      <c r="H8880" s="21" t="n">
        <f aca="false">IF(G8880=1,1,IF(AND(H8643=1,H8562=1),1,0))</f>
        <v>0</v>
      </c>
      <c r="I8880" s="21" t="n">
        <f aca="false">IF(H8880=1,1,IF(AND(I8643=1,I8562=1),1,0))</f>
        <v>0</v>
      </c>
      <c r="J8880" s="21" t="n">
        <f aca="false">IF(I8880=1,1,IF(AND(J8643=1,J8562=1),1,0))</f>
        <v>0</v>
      </c>
      <c r="K8880" s="21" t="n">
        <f aca="false">IF(J8880=1,1,IF(AND(K8643=1,K8562=1),1,0))</f>
        <v>0</v>
      </c>
    </row>
    <row r="8881" customFormat="false" ht="15" hidden="false" customHeight="false" outlineLevel="0" collapsed="false">
      <c r="A8881" s="3" t="s">
        <v>563</v>
      </c>
      <c r="C8881" s="16" t="n">
        <f aca="false">IF(C8859&gt;0,C8837-C8870,0)</f>
        <v>0</v>
      </c>
      <c r="G8881" s="21" t="n">
        <f aca="false">IF(AND(G8656=1,G8562=1),1,0)</f>
        <v>0</v>
      </c>
      <c r="H8881" s="21" t="n">
        <f aca="false">IF(G8881=1,1,IF(AND(H8656=1,H8562=1),1,0))</f>
        <v>0</v>
      </c>
      <c r="I8881" s="21" t="n">
        <f aca="false">IF(H8881=1,1,IF(AND(I8656=1,I8562=1),1,0))</f>
        <v>0</v>
      </c>
      <c r="J8881" s="21" t="n">
        <f aca="false">IF(I8881=1,1,IF(AND(J8656=1,J8562=1),1,0))</f>
        <v>0</v>
      </c>
      <c r="K8881" s="21" t="n">
        <f aca="false">IF(J8881=1,1,IF(AND(K8656=1,K8562=1),1,0))</f>
        <v>0</v>
      </c>
    </row>
    <row r="8882" customFormat="false" ht="15" hidden="false" customHeight="false" outlineLevel="0" collapsed="false">
      <c r="A8882" s="3" t="s">
        <v>564</v>
      </c>
      <c r="C8882" s="16" t="n">
        <f aca="false">IF(C8860&gt;0,C8838-C8871,0)</f>
        <v>0</v>
      </c>
      <c r="G8882" s="21" t="n">
        <f aca="false">IF(AND(G8669=1,G8562=1),1,0)</f>
        <v>0</v>
      </c>
      <c r="H8882" s="21" t="n">
        <f aca="false">IF(G8882=1,1,IF(AND(H8669=1,H8562=1),1,0))</f>
        <v>0</v>
      </c>
      <c r="I8882" s="21" t="n">
        <f aca="false">IF(H8882=1,1,IF(AND(I8669=1,I8562=1),1,0))</f>
        <v>0</v>
      </c>
      <c r="J8882" s="21" t="n">
        <f aca="false">IF(I8882=1,1,IF(AND(J8669=1,J8562=1),1,0))</f>
        <v>0</v>
      </c>
      <c r="K8882" s="21" t="n">
        <f aca="false">IF(J8882=1,1,IF(AND(K8669=1,K8562=1),1,0))</f>
        <v>0</v>
      </c>
    </row>
    <row r="8883" customFormat="false" ht="15" hidden="false" customHeight="false" outlineLevel="0" collapsed="false">
      <c r="A8883" s="3" t="s">
        <v>565</v>
      </c>
      <c r="C8883" s="16" t="n">
        <f aca="false">IF(C8861&gt;0,C8839-C8872,0)</f>
        <v>0</v>
      </c>
      <c r="G8883" s="21" t="n">
        <f aca="false">IF(AND(G8682=1,G8562=1),1,0)</f>
        <v>0</v>
      </c>
      <c r="H8883" s="21" t="n">
        <f aca="false">IF(G8883=1,1,IF(AND(H8682=1,H8562=1),1,0))</f>
        <v>0</v>
      </c>
      <c r="I8883" s="21" t="n">
        <f aca="false">IF(H8883=1,1,IF(AND(I8682=1,I8562=1),1,0))</f>
        <v>0</v>
      </c>
      <c r="J8883" s="21" t="n">
        <f aca="false">IF(I8883=1,1,IF(AND(J8682=1,J8562=1),1,0))</f>
        <v>0</v>
      </c>
      <c r="K8883" s="21" t="n">
        <f aca="false">IF(J8883=1,1,IF(AND(K8682=1,K8562=1),1,0))</f>
        <v>0</v>
      </c>
    </row>
    <row r="8884" customFormat="false" ht="15" hidden="false" customHeight="false" outlineLevel="0" collapsed="false">
      <c r="A8884" s="24" t="s">
        <v>570</v>
      </c>
      <c r="B8884" s="25"/>
      <c r="C8884" s="25"/>
      <c r="D8884" s="25"/>
      <c r="E8884" s="25"/>
      <c r="F8884" s="25"/>
      <c r="G8884" s="25"/>
      <c r="H8884" s="25"/>
      <c r="I8884" s="25"/>
      <c r="J8884" s="25"/>
      <c r="K8884" s="25"/>
    </row>
    <row r="8885" customFormat="false" ht="15" hidden="false" customHeight="false" outlineLevel="0" collapsed="false">
      <c r="A8885" s="3" t="s">
        <v>556</v>
      </c>
      <c r="C8885" s="16" t="n">
        <f aca="false">IF(C8852&gt;0,C8874,C8830)</f>
        <v>0</v>
      </c>
    </row>
    <row r="8886" customFormat="false" ht="15" hidden="false" customHeight="false" outlineLevel="0" collapsed="false">
      <c r="A8886" s="3" t="s">
        <v>557</v>
      </c>
      <c r="C8886" s="16" t="n">
        <f aca="false">IF(C8853&gt;0,C8875,C8831)</f>
        <v>6.15039951360001</v>
      </c>
    </row>
    <row r="8887" customFormat="false" ht="15" hidden="false" customHeight="false" outlineLevel="0" collapsed="false">
      <c r="A8887" s="3" t="s">
        <v>558</v>
      </c>
      <c r="C8887" s="16" t="n">
        <f aca="false">IF(C8854&gt;0,C8876,C8832)</f>
        <v>4.1808730632</v>
      </c>
    </row>
    <row r="8888" customFormat="false" ht="15" hidden="false" customHeight="false" outlineLevel="0" collapsed="false">
      <c r="A8888" s="3" t="s">
        <v>559</v>
      </c>
      <c r="C8888" s="16" t="n">
        <f aca="false">IF(C8855&gt;0,C8877,C8833)</f>
        <v>0</v>
      </c>
    </row>
    <row r="8889" customFormat="false" ht="15" hidden="false" customHeight="false" outlineLevel="0" collapsed="false">
      <c r="A8889" s="3" t="s">
        <v>560</v>
      </c>
      <c r="C8889" s="16" t="n">
        <f aca="false">IF(C8856&gt;0,C8878,C8834)</f>
        <v>454.44375</v>
      </c>
    </row>
    <row r="8890" customFormat="false" ht="15" hidden="false" customHeight="false" outlineLevel="0" collapsed="false">
      <c r="A8890" s="3" t="s">
        <v>561</v>
      </c>
      <c r="C8890" s="16" t="n">
        <f aca="false">IF(C8857&gt;0,C8879,C8835)</f>
        <v>357.2625</v>
      </c>
    </row>
    <row r="8891" customFormat="false" ht="15" hidden="false" customHeight="false" outlineLevel="0" collapsed="false">
      <c r="A8891" s="3" t="s">
        <v>562</v>
      </c>
      <c r="C8891" s="16" t="n">
        <f aca="false">IF(C8858&gt;0,C8880,C8836)</f>
        <v>562.203125</v>
      </c>
    </row>
    <row r="8892" customFormat="false" ht="15" hidden="false" customHeight="false" outlineLevel="0" collapsed="false">
      <c r="A8892" s="3" t="s">
        <v>563</v>
      </c>
      <c r="C8892" s="16" t="n">
        <f aca="false">IF(C8859&gt;0,C8881,C8837)</f>
        <v>353.98125</v>
      </c>
    </row>
    <row r="8893" customFormat="false" ht="15" hidden="false" customHeight="false" outlineLevel="0" collapsed="false">
      <c r="A8893" s="3" t="s">
        <v>564</v>
      </c>
      <c r="C8893" s="16" t="n">
        <f aca="false">IF(C8860&gt;0,C8882,C8838)</f>
        <v>304.59375</v>
      </c>
    </row>
    <row r="8894" customFormat="false" ht="15" hidden="false" customHeight="false" outlineLevel="0" collapsed="false">
      <c r="A8894" s="3" t="s">
        <v>565</v>
      </c>
      <c r="C8894" s="16" t="n">
        <f aca="false">IF(C8861&gt;0,C8883,C8839)</f>
        <v>80.2332965</v>
      </c>
    </row>
    <row r="8895" customFormat="false" ht="15" hidden="false" customHeight="false" outlineLevel="0" collapsed="false">
      <c r="A8895" s="24" t="s">
        <v>571</v>
      </c>
      <c r="B8895" s="25"/>
      <c r="C8895" s="25"/>
      <c r="D8895" s="25"/>
      <c r="E8895" s="25"/>
      <c r="F8895" s="25"/>
      <c r="G8895" s="25"/>
      <c r="H8895" s="25"/>
      <c r="I8895" s="25"/>
      <c r="J8895" s="25"/>
      <c r="K8895" s="25"/>
    </row>
    <row r="8896" customFormat="false" ht="15" hidden="false" customHeight="false" outlineLevel="0" collapsed="false">
      <c r="A8896" s="3" t="s">
        <v>556</v>
      </c>
      <c r="C8896" s="21" t="n">
        <f aca="false">IF(C8852&gt;0,Assumptions!$C$17,C8841)</f>
        <v>99</v>
      </c>
    </row>
    <row r="8897" customFormat="false" ht="15" hidden="false" customHeight="false" outlineLevel="0" collapsed="false">
      <c r="A8897" s="3" t="s">
        <v>557</v>
      </c>
      <c r="C8897" s="21" t="n">
        <f aca="false">IF(C8853&gt;0,Assumptions!$C$17,C8842)</f>
        <v>99</v>
      </c>
    </row>
    <row r="8898" customFormat="false" ht="15" hidden="false" customHeight="false" outlineLevel="0" collapsed="false">
      <c r="A8898" s="3" t="s">
        <v>558</v>
      </c>
      <c r="C8898" s="21" t="n">
        <f aca="false">IF(C8854&gt;0,Assumptions!$C$17,C8843)</f>
        <v>99</v>
      </c>
    </row>
    <row r="8899" customFormat="false" ht="15" hidden="false" customHeight="false" outlineLevel="0" collapsed="false">
      <c r="A8899" s="3" t="s">
        <v>559</v>
      </c>
      <c r="C8899" s="21" t="n">
        <f aca="false">IF(C8855&gt;0,Assumptions!$C$17,C8844)</f>
        <v>2</v>
      </c>
    </row>
    <row r="8900" customFormat="false" ht="15" hidden="false" customHeight="false" outlineLevel="0" collapsed="false">
      <c r="A8900" s="3" t="s">
        <v>560</v>
      </c>
      <c r="C8900" s="21" t="n">
        <f aca="false">IF(C8856&gt;0,Assumptions!$C$17,C8845)</f>
        <v>2</v>
      </c>
    </row>
    <row r="8901" customFormat="false" ht="15" hidden="false" customHeight="false" outlineLevel="0" collapsed="false">
      <c r="A8901" s="3" t="s">
        <v>561</v>
      </c>
      <c r="C8901" s="21" t="n">
        <f aca="false">IF(C8857&gt;0,Assumptions!$C$17,C8846)</f>
        <v>2</v>
      </c>
    </row>
    <row r="8902" customFormat="false" ht="15" hidden="false" customHeight="false" outlineLevel="0" collapsed="false">
      <c r="A8902" s="3" t="s">
        <v>562</v>
      </c>
      <c r="C8902" s="21" t="n">
        <f aca="false">IF(C8858&gt;0,Assumptions!$C$17,C8847)</f>
        <v>2</v>
      </c>
    </row>
    <row r="8903" customFormat="false" ht="15" hidden="false" customHeight="false" outlineLevel="0" collapsed="false">
      <c r="A8903" s="3" t="s">
        <v>563</v>
      </c>
      <c r="C8903" s="21" t="n">
        <f aca="false">IF(C8859&gt;0,Assumptions!$C$17,C8848)</f>
        <v>2</v>
      </c>
    </row>
    <row r="8904" customFormat="false" ht="15" hidden="false" customHeight="false" outlineLevel="0" collapsed="false">
      <c r="A8904" s="3" t="s">
        <v>564</v>
      </c>
      <c r="C8904" s="21" t="n">
        <f aca="false">IF(C8860&gt;0,Assumptions!$C$17,C8849)</f>
        <v>2</v>
      </c>
    </row>
    <row r="8905" customFormat="false" ht="15" hidden="false" customHeight="false" outlineLevel="0" collapsed="false">
      <c r="A8905" s="3" t="s">
        <v>565</v>
      </c>
      <c r="C8905" s="21" t="n">
        <f aca="false">IF(C8861&gt;0,Assumptions!$C$17,C8850)</f>
        <v>3</v>
      </c>
    </row>
    <row r="8906" customFormat="false" ht="15" hidden="false" customHeight="false" outlineLevel="0" collapsed="false">
      <c r="A8906" s="24" t="s">
        <v>572</v>
      </c>
      <c r="B8906" s="25"/>
      <c r="C8906" s="25"/>
      <c r="D8906" s="25"/>
      <c r="E8906" s="25"/>
      <c r="F8906" s="25"/>
      <c r="G8906" s="25"/>
      <c r="H8906" s="25"/>
      <c r="I8906" s="25"/>
      <c r="J8906" s="25"/>
      <c r="K8906" s="25"/>
    </row>
    <row r="8907" customFormat="false" ht="15" hidden="false" customHeight="false" outlineLevel="0" collapsed="false">
      <c r="A8907" s="3" t="s">
        <v>556</v>
      </c>
      <c r="C8907" s="16" t="n">
        <f aca="false">SUMPRODUCT(($C$8896:$C$8905&lt;C8896)*$C$8885:$C$8894)</f>
        <v>2112.7176715</v>
      </c>
    </row>
    <row r="8908" customFormat="false" ht="15" hidden="false" customHeight="false" outlineLevel="0" collapsed="false">
      <c r="A8908" s="3" t="s">
        <v>557</v>
      </c>
      <c r="C8908" s="16" t="n">
        <f aca="false">SUMPRODUCT(($C$8896:$C$8905&lt;C8897)*$C$8885:$C$8894)</f>
        <v>2112.7176715</v>
      </c>
    </row>
    <row r="8909" customFormat="false" ht="15" hidden="false" customHeight="false" outlineLevel="0" collapsed="false">
      <c r="A8909" s="3" t="s">
        <v>558</v>
      </c>
      <c r="C8909" s="16" t="n">
        <f aca="false">SUMPRODUCT(($C$8896:$C$8905&lt;C8898)*$C$8885:$C$8894)</f>
        <v>2112.7176715</v>
      </c>
    </row>
    <row r="8910" customFormat="false" ht="15" hidden="false" customHeight="false" outlineLevel="0" collapsed="false">
      <c r="A8910" s="3" t="s">
        <v>559</v>
      </c>
      <c r="C8910" s="16" t="n">
        <f aca="false">SUMPRODUCT(($C$8896:$C$8905&lt;C8899)*$C$8885:$C$8894)</f>
        <v>0</v>
      </c>
    </row>
    <row r="8911" customFormat="false" ht="15" hidden="false" customHeight="false" outlineLevel="0" collapsed="false">
      <c r="A8911" s="3" t="s">
        <v>560</v>
      </c>
      <c r="C8911" s="16" t="n">
        <f aca="false">SUMPRODUCT(($C$8896:$C$8905&lt;C8900)*$C$8885:$C$8894)</f>
        <v>0</v>
      </c>
    </row>
    <row r="8912" customFormat="false" ht="15" hidden="false" customHeight="false" outlineLevel="0" collapsed="false">
      <c r="A8912" s="3" t="s">
        <v>561</v>
      </c>
      <c r="C8912" s="16" t="n">
        <f aca="false">SUMPRODUCT(($C$8896:$C$8905&lt;C8901)*$C$8885:$C$8894)</f>
        <v>0</v>
      </c>
    </row>
    <row r="8913" customFormat="false" ht="15" hidden="false" customHeight="false" outlineLevel="0" collapsed="false">
      <c r="A8913" s="3" t="s">
        <v>562</v>
      </c>
      <c r="C8913" s="16" t="n">
        <f aca="false">SUMPRODUCT(($C$8896:$C$8905&lt;C8902)*$C$8885:$C$8894)</f>
        <v>0</v>
      </c>
    </row>
    <row r="8914" customFormat="false" ht="15" hidden="false" customHeight="false" outlineLevel="0" collapsed="false">
      <c r="A8914" s="3" t="s">
        <v>563</v>
      </c>
      <c r="C8914" s="16" t="n">
        <f aca="false">SUMPRODUCT(($C$8896:$C$8905&lt;C8903)*$C$8885:$C$8894)</f>
        <v>0</v>
      </c>
    </row>
    <row r="8915" customFormat="false" ht="15" hidden="false" customHeight="false" outlineLevel="0" collapsed="false">
      <c r="A8915" s="3" t="s">
        <v>564</v>
      </c>
      <c r="C8915" s="16" t="n">
        <f aca="false">SUMPRODUCT(($C$8896:$C$8905&lt;C8904)*$C$8885:$C$8894)</f>
        <v>0</v>
      </c>
    </row>
    <row r="8916" customFormat="false" ht="15" hidden="false" customHeight="false" outlineLevel="0" collapsed="false">
      <c r="A8916" s="3" t="s">
        <v>565</v>
      </c>
      <c r="C8916" s="16" t="n">
        <f aca="false">SUMPRODUCT(($C$8896:$C$8905&lt;C8905)*$C$8885:$C$8894)</f>
        <v>2032.484375</v>
      </c>
    </row>
    <row r="8917" customFormat="false" ht="15" hidden="false" customHeight="false" outlineLevel="0" collapsed="false">
      <c r="A8917" s="24" t="s">
        <v>573</v>
      </c>
      <c r="B8917" s="25"/>
      <c r="C8917" s="25"/>
      <c r="D8917" s="25"/>
      <c r="E8917" s="25"/>
      <c r="F8917" s="25"/>
      <c r="G8917" s="25"/>
      <c r="H8917" s="25"/>
      <c r="I8917" s="25"/>
      <c r="J8917" s="25"/>
      <c r="K8917" s="25"/>
    </row>
    <row r="8918" customFormat="false" ht="15" hidden="false" customHeight="false" outlineLevel="0" collapsed="false">
      <c r="A8918" s="3" t="s">
        <v>556</v>
      </c>
      <c r="C8918" s="16" t="n">
        <f aca="false">SUMPRODUCT(($C$8896:$C$8905=C8896)*$C$8885:$C$8894)</f>
        <v>10.3312725768</v>
      </c>
    </row>
    <row r="8919" customFormat="false" ht="15" hidden="false" customHeight="false" outlineLevel="0" collapsed="false">
      <c r="A8919" s="3" t="s">
        <v>557</v>
      </c>
      <c r="C8919" s="16" t="n">
        <f aca="false">SUMPRODUCT(($C$8896:$C$8905=C8897)*$C$8885:$C$8894)</f>
        <v>10.3312725768</v>
      </c>
    </row>
    <row r="8920" customFormat="false" ht="15" hidden="false" customHeight="false" outlineLevel="0" collapsed="false">
      <c r="A8920" s="3" t="s">
        <v>558</v>
      </c>
      <c r="C8920" s="16" t="n">
        <f aca="false">SUMPRODUCT(($C$8896:$C$8905=C8898)*$C$8885:$C$8894)</f>
        <v>10.3312725768</v>
      </c>
    </row>
    <row r="8921" customFormat="false" ht="15" hidden="false" customHeight="false" outlineLevel="0" collapsed="false">
      <c r="A8921" s="3" t="s">
        <v>559</v>
      </c>
      <c r="C8921" s="16" t="n">
        <f aca="false">SUMPRODUCT(($C$8896:$C$8905=C8899)*$C$8885:$C$8894)</f>
        <v>2032.484375</v>
      </c>
    </row>
    <row r="8922" customFormat="false" ht="15" hidden="false" customHeight="false" outlineLevel="0" collapsed="false">
      <c r="A8922" s="3" t="s">
        <v>560</v>
      </c>
      <c r="C8922" s="16" t="n">
        <f aca="false">SUMPRODUCT(($C$8896:$C$8905=C8900)*$C$8885:$C$8894)</f>
        <v>2032.484375</v>
      </c>
    </row>
    <row r="8923" customFormat="false" ht="15" hidden="false" customHeight="false" outlineLevel="0" collapsed="false">
      <c r="A8923" s="3" t="s">
        <v>561</v>
      </c>
      <c r="C8923" s="16" t="n">
        <f aca="false">SUMPRODUCT(($C$8896:$C$8905=C8901)*$C$8885:$C$8894)</f>
        <v>2032.484375</v>
      </c>
    </row>
    <row r="8924" customFormat="false" ht="15" hidden="false" customHeight="false" outlineLevel="0" collapsed="false">
      <c r="A8924" s="3" t="s">
        <v>562</v>
      </c>
      <c r="C8924" s="16" t="n">
        <f aca="false">SUMPRODUCT(($C$8896:$C$8905=C8902)*$C$8885:$C$8894)</f>
        <v>2032.484375</v>
      </c>
    </row>
    <row r="8925" customFormat="false" ht="15" hidden="false" customHeight="false" outlineLevel="0" collapsed="false">
      <c r="A8925" s="3" t="s">
        <v>563</v>
      </c>
      <c r="C8925" s="16" t="n">
        <f aca="false">SUMPRODUCT(($C$8896:$C$8905=C8903)*$C$8885:$C$8894)</f>
        <v>2032.484375</v>
      </c>
    </row>
    <row r="8926" customFormat="false" ht="15" hidden="false" customHeight="false" outlineLevel="0" collapsed="false">
      <c r="A8926" s="3" t="s">
        <v>564</v>
      </c>
      <c r="C8926" s="16" t="n">
        <f aca="false">SUMPRODUCT(($C$8896:$C$8905=C8904)*$C$8885:$C$8894)</f>
        <v>2032.484375</v>
      </c>
    </row>
    <row r="8927" customFormat="false" ht="15" hidden="false" customHeight="false" outlineLevel="0" collapsed="false">
      <c r="A8927" s="3" t="s">
        <v>565</v>
      </c>
      <c r="C8927" s="16" t="n">
        <f aca="false">SUMPRODUCT(($C$8896:$C$8905=C8905)*$C$8885:$C$8894)</f>
        <v>80.2332965</v>
      </c>
    </row>
    <row r="8928" customFormat="false" ht="15" hidden="false" customHeight="false" outlineLevel="0" collapsed="false">
      <c r="A8928" s="24" t="s">
        <v>574</v>
      </c>
      <c r="B8928" s="25"/>
      <c r="C8928" s="25"/>
      <c r="D8928" s="25"/>
      <c r="E8928" s="25"/>
      <c r="F8928" s="25"/>
      <c r="G8928" s="25"/>
      <c r="H8928" s="25"/>
      <c r="I8928" s="25"/>
      <c r="J8928" s="25"/>
      <c r="K8928" s="25"/>
    </row>
    <row r="8929" customFormat="false" ht="15" hidden="false" customHeight="false" outlineLevel="0" collapsed="false">
      <c r="A8929" s="3" t="s">
        <v>556</v>
      </c>
      <c r="C8929" s="16" t="n">
        <f aca="false">IF(C8918=0,0,C8885/C8918*MAX(0,MIN(C8918,$C$8828-SUM($C$8863:$C$8872)-C8907)))</f>
        <v>0</v>
      </c>
    </row>
    <row r="8930" customFormat="false" ht="15" hidden="false" customHeight="false" outlineLevel="0" collapsed="false">
      <c r="A8930" s="3" t="s">
        <v>557</v>
      </c>
      <c r="C8930" s="16" t="n">
        <f aca="false">IF(C8919=0,0,C8886/C8919*MAX(0,MIN(C8919,$C$8828-SUM($C$8863:$C$8872)-C8908)))</f>
        <v>0</v>
      </c>
    </row>
    <row r="8931" customFormat="false" ht="15" hidden="false" customHeight="false" outlineLevel="0" collapsed="false">
      <c r="A8931" s="3" t="s">
        <v>558</v>
      </c>
      <c r="C8931" s="16" t="n">
        <f aca="false">IF(C8920=0,0,C8887/C8920*MAX(0,MIN(C8920,$C$8828-SUM($C$8863:$C$8872)-C8909)))</f>
        <v>0</v>
      </c>
    </row>
    <row r="8932" customFormat="false" ht="15" hidden="false" customHeight="false" outlineLevel="0" collapsed="false">
      <c r="A8932" s="3" t="s">
        <v>559</v>
      </c>
      <c r="C8932" s="16" t="n">
        <f aca="false">IF(C8921=0,0,C8888/C8921*MAX(0,MIN(C8921,$C$8828-SUM($C$8863:$C$8872)-C8910)))</f>
        <v>0</v>
      </c>
    </row>
    <row r="8933" customFormat="false" ht="15" hidden="false" customHeight="false" outlineLevel="0" collapsed="false">
      <c r="A8933" s="3" t="s">
        <v>560</v>
      </c>
      <c r="C8933" s="16" t="n">
        <f aca="false">IF(C8922=0,0,C8889/C8922*MAX(0,MIN(C8922,$C$8828-SUM($C$8863:$C$8872)-C8911)))</f>
        <v>454.44375</v>
      </c>
    </row>
    <row r="8934" customFormat="false" ht="15" hidden="false" customHeight="false" outlineLevel="0" collapsed="false">
      <c r="A8934" s="3" t="s">
        <v>561</v>
      </c>
      <c r="C8934" s="16" t="n">
        <f aca="false">IF(C8923=0,0,C8890/C8923*MAX(0,MIN(C8923,$C$8828-SUM($C$8863:$C$8872)-C8912)))</f>
        <v>357.2625</v>
      </c>
    </row>
    <row r="8935" customFormat="false" ht="15" hidden="false" customHeight="false" outlineLevel="0" collapsed="false">
      <c r="A8935" s="3" t="s">
        <v>562</v>
      </c>
      <c r="C8935" s="16" t="n">
        <f aca="false">IF(C8924=0,0,C8891/C8924*MAX(0,MIN(C8924,$C$8828-SUM($C$8863:$C$8872)-C8913)))</f>
        <v>562.203125</v>
      </c>
    </row>
    <row r="8936" customFormat="false" ht="15" hidden="false" customHeight="false" outlineLevel="0" collapsed="false">
      <c r="A8936" s="3" t="s">
        <v>563</v>
      </c>
      <c r="C8936" s="16" t="n">
        <f aca="false">IF(C8925=0,0,C8892/C8925*MAX(0,MIN(C8925,$C$8828-SUM($C$8863:$C$8872)-C8914)))</f>
        <v>353.98125</v>
      </c>
    </row>
    <row r="8937" customFormat="false" ht="15" hidden="false" customHeight="false" outlineLevel="0" collapsed="false">
      <c r="A8937" s="3" t="s">
        <v>564</v>
      </c>
      <c r="C8937" s="16" t="n">
        <f aca="false">IF(C8926=0,0,C8893/C8926*MAX(0,MIN(C8926,$C$8828-SUM($C$8863:$C$8872)-C8915)))</f>
        <v>304.59375</v>
      </c>
    </row>
    <row r="8938" customFormat="false" ht="15" hidden="false" customHeight="false" outlineLevel="0" collapsed="false">
      <c r="A8938" s="3" t="s">
        <v>565</v>
      </c>
      <c r="C8938" s="16" t="n">
        <f aca="false">IF(C8927=0,0,C8894/C8927*MAX(0,MIN(C8927,$C$8828-SUM($C$8863:$C$8872)-C8916)))</f>
        <v>4.91867227679973</v>
      </c>
    </row>
    <row r="8939" customFormat="false" ht="15" hidden="false" customHeight="false" outlineLevel="0" collapsed="false">
      <c r="A8939" s="24" t="s">
        <v>575</v>
      </c>
      <c r="B8939" s="25"/>
      <c r="C8939" s="25"/>
      <c r="D8939" s="25"/>
      <c r="E8939" s="25"/>
      <c r="F8939" s="25"/>
      <c r="G8939" s="25"/>
      <c r="H8939" s="25"/>
      <c r="I8939" s="25"/>
      <c r="J8939" s="25"/>
      <c r="K8939" s="25"/>
    </row>
    <row r="8940" customFormat="false" ht="15" hidden="false" customHeight="false" outlineLevel="0" collapsed="false">
      <c r="A8940" s="2" t="s">
        <v>556</v>
      </c>
      <c r="C8940" s="17" t="n">
        <f aca="false">C8863+C8929</f>
        <v>403.76</v>
      </c>
    </row>
    <row r="8941" customFormat="false" ht="15" hidden="false" customHeight="false" outlineLevel="0" collapsed="false">
      <c r="A8941" s="2" t="s">
        <v>557</v>
      </c>
      <c r="C8941" s="17" t="n">
        <f aca="false">C8864+C8930</f>
        <v>85.1568504864</v>
      </c>
    </row>
    <row r="8942" customFormat="false" ht="15" hidden="false" customHeight="false" outlineLevel="0" collapsed="false">
      <c r="A8942" s="2" t="s">
        <v>558</v>
      </c>
      <c r="C8942" s="17" t="n">
        <f aca="false">C8865+C8931</f>
        <v>54.1907230368</v>
      </c>
    </row>
    <row r="8943" customFormat="false" ht="15" hidden="false" customHeight="false" outlineLevel="0" collapsed="false">
      <c r="A8943" s="2" t="s">
        <v>559</v>
      </c>
      <c r="C8943" s="17" t="n">
        <f aca="false">C8866+C8932</f>
        <v>0</v>
      </c>
    </row>
    <row r="8944" customFormat="false" ht="15" hidden="false" customHeight="false" outlineLevel="0" collapsed="false">
      <c r="A8944" s="2" t="s">
        <v>560</v>
      </c>
      <c r="C8944" s="17" t="n">
        <f aca="false">C8867+C8933</f>
        <v>454.44375</v>
      </c>
    </row>
    <row r="8945" customFormat="false" ht="15" hidden="false" customHeight="false" outlineLevel="0" collapsed="false">
      <c r="A8945" s="2" t="s">
        <v>561</v>
      </c>
      <c r="C8945" s="17" t="n">
        <f aca="false">C8868+C8934</f>
        <v>357.2625</v>
      </c>
    </row>
    <row r="8946" customFormat="false" ht="15" hidden="false" customHeight="false" outlineLevel="0" collapsed="false">
      <c r="A8946" s="2" t="s">
        <v>562</v>
      </c>
      <c r="C8946" s="17" t="n">
        <f aca="false">C8869+C8935</f>
        <v>562.203125</v>
      </c>
    </row>
    <row r="8947" customFormat="false" ht="15" hidden="false" customHeight="false" outlineLevel="0" collapsed="false">
      <c r="A8947" s="2" t="s">
        <v>563</v>
      </c>
      <c r="C8947" s="17" t="n">
        <f aca="false">C8870+C8936</f>
        <v>353.98125</v>
      </c>
    </row>
    <row r="8948" customFormat="false" ht="15" hidden="false" customHeight="false" outlineLevel="0" collapsed="false">
      <c r="A8948" s="2" t="s">
        <v>564</v>
      </c>
      <c r="C8948" s="17" t="n">
        <f aca="false">C8871+C8937</f>
        <v>304.59375</v>
      </c>
    </row>
    <row r="8949" customFormat="false" ht="15" hidden="false" customHeight="false" outlineLevel="0" collapsed="false">
      <c r="A8949" s="2" t="s">
        <v>565</v>
      </c>
      <c r="C8949" s="17" t="n">
        <f aca="false">C8872+C8938</f>
        <v>4.91867227679973</v>
      </c>
    </row>
    <row r="8950" customFormat="false" ht="15" hidden="false" customHeight="false" outlineLevel="0" collapsed="false">
      <c r="A8950" s="24" t="s">
        <v>576</v>
      </c>
      <c r="B8950" s="25"/>
      <c r="C8950" s="25"/>
      <c r="D8950" s="25"/>
      <c r="E8950" s="25"/>
      <c r="F8950" s="25"/>
      <c r="G8950" s="25"/>
      <c r="H8950" s="25"/>
      <c r="I8950" s="25"/>
      <c r="J8950" s="25"/>
      <c r="K8950" s="25"/>
    </row>
    <row r="8951" customFormat="false" ht="15" hidden="false" customHeight="false" outlineLevel="0" collapsed="false">
      <c r="A8951" s="3" t="s">
        <v>556</v>
      </c>
      <c r="C8951" s="22" t="n">
        <f aca="false">IF(C8830=0,1,C8940/C8830)</f>
        <v>1</v>
      </c>
    </row>
    <row r="8952" customFormat="false" ht="15" hidden="false" customHeight="false" outlineLevel="0" collapsed="false">
      <c r="A8952" s="3" t="s">
        <v>557</v>
      </c>
      <c r="C8952" s="22" t="n">
        <f aca="false">IF(C8831=0,1,C8941/C8831)</f>
        <v>0.932640622583639</v>
      </c>
    </row>
    <row r="8953" customFormat="false" ht="15" hidden="false" customHeight="false" outlineLevel="0" collapsed="false">
      <c r="A8953" s="3" t="s">
        <v>558</v>
      </c>
      <c r="C8953" s="22" t="n">
        <f aca="false">IF(C8832=0,1,C8942/C8832)</f>
        <v>0.928374871640695</v>
      </c>
    </row>
    <row r="8954" customFormat="false" ht="15" hidden="false" customHeight="false" outlineLevel="0" collapsed="false">
      <c r="A8954" s="3" t="s">
        <v>559</v>
      </c>
      <c r="C8954" s="22" t="n">
        <f aca="false">IF(C8833=0,1,C8943/C8833)</f>
        <v>1</v>
      </c>
    </row>
    <row r="8955" customFormat="false" ht="15" hidden="false" customHeight="false" outlineLevel="0" collapsed="false">
      <c r="A8955" s="3" t="s">
        <v>560</v>
      </c>
      <c r="C8955" s="22" t="n">
        <f aca="false">IF(C8834=0,1,C8944/C8834)</f>
        <v>1</v>
      </c>
    </row>
    <row r="8956" customFormat="false" ht="15" hidden="false" customHeight="false" outlineLevel="0" collapsed="false">
      <c r="A8956" s="3" t="s">
        <v>561</v>
      </c>
      <c r="C8956" s="22" t="n">
        <f aca="false">IF(C8835=0,1,C8945/C8835)</f>
        <v>1</v>
      </c>
    </row>
    <row r="8957" customFormat="false" ht="15" hidden="false" customHeight="false" outlineLevel="0" collapsed="false">
      <c r="A8957" s="3" t="s">
        <v>562</v>
      </c>
      <c r="C8957" s="22" t="n">
        <f aca="false">IF(C8836=0,1,C8946/C8836)</f>
        <v>1</v>
      </c>
    </row>
    <row r="8958" customFormat="false" ht="15" hidden="false" customHeight="false" outlineLevel="0" collapsed="false">
      <c r="A8958" s="3" t="s">
        <v>563</v>
      </c>
      <c r="C8958" s="22" t="n">
        <f aca="false">IF(C8837=0,1,C8947/C8837)</f>
        <v>1</v>
      </c>
    </row>
    <row r="8959" customFormat="false" ht="15" hidden="false" customHeight="false" outlineLevel="0" collapsed="false">
      <c r="A8959" s="3" t="s">
        <v>564</v>
      </c>
      <c r="C8959" s="22" t="n">
        <f aca="false">IF(C8838=0,1,C8948/C8838)</f>
        <v>1</v>
      </c>
    </row>
    <row r="8960" customFormat="false" ht="15" hidden="false" customHeight="false" outlineLevel="0" collapsed="false">
      <c r="A8960" s="3" t="s">
        <v>565</v>
      </c>
      <c r="C8960" s="22" t="n">
        <f aca="false">IF(C8839=0,1,C8949/C8839)</f>
        <v>0.0613046265249705</v>
      </c>
    </row>
    <row r="8961" customFormat="false" ht="15" hidden="false" customHeight="false" outlineLevel="0" collapsed="false">
      <c r="A8961" s="24" t="s">
        <v>577</v>
      </c>
      <c r="B8961" s="25"/>
      <c r="C8961" s="25"/>
      <c r="D8961" s="25"/>
      <c r="E8961" s="25"/>
      <c r="F8961" s="25"/>
      <c r="G8961" s="25"/>
      <c r="H8961" s="25"/>
      <c r="I8961" s="25"/>
      <c r="J8961" s="25"/>
      <c r="K8961" s="25"/>
    </row>
    <row r="8962" customFormat="false" ht="15" hidden="false" customHeight="false" outlineLevel="0" collapsed="false">
      <c r="A8962" s="3" t="s">
        <v>556</v>
      </c>
      <c r="C8962" s="16" t="n">
        <f aca="false">C8830-C8940</f>
        <v>0</v>
      </c>
    </row>
    <row r="8963" customFormat="false" ht="15" hidden="false" customHeight="false" outlineLevel="0" collapsed="false">
      <c r="A8963" s="3" t="s">
        <v>557</v>
      </c>
      <c r="C8963" s="16" t="n">
        <f aca="false">C8831-C8941</f>
        <v>6.15039951360001</v>
      </c>
    </row>
    <row r="8964" customFormat="false" ht="15" hidden="false" customHeight="false" outlineLevel="0" collapsed="false">
      <c r="A8964" s="3" t="s">
        <v>558</v>
      </c>
      <c r="C8964" s="16" t="n">
        <f aca="false">C8832-C8942</f>
        <v>4.1808730632</v>
      </c>
    </row>
    <row r="8965" customFormat="false" ht="15" hidden="false" customHeight="false" outlineLevel="0" collapsed="false">
      <c r="A8965" s="3" t="s">
        <v>559</v>
      </c>
      <c r="C8965" s="16" t="n">
        <f aca="false">C8833-C8943</f>
        <v>0</v>
      </c>
    </row>
    <row r="8966" customFormat="false" ht="15" hidden="false" customHeight="false" outlineLevel="0" collapsed="false">
      <c r="A8966" s="3" t="s">
        <v>560</v>
      </c>
      <c r="C8966" s="16" t="n">
        <f aca="false">C8834-C8944</f>
        <v>0</v>
      </c>
    </row>
    <row r="8967" customFormat="false" ht="15" hidden="false" customHeight="false" outlineLevel="0" collapsed="false">
      <c r="A8967" s="3" t="s">
        <v>561</v>
      </c>
      <c r="C8967" s="16" t="n">
        <f aca="false">C8835-C8945</f>
        <v>0</v>
      </c>
    </row>
    <row r="8968" customFormat="false" ht="15" hidden="false" customHeight="false" outlineLevel="0" collapsed="false">
      <c r="A8968" s="3" t="s">
        <v>562</v>
      </c>
      <c r="C8968" s="16" t="n">
        <f aca="false">C8836-C8946</f>
        <v>0</v>
      </c>
    </row>
    <row r="8969" customFormat="false" ht="15" hidden="false" customHeight="false" outlineLevel="0" collapsed="false">
      <c r="A8969" s="3" t="s">
        <v>563</v>
      </c>
      <c r="C8969" s="16" t="n">
        <f aca="false">C8837-C8947</f>
        <v>0</v>
      </c>
    </row>
    <row r="8970" customFormat="false" ht="15" hidden="false" customHeight="false" outlineLevel="0" collapsed="false">
      <c r="A8970" s="3" t="s">
        <v>564</v>
      </c>
      <c r="C8970" s="16" t="n">
        <f aca="false">C8838-C8948</f>
        <v>0</v>
      </c>
    </row>
    <row r="8971" customFormat="false" ht="15" hidden="false" customHeight="false" outlineLevel="0" collapsed="false">
      <c r="A8971" s="3" t="s">
        <v>565</v>
      </c>
      <c r="C8971" s="16" t="n">
        <f aca="false">C8839-C8949</f>
        <v>75.3146242232003</v>
      </c>
    </row>
    <row r="8972" customFormat="false" ht="15" hidden="false" customHeight="false" outlineLevel="0" collapsed="false">
      <c r="A8972" s="24" t="s">
        <v>578</v>
      </c>
      <c r="B8972" s="25"/>
      <c r="C8972" s="25"/>
      <c r="D8972" s="25"/>
      <c r="E8972" s="25"/>
      <c r="F8972" s="25"/>
      <c r="G8972" s="25"/>
      <c r="H8972" s="25"/>
      <c r="I8972" s="25"/>
      <c r="J8972" s="25"/>
      <c r="K8972" s="25"/>
    </row>
    <row r="8973" customFormat="false" ht="15" hidden="false" customHeight="false" outlineLevel="0" collapsed="false">
      <c r="A8973" s="3" t="s">
        <v>556</v>
      </c>
      <c r="C8973" s="22" t="n">
        <f aca="false">IF(C8830=0,0,C8962/C8830)</f>
        <v>0</v>
      </c>
    </row>
    <row r="8974" customFormat="false" ht="15" hidden="false" customHeight="false" outlineLevel="0" collapsed="false">
      <c r="A8974" s="3" t="s">
        <v>557</v>
      </c>
      <c r="C8974" s="22" t="n">
        <f aca="false">IF(C8831=0,0,C8963/C8831)</f>
        <v>0.0673593774163608</v>
      </c>
    </row>
    <row r="8975" customFormat="false" ht="15" hidden="false" customHeight="false" outlineLevel="0" collapsed="false">
      <c r="A8975" s="3" t="s">
        <v>558</v>
      </c>
      <c r="C8975" s="22" t="n">
        <f aca="false">IF(C8832=0,0,C8964/C8832)</f>
        <v>0.0716251283593048</v>
      </c>
    </row>
    <row r="8976" customFormat="false" ht="15" hidden="false" customHeight="false" outlineLevel="0" collapsed="false">
      <c r="A8976" s="3" t="s">
        <v>559</v>
      </c>
      <c r="C8976" s="22" t="n">
        <f aca="false">IF(C8833=0,0,C8965/C8833)</f>
        <v>0</v>
      </c>
    </row>
    <row r="8977" customFormat="false" ht="15" hidden="false" customHeight="false" outlineLevel="0" collapsed="false">
      <c r="A8977" s="3" t="s">
        <v>560</v>
      </c>
      <c r="C8977" s="22" t="n">
        <f aca="false">IF(C8834=0,0,C8966/C8834)</f>
        <v>0</v>
      </c>
    </row>
    <row r="8978" customFormat="false" ht="15" hidden="false" customHeight="false" outlineLevel="0" collapsed="false">
      <c r="A8978" s="3" t="s">
        <v>561</v>
      </c>
      <c r="C8978" s="22" t="n">
        <f aca="false">IF(C8835=0,0,C8967/C8835)</f>
        <v>0</v>
      </c>
    </row>
    <row r="8979" customFormat="false" ht="15" hidden="false" customHeight="false" outlineLevel="0" collapsed="false">
      <c r="A8979" s="3" t="s">
        <v>562</v>
      </c>
      <c r="C8979" s="22" t="n">
        <f aca="false">IF(C8836=0,0,C8968/C8836)</f>
        <v>0</v>
      </c>
    </row>
    <row r="8980" customFormat="false" ht="15" hidden="false" customHeight="false" outlineLevel="0" collapsed="false">
      <c r="A8980" s="3" t="s">
        <v>563</v>
      </c>
      <c r="C8980" s="22" t="n">
        <f aca="false">IF(C8837=0,0,C8969/C8837)</f>
        <v>0</v>
      </c>
    </row>
    <row r="8981" customFormat="false" ht="15" hidden="false" customHeight="false" outlineLevel="0" collapsed="false">
      <c r="A8981" s="3" t="s">
        <v>564</v>
      </c>
      <c r="C8981" s="22" t="n">
        <f aca="false">IF(C8838=0,0,C8970/C8838)</f>
        <v>0</v>
      </c>
    </row>
    <row r="8982" customFormat="false" ht="15" hidden="false" customHeight="false" outlineLevel="0" collapsed="false">
      <c r="A8982" s="3" t="s">
        <v>565</v>
      </c>
      <c r="C8982" s="22" t="n">
        <f aca="false">IF(C8839=0,0,C8971/C8839)</f>
        <v>0.93869537347503</v>
      </c>
    </row>
    <row r="8983" customFormat="false" ht="15" hidden="false" customHeight="false" outlineLevel="0" collapsed="false">
      <c r="A8983" s="2" t="s">
        <v>579</v>
      </c>
      <c r="C8983" s="17" t="n">
        <f aca="false">MAX(0,$C$8828-SUM($C$8863:$C$8872)-SUM($C$8885:$C$8894))</f>
        <v>0</v>
      </c>
    </row>
    <row r="8984" customFormat="false" ht="15" hidden="false" customHeight="false" outlineLevel="0" collapsed="false">
      <c r="A8984" s="3" t="s">
        <v>580</v>
      </c>
      <c r="C8984" s="16" t="n">
        <f aca="false">SUM($C$8940:$C$8949)+C8983+C8827-C8826</f>
        <v>0</v>
      </c>
    </row>
    <row r="8986" customFormat="false" ht="15" hidden="false" customHeight="false" outlineLevel="0" collapsed="false">
      <c r="A8986" s="24" t="s">
        <v>583</v>
      </c>
      <c r="B8986" s="25"/>
      <c r="C8986" s="25"/>
      <c r="D8986" s="25"/>
      <c r="E8986" s="25"/>
      <c r="F8986" s="25"/>
      <c r="G8986" s="25"/>
      <c r="H8986" s="25"/>
      <c r="I8986" s="25"/>
      <c r="J8986" s="25"/>
      <c r="K8986" s="25"/>
    </row>
    <row r="8987" customFormat="false" ht="15" hidden="false" customHeight="false" outlineLevel="0" collapsed="false">
      <c r="A8987" s="3" t="s">
        <v>584</v>
      </c>
      <c r="C8987" s="27" t="n">
        <f aca="false">Assumptions!$C$34</f>
        <v>1</v>
      </c>
    </row>
    <row r="8988" customFormat="false" ht="15" hidden="false" customHeight="false" outlineLevel="0" collapsed="false">
      <c r="A8988" s="3" t="s">
        <v>585</v>
      </c>
      <c r="C8988" s="29" t="n">
        <f aca="false">Assumptions!$C$35</f>
        <v>100</v>
      </c>
    </row>
    <row r="8989" customFormat="false" ht="15" hidden="false" customHeight="false" outlineLevel="0" collapsed="false">
      <c r="A8989" s="3" t="s">
        <v>586</v>
      </c>
      <c r="C8989" s="40" t="n">
        <f aca="false">Assumptions!$C$36</f>
        <v>98</v>
      </c>
    </row>
    <row r="8990" customFormat="false" ht="15" hidden="false" customHeight="false" outlineLevel="0" collapsed="false">
      <c r="A8990" s="3" t="s">
        <v>587</v>
      </c>
      <c r="C8990" s="16" t="n">
        <f aca="false">C8988*C8989/100*(1+Assumptions!$C$37)</f>
        <v>98.49</v>
      </c>
    </row>
    <row r="8991" customFormat="false" ht="15" hidden="false" customHeight="false" outlineLevel="0" collapsed="false">
      <c r="A8991" s="3" t="s">
        <v>588</v>
      </c>
      <c r="C8991" s="27" t="n">
        <f aca="false">Assumptions!$C$38</f>
        <v>3</v>
      </c>
    </row>
    <row r="8992" customFormat="false" ht="15" hidden="false" customHeight="false" outlineLevel="0" collapsed="false">
      <c r="A8992" s="3" t="s">
        <v>589</v>
      </c>
      <c r="C8992" s="21" t="n">
        <f aca="false">IF(C8819=1,SUMPRODUCT($G$8755:$K$8755,$G$8529:$K$8529),0)</f>
        <v>2</v>
      </c>
    </row>
    <row r="8993" customFormat="false" ht="15" hidden="false" customHeight="false" outlineLevel="0" collapsed="false">
      <c r="A8993" s="3" t="s">
        <v>590</v>
      </c>
      <c r="C8993" s="22" t="n">
        <f aca="false">IFERROR(C8988/CHOOSE(C8987,SUMPRODUCT($G$8818:$K$8818,$G$8575:$K$8575),SUMPRODUCT($G$8818:$K$8818,$G$8588:$K$8588),SUMPRODUCT($G$8818:$K$8818,$G$8601:$K$8601),SUMPRODUCT($G$8818:$K$8818,$G$8614:$K$8614),SUMPRODUCT($G$8818:$K$8818,$G$8627:$K$8627),SUMPRODUCT($G$8818:$K$8818,$G$8640:$K$8640),SUMPRODUCT($G$8818:$K$8818,$G$8653:$K$8653),SUMPRODUCT($G$8818:$K$8818,$G$8666:$K$8666),SUMPRODUCT($G$8818:$K$8818,$G$8679:$K$8679),SUMPRODUCT($G$8818:$K$8818,$G$8692:$K$8692)),0)</f>
        <v>0.255102040816327</v>
      </c>
    </row>
    <row r="8994" customFormat="false" ht="15" hidden="false" customHeight="false" outlineLevel="0" collapsed="false">
      <c r="A8994" s="3" t="s">
        <v>591</v>
      </c>
      <c r="C8994" s="16" t="n">
        <f aca="false">CHOOSE(C8987,C8940,C8941,C8942,C8943,C8944,C8945,C8946,C8947,C8948,C8949)*C8993</f>
        <v>103</v>
      </c>
    </row>
    <row r="8995" customFormat="false" ht="15" hidden="false" customHeight="false" outlineLevel="0" collapsed="false">
      <c r="A8995" s="3" t="s">
        <v>592</v>
      </c>
      <c r="C8995" s="22" t="n">
        <f aca="false">CHOOSE(C8987,C8951,C8952,C8953,C8954,C8955,C8956,C8957,C8958,C8959,C8960)</f>
        <v>1</v>
      </c>
    </row>
    <row r="8996" customFormat="false" ht="15" hidden="false" customHeight="false" outlineLevel="0" collapsed="false">
      <c r="A8996" s="3" t="s">
        <v>593</v>
      </c>
      <c r="C8996" s="21" t="n">
        <f aca="false">IF(C8819=1,C8992,C8991)</f>
        <v>2</v>
      </c>
    </row>
    <row r="8997" customFormat="false" ht="15" hidden="false" customHeight="false" outlineLevel="0" collapsed="false">
      <c r="A8997" s="3" t="s">
        <v>594</v>
      </c>
      <c r="C8997" s="35" t="n">
        <f aca="false">CHOOSE($C$8521,Assumptions!$C$91,Assumptions!$C$110,Assumptions!$C$129)</f>
        <v>85</v>
      </c>
    </row>
    <row r="8998" customFormat="false" ht="15" hidden="false" customHeight="false" outlineLevel="0" collapsed="false">
      <c r="A8998" s="3" t="s">
        <v>595</v>
      </c>
      <c r="C8998" s="16" t="n">
        <f aca="false">INDEX($G$8538:$K$8538,C8991)*CHOOSE($C$8521,Assumptions!$C$90,Assumptions!$C$109,Assumptions!$C$128)+MAX(0,INDEX($G$8752:$K$8752,C8991))</f>
        <v>1479.66898306343</v>
      </c>
    </row>
    <row r="8999" customFormat="false" ht="15" hidden="false" customHeight="false" outlineLevel="0" collapsed="false">
      <c r="A8999" s="24" t="s">
        <v>596</v>
      </c>
      <c r="B8999" s="25"/>
      <c r="C8999" s="25"/>
      <c r="D8999" s="25"/>
      <c r="E8999" s="25"/>
      <c r="F8999" s="25"/>
      <c r="G8999" s="25"/>
      <c r="H8999" s="25"/>
      <c r="I8999" s="25"/>
      <c r="J8999" s="25"/>
      <c r="K8999" s="25"/>
    </row>
    <row r="9000" customFormat="false" ht="15" hidden="false" customHeight="false" outlineLevel="0" collapsed="false">
      <c r="A9000" s="3" t="s">
        <v>556</v>
      </c>
      <c r="C9000" s="16" t="n">
        <f aca="false">INDEX($G$8575:$K$8575,C8991)</f>
        <v>388</v>
      </c>
    </row>
    <row r="9001" customFormat="false" ht="15" hidden="false" customHeight="false" outlineLevel="0" collapsed="false">
      <c r="A9001" s="3" t="s">
        <v>557</v>
      </c>
      <c r="C9001" s="16" t="n">
        <f aca="false">INDEX($G$8588:$K$8588,C8991)</f>
        <v>90</v>
      </c>
    </row>
    <row r="9002" customFormat="false" ht="15" hidden="false" customHeight="false" outlineLevel="0" collapsed="false">
      <c r="A9002" s="3" t="s">
        <v>558</v>
      </c>
      <c r="C9002" s="16" t="n">
        <f aca="false">INDEX($G$8601:$K$8601,C8991)</f>
        <v>57.324</v>
      </c>
    </row>
    <row r="9003" customFormat="false" ht="15" hidden="false" customHeight="false" outlineLevel="0" collapsed="false">
      <c r="A9003" s="3" t="s">
        <v>559</v>
      </c>
      <c r="C9003" s="16" t="n">
        <f aca="false">INDEX($G$8614:$K$8614,C8991)</f>
        <v>0</v>
      </c>
    </row>
    <row r="9004" customFormat="false" ht="15" hidden="false" customHeight="false" outlineLevel="0" collapsed="false">
      <c r="A9004" s="3" t="s">
        <v>560</v>
      </c>
      <c r="C9004" s="16" t="n">
        <f aca="false">INDEX($G$8627:$K$8627,C8991)</f>
        <v>450</v>
      </c>
    </row>
    <row r="9005" customFormat="false" ht="15" hidden="false" customHeight="false" outlineLevel="0" collapsed="false">
      <c r="A9005" s="3" t="s">
        <v>561</v>
      </c>
      <c r="C9005" s="16" t="n">
        <f aca="false">INDEX($G$8640:$K$8640,C8991)</f>
        <v>350</v>
      </c>
    </row>
    <row r="9006" customFormat="false" ht="15" hidden="false" customHeight="false" outlineLevel="0" collapsed="false">
      <c r="A9006" s="3" t="s">
        <v>562</v>
      </c>
      <c r="C9006" s="16" t="n">
        <f aca="false">INDEX($G$8653:$K$8653,C8991)</f>
        <v>550</v>
      </c>
    </row>
    <row r="9007" customFormat="false" ht="15" hidden="false" customHeight="false" outlineLevel="0" collapsed="false">
      <c r="A9007" s="3" t="s">
        <v>563</v>
      </c>
      <c r="C9007" s="16" t="n">
        <f aca="false">INDEX($G$8666:$K$8666,C8991)</f>
        <v>350</v>
      </c>
    </row>
    <row r="9008" customFormat="false" ht="15" hidden="false" customHeight="false" outlineLevel="0" collapsed="false">
      <c r="A9008" s="3" t="s">
        <v>564</v>
      </c>
      <c r="C9008" s="16" t="n">
        <f aca="false">INDEX($G$8679:$K$8679,C8991)</f>
        <v>300</v>
      </c>
    </row>
    <row r="9009" customFormat="false" ht="15" hidden="false" customHeight="false" outlineLevel="0" collapsed="false">
      <c r="A9009" s="3" t="s">
        <v>565</v>
      </c>
      <c r="C9009" s="16" t="n">
        <f aca="false">INDEX($G$8692:$K$8692,C8991)</f>
        <v>78.61</v>
      </c>
    </row>
    <row r="9010" customFormat="false" ht="15" hidden="false" customHeight="false" outlineLevel="0" collapsed="false">
      <c r="A9010" s="24" t="s">
        <v>566</v>
      </c>
      <c r="B9010" s="25"/>
      <c r="C9010" s="25"/>
      <c r="D9010" s="25"/>
      <c r="E9010" s="25"/>
      <c r="F9010" s="25"/>
      <c r="G9010" s="25"/>
      <c r="H9010" s="25"/>
      <c r="I9010" s="25"/>
      <c r="J9010" s="25"/>
      <c r="K9010" s="25"/>
    </row>
    <row r="9011" customFormat="false" ht="15" hidden="false" customHeight="false" outlineLevel="0" collapsed="false">
      <c r="A9011" s="3" t="s">
        <v>556</v>
      </c>
      <c r="C9011" s="27" t="n">
        <f aca="false">Assumptions!$M$57</f>
        <v>1</v>
      </c>
    </row>
    <row r="9012" customFormat="false" ht="15" hidden="false" customHeight="false" outlineLevel="0" collapsed="false">
      <c r="A9012" s="3" t="s">
        <v>557</v>
      </c>
      <c r="C9012" s="27" t="n">
        <f aca="false">Assumptions!$M$58</f>
        <v>1</v>
      </c>
    </row>
    <row r="9013" customFormat="false" ht="15" hidden="false" customHeight="false" outlineLevel="0" collapsed="false">
      <c r="A9013" s="3" t="s">
        <v>558</v>
      </c>
      <c r="C9013" s="27" t="n">
        <f aca="false">Assumptions!$M$59</f>
        <v>1</v>
      </c>
    </row>
    <row r="9014" customFormat="false" ht="15" hidden="false" customHeight="false" outlineLevel="0" collapsed="false">
      <c r="A9014" s="3" t="s">
        <v>559</v>
      </c>
      <c r="C9014" s="27" t="n">
        <f aca="false">Assumptions!$M$60</f>
        <v>2</v>
      </c>
    </row>
    <row r="9015" customFormat="false" ht="15" hidden="false" customHeight="false" outlineLevel="0" collapsed="false">
      <c r="A9015" s="3" t="s">
        <v>560</v>
      </c>
      <c r="C9015" s="27" t="n">
        <f aca="false">Assumptions!$M$61</f>
        <v>2</v>
      </c>
    </row>
    <row r="9016" customFormat="false" ht="15" hidden="false" customHeight="false" outlineLevel="0" collapsed="false">
      <c r="A9016" s="3" t="s">
        <v>561</v>
      </c>
      <c r="C9016" s="27" t="n">
        <f aca="false">Assumptions!$M$62</f>
        <v>2</v>
      </c>
    </row>
    <row r="9017" customFormat="false" ht="15" hidden="false" customHeight="false" outlineLevel="0" collapsed="false">
      <c r="A9017" s="3" t="s">
        <v>562</v>
      </c>
      <c r="C9017" s="27" t="n">
        <f aca="false">Assumptions!$M$63</f>
        <v>2</v>
      </c>
    </row>
    <row r="9018" customFormat="false" ht="15" hidden="false" customHeight="false" outlineLevel="0" collapsed="false">
      <c r="A9018" s="3" t="s">
        <v>563</v>
      </c>
      <c r="C9018" s="27" t="n">
        <f aca="false">Assumptions!$M$64</f>
        <v>2</v>
      </c>
    </row>
    <row r="9019" customFormat="false" ht="15" hidden="false" customHeight="false" outlineLevel="0" collapsed="false">
      <c r="A9019" s="3" t="s">
        <v>564</v>
      </c>
      <c r="C9019" s="27" t="n">
        <f aca="false">Assumptions!$M$65</f>
        <v>2</v>
      </c>
    </row>
    <row r="9020" customFormat="false" ht="15" hidden="false" customHeight="false" outlineLevel="0" collapsed="false">
      <c r="A9020" s="3" t="s">
        <v>565</v>
      </c>
      <c r="C9020" s="27" t="n">
        <f aca="false">Assumptions!$M$66</f>
        <v>3</v>
      </c>
    </row>
    <row r="9021" customFormat="false" ht="15" hidden="false" customHeight="false" outlineLevel="0" collapsed="false">
      <c r="A9021" s="24" t="s">
        <v>567</v>
      </c>
      <c r="B9021" s="25"/>
      <c r="C9021" s="25"/>
      <c r="D9021" s="25"/>
      <c r="E9021" s="25"/>
      <c r="F9021" s="25"/>
      <c r="G9021" s="25"/>
      <c r="H9021" s="25"/>
      <c r="I9021" s="25"/>
      <c r="J9021" s="25"/>
      <c r="K9021" s="25"/>
    </row>
    <row r="9022" customFormat="false" ht="15" hidden="false" customHeight="false" outlineLevel="0" collapsed="false">
      <c r="A9022" s="3" t="s">
        <v>556</v>
      </c>
      <c r="C9022" s="33" t="n">
        <f aca="false">Assumptions!$Q$57</f>
        <v>0.3</v>
      </c>
    </row>
    <row r="9023" customFormat="false" ht="15" hidden="false" customHeight="false" outlineLevel="0" collapsed="false">
      <c r="A9023" s="3" t="s">
        <v>557</v>
      </c>
      <c r="C9023" s="33" t="n">
        <f aca="false">Assumptions!$Q$58</f>
        <v>0.033</v>
      </c>
    </row>
    <row r="9024" customFormat="false" ht="15" hidden="false" customHeight="false" outlineLevel="0" collapsed="false">
      <c r="A9024" s="3" t="s">
        <v>558</v>
      </c>
      <c r="C9024" s="33" t="n">
        <f aca="false">Assumptions!$Q$59</f>
        <v>0.021</v>
      </c>
    </row>
    <row r="9025" customFormat="false" ht="15" hidden="false" customHeight="false" outlineLevel="0" collapsed="false">
      <c r="A9025" s="3" t="s">
        <v>559</v>
      </c>
      <c r="C9025" s="33" t="n">
        <f aca="false">Assumptions!$Q$60</f>
        <v>0</v>
      </c>
    </row>
    <row r="9026" customFormat="false" ht="15" hidden="false" customHeight="false" outlineLevel="0" collapsed="false">
      <c r="A9026" s="3" t="s">
        <v>560</v>
      </c>
      <c r="C9026" s="33" t="n">
        <f aca="false">Assumptions!$Q$61</f>
        <v>0</v>
      </c>
    </row>
    <row r="9027" customFormat="false" ht="15" hidden="false" customHeight="false" outlineLevel="0" collapsed="false">
      <c r="A9027" s="3" t="s">
        <v>561</v>
      </c>
      <c r="C9027" s="33" t="n">
        <f aca="false">Assumptions!$Q$62</f>
        <v>0</v>
      </c>
    </row>
    <row r="9028" customFormat="false" ht="15" hidden="false" customHeight="false" outlineLevel="0" collapsed="false">
      <c r="A9028" s="3" t="s">
        <v>562</v>
      </c>
      <c r="C9028" s="33" t="n">
        <f aca="false">Assumptions!$Q$63</f>
        <v>0</v>
      </c>
    </row>
    <row r="9029" customFormat="false" ht="15" hidden="false" customHeight="false" outlineLevel="0" collapsed="false">
      <c r="A9029" s="3" t="s">
        <v>563</v>
      </c>
      <c r="C9029" s="33" t="n">
        <f aca="false">Assumptions!$Q$64</f>
        <v>0</v>
      </c>
    </row>
    <row r="9030" customFormat="false" ht="15" hidden="false" customHeight="false" outlineLevel="0" collapsed="false">
      <c r="A9030" s="3" t="s">
        <v>564</v>
      </c>
      <c r="C9030" s="33" t="n">
        <f aca="false">Assumptions!$Q$65</f>
        <v>0</v>
      </c>
    </row>
    <row r="9031" customFormat="false" ht="15" hidden="false" customHeight="false" outlineLevel="0" collapsed="false">
      <c r="A9031" s="3" t="s">
        <v>565</v>
      </c>
      <c r="C9031" s="33" t="n">
        <f aca="false">Assumptions!$Q$66</f>
        <v>0</v>
      </c>
    </row>
    <row r="9032" customFormat="false" ht="15" hidden="false" customHeight="false" outlineLevel="0" collapsed="false">
      <c r="A9032" s="24" t="s">
        <v>568</v>
      </c>
      <c r="B9032" s="25"/>
      <c r="C9032" s="25"/>
      <c r="D9032" s="25"/>
      <c r="E9032" s="25"/>
      <c r="F9032" s="25"/>
      <c r="G9032" s="25"/>
      <c r="H9032" s="25"/>
      <c r="I9032" s="25"/>
      <c r="J9032" s="25"/>
      <c r="K9032" s="25"/>
    </row>
    <row r="9033" customFormat="false" ht="15" hidden="false" customHeight="false" outlineLevel="0" collapsed="false">
      <c r="A9033" s="3" t="s">
        <v>556</v>
      </c>
      <c r="C9033" s="16" t="n">
        <f aca="false">IF(C9022&gt;0,MIN(C9000,C9022*$C$8998),0)</f>
        <v>388</v>
      </c>
    </row>
    <row r="9034" customFormat="false" ht="15" hidden="false" customHeight="false" outlineLevel="0" collapsed="false">
      <c r="A9034" s="3" t="s">
        <v>557</v>
      </c>
      <c r="C9034" s="16" t="n">
        <f aca="false">IF(C9023&gt;0,MIN(C9001,C9023*$C$8998),0)</f>
        <v>48.829076441093</v>
      </c>
    </row>
    <row r="9035" customFormat="false" ht="15" hidden="false" customHeight="false" outlineLevel="0" collapsed="false">
      <c r="A9035" s="3" t="s">
        <v>558</v>
      </c>
      <c r="C9035" s="16" t="n">
        <f aca="false">IF(C9024&gt;0,MIN(C9002,C9024*$C$8998),0)</f>
        <v>31.0730486443319</v>
      </c>
    </row>
    <row r="9036" customFormat="false" ht="15" hidden="false" customHeight="false" outlineLevel="0" collapsed="false">
      <c r="A9036" s="3" t="s">
        <v>559</v>
      </c>
      <c r="C9036" s="16" t="n">
        <f aca="false">IF(C9025&gt;0,MIN(C9003,C9025*$C$8998),0)</f>
        <v>0</v>
      </c>
    </row>
    <row r="9037" customFormat="false" ht="15" hidden="false" customHeight="false" outlineLevel="0" collapsed="false">
      <c r="A9037" s="3" t="s">
        <v>560</v>
      </c>
      <c r="C9037" s="16" t="n">
        <f aca="false">IF(C9026&gt;0,MIN(C9004,C9026*$C$8998),0)</f>
        <v>0</v>
      </c>
    </row>
    <row r="9038" customFormat="false" ht="15" hidden="false" customHeight="false" outlineLevel="0" collapsed="false">
      <c r="A9038" s="3" t="s">
        <v>561</v>
      </c>
      <c r="C9038" s="16" t="n">
        <f aca="false">IF(C9027&gt;0,MIN(C9005,C9027*$C$8998),0)</f>
        <v>0</v>
      </c>
    </row>
    <row r="9039" customFormat="false" ht="15" hidden="false" customHeight="false" outlineLevel="0" collapsed="false">
      <c r="A9039" s="3" t="s">
        <v>562</v>
      </c>
      <c r="C9039" s="16" t="n">
        <f aca="false">IF(C9028&gt;0,MIN(C9006,C9028*$C$8998),0)</f>
        <v>0</v>
      </c>
    </row>
    <row r="9040" customFormat="false" ht="15" hidden="false" customHeight="false" outlineLevel="0" collapsed="false">
      <c r="A9040" s="3" t="s">
        <v>563</v>
      </c>
      <c r="C9040" s="16" t="n">
        <f aca="false">IF(C9029&gt;0,MIN(C9007,C9029*$C$8998),0)</f>
        <v>0</v>
      </c>
    </row>
    <row r="9041" customFormat="false" ht="15" hidden="false" customHeight="false" outlineLevel="0" collapsed="false">
      <c r="A9041" s="3" t="s">
        <v>564</v>
      </c>
      <c r="C9041" s="16" t="n">
        <f aca="false">IF(C9030&gt;0,MIN(C9008,C9030*$C$8998),0)</f>
        <v>0</v>
      </c>
    </row>
    <row r="9042" customFormat="false" ht="15" hidden="false" customHeight="false" outlineLevel="0" collapsed="false">
      <c r="A9042" s="3" t="s">
        <v>565</v>
      </c>
      <c r="C9042" s="16" t="n">
        <f aca="false">IF(C9031&gt;0,MIN(C9009,C9031*$C$8998),0)</f>
        <v>0</v>
      </c>
    </row>
    <row r="9043" customFormat="false" ht="15" hidden="false" customHeight="false" outlineLevel="0" collapsed="false">
      <c r="A9043" s="24" t="s">
        <v>569</v>
      </c>
      <c r="B9043" s="25"/>
      <c r="C9043" s="25"/>
      <c r="D9043" s="25"/>
      <c r="E9043" s="25"/>
      <c r="F9043" s="25"/>
      <c r="G9043" s="25"/>
      <c r="H9043" s="25"/>
      <c r="I9043" s="25"/>
      <c r="J9043" s="25"/>
      <c r="K9043" s="25"/>
    </row>
    <row r="9044" customFormat="false" ht="15" hidden="false" customHeight="false" outlineLevel="0" collapsed="false">
      <c r="A9044" s="3" t="s">
        <v>556</v>
      </c>
      <c r="C9044" s="16" t="n">
        <f aca="false">IF(C9022&gt;0,C9000-C9033,0)</f>
        <v>0</v>
      </c>
    </row>
    <row r="9045" customFormat="false" ht="15" hidden="false" customHeight="false" outlineLevel="0" collapsed="false">
      <c r="A9045" s="3" t="s">
        <v>557</v>
      </c>
      <c r="C9045" s="16" t="n">
        <f aca="false">IF(C9023&gt;0,C9001-C9034,0)</f>
        <v>41.170923558907</v>
      </c>
    </row>
    <row r="9046" customFormat="false" ht="15" hidden="false" customHeight="false" outlineLevel="0" collapsed="false">
      <c r="A9046" s="3" t="s">
        <v>558</v>
      </c>
      <c r="C9046" s="16" t="n">
        <f aca="false">IF(C9024&gt;0,C9002-C9035,0)</f>
        <v>26.2509513556681</v>
      </c>
    </row>
    <row r="9047" customFormat="false" ht="15" hidden="false" customHeight="false" outlineLevel="0" collapsed="false">
      <c r="A9047" s="3" t="s">
        <v>559</v>
      </c>
      <c r="C9047" s="16" t="n">
        <f aca="false">IF(C9025&gt;0,C9003-C9036,0)</f>
        <v>0</v>
      </c>
    </row>
    <row r="9048" customFormat="false" ht="15" hidden="false" customHeight="false" outlineLevel="0" collapsed="false">
      <c r="A9048" s="3" t="s">
        <v>560</v>
      </c>
      <c r="C9048" s="16" t="n">
        <f aca="false">IF(C9026&gt;0,C9004-C9037,0)</f>
        <v>0</v>
      </c>
    </row>
    <row r="9049" customFormat="false" ht="15" hidden="false" customHeight="false" outlineLevel="0" collapsed="false">
      <c r="A9049" s="3" t="s">
        <v>561</v>
      </c>
      <c r="C9049" s="16" t="n">
        <f aca="false">IF(C9027&gt;0,C9005-C9038,0)</f>
        <v>0</v>
      </c>
    </row>
    <row r="9050" customFormat="false" ht="15" hidden="false" customHeight="false" outlineLevel="0" collapsed="false">
      <c r="A9050" s="3" t="s">
        <v>562</v>
      </c>
      <c r="C9050" s="16" t="n">
        <f aca="false">IF(C9028&gt;0,C9006-C9039,0)</f>
        <v>0</v>
      </c>
    </row>
    <row r="9051" customFormat="false" ht="15" hidden="false" customHeight="false" outlineLevel="0" collapsed="false">
      <c r="A9051" s="3" t="s">
        <v>563</v>
      </c>
      <c r="C9051" s="16" t="n">
        <f aca="false">IF(C9029&gt;0,C9007-C9040,0)</f>
        <v>0</v>
      </c>
    </row>
    <row r="9052" customFormat="false" ht="15" hidden="false" customHeight="false" outlineLevel="0" collapsed="false">
      <c r="A9052" s="3" t="s">
        <v>564</v>
      </c>
      <c r="C9052" s="16" t="n">
        <f aca="false">IF(C9030&gt;0,C9008-C9041,0)</f>
        <v>0</v>
      </c>
    </row>
    <row r="9053" customFormat="false" ht="15" hidden="false" customHeight="false" outlineLevel="0" collapsed="false">
      <c r="A9053" s="3" t="s">
        <v>565</v>
      </c>
      <c r="C9053" s="16" t="n">
        <f aca="false">IF(C9031&gt;0,C9009-C9042,0)</f>
        <v>0</v>
      </c>
    </row>
    <row r="9054" customFormat="false" ht="15" hidden="false" customHeight="false" outlineLevel="0" collapsed="false">
      <c r="A9054" s="24" t="s">
        <v>570</v>
      </c>
      <c r="B9054" s="25"/>
      <c r="C9054" s="25"/>
      <c r="D9054" s="25"/>
      <c r="E9054" s="25"/>
      <c r="F9054" s="25"/>
      <c r="G9054" s="25"/>
      <c r="H9054" s="25"/>
      <c r="I9054" s="25"/>
      <c r="J9054" s="25"/>
      <c r="K9054" s="25"/>
    </row>
    <row r="9055" customFormat="false" ht="15" hidden="false" customHeight="false" outlineLevel="0" collapsed="false">
      <c r="A9055" s="3" t="s">
        <v>556</v>
      </c>
      <c r="C9055" s="16" t="n">
        <f aca="false">IF(C9022&gt;0,C9044,C9000)</f>
        <v>0</v>
      </c>
    </row>
    <row r="9056" customFormat="false" ht="15" hidden="false" customHeight="false" outlineLevel="0" collapsed="false">
      <c r="A9056" s="3" t="s">
        <v>557</v>
      </c>
      <c r="C9056" s="16" t="n">
        <f aca="false">IF(C9023&gt;0,C9045,C9001)</f>
        <v>41.170923558907</v>
      </c>
    </row>
    <row r="9057" customFormat="false" ht="15" hidden="false" customHeight="false" outlineLevel="0" collapsed="false">
      <c r="A9057" s="3" t="s">
        <v>558</v>
      </c>
      <c r="C9057" s="16" t="n">
        <f aca="false">IF(C9024&gt;0,C9046,C9002)</f>
        <v>26.2509513556681</v>
      </c>
    </row>
    <row r="9058" customFormat="false" ht="15" hidden="false" customHeight="false" outlineLevel="0" collapsed="false">
      <c r="A9058" s="3" t="s">
        <v>559</v>
      </c>
      <c r="C9058" s="16" t="n">
        <f aca="false">IF(C9025&gt;0,C9047,C9003)</f>
        <v>0</v>
      </c>
    </row>
    <row r="9059" customFormat="false" ht="15" hidden="false" customHeight="false" outlineLevel="0" collapsed="false">
      <c r="A9059" s="3" t="s">
        <v>560</v>
      </c>
      <c r="C9059" s="16" t="n">
        <f aca="false">IF(C9026&gt;0,C9048,C9004)</f>
        <v>450</v>
      </c>
    </row>
    <row r="9060" customFormat="false" ht="15" hidden="false" customHeight="false" outlineLevel="0" collapsed="false">
      <c r="A9060" s="3" t="s">
        <v>561</v>
      </c>
      <c r="C9060" s="16" t="n">
        <f aca="false">IF(C9027&gt;0,C9049,C9005)</f>
        <v>350</v>
      </c>
    </row>
    <row r="9061" customFormat="false" ht="15" hidden="false" customHeight="false" outlineLevel="0" collapsed="false">
      <c r="A9061" s="3" t="s">
        <v>562</v>
      </c>
      <c r="C9061" s="16" t="n">
        <f aca="false">IF(C9028&gt;0,C9050,C9006)</f>
        <v>550</v>
      </c>
    </row>
    <row r="9062" customFormat="false" ht="15" hidden="false" customHeight="false" outlineLevel="0" collapsed="false">
      <c r="A9062" s="3" t="s">
        <v>563</v>
      </c>
      <c r="C9062" s="16" t="n">
        <f aca="false">IF(C9029&gt;0,C9051,C9007)</f>
        <v>350</v>
      </c>
    </row>
    <row r="9063" customFormat="false" ht="15" hidden="false" customHeight="false" outlineLevel="0" collapsed="false">
      <c r="A9063" s="3" t="s">
        <v>564</v>
      </c>
      <c r="C9063" s="16" t="n">
        <f aca="false">IF(C9030&gt;0,C9052,C9008)</f>
        <v>300</v>
      </c>
    </row>
    <row r="9064" customFormat="false" ht="15" hidden="false" customHeight="false" outlineLevel="0" collapsed="false">
      <c r="A9064" s="3" t="s">
        <v>565</v>
      </c>
      <c r="C9064" s="16" t="n">
        <f aca="false">IF(C9031&gt;0,C9053,C9009)</f>
        <v>78.61</v>
      </c>
    </row>
    <row r="9065" customFormat="false" ht="15" hidden="false" customHeight="false" outlineLevel="0" collapsed="false">
      <c r="A9065" s="24" t="s">
        <v>571</v>
      </c>
      <c r="B9065" s="25"/>
      <c r="C9065" s="25"/>
      <c r="D9065" s="25"/>
      <c r="E9065" s="25"/>
      <c r="F9065" s="25"/>
      <c r="G9065" s="25"/>
      <c r="H9065" s="25"/>
      <c r="I9065" s="25"/>
      <c r="J9065" s="25"/>
      <c r="K9065" s="25"/>
    </row>
    <row r="9066" customFormat="false" ht="15" hidden="false" customHeight="false" outlineLevel="0" collapsed="false">
      <c r="A9066" s="3" t="s">
        <v>556</v>
      </c>
      <c r="C9066" s="21" t="n">
        <f aca="false">IF(C9022&gt;0,Assumptions!$C$17,C9011)</f>
        <v>99</v>
      </c>
    </row>
    <row r="9067" customFormat="false" ht="15" hidden="false" customHeight="false" outlineLevel="0" collapsed="false">
      <c r="A9067" s="3" t="s">
        <v>557</v>
      </c>
      <c r="C9067" s="21" t="n">
        <f aca="false">IF(C9023&gt;0,Assumptions!$C$17,C9012)</f>
        <v>99</v>
      </c>
    </row>
    <row r="9068" customFormat="false" ht="15" hidden="false" customHeight="false" outlineLevel="0" collapsed="false">
      <c r="A9068" s="3" t="s">
        <v>558</v>
      </c>
      <c r="C9068" s="21" t="n">
        <f aca="false">IF(C9024&gt;0,Assumptions!$C$17,C9013)</f>
        <v>99</v>
      </c>
    </row>
    <row r="9069" customFormat="false" ht="15" hidden="false" customHeight="false" outlineLevel="0" collapsed="false">
      <c r="A9069" s="3" t="s">
        <v>559</v>
      </c>
      <c r="C9069" s="21" t="n">
        <f aca="false">IF(C9025&gt;0,Assumptions!$C$17,C9014)</f>
        <v>2</v>
      </c>
    </row>
    <row r="9070" customFormat="false" ht="15" hidden="false" customHeight="false" outlineLevel="0" collapsed="false">
      <c r="A9070" s="3" t="s">
        <v>560</v>
      </c>
      <c r="C9070" s="21" t="n">
        <f aca="false">IF(C9026&gt;0,Assumptions!$C$17,C9015)</f>
        <v>2</v>
      </c>
    </row>
    <row r="9071" customFormat="false" ht="15" hidden="false" customHeight="false" outlineLevel="0" collapsed="false">
      <c r="A9071" s="3" t="s">
        <v>561</v>
      </c>
      <c r="C9071" s="21" t="n">
        <f aca="false">IF(C9027&gt;0,Assumptions!$C$17,C9016)</f>
        <v>2</v>
      </c>
    </row>
    <row r="9072" customFormat="false" ht="15" hidden="false" customHeight="false" outlineLevel="0" collapsed="false">
      <c r="A9072" s="3" t="s">
        <v>562</v>
      </c>
      <c r="C9072" s="21" t="n">
        <f aca="false">IF(C9028&gt;0,Assumptions!$C$17,C9017)</f>
        <v>2</v>
      </c>
    </row>
    <row r="9073" customFormat="false" ht="15" hidden="false" customHeight="false" outlineLevel="0" collapsed="false">
      <c r="A9073" s="3" t="s">
        <v>563</v>
      </c>
      <c r="C9073" s="21" t="n">
        <f aca="false">IF(C9029&gt;0,Assumptions!$C$17,C9018)</f>
        <v>2</v>
      </c>
    </row>
    <row r="9074" customFormat="false" ht="15" hidden="false" customHeight="false" outlineLevel="0" collapsed="false">
      <c r="A9074" s="3" t="s">
        <v>564</v>
      </c>
      <c r="C9074" s="21" t="n">
        <f aca="false">IF(C9030&gt;0,Assumptions!$C$17,C9019)</f>
        <v>2</v>
      </c>
    </row>
    <row r="9075" customFormat="false" ht="15" hidden="false" customHeight="false" outlineLevel="0" collapsed="false">
      <c r="A9075" s="3" t="s">
        <v>565</v>
      </c>
      <c r="C9075" s="21" t="n">
        <f aca="false">IF(C9031&gt;0,Assumptions!$C$17,C9020)</f>
        <v>3</v>
      </c>
    </row>
    <row r="9076" customFormat="false" ht="15" hidden="false" customHeight="false" outlineLevel="0" collapsed="false">
      <c r="A9076" s="24" t="s">
        <v>572</v>
      </c>
      <c r="B9076" s="25"/>
      <c r="C9076" s="25"/>
      <c r="D9076" s="25"/>
      <c r="E9076" s="25"/>
      <c r="F9076" s="25"/>
      <c r="G9076" s="25"/>
      <c r="H9076" s="25"/>
      <c r="I9076" s="25"/>
      <c r="J9076" s="25"/>
      <c r="K9076" s="25"/>
    </row>
    <row r="9077" customFormat="false" ht="15" hidden="false" customHeight="false" outlineLevel="0" collapsed="false">
      <c r="A9077" s="3" t="s">
        <v>556</v>
      </c>
      <c r="C9077" s="16" t="n">
        <f aca="false">SUMPRODUCT(($C$9066:$C$9075&lt;C9066)*$C$9055:$C$9064)</f>
        <v>2078.61</v>
      </c>
    </row>
    <row r="9078" customFormat="false" ht="15" hidden="false" customHeight="false" outlineLevel="0" collapsed="false">
      <c r="A9078" s="3" t="s">
        <v>557</v>
      </c>
      <c r="C9078" s="16" t="n">
        <f aca="false">SUMPRODUCT(($C$9066:$C$9075&lt;C9067)*$C$9055:$C$9064)</f>
        <v>2078.61</v>
      </c>
    </row>
    <row r="9079" customFormat="false" ht="15" hidden="false" customHeight="false" outlineLevel="0" collapsed="false">
      <c r="A9079" s="3" t="s">
        <v>558</v>
      </c>
      <c r="C9079" s="16" t="n">
        <f aca="false">SUMPRODUCT(($C$9066:$C$9075&lt;C9068)*$C$9055:$C$9064)</f>
        <v>2078.61</v>
      </c>
    </row>
    <row r="9080" customFormat="false" ht="15" hidden="false" customHeight="false" outlineLevel="0" collapsed="false">
      <c r="A9080" s="3" t="s">
        <v>559</v>
      </c>
      <c r="C9080" s="16" t="n">
        <f aca="false">SUMPRODUCT(($C$9066:$C$9075&lt;C9069)*$C$9055:$C$9064)</f>
        <v>0</v>
      </c>
    </row>
    <row r="9081" customFormat="false" ht="15" hidden="false" customHeight="false" outlineLevel="0" collapsed="false">
      <c r="A9081" s="3" t="s">
        <v>560</v>
      </c>
      <c r="C9081" s="16" t="n">
        <f aca="false">SUMPRODUCT(($C$9066:$C$9075&lt;C9070)*$C$9055:$C$9064)</f>
        <v>0</v>
      </c>
    </row>
    <row r="9082" customFormat="false" ht="15" hidden="false" customHeight="false" outlineLevel="0" collapsed="false">
      <c r="A9082" s="3" t="s">
        <v>561</v>
      </c>
      <c r="C9082" s="16" t="n">
        <f aca="false">SUMPRODUCT(($C$9066:$C$9075&lt;C9071)*$C$9055:$C$9064)</f>
        <v>0</v>
      </c>
    </row>
    <row r="9083" customFormat="false" ht="15" hidden="false" customHeight="false" outlineLevel="0" collapsed="false">
      <c r="A9083" s="3" t="s">
        <v>562</v>
      </c>
      <c r="C9083" s="16" t="n">
        <f aca="false">SUMPRODUCT(($C$9066:$C$9075&lt;C9072)*$C$9055:$C$9064)</f>
        <v>0</v>
      </c>
    </row>
    <row r="9084" customFormat="false" ht="15" hidden="false" customHeight="false" outlineLevel="0" collapsed="false">
      <c r="A9084" s="3" t="s">
        <v>563</v>
      </c>
      <c r="C9084" s="16" t="n">
        <f aca="false">SUMPRODUCT(($C$9066:$C$9075&lt;C9073)*$C$9055:$C$9064)</f>
        <v>0</v>
      </c>
    </row>
    <row r="9085" customFormat="false" ht="15" hidden="false" customHeight="false" outlineLevel="0" collapsed="false">
      <c r="A9085" s="3" t="s">
        <v>564</v>
      </c>
      <c r="C9085" s="16" t="n">
        <f aca="false">SUMPRODUCT(($C$9066:$C$9075&lt;C9074)*$C$9055:$C$9064)</f>
        <v>0</v>
      </c>
    </row>
    <row r="9086" customFormat="false" ht="15" hidden="false" customHeight="false" outlineLevel="0" collapsed="false">
      <c r="A9086" s="3" t="s">
        <v>565</v>
      </c>
      <c r="C9086" s="16" t="n">
        <f aca="false">SUMPRODUCT(($C$9066:$C$9075&lt;C9075)*$C$9055:$C$9064)</f>
        <v>2000</v>
      </c>
    </row>
    <row r="9087" customFormat="false" ht="15" hidden="false" customHeight="false" outlineLevel="0" collapsed="false">
      <c r="A9087" s="24" t="s">
        <v>573</v>
      </c>
      <c r="B9087" s="25"/>
      <c r="C9087" s="25"/>
      <c r="D9087" s="25"/>
      <c r="E9087" s="25"/>
      <c r="F9087" s="25"/>
      <c r="G9087" s="25"/>
      <c r="H9087" s="25"/>
      <c r="I9087" s="25"/>
      <c r="J9087" s="25"/>
      <c r="K9087" s="25"/>
    </row>
    <row r="9088" customFormat="false" ht="15" hidden="false" customHeight="false" outlineLevel="0" collapsed="false">
      <c r="A9088" s="3" t="s">
        <v>556</v>
      </c>
      <c r="C9088" s="16" t="n">
        <f aca="false">SUMPRODUCT(($C$9066:$C$9075=C9066)*$C$9055:$C$9064)</f>
        <v>67.421874914575</v>
      </c>
    </row>
    <row r="9089" customFormat="false" ht="15" hidden="false" customHeight="false" outlineLevel="0" collapsed="false">
      <c r="A9089" s="3" t="s">
        <v>557</v>
      </c>
      <c r="C9089" s="16" t="n">
        <f aca="false">SUMPRODUCT(($C$9066:$C$9075=C9067)*$C$9055:$C$9064)</f>
        <v>67.421874914575</v>
      </c>
    </row>
    <row r="9090" customFormat="false" ht="15" hidden="false" customHeight="false" outlineLevel="0" collapsed="false">
      <c r="A9090" s="3" t="s">
        <v>558</v>
      </c>
      <c r="C9090" s="16" t="n">
        <f aca="false">SUMPRODUCT(($C$9066:$C$9075=C9068)*$C$9055:$C$9064)</f>
        <v>67.421874914575</v>
      </c>
    </row>
    <row r="9091" customFormat="false" ht="15" hidden="false" customHeight="false" outlineLevel="0" collapsed="false">
      <c r="A9091" s="3" t="s">
        <v>559</v>
      </c>
      <c r="C9091" s="16" t="n">
        <f aca="false">SUMPRODUCT(($C$9066:$C$9075=C9069)*$C$9055:$C$9064)</f>
        <v>2000</v>
      </c>
    </row>
    <row r="9092" customFormat="false" ht="15" hidden="false" customHeight="false" outlineLevel="0" collapsed="false">
      <c r="A9092" s="3" t="s">
        <v>560</v>
      </c>
      <c r="C9092" s="16" t="n">
        <f aca="false">SUMPRODUCT(($C$9066:$C$9075=C9070)*$C$9055:$C$9064)</f>
        <v>2000</v>
      </c>
    </row>
    <row r="9093" customFormat="false" ht="15" hidden="false" customHeight="false" outlineLevel="0" collapsed="false">
      <c r="A9093" s="3" t="s">
        <v>561</v>
      </c>
      <c r="C9093" s="16" t="n">
        <f aca="false">SUMPRODUCT(($C$9066:$C$9075=C9071)*$C$9055:$C$9064)</f>
        <v>2000</v>
      </c>
    </row>
    <row r="9094" customFormat="false" ht="15" hidden="false" customHeight="false" outlineLevel="0" collapsed="false">
      <c r="A9094" s="3" t="s">
        <v>562</v>
      </c>
      <c r="C9094" s="16" t="n">
        <f aca="false">SUMPRODUCT(($C$9066:$C$9075=C9072)*$C$9055:$C$9064)</f>
        <v>2000</v>
      </c>
    </row>
    <row r="9095" customFormat="false" ht="15" hidden="false" customHeight="false" outlineLevel="0" collapsed="false">
      <c r="A9095" s="3" t="s">
        <v>563</v>
      </c>
      <c r="C9095" s="16" t="n">
        <f aca="false">SUMPRODUCT(($C$9066:$C$9075=C9073)*$C$9055:$C$9064)</f>
        <v>2000</v>
      </c>
    </row>
    <row r="9096" customFormat="false" ht="15" hidden="false" customHeight="false" outlineLevel="0" collapsed="false">
      <c r="A9096" s="3" t="s">
        <v>564</v>
      </c>
      <c r="C9096" s="16" t="n">
        <f aca="false">SUMPRODUCT(($C$9066:$C$9075=C9074)*$C$9055:$C$9064)</f>
        <v>2000</v>
      </c>
    </row>
    <row r="9097" customFormat="false" ht="15" hidden="false" customHeight="false" outlineLevel="0" collapsed="false">
      <c r="A9097" s="3" t="s">
        <v>565</v>
      </c>
      <c r="C9097" s="16" t="n">
        <f aca="false">SUMPRODUCT(($C$9066:$C$9075=C9075)*$C$9055:$C$9064)</f>
        <v>78.61</v>
      </c>
    </row>
    <row r="9098" customFormat="false" ht="15" hidden="false" customHeight="false" outlineLevel="0" collapsed="false">
      <c r="A9098" s="24" t="s">
        <v>574</v>
      </c>
      <c r="B9098" s="25"/>
      <c r="C9098" s="25"/>
      <c r="D9098" s="25"/>
      <c r="E9098" s="25"/>
      <c r="F9098" s="25"/>
      <c r="G9098" s="25"/>
      <c r="H9098" s="25"/>
      <c r="I9098" s="25"/>
      <c r="J9098" s="25"/>
      <c r="K9098" s="25"/>
    </row>
    <row r="9099" customFormat="false" ht="15" hidden="false" customHeight="false" outlineLevel="0" collapsed="false">
      <c r="A9099" s="3" t="s">
        <v>556</v>
      </c>
      <c r="C9099" s="16" t="n">
        <f aca="false">IF(C9088=0,0,C9055/C9088*MAX(0,MIN(C9088,$C$8998-SUM($C$9033:$C$9042)-C9077)))</f>
        <v>0</v>
      </c>
    </row>
    <row r="9100" customFormat="false" ht="15" hidden="false" customHeight="false" outlineLevel="0" collapsed="false">
      <c r="A9100" s="3" t="s">
        <v>557</v>
      </c>
      <c r="C9100" s="16" t="n">
        <f aca="false">IF(C9089=0,0,C9056/C9089*MAX(0,MIN(C9089,$C$8998-SUM($C$9033:$C$9042)-C9078)))</f>
        <v>0</v>
      </c>
    </row>
    <row r="9101" customFormat="false" ht="15" hidden="false" customHeight="false" outlineLevel="0" collapsed="false">
      <c r="A9101" s="3" t="s">
        <v>558</v>
      </c>
      <c r="C9101" s="16" t="n">
        <f aca="false">IF(C9090=0,0,C9057/C9090*MAX(0,MIN(C9090,$C$8998-SUM($C$9033:$C$9042)-C9079)))</f>
        <v>0</v>
      </c>
    </row>
    <row r="9102" customFormat="false" ht="15" hidden="false" customHeight="false" outlineLevel="0" collapsed="false">
      <c r="A9102" s="3" t="s">
        <v>559</v>
      </c>
      <c r="C9102" s="16" t="n">
        <f aca="false">IF(C9091=0,0,C9058/C9091*MAX(0,MIN(C9091,$C$8998-SUM($C$9033:$C$9042)-C9080)))</f>
        <v>0</v>
      </c>
    </row>
    <row r="9103" customFormat="false" ht="15" hidden="false" customHeight="false" outlineLevel="0" collapsed="false">
      <c r="A9103" s="3" t="s">
        <v>560</v>
      </c>
      <c r="C9103" s="16" t="n">
        <f aca="false">IF(C9092=0,0,C9059/C9092*MAX(0,MIN(C9092,$C$8998-SUM($C$9033:$C$9042)-C9081)))</f>
        <v>227.64754304505</v>
      </c>
    </row>
    <row r="9104" customFormat="false" ht="15" hidden="false" customHeight="false" outlineLevel="0" collapsed="false">
      <c r="A9104" s="3" t="s">
        <v>561</v>
      </c>
      <c r="C9104" s="16" t="n">
        <f aca="false">IF(C9093=0,0,C9060/C9093*MAX(0,MIN(C9093,$C$8998-SUM($C$9033:$C$9042)-C9082)))</f>
        <v>177.05920014615</v>
      </c>
    </row>
    <row r="9105" customFormat="false" ht="15" hidden="false" customHeight="false" outlineLevel="0" collapsed="false">
      <c r="A9105" s="3" t="s">
        <v>562</v>
      </c>
      <c r="C9105" s="16" t="n">
        <f aca="false">IF(C9094=0,0,C9061/C9094*MAX(0,MIN(C9094,$C$8998-SUM($C$9033:$C$9042)-C9083)))</f>
        <v>278.23588594395</v>
      </c>
    </row>
    <row r="9106" customFormat="false" ht="15" hidden="false" customHeight="false" outlineLevel="0" collapsed="false">
      <c r="A9106" s="3" t="s">
        <v>563</v>
      </c>
      <c r="C9106" s="16" t="n">
        <f aca="false">IF(C9095=0,0,C9062/C9095*MAX(0,MIN(C9095,$C$8998-SUM($C$9033:$C$9042)-C9084)))</f>
        <v>177.05920014615</v>
      </c>
    </row>
    <row r="9107" customFormat="false" ht="15" hidden="false" customHeight="false" outlineLevel="0" collapsed="false">
      <c r="A9107" s="3" t="s">
        <v>564</v>
      </c>
      <c r="C9107" s="16" t="n">
        <f aca="false">IF(C9096=0,0,C9063/C9096*MAX(0,MIN(C9096,$C$8998-SUM($C$9033:$C$9042)-C9085)))</f>
        <v>151.7650286967</v>
      </c>
    </row>
    <row r="9108" customFormat="false" ht="15" hidden="false" customHeight="false" outlineLevel="0" collapsed="false">
      <c r="A9108" s="3" t="s">
        <v>565</v>
      </c>
      <c r="C9108" s="16" t="n">
        <f aca="false">IF(C9097=0,0,C9064/C9097*MAX(0,MIN(C9097,$C$8998-SUM($C$9033:$C$9042)-C9086)))</f>
        <v>0</v>
      </c>
    </row>
    <row r="9109" customFormat="false" ht="15" hidden="false" customHeight="false" outlineLevel="0" collapsed="false">
      <c r="A9109" s="24" t="s">
        <v>575</v>
      </c>
      <c r="B9109" s="25"/>
      <c r="C9109" s="25"/>
      <c r="D9109" s="25"/>
      <c r="E9109" s="25"/>
      <c r="F9109" s="25"/>
      <c r="G9109" s="25"/>
      <c r="H9109" s="25"/>
      <c r="I9109" s="25"/>
      <c r="J9109" s="25"/>
      <c r="K9109" s="25"/>
    </row>
    <row r="9110" customFormat="false" ht="15" hidden="false" customHeight="false" outlineLevel="0" collapsed="false">
      <c r="A9110" s="2" t="s">
        <v>556</v>
      </c>
      <c r="C9110" s="17" t="n">
        <f aca="false">C9033+C9099</f>
        <v>388</v>
      </c>
    </row>
    <row r="9111" customFormat="false" ht="15" hidden="false" customHeight="false" outlineLevel="0" collapsed="false">
      <c r="A9111" s="2" t="s">
        <v>557</v>
      </c>
      <c r="C9111" s="17" t="n">
        <f aca="false">C9034+C9100</f>
        <v>48.829076441093</v>
      </c>
    </row>
    <row r="9112" customFormat="false" ht="15" hidden="false" customHeight="false" outlineLevel="0" collapsed="false">
      <c r="A9112" s="2" t="s">
        <v>558</v>
      </c>
      <c r="C9112" s="17" t="n">
        <f aca="false">C9035+C9101</f>
        <v>31.0730486443319</v>
      </c>
    </row>
    <row r="9113" customFormat="false" ht="15" hidden="false" customHeight="false" outlineLevel="0" collapsed="false">
      <c r="A9113" s="2" t="s">
        <v>559</v>
      </c>
      <c r="C9113" s="17" t="n">
        <f aca="false">C9036+C9102</f>
        <v>0</v>
      </c>
    </row>
    <row r="9114" customFormat="false" ht="15" hidden="false" customHeight="false" outlineLevel="0" collapsed="false">
      <c r="A9114" s="2" t="s">
        <v>560</v>
      </c>
      <c r="C9114" s="17" t="n">
        <f aca="false">C9037+C9103</f>
        <v>227.64754304505</v>
      </c>
    </row>
    <row r="9115" customFormat="false" ht="15" hidden="false" customHeight="false" outlineLevel="0" collapsed="false">
      <c r="A9115" s="2" t="s">
        <v>561</v>
      </c>
      <c r="C9115" s="17" t="n">
        <f aca="false">C9038+C9104</f>
        <v>177.05920014615</v>
      </c>
    </row>
    <row r="9116" customFormat="false" ht="15" hidden="false" customHeight="false" outlineLevel="0" collapsed="false">
      <c r="A9116" s="2" t="s">
        <v>562</v>
      </c>
      <c r="C9116" s="17" t="n">
        <f aca="false">C9039+C9105</f>
        <v>278.23588594395</v>
      </c>
    </row>
    <row r="9117" customFormat="false" ht="15" hidden="false" customHeight="false" outlineLevel="0" collapsed="false">
      <c r="A9117" s="2" t="s">
        <v>563</v>
      </c>
      <c r="C9117" s="17" t="n">
        <f aca="false">C9040+C9106</f>
        <v>177.05920014615</v>
      </c>
    </row>
    <row r="9118" customFormat="false" ht="15" hidden="false" customHeight="false" outlineLevel="0" collapsed="false">
      <c r="A9118" s="2" t="s">
        <v>564</v>
      </c>
      <c r="C9118" s="17" t="n">
        <f aca="false">C9041+C9107</f>
        <v>151.7650286967</v>
      </c>
    </row>
    <row r="9119" customFormat="false" ht="15" hidden="false" customHeight="false" outlineLevel="0" collapsed="false">
      <c r="A9119" s="2" t="s">
        <v>565</v>
      </c>
      <c r="C9119" s="17" t="n">
        <f aca="false">C9042+C9108</f>
        <v>0</v>
      </c>
    </row>
    <row r="9120" customFormat="false" ht="15" hidden="false" customHeight="false" outlineLevel="0" collapsed="false">
      <c r="A9120" s="24" t="s">
        <v>576</v>
      </c>
      <c r="B9120" s="25"/>
      <c r="C9120" s="25"/>
      <c r="D9120" s="25"/>
      <c r="E9120" s="25"/>
      <c r="F9120" s="25"/>
      <c r="G9120" s="25"/>
      <c r="H9120" s="25"/>
      <c r="I9120" s="25"/>
      <c r="J9120" s="25"/>
      <c r="K9120" s="25"/>
    </row>
    <row r="9121" customFormat="false" ht="15" hidden="false" customHeight="false" outlineLevel="0" collapsed="false">
      <c r="A9121" s="3" t="s">
        <v>556</v>
      </c>
      <c r="C9121" s="22" t="n">
        <f aca="false">IF(C9000=0,1,C9110/C9000)</f>
        <v>1</v>
      </c>
    </row>
    <row r="9122" customFormat="false" ht="15" hidden="false" customHeight="false" outlineLevel="0" collapsed="false">
      <c r="A9122" s="3" t="s">
        <v>557</v>
      </c>
      <c r="C9122" s="22" t="n">
        <f aca="false">IF(C9001=0,1,C9111/C9001)</f>
        <v>0.542545293789923</v>
      </c>
    </row>
    <row r="9123" customFormat="false" ht="15" hidden="false" customHeight="false" outlineLevel="0" collapsed="false">
      <c r="A9123" s="3" t="s">
        <v>558</v>
      </c>
      <c r="C9123" s="22" t="n">
        <f aca="false">IF(C9002=0,1,C9112/C9002)</f>
        <v>0.54206002100921</v>
      </c>
    </row>
    <row r="9124" customFormat="false" ht="15" hidden="false" customHeight="false" outlineLevel="0" collapsed="false">
      <c r="A9124" s="3" t="s">
        <v>559</v>
      </c>
      <c r="C9124" s="22" t="n">
        <f aca="false">IF(C9003=0,1,C9113/C9003)</f>
        <v>1</v>
      </c>
    </row>
    <row r="9125" customFormat="false" ht="15" hidden="false" customHeight="false" outlineLevel="0" collapsed="false">
      <c r="A9125" s="3" t="s">
        <v>560</v>
      </c>
      <c r="C9125" s="22" t="n">
        <f aca="false">IF(C9004=0,1,C9114/C9004)</f>
        <v>0.505883428989</v>
      </c>
    </row>
    <row r="9126" customFormat="false" ht="15" hidden="false" customHeight="false" outlineLevel="0" collapsed="false">
      <c r="A9126" s="3" t="s">
        <v>561</v>
      </c>
      <c r="C9126" s="22" t="n">
        <f aca="false">IF(C9005=0,1,C9115/C9005)</f>
        <v>0.505883428989</v>
      </c>
    </row>
    <row r="9127" customFormat="false" ht="15" hidden="false" customHeight="false" outlineLevel="0" collapsed="false">
      <c r="A9127" s="3" t="s">
        <v>562</v>
      </c>
      <c r="C9127" s="22" t="n">
        <f aca="false">IF(C9006=0,1,C9116/C9006)</f>
        <v>0.505883428989</v>
      </c>
    </row>
    <row r="9128" customFormat="false" ht="15" hidden="false" customHeight="false" outlineLevel="0" collapsed="false">
      <c r="A9128" s="3" t="s">
        <v>563</v>
      </c>
      <c r="C9128" s="22" t="n">
        <f aca="false">IF(C9007=0,1,C9117/C9007)</f>
        <v>0.505883428989</v>
      </c>
    </row>
    <row r="9129" customFormat="false" ht="15" hidden="false" customHeight="false" outlineLevel="0" collapsed="false">
      <c r="A9129" s="3" t="s">
        <v>564</v>
      </c>
      <c r="C9129" s="22" t="n">
        <f aca="false">IF(C9008=0,1,C9118/C9008)</f>
        <v>0.505883428989</v>
      </c>
    </row>
    <row r="9130" customFormat="false" ht="15" hidden="false" customHeight="false" outlineLevel="0" collapsed="false">
      <c r="A9130" s="3" t="s">
        <v>565</v>
      </c>
      <c r="C9130" s="22" t="n">
        <f aca="false">IF(C9009=0,1,C9119/C9009)</f>
        <v>0</v>
      </c>
    </row>
    <row r="9131" customFormat="false" ht="15" hidden="false" customHeight="false" outlineLevel="0" collapsed="false">
      <c r="A9131" s="24" t="s">
        <v>577</v>
      </c>
      <c r="B9131" s="25"/>
      <c r="C9131" s="25"/>
      <c r="D9131" s="25"/>
      <c r="E9131" s="25"/>
      <c r="F9131" s="25"/>
      <c r="G9131" s="25"/>
      <c r="H9131" s="25"/>
      <c r="I9131" s="25"/>
      <c r="J9131" s="25"/>
      <c r="K9131" s="25"/>
    </row>
    <row r="9132" customFormat="false" ht="15" hidden="false" customHeight="false" outlineLevel="0" collapsed="false">
      <c r="A9132" s="3" t="s">
        <v>556</v>
      </c>
      <c r="C9132" s="16" t="n">
        <f aca="false">C9000-C9110</f>
        <v>0</v>
      </c>
    </row>
    <row r="9133" customFormat="false" ht="15" hidden="false" customHeight="false" outlineLevel="0" collapsed="false">
      <c r="A9133" s="3" t="s">
        <v>557</v>
      </c>
      <c r="C9133" s="16" t="n">
        <f aca="false">C9001-C9111</f>
        <v>41.170923558907</v>
      </c>
    </row>
    <row r="9134" customFormat="false" ht="15" hidden="false" customHeight="false" outlineLevel="0" collapsed="false">
      <c r="A9134" s="3" t="s">
        <v>558</v>
      </c>
      <c r="C9134" s="16" t="n">
        <f aca="false">C9002-C9112</f>
        <v>26.2509513556681</v>
      </c>
    </row>
    <row r="9135" customFormat="false" ht="15" hidden="false" customHeight="false" outlineLevel="0" collapsed="false">
      <c r="A9135" s="3" t="s">
        <v>559</v>
      </c>
      <c r="C9135" s="16" t="n">
        <f aca="false">C9003-C9113</f>
        <v>0</v>
      </c>
    </row>
    <row r="9136" customFormat="false" ht="15" hidden="false" customHeight="false" outlineLevel="0" collapsed="false">
      <c r="A9136" s="3" t="s">
        <v>560</v>
      </c>
      <c r="C9136" s="16" t="n">
        <f aca="false">C9004-C9114</f>
        <v>222.35245695495</v>
      </c>
    </row>
    <row r="9137" customFormat="false" ht="15" hidden="false" customHeight="false" outlineLevel="0" collapsed="false">
      <c r="A9137" s="3" t="s">
        <v>561</v>
      </c>
      <c r="C9137" s="16" t="n">
        <f aca="false">C9005-C9115</f>
        <v>172.94079985385</v>
      </c>
    </row>
    <row r="9138" customFormat="false" ht="15" hidden="false" customHeight="false" outlineLevel="0" collapsed="false">
      <c r="A9138" s="3" t="s">
        <v>562</v>
      </c>
      <c r="C9138" s="16" t="n">
        <f aca="false">C9006-C9116</f>
        <v>271.76411405605</v>
      </c>
    </row>
    <row r="9139" customFormat="false" ht="15" hidden="false" customHeight="false" outlineLevel="0" collapsed="false">
      <c r="A9139" s="3" t="s">
        <v>563</v>
      </c>
      <c r="C9139" s="16" t="n">
        <f aca="false">C9007-C9117</f>
        <v>172.94079985385</v>
      </c>
    </row>
    <row r="9140" customFormat="false" ht="15" hidden="false" customHeight="false" outlineLevel="0" collapsed="false">
      <c r="A9140" s="3" t="s">
        <v>564</v>
      </c>
      <c r="C9140" s="16" t="n">
        <f aca="false">C9008-C9118</f>
        <v>148.2349713033</v>
      </c>
    </row>
    <row r="9141" customFormat="false" ht="15" hidden="false" customHeight="false" outlineLevel="0" collapsed="false">
      <c r="A9141" s="3" t="s">
        <v>565</v>
      </c>
      <c r="C9141" s="16" t="n">
        <f aca="false">C9009-C9119</f>
        <v>78.61</v>
      </c>
    </row>
    <row r="9142" customFormat="false" ht="15" hidden="false" customHeight="false" outlineLevel="0" collapsed="false">
      <c r="A9142" s="24" t="s">
        <v>578</v>
      </c>
      <c r="B9142" s="25"/>
      <c r="C9142" s="25"/>
      <c r="D9142" s="25"/>
      <c r="E9142" s="25"/>
      <c r="F9142" s="25"/>
      <c r="G9142" s="25"/>
      <c r="H9142" s="25"/>
      <c r="I9142" s="25"/>
      <c r="J9142" s="25"/>
      <c r="K9142" s="25"/>
    </row>
    <row r="9143" customFormat="false" ht="15" hidden="false" customHeight="false" outlineLevel="0" collapsed="false">
      <c r="A9143" s="3" t="s">
        <v>556</v>
      </c>
      <c r="C9143" s="22" t="n">
        <f aca="false">IF(C9000=0,0,C9132/C9000)</f>
        <v>0</v>
      </c>
    </row>
    <row r="9144" customFormat="false" ht="15" hidden="false" customHeight="false" outlineLevel="0" collapsed="false">
      <c r="A9144" s="3" t="s">
        <v>557</v>
      </c>
      <c r="C9144" s="22" t="n">
        <f aca="false">IF(C9001=0,0,C9133/C9001)</f>
        <v>0.457454706210077</v>
      </c>
    </row>
    <row r="9145" customFormat="false" ht="15" hidden="false" customHeight="false" outlineLevel="0" collapsed="false">
      <c r="A9145" s="3" t="s">
        <v>558</v>
      </c>
      <c r="C9145" s="22" t="n">
        <f aca="false">IF(C9002=0,0,C9134/C9002)</f>
        <v>0.45793997899079</v>
      </c>
    </row>
    <row r="9146" customFormat="false" ht="15" hidden="false" customHeight="false" outlineLevel="0" collapsed="false">
      <c r="A9146" s="3" t="s">
        <v>559</v>
      </c>
      <c r="C9146" s="22" t="n">
        <f aca="false">IF(C9003=0,0,C9135/C9003)</f>
        <v>0</v>
      </c>
    </row>
    <row r="9147" customFormat="false" ht="15" hidden="false" customHeight="false" outlineLevel="0" collapsed="false">
      <c r="A9147" s="3" t="s">
        <v>560</v>
      </c>
      <c r="C9147" s="22" t="n">
        <f aca="false">IF(C9004=0,0,C9136/C9004)</f>
        <v>0.494116571011</v>
      </c>
    </row>
    <row r="9148" customFormat="false" ht="15" hidden="false" customHeight="false" outlineLevel="0" collapsed="false">
      <c r="A9148" s="3" t="s">
        <v>561</v>
      </c>
      <c r="C9148" s="22" t="n">
        <f aca="false">IF(C9005=0,0,C9137/C9005)</f>
        <v>0.494116571011</v>
      </c>
    </row>
    <row r="9149" customFormat="false" ht="15" hidden="false" customHeight="false" outlineLevel="0" collapsed="false">
      <c r="A9149" s="3" t="s">
        <v>562</v>
      </c>
      <c r="C9149" s="22" t="n">
        <f aca="false">IF(C9006=0,0,C9138/C9006)</f>
        <v>0.494116571011</v>
      </c>
    </row>
    <row r="9150" customFormat="false" ht="15" hidden="false" customHeight="false" outlineLevel="0" collapsed="false">
      <c r="A9150" s="3" t="s">
        <v>563</v>
      </c>
      <c r="C9150" s="22" t="n">
        <f aca="false">IF(C9007=0,0,C9139/C9007)</f>
        <v>0.494116571011</v>
      </c>
    </row>
    <row r="9151" customFormat="false" ht="15" hidden="false" customHeight="false" outlineLevel="0" collapsed="false">
      <c r="A9151" s="3" t="s">
        <v>564</v>
      </c>
      <c r="C9151" s="22" t="n">
        <f aca="false">IF(C9008=0,0,C9140/C9008)</f>
        <v>0.494116571011</v>
      </c>
    </row>
    <row r="9152" customFormat="false" ht="15" hidden="false" customHeight="false" outlineLevel="0" collapsed="false">
      <c r="A9152" s="3" t="s">
        <v>565</v>
      </c>
      <c r="C9152" s="22" t="n">
        <f aca="false">IF(C9009=0,0,C9141/C9009)</f>
        <v>1</v>
      </c>
    </row>
    <row r="9153" customFormat="false" ht="15" hidden="false" customHeight="false" outlineLevel="0" collapsed="false">
      <c r="A9153" s="2" t="s">
        <v>579</v>
      </c>
      <c r="C9153" s="17" t="n">
        <f aca="false">MAX(0,$C$8998-SUM($C$9033:$C$9042)-SUM($C$9055:$C$9064))</f>
        <v>0</v>
      </c>
    </row>
    <row r="9154" customFormat="false" ht="15" hidden="false" customHeight="false" outlineLevel="0" collapsed="false">
      <c r="A9154" s="3" t="s">
        <v>597</v>
      </c>
      <c r="C9154" s="35" t="n">
        <f aca="false">MIN(C8997,100*CHOOSE(C8987,C9121,C9122,C9123,C9124,C9125,C9126,C9127,C9128,C9129,C9130))</f>
        <v>85</v>
      </c>
    </row>
    <row r="9155" customFormat="false" ht="15" hidden="false" customHeight="false" outlineLevel="0" collapsed="false">
      <c r="A9155" s="3" t="s">
        <v>598</v>
      </c>
      <c r="C9155" s="21" t="n">
        <f aca="false">IF(C8819=1,C8992+Assumptions!$C$40,C8991)</f>
        <v>3</v>
      </c>
    </row>
    <row r="9156" customFormat="false" ht="15" hidden="false" customHeight="false" outlineLevel="0" collapsed="false">
      <c r="A9156" s="24" t="s">
        <v>599</v>
      </c>
      <c r="B9156" s="25"/>
      <c r="C9156" s="25"/>
      <c r="D9156" s="25"/>
      <c r="E9156" s="25"/>
      <c r="F9156" s="25"/>
      <c r="G9156" s="25"/>
      <c r="H9156" s="25"/>
      <c r="I9156" s="25"/>
      <c r="J9156" s="25"/>
      <c r="K9156" s="25"/>
    </row>
    <row r="9157" customFormat="false" ht="15" hidden="false" customHeight="false" outlineLevel="0" collapsed="false">
      <c r="A9157" s="3" t="s">
        <v>600</v>
      </c>
      <c r="C9157" s="21" t="n">
        <f aca="false">COLUMN()-COLUMN($C$1)</f>
        <v>0</v>
      </c>
      <c r="D9157" s="21" t="n">
        <f aca="false">COLUMN()-COLUMN($C$1)</f>
        <v>1</v>
      </c>
      <c r="E9157" s="21" t="n">
        <f aca="false">COLUMN()-COLUMN($C$1)</f>
        <v>2</v>
      </c>
      <c r="F9157" s="21" t="n">
        <f aca="false">COLUMN()-COLUMN($C$1)</f>
        <v>3</v>
      </c>
      <c r="G9157" s="21" t="n">
        <f aca="false">COLUMN()-COLUMN($C$1)</f>
        <v>4</v>
      </c>
      <c r="H9157" s="21" t="n">
        <f aca="false">COLUMN()-COLUMN($C$1)</f>
        <v>5</v>
      </c>
      <c r="I9157" s="21" t="n">
        <f aca="false">COLUMN()-COLUMN($C$1)</f>
        <v>6</v>
      </c>
    </row>
    <row r="9158" customFormat="false" ht="15" hidden="false" customHeight="false" outlineLevel="0" collapsed="false">
      <c r="A9158" s="3" t="s">
        <v>601</v>
      </c>
      <c r="D9158" s="31" t="n">
        <f aca="false">CHOOSE($C$8987,G8567,G8580,G8593,G8606,G8619,G8632,G8645,G8658,G8671,G8684)</f>
        <v>0.1215</v>
      </c>
      <c r="E9158" s="31" t="n">
        <f aca="false">CHOOSE($C$8987,H8567,H8580,H8593,H8606,H8619,H8632,H8645,H8658,H8671,H8684)</f>
        <v>0.12</v>
      </c>
      <c r="F9158" s="31" t="n">
        <f aca="false">CHOOSE($C$8987,I8567,I8580,I8593,I8606,I8619,I8632,I8645,I8658,I8671,I8684)</f>
        <v>0.1175</v>
      </c>
      <c r="G9158" s="31" t="n">
        <f aca="false">CHOOSE($C$8987,J8567,J8580,J8593,J8606,J8619,J8632,J8645,J8658,J8671,J8684)</f>
        <v>0.1175</v>
      </c>
      <c r="H9158" s="31" t="n">
        <f aca="false">CHOOSE($C$8987,K8567,K8580,K8593,K8606,K8619,K8632,K8645,K8658,K8671,K8684)</f>
        <v>0.1175</v>
      </c>
    </row>
    <row r="9159" customFormat="false" ht="15" hidden="false" customHeight="false" outlineLevel="0" collapsed="false">
      <c r="A9159" s="3" t="s">
        <v>602</v>
      </c>
      <c r="D9159" s="16" t="n">
        <f aca="false">IF(D9157&lt;=$C$8996,$C$8988*D9158,0)</f>
        <v>12.15</v>
      </c>
      <c r="E9159" s="16" t="n">
        <f aca="false">IF(E9157&lt;=$C$8996,$C$8988*E9158,0)</f>
        <v>12</v>
      </c>
      <c r="F9159" s="16" t="n">
        <f aca="false">IF(F9157&lt;=$C$8996,$C$8988*F9158,0)</f>
        <v>0</v>
      </c>
      <c r="G9159" s="16" t="n">
        <f aca="false">IF(G9157&lt;=$C$8996,$C$8988*G9158,0)</f>
        <v>0</v>
      </c>
      <c r="H9159" s="16" t="n">
        <f aca="false">IF(H9157&lt;=$C$8996,$C$8988*H9158,0)</f>
        <v>0</v>
      </c>
    </row>
    <row r="9160" customFormat="false" ht="15" hidden="false" customHeight="false" outlineLevel="0" collapsed="false">
      <c r="A9160" s="3" t="s">
        <v>603</v>
      </c>
      <c r="D9160" s="16" t="n">
        <f aca="false">IF(AND($C$8819=0,D9157=$C$8991),$C$8988*$C$9154/100,0)+IF(AND($C$8819=1,D9157=$C$9155),$C$8994,0)</f>
        <v>0</v>
      </c>
      <c r="E9160" s="16" t="n">
        <f aca="false">IF(AND($C$8819=0,E9157=$C$8991),$C$8988*$C$9154/100,0)+IF(AND($C$8819=1,E9157=$C$9155),$C$8994,0)</f>
        <v>0</v>
      </c>
      <c r="F9160" s="16" t="n">
        <f aca="false">IF(AND($C$8819=0,F9157=$C$8991),$C$8988*$C$9154/100,0)+IF(AND($C$8819=1,F9157=$C$9155),$C$8994,0)</f>
        <v>103</v>
      </c>
      <c r="G9160" s="16" t="n">
        <f aca="false">IF(AND($C$8819=0,G9157=$C$8991),$C$8988*$C$9154/100,0)+IF(AND($C$8819=1,G9157=$C$9155),$C$8994,0)</f>
        <v>0</v>
      </c>
      <c r="H9160" s="16" t="n">
        <f aca="false">IF(AND($C$8819=0,H9157=$C$8991),$C$8988*$C$9154/100,0)+IF(AND($C$8819=1,H9157=$C$9155),$C$8994,0)</f>
        <v>0</v>
      </c>
      <c r="I9160" s="16" t="n">
        <f aca="false">IF(AND($C$8819=0,I9157=$C$8991),$C$8988*$C$9154/100,0)+IF(AND($C$8819=1,I9157=$C$9155),$C$8994,0)</f>
        <v>0</v>
      </c>
    </row>
    <row r="9161" customFormat="false" ht="15" hidden="false" customHeight="false" outlineLevel="0" collapsed="false">
      <c r="A9161" s="2" t="s">
        <v>604</v>
      </c>
      <c r="C9161" s="17" t="n">
        <f aca="false">-$C$8990</f>
        <v>-98.49</v>
      </c>
      <c r="D9161" s="17" t="n">
        <f aca="false">D9159+D9160</f>
        <v>12.15</v>
      </c>
      <c r="E9161" s="17" t="n">
        <f aca="false">E9159+E9160</f>
        <v>12</v>
      </c>
      <c r="F9161" s="17" t="n">
        <f aca="false">F9159+F9160</f>
        <v>103</v>
      </c>
      <c r="G9161" s="17" t="n">
        <f aca="false">G9159+G9160</f>
        <v>0</v>
      </c>
      <c r="H9161" s="17" t="n">
        <f aca="false">H9159+H9160</f>
        <v>0</v>
      </c>
      <c r="I9161" s="17" t="n">
        <f aca="false">I9159+I9160</f>
        <v>0</v>
      </c>
    </row>
    <row r="9162" customFormat="false" ht="15" hidden="false" customHeight="false" outlineLevel="0" collapsed="false">
      <c r="A9162" s="3" t="s">
        <v>605</v>
      </c>
      <c r="C9162" s="16" t="n">
        <f aca="false">SUM($C$9159:$I$9159)</f>
        <v>24.15</v>
      </c>
    </row>
    <row r="9163" customFormat="false" ht="15" hidden="false" customHeight="false" outlineLevel="0" collapsed="false">
      <c r="A9163" s="3" t="s">
        <v>606</v>
      </c>
      <c r="C9163" s="16" t="n">
        <f aca="false">SUM($C$9160:$I$9160)</f>
        <v>103</v>
      </c>
    </row>
    <row r="9164" customFormat="false" ht="15" hidden="false" customHeight="false" outlineLevel="0" collapsed="false">
      <c r="A9164" s="3" t="s">
        <v>607</v>
      </c>
      <c r="C9164" s="16" t="n">
        <f aca="false">C9162+C9163</f>
        <v>127.15</v>
      </c>
    </row>
    <row r="9165" customFormat="false" ht="15" hidden="false" customHeight="false" outlineLevel="0" collapsed="false">
      <c r="A9165" s="3" t="s">
        <v>608</v>
      </c>
      <c r="C9165" s="16" t="n">
        <f aca="false">C9163-C8988*C8989/100</f>
        <v>5</v>
      </c>
    </row>
    <row r="9166" customFormat="false" ht="15" hidden="false" customHeight="false" outlineLevel="0" collapsed="false">
      <c r="A9166" s="3" t="s">
        <v>609</v>
      </c>
      <c r="C9166" s="16" t="n">
        <f aca="false">C9164-C8990</f>
        <v>28.66</v>
      </c>
    </row>
    <row r="9167" customFormat="false" ht="15" hidden="false" customHeight="false" outlineLevel="0" collapsed="false">
      <c r="A9167" s="2" t="s">
        <v>484</v>
      </c>
      <c r="C9167" s="44" t="n">
        <f aca="false">C9164/C8990</f>
        <v>1.29099400954412</v>
      </c>
    </row>
    <row r="9168" customFormat="false" ht="15" hidden="false" customHeight="false" outlineLevel="0" collapsed="false">
      <c r="A9168" s="2" t="s">
        <v>483</v>
      </c>
      <c r="C9168" s="42" t="n">
        <f aca="false">IF(C9164&lt;=0,-1,IFERROR(IRR($C$9161:$I$9161,MAX(-0.9,C9167^(1/C9155)-1)),IRR($C$9161:$I$9161,0.1)))</f>
        <v>0.0994077590660149</v>
      </c>
    </row>
    <row r="9169" customFormat="false" ht="15" hidden="false" customHeight="false" outlineLevel="0" collapsed="false">
      <c r="A9169" s="3" t="s">
        <v>610</v>
      </c>
      <c r="C9169" s="32" t="n">
        <f aca="false">MAX($G$8763:$K$8763)</f>
        <v>17.8233365456223</v>
      </c>
    </row>
    <row r="9170" customFormat="false" ht="15" hidden="false" customHeight="false" outlineLevel="0" collapsed="false">
      <c r="A9170" s="3" t="s">
        <v>611</v>
      </c>
      <c r="C9170" s="32" t="n">
        <f aca="false">MIN($G$8764:$K$8764)</f>
        <v>0.812434142152952</v>
      </c>
    </row>
    <row r="9171" customFormat="false" ht="15" hidden="false" customHeight="false" outlineLevel="0" collapsed="false">
      <c r="A9171" s="3" t="s">
        <v>612</v>
      </c>
      <c r="C9171" s="16" t="n">
        <f aca="false">SUM($G$8551:$K$8551)</f>
        <v>-404.506726591877</v>
      </c>
    </row>
    <row r="9175" customFormat="false" ht="15" hidden="false" customHeight="false" outlineLevel="0" collapsed="false">
      <c r="A9175" s="9" t="s">
        <v>1144</v>
      </c>
      <c r="B9175" s="10"/>
      <c r="C9175" s="10"/>
      <c r="D9175" s="10"/>
      <c r="E9175" s="10"/>
      <c r="F9175" s="10"/>
      <c r="G9175" s="10"/>
      <c r="H9175" s="10"/>
      <c r="I9175" s="10"/>
      <c r="J9175" s="10"/>
      <c r="K9175" s="10"/>
    </row>
    <row r="9176" customFormat="false" ht="15" hidden="false" customHeight="false" outlineLevel="0" collapsed="false">
      <c r="A9176" s="3" t="s">
        <v>1126</v>
      </c>
      <c r="C9176" s="11" t="n">
        <v>3</v>
      </c>
    </row>
    <row r="9177" customFormat="false" ht="15" hidden="false" customHeight="false" outlineLevel="0" collapsed="false">
      <c r="A9177" s="3" t="s">
        <v>1127</v>
      </c>
      <c r="C9177" s="19" t="n">
        <v>0</v>
      </c>
    </row>
    <row r="9178" customFormat="false" ht="15" hidden="false" customHeight="false" outlineLevel="0" collapsed="false">
      <c r="A9178" s="3" t="s">
        <v>1128</v>
      </c>
      <c r="C9178" s="30" t="n">
        <f aca="false">Sensitivities!$A$31</f>
        <v>-0.02</v>
      </c>
    </row>
    <row r="9179" customFormat="false" ht="15" hidden="false" customHeight="false" outlineLevel="0" collapsed="false">
      <c r="A9179" s="3" t="s">
        <v>1129</v>
      </c>
      <c r="C9179" s="19" t="n">
        <v>0</v>
      </c>
    </row>
    <row r="9180" customFormat="false" ht="15" hidden="false" customHeight="false" outlineLevel="0" collapsed="false">
      <c r="A9180" s="3" t="s">
        <v>1130</v>
      </c>
      <c r="C9180" s="15" t="n">
        <v>0</v>
      </c>
    </row>
    <row r="9182" customFormat="false" ht="15" hidden="false" customHeight="false" outlineLevel="0" collapsed="false">
      <c r="A9182" s="24" t="s">
        <v>301</v>
      </c>
      <c r="B9182" s="25"/>
      <c r="C9182" s="25"/>
      <c r="D9182" s="25"/>
      <c r="E9182" s="25"/>
      <c r="F9182" s="25"/>
      <c r="G9182" s="25"/>
      <c r="H9182" s="25"/>
      <c r="I9182" s="25"/>
      <c r="J9182" s="25"/>
      <c r="K9182" s="25"/>
    </row>
    <row r="9183" customFormat="false" ht="15" hidden="false" customHeight="false" outlineLevel="0" collapsed="false">
      <c r="A9183" s="3" t="s">
        <v>302</v>
      </c>
      <c r="F9183" s="27" t="n">
        <f aca="false">Assumptions!$C$6</f>
        <v>2026</v>
      </c>
      <c r="G9183" s="21" t="n">
        <f aca="false">F9183+1</f>
        <v>2027</v>
      </c>
      <c r="H9183" s="21" t="n">
        <f aca="false">G9183+1</f>
        <v>2028</v>
      </c>
      <c r="I9183" s="21" t="n">
        <f aca="false">H9183+1</f>
        <v>2029</v>
      </c>
      <c r="J9183" s="21" t="n">
        <f aca="false">I9183+1</f>
        <v>2030</v>
      </c>
      <c r="K9183" s="21" t="n">
        <f aca="false">J9183+1</f>
        <v>2031</v>
      </c>
    </row>
    <row r="9184" customFormat="false" ht="15" hidden="false" customHeight="false" outlineLevel="0" collapsed="false">
      <c r="A9184" s="3" t="s">
        <v>303</v>
      </c>
      <c r="G9184" s="21" t="n">
        <f aca="false">G9183-Assumptions!$C$6</f>
        <v>1</v>
      </c>
      <c r="H9184" s="21" t="n">
        <f aca="false">H9183-Assumptions!$C$6</f>
        <v>2</v>
      </c>
      <c r="I9184" s="21" t="n">
        <f aca="false">I9183-Assumptions!$C$6</f>
        <v>3</v>
      </c>
      <c r="J9184" s="21" t="n">
        <f aca="false">J9183-Assumptions!$C$6</f>
        <v>4</v>
      </c>
      <c r="K9184" s="21" t="n">
        <f aca="false">K9183-Assumptions!$C$6</f>
        <v>5</v>
      </c>
    </row>
    <row r="9185" customFormat="false" ht="15" hidden="false" customHeight="false" outlineLevel="0" collapsed="false">
      <c r="A9185" s="3" t="s">
        <v>180</v>
      </c>
      <c r="G9185" s="22" t="n">
        <f aca="false">CHOOSE($C$9176,Assumptions!$G$79,Assumptions!$G$98,Assumptions!$G$117)+$C$9177</f>
        <v>-0.1</v>
      </c>
      <c r="H9185" s="22" t="n">
        <f aca="false">CHOOSE($C$9176,Assumptions!$H$79,Assumptions!$H$98,Assumptions!$H$117)+$C$9177</f>
        <v>-0.07</v>
      </c>
      <c r="I9185" s="22" t="n">
        <f aca="false">CHOOSE($C$9176,Assumptions!$I$79,Assumptions!$I$98,Assumptions!$I$117)+$C$9177</f>
        <v>-0.03</v>
      </c>
      <c r="J9185" s="22" t="n">
        <f aca="false">CHOOSE($C$9176,Assumptions!$J$79,Assumptions!$J$98,Assumptions!$J$117)+$C$9177</f>
        <v>0</v>
      </c>
      <c r="K9185" s="22" t="n">
        <f aca="false">CHOOSE($C$9176,Assumptions!$K$79,Assumptions!$K$98,Assumptions!$K$117)+$C$9177</f>
        <v>0.01</v>
      </c>
    </row>
    <row r="9186" customFormat="false" ht="15" hidden="false" customHeight="false" outlineLevel="0" collapsed="false">
      <c r="A9186" s="3" t="s">
        <v>181</v>
      </c>
      <c r="G9186" s="22" t="n">
        <f aca="false">CHOOSE($C$9176,Assumptions!$G$80,Assumptions!$G$99,Assumptions!$G$118)</f>
        <v>0.533920660818678</v>
      </c>
      <c r="H9186" s="22" t="n">
        <f aca="false">CHOOSE($C$9176,Assumptions!$H$80,Assumptions!$H$99,Assumptions!$H$118)</f>
        <v>0.503920660818678</v>
      </c>
      <c r="I9186" s="22" t="n">
        <f aca="false">CHOOSE($C$9176,Assumptions!$I$80,Assumptions!$I$99,Assumptions!$I$118)</f>
        <v>0.498920660818678</v>
      </c>
      <c r="J9186" s="22" t="n">
        <f aca="false">CHOOSE($C$9176,Assumptions!$J$80,Assumptions!$J$99,Assumptions!$J$118)</f>
        <v>0.503920660818678</v>
      </c>
      <c r="K9186" s="22" t="n">
        <f aca="false">CHOOSE($C$9176,Assumptions!$K$80,Assumptions!$K$99,Assumptions!$K$118)</f>
        <v>0.513920660818678</v>
      </c>
    </row>
    <row r="9187" customFormat="false" ht="15" hidden="false" customHeight="false" outlineLevel="0" collapsed="false">
      <c r="A9187" s="3" t="s">
        <v>182</v>
      </c>
      <c r="G9187" s="22" t="n">
        <f aca="false">CHOOSE($C$9176,Assumptions!$G$81,Assumptions!$G$100,Assumptions!$G$119)+$C$9178</f>
        <v>0.44</v>
      </c>
      <c r="H9187" s="22" t="n">
        <f aca="false">CHOOSE($C$9176,Assumptions!$H$81,Assumptions!$H$100,Assumptions!$H$119)+$C$9178</f>
        <v>0.41</v>
      </c>
      <c r="I9187" s="22" t="n">
        <f aca="false">CHOOSE($C$9176,Assumptions!$I$81,Assumptions!$I$100,Assumptions!$I$119)+$C$9178</f>
        <v>0.405</v>
      </c>
      <c r="J9187" s="22" t="n">
        <f aca="false">CHOOSE($C$9176,Assumptions!$J$81,Assumptions!$J$100,Assumptions!$J$119)+$C$9178</f>
        <v>0.41</v>
      </c>
      <c r="K9187" s="22" t="n">
        <f aca="false">CHOOSE($C$9176,Assumptions!$K$81,Assumptions!$K$100,Assumptions!$K$119)+$C$9178</f>
        <v>0.42</v>
      </c>
    </row>
    <row r="9188" customFormat="false" ht="15" hidden="false" customHeight="false" outlineLevel="0" collapsed="false">
      <c r="A9188" s="24" t="s">
        <v>304</v>
      </c>
      <c r="B9188" s="25"/>
      <c r="C9188" s="25"/>
      <c r="D9188" s="25"/>
      <c r="E9188" s="25"/>
      <c r="F9188" s="25"/>
      <c r="G9188" s="25"/>
      <c r="H9188" s="25"/>
      <c r="I9188" s="25"/>
      <c r="J9188" s="25"/>
      <c r="K9188" s="25"/>
    </row>
    <row r="9189" customFormat="false" ht="15" hidden="false" customHeight="false" outlineLevel="0" collapsed="false">
      <c r="A9189" s="2" t="s">
        <v>275</v>
      </c>
      <c r="F9189" s="28" t="n">
        <f aca="false">'Historical Financials'!G25</f>
        <v>498.291</v>
      </c>
      <c r="G9189" s="17" t="n">
        <f aca="false">F9189*(1+G9185)</f>
        <v>448.4619</v>
      </c>
      <c r="H9189" s="17" t="n">
        <f aca="false">G9189*(1+H9185)</f>
        <v>417.069567</v>
      </c>
      <c r="I9189" s="17" t="n">
        <f aca="false">H9189*(1+I9185)</f>
        <v>404.55747999</v>
      </c>
      <c r="J9189" s="17" t="n">
        <f aca="false">I9189*(1+J9185)</f>
        <v>404.55747999</v>
      </c>
      <c r="K9189" s="17" t="n">
        <f aca="false">J9189*(1+K9185)</f>
        <v>408.6030547899</v>
      </c>
    </row>
    <row r="9190" customFormat="false" ht="15" hidden="false" customHeight="false" outlineLevel="0" collapsed="false">
      <c r="A9190" s="3" t="s">
        <v>276</v>
      </c>
      <c r="G9190" s="16" t="n">
        <f aca="false">G9189*(1-G9186)</f>
        <v>209.018826</v>
      </c>
      <c r="H9190" s="16" t="n">
        <f aca="false">H9189*(1-H9186)</f>
        <v>206.89959519</v>
      </c>
      <c r="I9190" s="16" t="n">
        <f aca="false">I9189*(1-I9186)</f>
        <v>202.71539473425</v>
      </c>
      <c r="J9190" s="16" t="n">
        <f aca="false">J9189*(1-J9186)</f>
        <v>200.6926073343</v>
      </c>
      <c r="K9190" s="16" t="n">
        <f aca="false">K9189*(1-K9186)</f>
        <v>198.613502859744</v>
      </c>
    </row>
    <row r="9191" customFormat="false" ht="15" hidden="false" customHeight="false" outlineLevel="0" collapsed="false">
      <c r="A9191" s="2" t="s">
        <v>277</v>
      </c>
      <c r="G9191" s="17" t="n">
        <f aca="false">G9189-G9190</f>
        <v>239.443074</v>
      </c>
      <c r="H9191" s="17" t="n">
        <f aca="false">H9189-H9190</f>
        <v>210.16997181</v>
      </c>
      <c r="I9191" s="17" t="n">
        <f aca="false">I9189-I9190</f>
        <v>201.84208525575</v>
      </c>
      <c r="J9191" s="17" t="n">
        <f aca="false">J9189-J9190</f>
        <v>203.8648726557</v>
      </c>
      <c r="K9191" s="17" t="n">
        <f aca="false">K9189-K9190</f>
        <v>209.989551930156</v>
      </c>
    </row>
    <row r="9192" customFormat="false" ht="15" hidden="false" customHeight="false" outlineLevel="0" collapsed="false">
      <c r="A9192" s="3" t="s">
        <v>305</v>
      </c>
      <c r="G9192" s="16" t="n">
        <f aca="false">G9191-G9193</f>
        <v>42.119838</v>
      </c>
      <c r="H9192" s="16" t="n">
        <f aca="false">H9191-H9193</f>
        <v>39.17144934</v>
      </c>
      <c r="I9192" s="16" t="n">
        <f aca="false">I9191-I9193</f>
        <v>37.9963058598</v>
      </c>
      <c r="J9192" s="16" t="n">
        <f aca="false">J9191-J9193</f>
        <v>37.9963058598</v>
      </c>
      <c r="K9192" s="16" t="n">
        <f aca="false">K9191-K9193</f>
        <v>38.376268918398</v>
      </c>
    </row>
    <row r="9193" customFormat="false" ht="15" hidden="false" customHeight="false" outlineLevel="0" collapsed="false">
      <c r="A9193" s="2" t="s">
        <v>306</v>
      </c>
      <c r="G9193" s="17" t="n">
        <f aca="false">G9189*G9187</f>
        <v>197.323236</v>
      </c>
      <c r="H9193" s="17" t="n">
        <f aca="false">H9189*H9187</f>
        <v>170.99852247</v>
      </c>
      <c r="I9193" s="17" t="n">
        <f aca="false">I9189*I9187</f>
        <v>163.84577939595</v>
      </c>
      <c r="J9193" s="17" t="n">
        <f aca="false">J9189*J9187</f>
        <v>165.8685667959</v>
      </c>
      <c r="K9193" s="17" t="n">
        <f aca="false">K9189*K9187</f>
        <v>171.613283011758</v>
      </c>
    </row>
    <row r="9194" customFormat="false" ht="15" hidden="false" customHeight="false" outlineLevel="0" collapsed="false">
      <c r="A9194" s="3" t="s">
        <v>307</v>
      </c>
      <c r="G9194" s="16" t="n">
        <f aca="false">G9189*'Historical Financials'!G30/'Historical Financials'!G25</f>
        <v>166.7637</v>
      </c>
      <c r="H9194" s="16" t="n">
        <f aca="false">H9189*'Historical Financials'!G30/'Historical Financials'!G25</f>
        <v>155.090241</v>
      </c>
      <c r="I9194" s="16" t="n">
        <f aca="false">I9189*'Historical Financials'!G30/'Historical Financials'!G25</f>
        <v>150.43753377</v>
      </c>
      <c r="J9194" s="16" t="n">
        <f aca="false">J9189*'Historical Financials'!G30/'Historical Financials'!G25</f>
        <v>150.43753377</v>
      </c>
      <c r="K9194" s="16" t="n">
        <f aca="false">K9189*'Historical Financials'!G30/'Historical Financials'!G25</f>
        <v>151.9419091077</v>
      </c>
    </row>
    <row r="9195" customFormat="false" ht="15" hidden="false" customHeight="false" outlineLevel="0" collapsed="false">
      <c r="A9195" s="3" t="s">
        <v>308</v>
      </c>
      <c r="G9195" s="16" t="n">
        <f aca="false">G9189*'Historical Financials'!G31/'Historical Financials'!G25</f>
        <v>0</v>
      </c>
      <c r="H9195" s="16" t="n">
        <f aca="false">H9189*'Historical Financials'!G31/'Historical Financials'!G25</f>
        <v>0</v>
      </c>
      <c r="I9195" s="16" t="n">
        <f aca="false">I9189*'Historical Financials'!G31/'Historical Financials'!G25</f>
        <v>0</v>
      </c>
      <c r="J9195" s="16" t="n">
        <f aca="false">J9189*'Historical Financials'!G31/'Historical Financials'!G25</f>
        <v>0</v>
      </c>
      <c r="K9195" s="16" t="n">
        <f aca="false">K9189*'Historical Financials'!G31/'Historical Financials'!G25</f>
        <v>0</v>
      </c>
    </row>
    <row r="9196" customFormat="false" ht="15" hidden="false" customHeight="false" outlineLevel="0" collapsed="false">
      <c r="A9196" s="2" t="s">
        <v>309</v>
      </c>
      <c r="G9196" s="17" t="n">
        <f aca="false">G9193-G9194-G9195</f>
        <v>30.559536</v>
      </c>
      <c r="H9196" s="17" t="n">
        <f aca="false">H9193-H9194-H9195</f>
        <v>15.90828147</v>
      </c>
      <c r="I9196" s="17" t="n">
        <f aca="false">I9193-I9194-I9195</f>
        <v>13.40824562595</v>
      </c>
      <c r="J9196" s="17" t="n">
        <f aca="false">J9193-J9194-J9195</f>
        <v>15.4310330259</v>
      </c>
      <c r="K9196" s="17" t="n">
        <f aca="false">K9193-K9194-K9195</f>
        <v>19.671373904058</v>
      </c>
    </row>
    <row r="9197" customFormat="false" ht="15" hidden="false" customHeight="false" outlineLevel="0" collapsed="false">
      <c r="A9197" s="3" t="s">
        <v>310</v>
      </c>
      <c r="G9197" s="16" t="n">
        <f aca="false">G9223+G9236+G9249+G9262+G9275+G9288+G9301+G9314+G9327+G9340</f>
        <v>194.5679854</v>
      </c>
      <c r="H9197" s="16" t="n">
        <f aca="false">H9223+H9236+H9249+H9262+H9275+H9288+H9301+H9314+H9327+H9340</f>
        <v>193.3700704</v>
      </c>
      <c r="I9197" s="16" t="n">
        <f aca="false">I9223+I9236+I9249+I9262+I9275+I9288+I9301+I9314+I9327+I9340</f>
        <v>191.7135454</v>
      </c>
      <c r="J9197" s="16" t="n">
        <f aca="false">J9223+J9236+J9249+J9262+J9275+J9288+J9301+J9314+J9327+J9340</f>
        <v>191.2435454</v>
      </c>
      <c r="K9197" s="16" t="n">
        <f aca="false">K9223+K9236+K9249+K9262+K9275+K9288+K9301+K9314+K9327+K9340</f>
        <v>190.7735454</v>
      </c>
    </row>
    <row r="9198" customFormat="false" ht="15" hidden="false" customHeight="false" outlineLevel="0" collapsed="false">
      <c r="A9198" s="3" t="s">
        <v>311</v>
      </c>
      <c r="G9198" s="16" t="n">
        <f aca="false">G9224+G9237+G9250+G9263+G9276+G9289+G9302+G9315+G9328+G9341</f>
        <v>0</v>
      </c>
      <c r="H9198" s="16" t="n">
        <f aca="false">H9224+H9237+H9250+H9263+H9276+H9289+H9302+H9315+H9328+H9341</f>
        <v>0</v>
      </c>
      <c r="I9198" s="16" t="n">
        <f aca="false">I9224+I9237+I9250+I9263+I9276+I9289+I9302+I9315+I9328+I9341</f>
        <v>0</v>
      </c>
      <c r="J9198" s="16" t="n">
        <f aca="false">J9224+J9237+J9250+J9263+J9276+J9289+J9302+J9315+J9328+J9341</f>
        <v>0</v>
      </c>
      <c r="K9198" s="16" t="n">
        <f aca="false">K9224+K9237+K9250+K9263+K9276+K9289+K9302+K9315+K9328+K9341</f>
        <v>0</v>
      </c>
    </row>
    <row r="9199" customFormat="false" ht="15" hidden="false" customHeight="false" outlineLevel="0" collapsed="false">
      <c r="A9199" s="3" t="s">
        <v>283</v>
      </c>
      <c r="G9199" s="16" t="n">
        <f aca="false">G9197+G9198</f>
        <v>194.5679854</v>
      </c>
      <c r="H9199" s="16" t="n">
        <f aca="false">H9197+H9198</f>
        <v>193.3700704</v>
      </c>
      <c r="I9199" s="16" t="n">
        <f aca="false">I9197+I9198</f>
        <v>191.7135454</v>
      </c>
      <c r="J9199" s="16" t="n">
        <f aca="false">J9197+J9198</f>
        <v>191.2435454</v>
      </c>
      <c r="K9199" s="16" t="n">
        <f aca="false">K9197+K9198</f>
        <v>190.7735454</v>
      </c>
    </row>
    <row r="9200" customFormat="false" ht="15" hidden="false" customHeight="false" outlineLevel="0" collapsed="false">
      <c r="A9200" s="2" t="s">
        <v>284</v>
      </c>
      <c r="G9200" s="17" t="n">
        <f aca="false">G9196-G9199</f>
        <v>-164.0084494</v>
      </c>
      <c r="H9200" s="17" t="n">
        <f aca="false">H9196-H9199</f>
        <v>-177.46178893</v>
      </c>
      <c r="I9200" s="17" t="n">
        <f aca="false">I9196-I9199</f>
        <v>-178.30529977405</v>
      </c>
      <c r="J9200" s="17" t="n">
        <f aca="false">J9196-J9199</f>
        <v>-175.8125123741</v>
      </c>
      <c r="K9200" s="17" t="n">
        <f aca="false">K9196-K9199</f>
        <v>-171.102171495942</v>
      </c>
    </row>
    <row r="9201" customFormat="false" ht="15" hidden="false" customHeight="false" outlineLevel="0" collapsed="false">
      <c r="A9201" s="3" t="s">
        <v>312</v>
      </c>
      <c r="G9201" s="16" t="n">
        <f aca="false">MAX(0,G9200)*Assumptions!$C$9</f>
        <v>0</v>
      </c>
      <c r="H9201" s="16" t="n">
        <f aca="false">MAX(0,H9200)*Assumptions!$C$9</f>
        <v>0</v>
      </c>
      <c r="I9201" s="16" t="n">
        <f aca="false">MAX(0,I9200)*Assumptions!$C$9</f>
        <v>0</v>
      </c>
      <c r="J9201" s="16" t="n">
        <f aca="false">MAX(0,J9200)*Assumptions!$C$9</f>
        <v>0</v>
      </c>
      <c r="K9201" s="16" t="n">
        <f aca="false">MAX(0,K9200)*Assumptions!$C$9</f>
        <v>0</v>
      </c>
    </row>
    <row r="9202" customFormat="false" ht="15" hidden="false" customHeight="false" outlineLevel="0" collapsed="false">
      <c r="A9202" s="2" t="s">
        <v>313</v>
      </c>
      <c r="G9202" s="17" t="n">
        <f aca="false">G9200-G9201</f>
        <v>-164.0084494</v>
      </c>
      <c r="H9202" s="17" t="n">
        <f aca="false">H9200-H9201</f>
        <v>-177.46178893</v>
      </c>
      <c r="I9202" s="17" t="n">
        <f aca="false">I9200-I9201</f>
        <v>-178.30529977405</v>
      </c>
      <c r="J9202" s="17" t="n">
        <f aca="false">J9200-J9201</f>
        <v>-175.8125123741</v>
      </c>
      <c r="K9202" s="17" t="n">
        <f aca="false">K9200-K9201</f>
        <v>-171.102171495942</v>
      </c>
    </row>
    <row r="9203" customFormat="false" ht="15" hidden="false" customHeight="false" outlineLevel="0" collapsed="false">
      <c r="A9203" s="24" t="s">
        <v>314</v>
      </c>
      <c r="B9203" s="25"/>
      <c r="C9203" s="25"/>
      <c r="D9203" s="25"/>
      <c r="E9203" s="25"/>
      <c r="F9203" s="25"/>
      <c r="G9203" s="25"/>
      <c r="H9203" s="25"/>
      <c r="I9203" s="25"/>
      <c r="J9203" s="25"/>
      <c r="K9203" s="25"/>
    </row>
    <row r="9204" customFormat="false" ht="15" hidden="false" customHeight="false" outlineLevel="0" collapsed="false">
      <c r="A9204" s="3" t="s">
        <v>184</v>
      </c>
      <c r="G9204" s="16" t="n">
        <f aca="false">G9189*CHOOSE($C$9176,Assumptions!$C$83,Assumptions!$C$102,Assumptions!$C$121)</f>
        <v>58.300047</v>
      </c>
      <c r="H9204" s="16" t="n">
        <f aca="false">H9189*CHOOSE($C$9176,Assumptions!$C$83,Assumptions!$C$102,Assumptions!$C$121)</f>
        <v>54.21904371</v>
      </c>
      <c r="I9204" s="16" t="n">
        <f aca="false">I9189*CHOOSE($C$9176,Assumptions!$C$83,Assumptions!$C$102,Assumptions!$C$121)</f>
        <v>52.5924723987</v>
      </c>
      <c r="J9204" s="16" t="n">
        <f aca="false">J9189*CHOOSE($C$9176,Assumptions!$C$83,Assumptions!$C$102,Assumptions!$C$121)</f>
        <v>52.5924723987</v>
      </c>
      <c r="K9204" s="16" t="n">
        <f aca="false">K9189*CHOOSE($C$9176,Assumptions!$C$83,Assumptions!$C$102,Assumptions!$C$121)</f>
        <v>53.118397122687</v>
      </c>
    </row>
    <row r="9205" customFormat="false" ht="15" hidden="false" customHeight="false" outlineLevel="0" collapsed="false">
      <c r="A9205" s="3" t="s">
        <v>315</v>
      </c>
      <c r="G9205" s="16" t="n">
        <f aca="false">CHOOSE($C$9176,Assumptions!$C$84,Assumptions!$C$103,Assumptions!$C$122)*(G9189-F9189)+CHOOSE($C$9176,Assumptions!$C$85,Assumptions!$C$104,Assumptions!$C$123)*G9189</f>
        <v>0</v>
      </c>
      <c r="H9205" s="16" t="n">
        <f aca="false">CHOOSE($C$9176,Assumptions!$C$84,Assumptions!$C$103,Assumptions!$C$122)*(H9189-G9189)+CHOOSE($C$9176,Assumptions!$C$85,Assumptions!$C$104,Assumptions!$C$123)*H9189</f>
        <v>0</v>
      </c>
      <c r="I9205" s="16" t="n">
        <f aca="false">CHOOSE($C$9176,Assumptions!$C$84,Assumptions!$C$103,Assumptions!$C$122)*(I9189-H9189)+CHOOSE($C$9176,Assumptions!$C$85,Assumptions!$C$104,Assumptions!$C$123)*I9189</f>
        <v>0</v>
      </c>
      <c r="J9205" s="16" t="n">
        <f aca="false">CHOOSE($C$9176,Assumptions!$C$84,Assumptions!$C$103,Assumptions!$C$122)*(J9189-I9189)+CHOOSE($C$9176,Assumptions!$C$85,Assumptions!$C$104,Assumptions!$C$123)*J9189</f>
        <v>0</v>
      </c>
      <c r="K9205" s="16" t="n">
        <f aca="false">CHOOSE($C$9176,Assumptions!$C$84,Assumptions!$C$103,Assumptions!$C$122)*(K9189-J9189)+CHOOSE($C$9176,Assumptions!$C$85,Assumptions!$C$104,Assumptions!$C$123)*K9189</f>
        <v>0</v>
      </c>
    </row>
    <row r="9206" customFormat="false" ht="15" hidden="false" customHeight="false" outlineLevel="0" collapsed="false">
      <c r="A9206" s="2" t="s">
        <v>316</v>
      </c>
      <c r="G9206" s="17" t="n">
        <f aca="false">G9202+G9194+G9195+G9198-G9204-G9205</f>
        <v>-55.5447964</v>
      </c>
      <c r="H9206" s="17" t="n">
        <f aca="false">H9202+H9194+H9195+H9198-H9204-H9205</f>
        <v>-76.59059164</v>
      </c>
      <c r="I9206" s="17" t="n">
        <f aca="false">I9202+I9194+I9195+I9198-I9204-I9205</f>
        <v>-80.46023840275</v>
      </c>
      <c r="J9206" s="17" t="n">
        <f aca="false">J9202+J9194+J9195+J9198-J9204-J9205</f>
        <v>-77.9674510028</v>
      </c>
      <c r="K9206" s="17" t="n">
        <f aca="false">K9202+K9194+K9195+K9198-K9204-K9205</f>
        <v>-72.278659510929</v>
      </c>
    </row>
    <row r="9208" customFormat="false" ht="15" hidden="false" customHeight="false" outlineLevel="0" collapsed="false">
      <c r="A9208" s="24" t="s">
        <v>318</v>
      </c>
      <c r="B9208" s="25"/>
      <c r="C9208" s="25"/>
      <c r="D9208" s="25"/>
      <c r="E9208" s="25"/>
      <c r="F9208" s="25"/>
      <c r="G9208" s="25"/>
      <c r="H9208" s="25"/>
      <c r="I9208" s="25"/>
      <c r="J9208" s="25"/>
      <c r="K9208" s="25"/>
    </row>
    <row r="9209" customFormat="false" ht="15" hidden="false" customHeight="false" outlineLevel="0" collapsed="false">
      <c r="A9209" s="3" t="s">
        <v>319</v>
      </c>
      <c r="G9209" s="30" t="n">
        <f aca="false">Assumptions!$G$53</f>
        <v>0.039</v>
      </c>
      <c r="H9209" s="30" t="n">
        <f aca="false">Assumptions!$H$53</f>
        <v>0.0375</v>
      </c>
      <c r="I9209" s="30" t="n">
        <f aca="false">Assumptions!$I$53</f>
        <v>0.035</v>
      </c>
      <c r="J9209" s="30" t="n">
        <f aca="false">Assumptions!$J$53</f>
        <v>0.035</v>
      </c>
      <c r="K9209" s="30" t="n">
        <f aca="false">Assumptions!$K$53</f>
        <v>0.035</v>
      </c>
    </row>
    <row r="9210" customFormat="false" ht="15" hidden="false" customHeight="false" outlineLevel="0" collapsed="false">
      <c r="A9210" s="3" t="s">
        <v>320</v>
      </c>
      <c r="C9210" s="31" t="n">
        <f aca="false">CHOOSE($C$9176,Assumptions!$C$86,Assumptions!$C$105,Assumptions!$C$124)+$C$9179</f>
        <v>0.03</v>
      </c>
    </row>
    <row r="9211" customFormat="false" ht="15" hidden="false" customHeight="false" outlineLevel="0" collapsed="false">
      <c r="A9211" s="3" t="s">
        <v>321</v>
      </c>
      <c r="C9211" s="31" t="n">
        <f aca="false">CHOOSE($C$9176,Assumptions!$C$87,Assumptions!$C$106,Assumptions!$C$125)</f>
        <v>0.12</v>
      </c>
    </row>
    <row r="9212" customFormat="false" ht="15" hidden="false" customHeight="false" outlineLevel="0" collapsed="false">
      <c r="A9212" s="3" t="s">
        <v>322</v>
      </c>
      <c r="C9212" s="32" t="n">
        <f aca="false">CHOOSE($C$9176,Assumptions!$C$88,Assumptions!$C$107,Assumptions!$C$126)</f>
        <v>9</v>
      </c>
    </row>
    <row r="9213" customFormat="false" ht="15" hidden="false" customHeight="false" outlineLevel="0" collapsed="false">
      <c r="A9213" s="3" t="s">
        <v>323</v>
      </c>
      <c r="C9213" s="32" t="n">
        <f aca="false">CHOOSE($C$9176,Assumptions!$C$89,Assumptions!$C$108,Assumptions!$C$127)</f>
        <v>1.75</v>
      </c>
    </row>
    <row r="9214" customFormat="false" ht="15" hidden="false" customHeight="false" outlineLevel="0" collapsed="false">
      <c r="A9214" s="3" t="s">
        <v>324</v>
      </c>
      <c r="G9214" s="16" t="n">
        <f aca="false">G9219+G9232+G9245+G9258+G9271+G9284+G9297+G9310+G9323+G9336</f>
        <v>2625.934</v>
      </c>
      <c r="H9214" s="16" t="n">
        <f aca="false">H9219+H9232+H9245+H9258+H9271+H9284+H9297+H9310+H9323+H9336</f>
        <v>2621.934</v>
      </c>
      <c r="I9214" s="16" t="n">
        <f aca="false">I9219+I9232+I9245+I9258+I9271+I9284+I9297+I9310+I9323+I9336</f>
        <v>2617.934</v>
      </c>
      <c r="J9214" s="16" t="n">
        <f aca="false">J9219+J9232+J9245+J9258+J9271+J9284+J9297+J9310+J9323+J9336</f>
        <v>2613.934</v>
      </c>
      <c r="K9214" s="16" t="n">
        <f aca="false">K9219+K9232+K9245+K9258+K9271+K9284+K9297+K9310+K9323+K9336</f>
        <v>2609.934</v>
      </c>
    </row>
    <row r="9215" customFormat="false" ht="15" hidden="false" customHeight="false" outlineLevel="0" collapsed="false">
      <c r="A9215" s="3" t="s">
        <v>325</v>
      </c>
      <c r="G9215" s="16" t="n">
        <f aca="false">F9407</f>
        <v>37.87</v>
      </c>
      <c r="H9215" s="16" t="n">
        <f aca="false">G9407</f>
        <v>78.3252036</v>
      </c>
      <c r="I9215" s="16" t="n">
        <f aca="false">H9407</f>
        <v>-2.26538803999998</v>
      </c>
      <c r="J9215" s="16" t="n">
        <f aca="false">I9407</f>
        <v>-86.72562644275</v>
      </c>
      <c r="K9215" s="16" t="n">
        <f aca="false">J9407</f>
        <v>-168.69307744555</v>
      </c>
    </row>
    <row r="9216" customFormat="false" ht="15" hidden="false" customHeight="false" outlineLevel="0" collapsed="false">
      <c r="A9216" s="3" t="s">
        <v>326</v>
      </c>
      <c r="G9216" s="16" t="n">
        <f aca="false">G9219*IF(G9220=1,$C$9211,IF(Assumptions!$I$57=1,MAX(G9209,Assumptions!$G$57)+Assumptions!$F$57+$C$9210,Assumptions!$E$57))+G9232*IF(G9233=1,$C$9211,IF(Assumptions!$I$58=1,MAX(G9209,Assumptions!$G$58)+Assumptions!$F$58+$C$9210,Assumptions!$E$58))+G9245*IF(G9246=1,$C$9211,IF(Assumptions!$I$59=1,MAX(G9209,Assumptions!$G$59)+Assumptions!$F$59+$C$9210,Assumptions!$E$59))+G9258*IF(G9259=1,$C$9211,IF(Assumptions!$I$60=1,MAX(G9209,Assumptions!$G$60)+Assumptions!$F$60+$C$9210,Assumptions!$E$60))+G9271*IF(G9272=1,$C$9211,IF(Assumptions!$I$61=1,MAX(G9209,Assumptions!$G$61)+Assumptions!$F$61+$C$9210,Assumptions!$E$61))+G9284*IF(G9285=1,$C$9211,IF(Assumptions!$I$62=1,MAX(G9209,Assumptions!$G$62)+Assumptions!$F$62+$C$9210,Assumptions!$E$62))+G9297*IF(G9298=1,$C$9211,IF(Assumptions!$I$63=1,MAX(G9209,Assumptions!$G$63)+Assumptions!$F$63+$C$9210,Assumptions!$E$63))+G9310*IF(G9311=1,$C$9211,IF(Assumptions!$I$64=1,MAX(G9209,Assumptions!$G$64)+Assumptions!$F$64+$C$9210,Assumptions!$E$64))+G9323*IF(G9324=1,$C$9211,IF(Assumptions!$I$65=1,MAX(G9209,Assumptions!$G$65)+Assumptions!$F$65+$C$9210,Assumptions!$E$65))+G9336*IF(G9337=1,$C$9211,IF(Assumptions!$I$66=1,MAX(G9209,Assumptions!$G$66)+Assumptions!$F$66+$C$9210,Assumptions!$E$66))</f>
        <v>194.5679854</v>
      </c>
      <c r="H9216" s="16" t="n">
        <f aca="false">H9219*IF(OR(H9220=1,G9529=1),$C$9211,IF(Assumptions!$I$57=1,MAX(H9209,Assumptions!$G$57)+Assumptions!$F$57+$C$9210,Assumptions!$E$57))+H9232*IF(OR(H9233=1,G9530=1),$C$9211,IF(Assumptions!$I$58=1,MAX(H9209,Assumptions!$G$58)+Assumptions!$F$58+$C$9210,Assumptions!$E$58))+H9245*IF(OR(H9246=1,G9531=1),$C$9211,IF(Assumptions!$I$59=1,MAX(H9209,Assumptions!$G$59)+Assumptions!$F$59+$C$9210,Assumptions!$E$59))+H9258*IF(OR(H9259=1,G9532=1),$C$9211,IF(Assumptions!$I$60=1,MAX(H9209,Assumptions!$G$60)+Assumptions!$F$60+$C$9210,Assumptions!$E$60))+H9271*IF(OR(H9272=1,G9533=1),$C$9211,IF(Assumptions!$I$61=1,MAX(H9209,Assumptions!$G$61)+Assumptions!$F$61+$C$9210,Assumptions!$E$61))+H9284*IF(OR(H9285=1,G9534=1),$C$9211,IF(Assumptions!$I$62=1,MAX(H9209,Assumptions!$G$62)+Assumptions!$F$62+$C$9210,Assumptions!$E$62))+H9297*IF(OR(H9298=1,G9535=1),$C$9211,IF(Assumptions!$I$63=1,MAX(H9209,Assumptions!$G$63)+Assumptions!$F$63+$C$9210,Assumptions!$E$63))+H9310*IF(OR(H9311=1,G9536=1),$C$9211,IF(Assumptions!$I$64=1,MAX(H9209,Assumptions!$G$64)+Assumptions!$F$64+$C$9210,Assumptions!$E$64))+H9323*IF(OR(H9324=1,G9537=1),$C$9211,IF(Assumptions!$I$65=1,MAX(H9209,Assumptions!$G$65)+Assumptions!$F$65+$C$9210,Assumptions!$E$65))+H9336*IF(OR(H9337=1,G9538=1),$C$9211,IF(Assumptions!$I$66=1,MAX(H9209,Assumptions!$G$66)+Assumptions!$F$66+$C$9210,Assumptions!$E$66))</f>
        <v>242.5450704</v>
      </c>
      <c r="I9216" s="16" t="n">
        <f aca="false">I9219*IF(OR(I9220=1,H9529=1),$C$9211,IF(Assumptions!$I$57=1,MAX(I9209,Assumptions!$G$57)+Assumptions!$F$57+$C$9210,Assumptions!$E$57))+I9232*IF(OR(I9233=1,H9530=1),$C$9211,IF(Assumptions!$I$58=1,MAX(I9209,Assumptions!$G$58)+Assumptions!$F$58+$C$9210,Assumptions!$E$58))+I9245*IF(OR(I9246=1,H9531=1),$C$9211,IF(Assumptions!$I$59=1,MAX(I9209,Assumptions!$G$59)+Assumptions!$F$59+$C$9210,Assumptions!$E$59))+I9258*IF(OR(I9259=1,H9532=1),$C$9211,IF(Assumptions!$I$60=1,MAX(I9209,Assumptions!$G$60)+Assumptions!$F$60+$C$9210,Assumptions!$E$60))+I9271*IF(OR(I9272=1,H9533=1),$C$9211,IF(Assumptions!$I$61=1,MAX(I9209,Assumptions!$G$61)+Assumptions!$F$61+$C$9210,Assumptions!$E$61))+I9284*IF(OR(I9285=1,H9534=1),$C$9211,IF(Assumptions!$I$62=1,MAX(I9209,Assumptions!$G$62)+Assumptions!$F$62+$C$9210,Assumptions!$E$62))+I9297*IF(OR(I9298=1,H9535=1),$C$9211,IF(Assumptions!$I$63=1,MAX(I9209,Assumptions!$G$63)+Assumptions!$F$63+$C$9210,Assumptions!$E$63))+I9310*IF(OR(I9311=1,H9536=1),$C$9211,IF(Assumptions!$I$64=1,MAX(I9209,Assumptions!$G$64)+Assumptions!$F$64+$C$9210,Assumptions!$E$64))+I9323*IF(OR(I9324=1,H9537=1),$C$9211,IF(Assumptions!$I$65=1,MAX(I9209,Assumptions!$G$65)+Assumptions!$F$65+$C$9210,Assumptions!$E$65))+I9336*IF(OR(I9337=1,H9538=1),$C$9211,IF(Assumptions!$I$66=1,MAX(I9209,Assumptions!$G$66)+Assumptions!$F$66+$C$9210,Assumptions!$E$66))</f>
        <v>208.9010454</v>
      </c>
      <c r="J9216" s="16" t="n">
        <f aca="false">J9219*IF(OR(J9220=1,I9529=1),$C$9211,IF(Assumptions!$I$57=1,MAX(J9209,Assumptions!$G$57)+Assumptions!$F$57+$C$9210,Assumptions!$E$57))+J9232*IF(OR(J9233=1,I9530=1),$C$9211,IF(Assumptions!$I$58=1,MAX(J9209,Assumptions!$G$58)+Assumptions!$F$58+$C$9210,Assumptions!$E$58))+J9245*IF(OR(J9246=1,I9531=1),$C$9211,IF(Assumptions!$I$59=1,MAX(J9209,Assumptions!$G$59)+Assumptions!$F$59+$C$9210,Assumptions!$E$59))+J9258*IF(OR(J9259=1,I9532=1),$C$9211,IF(Assumptions!$I$60=1,MAX(J9209,Assumptions!$G$60)+Assumptions!$F$60+$C$9210,Assumptions!$E$60))+J9271*IF(OR(J9272=1,I9533=1),$C$9211,IF(Assumptions!$I$61=1,MAX(J9209,Assumptions!$G$61)+Assumptions!$F$61+$C$9210,Assumptions!$E$61))+J9284*IF(OR(J9285=1,I9534=1),$C$9211,IF(Assumptions!$I$62=1,MAX(J9209,Assumptions!$G$62)+Assumptions!$F$62+$C$9210,Assumptions!$E$62))+J9297*IF(OR(J9298=1,I9535=1),$C$9211,IF(Assumptions!$I$63=1,MAX(J9209,Assumptions!$G$63)+Assumptions!$F$63+$C$9210,Assumptions!$E$63))+J9310*IF(OR(J9311=1,I9536=1),$C$9211,IF(Assumptions!$I$64=1,MAX(J9209,Assumptions!$G$64)+Assumptions!$F$64+$C$9210,Assumptions!$E$64))+J9323*IF(OR(J9324=1,I9537=1),$C$9211,IF(Assumptions!$I$65=1,MAX(J9209,Assumptions!$G$65)+Assumptions!$F$65+$C$9210,Assumptions!$E$65))+J9336*IF(OR(J9337=1,I9538=1),$C$9211,IF(Assumptions!$I$66=1,MAX(J9209,Assumptions!$G$66)+Assumptions!$F$66+$C$9210,Assumptions!$E$66))</f>
        <v>217.3185454</v>
      </c>
      <c r="K9216" s="16" t="n">
        <f aca="false">K9219*IF(OR(K9220=1,J9529=1),$C$9211,IF(Assumptions!$I$57=1,MAX(K9209,Assumptions!$G$57)+Assumptions!$F$57+$C$9210,Assumptions!$E$57))+K9232*IF(OR(K9233=1,J9530=1),$C$9211,IF(Assumptions!$I$58=1,MAX(K9209,Assumptions!$G$58)+Assumptions!$F$58+$C$9210,Assumptions!$E$58))+K9245*IF(OR(K9246=1,J9531=1),$C$9211,IF(Assumptions!$I$59=1,MAX(K9209,Assumptions!$G$59)+Assumptions!$F$59+$C$9210,Assumptions!$E$59))+K9258*IF(OR(K9259=1,J9532=1),$C$9211,IF(Assumptions!$I$60=1,MAX(K9209,Assumptions!$G$60)+Assumptions!$F$60+$C$9210,Assumptions!$E$60))+K9271*IF(OR(K9272=1,J9533=1),$C$9211,IF(Assumptions!$I$61=1,MAX(K9209,Assumptions!$G$61)+Assumptions!$F$61+$C$9210,Assumptions!$E$61))+K9284*IF(OR(K9285=1,J9534=1),$C$9211,IF(Assumptions!$I$62=1,MAX(K9209,Assumptions!$G$62)+Assumptions!$F$62+$C$9210,Assumptions!$E$62))+K9297*IF(OR(K9298=1,J9535=1),$C$9211,IF(Assumptions!$I$63=1,MAX(K9209,Assumptions!$G$63)+Assumptions!$F$63+$C$9210,Assumptions!$E$63))+K9310*IF(OR(K9311=1,J9536=1),$C$9211,IF(Assumptions!$I$64=1,MAX(K9209,Assumptions!$G$64)+Assumptions!$F$64+$C$9210,Assumptions!$E$64))+K9323*IF(OR(K9324=1,J9537=1),$C$9211,IF(Assumptions!$I$65=1,MAX(K9209,Assumptions!$G$65)+Assumptions!$F$65+$C$9210,Assumptions!$E$65))+K9336*IF(OR(K9337=1,J9538=1),$C$9211,IF(Assumptions!$I$66=1,MAX(K9209,Assumptions!$G$66)+Assumptions!$F$66+$C$9210,Assumptions!$E$66))</f>
        <v>209.3585454</v>
      </c>
    </row>
    <row r="9217" customFormat="false" ht="15" hidden="false" customHeight="false" outlineLevel="0" collapsed="false">
      <c r="A9217" s="3" t="s">
        <v>327</v>
      </c>
      <c r="G9217" s="21" t="n">
        <f aca="false">IF(G9193&lt;=0,0,IF(AND((G9214-G9215)/G9193&lt;=$C$9212,G9193/G9216&gt;=$C$9213),1,0))</f>
        <v>0</v>
      </c>
      <c r="H9217" s="21" t="n">
        <f aca="false">IF(H9193&lt;=0,0,IF(AND((H9214-H9215)/H9193&lt;=$C$9212,H9193/H9216&gt;=$C$9213),1,0))</f>
        <v>0</v>
      </c>
      <c r="I9217" s="21" t="n">
        <f aca="false">IF(I9193&lt;=0,0,IF(AND((I9214-I9215)/I9193&lt;=$C$9212,I9193/I9216&gt;=$C$9213),1,0))</f>
        <v>0</v>
      </c>
      <c r="J9217" s="21" t="n">
        <f aca="false">IF(J9193&lt;=0,0,IF(AND((J9214-J9215)/J9193&lt;=$C$9212,J9193/J9216&gt;=$C$9213),1,0))</f>
        <v>0</v>
      </c>
      <c r="K9217" s="21" t="n">
        <f aca="false">IF(K9193&lt;=0,0,IF(AND((K9214-K9215)/K9193&lt;=$C$9212,K9193/K9216&gt;=$C$9213),1,0))</f>
        <v>0</v>
      </c>
    </row>
    <row r="9218" customFormat="false" ht="15" hidden="false" customHeight="false" outlineLevel="0" collapsed="false">
      <c r="A9218" s="24" t="s">
        <v>328</v>
      </c>
      <c r="B9218" s="25"/>
      <c r="C9218" s="25"/>
      <c r="D9218" s="25"/>
      <c r="E9218" s="25"/>
      <c r="F9218" s="25"/>
      <c r="G9218" s="25"/>
      <c r="H9218" s="25"/>
      <c r="I9218" s="25"/>
      <c r="J9218" s="25"/>
      <c r="K9218" s="25"/>
    </row>
    <row r="9219" customFormat="false" ht="15" hidden="false" customHeight="false" outlineLevel="0" collapsed="false">
      <c r="A9219" s="3" t="s">
        <v>329</v>
      </c>
      <c r="G9219" s="16" t="n">
        <f aca="false">F9230</f>
        <v>400</v>
      </c>
      <c r="H9219" s="16" t="n">
        <f aca="false">G9230</f>
        <v>396</v>
      </c>
      <c r="I9219" s="16" t="n">
        <f aca="false">H9230</f>
        <v>392</v>
      </c>
      <c r="J9219" s="16" t="n">
        <f aca="false">I9230</f>
        <v>388</v>
      </c>
      <c r="K9219" s="16" t="n">
        <f aca="false">J9230</f>
        <v>384</v>
      </c>
    </row>
    <row r="9220" customFormat="false" ht="15" hidden="false" customHeight="false" outlineLevel="0" collapsed="false">
      <c r="A9220" s="3" t="s">
        <v>330</v>
      </c>
      <c r="G9220" s="21" t="n">
        <f aca="false">IF(G9183=Assumptions!$K$57,1,0)</f>
        <v>0</v>
      </c>
      <c r="H9220" s="21" t="n">
        <f aca="false">IF(H9183=Assumptions!$K$57,1,0)</f>
        <v>0</v>
      </c>
      <c r="I9220" s="21" t="n">
        <f aca="false">IF(I9183=Assumptions!$K$57,1,0)</f>
        <v>0</v>
      </c>
      <c r="J9220" s="21" t="n">
        <f aca="false">IF(J9183=Assumptions!$K$57,1,0)</f>
        <v>0</v>
      </c>
      <c r="K9220" s="21" t="n">
        <f aca="false">IF(K9183=Assumptions!$K$57,1,0)</f>
        <v>1</v>
      </c>
    </row>
    <row r="9222" customFormat="false" ht="15" hidden="false" customHeight="false" outlineLevel="0" collapsed="false">
      <c r="A9222" s="3" t="s">
        <v>331</v>
      </c>
      <c r="G9222" s="31" t="n">
        <f aca="false">IF(Assumptions!$I$57=1,MAX(G9209,Assumptions!$G$57)+Assumptions!$F$57+$C$9210,Assumptions!$E$57)</f>
        <v>0.1215</v>
      </c>
      <c r="H9222" s="31" t="n">
        <f aca="false">IF(G9529=1,$C$9211,IF(Assumptions!$I$57=1,MAX(H9209,Assumptions!$G$57)+Assumptions!$F$57+$C$9210,Assumptions!$E$57))</f>
        <v>0.12</v>
      </c>
      <c r="I9222" s="31" t="n">
        <f aca="false">IF(H9529=1,$C$9211,IF(Assumptions!$I$57=1,MAX(I9209,Assumptions!$G$57)+Assumptions!$F$57+$C$9210,Assumptions!$E$57))</f>
        <v>0.1175</v>
      </c>
      <c r="J9222" s="31" t="n">
        <f aca="false">IF(I9529=1,$C$9211,IF(Assumptions!$I$57=1,MAX(J9209,Assumptions!$G$57)+Assumptions!$F$57+$C$9210,Assumptions!$E$57))</f>
        <v>0.1175</v>
      </c>
      <c r="K9222" s="31" t="n">
        <f aca="false">IF(J9529=1,$C$9211,IF(Assumptions!$I$57=1,MAX(K9209,Assumptions!$G$57)+Assumptions!$F$57+$C$9210,Assumptions!$E$57))</f>
        <v>0.1175</v>
      </c>
    </row>
    <row r="9223" customFormat="false" ht="15" hidden="false" customHeight="false" outlineLevel="0" collapsed="false">
      <c r="A9223" s="3" t="s">
        <v>332</v>
      </c>
      <c r="G9223" s="16" t="n">
        <f aca="false">G9219*G9222</f>
        <v>48.6</v>
      </c>
      <c r="H9223" s="16" t="n">
        <f aca="false">H9219*H9222</f>
        <v>47.52</v>
      </c>
      <c r="I9223" s="16" t="n">
        <f aca="false">I9219*I9222</f>
        <v>46.06</v>
      </c>
      <c r="J9223" s="16" t="n">
        <f aca="false">J9219*J9222</f>
        <v>45.59</v>
      </c>
      <c r="K9223" s="16" t="n">
        <f aca="false">K9219*K9222</f>
        <v>45.12</v>
      </c>
    </row>
    <row r="9224" customFormat="false" ht="15" hidden="false" customHeight="false" outlineLevel="0" collapsed="false">
      <c r="A9224" s="3" t="s">
        <v>333</v>
      </c>
      <c r="G9224" s="16" t="n">
        <f aca="false">G9219*Assumptions!$H$57</f>
        <v>0</v>
      </c>
      <c r="H9224" s="16" t="n">
        <f aca="false">H9219*Assumptions!$H$57</f>
        <v>0</v>
      </c>
      <c r="I9224" s="16" t="n">
        <f aca="false">I9219*Assumptions!$H$57</f>
        <v>0</v>
      </c>
      <c r="J9224" s="16" t="n">
        <f aca="false">J9219*Assumptions!$H$57</f>
        <v>0</v>
      </c>
      <c r="K9224" s="16" t="n">
        <f aca="false">K9219*Assumptions!$H$57</f>
        <v>0</v>
      </c>
    </row>
    <row r="9225" customFormat="false" ht="15" hidden="false" customHeight="false" outlineLevel="0" collapsed="false">
      <c r="A9225" s="3" t="s">
        <v>334</v>
      </c>
      <c r="G9225" s="16" t="n">
        <f aca="false">MIN(G9219,Assumptions!$L$57*Assumptions!$C$57)</f>
        <v>4</v>
      </c>
      <c r="H9225" s="16" t="n">
        <f aca="false">MIN(H9219,Assumptions!$L$57*Assumptions!$C$57)</f>
        <v>4</v>
      </c>
      <c r="I9225" s="16" t="n">
        <f aca="false">MIN(I9219,Assumptions!$L$57*Assumptions!$C$57)</f>
        <v>4</v>
      </c>
      <c r="J9225" s="16" t="n">
        <f aca="false">MIN(J9219,Assumptions!$L$57*Assumptions!$C$57)</f>
        <v>4</v>
      </c>
      <c r="K9225" s="16" t="n">
        <f aca="false">MIN(K9219,Assumptions!$L$57*Assumptions!$C$57)</f>
        <v>4</v>
      </c>
    </row>
    <row r="9226" customFormat="false" ht="15" hidden="false" customHeight="false" outlineLevel="0" collapsed="false">
      <c r="A9226" s="3" t="s">
        <v>335</v>
      </c>
      <c r="G9226" s="16" t="n">
        <f aca="false">IF(AND(Assumptions!$P$57=1,G9183&lt;Assumptions!$K$57),MIN(MAX(0,-G9399),MAX(0,Assumptions!$D$57-G9219)),0)</f>
        <v>0</v>
      </c>
      <c r="H9226" s="16" t="n">
        <f aca="false">IF(AND(Assumptions!$P$57=1,OR(H9183&lt;Assumptions!$K$57,G9529=1)),MIN(MAX(0,-H9399),MAX(0,Assumptions!$D$57-H9219)),0)</f>
        <v>0</v>
      </c>
      <c r="I9226" s="16" t="n">
        <f aca="false">IF(AND(Assumptions!$P$57=1,OR(I9183&lt;Assumptions!$K$57,H9529=1)),MIN(MAX(0,-I9399),MAX(0,Assumptions!$D$57-I9219)),0)</f>
        <v>0</v>
      </c>
      <c r="J9226" s="16" t="n">
        <f aca="false">IF(AND(Assumptions!$P$57=1,OR(J9183&lt;Assumptions!$K$57,I9529=1)),MIN(MAX(0,-J9399),MAX(0,Assumptions!$D$57-J9219)),0)</f>
        <v>0</v>
      </c>
      <c r="K9226" s="16" t="n">
        <f aca="false">IF(AND(Assumptions!$P$57=1,OR(K9183&lt;Assumptions!$K$57,J9529=1)),MIN(MAX(0,-K9399),MAX(0,Assumptions!$D$57-K9219)),0)</f>
        <v>0</v>
      </c>
    </row>
    <row r="9227" customFormat="false" ht="15" hidden="false" customHeight="false" outlineLevel="0" collapsed="false">
      <c r="A9227" s="3" t="s">
        <v>336</v>
      </c>
      <c r="G9227" s="16" t="n">
        <f aca="false">G9220*MIN(G9219-G9225+G9224,MAX(0,G9401-Assumptions!$C$12*G9217))</f>
        <v>0</v>
      </c>
      <c r="H9227" s="16" t="n">
        <f aca="false">H9220*MIN(H9219-H9225+H9224,MAX(0,H9401-Assumptions!$C$12*H9217))</f>
        <v>0</v>
      </c>
      <c r="I9227" s="16" t="n">
        <f aca="false">I9220*MIN(I9219-I9225+I9224,MAX(0,I9401-Assumptions!$C$12*I9217))</f>
        <v>0</v>
      </c>
      <c r="J9227" s="16" t="n">
        <f aca="false">J9220*MIN(J9219-J9225+J9224,MAX(0,J9401-Assumptions!$C$12*J9217))</f>
        <v>0</v>
      </c>
      <c r="K9227" s="16" t="n">
        <f aca="false">K9220*MIN(K9219-K9225+K9224,MAX(0,K9401-Assumptions!$C$12*K9217))</f>
        <v>0</v>
      </c>
    </row>
    <row r="9228" customFormat="false" ht="15" hidden="false" customHeight="false" outlineLevel="0" collapsed="false">
      <c r="A9228" s="3" t="s">
        <v>337</v>
      </c>
      <c r="G9228" s="16" t="n">
        <f aca="false">Assumptions!$N$57*MIN(G9219+G9226+G9224-G9225-G9227,MAX(0,G9405))</f>
        <v>0</v>
      </c>
      <c r="H9228" s="16" t="n">
        <f aca="false">Assumptions!$N$57*MIN(H9219+H9226+H9224-H9225-H9227,MAX(0,H9405))</f>
        <v>0</v>
      </c>
      <c r="I9228" s="16" t="n">
        <f aca="false">Assumptions!$N$57*MIN(I9219+I9226+I9224-I9225-I9227,MAX(0,I9405))</f>
        <v>0</v>
      </c>
      <c r="J9228" s="16" t="n">
        <f aca="false">Assumptions!$N$57*MIN(J9219+J9226+J9224-J9225-J9227,MAX(0,J9405))</f>
        <v>0</v>
      </c>
      <c r="K9228" s="16" t="n">
        <f aca="false">Assumptions!$N$57*MIN(K9219+K9226+K9224-K9225-K9227,MAX(0,K9405))</f>
        <v>0</v>
      </c>
    </row>
    <row r="9229" customFormat="false" ht="15" hidden="false" customHeight="false" outlineLevel="0" collapsed="false">
      <c r="A9229" s="3" t="s">
        <v>338</v>
      </c>
      <c r="G9229" s="16" t="n">
        <f aca="false">G9220*(1-G9217)*(G9219-G9225+G9224-G9227)</f>
        <v>0</v>
      </c>
      <c r="H9229" s="16" t="n">
        <f aca="false">H9220*(1-H9217)*(H9219-H9225+H9224-H9227)</f>
        <v>0</v>
      </c>
      <c r="I9229" s="16" t="n">
        <f aca="false">I9220*(1-I9217)*(I9219-I9225+I9224-I9227)</f>
        <v>0</v>
      </c>
      <c r="J9229" s="16" t="n">
        <f aca="false">J9220*(1-J9217)*(J9219-J9225+J9224-J9227)</f>
        <v>0</v>
      </c>
      <c r="K9229" s="16" t="n">
        <f aca="false">K9220*(1-K9217)*(K9219-K9225+K9224-K9227)</f>
        <v>380</v>
      </c>
    </row>
    <row r="9230" customFormat="false" ht="15" hidden="false" customHeight="false" outlineLevel="0" collapsed="false">
      <c r="A9230" s="2" t="s">
        <v>339</v>
      </c>
      <c r="F9230" s="28" t="n">
        <f aca="false">Assumptions!$C$57</f>
        <v>400</v>
      </c>
      <c r="G9230" s="17" t="n">
        <f aca="false">G9219+G9226+G9224-G9225-G9227-G9228</f>
        <v>396</v>
      </c>
      <c r="H9230" s="17" t="n">
        <f aca="false">H9219+H9226+H9224-H9225-H9227-H9228</f>
        <v>392</v>
      </c>
      <c r="I9230" s="17" t="n">
        <f aca="false">I9219+I9226+I9224-I9225-I9227-I9228</f>
        <v>388</v>
      </c>
      <c r="J9230" s="17" t="n">
        <f aca="false">J9219+J9226+J9224-J9225-J9227-J9228</f>
        <v>384</v>
      </c>
      <c r="K9230" s="17" t="n">
        <f aca="false">K9219+K9226+K9224-K9225-K9227-K9228</f>
        <v>380</v>
      </c>
    </row>
    <row r="9231" customFormat="false" ht="15" hidden="false" customHeight="false" outlineLevel="0" collapsed="false">
      <c r="A9231" s="24" t="s">
        <v>340</v>
      </c>
      <c r="B9231" s="25"/>
      <c r="C9231" s="25"/>
      <c r="D9231" s="25"/>
      <c r="E9231" s="25"/>
      <c r="F9231" s="25"/>
      <c r="G9231" s="25"/>
      <c r="H9231" s="25"/>
      <c r="I9231" s="25"/>
      <c r="J9231" s="25"/>
      <c r="K9231" s="25"/>
    </row>
    <row r="9232" customFormat="false" ht="15" hidden="false" customHeight="false" outlineLevel="0" collapsed="false">
      <c r="A9232" s="3" t="s">
        <v>329</v>
      </c>
      <c r="G9232" s="16" t="n">
        <f aca="false">F9243</f>
        <v>90</v>
      </c>
      <c r="H9232" s="16" t="n">
        <f aca="false">G9243</f>
        <v>90</v>
      </c>
      <c r="I9232" s="16" t="n">
        <f aca="false">H9243</f>
        <v>90</v>
      </c>
      <c r="J9232" s="16" t="n">
        <f aca="false">I9243</f>
        <v>90</v>
      </c>
      <c r="K9232" s="16" t="n">
        <f aca="false">J9243</f>
        <v>90</v>
      </c>
    </row>
    <row r="9233" customFormat="false" ht="15" hidden="false" customHeight="false" outlineLevel="0" collapsed="false">
      <c r="A9233" s="3" t="s">
        <v>330</v>
      </c>
      <c r="G9233" s="21" t="n">
        <f aca="false">IF(G9183=Assumptions!$K$58,1,0)</f>
        <v>0</v>
      </c>
      <c r="H9233" s="21" t="n">
        <f aca="false">IF(H9183=Assumptions!$K$58,1,0)</f>
        <v>0</v>
      </c>
      <c r="I9233" s="21" t="n">
        <f aca="false">IF(I9183=Assumptions!$K$58,1,0)</f>
        <v>0</v>
      </c>
      <c r="J9233" s="21" t="n">
        <f aca="false">IF(J9183=Assumptions!$K$58,1,0)</f>
        <v>0</v>
      </c>
      <c r="K9233" s="21" t="n">
        <f aca="false">IF(K9183=Assumptions!$K$58,1,0)</f>
        <v>0</v>
      </c>
    </row>
    <row r="9235" customFormat="false" ht="15" hidden="false" customHeight="false" outlineLevel="0" collapsed="false">
      <c r="A9235" s="3" t="s">
        <v>331</v>
      </c>
      <c r="G9235" s="31" t="n">
        <f aca="false">IF(Assumptions!$I$58=1,MAX(G9209,Assumptions!$G$58)+Assumptions!$F$58+$C$9210,Assumptions!$E$58)</f>
        <v>0.0581</v>
      </c>
      <c r="H9235" s="31" t="n">
        <f aca="false">IF(G9530=1,$C$9211,IF(Assumptions!$I$58=1,MAX(H9209,Assumptions!$G$58)+Assumptions!$F$58+$C$9210,Assumptions!$E$58))</f>
        <v>0.0581</v>
      </c>
      <c r="I9235" s="31" t="n">
        <f aca="false">IF(H9530=1,$C$9211,IF(Assumptions!$I$58=1,MAX(I9209,Assumptions!$G$58)+Assumptions!$F$58+$C$9210,Assumptions!$E$58))</f>
        <v>0.0581</v>
      </c>
      <c r="J9235" s="31" t="n">
        <f aca="false">IF(I9530=1,$C$9211,IF(Assumptions!$I$58=1,MAX(J9209,Assumptions!$G$58)+Assumptions!$F$58+$C$9210,Assumptions!$E$58))</f>
        <v>0.0581</v>
      </c>
      <c r="K9235" s="31" t="n">
        <f aca="false">IF(J9530=1,$C$9211,IF(Assumptions!$I$58=1,MAX(K9209,Assumptions!$G$58)+Assumptions!$F$58+$C$9210,Assumptions!$E$58))</f>
        <v>0.0581</v>
      </c>
    </row>
    <row r="9236" customFormat="false" ht="15" hidden="false" customHeight="false" outlineLevel="0" collapsed="false">
      <c r="A9236" s="3" t="s">
        <v>332</v>
      </c>
      <c r="G9236" s="16" t="n">
        <f aca="false">G9232*G9235</f>
        <v>5.229</v>
      </c>
      <c r="H9236" s="16" t="n">
        <f aca="false">H9232*H9235</f>
        <v>5.229</v>
      </c>
      <c r="I9236" s="16" t="n">
        <f aca="false">I9232*I9235</f>
        <v>5.229</v>
      </c>
      <c r="J9236" s="16" t="n">
        <f aca="false">J9232*J9235</f>
        <v>5.229</v>
      </c>
      <c r="K9236" s="16" t="n">
        <f aca="false">K9232*K9235</f>
        <v>5.229</v>
      </c>
    </row>
    <row r="9237" customFormat="false" ht="15" hidden="false" customHeight="false" outlineLevel="0" collapsed="false">
      <c r="A9237" s="3" t="s">
        <v>333</v>
      </c>
      <c r="G9237" s="16" t="n">
        <f aca="false">G9232*Assumptions!$H$58</f>
        <v>0</v>
      </c>
      <c r="H9237" s="16" t="n">
        <f aca="false">H9232*Assumptions!$H$58</f>
        <v>0</v>
      </c>
      <c r="I9237" s="16" t="n">
        <f aca="false">I9232*Assumptions!$H$58</f>
        <v>0</v>
      </c>
      <c r="J9237" s="16" t="n">
        <f aca="false">J9232*Assumptions!$H$58</f>
        <v>0</v>
      </c>
      <c r="K9237" s="16" t="n">
        <f aca="false">K9232*Assumptions!$H$58</f>
        <v>0</v>
      </c>
    </row>
    <row r="9238" customFormat="false" ht="15" hidden="false" customHeight="false" outlineLevel="0" collapsed="false">
      <c r="A9238" s="3" t="s">
        <v>334</v>
      </c>
      <c r="G9238" s="16" t="n">
        <f aca="false">MIN(G9232,Assumptions!$L$58*Assumptions!$C$58)</f>
        <v>0</v>
      </c>
      <c r="H9238" s="16" t="n">
        <f aca="false">MIN(H9232,Assumptions!$L$58*Assumptions!$C$58)</f>
        <v>0</v>
      </c>
      <c r="I9238" s="16" t="n">
        <f aca="false">MIN(I9232,Assumptions!$L$58*Assumptions!$C$58)</f>
        <v>0</v>
      </c>
      <c r="J9238" s="16" t="n">
        <f aca="false">MIN(J9232,Assumptions!$L$58*Assumptions!$C$58)</f>
        <v>0</v>
      </c>
      <c r="K9238" s="16" t="n">
        <f aca="false">MIN(K9232,Assumptions!$L$58*Assumptions!$C$58)</f>
        <v>0</v>
      </c>
    </row>
    <row r="9239" customFormat="false" ht="15" hidden="false" customHeight="false" outlineLevel="0" collapsed="false">
      <c r="A9239" s="3" t="s">
        <v>335</v>
      </c>
      <c r="G9239" s="16" t="n">
        <f aca="false">IF(AND(Assumptions!$P$58=1,G9183&lt;Assumptions!$K$58),MIN(MAX(0,-G9399),MAX(0,Assumptions!$D$58-G9232)),0)</f>
        <v>0</v>
      </c>
      <c r="H9239" s="16" t="n">
        <f aca="false">IF(AND(Assumptions!$P$58=1,OR(H9183&lt;Assumptions!$K$58,G9530=1)),MIN(MAX(0,-H9399),MAX(0,Assumptions!$D$58-H9232)),0)</f>
        <v>0</v>
      </c>
      <c r="I9239" s="16" t="n">
        <f aca="false">IF(AND(Assumptions!$P$58=1,OR(I9183&lt;Assumptions!$K$58,H9530=1)),MIN(MAX(0,-I9399),MAX(0,Assumptions!$D$58-I9232)),0)</f>
        <v>0</v>
      </c>
      <c r="J9239" s="16" t="n">
        <f aca="false">IF(AND(Assumptions!$P$58=1,OR(J9183&lt;Assumptions!$K$58,I9530=1)),MIN(MAX(0,-J9399),MAX(0,Assumptions!$D$58-J9232)),0)</f>
        <v>0</v>
      </c>
      <c r="K9239" s="16" t="n">
        <f aca="false">IF(AND(Assumptions!$P$58=1,OR(K9183&lt;Assumptions!$K$58,J9530=1)),MIN(MAX(0,-K9399),MAX(0,Assumptions!$D$58-K9232)),0)</f>
        <v>0</v>
      </c>
    </row>
    <row r="9240" customFormat="false" ht="15" hidden="false" customHeight="false" outlineLevel="0" collapsed="false">
      <c r="A9240" s="3" t="s">
        <v>336</v>
      </c>
      <c r="G9240" s="16" t="n">
        <f aca="false">G9233*MIN(G9232-G9238+G9237,MAX(0,G9401-Assumptions!$C$12*G9217-G9227))</f>
        <v>0</v>
      </c>
      <c r="H9240" s="16" t="n">
        <f aca="false">H9233*MIN(H9232-H9238+H9237,MAX(0,H9401-Assumptions!$C$12*H9217-H9227))</f>
        <v>0</v>
      </c>
      <c r="I9240" s="16" t="n">
        <f aca="false">I9233*MIN(I9232-I9238+I9237,MAX(0,I9401-Assumptions!$C$12*I9217-I9227))</f>
        <v>0</v>
      </c>
      <c r="J9240" s="16" t="n">
        <f aca="false">J9233*MIN(J9232-J9238+J9237,MAX(0,J9401-Assumptions!$C$12*J9217-J9227))</f>
        <v>0</v>
      </c>
      <c r="K9240" s="16" t="n">
        <f aca="false">K9233*MIN(K9232-K9238+K9237,MAX(0,K9401-Assumptions!$C$12*K9217-K9227))</f>
        <v>0</v>
      </c>
    </row>
    <row r="9241" customFormat="false" ht="15" hidden="false" customHeight="false" outlineLevel="0" collapsed="false">
      <c r="A9241" s="3" t="s">
        <v>337</v>
      </c>
      <c r="G9241" s="16" t="n">
        <f aca="false">Assumptions!$N$58*MIN(G9232+G9239+G9237-G9238-G9240,MAX(0,G9405-G9228))</f>
        <v>0</v>
      </c>
      <c r="H9241" s="16" t="n">
        <f aca="false">Assumptions!$N$58*MIN(H9232+H9239+H9237-H9238-H9240,MAX(0,H9405-H9228))</f>
        <v>0</v>
      </c>
      <c r="I9241" s="16" t="n">
        <f aca="false">Assumptions!$N$58*MIN(I9232+I9239+I9237-I9238-I9240,MAX(0,I9405-I9228))</f>
        <v>0</v>
      </c>
      <c r="J9241" s="16" t="n">
        <f aca="false">Assumptions!$N$58*MIN(J9232+J9239+J9237-J9238-J9240,MAX(0,J9405-J9228))</f>
        <v>0</v>
      </c>
      <c r="K9241" s="16" t="n">
        <f aca="false">Assumptions!$N$58*MIN(K9232+K9239+K9237-K9238-K9240,MAX(0,K9405-K9228))</f>
        <v>0</v>
      </c>
    </row>
    <row r="9242" customFormat="false" ht="15" hidden="false" customHeight="false" outlineLevel="0" collapsed="false">
      <c r="A9242" s="3" t="s">
        <v>338</v>
      </c>
      <c r="G9242" s="16" t="n">
        <f aca="false">G9233*(1-G9217)*(G9232-G9238+G9237-G9240)</f>
        <v>0</v>
      </c>
      <c r="H9242" s="16" t="n">
        <f aca="false">H9233*(1-H9217)*(H9232-H9238+H9237-H9240)</f>
        <v>0</v>
      </c>
      <c r="I9242" s="16" t="n">
        <f aca="false">I9233*(1-I9217)*(I9232-I9238+I9237-I9240)</f>
        <v>0</v>
      </c>
      <c r="J9242" s="16" t="n">
        <f aca="false">J9233*(1-J9217)*(J9232-J9238+J9237-J9240)</f>
        <v>0</v>
      </c>
      <c r="K9242" s="16" t="n">
        <f aca="false">K9233*(1-K9217)*(K9232-K9238+K9237-K9240)</f>
        <v>0</v>
      </c>
    </row>
    <row r="9243" customFormat="false" ht="15" hidden="false" customHeight="false" outlineLevel="0" collapsed="false">
      <c r="A9243" s="2" t="s">
        <v>339</v>
      </c>
      <c r="F9243" s="28" t="n">
        <f aca="false">Assumptions!$C$58</f>
        <v>90</v>
      </c>
      <c r="G9243" s="17" t="n">
        <f aca="false">G9232+G9239+G9237-G9238-G9240-G9241</f>
        <v>90</v>
      </c>
      <c r="H9243" s="17" t="n">
        <f aca="false">H9232+H9239+H9237-H9238-H9240-H9241</f>
        <v>90</v>
      </c>
      <c r="I9243" s="17" t="n">
        <f aca="false">I9232+I9239+I9237-I9238-I9240-I9241</f>
        <v>90</v>
      </c>
      <c r="J9243" s="17" t="n">
        <f aca="false">J9232+J9239+J9237-J9238-J9240-J9241</f>
        <v>90</v>
      </c>
      <c r="K9243" s="17" t="n">
        <f aca="false">K9232+K9239+K9237-K9238-K9240-K9241</f>
        <v>90</v>
      </c>
    </row>
    <row r="9244" customFormat="false" ht="15" hidden="false" customHeight="false" outlineLevel="0" collapsed="false">
      <c r="A9244" s="24" t="s">
        <v>341</v>
      </c>
      <c r="B9244" s="25"/>
      <c r="C9244" s="25"/>
      <c r="D9244" s="25"/>
      <c r="E9244" s="25"/>
      <c r="F9244" s="25"/>
      <c r="G9244" s="25"/>
      <c r="H9244" s="25"/>
      <c r="I9244" s="25"/>
      <c r="J9244" s="25"/>
      <c r="K9244" s="25"/>
    </row>
    <row r="9245" customFormat="false" ht="15" hidden="false" customHeight="false" outlineLevel="0" collapsed="false">
      <c r="A9245" s="3" t="s">
        <v>329</v>
      </c>
      <c r="G9245" s="16" t="n">
        <f aca="false">F9256</f>
        <v>57.324</v>
      </c>
      <c r="H9245" s="16" t="n">
        <f aca="false">G9256</f>
        <v>57.324</v>
      </c>
      <c r="I9245" s="16" t="n">
        <f aca="false">H9256</f>
        <v>57.324</v>
      </c>
      <c r="J9245" s="16" t="n">
        <f aca="false">I9256</f>
        <v>57.324</v>
      </c>
      <c r="K9245" s="16" t="n">
        <f aca="false">J9256</f>
        <v>57.324</v>
      </c>
    </row>
    <row r="9246" customFormat="false" ht="15" hidden="false" customHeight="false" outlineLevel="0" collapsed="false">
      <c r="A9246" s="3" t="s">
        <v>330</v>
      </c>
      <c r="G9246" s="21" t="n">
        <f aca="false">IF(G9183=Assumptions!$K$59,1,0)</f>
        <v>0</v>
      </c>
      <c r="H9246" s="21" t="n">
        <f aca="false">IF(H9183=Assumptions!$K$59,1,0)</f>
        <v>0</v>
      </c>
      <c r="I9246" s="21" t="n">
        <f aca="false">IF(I9183=Assumptions!$K$59,1,0)</f>
        <v>0</v>
      </c>
      <c r="J9246" s="21" t="n">
        <f aca="false">IF(J9183=Assumptions!$K$59,1,0)</f>
        <v>0</v>
      </c>
      <c r="K9246" s="21" t="n">
        <f aca="false">IF(K9183=Assumptions!$K$59,1,0)</f>
        <v>0</v>
      </c>
    </row>
    <row r="9248" customFormat="false" ht="15" hidden="false" customHeight="false" outlineLevel="0" collapsed="false">
      <c r="A9248" s="3" t="s">
        <v>331</v>
      </c>
      <c r="G9248" s="31" t="n">
        <f aca="false">IF(Assumptions!$I$59=1,MAX(G9209,Assumptions!$G$59)+Assumptions!$F$59+$C$9210,Assumptions!$E$59)</f>
        <v>0.0731</v>
      </c>
      <c r="H9248" s="31" t="n">
        <f aca="false">IF(G9531=1,$C$9211,IF(Assumptions!$I$59=1,MAX(H9209,Assumptions!$G$59)+Assumptions!$F$59+$C$9210,Assumptions!$E$59))</f>
        <v>0.0731</v>
      </c>
      <c r="I9248" s="31" t="n">
        <f aca="false">IF(H9531=1,$C$9211,IF(Assumptions!$I$59=1,MAX(I9209,Assumptions!$G$59)+Assumptions!$F$59+$C$9210,Assumptions!$E$59))</f>
        <v>0.0731</v>
      </c>
      <c r="J9248" s="31" t="n">
        <f aca="false">IF(I9531=1,$C$9211,IF(Assumptions!$I$59=1,MAX(J9209,Assumptions!$G$59)+Assumptions!$F$59+$C$9210,Assumptions!$E$59))</f>
        <v>0.0731</v>
      </c>
      <c r="K9248" s="31" t="n">
        <f aca="false">IF(J9531=1,$C$9211,IF(Assumptions!$I$59=1,MAX(K9209,Assumptions!$G$59)+Assumptions!$F$59+$C$9210,Assumptions!$E$59))</f>
        <v>0.0731</v>
      </c>
    </row>
    <row r="9249" customFormat="false" ht="15" hidden="false" customHeight="false" outlineLevel="0" collapsed="false">
      <c r="A9249" s="3" t="s">
        <v>332</v>
      </c>
      <c r="G9249" s="16" t="n">
        <f aca="false">G9245*G9248</f>
        <v>4.1903844</v>
      </c>
      <c r="H9249" s="16" t="n">
        <f aca="false">H9245*H9248</f>
        <v>4.1903844</v>
      </c>
      <c r="I9249" s="16" t="n">
        <f aca="false">I9245*I9248</f>
        <v>4.1903844</v>
      </c>
      <c r="J9249" s="16" t="n">
        <f aca="false">J9245*J9248</f>
        <v>4.1903844</v>
      </c>
      <c r="K9249" s="16" t="n">
        <f aca="false">K9245*K9248</f>
        <v>4.1903844</v>
      </c>
    </row>
    <row r="9250" customFormat="false" ht="15" hidden="false" customHeight="false" outlineLevel="0" collapsed="false">
      <c r="A9250" s="3" t="s">
        <v>333</v>
      </c>
      <c r="G9250" s="16" t="n">
        <f aca="false">G9245*Assumptions!$H$59</f>
        <v>0</v>
      </c>
      <c r="H9250" s="16" t="n">
        <f aca="false">H9245*Assumptions!$H$59</f>
        <v>0</v>
      </c>
      <c r="I9250" s="16" t="n">
        <f aca="false">I9245*Assumptions!$H$59</f>
        <v>0</v>
      </c>
      <c r="J9250" s="16" t="n">
        <f aca="false">J9245*Assumptions!$H$59</f>
        <v>0</v>
      </c>
      <c r="K9250" s="16" t="n">
        <f aca="false">K9245*Assumptions!$H$59</f>
        <v>0</v>
      </c>
    </row>
    <row r="9251" customFormat="false" ht="15" hidden="false" customHeight="false" outlineLevel="0" collapsed="false">
      <c r="A9251" s="3" t="s">
        <v>334</v>
      </c>
      <c r="G9251" s="16" t="n">
        <f aca="false">MIN(G9245,Assumptions!$L$59*Assumptions!$C$59)</f>
        <v>0</v>
      </c>
      <c r="H9251" s="16" t="n">
        <f aca="false">MIN(H9245,Assumptions!$L$59*Assumptions!$C$59)</f>
        <v>0</v>
      </c>
      <c r="I9251" s="16" t="n">
        <f aca="false">MIN(I9245,Assumptions!$L$59*Assumptions!$C$59)</f>
        <v>0</v>
      </c>
      <c r="J9251" s="16" t="n">
        <f aca="false">MIN(J9245,Assumptions!$L$59*Assumptions!$C$59)</f>
        <v>0</v>
      </c>
      <c r="K9251" s="16" t="n">
        <f aca="false">MIN(K9245,Assumptions!$L$59*Assumptions!$C$59)</f>
        <v>0</v>
      </c>
    </row>
    <row r="9252" customFormat="false" ht="15" hidden="false" customHeight="false" outlineLevel="0" collapsed="false">
      <c r="A9252" s="3" t="s">
        <v>335</v>
      </c>
      <c r="G9252" s="16" t="n">
        <f aca="false">IF(AND(Assumptions!$P$59=1,G9183&lt;Assumptions!$K$59),MIN(MAX(0,-G9399),MAX(0,Assumptions!$D$59-G9245)),0)</f>
        <v>0</v>
      </c>
      <c r="H9252" s="16" t="n">
        <f aca="false">IF(AND(Assumptions!$P$59=1,OR(H9183&lt;Assumptions!$K$59,G9531=1)),MIN(MAX(0,-H9399),MAX(0,Assumptions!$D$59-H9245)),0)</f>
        <v>0</v>
      </c>
      <c r="I9252" s="16" t="n">
        <f aca="false">IF(AND(Assumptions!$P$59=1,OR(I9183&lt;Assumptions!$K$59,H9531=1)),MIN(MAX(0,-I9399),MAX(0,Assumptions!$D$59-I9245)),0)</f>
        <v>0</v>
      </c>
      <c r="J9252" s="16" t="n">
        <f aca="false">IF(AND(Assumptions!$P$59=1,OR(J9183&lt;Assumptions!$K$59,I9531=1)),MIN(MAX(0,-J9399),MAX(0,Assumptions!$D$59-J9245)),0)</f>
        <v>0</v>
      </c>
      <c r="K9252" s="16" t="n">
        <f aca="false">IF(AND(Assumptions!$P$59=1,OR(K9183&lt;Assumptions!$K$59,J9531=1)),MIN(MAX(0,-K9399),MAX(0,Assumptions!$D$59-K9245)),0)</f>
        <v>0</v>
      </c>
    </row>
    <row r="9253" customFormat="false" ht="15" hidden="false" customHeight="false" outlineLevel="0" collapsed="false">
      <c r="A9253" s="3" t="s">
        <v>336</v>
      </c>
      <c r="G9253" s="16" t="n">
        <f aca="false">G9246*MIN(G9245-G9251+G9250,MAX(0,G9401-Assumptions!$C$12*G9217-G9227-G9240))</f>
        <v>0</v>
      </c>
      <c r="H9253" s="16" t="n">
        <f aca="false">H9246*MIN(H9245-H9251+H9250,MAX(0,H9401-Assumptions!$C$12*H9217-H9227-H9240))</f>
        <v>0</v>
      </c>
      <c r="I9253" s="16" t="n">
        <f aca="false">I9246*MIN(I9245-I9251+I9250,MAX(0,I9401-Assumptions!$C$12*I9217-I9227-I9240))</f>
        <v>0</v>
      </c>
      <c r="J9253" s="16" t="n">
        <f aca="false">J9246*MIN(J9245-J9251+J9250,MAX(0,J9401-Assumptions!$C$12*J9217-J9227-J9240))</f>
        <v>0</v>
      </c>
      <c r="K9253" s="16" t="n">
        <f aca="false">K9246*MIN(K9245-K9251+K9250,MAX(0,K9401-Assumptions!$C$12*K9217-K9227-K9240))</f>
        <v>0</v>
      </c>
    </row>
    <row r="9254" customFormat="false" ht="15" hidden="false" customHeight="false" outlineLevel="0" collapsed="false">
      <c r="A9254" s="3" t="s">
        <v>337</v>
      </c>
      <c r="G9254" s="16" t="n">
        <f aca="false">Assumptions!$N$59*MIN(G9245+G9252+G9250-G9251-G9253,MAX(0,G9405-G9228-G9241))</f>
        <v>0</v>
      </c>
      <c r="H9254" s="16" t="n">
        <f aca="false">Assumptions!$N$59*MIN(H9245+H9252+H9250-H9251-H9253,MAX(0,H9405-H9228-H9241))</f>
        <v>0</v>
      </c>
      <c r="I9254" s="16" t="n">
        <f aca="false">Assumptions!$N$59*MIN(I9245+I9252+I9250-I9251-I9253,MAX(0,I9405-I9228-I9241))</f>
        <v>0</v>
      </c>
      <c r="J9254" s="16" t="n">
        <f aca="false">Assumptions!$N$59*MIN(J9245+J9252+J9250-J9251-J9253,MAX(0,J9405-J9228-J9241))</f>
        <v>0</v>
      </c>
      <c r="K9254" s="16" t="n">
        <f aca="false">Assumptions!$N$59*MIN(K9245+K9252+K9250-K9251-K9253,MAX(0,K9405-K9228-K9241))</f>
        <v>0</v>
      </c>
    </row>
    <row r="9255" customFormat="false" ht="15" hidden="false" customHeight="false" outlineLevel="0" collapsed="false">
      <c r="A9255" s="3" t="s">
        <v>338</v>
      </c>
      <c r="G9255" s="16" t="n">
        <f aca="false">G9246*(1-G9217)*(G9245-G9251+G9250-G9253)</f>
        <v>0</v>
      </c>
      <c r="H9255" s="16" t="n">
        <f aca="false">H9246*(1-H9217)*(H9245-H9251+H9250-H9253)</f>
        <v>0</v>
      </c>
      <c r="I9255" s="16" t="n">
        <f aca="false">I9246*(1-I9217)*(I9245-I9251+I9250-I9253)</f>
        <v>0</v>
      </c>
      <c r="J9255" s="16" t="n">
        <f aca="false">J9246*(1-J9217)*(J9245-J9251+J9250-J9253)</f>
        <v>0</v>
      </c>
      <c r="K9255" s="16" t="n">
        <f aca="false">K9246*(1-K9217)*(K9245-K9251+K9250-K9253)</f>
        <v>0</v>
      </c>
    </row>
    <row r="9256" customFormat="false" ht="15" hidden="false" customHeight="false" outlineLevel="0" collapsed="false">
      <c r="A9256" s="2" t="s">
        <v>339</v>
      </c>
      <c r="F9256" s="28" t="n">
        <f aca="false">Assumptions!$C$59</f>
        <v>57.324</v>
      </c>
      <c r="G9256" s="17" t="n">
        <f aca="false">G9245+G9252+G9250-G9251-G9253-G9254</f>
        <v>57.324</v>
      </c>
      <c r="H9256" s="17" t="n">
        <f aca="false">H9245+H9252+H9250-H9251-H9253-H9254</f>
        <v>57.324</v>
      </c>
      <c r="I9256" s="17" t="n">
        <f aca="false">I9245+I9252+I9250-I9251-I9253-I9254</f>
        <v>57.324</v>
      </c>
      <c r="J9256" s="17" t="n">
        <f aca="false">J9245+J9252+J9250-J9251-J9253-J9254</f>
        <v>57.324</v>
      </c>
      <c r="K9256" s="17" t="n">
        <f aca="false">K9245+K9252+K9250-K9251-K9253-K9254</f>
        <v>57.324</v>
      </c>
    </row>
    <row r="9257" customFormat="false" ht="15" hidden="false" customHeight="false" outlineLevel="0" collapsed="false">
      <c r="A9257" s="24" t="s">
        <v>342</v>
      </c>
      <c r="B9257" s="25"/>
      <c r="C9257" s="25"/>
      <c r="D9257" s="25"/>
      <c r="E9257" s="25"/>
      <c r="F9257" s="25"/>
      <c r="G9257" s="25"/>
      <c r="H9257" s="25"/>
      <c r="I9257" s="25"/>
      <c r="J9257" s="25"/>
      <c r="K9257" s="25"/>
    </row>
    <row r="9258" customFormat="false" ht="15" hidden="false" customHeight="false" outlineLevel="0" collapsed="false">
      <c r="A9258" s="3" t="s">
        <v>329</v>
      </c>
      <c r="G9258" s="16" t="n">
        <f aca="false">F9269</f>
        <v>0</v>
      </c>
      <c r="H9258" s="16" t="n">
        <f aca="false">G9269</f>
        <v>0</v>
      </c>
      <c r="I9258" s="16" t="n">
        <f aca="false">H9269</f>
        <v>0</v>
      </c>
      <c r="J9258" s="16" t="n">
        <f aca="false">I9269</f>
        <v>0</v>
      </c>
      <c r="K9258" s="16" t="n">
        <f aca="false">J9269</f>
        <v>0</v>
      </c>
    </row>
    <row r="9259" customFormat="false" ht="15" hidden="false" customHeight="false" outlineLevel="0" collapsed="false">
      <c r="A9259" s="3" t="s">
        <v>330</v>
      </c>
      <c r="G9259" s="21" t="n">
        <f aca="false">IF(G9183=Assumptions!$K$60,1,0)</f>
        <v>1</v>
      </c>
      <c r="H9259" s="21" t="n">
        <f aca="false">IF(H9183=Assumptions!$K$60,1,0)</f>
        <v>0</v>
      </c>
      <c r="I9259" s="21" t="n">
        <f aca="false">IF(I9183=Assumptions!$K$60,1,0)</f>
        <v>0</v>
      </c>
      <c r="J9259" s="21" t="n">
        <f aca="false">IF(J9183=Assumptions!$K$60,1,0)</f>
        <v>0</v>
      </c>
      <c r="K9259" s="21" t="n">
        <f aca="false">IF(K9183=Assumptions!$K$60,1,0)</f>
        <v>0</v>
      </c>
    </row>
    <row r="9261" customFormat="false" ht="15" hidden="false" customHeight="false" outlineLevel="0" collapsed="false">
      <c r="A9261" s="3" t="s">
        <v>331</v>
      </c>
      <c r="G9261" s="31" t="n">
        <f aca="false">IF(Assumptions!$I$60=1,MAX(G9209,Assumptions!$G$60)+Assumptions!$F$60+$C$9210,Assumptions!$E$60)</f>
        <v>0.084</v>
      </c>
      <c r="H9261" s="31" t="n">
        <f aca="false">IF(G9532=1,$C$9211,IF(Assumptions!$I$60=1,MAX(H9209,Assumptions!$G$60)+Assumptions!$F$60+$C$9210,Assumptions!$E$60))</f>
        <v>0.0825</v>
      </c>
      <c r="I9261" s="31" t="n">
        <f aca="false">IF(H9532=1,$C$9211,IF(Assumptions!$I$60=1,MAX(I9209,Assumptions!$G$60)+Assumptions!$F$60+$C$9210,Assumptions!$E$60))</f>
        <v>0.08</v>
      </c>
      <c r="J9261" s="31" t="n">
        <f aca="false">IF(I9532=1,$C$9211,IF(Assumptions!$I$60=1,MAX(J9209,Assumptions!$G$60)+Assumptions!$F$60+$C$9210,Assumptions!$E$60))</f>
        <v>0.08</v>
      </c>
      <c r="K9261" s="31" t="n">
        <f aca="false">IF(J9532=1,$C$9211,IF(Assumptions!$I$60=1,MAX(K9209,Assumptions!$G$60)+Assumptions!$F$60+$C$9210,Assumptions!$E$60))</f>
        <v>0.08</v>
      </c>
    </row>
    <row r="9262" customFormat="false" ht="15" hidden="false" customHeight="false" outlineLevel="0" collapsed="false">
      <c r="A9262" s="3" t="s">
        <v>332</v>
      </c>
      <c r="G9262" s="16" t="n">
        <f aca="false">G9258*G9261</f>
        <v>0</v>
      </c>
      <c r="H9262" s="16" t="n">
        <f aca="false">H9258*H9261</f>
        <v>0</v>
      </c>
      <c r="I9262" s="16" t="n">
        <f aca="false">I9258*I9261</f>
        <v>0</v>
      </c>
      <c r="J9262" s="16" t="n">
        <f aca="false">J9258*J9261</f>
        <v>0</v>
      </c>
      <c r="K9262" s="16" t="n">
        <f aca="false">K9258*K9261</f>
        <v>0</v>
      </c>
    </row>
    <row r="9263" customFormat="false" ht="15" hidden="false" customHeight="false" outlineLevel="0" collapsed="false">
      <c r="A9263" s="3" t="s">
        <v>333</v>
      </c>
      <c r="G9263" s="16" t="n">
        <f aca="false">G9258*Assumptions!$H$60</f>
        <v>0</v>
      </c>
      <c r="H9263" s="16" t="n">
        <f aca="false">H9258*Assumptions!$H$60</f>
        <v>0</v>
      </c>
      <c r="I9263" s="16" t="n">
        <f aca="false">I9258*Assumptions!$H$60</f>
        <v>0</v>
      </c>
      <c r="J9263" s="16" t="n">
        <f aca="false">J9258*Assumptions!$H$60</f>
        <v>0</v>
      </c>
      <c r="K9263" s="16" t="n">
        <f aca="false">K9258*Assumptions!$H$60</f>
        <v>0</v>
      </c>
    </row>
    <row r="9264" customFormat="false" ht="15" hidden="false" customHeight="false" outlineLevel="0" collapsed="false">
      <c r="A9264" s="3" t="s">
        <v>334</v>
      </c>
      <c r="G9264" s="16" t="n">
        <f aca="false">MIN(G9258,Assumptions!$L$60*Assumptions!$C$60)</f>
        <v>0</v>
      </c>
      <c r="H9264" s="16" t="n">
        <f aca="false">MIN(H9258,Assumptions!$L$60*Assumptions!$C$60)</f>
        <v>0</v>
      </c>
      <c r="I9264" s="16" t="n">
        <f aca="false">MIN(I9258,Assumptions!$L$60*Assumptions!$C$60)</f>
        <v>0</v>
      </c>
      <c r="J9264" s="16" t="n">
        <f aca="false">MIN(J9258,Assumptions!$L$60*Assumptions!$C$60)</f>
        <v>0</v>
      </c>
      <c r="K9264" s="16" t="n">
        <f aca="false">MIN(K9258,Assumptions!$L$60*Assumptions!$C$60)</f>
        <v>0</v>
      </c>
    </row>
    <row r="9265" customFormat="false" ht="15" hidden="false" customHeight="false" outlineLevel="0" collapsed="false">
      <c r="A9265" s="3" t="s">
        <v>335</v>
      </c>
      <c r="G9265" s="16" t="n">
        <f aca="false">IF(AND(Assumptions!$P$60=1,G9183&lt;Assumptions!$K$60),MIN(MAX(0,-G9399),MAX(0,Assumptions!$D$60-G9258)),0)</f>
        <v>0</v>
      </c>
      <c r="H9265" s="16" t="n">
        <f aca="false">IF(AND(Assumptions!$P$60=1,OR(H9183&lt;Assumptions!$K$60,G9532=1)),MIN(MAX(0,-H9399),MAX(0,Assumptions!$D$60-H9258)),0)</f>
        <v>0</v>
      </c>
      <c r="I9265" s="16" t="n">
        <f aca="false">IF(AND(Assumptions!$P$60=1,OR(I9183&lt;Assumptions!$K$60,H9532=1)),MIN(MAX(0,-I9399),MAX(0,Assumptions!$D$60-I9258)),0)</f>
        <v>0</v>
      </c>
      <c r="J9265" s="16" t="n">
        <f aca="false">IF(AND(Assumptions!$P$60=1,OR(J9183&lt;Assumptions!$K$60,I9532=1)),MIN(MAX(0,-J9399),MAX(0,Assumptions!$D$60-J9258)),0)</f>
        <v>0</v>
      </c>
      <c r="K9265" s="16" t="n">
        <f aca="false">IF(AND(Assumptions!$P$60=1,OR(K9183&lt;Assumptions!$K$60,J9532=1)),MIN(MAX(0,-K9399),MAX(0,Assumptions!$D$60-K9258)),0)</f>
        <v>0</v>
      </c>
    </row>
    <row r="9266" customFormat="false" ht="15" hidden="false" customHeight="false" outlineLevel="0" collapsed="false">
      <c r="A9266" s="3" t="s">
        <v>336</v>
      </c>
      <c r="G9266" s="16" t="n">
        <f aca="false">G9259*MIN(G9258-G9264+G9263,MAX(0,G9401-Assumptions!$C$12*G9217-G9227-G9240-G9253))</f>
        <v>0</v>
      </c>
      <c r="H9266" s="16" t="n">
        <f aca="false">H9259*MIN(H9258-H9264+H9263,MAX(0,H9401-Assumptions!$C$12*H9217-H9227-H9240-H9253))</f>
        <v>0</v>
      </c>
      <c r="I9266" s="16" t="n">
        <f aca="false">I9259*MIN(I9258-I9264+I9263,MAX(0,I9401-Assumptions!$C$12*I9217-I9227-I9240-I9253))</f>
        <v>0</v>
      </c>
      <c r="J9266" s="16" t="n">
        <f aca="false">J9259*MIN(J9258-J9264+J9263,MAX(0,J9401-Assumptions!$C$12*J9217-J9227-J9240-J9253))</f>
        <v>0</v>
      </c>
      <c r="K9266" s="16" t="n">
        <f aca="false">K9259*MIN(K9258-K9264+K9263,MAX(0,K9401-Assumptions!$C$12*K9217-K9227-K9240-K9253))</f>
        <v>0</v>
      </c>
    </row>
    <row r="9267" customFormat="false" ht="15" hidden="false" customHeight="false" outlineLevel="0" collapsed="false">
      <c r="A9267" s="3" t="s">
        <v>337</v>
      </c>
      <c r="G9267" s="16" t="n">
        <f aca="false">Assumptions!$N$60*MIN(G9258+G9265+G9263-G9264-G9266,MAX(0,G9405-G9228-G9241-G9254))</f>
        <v>0</v>
      </c>
      <c r="H9267" s="16" t="n">
        <f aca="false">Assumptions!$N$60*MIN(H9258+H9265+H9263-H9264-H9266,MAX(0,H9405-H9228-H9241-H9254))</f>
        <v>0</v>
      </c>
      <c r="I9267" s="16" t="n">
        <f aca="false">Assumptions!$N$60*MIN(I9258+I9265+I9263-I9264-I9266,MAX(0,I9405-I9228-I9241-I9254))</f>
        <v>0</v>
      </c>
      <c r="J9267" s="16" t="n">
        <f aca="false">Assumptions!$N$60*MIN(J9258+J9265+J9263-J9264-J9266,MAX(0,J9405-J9228-J9241-J9254))</f>
        <v>0</v>
      </c>
      <c r="K9267" s="16" t="n">
        <f aca="false">Assumptions!$N$60*MIN(K9258+K9265+K9263-K9264-K9266,MAX(0,K9405-K9228-K9241-K9254))</f>
        <v>0</v>
      </c>
    </row>
    <row r="9268" customFormat="false" ht="15" hidden="false" customHeight="false" outlineLevel="0" collapsed="false">
      <c r="A9268" s="3" t="s">
        <v>338</v>
      </c>
      <c r="G9268" s="16" t="n">
        <f aca="false">G9259*(1-G9217)*(G9258-G9264+G9263-G9266)</f>
        <v>0</v>
      </c>
      <c r="H9268" s="16" t="n">
        <f aca="false">H9259*(1-H9217)*(H9258-H9264+H9263-H9266)</f>
        <v>0</v>
      </c>
      <c r="I9268" s="16" t="n">
        <f aca="false">I9259*(1-I9217)*(I9258-I9264+I9263-I9266)</f>
        <v>0</v>
      </c>
      <c r="J9268" s="16" t="n">
        <f aca="false">J9259*(1-J9217)*(J9258-J9264+J9263-J9266)</f>
        <v>0</v>
      </c>
      <c r="K9268" s="16" t="n">
        <f aca="false">K9259*(1-K9217)*(K9258-K9264+K9263-K9266)</f>
        <v>0</v>
      </c>
    </row>
    <row r="9269" customFormat="false" ht="15" hidden="false" customHeight="false" outlineLevel="0" collapsed="false">
      <c r="A9269" s="2" t="s">
        <v>339</v>
      </c>
      <c r="F9269" s="28" t="n">
        <f aca="false">Assumptions!$C$60</f>
        <v>0</v>
      </c>
      <c r="G9269" s="17" t="n">
        <f aca="false">G9258+G9265+G9263-G9264-G9266-G9267</f>
        <v>0</v>
      </c>
      <c r="H9269" s="17" t="n">
        <f aca="false">H9258+H9265+H9263-H9264-H9266-H9267</f>
        <v>0</v>
      </c>
      <c r="I9269" s="17" t="n">
        <f aca="false">I9258+I9265+I9263-I9264-I9266-I9267</f>
        <v>0</v>
      </c>
      <c r="J9269" s="17" t="n">
        <f aca="false">J9258+J9265+J9263-J9264-J9266-J9267</f>
        <v>0</v>
      </c>
      <c r="K9269" s="17" t="n">
        <f aca="false">K9258+K9265+K9263-K9264-K9266-K9267</f>
        <v>0</v>
      </c>
    </row>
    <row r="9270" customFormat="false" ht="15" hidden="false" customHeight="false" outlineLevel="0" collapsed="false">
      <c r="A9270" s="24" t="s">
        <v>343</v>
      </c>
      <c r="B9270" s="25"/>
      <c r="C9270" s="25"/>
      <c r="D9270" s="25"/>
      <c r="E9270" s="25"/>
      <c r="F9270" s="25"/>
      <c r="G9270" s="25"/>
      <c r="H9270" s="25"/>
      <c r="I9270" s="25"/>
      <c r="J9270" s="25"/>
      <c r="K9270" s="25"/>
    </row>
    <row r="9271" customFormat="false" ht="15" hidden="false" customHeight="false" outlineLevel="0" collapsed="false">
      <c r="A9271" s="3" t="s">
        <v>329</v>
      </c>
      <c r="G9271" s="16" t="n">
        <f aca="false">F9282</f>
        <v>450</v>
      </c>
      <c r="H9271" s="16" t="n">
        <f aca="false">G9282</f>
        <v>450</v>
      </c>
      <c r="I9271" s="16" t="n">
        <f aca="false">H9282</f>
        <v>450</v>
      </c>
      <c r="J9271" s="16" t="n">
        <f aca="false">I9282</f>
        <v>450</v>
      </c>
      <c r="K9271" s="16" t="n">
        <f aca="false">J9282</f>
        <v>450</v>
      </c>
    </row>
    <row r="9272" customFormat="false" ht="15" hidden="false" customHeight="false" outlineLevel="0" collapsed="false">
      <c r="A9272" s="3" t="s">
        <v>330</v>
      </c>
      <c r="G9272" s="21" t="n">
        <f aca="false">IF(G9183=Assumptions!$K$61,1,0)</f>
        <v>0</v>
      </c>
      <c r="H9272" s="21" t="n">
        <f aca="false">IF(H9183=Assumptions!$K$61,1,0)</f>
        <v>1</v>
      </c>
      <c r="I9272" s="21" t="n">
        <f aca="false">IF(I9183=Assumptions!$K$61,1,0)</f>
        <v>0</v>
      </c>
      <c r="J9272" s="21" t="n">
        <f aca="false">IF(J9183=Assumptions!$K$61,1,0)</f>
        <v>0</v>
      </c>
      <c r="K9272" s="21" t="n">
        <f aca="false">IF(K9183=Assumptions!$K$61,1,0)</f>
        <v>0</v>
      </c>
    </row>
    <row r="9274" customFormat="false" ht="15" hidden="false" customHeight="false" outlineLevel="0" collapsed="false">
      <c r="A9274" s="3" t="s">
        <v>331</v>
      </c>
      <c r="G9274" s="31" t="n">
        <f aca="false">IF(Assumptions!$I$61=1,MAX(G9209,Assumptions!$G$61)+Assumptions!$F$61+$C$9210,Assumptions!$E$61)</f>
        <v>0.0395</v>
      </c>
      <c r="H9274" s="31" t="n">
        <f aca="false">IF(G9533=1,$C$9211,IF(Assumptions!$I$61=1,MAX(H9209,Assumptions!$G$61)+Assumptions!$F$61+$C$9210,Assumptions!$E$61))</f>
        <v>0.0395</v>
      </c>
      <c r="I9274" s="31" t="n">
        <f aca="false">IF(H9533=1,$C$9211,IF(Assumptions!$I$61=1,MAX(I9209,Assumptions!$G$61)+Assumptions!$F$61+$C$9210,Assumptions!$E$61))</f>
        <v>0.0395</v>
      </c>
      <c r="J9274" s="31" t="n">
        <f aca="false">IF(I9533=1,$C$9211,IF(Assumptions!$I$61=1,MAX(J9209,Assumptions!$G$61)+Assumptions!$F$61+$C$9210,Assumptions!$E$61))</f>
        <v>0.0395</v>
      </c>
      <c r="K9274" s="31" t="n">
        <f aca="false">IF(J9533=1,$C$9211,IF(Assumptions!$I$61=1,MAX(K9209,Assumptions!$G$61)+Assumptions!$F$61+$C$9210,Assumptions!$E$61))</f>
        <v>0.0395</v>
      </c>
    </row>
    <row r="9275" customFormat="false" ht="15" hidden="false" customHeight="false" outlineLevel="0" collapsed="false">
      <c r="A9275" s="3" t="s">
        <v>332</v>
      </c>
      <c r="G9275" s="16" t="n">
        <f aca="false">G9271*G9274</f>
        <v>17.775</v>
      </c>
      <c r="H9275" s="16" t="n">
        <f aca="false">H9271*H9274</f>
        <v>17.775</v>
      </c>
      <c r="I9275" s="16" t="n">
        <f aca="false">I9271*I9274</f>
        <v>17.775</v>
      </c>
      <c r="J9275" s="16" t="n">
        <f aca="false">J9271*J9274</f>
        <v>17.775</v>
      </c>
      <c r="K9275" s="16" t="n">
        <f aca="false">K9271*K9274</f>
        <v>17.775</v>
      </c>
    </row>
    <row r="9276" customFormat="false" ht="15" hidden="false" customHeight="false" outlineLevel="0" collapsed="false">
      <c r="A9276" s="3" t="s">
        <v>333</v>
      </c>
      <c r="G9276" s="16" t="n">
        <f aca="false">G9271*Assumptions!$H$61</f>
        <v>0</v>
      </c>
      <c r="H9276" s="16" t="n">
        <f aca="false">H9271*Assumptions!$H$61</f>
        <v>0</v>
      </c>
      <c r="I9276" s="16" t="n">
        <f aca="false">I9271*Assumptions!$H$61</f>
        <v>0</v>
      </c>
      <c r="J9276" s="16" t="n">
        <f aca="false">J9271*Assumptions!$H$61</f>
        <v>0</v>
      </c>
      <c r="K9276" s="16" t="n">
        <f aca="false">K9271*Assumptions!$H$61</f>
        <v>0</v>
      </c>
    </row>
    <row r="9277" customFormat="false" ht="15" hidden="false" customHeight="false" outlineLevel="0" collapsed="false">
      <c r="A9277" s="3" t="s">
        <v>334</v>
      </c>
      <c r="G9277" s="16" t="n">
        <f aca="false">MIN(G9271,Assumptions!$L$61*Assumptions!$C$61)</f>
        <v>0</v>
      </c>
      <c r="H9277" s="16" t="n">
        <f aca="false">MIN(H9271,Assumptions!$L$61*Assumptions!$C$61)</f>
        <v>0</v>
      </c>
      <c r="I9277" s="16" t="n">
        <f aca="false">MIN(I9271,Assumptions!$L$61*Assumptions!$C$61)</f>
        <v>0</v>
      </c>
      <c r="J9277" s="16" t="n">
        <f aca="false">MIN(J9271,Assumptions!$L$61*Assumptions!$C$61)</f>
        <v>0</v>
      </c>
      <c r="K9277" s="16" t="n">
        <f aca="false">MIN(K9271,Assumptions!$L$61*Assumptions!$C$61)</f>
        <v>0</v>
      </c>
    </row>
    <row r="9278" customFormat="false" ht="15" hidden="false" customHeight="false" outlineLevel="0" collapsed="false">
      <c r="A9278" s="3" t="s">
        <v>335</v>
      </c>
      <c r="G9278" s="16" t="n">
        <f aca="false">IF(AND(Assumptions!$P$61=1,G9183&lt;Assumptions!$K$61),MIN(MAX(0,-G9399),MAX(0,Assumptions!$D$61-G9271)),0)</f>
        <v>0</v>
      </c>
      <c r="H9278" s="16" t="n">
        <f aca="false">IF(AND(Assumptions!$P$61=1,OR(H9183&lt;Assumptions!$K$61,G9533=1)),MIN(MAX(0,-H9399),MAX(0,Assumptions!$D$61-H9271)),0)</f>
        <v>0</v>
      </c>
      <c r="I9278" s="16" t="n">
        <f aca="false">IF(AND(Assumptions!$P$61=1,OR(I9183&lt;Assumptions!$K$61,H9533=1)),MIN(MAX(0,-I9399),MAX(0,Assumptions!$D$61-I9271)),0)</f>
        <v>0</v>
      </c>
      <c r="J9278" s="16" t="n">
        <f aca="false">IF(AND(Assumptions!$P$61=1,OR(J9183&lt;Assumptions!$K$61,I9533=1)),MIN(MAX(0,-J9399),MAX(0,Assumptions!$D$61-J9271)),0)</f>
        <v>0</v>
      </c>
      <c r="K9278" s="16" t="n">
        <f aca="false">IF(AND(Assumptions!$P$61=1,OR(K9183&lt;Assumptions!$K$61,J9533=1)),MIN(MAX(0,-K9399),MAX(0,Assumptions!$D$61-K9271)),0)</f>
        <v>0</v>
      </c>
    </row>
    <row r="9279" customFormat="false" ht="15" hidden="false" customHeight="false" outlineLevel="0" collapsed="false">
      <c r="A9279" s="3" t="s">
        <v>336</v>
      </c>
      <c r="G9279" s="16" t="n">
        <f aca="false">G9272*MIN(G9271-G9277+G9276,MAX(0,G9401-Assumptions!$C$12*G9217-G9227-G9240-G9253-G9266))</f>
        <v>0</v>
      </c>
      <c r="H9279" s="16" t="n">
        <f aca="false">H9272*MIN(H9271-H9277+H9276,MAX(0,H9401-Assumptions!$C$12*H9217-H9227-H9240-H9253-H9266))</f>
        <v>0</v>
      </c>
      <c r="I9279" s="16" t="n">
        <f aca="false">I9272*MIN(I9271-I9277+I9276,MAX(0,I9401-Assumptions!$C$12*I9217-I9227-I9240-I9253-I9266))</f>
        <v>0</v>
      </c>
      <c r="J9279" s="16" t="n">
        <f aca="false">J9272*MIN(J9271-J9277+J9276,MAX(0,J9401-Assumptions!$C$12*J9217-J9227-J9240-J9253-J9266))</f>
        <v>0</v>
      </c>
      <c r="K9279" s="16" t="n">
        <f aca="false">K9272*MIN(K9271-K9277+K9276,MAX(0,K9401-Assumptions!$C$12*K9217-K9227-K9240-K9253-K9266))</f>
        <v>0</v>
      </c>
    </row>
    <row r="9280" customFormat="false" ht="15" hidden="false" customHeight="false" outlineLevel="0" collapsed="false">
      <c r="A9280" s="3" t="s">
        <v>337</v>
      </c>
      <c r="G9280" s="16" t="n">
        <f aca="false">Assumptions!$N$61*MIN(G9271+G9278+G9276-G9277-G9279,MAX(0,G9405-G9228-G9241-G9254-G9267))</f>
        <v>0</v>
      </c>
      <c r="H9280" s="16" t="n">
        <f aca="false">Assumptions!$N$61*MIN(H9271+H9278+H9276-H9277-H9279,MAX(0,H9405-H9228-H9241-H9254-H9267))</f>
        <v>0</v>
      </c>
      <c r="I9280" s="16" t="n">
        <f aca="false">Assumptions!$N$61*MIN(I9271+I9278+I9276-I9277-I9279,MAX(0,I9405-I9228-I9241-I9254-I9267))</f>
        <v>0</v>
      </c>
      <c r="J9280" s="16" t="n">
        <f aca="false">Assumptions!$N$61*MIN(J9271+J9278+J9276-J9277-J9279,MAX(0,J9405-J9228-J9241-J9254-J9267))</f>
        <v>0</v>
      </c>
      <c r="K9280" s="16" t="n">
        <f aca="false">Assumptions!$N$61*MIN(K9271+K9278+K9276-K9277-K9279,MAX(0,K9405-K9228-K9241-K9254-K9267))</f>
        <v>0</v>
      </c>
    </row>
    <row r="9281" customFormat="false" ht="15" hidden="false" customHeight="false" outlineLevel="0" collapsed="false">
      <c r="A9281" s="3" t="s">
        <v>338</v>
      </c>
      <c r="G9281" s="16" t="n">
        <f aca="false">G9272*(1-G9217)*(G9271-G9277+G9276-G9279)</f>
        <v>0</v>
      </c>
      <c r="H9281" s="16" t="n">
        <f aca="false">H9272*(1-H9217)*(H9271-H9277+H9276-H9279)</f>
        <v>450</v>
      </c>
      <c r="I9281" s="16" t="n">
        <f aca="false">I9272*(1-I9217)*(I9271-I9277+I9276-I9279)</f>
        <v>0</v>
      </c>
      <c r="J9281" s="16" t="n">
        <f aca="false">J9272*(1-J9217)*(J9271-J9277+J9276-J9279)</f>
        <v>0</v>
      </c>
      <c r="K9281" s="16" t="n">
        <f aca="false">K9272*(1-K9217)*(K9271-K9277+K9276-K9279)</f>
        <v>0</v>
      </c>
    </row>
    <row r="9282" customFormat="false" ht="15" hidden="false" customHeight="false" outlineLevel="0" collapsed="false">
      <c r="A9282" s="2" t="s">
        <v>339</v>
      </c>
      <c r="F9282" s="28" t="n">
        <f aca="false">Assumptions!$C$61</f>
        <v>450</v>
      </c>
      <c r="G9282" s="17" t="n">
        <f aca="false">G9271+G9278+G9276-G9277-G9279-G9280</f>
        <v>450</v>
      </c>
      <c r="H9282" s="17" t="n">
        <f aca="false">H9271+H9278+H9276-H9277-H9279-H9280</f>
        <v>450</v>
      </c>
      <c r="I9282" s="17" t="n">
        <f aca="false">I9271+I9278+I9276-I9277-I9279-I9280</f>
        <v>450</v>
      </c>
      <c r="J9282" s="17" t="n">
        <f aca="false">J9271+J9278+J9276-J9277-J9279-J9280</f>
        <v>450</v>
      </c>
      <c r="K9282" s="17" t="n">
        <f aca="false">K9271+K9278+K9276-K9277-K9279-K9280</f>
        <v>450</v>
      </c>
    </row>
    <row r="9283" customFormat="false" ht="15" hidden="false" customHeight="false" outlineLevel="0" collapsed="false">
      <c r="A9283" s="24" t="s">
        <v>344</v>
      </c>
      <c r="B9283" s="25"/>
      <c r="C9283" s="25"/>
      <c r="D9283" s="25"/>
      <c r="E9283" s="25"/>
      <c r="F9283" s="25"/>
      <c r="G9283" s="25"/>
      <c r="H9283" s="25"/>
      <c r="I9283" s="25"/>
      <c r="J9283" s="25"/>
      <c r="K9283" s="25"/>
    </row>
    <row r="9284" customFormat="false" ht="15" hidden="false" customHeight="false" outlineLevel="0" collapsed="false">
      <c r="A9284" s="3" t="s">
        <v>329</v>
      </c>
      <c r="G9284" s="16" t="n">
        <f aca="false">F9295</f>
        <v>350</v>
      </c>
      <c r="H9284" s="16" t="n">
        <f aca="false">G9295</f>
        <v>350</v>
      </c>
      <c r="I9284" s="16" t="n">
        <f aca="false">H9295</f>
        <v>350</v>
      </c>
      <c r="J9284" s="16" t="n">
        <f aca="false">I9295</f>
        <v>350</v>
      </c>
      <c r="K9284" s="16" t="n">
        <f aca="false">J9295</f>
        <v>350</v>
      </c>
    </row>
    <row r="9285" customFormat="false" ht="15" hidden="false" customHeight="false" outlineLevel="0" collapsed="false">
      <c r="A9285" s="3" t="s">
        <v>330</v>
      </c>
      <c r="G9285" s="21" t="n">
        <f aca="false">IF(G9183=Assumptions!$K$62,1,0)</f>
        <v>0</v>
      </c>
      <c r="H9285" s="21" t="n">
        <f aca="false">IF(H9183=Assumptions!$K$62,1,0)</f>
        <v>1</v>
      </c>
      <c r="I9285" s="21" t="n">
        <f aca="false">IF(I9183=Assumptions!$K$62,1,0)</f>
        <v>0</v>
      </c>
      <c r="J9285" s="21" t="n">
        <f aca="false">IF(J9183=Assumptions!$K$62,1,0)</f>
        <v>0</v>
      </c>
      <c r="K9285" s="21" t="n">
        <f aca="false">IF(K9183=Assumptions!$K$62,1,0)</f>
        <v>0</v>
      </c>
    </row>
    <row r="9287" customFormat="false" ht="15" hidden="false" customHeight="false" outlineLevel="0" collapsed="false">
      <c r="A9287" s="3" t="s">
        <v>331</v>
      </c>
      <c r="G9287" s="31" t="n">
        <f aca="false">IF(Assumptions!$I$62=1,MAX(G9209,Assumptions!$G$62)+Assumptions!$F$62+$C$9210,Assumptions!$E$62)</f>
        <v>0.083</v>
      </c>
      <c r="H9287" s="31" t="n">
        <f aca="false">IF(G9534=1,$C$9211,IF(Assumptions!$I$62=1,MAX(H9209,Assumptions!$G$62)+Assumptions!$F$62+$C$9210,Assumptions!$E$62))</f>
        <v>0.083</v>
      </c>
      <c r="I9287" s="31" t="n">
        <f aca="false">IF(H9534=1,$C$9211,IF(Assumptions!$I$62=1,MAX(I9209,Assumptions!$G$62)+Assumptions!$F$62+$C$9210,Assumptions!$E$62))</f>
        <v>0.083</v>
      </c>
      <c r="J9287" s="31" t="n">
        <f aca="false">IF(I9534=1,$C$9211,IF(Assumptions!$I$62=1,MAX(J9209,Assumptions!$G$62)+Assumptions!$F$62+$C$9210,Assumptions!$E$62))</f>
        <v>0.083</v>
      </c>
      <c r="K9287" s="31" t="n">
        <f aca="false">IF(J9534=1,$C$9211,IF(Assumptions!$I$62=1,MAX(K9209,Assumptions!$G$62)+Assumptions!$F$62+$C$9210,Assumptions!$E$62))</f>
        <v>0.083</v>
      </c>
    </row>
    <row r="9288" customFormat="false" ht="15" hidden="false" customHeight="false" outlineLevel="0" collapsed="false">
      <c r="A9288" s="3" t="s">
        <v>332</v>
      </c>
      <c r="G9288" s="16" t="n">
        <f aca="false">G9284*G9287</f>
        <v>29.05</v>
      </c>
      <c r="H9288" s="16" t="n">
        <f aca="false">H9284*H9287</f>
        <v>29.05</v>
      </c>
      <c r="I9288" s="16" t="n">
        <f aca="false">I9284*I9287</f>
        <v>29.05</v>
      </c>
      <c r="J9288" s="16" t="n">
        <f aca="false">J9284*J9287</f>
        <v>29.05</v>
      </c>
      <c r="K9288" s="16" t="n">
        <f aca="false">K9284*K9287</f>
        <v>29.05</v>
      </c>
    </row>
    <row r="9289" customFormat="false" ht="15" hidden="false" customHeight="false" outlineLevel="0" collapsed="false">
      <c r="A9289" s="3" t="s">
        <v>333</v>
      </c>
      <c r="G9289" s="16" t="n">
        <f aca="false">G9284*Assumptions!$H$62</f>
        <v>0</v>
      </c>
      <c r="H9289" s="16" t="n">
        <f aca="false">H9284*Assumptions!$H$62</f>
        <v>0</v>
      </c>
      <c r="I9289" s="16" t="n">
        <f aca="false">I9284*Assumptions!$H$62</f>
        <v>0</v>
      </c>
      <c r="J9289" s="16" t="n">
        <f aca="false">J9284*Assumptions!$H$62</f>
        <v>0</v>
      </c>
      <c r="K9289" s="16" t="n">
        <f aca="false">K9284*Assumptions!$H$62</f>
        <v>0</v>
      </c>
    </row>
    <row r="9290" customFormat="false" ht="15" hidden="false" customHeight="false" outlineLevel="0" collapsed="false">
      <c r="A9290" s="3" t="s">
        <v>334</v>
      </c>
      <c r="G9290" s="16" t="n">
        <f aca="false">MIN(G9284,Assumptions!$L$62*Assumptions!$C$62)</f>
        <v>0</v>
      </c>
      <c r="H9290" s="16" t="n">
        <f aca="false">MIN(H9284,Assumptions!$L$62*Assumptions!$C$62)</f>
        <v>0</v>
      </c>
      <c r="I9290" s="16" t="n">
        <f aca="false">MIN(I9284,Assumptions!$L$62*Assumptions!$C$62)</f>
        <v>0</v>
      </c>
      <c r="J9290" s="16" t="n">
        <f aca="false">MIN(J9284,Assumptions!$L$62*Assumptions!$C$62)</f>
        <v>0</v>
      </c>
      <c r="K9290" s="16" t="n">
        <f aca="false">MIN(K9284,Assumptions!$L$62*Assumptions!$C$62)</f>
        <v>0</v>
      </c>
    </row>
    <row r="9291" customFormat="false" ht="15" hidden="false" customHeight="false" outlineLevel="0" collapsed="false">
      <c r="A9291" s="3" t="s">
        <v>335</v>
      </c>
      <c r="G9291" s="16" t="n">
        <f aca="false">IF(AND(Assumptions!$P$62=1,G9183&lt;Assumptions!$K$62),MIN(MAX(0,-G9399),MAX(0,Assumptions!$D$62-G9284)),0)</f>
        <v>0</v>
      </c>
      <c r="H9291" s="16" t="n">
        <f aca="false">IF(AND(Assumptions!$P$62=1,OR(H9183&lt;Assumptions!$K$62,G9534=1)),MIN(MAX(0,-H9399),MAX(0,Assumptions!$D$62-H9284)),0)</f>
        <v>0</v>
      </c>
      <c r="I9291" s="16" t="n">
        <f aca="false">IF(AND(Assumptions!$P$62=1,OR(I9183&lt;Assumptions!$K$62,H9534=1)),MIN(MAX(0,-I9399),MAX(0,Assumptions!$D$62-I9284)),0)</f>
        <v>0</v>
      </c>
      <c r="J9291" s="16" t="n">
        <f aca="false">IF(AND(Assumptions!$P$62=1,OR(J9183&lt;Assumptions!$K$62,I9534=1)),MIN(MAX(0,-J9399),MAX(0,Assumptions!$D$62-J9284)),0)</f>
        <v>0</v>
      </c>
      <c r="K9291" s="16" t="n">
        <f aca="false">IF(AND(Assumptions!$P$62=1,OR(K9183&lt;Assumptions!$K$62,J9534=1)),MIN(MAX(0,-K9399),MAX(0,Assumptions!$D$62-K9284)),0)</f>
        <v>0</v>
      </c>
    </row>
    <row r="9292" customFormat="false" ht="15" hidden="false" customHeight="false" outlineLevel="0" collapsed="false">
      <c r="A9292" s="3" t="s">
        <v>336</v>
      </c>
      <c r="G9292" s="16" t="n">
        <f aca="false">G9285*MIN(G9284-G9290+G9289,MAX(0,G9401-Assumptions!$C$12*G9217-G9227-G9240-G9253-G9266-G9279))</f>
        <v>0</v>
      </c>
      <c r="H9292" s="16" t="n">
        <f aca="false">H9285*MIN(H9284-H9290+H9289,MAX(0,H9401-Assumptions!$C$12*H9217-H9227-H9240-H9253-H9266-H9279))</f>
        <v>0</v>
      </c>
      <c r="I9292" s="16" t="n">
        <f aca="false">I9285*MIN(I9284-I9290+I9289,MAX(0,I9401-Assumptions!$C$12*I9217-I9227-I9240-I9253-I9266-I9279))</f>
        <v>0</v>
      </c>
      <c r="J9292" s="16" t="n">
        <f aca="false">J9285*MIN(J9284-J9290+J9289,MAX(0,J9401-Assumptions!$C$12*J9217-J9227-J9240-J9253-J9266-J9279))</f>
        <v>0</v>
      </c>
      <c r="K9292" s="16" t="n">
        <f aca="false">K9285*MIN(K9284-K9290+K9289,MAX(0,K9401-Assumptions!$C$12*K9217-K9227-K9240-K9253-K9266-K9279))</f>
        <v>0</v>
      </c>
    </row>
    <row r="9293" customFormat="false" ht="15" hidden="false" customHeight="false" outlineLevel="0" collapsed="false">
      <c r="A9293" s="3" t="s">
        <v>337</v>
      </c>
      <c r="G9293" s="16" t="n">
        <f aca="false">Assumptions!$N$62*MIN(G9284+G9291+G9289-G9290-G9292,MAX(0,G9405-G9228-G9241-G9254-G9267-G9280))</f>
        <v>0</v>
      </c>
      <c r="H9293" s="16" t="n">
        <f aca="false">Assumptions!$N$62*MIN(H9284+H9291+H9289-H9290-H9292,MAX(0,H9405-H9228-H9241-H9254-H9267-H9280))</f>
        <v>0</v>
      </c>
      <c r="I9293" s="16" t="n">
        <f aca="false">Assumptions!$N$62*MIN(I9284+I9291+I9289-I9290-I9292,MAX(0,I9405-I9228-I9241-I9254-I9267-I9280))</f>
        <v>0</v>
      </c>
      <c r="J9293" s="16" t="n">
        <f aca="false">Assumptions!$N$62*MIN(J9284+J9291+J9289-J9290-J9292,MAX(0,J9405-J9228-J9241-J9254-J9267-J9280))</f>
        <v>0</v>
      </c>
      <c r="K9293" s="16" t="n">
        <f aca="false">Assumptions!$N$62*MIN(K9284+K9291+K9289-K9290-K9292,MAX(0,K9405-K9228-K9241-K9254-K9267-K9280))</f>
        <v>0</v>
      </c>
    </row>
    <row r="9294" customFormat="false" ht="15" hidden="false" customHeight="false" outlineLevel="0" collapsed="false">
      <c r="A9294" s="3" t="s">
        <v>338</v>
      </c>
      <c r="G9294" s="16" t="n">
        <f aca="false">G9285*(1-G9217)*(G9284-G9290+G9289-G9292)</f>
        <v>0</v>
      </c>
      <c r="H9294" s="16" t="n">
        <f aca="false">H9285*(1-H9217)*(H9284-H9290+H9289-H9292)</f>
        <v>350</v>
      </c>
      <c r="I9294" s="16" t="n">
        <f aca="false">I9285*(1-I9217)*(I9284-I9290+I9289-I9292)</f>
        <v>0</v>
      </c>
      <c r="J9294" s="16" t="n">
        <f aca="false">J9285*(1-J9217)*(J9284-J9290+J9289-J9292)</f>
        <v>0</v>
      </c>
      <c r="K9294" s="16" t="n">
        <f aca="false">K9285*(1-K9217)*(K9284-K9290+K9289-K9292)</f>
        <v>0</v>
      </c>
    </row>
    <row r="9295" customFormat="false" ht="15" hidden="false" customHeight="false" outlineLevel="0" collapsed="false">
      <c r="A9295" s="2" t="s">
        <v>339</v>
      </c>
      <c r="F9295" s="28" t="n">
        <f aca="false">Assumptions!$C$62</f>
        <v>350</v>
      </c>
      <c r="G9295" s="17" t="n">
        <f aca="false">G9284+G9291+G9289-G9290-G9292-G9293</f>
        <v>350</v>
      </c>
      <c r="H9295" s="17" t="n">
        <f aca="false">H9284+H9291+H9289-H9290-H9292-H9293</f>
        <v>350</v>
      </c>
      <c r="I9295" s="17" t="n">
        <f aca="false">I9284+I9291+I9289-I9290-I9292-I9293</f>
        <v>350</v>
      </c>
      <c r="J9295" s="17" t="n">
        <f aca="false">J9284+J9291+J9289-J9290-J9292-J9293</f>
        <v>350</v>
      </c>
      <c r="K9295" s="17" t="n">
        <f aca="false">K9284+K9291+K9289-K9290-K9292-K9293</f>
        <v>350</v>
      </c>
    </row>
    <row r="9296" customFormat="false" ht="15" hidden="false" customHeight="false" outlineLevel="0" collapsed="false">
      <c r="A9296" s="24" t="s">
        <v>345</v>
      </c>
      <c r="B9296" s="25"/>
      <c r="C9296" s="25"/>
      <c r="D9296" s="25"/>
      <c r="E9296" s="25"/>
      <c r="F9296" s="25"/>
      <c r="G9296" s="25"/>
      <c r="H9296" s="25"/>
      <c r="I9296" s="25"/>
      <c r="J9296" s="25"/>
      <c r="K9296" s="25"/>
    </row>
    <row r="9297" customFormat="false" ht="15" hidden="false" customHeight="false" outlineLevel="0" collapsed="false">
      <c r="A9297" s="3" t="s">
        <v>329</v>
      </c>
      <c r="G9297" s="16" t="n">
        <f aca="false">F9308</f>
        <v>550</v>
      </c>
      <c r="H9297" s="16" t="n">
        <f aca="false">G9308</f>
        <v>550</v>
      </c>
      <c r="I9297" s="16" t="n">
        <f aca="false">H9308</f>
        <v>550</v>
      </c>
      <c r="J9297" s="16" t="n">
        <f aca="false">I9308</f>
        <v>550</v>
      </c>
      <c r="K9297" s="16" t="n">
        <f aca="false">J9308</f>
        <v>550</v>
      </c>
    </row>
    <row r="9298" customFormat="false" ht="15" hidden="false" customHeight="false" outlineLevel="0" collapsed="false">
      <c r="A9298" s="3" t="s">
        <v>330</v>
      </c>
      <c r="G9298" s="21" t="n">
        <f aca="false">IF(G9183=Assumptions!$K$63,1,0)</f>
        <v>0</v>
      </c>
      <c r="H9298" s="21" t="n">
        <f aca="false">IF(H9183=Assumptions!$K$63,1,0)</f>
        <v>0</v>
      </c>
      <c r="I9298" s="21" t="n">
        <f aca="false">IF(I9183=Assumptions!$K$63,1,0)</f>
        <v>1</v>
      </c>
      <c r="J9298" s="21" t="n">
        <f aca="false">IF(J9183=Assumptions!$K$63,1,0)</f>
        <v>0</v>
      </c>
      <c r="K9298" s="21" t="n">
        <f aca="false">IF(K9183=Assumptions!$K$63,1,0)</f>
        <v>0</v>
      </c>
    </row>
    <row r="9300" customFormat="false" ht="15" hidden="false" customHeight="false" outlineLevel="0" collapsed="false">
      <c r="A9300" s="3" t="s">
        <v>331</v>
      </c>
      <c r="G9300" s="31" t="n">
        <f aca="false">IF(Assumptions!$I$63=1,MAX(G9209,Assumptions!$G$63)+Assumptions!$F$63+$C$9210,Assumptions!$E$63)</f>
        <v>0.08875</v>
      </c>
      <c r="H9300" s="31" t="n">
        <f aca="false">IF(G9535=1,$C$9211,IF(Assumptions!$I$63=1,MAX(H9209,Assumptions!$G$63)+Assumptions!$F$63+$C$9210,Assumptions!$E$63))</f>
        <v>0.08875</v>
      </c>
      <c r="I9300" s="31" t="n">
        <f aca="false">IF(H9535=1,$C$9211,IF(Assumptions!$I$63=1,MAX(I9209,Assumptions!$G$63)+Assumptions!$F$63+$C$9210,Assumptions!$E$63))</f>
        <v>0.08875</v>
      </c>
      <c r="J9300" s="31" t="n">
        <f aca="false">IF(I9535=1,$C$9211,IF(Assumptions!$I$63=1,MAX(J9209,Assumptions!$G$63)+Assumptions!$F$63+$C$9210,Assumptions!$E$63))</f>
        <v>0.08875</v>
      </c>
      <c r="K9300" s="31" t="n">
        <f aca="false">IF(J9535=1,$C$9211,IF(Assumptions!$I$63=1,MAX(K9209,Assumptions!$G$63)+Assumptions!$F$63+$C$9210,Assumptions!$E$63))</f>
        <v>0.08875</v>
      </c>
    </row>
    <row r="9301" customFormat="false" ht="15" hidden="false" customHeight="false" outlineLevel="0" collapsed="false">
      <c r="A9301" s="3" t="s">
        <v>332</v>
      </c>
      <c r="G9301" s="16" t="n">
        <f aca="false">G9297*G9300</f>
        <v>48.8125</v>
      </c>
      <c r="H9301" s="16" t="n">
        <f aca="false">H9297*H9300</f>
        <v>48.8125</v>
      </c>
      <c r="I9301" s="16" t="n">
        <f aca="false">I9297*I9300</f>
        <v>48.8125</v>
      </c>
      <c r="J9301" s="16" t="n">
        <f aca="false">J9297*J9300</f>
        <v>48.8125</v>
      </c>
      <c r="K9301" s="16" t="n">
        <f aca="false">K9297*K9300</f>
        <v>48.8125</v>
      </c>
    </row>
    <row r="9302" customFormat="false" ht="15" hidden="false" customHeight="false" outlineLevel="0" collapsed="false">
      <c r="A9302" s="3" t="s">
        <v>333</v>
      </c>
      <c r="G9302" s="16" t="n">
        <f aca="false">G9297*Assumptions!$H$63</f>
        <v>0</v>
      </c>
      <c r="H9302" s="16" t="n">
        <f aca="false">H9297*Assumptions!$H$63</f>
        <v>0</v>
      </c>
      <c r="I9302" s="16" t="n">
        <f aca="false">I9297*Assumptions!$H$63</f>
        <v>0</v>
      </c>
      <c r="J9302" s="16" t="n">
        <f aca="false">J9297*Assumptions!$H$63</f>
        <v>0</v>
      </c>
      <c r="K9302" s="16" t="n">
        <f aca="false">K9297*Assumptions!$H$63</f>
        <v>0</v>
      </c>
    </row>
    <row r="9303" customFormat="false" ht="15" hidden="false" customHeight="false" outlineLevel="0" collapsed="false">
      <c r="A9303" s="3" t="s">
        <v>334</v>
      </c>
      <c r="G9303" s="16" t="n">
        <f aca="false">MIN(G9297,Assumptions!$L$63*Assumptions!$C$63)</f>
        <v>0</v>
      </c>
      <c r="H9303" s="16" t="n">
        <f aca="false">MIN(H9297,Assumptions!$L$63*Assumptions!$C$63)</f>
        <v>0</v>
      </c>
      <c r="I9303" s="16" t="n">
        <f aca="false">MIN(I9297,Assumptions!$L$63*Assumptions!$C$63)</f>
        <v>0</v>
      </c>
      <c r="J9303" s="16" t="n">
        <f aca="false">MIN(J9297,Assumptions!$L$63*Assumptions!$C$63)</f>
        <v>0</v>
      </c>
      <c r="K9303" s="16" t="n">
        <f aca="false">MIN(K9297,Assumptions!$L$63*Assumptions!$C$63)</f>
        <v>0</v>
      </c>
    </row>
    <row r="9304" customFormat="false" ht="15" hidden="false" customHeight="false" outlineLevel="0" collapsed="false">
      <c r="A9304" s="3" t="s">
        <v>335</v>
      </c>
      <c r="G9304" s="16" t="n">
        <f aca="false">IF(AND(Assumptions!$P$63=1,G9183&lt;Assumptions!$K$63),MIN(MAX(0,-G9399),MAX(0,Assumptions!$D$63-G9297)),0)</f>
        <v>0</v>
      </c>
      <c r="H9304" s="16" t="n">
        <f aca="false">IF(AND(Assumptions!$P$63=1,OR(H9183&lt;Assumptions!$K$63,G9535=1)),MIN(MAX(0,-H9399),MAX(0,Assumptions!$D$63-H9297)),0)</f>
        <v>0</v>
      </c>
      <c r="I9304" s="16" t="n">
        <f aca="false">IF(AND(Assumptions!$P$63=1,OR(I9183&lt;Assumptions!$K$63,H9535=1)),MIN(MAX(0,-I9399),MAX(0,Assumptions!$D$63-I9297)),0)</f>
        <v>0</v>
      </c>
      <c r="J9304" s="16" t="n">
        <f aca="false">IF(AND(Assumptions!$P$63=1,OR(J9183&lt;Assumptions!$K$63,I9535=1)),MIN(MAX(0,-J9399),MAX(0,Assumptions!$D$63-J9297)),0)</f>
        <v>0</v>
      </c>
      <c r="K9304" s="16" t="n">
        <f aca="false">IF(AND(Assumptions!$P$63=1,OR(K9183&lt;Assumptions!$K$63,J9535=1)),MIN(MAX(0,-K9399),MAX(0,Assumptions!$D$63-K9297)),0)</f>
        <v>0</v>
      </c>
    </row>
    <row r="9305" customFormat="false" ht="15" hidden="false" customHeight="false" outlineLevel="0" collapsed="false">
      <c r="A9305" s="3" t="s">
        <v>336</v>
      </c>
      <c r="G9305" s="16" t="n">
        <f aca="false">G9298*MIN(G9297-G9303+G9302,MAX(0,G9401-Assumptions!$C$12*G9217-G9227-G9240-G9253-G9266-G9279-G9292))</f>
        <v>0</v>
      </c>
      <c r="H9305" s="16" t="n">
        <f aca="false">H9298*MIN(H9297-H9303+H9302,MAX(0,H9401-Assumptions!$C$12*H9217-H9227-H9240-H9253-H9266-H9279-H9292))</f>
        <v>0</v>
      </c>
      <c r="I9305" s="16" t="n">
        <f aca="false">I9298*MIN(I9297-I9303+I9302,MAX(0,I9401-Assumptions!$C$12*I9217-I9227-I9240-I9253-I9266-I9279-I9292))</f>
        <v>0</v>
      </c>
      <c r="J9305" s="16" t="n">
        <f aca="false">J9298*MIN(J9297-J9303+J9302,MAX(0,J9401-Assumptions!$C$12*J9217-J9227-J9240-J9253-J9266-J9279-J9292))</f>
        <v>0</v>
      </c>
      <c r="K9305" s="16" t="n">
        <f aca="false">K9298*MIN(K9297-K9303+K9302,MAX(0,K9401-Assumptions!$C$12*K9217-K9227-K9240-K9253-K9266-K9279-K9292))</f>
        <v>0</v>
      </c>
    </row>
    <row r="9306" customFormat="false" ht="15" hidden="false" customHeight="false" outlineLevel="0" collapsed="false">
      <c r="A9306" s="3" t="s">
        <v>337</v>
      </c>
      <c r="G9306" s="16" t="n">
        <f aca="false">Assumptions!$N$63*MIN(G9297+G9304+G9302-G9303-G9305,MAX(0,G9405-G9228-G9241-G9254-G9267-G9280-G9293))</f>
        <v>0</v>
      </c>
      <c r="H9306" s="16" t="n">
        <f aca="false">Assumptions!$N$63*MIN(H9297+H9304+H9302-H9303-H9305,MAX(0,H9405-H9228-H9241-H9254-H9267-H9280-H9293))</f>
        <v>0</v>
      </c>
      <c r="I9306" s="16" t="n">
        <f aca="false">Assumptions!$N$63*MIN(I9297+I9304+I9302-I9303-I9305,MAX(0,I9405-I9228-I9241-I9254-I9267-I9280-I9293))</f>
        <v>0</v>
      </c>
      <c r="J9306" s="16" t="n">
        <f aca="false">Assumptions!$N$63*MIN(J9297+J9304+J9302-J9303-J9305,MAX(0,J9405-J9228-J9241-J9254-J9267-J9280-J9293))</f>
        <v>0</v>
      </c>
      <c r="K9306" s="16" t="n">
        <f aca="false">Assumptions!$N$63*MIN(K9297+K9304+K9302-K9303-K9305,MAX(0,K9405-K9228-K9241-K9254-K9267-K9280-K9293))</f>
        <v>0</v>
      </c>
    </row>
    <row r="9307" customFormat="false" ht="15" hidden="false" customHeight="false" outlineLevel="0" collapsed="false">
      <c r="A9307" s="3" t="s">
        <v>338</v>
      </c>
      <c r="G9307" s="16" t="n">
        <f aca="false">G9298*(1-G9217)*(G9297-G9303+G9302-G9305)</f>
        <v>0</v>
      </c>
      <c r="H9307" s="16" t="n">
        <f aca="false">H9298*(1-H9217)*(H9297-H9303+H9302-H9305)</f>
        <v>0</v>
      </c>
      <c r="I9307" s="16" t="n">
        <f aca="false">I9298*(1-I9217)*(I9297-I9303+I9302-I9305)</f>
        <v>550</v>
      </c>
      <c r="J9307" s="16" t="n">
        <f aca="false">J9298*(1-J9217)*(J9297-J9303+J9302-J9305)</f>
        <v>0</v>
      </c>
      <c r="K9307" s="16" t="n">
        <f aca="false">K9298*(1-K9217)*(K9297-K9303+K9302-K9305)</f>
        <v>0</v>
      </c>
    </row>
    <row r="9308" customFormat="false" ht="15" hidden="false" customHeight="false" outlineLevel="0" collapsed="false">
      <c r="A9308" s="2" t="s">
        <v>339</v>
      </c>
      <c r="F9308" s="28" t="n">
        <f aca="false">Assumptions!$C$63</f>
        <v>550</v>
      </c>
      <c r="G9308" s="17" t="n">
        <f aca="false">G9297+G9304+G9302-G9303-G9305-G9306</f>
        <v>550</v>
      </c>
      <c r="H9308" s="17" t="n">
        <f aca="false">H9297+H9304+H9302-H9303-H9305-H9306</f>
        <v>550</v>
      </c>
      <c r="I9308" s="17" t="n">
        <f aca="false">I9297+I9304+I9302-I9303-I9305-I9306</f>
        <v>550</v>
      </c>
      <c r="J9308" s="17" t="n">
        <f aca="false">J9297+J9304+J9302-J9303-J9305-J9306</f>
        <v>550</v>
      </c>
      <c r="K9308" s="17" t="n">
        <f aca="false">K9297+K9304+K9302-K9303-K9305-K9306</f>
        <v>550</v>
      </c>
    </row>
    <row r="9309" customFormat="false" ht="15" hidden="false" customHeight="false" outlineLevel="0" collapsed="false">
      <c r="A9309" s="24" t="s">
        <v>346</v>
      </c>
      <c r="B9309" s="25"/>
      <c r="C9309" s="25"/>
      <c r="D9309" s="25"/>
      <c r="E9309" s="25"/>
      <c r="F9309" s="25"/>
      <c r="G9309" s="25"/>
      <c r="H9309" s="25"/>
      <c r="I9309" s="25"/>
      <c r="J9309" s="25"/>
      <c r="K9309" s="25"/>
    </row>
    <row r="9310" customFormat="false" ht="15" hidden="false" customHeight="false" outlineLevel="0" collapsed="false">
      <c r="A9310" s="3" t="s">
        <v>329</v>
      </c>
      <c r="G9310" s="16" t="n">
        <f aca="false">F9321</f>
        <v>350</v>
      </c>
      <c r="H9310" s="16" t="n">
        <f aca="false">G9321</f>
        <v>350</v>
      </c>
      <c r="I9310" s="16" t="n">
        <f aca="false">H9321</f>
        <v>350</v>
      </c>
      <c r="J9310" s="16" t="n">
        <f aca="false">I9321</f>
        <v>350</v>
      </c>
      <c r="K9310" s="16" t="n">
        <f aca="false">J9321</f>
        <v>350</v>
      </c>
    </row>
    <row r="9311" customFormat="false" ht="15" hidden="false" customHeight="false" outlineLevel="0" collapsed="false">
      <c r="A9311" s="3" t="s">
        <v>330</v>
      </c>
      <c r="G9311" s="21" t="n">
        <f aca="false">IF(G9183=Assumptions!$K$64,1,0)</f>
        <v>0</v>
      </c>
      <c r="H9311" s="21" t="n">
        <f aca="false">IF(H9183=Assumptions!$K$64,1,0)</f>
        <v>0</v>
      </c>
      <c r="I9311" s="21" t="n">
        <f aca="false">IF(I9183=Assumptions!$K$64,1,0)</f>
        <v>0</v>
      </c>
      <c r="J9311" s="21" t="n">
        <f aca="false">IF(J9183=Assumptions!$K$64,1,0)</f>
        <v>1</v>
      </c>
      <c r="K9311" s="21" t="n">
        <f aca="false">IF(K9183=Assumptions!$K$64,1,0)</f>
        <v>0</v>
      </c>
    </row>
    <row r="9313" customFormat="false" ht="15" hidden="false" customHeight="false" outlineLevel="0" collapsed="false">
      <c r="A9313" s="3" t="s">
        <v>331</v>
      </c>
      <c r="G9313" s="31" t="n">
        <f aca="false">IF(Assumptions!$I$64=1,MAX(G9209,Assumptions!$G$64)+Assumptions!$F$64+$C$9210,Assumptions!$E$64)</f>
        <v>0.0455</v>
      </c>
      <c r="H9313" s="31" t="n">
        <f aca="false">IF(G9536=1,$C$9211,IF(Assumptions!$I$64=1,MAX(H9209,Assumptions!$G$64)+Assumptions!$F$64+$C$9210,Assumptions!$E$64))</f>
        <v>0.0455</v>
      </c>
      <c r="I9313" s="31" t="n">
        <f aca="false">IF(H9536=1,$C$9211,IF(Assumptions!$I$64=1,MAX(I9209,Assumptions!$G$64)+Assumptions!$F$64+$C$9210,Assumptions!$E$64))</f>
        <v>0.0455</v>
      </c>
      <c r="J9313" s="31" t="n">
        <f aca="false">IF(I9536=1,$C$9211,IF(Assumptions!$I$64=1,MAX(J9209,Assumptions!$G$64)+Assumptions!$F$64+$C$9210,Assumptions!$E$64))</f>
        <v>0.0455</v>
      </c>
      <c r="K9313" s="31" t="n">
        <f aca="false">IF(J9536=1,$C$9211,IF(Assumptions!$I$64=1,MAX(K9209,Assumptions!$G$64)+Assumptions!$F$64+$C$9210,Assumptions!$E$64))</f>
        <v>0.0455</v>
      </c>
    </row>
    <row r="9314" customFormat="false" ht="15" hidden="false" customHeight="false" outlineLevel="0" collapsed="false">
      <c r="A9314" s="3" t="s">
        <v>332</v>
      </c>
      <c r="G9314" s="16" t="n">
        <f aca="false">G9310*G9313</f>
        <v>15.925</v>
      </c>
      <c r="H9314" s="16" t="n">
        <f aca="false">H9310*H9313</f>
        <v>15.925</v>
      </c>
      <c r="I9314" s="16" t="n">
        <f aca="false">I9310*I9313</f>
        <v>15.925</v>
      </c>
      <c r="J9314" s="16" t="n">
        <f aca="false">J9310*J9313</f>
        <v>15.925</v>
      </c>
      <c r="K9314" s="16" t="n">
        <f aca="false">K9310*K9313</f>
        <v>15.925</v>
      </c>
    </row>
    <row r="9315" customFormat="false" ht="15" hidden="false" customHeight="false" outlineLevel="0" collapsed="false">
      <c r="A9315" s="3" t="s">
        <v>333</v>
      </c>
      <c r="G9315" s="16" t="n">
        <f aca="false">G9310*Assumptions!$H$64</f>
        <v>0</v>
      </c>
      <c r="H9315" s="16" t="n">
        <f aca="false">H9310*Assumptions!$H$64</f>
        <v>0</v>
      </c>
      <c r="I9315" s="16" t="n">
        <f aca="false">I9310*Assumptions!$H$64</f>
        <v>0</v>
      </c>
      <c r="J9315" s="16" t="n">
        <f aca="false">J9310*Assumptions!$H$64</f>
        <v>0</v>
      </c>
      <c r="K9315" s="16" t="n">
        <f aca="false">K9310*Assumptions!$H$64</f>
        <v>0</v>
      </c>
    </row>
    <row r="9316" customFormat="false" ht="15" hidden="false" customHeight="false" outlineLevel="0" collapsed="false">
      <c r="A9316" s="3" t="s">
        <v>334</v>
      </c>
      <c r="G9316" s="16" t="n">
        <f aca="false">MIN(G9310,Assumptions!$L$64*Assumptions!$C$64)</f>
        <v>0</v>
      </c>
      <c r="H9316" s="16" t="n">
        <f aca="false">MIN(H9310,Assumptions!$L$64*Assumptions!$C$64)</f>
        <v>0</v>
      </c>
      <c r="I9316" s="16" t="n">
        <f aca="false">MIN(I9310,Assumptions!$L$64*Assumptions!$C$64)</f>
        <v>0</v>
      </c>
      <c r="J9316" s="16" t="n">
        <f aca="false">MIN(J9310,Assumptions!$L$64*Assumptions!$C$64)</f>
        <v>0</v>
      </c>
      <c r="K9316" s="16" t="n">
        <f aca="false">MIN(K9310,Assumptions!$L$64*Assumptions!$C$64)</f>
        <v>0</v>
      </c>
    </row>
    <row r="9317" customFormat="false" ht="15" hidden="false" customHeight="false" outlineLevel="0" collapsed="false">
      <c r="A9317" s="3" t="s">
        <v>335</v>
      </c>
      <c r="G9317" s="16" t="n">
        <f aca="false">IF(AND(Assumptions!$P$64=1,G9183&lt;Assumptions!$K$64),MIN(MAX(0,-G9399),MAX(0,Assumptions!$D$64-G9310)),0)</f>
        <v>0</v>
      </c>
      <c r="H9317" s="16" t="n">
        <f aca="false">IF(AND(Assumptions!$P$64=1,OR(H9183&lt;Assumptions!$K$64,G9536=1)),MIN(MAX(0,-H9399),MAX(0,Assumptions!$D$64-H9310)),0)</f>
        <v>0</v>
      </c>
      <c r="I9317" s="16" t="n">
        <f aca="false">IF(AND(Assumptions!$P$64=1,OR(I9183&lt;Assumptions!$K$64,H9536=1)),MIN(MAX(0,-I9399),MAX(0,Assumptions!$D$64-I9310)),0)</f>
        <v>0</v>
      </c>
      <c r="J9317" s="16" t="n">
        <f aca="false">IF(AND(Assumptions!$P$64=1,OR(J9183&lt;Assumptions!$K$64,I9536=1)),MIN(MAX(0,-J9399),MAX(0,Assumptions!$D$64-J9310)),0)</f>
        <v>0</v>
      </c>
      <c r="K9317" s="16" t="n">
        <f aca="false">IF(AND(Assumptions!$P$64=1,OR(K9183&lt;Assumptions!$K$64,J9536=1)),MIN(MAX(0,-K9399),MAX(0,Assumptions!$D$64-K9310)),0)</f>
        <v>0</v>
      </c>
    </row>
    <row r="9318" customFormat="false" ht="15" hidden="false" customHeight="false" outlineLevel="0" collapsed="false">
      <c r="A9318" s="3" t="s">
        <v>336</v>
      </c>
      <c r="G9318" s="16" t="n">
        <f aca="false">G9311*MIN(G9310-G9316+G9315,MAX(0,G9401-Assumptions!$C$12*G9217-G9227-G9240-G9253-G9266-G9279-G9292-G9305))</f>
        <v>0</v>
      </c>
      <c r="H9318" s="16" t="n">
        <f aca="false">H9311*MIN(H9310-H9316+H9315,MAX(0,H9401-Assumptions!$C$12*H9217-H9227-H9240-H9253-H9266-H9279-H9292-H9305))</f>
        <v>0</v>
      </c>
      <c r="I9318" s="16" t="n">
        <f aca="false">I9311*MIN(I9310-I9316+I9315,MAX(0,I9401-Assumptions!$C$12*I9217-I9227-I9240-I9253-I9266-I9279-I9292-I9305))</f>
        <v>0</v>
      </c>
      <c r="J9318" s="16" t="n">
        <f aca="false">J9311*MIN(J9310-J9316+J9315,MAX(0,J9401-Assumptions!$C$12*J9217-J9227-J9240-J9253-J9266-J9279-J9292-J9305))</f>
        <v>0</v>
      </c>
      <c r="K9318" s="16" t="n">
        <f aca="false">K9311*MIN(K9310-K9316+K9315,MAX(0,K9401-Assumptions!$C$12*K9217-K9227-K9240-K9253-K9266-K9279-K9292-K9305))</f>
        <v>0</v>
      </c>
    </row>
    <row r="9319" customFormat="false" ht="15" hidden="false" customHeight="false" outlineLevel="0" collapsed="false">
      <c r="A9319" s="3" t="s">
        <v>337</v>
      </c>
      <c r="G9319" s="16" t="n">
        <f aca="false">Assumptions!$N$64*MIN(G9310+G9317+G9315-G9316-G9318,MAX(0,G9405-G9228-G9241-G9254-G9267-G9280-G9293-G9306))</f>
        <v>0</v>
      </c>
      <c r="H9319" s="16" t="n">
        <f aca="false">Assumptions!$N$64*MIN(H9310+H9317+H9315-H9316-H9318,MAX(0,H9405-H9228-H9241-H9254-H9267-H9280-H9293-H9306))</f>
        <v>0</v>
      </c>
      <c r="I9319" s="16" t="n">
        <f aca="false">Assumptions!$N$64*MIN(I9310+I9317+I9315-I9316-I9318,MAX(0,I9405-I9228-I9241-I9254-I9267-I9280-I9293-I9306))</f>
        <v>0</v>
      </c>
      <c r="J9319" s="16" t="n">
        <f aca="false">Assumptions!$N$64*MIN(J9310+J9317+J9315-J9316-J9318,MAX(0,J9405-J9228-J9241-J9254-J9267-J9280-J9293-J9306))</f>
        <v>0</v>
      </c>
      <c r="K9319" s="16" t="n">
        <f aca="false">Assumptions!$N$64*MIN(K9310+K9317+K9315-K9316-K9318,MAX(0,K9405-K9228-K9241-K9254-K9267-K9280-K9293-K9306))</f>
        <v>0</v>
      </c>
    </row>
    <row r="9320" customFormat="false" ht="15" hidden="false" customHeight="false" outlineLevel="0" collapsed="false">
      <c r="A9320" s="3" t="s">
        <v>338</v>
      </c>
      <c r="G9320" s="16" t="n">
        <f aca="false">G9311*(1-G9217)*(G9310-G9316+G9315-G9318)</f>
        <v>0</v>
      </c>
      <c r="H9320" s="16" t="n">
        <f aca="false">H9311*(1-H9217)*(H9310-H9316+H9315-H9318)</f>
        <v>0</v>
      </c>
      <c r="I9320" s="16" t="n">
        <f aca="false">I9311*(1-I9217)*(I9310-I9316+I9315-I9318)</f>
        <v>0</v>
      </c>
      <c r="J9320" s="16" t="n">
        <f aca="false">J9311*(1-J9217)*(J9310-J9316+J9315-J9318)</f>
        <v>350</v>
      </c>
      <c r="K9320" s="16" t="n">
        <f aca="false">K9311*(1-K9217)*(K9310-K9316+K9315-K9318)</f>
        <v>0</v>
      </c>
    </row>
    <row r="9321" customFormat="false" ht="15" hidden="false" customHeight="false" outlineLevel="0" collapsed="false">
      <c r="A9321" s="2" t="s">
        <v>339</v>
      </c>
      <c r="F9321" s="28" t="n">
        <f aca="false">Assumptions!$C$64</f>
        <v>350</v>
      </c>
      <c r="G9321" s="17" t="n">
        <f aca="false">G9310+G9317+G9315-G9316-G9318-G9319</f>
        <v>350</v>
      </c>
      <c r="H9321" s="17" t="n">
        <f aca="false">H9310+H9317+H9315-H9316-H9318-H9319</f>
        <v>350</v>
      </c>
      <c r="I9321" s="17" t="n">
        <f aca="false">I9310+I9317+I9315-I9316-I9318-I9319</f>
        <v>350</v>
      </c>
      <c r="J9321" s="17" t="n">
        <f aca="false">J9310+J9317+J9315-J9316-J9318-J9319</f>
        <v>350</v>
      </c>
      <c r="K9321" s="17" t="n">
        <f aca="false">K9310+K9317+K9315-K9316-K9318-K9319</f>
        <v>350</v>
      </c>
    </row>
    <row r="9322" customFormat="false" ht="15" hidden="false" customHeight="false" outlineLevel="0" collapsed="false">
      <c r="A9322" s="24" t="s">
        <v>347</v>
      </c>
      <c r="B9322" s="25"/>
      <c r="C9322" s="25"/>
      <c r="D9322" s="25"/>
      <c r="E9322" s="25"/>
      <c r="F9322" s="25"/>
      <c r="G9322" s="25"/>
      <c r="H9322" s="25"/>
      <c r="I9322" s="25"/>
      <c r="J9322" s="25"/>
      <c r="K9322" s="25"/>
    </row>
    <row r="9323" customFormat="false" ht="15" hidden="false" customHeight="false" outlineLevel="0" collapsed="false">
      <c r="A9323" s="3" t="s">
        <v>329</v>
      </c>
      <c r="G9323" s="16" t="n">
        <f aca="false">F9334</f>
        <v>300</v>
      </c>
      <c r="H9323" s="16" t="n">
        <f aca="false">G9334</f>
        <v>300</v>
      </c>
      <c r="I9323" s="16" t="n">
        <f aca="false">H9334</f>
        <v>300</v>
      </c>
      <c r="J9323" s="16" t="n">
        <f aca="false">I9334</f>
        <v>300</v>
      </c>
      <c r="K9323" s="16" t="n">
        <f aca="false">J9334</f>
        <v>300</v>
      </c>
    </row>
    <row r="9324" customFormat="false" ht="15" hidden="false" customHeight="false" outlineLevel="0" collapsed="false">
      <c r="A9324" s="3" t="s">
        <v>330</v>
      </c>
      <c r="G9324" s="21" t="n">
        <f aca="false">IF(G9183=Assumptions!$K$65,1,0)</f>
        <v>0</v>
      </c>
      <c r="H9324" s="21" t="n">
        <f aca="false">IF(H9183=Assumptions!$K$65,1,0)</f>
        <v>0</v>
      </c>
      <c r="I9324" s="21" t="n">
        <f aca="false">IF(I9183=Assumptions!$K$65,1,0)</f>
        <v>0</v>
      </c>
      <c r="J9324" s="21" t="n">
        <f aca="false">IF(J9183=Assumptions!$K$65,1,0)</f>
        <v>0</v>
      </c>
      <c r="K9324" s="21" t="n">
        <f aca="false">IF(K9183=Assumptions!$K$65,1,0)</f>
        <v>1</v>
      </c>
    </row>
    <row r="9326" customFormat="false" ht="15" hidden="false" customHeight="false" outlineLevel="0" collapsed="false">
      <c r="A9326" s="3" t="s">
        <v>331</v>
      </c>
      <c r="G9326" s="31" t="n">
        <f aca="false">IF(Assumptions!$I$65=1,MAX(G9209,Assumptions!$G$65)+Assumptions!$F$65+$C$9210,Assumptions!$E$65)</f>
        <v>0.06125</v>
      </c>
      <c r="H9326" s="31" t="n">
        <f aca="false">IF(G9537=1,$C$9211,IF(Assumptions!$I$65=1,MAX(H9209,Assumptions!$G$65)+Assumptions!$F$65+$C$9210,Assumptions!$E$65))</f>
        <v>0.06125</v>
      </c>
      <c r="I9326" s="31" t="n">
        <f aca="false">IF(H9537=1,$C$9211,IF(Assumptions!$I$65=1,MAX(I9209,Assumptions!$G$65)+Assumptions!$F$65+$C$9210,Assumptions!$E$65))</f>
        <v>0.06125</v>
      </c>
      <c r="J9326" s="31" t="n">
        <f aca="false">IF(I9537=1,$C$9211,IF(Assumptions!$I$65=1,MAX(J9209,Assumptions!$G$65)+Assumptions!$F$65+$C$9210,Assumptions!$E$65))</f>
        <v>0.06125</v>
      </c>
      <c r="K9326" s="31" t="n">
        <f aca="false">IF(J9537=1,$C$9211,IF(Assumptions!$I$65=1,MAX(K9209,Assumptions!$G$65)+Assumptions!$F$65+$C$9210,Assumptions!$E$65))</f>
        <v>0.06125</v>
      </c>
    </row>
    <row r="9327" customFormat="false" ht="15" hidden="false" customHeight="false" outlineLevel="0" collapsed="false">
      <c r="A9327" s="3" t="s">
        <v>332</v>
      </c>
      <c r="G9327" s="16" t="n">
        <f aca="false">G9323*G9326</f>
        <v>18.375</v>
      </c>
      <c r="H9327" s="16" t="n">
        <f aca="false">H9323*H9326</f>
        <v>18.375</v>
      </c>
      <c r="I9327" s="16" t="n">
        <f aca="false">I9323*I9326</f>
        <v>18.375</v>
      </c>
      <c r="J9327" s="16" t="n">
        <f aca="false">J9323*J9326</f>
        <v>18.375</v>
      </c>
      <c r="K9327" s="16" t="n">
        <f aca="false">K9323*K9326</f>
        <v>18.375</v>
      </c>
    </row>
    <row r="9328" customFormat="false" ht="15" hidden="false" customHeight="false" outlineLevel="0" collapsed="false">
      <c r="A9328" s="3" t="s">
        <v>333</v>
      </c>
      <c r="G9328" s="16" t="n">
        <f aca="false">G9323*Assumptions!$H$65</f>
        <v>0</v>
      </c>
      <c r="H9328" s="16" t="n">
        <f aca="false">H9323*Assumptions!$H$65</f>
        <v>0</v>
      </c>
      <c r="I9328" s="16" t="n">
        <f aca="false">I9323*Assumptions!$H$65</f>
        <v>0</v>
      </c>
      <c r="J9328" s="16" t="n">
        <f aca="false">J9323*Assumptions!$H$65</f>
        <v>0</v>
      </c>
      <c r="K9328" s="16" t="n">
        <f aca="false">K9323*Assumptions!$H$65</f>
        <v>0</v>
      </c>
    </row>
    <row r="9329" customFormat="false" ht="15" hidden="false" customHeight="false" outlineLevel="0" collapsed="false">
      <c r="A9329" s="3" t="s">
        <v>334</v>
      </c>
      <c r="G9329" s="16" t="n">
        <f aca="false">MIN(G9323,Assumptions!$L$65*Assumptions!$C$65)</f>
        <v>0</v>
      </c>
      <c r="H9329" s="16" t="n">
        <f aca="false">MIN(H9323,Assumptions!$L$65*Assumptions!$C$65)</f>
        <v>0</v>
      </c>
      <c r="I9329" s="16" t="n">
        <f aca="false">MIN(I9323,Assumptions!$L$65*Assumptions!$C$65)</f>
        <v>0</v>
      </c>
      <c r="J9329" s="16" t="n">
        <f aca="false">MIN(J9323,Assumptions!$L$65*Assumptions!$C$65)</f>
        <v>0</v>
      </c>
      <c r="K9329" s="16" t="n">
        <f aca="false">MIN(K9323,Assumptions!$L$65*Assumptions!$C$65)</f>
        <v>0</v>
      </c>
    </row>
    <row r="9330" customFormat="false" ht="15" hidden="false" customHeight="false" outlineLevel="0" collapsed="false">
      <c r="A9330" s="3" t="s">
        <v>335</v>
      </c>
      <c r="G9330" s="16" t="n">
        <f aca="false">IF(AND(Assumptions!$P$65=1,G9183&lt;Assumptions!$K$65),MIN(MAX(0,-G9399),MAX(0,Assumptions!$D$65-G9323)),0)</f>
        <v>0</v>
      </c>
      <c r="H9330" s="16" t="n">
        <f aca="false">IF(AND(Assumptions!$P$65=1,OR(H9183&lt;Assumptions!$K$65,G9537=1)),MIN(MAX(0,-H9399),MAX(0,Assumptions!$D$65-H9323)),0)</f>
        <v>0</v>
      </c>
      <c r="I9330" s="16" t="n">
        <f aca="false">IF(AND(Assumptions!$P$65=1,OR(I9183&lt;Assumptions!$K$65,H9537=1)),MIN(MAX(0,-I9399),MAX(0,Assumptions!$D$65-I9323)),0)</f>
        <v>0</v>
      </c>
      <c r="J9330" s="16" t="n">
        <f aca="false">IF(AND(Assumptions!$P$65=1,OR(J9183&lt;Assumptions!$K$65,I9537=1)),MIN(MAX(0,-J9399),MAX(0,Assumptions!$D$65-J9323)),0)</f>
        <v>0</v>
      </c>
      <c r="K9330" s="16" t="n">
        <f aca="false">IF(AND(Assumptions!$P$65=1,OR(K9183&lt;Assumptions!$K$65,J9537=1)),MIN(MAX(0,-K9399),MAX(0,Assumptions!$D$65-K9323)),0)</f>
        <v>0</v>
      </c>
    </row>
    <row r="9331" customFormat="false" ht="15" hidden="false" customHeight="false" outlineLevel="0" collapsed="false">
      <c r="A9331" s="3" t="s">
        <v>336</v>
      </c>
      <c r="G9331" s="16" t="n">
        <f aca="false">G9324*MIN(G9323-G9329+G9328,MAX(0,G9401-Assumptions!$C$12*G9217-G9227-G9240-G9253-G9266-G9279-G9292-G9305-G9318))</f>
        <v>0</v>
      </c>
      <c r="H9331" s="16" t="n">
        <f aca="false">H9324*MIN(H9323-H9329+H9328,MAX(0,H9401-Assumptions!$C$12*H9217-H9227-H9240-H9253-H9266-H9279-H9292-H9305-H9318))</f>
        <v>0</v>
      </c>
      <c r="I9331" s="16" t="n">
        <f aca="false">I9324*MIN(I9323-I9329+I9328,MAX(0,I9401-Assumptions!$C$12*I9217-I9227-I9240-I9253-I9266-I9279-I9292-I9305-I9318))</f>
        <v>0</v>
      </c>
      <c r="J9331" s="16" t="n">
        <f aca="false">J9324*MIN(J9323-J9329+J9328,MAX(0,J9401-Assumptions!$C$12*J9217-J9227-J9240-J9253-J9266-J9279-J9292-J9305-J9318))</f>
        <v>0</v>
      </c>
      <c r="K9331" s="16" t="n">
        <f aca="false">K9324*MIN(K9323-K9329+K9328,MAX(0,K9401-Assumptions!$C$12*K9217-K9227-K9240-K9253-K9266-K9279-K9292-K9305-K9318))</f>
        <v>0</v>
      </c>
    </row>
    <row r="9332" customFormat="false" ht="15" hidden="false" customHeight="false" outlineLevel="0" collapsed="false">
      <c r="A9332" s="3" t="s">
        <v>337</v>
      </c>
      <c r="G9332" s="16" t="n">
        <f aca="false">Assumptions!$N$65*MIN(G9323+G9330+G9328-G9329-G9331,MAX(0,G9405-G9228-G9241-G9254-G9267-G9280-G9293-G9306-G9319))</f>
        <v>0</v>
      </c>
      <c r="H9332" s="16" t="n">
        <f aca="false">Assumptions!$N$65*MIN(H9323+H9330+H9328-H9329-H9331,MAX(0,H9405-H9228-H9241-H9254-H9267-H9280-H9293-H9306-H9319))</f>
        <v>0</v>
      </c>
      <c r="I9332" s="16" t="n">
        <f aca="false">Assumptions!$N$65*MIN(I9323+I9330+I9328-I9329-I9331,MAX(0,I9405-I9228-I9241-I9254-I9267-I9280-I9293-I9306-I9319))</f>
        <v>0</v>
      </c>
      <c r="J9332" s="16" t="n">
        <f aca="false">Assumptions!$N$65*MIN(J9323+J9330+J9328-J9329-J9331,MAX(0,J9405-J9228-J9241-J9254-J9267-J9280-J9293-J9306-J9319))</f>
        <v>0</v>
      </c>
      <c r="K9332" s="16" t="n">
        <f aca="false">Assumptions!$N$65*MIN(K9323+K9330+K9328-K9329-K9331,MAX(0,K9405-K9228-K9241-K9254-K9267-K9280-K9293-K9306-K9319))</f>
        <v>0</v>
      </c>
    </row>
    <row r="9333" customFormat="false" ht="15" hidden="false" customHeight="false" outlineLevel="0" collapsed="false">
      <c r="A9333" s="3" t="s">
        <v>338</v>
      </c>
      <c r="G9333" s="16" t="n">
        <f aca="false">G9324*(1-G9217)*(G9323-G9329+G9328-G9331)</f>
        <v>0</v>
      </c>
      <c r="H9333" s="16" t="n">
        <f aca="false">H9324*(1-H9217)*(H9323-H9329+H9328-H9331)</f>
        <v>0</v>
      </c>
      <c r="I9333" s="16" t="n">
        <f aca="false">I9324*(1-I9217)*(I9323-I9329+I9328-I9331)</f>
        <v>0</v>
      </c>
      <c r="J9333" s="16" t="n">
        <f aca="false">J9324*(1-J9217)*(J9323-J9329+J9328-J9331)</f>
        <v>0</v>
      </c>
      <c r="K9333" s="16" t="n">
        <f aca="false">K9324*(1-K9217)*(K9323-K9329+K9328-K9331)</f>
        <v>300</v>
      </c>
    </row>
    <row r="9334" customFormat="false" ht="15" hidden="false" customHeight="false" outlineLevel="0" collapsed="false">
      <c r="A9334" s="2" t="s">
        <v>339</v>
      </c>
      <c r="F9334" s="28" t="n">
        <f aca="false">Assumptions!$C$65</f>
        <v>300</v>
      </c>
      <c r="G9334" s="17" t="n">
        <f aca="false">G9323+G9330+G9328-G9329-G9331-G9332</f>
        <v>300</v>
      </c>
      <c r="H9334" s="17" t="n">
        <f aca="false">H9323+H9330+H9328-H9329-H9331-H9332</f>
        <v>300</v>
      </c>
      <c r="I9334" s="17" t="n">
        <f aca="false">I9323+I9330+I9328-I9329-I9331-I9332</f>
        <v>300</v>
      </c>
      <c r="J9334" s="17" t="n">
        <f aca="false">J9323+J9330+J9328-J9329-J9331-J9332</f>
        <v>300</v>
      </c>
      <c r="K9334" s="17" t="n">
        <f aca="false">K9323+K9330+K9328-K9329-K9331-K9332</f>
        <v>300</v>
      </c>
    </row>
    <row r="9335" customFormat="false" ht="15" hidden="false" customHeight="false" outlineLevel="0" collapsed="false">
      <c r="A9335" s="24" t="s">
        <v>348</v>
      </c>
      <c r="B9335" s="25"/>
      <c r="C9335" s="25"/>
      <c r="D9335" s="25"/>
      <c r="E9335" s="25"/>
      <c r="F9335" s="25"/>
      <c r="G9335" s="25"/>
      <c r="H9335" s="25"/>
      <c r="I9335" s="25"/>
      <c r="J9335" s="25"/>
      <c r="K9335" s="25"/>
    </row>
    <row r="9336" customFormat="false" ht="15" hidden="false" customHeight="false" outlineLevel="0" collapsed="false">
      <c r="A9336" s="3" t="s">
        <v>329</v>
      </c>
      <c r="G9336" s="16" t="n">
        <f aca="false">F9347</f>
        <v>78.61</v>
      </c>
      <c r="H9336" s="16" t="n">
        <f aca="false">G9347</f>
        <v>78.61</v>
      </c>
      <c r="I9336" s="16" t="n">
        <f aca="false">H9347</f>
        <v>78.61</v>
      </c>
      <c r="J9336" s="16" t="n">
        <f aca="false">I9347</f>
        <v>78.61</v>
      </c>
      <c r="K9336" s="16" t="n">
        <f aca="false">J9347</f>
        <v>78.61</v>
      </c>
    </row>
    <row r="9337" customFormat="false" ht="15" hidden="false" customHeight="false" outlineLevel="0" collapsed="false">
      <c r="A9337" s="3" t="s">
        <v>330</v>
      </c>
      <c r="G9337" s="21" t="n">
        <f aca="false">IF(G9183=Assumptions!$K$66,1,0)</f>
        <v>0</v>
      </c>
      <c r="H9337" s="21" t="n">
        <f aca="false">IF(H9183=Assumptions!$K$66,1,0)</f>
        <v>0</v>
      </c>
      <c r="I9337" s="21" t="n">
        <f aca="false">IF(I9183=Assumptions!$K$66,1,0)</f>
        <v>0</v>
      </c>
      <c r="J9337" s="21" t="n">
        <f aca="false">IF(J9183=Assumptions!$K$66,1,0)</f>
        <v>0</v>
      </c>
      <c r="K9337" s="21" t="n">
        <f aca="false">IF(K9183=Assumptions!$K$66,1,0)</f>
        <v>0</v>
      </c>
    </row>
    <row r="9339" customFormat="false" ht="15" hidden="false" customHeight="false" outlineLevel="0" collapsed="false">
      <c r="A9339" s="3" t="s">
        <v>331</v>
      </c>
      <c r="G9339" s="31" t="n">
        <f aca="false">IF(Assumptions!$I$66=1,MAX(G9209,Assumptions!$G$66)+Assumptions!$F$66+$C$9210,Assumptions!$E$66)</f>
        <v>0.0841</v>
      </c>
      <c r="H9339" s="31" t="n">
        <f aca="false">IF(G9538=1,$C$9211,IF(Assumptions!$I$66=1,MAX(H9209,Assumptions!$G$66)+Assumptions!$F$66+$C$9210,Assumptions!$E$66))</f>
        <v>0.0826</v>
      </c>
      <c r="I9339" s="31" t="n">
        <f aca="false">IF(H9538=1,$C$9211,IF(Assumptions!$I$66=1,MAX(I9209,Assumptions!$G$66)+Assumptions!$F$66+$C$9210,Assumptions!$E$66))</f>
        <v>0.0801</v>
      </c>
      <c r="J9339" s="31" t="n">
        <f aca="false">IF(I9538=1,$C$9211,IF(Assumptions!$I$66=1,MAX(J9209,Assumptions!$G$66)+Assumptions!$F$66+$C$9210,Assumptions!$E$66))</f>
        <v>0.0801</v>
      </c>
      <c r="K9339" s="31" t="n">
        <f aca="false">IF(J9538=1,$C$9211,IF(Assumptions!$I$66=1,MAX(K9209,Assumptions!$G$66)+Assumptions!$F$66+$C$9210,Assumptions!$E$66))</f>
        <v>0.0801</v>
      </c>
    </row>
    <row r="9340" customFormat="false" ht="15" hidden="false" customHeight="false" outlineLevel="0" collapsed="false">
      <c r="A9340" s="3" t="s">
        <v>332</v>
      </c>
      <c r="G9340" s="16" t="n">
        <f aca="false">G9336*G9339</f>
        <v>6.611101</v>
      </c>
      <c r="H9340" s="16" t="n">
        <f aca="false">H9336*H9339</f>
        <v>6.493186</v>
      </c>
      <c r="I9340" s="16" t="n">
        <f aca="false">I9336*I9339</f>
        <v>6.296661</v>
      </c>
      <c r="J9340" s="16" t="n">
        <f aca="false">J9336*J9339</f>
        <v>6.296661</v>
      </c>
      <c r="K9340" s="16" t="n">
        <f aca="false">K9336*K9339</f>
        <v>6.296661</v>
      </c>
    </row>
    <row r="9341" customFormat="false" ht="15" hidden="false" customHeight="false" outlineLevel="0" collapsed="false">
      <c r="A9341" s="3" t="s">
        <v>333</v>
      </c>
      <c r="G9341" s="16" t="n">
        <f aca="false">G9336*Assumptions!$H$66</f>
        <v>0</v>
      </c>
      <c r="H9341" s="16" t="n">
        <f aca="false">H9336*Assumptions!$H$66</f>
        <v>0</v>
      </c>
      <c r="I9341" s="16" t="n">
        <f aca="false">I9336*Assumptions!$H$66</f>
        <v>0</v>
      </c>
      <c r="J9341" s="16" t="n">
        <f aca="false">J9336*Assumptions!$H$66</f>
        <v>0</v>
      </c>
      <c r="K9341" s="16" t="n">
        <f aca="false">K9336*Assumptions!$H$66</f>
        <v>0</v>
      </c>
    </row>
    <row r="9342" customFormat="false" ht="15" hidden="false" customHeight="false" outlineLevel="0" collapsed="false">
      <c r="A9342" s="3" t="s">
        <v>334</v>
      </c>
      <c r="G9342" s="16" t="n">
        <f aca="false">MIN(G9336,Assumptions!$L$66*Assumptions!$C$66)</f>
        <v>0</v>
      </c>
      <c r="H9342" s="16" t="n">
        <f aca="false">MIN(H9336,Assumptions!$L$66*Assumptions!$C$66)</f>
        <v>0</v>
      </c>
      <c r="I9342" s="16" t="n">
        <f aca="false">MIN(I9336,Assumptions!$L$66*Assumptions!$C$66)</f>
        <v>0</v>
      </c>
      <c r="J9342" s="16" t="n">
        <f aca="false">MIN(J9336,Assumptions!$L$66*Assumptions!$C$66)</f>
        <v>0</v>
      </c>
      <c r="K9342" s="16" t="n">
        <f aca="false">MIN(K9336,Assumptions!$L$66*Assumptions!$C$66)</f>
        <v>0</v>
      </c>
    </row>
    <row r="9343" customFormat="false" ht="15" hidden="false" customHeight="false" outlineLevel="0" collapsed="false">
      <c r="A9343" s="3" t="s">
        <v>335</v>
      </c>
      <c r="G9343" s="16" t="n">
        <f aca="false">IF(AND(Assumptions!$P$66=1,G9183&lt;Assumptions!$K$66),MIN(MAX(0,-G9399),MAX(0,Assumptions!$D$66-G9336)),0)</f>
        <v>0</v>
      </c>
      <c r="H9343" s="16" t="n">
        <f aca="false">IF(AND(Assumptions!$P$66=1,OR(H9183&lt;Assumptions!$K$66,G9538=1)),MIN(MAX(0,-H9399),MAX(0,Assumptions!$D$66-H9336)),0)</f>
        <v>0</v>
      </c>
      <c r="I9343" s="16" t="n">
        <f aca="false">IF(AND(Assumptions!$P$66=1,OR(I9183&lt;Assumptions!$K$66,H9538=1)),MIN(MAX(0,-I9399),MAX(0,Assumptions!$D$66-I9336)),0)</f>
        <v>0</v>
      </c>
      <c r="J9343" s="16" t="n">
        <f aca="false">IF(AND(Assumptions!$P$66=1,OR(J9183&lt;Assumptions!$K$66,I9538=1)),MIN(MAX(0,-J9399),MAX(0,Assumptions!$D$66-J9336)),0)</f>
        <v>0</v>
      </c>
      <c r="K9343" s="16" t="n">
        <f aca="false">IF(AND(Assumptions!$P$66=1,OR(K9183&lt;Assumptions!$K$66,J9538=1)),MIN(MAX(0,-K9399),MAX(0,Assumptions!$D$66-K9336)),0)</f>
        <v>0</v>
      </c>
    </row>
    <row r="9344" customFormat="false" ht="15" hidden="false" customHeight="false" outlineLevel="0" collapsed="false">
      <c r="A9344" s="3" t="s">
        <v>336</v>
      </c>
      <c r="G9344" s="16" t="n">
        <f aca="false">G9337*MIN(G9336-G9342+G9341,MAX(0,G9401-Assumptions!$C$12*G9217-G9227-G9240-G9253-G9266-G9279-G9292-G9305-G9318-G9331))</f>
        <v>0</v>
      </c>
      <c r="H9344" s="16" t="n">
        <f aca="false">H9337*MIN(H9336-H9342+H9341,MAX(0,H9401-Assumptions!$C$12*H9217-H9227-H9240-H9253-H9266-H9279-H9292-H9305-H9318-H9331))</f>
        <v>0</v>
      </c>
      <c r="I9344" s="16" t="n">
        <f aca="false">I9337*MIN(I9336-I9342+I9341,MAX(0,I9401-Assumptions!$C$12*I9217-I9227-I9240-I9253-I9266-I9279-I9292-I9305-I9318-I9331))</f>
        <v>0</v>
      </c>
      <c r="J9344" s="16" t="n">
        <f aca="false">J9337*MIN(J9336-J9342+J9341,MAX(0,J9401-Assumptions!$C$12*J9217-J9227-J9240-J9253-J9266-J9279-J9292-J9305-J9318-J9331))</f>
        <v>0</v>
      </c>
      <c r="K9344" s="16" t="n">
        <f aca="false">K9337*MIN(K9336-K9342+K9341,MAX(0,K9401-Assumptions!$C$12*K9217-K9227-K9240-K9253-K9266-K9279-K9292-K9305-K9318-K9331))</f>
        <v>0</v>
      </c>
    </row>
    <row r="9345" customFormat="false" ht="15" hidden="false" customHeight="false" outlineLevel="0" collapsed="false">
      <c r="A9345" s="3" t="s">
        <v>337</v>
      </c>
      <c r="G9345" s="16" t="n">
        <f aca="false">Assumptions!$N$66*MIN(G9336+G9343+G9341-G9342-G9344,MAX(0,G9405-G9228-G9241-G9254-G9267-G9280-G9293-G9306-G9319-G9332))</f>
        <v>0</v>
      </c>
      <c r="H9345" s="16" t="n">
        <f aca="false">Assumptions!$N$66*MIN(H9336+H9343+H9341-H9342-H9344,MAX(0,H9405-H9228-H9241-H9254-H9267-H9280-H9293-H9306-H9319-H9332))</f>
        <v>0</v>
      </c>
      <c r="I9345" s="16" t="n">
        <f aca="false">Assumptions!$N$66*MIN(I9336+I9343+I9341-I9342-I9344,MAX(0,I9405-I9228-I9241-I9254-I9267-I9280-I9293-I9306-I9319-I9332))</f>
        <v>0</v>
      </c>
      <c r="J9345" s="16" t="n">
        <f aca="false">Assumptions!$N$66*MIN(J9336+J9343+J9341-J9342-J9344,MAX(0,J9405-J9228-J9241-J9254-J9267-J9280-J9293-J9306-J9319-J9332))</f>
        <v>0</v>
      </c>
      <c r="K9345" s="16" t="n">
        <f aca="false">Assumptions!$N$66*MIN(K9336+K9343+K9341-K9342-K9344,MAX(0,K9405-K9228-K9241-K9254-K9267-K9280-K9293-K9306-K9319-K9332))</f>
        <v>0</v>
      </c>
    </row>
    <row r="9346" customFormat="false" ht="15" hidden="false" customHeight="false" outlineLevel="0" collapsed="false">
      <c r="A9346" s="3" t="s">
        <v>338</v>
      </c>
      <c r="G9346" s="16" t="n">
        <f aca="false">G9337*(1-G9217)*(G9336-G9342+G9341-G9344)</f>
        <v>0</v>
      </c>
      <c r="H9346" s="16" t="n">
        <f aca="false">H9337*(1-H9217)*(H9336-H9342+H9341-H9344)</f>
        <v>0</v>
      </c>
      <c r="I9346" s="16" t="n">
        <f aca="false">I9337*(1-I9217)*(I9336-I9342+I9341-I9344)</f>
        <v>0</v>
      </c>
      <c r="J9346" s="16" t="n">
        <f aca="false">J9337*(1-J9217)*(J9336-J9342+J9341-J9344)</f>
        <v>0</v>
      </c>
      <c r="K9346" s="16" t="n">
        <f aca="false">K9337*(1-K9217)*(K9336-K9342+K9341-K9344)</f>
        <v>0</v>
      </c>
    </row>
    <row r="9347" customFormat="false" ht="15" hidden="false" customHeight="false" outlineLevel="0" collapsed="false">
      <c r="A9347" s="2" t="s">
        <v>339</v>
      </c>
      <c r="F9347" s="28" t="n">
        <f aca="false">Assumptions!$C$66</f>
        <v>78.61</v>
      </c>
      <c r="G9347" s="17" t="n">
        <f aca="false">G9336+G9343+G9341-G9342-G9344-G9345</f>
        <v>78.61</v>
      </c>
      <c r="H9347" s="17" t="n">
        <f aca="false">H9336+H9343+H9341-H9342-H9344-H9345</f>
        <v>78.61</v>
      </c>
      <c r="I9347" s="17" t="n">
        <f aca="false">I9336+I9343+I9341-I9342-I9344-I9345</f>
        <v>78.61</v>
      </c>
      <c r="J9347" s="17" t="n">
        <f aca="false">J9336+J9343+J9341-J9342-J9344-J9345</f>
        <v>78.61</v>
      </c>
      <c r="K9347" s="17" t="n">
        <f aca="false">K9336+K9343+K9341-K9342-K9344-K9345</f>
        <v>78.61</v>
      </c>
    </row>
    <row r="9348" customFormat="false" ht="15" hidden="false" customHeight="false" outlineLevel="0" collapsed="false">
      <c r="A9348" s="24" t="s">
        <v>349</v>
      </c>
      <c r="B9348" s="25"/>
      <c r="C9348" s="25"/>
      <c r="D9348" s="25"/>
      <c r="E9348" s="25"/>
      <c r="F9348" s="25"/>
      <c r="G9348" s="25"/>
      <c r="H9348" s="25"/>
      <c r="I9348" s="25"/>
      <c r="J9348" s="25"/>
      <c r="K9348" s="25"/>
    </row>
    <row r="9349" customFormat="false" ht="15" hidden="false" customHeight="false" outlineLevel="0" collapsed="false">
      <c r="A9349" s="2" t="s">
        <v>350</v>
      </c>
      <c r="F9349" s="17" t="n">
        <f aca="false">F9230+F9243+F9256+F9269+F9282+F9295+F9308+F9321+F9334+F9347</f>
        <v>2625.934</v>
      </c>
      <c r="G9349" s="17" t="n">
        <f aca="false">G9230+G9243+G9256+G9269+G9282+G9295+G9308+G9321+G9334+G9347</f>
        <v>2621.934</v>
      </c>
      <c r="H9349" s="17" t="n">
        <f aca="false">H9230+H9243+H9256+H9269+H9282+H9295+H9308+H9321+H9334+H9347</f>
        <v>2617.934</v>
      </c>
      <c r="I9349" s="17" t="n">
        <f aca="false">I9230+I9243+I9256+I9269+I9282+I9295+I9308+I9321+I9334+I9347</f>
        <v>2613.934</v>
      </c>
      <c r="J9349" s="17" t="n">
        <f aca="false">J9230+J9243+J9256+J9269+J9282+J9295+J9308+J9321+J9334+J9347</f>
        <v>2609.934</v>
      </c>
      <c r="K9349" s="17" t="n">
        <f aca="false">K9230+K9243+K9256+K9269+K9282+K9295+K9308+K9321+K9334+K9347</f>
        <v>2605.934</v>
      </c>
    </row>
    <row r="9350" customFormat="false" ht="15" hidden="false" customHeight="false" outlineLevel="0" collapsed="false">
      <c r="A9350" s="3" t="s">
        <v>351</v>
      </c>
      <c r="G9350" s="16" t="n">
        <f aca="false">G9220*Assumptions!$C$57+G9233*Assumptions!$C$58+G9246*Assumptions!$C$59+G9259*Assumptions!$C$60+G9272*Assumptions!$C$61+G9285*Assumptions!$C$62+G9298*Assumptions!$C$63+G9311*Assumptions!$C$64+G9324*Assumptions!$C$65+G9337*Assumptions!$C$66</f>
        <v>0</v>
      </c>
      <c r="H9350" s="16" t="n">
        <f aca="false">H9220*Assumptions!$C$57+H9233*Assumptions!$C$58+H9246*Assumptions!$C$59+H9259*Assumptions!$C$60+H9272*Assumptions!$C$61+H9285*Assumptions!$C$62+H9298*Assumptions!$C$63+H9311*Assumptions!$C$64+H9324*Assumptions!$C$65+H9337*Assumptions!$C$66</f>
        <v>800</v>
      </c>
      <c r="I9350" s="16" t="n">
        <f aca="false">I9220*Assumptions!$C$57+I9233*Assumptions!$C$58+I9246*Assumptions!$C$59+I9259*Assumptions!$C$60+I9272*Assumptions!$C$61+I9285*Assumptions!$C$62+I9298*Assumptions!$C$63+I9311*Assumptions!$C$64+I9324*Assumptions!$C$65+I9337*Assumptions!$C$66</f>
        <v>550</v>
      </c>
      <c r="J9350" s="16" t="n">
        <f aca="false">J9220*Assumptions!$C$57+J9233*Assumptions!$C$58+J9246*Assumptions!$C$59+J9259*Assumptions!$C$60+J9272*Assumptions!$C$61+J9285*Assumptions!$C$62+J9298*Assumptions!$C$63+J9311*Assumptions!$C$64+J9324*Assumptions!$C$65+J9337*Assumptions!$C$66</f>
        <v>350</v>
      </c>
      <c r="K9350" s="16" t="n">
        <f aca="false">K9220*Assumptions!$C$57+K9233*Assumptions!$C$58+K9246*Assumptions!$C$59+K9259*Assumptions!$C$60+K9272*Assumptions!$C$61+K9285*Assumptions!$C$62+K9298*Assumptions!$C$63+K9311*Assumptions!$C$64+K9324*Assumptions!$C$65+K9337*Assumptions!$C$66</f>
        <v>700</v>
      </c>
    </row>
    <row r="9351" customFormat="false" ht="15" hidden="false" customHeight="false" outlineLevel="0" collapsed="false">
      <c r="A9351" s="24" t="s">
        <v>352</v>
      </c>
      <c r="B9351" s="25"/>
      <c r="C9351" s="25"/>
      <c r="D9351" s="25"/>
      <c r="E9351" s="25"/>
      <c r="F9351" s="25"/>
      <c r="G9351" s="25"/>
      <c r="H9351" s="25"/>
      <c r="I9351" s="25"/>
      <c r="J9351" s="25"/>
      <c r="K9351" s="25"/>
    </row>
    <row r="9352" customFormat="false" ht="15" hidden="false" customHeight="false" outlineLevel="0" collapsed="false">
      <c r="A9352" s="3" t="s">
        <v>353</v>
      </c>
      <c r="C9352" s="16" t="n">
        <f aca="false">SUMPRODUCT($G$9220:$K$9220,$G$9219:$K$9219-$G$9225:$K$9225+$G$9224:$K$9224)</f>
        <v>380</v>
      </c>
    </row>
    <row r="9353" customFormat="false" ht="15" hidden="false" customHeight="false" outlineLevel="0" collapsed="false">
      <c r="A9353" s="3" t="s">
        <v>354</v>
      </c>
      <c r="C9353" s="16" t="n">
        <f aca="false">SUMPRODUCT($G$9220:$K$9220,$G$9227:$K$9227)</f>
        <v>0</v>
      </c>
    </row>
    <row r="9354" customFormat="false" ht="15" hidden="false" customHeight="false" outlineLevel="0" collapsed="false">
      <c r="A9354" s="3" t="s">
        <v>355</v>
      </c>
      <c r="C9354" s="3" t="str">
        <f aca="false">IF(SUM($G$9220:$K$9220)=0,"n/a (beyond horizon)",IF(SUMPRODUCT($G$9220:$K$9220,$G$9217:$K$9217)&gt;0,"REFINANCING PASS","REFINANCING FAILURE"))</f>
        <v>REFINANCING FAILURE</v>
      </c>
    </row>
    <row r="9355" customFormat="false" ht="15" hidden="false" customHeight="false" outlineLevel="0" collapsed="false">
      <c r="A9355" s="3" t="s">
        <v>356</v>
      </c>
      <c r="C9355" s="3" t="str">
        <f aca="false">IF(SUM($G$9220:$K$9220)=0,"n/a",IF(C9353&gt;=C9352-0.001,"Repaid from cash",IF(SUMPRODUCT($G$9220:$K$9220,$G$9217:$K$9217)&gt;0,IF(C9353&gt;0,"Partly repaid; remainder refinanced","Refinanced"),IF(SUM($G$9229:$K$9229)&gt;0.001,IF(C9353&gt;0,"Partial repayment; PAYMENT DEFAULT","PAYMENT DEFAULT"),"Repaid from cash"))))</f>
        <v>PAYMENT DEFAULT</v>
      </c>
    </row>
    <row r="9356" customFormat="false" ht="15" hidden="false" customHeight="false" outlineLevel="0" collapsed="false">
      <c r="A9356" s="3" t="s">
        <v>357</v>
      </c>
      <c r="C9356" s="16" t="n">
        <f aca="false">SUMPRODUCT($G$9233:$K$9233,$G$9232:$K$9232-$G$9238:$K$9238+$G$9237:$K$9237)</f>
        <v>0</v>
      </c>
    </row>
    <row r="9357" customFormat="false" ht="15" hidden="false" customHeight="false" outlineLevel="0" collapsed="false">
      <c r="A9357" s="3" t="s">
        <v>358</v>
      </c>
      <c r="C9357" s="16" t="n">
        <f aca="false">SUMPRODUCT($G$9233:$K$9233,$G$9240:$K$9240)</f>
        <v>0</v>
      </c>
    </row>
    <row r="9358" customFormat="false" ht="15" hidden="false" customHeight="false" outlineLevel="0" collapsed="false">
      <c r="A9358" s="3" t="s">
        <v>359</v>
      </c>
      <c r="C9358" s="3" t="str">
        <f aca="false">IF(SUM($G$9233:$K$9233)=0,"n/a (beyond horizon)",IF(SUMPRODUCT($G$9233:$K$9233,$G$9217:$K$9217)&gt;0,"REFINANCING PASS","REFINANCING FAILURE"))</f>
        <v>n/a (beyond horizon)</v>
      </c>
    </row>
    <row r="9359" customFormat="false" ht="15" hidden="false" customHeight="false" outlineLevel="0" collapsed="false">
      <c r="A9359" s="3" t="s">
        <v>360</v>
      </c>
      <c r="C9359" s="3" t="str">
        <f aca="false">IF(SUM($G$9233:$K$9233)=0,"n/a",IF(C9357&gt;=C9356-0.001,"Repaid from cash",IF(SUMPRODUCT($G$9233:$K$9233,$G$9217:$K$9217)&gt;0,IF(C9357&gt;0,"Partly repaid; remainder refinanced","Refinanced"),IF(SUM($G$9242:$K$9242)&gt;0.001,IF(C9357&gt;0,"Partial repayment; PAYMENT DEFAULT","PAYMENT DEFAULT"),"Repaid from cash"))))</f>
        <v>n/a</v>
      </c>
    </row>
    <row r="9360" customFormat="false" ht="15" hidden="false" customHeight="false" outlineLevel="0" collapsed="false">
      <c r="A9360" s="3" t="s">
        <v>361</v>
      </c>
      <c r="C9360" s="16" t="n">
        <f aca="false">SUMPRODUCT($G$9246:$K$9246,$G$9245:$K$9245-$G$9251:$K$9251+$G$9250:$K$9250)</f>
        <v>0</v>
      </c>
    </row>
    <row r="9361" customFormat="false" ht="15" hidden="false" customHeight="false" outlineLevel="0" collapsed="false">
      <c r="A9361" s="3" t="s">
        <v>362</v>
      </c>
      <c r="C9361" s="16" t="n">
        <f aca="false">SUMPRODUCT($G$9246:$K$9246,$G$9253:$K$9253)</f>
        <v>0</v>
      </c>
    </row>
    <row r="9362" customFormat="false" ht="15" hidden="false" customHeight="false" outlineLevel="0" collapsed="false">
      <c r="A9362" s="3" t="s">
        <v>363</v>
      </c>
      <c r="C9362" s="3" t="str">
        <f aca="false">IF(SUM($G$9246:$K$9246)=0,"n/a (beyond horizon)",IF(SUMPRODUCT($G$9246:$K$9246,$G$9217:$K$9217)&gt;0,"REFINANCING PASS","REFINANCING FAILURE"))</f>
        <v>n/a (beyond horizon)</v>
      </c>
    </row>
    <row r="9363" customFormat="false" ht="15" hidden="false" customHeight="false" outlineLevel="0" collapsed="false">
      <c r="A9363" s="3" t="s">
        <v>364</v>
      </c>
      <c r="C9363" s="3" t="str">
        <f aca="false">IF(SUM($G$9246:$K$9246)=0,"n/a",IF(C9361&gt;=C9360-0.001,"Repaid from cash",IF(SUMPRODUCT($G$9246:$K$9246,$G$9217:$K$9217)&gt;0,IF(C9361&gt;0,"Partly repaid; remainder refinanced","Refinanced"),IF(SUM($G$9255:$K$9255)&gt;0.001,IF(C9361&gt;0,"Partial repayment; PAYMENT DEFAULT","PAYMENT DEFAULT"),"Repaid from cash"))))</f>
        <v>n/a</v>
      </c>
    </row>
    <row r="9364" customFormat="false" ht="15" hidden="false" customHeight="false" outlineLevel="0" collapsed="false">
      <c r="A9364" s="3" t="s">
        <v>365</v>
      </c>
      <c r="C9364" s="16" t="n">
        <f aca="false">SUMPRODUCT($G$9259:$K$9259,$G$9258:$K$9258-$G$9264:$K$9264+$G$9263:$K$9263)</f>
        <v>0</v>
      </c>
    </row>
    <row r="9365" customFormat="false" ht="15" hidden="false" customHeight="false" outlineLevel="0" collapsed="false">
      <c r="A9365" s="3" t="s">
        <v>366</v>
      </c>
      <c r="C9365" s="16" t="n">
        <f aca="false">SUMPRODUCT($G$9259:$K$9259,$G$9266:$K$9266)</f>
        <v>0</v>
      </c>
    </row>
    <row r="9366" customFormat="false" ht="15" hidden="false" customHeight="false" outlineLevel="0" collapsed="false">
      <c r="A9366" s="3" t="s">
        <v>367</v>
      </c>
      <c r="C9366" s="3" t="str">
        <f aca="false">IF(SUM($G$9259:$K$9259)=0,"n/a (beyond horizon)",IF(SUMPRODUCT($G$9259:$K$9259,$G$9217:$K$9217)&gt;0,"REFINANCING PASS","REFINANCING FAILURE"))</f>
        <v>REFINANCING FAILURE</v>
      </c>
    </row>
    <row r="9367" customFormat="false" ht="15" hidden="false" customHeight="false" outlineLevel="0" collapsed="false">
      <c r="A9367" s="3" t="s">
        <v>368</v>
      </c>
      <c r="C9367" s="3" t="str">
        <f aca="false">IF(SUM($G$9259:$K$9259)=0,"n/a",IF(C9365&gt;=C9364-0.001,"Repaid from cash",IF(SUMPRODUCT($G$9259:$K$9259,$G$9217:$K$9217)&gt;0,IF(C9365&gt;0,"Partly repaid; remainder refinanced","Refinanced"),IF(SUM($G$9268:$K$9268)&gt;0.001,IF(C9365&gt;0,"Partial repayment; PAYMENT DEFAULT","PAYMENT DEFAULT"),"Repaid from cash"))))</f>
        <v>Repaid from cash</v>
      </c>
    </row>
    <row r="9368" customFormat="false" ht="15" hidden="false" customHeight="false" outlineLevel="0" collapsed="false">
      <c r="A9368" s="3" t="s">
        <v>369</v>
      </c>
      <c r="C9368" s="16" t="n">
        <f aca="false">SUMPRODUCT($G$9272:$K$9272,$G$9271:$K$9271-$G$9277:$K$9277+$G$9276:$K$9276)</f>
        <v>450</v>
      </c>
    </row>
    <row r="9369" customFormat="false" ht="15" hidden="false" customHeight="false" outlineLevel="0" collapsed="false">
      <c r="A9369" s="3" t="s">
        <v>370</v>
      </c>
      <c r="C9369" s="16" t="n">
        <f aca="false">SUMPRODUCT($G$9272:$K$9272,$G$9279:$K$9279)</f>
        <v>0</v>
      </c>
    </row>
    <row r="9370" customFormat="false" ht="15" hidden="false" customHeight="false" outlineLevel="0" collapsed="false">
      <c r="A9370" s="3" t="s">
        <v>371</v>
      </c>
      <c r="C9370" s="3" t="str">
        <f aca="false">IF(SUM($G$9272:$K$9272)=0,"n/a (beyond horizon)",IF(SUMPRODUCT($G$9272:$K$9272,$G$9217:$K$9217)&gt;0,"REFINANCING PASS","REFINANCING FAILURE"))</f>
        <v>REFINANCING FAILURE</v>
      </c>
    </row>
    <row r="9371" customFormat="false" ht="15" hidden="false" customHeight="false" outlineLevel="0" collapsed="false">
      <c r="A9371" s="3" t="s">
        <v>372</v>
      </c>
      <c r="C9371" s="3" t="str">
        <f aca="false">IF(SUM($G$9272:$K$9272)=0,"n/a",IF(C9369&gt;=C9368-0.001,"Repaid from cash",IF(SUMPRODUCT($G$9272:$K$9272,$G$9217:$K$9217)&gt;0,IF(C9369&gt;0,"Partly repaid; remainder refinanced","Refinanced"),IF(SUM($G$9281:$K$9281)&gt;0.001,IF(C9369&gt;0,"Partial repayment; PAYMENT DEFAULT","PAYMENT DEFAULT"),"Repaid from cash"))))</f>
        <v>PAYMENT DEFAULT</v>
      </c>
    </row>
    <row r="9372" customFormat="false" ht="15" hidden="false" customHeight="false" outlineLevel="0" collapsed="false">
      <c r="A9372" s="3" t="s">
        <v>373</v>
      </c>
      <c r="C9372" s="16" t="n">
        <f aca="false">SUMPRODUCT($G$9285:$K$9285,$G$9284:$K$9284-$G$9290:$K$9290+$G$9289:$K$9289)</f>
        <v>350</v>
      </c>
    </row>
    <row r="9373" customFormat="false" ht="15" hidden="false" customHeight="false" outlineLevel="0" collapsed="false">
      <c r="A9373" s="3" t="s">
        <v>374</v>
      </c>
      <c r="C9373" s="16" t="n">
        <f aca="false">SUMPRODUCT($G$9285:$K$9285,$G$9292:$K$9292)</f>
        <v>0</v>
      </c>
    </row>
    <row r="9374" customFormat="false" ht="15" hidden="false" customHeight="false" outlineLevel="0" collapsed="false">
      <c r="A9374" s="3" t="s">
        <v>375</v>
      </c>
      <c r="C9374" s="3" t="str">
        <f aca="false">IF(SUM($G$9285:$K$9285)=0,"n/a (beyond horizon)",IF(SUMPRODUCT($G$9285:$K$9285,$G$9217:$K$9217)&gt;0,"REFINANCING PASS","REFINANCING FAILURE"))</f>
        <v>REFINANCING FAILURE</v>
      </c>
    </row>
    <row r="9375" customFormat="false" ht="15" hidden="false" customHeight="false" outlineLevel="0" collapsed="false">
      <c r="A9375" s="3" t="s">
        <v>376</v>
      </c>
      <c r="C9375" s="3" t="str">
        <f aca="false">IF(SUM($G$9285:$K$9285)=0,"n/a",IF(C9373&gt;=C9372-0.001,"Repaid from cash",IF(SUMPRODUCT($G$9285:$K$9285,$G$9217:$K$9217)&gt;0,IF(C9373&gt;0,"Partly repaid; remainder refinanced","Refinanced"),IF(SUM($G$9294:$K$9294)&gt;0.001,IF(C9373&gt;0,"Partial repayment; PAYMENT DEFAULT","PAYMENT DEFAULT"),"Repaid from cash"))))</f>
        <v>PAYMENT DEFAULT</v>
      </c>
    </row>
    <row r="9376" customFormat="false" ht="15" hidden="false" customHeight="false" outlineLevel="0" collapsed="false">
      <c r="A9376" s="3" t="s">
        <v>377</v>
      </c>
      <c r="C9376" s="16" t="n">
        <f aca="false">SUMPRODUCT($G$9298:$K$9298,$G$9297:$K$9297-$G$9303:$K$9303+$G$9302:$K$9302)</f>
        <v>550</v>
      </c>
    </row>
    <row r="9377" customFormat="false" ht="15" hidden="false" customHeight="false" outlineLevel="0" collapsed="false">
      <c r="A9377" s="3" t="s">
        <v>378</v>
      </c>
      <c r="C9377" s="16" t="n">
        <f aca="false">SUMPRODUCT($G$9298:$K$9298,$G$9305:$K$9305)</f>
        <v>0</v>
      </c>
    </row>
    <row r="9378" customFormat="false" ht="15" hidden="false" customHeight="false" outlineLevel="0" collapsed="false">
      <c r="A9378" s="3" t="s">
        <v>379</v>
      </c>
      <c r="C9378" s="3" t="str">
        <f aca="false">IF(SUM($G$9298:$K$9298)=0,"n/a (beyond horizon)",IF(SUMPRODUCT($G$9298:$K$9298,$G$9217:$K$9217)&gt;0,"REFINANCING PASS","REFINANCING FAILURE"))</f>
        <v>REFINANCING FAILURE</v>
      </c>
    </row>
    <row r="9379" customFormat="false" ht="15" hidden="false" customHeight="false" outlineLevel="0" collapsed="false">
      <c r="A9379" s="3" t="s">
        <v>380</v>
      </c>
      <c r="C9379" s="3" t="str">
        <f aca="false">IF(SUM($G$9298:$K$9298)=0,"n/a",IF(C9377&gt;=C9376-0.001,"Repaid from cash",IF(SUMPRODUCT($G$9298:$K$9298,$G$9217:$K$9217)&gt;0,IF(C9377&gt;0,"Partly repaid; remainder refinanced","Refinanced"),IF(SUM($G$9307:$K$9307)&gt;0.001,IF(C9377&gt;0,"Partial repayment; PAYMENT DEFAULT","PAYMENT DEFAULT"),"Repaid from cash"))))</f>
        <v>PAYMENT DEFAULT</v>
      </c>
    </row>
    <row r="9380" customFormat="false" ht="15" hidden="false" customHeight="false" outlineLevel="0" collapsed="false">
      <c r="A9380" s="3" t="s">
        <v>381</v>
      </c>
      <c r="C9380" s="16" t="n">
        <f aca="false">SUMPRODUCT($G$9311:$K$9311,$G$9310:$K$9310-$G$9316:$K$9316+$G$9315:$K$9315)</f>
        <v>350</v>
      </c>
    </row>
    <row r="9381" customFormat="false" ht="15" hidden="false" customHeight="false" outlineLevel="0" collapsed="false">
      <c r="A9381" s="3" t="s">
        <v>382</v>
      </c>
      <c r="C9381" s="16" t="n">
        <f aca="false">SUMPRODUCT($G$9311:$K$9311,$G$9318:$K$9318)</f>
        <v>0</v>
      </c>
    </row>
    <row r="9382" customFormat="false" ht="15" hidden="false" customHeight="false" outlineLevel="0" collapsed="false">
      <c r="A9382" s="3" t="s">
        <v>383</v>
      </c>
      <c r="C9382" s="3" t="str">
        <f aca="false">IF(SUM($G$9311:$K$9311)=0,"n/a (beyond horizon)",IF(SUMPRODUCT($G$9311:$K$9311,$G$9217:$K$9217)&gt;0,"REFINANCING PASS","REFINANCING FAILURE"))</f>
        <v>REFINANCING FAILURE</v>
      </c>
    </row>
    <row r="9383" customFormat="false" ht="15" hidden="false" customHeight="false" outlineLevel="0" collapsed="false">
      <c r="A9383" s="3" t="s">
        <v>384</v>
      </c>
      <c r="C9383" s="3" t="str">
        <f aca="false">IF(SUM($G$9311:$K$9311)=0,"n/a",IF(C9381&gt;=C9380-0.001,"Repaid from cash",IF(SUMPRODUCT($G$9311:$K$9311,$G$9217:$K$9217)&gt;0,IF(C9381&gt;0,"Partly repaid; remainder refinanced","Refinanced"),IF(SUM($G$9320:$K$9320)&gt;0.001,IF(C9381&gt;0,"Partial repayment; PAYMENT DEFAULT","PAYMENT DEFAULT"),"Repaid from cash"))))</f>
        <v>PAYMENT DEFAULT</v>
      </c>
    </row>
    <row r="9384" customFormat="false" ht="15" hidden="false" customHeight="false" outlineLevel="0" collapsed="false">
      <c r="A9384" s="3" t="s">
        <v>385</v>
      </c>
      <c r="C9384" s="16" t="n">
        <f aca="false">SUMPRODUCT($G$9324:$K$9324,$G$9323:$K$9323-$G$9329:$K$9329+$G$9328:$K$9328)</f>
        <v>300</v>
      </c>
    </row>
    <row r="9385" customFormat="false" ht="15" hidden="false" customHeight="false" outlineLevel="0" collapsed="false">
      <c r="A9385" s="3" t="s">
        <v>386</v>
      </c>
      <c r="C9385" s="16" t="n">
        <f aca="false">SUMPRODUCT($G$9324:$K$9324,$G$9331:$K$9331)</f>
        <v>0</v>
      </c>
    </row>
    <row r="9386" customFormat="false" ht="15" hidden="false" customHeight="false" outlineLevel="0" collapsed="false">
      <c r="A9386" s="3" t="s">
        <v>387</v>
      </c>
      <c r="C9386" s="3" t="str">
        <f aca="false">IF(SUM($G$9324:$K$9324)=0,"n/a (beyond horizon)",IF(SUMPRODUCT($G$9324:$K$9324,$G$9217:$K$9217)&gt;0,"REFINANCING PASS","REFINANCING FAILURE"))</f>
        <v>REFINANCING FAILURE</v>
      </c>
    </row>
    <row r="9387" customFormat="false" ht="15" hidden="false" customHeight="false" outlineLevel="0" collapsed="false">
      <c r="A9387" s="3" t="s">
        <v>388</v>
      </c>
      <c r="C9387" s="3" t="str">
        <f aca="false">IF(SUM($G$9324:$K$9324)=0,"n/a",IF(C9385&gt;=C9384-0.001,"Repaid from cash",IF(SUMPRODUCT($G$9324:$K$9324,$G$9217:$K$9217)&gt;0,IF(C9385&gt;0,"Partly repaid; remainder refinanced","Refinanced"),IF(SUM($G$9333:$K$9333)&gt;0.001,IF(C9385&gt;0,"Partial repayment; PAYMENT DEFAULT","PAYMENT DEFAULT"),"Repaid from cash"))))</f>
        <v>PAYMENT DEFAULT</v>
      </c>
    </row>
    <row r="9388" customFormat="false" ht="15" hidden="false" customHeight="false" outlineLevel="0" collapsed="false">
      <c r="A9388" s="3" t="s">
        <v>389</v>
      </c>
      <c r="C9388" s="16" t="n">
        <f aca="false">SUMPRODUCT($G$9337:$K$9337,$G$9336:$K$9336-$G$9342:$K$9342+$G$9341:$K$9341)</f>
        <v>0</v>
      </c>
    </row>
    <row r="9389" customFormat="false" ht="15" hidden="false" customHeight="false" outlineLevel="0" collapsed="false">
      <c r="A9389" s="3" t="s">
        <v>390</v>
      </c>
      <c r="C9389" s="16" t="n">
        <f aca="false">SUMPRODUCT($G$9337:$K$9337,$G$9344:$K$9344)</f>
        <v>0</v>
      </c>
    </row>
    <row r="9390" customFormat="false" ht="15" hidden="false" customHeight="false" outlineLevel="0" collapsed="false">
      <c r="A9390" s="3" t="s">
        <v>391</v>
      </c>
      <c r="C9390" s="3" t="str">
        <f aca="false">IF(SUM($G$9337:$K$9337)=0,"n/a (beyond horizon)",IF(SUMPRODUCT($G$9337:$K$9337,$G$9217:$K$9217)&gt;0,"REFINANCING PASS","REFINANCING FAILURE"))</f>
        <v>n/a (beyond horizon)</v>
      </c>
    </row>
    <row r="9391" customFormat="false" ht="15" hidden="false" customHeight="false" outlineLevel="0" collapsed="false">
      <c r="A9391" s="3" t="s">
        <v>392</v>
      </c>
      <c r="C9391" s="3" t="str">
        <f aca="false">IF(SUM($G$9337:$K$9337)=0,"n/a",IF(C9389&gt;=C9388-0.001,"Repaid from cash",IF(SUMPRODUCT($G$9337:$K$9337,$G$9217:$K$9217)&gt;0,IF(C9389&gt;0,"Partly repaid; remainder refinanced","Refinanced"),IF(SUM($G$9346:$K$9346)&gt;0.001,IF(C9389&gt;0,"Partial repayment; PAYMENT DEFAULT","PAYMENT DEFAULT"),"Repaid from cash"))))</f>
        <v>n/a</v>
      </c>
    </row>
    <row r="9392" customFormat="false" ht="15" hidden="false" customHeight="false" outlineLevel="0" collapsed="false">
      <c r="A9392" s="3" t="s">
        <v>393</v>
      </c>
      <c r="C9392" s="21" t="n">
        <f aca="false">IF(C9354="REFINANCING FAILURE",1,0)+IF(C9358="REFINANCING FAILURE",1,0)+IF(C9362="REFINANCING FAILURE",1,0)+IF(C9366="REFINANCING FAILURE",1,0)+IF(C9370="REFINANCING FAILURE",1,0)+IF(C9374="REFINANCING FAILURE",1,0)+IF(C9378="REFINANCING FAILURE",1,0)+IF(C9382="REFINANCING FAILURE",1,0)+IF(C9386="REFINANCING FAILURE",1,0)+IF(C9390="REFINANCING FAILURE",1,0)</f>
        <v>7</v>
      </c>
    </row>
    <row r="9394" customFormat="false" ht="15" hidden="false" customHeight="false" outlineLevel="0" collapsed="false">
      <c r="A9394" s="24" t="s">
        <v>395</v>
      </c>
      <c r="B9394" s="25"/>
      <c r="C9394" s="25"/>
      <c r="D9394" s="25"/>
      <c r="E9394" s="25"/>
      <c r="F9394" s="25"/>
      <c r="G9394" s="25"/>
      <c r="H9394" s="25"/>
      <c r="I9394" s="25"/>
      <c r="J9394" s="25"/>
      <c r="K9394" s="25"/>
    </row>
    <row r="9395" customFormat="false" ht="15" hidden="false" customHeight="false" outlineLevel="0" collapsed="false">
      <c r="A9395" s="3" t="s">
        <v>325</v>
      </c>
      <c r="G9395" s="16" t="n">
        <f aca="false">F9407</f>
        <v>37.87</v>
      </c>
      <c r="H9395" s="16" t="n">
        <f aca="false">G9407</f>
        <v>78.3252036</v>
      </c>
      <c r="I9395" s="16" t="n">
        <f aca="false">H9407</f>
        <v>-2.26538803999998</v>
      </c>
      <c r="J9395" s="16" t="n">
        <f aca="false">I9407</f>
        <v>-86.72562644275</v>
      </c>
      <c r="K9395" s="16" t="n">
        <f aca="false">J9407</f>
        <v>-168.69307744555</v>
      </c>
    </row>
    <row r="9396" customFormat="false" ht="15" hidden="false" customHeight="false" outlineLevel="0" collapsed="false">
      <c r="A9396" s="3" t="s">
        <v>396</v>
      </c>
      <c r="G9396" s="16" t="n">
        <f aca="false">G9206</f>
        <v>-55.5447964</v>
      </c>
      <c r="H9396" s="16" t="n">
        <f aca="false">H9206</f>
        <v>-76.59059164</v>
      </c>
      <c r="I9396" s="16" t="n">
        <f aca="false">I9206</f>
        <v>-80.46023840275</v>
      </c>
      <c r="J9396" s="16" t="n">
        <f aca="false">J9206</f>
        <v>-77.9674510028</v>
      </c>
      <c r="K9396" s="16" t="n">
        <f aca="false">K9206</f>
        <v>-72.278659510929</v>
      </c>
    </row>
    <row r="9397" customFormat="false" ht="15" hidden="false" customHeight="false" outlineLevel="0" collapsed="false">
      <c r="A9397" s="3" t="s">
        <v>397</v>
      </c>
      <c r="G9397" s="16" t="n">
        <f aca="false">CHOOSE($C$9176,Assumptions!$G$82,Assumptions!$G$101,Assumptions!$G$120)</f>
        <v>100</v>
      </c>
      <c r="H9397" s="16" t="n">
        <f aca="false">CHOOSE($C$9176,Assumptions!$H$82,Assumptions!$H$101,Assumptions!$H$120)</f>
        <v>0</v>
      </c>
      <c r="I9397" s="16" t="n">
        <f aca="false">CHOOSE($C$9176,Assumptions!$I$82,Assumptions!$I$101,Assumptions!$I$120)</f>
        <v>0</v>
      </c>
      <c r="J9397" s="16" t="n">
        <f aca="false">CHOOSE($C$9176,Assumptions!$J$82,Assumptions!$J$101,Assumptions!$J$120)</f>
        <v>0</v>
      </c>
      <c r="K9397" s="16" t="n">
        <f aca="false">CHOOSE($C$9176,Assumptions!$K$82,Assumptions!$K$101,Assumptions!$K$120)</f>
        <v>0</v>
      </c>
    </row>
    <row r="9398" customFormat="false" ht="15" hidden="false" customHeight="false" outlineLevel="0" collapsed="false">
      <c r="A9398" s="3" t="s">
        <v>398</v>
      </c>
      <c r="G9398" s="16" t="n">
        <f aca="false">G9225+G9238+G9251+G9264+G9277+G9290+G9303+G9316+G9329+G9342</f>
        <v>4</v>
      </c>
      <c r="H9398" s="16" t="n">
        <f aca="false">H9225+H9238+H9251+H9264+H9277+H9290+H9303+H9316+H9329+H9342</f>
        <v>4</v>
      </c>
      <c r="I9398" s="16" t="n">
        <f aca="false">I9225+I9238+I9251+I9264+I9277+I9290+I9303+I9316+I9329+I9342</f>
        <v>4</v>
      </c>
      <c r="J9398" s="16" t="n">
        <f aca="false">J9225+J9238+J9251+J9264+J9277+J9290+J9303+J9316+J9329+J9342</f>
        <v>4</v>
      </c>
      <c r="K9398" s="16" t="n">
        <f aca="false">K9225+K9238+K9251+K9264+K9277+K9290+K9303+K9316+K9329+K9342</f>
        <v>4</v>
      </c>
    </row>
    <row r="9399" customFormat="false" ht="15" hidden="false" customHeight="false" outlineLevel="0" collapsed="false">
      <c r="A9399" s="2" t="s">
        <v>399</v>
      </c>
      <c r="G9399" s="17" t="n">
        <f aca="false">G9395+G9396+G9397-G9398</f>
        <v>78.3252036</v>
      </c>
      <c r="H9399" s="17" t="n">
        <f aca="false">H9395+H9396+H9397-H9398</f>
        <v>-2.26538803999998</v>
      </c>
      <c r="I9399" s="17" t="n">
        <f aca="false">I9395+I9396+I9397-I9398</f>
        <v>-86.72562644275</v>
      </c>
      <c r="J9399" s="17" t="n">
        <f aca="false">J9395+J9396+J9397-J9398</f>
        <v>-168.69307744555</v>
      </c>
      <c r="K9399" s="17" t="n">
        <f aca="false">K9395+K9396+K9397-K9398</f>
        <v>-244.971736956479</v>
      </c>
    </row>
    <row r="9400" customFormat="false" ht="15" hidden="false" customHeight="false" outlineLevel="0" collapsed="false">
      <c r="A9400" s="3" t="s">
        <v>400</v>
      </c>
      <c r="G9400" s="16" t="n">
        <f aca="false">G9226+G9239+G9252+G9265+G9278+G9291+G9304+G9317+G9330+G9343</f>
        <v>0</v>
      </c>
      <c r="H9400" s="16" t="n">
        <f aca="false">H9226+H9239+H9252+H9265+H9278+H9291+H9304+H9317+H9330+H9343</f>
        <v>0</v>
      </c>
      <c r="I9400" s="16" t="n">
        <f aca="false">I9226+I9239+I9252+I9265+I9278+I9291+I9304+I9317+I9330+I9343</f>
        <v>0</v>
      </c>
      <c r="J9400" s="16" t="n">
        <f aca="false">J9226+J9239+J9252+J9265+J9278+J9291+J9304+J9317+J9330+J9343</f>
        <v>0</v>
      </c>
      <c r="K9400" s="16" t="n">
        <f aca="false">K9226+K9239+K9252+K9265+K9278+K9291+K9304+K9317+K9330+K9343</f>
        <v>0</v>
      </c>
    </row>
    <row r="9401" customFormat="false" ht="15" hidden="false" customHeight="false" outlineLevel="0" collapsed="false">
      <c r="A9401" s="2" t="s">
        <v>401</v>
      </c>
      <c r="G9401" s="17" t="n">
        <f aca="false">G9399+G9400</f>
        <v>78.3252036</v>
      </c>
      <c r="H9401" s="17" t="n">
        <f aca="false">H9399+H9400</f>
        <v>-2.26538803999998</v>
      </c>
      <c r="I9401" s="17" t="n">
        <f aca="false">I9399+I9400</f>
        <v>-86.72562644275</v>
      </c>
      <c r="J9401" s="17" t="n">
        <f aca="false">J9399+J9400</f>
        <v>-168.69307744555</v>
      </c>
      <c r="K9401" s="17" t="n">
        <f aca="false">K9399+K9400</f>
        <v>-244.971736956479</v>
      </c>
    </row>
    <row r="9402" customFormat="false" ht="15" hidden="false" customHeight="false" outlineLevel="0" collapsed="false">
      <c r="A9402" s="3" t="s">
        <v>402</v>
      </c>
      <c r="G9402" s="16" t="n">
        <f aca="false">G9227+G9240+G9253+G9266+G9279+G9292+G9305+G9318+G9331+G9344</f>
        <v>0</v>
      </c>
      <c r="H9402" s="16" t="n">
        <f aca="false">H9227+H9240+H9253+H9266+H9279+H9292+H9305+H9318+H9331+H9344</f>
        <v>0</v>
      </c>
      <c r="I9402" s="16" t="n">
        <f aca="false">I9227+I9240+I9253+I9266+I9279+I9292+I9305+I9318+I9331+I9344</f>
        <v>0</v>
      </c>
      <c r="J9402" s="16" t="n">
        <f aca="false">J9227+J9240+J9253+J9266+J9279+J9292+J9305+J9318+J9331+J9344</f>
        <v>0</v>
      </c>
      <c r="K9402" s="16" t="n">
        <f aca="false">K9227+K9240+K9253+K9266+K9279+K9292+K9305+K9318+K9331+K9344</f>
        <v>0</v>
      </c>
    </row>
    <row r="9403" customFormat="false" ht="15" hidden="false" customHeight="false" outlineLevel="0" collapsed="false">
      <c r="A9403" s="2" t="s">
        <v>403</v>
      </c>
      <c r="G9403" s="17" t="n">
        <f aca="false">G9401-G9402</f>
        <v>78.3252036</v>
      </c>
      <c r="H9403" s="17" t="n">
        <f aca="false">H9401-H9402</f>
        <v>-2.26538803999998</v>
      </c>
      <c r="I9403" s="17" t="n">
        <f aca="false">I9401-I9402</f>
        <v>-86.72562644275</v>
      </c>
      <c r="J9403" s="17" t="n">
        <f aca="false">J9401-J9402</f>
        <v>-168.69307744555</v>
      </c>
      <c r="K9403" s="17" t="n">
        <f aca="false">K9401-K9402</f>
        <v>-244.971736956479</v>
      </c>
    </row>
    <row r="9404" customFormat="false" ht="15" hidden="false" customHeight="false" outlineLevel="0" collapsed="false">
      <c r="A9404" s="3" t="s">
        <v>404</v>
      </c>
      <c r="G9404" s="16" t="n">
        <f aca="false">MAX(0,-G9403)</f>
        <v>0</v>
      </c>
      <c r="H9404" s="16" t="n">
        <f aca="false">MAX(0,-H9403)</f>
        <v>2.26538803999998</v>
      </c>
      <c r="I9404" s="16" t="n">
        <f aca="false">MAX(0,-I9403)</f>
        <v>86.72562644275</v>
      </c>
      <c r="J9404" s="16" t="n">
        <f aca="false">MAX(0,-J9403)</f>
        <v>168.69307744555</v>
      </c>
      <c r="K9404" s="16" t="n">
        <f aca="false">MAX(0,-K9403)</f>
        <v>244.971736956479</v>
      </c>
    </row>
    <row r="9405" customFormat="false" ht="15" hidden="false" customHeight="false" outlineLevel="0" collapsed="false">
      <c r="A9405" s="3" t="s">
        <v>405</v>
      </c>
      <c r="G9405" s="16" t="n">
        <f aca="false">MAX(0,G9403-Assumptions!$C$12)*Assumptions!$C$13</f>
        <v>0</v>
      </c>
      <c r="H9405" s="16" t="n">
        <f aca="false">MAX(0,H9403-Assumptions!$C$12)*Assumptions!$C$13</f>
        <v>0</v>
      </c>
      <c r="I9405" s="16" t="n">
        <f aca="false">MAX(0,I9403-Assumptions!$C$12)*Assumptions!$C$13</f>
        <v>0</v>
      </c>
      <c r="J9405" s="16" t="n">
        <f aca="false">MAX(0,J9403-Assumptions!$C$12)*Assumptions!$C$13</f>
        <v>0</v>
      </c>
      <c r="K9405" s="16" t="n">
        <f aca="false">MAX(0,K9403-Assumptions!$C$12)*Assumptions!$C$13</f>
        <v>0</v>
      </c>
    </row>
    <row r="9406" customFormat="false" ht="15" hidden="false" customHeight="false" outlineLevel="0" collapsed="false">
      <c r="A9406" s="3" t="s">
        <v>406</v>
      </c>
      <c r="G9406" s="16" t="n">
        <f aca="false">G9228+G9241+G9254+G9267+G9280+G9293+G9306+G9319+G9332+G9345</f>
        <v>0</v>
      </c>
      <c r="H9406" s="16" t="n">
        <f aca="false">H9228+H9241+H9254+H9267+H9280+H9293+H9306+H9319+H9332+H9345</f>
        <v>0</v>
      </c>
      <c r="I9406" s="16" t="n">
        <f aca="false">I9228+I9241+I9254+I9267+I9280+I9293+I9306+I9319+I9332+I9345</f>
        <v>0</v>
      </c>
      <c r="J9406" s="16" t="n">
        <f aca="false">J9228+J9241+J9254+J9267+J9280+J9293+J9306+J9319+J9332+J9345</f>
        <v>0</v>
      </c>
      <c r="K9406" s="16" t="n">
        <f aca="false">K9228+K9241+K9254+K9267+K9280+K9293+K9306+K9319+K9332+K9345</f>
        <v>0</v>
      </c>
    </row>
    <row r="9407" customFormat="false" ht="15" hidden="false" customHeight="false" outlineLevel="0" collapsed="false">
      <c r="A9407" s="2" t="s">
        <v>407</v>
      </c>
      <c r="F9407" s="28" t="n">
        <f aca="false">Assumptions!$C$11</f>
        <v>37.87</v>
      </c>
      <c r="G9407" s="17" t="n">
        <f aca="false">G9403-G9406</f>
        <v>78.3252036</v>
      </c>
      <c r="H9407" s="17" t="n">
        <f aca="false">H9403-H9406</f>
        <v>-2.26538803999998</v>
      </c>
      <c r="I9407" s="17" t="n">
        <f aca="false">I9403-I9406</f>
        <v>-86.72562644275</v>
      </c>
      <c r="J9407" s="17" t="n">
        <f aca="false">J9403-J9406</f>
        <v>-168.69307744555</v>
      </c>
      <c r="K9407" s="17" t="n">
        <f aca="false">K9403-K9406</f>
        <v>-244.971736956479</v>
      </c>
    </row>
    <row r="9408" customFormat="false" ht="15" hidden="false" customHeight="false" outlineLevel="0" collapsed="false">
      <c r="A9408" s="3" t="s">
        <v>408</v>
      </c>
      <c r="G9408" s="16" t="n">
        <f aca="false">G9229+G9242+G9255+G9268+G9281+G9294+G9307+G9320+G9333+G9346</f>
        <v>0</v>
      </c>
      <c r="H9408" s="16" t="n">
        <f aca="false">H9229+H9242+H9255+H9268+H9281+H9294+H9307+H9320+H9333+H9346</f>
        <v>800</v>
      </c>
      <c r="I9408" s="16" t="n">
        <f aca="false">I9229+I9242+I9255+I9268+I9281+I9294+I9307+I9320+I9333+I9346</f>
        <v>550</v>
      </c>
      <c r="J9408" s="16" t="n">
        <f aca="false">J9229+J9242+J9255+J9268+J9281+J9294+J9307+J9320+J9333+J9346</f>
        <v>350</v>
      </c>
      <c r="K9408" s="16" t="n">
        <f aca="false">K9229+K9242+K9255+K9268+K9281+K9294+K9307+K9320+K9333+K9346</f>
        <v>680</v>
      </c>
    </row>
    <row r="9409" customFormat="false" ht="15" hidden="false" customHeight="false" outlineLevel="0" collapsed="false">
      <c r="A9409" s="3" t="s">
        <v>409</v>
      </c>
      <c r="G9409" s="21" t="n">
        <f aca="false">IF(OR(G9404&gt;0.001,G9408&gt;0.001),1,0)</f>
        <v>0</v>
      </c>
      <c r="H9409" s="21" t="n">
        <f aca="false">IF(OR(H9404&gt;0.001,H9408&gt;0.001),1,0)</f>
        <v>1</v>
      </c>
      <c r="I9409" s="21" t="n">
        <f aca="false">IF(OR(I9404&gt;0.001,I9408&gt;0.001),1,0)</f>
        <v>1</v>
      </c>
      <c r="J9409" s="21" t="n">
        <f aca="false">IF(OR(J9404&gt;0.001,J9408&gt;0.001),1,0)</f>
        <v>1</v>
      </c>
      <c r="K9409" s="21" t="n">
        <f aca="false">IF(OR(K9404&gt;0.001,K9408&gt;0.001),1,0)</f>
        <v>1</v>
      </c>
    </row>
    <row r="9410" customFormat="false" ht="15" hidden="false" customHeight="false" outlineLevel="0" collapsed="false">
      <c r="A9410" s="3" t="s">
        <v>410</v>
      </c>
      <c r="G9410" s="21" t="n">
        <f aca="false">IF(G9409=1,1,0)</f>
        <v>0</v>
      </c>
      <c r="H9410" s="21" t="n">
        <f aca="false">IF(AND(H9409=1,SUM($G$9409:G9409)=0),1,0)</f>
        <v>1</v>
      </c>
      <c r="I9410" s="21" t="n">
        <f aca="false">IF(AND(I9409=1,SUM($G$9409:H9409)=0),1,0)</f>
        <v>0</v>
      </c>
      <c r="J9410" s="21" t="n">
        <f aca="false">IF(AND(J9409=1,SUM($G$9409:I9409)=0),1,0)</f>
        <v>0</v>
      </c>
      <c r="K9410" s="21" t="n">
        <f aca="false">IF(AND(K9409=1,SUM($G$9409:J9409)=0),1,0)</f>
        <v>0</v>
      </c>
    </row>
    <row r="9411" customFormat="false" ht="15" hidden="false" customHeight="false" outlineLevel="0" collapsed="false">
      <c r="A9411" s="3" t="s">
        <v>411</v>
      </c>
      <c r="G9411" s="16" t="n">
        <f aca="false">(G9349-F9349)-(G9400+G9198-G9398-G9402-G9406)</f>
        <v>0</v>
      </c>
      <c r="H9411" s="16" t="n">
        <f aca="false">(H9349-G9349)-(H9400+H9198-H9398-H9402-H9406)</f>
        <v>0</v>
      </c>
      <c r="I9411" s="16" t="n">
        <f aca="false">(I9349-H9349)-(I9400+I9198-I9398-I9402-I9406)</f>
        <v>0</v>
      </c>
      <c r="J9411" s="16" t="n">
        <f aca="false">(J9349-I9349)-(J9400+J9198-J9398-J9402-J9406)</f>
        <v>0</v>
      </c>
      <c r="K9411" s="16" t="n">
        <f aca="false">(K9349-J9349)-(K9400+K9198-K9398-K9402-K9406)</f>
        <v>0</v>
      </c>
    </row>
    <row r="9413" customFormat="false" ht="15" hidden="false" customHeight="false" outlineLevel="0" collapsed="false">
      <c r="A9413" s="24" t="s">
        <v>413</v>
      </c>
      <c r="B9413" s="25"/>
      <c r="C9413" s="25"/>
      <c r="D9413" s="25"/>
      <c r="E9413" s="25"/>
      <c r="F9413" s="25"/>
      <c r="G9413" s="25"/>
      <c r="H9413" s="25"/>
      <c r="I9413" s="25"/>
      <c r="J9413" s="25"/>
      <c r="K9413" s="25"/>
    </row>
    <row r="9414" customFormat="false" ht="15" hidden="false" customHeight="false" outlineLevel="0" collapsed="false">
      <c r="A9414" s="3" t="s">
        <v>414</v>
      </c>
      <c r="G9414" s="16" t="n">
        <f aca="false">G9349</f>
        <v>2621.934</v>
      </c>
      <c r="H9414" s="16" t="n">
        <f aca="false">H9349</f>
        <v>2617.934</v>
      </c>
      <c r="I9414" s="16" t="n">
        <f aca="false">I9349</f>
        <v>2613.934</v>
      </c>
      <c r="J9414" s="16" t="n">
        <f aca="false">J9349</f>
        <v>2609.934</v>
      </c>
      <c r="K9414" s="16" t="n">
        <f aca="false">K9349</f>
        <v>2605.934</v>
      </c>
    </row>
    <row r="9415" customFormat="false" ht="15" hidden="false" customHeight="false" outlineLevel="0" collapsed="false">
      <c r="A9415" s="3" t="s">
        <v>415</v>
      </c>
      <c r="G9415" s="16" t="n">
        <f aca="false">Assumptions!$O$57*G9230+Assumptions!$O$58*G9243+Assumptions!$O$59*G9256+Assumptions!$O$60*G9269+Assumptions!$O$61*G9282+Assumptions!$O$62*G9295+Assumptions!$O$63*G9308+Assumptions!$O$64*G9321+Assumptions!$O$65*G9334+Assumptions!$O$66*G9347</f>
        <v>543.324</v>
      </c>
      <c r="H9415" s="16" t="n">
        <f aca="false">Assumptions!$O$57*H9230+Assumptions!$O$58*H9243+Assumptions!$O$59*H9256+Assumptions!$O$60*H9269+Assumptions!$O$61*H9282+Assumptions!$O$62*H9295+Assumptions!$O$63*H9308+Assumptions!$O$64*H9321+Assumptions!$O$65*H9334+Assumptions!$O$66*H9347</f>
        <v>539.324</v>
      </c>
      <c r="I9415" s="16" t="n">
        <f aca="false">Assumptions!$O$57*I9230+Assumptions!$O$58*I9243+Assumptions!$O$59*I9256+Assumptions!$O$60*I9269+Assumptions!$O$61*I9282+Assumptions!$O$62*I9295+Assumptions!$O$63*I9308+Assumptions!$O$64*I9321+Assumptions!$O$65*I9334+Assumptions!$O$66*I9347</f>
        <v>535.324</v>
      </c>
      <c r="J9415" s="16" t="n">
        <f aca="false">Assumptions!$O$57*J9230+Assumptions!$O$58*J9243+Assumptions!$O$59*J9256+Assumptions!$O$60*J9269+Assumptions!$O$61*J9282+Assumptions!$O$62*J9295+Assumptions!$O$63*J9308+Assumptions!$O$64*J9321+Assumptions!$O$65*J9334+Assumptions!$O$66*J9347</f>
        <v>531.324</v>
      </c>
      <c r="K9415" s="16" t="n">
        <f aca="false">Assumptions!$O$57*K9230+Assumptions!$O$58*K9243+Assumptions!$O$59*K9256+Assumptions!$O$60*K9269+Assumptions!$O$61*K9282+Assumptions!$O$62*K9295+Assumptions!$O$63*K9308+Assumptions!$O$64*K9321+Assumptions!$O$65*K9334+Assumptions!$O$66*K9347</f>
        <v>527.324</v>
      </c>
    </row>
    <row r="9416" customFormat="false" ht="15" hidden="false" customHeight="false" outlineLevel="0" collapsed="false">
      <c r="A9416" s="3" t="s">
        <v>416</v>
      </c>
      <c r="G9416" s="16" t="n">
        <f aca="false">G9414-G9407</f>
        <v>2543.6087964</v>
      </c>
      <c r="H9416" s="16" t="n">
        <f aca="false">H9414-H9407</f>
        <v>2620.19938804</v>
      </c>
      <c r="I9416" s="16" t="n">
        <f aca="false">I9414-I9407</f>
        <v>2700.65962644275</v>
      </c>
      <c r="J9416" s="16" t="n">
        <f aca="false">J9414-J9407</f>
        <v>2778.62707744555</v>
      </c>
      <c r="K9416" s="16" t="n">
        <f aca="false">K9414-K9407</f>
        <v>2850.90573695648</v>
      </c>
    </row>
    <row r="9417" customFormat="false" ht="15" hidden="false" customHeight="false" outlineLevel="0" collapsed="false">
      <c r="A9417" s="3" t="s">
        <v>417</v>
      </c>
      <c r="G9417" s="32" t="n">
        <f aca="false">IF(G9193&gt;0,G9414/G9193,0)</f>
        <v>13.2875076101022</v>
      </c>
      <c r="H9417" s="32" t="n">
        <f aca="false">IF(H9193&gt;0,H9414/H9193,0)</f>
        <v>15.3096878393162</v>
      </c>
      <c r="I9417" s="32" t="n">
        <f aca="false">IF(I9193&gt;0,I9414/I9193,0)</f>
        <v>15.9536242534705</v>
      </c>
      <c r="J9417" s="32" t="n">
        <f aca="false">IF(J9193&gt;0,J9414/J9193,0)</f>
        <v>15.7349523807697</v>
      </c>
      <c r="K9417" s="32" t="n">
        <f aca="false">IF(K9193&gt;0,K9414/K9193,0)</f>
        <v>15.1849201545865</v>
      </c>
    </row>
    <row r="9418" customFormat="false" ht="15" hidden="false" customHeight="false" outlineLevel="0" collapsed="false">
      <c r="A9418" s="3" t="s">
        <v>418</v>
      </c>
      <c r="G9418" s="32" t="n">
        <f aca="false">IF(G9193&gt;0,G9416/G9193,0)</f>
        <v>12.8905690376981</v>
      </c>
      <c r="H9418" s="32" t="n">
        <f aca="false">IF(H9193&gt;0,H9416/H9193,0)</f>
        <v>15.3229358370607</v>
      </c>
      <c r="I9418" s="32" t="n">
        <f aca="false">IF(I9193&gt;0,I9416/I9193,0)</f>
        <v>16.4829367982457</v>
      </c>
      <c r="J9418" s="32" t="n">
        <f aca="false">IF(J9193&gt;0,J9416/J9193,0)</f>
        <v>16.7519809878422</v>
      </c>
      <c r="K9418" s="32" t="n">
        <f aca="false">IF(K9193&gt;0,K9416/K9193,0)</f>
        <v>16.6123838838346</v>
      </c>
    </row>
    <row r="9419" customFormat="false" ht="15" hidden="false" customHeight="false" outlineLevel="0" collapsed="false">
      <c r="A9419" s="3" t="s">
        <v>419</v>
      </c>
      <c r="G9419" s="32" t="n">
        <f aca="false">IF(G9197&gt;0,G9193/G9197,0)</f>
        <v>1.01416086307486</v>
      </c>
      <c r="H9419" s="32" t="n">
        <f aca="false">IF(H9197&gt;0,H9193/H9197,0)</f>
        <v>0.884307080802511</v>
      </c>
      <c r="I9419" s="32" t="n">
        <f aca="false">IF(I9197&gt;0,I9193/I9197,0)</f>
        <v>0.854638513173885</v>
      </c>
      <c r="J9419" s="32" t="n">
        <f aca="false">IF(J9197&gt;0,J9193/J9197,0)</f>
        <v>0.867315895284067</v>
      </c>
      <c r="K9419" s="32" t="n">
        <f aca="false">IF(K9197&gt;0,K9193/K9197,0)</f>
        <v>0.899565412237487</v>
      </c>
    </row>
    <row r="9420" customFormat="false" ht="15" hidden="false" customHeight="false" outlineLevel="0" collapsed="false">
      <c r="A9420" s="3" t="s">
        <v>420</v>
      </c>
      <c r="G9420" s="32" t="n">
        <f aca="false">IF(G9197&gt;0,G9196/G9197,0)</f>
        <v>0.157063537134203</v>
      </c>
      <c r="H9420" s="32" t="n">
        <f aca="false">IF(H9197&gt;0,H9196/H9197,0)</f>
        <v>0.0822685818808079</v>
      </c>
      <c r="I9420" s="32" t="n">
        <f aca="false">IF(I9197&gt;0,I9196/I9197,0)</f>
        <v>0.0699389581366014</v>
      </c>
      <c r="J9420" s="32" t="n">
        <f aca="false">IF(J9197&gt;0,J9196/J9197,0)</f>
        <v>0.0806878631831725</v>
      </c>
      <c r="K9420" s="32" t="n">
        <f aca="false">IF(K9197&gt;0,K9196/K9197,0)</f>
        <v>0.103113740759037</v>
      </c>
    </row>
    <row r="9421" customFormat="false" ht="15" hidden="false" customHeight="false" outlineLevel="0" collapsed="false">
      <c r="A9421" s="3" t="s">
        <v>213</v>
      </c>
      <c r="G9421" s="22" t="n">
        <f aca="false">IF(G9414&gt;0,G9206/G9414,0)</f>
        <v>-0.0211846661281329</v>
      </c>
      <c r="H9421" s="22" t="n">
        <f aca="false">IF(H9414&gt;0,H9206/H9414,0)</f>
        <v>-0.02925612014665</v>
      </c>
      <c r="I9421" s="22" t="n">
        <f aca="false">IF(I9414&gt;0,I9206/I9414,0)</f>
        <v>-0.0307812815483291</v>
      </c>
      <c r="J9421" s="22" t="n">
        <f aca="false">IF(J9414&gt;0,J9206/J9414,0)</f>
        <v>-0.029873342008955</v>
      </c>
      <c r="K9421" s="22" t="n">
        <f aca="false">IF(K9414&gt;0,K9206/K9414,0)</f>
        <v>-0.0277361819259156</v>
      </c>
    </row>
    <row r="9422" customFormat="false" ht="15" hidden="false" customHeight="false" outlineLevel="0" collapsed="false">
      <c r="A9422" s="3" t="s">
        <v>421</v>
      </c>
      <c r="G9422" s="32" t="n">
        <f aca="false">IF(G9197+G9398&gt;0,(G9193-G9204-G9201)/(G9197+G9398),0)</f>
        <v>0.700128919170673</v>
      </c>
      <c r="H9422" s="32" t="n">
        <f aca="false">IF(H9197+H9398&gt;0,(H9193-H9204-H9201)/(H9197+H9398),0)</f>
        <v>0.591677747914509</v>
      </c>
      <c r="I9422" s="32" t="n">
        <f aca="false">IF(I9197+I9398&gt;0,(I9193-I9204-I9201)/(I9197+I9398),0)</f>
        <v>0.568449704234166</v>
      </c>
      <c r="J9422" s="32" t="n">
        <f aca="false">IF(J9197+J9398&gt;0,(J9193-J9204-J9201)/(J9197+J9398),0)</f>
        <v>0.580178433889472</v>
      </c>
      <c r="K9422" s="32" t="n">
        <f aca="false">IF(K9197+K9398&gt;0,(K9193-K9204-K9201)/(K9197+K9398),0)</f>
        <v>0.608372588000706</v>
      </c>
    </row>
    <row r="9423" customFormat="false" ht="15" hidden="false" customHeight="false" outlineLevel="0" collapsed="false">
      <c r="A9423" s="3" t="s">
        <v>422</v>
      </c>
      <c r="G9423" s="16" t="n">
        <f aca="false">MAX(0,G9407)+Assumptions!$P$57*MAX(0,Assumptions!$D$57-G9230)+Assumptions!$P$58*MAX(0,Assumptions!$D$58-G9243)+Assumptions!$P$59*MAX(0,Assumptions!$D$59-G9256)+Assumptions!$P$60*MAX(0,Assumptions!$D$60-G9269)+Assumptions!$P$61*MAX(0,Assumptions!$D$61-G9282)+Assumptions!$P$62*MAX(0,Assumptions!$D$62-G9295)+Assumptions!$P$63*MAX(0,Assumptions!$D$63-G9308)+Assumptions!$P$64*MAX(0,Assumptions!$D$64-G9321)+Assumptions!$P$65*MAX(0,Assumptions!$D$65-G9334)+Assumptions!$P$66*MAX(0,Assumptions!$D$66-G9347)</f>
        <v>652.8252036</v>
      </c>
      <c r="H9423" s="16" t="n">
        <f aca="false">MAX(0,H9407)+Assumptions!$P$57*MAX(0,Assumptions!$D$57-H9230)+Assumptions!$P$58*MAX(0,Assumptions!$D$58-H9243)+Assumptions!$P$59*MAX(0,Assumptions!$D$59-H9256)+Assumptions!$P$60*MAX(0,Assumptions!$D$60-H9269)+Assumptions!$P$61*MAX(0,Assumptions!$D$61-H9282)+Assumptions!$P$62*MAX(0,Assumptions!$D$62-H9295)+Assumptions!$P$63*MAX(0,Assumptions!$D$63-H9308)+Assumptions!$P$64*MAX(0,Assumptions!$D$64-H9321)+Assumptions!$P$65*MAX(0,Assumptions!$D$65-H9334)+Assumptions!$P$66*MAX(0,Assumptions!$D$66-H9347)</f>
        <v>574.5</v>
      </c>
      <c r="I9423" s="16" t="n">
        <f aca="false">MAX(0,I9407)+Assumptions!$P$57*MAX(0,Assumptions!$D$57-I9230)+Assumptions!$P$58*MAX(0,Assumptions!$D$58-I9243)+Assumptions!$P$59*MAX(0,Assumptions!$D$59-I9256)+Assumptions!$P$60*MAX(0,Assumptions!$D$60-I9269)+Assumptions!$P$61*MAX(0,Assumptions!$D$61-I9282)+Assumptions!$P$62*MAX(0,Assumptions!$D$62-I9295)+Assumptions!$P$63*MAX(0,Assumptions!$D$63-I9308)+Assumptions!$P$64*MAX(0,Assumptions!$D$64-I9321)+Assumptions!$P$65*MAX(0,Assumptions!$D$65-I9334)+Assumptions!$P$66*MAX(0,Assumptions!$D$66-I9347)</f>
        <v>574.5</v>
      </c>
      <c r="J9423" s="16" t="n">
        <f aca="false">MAX(0,J9407)+Assumptions!$P$57*MAX(0,Assumptions!$D$57-J9230)+Assumptions!$P$58*MAX(0,Assumptions!$D$58-J9243)+Assumptions!$P$59*MAX(0,Assumptions!$D$59-J9256)+Assumptions!$P$60*MAX(0,Assumptions!$D$60-J9269)+Assumptions!$P$61*MAX(0,Assumptions!$D$61-J9282)+Assumptions!$P$62*MAX(0,Assumptions!$D$62-J9295)+Assumptions!$P$63*MAX(0,Assumptions!$D$63-J9308)+Assumptions!$P$64*MAX(0,Assumptions!$D$64-J9321)+Assumptions!$P$65*MAX(0,Assumptions!$D$65-J9334)+Assumptions!$P$66*MAX(0,Assumptions!$D$66-J9347)</f>
        <v>574.5</v>
      </c>
      <c r="K9423" s="16" t="n">
        <f aca="false">MAX(0,K9407)+Assumptions!$P$57*MAX(0,Assumptions!$D$57-K9230)+Assumptions!$P$58*MAX(0,Assumptions!$D$58-K9243)+Assumptions!$P$59*MAX(0,Assumptions!$D$59-K9256)+Assumptions!$P$60*MAX(0,Assumptions!$D$60-K9269)+Assumptions!$P$61*MAX(0,Assumptions!$D$61-K9282)+Assumptions!$P$62*MAX(0,Assumptions!$D$62-K9295)+Assumptions!$P$63*MAX(0,Assumptions!$D$63-K9308)+Assumptions!$P$64*MAX(0,Assumptions!$D$64-K9321)+Assumptions!$P$65*MAX(0,Assumptions!$D$65-K9334)+Assumptions!$P$66*MAX(0,Assumptions!$D$66-K9347)</f>
        <v>574.5</v>
      </c>
    </row>
    <row r="9424" customFormat="false" ht="15" hidden="false" customHeight="false" outlineLevel="0" collapsed="false">
      <c r="A9424" s="3" t="s">
        <v>423</v>
      </c>
      <c r="G9424" s="22" t="n">
        <f aca="false">IF(G9414&gt;0,G9414/(G9414+MAX(0,G9193*CHOOSE($C$9176,Assumptions!$C$90,Assumptions!$C$109,Assumptions!$C$128)-G9416)),0)</f>
        <v>1</v>
      </c>
      <c r="H9424" s="22" t="n">
        <f aca="false">IF(H9414&gt;0,H9414/(H9414+MAX(0,H9193*CHOOSE($C$9176,Assumptions!$C$90,Assumptions!$C$109,Assumptions!$C$128)-H9416)),0)</f>
        <v>1</v>
      </c>
      <c r="I9424" s="22" t="n">
        <f aca="false">IF(I9414&gt;0,I9414/(I9414+MAX(0,I9193*CHOOSE($C$9176,Assumptions!$C$90,Assumptions!$C$109,Assumptions!$C$128)-I9416)),0)</f>
        <v>1</v>
      </c>
      <c r="J9424" s="22" t="n">
        <f aca="false">IF(J9414&gt;0,J9414/(J9414+MAX(0,J9193*CHOOSE($C$9176,Assumptions!$C$90,Assumptions!$C$109,Assumptions!$C$128)-J9416)),0)</f>
        <v>1</v>
      </c>
      <c r="K9424" s="22" t="n">
        <f aca="false">IF(K9414&gt;0,K9414/(K9414+MAX(0,K9193*CHOOSE($C$9176,Assumptions!$C$90,Assumptions!$C$109,Assumptions!$C$128)-K9416)),0)</f>
        <v>1</v>
      </c>
    </row>
    <row r="9425" customFormat="false" ht="15" hidden="false" customHeight="false" outlineLevel="0" collapsed="false">
      <c r="A9425" s="3" t="s">
        <v>424</v>
      </c>
      <c r="G9425" s="22" t="n">
        <f aca="false">IF(G9414&gt;0,MAX(0,G9407)/G9414,0)</f>
        <v>0.029873064539382</v>
      </c>
      <c r="H9425" s="22" t="n">
        <f aca="false">IF(H9414&gt;0,MAX(0,H9407)/H9414,0)</f>
        <v>0</v>
      </c>
      <c r="I9425" s="22" t="n">
        <f aca="false">IF(I9414&gt;0,MAX(0,I9407)/I9414,0)</f>
        <v>0</v>
      </c>
      <c r="J9425" s="22" t="n">
        <f aca="false">IF(J9414&gt;0,MAX(0,J9407)/J9414,0)</f>
        <v>0</v>
      </c>
      <c r="K9425" s="22" t="n">
        <f aca="false">IF(K9414&gt;0,MAX(0,K9407)/K9414,0)</f>
        <v>0</v>
      </c>
    </row>
    <row r="9426" customFormat="false" ht="15" hidden="false" customHeight="false" outlineLevel="0" collapsed="false">
      <c r="A9426" s="3" t="s">
        <v>425</v>
      </c>
      <c r="G9426" s="16" t="n">
        <f aca="false">Assumptions!$C$31*(1-CHOOSE($C$9176,Assumptions!$C$93,Assumptions!$C$112,Assumptions!$C$131))</f>
        <v>3162.39046666667</v>
      </c>
      <c r="H9426" s="16" t="n">
        <f aca="false">Assumptions!$C$31*(1-CHOOSE($C$9176,Assumptions!$C$93,Assumptions!$C$112,Assumptions!$C$131))</f>
        <v>3162.39046666667</v>
      </c>
      <c r="I9426" s="16" t="n">
        <f aca="false">Assumptions!$C$31*(1-CHOOSE($C$9176,Assumptions!$C$93,Assumptions!$C$112,Assumptions!$C$131))</f>
        <v>3162.39046666667</v>
      </c>
      <c r="J9426" s="16" t="n">
        <f aca="false">Assumptions!$C$31*(1-CHOOSE($C$9176,Assumptions!$C$93,Assumptions!$C$112,Assumptions!$C$131))</f>
        <v>3162.39046666667</v>
      </c>
      <c r="K9426" s="16" t="n">
        <f aca="false">Assumptions!$C$31*(1-CHOOSE($C$9176,Assumptions!$C$93,Assumptions!$C$112,Assumptions!$C$131))</f>
        <v>3162.39046666667</v>
      </c>
    </row>
    <row r="9427" customFormat="false" ht="15" hidden="false" customHeight="false" outlineLevel="0" collapsed="false">
      <c r="A9427" s="24" t="s">
        <v>426</v>
      </c>
      <c r="B9427" s="25"/>
      <c r="C9427" s="25"/>
      <c r="D9427" s="25"/>
      <c r="E9427" s="25"/>
      <c r="F9427" s="25"/>
      <c r="G9427" s="25"/>
      <c r="H9427" s="25"/>
      <c r="I9427" s="25"/>
      <c r="J9427" s="25"/>
      <c r="K9427" s="25"/>
    </row>
    <row r="9428" customFormat="false" ht="15" hidden="false" customHeight="false" outlineLevel="0" collapsed="false">
      <c r="A9428" s="24" t="s">
        <v>427</v>
      </c>
      <c r="B9428" s="25"/>
      <c r="C9428" s="25"/>
      <c r="D9428" s="25"/>
      <c r="E9428" s="25"/>
      <c r="F9428" s="25"/>
      <c r="G9428" s="25"/>
      <c r="H9428" s="25"/>
      <c r="I9428" s="25"/>
      <c r="J9428" s="25"/>
      <c r="K9428" s="25"/>
    </row>
    <row r="9429" customFormat="false" ht="15" hidden="false" customHeight="false" outlineLevel="0" collapsed="false">
      <c r="A9429" s="3" t="s">
        <v>428</v>
      </c>
      <c r="G9429" s="22" t="n">
        <f aca="false">IF(G9426&gt;0,G9414/G9426,99)</f>
        <v>0.829098755399318</v>
      </c>
      <c r="H9429" s="22" t="n">
        <f aca="false">IF(H9426&gt;0,H9414/H9426,99)</f>
        <v>0.82783388945624</v>
      </c>
      <c r="I9429" s="22" t="n">
        <f aca="false">IF(I9426&gt;0,I9414/I9426,99)</f>
        <v>0.826569023513162</v>
      </c>
      <c r="J9429" s="22" t="n">
        <f aca="false">IF(J9426&gt;0,J9414/J9426,99)</f>
        <v>0.825304157570085</v>
      </c>
      <c r="K9429" s="22" t="n">
        <f aca="false">IF(K9426&gt;0,K9414/K9426,99)</f>
        <v>0.824039291627007</v>
      </c>
    </row>
    <row r="9430" customFormat="false" ht="15" hidden="false" customHeight="false" outlineLevel="0" collapsed="false">
      <c r="A9430" s="3" t="s">
        <v>429</v>
      </c>
      <c r="G9430" s="33" t="n">
        <f aca="false">Assumptions!$G$71</f>
        <v>0.6</v>
      </c>
      <c r="H9430" s="33" t="n">
        <f aca="false">Assumptions!$H$71</f>
        <v>0.6</v>
      </c>
      <c r="I9430" s="33" t="n">
        <f aca="false">Assumptions!$I$71</f>
        <v>0.6</v>
      </c>
      <c r="J9430" s="33" t="n">
        <f aca="false">Assumptions!$J$71</f>
        <v>0.6</v>
      </c>
      <c r="K9430" s="33" t="n">
        <f aca="false">Assumptions!$K$71</f>
        <v>0.6</v>
      </c>
    </row>
    <row r="9431" customFormat="false" ht="15" hidden="false" customHeight="false" outlineLevel="0" collapsed="false">
      <c r="A9431" s="3" t="s">
        <v>430</v>
      </c>
      <c r="G9431" s="22" t="n">
        <f aca="false">G9430-G9429</f>
        <v>-0.229098755399318</v>
      </c>
      <c r="H9431" s="22" t="n">
        <f aca="false">H9430-H9429</f>
        <v>-0.22783388945624</v>
      </c>
      <c r="I9431" s="22" t="n">
        <f aca="false">I9430-I9429</f>
        <v>-0.226569023513162</v>
      </c>
      <c r="J9431" s="22" t="n">
        <f aca="false">J9430-J9429</f>
        <v>-0.225304157570085</v>
      </c>
      <c r="K9431" s="22" t="n">
        <f aca="false">K9430-K9429</f>
        <v>-0.224039291627007</v>
      </c>
    </row>
    <row r="9432" customFormat="false" ht="15" hidden="false" customHeight="false" outlineLevel="0" collapsed="false">
      <c r="A9432" s="3" t="s">
        <v>431</v>
      </c>
      <c r="G9432" s="22" t="n">
        <f aca="false">IF(G9430=0,0,G9431/ABS(G9430))</f>
        <v>-0.381831258998863</v>
      </c>
      <c r="H9432" s="22" t="n">
        <f aca="false">IF(H9430=0,0,H9431/ABS(H9430))</f>
        <v>-0.379723149093733</v>
      </c>
      <c r="I9432" s="22" t="n">
        <f aca="false">IF(I9430=0,0,I9431/ABS(I9430))</f>
        <v>-0.377615039188604</v>
      </c>
      <c r="J9432" s="22" t="n">
        <f aca="false">IF(J9430=0,0,J9431/ABS(J9430))</f>
        <v>-0.375506929283475</v>
      </c>
      <c r="K9432" s="22" t="n">
        <f aca="false">IF(K9430=0,0,K9431/ABS(K9430))</f>
        <v>-0.373398819378345</v>
      </c>
    </row>
    <row r="9433" customFormat="false" ht="15" hidden="false" customHeight="false" outlineLevel="0" collapsed="false">
      <c r="A9433" s="3" t="s">
        <v>432</v>
      </c>
      <c r="G9433" s="21" t="n">
        <f aca="false">IF(G9431&lt;0,1,0)</f>
        <v>1</v>
      </c>
      <c r="H9433" s="21" t="n">
        <f aca="false">IF(H9431&lt;0,1,0)</f>
        <v>1</v>
      </c>
      <c r="I9433" s="21" t="n">
        <f aca="false">IF(I9431&lt;0,1,0)</f>
        <v>1</v>
      </c>
      <c r="J9433" s="21" t="n">
        <f aca="false">IF(J9431&lt;0,1,0)</f>
        <v>1</v>
      </c>
      <c r="K9433" s="21" t="n">
        <f aca="false">IF(K9431&lt;0,1,0)</f>
        <v>1</v>
      </c>
    </row>
    <row r="9434" customFormat="false" ht="15" hidden="false" customHeight="false" outlineLevel="0" collapsed="false">
      <c r="A9434" s="3" t="s">
        <v>433</v>
      </c>
      <c r="C9434" s="21" t="n">
        <f aca="false">IFERROR(INDEX($G$9183:$K$9183,MATCH(1,$G$9433:$K$9433,0)),0)</f>
        <v>2027</v>
      </c>
    </row>
    <row r="9435" customFormat="false" ht="15" hidden="false" customHeight="false" outlineLevel="0" collapsed="false">
      <c r="A9435" s="3" t="s">
        <v>434</v>
      </c>
      <c r="C9435" s="22" t="n">
        <f aca="false">MIN($G$9432:$K$9432)</f>
        <v>-0.381831258998863</v>
      </c>
    </row>
    <row r="9436" customFormat="false" ht="15" hidden="false" customHeight="false" outlineLevel="0" collapsed="false">
      <c r="A9436" s="24" t="s">
        <v>435</v>
      </c>
      <c r="B9436" s="25"/>
      <c r="C9436" s="25"/>
      <c r="D9436" s="25"/>
      <c r="E9436" s="25"/>
      <c r="F9436" s="25"/>
      <c r="G9436" s="25"/>
      <c r="H9436" s="25"/>
      <c r="I9436" s="25"/>
      <c r="J9436" s="25"/>
      <c r="K9436" s="25"/>
    </row>
    <row r="9437" customFormat="false" ht="15" hidden="false" customHeight="false" outlineLevel="0" collapsed="false">
      <c r="A9437" s="3" t="s">
        <v>428</v>
      </c>
      <c r="G9437" s="32" t="n">
        <f aca="false">IF(G9197&gt;0,G9193/G9197,99)</f>
        <v>1.01416086307486</v>
      </c>
      <c r="H9437" s="32" t="n">
        <f aca="false">IF(H9197&gt;0,H9193/H9197,99)</f>
        <v>0.884307080802511</v>
      </c>
      <c r="I9437" s="32" t="n">
        <f aca="false">IF(I9197&gt;0,I9193/I9197,99)</f>
        <v>0.854638513173885</v>
      </c>
      <c r="J9437" s="32" t="n">
        <f aca="false">IF(J9197&gt;0,J9193/J9197,99)</f>
        <v>0.867315895284067</v>
      </c>
      <c r="K9437" s="32" t="n">
        <f aca="false">IF(K9197&gt;0,K9193/K9197,99)</f>
        <v>0.899565412237487</v>
      </c>
    </row>
    <row r="9438" customFormat="false" ht="15" hidden="false" customHeight="false" outlineLevel="0" collapsed="false">
      <c r="A9438" s="3" t="s">
        <v>429</v>
      </c>
      <c r="G9438" s="34" t="n">
        <f aca="false">Assumptions!$G$72</f>
        <v>1.5</v>
      </c>
      <c r="H9438" s="34" t="n">
        <f aca="false">Assumptions!$H$72</f>
        <v>1.5</v>
      </c>
      <c r="I9438" s="34" t="n">
        <f aca="false">Assumptions!$I$72</f>
        <v>1.5</v>
      </c>
      <c r="J9438" s="34" t="n">
        <f aca="false">Assumptions!$J$72</f>
        <v>1.5</v>
      </c>
      <c r="K9438" s="34" t="n">
        <f aca="false">Assumptions!$K$72</f>
        <v>1.5</v>
      </c>
    </row>
    <row r="9439" customFormat="false" ht="15" hidden="false" customHeight="false" outlineLevel="0" collapsed="false">
      <c r="A9439" s="3" t="s">
        <v>430</v>
      </c>
      <c r="G9439" s="32" t="n">
        <f aca="false">G9437-G9438</f>
        <v>-0.485839136925144</v>
      </c>
      <c r="H9439" s="32" t="n">
        <f aca="false">H9437-H9438</f>
        <v>-0.615692919197489</v>
      </c>
      <c r="I9439" s="32" t="n">
        <f aca="false">I9437-I9438</f>
        <v>-0.645361486826116</v>
      </c>
      <c r="J9439" s="32" t="n">
        <f aca="false">J9437-J9438</f>
        <v>-0.632684104715933</v>
      </c>
      <c r="K9439" s="32" t="n">
        <f aca="false">K9437-K9438</f>
        <v>-0.600434587762513</v>
      </c>
    </row>
    <row r="9440" customFormat="false" ht="15" hidden="false" customHeight="false" outlineLevel="0" collapsed="false">
      <c r="A9440" s="3" t="s">
        <v>431</v>
      </c>
      <c r="G9440" s="22" t="n">
        <f aca="false">IF(G9438=0,0,G9439/ABS(G9438))</f>
        <v>-0.323892757950096</v>
      </c>
      <c r="H9440" s="22" t="n">
        <f aca="false">IF(H9438=0,0,H9439/ABS(H9438))</f>
        <v>-0.410461946131659</v>
      </c>
      <c r="I9440" s="22" t="n">
        <f aca="false">IF(I9438=0,0,I9439/ABS(I9438))</f>
        <v>-0.43024099121741</v>
      </c>
      <c r="J9440" s="22" t="n">
        <f aca="false">IF(J9438=0,0,J9439/ABS(J9438))</f>
        <v>-0.421789403143956</v>
      </c>
      <c r="K9440" s="22" t="n">
        <f aca="false">IF(K9438=0,0,K9439/ABS(K9438))</f>
        <v>-0.400289725175008</v>
      </c>
    </row>
    <row r="9441" customFormat="false" ht="15" hidden="false" customHeight="false" outlineLevel="0" collapsed="false">
      <c r="A9441" s="3" t="s">
        <v>432</v>
      </c>
      <c r="G9441" s="21" t="n">
        <f aca="false">IF(G9439&lt;0,1,0)</f>
        <v>1</v>
      </c>
      <c r="H9441" s="21" t="n">
        <f aca="false">IF(H9439&lt;0,1,0)</f>
        <v>1</v>
      </c>
      <c r="I9441" s="21" t="n">
        <f aca="false">IF(I9439&lt;0,1,0)</f>
        <v>1</v>
      </c>
      <c r="J9441" s="21" t="n">
        <f aca="false">IF(J9439&lt;0,1,0)</f>
        <v>1</v>
      </c>
      <c r="K9441" s="21" t="n">
        <f aca="false">IF(K9439&lt;0,1,0)</f>
        <v>1</v>
      </c>
    </row>
    <row r="9442" customFormat="false" ht="15" hidden="false" customHeight="false" outlineLevel="0" collapsed="false">
      <c r="A9442" s="3" t="s">
        <v>433</v>
      </c>
      <c r="C9442" s="21" t="n">
        <f aca="false">IFERROR(INDEX($G$9183:$K$9183,MATCH(1,$G$9441:$K$9441,0)),0)</f>
        <v>2027</v>
      </c>
    </row>
    <row r="9443" customFormat="false" ht="15" hidden="false" customHeight="false" outlineLevel="0" collapsed="false">
      <c r="A9443" s="3" t="s">
        <v>434</v>
      </c>
      <c r="C9443" s="22" t="n">
        <f aca="false">MIN($G$9440:$K$9440)</f>
        <v>-0.43024099121741</v>
      </c>
    </row>
    <row r="9444" customFormat="false" ht="15" hidden="false" customHeight="false" outlineLevel="0" collapsed="false">
      <c r="A9444" s="24" t="s">
        <v>436</v>
      </c>
      <c r="B9444" s="25"/>
      <c r="C9444" s="25"/>
      <c r="D9444" s="25"/>
      <c r="E9444" s="25"/>
      <c r="F9444" s="25"/>
      <c r="G9444" s="25"/>
      <c r="H9444" s="25"/>
      <c r="I9444" s="25"/>
      <c r="J9444" s="25"/>
      <c r="K9444" s="25"/>
    </row>
    <row r="9445" customFormat="false" ht="15" hidden="false" customHeight="false" outlineLevel="0" collapsed="false">
      <c r="A9445" s="3" t="s">
        <v>428</v>
      </c>
      <c r="G9445" s="22" t="n">
        <f aca="false">IF(G9426&gt;0,G9415/G9426,99)</f>
        <v>0.171808005914176</v>
      </c>
      <c r="H9445" s="22" t="n">
        <f aca="false">IF(H9426&gt;0,H9415/H9426,99)</f>
        <v>0.170543139971098</v>
      </c>
      <c r="I9445" s="22" t="n">
        <f aca="false">IF(I9426&gt;0,I9415/I9426,99)</f>
        <v>0.169278274028021</v>
      </c>
      <c r="J9445" s="22" t="n">
        <f aca="false">IF(J9426&gt;0,J9415/J9426,99)</f>
        <v>0.168013408084943</v>
      </c>
      <c r="K9445" s="22" t="n">
        <f aca="false">IF(K9426&gt;0,K9415/K9426,99)</f>
        <v>0.166748542141865</v>
      </c>
    </row>
    <row r="9446" customFormat="false" ht="15" hidden="false" customHeight="false" outlineLevel="0" collapsed="false">
      <c r="A9446" s="3" t="s">
        <v>429</v>
      </c>
      <c r="G9446" s="33" t="n">
        <f aca="false">Assumptions!$G$73</f>
        <v>0.4</v>
      </c>
      <c r="H9446" s="33" t="n">
        <f aca="false">Assumptions!$H$73</f>
        <v>0.4</v>
      </c>
      <c r="I9446" s="33" t="n">
        <f aca="false">Assumptions!$I$73</f>
        <v>0.4</v>
      </c>
      <c r="J9446" s="33" t="n">
        <f aca="false">Assumptions!$J$73</f>
        <v>0.4</v>
      </c>
      <c r="K9446" s="33" t="n">
        <f aca="false">Assumptions!$K$73</f>
        <v>0.4</v>
      </c>
    </row>
    <row r="9447" customFormat="false" ht="15" hidden="false" customHeight="false" outlineLevel="0" collapsed="false">
      <c r="A9447" s="3" t="s">
        <v>430</v>
      </c>
      <c r="G9447" s="22" t="n">
        <f aca="false">G9446-G9445</f>
        <v>0.228191994085824</v>
      </c>
      <c r="H9447" s="22" t="n">
        <f aca="false">H9446-H9445</f>
        <v>0.229456860028902</v>
      </c>
      <c r="I9447" s="22" t="n">
        <f aca="false">I9446-I9445</f>
        <v>0.230721725971979</v>
      </c>
      <c r="J9447" s="22" t="n">
        <f aca="false">J9446-J9445</f>
        <v>0.231986591915057</v>
      </c>
      <c r="K9447" s="22" t="n">
        <f aca="false">K9446-K9445</f>
        <v>0.233251457858135</v>
      </c>
    </row>
    <row r="9448" customFormat="false" ht="15" hidden="false" customHeight="false" outlineLevel="0" collapsed="false">
      <c r="A9448" s="3" t="s">
        <v>431</v>
      </c>
      <c r="G9448" s="22" t="n">
        <f aca="false">IF(G9446=0,0,G9447/ABS(G9446))</f>
        <v>0.57047998521456</v>
      </c>
      <c r="H9448" s="22" t="n">
        <f aca="false">IF(H9446=0,0,H9447/ABS(H9446))</f>
        <v>0.573642150072254</v>
      </c>
      <c r="I9448" s="22" t="n">
        <f aca="false">IF(I9446=0,0,I9447/ABS(I9446))</f>
        <v>0.576804314929948</v>
      </c>
      <c r="J9448" s="22" t="n">
        <f aca="false">IF(J9446=0,0,J9447/ABS(J9446))</f>
        <v>0.579966479787643</v>
      </c>
      <c r="K9448" s="22" t="n">
        <f aca="false">IF(K9446=0,0,K9447/ABS(K9446))</f>
        <v>0.583128644645337</v>
      </c>
    </row>
    <row r="9449" customFormat="false" ht="15" hidden="false" customHeight="false" outlineLevel="0" collapsed="false">
      <c r="A9449" s="3" t="s">
        <v>432</v>
      </c>
      <c r="G9449" s="21" t="n">
        <f aca="false">IF(G9447&lt;0,1,0)</f>
        <v>0</v>
      </c>
      <c r="H9449" s="21" t="n">
        <f aca="false">IF(H9447&lt;0,1,0)</f>
        <v>0</v>
      </c>
      <c r="I9449" s="21" t="n">
        <f aca="false">IF(I9447&lt;0,1,0)</f>
        <v>0</v>
      </c>
      <c r="J9449" s="21" t="n">
        <f aca="false">IF(J9447&lt;0,1,0)</f>
        <v>0</v>
      </c>
      <c r="K9449" s="21" t="n">
        <f aca="false">IF(K9447&lt;0,1,0)</f>
        <v>0</v>
      </c>
    </row>
    <row r="9450" customFormat="false" ht="15" hidden="false" customHeight="false" outlineLevel="0" collapsed="false">
      <c r="A9450" s="3" t="s">
        <v>433</v>
      </c>
      <c r="C9450" s="21" t="n">
        <f aca="false">IFERROR(INDEX($G$9183:$K$9183,MATCH(1,$G$9449:$K$9449,0)),0)</f>
        <v>0</v>
      </c>
    </row>
    <row r="9451" customFormat="false" ht="15" hidden="false" customHeight="false" outlineLevel="0" collapsed="false">
      <c r="A9451" s="3" t="s">
        <v>434</v>
      </c>
      <c r="C9451" s="22" t="n">
        <f aca="false">MIN($G$9448:$K$9448)</f>
        <v>0.57047998521456</v>
      </c>
    </row>
    <row r="9452" customFormat="false" ht="15" hidden="false" customHeight="false" outlineLevel="0" collapsed="false">
      <c r="A9452" s="24" t="s">
        <v>437</v>
      </c>
      <c r="B9452" s="25"/>
      <c r="C9452" s="25"/>
      <c r="D9452" s="25"/>
      <c r="E9452" s="25"/>
      <c r="F9452" s="25"/>
      <c r="G9452" s="25"/>
      <c r="H9452" s="25"/>
      <c r="I9452" s="25"/>
      <c r="J9452" s="25"/>
      <c r="K9452" s="25"/>
    </row>
    <row r="9453" customFormat="false" ht="15" hidden="false" customHeight="false" outlineLevel="0" collapsed="false">
      <c r="A9453" s="3" t="s">
        <v>428</v>
      </c>
      <c r="G9453" s="16" t="n">
        <f aca="false">G9423</f>
        <v>652.8252036</v>
      </c>
      <c r="H9453" s="16" t="n">
        <f aca="false">H9423</f>
        <v>574.5</v>
      </c>
      <c r="I9453" s="16" t="n">
        <f aca="false">I9423</f>
        <v>574.5</v>
      </c>
      <c r="J9453" s="16" t="n">
        <f aca="false">J9423</f>
        <v>574.5</v>
      </c>
      <c r="K9453" s="16" t="n">
        <f aca="false">K9423</f>
        <v>574.5</v>
      </c>
    </row>
    <row r="9454" customFormat="false" ht="15" hidden="false" customHeight="false" outlineLevel="0" collapsed="false">
      <c r="A9454" s="3" t="s">
        <v>429</v>
      </c>
      <c r="G9454" s="29" t="n">
        <f aca="false">Assumptions!$G$74</f>
        <v>100</v>
      </c>
      <c r="H9454" s="29" t="n">
        <f aca="false">Assumptions!$H$74</f>
        <v>100</v>
      </c>
      <c r="I9454" s="29" t="n">
        <f aca="false">Assumptions!$I$74</f>
        <v>100</v>
      </c>
      <c r="J9454" s="29" t="n">
        <f aca="false">Assumptions!$J$74</f>
        <v>100</v>
      </c>
      <c r="K9454" s="29" t="n">
        <f aca="false">Assumptions!$K$74</f>
        <v>100</v>
      </c>
    </row>
    <row r="9455" customFormat="false" ht="15" hidden="false" customHeight="false" outlineLevel="0" collapsed="false">
      <c r="A9455" s="3" t="s">
        <v>430</v>
      </c>
      <c r="G9455" s="16" t="n">
        <f aca="false">G9453-G9454</f>
        <v>552.8252036</v>
      </c>
      <c r="H9455" s="16" t="n">
        <f aca="false">H9453-H9454</f>
        <v>474.5</v>
      </c>
      <c r="I9455" s="16" t="n">
        <f aca="false">I9453-I9454</f>
        <v>474.5</v>
      </c>
      <c r="J9455" s="16" t="n">
        <f aca="false">J9453-J9454</f>
        <v>474.5</v>
      </c>
      <c r="K9455" s="16" t="n">
        <f aca="false">K9453-K9454</f>
        <v>474.5</v>
      </c>
    </row>
    <row r="9456" customFormat="false" ht="15" hidden="false" customHeight="false" outlineLevel="0" collapsed="false">
      <c r="A9456" s="3" t="s">
        <v>431</v>
      </c>
      <c r="G9456" s="22" t="n">
        <f aca="false">IF(G9454=0,0,G9455/ABS(G9454))</f>
        <v>5.528252036</v>
      </c>
      <c r="H9456" s="22" t="n">
        <f aca="false">IF(H9454=0,0,H9455/ABS(H9454))</f>
        <v>4.745</v>
      </c>
      <c r="I9456" s="22" t="n">
        <f aca="false">IF(I9454=0,0,I9455/ABS(I9454))</f>
        <v>4.745</v>
      </c>
      <c r="J9456" s="22" t="n">
        <f aca="false">IF(J9454=0,0,J9455/ABS(J9454))</f>
        <v>4.745</v>
      </c>
      <c r="K9456" s="22" t="n">
        <f aca="false">IF(K9454=0,0,K9455/ABS(K9454))</f>
        <v>4.745</v>
      </c>
    </row>
    <row r="9457" customFormat="false" ht="15" hidden="false" customHeight="false" outlineLevel="0" collapsed="false">
      <c r="A9457" s="3" t="s">
        <v>432</v>
      </c>
      <c r="G9457" s="21" t="n">
        <f aca="false">IF(G9455&lt;0,1,0)</f>
        <v>0</v>
      </c>
      <c r="H9457" s="21" t="n">
        <f aca="false">IF(H9455&lt;0,1,0)</f>
        <v>0</v>
      </c>
      <c r="I9457" s="21" t="n">
        <f aca="false">IF(I9455&lt;0,1,0)</f>
        <v>0</v>
      </c>
      <c r="J9457" s="21" t="n">
        <f aca="false">IF(J9455&lt;0,1,0)</f>
        <v>0</v>
      </c>
      <c r="K9457" s="21" t="n">
        <f aca="false">IF(K9455&lt;0,1,0)</f>
        <v>0</v>
      </c>
    </row>
    <row r="9458" customFormat="false" ht="15" hidden="false" customHeight="false" outlineLevel="0" collapsed="false">
      <c r="A9458" s="3" t="s">
        <v>433</v>
      </c>
      <c r="C9458" s="21" t="n">
        <f aca="false">IFERROR(INDEX($G$9183:$K$9183,MATCH(1,$G$9457:$K$9457,0)),0)</f>
        <v>0</v>
      </c>
    </row>
    <row r="9459" customFormat="false" ht="15" hidden="false" customHeight="false" outlineLevel="0" collapsed="false">
      <c r="A9459" s="3" t="s">
        <v>434</v>
      </c>
      <c r="C9459" s="22" t="n">
        <f aca="false">MIN($G$9456:$K$9456)</f>
        <v>4.745</v>
      </c>
    </row>
    <row r="9460" customFormat="false" ht="15" hidden="false" customHeight="false" outlineLevel="0" collapsed="false">
      <c r="A9460" s="24" t="s">
        <v>438</v>
      </c>
      <c r="B9460" s="25"/>
      <c r="C9460" s="25"/>
      <c r="D9460" s="25"/>
      <c r="E9460" s="25"/>
      <c r="F9460" s="25"/>
      <c r="G9460" s="25"/>
      <c r="H9460" s="25"/>
      <c r="I9460" s="25"/>
      <c r="J9460" s="25"/>
      <c r="K9460" s="25"/>
    </row>
    <row r="9461" customFormat="false" ht="15" hidden="false" customHeight="false" outlineLevel="0" collapsed="false">
      <c r="A9461" s="3" t="s">
        <v>428</v>
      </c>
      <c r="G9461" s="32" t="n">
        <f aca="false">IF(G9193&gt;0,G9416/G9193,99)</f>
        <v>12.8905690376981</v>
      </c>
      <c r="H9461" s="32" t="n">
        <f aca="false">IF(H9193&gt;0,H9416/H9193,99)</f>
        <v>15.3229358370607</v>
      </c>
      <c r="I9461" s="32" t="n">
        <f aca="false">IF(I9193&gt;0,I9416/I9193,99)</f>
        <v>16.4829367982457</v>
      </c>
      <c r="J9461" s="32" t="n">
        <f aca="false">IF(J9193&gt;0,J9416/J9193,99)</f>
        <v>16.7519809878422</v>
      </c>
      <c r="K9461" s="32" t="n">
        <f aca="false">IF(K9193&gt;0,K9416/K9193,99)</f>
        <v>16.6123838838346</v>
      </c>
    </row>
    <row r="9462" customFormat="false" ht="15" hidden="false" customHeight="false" outlineLevel="0" collapsed="false">
      <c r="A9462" s="3" t="s">
        <v>429</v>
      </c>
      <c r="G9462" s="34" t="n">
        <f aca="false">Assumptions!$G$75</f>
        <v>10.5</v>
      </c>
      <c r="H9462" s="34" t="n">
        <f aca="false">Assumptions!$H$75</f>
        <v>10.5</v>
      </c>
      <c r="I9462" s="34" t="n">
        <f aca="false">Assumptions!$I$75</f>
        <v>10</v>
      </c>
      <c r="J9462" s="34" t="n">
        <f aca="false">Assumptions!$J$75</f>
        <v>10</v>
      </c>
      <c r="K9462" s="34" t="n">
        <f aca="false">Assumptions!$K$75</f>
        <v>9.5</v>
      </c>
    </row>
    <row r="9463" customFormat="false" ht="15" hidden="false" customHeight="false" outlineLevel="0" collapsed="false">
      <c r="A9463" s="3" t="s">
        <v>430</v>
      </c>
      <c r="G9463" s="32" t="n">
        <f aca="false">G9462-G9461</f>
        <v>-2.39056903769813</v>
      </c>
      <c r="H9463" s="32" t="n">
        <f aca="false">H9462-H9461</f>
        <v>-4.82293583706074</v>
      </c>
      <c r="I9463" s="32" t="n">
        <f aca="false">I9462-I9461</f>
        <v>-6.48293679824569</v>
      </c>
      <c r="J9463" s="32" t="n">
        <f aca="false">J9462-J9461</f>
        <v>-6.7519809878422</v>
      </c>
      <c r="K9463" s="32" t="n">
        <f aca="false">K9462-K9461</f>
        <v>-7.11238388383462</v>
      </c>
    </row>
    <row r="9464" customFormat="false" ht="15" hidden="false" customHeight="false" outlineLevel="0" collapsed="false">
      <c r="A9464" s="3" t="s">
        <v>431</v>
      </c>
      <c r="G9464" s="22" t="n">
        <f aca="false">IF(G9462=0,0,G9463/ABS(G9462))</f>
        <v>-0.227673241685536</v>
      </c>
      <c r="H9464" s="22" t="n">
        <f aca="false">IF(H9462=0,0,H9463/ABS(H9462))</f>
        <v>-0.459327222577214</v>
      </c>
      <c r="I9464" s="22" t="n">
        <f aca="false">IF(I9462=0,0,I9463/ABS(I9462))</f>
        <v>-0.648293679824569</v>
      </c>
      <c r="J9464" s="22" t="n">
        <f aca="false">IF(J9462=0,0,J9463/ABS(J9462))</f>
        <v>-0.67519809878422</v>
      </c>
      <c r="K9464" s="22" t="n">
        <f aca="false">IF(K9462=0,0,K9463/ABS(K9462))</f>
        <v>-0.748671987772066</v>
      </c>
    </row>
    <row r="9465" customFormat="false" ht="15" hidden="false" customHeight="false" outlineLevel="0" collapsed="false">
      <c r="A9465" s="3" t="s">
        <v>432</v>
      </c>
      <c r="G9465" s="21" t="n">
        <f aca="false">IF(G9463&lt;0,1,0)</f>
        <v>1</v>
      </c>
      <c r="H9465" s="21" t="n">
        <f aca="false">IF(H9463&lt;0,1,0)</f>
        <v>1</v>
      </c>
      <c r="I9465" s="21" t="n">
        <f aca="false">IF(I9463&lt;0,1,0)</f>
        <v>1</v>
      </c>
      <c r="J9465" s="21" t="n">
        <f aca="false">IF(J9463&lt;0,1,0)</f>
        <v>1</v>
      </c>
      <c r="K9465" s="21" t="n">
        <f aca="false">IF(K9463&lt;0,1,0)</f>
        <v>1</v>
      </c>
    </row>
    <row r="9466" customFormat="false" ht="15" hidden="false" customHeight="false" outlineLevel="0" collapsed="false">
      <c r="A9466" s="3" t="s">
        <v>433</v>
      </c>
      <c r="C9466" s="21" t="n">
        <f aca="false">IFERROR(INDEX($G$9183:$K$9183,MATCH(1,$G$9465:$K$9465,0)),0)</f>
        <v>2027</v>
      </c>
    </row>
    <row r="9467" customFormat="false" ht="15" hidden="false" customHeight="false" outlineLevel="0" collapsed="false">
      <c r="A9467" s="3" t="s">
        <v>434</v>
      </c>
      <c r="C9467" s="22" t="n">
        <f aca="false">MIN($G$9464:$K$9464)</f>
        <v>-0.748671987772066</v>
      </c>
    </row>
    <row r="9468" customFormat="false" ht="15" hidden="false" customHeight="false" outlineLevel="0" collapsed="false">
      <c r="A9468" s="3" t="s">
        <v>439</v>
      </c>
      <c r="G9468" s="21" t="n">
        <f aca="false">G9433+G9441+G9449+G9457+G9465</f>
        <v>3</v>
      </c>
      <c r="H9468" s="21" t="n">
        <f aca="false">H9433+H9441+H9449+H9457+H9465</f>
        <v>3</v>
      </c>
      <c r="I9468" s="21" t="n">
        <f aca="false">I9433+I9441+I9449+I9457+I9465</f>
        <v>3</v>
      </c>
      <c r="J9468" s="21" t="n">
        <f aca="false">J9433+J9441+J9449+J9457+J9465</f>
        <v>3</v>
      </c>
      <c r="K9468" s="21" t="n">
        <f aca="false">K9433+K9441+K9449+K9457+K9465</f>
        <v>3</v>
      </c>
    </row>
    <row r="9469" customFormat="false" ht="15" hidden="false" customHeight="false" outlineLevel="0" collapsed="false">
      <c r="A9469" s="3" t="s">
        <v>440</v>
      </c>
      <c r="C9469" s="21" t="n">
        <f aca="false">SUM($G$9468:$K$9468)</f>
        <v>15</v>
      </c>
    </row>
    <row r="9470" customFormat="false" ht="15" hidden="false" customHeight="false" outlineLevel="0" collapsed="false">
      <c r="A9470" s="3" t="s">
        <v>441</v>
      </c>
      <c r="C9470" s="22" t="n">
        <f aca="false">MIN(C9435,C9443,C9451,C9459,C9467)</f>
        <v>-0.748671987772066</v>
      </c>
    </row>
    <row r="9472" customFormat="false" ht="15" hidden="false" customHeight="false" outlineLevel="0" collapsed="false">
      <c r="A9472" s="24" t="s">
        <v>543</v>
      </c>
      <c r="B9472" s="25"/>
      <c r="C9472" s="25"/>
      <c r="D9472" s="25"/>
      <c r="E9472" s="25"/>
      <c r="F9472" s="25"/>
      <c r="G9472" s="25"/>
      <c r="H9472" s="25"/>
      <c r="I9472" s="25"/>
      <c r="J9472" s="25"/>
      <c r="K9472" s="25"/>
    </row>
    <row r="9473" customFormat="false" ht="15" hidden="false" customHeight="false" outlineLevel="0" collapsed="false">
      <c r="A9473" s="3" t="s">
        <v>544</v>
      </c>
      <c r="G9473" s="21" t="n">
        <f aca="false">IF($C$9474=1,G9410,IF(G9193=MIN($G$9193:$K$9193),1,0))</f>
        <v>0</v>
      </c>
      <c r="H9473" s="21" t="n">
        <f aca="false">IF($C$9474=1,H9410,IF(AND(H9193=MIN($G$9193:$K$9193),SUM($G$9473:G9473)=0),1,0))</f>
        <v>1</v>
      </c>
      <c r="I9473" s="21" t="n">
        <f aca="false">IF($C$9474=1,I9410,IF(AND(I9193=MIN($G$9193:$K$9193),SUM($G$9473:H9473)=0),1,0))</f>
        <v>0</v>
      </c>
      <c r="J9473" s="21" t="n">
        <f aca="false">IF($C$9474=1,J9410,IF(AND(J9193=MIN($G$9193:$K$9193),SUM($G$9473:I9473)=0),1,0))</f>
        <v>0</v>
      </c>
      <c r="K9473" s="21" t="n">
        <f aca="false">IF($C$9474=1,K9410,IF(AND(K9193=MIN($G$9193:$K$9193),SUM($G$9473:J9473)=0),1,0))</f>
        <v>0</v>
      </c>
    </row>
    <row r="9474" customFormat="false" ht="15" hidden="false" customHeight="false" outlineLevel="0" collapsed="false">
      <c r="A9474" s="3" t="s">
        <v>545</v>
      </c>
      <c r="C9474" s="21" t="n">
        <f aca="false">IF(SUM($G$9410:$K$9410)&gt;0,1,0)</f>
        <v>1</v>
      </c>
    </row>
    <row r="9475" customFormat="false" ht="15" hidden="false" customHeight="false" outlineLevel="0" collapsed="false">
      <c r="A9475" s="3" t="s">
        <v>546</v>
      </c>
      <c r="C9475" s="21" t="n">
        <f aca="false">SUMPRODUCT($G$9473:$K$9473,$G$9183:$K$9183)</f>
        <v>2028</v>
      </c>
    </row>
    <row r="9476" customFormat="false" ht="15" hidden="false" customHeight="false" outlineLevel="0" collapsed="false">
      <c r="A9476" s="3" t="s">
        <v>547</v>
      </c>
      <c r="C9476" s="16" t="n">
        <f aca="false">SUMPRODUCT($G$9473:$K$9473,$G$9193:$K$9193)</f>
        <v>170.99852247</v>
      </c>
    </row>
    <row r="9477" customFormat="false" ht="15" hidden="false" customHeight="false" outlineLevel="0" collapsed="false">
      <c r="A9477" s="3" t="s">
        <v>548</v>
      </c>
      <c r="C9477" s="16" t="n">
        <f aca="false">MAX(0,SUMPRODUCT($G$9473:$K$9473,$G$9407:$K$9407))</f>
        <v>0</v>
      </c>
    </row>
    <row r="9478" customFormat="false" ht="15" hidden="false" customHeight="false" outlineLevel="0" collapsed="false">
      <c r="A9478" s="3" t="s">
        <v>549</v>
      </c>
      <c r="C9478" s="16" t="n">
        <f aca="false">(CHOOSE($C$9176,Assumptions!$C$92,Assumptions!$C$111,Assumptions!$C$130)+$C$9180)*C9476</f>
        <v>1367.98817976</v>
      </c>
    </row>
    <row r="9479" customFormat="false" ht="15" hidden="false" customHeight="false" outlineLevel="0" collapsed="false">
      <c r="A9479" s="3" t="s">
        <v>550</v>
      </c>
      <c r="C9479" s="16" t="n">
        <f aca="false">Assumptions!$C$31*(1-CHOOSE($C$9176,Assumptions!$C$93,Assumptions!$C$112,Assumptions!$C$131))*CHOOSE($C$9176,Assumptions!$C$94,Assumptions!$C$113,Assumptions!$C$132)</f>
        <v>2688.03189666667</v>
      </c>
    </row>
    <row r="9480" customFormat="false" ht="15" hidden="false" customHeight="false" outlineLevel="0" collapsed="false">
      <c r="A9480" s="3" t="s">
        <v>551</v>
      </c>
      <c r="C9480" s="16" t="n">
        <f aca="false">MAX(C9478,C9479)+C9477</f>
        <v>2688.03189666667</v>
      </c>
    </row>
    <row r="9481" customFormat="false" ht="15" hidden="false" customHeight="false" outlineLevel="0" collapsed="false">
      <c r="A9481" s="2" t="s">
        <v>552</v>
      </c>
      <c r="C9481" s="17" t="n">
        <f aca="false">IF(ISNUMBER(Assumptions!$C$14),Assumptions!$C$14,C9480)</f>
        <v>2688.03189666667</v>
      </c>
    </row>
    <row r="9482" customFormat="false" ht="15" hidden="false" customHeight="false" outlineLevel="0" collapsed="false">
      <c r="A9482" s="3" t="s">
        <v>553</v>
      </c>
      <c r="C9482" s="16" t="n">
        <f aca="false">C9481*Assumptions!$C$15</f>
        <v>107.521275866667</v>
      </c>
    </row>
    <row r="9483" customFormat="false" ht="15" hidden="false" customHeight="false" outlineLevel="0" collapsed="false">
      <c r="A9483" s="2" t="s">
        <v>554</v>
      </c>
      <c r="C9483" s="17" t="n">
        <f aca="false">C9481-C9482</f>
        <v>2580.5106208</v>
      </c>
    </row>
    <row r="9484" customFormat="false" ht="15" hidden="false" customHeight="false" outlineLevel="0" collapsed="false">
      <c r="A9484" s="24" t="s">
        <v>555</v>
      </c>
      <c r="B9484" s="25"/>
      <c r="C9484" s="25"/>
      <c r="D9484" s="25"/>
      <c r="E9484" s="25"/>
      <c r="F9484" s="25"/>
      <c r="G9484" s="25"/>
      <c r="H9484" s="25"/>
      <c r="I9484" s="25"/>
      <c r="J9484" s="25"/>
      <c r="K9484" s="25"/>
    </row>
    <row r="9485" customFormat="false" ht="15" hidden="false" customHeight="false" outlineLevel="0" collapsed="false">
      <c r="A9485" s="3" t="s">
        <v>556</v>
      </c>
      <c r="C9485" s="16" t="n">
        <f aca="false">SUMPRODUCT($G$9473:$K$9473,$G$9230:$K$9230)*(1+SUMPRODUCT($G$9473:$K$9473,$G$9222:$K$9222)*Assumptions!$C$16/12)</f>
        <v>403.76</v>
      </c>
    </row>
    <row r="9486" customFormat="false" ht="15" hidden="false" customHeight="false" outlineLevel="0" collapsed="false">
      <c r="A9486" s="3" t="s">
        <v>557</v>
      </c>
      <c r="C9486" s="16" t="n">
        <f aca="false">SUMPRODUCT($G$9473:$K$9473,$G$9243:$K$9243)*(1+SUMPRODUCT($G$9473:$K$9473,$G$9235:$K$9235)*Assumptions!$C$16/12)</f>
        <v>91.30725</v>
      </c>
    </row>
    <row r="9487" customFormat="false" ht="15" hidden="false" customHeight="false" outlineLevel="0" collapsed="false">
      <c r="A9487" s="3" t="s">
        <v>558</v>
      </c>
      <c r="C9487" s="16" t="n">
        <f aca="false">SUMPRODUCT($G$9473:$K$9473,$G$9256:$K$9256)*(1+SUMPRODUCT($G$9473:$K$9473,$G$9248:$K$9248)*Assumptions!$C$16/12)</f>
        <v>58.3715961</v>
      </c>
    </row>
    <row r="9488" customFormat="false" ht="15" hidden="false" customHeight="false" outlineLevel="0" collapsed="false">
      <c r="A9488" s="3" t="s">
        <v>559</v>
      </c>
      <c r="C9488" s="16" t="n">
        <f aca="false">SUMPRODUCT($G$9473:$K$9473,$G$9269:$K$9269)*(1+SUMPRODUCT($G$9473:$K$9473,$G$9261:$K$9261)*Assumptions!$C$16/12)</f>
        <v>0</v>
      </c>
    </row>
    <row r="9489" customFormat="false" ht="15" hidden="false" customHeight="false" outlineLevel="0" collapsed="false">
      <c r="A9489" s="3" t="s">
        <v>560</v>
      </c>
      <c r="C9489" s="16" t="n">
        <f aca="false">SUMPRODUCT($G$9473:$K$9473,$G$9282:$K$9282)*(1+SUMPRODUCT($G$9473:$K$9473,$G$9274:$K$9274)*Assumptions!$C$16/12)</f>
        <v>454.44375</v>
      </c>
    </row>
    <row r="9490" customFormat="false" ht="15" hidden="false" customHeight="false" outlineLevel="0" collapsed="false">
      <c r="A9490" s="3" t="s">
        <v>561</v>
      </c>
      <c r="C9490" s="16" t="n">
        <f aca="false">SUMPRODUCT($G$9473:$K$9473,$G$9295:$K$9295)*(1+SUMPRODUCT($G$9473:$K$9473,$G$9287:$K$9287)*Assumptions!$C$16/12)</f>
        <v>357.2625</v>
      </c>
    </row>
    <row r="9491" customFormat="false" ht="15" hidden="false" customHeight="false" outlineLevel="0" collapsed="false">
      <c r="A9491" s="3" t="s">
        <v>562</v>
      </c>
      <c r="C9491" s="16" t="n">
        <f aca="false">SUMPRODUCT($G$9473:$K$9473,$G$9308:$K$9308)*(1+SUMPRODUCT($G$9473:$K$9473,$G$9300:$K$9300)*Assumptions!$C$16/12)</f>
        <v>562.203125</v>
      </c>
    </row>
    <row r="9492" customFormat="false" ht="15" hidden="false" customHeight="false" outlineLevel="0" collapsed="false">
      <c r="A9492" s="3" t="s">
        <v>563</v>
      </c>
      <c r="C9492" s="16" t="n">
        <f aca="false">SUMPRODUCT($G$9473:$K$9473,$G$9321:$K$9321)*(1+SUMPRODUCT($G$9473:$K$9473,$G$9313:$K$9313)*Assumptions!$C$16/12)</f>
        <v>353.98125</v>
      </c>
    </row>
    <row r="9493" customFormat="false" ht="15" hidden="false" customHeight="false" outlineLevel="0" collapsed="false">
      <c r="A9493" s="3" t="s">
        <v>564</v>
      </c>
      <c r="C9493" s="16" t="n">
        <f aca="false">SUMPRODUCT($G$9473:$K$9473,$G$9334:$K$9334)*(1+SUMPRODUCT($G$9473:$K$9473,$G$9326:$K$9326)*Assumptions!$C$16/12)</f>
        <v>304.59375</v>
      </c>
    </row>
    <row r="9494" customFormat="false" ht="15" hidden="false" customHeight="false" outlineLevel="0" collapsed="false">
      <c r="A9494" s="3" t="s">
        <v>565</v>
      </c>
      <c r="C9494" s="16" t="n">
        <f aca="false">SUMPRODUCT($G$9473:$K$9473,$G$9347:$K$9347)*(1+SUMPRODUCT($G$9473:$K$9473,$G$9339:$K$9339)*Assumptions!$C$16/12)</f>
        <v>80.2332965</v>
      </c>
    </row>
    <row r="9495" customFormat="false" ht="15" hidden="false" customHeight="false" outlineLevel="0" collapsed="false">
      <c r="A9495" s="24" t="s">
        <v>566</v>
      </c>
      <c r="B9495" s="25"/>
      <c r="C9495" s="25"/>
      <c r="D9495" s="25"/>
      <c r="E9495" s="25"/>
      <c r="F9495" s="25"/>
      <c r="G9495" s="25"/>
      <c r="H9495" s="25"/>
      <c r="I9495" s="25"/>
      <c r="J9495" s="25"/>
      <c r="K9495" s="25"/>
    </row>
    <row r="9496" customFormat="false" ht="15" hidden="false" customHeight="false" outlineLevel="0" collapsed="false">
      <c r="A9496" s="3" t="s">
        <v>556</v>
      </c>
      <c r="C9496" s="27" t="n">
        <f aca="false">Assumptions!$M$57</f>
        <v>1</v>
      </c>
    </row>
    <row r="9497" customFormat="false" ht="15" hidden="false" customHeight="false" outlineLevel="0" collapsed="false">
      <c r="A9497" s="3" t="s">
        <v>557</v>
      </c>
      <c r="C9497" s="27" t="n">
        <f aca="false">Assumptions!$M$58</f>
        <v>1</v>
      </c>
    </row>
    <row r="9498" customFormat="false" ht="15" hidden="false" customHeight="false" outlineLevel="0" collapsed="false">
      <c r="A9498" s="3" t="s">
        <v>558</v>
      </c>
      <c r="C9498" s="27" t="n">
        <f aca="false">Assumptions!$M$59</f>
        <v>1</v>
      </c>
    </row>
    <row r="9499" customFormat="false" ht="15" hidden="false" customHeight="false" outlineLevel="0" collapsed="false">
      <c r="A9499" s="3" t="s">
        <v>559</v>
      </c>
      <c r="C9499" s="27" t="n">
        <f aca="false">Assumptions!$M$60</f>
        <v>2</v>
      </c>
    </row>
    <row r="9500" customFormat="false" ht="15" hidden="false" customHeight="false" outlineLevel="0" collapsed="false">
      <c r="A9500" s="3" t="s">
        <v>560</v>
      </c>
      <c r="C9500" s="27" t="n">
        <f aca="false">Assumptions!$M$61</f>
        <v>2</v>
      </c>
    </row>
    <row r="9501" customFormat="false" ht="15" hidden="false" customHeight="false" outlineLevel="0" collapsed="false">
      <c r="A9501" s="3" t="s">
        <v>561</v>
      </c>
      <c r="C9501" s="27" t="n">
        <f aca="false">Assumptions!$M$62</f>
        <v>2</v>
      </c>
    </row>
    <row r="9502" customFormat="false" ht="15" hidden="false" customHeight="false" outlineLevel="0" collapsed="false">
      <c r="A9502" s="3" t="s">
        <v>562</v>
      </c>
      <c r="C9502" s="27" t="n">
        <f aca="false">Assumptions!$M$63</f>
        <v>2</v>
      </c>
    </row>
    <row r="9503" customFormat="false" ht="15" hidden="false" customHeight="false" outlineLevel="0" collapsed="false">
      <c r="A9503" s="3" t="s">
        <v>563</v>
      </c>
      <c r="C9503" s="27" t="n">
        <f aca="false">Assumptions!$M$64</f>
        <v>2</v>
      </c>
    </row>
    <row r="9504" customFormat="false" ht="15" hidden="false" customHeight="false" outlineLevel="0" collapsed="false">
      <c r="A9504" s="3" t="s">
        <v>564</v>
      </c>
      <c r="C9504" s="27" t="n">
        <f aca="false">Assumptions!$M$65</f>
        <v>2</v>
      </c>
    </row>
    <row r="9505" customFormat="false" ht="15" hidden="false" customHeight="false" outlineLevel="0" collapsed="false">
      <c r="A9505" s="3" t="s">
        <v>565</v>
      </c>
      <c r="C9505" s="27" t="n">
        <f aca="false">Assumptions!$M$66</f>
        <v>3</v>
      </c>
    </row>
    <row r="9506" customFormat="false" ht="15" hidden="false" customHeight="false" outlineLevel="0" collapsed="false">
      <c r="A9506" s="24" t="s">
        <v>567</v>
      </c>
      <c r="B9506" s="25"/>
      <c r="C9506" s="25"/>
      <c r="D9506" s="25"/>
      <c r="E9506" s="25"/>
      <c r="F9506" s="25"/>
      <c r="G9506" s="25"/>
      <c r="H9506" s="25"/>
      <c r="I9506" s="25"/>
      <c r="J9506" s="25"/>
      <c r="K9506" s="25"/>
    </row>
    <row r="9507" customFormat="false" ht="15" hidden="false" customHeight="false" outlineLevel="0" collapsed="false">
      <c r="A9507" s="3" t="s">
        <v>556</v>
      </c>
      <c r="C9507" s="33" t="n">
        <f aca="false">Assumptions!$Q$57</f>
        <v>0.3</v>
      </c>
    </row>
    <row r="9508" customFormat="false" ht="15" hidden="false" customHeight="false" outlineLevel="0" collapsed="false">
      <c r="A9508" s="3" t="s">
        <v>557</v>
      </c>
      <c r="C9508" s="33" t="n">
        <f aca="false">Assumptions!$Q$58</f>
        <v>0.033</v>
      </c>
    </row>
    <row r="9509" customFormat="false" ht="15" hidden="false" customHeight="false" outlineLevel="0" collapsed="false">
      <c r="A9509" s="3" t="s">
        <v>558</v>
      </c>
      <c r="C9509" s="33" t="n">
        <f aca="false">Assumptions!$Q$59</f>
        <v>0.021</v>
      </c>
    </row>
    <row r="9510" customFormat="false" ht="15" hidden="false" customHeight="false" outlineLevel="0" collapsed="false">
      <c r="A9510" s="3" t="s">
        <v>559</v>
      </c>
      <c r="C9510" s="33" t="n">
        <f aca="false">Assumptions!$Q$60</f>
        <v>0</v>
      </c>
    </row>
    <row r="9511" customFormat="false" ht="15" hidden="false" customHeight="false" outlineLevel="0" collapsed="false">
      <c r="A9511" s="3" t="s">
        <v>560</v>
      </c>
      <c r="C9511" s="33" t="n">
        <f aca="false">Assumptions!$Q$61</f>
        <v>0</v>
      </c>
    </row>
    <row r="9512" customFormat="false" ht="15" hidden="false" customHeight="false" outlineLevel="0" collapsed="false">
      <c r="A9512" s="3" t="s">
        <v>561</v>
      </c>
      <c r="C9512" s="33" t="n">
        <f aca="false">Assumptions!$Q$62</f>
        <v>0</v>
      </c>
    </row>
    <row r="9513" customFormat="false" ht="15" hidden="false" customHeight="false" outlineLevel="0" collapsed="false">
      <c r="A9513" s="3" t="s">
        <v>562</v>
      </c>
      <c r="C9513" s="33" t="n">
        <f aca="false">Assumptions!$Q$63</f>
        <v>0</v>
      </c>
    </row>
    <row r="9514" customFormat="false" ht="15" hidden="false" customHeight="false" outlineLevel="0" collapsed="false">
      <c r="A9514" s="3" t="s">
        <v>563</v>
      </c>
      <c r="C9514" s="33" t="n">
        <f aca="false">Assumptions!$Q$64</f>
        <v>0</v>
      </c>
    </row>
    <row r="9515" customFormat="false" ht="15" hidden="false" customHeight="false" outlineLevel="0" collapsed="false">
      <c r="A9515" s="3" t="s">
        <v>564</v>
      </c>
      <c r="C9515" s="33" t="n">
        <f aca="false">Assumptions!$Q$65</f>
        <v>0</v>
      </c>
    </row>
    <row r="9516" customFormat="false" ht="15" hidden="false" customHeight="false" outlineLevel="0" collapsed="false">
      <c r="A9516" s="3" t="s">
        <v>565</v>
      </c>
      <c r="C9516" s="33" t="n">
        <f aca="false">Assumptions!$Q$66</f>
        <v>0</v>
      </c>
    </row>
    <row r="9517" customFormat="false" ht="15" hidden="false" customHeight="false" outlineLevel="0" collapsed="false">
      <c r="A9517" s="24" t="s">
        <v>568</v>
      </c>
      <c r="B9517" s="25"/>
      <c r="C9517" s="25"/>
      <c r="D9517" s="25"/>
      <c r="E9517" s="25"/>
      <c r="F9517" s="25"/>
      <c r="G9517" s="25"/>
      <c r="H9517" s="25"/>
      <c r="I9517" s="25"/>
      <c r="J9517" s="25"/>
      <c r="K9517" s="25"/>
    </row>
    <row r="9518" customFormat="false" ht="15" hidden="false" customHeight="false" outlineLevel="0" collapsed="false">
      <c r="A9518" s="3" t="s">
        <v>556</v>
      </c>
      <c r="C9518" s="16" t="n">
        <f aca="false">IF(C9507&gt;0,MIN(C9485,C9507*$C$9483),0)</f>
        <v>403.76</v>
      </c>
    </row>
    <row r="9519" customFormat="false" ht="15" hidden="false" customHeight="false" outlineLevel="0" collapsed="false">
      <c r="A9519" s="3" t="s">
        <v>557</v>
      </c>
      <c r="C9519" s="16" t="n">
        <f aca="false">IF(C9508&gt;0,MIN(C9486,C9508*$C$9483),0)</f>
        <v>85.1568504864</v>
      </c>
    </row>
    <row r="9520" customFormat="false" ht="15" hidden="false" customHeight="false" outlineLevel="0" collapsed="false">
      <c r="A9520" s="3" t="s">
        <v>558</v>
      </c>
      <c r="C9520" s="16" t="n">
        <f aca="false">IF(C9509&gt;0,MIN(C9487,C9509*$C$9483),0)</f>
        <v>54.1907230368</v>
      </c>
    </row>
    <row r="9521" customFormat="false" ht="15" hidden="false" customHeight="false" outlineLevel="0" collapsed="false">
      <c r="A9521" s="3" t="s">
        <v>559</v>
      </c>
      <c r="C9521" s="16" t="n">
        <f aca="false">IF(C9510&gt;0,MIN(C9488,C9510*$C$9483),0)</f>
        <v>0</v>
      </c>
    </row>
    <row r="9522" customFormat="false" ht="15" hidden="false" customHeight="false" outlineLevel="0" collapsed="false">
      <c r="A9522" s="3" t="s">
        <v>560</v>
      </c>
      <c r="C9522" s="16" t="n">
        <f aca="false">IF(C9511&gt;0,MIN(C9489,C9511*$C$9483),0)</f>
        <v>0</v>
      </c>
    </row>
    <row r="9523" customFormat="false" ht="15" hidden="false" customHeight="false" outlineLevel="0" collapsed="false">
      <c r="A9523" s="3" t="s">
        <v>561</v>
      </c>
      <c r="C9523" s="16" t="n">
        <f aca="false">IF(C9512&gt;0,MIN(C9490,C9512*$C$9483),0)</f>
        <v>0</v>
      </c>
    </row>
    <row r="9524" customFormat="false" ht="15" hidden="false" customHeight="false" outlineLevel="0" collapsed="false">
      <c r="A9524" s="3" t="s">
        <v>562</v>
      </c>
      <c r="C9524" s="16" t="n">
        <f aca="false">IF(C9513&gt;0,MIN(C9491,C9513*$C$9483),0)</f>
        <v>0</v>
      </c>
    </row>
    <row r="9525" customFormat="false" ht="15" hidden="false" customHeight="false" outlineLevel="0" collapsed="false">
      <c r="A9525" s="3" t="s">
        <v>563</v>
      </c>
      <c r="C9525" s="16" t="n">
        <f aca="false">IF(C9514&gt;0,MIN(C9492,C9514*$C$9483),0)</f>
        <v>0</v>
      </c>
    </row>
    <row r="9526" customFormat="false" ht="15" hidden="false" customHeight="false" outlineLevel="0" collapsed="false">
      <c r="A9526" s="3" t="s">
        <v>564</v>
      </c>
      <c r="C9526" s="16" t="n">
        <f aca="false">IF(C9515&gt;0,MIN(C9493,C9515*$C$9483),0)</f>
        <v>0</v>
      </c>
    </row>
    <row r="9527" customFormat="false" ht="15" hidden="false" customHeight="false" outlineLevel="0" collapsed="false">
      <c r="A9527" s="3" t="s">
        <v>565</v>
      </c>
      <c r="C9527" s="16" t="n">
        <f aca="false">IF(C9516&gt;0,MIN(C9494,C9516*$C$9483),0)</f>
        <v>0</v>
      </c>
    </row>
    <row r="9528" customFormat="false" ht="15" hidden="false" customHeight="false" outlineLevel="0" collapsed="false">
      <c r="A9528" s="24" t="s">
        <v>569</v>
      </c>
      <c r="B9528" s="25"/>
      <c r="C9528" s="25"/>
      <c r="D9528" s="25"/>
      <c r="E9528" s="25"/>
      <c r="F9528" s="25"/>
      <c r="G9528" s="25"/>
      <c r="H9528" s="25"/>
      <c r="I9528" s="25"/>
      <c r="J9528" s="25"/>
      <c r="K9528" s="25"/>
    </row>
    <row r="9529" customFormat="false" ht="15" hidden="false" customHeight="false" outlineLevel="0" collapsed="false">
      <c r="A9529" s="3" t="s">
        <v>556</v>
      </c>
      <c r="C9529" s="16" t="n">
        <f aca="false">IF(C9507&gt;0,C9485-C9518,0)</f>
        <v>0</v>
      </c>
      <c r="G9529" s="21" t="n">
        <f aca="false">IF(AND(G9220=1,G9217=1),1,0)</f>
        <v>0</v>
      </c>
      <c r="H9529" s="21" t="n">
        <f aca="false">IF(G9529=1,1,IF(AND(H9220=1,H9217=1),1,0))</f>
        <v>0</v>
      </c>
      <c r="I9529" s="21" t="n">
        <f aca="false">IF(H9529=1,1,IF(AND(I9220=1,I9217=1),1,0))</f>
        <v>0</v>
      </c>
      <c r="J9529" s="21" t="n">
        <f aca="false">IF(I9529=1,1,IF(AND(J9220=1,J9217=1),1,0))</f>
        <v>0</v>
      </c>
      <c r="K9529" s="21" t="n">
        <f aca="false">IF(J9529=1,1,IF(AND(K9220=1,K9217=1),1,0))</f>
        <v>0</v>
      </c>
    </row>
    <row r="9530" customFormat="false" ht="15" hidden="false" customHeight="false" outlineLevel="0" collapsed="false">
      <c r="A9530" s="3" t="s">
        <v>557</v>
      </c>
      <c r="C9530" s="16" t="n">
        <f aca="false">IF(C9508&gt;0,C9486-C9519,0)</f>
        <v>6.15039951360001</v>
      </c>
      <c r="G9530" s="21" t="n">
        <f aca="false">IF(AND(G9233=1,G9217=1),1,0)</f>
        <v>0</v>
      </c>
      <c r="H9530" s="21" t="n">
        <f aca="false">IF(G9530=1,1,IF(AND(H9233=1,H9217=1),1,0))</f>
        <v>0</v>
      </c>
      <c r="I9530" s="21" t="n">
        <f aca="false">IF(H9530=1,1,IF(AND(I9233=1,I9217=1),1,0))</f>
        <v>0</v>
      </c>
      <c r="J9530" s="21" t="n">
        <f aca="false">IF(I9530=1,1,IF(AND(J9233=1,J9217=1),1,0))</f>
        <v>0</v>
      </c>
      <c r="K9530" s="21" t="n">
        <f aca="false">IF(J9530=1,1,IF(AND(K9233=1,K9217=1),1,0))</f>
        <v>0</v>
      </c>
    </row>
    <row r="9531" customFormat="false" ht="15" hidden="false" customHeight="false" outlineLevel="0" collapsed="false">
      <c r="A9531" s="3" t="s">
        <v>558</v>
      </c>
      <c r="C9531" s="16" t="n">
        <f aca="false">IF(C9509&gt;0,C9487-C9520,0)</f>
        <v>4.1808730632</v>
      </c>
      <c r="G9531" s="21" t="n">
        <f aca="false">IF(AND(G9246=1,G9217=1),1,0)</f>
        <v>0</v>
      </c>
      <c r="H9531" s="21" t="n">
        <f aca="false">IF(G9531=1,1,IF(AND(H9246=1,H9217=1),1,0))</f>
        <v>0</v>
      </c>
      <c r="I9531" s="21" t="n">
        <f aca="false">IF(H9531=1,1,IF(AND(I9246=1,I9217=1),1,0))</f>
        <v>0</v>
      </c>
      <c r="J9531" s="21" t="n">
        <f aca="false">IF(I9531=1,1,IF(AND(J9246=1,J9217=1),1,0))</f>
        <v>0</v>
      </c>
      <c r="K9531" s="21" t="n">
        <f aca="false">IF(J9531=1,1,IF(AND(K9246=1,K9217=1),1,0))</f>
        <v>0</v>
      </c>
    </row>
    <row r="9532" customFormat="false" ht="15" hidden="false" customHeight="false" outlineLevel="0" collapsed="false">
      <c r="A9532" s="3" t="s">
        <v>559</v>
      </c>
      <c r="C9532" s="16" t="n">
        <f aca="false">IF(C9510&gt;0,C9488-C9521,0)</f>
        <v>0</v>
      </c>
      <c r="G9532" s="21" t="n">
        <f aca="false">IF(AND(G9259=1,G9217=1),1,0)</f>
        <v>0</v>
      </c>
      <c r="H9532" s="21" t="n">
        <f aca="false">IF(G9532=1,1,IF(AND(H9259=1,H9217=1),1,0))</f>
        <v>0</v>
      </c>
      <c r="I9532" s="21" t="n">
        <f aca="false">IF(H9532=1,1,IF(AND(I9259=1,I9217=1),1,0))</f>
        <v>0</v>
      </c>
      <c r="J9532" s="21" t="n">
        <f aca="false">IF(I9532=1,1,IF(AND(J9259=1,J9217=1),1,0))</f>
        <v>0</v>
      </c>
      <c r="K9532" s="21" t="n">
        <f aca="false">IF(J9532=1,1,IF(AND(K9259=1,K9217=1),1,0))</f>
        <v>0</v>
      </c>
    </row>
    <row r="9533" customFormat="false" ht="15" hidden="false" customHeight="false" outlineLevel="0" collapsed="false">
      <c r="A9533" s="3" t="s">
        <v>560</v>
      </c>
      <c r="C9533" s="16" t="n">
        <f aca="false">IF(C9511&gt;0,C9489-C9522,0)</f>
        <v>0</v>
      </c>
      <c r="G9533" s="21" t="n">
        <f aca="false">IF(AND(G9272=1,G9217=1),1,0)</f>
        <v>0</v>
      </c>
      <c r="H9533" s="21" t="n">
        <f aca="false">IF(G9533=1,1,IF(AND(H9272=1,H9217=1),1,0))</f>
        <v>0</v>
      </c>
      <c r="I9533" s="21" t="n">
        <f aca="false">IF(H9533=1,1,IF(AND(I9272=1,I9217=1),1,0))</f>
        <v>0</v>
      </c>
      <c r="J9533" s="21" t="n">
        <f aca="false">IF(I9533=1,1,IF(AND(J9272=1,J9217=1),1,0))</f>
        <v>0</v>
      </c>
      <c r="K9533" s="21" t="n">
        <f aca="false">IF(J9533=1,1,IF(AND(K9272=1,K9217=1),1,0))</f>
        <v>0</v>
      </c>
    </row>
    <row r="9534" customFormat="false" ht="15" hidden="false" customHeight="false" outlineLevel="0" collapsed="false">
      <c r="A9534" s="3" t="s">
        <v>561</v>
      </c>
      <c r="C9534" s="16" t="n">
        <f aca="false">IF(C9512&gt;0,C9490-C9523,0)</f>
        <v>0</v>
      </c>
      <c r="G9534" s="21" t="n">
        <f aca="false">IF(AND(G9285=1,G9217=1),1,0)</f>
        <v>0</v>
      </c>
      <c r="H9534" s="21" t="n">
        <f aca="false">IF(G9534=1,1,IF(AND(H9285=1,H9217=1),1,0))</f>
        <v>0</v>
      </c>
      <c r="I9534" s="21" t="n">
        <f aca="false">IF(H9534=1,1,IF(AND(I9285=1,I9217=1),1,0))</f>
        <v>0</v>
      </c>
      <c r="J9534" s="21" t="n">
        <f aca="false">IF(I9534=1,1,IF(AND(J9285=1,J9217=1),1,0))</f>
        <v>0</v>
      </c>
      <c r="K9534" s="21" t="n">
        <f aca="false">IF(J9534=1,1,IF(AND(K9285=1,K9217=1),1,0))</f>
        <v>0</v>
      </c>
    </row>
    <row r="9535" customFormat="false" ht="15" hidden="false" customHeight="false" outlineLevel="0" collapsed="false">
      <c r="A9535" s="3" t="s">
        <v>562</v>
      </c>
      <c r="C9535" s="16" t="n">
        <f aca="false">IF(C9513&gt;0,C9491-C9524,0)</f>
        <v>0</v>
      </c>
      <c r="G9535" s="21" t="n">
        <f aca="false">IF(AND(G9298=1,G9217=1),1,0)</f>
        <v>0</v>
      </c>
      <c r="H9535" s="21" t="n">
        <f aca="false">IF(G9535=1,1,IF(AND(H9298=1,H9217=1),1,0))</f>
        <v>0</v>
      </c>
      <c r="I9535" s="21" t="n">
        <f aca="false">IF(H9535=1,1,IF(AND(I9298=1,I9217=1),1,0))</f>
        <v>0</v>
      </c>
      <c r="J9535" s="21" t="n">
        <f aca="false">IF(I9535=1,1,IF(AND(J9298=1,J9217=1),1,0))</f>
        <v>0</v>
      </c>
      <c r="K9535" s="21" t="n">
        <f aca="false">IF(J9535=1,1,IF(AND(K9298=1,K9217=1),1,0))</f>
        <v>0</v>
      </c>
    </row>
    <row r="9536" customFormat="false" ht="15" hidden="false" customHeight="false" outlineLevel="0" collapsed="false">
      <c r="A9536" s="3" t="s">
        <v>563</v>
      </c>
      <c r="C9536" s="16" t="n">
        <f aca="false">IF(C9514&gt;0,C9492-C9525,0)</f>
        <v>0</v>
      </c>
      <c r="G9536" s="21" t="n">
        <f aca="false">IF(AND(G9311=1,G9217=1),1,0)</f>
        <v>0</v>
      </c>
      <c r="H9536" s="21" t="n">
        <f aca="false">IF(G9536=1,1,IF(AND(H9311=1,H9217=1),1,0))</f>
        <v>0</v>
      </c>
      <c r="I9536" s="21" t="n">
        <f aca="false">IF(H9536=1,1,IF(AND(I9311=1,I9217=1),1,0))</f>
        <v>0</v>
      </c>
      <c r="J9536" s="21" t="n">
        <f aca="false">IF(I9536=1,1,IF(AND(J9311=1,J9217=1),1,0))</f>
        <v>0</v>
      </c>
      <c r="K9536" s="21" t="n">
        <f aca="false">IF(J9536=1,1,IF(AND(K9311=1,K9217=1),1,0))</f>
        <v>0</v>
      </c>
    </row>
    <row r="9537" customFormat="false" ht="15" hidden="false" customHeight="false" outlineLevel="0" collapsed="false">
      <c r="A9537" s="3" t="s">
        <v>564</v>
      </c>
      <c r="C9537" s="16" t="n">
        <f aca="false">IF(C9515&gt;0,C9493-C9526,0)</f>
        <v>0</v>
      </c>
      <c r="G9537" s="21" t="n">
        <f aca="false">IF(AND(G9324=1,G9217=1),1,0)</f>
        <v>0</v>
      </c>
      <c r="H9537" s="21" t="n">
        <f aca="false">IF(G9537=1,1,IF(AND(H9324=1,H9217=1),1,0))</f>
        <v>0</v>
      </c>
      <c r="I9537" s="21" t="n">
        <f aca="false">IF(H9537=1,1,IF(AND(I9324=1,I9217=1),1,0))</f>
        <v>0</v>
      </c>
      <c r="J9537" s="21" t="n">
        <f aca="false">IF(I9537=1,1,IF(AND(J9324=1,J9217=1),1,0))</f>
        <v>0</v>
      </c>
      <c r="K9537" s="21" t="n">
        <f aca="false">IF(J9537=1,1,IF(AND(K9324=1,K9217=1),1,0))</f>
        <v>0</v>
      </c>
    </row>
    <row r="9538" customFormat="false" ht="15" hidden="false" customHeight="false" outlineLevel="0" collapsed="false">
      <c r="A9538" s="3" t="s">
        <v>565</v>
      </c>
      <c r="C9538" s="16" t="n">
        <f aca="false">IF(C9516&gt;0,C9494-C9527,0)</f>
        <v>0</v>
      </c>
      <c r="G9538" s="21" t="n">
        <f aca="false">IF(AND(G9337=1,G9217=1),1,0)</f>
        <v>0</v>
      </c>
      <c r="H9538" s="21" t="n">
        <f aca="false">IF(G9538=1,1,IF(AND(H9337=1,H9217=1),1,0))</f>
        <v>0</v>
      </c>
      <c r="I9538" s="21" t="n">
        <f aca="false">IF(H9538=1,1,IF(AND(I9337=1,I9217=1),1,0))</f>
        <v>0</v>
      </c>
      <c r="J9538" s="21" t="n">
        <f aca="false">IF(I9538=1,1,IF(AND(J9337=1,J9217=1),1,0))</f>
        <v>0</v>
      </c>
      <c r="K9538" s="21" t="n">
        <f aca="false">IF(J9538=1,1,IF(AND(K9337=1,K9217=1),1,0))</f>
        <v>0</v>
      </c>
    </row>
    <row r="9539" customFormat="false" ht="15" hidden="false" customHeight="false" outlineLevel="0" collapsed="false">
      <c r="A9539" s="24" t="s">
        <v>570</v>
      </c>
      <c r="B9539" s="25"/>
      <c r="C9539" s="25"/>
      <c r="D9539" s="25"/>
      <c r="E9539" s="25"/>
      <c r="F9539" s="25"/>
      <c r="G9539" s="25"/>
      <c r="H9539" s="25"/>
      <c r="I9539" s="25"/>
      <c r="J9539" s="25"/>
      <c r="K9539" s="25"/>
    </row>
    <row r="9540" customFormat="false" ht="15" hidden="false" customHeight="false" outlineLevel="0" collapsed="false">
      <c r="A9540" s="3" t="s">
        <v>556</v>
      </c>
      <c r="C9540" s="16" t="n">
        <f aca="false">IF(C9507&gt;0,C9529,C9485)</f>
        <v>0</v>
      </c>
    </row>
    <row r="9541" customFormat="false" ht="15" hidden="false" customHeight="false" outlineLevel="0" collapsed="false">
      <c r="A9541" s="3" t="s">
        <v>557</v>
      </c>
      <c r="C9541" s="16" t="n">
        <f aca="false">IF(C9508&gt;0,C9530,C9486)</f>
        <v>6.15039951360001</v>
      </c>
    </row>
    <row r="9542" customFormat="false" ht="15" hidden="false" customHeight="false" outlineLevel="0" collapsed="false">
      <c r="A9542" s="3" t="s">
        <v>558</v>
      </c>
      <c r="C9542" s="16" t="n">
        <f aca="false">IF(C9509&gt;0,C9531,C9487)</f>
        <v>4.1808730632</v>
      </c>
    </row>
    <row r="9543" customFormat="false" ht="15" hidden="false" customHeight="false" outlineLevel="0" collapsed="false">
      <c r="A9543" s="3" t="s">
        <v>559</v>
      </c>
      <c r="C9543" s="16" t="n">
        <f aca="false">IF(C9510&gt;0,C9532,C9488)</f>
        <v>0</v>
      </c>
    </row>
    <row r="9544" customFormat="false" ht="15" hidden="false" customHeight="false" outlineLevel="0" collapsed="false">
      <c r="A9544" s="3" t="s">
        <v>560</v>
      </c>
      <c r="C9544" s="16" t="n">
        <f aca="false">IF(C9511&gt;0,C9533,C9489)</f>
        <v>454.44375</v>
      </c>
    </row>
    <row r="9545" customFormat="false" ht="15" hidden="false" customHeight="false" outlineLevel="0" collapsed="false">
      <c r="A9545" s="3" t="s">
        <v>561</v>
      </c>
      <c r="C9545" s="16" t="n">
        <f aca="false">IF(C9512&gt;0,C9534,C9490)</f>
        <v>357.2625</v>
      </c>
    </row>
    <row r="9546" customFormat="false" ht="15" hidden="false" customHeight="false" outlineLevel="0" collapsed="false">
      <c r="A9546" s="3" t="s">
        <v>562</v>
      </c>
      <c r="C9546" s="16" t="n">
        <f aca="false">IF(C9513&gt;0,C9535,C9491)</f>
        <v>562.203125</v>
      </c>
    </row>
    <row r="9547" customFormat="false" ht="15" hidden="false" customHeight="false" outlineLevel="0" collapsed="false">
      <c r="A9547" s="3" t="s">
        <v>563</v>
      </c>
      <c r="C9547" s="16" t="n">
        <f aca="false">IF(C9514&gt;0,C9536,C9492)</f>
        <v>353.98125</v>
      </c>
    </row>
    <row r="9548" customFormat="false" ht="15" hidden="false" customHeight="false" outlineLevel="0" collapsed="false">
      <c r="A9548" s="3" t="s">
        <v>564</v>
      </c>
      <c r="C9548" s="16" t="n">
        <f aca="false">IF(C9515&gt;0,C9537,C9493)</f>
        <v>304.59375</v>
      </c>
    </row>
    <row r="9549" customFormat="false" ht="15" hidden="false" customHeight="false" outlineLevel="0" collapsed="false">
      <c r="A9549" s="3" t="s">
        <v>565</v>
      </c>
      <c r="C9549" s="16" t="n">
        <f aca="false">IF(C9516&gt;0,C9538,C9494)</f>
        <v>80.2332965</v>
      </c>
    </row>
    <row r="9550" customFormat="false" ht="15" hidden="false" customHeight="false" outlineLevel="0" collapsed="false">
      <c r="A9550" s="24" t="s">
        <v>571</v>
      </c>
      <c r="B9550" s="25"/>
      <c r="C9550" s="25"/>
      <c r="D9550" s="25"/>
      <c r="E9550" s="25"/>
      <c r="F9550" s="25"/>
      <c r="G9550" s="25"/>
      <c r="H9550" s="25"/>
      <c r="I9550" s="25"/>
      <c r="J9550" s="25"/>
      <c r="K9550" s="25"/>
    </row>
    <row r="9551" customFormat="false" ht="15" hidden="false" customHeight="false" outlineLevel="0" collapsed="false">
      <c r="A9551" s="3" t="s">
        <v>556</v>
      </c>
      <c r="C9551" s="21" t="n">
        <f aca="false">IF(C9507&gt;0,Assumptions!$C$17,C9496)</f>
        <v>99</v>
      </c>
    </row>
    <row r="9552" customFormat="false" ht="15" hidden="false" customHeight="false" outlineLevel="0" collapsed="false">
      <c r="A9552" s="3" t="s">
        <v>557</v>
      </c>
      <c r="C9552" s="21" t="n">
        <f aca="false">IF(C9508&gt;0,Assumptions!$C$17,C9497)</f>
        <v>99</v>
      </c>
    </row>
    <row r="9553" customFormat="false" ht="15" hidden="false" customHeight="false" outlineLevel="0" collapsed="false">
      <c r="A9553" s="3" t="s">
        <v>558</v>
      </c>
      <c r="C9553" s="21" t="n">
        <f aca="false">IF(C9509&gt;0,Assumptions!$C$17,C9498)</f>
        <v>99</v>
      </c>
    </row>
    <row r="9554" customFormat="false" ht="15" hidden="false" customHeight="false" outlineLevel="0" collapsed="false">
      <c r="A9554" s="3" t="s">
        <v>559</v>
      </c>
      <c r="C9554" s="21" t="n">
        <f aca="false">IF(C9510&gt;0,Assumptions!$C$17,C9499)</f>
        <v>2</v>
      </c>
    </row>
    <row r="9555" customFormat="false" ht="15" hidden="false" customHeight="false" outlineLevel="0" collapsed="false">
      <c r="A9555" s="3" t="s">
        <v>560</v>
      </c>
      <c r="C9555" s="21" t="n">
        <f aca="false">IF(C9511&gt;0,Assumptions!$C$17,C9500)</f>
        <v>2</v>
      </c>
    </row>
    <row r="9556" customFormat="false" ht="15" hidden="false" customHeight="false" outlineLevel="0" collapsed="false">
      <c r="A9556" s="3" t="s">
        <v>561</v>
      </c>
      <c r="C9556" s="21" t="n">
        <f aca="false">IF(C9512&gt;0,Assumptions!$C$17,C9501)</f>
        <v>2</v>
      </c>
    </row>
    <row r="9557" customFormat="false" ht="15" hidden="false" customHeight="false" outlineLevel="0" collapsed="false">
      <c r="A9557" s="3" t="s">
        <v>562</v>
      </c>
      <c r="C9557" s="21" t="n">
        <f aca="false">IF(C9513&gt;0,Assumptions!$C$17,C9502)</f>
        <v>2</v>
      </c>
    </row>
    <row r="9558" customFormat="false" ht="15" hidden="false" customHeight="false" outlineLevel="0" collapsed="false">
      <c r="A9558" s="3" t="s">
        <v>563</v>
      </c>
      <c r="C9558" s="21" t="n">
        <f aca="false">IF(C9514&gt;0,Assumptions!$C$17,C9503)</f>
        <v>2</v>
      </c>
    </row>
    <row r="9559" customFormat="false" ht="15" hidden="false" customHeight="false" outlineLevel="0" collapsed="false">
      <c r="A9559" s="3" t="s">
        <v>564</v>
      </c>
      <c r="C9559" s="21" t="n">
        <f aca="false">IF(C9515&gt;0,Assumptions!$C$17,C9504)</f>
        <v>2</v>
      </c>
    </row>
    <row r="9560" customFormat="false" ht="15" hidden="false" customHeight="false" outlineLevel="0" collapsed="false">
      <c r="A9560" s="3" t="s">
        <v>565</v>
      </c>
      <c r="C9560" s="21" t="n">
        <f aca="false">IF(C9516&gt;0,Assumptions!$C$17,C9505)</f>
        <v>3</v>
      </c>
    </row>
    <row r="9561" customFormat="false" ht="15" hidden="false" customHeight="false" outlineLevel="0" collapsed="false">
      <c r="A9561" s="24" t="s">
        <v>572</v>
      </c>
      <c r="B9561" s="25"/>
      <c r="C9561" s="25"/>
      <c r="D9561" s="25"/>
      <c r="E9561" s="25"/>
      <c r="F9561" s="25"/>
      <c r="G9561" s="25"/>
      <c r="H9561" s="25"/>
      <c r="I9561" s="25"/>
      <c r="J9561" s="25"/>
      <c r="K9561" s="25"/>
    </row>
    <row r="9562" customFormat="false" ht="15" hidden="false" customHeight="false" outlineLevel="0" collapsed="false">
      <c r="A9562" s="3" t="s">
        <v>556</v>
      </c>
      <c r="C9562" s="16" t="n">
        <f aca="false">SUMPRODUCT(($C$9551:$C$9560&lt;C9551)*$C$9540:$C$9549)</f>
        <v>2112.7176715</v>
      </c>
    </row>
    <row r="9563" customFormat="false" ht="15" hidden="false" customHeight="false" outlineLevel="0" collapsed="false">
      <c r="A9563" s="3" t="s">
        <v>557</v>
      </c>
      <c r="C9563" s="16" t="n">
        <f aca="false">SUMPRODUCT(($C$9551:$C$9560&lt;C9552)*$C$9540:$C$9549)</f>
        <v>2112.7176715</v>
      </c>
    </row>
    <row r="9564" customFormat="false" ht="15" hidden="false" customHeight="false" outlineLevel="0" collapsed="false">
      <c r="A9564" s="3" t="s">
        <v>558</v>
      </c>
      <c r="C9564" s="16" t="n">
        <f aca="false">SUMPRODUCT(($C$9551:$C$9560&lt;C9553)*$C$9540:$C$9549)</f>
        <v>2112.7176715</v>
      </c>
    </row>
    <row r="9565" customFormat="false" ht="15" hidden="false" customHeight="false" outlineLevel="0" collapsed="false">
      <c r="A9565" s="3" t="s">
        <v>559</v>
      </c>
      <c r="C9565" s="16" t="n">
        <f aca="false">SUMPRODUCT(($C$9551:$C$9560&lt;C9554)*$C$9540:$C$9549)</f>
        <v>0</v>
      </c>
    </row>
    <row r="9566" customFormat="false" ht="15" hidden="false" customHeight="false" outlineLevel="0" collapsed="false">
      <c r="A9566" s="3" t="s">
        <v>560</v>
      </c>
      <c r="C9566" s="16" t="n">
        <f aca="false">SUMPRODUCT(($C$9551:$C$9560&lt;C9555)*$C$9540:$C$9549)</f>
        <v>0</v>
      </c>
    </row>
    <row r="9567" customFormat="false" ht="15" hidden="false" customHeight="false" outlineLevel="0" collapsed="false">
      <c r="A9567" s="3" t="s">
        <v>561</v>
      </c>
      <c r="C9567" s="16" t="n">
        <f aca="false">SUMPRODUCT(($C$9551:$C$9560&lt;C9556)*$C$9540:$C$9549)</f>
        <v>0</v>
      </c>
    </row>
    <row r="9568" customFormat="false" ht="15" hidden="false" customHeight="false" outlineLevel="0" collapsed="false">
      <c r="A9568" s="3" t="s">
        <v>562</v>
      </c>
      <c r="C9568" s="16" t="n">
        <f aca="false">SUMPRODUCT(($C$9551:$C$9560&lt;C9557)*$C$9540:$C$9549)</f>
        <v>0</v>
      </c>
    </row>
    <row r="9569" customFormat="false" ht="15" hidden="false" customHeight="false" outlineLevel="0" collapsed="false">
      <c r="A9569" s="3" t="s">
        <v>563</v>
      </c>
      <c r="C9569" s="16" t="n">
        <f aca="false">SUMPRODUCT(($C$9551:$C$9560&lt;C9558)*$C$9540:$C$9549)</f>
        <v>0</v>
      </c>
    </row>
    <row r="9570" customFormat="false" ht="15" hidden="false" customHeight="false" outlineLevel="0" collapsed="false">
      <c r="A9570" s="3" t="s">
        <v>564</v>
      </c>
      <c r="C9570" s="16" t="n">
        <f aca="false">SUMPRODUCT(($C$9551:$C$9560&lt;C9559)*$C$9540:$C$9549)</f>
        <v>0</v>
      </c>
    </row>
    <row r="9571" customFormat="false" ht="15" hidden="false" customHeight="false" outlineLevel="0" collapsed="false">
      <c r="A9571" s="3" t="s">
        <v>565</v>
      </c>
      <c r="C9571" s="16" t="n">
        <f aca="false">SUMPRODUCT(($C$9551:$C$9560&lt;C9560)*$C$9540:$C$9549)</f>
        <v>2032.484375</v>
      </c>
    </row>
    <row r="9572" customFormat="false" ht="15" hidden="false" customHeight="false" outlineLevel="0" collapsed="false">
      <c r="A9572" s="24" t="s">
        <v>573</v>
      </c>
      <c r="B9572" s="25"/>
      <c r="C9572" s="25"/>
      <c r="D9572" s="25"/>
      <c r="E9572" s="25"/>
      <c r="F9572" s="25"/>
      <c r="G9572" s="25"/>
      <c r="H9572" s="25"/>
      <c r="I9572" s="25"/>
      <c r="J9572" s="25"/>
      <c r="K9572" s="25"/>
    </row>
    <row r="9573" customFormat="false" ht="15" hidden="false" customHeight="false" outlineLevel="0" collapsed="false">
      <c r="A9573" s="3" t="s">
        <v>556</v>
      </c>
      <c r="C9573" s="16" t="n">
        <f aca="false">SUMPRODUCT(($C$9551:$C$9560=C9551)*$C$9540:$C$9549)</f>
        <v>10.3312725768</v>
      </c>
    </row>
    <row r="9574" customFormat="false" ht="15" hidden="false" customHeight="false" outlineLevel="0" collapsed="false">
      <c r="A9574" s="3" t="s">
        <v>557</v>
      </c>
      <c r="C9574" s="16" t="n">
        <f aca="false">SUMPRODUCT(($C$9551:$C$9560=C9552)*$C$9540:$C$9549)</f>
        <v>10.3312725768</v>
      </c>
    </row>
    <row r="9575" customFormat="false" ht="15" hidden="false" customHeight="false" outlineLevel="0" collapsed="false">
      <c r="A9575" s="3" t="s">
        <v>558</v>
      </c>
      <c r="C9575" s="16" t="n">
        <f aca="false">SUMPRODUCT(($C$9551:$C$9560=C9553)*$C$9540:$C$9549)</f>
        <v>10.3312725768</v>
      </c>
    </row>
    <row r="9576" customFormat="false" ht="15" hidden="false" customHeight="false" outlineLevel="0" collapsed="false">
      <c r="A9576" s="3" t="s">
        <v>559</v>
      </c>
      <c r="C9576" s="16" t="n">
        <f aca="false">SUMPRODUCT(($C$9551:$C$9560=C9554)*$C$9540:$C$9549)</f>
        <v>2032.484375</v>
      </c>
    </row>
    <row r="9577" customFormat="false" ht="15" hidden="false" customHeight="false" outlineLevel="0" collapsed="false">
      <c r="A9577" s="3" t="s">
        <v>560</v>
      </c>
      <c r="C9577" s="16" t="n">
        <f aca="false">SUMPRODUCT(($C$9551:$C$9560=C9555)*$C$9540:$C$9549)</f>
        <v>2032.484375</v>
      </c>
    </row>
    <row r="9578" customFormat="false" ht="15" hidden="false" customHeight="false" outlineLevel="0" collapsed="false">
      <c r="A9578" s="3" t="s">
        <v>561</v>
      </c>
      <c r="C9578" s="16" t="n">
        <f aca="false">SUMPRODUCT(($C$9551:$C$9560=C9556)*$C$9540:$C$9549)</f>
        <v>2032.484375</v>
      </c>
    </row>
    <row r="9579" customFormat="false" ht="15" hidden="false" customHeight="false" outlineLevel="0" collapsed="false">
      <c r="A9579" s="3" t="s">
        <v>562</v>
      </c>
      <c r="C9579" s="16" t="n">
        <f aca="false">SUMPRODUCT(($C$9551:$C$9560=C9557)*$C$9540:$C$9549)</f>
        <v>2032.484375</v>
      </c>
    </row>
    <row r="9580" customFormat="false" ht="15" hidden="false" customHeight="false" outlineLevel="0" collapsed="false">
      <c r="A9580" s="3" t="s">
        <v>563</v>
      </c>
      <c r="C9580" s="16" t="n">
        <f aca="false">SUMPRODUCT(($C$9551:$C$9560=C9558)*$C$9540:$C$9549)</f>
        <v>2032.484375</v>
      </c>
    </row>
    <row r="9581" customFormat="false" ht="15" hidden="false" customHeight="false" outlineLevel="0" collapsed="false">
      <c r="A9581" s="3" t="s">
        <v>564</v>
      </c>
      <c r="C9581" s="16" t="n">
        <f aca="false">SUMPRODUCT(($C$9551:$C$9560=C9559)*$C$9540:$C$9549)</f>
        <v>2032.484375</v>
      </c>
    </row>
    <row r="9582" customFormat="false" ht="15" hidden="false" customHeight="false" outlineLevel="0" collapsed="false">
      <c r="A9582" s="3" t="s">
        <v>565</v>
      </c>
      <c r="C9582" s="16" t="n">
        <f aca="false">SUMPRODUCT(($C$9551:$C$9560=C9560)*$C$9540:$C$9549)</f>
        <v>80.2332965</v>
      </c>
    </row>
    <row r="9583" customFormat="false" ht="15" hidden="false" customHeight="false" outlineLevel="0" collapsed="false">
      <c r="A9583" s="24" t="s">
        <v>574</v>
      </c>
      <c r="B9583" s="25"/>
      <c r="C9583" s="25"/>
      <c r="D9583" s="25"/>
      <c r="E9583" s="25"/>
      <c r="F9583" s="25"/>
      <c r="G9583" s="25"/>
      <c r="H9583" s="25"/>
      <c r="I9583" s="25"/>
      <c r="J9583" s="25"/>
      <c r="K9583" s="25"/>
    </row>
    <row r="9584" customFormat="false" ht="15" hidden="false" customHeight="false" outlineLevel="0" collapsed="false">
      <c r="A9584" s="3" t="s">
        <v>556</v>
      </c>
      <c r="C9584" s="16" t="n">
        <f aca="false">IF(C9573=0,0,C9540/C9573*MAX(0,MIN(C9573,$C$9483-SUM($C$9518:$C$9527)-C9562)))</f>
        <v>0</v>
      </c>
    </row>
    <row r="9585" customFormat="false" ht="15" hidden="false" customHeight="false" outlineLevel="0" collapsed="false">
      <c r="A9585" s="3" t="s">
        <v>557</v>
      </c>
      <c r="C9585" s="16" t="n">
        <f aca="false">IF(C9574=0,0,C9541/C9574*MAX(0,MIN(C9574,$C$9483-SUM($C$9518:$C$9527)-C9563)))</f>
        <v>0</v>
      </c>
    </row>
    <row r="9586" customFormat="false" ht="15" hidden="false" customHeight="false" outlineLevel="0" collapsed="false">
      <c r="A9586" s="3" t="s">
        <v>558</v>
      </c>
      <c r="C9586" s="16" t="n">
        <f aca="false">IF(C9575=0,0,C9542/C9575*MAX(0,MIN(C9575,$C$9483-SUM($C$9518:$C$9527)-C9564)))</f>
        <v>0</v>
      </c>
    </row>
    <row r="9587" customFormat="false" ht="15" hidden="false" customHeight="false" outlineLevel="0" collapsed="false">
      <c r="A9587" s="3" t="s">
        <v>559</v>
      </c>
      <c r="C9587" s="16" t="n">
        <f aca="false">IF(C9576=0,0,C9543/C9576*MAX(0,MIN(C9576,$C$9483-SUM($C$9518:$C$9527)-C9565)))</f>
        <v>0</v>
      </c>
    </row>
    <row r="9588" customFormat="false" ht="15" hidden="false" customHeight="false" outlineLevel="0" collapsed="false">
      <c r="A9588" s="3" t="s">
        <v>560</v>
      </c>
      <c r="C9588" s="16" t="n">
        <f aca="false">IF(C9577=0,0,C9544/C9577*MAX(0,MIN(C9577,$C$9483-SUM($C$9518:$C$9527)-C9566)))</f>
        <v>454.44375</v>
      </c>
    </row>
    <row r="9589" customFormat="false" ht="15" hidden="false" customHeight="false" outlineLevel="0" collapsed="false">
      <c r="A9589" s="3" t="s">
        <v>561</v>
      </c>
      <c r="C9589" s="16" t="n">
        <f aca="false">IF(C9578=0,0,C9545/C9578*MAX(0,MIN(C9578,$C$9483-SUM($C$9518:$C$9527)-C9567)))</f>
        <v>357.2625</v>
      </c>
    </row>
    <row r="9590" customFormat="false" ht="15" hidden="false" customHeight="false" outlineLevel="0" collapsed="false">
      <c r="A9590" s="3" t="s">
        <v>562</v>
      </c>
      <c r="C9590" s="16" t="n">
        <f aca="false">IF(C9579=0,0,C9546/C9579*MAX(0,MIN(C9579,$C$9483-SUM($C$9518:$C$9527)-C9568)))</f>
        <v>562.203125</v>
      </c>
    </row>
    <row r="9591" customFormat="false" ht="15" hidden="false" customHeight="false" outlineLevel="0" collapsed="false">
      <c r="A9591" s="3" t="s">
        <v>563</v>
      </c>
      <c r="C9591" s="16" t="n">
        <f aca="false">IF(C9580=0,0,C9547/C9580*MAX(0,MIN(C9580,$C$9483-SUM($C$9518:$C$9527)-C9569)))</f>
        <v>353.98125</v>
      </c>
    </row>
    <row r="9592" customFormat="false" ht="15" hidden="false" customHeight="false" outlineLevel="0" collapsed="false">
      <c r="A9592" s="3" t="s">
        <v>564</v>
      </c>
      <c r="C9592" s="16" t="n">
        <f aca="false">IF(C9581=0,0,C9548/C9581*MAX(0,MIN(C9581,$C$9483-SUM($C$9518:$C$9527)-C9570)))</f>
        <v>304.59375</v>
      </c>
    </row>
    <row r="9593" customFormat="false" ht="15" hidden="false" customHeight="false" outlineLevel="0" collapsed="false">
      <c r="A9593" s="3" t="s">
        <v>565</v>
      </c>
      <c r="C9593" s="16" t="n">
        <f aca="false">IF(C9582=0,0,C9549/C9582*MAX(0,MIN(C9582,$C$9483-SUM($C$9518:$C$9527)-C9571)))</f>
        <v>4.91867227679973</v>
      </c>
    </row>
    <row r="9594" customFormat="false" ht="15" hidden="false" customHeight="false" outlineLevel="0" collapsed="false">
      <c r="A9594" s="24" t="s">
        <v>575</v>
      </c>
      <c r="B9594" s="25"/>
      <c r="C9594" s="25"/>
      <c r="D9594" s="25"/>
      <c r="E9594" s="25"/>
      <c r="F9594" s="25"/>
      <c r="G9594" s="25"/>
      <c r="H9594" s="25"/>
      <c r="I9594" s="25"/>
      <c r="J9594" s="25"/>
      <c r="K9594" s="25"/>
    </row>
    <row r="9595" customFormat="false" ht="15" hidden="false" customHeight="false" outlineLevel="0" collapsed="false">
      <c r="A9595" s="2" t="s">
        <v>556</v>
      </c>
      <c r="C9595" s="17" t="n">
        <f aca="false">C9518+C9584</f>
        <v>403.76</v>
      </c>
    </row>
    <row r="9596" customFormat="false" ht="15" hidden="false" customHeight="false" outlineLevel="0" collapsed="false">
      <c r="A9596" s="2" t="s">
        <v>557</v>
      </c>
      <c r="C9596" s="17" t="n">
        <f aca="false">C9519+C9585</f>
        <v>85.1568504864</v>
      </c>
    </row>
    <row r="9597" customFormat="false" ht="15" hidden="false" customHeight="false" outlineLevel="0" collapsed="false">
      <c r="A9597" s="2" t="s">
        <v>558</v>
      </c>
      <c r="C9597" s="17" t="n">
        <f aca="false">C9520+C9586</f>
        <v>54.1907230368</v>
      </c>
    </row>
    <row r="9598" customFormat="false" ht="15" hidden="false" customHeight="false" outlineLevel="0" collapsed="false">
      <c r="A9598" s="2" t="s">
        <v>559</v>
      </c>
      <c r="C9598" s="17" t="n">
        <f aca="false">C9521+C9587</f>
        <v>0</v>
      </c>
    </row>
    <row r="9599" customFormat="false" ht="15" hidden="false" customHeight="false" outlineLevel="0" collapsed="false">
      <c r="A9599" s="2" t="s">
        <v>560</v>
      </c>
      <c r="C9599" s="17" t="n">
        <f aca="false">C9522+C9588</f>
        <v>454.44375</v>
      </c>
    </row>
    <row r="9600" customFormat="false" ht="15" hidden="false" customHeight="false" outlineLevel="0" collapsed="false">
      <c r="A9600" s="2" t="s">
        <v>561</v>
      </c>
      <c r="C9600" s="17" t="n">
        <f aca="false">C9523+C9589</f>
        <v>357.2625</v>
      </c>
    </row>
    <row r="9601" customFormat="false" ht="15" hidden="false" customHeight="false" outlineLevel="0" collapsed="false">
      <c r="A9601" s="2" t="s">
        <v>562</v>
      </c>
      <c r="C9601" s="17" t="n">
        <f aca="false">C9524+C9590</f>
        <v>562.203125</v>
      </c>
    </row>
    <row r="9602" customFormat="false" ht="15" hidden="false" customHeight="false" outlineLevel="0" collapsed="false">
      <c r="A9602" s="2" t="s">
        <v>563</v>
      </c>
      <c r="C9602" s="17" t="n">
        <f aca="false">C9525+C9591</f>
        <v>353.98125</v>
      </c>
    </row>
    <row r="9603" customFormat="false" ht="15" hidden="false" customHeight="false" outlineLevel="0" collapsed="false">
      <c r="A9603" s="2" t="s">
        <v>564</v>
      </c>
      <c r="C9603" s="17" t="n">
        <f aca="false">C9526+C9592</f>
        <v>304.59375</v>
      </c>
    </row>
    <row r="9604" customFormat="false" ht="15" hidden="false" customHeight="false" outlineLevel="0" collapsed="false">
      <c r="A9604" s="2" t="s">
        <v>565</v>
      </c>
      <c r="C9604" s="17" t="n">
        <f aca="false">C9527+C9593</f>
        <v>4.91867227679973</v>
      </c>
    </row>
    <row r="9605" customFormat="false" ht="15" hidden="false" customHeight="false" outlineLevel="0" collapsed="false">
      <c r="A9605" s="24" t="s">
        <v>576</v>
      </c>
      <c r="B9605" s="25"/>
      <c r="C9605" s="25"/>
      <c r="D9605" s="25"/>
      <c r="E9605" s="25"/>
      <c r="F9605" s="25"/>
      <c r="G9605" s="25"/>
      <c r="H9605" s="25"/>
      <c r="I9605" s="25"/>
      <c r="J9605" s="25"/>
      <c r="K9605" s="25"/>
    </row>
    <row r="9606" customFormat="false" ht="15" hidden="false" customHeight="false" outlineLevel="0" collapsed="false">
      <c r="A9606" s="3" t="s">
        <v>556</v>
      </c>
      <c r="C9606" s="22" t="n">
        <f aca="false">IF(C9485=0,1,C9595/C9485)</f>
        <v>1</v>
      </c>
    </row>
    <row r="9607" customFormat="false" ht="15" hidden="false" customHeight="false" outlineLevel="0" collapsed="false">
      <c r="A9607" s="3" t="s">
        <v>557</v>
      </c>
      <c r="C9607" s="22" t="n">
        <f aca="false">IF(C9486=0,1,C9596/C9486)</f>
        <v>0.932640622583639</v>
      </c>
    </row>
    <row r="9608" customFormat="false" ht="15" hidden="false" customHeight="false" outlineLevel="0" collapsed="false">
      <c r="A9608" s="3" t="s">
        <v>558</v>
      </c>
      <c r="C9608" s="22" t="n">
        <f aca="false">IF(C9487=0,1,C9597/C9487)</f>
        <v>0.928374871640695</v>
      </c>
    </row>
    <row r="9609" customFormat="false" ht="15" hidden="false" customHeight="false" outlineLevel="0" collapsed="false">
      <c r="A9609" s="3" t="s">
        <v>559</v>
      </c>
      <c r="C9609" s="22" t="n">
        <f aca="false">IF(C9488=0,1,C9598/C9488)</f>
        <v>1</v>
      </c>
    </row>
    <row r="9610" customFormat="false" ht="15" hidden="false" customHeight="false" outlineLevel="0" collapsed="false">
      <c r="A9610" s="3" t="s">
        <v>560</v>
      </c>
      <c r="C9610" s="22" t="n">
        <f aca="false">IF(C9489=0,1,C9599/C9489)</f>
        <v>1</v>
      </c>
    </row>
    <row r="9611" customFormat="false" ht="15" hidden="false" customHeight="false" outlineLevel="0" collapsed="false">
      <c r="A9611" s="3" t="s">
        <v>561</v>
      </c>
      <c r="C9611" s="22" t="n">
        <f aca="false">IF(C9490=0,1,C9600/C9490)</f>
        <v>1</v>
      </c>
    </row>
    <row r="9612" customFormat="false" ht="15" hidden="false" customHeight="false" outlineLevel="0" collapsed="false">
      <c r="A9612" s="3" t="s">
        <v>562</v>
      </c>
      <c r="C9612" s="22" t="n">
        <f aca="false">IF(C9491=0,1,C9601/C9491)</f>
        <v>1</v>
      </c>
    </row>
    <row r="9613" customFormat="false" ht="15" hidden="false" customHeight="false" outlineLevel="0" collapsed="false">
      <c r="A9613" s="3" t="s">
        <v>563</v>
      </c>
      <c r="C9613" s="22" t="n">
        <f aca="false">IF(C9492=0,1,C9602/C9492)</f>
        <v>1</v>
      </c>
    </row>
    <row r="9614" customFormat="false" ht="15" hidden="false" customHeight="false" outlineLevel="0" collapsed="false">
      <c r="A9614" s="3" t="s">
        <v>564</v>
      </c>
      <c r="C9614" s="22" t="n">
        <f aca="false">IF(C9493=0,1,C9603/C9493)</f>
        <v>1</v>
      </c>
    </row>
    <row r="9615" customFormat="false" ht="15" hidden="false" customHeight="false" outlineLevel="0" collapsed="false">
      <c r="A9615" s="3" t="s">
        <v>565</v>
      </c>
      <c r="C9615" s="22" t="n">
        <f aca="false">IF(C9494=0,1,C9604/C9494)</f>
        <v>0.0613046265249705</v>
      </c>
    </row>
    <row r="9616" customFormat="false" ht="15" hidden="false" customHeight="false" outlineLevel="0" collapsed="false">
      <c r="A9616" s="24" t="s">
        <v>577</v>
      </c>
      <c r="B9616" s="25"/>
      <c r="C9616" s="25"/>
      <c r="D9616" s="25"/>
      <c r="E9616" s="25"/>
      <c r="F9616" s="25"/>
      <c r="G9616" s="25"/>
      <c r="H9616" s="25"/>
      <c r="I9616" s="25"/>
      <c r="J9616" s="25"/>
      <c r="K9616" s="25"/>
    </row>
    <row r="9617" customFormat="false" ht="15" hidden="false" customHeight="false" outlineLevel="0" collapsed="false">
      <c r="A9617" s="3" t="s">
        <v>556</v>
      </c>
      <c r="C9617" s="16" t="n">
        <f aca="false">C9485-C9595</f>
        <v>0</v>
      </c>
    </row>
    <row r="9618" customFormat="false" ht="15" hidden="false" customHeight="false" outlineLevel="0" collapsed="false">
      <c r="A9618" s="3" t="s">
        <v>557</v>
      </c>
      <c r="C9618" s="16" t="n">
        <f aca="false">C9486-C9596</f>
        <v>6.15039951360001</v>
      </c>
    </row>
    <row r="9619" customFormat="false" ht="15" hidden="false" customHeight="false" outlineLevel="0" collapsed="false">
      <c r="A9619" s="3" t="s">
        <v>558</v>
      </c>
      <c r="C9619" s="16" t="n">
        <f aca="false">C9487-C9597</f>
        <v>4.1808730632</v>
      </c>
    </row>
    <row r="9620" customFormat="false" ht="15" hidden="false" customHeight="false" outlineLevel="0" collapsed="false">
      <c r="A9620" s="3" t="s">
        <v>559</v>
      </c>
      <c r="C9620" s="16" t="n">
        <f aca="false">C9488-C9598</f>
        <v>0</v>
      </c>
    </row>
    <row r="9621" customFormat="false" ht="15" hidden="false" customHeight="false" outlineLevel="0" collapsed="false">
      <c r="A9621" s="3" t="s">
        <v>560</v>
      </c>
      <c r="C9621" s="16" t="n">
        <f aca="false">C9489-C9599</f>
        <v>0</v>
      </c>
    </row>
    <row r="9622" customFormat="false" ht="15" hidden="false" customHeight="false" outlineLevel="0" collapsed="false">
      <c r="A9622" s="3" t="s">
        <v>561</v>
      </c>
      <c r="C9622" s="16" t="n">
        <f aca="false">C9490-C9600</f>
        <v>0</v>
      </c>
    </row>
    <row r="9623" customFormat="false" ht="15" hidden="false" customHeight="false" outlineLevel="0" collapsed="false">
      <c r="A9623" s="3" t="s">
        <v>562</v>
      </c>
      <c r="C9623" s="16" t="n">
        <f aca="false">C9491-C9601</f>
        <v>0</v>
      </c>
    </row>
    <row r="9624" customFormat="false" ht="15" hidden="false" customHeight="false" outlineLevel="0" collapsed="false">
      <c r="A9624" s="3" t="s">
        <v>563</v>
      </c>
      <c r="C9624" s="16" t="n">
        <f aca="false">C9492-C9602</f>
        <v>0</v>
      </c>
    </row>
    <row r="9625" customFormat="false" ht="15" hidden="false" customHeight="false" outlineLevel="0" collapsed="false">
      <c r="A9625" s="3" t="s">
        <v>564</v>
      </c>
      <c r="C9625" s="16" t="n">
        <f aca="false">C9493-C9603</f>
        <v>0</v>
      </c>
    </row>
    <row r="9626" customFormat="false" ht="15" hidden="false" customHeight="false" outlineLevel="0" collapsed="false">
      <c r="A9626" s="3" t="s">
        <v>565</v>
      </c>
      <c r="C9626" s="16" t="n">
        <f aca="false">C9494-C9604</f>
        <v>75.3146242232003</v>
      </c>
    </row>
    <row r="9627" customFormat="false" ht="15" hidden="false" customHeight="false" outlineLevel="0" collapsed="false">
      <c r="A9627" s="24" t="s">
        <v>578</v>
      </c>
      <c r="B9627" s="25"/>
      <c r="C9627" s="25"/>
      <c r="D9627" s="25"/>
      <c r="E9627" s="25"/>
      <c r="F9627" s="25"/>
      <c r="G9627" s="25"/>
      <c r="H9627" s="25"/>
      <c r="I9627" s="25"/>
      <c r="J9627" s="25"/>
      <c r="K9627" s="25"/>
    </row>
    <row r="9628" customFormat="false" ht="15" hidden="false" customHeight="false" outlineLevel="0" collapsed="false">
      <c r="A9628" s="3" t="s">
        <v>556</v>
      </c>
      <c r="C9628" s="22" t="n">
        <f aca="false">IF(C9485=0,0,C9617/C9485)</f>
        <v>0</v>
      </c>
    </row>
    <row r="9629" customFormat="false" ht="15" hidden="false" customHeight="false" outlineLevel="0" collapsed="false">
      <c r="A9629" s="3" t="s">
        <v>557</v>
      </c>
      <c r="C9629" s="22" t="n">
        <f aca="false">IF(C9486=0,0,C9618/C9486)</f>
        <v>0.0673593774163608</v>
      </c>
    </row>
    <row r="9630" customFormat="false" ht="15" hidden="false" customHeight="false" outlineLevel="0" collapsed="false">
      <c r="A9630" s="3" t="s">
        <v>558</v>
      </c>
      <c r="C9630" s="22" t="n">
        <f aca="false">IF(C9487=0,0,C9619/C9487)</f>
        <v>0.0716251283593048</v>
      </c>
    </row>
    <row r="9631" customFormat="false" ht="15" hidden="false" customHeight="false" outlineLevel="0" collapsed="false">
      <c r="A9631" s="3" t="s">
        <v>559</v>
      </c>
      <c r="C9631" s="22" t="n">
        <f aca="false">IF(C9488=0,0,C9620/C9488)</f>
        <v>0</v>
      </c>
    </row>
    <row r="9632" customFormat="false" ht="15" hidden="false" customHeight="false" outlineLevel="0" collapsed="false">
      <c r="A9632" s="3" t="s">
        <v>560</v>
      </c>
      <c r="C9632" s="22" t="n">
        <f aca="false">IF(C9489=0,0,C9621/C9489)</f>
        <v>0</v>
      </c>
    </row>
    <row r="9633" customFormat="false" ht="15" hidden="false" customHeight="false" outlineLevel="0" collapsed="false">
      <c r="A9633" s="3" t="s">
        <v>561</v>
      </c>
      <c r="C9633" s="22" t="n">
        <f aca="false">IF(C9490=0,0,C9622/C9490)</f>
        <v>0</v>
      </c>
    </row>
    <row r="9634" customFormat="false" ht="15" hidden="false" customHeight="false" outlineLevel="0" collapsed="false">
      <c r="A9634" s="3" t="s">
        <v>562</v>
      </c>
      <c r="C9634" s="22" t="n">
        <f aca="false">IF(C9491=0,0,C9623/C9491)</f>
        <v>0</v>
      </c>
    </row>
    <row r="9635" customFormat="false" ht="15" hidden="false" customHeight="false" outlineLevel="0" collapsed="false">
      <c r="A9635" s="3" t="s">
        <v>563</v>
      </c>
      <c r="C9635" s="22" t="n">
        <f aca="false">IF(C9492=0,0,C9624/C9492)</f>
        <v>0</v>
      </c>
    </row>
    <row r="9636" customFormat="false" ht="15" hidden="false" customHeight="false" outlineLevel="0" collapsed="false">
      <c r="A9636" s="3" t="s">
        <v>564</v>
      </c>
      <c r="C9636" s="22" t="n">
        <f aca="false">IF(C9493=0,0,C9625/C9493)</f>
        <v>0</v>
      </c>
    </row>
    <row r="9637" customFormat="false" ht="15" hidden="false" customHeight="false" outlineLevel="0" collapsed="false">
      <c r="A9637" s="3" t="s">
        <v>565</v>
      </c>
      <c r="C9637" s="22" t="n">
        <f aca="false">IF(C9494=0,0,C9626/C9494)</f>
        <v>0.93869537347503</v>
      </c>
    </row>
    <row r="9638" customFormat="false" ht="15" hidden="false" customHeight="false" outlineLevel="0" collapsed="false">
      <c r="A9638" s="2" t="s">
        <v>579</v>
      </c>
      <c r="C9638" s="17" t="n">
        <f aca="false">MAX(0,$C$9483-SUM($C$9518:$C$9527)-SUM($C$9540:$C$9549))</f>
        <v>0</v>
      </c>
    </row>
    <row r="9639" customFormat="false" ht="15" hidden="false" customHeight="false" outlineLevel="0" collapsed="false">
      <c r="A9639" s="3" t="s">
        <v>580</v>
      </c>
      <c r="C9639" s="16" t="n">
        <f aca="false">SUM($C$9595:$C$9604)+C9638+C9482-C9481</f>
        <v>0</v>
      </c>
    </row>
    <row r="9641" customFormat="false" ht="15" hidden="false" customHeight="false" outlineLevel="0" collapsed="false">
      <c r="A9641" s="24" t="s">
        <v>583</v>
      </c>
      <c r="B9641" s="25"/>
      <c r="C9641" s="25"/>
      <c r="D9641" s="25"/>
      <c r="E9641" s="25"/>
      <c r="F9641" s="25"/>
      <c r="G9641" s="25"/>
      <c r="H9641" s="25"/>
      <c r="I9641" s="25"/>
      <c r="J9641" s="25"/>
      <c r="K9641" s="25"/>
    </row>
    <row r="9642" customFormat="false" ht="15" hidden="false" customHeight="false" outlineLevel="0" collapsed="false">
      <c r="A9642" s="3" t="s">
        <v>584</v>
      </c>
      <c r="C9642" s="27" t="n">
        <f aca="false">Assumptions!$C$34</f>
        <v>1</v>
      </c>
    </row>
    <row r="9643" customFormat="false" ht="15" hidden="false" customHeight="false" outlineLevel="0" collapsed="false">
      <c r="A9643" s="3" t="s">
        <v>585</v>
      </c>
      <c r="C9643" s="29" t="n">
        <f aca="false">Assumptions!$C$35</f>
        <v>100</v>
      </c>
    </row>
    <row r="9644" customFormat="false" ht="15" hidden="false" customHeight="false" outlineLevel="0" collapsed="false">
      <c r="A9644" s="3" t="s">
        <v>586</v>
      </c>
      <c r="C9644" s="40" t="n">
        <f aca="false">Assumptions!$C$36</f>
        <v>98</v>
      </c>
    </row>
    <row r="9645" customFormat="false" ht="15" hidden="false" customHeight="false" outlineLevel="0" collapsed="false">
      <c r="A9645" s="3" t="s">
        <v>587</v>
      </c>
      <c r="C9645" s="16" t="n">
        <f aca="false">C9643*C9644/100*(1+Assumptions!$C$37)</f>
        <v>98.49</v>
      </c>
    </row>
    <row r="9646" customFormat="false" ht="15" hidden="false" customHeight="false" outlineLevel="0" collapsed="false">
      <c r="A9646" s="3" t="s">
        <v>588</v>
      </c>
      <c r="C9646" s="27" t="n">
        <f aca="false">Assumptions!$C$38</f>
        <v>3</v>
      </c>
    </row>
    <row r="9647" customFormat="false" ht="15" hidden="false" customHeight="false" outlineLevel="0" collapsed="false">
      <c r="A9647" s="3" t="s">
        <v>589</v>
      </c>
      <c r="C9647" s="21" t="n">
        <f aca="false">IF(C9474=1,SUMPRODUCT($G$9410:$K$9410,$G$9184:$K$9184),0)</f>
        <v>2</v>
      </c>
    </row>
    <row r="9648" customFormat="false" ht="15" hidden="false" customHeight="false" outlineLevel="0" collapsed="false">
      <c r="A9648" s="3" t="s">
        <v>590</v>
      </c>
      <c r="C9648" s="22" t="n">
        <f aca="false">IFERROR(C9643/CHOOSE(C9642,SUMPRODUCT($G$9473:$K$9473,$G$9230:$K$9230),SUMPRODUCT($G$9473:$K$9473,$G$9243:$K$9243),SUMPRODUCT($G$9473:$K$9473,$G$9256:$K$9256),SUMPRODUCT($G$9473:$K$9473,$G$9269:$K$9269),SUMPRODUCT($G$9473:$K$9473,$G$9282:$K$9282),SUMPRODUCT($G$9473:$K$9473,$G$9295:$K$9295),SUMPRODUCT($G$9473:$K$9473,$G$9308:$K$9308),SUMPRODUCT($G$9473:$K$9473,$G$9321:$K$9321),SUMPRODUCT($G$9473:$K$9473,$G$9334:$K$9334),SUMPRODUCT($G$9473:$K$9473,$G$9347:$K$9347)),0)</f>
        <v>0.255102040816327</v>
      </c>
    </row>
    <row r="9649" customFormat="false" ht="15" hidden="false" customHeight="false" outlineLevel="0" collapsed="false">
      <c r="A9649" s="3" t="s">
        <v>591</v>
      </c>
      <c r="C9649" s="16" t="n">
        <f aca="false">CHOOSE(C9642,C9595,C9596,C9597,C9598,C9599,C9600,C9601,C9602,C9603,C9604)*C9648</f>
        <v>103</v>
      </c>
    </row>
    <row r="9650" customFormat="false" ht="15" hidden="false" customHeight="false" outlineLevel="0" collapsed="false">
      <c r="A9650" s="3" t="s">
        <v>592</v>
      </c>
      <c r="C9650" s="22" t="n">
        <f aca="false">CHOOSE(C9642,C9606,C9607,C9608,C9609,C9610,C9611,C9612,C9613,C9614,C9615)</f>
        <v>1</v>
      </c>
    </row>
    <row r="9651" customFormat="false" ht="15" hidden="false" customHeight="false" outlineLevel="0" collapsed="false">
      <c r="A9651" s="3" t="s">
        <v>593</v>
      </c>
      <c r="C9651" s="21" t="n">
        <f aca="false">IF(C9474=1,C9647,C9646)</f>
        <v>2</v>
      </c>
    </row>
    <row r="9652" customFormat="false" ht="15" hidden="false" customHeight="false" outlineLevel="0" collapsed="false">
      <c r="A9652" s="3" t="s">
        <v>594</v>
      </c>
      <c r="C9652" s="35" t="n">
        <f aca="false">CHOOSE($C$9176,Assumptions!$C$91,Assumptions!$C$110,Assumptions!$C$129)</f>
        <v>85</v>
      </c>
    </row>
    <row r="9653" customFormat="false" ht="15" hidden="false" customHeight="false" outlineLevel="0" collapsed="false">
      <c r="A9653" s="3" t="s">
        <v>595</v>
      </c>
      <c r="C9653" s="16" t="n">
        <f aca="false">INDEX($G$9193:$K$9193,C9646)*CHOOSE($C$9176,Assumptions!$C$90,Assumptions!$C$109,Assumptions!$C$128)+MAX(0,INDEX($G$9407:$K$9407,C9646))</f>
        <v>1556.53490426153</v>
      </c>
    </row>
    <row r="9654" customFormat="false" ht="15" hidden="false" customHeight="false" outlineLevel="0" collapsed="false">
      <c r="A9654" s="24" t="s">
        <v>596</v>
      </c>
      <c r="B9654" s="25"/>
      <c r="C9654" s="25"/>
      <c r="D9654" s="25"/>
      <c r="E9654" s="25"/>
      <c r="F9654" s="25"/>
      <c r="G9654" s="25"/>
      <c r="H9654" s="25"/>
      <c r="I9654" s="25"/>
      <c r="J9654" s="25"/>
      <c r="K9654" s="25"/>
    </row>
    <row r="9655" customFormat="false" ht="15" hidden="false" customHeight="false" outlineLevel="0" collapsed="false">
      <c r="A9655" s="3" t="s">
        <v>556</v>
      </c>
      <c r="C9655" s="16" t="n">
        <f aca="false">INDEX($G$9230:$K$9230,C9646)</f>
        <v>388</v>
      </c>
    </row>
    <row r="9656" customFormat="false" ht="15" hidden="false" customHeight="false" outlineLevel="0" collapsed="false">
      <c r="A9656" s="3" t="s">
        <v>557</v>
      </c>
      <c r="C9656" s="16" t="n">
        <f aca="false">INDEX($G$9243:$K$9243,C9646)</f>
        <v>90</v>
      </c>
    </row>
    <row r="9657" customFormat="false" ht="15" hidden="false" customHeight="false" outlineLevel="0" collapsed="false">
      <c r="A9657" s="3" t="s">
        <v>558</v>
      </c>
      <c r="C9657" s="16" t="n">
        <f aca="false">INDEX($G$9256:$K$9256,C9646)</f>
        <v>57.324</v>
      </c>
    </row>
    <row r="9658" customFormat="false" ht="15" hidden="false" customHeight="false" outlineLevel="0" collapsed="false">
      <c r="A9658" s="3" t="s">
        <v>559</v>
      </c>
      <c r="C9658" s="16" t="n">
        <f aca="false">INDEX($G$9269:$K$9269,C9646)</f>
        <v>0</v>
      </c>
    </row>
    <row r="9659" customFormat="false" ht="15" hidden="false" customHeight="false" outlineLevel="0" collapsed="false">
      <c r="A9659" s="3" t="s">
        <v>560</v>
      </c>
      <c r="C9659" s="16" t="n">
        <f aca="false">INDEX($G$9282:$K$9282,C9646)</f>
        <v>450</v>
      </c>
    </row>
    <row r="9660" customFormat="false" ht="15" hidden="false" customHeight="false" outlineLevel="0" collapsed="false">
      <c r="A9660" s="3" t="s">
        <v>561</v>
      </c>
      <c r="C9660" s="16" t="n">
        <f aca="false">INDEX($G$9295:$K$9295,C9646)</f>
        <v>350</v>
      </c>
    </row>
    <row r="9661" customFormat="false" ht="15" hidden="false" customHeight="false" outlineLevel="0" collapsed="false">
      <c r="A9661" s="3" t="s">
        <v>562</v>
      </c>
      <c r="C9661" s="16" t="n">
        <f aca="false">INDEX($G$9308:$K$9308,C9646)</f>
        <v>550</v>
      </c>
    </row>
    <row r="9662" customFormat="false" ht="15" hidden="false" customHeight="false" outlineLevel="0" collapsed="false">
      <c r="A9662" s="3" t="s">
        <v>563</v>
      </c>
      <c r="C9662" s="16" t="n">
        <f aca="false">INDEX($G$9321:$K$9321,C9646)</f>
        <v>350</v>
      </c>
    </row>
    <row r="9663" customFormat="false" ht="15" hidden="false" customHeight="false" outlineLevel="0" collapsed="false">
      <c r="A9663" s="3" t="s">
        <v>564</v>
      </c>
      <c r="C9663" s="16" t="n">
        <f aca="false">INDEX($G$9334:$K$9334,C9646)</f>
        <v>300</v>
      </c>
    </row>
    <row r="9664" customFormat="false" ht="15" hidden="false" customHeight="false" outlineLevel="0" collapsed="false">
      <c r="A9664" s="3" t="s">
        <v>565</v>
      </c>
      <c r="C9664" s="16" t="n">
        <f aca="false">INDEX($G$9347:$K$9347,C9646)</f>
        <v>78.61</v>
      </c>
    </row>
    <row r="9665" customFormat="false" ht="15" hidden="false" customHeight="false" outlineLevel="0" collapsed="false">
      <c r="A9665" s="24" t="s">
        <v>566</v>
      </c>
      <c r="B9665" s="25"/>
      <c r="C9665" s="25"/>
      <c r="D9665" s="25"/>
      <c r="E9665" s="25"/>
      <c r="F9665" s="25"/>
      <c r="G9665" s="25"/>
      <c r="H9665" s="25"/>
      <c r="I9665" s="25"/>
      <c r="J9665" s="25"/>
      <c r="K9665" s="25"/>
    </row>
    <row r="9666" customFormat="false" ht="15" hidden="false" customHeight="false" outlineLevel="0" collapsed="false">
      <c r="A9666" s="3" t="s">
        <v>556</v>
      </c>
      <c r="C9666" s="27" t="n">
        <f aca="false">Assumptions!$M$57</f>
        <v>1</v>
      </c>
    </row>
    <row r="9667" customFormat="false" ht="15" hidden="false" customHeight="false" outlineLevel="0" collapsed="false">
      <c r="A9667" s="3" t="s">
        <v>557</v>
      </c>
      <c r="C9667" s="27" t="n">
        <f aca="false">Assumptions!$M$58</f>
        <v>1</v>
      </c>
    </row>
    <row r="9668" customFormat="false" ht="15" hidden="false" customHeight="false" outlineLevel="0" collapsed="false">
      <c r="A9668" s="3" t="s">
        <v>558</v>
      </c>
      <c r="C9668" s="27" t="n">
        <f aca="false">Assumptions!$M$59</f>
        <v>1</v>
      </c>
    </row>
    <row r="9669" customFormat="false" ht="15" hidden="false" customHeight="false" outlineLevel="0" collapsed="false">
      <c r="A9669" s="3" t="s">
        <v>559</v>
      </c>
      <c r="C9669" s="27" t="n">
        <f aca="false">Assumptions!$M$60</f>
        <v>2</v>
      </c>
    </row>
    <row r="9670" customFormat="false" ht="15" hidden="false" customHeight="false" outlineLevel="0" collapsed="false">
      <c r="A9670" s="3" t="s">
        <v>560</v>
      </c>
      <c r="C9670" s="27" t="n">
        <f aca="false">Assumptions!$M$61</f>
        <v>2</v>
      </c>
    </row>
    <row r="9671" customFormat="false" ht="15" hidden="false" customHeight="false" outlineLevel="0" collapsed="false">
      <c r="A9671" s="3" t="s">
        <v>561</v>
      </c>
      <c r="C9671" s="27" t="n">
        <f aca="false">Assumptions!$M$62</f>
        <v>2</v>
      </c>
    </row>
    <row r="9672" customFormat="false" ht="15" hidden="false" customHeight="false" outlineLevel="0" collapsed="false">
      <c r="A9672" s="3" t="s">
        <v>562</v>
      </c>
      <c r="C9672" s="27" t="n">
        <f aca="false">Assumptions!$M$63</f>
        <v>2</v>
      </c>
    </row>
    <row r="9673" customFormat="false" ht="15" hidden="false" customHeight="false" outlineLevel="0" collapsed="false">
      <c r="A9673" s="3" t="s">
        <v>563</v>
      </c>
      <c r="C9673" s="27" t="n">
        <f aca="false">Assumptions!$M$64</f>
        <v>2</v>
      </c>
    </row>
    <row r="9674" customFormat="false" ht="15" hidden="false" customHeight="false" outlineLevel="0" collapsed="false">
      <c r="A9674" s="3" t="s">
        <v>564</v>
      </c>
      <c r="C9674" s="27" t="n">
        <f aca="false">Assumptions!$M$65</f>
        <v>2</v>
      </c>
    </row>
    <row r="9675" customFormat="false" ht="15" hidden="false" customHeight="false" outlineLevel="0" collapsed="false">
      <c r="A9675" s="3" t="s">
        <v>565</v>
      </c>
      <c r="C9675" s="27" t="n">
        <f aca="false">Assumptions!$M$66</f>
        <v>3</v>
      </c>
    </row>
    <row r="9676" customFormat="false" ht="15" hidden="false" customHeight="false" outlineLevel="0" collapsed="false">
      <c r="A9676" s="24" t="s">
        <v>567</v>
      </c>
      <c r="B9676" s="25"/>
      <c r="C9676" s="25"/>
      <c r="D9676" s="25"/>
      <c r="E9676" s="25"/>
      <c r="F9676" s="25"/>
      <c r="G9676" s="25"/>
      <c r="H9676" s="25"/>
      <c r="I9676" s="25"/>
      <c r="J9676" s="25"/>
      <c r="K9676" s="25"/>
    </row>
    <row r="9677" customFormat="false" ht="15" hidden="false" customHeight="false" outlineLevel="0" collapsed="false">
      <c r="A9677" s="3" t="s">
        <v>556</v>
      </c>
      <c r="C9677" s="33" t="n">
        <f aca="false">Assumptions!$Q$57</f>
        <v>0.3</v>
      </c>
    </row>
    <row r="9678" customFormat="false" ht="15" hidden="false" customHeight="false" outlineLevel="0" collapsed="false">
      <c r="A9678" s="3" t="s">
        <v>557</v>
      </c>
      <c r="C9678" s="33" t="n">
        <f aca="false">Assumptions!$Q$58</f>
        <v>0.033</v>
      </c>
    </row>
    <row r="9679" customFormat="false" ht="15" hidden="false" customHeight="false" outlineLevel="0" collapsed="false">
      <c r="A9679" s="3" t="s">
        <v>558</v>
      </c>
      <c r="C9679" s="33" t="n">
        <f aca="false">Assumptions!$Q$59</f>
        <v>0.021</v>
      </c>
    </row>
    <row r="9680" customFormat="false" ht="15" hidden="false" customHeight="false" outlineLevel="0" collapsed="false">
      <c r="A9680" s="3" t="s">
        <v>559</v>
      </c>
      <c r="C9680" s="33" t="n">
        <f aca="false">Assumptions!$Q$60</f>
        <v>0</v>
      </c>
    </row>
    <row r="9681" customFormat="false" ht="15" hidden="false" customHeight="false" outlineLevel="0" collapsed="false">
      <c r="A9681" s="3" t="s">
        <v>560</v>
      </c>
      <c r="C9681" s="33" t="n">
        <f aca="false">Assumptions!$Q$61</f>
        <v>0</v>
      </c>
    </row>
    <row r="9682" customFormat="false" ht="15" hidden="false" customHeight="false" outlineLevel="0" collapsed="false">
      <c r="A9682" s="3" t="s">
        <v>561</v>
      </c>
      <c r="C9682" s="33" t="n">
        <f aca="false">Assumptions!$Q$62</f>
        <v>0</v>
      </c>
    </row>
    <row r="9683" customFormat="false" ht="15" hidden="false" customHeight="false" outlineLevel="0" collapsed="false">
      <c r="A9683" s="3" t="s">
        <v>562</v>
      </c>
      <c r="C9683" s="33" t="n">
        <f aca="false">Assumptions!$Q$63</f>
        <v>0</v>
      </c>
    </row>
    <row r="9684" customFormat="false" ht="15" hidden="false" customHeight="false" outlineLevel="0" collapsed="false">
      <c r="A9684" s="3" t="s">
        <v>563</v>
      </c>
      <c r="C9684" s="33" t="n">
        <f aca="false">Assumptions!$Q$64</f>
        <v>0</v>
      </c>
    </row>
    <row r="9685" customFormat="false" ht="15" hidden="false" customHeight="false" outlineLevel="0" collapsed="false">
      <c r="A9685" s="3" t="s">
        <v>564</v>
      </c>
      <c r="C9685" s="33" t="n">
        <f aca="false">Assumptions!$Q$65</f>
        <v>0</v>
      </c>
    </row>
    <row r="9686" customFormat="false" ht="15" hidden="false" customHeight="false" outlineLevel="0" collapsed="false">
      <c r="A9686" s="3" t="s">
        <v>565</v>
      </c>
      <c r="C9686" s="33" t="n">
        <f aca="false">Assumptions!$Q$66</f>
        <v>0</v>
      </c>
    </row>
    <row r="9687" customFormat="false" ht="15" hidden="false" customHeight="false" outlineLevel="0" collapsed="false">
      <c r="A9687" s="24" t="s">
        <v>568</v>
      </c>
      <c r="B9687" s="25"/>
      <c r="C9687" s="25"/>
      <c r="D9687" s="25"/>
      <c r="E9687" s="25"/>
      <c r="F9687" s="25"/>
      <c r="G9687" s="25"/>
      <c r="H9687" s="25"/>
      <c r="I9687" s="25"/>
      <c r="J9687" s="25"/>
      <c r="K9687" s="25"/>
    </row>
    <row r="9688" customFormat="false" ht="15" hidden="false" customHeight="false" outlineLevel="0" collapsed="false">
      <c r="A9688" s="3" t="s">
        <v>556</v>
      </c>
      <c r="C9688" s="16" t="n">
        <f aca="false">IF(C9677&gt;0,MIN(C9655,C9677*$C$9653),0)</f>
        <v>388</v>
      </c>
    </row>
    <row r="9689" customFormat="false" ht="15" hidden="false" customHeight="false" outlineLevel="0" collapsed="false">
      <c r="A9689" s="3" t="s">
        <v>557</v>
      </c>
      <c r="C9689" s="16" t="n">
        <f aca="false">IF(C9678&gt;0,MIN(C9656,C9678*$C$9653),0)</f>
        <v>51.3656518406303</v>
      </c>
    </row>
    <row r="9690" customFormat="false" ht="15" hidden="false" customHeight="false" outlineLevel="0" collapsed="false">
      <c r="A9690" s="3" t="s">
        <v>558</v>
      </c>
      <c r="C9690" s="16" t="n">
        <f aca="false">IF(C9679&gt;0,MIN(C9657,C9679*$C$9653),0)</f>
        <v>32.687232989492</v>
      </c>
    </row>
    <row r="9691" customFormat="false" ht="15" hidden="false" customHeight="false" outlineLevel="0" collapsed="false">
      <c r="A9691" s="3" t="s">
        <v>559</v>
      </c>
      <c r="C9691" s="16" t="n">
        <f aca="false">IF(C9680&gt;0,MIN(C9658,C9680*$C$9653),0)</f>
        <v>0</v>
      </c>
    </row>
    <row r="9692" customFormat="false" ht="15" hidden="false" customHeight="false" outlineLevel="0" collapsed="false">
      <c r="A9692" s="3" t="s">
        <v>560</v>
      </c>
      <c r="C9692" s="16" t="n">
        <f aca="false">IF(C9681&gt;0,MIN(C9659,C9681*$C$9653),0)</f>
        <v>0</v>
      </c>
    </row>
    <row r="9693" customFormat="false" ht="15" hidden="false" customHeight="false" outlineLevel="0" collapsed="false">
      <c r="A9693" s="3" t="s">
        <v>561</v>
      </c>
      <c r="C9693" s="16" t="n">
        <f aca="false">IF(C9682&gt;0,MIN(C9660,C9682*$C$9653),0)</f>
        <v>0</v>
      </c>
    </row>
    <row r="9694" customFormat="false" ht="15" hidden="false" customHeight="false" outlineLevel="0" collapsed="false">
      <c r="A9694" s="3" t="s">
        <v>562</v>
      </c>
      <c r="C9694" s="16" t="n">
        <f aca="false">IF(C9683&gt;0,MIN(C9661,C9683*$C$9653),0)</f>
        <v>0</v>
      </c>
    </row>
    <row r="9695" customFormat="false" ht="15" hidden="false" customHeight="false" outlineLevel="0" collapsed="false">
      <c r="A9695" s="3" t="s">
        <v>563</v>
      </c>
      <c r="C9695" s="16" t="n">
        <f aca="false">IF(C9684&gt;0,MIN(C9662,C9684*$C$9653),0)</f>
        <v>0</v>
      </c>
    </row>
    <row r="9696" customFormat="false" ht="15" hidden="false" customHeight="false" outlineLevel="0" collapsed="false">
      <c r="A9696" s="3" t="s">
        <v>564</v>
      </c>
      <c r="C9696" s="16" t="n">
        <f aca="false">IF(C9685&gt;0,MIN(C9663,C9685*$C$9653),0)</f>
        <v>0</v>
      </c>
    </row>
    <row r="9697" customFormat="false" ht="15" hidden="false" customHeight="false" outlineLevel="0" collapsed="false">
      <c r="A9697" s="3" t="s">
        <v>565</v>
      </c>
      <c r="C9697" s="16" t="n">
        <f aca="false">IF(C9686&gt;0,MIN(C9664,C9686*$C$9653),0)</f>
        <v>0</v>
      </c>
    </row>
    <row r="9698" customFormat="false" ht="15" hidden="false" customHeight="false" outlineLevel="0" collapsed="false">
      <c r="A9698" s="24" t="s">
        <v>569</v>
      </c>
      <c r="B9698" s="25"/>
      <c r="C9698" s="25"/>
      <c r="D9698" s="25"/>
      <c r="E9698" s="25"/>
      <c r="F9698" s="25"/>
      <c r="G9698" s="25"/>
      <c r="H9698" s="25"/>
      <c r="I9698" s="25"/>
      <c r="J9698" s="25"/>
      <c r="K9698" s="25"/>
    </row>
    <row r="9699" customFormat="false" ht="15" hidden="false" customHeight="false" outlineLevel="0" collapsed="false">
      <c r="A9699" s="3" t="s">
        <v>556</v>
      </c>
      <c r="C9699" s="16" t="n">
        <f aca="false">IF(C9677&gt;0,C9655-C9688,0)</f>
        <v>0</v>
      </c>
    </row>
    <row r="9700" customFormat="false" ht="15" hidden="false" customHeight="false" outlineLevel="0" collapsed="false">
      <c r="A9700" s="3" t="s">
        <v>557</v>
      </c>
      <c r="C9700" s="16" t="n">
        <f aca="false">IF(C9678&gt;0,C9656-C9689,0)</f>
        <v>38.6343481593697</v>
      </c>
    </row>
    <row r="9701" customFormat="false" ht="15" hidden="false" customHeight="false" outlineLevel="0" collapsed="false">
      <c r="A9701" s="3" t="s">
        <v>558</v>
      </c>
      <c r="C9701" s="16" t="n">
        <f aca="false">IF(C9679&gt;0,C9657-C9690,0)</f>
        <v>24.636767010508</v>
      </c>
    </row>
    <row r="9702" customFormat="false" ht="15" hidden="false" customHeight="false" outlineLevel="0" collapsed="false">
      <c r="A9702" s="3" t="s">
        <v>559</v>
      </c>
      <c r="C9702" s="16" t="n">
        <f aca="false">IF(C9680&gt;0,C9658-C9691,0)</f>
        <v>0</v>
      </c>
    </row>
    <row r="9703" customFormat="false" ht="15" hidden="false" customHeight="false" outlineLevel="0" collapsed="false">
      <c r="A9703" s="3" t="s">
        <v>560</v>
      </c>
      <c r="C9703" s="16" t="n">
        <f aca="false">IF(C9681&gt;0,C9659-C9692,0)</f>
        <v>0</v>
      </c>
    </row>
    <row r="9704" customFormat="false" ht="15" hidden="false" customHeight="false" outlineLevel="0" collapsed="false">
      <c r="A9704" s="3" t="s">
        <v>561</v>
      </c>
      <c r="C9704" s="16" t="n">
        <f aca="false">IF(C9682&gt;0,C9660-C9693,0)</f>
        <v>0</v>
      </c>
    </row>
    <row r="9705" customFormat="false" ht="15" hidden="false" customHeight="false" outlineLevel="0" collapsed="false">
      <c r="A9705" s="3" t="s">
        <v>562</v>
      </c>
      <c r="C9705" s="16" t="n">
        <f aca="false">IF(C9683&gt;0,C9661-C9694,0)</f>
        <v>0</v>
      </c>
    </row>
    <row r="9706" customFormat="false" ht="15" hidden="false" customHeight="false" outlineLevel="0" collapsed="false">
      <c r="A9706" s="3" t="s">
        <v>563</v>
      </c>
      <c r="C9706" s="16" t="n">
        <f aca="false">IF(C9684&gt;0,C9662-C9695,0)</f>
        <v>0</v>
      </c>
    </row>
    <row r="9707" customFormat="false" ht="15" hidden="false" customHeight="false" outlineLevel="0" collapsed="false">
      <c r="A9707" s="3" t="s">
        <v>564</v>
      </c>
      <c r="C9707" s="16" t="n">
        <f aca="false">IF(C9685&gt;0,C9663-C9696,0)</f>
        <v>0</v>
      </c>
    </row>
    <row r="9708" customFormat="false" ht="15" hidden="false" customHeight="false" outlineLevel="0" collapsed="false">
      <c r="A9708" s="3" t="s">
        <v>565</v>
      </c>
      <c r="C9708" s="16" t="n">
        <f aca="false">IF(C9686&gt;0,C9664-C9697,0)</f>
        <v>0</v>
      </c>
    </row>
    <row r="9709" customFormat="false" ht="15" hidden="false" customHeight="false" outlineLevel="0" collapsed="false">
      <c r="A9709" s="24" t="s">
        <v>570</v>
      </c>
      <c r="B9709" s="25"/>
      <c r="C9709" s="25"/>
      <c r="D9709" s="25"/>
      <c r="E9709" s="25"/>
      <c r="F9709" s="25"/>
      <c r="G9709" s="25"/>
      <c r="H9709" s="25"/>
      <c r="I9709" s="25"/>
      <c r="J9709" s="25"/>
      <c r="K9709" s="25"/>
    </row>
    <row r="9710" customFormat="false" ht="15" hidden="false" customHeight="false" outlineLevel="0" collapsed="false">
      <c r="A9710" s="3" t="s">
        <v>556</v>
      </c>
      <c r="C9710" s="16" t="n">
        <f aca="false">IF(C9677&gt;0,C9699,C9655)</f>
        <v>0</v>
      </c>
    </row>
    <row r="9711" customFormat="false" ht="15" hidden="false" customHeight="false" outlineLevel="0" collapsed="false">
      <c r="A9711" s="3" t="s">
        <v>557</v>
      </c>
      <c r="C9711" s="16" t="n">
        <f aca="false">IF(C9678&gt;0,C9700,C9656)</f>
        <v>38.6343481593697</v>
      </c>
    </row>
    <row r="9712" customFormat="false" ht="15" hidden="false" customHeight="false" outlineLevel="0" collapsed="false">
      <c r="A9712" s="3" t="s">
        <v>558</v>
      </c>
      <c r="C9712" s="16" t="n">
        <f aca="false">IF(C9679&gt;0,C9701,C9657)</f>
        <v>24.636767010508</v>
      </c>
    </row>
    <row r="9713" customFormat="false" ht="15" hidden="false" customHeight="false" outlineLevel="0" collapsed="false">
      <c r="A9713" s="3" t="s">
        <v>559</v>
      </c>
      <c r="C9713" s="16" t="n">
        <f aca="false">IF(C9680&gt;0,C9702,C9658)</f>
        <v>0</v>
      </c>
    </row>
    <row r="9714" customFormat="false" ht="15" hidden="false" customHeight="false" outlineLevel="0" collapsed="false">
      <c r="A9714" s="3" t="s">
        <v>560</v>
      </c>
      <c r="C9714" s="16" t="n">
        <f aca="false">IF(C9681&gt;0,C9703,C9659)</f>
        <v>450</v>
      </c>
    </row>
    <row r="9715" customFormat="false" ht="15" hidden="false" customHeight="false" outlineLevel="0" collapsed="false">
      <c r="A9715" s="3" t="s">
        <v>561</v>
      </c>
      <c r="C9715" s="16" t="n">
        <f aca="false">IF(C9682&gt;0,C9704,C9660)</f>
        <v>350</v>
      </c>
    </row>
    <row r="9716" customFormat="false" ht="15" hidden="false" customHeight="false" outlineLevel="0" collapsed="false">
      <c r="A9716" s="3" t="s">
        <v>562</v>
      </c>
      <c r="C9716" s="16" t="n">
        <f aca="false">IF(C9683&gt;0,C9705,C9661)</f>
        <v>550</v>
      </c>
    </row>
    <row r="9717" customFormat="false" ht="15" hidden="false" customHeight="false" outlineLevel="0" collapsed="false">
      <c r="A9717" s="3" t="s">
        <v>563</v>
      </c>
      <c r="C9717" s="16" t="n">
        <f aca="false">IF(C9684&gt;0,C9706,C9662)</f>
        <v>350</v>
      </c>
    </row>
    <row r="9718" customFormat="false" ht="15" hidden="false" customHeight="false" outlineLevel="0" collapsed="false">
      <c r="A9718" s="3" t="s">
        <v>564</v>
      </c>
      <c r="C9718" s="16" t="n">
        <f aca="false">IF(C9685&gt;0,C9707,C9663)</f>
        <v>300</v>
      </c>
    </row>
    <row r="9719" customFormat="false" ht="15" hidden="false" customHeight="false" outlineLevel="0" collapsed="false">
      <c r="A9719" s="3" t="s">
        <v>565</v>
      </c>
      <c r="C9719" s="16" t="n">
        <f aca="false">IF(C9686&gt;0,C9708,C9664)</f>
        <v>78.61</v>
      </c>
    </row>
    <row r="9720" customFormat="false" ht="15" hidden="false" customHeight="false" outlineLevel="0" collapsed="false">
      <c r="A9720" s="24" t="s">
        <v>571</v>
      </c>
      <c r="B9720" s="25"/>
      <c r="C9720" s="25"/>
      <c r="D9720" s="25"/>
      <c r="E9720" s="25"/>
      <c r="F9720" s="25"/>
      <c r="G9720" s="25"/>
      <c r="H9720" s="25"/>
      <c r="I9720" s="25"/>
      <c r="J9720" s="25"/>
      <c r="K9720" s="25"/>
    </row>
    <row r="9721" customFormat="false" ht="15" hidden="false" customHeight="false" outlineLevel="0" collapsed="false">
      <c r="A9721" s="3" t="s">
        <v>556</v>
      </c>
      <c r="C9721" s="21" t="n">
        <f aca="false">IF(C9677&gt;0,Assumptions!$C$17,C9666)</f>
        <v>99</v>
      </c>
    </row>
    <row r="9722" customFormat="false" ht="15" hidden="false" customHeight="false" outlineLevel="0" collapsed="false">
      <c r="A9722" s="3" t="s">
        <v>557</v>
      </c>
      <c r="C9722" s="21" t="n">
        <f aca="false">IF(C9678&gt;0,Assumptions!$C$17,C9667)</f>
        <v>99</v>
      </c>
    </row>
    <row r="9723" customFormat="false" ht="15" hidden="false" customHeight="false" outlineLevel="0" collapsed="false">
      <c r="A9723" s="3" t="s">
        <v>558</v>
      </c>
      <c r="C9723" s="21" t="n">
        <f aca="false">IF(C9679&gt;0,Assumptions!$C$17,C9668)</f>
        <v>99</v>
      </c>
    </row>
    <row r="9724" customFormat="false" ht="15" hidden="false" customHeight="false" outlineLevel="0" collapsed="false">
      <c r="A9724" s="3" t="s">
        <v>559</v>
      </c>
      <c r="C9724" s="21" t="n">
        <f aca="false">IF(C9680&gt;0,Assumptions!$C$17,C9669)</f>
        <v>2</v>
      </c>
    </row>
    <row r="9725" customFormat="false" ht="15" hidden="false" customHeight="false" outlineLevel="0" collapsed="false">
      <c r="A9725" s="3" t="s">
        <v>560</v>
      </c>
      <c r="C9725" s="21" t="n">
        <f aca="false">IF(C9681&gt;0,Assumptions!$C$17,C9670)</f>
        <v>2</v>
      </c>
    </row>
    <row r="9726" customFormat="false" ht="15" hidden="false" customHeight="false" outlineLevel="0" collapsed="false">
      <c r="A9726" s="3" t="s">
        <v>561</v>
      </c>
      <c r="C9726" s="21" t="n">
        <f aca="false">IF(C9682&gt;0,Assumptions!$C$17,C9671)</f>
        <v>2</v>
      </c>
    </row>
    <row r="9727" customFormat="false" ht="15" hidden="false" customHeight="false" outlineLevel="0" collapsed="false">
      <c r="A9727" s="3" t="s">
        <v>562</v>
      </c>
      <c r="C9727" s="21" t="n">
        <f aca="false">IF(C9683&gt;0,Assumptions!$C$17,C9672)</f>
        <v>2</v>
      </c>
    </row>
    <row r="9728" customFormat="false" ht="15" hidden="false" customHeight="false" outlineLevel="0" collapsed="false">
      <c r="A9728" s="3" t="s">
        <v>563</v>
      </c>
      <c r="C9728" s="21" t="n">
        <f aca="false">IF(C9684&gt;0,Assumptions!$C$17,C9673)</f>
        <v>2</v>
      </c>
    </row>
    <row r="9729" customFormat="false" ht="15" hidden="false" customHeight="false" outlineLevel="0" collapsed="false">
      <c r="A9729" s="3" t="s">
        <v>564</v>
      </c>
      <c r="C9729" s="21" t="n">
        <f aca="false">IF(C9685&gt;0,Assumptions!$C$17,C9674)</f>
        <v>2</v>
      </c>
    </row>
    <row r="9730" customFormat="false" ht="15" hidden="false" customHeight="false" outlineLevel="0" collapsed="false">
      <c r="A9730" s="3" t="s">
        <v>565</v>
      </c>
      <c r="C9730" s="21" t="n">
        <f aca="false">IF(C9686&gt;0,Assumptions!$C$17,C9675)</f>
        <v>3</v>
      </c>
    </row>
    <row r="9731" customFormat="false" ht="15" hidden="false" customHeight="false" outlineLevel="0" collapsed="false">
      <c r="A9731" s="24" t="s">
        <v>572</v>
      </c>
      <c r="B9731" s="25"/>
      <c r="C9731" s="25"/>
      <c r="D9731" s="25"/>
      <c r="E9731" s="25"/>
      <c r="F9731" s="25"/>
      <c r="G9731" s="25"/>
      <c r="H9731" s="25"/>
      <c r="I9731" s="25"/>
      <c r="J9731" s="25"/>
      <c r="K9731" s="25"/>
    </row>
    <row r="9732" customFormat="false" ht="15" hidden="false" customHeight="false" outlineLevel="0" collapsed="false">
      <c r="A9732" s="3" t="s">
        <v>556</v>
      </c>
      <c r="C9732" s="16" t="n">
        <f aca="false">SUMPRODUCT(($C$9721:$C$9730&lt;C9721)*$C$9710:$C$9719)</f>
        <v>2078.61</v>
      </c>
    </row>
    <row r="9733" customFormat="false" ht="15" hidden="false" customHeight="false" outlineLevel="0" collapsed="false">
      <c r="A9733" s="3" t="s">
        <v>557</v>
      </c>
      <c r="C9733" s="16" t="n">
        <f aca="false">SUMPRODUCT(($C$9721:$C$9730&lt;C9722)*$C$9710:$C$9719)</f>
        <v>2078.61</v>
      </c>
    </row>
    <row r="9734" customFormat="false" ht="15" hidden="false" customHeight="false" outlineLevel="0" collapsed="false">
      <c r="A9734" s="3" t="s">
        <v>558</v>
      </c>
      <c r="C9734" s="16" t="n">
        <f aca="false">SUMPRODUCT(($C$9721:$C$9730&lt;C9723)*$C$9710:$C$9719)</f>
        <v>2078.61</v>
      </c>
    </row>
    <row r="9735" customFormat="false" ht="15" hidden="false" customHeight="false" outlineLevel="0" collapsed="false">
      <c r="A9735" s="3" t="s">
        <v>559</v>
      </c>
      <c r="C9735" s="16" t="n">
        <f aca="false">SUMPRODUCT(($C$9721:$C$9730&lt;C9724)*$C$9710:$C$9719)</f>
        <v>0</v>
      </c>
    </row>
    <row r="9736" customFormat="false" ht="15" hidden="false" customHeight="false" outlineLevel="0" collapsed="false">
      <c r="A9736" s="3" t="s">
        <v>560</v>
      </c>
      <c r="C9736" s="16" t="n">
        <f aca="false">SUMPRODUCT(($C$9721:$C$9730&lt;C9725)*$C$9710:$C$9719)</f>
        <v>0</v>
      </c>
    </row>
    <row r="9737" customFormat="false" ht="15" hidden="false" customHeight="false" outlineLevel="0" collapsed="false">
      <c r="A9737" s="3" t="s">
        <v>561</v>
      </c>
      <c r="C9737" s="16" t="n">
        <f aca="false">SUMPRODUCT(($C$9721:$C$9730&lt;C9726)*$C$9710:$C$9719)</f>
        <v>0</v>
      </c>
    </row>
    <row r="9738" customFormat="false" ht="15" hidden="false" customHeight="false" outlineLevel="0" collapsed="false">
      <c r="A9738" s="3" t="s">
        <v>562</v>
      </c>
      <c r="C9738" s="16" t="n">
        <f aca="false">SUMPRODUCT(($C$9721:$C$9730&lt;C9727)*$C$9710:$C$9719)</f>
        <v>0</v>
      </c>
    </row>
    <row r="9739" customFormat="false" ht="15" hidden="false" customHeight="false" outlineLevel="0" collapsed="false">
      <c r="A9739" s="3" t="s">
        <v>563</v>
      </c>
      <c r="C9739" s="16" t="n">
        <f aca="false">SUMPRODUCT(($C$9721:$C$9730&lt;C9728)*$C$9710:$C$9719)</f>
        <v>0</v>
      </c>
    </row>
    <row r="9740" customFormat="false" ht="15" hidden="false" customHeight="false" outlineLevel="0" collapsed="false">
      <c r="A9740" s="3" t="s">
        <v>564</v>
      </c>
      <c r="C9740" s="16" t="n">
        <f aca="false">SUMPRODUCT(($C$9721:$C$9730&lt;C9729)*$C$9710:$C$9719)</f>
        <v>0</v>
      </c>
    </row>
    <row r="9741" customFormat="false" ht="15" hidden="false" customHeight="false" outlineLevel="0" collapsed="false">
      <c r="A9741" s="3" t="s">
        <v>565</v>
      </c>
      <c r="C9741" s="16" t="n">
        <f aca="false">SUMPRODUCT(($C$9721:$C$9730&lt;C9730)*$C$9710:$C$9719)</f>
        <v>2000</v>
      </c>
    </row>
    <row r="9742" customFormat="false" ht="15" hidden="false" customHeight="false" outlineLevel="0" collapsed="false">
      <c r="A9742" s="24" t="s">
        <v>573</v>
      </c>
      <c r="B9742" s="25"/>
      <c r="C9742" s="25"/>
      <c r="D9742" s="25"/>
      <c r="E9742" s="25"/>
      <c r="F9742" s="25"/>
      <c r="G9742" s="25"/>
      <c r="H9742" s="25"/>
      <c r="I9742" s="25"/>
      <c r="J9742" s="25"/>
      <c r="K9742" s="25"/>
    </row>
    <row r="9743" customFormat="false" ht="15" hidden="false" customHeight="false" outlineLevel="0" collapsed="false">
      <c r="A9743" s="3" t="s">
        <v>556</v>
      </c>
      <c r="C9743" s="16" t="n">
        <f aca="false">SUMPRODUCT(($C$9721:$C$9730=C9721)*$C$9710:$C$9719)</f>
        <v>63.2711151698776</v>
      </c>
    </row>
    <row r="9744" customFormat="false" ht="15" hidden="false" customHeight="false" outlineLevel="0" collapsed="false">
      <c r="A9744" s="3" t="s">
        <v>557</v>
      </c>
      <c r="C9744" s="16" t="n">
        <f aca="false">SUMPRODUCT(($C$9721:$C$9730=C9722)*$C$9710:$C$9719)</f>
        <v>63.2711151698776</v>
      </c>
    </row>
    <row r="9745" customFormat="false" ht="15" hidden="false" customHeight="false" outlineLevel="0" collapsed="false">
      <c r="A9745" s="3" t="s">
        <v>558</v>
      </c>
      <c r="C9745" s="16" t="n">
        <f aca="false">SUMPRODUCT(($C$9721:$C$9730=C9723)*$C$9710:$C$9719)</f>
        <v>63.2711151698776</v>
      </c>
    </row>
    <row r="9746" customFormat="false" ht="15" hidden="false" customHeight="false" outlineLevel="0" collapsed="false">
      <c r="A9746" s="3" t="s">
        <v>559</v>
      </c>
      <c r="C9746" s="16" t="n">
        <f aca="false">SUMPRODUCT(($C$9721:$C$9730=C9724)*$C$9710:$C$9719)</f>
        <v>2000</v>
      </c>
    </row>
    <row r="9747" customFormat="false" ht="15" hidden="false" customHeight="false" outlineLevel="0" collapsed="false">
      <c r="A9747" s="3" t="s">
        <v>560</v>
      </c>
      <c r="C9747" s="16" t="n">
        <f aca="false">SUMPRODUCT(($C$9721:$C$9730=C9725)*$C$9710:$C$9719)</f>
        <v>2000</v>
      </c>
    </row>
    <row r="9748" customFormat="false" ht="15" hidden="false" customHeight="false" outlineLevel="0" collapsed="false">
      <c r="A9748" s="3" t="s">
        <v>561</v>
      </c>
      <c r="C9748" s="16" t="n">
        <f aca="false">SUMPRODUCT(($C$9721:$C$9730=C9726)*$C$9710:$C$9719)</f>
        <v>2000</v>
      </c>
    </row>
    <row r="9749" customFormat="false" ht="15" hidden="false" customHeight="false" outlineLevel="0" collapsed="false">
      <c r="A9749" s="3" t="s">
        <v>562</v>
      </c>
      <c r="C9749" s="16" t="n">
        <f aca="false">SUMPRODUCT(($C$9721:$C$9730=C9727)*$C$9710:$C$9719)</f>
        <v>2000</v>
      </c>
    </row>
    <row r="9750" customFormat="false" ht="15" hidden="false" customHeight="false" outlineLevel="0" collapsed="false">
      <c r="A9750" s="3" t="s">
        <v>563</v>
      </c>
      <c r="C9750" s="16" t="n">
        <f aca="false">SUMPRODUCT(($C$9721:$C$9730=C9728)*$C$9710:$C$9719)</f>
        <v>2000</v>
      </c>
    </row>
    <row r="9751" customFormat="false" ht="15" hidden="false" customHeight="false" outlineLevel="0" collapsed="false">
      <c r="A9751" s="3" t="s">
        <v>564</v>
      </c>
      <c r="C9751" s="16" t="n">
        <f aca="false">SUMPRODUCT(($C$9721:$C$9730=C9729)*$C$9710:$C$9719)</f>
        <v>2000</v>
      </c>
    </row>
    <row r="9752" customFormat="false" ht="15" hidden="false" customHeight="false" outlineLevel="0" collapsed="false">
      <c r="A9752" s="3" t="s">
        <v>565</v>
      </c>
      <c r="C9752" s="16" t="n">
        <f aca="false">SUMPRODUCT(($C$9721:$C$9730=C9730)*$C$9710:$C$9719)</f>
        <v>78.61</v>
      </c>
    </row>
    <row r="9753" customFormat="false" ht="15" hidden="false" customHeight="false" outlineLevel="0" collapsed="false">
      <c r="A9753" s="24" t="s">
        <v>574</v>
      </c>
      <c r="B9753" s="25"/>
      <c r="C9753" s="25"/>
      <c r="D9753" s="25"/>
      <c r="E9753" s="25"/>
      <c r="F9753" s="25"/>
      <c r="G9753" s="25"/>
      <c r="H9753" s="25"/>
      <c r="I9753" s="25"/>
      <c r="J9753" s="25"/>
      <c r="K9753" s="25"/>
    </row>
    <row r="9754" customFormat="false" ht="15" hidden="false" customHeight="false" outlineLevel="0" collapsed="false">
      <c r="A9754" s="3" t="s">
        <v>556</v>
      </c>
      <c r="C9754" s="16" t="n">
        <f aca="false">IF(C9743=0,0,C9710/C9743*MAX(0,MIN(C9743,$C$9653-SUM($C$9688:$C$9697)-C9732)))</f>
        <v>0</v>
      </c>
    </row>
    <row r="9755" customFormat="false" ht="15" hidden="false" customHeight="false" outlineLevel="0" collapsed="false">
      <c r="A9755" s="3" t="s">
        <v>557</v>
      </c>
      <c r="C9755" s="16" t="n">
        <f aca="false">IF(C9744=0,0,C9711/C9744*MAX(0,MIN(C9744,$C$9653-SUM($C$9688:$C$9697)-C9733)))</f>
        <v>0</v>
      </c>
    </row>
    <row r="9756" customFormat="false" ht="15" hidden="false" customHeight="false" outlineLevel="0" collapsed="false">
      <c r="A9756" s="3" t="s">
        <v>558</v>
      </c>
      <c r="C9756" s="16" t="n">
        <f aca="false">IF(C9745=0,0,C9712/C9745*MAX(0,MIN(C9745,$C$9653-SUM($C$9688:$C$9697)-C9734)))</f>
        <v>0</v>
      </c>
    </row>
    <row r="9757" customFormat="false" ht="15" hidden="false" customHeight="false" outlineLevel="0" collapsed="false">
      <c r="A9757" s="3" t="s">
        <v>559</v>
      </c>
      <c r="C9757" s="16" t="n">
        <f aca="false">IF(C9746=0,0,C9713/C9746*MAX(0,MIN(C9746,$C$9653-SUM($C$9688:$C$9697)-C9735)))</f>
        <v>0</v>
      </c>
    </row>
    <row r="9758" customFormat="false" ht="15" hidden="false" customHeight="false" outlineLevel="0" collapsed="false">
      <c r="A9758" s="3" t="s">
        <v>560</v>
      </c>
      <c r="C9758" s="16" t="n">
        <f aca="false">IF(C9747=0,0,C9714/C9747*MAX(0,MIN(C9747,$C$9653-SUM($C$9688:$C$9697)-C9736)))</f>
        <v>244.008454372066</v>
      </c>
    </row>
    <row r="9759" customFormat="false" ht="15" hidden="false" customHeight="false" outlineLevel="0" collapsed="false">
      <c r="A9759" s="3" t="s">
        <v>561</v>
      </c>
      <c r="C9759" s="16" t="n">
        <f aca="false">IF(C9748=0,0,C9715/C9748*MAX(0,MIN(C9748,$C$9653-SUM($C$9688:$C$9697)-C9737)))</f>
        <v>189.784353400495</v>
      </c>
    </row>
    <row r="9760" customFormat="false" ht="15" hidden="false" customHeight="false" outlineLevel="0" collapsed="false">
      <c r="A9760" s="3" t="s">
        <v>562</v>
      </c>
      <c r="C9760" s="16" t="n">
        <f aca="false">IF(C9749=0,0,C9716/C9749*MAX(0,MIN(C9749,$C$9653-SUM($C$9688:$C$9697)-C9738)))</f>
        <v>298.232555343636</v>
      </c>
    </row>
    <row r="9761" customFormat="false" ht="15" hidden="false" customHeight="false" outlineLevel="0" collapsed="false">
      <c r="A9761" s="3" t="s">
        <v>563</v>
      </c>
      <c r="C9761" s="16" t="n">
        <f aca="false">IF(C9750=0,0,C9717/C9750*MAX(0,MIN(C9750,$C$9653-SUM($C$9688:$C$9697)-C9739)))</f>
        <v>189.784353400495</v>
      </c>
    </row>
    <row r="9762" customFormat="false" ht="15" hidden="false" customHeight="false" outlineLevel="0" collapsed="false">
      <c r="A9762" s="3" t="s">
        <v>564</v>
      </c>
      <c r="C9762" s="16" t="n">
        <f aca="false">IF(C9751=0,0,C9718/C9751*MAX(0,MIN(C9751,$C$9653-SUM($C$9688:$C$9697)-C9740)))</f>
        <v>162.67230291471</v>
      </c>
    </row>
    <row r="9763" customFormat="false" ht="15" hidden="false" customHeight="false" outlineLevel="0" collapsed="false">
      <c r="A9763" s="3" t="s">
        <v>565</v>
      </c>
      <c r="C9763" s="16" t="n">
        <f aca="false">IF(C9752=0,0,C9719/C9752*MAX(0,MIN(C9752,$C$9653-SUM($C$9688:$C$9697)-C9741)))</f>
        <v>0</v>
      </c>
    </row>
    <row r="9764" customFormat="false" ht="15" hidden="false" customHeight="false" outlineLevel="0" collapsed="false">
      <c r="A9764" s="24" t="s">
        <v>575</v>
      </c>
      <c r="B9764" s="25"/>
      <c r="C9764" s="25"/>
      <c r="D9764" s="25"/>
      <c r="E9764" s="25"/>
      <c r="F9764" s="25"/>
      <c r="G9764" s="25"/>
      <c r="H9764" s="25"/>
      <c r="I9764" s="25"/>
      <c r="J9764" s="25"/>
      <c r="K9764" s="25"/>
    </row>
    <row r="9765" customFormat="false" ht="15" hidden="false" customHeight="false" outlineLevel="0" collapsed="false">
      <c r="A9765" s="2" t="s">
        <v>556</v>
      </c>
      <c r="C9765" s="17" t="n">
        <f aca="false">C9688+C9754</f>
        <v>388</v>
      </c>
    </row>
    <row r="9766" customFormat="false" ht="15" hidden="false" customHeight="false" outlineLevel="0" collapsed="false">
      <c r="A9766" s="2" t="s">
        <v>557</v>
      </c>
      <c r="C9766" s="17" t="n">
        <f aca="false">C9689+C9755</f>
        <v>51.3656518406303</v>
      </c>
    </row>
    <row r="9767" customFormat="false" ht="15" hidden="false" customHeight="false" outlineLevel="0" collapsed="false">
      <c r="A9767" s="2" t="s">
        <v>558</v>
      </c>
      <c r="C9767" s="17" t="n">
        <f aca="false">C9690+C9756</f>
        <v>32.687232989492</v>
      </c>
    </row>
    <row r="9768" customFormat="false" ht="15" hidden="false" customHeight="false" outlineLevel="0" collapsed="false">
      <c r="A9768" s="2" t="s">
        <v>559</v>
      </c>
      <c r="C9768" s="17" t="n">
        <f aca="false">C9691+C9757</f>
        <v>0</v>
      </c>
    </row>
    <row r="9769" customFormat="false" ht="15" hidden="false" customHeight="false" outlineLevel="0" collapsed="false">
      <c r="A9769" s="2" t="s">
        <v>560</v>
      </c>
      <c r="C9769" s="17" t="n">
        <f aca="false">C9692+C9758</f>
        <v>244.008454372066</v>
      </c>
    </row>
    <row r="9770" customFormat="false" ht="15" hidden="false" customHeight="false" outlineLevel="0" collapsed="false">
      <c r="A9770" s="2" t="s">
        <v>561</v>
      </c>
      <c r="C9770" s="17" t="n">
        <f aca="false">C9693+C9759</f>
        <v>189.784353400495</v>
      </c>
    </row>
    <row r="9771" customFormat="false" ht="15" hidden="false" customHeight="false" outlineLevel="0" collapsed="false">
      <c r="A9771" s="2" t="s">
        <v>562</v>
      </c>
      <c r="C9771" s="17" t="n">
        <f aca="false">C9694+C9760</f>
        <v>298.232555343636</v>
      </c>
    </row>
    <row r="9772" customFormat="false" ht="15" hidden="false" customHeight="false" outlineLevel="0" collapsed="false">
      <c r="A9772" s="2" t="s">
        <v>563</v>
      </c>
      <c r="C9772" s="17" t="n">
        <f aca="false">C9695+C9761</f>
        <v>189.784353400495</v>
      </c>
    </row>
    <row r="9773" customFormat="false" ht="15" hidden="false" customHeight="false" outlineLevel="0" collapsed="false">
      <c r="A9773" s="2" t="s">
        <v>564</v>
      </c>
      <c r="C9773" s="17" t="n">
        <f aca="false">C9696+C9762</f>
        <v>162.67230291471</v>
      </c>
    </row>
    <row r="9774" customFormat="false" ht="15" hidden="false" customHeight="false" outlineLevel="0" collapsed="false">
      <c r="A9774" s="2" t="s">
        <v>565</v>
      </c>
      <c r="C9774" s="17" t="n">
        <f aca="false">C9697+C9763</f>
        <v>0</v>
      </c>
    </row>
    <row r="9775" customFormat="false" ht="15" hidden="false" customHeight="false" outlineLevel="0" collapsed="false">
      <c r="A9775" s="24" t="s">
        <v>576</v>
      </c>
      <c r="B9775" s="25"/>
      <c r="C9775" s="25"/>
      <c r="D9775" s="25"/>
      <c r="E9775" s="25"/>
      <c r="F9775" s="25"/>
      <c r="G9775" s="25"/>
      <c r="H9775" s="25"/>
      <c r="I9775" s="25"/>
      <c r="J9775" s="25"/>
      <c r="K9775" s="25"/>
    </row>
    <row r="9776" customFormat="false" ht="15" hidden="false" customHeight="false" outlineLevel="0" collapsed="false">
      <c r="A9776" s="3" t="s">
        <v>556</v>
      </c>
      <c r="C9776" s="22" t="n">
        <f aca="false">IF(C9655=0,1,C9765/C9655)</f>
        <v>1</v>
      </c>
    </row>
    <row r="9777" customFormat="false" ht="15" hidden="false" customHeight="false" outlineLevel="0" collapsed="false">
      <c r="A9777" s="3" t="s">
        <v>557</v>
      </c>
      <c r="C9777" s="22" t="n">
        <f aca="false">IF(C9656=0,1,C9766/C9656)</f>
        <v>0.570729464895893</v>
      </c>
    </row>
    <row r="9778" customFormat="false" ht="15" hidden="false" customHeight="false" outlineLevel="0" collapsed="false">
      <c r="A9778" s="3" t="s">
        <v>558</v>
      </c>
      <c r="C9778" s="22" t="n">
        <f aca="false">IF(C9657=0,1,C9767/C9657)</f>
        <v>0.570218983139558</v>
      </c>
    </row>
    <row r="9779" customFormat="false" ht="15" hidden="false" customHeight="false" outlineLevel="0" collapsed="false">
      <c r="A9779" s="3" t="s">
        <v>559</v>
      </c>
      <c r="C9779" s="22" t="n">
        <f aca="false">IF(C9658=0,1,C9768/C9658)</f>
        <v>1</v>
      </c>
    </row>
    <row r="9780" customFormat="false" ht="15" hidden="false" customHeight="false" outlineLevel="0" collapsed="false">
      <c r="A9780" s="3" t="s">
        <v>560</v>
      </c>
      <c r="C9780" s="22" t="n">
        <f aca="false">IF(C9659=0,1,C9769/C9659)</f>
        <v>0.542241009715701</v>
      </c>
    </row>
    <row r="9781" customFormat="false" ht="15" hidden="false" customHeight="false" outlineLevel="0" collapsed="false">
      <c r="A9781" s="3" t="s">
        <v>561</v>
      </c>
      <c r="C9781" s="22" t="n">
        <f aca="false">IF(C9660=0,1,C9770/C9660)</f>
        <v>0.542241009715701</v>
      </c>
    </row>
    <row r="9782" customFormat="false" ht="15" hidden="false" customHeight="false" outlineLevel="0" collapsed="false">
      <c r="A9782" s="3" t="s">
        <v>562</v>
      </c>
      <c r="C9782" s="22" t="n">
        <f aca="false">IF(C9661=0,1,C9771/C9661)</f>
        <v>0.542241009715701</v>
      </c>
    </row>
    <row r="9783" customFormat="false" ht="15" hidden="false" customHeight="false" outlineLevel="0" collapsed="false">
      <c r="A9783" s="3" t="s">
        <v>563</v>
      </c>
      <c r="C9783" s="22" t="n">
        <f aca="false">IF(C9662=0,1,C9772/C9662)</f>
        <v>0.542241009715701</v>
      </c>
    </row>
    <row r="9784" customFormat="false" ht="15" hidden="false" customHeight="false" outlineLevel="0" collapsed="false">
      <c r="A9784" s="3" t="s">
        <v>564</v>
      </c>
      <c r="C9784" s="22" t="n">
        <f aca="false">IF(C9663=0,1,C9773/C9663)</f>
        <v>0.542241009715701</v>
      </c>
    </row>
    <row r="9785" customFormat="false" ht="15" hidden="false" customHeight="false" outlineLevel="0" collapsed="false">
      <c r="A9785" s="3" t="s">
        <v>565</v>
      </c>
      <c r="C9785" s="22" t="n">
        <f aca="false">IF(C9664=0,1,C9774/C9664)</f>
        <v>0</v>
      </c>
    </row>
    <row r="9786" customFormat="false" ht="15" hidden="false" customHeight="false" outlineLevel="0" collapsed="false">
      <c r="A9786" s="24" t="s">
        <v>577</v>
      </c>
      <c r="B9786" s="25"/>
      <c r="C9786" s="25"/>
      <c r="D9786" s="25"/>
      <c r="E9786" s="25"/>
      <c r="F9786" s="25"/>
      <c r="G9786" s="25"/>
      <c r="H9786" s="25"/>
      <c r="I9786" s="25"/>
      <c r="J9786" s="25"/>
      <c r="K9786" s="25"/>
    </row>
    <row r="9787" customFormat="false" ht="15" hidden="false" customHeight="false" outlineLevel="0" collapsed="false">
      <c r="A9787" s="3" t="s">
        <v>556</v>
      </c>
      <c r="C9787" s="16" t="n">
        <f aca="false">C9655-C9765</f>
        <v>0</v>
      </c>
    </row>
    <row r="9788" customFormat="false" ht="15" hidden="false" customHeight="false" outlineLevel="0" collapsed="false">
      <c r="A9788" s="3" t="s">
        <v>557</v>
      </c>
      <c r="C9788" s="16" t="n">
        <f aca="false">C9656-C9766</f>
        <v>38.6343481593697</v>
      </c>
    </row>
    <row r="9789" customFormat="false" ht="15" hidden="false" customHeight="false" outlineLevel="0" collapsed="false">
      <c r="A9789" s="3" t="s">
        <v>558</v>
      </c>
      <c r="C9789" s="16" t="n">
        <f aca="false">C9657-C9767</f>
        <v>24.636767010508</v>
      </c>
    </row>
    <row r="9790" customFormat="false" ht="15" hidden="false" customHeight="false" outlineLevel="0" collapsed="false">
      <c r="A9790" s="3" t="s">
        <v>559</v>
      </c>
      <c r="C9790" s="16" t="n">
        <f aca="false">C9658-C9768</f>
        <v>0</v>
      </c>
    </row>
    <row r="9791" customFormat="false" ht="15" hidden="false" customHeight="false" outlineLevel="0" collapsed="false">
      <c r="A9791" s="3" t="s">
        <v>560</v>
      </c>
      <c r="C9791" s="16" t="n">
        <f aca="false">C9659-C9769</f>
        <v>205.991545627934</v>
      </c>
    </row>
    <row r="9792" customFormat="false" ht="15" hidden="false" customHeight="false" outlineLevel="0" collapsed="false">
      <c r="A9792" s="3" t="s">
        <v>561</v>
      </c>
      <c r="C9792" s="16" t="n">
        <f aca="false">C9660-C9770</f>
        <v>160.215646599505</v>
      </c>
    </row>
    <row r="9793" customFormat="false" ht="15" hidden="false" customHeight="false" outlineLevel="0" collapsed="false">
      <c r="A9793" s="3" t="s">
        <v>562</v>
      </c>
      <c r="C9793" s="16" t="n">
        <f aca="false">C9661-C9771</f>
        <v>251.767444656364</v>
      </c>
    </row>
    <row r="9794" customFormat="false" ht="15" hidden="false" customHeight="false" outlineLevel="0" collapsed="false">
      <c r="A9794" s="3" t="s">
        <v>563</v>
      </c>
      <c r="C9794" s="16" t="n">
        <f aca="false">C9662-C9772</f>
        <v>160.215646599505</v>
      </c>
    </row>
    <row r="9795" customFormat="false" ht="15" hidden="false" customHeight="false" outlineLevel="0" collapsed="false">
      <c r="A9795" s="3" t="s">
        <v>564</v>
      </c>
      <c r="C9795" s="16" t="n">
        <f aca="false">C9663-C9773</f>
        <v>137.32769708529</v>
      </c>
    </row>
    <row r="9796" customFormat="false" ht="15" hidden="false" customHeight="false" outlineLevel="0" collapsed="false">
      <c r="A9796" s="3" t="s">
        <v>565</v>
      </c>
      <c r="C9796" s="16" t="n">
        <f aca="false">C9664-C9774</f>
        <v>78.61</v>
      </c>
    </row>
    <row r="9797" customFormat="false" ht="15" hidden="false" customHeight="false" outlineLevel="0" collapsed="false">
      <c r="A9797" s="24" t="s">
        <v>578</v>
      </c>
      <c r="B9797" s="25"/>
      <c r="C9797" s="25"/>
      <c r="D9797" s="25"/>
      <c r="E9797" s="25"/>
      <c r="F9797" s="25"/>
      <c r="G9797" s="25"/>
      <c r="H9797" s="25"/>
      <c r="I9797" s="25"/>
      <c r="J9797" s="25"/>
      <c r="K9797" s="25"/>
    </row>
    <row r="9798" customFormat="false" ht="15" hidden="false" customHeight="false" outlineLevel="0" collapsed="false">
      <c r="A9798" s="3" t="s">
        <v>556</v>
      </c>
      <c r="C9798" s="22" t="n">
        <f aca="false">IF(C9655=0,0,C9787/C9655)</f>
        <v>0</v>
      </c>
    </row>
    <row r="9799" customFormat="false" ht="15" hidden="false" customHeight="false" outlineLevel="0" collapsed="false">
      <c r="A9799" s="3" t="s">
        <v>557</v>
      </c>
      <c r="C9799" s="22" t="n">
        <f aca="false">IF(C9656=0,0,C9788/C9656)</f>
        <v>0.429270535104107</v>
      </c>
    </row>
    <row r="9800" customFormat="false" ht="15" hidden="false" customHeight="false" outlineLevel="0" collapsed="false">
      <c r="A9800" s="3" t="s">
        <v>558</v>
      </c>
      <c r="C9800" s="22" t="n">
        <f aca="false">IF(C9657=0,0,C9789/C9657)</f>
        <v>0.429781016860442</v>
      </c>
    </row>
    <row r="9801" customFormat="false" ht="15" hidden="false" customHeight="false" outlineLevel="0" collapsed="false">
      <c r="A9801" s="3" t="s">
        <v>559</v>
      </c>
      <c r="C9801" s="22" t="n">
        <f aca="false">IF(C9658=0,0,C9790/C9658)</f>
        <v>0</v>
      </c>
    </row>
    <row r="9802" customFormat="false" ht="15" hidden="false" customHeight="false" outlineLevel="0" collapsed="false">
      <c r="A9802" s="3" t="s">
        <v>560</v>
      </c>
      <c r="C9802" s="22" t="n">
        <f aca="false">IF(C9659=0,0,C9791/C9659)</f>
        <v>0.457758990284299</v>
      </c>
    </row>
    <row r="9803" customFormat="false" ht="15" hidden="false" customHeight="false" outlineLevel="0" collapsed="false">
      <c r="A9803" s="3" t="s">
        <v>561</v>
      </c>
      <c r="C9803" s="22" t="n">
        <f aca="false">IF(C9660=0,0,C9792/C9660)</f>
        <v>0.457758990284299</v>
      </c>
    </row>
    <row r="9804" customFormat="false" ht="15" hidden="false" customHeight="false" outlineLevel="0" collapsed="false">
      <c r="A9804" s="3" t="s">
        <v>562</v>
      </c>
      <c r="C9804" s="22" t="n">
        <f aca="false">IF(C9661=0,0,C9793/C9661)</f>
        <v>0.457758990284299</v>
      </c>
    </row>
    <row r="9805" customFormat="false" ht="15" hidden="false" customHeight="false" outlineLevel="0" collapsed="false">
      <c r="A9805" s="3" t="s">
        <v>563</v>
      </c>
      <c r="C9805" s="22" t="n">
        <f aca="false">IF(C9662=0,0,C9794/C9662)</f>
        <v>0.457758990284299</v>
      </c>
    </row>
    <row r="9806" customFormat="false" ht="15" hidden="false" customHeight="false" outlineLevel="0" collapsed="false">
      <c r="A9806" s="3" t="s">
        <v>564</v>
      </c>
      <c r="C9806" s="22" t="n">
        <f aca="false">IF(C9663=0,0,C9795/C9663)</f>
        <v>0.457758990284299</v>
      </c>
    </row>
    <row r="9807" customFormat="false" ht="15" hidden="false" customHeight="false" outlineLevel="0" collapsed="false">
      <c r="A9807" s="3" t="s">
        <v>565</v>
      </c>
      <c r="C9807" s="22" t="n">
        <f aca="false">IF(C9664=0,0,C9796/C9664)</f>
        <v>1</v>
      </c>
    </row>
    <row r="9808" customFormat="false" ht="15" hidden="false" customHeight="false" outlineLevel="0" collapsed="false">
      <c r="A9808" s="2" t="s">
        <v>579</v>
      </c>
      <c r="C9808" s="17" t="n">
        <f aca="false">MAX(0,$C$9653-SUM($C$9688:$C$9697)-SUM($C$9710:$C$9719))</f>
        <v>0</v>
      </c>
    </row>
    <row r="9809" customFormat="false" ht="15" hidden="false" customHeight="false" outlineLevel="0" collapsed="false">
      <c r="A9809" s="3" t="s">
        <v>597</v>
      </c>
      <c r="C9809" s="35" t="n">
        <f aca="false">MIN(C9652,100*CHOOSE(C9642,C9776,C9777,C9778,C9779,C9780,C9781,C9782,C9783,C9784,C9785))</f>
        <v>85</v>
      </c>
    </row>
    <row r="9810" customFormat="false" ht="15" hidden="false" customHeight="false" outlineLevel="0" collapsed="false">
      <c r="A9810" s="3" t="s">
        <v>598</v>
      </c>
      <c r="C9810" s="21" t="n">
        <f aca="false">IF(C9474=1,C9647+Assumptions!$C$40,C9646)</f>
        <v>3</v>
      </c>
    </row>
    <row r="9811" customFormat="false" ht="15" hidden="false" customHeight="false" outlineLevel="0" collapsed="false">
      <c r="A9811" s="24" t="s">
        <v>599</v>
      </c>
      <c r="B9811" s="25"/>
      <c r="C9811" s="25"/>
      <c r="D9811" s="25"/>
      <c r="E9811" s="25"/>
      <c r="F9811" s="25"/>
      <c r="G9811" s="25"/>
      <c r="H9811" s="25"/>
      <c r="I9811" s="25"/>
      <c r="J9811" s="25"/>
      <c r="K9811" s="25"/>
    </row>
    <row r="9812" customFormat="false" ht="15" hidden="false" customHeight="false" outlineLevel="0" collapsed="false">
      <c r="A9812" s="3" t="s">
        <v>600</v>
      </c>
      <c r="C9812" s="21" t="n">
        <f aca="false">COLUMN()-COLUMN($C$1)</f>
        <v>0</v>
      </c>
      <c r="D9812" s="21" t="n">
        <f aca="false">COLUMN()-COLUMN($C$1)</f>
        <v>1</v>
      </c>
      <c r="E9812" s="21" t="n">
        <f aca="false">COLUMN()-COLUMN($C$1)</f>
        <v>2</v>
      </c>
      <c r="F9812" s="21" t="n">
        <f aca="false">COLUMN()-COLUMN($C$1)</f>
        <v>3</v>
      </c>
      <c r="G9812" s="21" t="n">
        <f aca="false">COLUMN()-COLUMN($C$1)</f>
        <v>4</v>
      </c>
      <c r="H9812" s="21" t="n">
        <f aca="false">COLUMN()-COLUMN($C$1)</f>
        <v>5</v>
      </c>
      <c r="I9812" s="21" t="n">
        <f aca="false">COLUMN()-COLUMN($C$1)</f>
        <v>6</v>
      </c>
    </row>
    <row r="9813" customFormat="false" ht="15" hidden="false" customHeight="false" outlineLevel="0" collapsed="false">
      <c r="A9813" s="3" t="s">
        <v>601</v>
      </c>
      <c r="D9813" s="31" t="n">
        <f aca="false">CHOOSE($C$9642,G9222,G9235,G9248,G9261,G9274,G9287,G9300,G9313,G9326,G9339)</f>
        <v>0.1215</v>
      </c>
      <c r="E9813" s="31" t="n">
        <f aca="false">CHOOSE($C$9642,H9222,H9235,H9248,H9261,H9274,H9287,H9300,H9313,H9326,H9339)</f>
        <v>0.12</v>
      </c>
      <c r="F9813" s="31" t="n">
        <f aca="false">CHOOSE($C$9642,I9222,I9235,I9248,I9261,I9274,I9287,I9300,I9313,I9326,I9339)</f>
        <v>0.1175</v>
      </c>
      <c r="G9813" s="31" t="n">
        <f aca="false">CHOOSE($C$9642,J9222,J9235,J9248,J9261,J9274,J9287,J9300,J9313,J9326,J9339)</f>
        <v>0.1175</v>
      </c>
      <c r="H9813" s="31" t="n">
        <f aca="false">CHOOSE($C$9642,K9222,K9235,K9248,K9261,K9274,K9287,K9300,K9313,K9326,K9339)</f>
        <v>0.1175</v>
      </c>
    </row>
    <row r="9814" customFormat="false" ht="15" hidden="false" customHeight="false" outlineLevel="0" collapsed="false">
      <c r="A9814" s="3" t="s">
        <v>602</v>
      </c>
      <c r="D9814" s="16" t="n">
        <f aca="false">IF(D9812&lt;=$C$9651,$C$9643*D9813,0)</f>
        <v>12.15</v>
      </c>
      <c r="E9814" s="16" t="n">
        <f aca="false">IF(E9812&lt;=$C$9651,$C$9643*E9813,0)</f>
        <v>12</v>
      </c>
      <c r="F9814" s="16" t="n">
        <f aca="false">IF(F9812&lt;=$C$9651,$C$9643*F9813,0)</f>
        <v>0</v>
      </c>
      <c r="G9814" s="16" t="n">
        <f aca="false">IF(G9812&lt;=$C$9651,$C$9643*G9813,0)</f>
        <v>0</v>
      </c>
      <c r="H9814" s="16" t="n">
        <f aca="false">IF(H9812&lt;=$C$9651,$C$9643*H9813,0)</f>
        <v>0</v>
      </c>
    </row>
    <row r="9815" customFormat="false" ht="15" hidden="false" customHeight="false" outlineLevel="0" collapsed="false">
      <c r="A9815" s="3" t="s">
        <v>603</v>
      </c>
      <c r="D9815" s="16" t="n">
        <f aca="false">IF(AND($C$9474=0,D9812=$C$9646),$C$9643*$C$9809/100,0)+IF(AND($C$9474=1,D9812=$C$9810),$C$9649,0)</f>
        <v>0</v>
      </c>
      <c r="E9815" s="16" t="n">
        <f aca="false">IF(AND($C$9474=0,E9812=$C$9646),$C$9643*$C$9809/100,0)+IF(AND($C$9474=1,E9812=$C$9810),$C$9649,0)</f>
        <v>0</v>
      </c>
      <c r="F9815" s="16" t="n">
        <f aca="false">IF(AND($C$9474=0,F9812=$C$9646),$C$9643*$C$9809/100,0)+IF(AND($C$9474=1,F9812=$C$9810),$C$9649,0)</f>
        <v>103</v>
      </c>
      <c r="G9815" s="16" t="n">
        <f aca="false">IF(AND($C$9474=0,G9812=$C$9646),$C$9643*$C$9809/100,0)+IF(AND($C$9474=1,G9812=$C$9810),$C$9649,0)</f>
        <v>0</v>
      </c>
      <c r="H9815" s="16" t="n">
        <f aca="false">IF(AND($C$9474=0,H9812=$C$9646),$C$9643*$C$9809/100,0)+IF(AND($C$9474=1,H9812=$C$9810),$C$9649,0)</f>
        <v>0</v>
      </c>
      <c r="I9815" s="16" t="n">
        <f aca="false">IF(AND($C$9474=0,I9812=$C$9646),$C$9643*$C$9809/100,0)+IF(AND($C$9474=1,I9812=$C$9810),$C$9649,0)</f>
        <v>0</v>
      </c>
    </row>
    <row r="9816" customFormat="false" ht="15" hidden="false" customHeight="false" outlineLevel="0" collapsed="false">
      <c r="A9816" s="2" t="s">
        <v>604</v>
      </c>
      <c r="C9816" s="17" t="n">
        <f aca="false">-$C$9645</f>
        <v>-98.49</v>
      </c>
      <c r="D9816" s="17" t="n">
        <f aca="false">D9814+D9815</f>
        <v>12.15</v>
      </c>
      <c r="E9816" s="17" t="n">
        <f aca="false">E9814+E9815</f>
        <v>12</v>
      </c>
      <c r="F9816" s="17" t="n">
        <f aca="false">F9814+F9815</f>
        <v>103</v>
      </c>
      <c r="G9816" s="17" t="n">
        <f aca="false">G9814+G9815</f>
        <v>0</v>
      </c>
      <c r="H9816" s="17" t="n">
        <f aca="false">H9814+H9815</f>
        <v>0</v>
      </c>
      <c r="I9816" s="17" t="n">
        <f aca="false">I9814+I9815</f>
        <v>0</v>
      </c>
    </row>
    <row r="9817" customFormat="false" ht="15" hidden="false" customHeight="false" outlineLevel="0" collapsed="false">
      <c r="A9817" s="3" t="s">
        <v>605</v>
      </c>
      <c r="C9817" s="16" t="n">
        <f aca="false">SUM($C$9814:$I$9814)</f>
        <v>24.15</v>
      </c>
    </row>
    <row r="9818" customFormat="false" ht="15" hidden="false" customHeight="false" outlineLevel="0" collapsed="false">
      <c r="A9818" s="3" t="s">
        <v>606</v>
      </c>
      <c r="C9818" s="16" t="n">
        <f aca="false">SUM($C$9815:$I$9815)</f>
        <v>103</v>
      </c>
    </row>
    <row r="9819" customFormat="false" ht="15" hidden="false" customHeight="false" outlineLevel="0" collapsed="false">
      <c r="A9819" s="3" t="s">
        <v>607</v>
      </c>
      <c r="C9819" s="16" t="n">
        <f aca="false">C9817+C9818</f>
        <v>127.15</v>
      </c>
    </row>
    <row r="9820" customFormat="false" ht="15" hidden="false" customHeight="false" outlineLevel="0" collapsed="false">
      <c r="A9820" s="3" t="s">
        <v>608</v>
      </c>
      <c r="C9820" s="16" t="n">
        <f aca="false">C9818-C9643*C9644/100</f>
        <v>5</v>
      </c>
    </row>
    <row r="9821" customFormat="false" ht="15" hidden="false" customHeight="false" outlineLevel="0" collapsed="false">
      <c r="A9821" s="3" t="s">
        <v>609</v>
      </c>
      <c r="C9821" s="16" t="n">
        <f aca="false">C9819-C9645</f>
        <v>28.66</v>
      </c>
    </row>
    <row r="9822" customFormat="false" ht="15" hidden="false" customHeight="false" outlineLevel="0" collapsed="false">
      <c r="A9822" s="2" t="s">
        <v>484</v>
      </c>
      <c r="C9822" s="44" t="n">
        <f aca="false">C9819/C9645</f>
        <v>1.29099400954412</v>
      </c>
    </row>
    <row r="9823" customFormat="false" ht="15" hidden="false" customHeight="false" outlineLevel="0" collapsed="false">
      <c r="A9823" s="2" t="s">
        <v>483</v>
      </c>
      <c r="C9823" s="42" t="n">
        <f aca="false">IF(C9819&lt;=0,-1,IFERROR(IRR($C$9816:$I$9816,MAX(-0.9,C9822^(1/C9810)-1)),IRR($C$9816:$I$9816,0.1)))</f>
        <v>0.0994077590660149</v>
      </c>
    </row>
    <row r="9824" customFormat="false" ht="15" hidden="false" customHeight="false" outlineLevel="0" collapsed="false">
      <c r="A9824" s="3" t="s">
        <v>610</v>
      </c>
      <c r="C9824" s="32" t="n">
        <f aca="false">MAX($G$9418:$K$9418)</f>
        <v>16.7519809878422</v>
      </c>
    </row>
    <row r="9825" customFormat="false" ht="15" hidden="false" customHeight="false" outlineLevel="0" collapsed="false">
      <c r="A9825" s="3" t="s">
        <v>611</v>
      </c>
      <c r="C9825" s="32" t="n">
        <f aca="false">MIN($G$9419:$K$9419)</f>
        <v>0.854638513173885</v>
      </c>
    </row>
    <row r="9826" customFormat="false" ht="15" hidden="false" customHeight="false" outlineLevel="0" collapsed="false">
      <c r="A9826" s="3" t="s">
        <v>612</v>
      </c>
      <c r="C9826" s="16" t="n">
        <f aca="false">SUM($G$9206:$K$9206)</f>
        <v>-362.841736956479</v>
      </c>
    </row>
    <row r="9830" customFormat="false" ht="15" hidden="false" customHeight="false" outlineLevel="0" collapsed="false">
      <c r="A9830" s="9" t="s">
        <v>1145</v>
      </c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</row>
    <row r="9831" customFormat="false" ht="15" hidden="false" customHeight="false" outlineLevel="0" collapsed="false">
      <c r="A9831" s="3" t="s">
        <v>1126</v>
      </c>
      <c r="C9831" s="11" t="n">
        <v>3</v>
      </c>
    </row>
    <row r="9832" customFormat="false" ht="15" hidden="false" customHeight="false" outlineLevel="0" collapsed="false">
      <c r="A9832" s="3" t="s">
        <v>1127</v>
      </c>
      <c r="C9832" s="19" t="n">
        <v>0</v>
      </c>
    </row>
    <row r="9833" customFormat="false" ht="15" hidden="false" customHeight="false" outlineLevel="0" collapsed="false">
      <c r="A9833" s="3" t="s">
        <v>1128</v>
      </c>
      <c r="C9833" s="30" t="n">
        <f aca="false">Sensitivities!$A$32</f>
        <v>0</v>
      </c>
    </row>
    <row r="9834" customFormat="false" ht="15" hidden="false" customHeight="false" outlineLevel="0" collapsed="false">
      <c r="A9834" s="3" t="s">
        <v>1129</v>
      </c>
      <c r="C9834" s="19" t="n">
        <v>0</v>
      </c>
    </row>
    <row r="9835" customFormat="false" ht="15" hidden="false" customHeight="false" outlineLevel="0" collapsed="false">
      <c r="A9835" s="3" t="s">
        <v>1130</v>
      </c>
      <c r="C9835" s="15" t="n">
        <v>0</v>
      </c>
    </row>
    <row r="9837" customFormat="false" ht="15" hidden="false" customHeight="false" outlineLevel="0" collapsed="false">
      <c r="A9837" s="24" t="s">
        <v>301</v>
      </c>
      <c r="B9837" s="25"/>
      <c r="C9837" s="25"/>
      <c r="D9837" s="25"/>
      <c r="E9837" s="25"/>
      <c r="F9837" s="25"/>
      <c r="G9837" s="25"/>
      <c r="H9837" s="25"/>
      <c r="I9837" s="25"/>
      <c r="J9837" s="25"/>
      <c r="K9837" s="25"/>
    </row>
    <row r="9838" customFormat="false" ht="15" hidden="false" customHeight="false" outlineLevel="0" collapsed="false">
      <c r="A9838" s="3" t="s">
        <v>302</v>
      </c>
      <c r="F9838" s="27" t="n">
        <f aca="false">Assumptions!$C$6</f>
        <v>2026</v>
      </c>
      <c r="G9838" s="21" t="n">
        <f aca="false">F9838+1</f>
        <v>2027</v>
      </c>
      <c r="H9838" s="21" t="n">
        <f aca="false">G9838+1</f>
        <v>2028</v>
      </c>
      <c r="I9838" s="21" t="n">
        <f aca="false">H9838+1</f>
        <v>2029</v>
      </c>
      <c r="J9838" s="21" t="n">
        <f aca="false">I9838+1</f>
        <v>2030</v>
      </c>
      <c r="K9838" s="21" t="n">
        <f aca="false">J9838+1</f>
        <v>2031</v>
      </c>
    </row>
    <row r="9839" customFormat="false" ht="15" hidden="false" customHeight="false" outlineLevel="0" collapsed="false">
      <c r="A9839" s="3" t="s">
        <v>303</v>
      </c>
      <c r="G9839" s="21" t="n">
        <f aca="false">G9838-Assumptions!$C$6</f>
        <v>1</v>
      </c>
      <c r="H9839" s="21" t="n">
        <f aca="false">H9838-Assumptions!$C$6</f>
        <v>2</v>
      </c>
      <c r="I9839" s="21" t="n">
        <f aca="false">I9838-Assumptions!$C$6</f>
        <v>3</v>
      </c>
      <c r="J9839" s="21" t="n">
        <f aca="false">J9838-Assumptions!$C$6</f>
        <v>4</v>
      </c>
      <c r="K9839" s="21" t="n">
        <f aca="false">K9838-Assumptions!$C$6</f>
        <v>5</v>
      </c>
    </row>
    <row r="9840" customFormat="false" ht="15" hidden="false" customHeight="false" outlineLevel="0" collapsed="false">
      <c r="A9840" s="3" t="s">
        <v>180</v>
      </c>
      <c r="G9840" s="22" t="n">
        <f aca="false">CHOOSE($C$9831,Assumptions!$G$79,Assumptions!$G$98,Assumptions!$G$117)+$C$9832</f>
        <v>-0.1</v>
      </c>
      <c r="H9840" s="22" t="n">
        <f aca="false">CHOOSE($C$9831,Assumptions!$H$79,Assumptions!$H$98,Assumptions!$H$117)+$C$9832</f>
        <v>-0.07</v>
      </c>
      <c r="I9840" s="22" t="n">
        <f aca="false">CHOOSE($C$9831,Assumptions!$I$79,Assumptions!$I$98,Assumptions!$I$117)+$C$9832</f>
        <v>-0.03</v>
      </c>
      <c r="J9840" s="22" t="n">
        <f aca="false">CHOOSE($C$9831,Assumptions!$J$79,Assumptions!$J$98,Assumptions!$J$117)+$C$9832</f>
        <v>0</v>
      </c>
      <c r="K9840" s="22" t="n">
        <f aca="false">CHOOSE($C$9831,Assumptions!$K$79,Assumptions!$K$98,Assumptions!$K$117)+$C$9832</f>
        <v>0.01</v>
      </c>
    </row>
    <row r="9841" customFormat="false" ht="15" hidden="false" customHeight="false" outlineLevel="0" collapsed="false">
      <c r="A9841" s="3" t="s">
        <v>181</v>
      </c>
      <c r="G9841" s="22" t="n">
        <f aca="false">CHOOSE($C$9831,Assumptions!$G$80,Assumptions!$G$99,Assumptions!$G$118)</f>
        <v>0.533920660818678</v>
      </c>
      <c r="H9841" s="22" t="n">
        <f aca="false">CHOOSE($C$9831,Assumptions!$H$80,Assumptions!$H$99,Assumptions!$H$118)</f>
        <v>0.503920660818678</v>
      </c>
      <c r="I9841" s="22" t="n">
        <f aca="false">CHOOSE($C$9831,Assumptions!$I$80,Assumptions!$I$99,Assumptions!$I$118)</f>
        <v>0.498920660818678</v>
      </c>
      <c r="J9841" s="22" t="n">
        <f aca="false">CHOOSE($C$9831,Assumptions!$J$80,Assumptions!$J$99,Assumptions!$J$118)</f>
        <v>0.503920660818678</v>
      </c>
      <c r="K9841" s="22" t="n">
        <f aca="false">CHOOSE($C$9831,Assumptions!$K$80,Assumptions!$K$99,Assumptions!$K$118)</f>
        <v>0.513920660818678</v>
      </c>
    </row>
    <row r="9842" customFormat="false" ht="15" hidden="false" customHeight="false" outlineLevel="0" collapsed="false">
      <c r="A9842" s="3" t="s">
        <v>182</v>
      </c>
      <c r="G9842" s="22" t="n">
        <f aca="false">CHOOSE($C$9831,Assumptions!$G$81,Assumptions!$G$100,Assumptions!$G$119)+$C$9833</f>
        <v>0.46</v>
      </c>
      <c r="H9842" s="22" t="n">
        <f aca="false">CHOOSE($C$9831,Assumptions!$H$81,Assumptions!$H$100,Assumptions!$H$119)+$C$9833</f>
        <v>0.43</v>
      </c>
      <c r="I9842" s="22" t="n">
        <f aca="false">CHOOSE($C$9831,Assumptions!$I$81,Assumptions!$I$100,Assumptions!$I$119)+$C$9833</f>
        <v>0.425</v>
      </c>
      <c r="J9842" s="22" t="n">
        <f aca="false">CHOOSE($C$9831,Assumptions!$J$81,Assumptions!$J$100,Assumptions!$J$119)+$C$9833</f>
        <v>0.43</v>
      </c>
      <c r="K9842" s="22" t="n">
        <f aca="false">CHOOSE($C$9831,Assumptions!$K$81,Assumptions!$K$100,Assumptions!$K$119)+$C$9833</f>
        <v>0.44</v>
      </c>
    </row>
    <row r="9843" customFormat="false" ht="15" hidden="false" customHeight="false" outlineLevel="0" collapsed="false">
      <c r="A9843" s="24" t="s">
        <v>304</v>
      </c>
      <c r="B9843" s="25"/>
      <c r="C9843" s="25"/>
      <c r="D9843" s="25"/>
      <c r="E9843" s="25"/>
      <c r="F9843" s="25"/>
      <c r="G9843" s="25"/>
      <c r="H9843" s="25"/>
      <c r="I9843" s="25"/>
      <c r="J9843" s="25"/>
      <c r="K9843" s="25"/>
    </row>
    <row r="9844" customFormat="false" ht="15" hidden="false" customHeight="false" outlineLevel="0" collapsed="false">
      <c r="A9844" s="2" t="s">
        <v>275</v>
      </c>
      <c r="F9844" s="28" t="n">
        <f aca="false">'Historical Financials'!G25</f>
        <v>498.291</v>
      </c>
      <c r="G9844" s="17" t="n">
        <f aca="false">F9844*(1+G9840)</f>
        <v>448.4619</v>
      </c>
      <c r="H9844" s="17" t="n">
        <f aca="false">G9844*(1+H9840)</f>
        <v>417.069567</v>
      </c>
      <c r="I9844" s="17" t="n">
        <f aca="false">H9844*(1+I9840)</f>
        <v>404.55747999</v>
      </c>
      <c r="J9844" s="17" t="n">
        <f aca="false">I9844*(1+J9840)</f>
        <v>404.55747999</v>
      </c>
      <c r="K9844" s="17" t="n">
        <f aca="false">J9844*(1+K9840)</f>
        <v>408.6030547899</v>
      </c>
    </row>
    <row r="9845" customFormat="false" ht="15" hidden="false" customHeight="false" outlineLevel="0" collapsed="false">
      <c r="A9845" s="3" t="s">
        <v>276</v>
      </c>
      <c r="G9845" s="16" t="n">
        <f aca="false">G9844*(1-G9841)</f>
        <v>209.018826</v>
      </c>
      <c r="H9845" s="16" t="n">
        <f aca="false">H9844*(1-H9841)</f>
        <v>206.89959519</v>
      </c>
      <c r="I9845" s="16" t="n">
        <f aca="false">I9844*(1-I9841)</f>
        <v>202.71539473425</v>
      </c>
      <c r="J9845" s="16" t="n">
        <f aca="false">J9844*(1-J9841)</f>
        <v>200.6926073343</v>
      </c>
      <c r="K9845" s="16" t="n">
        <f aca="false">K9844*(1-K9841)</f>
        <v>198.613502859744</v>
      </c>
    </row>
    <row r="9846" customFormat="false" ht="15" hidden="false" customHeight="false" outlineLevel="0" collapsed="false">
      <c r="A9846" s="2" t="s">
        <v>277</v>
      </c>
      <c r="G9846" s="17" t="n">
        <f aca="false">G9844-G9845</f>
        <v>239.443074</v>
      </c>
      <c r="H9846" s="17" t="n">
        <f aca="false">H9844-H9845</f>
        <v>210.16997181</v>
      </c>
      <c r="I9846" s="17" t="n">
        <f aca="false">I9844-I9845</f>
        <v>201.84208525575</v>
      </c>
      <c r="J9846" s="17" t="n">
        <f aca="false">J9844-J9845</f>
        <v>203.8648726557</v>
      </c>
      <c r="K9846" s="17" t="n">
        <f aca="false">K9844-K9845</f>
        <v>209.989551930156</v>
      </c>
    </row>
    <row r="9847" customFormat="false" ht="15" hidden="false" customHeight="false" outlineLevel="0" collapsed="false">
      <c r="A9847" s="3" t="s">
        <v>305</v>
      </c>
      <c r="G9847" s="16" t="n">
        <f aca="false">G9846-G9848</f>
        <v>33.1505999999999</v>
      </c>
      <c r="H9847" s="16" t="n">
        <f aca="false">H9846-H9848</f>
        <v>30.830058</v>
      </c>
      <c r="I9847" s="16" t="n">
        <f aca="false">I9846-I9848</f>
        <v>29.90515626</v>
      </c>
      <c r="J9847" s="16" t="n">
        <f aca="false">J9846-J9848</f>
        <v>29.90515626</v>
      </c>
      <c r="K9847" s="16" t="n">
        <f aca="false">K9846-K9848</f>
        <v>30.2042078226</v>
      </c>
    </row>
    <row r="9848" customFormat="false" ht="15" hidden="false" customHeight="false" outlineLevel="0" collapsed="false">
      <c r="A9848" s="2" t="s">
        <v>306</v>
      </c>
      <c r="G9848" s="17" t="n">
        <f aca="false">G9844*G9842</f>
        <v>206.292474</v>
      </c>
      <c r="H9848" s="17" t="n">
        <f aca="false">H9844*H9842</f>
        <v>179.33991381</v>
      </c>
      <c r="I9848" s="17" t="n">
        <f aca="false">I9844*I9842</f>
        <v>171.93692899575</v>
      </c>
      <c r="J9848" s="17" t="n">
        <f aca="false">J9844*J9842</f>
        <v>173.9597163957</v>
      </c>
      <c r="K9848" s="17" t="n">
        <f aca="false">K9844*K9842</f>
        <v>179.785344107556</v>
      </c>
    </row>
    <row r="9849" customFormat="false" ht="15" hidden="false" customHeight="false" outlineLevel="0" collapsed="false">
      <c r="A9849" s="3" t="s">
        <v>307</v>
      </c>
      <c r="G9849" s="16" t="n">
        <f aca="false">G9844*'Historical Financials'!G30/'Historical Financials'!G25</f>
        <v>166.7637</v>
      </c>
      <c r="H9849" s="16" t="n">
        <f aca="false">H9844*'Historical Financials'!G30/'Historical Financials'!G25</f>
        <v>155.090241</v>
      </c>
      <c r="I9849" s="16" t="n">
        <f aca="false">I9844*'Historical Financials'!G30/'Historical Financials'!G25</f>
        <v>150.43753377</v>
      </c>
      <c r="J9849" s="16" t="n">
        <f aca="false">J9844*'Historical Financials'!G30/'Historical Financials'!G25</f>
        <v>150.43753377</v>
      </c>
      <c r="K9849" s="16" t="n">
        <f aca="false">K9844*'Historical Financials'!G30/'Historical Financials'!G25</f>
        <v>151.9419091077</v>
      </c>
    </row>
    <row r="9850" customFormat="false" ht="15" hidden="false" customHeight="false" outlineLevel="0" collapsed="false">
      <c r="A9850" s="3" t="s">
        <v>308</v>
      </c>
      <c r="G9850" s="16" t="n">
        <f aca="false">G9844*'Historical Financials'!G31/'Historical Financials'!G25</f>
        <v>0</v>
      </c>
      <c r="H9850" s="16" t="n">
        <f aca="false">H9844*'Historical Financials'!G31/'Historical Financials'!G25</f>
        <v>0</v>
      </c>
      <c r="I9850" s="16" t="n">
        <f aca="false">I9844*'Historical Financials'!G31/'Historical Financials'!G25</f>
        <v>0</v>
      </c>
      <c r="J9850" s="16" t="n">
        <f aca="false">J9844*'Historical Financials'!G31/'Historical Financials'!G25</f>
        <v>0</v>
      </c>
      <c r="K9850" s="16" t="n">
        <f aca="false">K9844*'Historical Financials'!G31/'Historical Financials'!G25</f>
        <v>0</v>
      </c>
    </row>
    <row r="9851" customFormat="false" ht="15" hidden="false" customHeight="false" outlineLevel="0" collapsed="false">
      <c r="A9851" s="2" t="s">
        <v>309</v>
      </c>
      <c r="G9851" s="17" t="n">
        <f aca="false">G9848-G9849-G9850</f>
        <v>39.528774</v>
      </c>
      <c r="H9851" s="17" t="n">
        <f aca="false">H9848-H9849-H9850</f>
        <v>24.24967281</v>
      </c>
      <c r="I9851" s="17" t="n">
        <f aca="false">I9848-I9849-I9850</f>
        <v>21.49939522575</v>
      </c>
      <c r="J9851" s="17" t="n">
        <f aca="false">J9848-J9849-J9850</f>
        <v>23.5221826257</v>
      </c>
      <c r="K9851" s="17" t="n">
        <f aca="false">K9848-K9849-K9850</f>
        <v>27.843434999856</v>
      </c>
    </row>
    <row r="9852" customFormat="false" ht="15" hidden="false" customHeight="false" outlineLevel="0" collapsed="false">
      <c r="A9852" s="3" t="s">
        <v>310</v>
      </c>
      <c r="G9852" s="16" t="n">
        <f aca="false">G9878+G9891+G9904+G9917+G9930+G9943+G9956+G9969+G9982+G9995</f>
        <v>194.5679854</v>
      </c>
      <c r="H9852" s="16" t="n">
        <f aca="false">H9878+H9891+H9904+H9917+H9930+H9943+H9956+H9969+H9982+H9995</f>
        <v>193.3700704</v>
      </c>
      <c r="I9852" s="16" t="n">
        <f aca="false">I9878+I9891+I9904+I9917+I9930+I9943+I9956+I9969+I9982+I9995</f>
        <v>191.11925836865</v>
      </c>
      <c r="J9852" s="16" t="n">
        <f aca="false">J9878+J9891+J9904+J9917+J9930+J9943+J9956+J9969+J9982+J9995</f>
        <v>190.64925836865</v>
      </c>
      <c r="K9852" s="16" t="n">
        <f aca="false">K9878+K9891+K9904+K9917+K9930+K9943+K9956+K9969+K9982+K9995</f>
        <v>190.17925836865</v>
      </c>
    </row>
    <row r="9853" customFormat="false" ht="15" hidden="false" customHeight="false" outlineLevel="0" collapsed="false">
      <c r="A9853" s="3" t="s">
        <v>311</v>
      </c>
      <c r="G9853" s="16" t="n">
        <f aca="false">G9879+G9892+G9905+G9918+G9931+G9944+G9957+G9970+G9983+G9996</f>
        <v>0</v>
      </c>
      <c r="H9853" s="16" t="n">
        <f aca="false">H9879+H9892+H9905+H9918+H9931+H9944+H9957+H9970+H9983+H9996</f>
        <v>0</v>
      </c>
      <c r="I9853" s="16" t="n">
        <f aca="false">I9879+I9892+I9905+I9918+I9931+I9944+I9957+I9970+I9983+I9996</f>
        <v>0</v>
      </c>
      <c r="J9853" s="16" t="n">
        <f aca="false">J9879+J9892+J9905+J9918+J9931+J9944+J9957+J9970+J9983+J9996</f>
        <v>0</v>
      </c>
      <c r="K9853" s="16" t="n">
        <f aca="false">K9879+K9892+K9905+K9918+K9931+K9944+K9957+K9970+K9983+K9996</f>
        <v>0</v>
      </c>
    </row>
    <row r="9854" customFormat="false" ht="15" hidden="false" customHeight="false" outlineLevel="0" collapsed="false">
      <c r="A9854" s="3" t="s">
        <v>283</v>
      </c>
      <c r="G9854" s="16" t="n">
        <f aca="false">G9852+G9853</f>
        <v>194.5679854</v>
      </c>
      <c r="H9854" s="16" t="n">
        <f aca="false">H9852+H9853</f>
        <v>193.3700704</v>
      </c>
      <c r="I9854" s="16" t="n">
        <f aca="false">I9852+I9853</f>
        <v>191.11925836865</v>
      </c>
      <c r="J9854" s="16" t="n">
        <f aca="false">J9852+J9853</f>
        <v>190.64925836865</v>
      </c>
      <c r="K9854" s="16" t="n">
        <f aca="false">K9852+K9853</f>
        <v>190.17925836865</v>
      </c>
    </row>
    <row r="9855" customFormat="false" ht="15" hidden="false" customHeight="false" outlineLevel="0" collapsed="false">
      <c r="A9855" s="2" t="s">
        <v>284</v>
      </c>
      <c r="G9855" s="17" t="n">
        <f aca="false">G9851-G9854</f>
        <v>-155.0392114</v>
      </c>
      <c r="H9855" s="17" t="n">
        <f aca="false">H9851-H9854</f>
        <v>-169.12039759</v>
      </c>
      <c r="I9855" s="17" t="n">
        <f aca="false">I9851-I9854</f>
        <v>-169.6198631429</v>
      </c>
      <c r="J9855" s="17" t="n">
        <f aca="false">J9851-J9854</f>
        <v>-167.12707574295</v>
      </c>
      <c r="K9855" s="17" t="n">
        <f aca="false">K9851-K9854</f>
        <v>-162.335823368794</v>
      </c>
    </row>
    <row r="9856" customFormat="false" ht="15" hidden="false" customHeight="false" outlineLevel="0" collapsed="false">
      <c r="A9856" s="3" t="s">
        <v>312</v>
      </c>
      <c r="G9856" s="16" t="n">
        <f aca="false">MAX(0,G9855)*Assumptions!$C$9</f>
        <v>0</v>
      </c>
      <c r="H9856" s="16" t="n">
        <f aca="false">MAX(0,H9855)*Assumptions!$C$9</f>
        <v>0</v>
      </c>
      <c r="I9856" s="16" t="n">
        <f aca="false">MAX(0,I9855)*Assumptions!$C$9</f>
        <v>0</v>
      </c>
      <c r="J9856" s="16" t="n">
        <f aca="false">MAX(0,J9855)*Assumptions!$C$9</f>
        <v>0</v>
      </c>
      <c r="K9856" s="16" t="n">
        <f aca="false">MAX(0,K9855)*Assumptions!$C$9</f>
        <v>0</v>
      </c>
    </row>
    <row r="9857" customFormat="false" ht="15" hidden="false" customHeight="false" outlineLevel="0" collapsed="false">
      <c r="A9857" s="2" t="s">
        <v>313</v>
      </c>
      <c r="G9857" s="17" t="n">
        <f aca="false">G9855-G9856</f>
        <v>-155.0392114</v>
      </c>
      <c r="H9857" s="17" t="n">
        <f aca="false">H9855-H9856</f>
        <v>-169.12039759</v>
      </c>
      <c r="I9857" s="17" t="n">
        <f aca="false">I9855-I9856</f>
        <v>-169.6198631429</v>
      </c>
      <c r="J9857" s="17" t="n">
        <f aca="false">J9855-J9856</f>
        <v>-167.12707574295</v>
      </c>
      <c r="K9857" s="17" t="n">
        <f aca="false">K9855-K9856</f>
        <v>-162.335823368794</v>
      </c>
    </row>
    <row r="9858" customFormat="false" ht="15" hidden="false" customHeight="false" outlineLevel="0" collapsed="false">
      <c r="A9858" s="24" t="s">
        <v>314</v>
      </c>
      <c r="B9858" s="25"/>
      <c r="C9858" s="25"/>
      <c r="D9858" s="25"/>
      <c r="E9858" s="25"/>
      <c r="F9858" s="25"/>
      <c r="G9858" s="25"/>
      <c r="H9858" s="25"/>
      <c r="I9858" s="25"/>
      <c r="J9858" s="25"/>
      <c r="K9858" s="25"/>
    </row>
    <row r="9859" customFormat="false" ht="15" hidden="false" customHeight="false" outlineLevel="0" collapsed="false">
      <c r="A9859" s="3" t="s">
        <v>184</v>
      </c>
      <c r="G9859" s="16" t="n">
        <f aca="false">G9844*CHOOSE($C$9831,Assumptions!$C$83,Assumptions!$C$102,Assumptions!$C$121)</f>
        <v>58.300047</v>
      </c>
      <c r="H9859" s="16" t="n">
        <f aca="false">H9844*CHOOSE($C$9831,Assumptions!$C$83,Assumptions!$C$102,Assumptions!$C$121)</f>
        <v>54.21904371</v>
      </c>
      <c r="I9859" s="16" t="n">
        <f aca="false">I9844*CHOOSE($C$9831,Assumptions!$C$83,Assumptions!$C$102,Assumptions!$C$121)</f>
        <v>52.5924723987</v>
      </c>
      <c r="J9859" s="16" t="n">
        <f aca="false">J9844*CHOOSE($C$9831,Assumptions!$C$83,Assumptions!$C$102,Assumptions!$C$121)</f>
        <v>52.5924723987</v>
      </c>
      <c r="K9859" s="16" t="n">
        <f aca="false">K9844*CHOOSE($C$9831,Assumptions!$C$83,Assumptions!$C$102,Assumptions!$C$121)</f>
        <v>53.118397122687</v>
      </c>
    </row>
    <row r="9860" customFormat="false" ht="15" hidden="false" customHeight="false" outlineLevel="0" collapsed="false">
      <c r="A9860" s="3" t="s">
        <v>315</v>
      </c>
      <c r="G9860" s="16" t="n">
        <f aca="false">CHOOSE($C$9831,Assumptions!$C$84,Assumptions!$C$103,Assumptions!$C$122)*(G9844-F9844)+CHOOSE($C$9831,Assumptions!$C$85,Assumptions!$C$104,Assumptions!$C$123)*G9844</f>
        <v>0</v>
      </c>
      <c r="H9860" s="16" t="n">
        <f aca="false">CHOOSE($C$9831,Assumptions!$C$84,Assumptions!$C$103,Assumptions!$C$122)*(H9844-G9844)+CHOOSE($C$9831,Assumptions!$C$85,Assumptions!$C$104,Assumptions!$C$123)*H9844</f>
        <v>0</v>
      </c>
      <c r="I9860" s="16" t="n">
        <f aca="false">CHOOSE($C$9831,Assumptions!$C$84,Assumptions!$C$103,Assumptions!$C$122)*(I9844-H9844)+CHOOSE($C$9831,Assumptions!$C$85,Assumptions!$C$104,Assumptions!$C$123)*I9844</f>
        <v>0</v>
      </c>
      <c r="J9860" s="16" t="n">
        <f aca="false">CHOOSE($C$9831,Assumptions!$C$84,Assumptions!$C$103,Assumptions!$C$122)*(J9844-I9844)+CHOOSE($C$9831,Assumptions!$C$85,Assumptions!$C$104,Assumptions!$C$123)*J9844</f>
        <v>0</v>
      </c>
      <c r="K9860" s="16" t="n">
        <f aca="false">CHOOSE($C$9831,Assumptions!$C$84,Assumptions!$C$103,Assumptions!$C$122)*(K9844-J9844)+CHOOSE($C$9831,Assumptions!$C$85,Assumptions!$C$104,Assumptions!$C$123)*K9844</f>
        <v>0</v>
      </c>
    </row>
    <row r="9861" customFormat="false" ht="15" hidden="false" customHeight="false" outlineLevel="0" collapsed="false">
      <c r="A9861" s="2" t="s">
        <v>316</v>
      </c>
      <c r="G9861" s="17" t="n">
        <f aca="false">G9857+G9849+G9850+G9853-G9859-G9860</f>
        <v>-46.5755584</v>
      </c>
      <c r="H9861" s="17" t="n">
        <f aca="false">H9857+H9849+H9850+H9853-H9859-H9860</f>
        <v>-68.2492003</v>
      </c>
      <c r="I9861" s="17" t="n">
        <f aca="false">I9857+I9849+I9850+I9853-I9859-I9860</f>
        <v>-71.7748017716</v>
      </c>
      <c r="J9861" s="17" t="n">
        <f aca="false">J9857+J9849+J9850+J9853-J9859-J9860</f>
        <v>-69.28201437165</v>
      </c>
      <c r="K9861" s="17" t="n">
        <f aca="false">K9857+K9849+K9850+K9853-K9859-K9860</f>
        <v>-63.512311383781</v>
      </c>
    </row>
    <row r="9863" customFormat="false" ht="15" hidden="false" customHeight="false" outlineLevel="0" collapsed="false">
      <c r="A9863" s="24" t="s">
        <v>318</v>
      </c>
      <c r="B9863" s="25"/>
      <c r="C9863" s="25"/>
      <c r="D9863" s="25"/>
      <c r="E9863" s="25"/>
      <c r="F9863" s="25"/>
      <c r="G9863" s="25"/>
      <c r="H9863" s="25"/>
      <c r="I9863" s="25"/>
      <c r="J9863" s="25"/>
      <c r="K9863" s="25"/>
    </row>
    <row r="9864" customFormat="false" ht="15" hidden="false" customHeight="false" outlineLevel="0" collapsed="false">
      <c r="A9864" s="3" t="s">
        <v>319</v>
      </c>
      <c r="G9864" s="30" t="n">
        <f aca="false">Assumptions!$G$53</f>
        <v>0.039</v>
      </c>
      <c r="H9864" s="30" t="n">
        <f aca="false">Assumptions!$H$53</f>
        <v>0.0375</v>
      </c>
      <c r="I9864" s="30" t="n">
        <f aca="false">Assumptions!$I$53</f>
        <v>0.035</v>
      </c>
      <c r="J9864" s="30" t="n">
        <f aca="false">Assumptions!$J$53</f>
        <v>0.035</v>
      </c>
      <c r="K9864" s="30" t="n">
        <f aca="false">Assumptions!$K$53</f>
        <v>0.035</v>
      </c>
    </row>
    <row r="9865" customFormat="false" ht="15" hidden="false" customHeight="false" outlineLevel="0" collapsed="false">
      <c r="A9865" s="3" t="s">
        <v>320</v>
      </c>
      <c r="C9865" s="31" t="n">
        <f aca="false">CHOOSE($C$9831,Assumptions!$C$86,Assumptions!$C$105,Assumptions!$C$124)+$C$9834</f>
        <v>0.03</v>
      </c>
    </row>
    <row r="9866" customFormat="false" ht="15" hidden="false" customHeight="false" outlineLevel="0" collapsed="false">
      <c r="A9866" s="3" t="s">
        <v>321</v>
      </c>
      <c r="C9866" s="31" t="n">
        <f aca="false">CHOOSE($C$9831,Assumptions!$C$87,Assumptions!$C$106,Assumptions!$C$125)</f>
        <v>0.12</v>
      </c>
    </row>
    <row r="9867" customFormat="false" ht="15" hidden="false" customHeight="false" outlineLevel="0" collapsed="false">
      <c r="A9867" s="3" t="s">
        <v>322</v>
      </c>
      <c r="C9867" s="32" t="n">
        <f aca="false">CHOOSE($C$9831,Assumptions!$C$88,Assumptions!$C$107,Assumptions!$C$126)</f>
        <v>9</v>
      </c>
    </row>
    <row r="9868" customFormat="false" ht="15" hidden="false" customHeight="false" outlineLevel="0" collapsed="false">
      <c r="A9868" s="3" t="s">
        <v>323</v>
      </c>
      <c r="C9868" s="32" t="n">
        <f aca="false">CHOOSE($C$9831,Assumptions!$C$89,Assumptions!$C$108,Assumptions!$C$127)</f>
        <v>1.75</v>
      </c>
    </row>
    <row r="9869" customFormat="false" ht="15" hidden="false" customHeight="false" outlineLevel="0" collapsed="false">
      <c r="A9869" s="3" t="s">
        <v>324</v>
      </c>
      <c r="G9869" s="16" t="n">
        <f aca="false">G9874+G9887+G9900+G9913+G9926+G9939+G9952+G9965+G9978+G9991</f>
        <v>2625.934</v>
      </c>
      <c r="H9869" s="16" t="n">
        <f aca="false">H9874+H9887+H9900+H9913+H9926+H9939+H9952+H9965+H9978+H9991</f>
        <v>2621.934</v>
      </c>
      <c r="I9869" s="16" t="n">
        <f aca="false">I9874+I9887+I9900+I9913+I9926+I9939+I9952+I9965+I9978+I9991</f>
        <v>2602.8887587</v>
      </c>
      <c r="J9869" s="16" t="n">
        <f aca="false">J9874+J9887+J9900+J9913+J9926+J9939+J9952+J9965+J9978+J9991</f>
        <v>2598.8887587</v>
      </c>
      <c r="K9869" s="16" t="n">
        <f aca="false">K9874+K9887+K9900+K9913+K9926+K9939+K9952+K9965+K9978+K9991</f>
        <v>2594.8887587</v>
      </c>
    </row>
    <row r="9870" customFormat="false" ht="15" hidden="false" customHeight="false" outlineLevel="0" collapsed="false">
      <c r="A9870" s="3" t="s">
        <v>325</v>
      </c>
      <c r="G9870" s="16" t="n">
        <f aca="false">F10062</f>
        <v>37.87</v>
      </c>
      <c r="H9870" s="16" t="n">
        <f aca="false">G10062</f>
        <v>87.2944416</v>
      </c>
      <c r="I9870" s="16" t="n">
        <f aca="false">H10062</f>
        <v>0</v>
      </c>
      <c r="J9870" s="16" t="n">
        <f aca="false">I10062</f>
        <v>-75.7748017716</v>
      </c>
      <c r="K9870" s="16" t="n">
        <f aca="false">J10062</f>
        <v>-149.05681614325</v>
      </c>
    </row>
    <row r="9871" customFormat="false" ht="15" hidden="false" customHeight="false" outlineLevel="0" collapsed="false">
      <c r="A9871" s="3" t="s">
        <v>326</v>
      </c>
      <c r="G9871" s="16" t="n">
        <f aca="false">G9874*IF(G9875=1,$C$9866,IF(Assumptions!$I$57=1,MAX(G9864,Assumptions!$G$57)+Assumptions!$F$57+$C$9865,Assumptions!$E$57))+G9887*IF(G9888=1,$C$9866,IF(Assumptions!$I$58=1,MAX(G9864,Assumptions!$G$58)+Assumptions!$F$58+$C$9865,Assumptions!$E$58))+G9900*IF(G9901=1,$C$9866,IF(Assumptions!$I$59=1,MAX(G9864,Assumptions!$G$59)+Assumptions!$F$59+$C$9865,Assumptions!$E$59))+G9913*IF(G9914=1,$C$9866,IF(Assumptions!$I$60=1,MAX(G9864,Assumptions!$G$60)+Assumptions!$F$60+$C$9865,Assumptions!$E$60))+G9926*IF(G9927=1,$C$9866,IF(Assumptions!$I$61=1,MAX(G9864,Assumptions!$G$61)+Assumptions!$F$61+$C$9865,Assumptions!$E$61))+G9939*IF(G9940=1,$C$9866,IF(Assumptions!$I$62=1,MAX(G9864,Assumptions!$G$62)+Assumptions!$F$62+$C$9865,Assumptions!$E$62))+G9952*IF(G9953=1,$C$9866,IF(Assumptions!$I$63=1,MAX(G9864,Assumptions!$G$63)+Assumptions!$F$63+$C$9865,Assumptions!$E$63))+G9965*IF(G9966=1,$C$9866,IF(Assumptions!$I$64=1,MAX(G9864,Assumptions!$G$64)+Assumptions!$F$64+$C$9865,Assumptions!$E$64))+G9978*IF(G9979=1,$C$9866,IF(Assumptions!$I$65=1,MAX(G9864,Assumptions!$G$65)+Assumptions!$F$65+$C$9865,Assumptions!$E$65))+G9991*IF(G9992=1,$C$9866,IF(Assumptions!$I$66=1,MAX(G9864,Assumptions!$G$66)+Assumptions!$F$66+$C$9865,Assumptions!$E$66))</f>
        <v>194.5679854</v>
      </c>
      <c r="H9871" s="16" t="n">
        <f aca="false">H9874*IF(OR(H9875=1,G10184=1),$C$9866,IF(Assumptions!$I$57=1,MAX(H9864,Assumptions!$G$57)+Assumptions!$F$57+$C$9865,Assumptions!$E$57))+H9887*IF(OR(H9888=1,G10185=1),$C$9866,IF(Assumptions!$I$58=1,MAX(H9864,Assumptions!$G$58)+Assumptions!$F$58+$C$9865,Assumptions!$E$58))+H9900*IF(OR(H9901=1,G10186=1),$C$9866,IF(Assumptions!$I$59=1,MAX(H9864,Assumptions!$G$59)+Assumptions!$F$59+$C$9865,Assumptions!$E$59))+H9913*IF(OR(H9914=1,G10187=1),$C$9866,IF(Assumptions!$I$60=1,MAX(H9864,Assumptions!$G$60)+Assumptions!$F$60+$C$9865,Assumptions!$E$60))+H9926*IF(OR(H9927=1,G10188=1),$C$9866,IF(Assumptions!$I$61=1,MAX(H9864,Assumptions!$G$61)+Assumptions!$F$61+$C$9865,Assumptions!$E$61))+H9939*IF(OR(H9940=1,G10189=1),$C$9866,IF(Assumptions!$I$62=1,MAX(H9864,Assumptions!$G$62)+Assumptions!$F$62+$C$9865,Assumptions!$E$62))+H9952*IF(OR(H9953=1,G10190=1),$C$9866,IF(Assumptions!$I$63=1,MAX(H9864,Assumptions!$G$63)+Assumptions!$F$63+$C$9865,Assumptions!$E$63))+H9965*IF(OR(H9966=1,G10191=1),$C$9866,IF(Assumptions!$I$64=1,MAX(H9864,Assumptions!$G$64)+Assumptions!$F$64+$C$9865,Assumptions!$E$64))+H9978*IF(OR(H9979=1,G10192=1),$C$9866,IF(Assumptions!$I$65=1,MAX(H9864,Assumptions!$G$65)+Assumptions!$F$65+$C$9865,Assumptions!$E$65))+H9991*IF(OR(H9992=1,G10193=1),$C$9866,IF(Assumptions!$I$66=1,MAX(H9864,Assumptions!$G$66)+Assumptions!$F$66+$C$9865,Assumptions!$E$66))</f>
        <v>242.5450704</v>
      </c>
      <c r="I9871" s="16" t="n">
        <f aca="false">I9874*IF(OR(I9875=1,H10184=1),$C$9866,IF(Assumptions!$I$57=1,MAX(I9864,Assumptions!$G$57)+Assumptions!$F$57+$C$9865,Assumptions!$E$57))+I9887*IF(OR(I9888=1,H10185=1),$C$9866,IF(Assumptions!$I$58=1,MAX(I9864,Assumptions!$G$58)+Assumptions!$F$58+$C$9865,Assumptions!$E$58))+I9900*IF(OR(I9901=1,H10186=1),$C$9866,IF(Assumptions!$I$59=1,MAX(I9864,Assumptions!$G$59)+Assumptions!$F$59+$C$9865,Assumptions!$E$59))+I9913*IF(OR(I9914=1,H10187=1),$C$9866,IF(Assumptions!$I$60=1,MAX(I9864,Assumptions!$G$60)+Assumptions!$F$60+$C$9865,Assumptions!$E$60))+I9926*IF(OR(I9927=1,H10188=1),$C$9866,IF(Assumptions!$I$61=1,MAX(I9864,Assumptions!$G$61)+Assumptions!$F$61+$C$9865,Assumptions!$E$61))+I9939*IF(OR(I9940=1,H10189=1),$C$9866,IF(Assumptions!$I$62=1,MAX(I9864,Assumptions!$G$62)+Assumptions!$F$62+$C$9865,Assumptions!$E$62))+I9952*IF(OR(I9953=1,H10190=1),$C$9866,IF(Assumptions!$I$63=1,MAX(I9864,Assumptions!$G$63)+Assumptions!$F$63+$C$9865,Assumptions!$E$63))+I9965*IF(OR(I9966=1,H10191=1),$C$9866,IF(Assumptions!$I$64=1,MAX(I9864,Assumptions!$G$64)+Assumptions!$F$64+$C$9865,Assumptions!$E$64))+I9978*IF(OR(I9979=1,H10192=1),$C$9866,IF(Assumptions!$I$65=1,MAX(I9864,Assumptions!$G$65)+Assumptions!$F$65+$C$9865,Assumptions!$E$65))+I9991*IF(OR(I9992=1,H10193=1),$C$9866,IF(Assumptions!$I$66=1,MAX(I9864,Assumptions!$G$66)+Assumptions!$F$66+$C$9865,Assumptions!$E$66))</f>
        <v>208.30675836865</v>
      </c>
      <c r="J9871" s="16" t="n">
        <f aca="false">J9874*IF(OR(J9875=1,I10184=1),$C$9866,IF(Assumptions!$I$57=1,MAX(J9864,Assumptions!$G$57)+Assumptions!$F$57+$C$9865,Assumptions!$E$57))+J9887*IF(OR(J9888=1,I10185=1),$C$9866,IF(Assumptions!$I$58=1,MAX(J9864,Assumptions!$G$58)+Assumptions!$F$58+$C$9865,Assumptions!$E$58))+J9900*IF(OR(J9901=1,I10186=1),$C$9866,IF(Assumptions!$I$59=1,MAX(J9864,Assumptions!$G$59)+Assumptions!$F$59+$C$9865,Assumptions!$E$59))+J9913*IF(OR(J9914=1,I10187=1),$C$9866,IF(Assumptions!$I$60=1,MAX(J9864,Assumptions!$G$60)+Assumptions!$F$60+$C$9865,Assumptions!$E$60))+J9926*IF(OR(J9927=1,I10188=1),$C$9866,IF(Assumptions!$I$61=1,MAX(J9864,Assumptions!$G$61)+Assumptions!$F$61+$C$9865,Assumptions!$E$61))+J9939*IF(OR(J9940=1,I10189=1),$C$9866,IF(Assumptions!$I$62=1,MAX(J9864,Assumptions!$G$62)+Assumptions!$F$62+$C$9865,Assumptions!$E$62))+J9952*IF(OR(J9953=1,I10190=1),$C$9866,IF(Assumptions!$I$63=1,MAX(J9864,Assumptions!$G$63)+Assumptions!$F$63+$C$9865,Assumptions!$E$63))+J9965*IF(OR(J9966=1,I10191=1),$C$9866,IF(Assumptions!$I$64=1,MAX(J9864,Assumptions!$G$64)+Assumptions!$F$64+$C$9865,Assumptions!$E$64))+J9978*IF(OR(J9979=1,I10192=1),$C$9866,IF(Assumptions!$I$65=1,MAX(J9864,Assumptions!$G$65)+Assumptions!$F$65+$C$9865,Assumptions!$E$65))+J9991*IF(OR(J9992=1,I10193=1),$C$9866,IF(Assumptions!$I$66=1,MAX(J9864,Assumptions!$G$66)+Assumptions!$F$66+$C$9865,Assumptions!$E$66))</f>
        <v>216.72425836865</v>
      </c>
      <c r="K9871" s="16" t="n">
        <f aca="false">K9874*IF(OR(K9875=1,J10184=1),$C$9866,IF(Assumptions!$I$57=1,MAX(K9864,Assumptions!$G$57)+Assumptions!$F$57+$C$9865,Assumptions!$E$57))+K9887*IF(OR(K9888=1,J10185=1),$C$9866,IF(Assumptions!$I$58=1,MAX(K9864,Assumptions!$G$58)+Assumptions!$F$58+$C$9865,Assumptions!$E$58))+K9900*IF(OR(K9901=1,J10186=1),$C$9866,IF(Assumptions!$I$59=1,MAX(K9864,Assumptions!$G$59)+Assumptions!$F$59+$C$9865,Assumptions!$E$59))+K9913*IF(OR(K9914=1,J10187=1),$C$9866,IF(Assumptions!$I$60=1,MAX(K9864,Assumptions!$G$60)+Assumptions!$F$60+$C$9865,Assumptions!$E$60))+K9926*IF(OR(K9927=1,J10188=1),$C$9866,IF(Assumptions!$I$61=1,MAX(K9864,Assumptions!$G$61)+Assumptions!$F$61+$C$9865,Assumptions!$E$61))+K9939*IF(OR(K9940=1,J10189=1),$C$9866,IF(Assumptions!$I$62=1,MAX(K9864,Assumptions!$G$62)+Assumptions!$F$62+$C$9865,Assumptions!$E$62))+K9952*IF(OR(K9953=1,J10190=1),$C$9866,IF(Assumptions!$I$63=1,MAX(K9864,Assumptions!$G$63)+Assumptions!$F$63+$C$9865,Assumptions!$E$63))+K9965*IF(OR(K9966=1,J10191=1),$C$9866,IF(Assumptions!$I$64=1,MAX(K9864,Assumptions!$G$64)+Assumptions!$F$64+$C$9865,Assumptions!$E$64))+K9978*IF(OR(K9979=1,J10192=1),$C$9866,IF(Assumptions!$I$65=1,MAX(K9864,Assumptions!$G$65)+Assumptions!$F$65+$C$9865,Assumptions!$E$65))+K9991*IF(OR(K9992=1,J10193=1),$C$9866,IF(Assumptions!$I$66=1,MAX(K9864,Assumptions!$G$66)+Assumptions!$F$66+$C$9865,Assumptions!$E$66))</f>
        <v>208.76425836865</v>
      </c>
    </row>
    <row r="9872" customFormat="false" ht="15" hidden="false" customHeight="false" outlineLevel="0" collapsed="false">
      <c r="A9872" s="3" t="s">
        <v>327</v>
      </c>
      <c r="G9872" s="21" t="n">
        <f aca="false">IF(G9848&lt;=0,0,IF(AND((G9869-G9870)/G9848&lt;=$C$9867,G9848/G9871&gt;=$C$9868),1,0))</f>
        <v>0</v>
      </c>
      <c r="H9872" s="21" t="n">
        <f aca="false">IF(H9848&lt;=0,0,IF(AND((H9869-H9870)/H9848&lt;=$C$9867,H9848/H9871&gt;=$C$9868),1,0))</f>
        <v>0</v>
      </c>
      <c r="I9872" s="21" t="n">
        <f aca="false">IF(I9848&lt;=0,0,IF(AND((I9869-I9870)/I9848&lt;=$C$9867,I9848/I9871&gt;=$C$9868),1,0))</f>
        <v>0</v>
      </c>
      <c r="J9872" s="21" t="n">
        <f aca="false">IF(J9848&lt;=0,0,IF(AND((J9869-J9870)/J9848&lt;=$C$9867,J9848/J9871&gt;=$C$9868),1,0))</f>
        <v>0</v>
      </c>
      <c r="K9872" s="21" t="n">
        <f aca="false">IF(K9848&lt;=0,0,IF(AND((K9869-K9870)/K9848&lt;=$C$9867,K9848/K9871&gt;=$C$9868),1,0))</f>
        <v>0</v>
      </c>
    </row>
    <row r="9873" customFormat="false" ht="15" hidden="false" customHeight="false" outlineLevel="0" collapsed="false">
      <c r="A9873" s="24" t="s">
        <v>328</v>
      </c>
      <c r="B9873" s="25"/>
      <c r="C9873" s="25"/>
      <c r="D9873" s="25"/>
      <c r="E9873" s="25"/>
      <c r="F9873" s="25"/>
      <c r="G9873" s="25"/>
      <c r="H9873" s="25"/>
      <c r="I9873" s="25"/>
      <c r="J9873" s="25"/>
      <c r="K9873" s="25"/>
    </row>
    <row r="9874" customFormat="false" ht="15" hidden="false" customHeight="false" outlineLevel="0" collapsed="false">
      <c r="A9874" s="3" t="s">
        <v>329</v>
      </c>
      <c r="G9874" s="16" t="n">
        <f aca="false">F9885</f>
        <v>400</v>
      </c>
      <c r="H9874" s="16" t="n">
        <f aca="false">G9885</f>
        <v>396</v>
      </c>
      <c r="I9874" s="16" t="n">
        <f aca="false">H9885</f>
        <v>392</v>
      </c>
      <c r="J9874" s="16" t="n">
        <f aca="false">I9885</f>
        <v>388</v>
      </c>
      <c r="K9874" s="16" t="n">
        <f aca="false">J9885</f>
        <v>384</v>
      </c>
    </row>
    <row r="9875" customFormat="false" ht="15" hidden="false" customHeight="false" outlineLevel="0" collapsed="false">
      <c r="A9875" s="3" t="s">
        <v>330</v>
      </c>
      <c r="G9875" s="21" t="n">
        <f aca="false">IF(G9838=Assumptions!$K$57,1,0)</f>
        <v>0</v>
      </c>
      <c r="H9875" s="21" t="n">
        <f aca="false">IF(H9838=Assumptions!$K$57,1,0)</f>
        <v>0</v>
      </c>
      <c r="I9875" s="21" t="n">
        <f aca="false">IF(I9838=Assumptions!$K$57,1,0)</f>
        <v>0</v>
      </c>
      <c r="J9875" s="21" t="n">
        <f aca="false">IF(J9838=Assumptions!$K$57,1,0)</f>
        <v>0</v>
      </c>
      <c r="K9875" s="21" t="n">
        <f aca="false">IF(K9838=Assumptions!$K$57,1,0)</f>
        <v>1</v>
      </c>
    </row>
    <row r="9877" customFormat="false" ht="15" hidden="false" customHeight="false" outlineLevel="0" collapsed="false">
      <c r="A9877" s="3" t="s">
        <v>331</v>
      </c>
      <c r="G9877" s="31" t="n">
        <f aca="false">IF(Assumptions!$I$57=1,MAX(G9864,Assumptions!$G$57)+Assumptions!$F$57+$C$9865,Assumptions!$E$57)</f>
        <v>0.1215</v>
      </c>
      <c r="H9877" s="31" t="n">
        <f aca="false">IF(G10184=1,$C$9866,IF(Assumptions!$I$57=1,MAX(H9864,Assumptions!$G$57)+Assumptions!$F$57+$C$9865,Assumptions!$E$57))</f>
        <v>0.12</v>
      </c>
      <c r="I9877" s="31" t="n">
        <f aca="false">IF(H10184=1,$C$9866,IF(Assumptions!$I$57=1,MAX(I9864,Assumptions!$G$57)+Assumptions!$F$57+$C$9865,Assumptions!$E$57))</f>
        <v>0.1175</v>
      </c>
      <c r="J9877" s="31" t="n">
        <f aca="false">IF(I10184=1,$C$9866,IF(Assumptions!$I$57=1,MAX(J9864,Assumptions!$G$57)+Assumptions!$F$57+$C$9865,Assumptions!$E$57))</f>
        <v>0.1175</v>
      </c>
      <c r="K9877" s="31" t="n">
        <f aca="false">IF(J10184=1,$C$9866,IF(Assumptions!$I$57=1,MAX(K9864,Assumptions!$G$57)+Assumptions!$F$57+$C$9865,Assumptions!$E$57))</f>
        <v>0.1175</v>
      </c>
    </row>
    <row r="9878" customFormat="false" ht="15" hidden="false" customHeight="false" outlineLevel="0" collapsed="false">
      <c r="A9878" s="3" t="s">
        <v>332</v>
      </c>
      <c r="G9878" s="16" t="n">
        <f aca="false">G9874*G9877</f>
        <v>48.6</v>
      </c>
      <c r="H9878" s="16" t="n">
        <f aca="false">H9874*H9877</f>
        <v>47.52</v>
      </c>
      <c r="I9878" s="16" t="n">
        <f aca="false">I9874*I9877</f>
        <v>46.06</v>
      </c>
      <c r="J9878" s="16" t="n">
        <f aca="false">J9874*J9877</f>
        <v>45.59</v>
      </c>
      <c r="K9878" s="16" t="n">
        <f aca="false">K9874*K9877</f>
        <v>45.12</v>
      </c>
    </row>
    <row r="9879" customFormat="false" ht="15" hidden="false" customHeight="false" outlineLevel="0" collapsed="false">
      <c r="A9879" s="3" t="s">
        <v>333</v>
      </c>
      <c r="G9879" s="16" t="n">
        <f aca="false">G9874*Assumptions!$H$57</f>
        <v>0</v>
      </c>
      <c r="H9879" s="16" t="n">
        <f aca="false">H9874*Assumptions!$H$57</f>
        <v>0</v>
      </c>
      <c r="I9879" s="16" t="n">
        <f aca="false">I9874*Assumptions!$H$57</f>
        <v>0</v>
      </c>
      <c r="J9879" s="16" t="n">
        <f aca="false">J9874*Assumptions!$H$57</f>
        <v>0</v>
      </c>
      <c r="K9879" s="16" t="n">
        <f aca="false">K9874*Assumptions!$H$57</f>
        <v>0</v>
      </c>
    </row>
    <row r="9880" customFormat="false" ht="15" hidden="false" customHeight="false" outlineLevel="0" collapsed="false">
      <c r="A9880" s="3" t="s">
        <v>334</v>
      </c>
      <c r="G9880" s="16" t="n">
        <f aca="false">MIN(G9874,Assumptions!$L$57*Assumptions!$C$57)</f>
        <v>4</v>
      </c>
      <c r="H9880" s="16" t="n">
        <f aca="false">MIN(H9874,Assumptions!$L$57*Assumptions!$C$57)</f>
        <v>4</v>
      </c>
      <c r="I9880" s="16" t="n">
        <f aca="false">MIN(I9874,Assumptions!$L$57*Assumptions!$C$57)</f>
        <v>4</v>
      </c>
      <c r="J9880" s="16" t="n">
        <f aca="false">MIN(J9874,Assumptions!$L$57*Assumptions!$C$57)</f>
        <v>4</v>
      </c>
      <c r="K9880" s="16" t="n">
        <f aca="false">MIN(K9874,Assumptions!$L$57*Assumptions!$C$57)</f>
        <v>4</v>
      </c>
    </row>
    <row r="9881" customFormat="false" ht="15" hidden="false" customHeight="false" outlineLevel="0" collapsed="false">
      <c r="A9881" s="3" t="s">
        <v>335</v>
      </c>
      <c r="G9881" s="16" t="n">
        <f aca="false">IF(AND(Assumptions!$P$57=1,G9838&lt;Assumptions!$K$57),MIN(MAX(0,-G10054),MAX(0,Assumptions!$D$57-G9874)),0)</f>
        <v>0</v>
      </c>
      <c r="H9881" s="16" t="n">
        <f aca="false">IF(AND(Assumptions!$P$57=1,OR(H9838&lt;Assumptions!$K$57,G10184=1)),MIN(MAX(0,-H10054),MAX(0,Assumptions!$D$57-H9874)),0)</f>
        <v>0</v>
      </c>
      <c r="I9881" s="16" t="n">
        <f aca="false">IF(AND(Assumptions!$P$57=1,OR(I9838&lt;Assumptions!$K$57,H10184=1)),MIN(MAX(0,-I10054),MAX(0,Assumptions!$D$57-I9874)),0)</f>
        <v>0</v>
      </c>
      <c r="J9881" s="16" t="n">
        <f aca="false">IF(AND(Assumptions!$P$57=1,OR(J9838&lt;Assumptions!$K$57,I10184=1)),MIN(MAX(0,-J10054),MAX(0,Assumptions!$D$57-J9874)),0)</f>
        <v>0</v>
      </c>
      <c r="K9881" s="16" t="n">
        <f aca="false">IF(AND(Assumptions!$P$57=1,OR(K9838&lt;Assumptions!$K$57,J10184=1)),MIN(MAX(0,-K10054),MAX(0,Assumptions!$D$57-K9874)),0)</f>
        <v>0</v>
      </c>
    </row>
    <row r="9882" customFormat="false" ht="15" hidden="false" customHeight="false" outlineLevel="0" collapsed="false">
      <c r="A9882" s="3" t="s">
        <v>336</v>
      </c>
      <c r="G9882" s="16" t="n">
        <f aca="false">G9875*MIN(G9874-G9880+G9879,MAX(0,G10056-Assumptions!$C$12*G9872))</f>
        <v>0</v>
      </c>
      <c r="H9882" s="16" t="n">
        <f aca="false">H9875*MIN(H9874-H9880+H9879,MAX(0,H10056-Assumptions!$C$12*H9872))</f>
        <v>0</v>
      </c>
      <c r="I9882" s="16" t="n">
        <f aca="false">I9875*MIN(I9874-I9880+I9879,MAX(0,I10056-Assumptions!$C$12*I9872))</f>
        <v>0</v>
      </c>
      <c r="J9882" s="16" t="n">
        <f aca="false">J9875*MIN(J9874-J9880+J9879,MAX(0,J10056-Assumptions!$C$12*J9872))</f>
        <v>0</v>
      </c>
      <c r="K9882" s="16" t="n">
        <f aca="false">K9875*MIN(K9874-K9880+K9879,MAX(0,K10056-Assumptions!$C$12*K9872))</f>
        <v>0</v>
      </c>
    </row>
    <row r="9883" customFormat="false" ht="15" hidden="false" customHeight="false" outlineLevel="0" collapsed="false">
      <c r="A9883" s="3" t="s">
        <v>337</v>
      </c>
      <c r="G9883" s="16" t="n">
        <f aca="false">Assumptions!$N$57*MIN(G9874+G9881+G9879-G9880-G9882,MAX(0,G10060))</f>
        <v>0</v>
      </c>
      <c r="H9883" s="16" t="n">
        <f aca="false">Assumptions!$N$57*MIN(H9874+H9881+H9879-H9880-H9882,MAX(0,H10060))</f>
        <v>0</v>
      </c>
      <c r="I9883" s="16" t="n">
        <f aca="false">Assumptions!$N$57*MIN(I9874+I9881+I9879-I9880-I9882,MAX(0,I10060))</f>
        <v>0</v>
      </c>
      <c r="J9883" s="16" t="n">
        <f aca="false">Assumptions!$N$57*MIN(J9874+J9881+J9879-J9880-J9882,MAX(0,J10060))</f>
        <v>0</v>
      </c>
      <c r="K9883" s="16" t="n">
        <f aca="false">Assumptions!$N$57*MIN(K9874+K9881+K9879-K9880-K9882,MAX(0,K10060))</f>
        <v>0</v>
      </c>
    </row>
    <row r="9884" customFormat="false" ht="15" hidden="false" customHeight="false" outlineLevel="0" collapsed="false">
      <c r="A9884" s="3" t="s">
        <v>338</v>
      </c>
      <c r="G9884" s="16" t="n">
        <f aca="false">G9875*(1-G9872)*(G9874-G9880+G9879-G9882)</f>
        <v>0</v>
      </c>
      <c r="H9884" s="16" t="n">
        <f aca="false">H9875*(1-H9872)*(H9874-H9880+H9879-H9882)</f>
        <v>0</v>
      </c>
      <c r="I9884" s="16" t="n">
        <f aca="false">I9875*(1-I9872)*(I9874-I9880+I9879-I9882)</f>
        <v>0</v>
      </c>
      <c r="J9884" s="16" t="n">
        <f aca="false">J9875*(1-J9872)*(J9874-J9880+J9879-J9882)</f>
        <v>0</v>
      </c>
      <c r="K9884" s="16" t="n">
        <f aca="false">K9875*(1-K9872)*(K9874-K9880+K9879-K9882)</f>
        <v>380</v>
      </c>
    </row>
    <row r="9885" customFormat="false" ht="15" hidden="false" customHeight="false" outlineLevel="0" collapsed="false">
      <c r="A9885" s="2" t="s">
        <v>339</v>
      </c>
      <c r="F9885" s="28" t="n">
        <f aca="false">Assumptions!$C$57</f>
        <v>400</v>
      </c>
      <c r="G9885" s="17" t="n">
        <f aca="false">G9874+G9881+G9879-G9880-G9882-G9883</f>
        <v>396</v>
      </c>
      <c r="H9885" s="17" t="n">
        <f aca="false">H9874+H9881+H9879-H9880-H9882-H9883</f>
        <v>392</v>
      </c>
      <c r="I9885" s="17" t="n">
        <f aca="false">I9874+I9881+I9879-I9880-I9882-I9883</f>
        <v>388</v>
      </c>
      <c r="J9885" s="17" t="n">
        <f aca="false">J9874+J9881+J9879-J9880-J9882-J9883</f>
        <v>384</v>
      </c>
      <c r="K9885" s="17" t="n">
        <f aca="false">K9874+K9881+K9879-K9880-K9882-K9883</f>
        <v>380</v>
      </c>
    </row>
    <row r="9886" customFormat="false" ht="15" hidden="false" customHeight="false" outlineLevel="0" collapsed="false">
      <c r="A9886" s="24" t="s">
        <v>340</v>
      </c>
      <c r="B9886" s="25"/>
      <c r="C9886" s="25"/>
      <c r="D9886" s="25"/>
      <c r="E9886" s="25"/>
      <c r="F9886" s="25"/>
      <c r="G9886" s="25"/>
      <c r="H9886" s="25"/>
      <c r="I9886" s="25"/>
      <c r="J9886" s="25"/>
      <c r="K9886" s="25"/>
    </row>
    <row r="9887" customFormat="false" ht="15" hidden="false" customHeight="false" outlineLevel="0" collapsed="false">
      <c r="A9887" s="3" t="s">
        <v>329</v>
      </c>
      <c r="G9887" s="16" t="n">
        <f aca="false">F9898</f>
        <v>90</v>
      </c>
      <c r="H9887" s="16" t="n">
        <f aca="false">G9898</f>
        <v>90</v>
      </c>
      <c r="I9887" s="16" t="n">
        <f aca="false">H9898</f>
        <v>90</v>
      </c>
      <c r="J9887" s="16" t="n">
        <f aca="false">I9898</f>
        <v>90</v>
      </c>
      <c r="K9887" s="16" t="n">
        <f aca="false">J9898</f>
        <v>90</v>
      </c>
    </row>
    <row r="9888" customFormat="false" ht="15" hidden="false" customHeight="false" outlineLevel="0" collapsed="false">
      <c r="A9888" s="3" t="s">
        <v>330</v>
      </c>
      <c r="G9888" s="21" t="n">
        <f aca="false">IF(G9838=Assumptions!$K$58,1,0)</f>
        <v>0</v>
      </c>
      <c r="H9888" s="21" t="n">
        <f aca="false">IF(H9838=Assumptions!$K$58,1,0)</f>
        <v>0</v>
      </c>
      <c r="I9888" s="21" t="n">
        <f aca="false">IF(I9838=Assumptions!$K$58,1,0)</f>
        <v>0</v>
      </c>
      <c r="J9888" s="21" t="n">
        <f aca="false">IF(J9838=Assumptions!$K$58,1,0)</f>
        <v>0</v>
      </c>
      <c r="K9888" s="21" t="n">
        <f aca="false">IF(K9838=Assumptions!$K$58,1,0)</f>
        <v>0</v>
      </c>
    </row>
    <row r="9890" customFormat="false" ht="15" hidden="false" customHeight="false" outlineLevel="0" collapsed="false">
      <c r="A9890" s="3" t="s">
        <v>331</v>
      </c>
      <c r="G9890" s="31" t="n">
        <f aca="false">IF(Assumptions!$I$58=1,MAX(G9864,Assumptions!$G$58)+Assumptions!$F$58+$C$9865,Assumptions!$E$58)</f>
        <v>0.0581</v>
      </c>
      <c r="H9890" s="31" t="n">
        <f aca="false">IF(G10185=1,$C$9866,IF(Assumptions!$I$58=1,MAX(H9864,Assumptions!$G$58)+Assumptions!$F$58+$C$9865,Assumptions!$E$58))</f>
        <v>0.0581</v>
      </c>
      <c r="I9890" s="31" t="n">
        <f aca="false">IF(H10185=1,$C$9866,IF(Assumptions!$I$58=1,MAX(I9864,Assumptions!$G$58)+Assumptions!$F$58+$C$9865,Assumptions!$E$58))</f>
        <v>0.0581</v>
      </c>
      <c r="J9890" s="31" t="n">
        <f aca="false">IF(I10185=1,$C$9866,IF(Assumptions!$I$58=1,MAX(J9864,Assumptions!$G$58)+Assumptions!$F$58+$C$9865,Assumptions!$E$58))</f>
        <v>0.0581</v>
      </c>
      <c r="K9890" s="31" t="n">
        <f aca="false">IF(J10185=1,$C$9866,IF(Assumptions!$I$58=1,MAX(K9864,Assumptions!$G$58)+Assumptions!$F$58+$C$9865,Assumptions!$E$58))</f>
        <v>0.0581</v>
      </c>
    </row>
    <row r="9891" customFormat="false" ht="15" hidden="false" customHeight="false" outlineLevel="0" collapsed="false">
      <c r="A9891" s="3" t="s">
        <v>332</v>
      </c>
      <c r="G9891" s="16" t="n">
        <f aca="false">G9887*G9890</f>
        <v>5.229</v>
      </c>
      <c r="H9891" s="16" t="n">
        <f aca="false">H9887*H9890</f>
        <v>5.229</v>
      </c>
      <c r="I9891" s="16" t="n">
        <f aca="false">I9887*I9890</f>
        <v>5.229</v>
      </c>
      <c r="J9891" s="16" t="n">
        <f aca="false">J9887*J9890</f>
        <v>5.229</v>
      </c>
      <c r="K9891" s="16" t="n">
        <f aca="false">K9887*K9890</f>
        <v>5.229</v>
      </c>
    </row>
    <row r="9892" customFormat="false" ht="15" hidden="false" customHeight="false" outlineLevel="0" collapsed="false">
      <c r="A9892" s="3" t="s">
        <v>333</v>
      </c>
      <c r="G9892" s="16" t="n">
        <f aca="false">G9887*Assumptions!$H$58</f>
        <v>0</v>
      </c>
      <c r="H9892" s="16" t="n">
        <f aca="false">H9887*Assumptions!$H$58</f>
        <v>0</v>
      </c>
      <c r="I9892" s="16" t="n">
        <f aca="false">I9887*Assumptions!$H$58</f>
        <v>0</v>
      </c>
      <c r="J9892" s="16" t="n">
        <f aca="false">J9887*Assumptions!$H$58</f>
        <v>0</v>
      </c>
      <c r="K9892" s="16" t="n">
        <f aca="false">K9887*Assumptions!$H$58</f>
        <v>0</v>
      </c>
    </row>
    <row r="9893" customFormat="false" ht="15" hidden="false" customHeight="false" outlineLevel="0" collapsed="false">
      <c r="A9893" s="3" t="s">
        <v>334</v>
      </c>
      <c r="G9893" s="16" t="n">
        <f aca="false">MIN(G9887,Assumptions!$L$58*Assumptions!$C$58)</f>
        <v>0</v>
      </c>
      <c r="H9893" s="16" t="n">
        <f aca="false">MIN(H9887,Assumptions!$L$58*Assumptions!$C$58)</f>
        <v>0</v>
      </c>
      <c r="I9893" s="16" t="n">
        <f aca="false">MIN(I9887,Assumptions!$L$58*Assumptions!$C$58)</f>
        <v>0</v>
      </c>
      <c r="J9893" s="16" t="n">
        <f aca="false">MIN(J9887,Assumptions!$L$58*Assumptions!$C$58)</f>
        <v>0</v>
      </c>
      <c r="K9893" s="16" t="n">
        <f aca="false">MIN(K9887,Assumptions!$L$58*Assumptions!$C$58)</f>
        <v>0</v>
      </c>
    </row>
    <row r="9894" customFormat="false" ht="15" hidden="false" customHeight="false" outlineLevel="0" collapsed="false">
      <c r="A9894" s="3" t="s">
        <v>335</v>
      </c>
      <c r="G9894" s="16" t="n">
        <f aca="false">IF(AND(Assumptions!$P$58=1,G9838&lt;Assumptions!$K$58),MIN(MAX(0,-G10054),MAX(0,Assumptions!$D$58-G9887)),0)</f>
        <v>0</v>
      </c>
      <c r="H9894" s="16" t="n">
        <f aca="false">IF(AND(Assumptions!$P$58=1,OR(H9838&lt;Assumptions!$K$58,G10185=1)),MIN(MAX(0,-H10054),MAX(0,Assumptions!$D$58-H9887)),0)</f>
        <v>0</v>
      </c>
      <c r="I9894" s="16" t="n">
        <f aca="false">IF(AND(Assumptions!$P$58=1,OR(I9838&lt;Assumptions!$K$58,H10185=1)),MIN(MAX(0,-I10054),MAX(0,Assumptions!$D$58-I9887)),0)</f>
        <v>0</v>
      </c>
      <c r="J9894" s="16" t="n">
        <f aca="false">IF(AND(Assumptions!$P$58=1,OR(J9838&lt;Assumptions!$K$58,I10185=1)),MIN(MAX(0,-J10054),MAX(0,Assumptions!$D$58-J9887)),0)</f>
        <v>0</v>
      </c>
      <c r="K9894" s="16" t="n">
        <f aca="false">IF(AND(Assumptions!$P$58=1,OR(K9838&lt;Assumptions!$K$58,J10185=1)),MIN(MAX(0,-K10054),MAX(0,Assumptions!$D$58-K9887)),0)</f>
        <v>0</v>
      </c>
    </row>
    <row r="9895" customFormat="false" ht="15" hidden="false" customHeight="false" outlineLevel="0" collapsed="false">
      <c r="A9895" s="3" t="s">
        <v>336</v>
      </c>
      <c r="G9895" s="16" t="n">
        <f aca="false">G9888*MIN(G9887-G9893+G9892,MAX(0,G10056-Assumptions!$C$12*G9872-G9882))</f>
        <v>0</v>
      </c>
      <c r="H9895" s="16" t="n">
        <f aca="false">H9888*MIN(H9887-H9893+H9892,MAX(0,H10056-Assumptions!$C$12*H9872-H9882))</f>
        <v>0</v>
      </c>
      <c r="I9895" s="16" t="n">
        <f aca="false">I9888*MIN(I9887-I9893+I9892,MAX(0,I10056-Assumptions!$C$12*I9872-I9882))</f>
        <v>0</v>
      </c>
      <c r="J9895" s="16" t="n">
        <f aca="false">J9888*MIN(J9887-J9893+J9892,MAX(0,J10056-Assumptions!$C$12*J9872-J9882))</f>
        <v>0</v>
      </c>
      <c r="K9895" s="16" t="n">
        <f aca="false">K9888*MIN(K9887-K9893+K9892,MAX(0,K10056-Assumptions!$C$12*K9872-K9882))</f>
        <v>0</v>
      </c>
    </row>
    <row r="9896" customFormat="false" ht="15" hidden="false" customHeight="false" outlineLevel="0" collapsed="false">
      <c r="A9896" s="3" t="s">
        <v>337</v>
      </c>
      <c r="G9896" s="16" t="n">
        <f aca="false">Assumptions!$N$58*MIN(G9887+G9894+G9892-G9893-G9895,MAX(0,G10060-G9883))</f>
        <v>0</v>
      </c>
      <c r="H9896" s="16" t="n">
        <f aca="false">Assumptions!$N$58*MIN(H9887+H9894+H9892-H9893-H9895,MAX(0,H10060-H9883))</f>
        <v>0</v>
      </c>
      <c r="I9896" s="16" t="n">
        <f aca="false">Assumptions!$N$58*MIN(I9887+I9894+I9892-I9893-I9895,MAX(0,I10060-I9883))</f>
        <v>0</v>
      </c>
      <c r="J9896" s="16" t="n">
        <f aca="false">Assumptions!$N$58*MIN(J9887+J9894+J9892-J9893-J9895,MAX(0,J10060-J9883))</f>
        <v>0</v>
      </c>
      <c r="K9896" s="16" t="n">
        <f aca="false">Assumptions!$N$58*MIN(K9887+K9894+K9892-K9893-K9895,MAX(0,K10060-K9883))</f>
        <v>0</v>
      </c>
    </row>
    <row r="9897" customFormat="false" ht="15" hidden="false" customHeight="false" outlineLevel="0" collapsed="false">
      <c r="A9897" s="3" t="s">
        <v>338</v>
      </c>
      <c r="G9897" s="16" t="n">
        <f aca="false">G9888*(1-G9872)*(G9887-G9893+G9892-G9895)</f>
        <v>0</v>
      </c>
      <c r="H9897" s="16" t="n">
        <f aca="false">H9888*(1-H9872)*(H9887-H9893+H9892-H9895)</f>
        <v>0</v>
      </c>
      <c r="I9897" s="16" t="n">
        <f aca="false">I9888*(1-I9872)*(I9887-I9893+I9892-I9895)</f>
        <v>0</v>
      </c>
      <c r="J9897" s="16" t="n">
        <f aca="false">J9888*(1-J9872)*(J9887-J9893+J9892-J9895)</f>
        <v>0</v>
      </c>
      <c r="K9897" s="16" t="n">
        <f aca="false">K9888*(1-K9872)*(K9887-K9893+K9892-K9895)</f>
        <v>0</v>
      </c>
    </row>
    <row r="9898" customFormat="false" ht="15" hidden="false" customHeight="false" outlineLevel="0" collapsed="false">
      <c r="A9898" s="2" t="s">
        <v>339</v>
      </c>
      <c r="F9898" s="28" t="n">
        <f aca="false">Assumptions!$C$58</f>
        <v>90</v>
      </c>
      <c r="G9898" s="17" t="n">
        <f aca="false">G9887+G9894+G9892-G9893-G9895-G9896</f>
        <v>90</v>
      </c>
      <c r="H9898" s="17" t="n">
        <f aca="false">H9887+H9894+H9892-H9893-H9895-H9896</f>
        <v>90</v>
      </c>
      <c r="I9898" s="17" t="n">
        <f aca="false">I9887+I9894+I9892-I9893-I9895-I9896</f>
        <v>90</v>
      </c>
      <c r="J9898" s="17" t="n">
        <f aca="false">J9887+J9894+J9892-J9893-J9895-J9896</f>
        <v>90</v>
      </c>
      <c r="K9898" s="17" t="n">
        <f aca="false">K9887+K9894+K9892-K9893-K9895-K9896</f>
        <v>90</v>
      </c>
    </row>
    <row r="9899" customFormat="false" ht="15" hidden="false" customHeight="false" outlineLevel="0" collapsed="false">
      <c r="A9899" s="24" t="s">
        <v>341</v>
      </c>
      <c r="B9899" s="25"/>
      <c r="C9899" s="25"/>
      <c r="D9899" s="25"/>
      <c r="E9899" s="25"/>
      <c r="F9899" s="25"/>
      <c r="G9899" s="25"/>
      <c r="H9899" s="25"/>
      <c r="I9899" s="25"/>
      <c r="J9899" s="25"/>
      <c r="K9899" s="25"/>
    </row>
    <row r="9900" customFormat="false" ht="15" hidden="false" customHeight="false" outlineLevel="0" collapsed="false">
      <c r="A9900" s="3" t="s">
        <v>329</v>
      </c>
      <c r="G9900" s="16" t="n">
        <f aca="false">F9911</f>
        <v>57.324</v>
      </c>
      <c r="H9900" s="16" t="n">
        <f aca="false">G9911</f>
        <v>57.324</v>
      </c>
      <c r="I9900" s="16" t="n">
        <f aca="false">H9911</f>
        <v>57.324</v>
      </c>
      <c r="J9900" s="16" t="n">
        <f aca="false">I9911</f>
        <v>57.324</v>
      </c>
      <c r="K9900" s="16" t="n">
        <f aca="false">J9911</f>
        <v>57.324</v>
      </c>
    </row>
    <row r="9901" customFormat="false" ht="15" hidden="false" customHeight="false" outlineLevel="0" collapsed="false">
      <c r="A9901" s="3" t="s">
        <v>330</v>
      </c>
      <c r="G9901" s="21" t="n">
        <f aca="false">IF(G9838=Assumptions!$K$59,1,0)</f>
        <v>0</v>
      </c>
      <c r="H9901" s="21" t="n">
        <f aca="false">IF(H9838=Assumptions!$K$59,1,0)</f>
        <v>0</v>
      </c>
      <c r="I9901" s="21" t="n">
        <f aca="false">IF(I9838=Assumptions!$K$59,1,0)</f>
        <v>0</v>
      </c>
      <c r="J9901" s="21" t="n">
        <f aca="false">IF(J9838=Assumptions!$K$59,1,0)</f>
        <v>0</v>
      </c>
      <c r="K9901" s="21" t="n">
        <f aca="false">IF(K9838=Assumptions!$K$59,1,0)</f>
        <v>0</v>
      </c>
    </row>
    <row r="9903" customFormat="false" ht="15" hidden="false" customHeight="false" outlineLevel="0" collapsed="false">
      <c r="A9903" s="3" t="s">
        <v>331</v>
      </c>
      <c r="G9903" s="31" t="n">
        <f aca="false">IF(Assumptions!$I$59=1,MAX(G9864,Assumptions!$G$59)+Assumptions!$F$59+$C$9865,Assumptions!$E$59)</f>
        <v>0.0731</v>
      </c>
      <c r="H9903" s="31" t="n">
        <f aca="false">IF(G10186=1,$C$9866,IF(Assumptions!$I$59=1,MAX(H9864,Assumptions!$G$59)+Assumptions!$F$59+$C$9865,Assumptions!$E$59))</f>
        <v>0.0731</v>
      </c>
      <c r="I9903" s="31" t="n">
        <f aca="false">IF(H10186=1,$C$9866,IF(Assumptions!$I$59=1,MAX(I9864,Assumptions!$G$59)+Assumptions!$F$59+$C$9865,Assumptions!$E$59))</f>
        <v>0.0731</v>
      </c>
      <c r="J9903" s="31" t="n">
        <f aca="false">IF(I10186=1,$C$9866,IF(Assumptions!$I$59=1,MAX(J9864,Assumptions!$G$59)+Assumptions!$F$59+$C$9865,Assumptions!$E$59))</f>
        <v>0.0731</v>
      </c>
      <c r="K9903" s="31" t="n">
        <f aca="false">IF(J10186=1,$C$9866,IF(Assumptions!$I$59=1,MAX(K9864,Assumptions!$G$59)+Assumptions!$F$59+$C$9865,Assumptions!$E$59))</f>
        <v>0.0731</v>
      </c>
    </row>
    <row r="9904" customFormat="false" ht="15" hidden="false" customHeight="false" outlineLevel="0" collapsed="false">
      <c r="A9904" s="3" t="s">
        <v>332</v>
      </c>
      <c r="G9904" s="16" t="n">
        <f aca="false">G9900*G9903</f>
        <v>4.1903844</v>
      </c>
      <c r="H9904" s="16" t="n">
        <f aca="false">H9900*H9903</f>
        <v>4.1903844</v>
      </c>
      <c r="I9904" s="16" t="n">
        <f aca="false">I9900*I9903</f>
        <v>4.1903844</v>
      </c>
      <c r="J9904" s="16" t="n">
        <f aca="false">J9900*J9903</f>
        <v>4.1903844</v>
      </c>
      <c r="K9904" s="16" t="n">
        <f aca="false">K9900*K9903</f>
        <v>4.1903844</v>
      </c>
    </row>
    <row r="9905" customFormat="false" ht="15" hidden="false" customHeight="false" outlineLevel="0" collapsed="false">
      <c r="A9905" s="3" t="s">
        <v>333</v>
      </c>
      <c r="G9905" s="16" t="n">
        <f aca="false">G9900*Assumptions!$H$59</f>
        <v>0</v>
      </c>
      <c r="H9905" s="16" t="n">
        <f aca="false">H9900*Assumptions!$H$59</f>
        <v>0</v>
      </c>
      <c r="I9905" s="16" t="n">
        <f aca="false">I9900*Assumptions!$H$59</f>
        <v>0</v>
      </c>
      <c r="J9905" s="16" t="n">
        <f aca="false">J9900*Assumptions!$H$59</f>
        <v>0</v>
      </c>
      <c r="K9905" s="16" t="n">
        <f aca="false">K9900*Assumptions!$H$59</f>
        <v>0</v>
      </c>
    </row>
    <row r="9906" customFormat="false" ht="15" hidden="false" customHeight="false" outlineLevel="0" collapsed="false">
      <c r="A9906" s="3" t="s">
        <v>334</v>
      </c>
      <c r="G9906" s="16" t="n">
        <f aca="false">MIN(G9900,Assumptions!$L$59*Assumptions!$C$59)</f>
        <v>0</v>
      </c>
      <c r="H9906" s="16" t="n">
        <f aca="false">MIN(H9900,Assumptions!$L$59*Assumptions!$C$59)</f>
        <v>0</v>
      </c>
      <c r="I9906" s="16" t="n">
        <f aca="false">MIN(I9900,Assumptions!$L$59*Assumptions!$C$59)</f>
        <v>0</v>
      </c>
      <c r="J9906" s="16" t="n">
        <f aca="false">MIN(J9900,Assumptions!$L$59*Assumptions!$C$59)</f>
        <v>0</v>
      </c>
      <c r="K9906" s="16" t="n">
        <f aca="false">MIN(K9900,Assumptions!$L$59*Assumptions!$C$59)</f>
        <v>0</v>
      </c>
    </row>
    <row r="9907" customFormat="false" ht="15" hidden="false" customHeight="false" outlineLevel="0" collapsed="false">
      <c r="A9907" s="3" t="s">
        <v>335</v>
      </c>
      <c r="G9907" s="16" t="n">
        <f aca="false">IF(AND(Assumptions!$P$59=1,G9838&lt;Assumptions!$K$59),MIN(MAX(0,-G10054),MAX(0,Assumptions!$D$59-G9900)),0)</f>
        <v>0</v>
      </c>
      <c r="H9907" s="16" t="n">
        <f aca="false">IF(AND(Assumptions!$P$59=1,OR(H9838&lt;Assumptions!$K$59,G10186=1)),MIN(MAX(0,-H10054),MAX(0,Assumptions!$D$59-H9900)),0)</f>
        <v>0</v>
      </c>
      <c r="I9907" s="16" t="n">
        <f aca="false">IF(AND(Assumptions!$P$59=1,OR(I9838&lt;Assumptions!$K$59,H10186=1)),MIN(MAX(0,-I10054),MAX(0,Assumptions!$D$59-I9900)),0)</f>
        <v>0</v>
      </c>
      <c r="J9907" s="16" t="n">
        <f aca="false">IF(AND(Assumptions!$P$59=1,OR(J9838&lt;Assumptions!$K$59,I10186=1)),MIN(MAX(0,-J10054),MAX(0,Assumptions!$D$59-J9900)),0)</f>
        <v>0</v>
      </c>
      <c r="K9907" s="16" t="n">
        <f aca="false">IF(AND(Assumptions!$P$59=1,OR(K9838&lt;Assumptions!$K$59,J10186=1)),MIN(MAX(0,-K10054),MAX(0,Assumptions!$D$59-K9900)),0)</f>
        <v>0</v>
      </c>
    </row>
    <row r="9908" customFormat="false" ht="15" hidden="false" customHeight="false" outlineLevel="0" collapsed="false">
      <c r="A9908" s="3" t="s">
        <v>336</v>
      </c>
      <c r="G9908" s="16" t="n">
        <f aca="false">G9901*MIN(G9900-G9906+G9905,MAX(0,G10056-Assumptions!$C$12*G9872-G9882-G9895))</f>
        <v>0</v>
      </c>
      <c r="H9908" s="16" t="n">
        <f aca="false">H9901*MIN(H9900-H9906+H9905,MAX(0,H10056-Assumptions!$C$12*H9872-H9882-H9895))</f>
        <v>0</v>
      </c>
      <c r="I9908" s="16" t="n">
        <f aca="false">I9901*MIN(I9900-I9906+I9905,MAX(0,I10056-Assumptions!$C$12*I9872-I9882-I9895))</f>
        <v>0</v>
      </c>
      <c r="J9908" s="16" t="n">
        <f aca="false">J9901*MIN(J9900-J9906+J9905,MAX(0,J10056-Assumptions!$C$12*J9872-J9882-J9895))</f>
        <v>0</v>
      </c>
      <c r="K9908" s="16" t="n">
        <f aca="false">K9901*MIN(K9900-K9906+K9905,MAX(0,K10056-Assumptions!$C$12*K9872-K9882-K9895))</f>
        <v>0</v>
      </c>
    </row>
    <row r="9909" customFormat="false" ht="15" hidden="false" customHeight="false" outlineLevel="0" collapsed="false">
      <c r="A9909" s="3" t="s">
        <v>337</v>
      </c>
      <c r="G9909" s="16" t="n">
        <f aca="false">Assumptions!$N$59*MIN(G9900+G9907+G9905-G9906-G9908,MAX(0,G10060-G9883-G9896))</f>
        <v>0</v>
      </c>
      <c r="H9909" s="16" t="n">
        <f aca="false">Assumptions!$N$59*MIN(H9900+H9907+H9905-H9906-H9908,MAX(0,H10060-H9883-H9896))</f>
        <v>0</v>
      </c>
      <c r="I9909" s="16" t="n">
        <f aca="false">Assumptions!$N$59*MIN(I9900+I9907+I9905-I9906-I9908,MAX(0,I10060-I9883-I9896))</f>
        <v>0</v>
      </c>
      <c r="J9909" s="16" t="n">
        <f aca="false">Assumptions!$N$59*MIN(J9900+J9907+J9905-J9906-J9908,MAX(0,J10060-J9883-J9896))</f>
        <v>0</v>
      </c>
      <c r="K9909" s="16" t="n">
        <f aca="false">Assumptions!$N$59*MIN(K9900+K9907+K9905-K9906-K9908,MAX(0,K10060-K9883-K9896))</f>
        <v>0</v>
      </c>
    </row>
    <row r="9910" customFormat="false" ht="15" hidden="false" customHeight="false" outlineLevel="0" collapsed="false">
      <c r="A9910" s="3" t="s">
        <v>338</v>
      </c>
      <c r="G9910" s="16" t="n">
        <f aca="false">G9901*(1-G9872)*(G9900-G9906+G9905-G9908)</f>
        <v>0</v>
      </c>
      <c r="H9910" s="16" t="n">
        <f aca="false">H9901*(1-H9872)*(H9900-H9906+H9905-H9908)</f>
        <v>0</v>
      </c>
      <c r="I9910" s="16" t="n">
        <f aca="false">I9901*(1-I9872)*(I9900-I9906+I9905-I9908)</f>
        <v>0</v>
      </c>
      <c r="J9910" s="16" t="n">
        <f aca="false">J9901*(1-J9872)*(J9900-J9906+J9905-J9908)</f>
        <v>0</v>
      </c>
      <c r="K9910" s="16" t="n">
        <f aca="false">K9901*(1-K9872)*(K9900-K9906+K9905-K9908)</f>
        <v>0</v>
      </c>
    </row>
    <row r="9911" customFormat="false" ht="15" hidden="false" customHeight="false" outlineLevel="0" collapsed="false">
      <c r="A9911" s="2" t="s">
        <v>339</v>
      </c>
      <c r="F9911" s="28" t="n">
        <f aca="false">Assumptions!$C$59</f>
        <v>57.324</v>
      </c>
      <c r="G9911" s="17" t="n">
        <f aca="false">G9900+G9907+G9905-G9906-G9908-G9909</f>
        <v>57.324</v>
      </c>
      <c r="H9911" s="17" t="n">
        <f aca="false">H9900+H9907+H9905-H9906-H9908-H9909</f>
        <v>57.324</v>
      </c>
      <c r="I9911" s="17" t="n">
        <f aca="false">I9900+I9907+I9905-I9906-I9908-I9909</f>
        <v>57.324</v>
      </c>
      <c r="J9911" s="17" t="n">
        <f aca="false">J9900+J9907+J9905-J9906-J9908-J9909</f>
        <v>57.324</v>
      </c>
      <c r="K9911" s="17" t="n">
        <f aca="false">K9900+K9907+K9905-K9906-K9908-K9909</f>
        <v>57.324</v>
      </c>
    </row>
    <row r="9912" customFormat="false" ht="15" hidden="false" customHeight="false" outlineLevel="0" collapsed="false">
      <c r="A9912" s="24" t="s">
        <v>342</v>
      </c>
      <c r="B9912" s="25"/>
      <c r="C9912" s="25"/>
      <c r="D9912" s="25"/>
      <c r="E9912" s="25"/>
      <c r="F9912" s="25"/>
      <c r="G9912" s="25"/>
      <c r="H9912" s="25"/>
      <c r="I9912" s="25"/>
      <c r="J9912" s="25"/>
      <c r="K9912" s="25"/>
    </row>
    <row r="9913" customFormat="false" ht="15" hidden="false" customHeight="false" outlineLevel="0" collapsed="false">
      <c r="A9913" s="3" t="s">
        <v>329</v>
      </c>
      <c r="G9913" s="16" t="n">
        <f aca="false">F9924</f>
        <v>0</v>
      </c>
      <c r="H9913" s="16" t="n">
        <f aca="false">G9924</f>
        <v>0</v>
      </c>
      <c r="I9913" s="16" t="n">
        <f aca="false">H9924</f>
        <v>0</v>
      </c>
      <c r="J9913" s="16" t="n">
        <f aca="false">I9924</f>
        <v>0</v>
      </c>
      <c r="K9913" s="16" t="n">
        <f aca="false">J9924</f>
        <v>0</v>
      </c>
    </row>
    <row r="9914" customFormat="false" ht="15" hidden="false" customHeight="false" outlineLevel="0" collapsed="false">
      <c r="A9914" s="3" t="s">
        <v>330</v>
      </c>
      <c r="G9914" s="21" t="n">
        <f aca="false">IF(G9838=Assumptions!$K$60,1,0)</f>
        <v>1</v>
      </c>
      <c r="H9914" s="21" t="n">
        <f aca="false">IF(H9838=Assumptions!$K$60,1,0)</f>
        <v>0</v>
      </c>
      <c r="I9914" s="21" t="n">
        <f aca="false">IF(I9838=Assumptions!$K$60,1,0)</f>
        <v>0</v>
      </c>
      <c r="J9914" s="21" t="n">
        <f aca="false">IF(J9838=Assumptions!$K$60,1,0)</f>
        <v>0</v>
      </c>
      <c r="K9914" s="21" t="n">
        <f aca="false">IF(K9838=Assumptions!$K$60,1,0)</f>
        <v>0</v>
      </c>
    </row>
    <row r="9916" customFormat="false" ht="15" hidden="false" customHeight="false" outlineLevel="0" collapsed="false">
      <c r="A9916" s="3" t="s">
        <v>331</v>
      </c>
      <c r="G9916" s="31" t="n">
        <f aca="false">IF(Assumptions!$I$60=1,MAX(G9864,Assumptions!$G$60)+Assumptions!$F$60+$C$9865,Assumptions!$E$60)</f>
        <v>0.084</v>
      </c>
      <c r="H9916" s="31" t="n">
        <f aca="false">IF(G10187=1,$C$9866,IF(Assumptions!$I$60=1,MAX(H9864,Assumptions!$G$60)+Assumptions!$F$60+$C$9865,Assumptions!$E$60))</f>
        <v>0.0825</v>
      </c>
      <c r="I9916" s="31" t="n">
        <f aca="false">IF(H10187=1,$C$9866,IF(Assumptions!$I$60=1,MAX(I9864,Assumptions!$G$60)+Assumptions!$F$60+$C$9865,Assumptions!$E$60))</f>
        <v>0.08</v>
      </c>
      <c r="J9916" s="31" t="n">
        <f aca="false">IF(I10187=1,$C$9866,IF(Assumptions!$I$60=1,MAX(J9864,Assumptions!$G$60)+Assumptions!$F$60+$C$9865,Assumptions!$E$60))</f>
        <v>0.08</v>
      </c>
      <c r="K9916" s="31" t="n">
        <f aca="false">IF(J10187=1,$C$9866,IF(Assumptions!$I$60=1,MAX(K9864,Assumptions!$G$60)+Assumptions!$F$60+$C$9865,Assumptions!$E$60))</f>
        <v>0.08</v>
      </c>
    </row>
    <row r="9917" customFormat="false" ht="15" hidden="false" customHeight="false" outlineLevel="0" collapsed="false">
      <c r="A9917" s="3" t="s">
        <v>332</v>
      </c>
      <c r="G9917" s="16" t="n">
        <f aca="false">G9913*G9916</f>
        <v>0</v>
      </c>
      <c r="H9917" s="16" t="n">
        <f aca="false">H9913*H9916</f>
        <v>0</v>
      </c>
      <c r="I9917" s="16" t="n">
        <f aca="false">I9913*I9916</f>
        <v>0</v>
      </c>
      <c r="J9917" s="16" t="n">
        <f aca="false">J9913*J9916</f>
        <v>0</v>
      </c>
      <c r="K9917" s="16" t="n">
        <f aca="false">K9913*K9916</f>
        <v>0</v>
      </c>
    </row>
    <row r="9918" customFormat="false" ht="15" hidden="false" customHeight="false" outlineLevel="0" collapsed="false">
      <c r="A9918" s="3" t="s">
        <v>333</v>
      </c>
      <c r="G9918" s="16" t="n">
        <f aca="false">G9913*Assumptions!$H$60</f>
        <v>0</v>
      </c>
      <c r="H9918" s="16" t="n">
        <f aca="false">H9913*Assumptions!$H$60</f>
        <v>0</v>
      </c>
      <c r="I9918" s="16" t="n">
        <f aca="false">I9913*Assumptions!$H$60</f>
        <v>0</v>
      </c>
      <c r="J9918" s="16" t="n">
        <f aca="false">J9913*Assumptions!$H$60</f>
        <v>0</v>
      </c>
      <c r="K9918" s="16" t="n">
        <f aca="false">K9913*Assumptions!$H$60</f>
        <v>0</v>
      </c>
    </row>
    <row r="9919" customFormat="false" ht="15" hidden="false" customHeight="false" outlineLevel="0" collapsed="false">
      <c r="A9919" s="3" t="s">
        <v>334</v>
      </c>
      <c r="G9919" s="16" t="n">
        <f aca="false">MIN(G9913,Assumptions!$L$60*Assumptions!$C$60)</f>
        <v>0</v>
      </c>
      <c r="H9919" s="16" t="n">
        <f aca="false">MIN(H9913,Assumptions!$L$60*Assumptions!$C$60)</f>
        <v>0</v>
      </c>
      <c r="I9919" s="16" t="n">
        <f aca="false">MIN(I9913,Assumptions!$L$60*Assumptions!$C$60)</f>
        <v>0</v>
      </c>
      <c r="J9919" s="16" t="n">
        <f aca="false">MIN(J9913,Assumptions!$L$60*Assumptions!$C$60)</f>
        <v>0</v>
      </c>
      <c r="K9919" s="16" t="n">
        <f aca="false">MIN(K9913,Assumptions!$L$60*Assumptions!$C$60)</f>
        <v>0</v>
      </c>
    </row>
    <row r="9920" customFormat="false" ht="15" hidden="false" customHeight="false" outlineLevel="0" collapsed="false">
      <c r="A9920" s="3" t="s">
        <v>335</v>
      </c>
      <c r="G9920" s="16" t="n">
        <f aca="false">IF(AND(Assumptions!$P$60=1,G9838&lt;Assumptions!$K$60),MIN(MAX(0,-G10054),MAX(0,Assumptions!$D$60-G9913)),0)</f>
        <v>0</v>
      </c>
      <c r="H9920" s="16" t="n">
        <f aca="false">IF(AND(Assumptions!$P$60=1,OR(H9838&lt;Assumptions!$K$60,G10187=1)),MIN(MAX(0,-H10054),MAX(0,Assumptions!$D$60-H9913)),0)</f>
        <v>0</v>
      </c>
      <c r="I9920" s="16" t="n">
        <f aca="false">IF(AND(Assumptions!$P$60=1,OR(I9838&lt;Assumptions!$K$60,H10187=1)),MIN(MAX(0,-I10054),MAX(0,Assumptions!$D$60-I9913)),0)</f>
        <v>0</v>
      </c>
      <c r="J9920" s="16" t="n">
        <f aca="false">IF(AND(Assumptions!$P$60=1,OR(J9838&lt;Assumptions!$K$60,I10187=1)),MIN(MAX(0,-J10054),MAX(0,Assumptions!$D$60-J9913)),0)</f>
        <v>0</v>
      </c>
      <c r="K9920" s="16" t="n">
        <f aca="false">IF(AND(Assumptions!$P$60=1,OR(K9838&lt;Assumptions!$K$60,J10187=1)),MIN(MAX(0,-K10054),MAX(0,Assumptions!$D$60-K9913)),0)</f>
        <v>0</v>
      </c>
    </row>
    <row r="9921" customFormat="false" ht="15" hidden="false" customHeight="false" outlineLevel="0" collapsed="false">
      <c r="A9921" s="3" t="s">
        <v>336</v>
      </c>
      <c r="G9921" s="16" t="n">
        <f aca="false">G9914*MIN(G9913-G9919+G9918,MAX(0,G10056-Assumptions!$C$12*G9872-G9882-G9895-G9908))</f>
        <v>0</v>
      </c>
      <c r="H9921" s="16" t="n">
        <f aca="false">H9914*MIN(H9913-H9919+H9918,MAX(0,H10056-Assumptions!$C$12*H9872-H9882-H9895-H9908))</f>
        <v>0</v>
      </c>
      <c r="I9921" s="16" t="n">
        <f aca="false">I9914*MIN(I9913-I9919+I9918,MAX(0,I10056-Assumptions!$C$12*I9872-I9882-I9895-I9908))</f>
        <v>0</v>
      </c>
      <c r="J9921" s="16" t="n">
        <f aca="false">J9914*MIN(J9913-J9919+J9918,MAX(0,J10056-Assumptions!$C$12*J9872-J9882-J9895-J9908))</f>
        <v>0</v>
      </c>
      <c r="K9921" s="16" t="n">
        <f aca="false">K9914*MIN(K9913-K9919+K9918,MAX(0,K10056-Assumptions!$C$12*K9872-K9882-K9895-K9908))</f>
        <v>0</v>
      </c>
    </row>
    <row r="9922" customFormat="false" ht="15" hidden="false" customHeight="false" outlineLevel="0" collapsed="false">
      <c r="A9922" s="3" t="s">
        <v>337</v>
      </c>
      <c r="G9922" s="16" t="n">
        <f aca="false">Assumptions!$N$60*MIN(G9913+G9920+G9918-G9919-G9921,MAX(0,G10060-G9883-G9896-G9909))</f>
        <v>0</v>
      </c>
      <c r="H9922" s="16" t="n">
        <f aca="false">Assumptions!$N$60*MIN(H9913+H9920+H9918-H9919-H9921,MAX(0,H10060-H9883-H9896-H9909))</f>
        <v>0</v>
      </c>
      <c r="I9922" s="16" t="n">
        <f aca="false">Assumptions!$N$60*MIN(I9913+I9920+I9918-I9919-I9921,MAX(0,I10060-I9883-I9896-I9909))</f>
        <v>0</v>
      </c>
      <c r="J9922" s="16" t="n">
        <f aca="false">Assumptions!$N$60*MIN(J9913+J9920+J9918-J9919-J9921,MAX(0,J10060-J9883-J9896-J9909))</f>
        <v>0</v>
      </c>
      <c r="K9922" s="16" t="n">
        <f aca="false">Assumptions!$N$60*MIN(K9913+K9920+K9918-K9919-K9921,MAX(0,K10060-K9883-K9896-K9909))</f>
        <v>0</v>
      </c>
    </row>
    <row r="9923" customFormat="false" ht="15" hidden="false" customHeight="false" outlineLevel="0" collapsed="false">
      <c r="A9923" s="3" t="s">
        <v>338</v>
      </c>
      <c r="G9923" s="16" t="n">
        <f aca="false">G9914*(1-G9872)*(G9913-G9919+G9918-G9921)</f>
        <v>0</v>
      </c>
      <c r="H9923" s="16" t="n">
        <f aca="false">H9914*(1-H9872)*(H9913-H9919+H9918-H9921)</f>
        <v>0</v>
      </c>
      <c r="I9923" s="16" t="n">
        <f aca="false">I9914*(1-I9872)*(I9913-I9919+I9918-I9921)</f>
        <v>0</v>
      </c>
      <c r="J9923" s="16" t="n">
        <f aca="false">J9914*(1-J9872)*(J9913-J9919+J9918-J9921)</f>
        <v>0</v>
      </c>
      <c r="K9923" s="16" t="n">
        <f aca="false">K9914*(1-K9872)*(K9913-K9919+K9918-K9921)</f>
        <v>0</v>
      </c>
    </row>
    <row r="9924" customFormat="false" ht="15" hidden="false" customHeight="false" outlineLevel="0" collapsed="false">
      <c r="A9924" s="2" t="s">
        <v>339</v>
      </c>
      <c r="F9924" s="28" t="n">
        <f aca="false">Assumptions!$C$60</f>
        <v>0</v>
      </c>
      <c r="G9924" s="17" t="n">
        <f aca="false">G9913+G9920+G9918-G9919-G9921-G9922</f>
        <v>0</v>
      </c>
      <c r="H9924" s="17" t="n">
        <f aca="false">H9913+H9920+H9918-H9919-H9921-H9922</f>
        <v>0</v>
      </c>
      <c r="I9924" s="17" t="n">
        <f aca="false">I9913+I9920+I9918-I9919-I9921-I9922</f>
        <v>0</v>
      </c>
      <c r="J9924" s="17" t="n">
        <f aca="false">J9913+J9920+J9918-J9919-J9921-J9922</f>
        <v>0</v>
      </c>
      <c r="K9924" s="17" t="n">
        <f aca="false">K9913+K9920+K9918-K9919-K9921-K9922</f>
        <v>0</v>
      </c>
    </row>
    <row r="9925" customFormat="false" ht="15" hidden="false" customHeight="false" outlineLevel="0" collapsed="false">
      <c r="A9925" s="24" t="s">
        <v>343</v>
      </c>
      <c r="B9925" s="25"/>
      <c r="C9925" s="25"/>
      <c r="D9925" s="25"/>
      <c r="E9925" s="25"/>
      <c r="F9925" s="25"/>
      <c r="G9925" s="25"/>
      <c r="H9925" s="25"/>
      <c r="I9925" s="25"/>
      <c r="J9925" s="25"/>
      <c r="K9925" s="25"/>
    </row>
    <row r="9926" customFormat="false" ht="15" hidden="false" customHeight="false" outlineLevel="0" collapsed="false">
      <c r="A9926" s="3" t="s">
        <v>329</v>
      </c>
      <c r="G9926" s="16" t="n">
        <f aca="false">F9937</f>
        <v>450</v>
      </c>
      <c r="H9926" s="16" t="n">
        <f aca="false">G9937</f>
        <v>450</v>
      </c>
      <c r="I9926" s="16" t="n">
        <f aca="false">H9937</f>
        <v>434.9547587</v>
      </c>
      <c r="J9926" s="16" t="n">
        <f aca="false">I9937</f>
        <v>434.9547587</v>
      </c>
      <c r="K9926" s="16" t="n">
        <f aca="false">J9937</f>
        <v>434.9547587</v>
      </c>
    </row>
    <row r="9927" customFormat="false" ht="15" hidden="false" customHeight="false" outlineLevel="0" collapsed="false">
      <c r="A9927" s="3" t="s">
        <v>330</v>
      </c>
      <c r="G9927" s="21" t="n">
        <f aca="false">IF(G9838=Assumptions!$K$61,1,0)</f>
        <v>0</v>
      </c>
      <c r="H9927" s="21" t="n">
        <f aca="false">IF(H9838=Assumptions!$K$61,1,0)</f>
        <v>1</v>
      </c>
      <c r="I9927" s="21" t="n">
        <f aca="false">IF(I9838=Assumptions!$K$61,1,0)</f>
        <v>0</v>
      </c>
      <c r="J9927" s="21" t="n">
        <f aca="false">IF(J9838=Assumptions!$K$61,1,0)</f>
        <v>0</v>
      </c>
      <c r="K9927" s="21" t="n">
        <f aca="false">IF(K9838=Assumptions!$K$61,1,0)</f>
        <v>0</v>
      </c>
    </row>
    <row r="9929" customFormat="false" ht="15" hidden="false" customHeight="false" outlineLevel="0" collapsed="false">
      <c r="A9929" s="3" t="s">
        <v>331</v>
      </c>
      <c r="G9929" s="31" t="n">
        <f aca="false">IF(Assumptions!$I$61=1,MAX(G9864,Assumptions!$G$61)+Assumptions!$F$61+$C$9865,Assumptions!$E$61)</f>
        <v>0.0395</v>
      </c>
      <c r="H9929" s="31" t="n">
        <f aca="false">IF(G10188=1,$C$9866,IF(Assumptions!$I$61=1,MAX(H9864,Assumptions!$G$61)+Assumptions!$F$61+$C$9865,Assumptions!$E$61))</f>
        <v>0.0395</v>
      </c>
      <c r="I9929" s="31" t="n">
        <f aca="false">IF(H10188=1,$C$9866,IF(Assumptions!$I$61=1,MAX(I9864,Assumptions!$G$61)+Assumptions!$F$61+$C$9865,Assumptions!$E$61))</f>
        <v>0.0395</v>
      </c>
      <c r="J9929" s="31" t="n">
        <f aca="false">IF(I10188=1,$C$9866,IF(Assumptions!$I$61=1,MAX(J9864,Assumptions!$G$61)+Assumptions!$F$61+$C$9865,Assumptions!$E$61))</f>
        <v>0.0395</v>
      </c>
      <c r="K9929" s="31" t="n">
        <f aca="false">IF(J10188=1,$C$9866,IF(Assumptions!$I$61=1,MAX(K9864,Assumptions!$G$61)+Assumptions!$F$61+$C$9865,Assumptions!$E$61))</f>
        <v>0.0395</v>
      </c>
    </row>
    <row r="9930" customFormat="false" ht="15" hidden="false" customHeight="false" outlineLevel="0" collapsed="false">
      <c r="A9930" s="3" t="s">
        <v>332</v>
      </c>
      <c r="G9930" s="16" t="n">
        <f aca="false">G9926*G9929</f>
        <v>17.775</v>
      </c>
      <c r="H9930" s="16" t="n">
        <f aca="false">H9926*H9929</f>
        <v>17.775</v>
      </c>
      <c r="I9930" s="16" t="n">
        <f aca="false">I9926*I9929</f>
        <v>17.18071296865</v>
      </c>
      <c r="J9930" s="16" t="n">
        <f aca="false">J9926*J9929</f>
        <v>17.18071296865</v>
      </c>
      <c r="K9930" s="16" t="n">
        <f aca="false">K9926*K9929</f>
        <v>17.18071296865</v>
      </c>
    </row>
    <row r="9931" customFormat="false" ht="15" hidden="false" customHeight="false" outlineLevel="0" collapsed="false">
      <c r="A9931" s="3" t="s">
        <v>333</v>
      </c>
      <c r="G9931" s="16" t="n">
        <f aca="false">G9926*Assumptions!$H$61</f>
        <v>0</v>
      </c>
      <c r="H9931" s="16" t="n">
        <f aca="false">H9926*Assumptions!$H$61</f>
        <v>0</v>
      </c>
      <c r="I9931" s="16" t="n">
        <f aca="false">I9926*Assumptions!$H$61</f>
        <v>0</v>
      </c>
      <c r="J9931" s="16" t="n">
        <f aca="false">J9926*Assumptions!$H$61</f>
        <v>0</v>
      </c>
      <c r="K9931" s="16" t="n">
        <f aca="false">K9926*Assumptions!$H$61</f>
        <v>0</v>
      </c>
    </row>
    <row r="9932" customFormat="false" ht="15" hidden="false" customHeight="false" outlineLevel="0" collapsed="false">
      <c r="A9932" s="3" t="s">
        <v>334</v>
      </c>
      <c r="G9932" s="16" t="n">
        <f aca="false">MIN(G9926,Assumptions!$L$61*Assumptions!$C$61)</f>
        <v>0</v>
      </c>
      <c r="H9932" s="16" t="n">
        <f aca="false">MIN(H9926,Assumptions!$L$61*Assumptions!$C$61)</f>
        <v>0</v>
      </c>
      <c r="I9932" s="16" t="n">
        <f aca="false">MIN(I9926,Assumptions!$L$61*Assumptions!$C$61)</f>
        <v>0</v>
      </c>
      <c r="J9932" s="16" t="n">
        <f aca="false">MIN(J9926,Assumptions!$L$61*Assumptions!$C$61)</f>
        <v>0</v>
      </c>
      <c r="K9932" s="16" t="n">
        <f aca="false">MIN(K9926,Assumptions!$L$61*Assumptions!$C$61)</f>
        <v>0</v>
      </c>
    </row>
    <row r="9933" customFormat="false" ht="15" hidden="false" customHeight="false" outlineLevel="0" collapsed="false">
      <c r="A9933" s="3" t="s">
        <v>335</v>
      </c>
      <c r="G9933" s="16" t="n">
        <f aca="false">IF(AND(Assumptions!$P$61=1,G9838&lt;Assumptions!$K$61),MIN(MAX(0,-G10054),MAX(0,Assumptions!$D$61-G9926)),0)</f>
        <v>0</v>
      </c>
      <c r="H9933" s="16" t="n">
        <f aca="false">IF(AND(Assumptions!$P$61=1,OR(H9838&lt;Assumptions!$K$61,G10188=1)),MIN(MAX(0,-H10054),MAX(0,Assumptions!$D$61-H9926)),0)</f>
        <v>0</v>
      </c>
      <c r="I9933" s="16" t="n">
        <f aca="false">IF(AND(Assumptions!$P$61=1,OR(I9838&lt;Assumptions!$K$61,H10188=1)),MIN(MAX(0,-I10054),MAX(0,Assumptions!$D$61-I9926)),0)</f>
        <v>0</v>
      </c>
      <c r="J9933" s="16" t="n">
        <f aca="false">IF(AND(Assumptions!$P$61=1,OR(J9838&lt;Assumptions!$K$61,I10188=1)),MIN(MAX(0,-J10054),MAX(0,Assumptions!$D$61-J9926)),0)</f>
        <v>0</v>
      </c>
      <c r="K9933" s="16" t="n">
        <f aca="false">IF(AND(Assumptions!$P$61=1,OR(K9838&lt;Assumptions!$K$61,J10188=1)),MIN(MAX(0,-K10054),MAX(0,Assumptions!$D$61-K9926)),0)</f>
        <v>0</v>
      </c>
    </row>
    <row r="9934" customFormat="false" ht="15" hidden="false" customHeight="false" outlineLevel="0" collapsed="false">
      <c r="A9934" s="3" t="s">
        <v>336</v>
      </c>
      <c r="G9934" s="16" t="n">
        <f aca="false">G9927*MIN(G9926-G9932+G9931,MAX(0,G10056-Assumptions!$C$12*G9872-G9882-G9895-G9908-G9921))</f>
        <v>0</v>
      </c>
      <c r="H9934" s="16" t="n">
        <f aca="false">H9927*MIN(H9926-H9932+H9931,MAX(0,H10056-Assumptions!$C$12*H9872-H9882-H9895-H9908-H9921))</f>
        <v>15.0452413</v>
      </c>
      <c r="I9934" s="16" t="n">
        <f aca="false">I9927*MIN(I9926-I9932+I9931,MAX(0,I10056-Assumptions!$C$12*I9872-I9882-I9895-I9908-I9921))</f>
        <v>0</v>
      </c>
      <c r="J9934" s="16" t="n">
        <f aca="false">J9927*MIN(J9926-J9932+J9931,MAX(0,J10056-Assumptions!$C$12*J9872-J9882-J9895-J9908-J9921))</f>
        <v>0</v>
      </c>
      <c r="K9934" s="16" t="n">
        <f aca="false">K9927*MIN(K9926-K9932+K9931,MAX(0,K10056-Assumptions!$C$12*K9872-K9882-K9895-K9908-K9921))</f>
        <v>0</v>
      </c>
    </row>
    <row r="9935" customFormat="false" ht="15" hidden="false" customHeight="false" outlineLevel="0" collapsed="false">
      <c r="A9935" s="3" t="s">
        <v>337</v>
      </c>
      <c r="G9935" s="16" t="n">
        <f aca="false">Assumptions!$N$61*MIN(G9926+G9933+G9931-G9932-G9934,MAX(0,G10060-G9883-G9896-G9909-G9922))</f>
        <v>0</v>
      </c>
      <c r="H9935" s="16" t="n">
        <f aca="false">Assumptions!$N$61*MIN(H9926+H9933+H9931-H9932-H9934,MAX(0,H10060-H9883-H9896-H9909-H9922))</f>
        <v>0</v>
      </c>
      <c r="I9935" s="16" t="n">
        <f aca="false">Assumptions!$N$61*MIN(I9926+I9933+I9931-I9932-I9934,MAX(0,I10060-I9883-I9896-I9909-I9922))</f>
        <v>0</v>
      </c>
      <c r="J9935" s="16" t="n">
        <f aca="false">Assumptions!$N$61*MIN(J9926+J9933+J9931-J9932-J9934,MAX(0,J10060-J9883-J9896-J9909-J9922))</f>
        <v>0</v>
      </c>
      <c r="K9935" s="16" t="n">
        <f aca="false">Assumptions!$N$61*MIN(K9926+K9933+K9931-K9932-K9934,MAX(0,K10060-K9883-K9896-K9909-K9922))</f>
        <v>0</v>
      </c>
    </row>
    <row r="9936" customFormat="false" ht="15" hidden="false" customHeight="false" outlineLevel="0" collapsed="false">
      <c r="A9936" s="3" t="s">
        <v>338</v>
      </c>
      <c r="G9936" s="16" t="n">
        <f aca="false">G9927*(1-G9872)*(G9926-G9932+G9931-G9934)</f>
        <v>0</v>
      </c>
      <c r="H9936" s="16" t="n">
        <f aca="false">H9927*(1-H9872)*(H9926-H9932+H9931-H9934)</f>
        <v>434.9547587</v>
      </c>
      <c r="I9936" s="16" t="n">
        <f aca="false">I9927*(1-I9872)*(I9926-I9932+I9931-I9934)</f>
        <v>0</v>
      </c>
      <c r="J9936" s="16" t="n">
        <f aca="false">J9927*(1-J9872)*(J9926-J9932+J9931-J9934)</f>
        <v>0</v>
      </c>
      <c r="K9936" s="16" t="n">
        <f aca="false">K9927*(1-K9872)*(K9926-K9932+K9931-K9934)</f>
        <v>0</v>
      </c>
    </row>
    <row r="9937" customFormat="false" ht="15" hidden="false" customHeight="false" outlineLevel="0" collapsed="false">
      <c r="A9937" s="2" t="s">
        <v>339</v>
      </c>
      <c r="F9937" s="28" t="n">
        <f aca="false">Assumptions!$C$61</f>
        <v>450</v>
      </c>
      <c r="G9937" s="17" t="n">
        <f aca="false">G9926+G9933+G9931-G9932-G9934-G9935</f>
        <v>450</v>
      </c>
      <c r="H9937" s="17" t="n">
        <f aca="false">H9926+H9933+H9931-H9932-H9934-H9935</f>
        <v>434.9547587</v>
      </c>
      <c r="I9937" s="17" t="n">
        <f aca="false">I9926+I9933+I9931-I9932-I9934-I9935</f>
        <v>434.9547587</v>
      </c>
      <c r="J9937" s="17" t="n">
        <f aca="false">J9926+J9933+J9931-J9932-J9934-J9935</f>
        <v>434.9547587</v>
      </c>
      <c r="K9937" s="17" t="n">
        <f aca="false">K9926+K9933+K9931-K9932-K9934-K9935</f>
        <v>434.9547587</v>
      </c>
    </row>
    <row r="9938" customFormat="false" ht="15" hidden="false" customHeight="false" outlineLevel="0" collapsed="false">
      <c r="A9938" s="24" t="s">
        <v>344</v>
      </c>
      <c r="B9938" s="25"/>
      <c r="C9938" s="25"/>
      <c r="D9938" s="25"/>
      <c r="E9938" s="25"/>
      <c r="F9938" s="25"/>
      <c r="G9938" s="25"/>
      <c r="H9938" s="25"/>
      <c r="I9938" s="25"/>
      <c r="J9938" s="25"/>
      <c r="K9938" s="25"/>
    </row>
    <row r="9939" customFormat="false" ht="15" hidden="false" customHeight="false" outlineLevel="0" collapsed="false">
      <c r="A9939" s="3" t="s">
        <v>329</v>
      </c>
      <c r="G9939" s="16" t="n">
        <f aca="false">F9950</f>
        <v>350</v>
      </c>
      <c r="H9939" s="16" t="n">
        <f aca="false">G9950</f>
        <v>350</v>
      </c>
      <c r="I9939" s="16" t="n">
        <f aca="false">H9950</f>
        <v>350</v>
      </c>
      <c r="J9939" s="16" t="n">
        <f aca="false">I9950</f>
        <v>350</v>
      </c>
      <c r="K9939" s="16" t="n">
        <f aca="false">J9950</f>
        <v>350</v>
      </c>
    </row>
    <row r="9940" customFormat="false" ht="15" hidden="false" customHeight="false" outlineLevel="0" collapsed="false">
      <c r="A9940" s="3" t="s">
        <v>330</v>
      </c>
      <c r="G9940" s="21" t="n">
        <f aca="false">IF(G9838=Assumptions!$K$62,1,0)</f>
        <v>0</v>
      </c>
      <c r="H9940" s="21" t="n">
        <f aca="false">IF(H9838=Assumptions!$K$62,1,0)</f>
        <v>1</v>
      </c>
      <c r="I9940" s="21" t="n">
        <f aca="false">IF(I9838=Assumptions!$K$62,1,0)</f>
        <v>0</v>
      </c>
      <c r="J9940" s="21" t="n">
        <f aca="false">IF(J9838=Assumptions!$K$62,1,0)</f>
        <v>0</v>
      </c>
      <c r="K9940" s="21" t="n">
        <f aca="false">IF(K9838=Assumptions!$K$62,1,0)</f>
        <v>0</v>
      </c>
    </row>
    <row r="9942" customFormat="false" ht="15" hidden="false" customHeight="false" outlineLevel="0" collapsed="false">
      <c r="A9942" s="3" t="s">
        <v>331</v>
      </c>
      <c r="G9942" s="31" t="n">
        <f aca="false">IF(Assumptions!$I$62=1,MAX(G9864,Assumptions!$G$62)+Assumptions!$F$62+$C$9865,Assumptions!$E$62)</f>
        <v>0.083</v>
      </c>
      <c r="H9942" s="31" t="n">
        <f aca="false">IF(G10189=1,$C$9866,IF(Assumptions!$I$62=1,MAX(H9864,Assumptions!$G$62)+Assumptions!$F$62+$C$9865,Assumptions!$E$62))</f>
        <v>0.083</v>
      </c>
      <c r="I9942" s="31" t="n">
        <f aca="false">IF(H10189=1,$C$9866,IF(Assumptions!$I$62=1,MAX(I9864,Assumptions!$G$62)+Assumptions!$F$62+$C$9865,Assumptions!$E$62))</f>
        <v>0.083</v>
      </c>
      <c r="J9942" s="31" t="n">
        <f aca="false">IF(I10189=1,$C$9866,IF(Assumptions!$I$62=1,MAX(J9864,Assumptions!$G$62)+Assumptions!$F$62+$C$9865,Assumptions!$E$62))</f>
        <v>0.083</v>
      </c>
      <c r="K9942" s="31" t="n">
        <f aca="false">IF(J10189=1,$C$9866,IF(Assumptions!$I$62=1,MAX(K9864,Assumptions!$G$62)+Assumptions!$F$62+$C$9865,Assumptions!$E$62))</f>
        <v>0.083</v>
      </c>
    </row>
    <row r="9943" customFormat="false" ht="15" hidden="false" customHeight="false" outlineLevel="0" collapsed="false">
      <c r="A9943" s="3" t="s">
        <v>332</v>
      </c>
      <c r="G9943" s="16" t="n">
        <f aca="false">G9939*G9942</f>
        <v>29.05</v>
      </c>
      <c r="H9943" s="16" t="n">
        <f aca="false">H9939*H9942</f>
        <v>29.05</v>
      </c>
      <c r="I9943" s="16" t="n">
        <f aca="false">I9939*I9942</f>
        <v>29.05</v>
      </c>
      <c r="J9943" s="16" t="n">
        <f aca="false">J9939*J9942</f>
        <v>29.05</v>
      </c>
      <c r="K9943" s="16" t="n">
        <f aca="false">K9939*K9942</f>
        <v>29.05</v>
      </c>
    </row>
    <row r="9944" customFormat="false" ht="15" hidden="false" customHeight="false" outlineLevel="0" collapsed="false">
      <c r="A9944" s="3" t="s">
        <v>333</v>
      </c>
      <c r="G9944" s="16" t="n">
        <f aca="false">G9939*Assumptions!$H$62</f>
        <v>0</v>
      </c>
      <c r="H9944" s="16" t="n">
        <f aca="false">H9939*Assumptions!$H$62</f>
        <v>0</v>
      </c>
      <c r="I9944" s="16" t="n">
        <f aca="false">I9939*Assumptions!$H$62</f>
        <v>0</v>
      </c>
      <c r="J9944" s="16" t="n">
        <f aca="false">J9939*Assumptions!$H$62</f>
        <v>0</v>
      </c>
      <c r="K9944" s="16" t="n">
        <f aca="false">K9939*Assumptions!$H$62</f>
        <v>0</v>
      </c>
    </row>
    <row r="9945" customFormat="false" ht="15" hidden="false" customHeight="false" outlineLevel="0" collapsed="false">
      <c r="A9945" s="3" t="s">
        <v>334</v>
      </c>
      <c r="G9945" s="16" t="n">
        <f aca="false">MIN(G9939,Assumptions!$L$62*Assumptions!$C$62)</f>
        <v>0</v>
      </c>
      <c r="H9945" s="16" t="n">
        <f aca="false">MIN(H9939,Assumptions!$L$62*Assumptions!$C$62)</f>
        <v>0</v>
      </c>
      <c r="I9945" s="16" t="n">
        <f aca="false">MIN(I9939,Assumptions!$L$62*Assumptions!$C$62)</f>
        <v>0</v>
      </c>
      <c r="J9945" s="16" t="n">
        <f aca="false">MIN(J9939,Assumptions!$L$62*Assumptions!$C$62)</f>
        <v>0</v>
      </c>
      <c r="K9945" s="16" t="n">
        <f aca="false">MIN(K9939,Assumptions!$L$62*Assumptions!$C$62)</f>
        <v>0</v>
      </c>
    </row>
    <row r="9946" customFormat="false" ht="15" hidden="false" customHeight="false" outlineLevel="0" collapsed="false">
      <c r="A9946" s="3" t="s">
        <v>335</v>
      </c>
      <c r="G9946" s="16" t="n">
        <f aca="false">IF(AND(Assumptions!$P$62=1,G9838&lt;Assumptions!$K$62),MIN(MAX(0,-G10054),MAX(0,Assumptions!$D$62-G9939)),0)</f>
        <v>0</v>
      </c>
      <c r="H9946" s="16" t="n">
        <f aca="false">IF(AND(Assumptions!$P$62=1,OR(H9838&lt;Assumptions!$K$62,G10189=1)),MIN(MAX(0,-H10054),MAX(0,Assumptions!$D$62-H9939)),0)</f>
        <v>0</v>
      </c>
      <c r="I9946" s="16" t="n">
        <f aca="false">IF(AND(Assumptions!$P$62=1,OR(I9838&lt;Assumptions!$K$62,H10189=1)),MIN(MAX(0,-I10054),MAX(0,Assumptions!$D$62-I9939)),0)</f>
        <v>0</v>
      </c>
      <c r="J9946" s="16" t="n">
        <f aca="false">IF(AND(Assumptions!$P$62=1,OR(J9838&lt;Assumptions!$K$62,I10189=1)),MIN(MAX(0,-J10054),MAX(0,Assumptions!$D$62-J9939)),0)</f>
        <v>0</v>
      </c>
      <c r="K9946" s="16" t="n">
        <f aca="false">IF(AND(Assumptions!$P$62=1,OR(K9838&lt;Assumptions!$K$62,J10189=1)),MIN(MAX(0,-K10054),MAX(0,Assumptions!$D$62-K9939)),0)</f>
        <v>0</v>
      </c>
    </row>
    <row r="9947" customFormat="false" ht="15" hidden="false" customHeight="false" outlineLevel="0" collapsed="false">
      <c r="A9947" s="3" t="s">
        <v>336</v>
      </c>
      <c r="G9947" s="16" t="n">
        <f aca="false">G9940*MIN(G9939-G9945+G9944,MAX(0,G10056-Assumptions!$C$12*G9872-G9882-G9895-G9908-G9921-G9934))</f>
        <v>0</v>
      </c>
      <c r="H9947" s="16" t="n">
        <f aca="false">H9940*MIN(H9939-H9945+H9944,MAX(0,H10056-Assumptions!$C$12*H9872-H9882-H9895-H9908-H9921-H9934))</f>
        <v>0</v>
      </c>
      <c r="I9947" s="16" t="n">
        <f aca="false">I9940*MIN(I9939-I9945+I9944,MAX(0,I10056-Assumptions!$C$12*I9872-I9882-I9895-I9908-I9921-I9934))</f>
        <v>0</v>
      </c>
      <c r="J9947" s="16" t="n">
        <f aca="false">J9940*MIN(J9939-J9945+J9944,MAX(0,J10056-Assumptions!$C$12*J9872-J9882-J9895-J9908-J9921-J9934))</f>
        <v>0</v>
      </c>
      <c r="K9947" s="16" t="n">
        <f aca="false">K9940*MIN(K9939-K9945+K9944,MAX(0,K10056-Assumptions!$C$12*K9872-K9882-K9895-K9908-K9921-K9934))</f>
        <v>0</v>
      </c>
    </row>
    <row r="9948" customFormat="false" ht="15" hidden="false" customHeight="false" outlineLevel="0" collapsed="false">
      <c r="A9948" s="3" t="s">
        <v>337</v>
      </c>
      <c r="G9948" s="16" t="n">
        <f aca="false">Assumptions!$N$62*MIN(G9939+G9946+G9944-G9945-G9947,MAX(0,G10060-G9883-G9896-G9909-G9922-G9935))</f>
        <v>0</v>
      </c>
      <c r="H9948" s="16" t="n">
        <f aca="false">Assumptions!$N$62*MIN(H9939+H9946+H9944-H9945-H9947,MAX(0,H10060-H9883-H9896-H9909-H9922-H9935))</f>
        <v>0</v>
      </c>
      <c r="I9948" s="16" t="n">
        <f aca="false">Assumptions!$N$62*MIN(I9939+I9946+I9944-I9945-I9947,MAX(0,I10060-I9883-I9896-I9909-I9922-I9935))</f>
        <v>0</v>
      </c>
      <c r="J9948" s="16" t="n">
        <f aca="false">Assumptions!$N$62*MIN(J9939+J9946+J9944-J9945-J9947,MAX(0,J10060-J9883-J9896-J9909-J9922-J9935))</f>
        <v>0</v>
      </c>
      <c r="K9948" s="16" t="n">
        <f aca="false">Assumptions!$N$62*MIN(K9939+K9946+K9944-K9945-K9947,MAX(0,K10060-K9883-K9896-K9909-K9922-K9935))</f>
        <v>0</v>
      </c>
    </row>
    <row r="9949" customFormat="false" ht="15" hidden="false" customHeight="false" outlineLevel="0" collapsed="false">
      <c r="A9949" s="3" t="s">
        <v>338</v>
      </c>
      <c r="G9949" s="16" t="n">
        <f aca="false">G9940*(1-G9872)*(G9939-G9945+G9944-G9947)</f>
        <v>0</v>
      </c>
      <c r="H9949" s="16" t="n">
        <f aca="false">H9940*(1-H9872)*(H9939-H9945+H9944-H9947)</f>
        <v>350</v>
      </c>
      <c r="I9949" s="16" t="n">
        <f aca="false">I9940*(1-I9872)*(I9939-I9945+I9944-I9947)</f>
        <v>0</v>
      </c>
      <c r="J9949" s="16" t="n">
        <f aca="false">J9940*(1-J9872)*(J9939-J9945+J9944-J9947)</f>
        <v>0</v>
      </c>
      <c r="K9949" s="16" t="n">
        <f aca="false">K9940*(1-K9872)*(K9939-K9945+K9944-K9947)</f>
        <v>0</v>
      </c>
    </row>
    <row r="9950" customFormat="false" ht="15" hidden="false" customHeight="false" outlineLevel="0" collapsed="false">
      <c r="A9950" s="2" t="s">
        <v>339</v>
      </c>
      <c r="F9950" s="28" t="n">
        <f aca="false">Assumptions!$C$62</f>
        <v>350</v>
      </c>
      <c r="G9950" s="17" t="n">
        <f aca="false">G9939+G9946+G9944-G9945-G9947-G9948</f>
        <v>350</v>
      </c>
      <c r="H9950" s="17" t="n">
        <f aca="false">H9939+H9946+H9944-H9945-H9947-H9948</f>
        <v>350</v>
      </c>
      <c r="I9950" s="17" t="n">
        <f aca="false">I9939+I9946+I9944-I9945-I9947-I9948</f>
        <v>350</v>
      </c>
      <c r="J9950" s="17" t="n">
        <f aca="false">J9939+J9946+J9944-J9945-J9947-J9948</f>
        <v>350</v>
      </c>
      <c r="K9950" s="17" t="n">
        <f aca="false">K9939+K9946+K9944-K9945-K9947-K9948</f>
        <v>350</v>
      </c>
    </row>
    <row r="9951" customFormat="false" ht="15" hidden="false" customHeight="false" outlineLevel="0" collapsed="false">
      <c r="A9951" s="24" t="s">
        <v>345</v>
      </c>
      <c r="B9951" s="25"/>
      <c r="C9951" s="25"/>
      <c r="D9951" s="25"/>
      <c r="E9951" s="25"/>
      <c r="F9951" s="25"/>
      <c r="G9951" s="25"/>
      <c r="H9951" s="25"/>
      <c r="I9951" s="25"/>
      <c r="J9951" s="25"/>
      <c r="K9951" s="25"/>
    </row>
    <row r="9952" customFormat="false" ht="15" hidden="false" customHeight="false" outlineLevel="0" collapsed="false">
      <c r="A9952" s="3" t="s">
        <v>329</v>
      </c>
      <c r="G9952" s="16" t="n">
        <f aca="false">F9963</f>
        <v>550</v>
      </c>
      <c r="H9952" s="16" t="n">
        <f aca="false">G9963</f>
        <v>550</v>
      </c>
      <c r="I9952" s="16" t="n">
        <f aca="false">H9963</f>
        <v>550</v>
      </c>
      <c r="J9952" s="16" t="n">
        <f aca="false">I9963</f>
        <v>550</v>
      </c>
      <c r="K9952" s="16" t="n">
        <f aca="false">J9963</f>
        <v>550</v>
      </c>
    </row>
    <row r="9953" customFormat="false" ht="15" hidden="false" customHeight="false" outlineLevel="0" collapsed="false">
      <c r="A9953" s="3" t="s">
        <v>330</v>
      </c>
      <c r="G9953" s="21" t="n">
        <f aca="false">IF(G9838=Assumptions!$K$63,1,0)</f>
        <v>0</v>
      </c>
      <c r="H9953" s="21" t="n">
        <f aca="false">IF(H9838=Assumptions!$K$63,1,0)</f>
        <v>0</v>
      </c>
      <c r="I9953" s="21" t="n">
        <f aca="false">IF(I9838=Assumptions!$K$63,1,0)</f>
        <v>1</v>
      </c>
      <c r="J9953" s="21" t="n">
        <f aca="false">IF(J9838=Assumptions!$K$63,1,0)</f>
        <v>0</v>
      </c>
      <c r="K9953" s="21" t="n">
        <f aca="false">IF(K9838=Assumptions!$K$63,1,0)</f>
        <v>0</v>
      </c>
    </row>
    <row r="9955" customFormat="false" ht="15" hidden="false" customHeight="false" outlineLevel="0" collapsed="false">
      <c r="A9955" s="3" t="s">
        <v>331</v>
      </c>
      <c r="G9955" s="31" t="n">
        <f aca="false">IF(Assumptions!$I$63=1,MAX(G9864,Assumptions!$G$63)+Assumptions!$F$63+$C$9865,Assumptions!$E$63)</f>
        <v>0.08875</v>
      </c>
      <c r="H9955" s="31" t="n">
        <f aca="false">IF(G10190=1,$C$9866,IF(Assumptions!$I$63=1,MAX(H9864,Assumptions!$G$63)+Assumptions!$F$63+$C$9865,Assumptions!$E$63))</f>
        <v>0.08875</v>
      </c>
      <c r="I9955" s="31" t="n">
        <f aca="false">IF(H10190=1,$C$9866,IF(Assumptions!$I$63=1,MAX(I9864,Assumptions!$G$63)+Assumptions!$F$63+$C$9865,Assumptions!$E$63))</f>
        <v>0.08875</v>
      </c>
      <c r="J9955" s="31" t="n">
        <f aca="false">IF(I10190=1,$C$9866,IF(Assumptions!$I$63=1,MAX(J9864,Assumptions!$G$63)+Assumptions!$F$63+$C$9865,Assumptions!$E$63))</f>
        <v>0.08875</v>
      </c>
      <c r="K9955" s="31" t="n">
        <f aca="false">IF(J10190=1,$C$9866,IF(Assumptions!$I$63=1,MAX(K9864,Assumptions!$G$63)+Assumptions!$F$63+$C$9865,Assumptions!$E$63))</f>
        <v>0.08875</v>
      </c>
    </row>
    <row r="9956" customFormat="false" ht="15" hidden="false" customHeight="false" outlineLevel="0" collapsed="false">
      <c r="A9956" s="3" t="s">
        <v>332</v>
      </c>
      <c r="G9956" s="16" t="n">
        <f aca="false">G9952*G9955</f>
        <v>48.8125</v>
      </c>
      <c r="H9956" s="16" t="n">
        <f aca="false">H9952*H9955</f>
        <v>48.8125</v>
      </c>
      <c r="I9956" s="16" t="n">
        <f aca="false">I9952*I9955</f>
        <v>48.8125</v>
      </c>
      <c r="J9956" s="16" t="n">
        <f aca="false">J9952*J9955</f>
        <v>48.8125</v>
      </c>
      <c r="K9956" s="16" t="n">
        <f aca="false">K9952*K9955</f>
        <v>48.8125</v>
      </c>
    </row>
    <row r="9957" customFormat="false" ht="15" hidden="false" customHeight="false" outlineLevel="0" collapsed="false">
      <c r="A9957" s="3" t="s">
        <v>333</v>
      </c>
      <c r="G9957" s="16" t="n">
        <f aca="false">G9952*Assumptions!$H$63</f>
        <v>0</v>
      </c>
      <c r="H9957" s="16" t="n">
        <f aca="false">H9952*Assumptions!$H$63</f>
        <v>0</v>
      </c>
      <c r="I9957" s="16" t="n">
        <f aca="false">I9952*Assumptions!$H$63</f>
        <v>0</v>
      </c>
      <c r="J9957" s="16" t="n">
        <f aca="false">J9952*Assumptions!$H$63</f>
        <v>0</v>
      </c>
      <c r="K9957" s="16" t="n">
        <f aca="false">K9952*Assumptions!$H$63</f>
        <v>0</v>
      </c>
    </row>
    <row r="9958" customFormat="false" ht="15" hidden="false" customHeight="false" outlineLevel="0" collapsed="false">
      <c r="A9958" s="3" t="s">
        <v>334</v>
      </c>
      <c r="G9958" s="16" t="n">
        <f aca="false">MIN(G9952,Assumptions!$L$63*Assumptions!$C$63)</f>
        <v>0</v>
      </c>
      <c r="H9958" s="16" t="n">
        <f aca="false">MIN(H9952,Assumptions!$L$63*Assumptions!$C$63)</f>
        <v>0</v>
      </c>
      <c r="I9958" s="16" t="n">
        <f aca="false">MIN(I9952,Assumptions!$L$63*Assumptions!$C$63)</f>
        <v>0</v>
      </c>
      <c r="J9958" s="16" t="n">
        <f aca="false">MIN(J9952,Assumptions!$L$63*Assumptions!$C$63)</f>
        <v>0</v>
      </c>
      <c r="K9958" s="16" t="n">
        <f aca="false">MIN(K9952,Assumptions!$L$63*Assumptions!$C$63)</f>
        <v>0</v>
      </c>
    </row>
    <row r="9959" customFormat="false" ht="15" hidden="false" customHeight="false" outlineLevel="0" collapsed="false">
      <c r="A9959" s="3" t="s">
        <v>335</v>
      </c>
      <c r="G9959" s="16" t="n">
        <f aca="false">IF(AND(Assumptions!$P$63=1,G9838&lt;Assumptions!$K$63),MIN(MAX(0,-G10054),MAX(0,Assumptions!$D$63-G9952)),0)</f>
        <v>0</v>
      </c>
      <c r="H9959" s="16" t="n">
        <f aca="false">IF(AND(Assumptions!$P$63=1,OR(H9838&lt;Assumptions!$K$63,G10190=1)),MIN(MAX(0,-H10054),MAX(0,Assumptions!$D$63-H9952)),0)</f>
        <v>0</v>
      </c>
      <c r="I9959" s="16" t="n">
        <f aca="false">IF(AND(Assumptions!$P$63=1,OR(I9838&lt;Assumptions!$K$63,H10190=1)),MIN(MAX(0,-I10054),MAX(0,Assumptions!$D$63-I9952)),0)</f>
        <v>0</v>
      </c>
      <c r="J9959" s="16" t="n">
        <f aca="false">IF(AND(Assumptions!$P$63=1,OR(J9838&lt;Assumptions!$K$63,I10190=1)),MIN(MAX(0,-J10054),MAX(0,Assumptions!$D$63-J9952)),0)</f>
        <v>0</v>
      </c>
      <c r="K9959" s="16" t="n">
        <f aca="false">IF(AND(Assumptions!$P$63=1,OR(K9838&lt;Assumptions!$K$63,J10190=1)),MIN(MAX(0,-K10054),MAX(0,Assumptions!$D$63-K9952)),0)</f>
        <v>0</v>
      </c>
    </row>
    <row r="9960" customFormat="false" ht="15" hidden="false" customHeight="false" outlineLevel="0" collapsed="false">
      <c r="A9960" s="3" t="s">
        <v>336</v>
      </c>
      <c r="G9960" s="16" t="n">
        <f aca="false">G9953*MIN(G9952-G9958+G9957,MAX(0,G10056-Assumptions!$C$12*G9872-G9882-G9895-G9908-G9921-G9934-G9947))</f>
        <v>0</v>
      </c>
      <c r="H9960" s="16" t="n">
        <f aca="false">H9953*MIN(H9952-H9958+H9957,MAX(0,H10056-Assumptions!$C$12*H9872-H9882-H9895-H9908-H9921-H9934-H9947))</f>
        <v>0</v>
      </c>
      <c r="I9960" s="16" t="n">
        <f aca="false">I9953*MIN(I9952-I9958+I9957,MAX(0,I10056-Assumptions!$C$12*I9872-I9882-I9895-I9908-I9921-I9934-I9947))</f>
        <v>0</v>
      </c>
      <c r="J9960" s="16" t="n">
        <f aca="false">J9953*MIN(J9952-J9958+J9957,MAX(0,J10056-Assumptions!$C$12*J9872-J9882-J9895-J9908-J9921-J9934-J9947))</f>
        <v>0</v>
      </c>
      <c r="K9960" s="16" t="n">
        <f aca="false">K9953*MIN(K9952-K9958+K9957,MAX(0,K10056-Assumptions!$C$12*K9872-K9882-K9895-K9908-K9921-K9934-K9947))</f>
        <v>0</v>
      </c>
    </row>
    <row r="9961" customFormat="false" ht="15" hidden="false" customHeight="false" outlineLevel="0" collapsed="false">
      <c r="A9961" s="3" t="s">
        <v>337</v>
      </c>
      <c r="G9961" s="16" t="n">
        <f aca="false">Assumptions!$N$63*MIN(G9952+G9959+G9957-G9958-G9960,MAX(0,G10060-G9883-G9896-G9909-G9922-G9935-G9948))</f>
        <v>0</v>
      </c>
      <c r="H9961" s="16" t="n">
        <f aca="false">Assumptions!$N$63*MIN(H9952+H9959+H9957-H9958-H9960,MAX(0,H10060-H9883-H9896-H9909-H9922-H9935-H9948))</f>
        <v>0</v>
      </c>
      <c r="I9961" s="16" t="n">
        <f aca="false">Assumptions!$N$63*MIN(I9952+I9959+I9957-I9958-I9960,MAX(0,I10060-I9883-I9896-I9909-I9922-I9935-I9948))</f>
        <v>0</v>
      </c>
      <c r="J9961" s="16" t="n">
        <f aca="false">Assumptions!$N$63*MIN(J9952+J9959+J9957-J9958-J9960,MAX(0,J10060-J9883-J9896-J9909-J9922-J9935-J9948))</f>
        <v>0</v>
      </c>
      <c r="K9961" s="16" t="n">
        <f aca="false">Assumptions!$N$63*MIN(K9952+K9959+K9957-K9958-K9960,MAX(0,K10060-K9883-K9896-K9909-K9922-K9935-K9948))</f>
        <v>0</v>
      </c>
    </row>
    <row r="9962" customFormat="false" ht="15" hidden="false" customHeight="false" outlineLevel="0" collapsed="false">
      <c r="A9962" s="3" t="s">
        <v>338</v>
      </c>
      <c r="G9962" s="16" t="n">
        <f aca="false">G9953*(1-G9872)*(G9952-G9958+G9957-G9960)</f>
        <v>0</v>
      </c>
      <c r="H9962" s="16" t="n">
        <f aca="false">H9953*(1-H9872)*(H9952-H9958+H9957-H9960)</f>
        <v>0</v>
      </c>
      <c r="I9962" s="16" t="n">
        <f aca="false">I9953*(1-I9872)*(I9952-I9958+I9957-I9960)</f>
        <v>550</v>
      </c>
      <c r="J9962" s="16" t="n">
        <f aca="false">J9953*(1-J9872)*(J9952-J9958+J9957-J9960)</f>
        <v>0</v>
      </c>
      <c r="K9962" s="16" t="n">
        <f aca="false">K9953*(1-K9872)*(K9952-K9958+K9957-K9960)</f>
        <v>0</v>
      </c>
    </row>
    <row r="9963" customFormat="false" ht="15" hidden="false" customHeight="false" outlineLevel="0" collapsed="false">
      <c r="A9963" s="2" t="s">
        <v>339</v>
      </c>
      <c r="F9963" s="28" t="n">
        <f aca="false">Assumptions!$C$63</f>
        <v>550</v>
      </c>
      <c r="G9963" s="17" t="n">
        <f aca="false">G9952+G9959+G9957-G9958-G9960-G9961</f>
        <v>550</v>
      </c>
      <c r="H9963" s="17" t="n">
        <f aca="false">H9952+H9959+H9957-H9958-H9960-H9961</f>
        <v>550</v>
      </c>
      <c r="I9963" s="17" t="n">
        <f aca="false">I9952+I9959+I9957-I9958-I9960-I9961</f>
        <v>550</v>
      </c>
      <c r="J9963" s="17" t="n">
        <f aca="false">J9952+J9959+J9957-J9958-J9960-J9961</f>
        <v>550</v>
      </c>
      <c r="K9963" s="17" t="n">
        <f aca="false">K9952+K9959+K9957-K9958-K9960-K9961</f>
        <v>550</v>
      </c>
    </row>
    <row r="9964" customFormat="false" ht="15" hidden="false" customHeight="false" outlineLevel="0" collapsed="false">
      <c r="A9964" s="24" t="s">
        <v>346</v>
      </c>
      <c r="B9964" s="25"/>
      <c r="C9964" s="25"/>
      <c r="D9964" s="25"/>
      <c r="E9964" s="25"/>
      <c r="F9964" s="25"/>
      <c r="G9964" s="25"/>
      <c r="H9964" s="25"/>
      <c r="I9964" s="25"/>
      <c r="J9964" s="25"/>
      <c r="K9964" s="25"/>
    </row>
    <row r="9965" customFormat="false" ht="15" hidden="false" customHeight="false" outlineLevel="0" collapsed="false">
      <c r="A9965" s="3" t="s">
        <v>329</v>
      </c>
      <c r="G9965" s="16" t="n">
        <f aca="false">F9976</f>
        <v>350</v>
      </c>
      <c r="H9965" s="16" t="n">
        <f aca="false">G9976</f>
        <v>350</v>
      </c>
      <c r="I9965" s="16" t="n">
        <f aca="false">H9976</f>
        <v>350</v>
      </c>
      <c r="J9965" s="16" t="n">
        <f aca="false">I9976</f>
        <v>350</v>
      </c>
      <c r="K9965" s="16" t="n">
        <f aca="false">J9976</f>
        <v>350</v>
      </c>
    </row>
    <row r="9966" customFormat="false" ht="15" hidden="false" customHeight="false" outlineLevel="0" collapsed="false">
      <c r="A9966" s="3" t="s">
        <v>330</v>
      </c>
      <c r="G9966" s="21" t="n">
        <f aca="false">IF(G9838=Assumptions!$K$64,1,0)</f>
        <v>0</v>
      </c>
      <c r="H9966" s="21" t="n">
        <f aca="false">IF(H9838=Assumptions!$K$64,1,0)</f>
        <v>0</v>
      </c>
      <c r="I9966" s="21" t="n">
        <f aca="false">IF(I9838=Assumptions!$K$64,1,0)</f>
        <v>0</v>
      </c>
      <c r="J9966" s="21" t="n">
        <f aca="false">IF(J9838=Assumptions!$K$64,1,0)</f>
        <v>1</v>
      </c>
      <c r="K9966" s="21" t="n">
        <f aca="false">IF(K9838=Assumptions!$K$64,1,0)</f>
        <v>0</v>
      </c>
    </row>
    <row r="9968" customFormat="false" ht="15" hidden="false" customHeight="false" outlineLevel="0" collapsed="false">
      <c r="A9968" s="3" t="s">
        <v>331</v>
      </c>
      <c r="G9968" s="31" t="n">
        <f aca="false">IF(Assumptions!$I$64=1,MAX(G9864,Assumptions!$G$64)+Assumptions!$F$64+$C$9865,Assumptions!$E$64)</f>
        <v>0.0455</v>
      </c>
      <c r="H9968" s="31" t="n">
        <f aca="false">IF(G10191=1,$C$9866,IF(Assumptions!$I$64=1,MAX(H9864,Assumptions!$G$64)+Assumptions!$F$64+$C$9865,Assumptions!$E$64))</f>
        <v>0.0455</v>
      </c>
      <c r="I9968" s="31" t="n">
        <f aca="false">IF(H10191=1,$C$9866,IF(Assumptions!$I$64=1,MAX(I9864,Assumptions!$G$64)+Assumptions!$F$64+$C$9865,Assumptions!$E$64))</f>
        <v>0.0455</v>
      </c>
      <c r="J9968" s="31" t="n">
        <f aca="false">IF(I10191=1,$C$9866,IF(Assumptions!$I$64=1,MAX(J9864,Assumptions!$G$64)+Assumptions!$F$64+$C$9865,Assumptions!$E$64))</f>
        <v>0.0455</v>
      </c>
      <c r="K9968" s="31" t="n">
        <f aca="false">IF(J10191=1,$C$9866,IF(Assumptions!$I$64=1,MAX(K9864,Assumptions!$G$64)+Assumptions!$F$64+$C$9865,Assumptions!$E$64))</f>
        <v>0.0455</v>
      </c>
    </row>
    <row r="9969" customFormat="false" ht="15" hidden="false" customHeight="false" outlineLevel="0" collapsed="false">
      <c r="A9969" s="3" t="s">
        <v>332</v>
      </c>
      <c r="G9969" s="16" t="n">
        <f aca="false">G9965*G9968</f>
        <v>15.925</v>
      </c>
      <c r="H9969" s="16" t="n">
        <f aca="false">H9965*H9968</f>
        <v>15.925</v>
      </c>
      <c r="I9969" s="16" t="n">
        <f aca="false">I9965*I9968</f>
        <v>15.925</v>
      </c>
      <c r="J9969" s="16" t="n">
        <f aca="false">J9965*J9968</f>
        <v>15.925</v>
      </c>
      <c r="K9969" s="16" t="n">
        <f aca="false">K9965*K9968</f>
        <v>15.925</v>
      </c>
    </row>
    <row r="9970" customFormat="false" ht="15" hidden="false" customHeight="false" outlineLevel="0" collapsed="false">
      <c r="A9970" s="3" t="s">
        <v>333</v>
      </c>
      <c r="G9970" s="16" t="n">
        <f aca="false">G9965*Assumptions!$H$64</f>
        <v>0</v>
      </c>
      <c r="H9970" s="16" t="n">
        <f aca="false">H9965*Assumptions!$H$64</f>
        <v>0</v>
      </c>
      <c r="I9970" s="16" t="n">
        <f aca="false">I9965*Assumptions!$H$64</f>
        <v>0</v>
      </c>
      <c r="J9970" s="16" t="n">
        <f aca="false">J9965*Assumptions!$H$64</f>
        <v>0</v>
      </c>
      <c r="K9970" s="16" t="n">
        <f aca="false">K9965*Assumptions!$H$64</f>
        <v>0</v>
      </c>
    </row>
    <row r="9971" customFormat="false" ht="15" hidden="false" customHeight="false" outlineLevel="0" collapsed="false">
      <c r="A9971" s="3" t="s">
        <v>334</v>
      </c>
      <c r="G9971" s="16" t="n">
        <f aca="false">MIN(G9965,Assumptions!$L$64*Assumptions!$C$64)</f>
        <v>0</v>
      </c>
      <c r="H9971" s="16" t="n">
        <f aca="false">MIN(H9965,Assumptions!$L$64*Assumptions!$C$64)</f>
        <v>0</v>
      </c>
      <c r="I9971" s="16" t="n">
        <f aca="false">MIN(I9965,Assumptions!$L$64*Assumptions!$C$64)</f>
        <v>0</v>
      </c>
      <c r="J9971" s="16" t="n">
        <f aca="false">MIN(J9965,Assumptions!$L$64*Assumptions!$C$64)</f>
        <v>0</v>
      </c>
      <c r="K9971" s="16" t="n">
        <f aca="false">MIN(K9965,Assumptions!$L$64*Assumptions!$C$64)</f>
        <v>0</v>
      </c>
    </row>
    <row r="9972" customFormat="false" ht="15" hidden="false" customHeight="false" outlineLevel="0" collapsed="false">
      <c r="A9972" s="3" t="s">
        <v>335</v>
      </c>
      <c r="G9972" s="16" t="n">
        <f aca="false">IF(AND(Assumptions!$P$64=1,G9838&lt;Assumptions!$K$64),MIN(MAX(0,-G10054),MAX(0,Assumptions!$D$64-G9965)),0)</f>
        <v>0</v>
      </c>
      <c r="H9972" s="16" t="n">
        <f aca="false">IF(AND(Assumptions!$P$64=1,OR(H9838&lt;Assumptions!$K$64,G10191=1)),MIN(MAX(0,-H10054),MAX(0,Assumptions!$D$64-H9965)),0)</f>
        <v>0</v>
      </c>
      <c r="I9972" s="16" t="n">
        <f aca="false">IF(AND(Assumptions!$P$64=1,OR(I9838&lt;Assumptions!$K$64,H10191=1)),MIN(MAX(0,-I10054),MAX(0,Assumptions!$D$64-I9965)),0)</f>
        <v>0</v>
      </c>
      <c r="J9972" s="16" t="n">
        <f aca="false">IF(AND(Assumptions!$P$64=1,OR(J9838&lt;Assumptions!$K$64,I10191=1)),MIN(MAX(0,-J10054),MAX(0,Assumptions!$D$64-J9965)),0)</f>
        <v>0</v>
      </c>
      <c r="K9972" s="16" t="n">
        <f aca="false">IF(AND(Assumptions!$P$64=1,OR(K9838&lt;Assumptions!$K$64,J10191=1)),MIN(MAX(0,-K10054),MAX(0,Assumptions!$D$64-K9965)),0)</f>
        <v>0</v>
      </c>
    </row>
    <row r="9973" customFormat="false" ht="15" hidden="false" customHeight="false" outlineLevel="0" collapsed="false">
      <c r="A9973" s="3" t="s">
        <v>336</v>
      </c>
      <c r="G9973" s="16" t="n">
        <f aca="false">G9966*MIN(G9965-G9971+G9970,MAX(0,G10056-Assumptions!$C$12*G9872-G9882-G9895-G9908-G9921-G9934-G9947-G9960))</f>
        <v>0</v>
      </c>
      <c r="H9973" s="16" t="n">
        <f aca="false">H9966*MIN(H9965-H9971+H9970,MAX(0,H10056-Assumptions!$C$12*H9872-H9882-H9895-H9908-H9921-H9934-H9947-H9960))</f>
        <v>0</v>
      </c>
      <c r="I9973" s="16" t="n">
        <f aca="false">I9966*MIN(I9965-I9971+I9970,MAX(0,I10056-Assumptions!$C$12*I9872-I9882-I9895-I9908-I9921-I9934-I9947-I9960))</f>
        <v>0</v>
      </c>
      <c r="J9973" s="16" t="n">
        <f aca="false">J9966*MIN(J9965-J9971+J9970,MAX(0,J10056-Assumptions!$C$12*J9872-J9882-J9895-J9908-J9921-J9934-J9947-J9960))</f>
        <v>0</v>
      </c>
      <c r="K9973" s="16" t="n">
        <f aca="false">K9966*MIN(K9965-K9971+K9970,MAX(0,K10056-Assumptions!$C$12*K9872-K9882-K9895-K9908-K9921-K9934-K9947-K9960))</f>
        <v>0</v>
      </c>
    </row>
    <row r="9974" customFormat="false" ht="15" hidden="false" customHeight="false" outlineLevel="0" collapsed="false">
      <c r="A9974" s="3" t="s">
        <v>337</v>
      </c>
      <c r="G9974" s="16" t="n">
        <f aca="false">Assumptions!$N$64*MIN(G9965+G9972+G9970-G9971-G9973,MAX(0,G10060-G9883-G9896-G9909-G9922-G9935-G9948-G9961))</f>
        <v>0</v>
      </c>
      <c r="H9974" s="16" t="n">
        <f aca="false">Assumptions!$N$64*MIN(H9965+H9972+H9970-H9971-H9973,MAX(0,H10060-H9883-H9896-H9909-H9922-H9935-H9948-H9961))</f>
        <v>0</v>
      </c>
      <c r="I9974" s="16" t="n">
        <f aca="false">Assumptions!$N$64*MIN(I9965+I9972+I9970-I9971-I9973,MAX(0,I10060-I9883-I9896-I9909-I9922-I9935-I9948-I9961))</f>
        <v>0</v>
      </c>
      <c r="J9974" s="16" t="n">
        <f aca="false">Assumptions!$N$64*MIN(J9965+J9972+J9970-J9971-J9973,MAX(0,J10060-J9883-J9896-J9909-J9922-J9935-J9948-J9961))</f>
        <v>0</v>
      </c>
      <c r="K9974" s="16" t="n">
        <f aca="false">Assumptions!$N$64*MIN(K9965+K9972+K9970-K9971-K9973,MAX(0,K10060-K9883-K9896-K9909-K9922-K9935-K9948-K9961))</f>
        <v>0</v>
      </c>
    </row>
    <row r="9975" customFormat="false" ht="15" hidden="false" customHeight="false" outlineLevel="0" collapsed="false">
      <c r="A9975" s="3" t="s">
        <v>338</v>
      </c>
      <c r="G9975" s="16" t="n">
        <f aca="false">G9966*(1-G9872)*(G9965-G9971+G9970-G9973)</f>
        <v>0</v>
      </c>
      <c r="H9975" s="16" t="n">
        <f aca="false">H9966*(1-H9872)*(H9965-H9971+H9970-H9973)</f>
        <v>0</v>
      </c>
      <c r="I9975" s="16" t="n">
        <f aca="false">I9966*(1-I9872)*(I9965-I9971+I9970-I9973)</f>
        <v>0</v>
      </c>
      <c r="J9975" s="16" t="n">
        <f aca="false">J9966*(1-J9872)*(J9965-J9971+J9970-J9973)</f>
        <v>350</v>
      </c>
      <c r="K9975" s="16" t="n">
        <f aca="false">K9966*(1-K9872)*(K9965-K9971+K9970-K9973)</f>
        <v>0</v>
      </c>
    </row>
    <row r="9976" customFormat="false" ht="15" hidden="false" customHeight="false" outlineLevel="0" collapsed="false">
      <c r="A9976" s="2" t="s">
        <v>339</v>
      </c>
      <c r="F9976" s="28" t="n">
        <f aca="false">Assumptions!$C$64</f>
        <v>350</v>
      </c>
      <c r="G9976" s="17" t="n">
        <f aca="false">G9965+G9972+G9970-G9971-G9973-G9974</f>
        <v>350</v>
      </c>
      <c r="H9976" s="17" t="n">
        <f aca="false">H9965+H9972+H9970-H9971-H9973-H9974</f>
        <v>350</v>
      </c>
      <c r="I9976" s="17" t="n">
        <f aca="false">I9965+I9972+I9970-I9971-I9973-I9974</f>
        <v>350</v>
      </c>
      <c r="J9976" s="17" t="n">
        <f aca="false">J9965+J9972+J9970-J9971-J9973-J9974</f>
        <v>350</v>
      </c>
      <c r="K9976" s="17" t="n">
        <f aca="false">K9965+K9972+K9970-K9971-K9973-K9974</f>
        <v>350</v>
      </c>
    </row>
    <row r="9977" customFormat="false" ht="15" hidden="false" customHeight="false" outlineLevel="0" collapsed="false">
      <c r="A9977" s="24" t="s">
        <v>347</v>
      </c>
      <c r="B9977" s="25"/>
      <c r="C9977" s="25"/>
      <c r="D9977" s="25"/>
      <c r="E9977" s="25"/>
      <c r="F9977" s="25"/>
      <c r="G9977" s="25"/>
      <c r="H9977" s="25"/>
      <c r="I9977" s="25"/>
      <c r="J9977" s="25"/>
      <c r="K9977" s="25"/>
    </row>
    <row r="9978" customFormat="false" ht="15" hidden="false" customHeight="false" outlineLevel="0" collapsed="false">
      <c r="A9978" s="3" t="s">
        <v>329</v>
      </c>
      <c r="G9978" s="16" t="n">
        <f aca="false">F9989</f>
        <v>300</v>
      </c>
      <c r="H9978" s="16" t="n">
        <f aca="false">G9989</f>
        <v>300</v>
      </c>
      <c r="I9978" s="16" t="n">
        <f aca="false">H9989</f>
        <v>300</v>
      </c>
      <c r="J9978" s="16" t="n">
        <f aca="false">I9989</f>
        <v>300</v>
      </c>
      <c r="K9978" s="16" t="n">
        <f aca="false">J9989</f>
        <v>300</v>
      </c>
    </row>
    <row r="9979" customFormat="false" ht="15" hidden="false" customHeight="false" outlineLevel="0" collapsed="false">
      <c r="A9979" s="3" t="s">
        <v>330</v>
      </c>
      <c r="G9979" s="21" t="n">
        <f aca="false">IF(G9838=Assumptions!$K$65,1,0)</f>
        <v>0</v>
      </c>
      <c r="H9979" s="21" t="n">
        <f aca="false">IF(H9838=Assumptions!$K$65,1,0)</f>
        <v>0</v>
      </c>
      <c r="I9979" s="21" t="n">
        <f aca="false">IF(I9838=Assumptions!$K$65,1,0)</f>
        <v>0</v>
      </c>
      <c r="J9979" s="21" t="n">
        <f aca="false">IF(J9838=Assumptions!$K$65,1,0)</f>
        <v>0</v>
      </c>
      <c r="K9979" s="21" t="n">
        <f aca="false">IF(K9838=Assumptions!$K$65,1,0)</f>
        <v>1</v>
      </c>
    </row>
    <row r="9981" customFormat="false" ht="15" hidden="false" customHeight="false" outlineLevel="0" collapsed="false">
      <c r="A9981" s="3" t="s">
        <v>331</v>
      </c>
      <c r="G9981" s="31" t="n">
        <f aca="false">IF(Assumptions!$I$65=1,MAX(G9864,Assumptions!$G$65)+Assumptions!$F$65+$C$9865,Assumptions!$E$65)</f>
        <v>0.06125</v>
      </c>
      <c r="H9981" s="31" t="n">
        <f aca="false">IF(G10192=1,$C$9866,IF(Assumptions!$I$65=1,MAX(H9864,Assumptions!$G$65)+Assumptions!$F$65+$C$9865,Assumptions!$E$65))</f>
        <v>0.06125</v>
      </c>
      <c r="I9981" s="31" t="n">
        <f aca="false">IF(H10192=1,$C$9866,IF(Assumptions!$I$65=1,MAX(I9864,Assumptions!$G$65)+Assumptions!$F$65+$C$9865,Assumptions!$E$65))</f>
        <v>0.06125</v>
      </c>
      <c r="J9981" s="31" t="n">
        <f aca="false">IF(I10192=1,$C$9866,IF(Assumptions!$I$65=1,MAX(J9864,Assumptions!$G$65)+Assumptions!$F$65+$C$9865,Assumptions!$E$65))</f>
        <v>0.06125</v>
      </c>
      <c r="K9981" s="31" t="n">
        <f aca="false">IF(J10192=1,$C$9866,IF(Assumptions!$I$65=1,MAX(K9864,Assumptions!$G$65)+Assumptions!$F$65+$C$9865,Assumptions!$E$65))</f>
        <v>0.06125</v>
      </c>
    </row>
    <row r="9982" customFormat="false" ht="15" hidden="false" customHeight="false" outlineLevel="0" collapsed="false">
      <c r="A9982" s="3" t="s">
        <v>332</v>
      </c>
      <c r="G9982" s="16" t="n">
        <f aca="false">G9978*G9981</f>
        <v>18.375</v>
      </c>
      <c r="H9982" s="16" t="n">
        <f aca="false">H9978*H9981</f>
        <v>18.375</v>
      </c>
      <c r="I9982" s="16" t="n">
        <f aca="false">I9978*I9981</f>
        <v>18.375</v>
      </c>
      <c r="J9982" s="16" t="n">
        <f aca="false">J9978*J9981</f>
        <v>18.375</v>
      </c>
      <c r="K9982" s="16" t="n">
        <f aca="false">K9978*K9981</f>
        <v>18.375</v>
      </c>
    </row>
    <row r="9983" customFormat="false" ht="15" hidden="false" customHeight="false" outlineLevel="0" collapsed="false">
      <c r="A9983" s="3" t="s">
        <v>333</v>
      </c>
      <c r="G9983" s="16" t="n">
        <f aca="false">G9978*Assumptions!$H$65</f>
        <v>0</v>
      </c>
      <c r="H9983" s="16" t="n">
        <f aca="false">H9978*Assumptions!$H$65</f>
        <v>0</v>
      </c>
      <c r="I9983" s="16" t="n">
        <f aca="false">I9978*Assumptions!$H$65</f>
        <v>0</v>
      </c>
      <c r="J9983" s="16" t="n">
        <f aca="false">J9978*Assumptions!$H$65</f>
        <v>0</v>
      </c>
      <c r="K9983" s="16" t="n">
        <f aca="false">K9978*Assumptions!$H$65</f>
        <v>0</v>
      </c>
    </row>
    <row r="9984" customFormat="false" ht="15" hidden="false" customHeight="false" outlineLevel="0" collapsed="false">
      <c r="A9984" s="3" t="s">
        <v>334</v>
      </c>
      <c r="G9984" s="16" t="n">
        <f aca="false">MIN(G9978,Assumptions!$L$65*Assumptions!$C$65)</f>
        <v>0</v>
      </c>
      <c r="H9984" s="16" t="n">
        <f aca="false">MIN(H9978,Assumptions!$L$65*Assumptions!$C$65)</f>
        <v>0</v>
      </c>
      <c r="I9984" s="16" t="n">
        <f aca="false">MIN(I9978,Assumptions!$L$65*Assumptions!$C$65)</f>
        <v>0</v>
      </c>
      <c r="J9984" s="16" t="n">
        <f aca="false">MIN(J9978,Assumptions!$L$65*Assumptions!$C$65)</f>
        <v>0</v>
      </c>
      <c r="K9984" s="16" t="n">
        <f aca="false">MIN(K9978,Assumptions!$L$65*Assumptions!$C$65)</f>
        <v>0</v>
      </c>
    </row>
    <row r="9985" customFormat="false" ht="15" hidden="false" customHeight="false" outlineLevel="0" collapsed="false">
      <c r="A9985" s="3" t="s">
        <v>335</v>
      </c>
      <c r="G9985" s="16" t="n">
        <f aca="false">IF(AND(Assumptions!$P$65=1,G9838&lt;Assumptions!$K$65),MIN(MAX(0,-G10054),MAX(0,Assumptions!$D$65-G9978)),0)</f>
        <v>0</v>
      </c>
      <c r="H9985" s="16" t="n">
        <f aca="false">IF(AND(Assumptions!$P$65=1,OR(H9838&lt;Assumptions!$K$65,G10192=1)),MIN(MAX(0,-H10054),MAX(0,Assumptions!$D$65-H9978)),0)</f>
        <v>0</v>
      </c>
      <c r="I9985" s="16" t="n">
        <f aca="false">IF(AND(Assumptions!$P$65=1,OR(I9838&lt;Assumptions!$K$65,H10192=1)),MIN(MAX(0,-I10054),MAX(0,Assumptions!$D$65-I9978)),0)</f>
        <v>0</v>
      </c>
      <c r="J9985" s="16" t="n">
        <f aca="false">IF(AND(Assumptions!$P$65=1,OR(J9838&lt;Assumptions!$K$65,I10192=1)),MIN(MAX(0,-J10054),MAX(0,Assumptions!$D$65-J9978)),0)</f>
        <v>0</v>
      </c>
      <c r="K9985" s="16" t="n">
        <f aca="false">IF(AND(Assumptions!$P$65=1,OR(K9838&lt;Assumptions!$K$65,J10192=1)),MIN(MAX(0,-K10054),MAX(0,Assumptions!$D$65-K9978)),0)</f>
        <v>0</v>
      </c>
    </row>
    <row r="9986" customFormat="false" ht="15" hidden="false" customHeight="false" outlineLevel="0" collapsed="false">
      <c r="A9986" s="3" t="s">
        <v>336</v>
      </c>
      <c r="G9986" s="16" t="n">
        <f aca="false">G9979*MIN(G9978-G9984+G9983,MAX(0,G10056-Assumptions!$C$12*G9872-G9882-G9895-G9908-G9921-G9934-G9947-G9960-G9973))</f>
        <v>0</v>
      </c>
      <c r="H9986" s="16" t="n">
        <f aca="false">H9979*MIN(H9978-H9984+H9983,MAX(0,H10056-Assumptions!$C$12*H9872-H9882-H9895-H9908-H9921-H9934-H9947-H9960-H9973))</f>
        <v>0</v>
      </c>
      <c r="I9986" s="16" t="n">
        <f aca="false">I9979*MIN(I9978-I9984+I9983,MAX(0,I10056-Assumptions!$C$12*I9872-I9882-I9895-I9908-I9921-I9934-I9947-I9960-I9973))</f>
        <v>0</v>
      </c>
      <c r="J9986" s="16" t="n">
        <f aca="false">J9979*MIN(J9978-J9984+J9983,MAX(0,J10056-Assumptions!$C$12*J9872-J9882-J9895-J9908-J9921-J9934-J9947-J9960-J9973))</f>
        <v>0</v>
      </c>
      <c r="K9986" s="16" t="n">
        <f aca="false">K9979*MIN(K9978-K9984+K9983,MAX(0,K10056-Assumptions!$C$12*K9872-K9882-K9895-K9908-K9921-K9934-K9947-K9960-K9973))</f>
        <v>0</v>
      </c>
    </row>
    <row r="9987" customFormat="false" ht="15" hidden="false" customHeight="false" outlineLevel="0" collapsed="false">
      <c r="A9987" s="3" t="s">
        <v>337</v>
      </c>
      <c r="G9987" s="16" t="n">
        <f aca="false">Assumptions!$N$65*MIN(G9978+G9985+G9983-G9984-G9986,MAX(0,G10060-G9883-G9896-G9909-G9922-G9935-G9948-G9961-G9974))</f>
        <v>0</v>
      </c>
      <c r="H9987" s="16" t="n">
        <f aca="false">Assumptions!$N$65*MIN(H9978+H9985+H9983-H9984-H9986,MAX(0,H10060-H9883-H9896-H9909-H9922-H9935-H9948-H9961-H9974))</f>
        <v>0</v>
      </c>
      <c r="I9987" s="16" t="n">
        <f aca="false">Assumptions!$N$65*MIN(I9978+I9985+I9983-I9984-I9986,MAX(0,I10060-I9883-I9896-I9909-I9922-I9935-I9948-I9961-I9974))</f>
        <v>0</v>
      </c>
      <c r="J9987" s="16" t="n">
        <f aca="false">Assumptions!$N$65*MIN(J9978+J9985+J9983-J9984-J9986,MAX(0,J10060-J9883-J9896-J9909-J9922-J9935-J9948-J9961-J9974))</f>
        <v>0</v>
      </c>
      <c r="K9987" s="16" t="n">
        <f aca="false">Assumptions!$N$65*MIN(K9978+K9985+K9983-K9984-K9986,MAX(0,K10060-K9883-K9896-K9909-K9922-K9935-K9948-K9961-K9974))</f>
        <v>0</v>
      </c>
    </row>
    <row r="9988" customFormat="false" ht="15" hidden="false" customHeight="false" outlineLevel="0" collapsed="false">
      <c r="A9988" s="3" t="s">
        <v>338</v>
      </c>
      <c r="G9988" s="16" t="n">
        <f aca="false">G9979*(1-G9872)*(G9978-G9984+G9983-G9986)</f>
        <v>0</v>
      </c>
      <c r="H9988" s="16" t="n">
        <f aca="false">H9979*(1-H9872)*(H9978-H9984+H9983-H9986)</f>
        <v>0</v>
      </c>
      <c r="I9988" s="16" t="n">
        <f aca="false">I9979*(1-I9872)*(I9978-I9984+I9983-I9986)</f>
        <v>0</v>
      </c>
      <c r="J9988" s="16" t="n">
        <f aca="false">J9979*(1-J9872)*(J9978-J9984+J9983-J9986)</f>
        <v>0</v>
      </c>
      <c r="K9988" s="16" t="n">
        <f aca="false">K9979*(1-K9872)*(K9978-K9984+K9983-K9986)</f>
        <v>300</v>
      </c>
    </row>
    <row r="9989" customFormat="false" ht="15" hidden="false" customHeight="false" outlineLevel="0" collapsed="false">
      <c r="A9989" s="2" t="s">
        <v>339</v>
      </c>
      <c r="F9989" s="28" t="n">
        <f aca="false">Assumptions!$C$65</f>
        <v>300</v>
      </c>
      <c r="G9989" s="17" t="n">
        <f aca="false">G9978+G9985+G9983-G9984-G9986-G9987</f>
        <v>300</v>
      </c>
      <c r="H9989" s="17" t="n">
        <f aca="false">H9978+H9985+H9983-H9984-H9986-H9987</f>
        <v>300</v>
      </c>
      <c r="I9989" s="17" t="n">
        <f aca="false">I9978+I9985+I9983-I9984-I9986-I9987</f>
        <v>300</v>
      </c>
      <c r="J9989" s="17" t="n">
        <f aca="false">J9978+J9985+J9983-J9984-J9986-J9987</f>
        <v>300</v>
      </c>
      <c r="K9989" s="17" t="n">
        <f aca="false">K9978+K9985+K9983-K9984-K9986-K9987</f>
        <v>300</v>
      </c>
    </row>
    <row r="9990" customFormat="false" ht="15" hidden="false" customHeight="false" outlineLevel="0" collapsed="false">
      <c r="A9990" s="24" t="s">
        <v>348</v>
      </c>
      <c r="B9990" s="25"/>
      <c r="C9990" s="25"/>
      <c r="D9990" s="25"/>
      <c r="E9990" s="25"/>
      <c r="F9990" s="25"/>
      <c r="G9990" s="25"/>
      <c r="H9990" s="25"/>
      <c r="I9990" s="25"/>
      <c r="J9990" s="25"/>
      <c r="K9990" s="25"/>
    </row>
    <row r="9991" customFormat="false" ht="15" hidden="false" customHeight="false" outlineLevel="0" collapsed="false">
      <c r="A9991" s="3" t="s">
        <v>329</v>
      </c>
      <c r="G9991" s="16" t="n">
        <f aca="false">F10002</f>
        <v>78.61</v>
      </c>
      <c r="H9991" s="16" t="n">
        <f aca="false">G10002</f>
        <v>78.61</v>
      </c>
      <c r="I9991" s="16" t="n">
        <f aca="false">H10002</f>
        <v>78.61</v>
      </c>
      <c r="J9991" s="16" t="n">
        <f aca="false">I10002</f>
        <v>78.61</v>
      </c>
      <c r="K9991" s="16" t="n">
        <f aca="false">J10002</f>
        <v>78.61</v>
      </c>
    </row>
    <row r="9992" customFormat="false" ht="15" hidden="false" customHeight="false" outlineLevel="0" collapsed="false">
      <c r="A9992" s="3" t="s">
        <v>330</v>
      </c>
      <c r="G9992" s="21" t="n">
        <f aca="false">IF(G9838=Assumptions!$K$66,1,0)</f>
        <v>0</v>
      </c>
      <c r="H9992" s="21" t="n">
        <f aca="false">IF(H9838=Assumptions!$K$66,1,0)</f>
        <v>0</v>
      </c>
      <c r="I9992" s="21" t="n">
        <f aca="false">IF(I9838=Assumptions!$K$66,1,0)</f>
        <v>0</v>
      </c>
      <c r="J9992" s="21" t="n">
        <f aca="false">IF(J9838=Assumptions!$K$66,1,0)</f>
        <v>0</v>
      </c>
      <c r="K9992" s="21" t="n">
        <f aca="false">IF(K9838=Assumptions!$K$66,1,0)</f>
        <v>0</v>
      </c>
    </row>
    <row r="9994" customFormat="false" ht="15" hidden="false" customHeight="false" outlineLevel="0" collapsed="false">
      <c r="A9994" s="3" t="s">
        <v>331</v>
      </c>
      <c r="G9994" s="31" t="n">
        <f aca="false">IF(Assumptions!$I$66=1,MAX(G9864,Assumptions!$G$66)+Assumptions!$F$66+$C$9865,Assumptions!$E$66)</f>
        <v>0.0841</v>
      </c>
      <c r="H9994" s="31" t="n">
        <f aca="false">IF(G10193=1,$C$9866,IF(Assumptions!$I$66=1,MAX(H9864,Assumptions!$G$66)+Assumptions!$F$66+$C$9865,Assumptions!$E$66))</f>
        <v>0.0826</v>
      </c>
      <c r="I9994" s="31" t="n">
        <f aca="false">IF(H10193=1,$C$9866,IF(Assumptions!$I$66=1,MAX(I9864,Assumptions!$G$66)+Assumptions!$F$66+$C$9865,Assumptions!$E$66))</f>
        <v>0.0801</v>
      </c>
      <c r="J9994" s="31" t="n">
        <f aca="false">IF(I10193=1,$C$9866,IF(Assumptions!$I$66=1,MAX(J9864,Assumptions!$G$66)+Assumptions!$F$66+$C$9865,Assumptions!$E$66))</f>
        <v>0.0801</v>
      </c>
      <c r="K9994" s="31" t="n">
        <f aca="false">IF(J10193=1,$C$9866,IF(Assumptions!$I$66=1,MAX(K9864,Assumptions!$G$66)+Assumptions!$F$66+$C$9865,Assumptions!$E$66))</f>
        <v>0.0801</v>
      </c>
    </row>
    <row r="9995" customFormat="false" ht="15" hidden="false" customHeight="false" outlineLevel="0" collapsed="false">
      <c r="A9995" s="3" t="s">
        <v>332</v>
      </c>
      <c r="G9995" s="16" t="n">
        <f aca="false">G9991*G9994</f>
        <v>6.611101</v>
      </c>
      <c r="H9995" s="16" t="n">
        <f aca="false">H9991*H9994</f>
        <v>6.493186</v>
      </c>
      <c r="I9995" s="16" t="n">
        <f aca="false">I9991*I9994</f>
        <v>6.296661</v>
      </c>
      <c r="J9995" s="16" t="n">
        <f aca="false">J9991*J9994</f>
        <v>6.296661</v>
      </c>
      <c r="K9995" s="16" t="n">
        <f aca="false">K9991*K9994</f>
        <v>6.296661</v>
      </c>
    </row>
    <row r="9996" customFormat="false" ht="15" hidden="false" customHeight="false" outlineLevel="0" collapsed="false">
      <c r="A9996" s="3" t="s">
        <v>333</v>
      </c>
      <c r="G9996" s="16" t="n">
        <f aca="false">G9991*Assumptions!$H$66</f>
        <v>0</v>
      </c>
      <c r="H9996" s="16" t="n">
        <f aca="false">H9991*Assumptions!$H$66</f>
        <v>0</v>
      </c>
      <c r="I9996" s="16" t="n">
        <f aca="false">I9991*Assumptions!$H$66</f>
        <v>0</v>
      </c>
      <c r="J9996" s="16" t="n">
        <f aca="false">J9991*Assumptions!$H$66</f>
        <v>0</v>
      </c>
      <c r="K9996" s="16" t="n">
        <f aca="false">K9991*Assumptions!$H$66</f>
        <v>0</v>
      </c>
    </row>
    <row r="9997" customFormat="false" ht="15" hidden="false" customHeight="false" outlineLevel="0" collapsed="false">
      <c r="A9997" s="3" t="s">
        <v>334</v>
      </c>
      <c r="G9997" s="16" t="n">
        <f aca="false">MIN(G9991,Assumptions!$L$66*Assumptions!$C$66)</f>
        <v>0</v>
      </c>
      <c r="H9997" s="16" t="n">
        <f aca="false">MIN(H9991,Assumptions!$L$66*Assumptions!$C$66)</f>
        <v>0</v>
      </c>
      <c r="I9997" s="16" t="n">
        <f aca="false">MIN(I9991,Assumptions!$L$66*Assumptions!$C$66)</f>
        <v>0</v>
      </c>
      <c r="J9997" s="16" t="n">
        <f aca="false">MIN(J9991,Assumptions!$L$66*Assumptions!$C$66)</f>
        <v>0</v>
      </c>
      <c r="K9997" s="16" t="n">
        <f aca="false">MIN(K9991,Assumptions!$L$66*Assumptions!$C$66)</f>
        <v>0</v>
      </c>
    </row>
    <row r="9998" customFormat="false" ht="15" hidden="false" customHeight="false" outlineLevel="0" collapsed="false">
      <c r="A9998" s="3" t="s">
        <v>335</v>
      </c>
      <c r="G9998" s="16" t="n">
        <f aca="false">IF(AND(Assumptions!$P$66=1,G9838&lt;Assumptions!$K$66),MIN(MAX(0,-G10054),MAX(0,Assumptions!$D$66-G9991)),0)</f>
        <v>0</v>
      </c>
      <c r="H9998" s="16" t="n">
        <f aca="false">IF(AND(Assumptions!$P$66=1,OR(H9838&lt;Assumptions!$K$66,G10193=1)),MIN(MAX(0,-H10054),MAX(0,Assumptions!$D$66-H9991)),0)</f>
        <v>0</v>
      </c>
      <c r="I9998" s="16" t="n">
        <f aca="false">IF(AND(Assumptions!$P$66=1,OR(I9838&lt;Assumptions!$K$66,H10193=1)),MIN(MAX(0,-I10054),MAX(0,Assumptions!$D$66-I9991)),0)</f>
        <v>0</v>
      </c>
      <c r="J9998" s="16" t="n">
        <f aca="false">IF(AND(Assumptions!$P$66=1,OR(J9838&lt;Assumptions!$K$66,I10193=1)),MIN(MAX(0,-J10054),MAX(0,Assumptions!$D$66-J9991)),0)</f>
        <v>0</v>
      </c>
      <c r="K9998" s="16" t="n">
        <f aca="false">IF(AND(Assumptions!$P$66=1,OR(K9838&lt;Assumptions!$K$66,J10193=1)),MIN(MAX(0,-K10054),MAX(0,Assumptions!$D$66-K9991)),0)</f>
        <v>0</v>
      </c>
    </row>
    <row r="9999" customFormat="false" ht="15" hidden="false" customHeight="false" outlineLevel="0" collapsed="false">
      <c r="A9999" s="3" t="s">
        <v>336</v>
      </c>
      <c r="G9999" s="16" t="n">
        <f aca="false">G9992*MIN(G9991-G9997+G9996,MAX(0,G10056-Assumptions!$C$12*G9872-G9882-G9895-G9908-G9921-G9934-G9947-G9960-G9973-G9986))</f>
        <v>0</v>
      </c>
      <c r="H9999" s="16" t="n">
        <f aca="false">H9992*MIN(H9991-H9997+H9996,MAX(0,H10056-Assumptions!$C$12*H9872-H9882-H9895-H9908-H9921-H9934-H9947-H9960-H9973-H9986))</f>
        <v>0</v>
      </c>
      <c r="I9999" s="16" t="n">
        <f aca="false">I9992*MIN(I9991-I9997+I9996,MAX(0,I10056-Assumptions!$C$12*I9872-I9882-I9895-I9908-I9921-I9934-I9947-I9960-I9973-I9986))</f>
        <v>0</v>
      </c>
      <c r="J9999" s="16" t="n">
        <f aca="false">J9992*MIN(J9991-J9997+J9996,MAX(0,J10056-Assumptions!$C$12*J9872-J9882-J9895-J9908-J9921-J9934-J9947-J9960-J9973-J9986))</f>
        <v>0</v>
      </c>
      <c r="K9999" s="16" t="n">
        <f aca="false">K9992*MIN(K9991-K9997+K9996,MAX(0,K10056-Assumptions!$C$12*K9872-K9882-K9895-K9908-K9921-K9934-K9947-K9960-K9973-K9986))</f>
        <v>0</v>
      </c>
    </row>
    <row r="10000" customFormat="false" ht="15" hidden="false" customHeight="false" outlineLevel="0" collapsed="false">
      <c r="A10000" s="3" t="s">
        <v>337</v>
      </c>
      <c r="G10000" s="16" t="n">
        <f aca="false">Assumptions!$N$66*MIN(G9991+G9998+G9996-G9997-G9999,MAX(0,G10060-G9883-G9896-G9909-G9922-G9935-G9948-G9961-G9974-G9987))</f>
        <v>0</v>
      </c>
      <c r="H10000" s="16" t="n">
        <f aca="false">Assumptions!$N$66*MIN(H9991+H9998+H9996-H9997-H9999,MAX(0,H10060-H9883-H9896-H9909-H9922-H9935-H9948-H9961-H9974-H9987))</f>
        <v>0</v>
      </c>
      <c r="I10000" s="16" t="n">
        <f aca="false">Assumptions!$N$66*MIN(I9991+I9998+I9996-I9997-I9999,MAX(0,I10060-I9883-I9896-I9909-I9922-I9935-I9948-I9961-I9974-I9987))</f>
        <v>0</v>
      </c>
      <c r="J10000" s="16" t="n">
        <f aca="false">Assumptions!$N$66*MIN(J9991+J9998+J9996-J9997-J9999,MAX(0,J10060-J9883-J9896-J9909-J9922-J9935-J9948-J9961-J9974-J9987))</f>
        <v>0</v>
      </c>
      <c r="K10000" s="16" t="n">
        <f aca="false">Assumptions!$N$66*MIN(K9991+K9998+K9996-K9997-K9999,MAX(0,K10060-K9883-K9896-K9909-K9922-K9935-K9948-K9961-K9974-K9987))</f>
        <v>0</v>
      </c>
    </row>
    <row r="10001" customFormat="false" ht="15" hidden="false" customHeight="false" outlineLevel="0" collapsed="false">
      <c r="A10001" s="3" t="s">
        <v>338</v>
      </c>
      <c r="G10001" s="16" t="n">
        <f aca="false">G9992*(1-G9872)*(G9991-G9997+G9996-G9999)</f>
        <v>0</v>
      </c>
      <c r="H10001" s="16" t="n">
        <f aca="false">H9992*(1-H9872)*(H9991-H9997+H9996-H9999)</f>
        <v>0</v>
      </c>
      <c r="I10001" s="16" t="n">
        <f aca="false">I9992*(1-I9872)*(I9991-I9997+I9996-I9999)</f>
        <v>0</v>
      </c>
      <c r="J10001" s="16" t="n">
        <f aca="false">J9992*(1-J9872)*(J9991-J9997+J9996-J9999)</f>
        <v>0</v>
      </c>
      <c r="K10001" s="16" t="n">
        <f aca="false">K9992*(1-K9872)*(K9991-K9997+K9996-K9999)</f>
        <v>0</v>
      </c>
    </row>
    <row r="10002" customFormat="false" ht="15" hidden="false" customHeight="false" outlineLevel="0" collapsed="false">
      <c r="A10002" s="2" t="s">
        <v>339</v>
      </c>
      <c r="F10002" s="28" t="n">
        <f aca="false">Assumptions!$C$66</f>
        <v>78.61</v>
      </c>
      <c r="G10002" s="17" t="n">
        <f aca="false">G9991+G9998+G9996-G9997-G9999-G10000</f>
        <v>78.61</v>
      </c>
      <c r="H10002" s="17" t="n">
        <f aca="false">H9991+H9998+H9996-H9997-H9999-H10000</f>
        <v>78.61</v>
      </c>
      <c r="I10002" s="17" t="n">
        <f aca="false">I9991+I9998+I9996-I9997-I9999-I10000</f>
        <v>78.61</v>
      </c>
      <c r="J10002" s="17" t="n">
        <f aca="false">J9991+J9998+J9996-J9997-J9999-J10000</f>
        <v>78.61</v>
      </c>
      <c r="K10002" s="17" t="n">
        <f aca="false">K9991+K9998+K9996-K9997-K9999-K10000</f>
        <v>78.61</v>
      </c>
    </row>
    <row r="10003" customFormat="false" ht="15" hidden="false" customHeight="false" outlineLevel="0" collapsed="false">
      <c r="A10003" s="24" t="s">
        <v>349</v>
      </c>
      <c r="B10003" s="25"/>
      <c r="C10003" s="25"/>
      <c r="D10003" s="25"/>
      <c r="E10003" s="25"/>
      <c r="F10003" s="25"/>
      <c r="G10003" s="25"/>
      <c r="H10003" s="25"/>
      <c r="I10003" s="25"/>
      <c r="J10003" s="25"/>
      <c r="K10003" s="25"/>
    </row>
    <row r="10004" customFormat="false" ht="15" hidden="false" customHeight="false" outlineLevel="0" collapsed="false">
      <c r="A10004" s="2" t="s">
        <v>350</v>
      </c>
      <c r="F10004" s="17" t="n">
        <f aca="false">F9885+F9898+F9911+F9924+F9937+F9950+F9963+F9976+F9989+F10002</f>
        <v>2625.934</v>
      </c>
      <c r="G10004" s="17" t="n">
        <f aca="false">G9885+G9898+G9911+G9924+G9937+G9950+G9963+G9976+G9989+G10002</f>
        <v>2621.934</v>
      </c>
      <c r="H10004" s="17" t="n">
        <f aca="false">H9885+H9898+H9911+H9924+H9937+H9950+H9963+H9976+H9989+H10002</f>
        <v>2602.8887587</v>
      </c>
      <c r="I10004" s="17" t="n">
        <f aca="false">I9885+I9898+I9911+I9924+I9937+I9950+I9963+I9976+I9989+I10002</f>
        <v>2598.8887587</v>
      </c>
      <c r="J10004" s="17" t="n">
        <f aca="false">J9885+J9898+J9911+J9924+J9937+J9950+J9963+J9976+J9989+J10002</f>
        <v>2594.8887587</v>
      </c>
      <c r="K10004" s="17" t="n">
        <f aca="false">K9885+K9898+K9911+K9924+K9937+K9950+K9963+K9976+K9989+K10002</f>
        <v>2590.8887587</v>
      </c>
    </row>
    <row r="10005" customFormat="false" ht="15" hidden="false" customHeight="false" outlineLevel="0" collapsed="false">
      <c r="A10005" s="3" t="s">
        <v>351</v>
      </c>
      <c r="G10005" s="16" t="n">
        <f aca="false">G9875*Assumptions!$C$57+G9888*Assumptions!$C$58+G9901*Assumptions!$C$59+G9914*Assumptions!$C$60+G9927*Assumptions!$C$61+G9940*Assumptions!$C$62+G9953*Assumptions!$C$63+G9966*Assumptions!$C$64+G9979*Assumptions!$C$65+G9992*Assumptions!$C$66</f>
        <v>0</v>
      </c>
      <c r="H10005" s="16" t="n">
        <f aca="false">H9875*Assumptions!$C$57+H9888*Assumptions!$C$58+H9901*Assumptions!$C$59+H9914*Assumptions!$C$60+H9927*Assumptions!$C$61+H9940*Assumptions!$C$62+H9953*Assumptions!$C$63+H9966*Assumptions!$C$64+H9979*Assumptions!$C$65+H9992*Assumptions!$C$66</f>
        <v>800</v>
      </c>
      <c r="I10005" s="16" t="n">
        <f aca="false">I9875*Assumptions!$C$57+I9888*Assumptions!$C$58+I9901*Assumptions!$C$59+I9914*Assumptions!$C$60+I9927*Assumptions!$C$61+I9940*Assumptions!$C$62+I9953*Assumptions!$C$63+I9966*Assumptions!$C$64+I9979*Assumptions!$C$65+I9992*Assumptions!$C$66</f>
        <v>550</v>
      </c>
      <c r="J10005" s="16" t="n">
        <f aca="false">J9875*Assumptions!$C$57+J9888*Assumptions!$C$58+J9901*Assumptions!$C$59+J9914*Assumptions!$C$60+J9927*Assumptions!$C$61+J9940*Assumptions!$C$62+J9953*Assumptions!$C$63+J9966*Assumptions!$C$64+J9979*Assumptions!$C$65+J9992*Assumptions!$C$66</f>
        <v>350</v>
      </c>
      <c r="K10005" s="16" t="n">
        <f aca="false">K9875*Assumptions!$C$57+K9888*Assumptions!$C$58+K9901*Assumptions!$C$59+K9914*Assumptions!$C$60+K9927*Assumptions!$C$61+K9940*Assumptions!$C$62+K9953*Assumptions!$C$63+K9966*Assumptions!$C$64+K9979*Assumptions!$C$65+K9992*Assumptions!$C$66</f>
        <v>700</v>
      </c>
    </row>
    <row r="10006" customFormat="false" ht="15" hidden="false" customHeight="false" outlineLevel="0" collapsed="false">
      <c r="A10006" s="24" t="s">
        <v>352</v>
      </c>
      <c r="B10006" s="25"/>
      <c r="C10006" s="25"/>
      <c r="D10006" s="25"/>
      <c r="E10006" s="25"/>
      <c r="F10006" s="25"/>
      <c r="G10006" s="25"/>
      <c r="H10006" s="25"/>
      <c r="I10006" s="25"/>
      <c r="J10006" s="25"/>
      <c r="K10006" s="25"/>
    </row>
    <row r="10007" customFormat="false" ht="15" hidden="false" customHeight="false" outlineLevel="0" collapsed="false">
      <c r="A10007" s="3" t="s">
        <v>353</v>
      </c>
      <c r="C10007" s="16" t="n">
        <f aca="false">SUMPRODUCT($G$9875:$K$9875,$G$9874:$K$9874-$G$9880:$K$9880+$G$9879:$K$9879)</f>
        <v>380</v>
      </c>
    </row>
    <row r="10008" customFormat="false" ht="15" hidden="false" customHeight="false" outlineLevel="0" collapsed="false">
      <c r="A10008" s="3" t="s">
        <v>354</v>
      </c>
      <c r="C10008" s="16" t="n">
        <f aca="false">SUMPRODUCT($G$9875:$K$9875,$G$9882:$K$9882)</f>
        <v>0</v>
      </c>
    </row>
    <row r="10009" customFormat="false" ht="15" hidden="false" customHeight="false" outlineLevel="0" collapsed="false">
      <c r="A10009" s="3" t="s">
        <v>355</v>
      </c>
      <c r="C10009" s="3" t="str">
        <f aca="false">IF(SUM($G$9875:$K$9875)=0,"n/a (beyond horizon)",IF(SUMPRODUCT($G$9875:$K$9875,$G$9872:$K$9872)&gt;0,"REFINANCING PASS","REFINANCING FAILURE"))</f>
        <v>REFINANCING FAILURE</v>
      </c>
    </row>
    <row r="10010" customFormat="false" ht="15" hidden="false" customHeight="false" outlineLevel="0" collapsed="false">
      <c r="A10010" s="3" t="s">
        <v>356</v>
      </c>
      <c r="C10010" s="3" t="str">
        <f aca="false">IF(SUM($G$9875:$K$9875)=0,"n/a",IF(C10008&gt;=C10007-0.001,"Repaid from cash",IF(SUMPRODUCT($G$9875:$K$9875,$G$9872:$K$9872)&gt;0,IF(C10008&gt;0,"Partly repaid; remainder refinanced","Refinanced"),IF(SUM($G$9884:$K$9884)&gt;0.001,IF(C10008&gt;0,"Partial repayment; PAYMENT DEFAULT","PAYMENT DEFAULT"),"Repaid from cash"))))</f>
        <v>PAYMENT DEFAULT</v>
      </c>
    </row>
    <row r="10011" customFormat="false" ht="15" hidden="false" customHeight="false" outlineLevel="0" collapsed="false">
      <c r="A10011" s="3" t="s">
        <v>357</v>
      </c>
      <c r="C10011" s="16" t="n">
        <f aca="false">SUMPRODUCT($G$9888:$K$9888,$G$9887:$K$9887-$G$9893:$K$9893+$G$9892:$K$9892)</f>
        <v>0</v>
      </c>
    </row>
    <row r="10012" customFormat="false" ht="15" hidden="false" customHeight="false" outlineLevel="0" collapsed="false">
      <c r="A10012" s="3" t="s">
        <v>358</v>
      </c>
      <c r="C10012" s="16" t="n">
        <f aca="false">SUMPRODUCT($G$9888:$K$9888,$G$9895:$K$9895)</f>
        <v>0</v>
      </c>
    </row>
    <row r="10013" customFormat="false" ht="15" hidden="false" customHeight="false" outlineLevel="0" collapsed="false">
      <c r="A10013" s="3" t="s">
        <v>359</v>
      </c>
      <c r="C10013" s="3" t="str">
        <f aca="false">IF(SUM($G$9888:$K$9888)=0,"n/a (beyond horizon)",IF(SUMPRODUCT($G$9888:$K$9888,$G$9872:$K$9872)&gt;0,"REFINANCING PASS","REFINANCING FAILURE"))</f>
        <v>n/a (beyond horizon)</v>
      </c>
    </row>
    <row r="10014" customFormat="false" ht="15" hidden="false" customHeight="false" outlineLevel="0" collapsed="false">
      <c r="A10014" s="3" t="s">
        <v>360</v>
      </c>
      <c r="C10014" s="3" t="str">
        <f aca="false">IF(SUM($G$9888:$K$9888)=0,"n/a",IF(C10012&gt;=C10011-0.001,"Repaid from cash",IF(SUMPRODUCT($G$9888:$K$9888,$G$9872:$K$9872)&gt;0,IF(C10012&gt;0,"Partly repaid; remainder refinanced","Refinanced"),IF(SUM($G$9897:$K$9897)&gt;0.001,IF(C10012&gt;0,"Partial repayment; PAYMENT DEFAULT","PAYMENT DEFAULT"),"Repaid from cash"))))</f>
        <v>n/a</v>
      </c>
    </row>
    <row r="10015" customFormat="false" ht="15" hidden="false" customHeight="false" outlineLevel="0" collapsed="false">
      <c r="A10015" s="3" t="s">
        <v>361</v>
      </c>
      <c r="C10015" s="16" t="n">
        <f aca="false">SUMPRODUCT($G$9901:$K$9901,$G$9900:$K$9900-$G$9906:$K$9906+$G$9905:$K$9905)</f>
        <v>0</v>
      </c>
    </row>
    <row r="10016" customFormat="false" ht="15" hidden="false" customHeight="false" outlineLevel="0" collapsed="false">
      <c r="A10016" s="3" t="s">
        <v>362</v>
      </c>
      <c r="C10016" s="16" t="n">
        <f aca="false">SUMPRODUCT($G$9901:$K$9901,$G$9908:$K$9908)</f>
        <v>0</v>
      </c>
    </row>
    <row r="10017" customFormat="false" ht="15" hidden="false" customHeight="false" outlineLevel="0" collapsed="false">
      <c r="A10017" s="3" t="s">
        <v>363</v>
      </c>
      <c r="C10017" s="3" t="str">
        <f aca="false">IF(SUM($G$9901:$K$9901)=0,"n/a (beyond horizon)",IF(SUMPRODUCT($G$9901:$K$9901,$G$9872:$K$9872)&gt;0,"REFINANCING PASS","REFINANCING FAILURE"))</f>
        <v>n/a (beyond horizon)</v>
      </c>
    </row>
    <row r="10018" customFormat="false" ht="15" hidden="false" customHeight="false" outlineLevel="0" collapsed="false">
      <c r="A10018" s="3" t="s">
        <v>364</v>
      </c>
      <c r="C10018" s="3" t="str">
        <f aca="false">IF(SUM($G$9901:$K$9901)=0,"n/a",IF(C10016&gt;=C10015-0.001,"Repaid from cash",IF(SUMPRODUCT($G$9901:$K$9901,$G$9872:$K$9872)&gt;0,IF(C10016&gt;0,"Partly repaid; remainder refinanced","Refinanced"),IF(SUM($G$9910:$K$9910)&gt;0.001,IF(C10016&gt;0,"Partial repayment; PAYMENT DEFAULT","PAYMENT DEFAULT"),"Repaid from cash"))))</f>
        <v>n/a</v>
      </c>
    </row>
    <row r="10019" customFormat="false" ht="15" hidden="false" customHeight="false" outlineLevel="0" collapsed="false">
      <c r="A10019" s="3" t="s">
        <v>365</v>
      </c>
      <c r="C10019" s="16" t="n">
        <f aca="false">SUMPRODUCT($G$9914:$K$9914,$G$9913:$K$9913-$G$9919:$K$9919+$G$9918:$K$9918)</f>
        <v>0</v>
      </c>
    </row>
    <row r="10020" customFormat="false" ht="15" hidden="false" customHeight="false" outlineLevel="0" collapsed="false">
      <c r="A10020" s="3" t="s">
        <v>366</v>
      </c>
      <c r="C10020" s="16" t="n">
        <f aca="false">SUMPRODUCT($G$9914:$K$9914,$G$9921:$K$9921)</f>
        <v>0</v>
      </c>
    </row>
    <row r="10021" customFormat="false" ht="15" hidden="false" customHeight="false" outlineLevel="0" collapsed="false">
      <c r="A10021" s="3" t="s">
        <v>367</v>
      </c>
      <c r="C10021" s="3" t="str">
        <f aca="false">IF(SUM($G$9914:$K$9914)=0,"n/a (beyond horizon)",IF(SUMPRODUCT($G$9914:$K$9914,$G$9872:$K$9872)&gt;0,"REFINANCING PASS","REFINANCING FAILURE"))</f>
        <v>REFINANCING FAILURE</v>
      </c>
    </row>
    <row r="10022" customFormat="false" ht="15" hidden="false" customHeight="false" outlineLevel="0" collapsed="false">
      <c r="A10022" s="3" t="s">
        <v>368</v>
      </c>
      <c r="C10022" s="3" t="str">
        <f aca="false">IF(SUM($G$9914:$K$9914)=0,"n/a",IF(C10020&gt;=C10019-0.001,"Repaid from cash",IF(SUMPRODUCT($G$9914:$K$9914,$G$9872:$K$9872)&gt;0,IF(C10020&gt;0,"Partly repaid; remainder refinanced","Refinanced"),IF(SUM($G$9923:$K$9923)&gt;0.001,IF(C10020&gt;0,"Partial repayment; PAYMENT DEFAULT","PAYMENT DEFAULT"),"Repaid from cash"))))</f>
        <v>Repaid from cash</v>
      </c>
    </row>
    <row r="10023" customFormat="false" ht="15" hidden="false" customHeight="false" outlineLevel="0" collapsed="false">
      <c r="A10023" s="3" t="s">
        <v>369</v>
      </c>
      <c r="C10023" s="16" t="n">
        <f aca="false">SUMPRODUCT($G$9927:$K$9927,$G$9926:$K$9926-$G$9932:$K$9932+$G$9931:$K$9931)</f>
        <v>450</v>
      </c>
    </row>
    <row r="10024" customFormat="false" ht="15" hidden="false" customHeight="false" outlineLevel="0" collapsed="false">
      <c r="A10024" s="3" t="s">
        <v>370</v>
      </c>
      <c r="C10024" s="16" t="n">
        <f aca="false">SUMPRODUCT($G$9927:$K$9927,$G$9934:$K$9934)</f>
        <v>15.0452413</v>
      </c>
    </row>
    <row r="10025" customFormat="false" ht="15" hidden="false" customHeight="false" outlineLevel="0" collapsed="false">
      <c r="A10025" s="3" t="s">
        <v>371</v>
      </c>
      <c r="C10025" s="3" t="str">
        <f aca="false">IF(SUM($G$9927:$K$9927)=0,"n/a (beyond horizon)",IF(SUMPRODUCT($G$9927:$K$9927,$G$9872:$K$9872)&gt;0,"REFINANCING PASS","REFINANCING FAILURE"))</f>
        <v>REFINANCING FAILURE</v>
      </c>
    </row>
    <row r="10026" customFormat="false" ht="15" hidden="false" customHeight="false" outlineLevel="0" collapsed="false">
      <c r="A10026" s="3" t="s">
        <v>372</v>
      </c>
      <c r="C10026" s="3" t="str">
        <f aca="false">IF(SUM($G$9927:$K$9927)=0,"n/a",IF(C10024&gt;=C10023-0.001,"Repaid from cash",IF(SUMPRODUCT($G$9927:$K$9927,$G$9872:$K$9872)&gt;0,IF(C10024&gt;0,"Partly repaid; remainder refinanced","Refinanced"),IF(SUM($G$9936:$K$9936)&gt;0.001,IF(C10024&gt;0,"Partial repayment; PAYMENT DEFAULT","PAYMENT DEFAULT"),"Repaid from cash"))))</f>
        <v>Partial repayment; PAYMENT DEFAULT</v>
      </c>
    </row>
    <row r="10027" customFormat="false" ht="15" hidden="false" customHeight="false" outlineLevel="0" collapsed="false">
      <c r="A10027" s="3" t="s">
        <v>373</v>
      </c>
      <c r="C10027" s="16" t="n">
        <f aca="false">SUMPRODUCT($G$9940:$K$9940,$G$9939:$K$9939-$G$9945:$K$9945+$G$9944:$K$9944)</f>
        <v>350</v>
      </c>
    </row>
    <row r="10028" customFormat="false" ht="15" hidden="false" customHeight="false" outlineLevel="0" collapsed="false">
      <c r="A10028" s="3" t="s">
        <v>374</v>
      </c>
      <c r="C10028" s="16" t="n">
        <f aca="false">SUMPRODUCT($G$9940:$K$9940,$G$9947:$K$9947)</f>
        <v>0</v>
      </c>
    </row>
    <row r="10029" customFormat="false" ht="15" hidden="false" customHeight="false" outlineLevel="0" collapsed="false">
      <c r="A10029" s="3" t="s">
        <v>375</v>
      </c>
      <c r="C10029" s="3" t="str">
        <f aca="false">IF(SUM($G$9940:$K$9940)=0,"n/a (beyond horizon)",IF(SUMPRODUCT($G$9940:$K$9940,$G$9872:$K$9872)&gt;0,"REFINANCING PASS","REFINANCING FAILURE"))</f>
        <v>REFINANCING FAILURE</v>
      </c>
    </row>
    <row r="10030" customFormat="false" ht="15" hidden="false" customHeight="false" outlineLevel="0" collapsed="false">
      <c r="A10030" s="3" t="s">
        <v>376</v>
      </c>
      <c r="C10030" s="3" t="str">
        <f aca="false">IF(SUM($G$9940:$K$9940)=0,"n/a",IF(C10028&gt;=C10027-0.001,"Repaid from cash",IF(SUMPRODUCT($G$9940:$K$9940,$G$9872:$K$9872)&gt;0,IF(C10028&gt;0,"Partly repaid; remainder refinanced","Refinanced"),IF(SUM($G$9949:$K$9949)&gt;0.001,IF(C10028&gt;0,"Partial repayment; PAYMENT DEFAULT","PAYMENT DEFAULT"),"Repaid from cash"))))</f>
        <v>PAYMENT DEFAULT</v>
      </c>
    </row>
    <row r="10031" customFormat="false" ht="15" hidden="false" customHeight="false" outlineLevel="0" collapsed="false">
      <c r="A10031" s="3" t="s">
        <v>377</v>
      </c>
      <c r="C10031" s="16" t="n">
        <f aca="false">SUMPRODUCT($G$9953:$K$9953,$G$9952:$K$9952-$G$9958:$K$9958+$G$9957:$K$9957)</f>
        <v>550</v>
      </c>
    </row>
    <row r="10032" customFormat="false" ht="15" hidden="false" customHeight="false" outlineLevel="0" collapsed="false">
      <c r="A10032" s="3" t="s">
        <v>378</v>
      </c>
      <c r="C10032" s="16" t="n">
        <f aca="false">SUMPRODUCT($G$9953:$K$9953,$G$9960:$K$9960)</f>
        <v>0</v>
      </c>
    </row>
    <row r="10033" customFormat="false" ht="15" hidden="false" customHeight="false" outlineLevel="0" collapsed="false">
      <c r="A10033" s="3" t="s">
        <v>379</v>
      </c>
      <c r="C10033" s="3" t="str">
        <f aca="false">IF(SUM($G$9953:$K$9953)=0,"n/a (beyond horizon)",IF(SUMPRODUCT($G$9953:$K$9953,$G$9872:$K$9872)&gt;0,"REFINANCING PASS","REFINANCING FAILURE"))</f>
        <v>REFINANCING FAILURE</v>
      </c>
    </row>
    <row r="10034" customFormat="false" ht="15" hidden="false" customHeight="false" outlineLevel="0" collapsed="false">
      <c r="A10034" s="3" t="s">
        <v>380</v>
      </c>
      <c r="C10034" s="3" t="str">
        <f aca="false">IF(SUM($G$9953:$K$9953)=0,"n/a",IF(C10032&gt;=C10031-0.001,"Repaid from cash",IF(SUMPRODUCT($G$9953:$K$9953,$G$9872:$K$9872)&gt;0,IF(C10032&gt;0,"Partly repaid; remainder refinanced","Refinanced"),IF(SUM($G$9962:$K$9962)&gt;0.001,IF(C10032&gt;0,"Partial repayment; PAYMENT DEFAULT","PAYMENT DEFAULT"),"Repaid from cash"))))</f>
        <v>PAYMENT DEFAULT</v>
      </c>
    </row>
    <row r="10035" customFormat="false" ht="15" hidden="false" customHeight="false" outlineLevel="0" collapsed="false">
      <c r="A10035" s="3" t="s">
        <v>381</v>
      </c>
      <c r="C10035" s="16" t="n">
        <f aca="false">SUMPRODUCT($G$9966:$K$9966,$G$9965:$K$9965-$G$9971:$K$9971+$G$9970:$K$9970)</f>
        <v>350</v>
      </c>
    </row>
    <row r="10036" customFormat="false" ht="15" hidden="false" customHeight="false" outlineLevel="0" collapsed="false">
      <c r="A10036" s="3" t="s">
        <v>382</v>
      </c>
      <c r="C10036" s="16" t="n">
        <f aca="false">SUMPRODUCT($G$9966:$K$9966,$G$9973:$K$9973)</f>
        <v>0</v>
      </c>
    </row>
    <row r="10037" customFormat="false" ht="15" hidden="false" customHeight="false" outlineLevel="0" collapsed="false">
      <c r="A10037" s="3" t="s">
        <v>383</v>
      </c>
      <c r="C10037" s="3" t="str">
        <f aca="false">IF(SUM($G$9966:$K$9966)=0,"n/a (beyond horizon)",IF(SUMPRODUCT($G$9966:$K$9966,$G$9872:$K$9872)&gt;0,"REFINANCING PASS","REFINANCING FAILURE"))</f>
        <v>REFINANCING FAILURE</v>
      </c>
    </row>
    <row r="10038" customFormat="false" ht="15" hidden="false" customHeight="false" outlineLevel="0" collapsed="false">
      <c r="A10038" s="3" t="s">
        <v>384</v>
      </c>
      <c r="C10038" s="3" t="str">
        <f aca="false">IF(SUM($G$9966:$K$9966)=0,"n/a",IF(C10036&gt;=C10035-0.001,"Repaid from cash",IF(SUMPRODUCT($G$9966:$K$9966,$G$9872:$K$9872)&gt;0,IF(C10036&gt;0,"Partly repaid; remainder refinanced","Refinanced"),IF(SUM($G$9975:$K$9975)&gt;0.001,IF(C10036&gt;0,"Partial repayment; PAYMENT DEFAULT","PAYMENT DEFAULT"),"Repaid from cash"))))</f>
        <v>PAYMENT DEFAULT</v>
      </c>
    </row>
    <row r="10039" customFormat="false" ht="15" hidden="false" customHeight="false" outlineLevel="0" collapsed="false">
      <c r="A10039" s="3" t="s">
        <v>385</v>
      </c>
      <c r="C10039" s="16" t="n">
        <f aca="false">SUMPRODUCT($G$9979:$K$9979,$G$9978:$K$9978-$G$9984:$K$9984+$G$9983:$K$9983)</f>
        <v>300</v>
      </c>
    </row>
    <row r="10040" customFormat="false" ht="15" hidden="false" customHeight="false" outlineLevel="0" collapsed="false">
      <c r="A10040" s="3" t="s">
        <v>386</v>
      </c>
      <c r="C10040" s="16" t="n">
        <f aca="false">SUMPRODUCT($G$9979:$K$9979,$G$9986:$K$9986)</f>
        <v>0</v>
      </c>
    </row>
    <row r="10041" customFormat="false" ht="15" hidden="false" customHeight="false" outlineLevel="0" collapsed="false">
      <c r="A10041" s="3" t="s">
        <v>387</v>
      </c>
      <c r="C10041" s="3" t="str">
        <f aca="false">IF(SUM($G$9979:$K$9979)=0,"n/a (beyond horizon)",IF(SUMPRODUCT($G$9979:$K$9979,$G$9872:$K$9872)&gt;0,"REFINANCING PASS","REFINANCING FAILURE"))</f>
        <v>REFINANCING FAILURE</v>
      </c>
    </row>
    <row r="10042" customFormat="false" ht="15" hidden="false" customHeight="false" outlineLevel="0" collapsed="false">
      <c r="A10042" s="3" t="s">
        <v>388</v>
      </c>
      <c r="C10042" s="3" t="str">
        <f aca="false">IF(SUM($G$9979:$K$9979)=0,"n/a",IF(C10040&gt;=C10039-0.001,"Repaid from cash",IF(SUMPRODUCT($G$9979:$K$9979,$G$9872:$K$9872)&gt;0,IF(C10040&gt;0,"Partly repaid; remainder refinanced","Refinanced"),IF(SUM($G$9988:$K$9988)&gt;0.001,IF(C10040&gt;0,"Partial repayment; PAYMENT DEFAULT","PAYMENT DEFAULT"),"Repaid from cash"))))</f>
        <v>PAYMENT DEFAULT</v>
      </c>
    </row>
    <row r="10043" customFormat="false" ht="15" hidden="false" customHeight="false" outlineLevel="0" collapsed="false">
      <c r="A10043" s="3" t="s">
        <v>389</v>
      </c>
      <c r="C10043" s="16" t="n">
        <f aca="false">SUMPRODUCT($G$9992:$K$9992,$G$9991:$K$9991-$G$9997:$K$9997+$G$9996:$K$9996)</f>
        <v>0</v>
      </c>
    </row>
    <row r="10044" customFormat="false" ht="15" hidden="false" customHeight="false" outlineLevel="0" collapsed="false">
      <c r="A10044" s="3" t="s">
        <v>390</v>
      </c>
      <c r="C10044" s="16" t="n">
        <f aca="false">SUMPRODUCT($G$9992:$K$9992,$G$9999:$K$9999)</f>
        <v>0</v>
      </c>
    </row>
    <row r="10045" customFormat="false" ht="15" hidden="false" customHeight="false" outlineLevel="0" collapsed="false">
      <c r="A10045" s="3" t="s">
        <v>391</v>
      </c>
      <c r="C10045" s="3" t="str">
        <f aca="false">IF(SUM($G$9992:$K$9992)=0,"n/a (beyond horizon)",IF(SUMPRODUCT($G$9992:$K$9992,$G$9872:$K$9872)&gt;0,"REFINANCING PASS","REFINANCING FAILURE"))</f>
        <v>n/a (beyond horizon)</v>
      </c>
    </row>
    <row r="10046" customFormat="false" ht="15" hidden="false" customHeight="false" outlineLevel="0" collapsed="false">
      <c r="A10046" s="3" t="s">
        <v>392</v>
      </c>
      <c r="C10046" s="3" t="str">
        <f aca="false">IF(SUM($G$9992:$K$9992)=0,"n/a",IF(C10044&gt;=C10043-0.001,"Repaid from cash",IF(SUMPRODUCT($G$9992:$K$9992,$G$9872:$K$9872)&gt;0,IF(C10044&gt;0,"Partly repaid; remainder refinanced","Refinanced"),IF(SUM($G$10001:$K$10001)&gt;0.001,IF(C10044&gt;0,"Partial repayment; PAYMENT DEFAULT","PAYMENT DEFAULT"),"Repaid from cash"))))</f>
        <v>n/a</v>
      </c>
    </row>
    <row r="10047" customFormat="false" ht="15" hidden="false" customHeight="false" outlineLevel="0" collapsed="false">
      <c r="A10047" s="3" t="s">
        <v>393</v>
      </c>
      <c r="C10047" s="21" t="n">
        <f aca="false">IF(C10009="REFINANCING FAILURE",1,0)+IF(C10013="REFINANCING FAILURE",1,0)+IF(C10017="REFINANCING FAILURE",1,0)+IF(C10021="REFINANCING FAILURE",1,0)+IF(C10025="REFINANCING FAILURE",1,0)+IF(C10029="REFINANCING FAILURE",1,0)+IF(C10033="REFINANCING FAILURE",1,0)+IF(C10037="REFINANCING FAILURE",1,0)+IF(C10041="REFINANCING FAILURE",1,0)+IF(C10045="REFINANCING FAILURE",1,0)</f>
        <v>7</v>
      </c>
    </row>
    <row r="10049" customFormat="false" ht="15" hidden="false" customHeight="false" outlineLevel="0" collapsed="false">
      <c r="A10049" s="24" t="s">
        <v>395</v>
      </c>
      <c r="B10049" s="25"/>
      <c r="C10049" s="25"/>
      <c r="D10049" s="25"/>
      <c r="E10049" s="25"/>
      <c r="F10049" s="25"/>
      <c r="G10049" s="25"/>
      <c r="H10049" s="25"/>
      <c r="I10049" s="25"/>
      <c r="J10049" s="25"/>
      <c r="K10049" s="25"/>
    </row>
    <row r="10050" customFormat="false" ht="15" hidden="false" customHeight="false" outlineLevel="0" collapsed="false">
      <c r="A10050" s="3" t="s">
        <v>325</v>
      </c>
      <c r="G10050" s="16" t="n">
        <f aca="false">F10062</f>
        <v>37.87</v>
      </c>
      <c r="H10050" s="16" t="n">
        <f aca="false">G10062</f>
        <v>87.2944416</v>
      </c>
      <c r="I10050" s="16" t="n">
        <f aca="false">H10062</f>
        <v>0</v>
      </c>
      <c r="J10050" s="16" t="n">
        <f aca="false">I10062</f>
        <v>-75.7748017716</v>
      </c>
      <c r="K10050" s="16" t="n">
        <f aca="false">J10062</f>
        <v>-149.05681614325</v>
      </c>
    </row>
    <row r="10051" customFormat="false" ht="15" hidden="false" customHeight="false" outlineLevel="0" collapsed="false">
      <c r="A10051" s="3" t="s">
        <v>396</v>
      </c>
      <c r="G10051" s="16" t="n">
        <f aca="false">G9861</f>
        <v>-46.5755584</v>
      </c>
      <c r="H10051" s="16" t="n">
        <f aca="false">H9861</f>
        <v>-68.2492003</v>
      </c>
      <c r="I10051" s="16" t="n">
        <f aca="false">I9861</f>
        <v>-71.7748017716</v>
      </c>
      <c r="J10051" s="16" t="n">
        <f aca="false">J9861</f>
        <v>-69.28201437165</v>
      </c>
      <c r="K10051" s="16" t="n">
        <f aca="false">K9861</f>
        <v>-63.512311383781</v>
      </c>
    </row>
    <row r="10052" customFormat="false" ht="15" hidden="false" customHeight="false" outlineLevel="0" collapsed="false">
      <c r="A10052" s="3" t="s">
        <v>397</v>
      </c>
      <c r="G10052" s="16" t="n">
        <f aca="false">CHOOSE($C$9831,Assumptions!$G$82,Assumptions!$G$101,Assumptions!$G$120)</f>
        <v>100</v>
      </c>
      <c r="H10052" s="16" t="n">
        <f aca="false">CHOOSE($C$9831,Assumptions!$H$82,Assumptions!$H$101,Assumptions!$H$120)</f>
        <v>0</v>
      </c>
      <c r="I10052" s="16" t="n">
        <f aca="false">CHOOSE($C$9831,Assumptions!$I$82,Assumptions!$I$101,Assumptions!$I$120)</f>
        <v>0</v>
      </c>
      <c r="J10052" s="16" t="n">
        <f aca="false">CHOOSE($C$9831,Assumptions!$J$82,Assumptions!$J$101,Assumptions!$J$120)</f>
        <v>0</v>
      </c>
      <c r="K10052" s="16" t="n">
        <f aca="false">CHOOSE($C$9831,Assumptions!$K$82,Assumptions!$K$101,Assumptions!$K$120)</f>
        <v>0</v>
      </c>
    </row>
    <row r="10053" customFormat="false" ht="15" hidden="false" customHeight="false" outlineLevel="0" collapsed="false">
      <c r="A10053" s="3" t="s">
        <v>398</v>
      </c>
      <c r="G10053" s="16" t="n">
        <f aca="false">G9880+G9893+G9906+G9919+G9932+G9945+G9958+G9971+G9984+G9997</f>
        <v>4</v>
      </c>
      <c r="H10053" s="16" t="n">
        <f aca="false">H9880+H9893+H9906+H9919+H9932+H9945+H9958+H9971+H9984+H9997</f>
        <v>4</v>
      </c>
      <c r="I10053" s="16" t="n">
        <f aca="false">I9880+I9893+I9906+I9919+I9932+I9945+I9958+I9971+I9984+I9997</f>
        <v>4</v>
      </c>
      <c r="J10053" s="16" t="n">
        <f aca="false">J9880+J9893+J9906+J9919+J9932+J9945+J9958+J9971+J9984+J9997</f>
        <v>4</v>
      </c>
      <c r="K10053" s="16" t="n">
        <f aca="false">K9880+K9893+K9906+K9919+K9932+K9945+K9958+K9971+K9984+K9997</f>
        <v>4</v>
      </c>
    </row>
    <row r="10054" customFormat="false" ht="15" hidden="false" customHeight="false" outlineLevel="0" collapsed="false">
      <c r="A10054" s="2" t="s">
        <v>399</v>
      </c>
      <c r="G10054" s="17" t="n">
        <f aca="false">G10050+G10051+G10052-G10053</f>
        <v>87.2944416</v>
      </c>
      <c r="H10054" s="17" t="n">
        <f aca="false">H10050+H10051+H10052-H10053</f>
        <v>15.0452413</v>
      </c>
      <c r="I10054" s="17" t="n">
        <f aca="false">I10050+I10051+I10052-I10053</f>
        <v>-75.7748017716</v>
      </c>
      <c r="J10054" s="17" t="n">
        <f aca="false">J10050+J10051+J10052-J10053</f>
        <v>-149.05681614325</v>
      </c>
      <c r="K10054" s="17" t="n">
        <f aca="false">K10050+K10051+K10052-K10053</f>
        <v>-216.569127527031</v>
      </c>
    </row>
    <row r="10055" customFormat="false" ht="15" hidden="false" customHeight="false" outlineLevel="0" collapsed="false">
      <c r="A10055" s="3" t="s">
        <v>400</v>
      </c>
      <c r="G10055" s="16" t="n">
        <f aca="false">G9881+G9894+G9907+G9920+G9933+G9946+G9959+G9972+G9985+G9998</f>
        <v>0</v>
      </c>
      <c r="H10055" s="16" t="n">
        <f aca="false">H9881+H9894+H9907+H9920+H9933+H9946+H9959+H9972+H9985+H9998</f>
        <v>0</v>
      </c>
      <c r="I10055" s="16" t="n">
        <f aca="false">I9881+I9894+I9907+I9920+I9933+I9946+I9959+I9972+I9985+I9998</f>
        <v>0</v>
      </c>
      <c r="J10055" s="16" t="n">
        <f aca="false">J9881+J9894+J9907+J9920+J9933+J9946+J9959+J9972+J9985+J9998</f>
        <v>0</v>
      </c>
      <c r="K10055" s="16" t="n">
        <f aca="false">K9881+K9894+K9907+K9920+K9933+K9946+K9959+K9972+K9985+K9998</f>
        <v>0</v>
      </c>
    </row>
    <row r="10056" customFormat="false" ht="15" hidden="false" customHeight="false" outlineLevel="0" collapsed="false">
      <c r="A10056" s="2" t="s">
        <v>401</v>
      </c>
      <c r="G10056" s="17" t="n">
        <f aca="false">G10054+G10055</f>
        <v>87.2944416</v>
      </c>
      <c r="H10056" s="17" t="n">
        <f aca="false">H10054+H10055</f>
        <v>15.0452413</v>
      </c>
      <c r="I10056" s="17" t="n">
        <f aca="false">I10054+I10055</f>
        <v>-75.7748017716</v>
      </c>
      <c r="J10056" s="17" t="n">
        <f aca="false">J10054+J10055</f>
        <v>-149.05681614325</v>
      </c>
      <c r="K10056" s="17" t="n">
        <f aca="false">K10054+K10055</f>
        <v>-216.569127527031</v>
      </c>
    </row>
    <row r="10057" customFormat="false" ht="15" hidden="false" customHeight="false" outlineLevel="0" collapsed="false">
      <c r="A10057" s="3" t="s">
        <v>402</v>
      </c>
      <c r="G10057" s="16" t="n">
        <f aca="false">G9882+G9895+G9908+G9921+G9934+G9947+G9960+G9973+G9986+G9999</f>
        <v>0</v>
      </c>
      <c r="H10057" s="16" t="n">
        <f aca="false">H9882+H9895+H9908+H9921+H9934+H9947+H9960+H9973+H9986+H9999</f>
        <v>15.0452413</v>
      </c>
      <c r="I10057" s="16" t="n">
        <f aca="false">I9882+I9895+I9908+I9921+I9934+I9947+I9960+I9973+I9986+I9999</f>
        <v>0</v>
      </c>
      <c r="J10057" s="16" t="n">
        <f aca="false">J9882+J9895+J9908+J9921+J9934+J9947+J9960+J9973+J9986+J9999</f>
        <v>0</v>
      </c>
      <c r="K10057" s="16" t="n">
        <f aca="false">K9882+K9895+K9908+K9921+K9934+K9947+K9960+K9973+K9986+K9999</f>
        <v>0</v>
      </c>
    </row>
    <row r="10058" customFormat="false" ht="15" hidden="false" customHeight="false" outlineLevel="0" collapsed="false">
      <c r="A10058" s="2" t="s">
        <v>403</v>
      </c>
      <c r="G10058" s="17" t="n">
        <f aca="false">G10056-G10057</f>
        <v>87.2944416</v>
      </c>
      <c r="H10058" s="17" t="n">
        <f aca="false">H10056-H10057</f>
        <v>0</v>
      </c>
      <c r="I10058" s="17" t="n">
        <f aca="false">I10056-I10057</f>
        <v>-75.7748017716</v>
      </c>
      <c r="J10058" s="17" t="n">
        <f aca="false">J10056-J10057</f>
        <v>-149.05681614325</v>
      </c>
      <c r="K10058" s="17" t="n">
        <f aca="false">K10056-K10057</f>
        <v>-216.569127527031</v>
      </c>
    </row>
    <row r="10059" customFormat="false" ht="15" hidden="false" customHeight="false" outlineLevel="0" collapsed="false">
      <c r="A10059" s="3" t="s">
        <v>404</v>
      </c>
      <c r="G10059" s="16" t="n">
        <f aca="false">MAX(0,-G10058)</f>
        <v>0</v>
      </c>
      <c r="H10059" s="16" t="n">
        <f aca="false">MAX(0,-H10058)</f>
        <v>-0</v>
      </c>
      <c r="I10059" s="16" t="n">
        <f aca="false">MAX(0,-I10058)</f>
        <v>75.7748017716</v>
      </c>
      <c r="J10059" s="16" t="n">
        <f aca="false">MAX(0,-J10058)</f>
        <v>149.05681614325</v>
      </c>
      <c r="K10059" s="16" t="n">
        <f aca="false">MAX(0,-K10058)</f>
        <v>216.569127527031</v>
      </c>
    </row>
    <row r="10060" customFormat="false" ht="15" hidden="false" customHeight="false" outlineLevel="0" collapsed="false">
      <c r="A10060" s="3" t="s">
        <v>405</v>
      </c>
      <c r="G10060" s="16" t="n">
        <f aca="false">MAX(0,G10058-Assumptions!$C$12)*Assumptions!$C$13</f>
        <v>0</v>
      </c>
      <c r="H10060" s="16" t="n">
        <f aca="false">MAX(0,H10058-Assumptions!$C$12)*Assumptions!$C$13</f>
        <v>0</v>
      </c>
      <c r="I10060" s="16" t="n">
        <f aca="false">MAX(0,I10058-Assumptions!$C$12)*Assumptions!$C$13</f>
        <v>0</v>
      </c>
      <c r="J10060" s="16" t="n">
        <f aca="false">MAX(0,J10058-Assumptions!$C$12)*Assumptions!$C$13</f>
        <v>0</v>
      </c>
      <c r="K10060" s="16" t="n">
        <f aca="false">MAX(0,K10058-Assumptions!$C$12)*Assumptions!$C$13</f>
        <v>0</v>
      </c>
    </row>
    <row r="10061" customFormat="false" ht="15" hidden="false" customHeight="false" outlineLevel="0" collapsed="false">
      <c r="A10061" s="3" t="s">
        <v>406</v>
      </c>
      <c r="G10061" s="16" t="n">
        <f aca="false">G9883+G9896+G9909+G9922+G9935+G9948+G9961+G9974+G9987+G10000</f>
        <v>0</v>
      </c>
      <c r="H10061" s="16" t="n">
        <f aca="false">H9883+H9896+H9909+H9922+H9935+H9948+H9961+H9974+H9987+H10000</f>
        <v>0</v>
      </c>
      <c r="I10061" s="16" t="n">
        <f aca="false">I9883+I9896+I9909+I9922+I9935+I9948+I9961+I9974+I9987+I10000</f>
        <v>0</v>
      </c>
      <c r="J10061" s="16" t="n">
        <f aca="false">J9883+J9896+J9909+J9922+J9935+J9948+J9961+J9974+J9987+J10000</f>
        <v>0</v>
      </c>
      <c r="K10061" s="16" t="n">
        <f aca="false">K9883+K9896+K9909+K9922+K9935+K9948+K9961+K9974+K9987+K10000</f>
        <v>0</v>
      </c>
    </row>
    <row r="10062" customFormat="false" ht="15" hidden="false" customHeight="false" outlineLevel="0" collapsed="false">
      <c r="A10062" s="2" t="s">
        <v>407</v>
      </c>
      <c r="F10062" s="28" t="n">
        <f aca="false">Assumptions!$C$11</f>
        <v>37.87</v>
      </c>
      <c r="G10062" s="17" t="n">
        <f aca="false">G10058-G10061</f>
        <v>87.2944416</v>
      </c>
      <c r="H10062" s="17" t="n">
        <f aca="false">H10058-H10061</f>
        <v>0</v>
      </c>
      <c r="I10062" s="17" t="n">
        <f aca="false">I10058-I10061</f>
        <v>-75.7748017716</v>
      </c>
      <c r="J10062" s="17" t="n">
        <f aca="false">J10058-J10061</f>
        <v>-149.05681614325</v>
      </c>
      <c r="K10062" s="17" t="n">
        <f aca="false">K10058-K10061</f>
        <v>-216.569127527031</v>
      </c>
    </row>
    <row r="10063" customFormat="false" ht="15" hidden="false" customHeight="false" outlineLevel="0" collapsed="false">
      <c r="A10063" s="3" t="s">
        <v>408</v>
      </c>
      <c r="G10063" s="16" t="n">
        <f aca="false">G9884+G9897+G9910+G9923+G9936+G9949+G9962+G9975+G9988+G10001</f>
        <v>0</v>
      </c>
      <c r="H10063" s="16" t="n">
        <f aca="false">H9884+H9897+H9910+H9923+H9936+H9949+H9962+H9975+H9988+H10001</f>
        <v>784.9547587</v>
      </c>
      <c r="I10063" s="16" t="n">
        <f aca="false">I9884+I9897+I9910+I9923+I9936+I9949+I9962+I9975+I9988+I10001</f>
        <v>550</v>
      </c>
      <c r="J10063" s="16" t="n">
        <f aca="false">J9884+J9897+J9910+J9923+J9936+J9949+J9962+J9975+J9988+J10001</f>
        <v>350</v>
      </c>
      <c r="K10063" s="16" t="n">
        <f aca="false">K9884+K9897+K9910+K9923+K9936+K9949+K9962+K9975+K9988+K10001</f>
        <v>680</v>
      </c>
    </row>
    <row r="10064" customFormat="false" ht="15" hidden="false" customHeight="false" outlineLevel="0" collapsed="false">
      <c r="A10064" s="3" t="s">
        <v>409</v>
      </c>
      <c r="G10064" s="21" t="n">
        <f aca="false">IF(OR(G10059&gt;0.001,G10063&gt;0.001),1,0)</f>
        <v>0</v>
      </c>
      <c r="H10064" s="21" t="n">
        <f aca="false">IF(OR(H10059&gt;0.001,H10063&gt;0.001),1,0)</f>
        <v>1</v>
      </c>
      <c r="I10064" s="21" t="n">
        <f aca="false">IF(OR(I10059&gt;0.001,I10063&gt;0.001),1,0)</f>
        <v>1</v>
      </c>
      <c r="J10064" s="21" t="n">
        <f aca="false">IF(OR(J10059&gt;0.001,J10063&gt;0.001),1,0)</f>
        <v>1</v>
      </c>
      <c r="K10064" s="21" t="n">
        <f aca="false">IF(OR(K10059&gt;0.001,K10063&gt;0.001),1,0)</f>
        <v>1</v>
      </c>
    </row>
    <row r="10065" customFormat="false" ht="15" hidden="false" customHeight="false" outlineLevel="0" collapsed="false">
      <c r="A10065" s="3" t="s">
        <v>410</v>
      </c>
      <c r="G10065" s="21" t="n">
        <f aca="false">IF(G10064=1,1,0)</f>
        <v>0</v>
      </c>
      <c r="H10065" s="21" t="n">
        <f aca="false">IF(AND(H10064=1,SUM($G$10064:G10064)=0),1,0)</f>
        <v>1</v>
      </c>
      <c r="I10065" s="21" t="n">
        <f aca="false">IF(AND(I10064=1,SUM($G$10064:H10064)=0),1,0)</f>
        <v>0</v>
      </c>
      <c r="J10065" s="21" t="n">
        <f aca="false">IF(AND(J10064=1,SUM($G$10064:I10064)=0),1,0)</f>
        <v>0</v>
      </c>
      <c r="K10065" s="21" t="n">
        <f aca="false">IF(AND(K10064=1,SUM($G$10064:J10064)=0),1,0)</f>
        <v>0</v>
      </c>
    </row>
    <row r="10066" customFormat="false" ht="15" hidden="false" customHeight="false" outlineLevel="0" collapsed="false">
      <c r="A10066" s="3" t="s">
        <v>411</v>
      </c>
      <c r="G10066" s="16" t="n">
        <f aca="false">(G10004-F10004)-(G10055+G9853-G10053-G10057-G10061)</f>
        <v>0</v>
      </c>
      <c r="H10066" s="16" t="n">
        <f aca="false">(H10004-G10004)-(H10055+H9853-H10053-H10057-H10061)</f>
        <v>-2.27373675443232E-013</v>
      </c>
      <c r="I10066" s="16" t="n">
        <f aca="false">(I10004-H10004)-(I10055+I9853-I10053-I10057-I10061)</f>
        <v>0</v>
      </c>
      <c r="J10066" s="16" t="n">
        <f aca="false">(J10004-I10004)-(J10055+J9853-J10053-J10057-J10061)</f>
        <v>0</v>
      </c>
      <c r="K10066" s="16" t="n">
        <f aca="false">(K10004-J10004)-(K10055+K9853-K10053-K10057-K10061)</f>
        <v>0</v>
      </c>
    </row>
    <row r="10068" customFormat="false" ht="15" hidden="false" customHeight="false" outlineLevel="0" collapsed="false">
      <c r="A10068" s="24" t="s">
        <v>413</v>
      </c>
      <c r="B10068" s="25"/>
      <c r="C10068" s="25"/>
      <c r="D10068" s="25"/>
      <c r="E10068" s="25"/>
      <c r="F10068" s="25"/>
      <c r="G10068" s="25"/>
      <c r="H10068" s="25"/>
      <c r="I10068" s="25"/>
      <c r="J10068" s="25"/>
      <c r="K10068" s="25"/>
    </row>
    <row r="10069" customFormat="false" ht="15" hidden="false" customHeight="false" outlineLevel="0" collapsed="false">
      <c r="A10069" s="3" t="s">
        <v>414</v>
      </c>
      <c r="G10069" s="16" t="n">
        <f aca="false">G10004</f>
        <v>2621.934</v>
      </c>
      <c r="H10069" s="16" t="n">
        <f aca="false">H10004</f>
        <v>2602.8887587</v>
      </c>
      <c r="I10069" s="16" t="n">
        <f aca="false">I10004</f>
        <v>2598.8887587</v>
      </c>
      <c r="J10069" s="16" t="n">
        <f aca="false">J10004</f>
        <v>2594.8887587</v>
      </c>
      <c r="K10069" s="16" t="n">
        <f aca="false">K10004</f>
        <v>2590.8887587</v>
      </c>
    </row>
    <row r="10070" customFormat="false" ht="15" hidden="false" customHeight="false" outlineLevel="0" collapsed="false">
      <c r="A10070" s="3" t="s">
        <v>415</v>
      </c>
      <c r="G10070" s="16" t="n">
        <f aca="false">Assumptions!$O$57*G9885+Assumptions!$O$58*G9898+Assumptions!$O$59*G9911+Assumptions!$O$60*G9924+Assumptions!$O$61*G9937+Assumptions!$O$62*G9950+Assumptions!$O$63*G9963+Assumptions!$O$64*G9976+Assumptions!$O$65*G9989+Assumptions!$O$66*G10002</f>
        <v>543.324</v>
      </c>
      <c r="H10070" s="16" t="n">
        <f aca="false">Assumptions!$O$57*H9885+Assumptions!$O$58*H9898+Assumptions!$O$59*H9911+Assumptions!$O$60*H9924+Assumptions!$O$61*H9937+Assumptions!$O$62*H9950+Assumptions!$O$63*H9963+Assumptions!$O$64*H9976+Assumptions!$O$65*H9989+Assumptions!$O$66*H10002</f>
        <v>539.324</v>
      </c>
      <c r="I10070" s="16" t="n">
        <f aca="false">Assumptions!$O$57*I9885+Assumptions!$O$58*I9898+Assumptions!$O$59*I9911+Assumptions!$O$60*I9924+Assumptions!$O$61*I9937+Assumptions!$O$62*I9950+Assumptions!$O$63*I9963+Assumptions!$O$64*I9976+Assumptions!$O$65*I9989+Assumptions!$O$66*I10002</f>
        <v>535.324</v>
      </c>
      <c r="J10070" s="16" t="n">
        <f aca="false">Assumptions!$O$57*J9885+Assumptions!$O$58*J9898+Assumptions!$O$59*J9911+Assumptions!$O$60*J9924+Assumptions!$O$61*J9937+Assumptions!$O$62*J9950+Assumptions!$O$63*J9963+Assumptions!$O$64*J9976+Assumptions!$O$65*J9989+Assumptions!$O$66*J10002</f>
        <v>531.324</v>
      </c>
      <c r="K10070" s="16" t="n">
        <f aca="false">Assumptions!$O$57*K9885+Assumptions!$O$58*K9898+Assumptions!$O$59*K9911+Assumptions!$O$60*K9924+Assumptions!$O$61*K9937+Assumptions!$O$62*K9950+Assumptions!$O$63*K9963+Assumptions!$O$64*K9976+Assumptions!$O$65*K9989+Assumptions!$O$66*K10002</f>
        <v>527.324</v>
      </c>
    </row>
    <row r="10071" customFormat="false" ht="15" hidden="false" customHeight="false" outlineLevel="0" collapsed="false">
      <c r="A10071" s="3" t="s">
        <v>416</v>
      </c>
      <c r="G10071" s="16" t="n">
        <f aca="false">G10069-G10062</f>
        <v>2534.6395584</v>
      </c>
      <c r="H10071" s="16" t="n">
        <f aca="false">H10069-H10062</f>
        <v>2602.8887587</v>
      </c>
      <c r="I10071" s="16" t="n">
        <f aca="false">I10069-I10062</f>
        <v>2674.6635604716</v>
      </c>
      <c r="J10071" s="16" t="n">
        <f aca="false">J10069-J10062</f>
        <v>2743.94557484325</v>
      </c>
      <c r="K10071" s="16" t="n">
        <f aca="false">K10069-K10062</f>
        <v>2807.45788622703</v>
      </c>
    </row>
    <row r="10072" customFormat="false" ht="15" hidden="false" customHeight="false" outlineLevel="0" collapsed="false">
      <c r="A10072" s="3" t="s">
        <v>417</v>
      </c>
      <c r="G10072" s="32" t="n">
        <f aca="false">IF(G9848&gt;0,G10069/G9848,0)</f>
        <v>12.7097898879239</v>
      </c>
      <c r="H10072" s="32" t="n">
        <f aca="false">IF(H9848&gt;0,H10069/H9848,0)</f>
        <v>14.5137170159321</v>
      </c>
      <c r="I10072" s="32" t="n">
        <f aca="false">IF(I9848&gt;0,I10069/I9848,0)</f>
        <v>15.1153610447715</v>
      </c>
      <c r="J10072" s="32" t="n">
        <f aca="false">IF(J9848&gt;0,J10069/J9848,0)</f>
        <v>14.9166072034602</v>
      </c>
      <c r="K10072" s="32" t="n">
        <f aca="false">IF(K9848&gt;0,K10069/K9848,0)</f>
        <v>14.4110120408369</v>
      </c>
    </row>
    <row r="10073" customFormat="false" ht="15" hidden="false" customHeight="false" outlineLevel="0" collapsed="false">
      <c r="A10073" s="3" t="s">
        <v>418</v>
      </c>
      <c r="G10073" s="32" t="n">
        <f aca="false">IF(G9848&gt;0,G10071/G9848,0)</f>
        <v>12.2866312534504</v>
      </c>
      <c r="H10073" s="32" t="n">
        <f aca="false">IF(H9848&gt;0,H10071/H9848,0)</f>
        <v>14.5137170159321</v>
      </c>
      <c r="I10073" s="32" t="n">
        <f aca="false">IF(I9848&gt;0,I10071/I9848,0)</f>
        <v>15.5560738236619</v>
      </c>
      <c r="J10073" s="32" t="n">
        <f aca="false">IF(J9848&gt;0,J10071/J9848,0)</f>
        <v>15.7734539449449</v>
      </c>
      <c r="K10073" s="32" t="n">
        <f aca="false">IF(K9848&gt;0,K10071/K9848,0)</f>
        <v>15.6156103833885</v>
      </c>
    </row>
    <row r="10074" customFormat="false" ht="15" hidden="false" customHeight="false" outlineLevel="0" collapsed="false">
      <c r="A10074" s="3" t="s">
        <v>419</v>
      </c>
      <c r="G10074" s="32" t="n">
        <f aca="false">IF(G9852&gt;0,G9848/G9852,0)</f>
        <v>1.06025908412371</v>
      </c>
      <c r="H10074" s="32" t="n">
        <f aca="false">IF(H9852&gt;0,H9848/H9852,0)</f>
        <v>0.927444011573365</v>
      </c>
      <c r="I10074" s="32" t="n">
        <f aca="false">IF(I9852&gt;0,I9848/I9852,0)</f>
        <v>0.899631625108658</v>
      </c>
      <c r="J10074" s="32" t="n">
        <f aca="false">IF(J9852&gt;0,J9848/J9852,0)</f>
        <v>0.912459444554051</v>
      </c>
      <c r="K10074" s="32" t="n">
        <f aca="false">IF(K9852&gt;0,K9848/K9852,0)</f>
        <v>0.945346751531936</v>
      </c>
    </row>
    <row r="10075" customFormat="false" ht="15" hidden="false" customHeight="false" outlineLevel="0" collapsed="false">
      <c r="A10075" s="3" t="s">
        <v>420</v>
      </c>
      <c r="G10075" s="32" t="n">
        <f aca="false">IF(G9852&gt;0,G9851/G9852,0)</f>
        <v>0.20316175818306</v>
      </c>
      <c r="H10075" s="32" t="n">
        <f aca="false">IF(H9852&gt;0,H9851/H9852,0)</f>
        <v>0.125405512651662</v>
      </c>
      <c r="I10075" s="32" t="n">
        <f aca="false">IF(I9852&gt;0,I9851/I9852,0)</f>
        <v>0.112492039835566</v>
      </c>
      <c r="J10075" s="32" t="n">
        <f aca="false">IF(J9852&gt;0,J9851/J9852,0)</f>
        <v>0.123379355508513</v>
      </c>
      <c r="K10075" s="32" t="n">
        <f aca="false">IF(K9852&gt;0,K9851/K9852,0)</f>
        <v>0.146406265534401</v>
      </c>
    </row>
    <row r="10076" customFormat="false" ht="15" hidden="false" customHeight="false" outlineLevel="0" collapsed="false">
      <c r="A10076" s="3" t="s">
        <v>213</v>
      </c>
      <c r="G10076" s="22" t="n">
        <f aca="false">IF(G10069&gt;0,G9861/G10069,0)</f>
        <v>-0.0177638180060978</v>
      </c>
      <c r="H10076" s="22" t="n">
        <f aca="false">IF(H10069&gt;0,H9861/H10069,0)</f>
        <v>-0.0262205597806979</v>
      </c>
      <c r="I10076" s="22" t="n">
        <f aca="false">IF(I10069&gt;0,I9861/I10069,0)</f>
        <v>-0.0276174967209842</v>
      </c>
      <c r="J10076" s="22" t="n">
        <f aca="false">IF(J10069&gt;0,J9861/J10069,0)</f>
        <v>-0.0266994159727908</v>
      </c>
      <c r="K10076" s="22" t="n">
        <f aca="false">IF(K10069&gt;0,K9861/K10069,0)</f>
        <v>-0.0245137160638455</v>
      </c>
    </row>
    <row r="10077" customFormat="false" ht="15" hidden="false" customHeight="false" outlineLevel="0" collapsed="false">
      <c r="A10077" s="3" t="s">
        <v>421</v>
      </c>
      <c r="G10077" s="32" t="n">
        <f aca="false">IF(G9852+G10053&gt;0,(G9848-G9859-G9856)/(G9852+G10053),0)</f>
        <v>0.745298526859104</v>
      </c>
      <c r="H10077" s="32" t="n">
        <f aca="false">IF(H9852+H10053&gt;0,(H9848-H9859-H9856)/(H9852+H10053),0)</f>
        <v>0.633940444194116</v>
      </c>
      <c r="I10077" s="32" t="n">
        <f aca="false">IF(I9852+I10053&gt;0,(I9848-I9859-I9856)/(I9852+I10053),0)</f>
        <v>0.611648781339491</v>
      </c>
      <c r="J10077" s="32" t="n">
        <f aca="false">IF(J9852+J10053&gt;0,(J9848-J9859-J9856)/(J9852+J10053),0)</f>
        <v>0.623517628652559</v>
      </c>
      <c r="K10077" s="32" t="n">
        <f aca="false">IF(K9852+K10053&gt;0,(K9848-K9859-K9856)/(K9852+K10053),0)</f>
        <v>0.652319655812009</v>
      </c>
    </row>
    <row r="10078" customFormat="false" ht="15" hidden="false" customHeight="false" outlineLevel="0" collapsed="false">
      <c r="A10078" s="3" t="s">
        <v>422</v>
      </c>
      <c r="G10078" s="16" t="n">
        <f aca="false">MAX(0,G10062)+Assumptions!$P$57*MAX(0,Assumptions!$D$57-G9885)+Assumptions!$P$58*MAX(0,Assumptions!$D$58-G9898)+Assumptions!$P$59*MAX(0,Assumptions!$D$59-G9911)+Assumptions!$P$60*MAX(0,Assumptions!$D$60-G9924)+Assumptions!$P$61*MAX(0,Assumptions!$D$61-G9937)+Assumptions!$P$62*MAX(0,Assumptions!$D$62-G9950)+Assumptions!$P$63*MAX(0,Assumptions!$D$63-G9963)+Assumptions!$P$64*MAX(0,Assumptions!$D$64-G9976)+Assumptions!$P$65*MAX(0,Assumptions!$D$65-G9989)+Assumptions!$P$66*MAX(0,Assumptions!$D$66-G10002)</f>
        <v>661.7944416</v>
      </c>
      <c r="H10078" s="16" t="n">
        <f aca="false">MAX(0,H10062)+Assumptions!$P$57*MAX(0,Assumptions!$D$57-H9885)+Assumptions!$P$58*MAX(0,Assumptions!$D$58-H9898)+Assumptions!$P$59*MAX(0,Assumptions!$D$59-H9911)+Assumptions!$P$60*MAX(0,Assumptions!$D$60-H9924)+Assumptions!$P$61*MAX(0,Assumptions!$D$61-H9937)+Assumptions!$P$62*MAX(0,Assumptions!$D$62-H9950)+Assumptions!$P$63*MAX(0,Assumptions!$D$63-H9963)+Assumptions!$P$64*MAX(0,Assumptions!$D$64-H9976)+Assumptions!$P$65*MAX(0,Assumptions!$D$65-H9989)+Assumptions!$P$66*MAX(0,Assumptions!$D$66-H10002)</f>
        <v>574.5</v>
      </c>
      <c r="I10078" s="16" t="n">
        <f aca="false">MAX(0,I10062)+Assumptions!$P$57*MAX(0,Assumptions!$D$57-I9885)+Assumptions!$P$58*MAX(0,Assumptions!$D$58-I9898)+Assumptions!$P$59*MAX(0,Assumptions!$D$59-I9911)+Assumptions!$P$60*MAX(0,Assumptions!$D$60-I9924)+Assumptions!$P$61*MAX(0,Assumptions!$D$61-I9937)+Assumptions!$P$62*MAX(0,Assumptions!$D$62-I9950)+Assumptions!$P$63*MAX(0,Assumptions!$D$63-I9963)+Assumptions!$P$64*MAX(0,Assumptions!$D$64-I9976)+Assumptions!$P$65*MAX(0,Assumptions!$D$65-I9989)+Assumptions!$P$66*MAX(0,Assumptions!$D$66-I10002)</f>
        <v>574.5</v>
      </c>
      <c r="J10078" s="16" t="n">
        <f aca="false">MAX(0,J10062)+Assumptions!$P$57*MAX(0,Assumptions!$D$57-J9885)+Assumptions!$P$58*MAX(0,Assumptions!$D$58-J9898)+Assumptions!$P$59*MAX(0,Assumptions!$D$59-J9911)+Assumptions!$P$60*MAX(0,Assumptions!$D$60-J9924)+Assumptions!$P$61*MAX(0,Assumptions!$D$61-J9937)+Assumptions!$P$62*MAX(0,Assumptions!$D$62-J9950)+Assumptions!$P$63*MAX(0,Assumptions!$D$63-J9963)+Assumptions!$P$64*MAX(0,Assumptions!$D$64-J9976)+Assumptions!$P$65*MAX(0,Assumptions!$D$65-J9989)+Assumptions!$P$66*MAX(0,Assumptions!$D$66-J10002)</f>
        <v>574.5</v>
      </c>
      <c r="K10078" s="16" t="n">
        <f aca="false">MAX(0,K10062)+Assumptions!$P$57*MAX(0,Assumptions!$D$57-K9885)+Assumptions!$P$58*MAX(0,Assumptions!$D$58-K9898)+Assumptions!$P$59*MAX(0,Assumptions!$D$59-K9911)+Assumptions!$P$60*MAX(0,Assumptions!$D$60-K9924)+Assumptions!$P$61*MAX(0,Assumptions!$D$61-K9937)+Assumptions!$P$62*MAX(0,Assumptions!$D$62-K9950)+Assumptions!$P$63*MAX(0,Assumptions!$D$63-K9963)+Assumptions!$P$64*MAX(0,Assumptions!$D$64-K9976)+Assumptions!$P$65*MAX(0,Assumptions!$D$65-K9989)+Assumptions!$P$66*MAX(0,Assumptions!$D$66-K10002)</f>
        <v>574.5</v>
      </c>
    </row>
    <row r="10079" customFormat="false" ht="15" hidden="false" customHeight="false" outlineLevel="0" collapsed="false">
      <c r="A10079" s="3" t="s">
        <v>423</v>
      </c>
      <c r="G10079" s="22" t="n">
        <f aca="false">IF(G10069&gt;0,G10069/(G10069+MAX(0,G9848*CHOOSE($C$9831,Assumptions!$C$90,Assumptions!$C$109,Assumptions!$C$128)-G10071)),0)</f>
        <v>1</v>
      </c>
      <c r="H10079" s="22" t="n">
        <f aca="false">IF(H10069&gt;0,H10069/(H10069+MAX(0,H9848*CHOOSE($C$9831,Assumptions!$C$90,Assumptions!$C$109,Assumptions!$C$128)-H10071)),0)</f>
        <v>1</v>
      </c>
      <c r="I10079" s="22" t="n">
        <f aca="false">IF(I10069&gt;0,I10069/(I10069+MAX(0,I9848*CHOOSE($C$9831,Assumptions!$C$90,Assumptions!$C$109,Assumptions!$C$128)-I10071)),0)</f>
        <v>1</v>
      </c>
      <c r="J10079" s="22" t="n">
        <f aca="false">IF(J10069&gt;0,J10069/(J10069+MAX(0,J9848*CHOOSE($C$9831,Assumptions!$C$90,Assumptions!$C$109,Assumptions!$C$128)-J10071)),0)</f>
        <v>1</v>
      </c>
      <c r="K10079" s="22" t="n">
        <f aca="false">IF(K10069&gt;0,K10069/(K10069+MAX(0,K9848*CHOOSE($C$9831,Assumptions!$C$90,Assumptions!$C$109,Assumptions!$C$128)-K10071)),0)</f>
        <v>1</v>
      </c>
    </row>
    <row r="10080" customFormat="false" ht="15" hidden="false" customHeight="false" outlineLevel="0" collapsed="false">
      <c r="A10080" s="3" t="s">
        <v>424</v>
      </c>
      <c r="G10080" s="22" t="n">
        <f aca="false">IF(G10069&gt;0,MAX(0,G10062)/G10069,0)</f>
        <v>0.0332939126614171</v>
      </c>
      <c r="H10080" s="22" t="n">
        <f aca="false">IF(H10069&gt;0,MAX(0,H10062)/H10069,0)</f>
        <v>0</v>
      </c>
      <c r="I10080" s="22" t="n">
        <f aca="false">IF(I10069&gt;0,MAX(0,I10062)/I10069,0)</f>
        <v>0</v>
      </c>
      <c r="J10080" s="22" t="n">
        <f aca="false">IF(J10069&gt;0,MAX(0,J10062)/J10069,0)</f>
        <v>0</v>
      </c>
      <c r="K10080" s="22" t="n">
        <f aca="false">IF(K10069&gt;0,MAX(0,K10062)/K10069,0)</f>
        <v>0</v>
      </c>
    </row>
    <row r="10081" customFormat="false" ht="15" hidden="false" customHeight="false" outlineLevel="0" collapsed="false">
      <c r="A10081" s="3" t="s">
        <v>425</v>
      </c>
      <c r="G10081" s="16" t="n">
        <f aca="false">Assumptions!$C$31*(1-CHOOSE($C$9831,Assumptions!$C$93,Assumptions!$C$112,Assumptions!$C$131))</f>
        <v>3162.39046666667</v>
      </c>
      <c r="H10081" s="16" t="n">
        <f aca="false">Assumptions!$C$31*(1-CHOOSE($C$9831,Assumptions!$C$93,Assumptions!$C$112,Assumptions!$C$131))</f>
        <v>3162.39046666667</v>
      </c>
      <c r="I10081" s="16" t="n">
        <f aca="false">Assumptions!$C$31*(1-CHOOSE($C$9831,Assumptions!$C$93,Assumptions!$C$112,Assumptions!$C$131))</f>
        <v>3162.39046666667</v>
      </c>
      <c r="J10081" s="16" t="n">
        <f aca="false">Assumptions!$C$31*(1-CHOOSE($C$9831,Assumptions!$C$93,Assumptions!$C$112,Assumptions!$C$131))</f>
        <v>3162.39046666667</v>
      </c>
      <c r="K10081" s="16" t="n">
        <f aca="false">Assumptions!$C$31*(1-CHOOSE($C$9831,Assumptions!$C$93,Assumptions!$C$112,Assumptions!$C$131))</f>
        <v>3162.39046666667</v>
      </c>
    </row>
    <row r="10082" customFormat="false" ht="15" hidden="false" customHeight="false" outlineLevel="0" collapsed="false">
      <c r="A10082" s="24" t="s">
        <v>426</v>
      </c>
      <c r="B10082" s="25"/>
      <c r="C10082" s="25"/>
      <c r="D10082" s="25"/>
      <c r="E10082" s="25"/>
      <c r="F10082" s="25"/>
      <c r="G10082" s="25"/>
      <c r="H10082" s="25"/>
      <c r="I10082" s="25"/>
      <c r="J10082" s="25"/>
      <c r="K10082" s="25"/>
    </row>
    <row r="10083" customFormat="false" ht="15" hidden="false" customHeight="false" outlineLevel="0" collapsed="false">
      <c r="A10083" s="24" t="s">
        <v>427</v>
      </c>
      <c r="B10083" s="25"/>
      <c r="C10083" s="25"/>
      <c r="D10083" s="25"/>
      <c r="E10083" s="25"/>
      <c r="F10083" s="25"/>
      <c r="G10083" s="25"/>
      <c r="H10083" s="25"/>
      <c r="I10083" s="25"/>
      <c r="J10083" s="25"/>
      <c r="K10083" s="25"/>
    </row>
    <row r="10084" customFormat="false" ht="15" hidden="false" customHeight="false" outlineLevel="0" collapsed="false">
      <c r="A10084" s="3" t="s">
        <v>428</v>
      </c>
      <c r="G10084" s="22" t="n">
        <f aca="false">IF(G10081&gt;0,G10069/G10081,99)</f>
        <v>0.829098755399318</v>
      </c>
      <c r="H10084" s="22" t="n">
        <f aca="false">IF(H10081&gt;0,H10069/H10081,99)</f>
        <v>0.823076336124801</v>
      </c>
      <c r="I10084" s="22" t="n">
        <f aca="false">IF(I10081&gt;0,I10069/I10081,99)</f>
        <v>0.821811470181724</v>
      </c>
      <c r="J10084" s="22" t="n">
        <f aca="false">IF(J10081&gt;0,J10069/J10081,99)</f>
        <v>0.820546604238646</v>
      </c>
      <c r="K10084" s="22" t="n">
        <f aca="false">IF(K10081&gt;0,K10069/K10081,99)</f>
        <v>0.819281738295568</v>
      </c>
    </row>
    <row r="10085" customFormat="false" ht="15" hidden="false" customHeight="false" outlineLevel="0" collapsed="false">
      <c r="A10085" s="3" t="s">
        <v>429</v>
      </c>
      <c r="G10085" s="33" t="n">
        <f aca="false">Assumptions!$G$71</f>
        <v>0.6</v>
      </c>
      <c r="H10085" s="33" t="n">
        <f aca="false">Assumptions!$H$71</f>
        <v>0.6</v>
      </c>
      <c r="I10085" s="33" t="n">
        <f aca="false">Assumptions!$I$71</f>
        <v>0.6</v>
      </c>
      <c r="J10085" s="33" t="n">
        <f aca="false">Assumptions!$J$71</f>
        <v>0.6</v>
      </c>
      <c r="K10085" s="33" t="n">
        <f aca="false">Assumptions!$K$71</f>
        <v>0.6</v>
      </c>
    </row>
    <row r="10086" customFormat="false" ht="15" hidden="false" customHeight="false" outlineLevel="0" collapsed="false">
      <c r="A10086" s="3" t="s">
        <v>430</v>
      </c>
      <c r="G10086" s="22" t="n">
        <f aca="false">G10085-G10084</f>
        <v>-0.229098755399318</v>
      </c>
      <c r="H10086" s="22" t="n">
        <f aca="false">H10085-H10084</f>
        <v>-0.223076336124801</v>
      </c>
      <c r="I10086" s="22" t="n">
        <f aca="false">I10085-I10084</f>
        <v>-0.221811470181724</v>
      </c>
      <c r="J10086" s="22" t="n">
        <f aca="false">J10085-J10084</f>
        <v>-0.220546604238646</v>
      </c>
      <c r="K10086" s="22" t="n">
        <f aca="false">K10085-K10084</f>
        <v>-0.219281738295568</v>
      </c>
    </row>
    <row r="10087" customFormat="false" ht="15" hidden="false" customHeight="false" outlineLevel="0" collapsed="false">
      <c r="A10087" s="3" t="s">
        <v>431</v>
      </c>
      <c r="G10087" s="22" t="n">
        <f aca="false">IF(G10085=0,0,G10086/ABS(G10085))</f>
        <v>-0.381831258998863</v>
      </c>
      <c r="H10087" s="22" t="n">
        <f aca="false">IF(H10085=0,0,H10086/ABS(H10085))</f>
        <v>-0.371793893541335</v>
      </c>
      <c r="I10087" s="22" t="n">
        <f aca="false">IF(I10085=0,0,I10086/ABS(I10085))</f>
        <v>-0.369685783636206</v>
      </c>
      <c r="J10087" s="22" t="n">
        <f aca="false">IF(J10085=0,0,J10086/ABS(J10085))</f>
        <v>-0.367577673731077</v>
      </c>
      <c r="K10087" s="22" t="n">
        <f aca="false">IF(K10085=0,0,K10086/ABS(K10085))</f>
        <v>-0.365469563825947</v>
      </c>
    </row>
    <row r="10088" customFormat="false" ht="15" hidden="false" customHeight="false" outlineLevel="0" collapsed="false">
      <c r="A10088" s="3" t="s">
        <v>432</v>
      </c>
      <c r="G10088" s="21" t="n">
        <f aca="false">IF(G10086&lt;0,1,0)</f>
        <v>1</v>
      </c>
      <c r="H10088" s="21" t="n">
        <f aca="false">IF(H10086&lt;0,1,0)</f>
        <v>1</v>
      </c>
      <c r="I10088" s="21" t="n">
        <f aca="false">IF(I10086&lt;0,1,0)</f>
        <v>1</v>
      </c>
      <c r="J10088" s="21" t="n">
        <f aca="false">IF(J10086&lt;0,1,0)</f>
        <v>1</v>
      </c>
      <c r="K10088" s="21" t="n">
        <f aca="false">IF(K10086&lt;0,1,0)</f>
        <v>1</v>
      </c>
    </row>
    <row r="10089" customFormat="false" ht="15" hidden="false" customHeight="false" outlineLevel="0" collapsed="false">
      <c r="A10089" s="3" t="s">
        <v>433</v>
      </c>
      <c r="C10089" s="21" t="n">
        <f aca="false">IFERROR(INDEX($G$9838:$K$9838,MATCH(1,$G$10088:$K$10088,0)),0)</f>
        <v>2027</v>
      </c>
    </row>
    <row r="10090" customFormat="false" ht="15" hidden="false" customHeight="false" outlineLevel="0" collapsed="false">
      <c r="A10090" s="3" t="s">
        <v>434</v>
      </c>
      <c r="C10090" s="22" t="n">
        <f aca="false">MIN($G$10087:$K$10087)</f>
        <v>-0.381831258998863</v>
      </c>
    </row>
    <row r="10091" customFormat="false" ht="15" hidden="false" customHeight="false" outlineLevel="0" collapsed="false">
      <c r="A10091" s="24" t="s">
        <v>435</v>
      </c>
      <c r="B10091" s="25"/>
      <c r="C10091" s="25"/>
      <c r="D10091" s="25"/>
      <c r="E10091" s="25"/>
      <c r="F10091" s="25"/>
      <c r="G10091" s="25"/>
      <c r="H10091" s="25"/>
      <c r="I10091" s="25"/>
      <c r="J10091" s="25"/>
      <c r="K10091" s="25"/>
    </row>
    <row r="10092" customFormat="false" ht="15" hidden="false" customHeight="false" outlineLevel="0" collapsed="false">
      <c r="A10092" s="3" t="s">
        <v>428</v>
      </c>
      <c r="G10092" s="32" t="n">
        <f aca="false">IF(G9852&gt;0,G9848/G9852,99)</f>
        <v>1.06025908412371</v>
      </c>
      <c r="H10092" s="32" t="n">
        <f aca="false">IF(H9852&gt;0,H9848/H9852,99)</f>
        <v>0.927444011573365</v>
      </c>
      <c r="I10092" s="32" t="n">
        <f aca="false">IF(I9852&gt;0,I9848/I9852,99)</f>
        <v>0.899631625108658</v>
      </c>
      <c r="J10092" s="32" t="n">
        <f aca="false">IF(J9852&gt;0,J9848/J9852,99)</f>
        <v>0.912459444554051</v>
      </c>
      <c r="K10092" s="32" t="n">
        <f aca="false">IF(K9852&gt;0,K9848/K9852,99)</f>
        <v>0.945346751531936</v>
      </c>
    </row>
    <row r="10093" customFormat="false" ht="15" hidden="false" customHeight="false" outlineLevel="0" collapsed="false">
      <c r="A10093" s="3" t="s">
        <v>429</v>
      </c>
      <c r="G10093" s="34" t="n">
        <f aca="false">Assumptions!$G$72</f>
        <v>1.5</v>
      </c>
      <c r="H10093" s="34" t="n">
        <f aca="false">Assumptions!$H$72</f>
        <v>1.5</v>
      </c>
      <c r="I10093" s="34" t="n">
        <f aca="false">Assumptions!$I$72</f>
        <v>1.5</v>
      </c>
      <c r="J10093" s="34" t="n">
        <f aca="false">Assumptions!$J$72</f>
        <v>1.5</v>
      </c>
      <c r="K10093" s="34" t="n">
        <f aca="false">Assumptions!$K$72</f>
        <v>1.5</v>
      </c>
    </row>
    <row r="10094" customFormat="false" ht="15" hidden="false" customHeight="false" outlineLevel="0" collapsed="false">
      <c r="A10094" s="3" t="s">
        <v>430</v>
      </c>
      <c r="G10094" s="32" t="n">
        <f aca="false">G10092-G10093</f>
        <v>-0.439740915876287</v>
      </c>
      <c r="H10094" s="32" t="n">
        <f aca="false">H10092-H10093</f>
        <v>-0.572555988426635</v>
      </c>
      <c r="I10094" s="32" t="n">
        <f aca="false">I10092-I10093</f>
        <v>-0.600368374891342</v>
      </c>
      <c r="J10094" s="32" t="n">
        <f aca="false">J10092-J10093</f>
        <v>-0.58754055544595</v>
      </c>
      <c r="K10094" s="32" t="n">
        <f aca="false">K10092-K10093</f>
        <v>-0.554653248468064</v>
      </c>
    </row>
    <row r="10095" customFormat="false" ht="15" hidden="false" customHeight="false" outlineLevel="0" collapsed="false">
      <c r="A10095" s="3" t="s">
        <v>431</v>
      </c>
      <c r="G10095" s="22" t="n">
        <f aca="false">IF(G10093=0,0,G10094/ABS(G10093))</f>
        <v>-0.293160610584191</v>
      </c>
      <c r="H10095" s="22" t="n">
        <f aca="false">IF(H10093=0,0,H10094/ABS(H10093))</f>
        <v>-0.381703992284423</v>
      </c>
      <c r="I10095" s="22" t="n">
        <f aca="false">IF(I10093=0,0,I10094/ABS(I10093))</f>
        <v>-0.400245583260895</v>
      </c>
      <c r="J10095" s="22" t="n">
        <f aca="false">IF(J10093=0,0,J10094/ABS(J10093))</f>
        <v>-0.391693703630633</v>
      </c>
      <c r="K10095" s="22" t="n">
        <f aca="false">IF(K10093=0,0,K10094/ABS(K10093))</f>
        <v>-0.369768832312043</v>
      </c>
    </row>
    <row r="10096" customFormat="false" ht="15" hidden="false" customHeight="false" outlineLevel="0" collapsed="false">
      <c r="A10096" s="3" t="s">
        <v>432</v>
      </c>
      <c r="G10096" s="21" t="n">
        <f aca="false">IF(G10094&lt;0,1,0)</f>
        <v>1</v>
      </c>
      <c r="H10096" s="21" t="n">
        <f aca="false">IF(H10094&lt;0,1,0)</f>
        <v>1</v>
      </c>
      <c r="I10096" s="21" t="n">
        <f aca="false">IF(I10094&lt;0,1,0)</f>
        <v>1</v>
      </c>
      <c r="J10096" s="21" t="n">
        <f aca="false">IF(J10094&lt;0,1,0)</f>
        <v>1</v>
      </c>
      <c r="K10096" s="21" t="n">
        <f aca="false">IF(K10094&lt;0,1,0)</f>
        <v>1</v>
      </c>
    </row>
    <row r="10097" customFormat="false" ht="15" hidden="false" customHeight="false" outlineLevel="0" collapsed="false">
      <c r="A10097" s="3" t="s">
        <v>433</v>
      </c>
      <c r="C10097" s="21" t="n">
        <f aca="false">IFERROR(INDEX($G$9838:$K$9838,MATCH(1,$G$10096:$K$10096,0)),0)</f>
        <v>2027</v>
      </c>
    </row>
    <row r="10098" customFormat="false" ht="15" hidden="false" customHeight="false" outlineLevel="0" collapsed="false">
      <c r="A10098" s="3" t="s">
        <v>434</v>
      </c>
      <c r="C10098" s="22" t="n">
        <f aca="false">MIN($G$10095:$K$10095)</f>
        <v>-0.400245583260895</v>
      </c>
    </row>
    <row r="10099" customFormat="false" ht="15" hidden="false" customHeight="false" outlineLevel="0" collapsed="false">
      <c r="A10099" s="24" t="s">
        <v>436</v>
      </c>
      <c r="B10099" s="25"/>
      <c r="C10099" s="25"/>
      <c r="D10099" s="25"/>
      <c r="E10099" s="25"/>
      <c r="F10099" s="25"/>
      <c r="G10099" s="25"/>
      <c r="H10099" s="25"/>
      <c r="I10099" s="25"/>
      <c r="J10099" s="25"/>
      <c r="K10099" s="25"/>
    </row>
    <row r="10100" customFormat="false" ht="15" hidden="false" customHeight="false" outlineLevel="0" collapsed="false">
      <c r="A10100" s="3" t="s">
        <v>428</v>
      </c>
      <c r="G10100" s="22" t="n">
        <f aca="false">IF(G10081&gt;0,G10070/G10081,99)</f>
        <v>0.171808005914176</v>
      </c>
      <c r="H10100" s="22" t="n">
        <f aca="false">IF(H10081&gt;0,H10070/H10081,99)</f>
        <v>0.170543139971098</v>
      </c>
      <c r="I10100" s="22" t="n">
        <f aca="false">IF(I10081&gt;0,I10070/I10081,99)</f>
        <v>0.169278274028021</v>
      </c>
      <c r="J10100" s="22" t="n">
        <f aca="false">IF(J10081&gt;0,J10070/J10081,99)</f>
        <v>0.168013408084943</v>
      </c>
      <c r="K10100" s="22" t="n">
        <f aca="false">IF(K10081&gt;0,K10070/K10081,99)</f>
        <v>0.166748542141865</v>
      </c>
    </row>
    <row r="10101" customFormat="false" ht="15" hidden="false" customHeight="false" outlineLevel="0" collapsed="false">
      <c r="A10101" s="3" t="s">
        <v>429</v>
      </c>
      <c r="G10101" s="33" t="n">
        <f aca="false">Assumptions!$G$73</f>
        <v>0.4</v>
      </c>
      <c r="H10101" s="33" t="n">
        <f aca="false">Assumptions!$H$73</f>
        <v>0.4</v>
      </c>
      <c r="I10101" s="33" t="n">
        <f aca="false">Assumptions!$I$73</f>
        <v>0.4</v>
      </c>
      <c r="J10101" s="33" t="n">
        <f aca="false">Assumptions!$J$73</f>
        <v>0.4</v>
      </c>
      <c r="K10101" s="33" t="n">
        <f aca="false">Assumptions!$K$73</f>
        <v>0.4</v>
      </c>
    </row>
    <row r="10102" customFormat="false" ht="15" hidden="false" customHeight="false" outlineLevel="0" collapsed="false">
      <c r="A10102" s="3" t="s">
        <v>430</v>
      </c>
      <c r="G10102" s="22" t="n">
        <f aca="false">G10101-G10100</f>
        <v>0.228191994085824</v>
      </c>
      <c r="H10102" s="22" t="n">
        <f aca="false">H10101-H10100</f>
        <v>0.229456860028902</v>
      </c>
      <c r="I10102" s="22" t="n">
        <f aca="false">I10101-I10100</f>
        <v>0.230721725971979</v>
      </c>
      <c r="J10102" s="22" t="n">
        <f aca="false">J10101-J10100</f>
        <v>0.231986591915057</v>
      </c>
      <c r="K10102" s="22" t="n">
        <f aca="false">K10101-K10100</f>
        <v>0.233251457858135</v>
      </c>
    </row>
    <row r="10103" customFormat="false" ht="15" hidden="false" customHeight="false" outlineLevel="0" collapsed="false">
      <c r="A10103" s="3" t="s">
        <v>431</v>
      </c>
      <c r="G10103" s="22" t="n">
        <f aca="false">IF(G10101=0,0,G10102/ABS(G10101))</f>
        <v>0.57047998521456</v>
      </c>
      <c r="H10103" s="22" t="n">
        <f aca="false">IF(H10101=0,0,H10102/ABS(H10101))</f>
        <v>0.573642150072254</v>
      </c>
      <c r="I10103" s="22" t="n">
        <f aca="false">IF(I10101=0,0,I10102/ABS(I10101))</f>
        <v>0.576804314929948</v>
      </c>
      <c r="J10103" s="22" t="n">
        <f aca="false">IF(J10101=0,0,J10102/ABS(J10101))</f>
        <v>0.579966479787643</v>
      </c>
      <c r="K10103" s="22" t="n">
        <f aca="false">IF(K10101=0,0,K10102/ABS(K10101))</f>
        <v>0.583128644645337</v>
      </c>
    </row>
    <row r="10104" customFormat="false" ht="15" hidden="false" customHeight="false" outlineLevel="0" collapsed="false">
      <c r="A10104" s="3" t="s">
        <v>432</v>
      </c>
      <c r="G10104" s="21" t="n">
        <f aca="false">IF(G10102&lt;0,1,0)</f>
        <v>0</v>
      </c>
      <c r="H10104" s="21" t="n">
        <f aca="false">IF(H10102&lt;0,1,0)</f>
        <v>0</v>
      </c>
      <c r="I10104" s="21" t="n">
        <f aca="false">IF(I10102&lt;0,1,0)</f>
        <v>0</v>
      </c>
      <c r="J10104" s="21" t="n">
        <f aca="false">IF(J10102&lt;0,1,0)</f>
        <v>0</v>
      </c>
      <c r="K10104" s="21" t="n">
        <f aca="false">IF(K10102&lt;0,1,0)</f>
        <v>0</v>
      </c>
    </row>
    <row r="10105" customFormat="false" ht="15" hidden="false" customHeight="false" outlineLevel="0" collapsed="false">
      <c r="A10105" s="3" t="s">
        <v>433</v>
      </c>
      <c r="C10105" s="21" t="n">
        <f aca="false">IFERROR(INDEX($G$9838:$K$9838,MATCH(1,$G$10104:$K$10104,0)),0)</f>
        <v>0</v>
      </c>
    </row>
    <row r="10106" customFormat="false" ht="15" hidden="false" customHeight="false" outlineLevel="0" collapsed="false">
      <c r="A10106" s="3" t="s">
        <v>434</v>
      </c>
      <c r="C10106" s="22" t="n">
        <f aca="false">MIN($G$10103:$K$10103)</f>
        <v>0.57047998521456</v>
      </c>
    </row>
    <row r="10107" customFormat="false" ht="15" hidden="false" customHeight="false" outlineLevel="0" collapsed="false">
      <c r="A10107" s="24" t="s">
        <v>437</v>
      </c>
      <c r="B10107" s="25"/>
      <c r="C10107" s="25"/>
      <c r="D10107" s="25"/>
      <c r="E10107" s="25"/>
      <c r="F10107" s="25"/>
      <c r="G10107" s="25"/>
      <c r="H10107" s="25"/>
      <c r="I10107" s="25"/>
      <c r="J10107" s="25"/>
      <c r="K10107" s="25"/>
    </row>
    <row r="10108" customFormat="false" ht="15" hidden="false" customHeight="false" outlineLevel="0" collapsed="false">
      <c r="A10108" s="3" t="s">
        <v>428</v>
      </c>
      <c r="G10108" s="16" t="n">
        <f aca="false">G10078</f>
        <v>661.7944416</v>
      </c>
      <c r="H10108" s="16" t="n">
        <f aca="false">H10078</f>
        <v>574.5</v>
      </c>
      <c r="I10108" s="16" t="n">
        <f aca="false">I10078</f>
        <v>574.5</v>
      </c>
      <c r="J10108" s="16" t="n">
        <f aca="false">J10078</f>
        <v>574.5</v>
      </c>
      <c r="K10108" s="16" t="n">
        <f aca="false">K10078</f>
        <v>574.5</v>
      </c>
    </row>
    <row r="10109" customFormat="false" ht="15" hidden="false" customHeight="false" outlineLevel="0" collapsed="false">
      <c r="A10109" s="3" t="s">
        <v>429</v>
      </c>
      <c r="G10109" s="29" t="n">
        <f aca="false">Assumptions!$G$74</f>
        <v>100</v>
      </c>
      <c r="H10109" s="29" t="n">
        <f aca="false">Assumptions!$H$74</f>
        <v>100</v>
      </c>
      <c r="I10109" s="29" t="n">
        <f aca="false">Assumptions!$I$74</f>
        <v>100</v>
      </c>
      <c r="J10109" s="29" t="n">
        <f aca="false">Assumptions!$J$74</f>
        <v>100</v>
      </c>
      <c r="K10109" s="29" t="n">
        <f aca="false">Assumptions!$K$74</f>
        <v>100</v>
      </c>
    </row>
    <row r="10110" customFormat="false" ht="15" hidden="false" customHeight="false" outlineLevel="0" collapsed="false">
      <c r="A10110" s="3" t="s">
        <v>430</v>
      </c>
      <c r="G10110" s="16" t="n">
        <f aca="false">G10108-G10109</f>
        <v>561.7944416</v>
      </c>
      <c r="H10110" s="16" t="n">
        <f aca="false">H10108-H10109</f>
        <v>474.5</v>
      </c>
      <c r="I10110" s="16" t="n">
        <f aca="false">I10108-I10109</f>
        <v>474.5</v>
      </c>
      <c r="J10110" s="16" t="n">
        <f aca="false">J10108-J10109</f>
        <v>474.5</v>
      </c>
      <c r="K10110" s="16" t="n">
        <f aca="false">K10108-K10109</f>
        <v>474.5</v>
      </c>
    </row>
    <row r="10111" customFormat="false" ht="15" hidden="false" customHeight="false" outlineLevel="0" collapsed="false">
      <c r="A10111" s="3" t="s">
        <v>431</v>
      </c>
      <c r="G10111" s="22" t="n">
        <f aca="false">IF(G10109=0,0,G10110/ABS(G10109))</f>
        <v>5.617944416</v>
      </c>
      <c r="H10111" s="22" t="n">
        <f aca="false">IF(H10109=0,0,H10110/ABS(H10109))</f>
        <v>4.745</v>
      </c>
      <c r="I10111" s="22" t="n">
        <f aca="false">IF(I10109=0,0,I10110/ABS(I10109))</f>
        <v>4.745</v>
      </c>
      <c r="J10111" s="22" t="n">
        <f aca="false">IF(J10109=0,0,J10110/ABS(J10109))</f>
        <v>4.745</v>
      </c>
      <c r="K10111" s="22" t="n">
        <f aca="false">IF(K10109=0,0,K10110/ABS(K10109))</f>
        <v>4.745</v>
      </c>
    </row>
    <row r="10112" customFormat="false" ht="15" hidden="false" customHeight="false" outlineLevel="0" collapsed="false">
      <c r="A10112" s="3" t="s">
        <v>432</v>
      </c>
      <c r="G10112" s="21" t="n">
        <f aca="false">IF(G10110&lt;0,1,0)</f>
        <v>0</v>
      </c>
      <c r="H10112" s="21" t="n">
        <f aca="false">IF(H10110&lt;0,1,0)</f>
        <v>0</v>
      </c>
      <c r="I10112" s="21" t="n">
        <f aca="false">IF(I10110&lt;0,1,0)</f>
        <v>0</v>
      </c>
      <c r="J10112" s="21" t="n">
        <f aca="false">IF(J10110&lt;0,1,0)</f>
        <v>0</v>
      </c>
      <c r="K10112" s="21" t="n">
        <f aca="false">IF(K10110&lt;0,1,0)</f>
        <v>0</v>
      </c>
    </row>
    <row r="10113" customFormat="false" ht="15" hidden="false" customHeight="false" outlineLevel="0" collapsed="false">
      <c r="A10113" s="3" t="s">
        <v>433</v>
      </c>
      <c r="C10113" s="21" t="n">
        <f aca="false">IFERROR(INDEX($G$9838:$K$9838,MATCH(1,$G$10112:$K$10112,0)),0)</f>
        <v>0</v>
      </c>
    </row>
    <row r="10114" customFormat="false" ht="15" hidden="false" customHeight="false" outlineLevel="0" collapsed="false">
      <c r="A10114" s="3" t="s">
        <v>434</v>
      </c>
      <c r="C10114" s="22" t="n">
        <f aca="false">MIN($G$10111:$K$10111)</f>
        <v>4.745</v>
      </c>
    </row>
    <row r="10115" customFormat="false" ht="15" hidden="false" customHeight="false" outlineLevel="0" collapsed="false">
      <c r="A10115" s="24" t="s">
        <v>438</v>
      </c>
      <c r="B10115" s="25"/>
      <c r="C10115" s="25"/>
      <c r="D10115" s="25"/>
      <c r="E10115" s="25"/>
      <c r="F10115" s="25"/>
      <c r="G10115" s="25"/>
      <c r="H10115" s="25"/>
      <c r="I10115" s="25"/>
      <c r="J10115" s="25"/>
      <c r="K10115" s="25"/>
    </row>
    <row r="10116" customFormat="false" ht="15" hidden="false" customHeight="false" outlineLevel="0" collapsed="false">
      <c r="A10116" s="3" t="s">
        <v>428</v>
      </c>
      <c r="G10116" s="32" t="n">
        <f aca="false">IF(G9848&gt;0,G10071/G9848,99)</f>
        <v>12.2866312534504</v>
      </c>
      <c r="H10116" s="32" t="n">
        <f aca="false">IF(H9848&gt;0,H10071/H9848,99)</f>
        <v>14.5137170159321</v>
      </c>
      <c r="I10116" s="32" t="n">
        <f aca="false">IF(I9848&gt;0,I10071/I9848,99)</f>
        <v>15.5560738236619</v>
      </c>
      <c r="J10116" s="32" t="n">
        <f aca="false">IF(J9848&gt;0,J10071/J9848,99)</f>
        <v>15.7734539449449</v>
      </c>
      <c r="K10116" s="32" t="n">
        <f aca="false">IF(K9848&gt;0,K10071/K9848,99)</f>
        <v>15.6156103833885</v>
      </c>
    </row>
    <row r="10117" customFormat="false" ht="15" hidden="false" customHeight="false" outlineLevel="0" collapsed="false">
      <c r="A10117" s="3" t="s">
        <v>429</v>
      </c>
      <c r="G10117" s="34" t="n">
        <f aca="false">Assumptions!$G$75</f>
        <v>10.5</v>
      </c>
      <c r="H10117" s="34" t="n">
        <f aca="false">Assumptions!$H$75</f>
        <v>10.5</v>
      </c>
      <c r="I10117" s="34" t="n">
        <f aca="false">Assumptions!$I$75</f>
        <v>10</v>
      </c>
      <c r="J10117" s="34" t="n">
        <f aca="false">Assumptions!$J$75</f>
        <v>10</v>
      </c>
      <c r="K10117" s="34" t="n">
        <f aca="false">Assumptions!$K$75</f>
        <v>9.5</v>
      </c>
    </row>
    <row r="10118" customFormat="false" ht="15" hidden="false" customHeight="false" outlineLevel="0" collapsed="false">
      <c r="A10118" s="3" t="s">
        <v>430</v>
      </c>
      <c r="G10118" s="32" t="n">
        <f aca="false">G10117-G10116</f>
        <v>-1.78663125345038</v>
      </c>
      <c r="H10118" s="32" t="n">
        <f aca="false">H10117-H10116</f>
        <v>-4.01371701593214</v>
      </c>
      <c r="I10118" s="32" t="n">
        <f aca="false">I10117-I10116</f>
        <v>-5.55607382366189</v>
      </c>
      <c r="J10118" s="32" t="n">
        <f aca="false">J10117-J10116</f>
        <v>-5.7734539449449</v>
      </c>
      <c r="K10118" s="32" t="n">
        <f aca="false">K10117-K10116</f>
        <v>-6.11561038338853</v>
      </c>
    </row>
    <row r="10119" customFormat="false" ht="15" hidden="false" customHeight="false" outlineLevel="0" collapsed="false">
      <c r="A10119" s="3" t="s">
        <v>431</v>
      </c>
      <c r="G10119" s="22" t="n">
        <f aca="false">IF(G10117=0,0,G10118/ABS(G10117))</f>
        <v>-0.170155357471464</v>
      </c>
      <c r="H10119" s="22" t="n">
        <f aca="false">IF(H10117=0,0,H10118/ABS(H10117))</f>
        <v>-0.382258763422108</v>
      </c>
      <c r="I10119" s="22" t="n">
        <f aca="false">IF(I10117=0,0,I10118/ABS(I10117))</f>
        <v>-0.555607382366189</v>
      </c>
      <c r="J10119" s="22" t="n">
        <f aca="false">IF(J10117=0,0,J10118/ABS(J10117))</f>
        <v>-0.57734539449449</v>
      </c>
      <c r="K10119" s="22" t="n">
        <f aca="false">IF(K10117=0,0,K10118/ABS(K10117))</f>
        <v>-0.643748461409318</v>
      </c>
    </row>
    <row r="10120" customFormat="false" ht="15" hidden="false" customHeight="false" outlineLevel="0" collapsed="false">
      <c r="A10120" s="3" t="s">
        <v>432</v>
      </c>
      <c r="G10120" s="21" t="n">
        <f aca="false">IF(G10118&lt;0,1,0)</f>
        <v>1</v>
      </c>
      <c r="H10120" s="21" t="n">
        <f aca="false">IF(H10118&lt;0,1,0)</f>
        <v>1</v>
      </c>
      <c r="I10120" s="21" t="n">
        <f aca="false">IF(I10118&lt;0,1,0)</f>
        <v>1</v>
      </c>
      <c r="J10120" s="21" t="n">
        <f aca="false">IF(J10118&lt;0,1,0)</f>
        <v>1</v>
      </c>
      <c r="K10120" s="21" t="n">
        <f aca="false">IF(K10118&lt;0,1,0)</f>
        <v>1</v>
      </c>
    </row>
    <row r="10121" customFormat="false" ht="15" hidden="false" customHeight="false" outlineLevel="0" collapsed="false">
      <c r="A10121" s="3" t="s">
        <v>433</v>
      </c>
      <c r="C10121" s="21" t="n">
        <f aca="false">IFERROR(INDEX($G$9838:$K$9838,MATCH(1,$G$10120:$K$10120,0)),0)</f>
        <v>2027</v>
      </c>
    </row>
    <row r="10122" customFormat="false" ht="15" hidden="false" customHeight="false" outlineLevel="0" collapsed="false">
      <c r="A10122" s="3" t="s">
        <v>434</v>
      </c>
      <c r="C10122" s="22" t="n">
        <f aca="false">MIN($G$10119:$K$10119)</f>
        <v>-0.643748461409318</v>
      </c>
    </row>
    <row r="10123" customFormat="false" ht="15" hidden="false" customHeight="false" outlineLevel="0" collapsed="false">
      <c r="A10123" s="3" t="s">
        <v>439</v>
      </c>
      <c r="G10123" s="21" t="n">
        <f aca="false">G10088+G10096+G10104+G10112+G10120</f>
        <v>3</v>
      </c>
      <c r="H10123" s="21" t="n">
        <f aca="false">H10088+H10096+H10104+H10112+H10120</f>
        <v>3</v>
      </c>
      <c r="I10123" s="21" t="n">
        <f aca="false">I10088+I10096+I10104+I10112+I10120</f>
        <v>3</v>
      </c>
      <c r="J10123" s="21" t="n">
        <f aca="false">J10088+J10096+J10104+J10112+J10120</f>
        <v>3</v>
      </c>
      <c r="K10123" s="21" t="n">
        <f aca="false">K10088+K10096+K10104+K10112+K10120</f>
        <v>3</v>
      </c>
    </row>
    <row r="10124" customFormat="false" ht="15" hidden="false" customHeight="false" outlineLevel="0" collapsed="false">
      <c r="A10124" s="3" t="s">
        <v>440</v>
      </c>
      <c r="C10124" s="21" t="n">
        <f aca="false">SUM($G$10123:$K$10123)</f>
        <v>15</v>
      </c>
    </row>
    <row r="10125" customFormat="false" ht="15" hidden="false" customHeight="false" outlineLevel="0" collapsed="false">
      <c r="A10125" s="3" t="s">
        <v>441</v>
      </c>
      <c r="C10125" s="22" t="n">
        <f aca="false">MIN(C10090,C10098,C10106,C10114,C10122)</f>
        <v>-0.643748461409318</v>
      </c>
    </row>
    <row r="10127" customFormat="false" ht="15" hidden="false" customHeight="false" outlineLevel="0" collapsed="false">
      <c r="A10127" s="24" t="s">
        <v>543</v>
      </c>
      <c r="B10127" s="25"/>
      <c r="C10127" s="25"/>
      <c r="D10127" s="25"/>
      <c r="E10127" s="25"/>
      <c r="F10127" s="25"/>
      <c r="G10127" s="25"/>
      <c r="H10127" s="25"/>
      <c r="I10127" s="25"/>
      <c r="J10127" s="25"/>
      <c r="K10127" s="25"/>
    </row>
    <row r="10128" customFormat="false" ht="15" hidden="false" customHeight="false" outlineLevel="0" collapsed="false">
      <c r="A10128" s="3" t="s">
        <v>544</v>
      </c>
      <c r="G10128" s="21" t="n">
        <f aca="false">IF($C$10129=1,G10065,IF(G9848=MIN($G$9848:$K$9848),1,0))</f>
        <v>0</v>
      </c>
      <c r="H10128" s="21" t="n">
        <f aca="false">IF($C$10129=1,H10065,IF(AND(H9848=MIN($G$9848:$K$9848),SUM($G$10128:G10128)=0),1,0))</f>
        <v>1</v>
      </c>
      <c r="I10128" s="21" t="n">
        <f aca="false">IF($C$10129=1,I10065,IF(AND(I9848=MIN($G$9848:$K$9848),SUM($G$10128:H10128)=0),1,0))</f>
        <v>0</v>
      </c>
      <c r="J10128" s="21" t="n">
        <f aca="false">IF($C$10129=1,J10065,IF(AND(J9848=MIN($G$9848:$K$9848),SUM($G$10128:I10128)=0),1,0))</f>
        <v>0</v>
      </c>
      <c r="K10128" s="21" t="n">
        <f aca="false">IF($C$10129=1,K10065,IF(AND(K9848=MIN($G$9848:$K$9848),SUM($G$10128:J10128)=0),1,0))</f>
        <v>0</v>
      </c>
    </row>
    <row r="10129" customFormat="false" ht="15" hidden="false" customHeight="false" outlineLevel="0" collapsed="false">
      <c r="A10129" s="3" t="s">
        <v>545</v>
      </c>
      <c r="C10129" s="21" t="n">
        <f aca="false">IF(SUM($G$10065:$K$10065)&gt;0,1,0)</f>
        <v>1</v>
      </c>
    </row>
    <row r="10130" customFormat="false" ht="15" hidden="false" customHeight="false" outlineLevel="0" collapsed="false">
      <c r="A10130" s="3" t="s">
        <v>546</v>
      </c>
      <c r="C10130" s="21" t="n">
        <f aca="false">SUMPRODUCT($G$10128:$K$10128,$G$9838:$K$9838)</f>
        <v>2028</v>
      </c>
    </row>
    <row r="10131" customFormat="false" ht="15" hidden="false" customHeight="false" outlineLevel="0" collapsed="false">
      <c r="A10131" s="3" t="s">
        <v>547</v>
      </c>
      <c r="C10131" s="16" t="n">
        <f aca="false">SUMPRODUCT($G$10128:$K$10128,$G$9848:$K$9848)</f>
        <v>179.33991381</v>
      </c>
    </row>
    <row r="10132" customFormat="false" ht="15" hidden="false" customHeight="false" outlineLevel="0" collapsed="false">
      <c r="A10132" s="3" t="s">
        <v>548</v>
      </c>
      <c r="C10132" s="16" t="n">
        <f aca="false">MAX(0,SUMPRODUCT($G$10128:$K$10128,$G$10062:$K$10062))</f>
        <v>0</v>
      </c>
    </row>
    <row r="10133" customFormat="false" ht="15" hidden="false" customHeight="false" outlineLevel="0" collapsed="false">
      <c r="A10133" s="3" t="s">
        <v>549</v>
      </c>
      <c r="C10133" s="16" t="n">
        <f aca="false">(CHOOSE($C$9831,Assumptions!$C$92,Assumptions!$C$111,Assumptions!$C$130)+$C$9835)*C10131</f>
        <v>1434.71931048</v>
      </c>
    </row>
    <row r="10134" customFormat="false" ht="15" hidden="false" customHeight="false" outlineLevel="0" collapsed="false">
      <c r="A10134" s="3" t="s">
        <v>550</v>
      </c>
      <c r="C10134" s="16" t="n">
        <f aca="false">Assumptions!$C$31*(1-CHOOSE($C$9831,Assumptions!$C$93,Assumptions!$C$112,Assumptions!$C$131))*CHOOSE($C$9831,Assumptions!$C$94,Assumptions!$C$113,Assumptions!$C$132)</f>
        <v>2688.03189666667</v>
      </c>
    </row>
    <row r="10135" customFormat="false" ht="15" hidden="false" customHeight="false" outlineLevel="0" collapsed="false">
      <c r="A10135" s="3" t="s">
        <v>551</v>
      </c>
      <c r="C10135" s="16" t="n">
        <f aca="false">MAX(C10133,C10134)+C10132</f>
        <v>2688.03189666667</v>
      </c>
    </row>
    <row r="10136" customFormat="false" ht="15" hidden="false" customHeight="false" outlineLevel="0" collapsed="false">
      <c r="A10136" s="2" t="s">
        <v>552</v>
      </c>
      <c r="C10136" s="17" t="n">
        <f aca="false">IF(ISNUMBER(Assumptions!$C$14),Assumptions!$C$14,C10135)</f>
        <v>2688.03189666667</v>
      </c>
    </row>
    <row r="10137" customFormat="false" ht="15" hidden="false" customHeight="false" outlineLevel="0" collapsed="false">
      <c r="A10137" s="3" t="s">
        <v>553</v>
      </c>
      <c r="C10137" s="16" t="n">
        <f aca="false">C10136*Assumptions!$C$15</f>
        <v>107.521275866667</v>
      </c>
    </row>
    <row r="10138" customFormat="false" ht="15" hidden="false" customHeight="false" outlineLevel="0" collapsed="false">
      <c r="A10138" s="2" t="s">
        <v>554</v>
      </c>
      <c r="C10138" s="17" t="n">
        <f aca="false">C10136-C10137</f>
        <v>2580.5106208</v>
      </c>
    </row>
    <row r="10139" customFormat="false" ht="15" hidden="false" customHeight="false" outlineLevel="0" collapsed="false">
      <c r="A10139" s="24" t="s">
        <v>555</v>
      </c>
      <c r="B10139" s="25"/>
      <c r="C10139" s="25"/>
      <c r="D10139" s="25"/>
      <c r="E10139" s="25"/>
      <c r="F10139" s="25"/>
      <c r="G10139" s="25"/>
      <c r="H10139" s="25"/>
      <c r="I10139" s="25"/>
      <c r="J10139" s="25"/>
      <c r="K10139" s="25"/>
    </row>
    <row r="10140" customFormat="false" ht="15" hidden="false" customHeight="false" outlineLevel="0" collapsed="false">
      <c r="A10140" s="3" t="s">
        <v>556</v>
      </c>
      <c r="C10140" s="16" t="n">
        <f aca="false">SUMPRODUCT($G$10128:$K$10128,$G$9885:$K$9885)*(1+SUMPRODUCT($G$10128:$K$10128,$G$9877:$K$9877)*Assumptions!$C$16/12)</f>
        <v>403.76</v>
      </c>
    </row>
    <row r="10141" customFormat="false" ht="15" hidden="false" customHeight="false" outlineLevel="0" collapsed="false">
      <c r="A10141" s="3" t="s">
        <v>557</v>
      </c>
      <c r="C10141" s="16" t="n">
        <f aca="false">SUMPRODUCT($G$10128:$K$10128,$G$9898:$K$9898)*(1+SUMPRODUCT($G$10128:$K$10128,$G$9890:$K$9890)*Assumptions!$C$16/12)</f>
        <v>91.30725</v>
      </c>
    </row>
    <row r="10142" customFormat="false" ht="15" hidden="false" customHeight="false" outlineLevel="0" collapsed="false">
      <c r="A10142" s="3" t="s">
        <v>558</v>
      </c>
      <c r="C10142" s="16" t="n">
        <f aca="false">SUMPRODUCT($G$10128:$K$10128,$G$9911:$K$9911)*(1+SUMPRODUCT($G$10128:$K$10128,$G$9903:$K$9903)*Assumptions!$C$16/12)</f>
        <v>58.3715961</v>
      </c>
    </row>
    <row r="10143" customFormat="false" ht="15" hidden="false" customHeight="false" outlineLevel="0" collapsed="false">
      <c r="A10143" s="3" t="s">
        <v>559</v>
      </c>
      <c r="C10143" s="16" t="n">
        <f aca="false">SUMPRODUCT($G$10128:$K$10128,$G$9924:$K$9924)*(1+SUMPRODUCT($G$10128:$K$10128,$G$9916:$K$9916)*Assumptions!$C$16/12)</f>
        <v>0</v>
      </c>
    </row>
    <row r="10144" customFormat="false" ht="15" hidden="false" customHeight="false" outlineLevel="0" collapsed="false">
      <c r="A10144" s="3" t="s">
        <v>560</v>
      </c>
      <c r="C10144" s="16" t="n">
        <f aca="false">SUMPRODUCT($G$10128:$K$10128,$G$9937:$K$9937)*(1+SUMPRODUCT($G$10128:$K$10128,$G$9929:$K$9929)*Assumptions!$C$16/12)</f>
        <v>439.249936942163</v>
      </c>
    </row>
    <row r="10145" customFormat="false" ht="15" hidden="false" customHeight="false" outlineLevel="0" collapsed="false">
      <c r="A10145" s="3" t="s">
        <v>561</v>
      </c>
      <c r="C10145" s="16" t="n">
        <f aca="false">SUMPRODUCT($G$10128:$K$10128,$G$9950:$K$9950)*(1+SUMPRODUCT($G$10128:$K$10128,$G$9942:$K$9942)*Assumptions!$C$16/12)</f>
        <v>357.2625</v>
      </c>
    </row>
    <row r="10146" customFormat="false" ht="15" hidden="false" customHeight="false" outlineLevel="0" collapsed="false">
      <c r="A10146" s="3" t="s">
        <v>562</v>
      </c>
      <c r="C10146" s="16" t="n">
        <f aca="false">SUMPRODUCT($G$10128:$K$10128,$G$9963:$K$9963)*(1+SUMPRODUCT($G$10128:$K$10128,$G$9955:$K$9955)*Assumptions!$C$16/12)</f>
        <v>562.203125</v>
      </c>
    </row>
    <row r="10147" customFormat="false" ht="15" hidden="false" customHeight="false" outlineLevel="0" collapsed="false">
      <c r="A10147" s="3" t="s">
        <v>563</v>
      </c>
      <c r="C10147" s="16" t="n">
        <f aca="false">SUMPRODUCT($G$10128:$K$10128,$G$9976:$K$9976)*(1+SUMPRODUCT($G$10128:$K$10128,$G$9968:$K$9968)*Assumptions!$C$16/12)</f>
        <v>353.98125</v>
      </c>
    </row>
    <row r="10148" customFormat="false" ht="15" hidden="false" customHeight="false" outlineLevel="0" collapsed="false">
      <c r="A10148" s="3" t="s">
        <v>564</v>
      </c>
      <c r="C10148" s="16" t="n">
        <f aca="false">SUMPRODUCT($G$10128:$K$10128,$G$9989:$K$9989)*(1+SUMPRODUCT($G$10128:$K$10128,$G$9981:$K$9981)*Assumptions!$C$16/12)</f>
        <v>304.59375</v>
      </c>
    </row>
    <row r="10149" customFormat="false" ht="15" hidden="false" customHeight="false" outlineLevel="0" collapsed="false">
      <c r="A10149" s="3" t="s">
        <v>565</v>
      </c>
      <c r="C10149" s="16" t="n">
        <f aca="false">SUMPRODUCT($G$10128:$K$10128,$G$10002:$K$10002)*(1+SUMPRODUCT($G$10128:$K$10128,$G$9994:$K$9994)*Assumptions!$C$16/12)</f>
        <v>80.2332965</v>
      </c>
    </row>
    <row r="10150" customFormat="false" ht="15" hidden="false" customHeight="false" outlineLevel="0" collapsed="false">
      <c r="A10150" s="24" t="s">
        <v>566</v>
      </c>
      <c r="B10150" s="25"/>
      <c r="C10150" s="25"/>
      <c r="D10150" s="25"/>
      <c r="E10150" s="25"/>
      <c r="F10150" s="25"/>
      <c r="G10150" s="25"/>
      <c r="H10150" s="25"/>
      <c r="I10150" s="25"/>
      <c r="J10150" s="25"/>
      <c r="K10150" s="25"/>
    </row>
    <row r="10151" customFormat="false" ht="15" hidden="false" customHeight="false" outlineLevel="0" collapsed="false">
      <c r="A10151" s="3" t="s">
        <v>556</v>
      </c>
      <c r="C10151" s="27" t="n">
        <f aca="false">Assumptions!$M$57</f>
        <v>1</v>
      </c>
    </row>
    <row r="10152" customFormat="false" ht="15" hidden="false" customHeight="false" outlineLevel="0" collapsed="false">
      <c r="A10152" s="3" t="s">
        <v>557</v>
      </c>
      <c r="C10152" s="27" t="n">
        <f aca="false">Assumptions!$M$58</f>
        <v>1</v>
      </c>
    </row>
    <row r="10153" customFormat="false" ht="15" hidden="false" customHeight="false" outlineLevel="0" collapsed="false">
      <c r="A10153" s="3" t="s">
        <v>558</v>
      </c>
      <c r="C10153" s="27" t="n">
        <f aca="false">Assumptions!$M$59</f>
        <v>1</v>
      </c>
    </row>
    <row r="10154" customFormat="false" ht="15" hidden="false" customHeight="false" outlineLevel="0" collapsed="false">
      <c r="A10154" s="3" t="s">
        <v>559</v>
      </c>
      <c r="C10154" s="27" t="n">
        <f aca="false">Assumptions!$M$60</f>
        <v>2</v>
      </c>
    </row>
    <row r="10155" customFormat="false" ht="15" hidden="false" customHeight="false" outlineLevel="0" collapsed="false">
      <c r="A10155" s="3" t="s">
        <v>560</v>
      </c>
      <c r="C10155" s="27" t="n">
        <f aca="false">Assumptions!$M$61</f>
        <v>2</v>
      </c>
    </row>
    <row r="10156" customFormat="false" ht="15" hidden="false" customHeight="false" outlineLevel="0" collapsed="false">
      <c r="A10156" s="3" t="s">
        <v>561</v>
      </c>
      <c r="C10156" s="27" t="n">
        <f aca="false">Assumptions!$M$62</f>
        <v>2</v>
      </c>
    </row>
    <row r="10157" customFormat="false" ht="15" hidden="false" customHeight="false" outlineLevel="0" collapsed="false">
      <c r="A10157" s="3" t="s">
        <v>562</v>
      </c>
      <c r="C10157" s="27" t="n">
        <f aca="false">Assumptions!$M$63</f>
        <v>2</v>
      </c>
    </row>
    <row r="10158" customFormat="false" ht="15" hidden="false" customHeight="false" outlineLevel="0" collapsed="false">
      <c r="A10158" s="3" t="s">
        <v>563</v>
      </c>
      <c r="C10158" s="27" t="n">
        <f aca="false">Assumptions!$M$64</f>
        <v>2</v>
      </c>
    </row>
    <row r="10159" customFormat="false" ht="15" hidden="false" customHeight="false" outlineLevel="0" collapsed="false">
      <c r="A10159" s="3" t="s">
        <v>564</v>
      </c>
      <c r="C10159" s="27" t="n">
        <f aca="false">Assumptions!$M$65</f>
        <v>2</v>
      </c>
    </row>
    <row r="10160" customFormat="false" ht="15" hidden="false" customHeight="false" outlineLevel="0" collapsed="false">
      <c r="A10160" s="3" t="s">
        <v>565</v>
      </c>
      <c r="C10160" s="27" t="n">
        <f aca="false">Assumptions!$M$66</f>
        <v>3</v>
      </c>
    </row>
    <row r="10161" customFormat="false" ht="15" hidden="false" customHeight="false" outlineLevel="0" collapsed="false">
      <c r="A10161" s="24" t="s">
        <v>567</v>
      </c>
      <c r="B10161" s="25"/>
      <c r="C10161" s="25"/>
      <c r="D10161" s="25"/>
      <c r="E10161" s="25"/>
      <c r="F10161" s="25"/>
      <c r="G10161" s="25"/>
      <c r="H10161" s="25"/>
      <c r="I10161" s="25"/>
      <c r="J10161" s="25"/>
      <c r="K10161" s="25"/>
    </row>
    <row r="10162" customFormat="false" ht="15" hidden="false" customHeight="false" outlineLevel="0" collapsed="false">
      <c r="A10162" s="3" t="s">
        <v>556</v>
      </c>
      <c r="C10162" s="33" t="n">
        <f aca="false">Assumptions!$Q$57</f>
        <v>0.3</v>
      </c>
    </row>
    <row r="10163" customFormat="false" ht="15" hidden="false" customHeight="false" outlineLevel="0" collapsed="false">
      <c r="A10163" s="3" t="s">
        <v>557</v>
      </c>
      <c r="C10163" s="33" t="n">
        <f aca="false">Assumptions!$Q$58</f>
        <v>0.033</v>
      </c>
    </row>
    <row r="10164" customFormat="false" ht="15" hidden="false" customHeight="false" outlineLevel="0" collapsed="false">
      <c r="A10164" s="3" t="s">
        <v>558</v>
      </c>
      <c r="C10164" s="33" t="n">
        <f aca="false">Assumptions!$Q$59</f>
        <v>0.021</v>
      </c>
    </row>
    <row r="10165" customFormat="false" ht="15" hidden="false" customHeight="false" outlineLevel="0" collapsed="false">
      <c r="A10165" s="3" t="s">
        <v>559</v>
      </c>
      <c r="C10165" s="33" t="n">
        <f aca="false">Assumptions!$Q$60</f>
        <v>0</v>
      </c>
    </row>
    <row r="10166" customFormat="false" ht="15" hidden="false" customHeight="false" outlineLevel="0" collapsed="false">
      <c r="A10166" s="3" t="s">
        <v>560</v>
      </c>
      <c r="C10166" s="33" t="n">
        <f aca="false">Assumptions!$Q$61</f>
        <v>0</v>
      </c>
    </row>
    <row r="10167" customFormat="false" ht="15" hidden="false" customHeight="false" outlineLevel="0" collapsed="false">
      <c r="A10167" s="3" t="s">
        <v>561</v>
      </c>
      <c r="C10167" s="33" t="n">
        <f aca="false">Assumptions!$Q$62</f>
        <v>0</v>
      </c>
    </row>
    <row r="10168" customFormat="false" ht="15" hidden="false" customHeight="false" outlineLevel="0" collapsed="false">
      <c r="A10168" s="3" t="s">
        <v>562</v>
      </c>
      <c r="C10168" s="33" t="n">
        <f aca="false">Assumptions!$Q$63</f>
        <v>0</v>
      </c>
    </row>
    <row r="10169" customFormat="false" ht="15" hidden="false" customHeight="false" outlineLevel="0" collapsed="false">
      <c r="A10169" s="3" t="s">
        <v>563</v>
      </c>
      <c r="C10169" s="33" t="n">
        <f aca="false">Assumptions!$Q$64</f>
        <v>0</v>
      </c>
    </row>
    <row r="10170" customFormat="false" ht="15" hidden="false" customHeight="false" outlineLevel="0" collapsed="false">
      <c r="A10170" s="3" t="s">
        <v>564</v>
      </c>
      <c r="C10170" s="33" t="n">
        <f aca="false">Assumptions!$Q$65</f>
        <v>0</v>
      </c>
    </row>
    <row r="10171" customFormat="false" ht="15" hidden="false" customHeight="false" outlineLevel="0" collapsed="false">
      <c r="A10171" s="3" t="s">
        <v>565</v>
      </c>
      <c r="C10171" s="33" t="n">
        <f aca="false">Assumptions!$Q$66</f>
        <v>0</v>
      </c>
    </row>
    <row r="10172" customFormat="false" ht="15" hidden="false" customHeight="false" outlineLevel="0" collapsed="false">
      <c r="A10172" s="24" t="s">
        <v>568</v>
      </c>
      <c r="B10172" s="25"/>
      <c r="C10172" s="25"/>
      <c r="D10172" s="25"/>
      <c r="E10172" s="25"/>
      <c r="F10172" s="25"/>
      <c r="G10172" s="25"/>
      <c r="H10172" s="25"/>
      <c r="I10172" s="25"/>
      <c r="J10172" s="25"/>
      <c r="K10172" s="25"/>
    </row>
    <row r="10173" customFormat="false" ht="15" hidden="false" customHeight="false" outlineLevel="0" collapsed="false">
      <c r="A10173" s="3" t="s">
        <v>556</v>
      </c>
      <c r="C10173" s="16" t="n">
        <f aca="false">IF(C10162&gt;0,MIN(C10140,C10162*$C$10138),0)</f>
        <v>403.76</v>
      </c>
    </row>
    <row r="10174" customFormat="false" ht="15" hidden="false" customHeight="false" outlineLevel="0" collapsed="false">
      <c r="A10174" s="3" t="s">
        <v>557</v>
      </c>
      <c r="C10174" s="16" t="n">
        <f aca="false">IF(C10163&gt;0,MIN(C10141,C10163*$C$10138),0)</f>
        <v>85.1568504864</v>
      </c>
    </row>
    <row r="10175" customFormat="false" ht="15" hidden="false" customHeight="false" outlineLevel="0" collapsed="false">
      <c r="A10175" s="3" t="s">
        <v>558</v>
      </c>
      <c r="C10175" s="16" t="n">
        <f aca="false">IF(C10164&gt;0,MIN(C10142,C10164*$C$10138),0)</f>
        <v>54.1907230368</v>
      </c>
    </row>
    <row r="10176" customFormat="false" ht="15" hidden="false" customHeight="false" outlineLevel="0" collapsed="false">
      <c r="A10176" s="3" t="s">
        <v>559</v>
      </c>
      <c r="C10176" s="16" t="n">
        <f aca="false">IF(C10165&gt;0,MIN(C10143,C10165*$C$10138),0)</f>
        <v>0</v>
      </c>
    </row>
    <row r="10177" customFormat="false" ht="15" hidden="false" customHeight="false" outlineLevel="0" collapsed="false">
      <c r="A10177" s="3" t="s">
        <v>560</v>
      </c>
      <c r="C10177" s="16" t="n">
        <f aca="false">IF(C10166&gt;0,MIN(C10144,C10166*$C$10138),0)</f>
        <v>0</v>
      </c>
    </row>
    <row r="10178" customFormat="false" ht="15" hidden="false" customHeight="false" outlineLevel="0" collapsed="false">
      <c r="A10178" s="3" t="s">
        <v>561</v>
      </c>
      <c r="C10178" s="16" t="n">
        <f aca="false">IF(C10167&gt;0,MIN(C10145,C10167*$C$10138),0)</f>
        <v>0</v>
      </c>
    </row>
    <row r="10179" customFormat="false" ht="15" hidden="false" customHeight="false" outlineLevel="0" collapsed="false">
      <c r="A10179" s="3" t="s">
        <v>562</v>
      </c>
      <c r="C10179" s="16" t="n">
        <f aca="false">IF(C10168&gt;0,MIN(C10146,C10168*$C$10138),0)</f>
        <v>0</v>
      </c>
    </row>
    <row r="10180" customFormat="false" ht="15" hidden="false" customHeight="false" outlineLevel="0" collapsed="false">
      <c r="A10180" s="3" t="s">
        <v>563</v>
      </c>
      <c r="C10180" s="16" t="n">
        <f aca="false">IF(C10169&gt;0,MIN(C10147,C10169*$C$10138),0)</f>
        <v>0</v>
      </c>
    </row>
    <row r="10181" customFormat="false" ht="15" hidden="false" customHeight="false" outlineLevel="0" collapsed="false">
      <c r="A10181" s="3" t="s">
        <v>564</v>
      </c>
      <c r="C10181" s="16" t="n">
        <f aca="false">IF(C10170&gt;0,MIN(C10148,C10170*$C$10138),0)</f>
        <v>0</v>
      </c>
    </row>
    <row r="10182" customFormat="false" ht="15" hidden="false" customHeight="false" outlineLevel="0" collapsed="false">
      <c r="A10182" s="3" t="s">
        <v>565</v>
      </c>
      <c r="C10182" s="16" t="n">
        <f aca="false">IF(C10171&gt;0,MIN(C10149,C10171*$C$10138),0)</f>
        <v>0</v>
      </c>
    </row>
    <row r="10183" customFormat="false" ht="15" hidden="false" customHeight="false" outlineLevel="0" collapsed="false">
      <c r="A10183" s="24" t="s">
        <v>569</v>
      </c>
      <c r="B10183" s="25"/>
      <c r="C10183" s="25"/>
      <c r="D10183" s="25"/>
      <c r="E10183" s="25"/>
      <c r="F10183" s="25"/>
      <c r="G10183" s="25"/>
      <c r="H10183" s="25"/>
      <c r="I10183" s="25"/>
      <c r="J10183" s="25"/>
      <c r="K10183" s="25"/>
    </row>
    <row r="10184" customFormat="false" ht="15" hidden="false" customHeight="false" outlineLevel="0" collapsed="false">
      <c r="A10184" s="3" t="s">
        <v>556</v>
      </c>
      <c r="C10184" s="16" t="n">
        <f aca="false">IF(C10162&gt;0,C10140-C10173,0)</f>
        <v>0</v>
      </c>
      <c r="G10184" s="21" t="n">
        <f aca="false">IF(AND(G9875=1,G9872=1),1,0)</f>
        <v>0</v>
      </c>
      <c r="H10184" s="21" t="n">
        <f aca="false">IF(G10184=1,1,IF(AND(H9875=1,H9872=1),1,0))</f>
        <v>0</v>
      </c>
      <c r="I10184" s="21" t="n">
        <f aca="false">IF(H10184=1,1,IF(AND(I9875=1,I9872=1),1,0))</f>
        <v>0</v>
      </c>
      <c r="J10184" s="21" t="n">
        <f aca="false">IF(I10184=1,1,IF(AND(J9875=1,J9872=1),1,0))</f>
        <v>0</v>
      </c>
      <c r="K10184" s="21" t="n">
        <f aca="false">IF(J10184=1,1,IF(AND(K9875=1,K9872=1),1,0))</f>
        <v>0</v>
      </c>
    </row>
    <row r="10185" customFormat="false" ht="15" hidden="false" customHeight="false" outlineLevel="0" collapsed="false">
      <c r="A10185" s="3" t="s">
        <v>557</v>
      </c>
      <c r="C10185" s="16" t="n">
        <f aca="false">IF(C10163&gt;0,C10141-C10174,0)</f>
        <v>6.15039951360001</v>
      </c>
      <c r="G10185" s="21" t="n">
        <f aca="false">IF(AND(G9888=1,G9872=1),1,0)</f>
        <v>0</v>
      </c>
      <c r="H10185" s="21" t="n">
        <f aca="false">IF(G10185=1,1,IF(AND(H9888=1,H9872=1),1,0))</f>
        <v>0</v>
      </c>
      <c r="I10185" s="21" t="n">
        <f aca="false">IF(H10185=1,1,IF(AND(I9888=1,I9872=1),1,0))</f>
        <v>0</v>
      </c>
      <c r="J10185" s="21" t="n">
        <f aca="false">IF(I10185=1,1,IF(AND(J9888=1,J9872=1),1,0))</f>
        <v>0</v>
      </c>
      <c r="K10185" s="21" t="n">
        <f aca="false">IF(J10185=1,1,IF(AND(K9888=1,K9872=1),1,0))</f>
        <v>0</v>
      </c>
    </row>
    <row r="10186" customFormat="false" ht="15" hidden="false" customHeight="false" outlineLevel="0" collapsed="false">
      <c r="A10186" s="3" t="s">
        <v>558</v>
      </c>
      <c r="C10186" s="16" t="n">
        <f aca="false">IF(C10164&gt;0,C10142-C10175,0)</f>
        <v>4.1808730632</v>
      </c>
      <c r="G10186" s="21" t="n">
        <f aca="false">IF(AND(G9901=1,G9872=1),1,0)</f>
        <v>0</v>
      </c>
      <c r="H10186" s="21" t="n">
        <f aca="false">IF(G10186=1,1,IF(AND(H9901=1,H9872=1),1,0))</f>
        <v>0</v>
      </c>
      <c r="I10186" s="21" t="n">
        <f aca="false">IF(H10186=1,1,IF(AND(I9901=1,I9872=1),1,0))</f>
        <v>0</v>
      </c>
      <c r="J10186" s="21" t="n">
        <f aca="false">IF(I10186=1,1,IF(AND(J9901=1,J9872=1),1,0))</f>
        <v>0</v>
      </c>
      <c r="K10186" s="21" t="n">
        <f aca="false">IF(J10186=1,1,IF(AND(K9901=1,K9872=1),1,0))</f>
        <v>0</v>
      </c>
    </row>
    <row r="10187" customFormat="false" ht="15" hidden="false" customHeight="false" outlineLevel="0" collapsed="false">
      <c r="A10187" s="3" t="s">
        <v>559</v>
      </c>
      <c r="C10187" s="16" t="n">
        <f aca="false">IF(C10165&gt;0,C10143-C10176,0)</f>
        <v>0</v>
      </c>
      <c r="G10187" s="21" t="n">
        <f aca="false">IF(AND(G9914=1,G9872=1),1,0)</f>
        <v>0</v>
      </c>
      <c r="H10187" s="21" t="n">
        <f aca="false">IF(G10187=1,1,IF(AND(H9914=1,H9872=1),1,0))</f>
        <v>0</v>
      </c>
      <c r="I10187" s="21" t="n">
        <f aca="false">IF(H10187=1,1,IF(AND(I9914=1,I9872=1),1,0))</f>
        <v>0</v>
      </c>
      <c r="J10187" s="21" t="n">
        <f aca="false">IF(I10187=1,1,IF(AND(J9914=1,J9872=1),1,0))</f>
        <v>0</v>
      </c>
      <c r="K10187" s="21" t="n">
        <f aca="false">IF(J10187=1,1,IF(AND(K9914=1,K9872=1),1,0))</f>
        <v>0</v>
      </c>
    </row>
    <row r="10188" customFormat="false" ht="15" hidden="false" customHeight="false" outlineLevel="0" collapsed="false">
      <c r="A10188" s="3" t="s">
        <v>560</v>
      </c>
      <c r="C10188" s="16" t="n">
        <f aca="false">IF(C10166&gt;0,C10144-C10177,0)</f>
        <v>0</v>
      </c>
      <c r="G10188" s="21" t="n">
        <f aca="false">IF(AND(G9927=1,G9872=1),1,0)</f>
        <v>0</v>
      </c>
      <c r="H10188" s="21" t="n">
        <f aca="false">IF(G10188=1,1,IF(AND(H9927=1,H9872=1),1,0))</f>
        <v>0</v>
      </c>
      <c r="I10188" s="21" t="n">
        <f aca="false">IF(H10188=1,1,IF(AND(I9927=1,I9872=1),1,0))</f>
        <v>0</v>
      </c>
      <c r="J10188" s="21" t="n">
        <f aca="false">IF(I10188=1,1,IF(AND(J9927=1,J9872=1),1,0))</f>
        <v>0</v>
      </c>
      <c r="K10188" s="21" t="n">
        <f aca="false">IF(J10188=1,1,IF(AND(K9927=1,K9872=1),1,0))</f>
        <v>0</v>
      </c>
    </row>
    <row r="10189" customFormat="false" ht="15" hidden="false" customHeight="false" outlineLevel="0" collapsed="false">
      <c r="A10189" s="3" t="s">
        <v>561</v>
      </c>
      <c r="C10189" s="16" t="n">
        <f aca="false">IF(C10167&gt;0,C10145-C10178,0)</f>
        <v>0</v>
      </c>
      <c r="G10189" s="21" t="n">
        <f aca="false">IF(AND(G9940=1,G9872=1),1,0)</f>
        <v>0</v>
      </c>
      <c r="H10189" s="21" t="n">
        <f aca="false">IF(G10189=1,1,IF(AND(H9940=1,H9872=1),1,0))</f>
        <v>0</v>
      </c>
      <c r="I10189" s="21" t="n">
        <f aca="false">IF(H10189=1,1,IF(AND(I9940=1,I9872=1),1,0))</f>
        <v>0</v>
      </c>
      <c r="J10189" s="21" t="n">
        <f aca="false">IF(I10189=1,1,IF(AND(J9940=1,J9872=1),1,0))</f>
        <v>0</v>
      </c>
      <c r="K10189" s="21" t="n">
        <f aca="false">IF(J10189=1,1,IF(AND(K9940=1,K9872=1),1,0))</f>
        <v>0</v>
      </c>
    </row>
    <row r="10190" customFormat="false" ht="15" hidden="false" customHeight="false" outlineLevel="0" collapsed="false">
      <c r="A10190" s="3" t="s">
        <v>562</v>
      </c>
      <c r="C10190" s="16" t="n">
        <f aca="false">IF(C10168&gt;0,C10146-C10179,0)</f>
        <v>0</v>
      </c>
      <c r="G10190" s="21" t="n">
        <f aca="false">IF(AND(G9953=1,G9872=1),1,0)</f>
        <v>0</v>
      </c>
      <c r="H10190" s="21" t="n">
        <f aca="false">IF(G10190=1,1,IF(AND(H9953=1,H9872=1),1,0))</f>
        <v>0</v>
      </c>
      <c r="I10190" s="21" t="n">
        <f aca="false">IF(H10190=1,1,IF(AND(I9953=1,I9872=1),1,0))</f>
        <v>0</v>
      </c>
      <c r="J10190" s="21" t="n">
        <f aca="false">IF(I10190=1,1,IF(AND(J9953=1,J9872=1),1,0))</f>
        <v>0</v>
      </c>
      <c r="K10190" s="21" t="n">
        <f aca="false">IF(J10190=1,1,IF(AND(K9953=1,K9872=1),1,0))</f>
        <v>0</v>
      </c>
    </row>
    <row r="10191" customFormat="false" ht="15" hidden="false" customHeight="false" outlineLevel="0" collapsed="false">
      <c r="A10191" s="3" t="s">
        <v>563</v>
      </c>
      <c r="C10191" s="16" t="n">
        <f aca="false">IF(C10169&gt;0,C10147-C10180,0)</f>
        <v>0</v>
      </c>
      <c r="G10191" s="21" t="n">
        <f aca="false">IF(AND(G9966=1,G9872=1),1,0)</f>
        <v>0</v>
      </c>
      <c r="H10191" s="21" t="n">
        <f aca="false">IF(G10191=1,1,IF(AND(H9966=1,H9872=1),1,0))</f>
        <v>0</v>
      </c>
      <c r="I10191" s="21" t="n">
        <f aca="false">IF(H10191=1,1,IF(AND(I9966=1,I9872=1),1,0))</f>
        <v>0</v>
      </c>
      <c r="J10191" s="21" t="n">
        <f aca="false">IF(I10191=1,1,IF(AND(J9966=1,J9872=1),1,0))</f>
        <v>0</v>
      </c>
      <c r="K10191" s="21" t="n">
        <f aca="false">IF(J10191=1,1,IF(AND(K9966=1,K9872=1),1,0))</f>
        <v>0</v>
      </c>
    </row>
    <row r="10192" customFormat="false" ht="15" hidden="false" customHeight="false" outlineLevel="0" collapsed="false">
      <c r="A10192" s="3" t="s">
        <v>564</v>
      </c>
      <c r="C10192" s="16" t="n">
        <f aca="false">IF(C10170&gt;0,C10148-C10181,0)</f>
        <v>0</v>
      </c>
      <c r="G10192" s="21" t="n">
        <f aca="false">IF(AND(G9979=1,G9872=1),1,0)</f>
        <v>0</v>
      </c>
      <c r="H10192" s="21" t="n">
        <f aca="false">IF(G10192=1,1,IF(AND(H9979=1,H9872=1),1,0))</f>
        <v>0</v>
      </c>
      <c r="I10192" s="21" t="n">
        <f aca="false">IF(H10192=1,1,IF(AND(I9979=1,I9872=1),1,0))</f>
        <v>0</v>
      </c>
      <c r="J10192" s="21" t="n">
        <f aca="false">IF(I10192=1,1,IF(AND(J9979=1,J9872=1),1,0))</f>
        <v>0</v>
      </c>
      <c r="K10192" s="21" t="n">
        <f aca="false">IF(J10192=1,1,IF(AND(K9979=1,K9872=1),1,0))</f>
        <v>0</v>
      </c>
    </row>
    <row r="10193" customFormat="false" ht="15" hidden="false" customHeight="false" outlineLevel="0" collapsed="false">
      <c r="A10193" s="3" t="s">
        <v>565</v>
      </c>
      <c r="C10193" s="16" t="n">
        <f aca="false">IF(C10171&gt;0,C10149-C10182,0)</f>
        <v>0</v>
      </c>
      <c r="G10193" s="21" t="n">
        <f aca="false">IF(AND(G9992=1,G9872=1),1,0)</f>
        <v>0</v>
      </c>
      <c r="H10193" s="21" t="n">
        <f aca="false">IF(G10193=1,1,IF(AND(H9992=1,H9872=1),1,0))</f>
        <v>0</v>
      </c>
      <c r="I10193" s="21" t="n">
        <f aca="false">IF(H10193=1,1,IF(AND(I9992=1,I9872=1),1,0))</f>
        <v>0</v>
      </c>
      <c r="J10193" s="21" t="n">
        <f aca="false">IF(I10193=1,1,IF(AND(J9992=1,J9872=1),1,0))</f>
        <v>0</v>
      </c>
      <c r="K10193" s="21" t="n">
        <f aca="false">IF(J10193=1,1,IF(AND(K9992=1,K9872=1),1,0))</f>
        <v>0</v>
      </c>
    </row>
    <row r="10194" customFormat="false" ht="15" hidden="false" customHeight="false" outlineLevel="0" collapsed="false">
      <c r="A10194" s="24" t="s">
        <v>570</v>
      </c>
      <c r="B10194" s="25"/>
      <c r="C10194" s="25"/>
      <c r="D10194" s="25"/>
      <c r="E10194" s="25"/>
      <c r="F10194" s="25"/>
      <c r="G10194" s="25"/>
      <c r="H10194" s="25"/>
      <c r="I10194" s="25"/>
      <c r="J10194" s="25"/>
      <c r="K10194" s="25"/>
    </row>
    <row r="10195" customFormat="false" ht="15" hidden="false" customHeight="false" outlineLevel="0" collapsed="false">
      <c r="A10195" s="3" t="s">
        <v>556</v>
      </c>
      <c r="C10195" s="16" t="n">
        <f aca="false">IF(C10162&gt;0,C10184,C10140)</f>
        <v>0</v>
      </c>
    </row>
    <row r="10196" customFormat="false" ht="15" hidden="false" customHeight="false" outlineLevel="0" collapsed="false">
      <c r="A10196" s="3" t="s">
        <v>557</v>
      </c>
      <c r="C10196" s="16" t="n">
        <f aca="false">IF(C10163&gt;0,C10185,C10141)</f>
        <v>6.15039951360001</v>
      </c>
    </row>
    <row r="10197" customFormat="false" ht="15" hidden="false" customHeight="false" outlineLevel="0" collapsed="false">
      <c r="A10197" s="3" t="s">
        <v>558</v>
      </c>
      <c r="C10197" s="16" t="n">
        <f aca="false">IF(C10164&gt;0,C10186,C10142)</f>
        <v>4.1808730632</v>
      </c>
    </row>
    <row r="10198" customFormat="false" ht="15" hidden="false" customHeight="false" outlineLevel="0" collapsed="false">
      <c r="A10198" s="3" t="s">
        <v>559</v>
      </c>
      <c r="C10198" s="16" t="n">
        <f aca="false">IF(C10165&gt;0,C10187,C10143)</f>
        <v>0</v>
      </c>
    </row>
    <row r="10199" customFormat="false" ht="15" hidden="false" customHeight="false" outlineLevel="0" collapsed="false">
      <c r="A10199" s="3" t="s">
        <v>560</v>
      </c>
      <c r="C10199" s="16" t="n">
        <f aca="false">IF(C10166&gt;0,C10188,C10144)</f>
        <v>439.249936942163</v>
      </c>
    </row>
    <row r="10200" customFormat="false" ht="15" hidden="false" customHeight="false" outlineLevel="0" collapsed="false">
      <c r="A10200" s="3" t="s">
        <v>561</v>
      </c>
      <c r="C10200" s="16" t="n">
        <f aca="false">IF(C10167&gt;0,C10189,C10145)</f>
        <v>357.2625</v>
      </c>
    </row>
    <row r="10201" customFormat="false" ht="15" hidden="false" customHeight="false" outlineLevel="0" collapsed="false">
      <c r="A10201" s="3" t="s">
        <v>562</v>
      </c>
      <c r="C10201" s="16" t="n">
        <f aca="false">IF(C10168&gt;0,C10190,C10146)</f>
        <v>562.203125</v>
      </c>
    </row>
    <row r="10202" customFormat="false" ht="15" hidden="false" customHeight="false" outlineLevel="0" collapsed="false">
      <c r="A10202" s="3" t="s">
        <v>563</v>
      </c>
      <c r="C10202" s="16" t="n">
        <f aca="false">IF(C10169&gt;0,C10191,C10147)</f>
        <v>353.98125</v>
      </c>
    </row>
    <row r="10203" customFormat="false" ht="15" hidden="false" customHeight="false" outlineLevel="0" collapsed="false">
      <c r="A10203" s="3" t="s">
        <v>564</v>
      </c>
      <c r="C10203" s="16" t="n">
        <f aca="false">IF(C10170&gt;0,C10192,C10148)</f>
        <v>304.59375</v>
      </c>
    </row>
    <row r="10204" customFormat="false" ht="15" hidden="false" customHeight="false" outlineLevel="0" collapsed="false">
      <c r="A10204" s="3" t="s">
        <v>565</v>
      </c>
      <c r="C10204" s="16" t="n">
        <f aca="false">IF(C10171&gt;0,C10193,C10149)</f>
        <v>80.2332965</v>
      </c>
    </row>
    <row r="10205" customFormat="false" ht="15" hidden="false" customHeight="false" outlineLevel="0" collapsed="false">
      <c r="A10205" s="24" t="s">
        <v>571</v>
      </c>
      <c r="B10205" s="25"/>
      <c r="C10205" s="25"/>
      <c r="D10205" s="25"/>
      <c r="E10205" s="25"/>
      <c r="F10205" s="25"/>
      <c r="G10205" s="25"/>
      <c r="H10205" s="25"/>
      <c r="I10205" s="25"/>
      <c r="J10205" s="25"/>
      <c r="K10205" s="25"/>
    </row>
    <row r="10206" customFormat="false" ht="15" hidden="false" customHeight="false" outlineLevel="0" collapsed="false">
      <c r="A10206" s="3" t="s">
        <v>556</v>
      </c>
      <c r="C10206" s="21" t="n">
        <f aca="false">IF(C10162&gt;0,Assumptions!$C$17,C10151)</f>
        <v>99</v>
      </c>
    </row>
    <row r="10207" customFormat="false" ht="15" hidden="false" customHeight="false" outlineLevel="0" collapsed="false">
      <c r="A10207" s="3" t="s">
        <v>557</v>
      </c>
      <c r="C10207" s="21" t="n">
        <f aca="false">IF(C10163&gt;0,Assumptions!$C$17,C10152)</f>
        <v>99</v>
      </c>
    </row>
    <row r="10208" customFormat="false" ht="15" hidden="false" customHeight="false" outlineLevel="0" collapsed="false">
      <c r="A10208" s="3" t="s">
        <v>558</v>
      </c>
      <c r="C10208" s="21" t="n">
        <f aca="false">IF(C10164&gt;0,Assumptions!$C$17,C10153)</f>
        <v>99</v>
      </c>
    </row>
    <row r="10209" customFormat="false" ht="15" hidden="false" customHeight="false" outlineLevel="0" collapsed="false">
      <c r="A10209" s="3" t="s">
        <v>559</v>
      </c>
      <c r="C10209" s="21" t="n">
        <f aca="false">IF(C10165&gt;0,Assumptions!$C$17,C10154)</f>
        <v>2</v>
      </c>
    </row>
    <row r="10210" customFormat="false" ht="15" hidden="false" customHeight="false" outlineLevel="0" collapsed="false">
      <c r="A10210" s="3" t="s">
        <v>560</v>
      </c>
      <c r="C10210" s="21" t="n">
        <f aca="false">IF(C10166&gt;0,Assumptions!$C$17,C10155)</f>
        <v>2</v>
      </c>
    </row>
    <row r="10211" customFormat="false" ht="15" hidden="false" customHeight="false" outlineLevel="0" collapsed="false">
      <c r="A10211" s="3" t="s">
        <v>561</v>
      </c>
      <c r="C10211" s="21" t="n">
        <f aca="false">IF(C10167&gt;0,Assumptions!$C$17,C10156)</f>
        <v>2</v>
      </c>
    </row>
    <row r="10212" customFormat="false" ht="15" hidden="false" customHeight="false" outlineLevel="0" collapsed="false">
      <c r="A10212" s="3" t="s">
        <v>562</v>
      </c>
      <c r="C10212" s="21" t="n">
        <f aca="false">IF(C10168&gt;0,Assumptions!$C$17,C10157)</f>
        <v>2</v>
      </c>
    </row>
    <row r="10213" customFormat="false" ht="15" hidden="false" customHeight="false" outlineLevel="0" collapsed="false">
      <c r="A10213" s="3" t="s">
        <v>563</v>
      </c>
      <c r="C10213" s="21" t="n">
        <f aca="false">IF(C10169&gt;0,Assumptions!$C$17,C10158)</f>
        <v>2</v>
      </c>
    </row>
    <row r="10214" customFormat="false" ht="15" hidden="false" customHeight="false" outlineLevel="0" collapsed="false">
      <c r="A10214" s="3" t="s">
        <v>564</v>
      </c>
      <c r="C10214" s="21" t="n">
        <f aca="false">IF(C10170&gt;0,Assumptions!$C$17,C10159)</f>
        <v>2</v>
      </c>
    </row>
    <row r="10215" customFormat="false" ht="15" hidden="false" customHeight="false" outlineLevel="0" collapsed="false">
      <c r="A10215" s="3" t="s">
        <v>565</v>
      </c>
      <c r="C10215" s="21" t="n">
        <f aca="false">IF(C10171&gt;0,Assumptions!$C$17,C10160)</f>
        <v>3</v>
      </c>
    </row>
    <row r="10216" customFormat="false" ht="15" hidden="false" customHeight="false" outlineLevel="0" collapsed="false">
      <c r="A10216" s="24" t="s">
        <v>572</v>
      </c>
      <c r="B10216" s="25"/>
      <c r="C10216" s="25"/>
      <c r="D10216" s="25"/>
      <c r="E10216" s="25"/>
      <c r="F10216" s="25"/>
      <c r="G10216" s="25"/>
      <c r="H10216" s="25"/>
      <c r="I10216" s="25"/>
      <c r="J10216" s="25"/>
      <c r="K10216" s="25"/>
    </row>
    <row r="10217" customFormat="false" ht="15" hidden="false" customHeight="false" outlineLevel="0" collapsed="false">
      <c r="A10217" s="3" t="s">
        <v>556</v>
      </c>
      <c r="C10217" s="16" t="n">
        <f aca="false">SUMPRODUCT(($C$10206:$C$10215&lt;C10206)*$C$10195:$C$10204)</f>
        <v>2097.52385844216</v>
      </c>
    </row>
    <row r="10218" customFormat="false" ht="15" hidden="false" customHeight="false" outlineLevel="0" collapsed="false">
      <c r="A10218" s="3" t="s">
        <v>557</v>
      </c>
      <c r="C10218" s="16" t="n">
        <f aca="false">SUMPRODUCT(($C$10206:$C$10215&lt;C10207)*$C$10195:$C$10204)</f>
        <v>2097.52385844216</v>
      </c>
    </row>
    <row r="10219" customFormat="false" ht="15" hidden="false" customHeight="false" outlineLevel="0" collapsed="false">
      <c r="A10219" s="3" t="s">
        <v>558</v>
      </c>
      <c r="C10219" s="16" t="n">
        <f aca="false">SUMPRODUCT(($C$10206:$C$10215&lt;C10208)*$C$10195:$C$10204)</f>
        <v>2097.52385844216</v>
      </c>
    </row>
    <row r="10220" customFormat="false" ht="15" hidden="false" customHeight="false" outlineLevel="0" collapsed="false">
      <c r="A10220" s="3" t="s">
        <v>559</v>
      </c>
      <c r="C10220" s="16" t="n">
        <f aca="false">SUMPRODUCT(($C$10206:$C$10215&lt;C10209)*$C$10195:$C$10204)</f>
        <v>0</v>
      </c>
    </row>
    <row r="10221" customFormat="false" ht="15" hidden="false" customHeight="false" outlineLevel="0" collapsed="false">
      <c r="A10221" s="3" t="s">
        <v>560</v>
      </c>
      <c r="C10221" s="16" t="n">
        <f aca="false">SUMPRODUCT(($C$10206:$C$10215&lt;C10210)*$C$10195:$C$10204)</f>
        <v>0</v>
      </c>
    </row>
    <row r="10222" customFormat="false" ht="15" hidden="false" customHeight="false" outlineLevel="0" collapsed="false">
      <c r="A10222" s="3" t="s">
        <v>561</v>
      </c>
      <c r="C10222" s="16" t="n">
        <f aca="false">SUMPRODUCT(($C$10206:$C$10215&lt;C10211)*$C$10195:$C$10204)</f>
        <v>0</v>
      </c>
    </row>
    <row r="10223" customFormat="false" ht="15" hidden="false" customHeight="false" outlineLevel="0" collapsed="false">
      <c r="A10223" s="3" t="s">
        <v>562</v>
      </c>
      <c r="C10223" s="16" t="n">
        <f aca="false">SUMPRODUCT(($C$10206:$C$10215&lt;C10212)*$C$10195:$C$10204)</f>
        <v>0</v>
      </c>
    </row>
    <row r="10224" customFormat="false" ht="15" hidden="false" customHeight="false" outlineLevel="0" collapsed="false">
      <c r="A10224" s="3" t="s">
        <v>563</v>
      </c>
      <c r="C10224" s="16" t="n">
        <f aca="false">SUMPRODUCT(($C$10206:$C$10215&lt;C10213)*$C$10195:$C$10204)</f>
        <v>0</v>
      </c>
    </row>
    <row r="10225" customFormat="false" ht="15" hidden="false" customHeight="false" outlineLevel="0" collapsed="false">
      <c r="A10225" s="3" t="s">
        <v>564</v>
      </c>
      <c r="C10225" s="16" t="n">
        <f aca="false">SUMPRODUCT(($C$10206:$C$10215&lt;C10214)*$C$10195:$C$10204)</f>
        <v>0</v>
      </c>
    </row>
    <row r="10226" customFormat="false" ht="15" hidden="false" customHeight="false" outlineLevel="0" collapsed="false">
      <c r="A10226" s="3" t="s">
        <v>565</v>
      </c>
      <c r="C10226" s="16" t="n">
        <f aca="false">SUMPRODUCT(($C$10206:$C$10215&lt;C10215)*$C$10195:$C$10204)</f>
        <v>2017.29056194216</v>
      </c>
    </row>
    <row r="10227" customFormat="false" ht="15" hidden="false" customHeight="false" outlineLevel="0" collapsed="false">
      <c r="A10227" s="24" t="s">
        <v>573</v>
      </c>
      <c r="B10227" s="25"/>
      <c r="C10227" s="25"/>
      <c r="D10227" s="25"/>
      <c r="E10227" s="25"/>
      <c r="F10227" s="25"/>
      <c r="G10227" s="25"/>
      <c r="H10227" s="25"/>
      <c r="I10227" s="25"/>
      <c r="J10227" s="25"/>
      <c r="K10227" s="25"/>
    </row>
    <row r="10228" customFormat="false" ht="15" hidden="false" customHeight="false" outlineLevel="0" collapsed="false">
      <c r="A10228" s="3" t="s">
        <v>556</v>
      </c>
      <c r="C10228" s="16" t="n">
        <f aca="false">SUMPRODUCT(($C$10206:$C$10215=C10206)*$C$10195:$C$10204)</f>
        <v>10.3312725768</v>
      </c>
    </row>
    <row r="10229" customFormat="false" ht="15" hidden="false" customHeight="false" outlineLevel="0" collapsed="false">
      <c r="A10229" s="3" t="s">
        <v>557</v>
      </c>
      <c r="C10229" s="16" t="n">
        <f aca="false">SUMPRODUCT(($C$10206:$C$10215=C10207)*$C$10195:$C$10204)</f>
        <v>10.3312725768</v>
      </c>
    </row>
    <row r="10230" customFormat="false" ht="15" hidden="false" customHeight="false" outlineLevel="0" collapsed="false">
      <c r="A10230" s="3" t="s">
        <v>558</v>
      </c>
      <c r="C10230" s="16" t="n">
        <f aca="false">SUMPRODUCT(($C$10206:$C$10215=C10208)*$C$10195:$C$10204)</f>
        <v>10.3312725768</v>
      </c>
    </row>
    <row r="10231" customFormat="false" ht="15" hidden="false" customHeight="false" outlineLevel="0" collapsed="false">
      <c r="A10231" s="3" t="s">
        <v>559</v>
      </c>
      <c r="C10231" s="16" t="n">
        <f aca="false">SUMPRODUCT(($C$10206:$C$10215=C10209)*$C$10195:$C$10204)</f>
        <v>2017.29056194216</v>
      </c>
    </row>
    <row r="10232" customFormat="false" ht="15" hidden="false" customHeight="false" outlineLevel="0" collapsed="false">
      <c r="A10232" s="3" t="s">
        <v>560</v>
      </c>
      <c r="C10232" s="16" t="n">
        <f aca="false">SUMPRODUCT(($C$10206:$C$10215=C10210)*$C$10195:$C$10204)</f>
        <v>2017.29056194216</v>
      </c>
    </row>
    <row r="10233" customFormat="false" ht="15" hidden="false" customHeight="false" outlineLevel="0" collapsed="false">
      <c r="A10233" s="3" t="s">
        <v>561</v>
      </c>
      <c r="C10233" s="16" t="n">
        <f aca="false">SUMPRODUCT(($C$10206:$C$10215=C10211)*$C$10195:$C$10204)</f>
        <v>2017.29056194216</v>
      </c>
    </row>
    <row r="10234" customFormat="false" ht="15" hidden="false" customHeight="false" outlineLevel="0" collapsed="false">
      <c r="A10234" s="3" t="s">
        <v>562</v>
      </c>
      <c r="C10234" s="16" t="n">
        <f aca="false">SUMPRODUCT(($C$10206:$C$10215=C10212)*$C$10195:$C$10204)</f>
        <v>2017.29056194216</v>
      </c>
    </row>
    <row r="10235" customFormat="false" ht="15" hidden="false" customHeight="false" outlineLevel="0" collapsed="false">
      <c r="A10235" s="3" t="s">
        <v>563</v>
      </c>
      <c r="C10235" s="16" t="n">
        <f aca="false">SUMPRODUCT(($C$10206:$C$10215=C10213)*$C$10195:$C$10204)</f>
        <v>2017.29056194216</v>
      </c>
    </row>
    <row r="10236" customFormat="false" ht="15" hidden="false" customHeight="false" outlineLevel="0" collapsed="false">
      <c r="A10236" s="3" t="s">
        <v>564</v>
      </c>
      <c r="C10236" s="16" t="n">
        <f aca="false">SUMPRODUCT(($C$10206:$C$10215=C10214)*$C$10195:$C$10204)</f>
        <v>2017.29056194216</v>
      </c>
    </row>
    <row r="10237" customFormat="false" ht="15" hidden="false" customHeight="false" outlineLevel="0" collapsed="false">
      <c r="A10237" s="3" t="s">
        <v>565</v>
      </c>
      <c r="C10237" s="16" t="n">
        <f aca="false">SUMPRODUCT(($C$10206:$C$10215=C10215)*$C$10195:$C$10204)</f>
        <v>80.2332965</v>
      </c>
    </row>
    <row r="10238" customFormat="false" ht="15" hidden="false" customHeight="false" outlineLevel="0" collapsed="false">
      <c r="A10238" s="24" t="s">
        <v>574</v>
      </c>
      <c r="B10238" s="25"/>
      <c r="C10238" s="25"/>
      <c r="D10238" s="25"/>
      <c r="E10238" s="25"/>
      <c r="F10238" s="25"/>
      <c r="G10238" s="25"/>
      <c r="H10238" s="25"/>
      <c r="I10238" s="25"/>
      <c r="J10238" s="25"/>
      <c r="K10238" s="25"/>
    </row>
    <row r="10239" customFormat="false" ht="15" hidden="false" customHeight="false" outlineLevel="0" collapsed="false">
      <c r="A10239" s="3" t="s">
        <v>556</v>
      </c>
      <c r="C10239" s="16" t="n">
        <f aca="false">IF(C10228=0,0,C10195/C10228*MAX(0,MIN(C10228,$C$10138-SUM($C$10173:$C$10182)-C10217)))</f>
        <v>0</v>
      </c>
    </row>
    <row r="10240" customFormat="false" ht="15" hidden="false" customHeight="false" outlineLevel="0" collapsed="false">
      <c r="A10240" s="3" t="s">
        <v>557</v>
      </c>
      <c r="C10240" s="16" t="n">
        <f aca="false">IF(C10229=0,0,C10196/C10229*MAX(0,MIN(C10229,$C$10138-SUM($C$10173:$C$10182)-C10218)))</f>
        <v>0</v>
      </c>
    </row>
    <row r="10241" customFormat="false" ht="15" hidden="false" customHeight="false" outlineLevel="0" collapsed="false">
      <c r="A10241" s="3" t="s">
        <v>558</v>
      </c>
      <c r="C10241" s="16" t="n">
        <f aca="false">IF(C10230=0,0,C10197/C10230*MAX(0,MIN(C10230,$C$10138-SUM($C$10173:$C$10182)-C10219)))</f>
        <v>0</v>
      </c>
    </row>
    <row r="10242" customFormat="false" ht="15" hidden="false" customHeight="false" outlineLevel="0" collapsed="false">
      <c r="A10242" s="3" t="s">
        <v>559</v>
      </c>
      <c r="C10242" s="16" t="n">
        <f aca="false">IF(C10231=0,0,C10198/C10231*MAX(0,MIN(C10231,$C$10138-SUM($C$10173:$C$10182)-C10220)))</f>
        <v>0</v>
      </c>
    </row>
    <row r="10243" customFormat="false" ht="15" hidden="false" customHeight="false" outlineLevel="0" collapsed="false">
      <c r="A10243" s="3" t="s">
        <v>560</v>
      </c>
      <c r="C10243" s="16" t="n">
        <f aca="false">IF(C10232=0,0,C10199/C10232*MAX(0,MIN(C10232,$C$10138-SUM($C$10173:$C$10182)-C10221)))</f>
        <v>439.249936942163</v>
      </c>
    </row>
    <row r="10244" customFormat="false" ht="15" hidden="false" customHeight="false" outlineLevel="0" collapsed="false">
      <c r="A10244" s="3" t="s">
        <v>561</v>
      </c>
      <c r="C10244" s="16" t="n">
        <f aca="false">IF(C10233=0,0,C10200/C10233*MAX(0,MIN(C10233,$C$10138-SUM($C$10173:$C$10182)-C10222)))</f>
        <v>357.2625</v>
      </c>
    </row>
    <row r="10245" customFormat="false" ht="15" hidden="false" customHeight="false" outlineLevel="0" collapsed="false">
      <c r="A10245" s="3" t="s">
        <v>562</v>
      </c>
      <c r="C10245" s="16" t="n">
        <f aca="false">IF(C10234=0,0,C10201/C10234*MAX(0,MIN(C10234,$C$10138-SUM($C$10173:$C$10182)-C10223)))</f>
        <v>562.203125</v>
      </c>
    </row>
    <row r="10246" customFormat="false" ht="15" hidden="false" customHeight="false" outlineLevel="0" collapsed="false">
      <c r="A10246" s="3" t="s">
        <v>563</v>
      </c>
      <c r="C10246" s="16" t="n">
        <f aca="false">IF(C10235=0,0,C10202/C10235*MAX(0,MIN(C10235,$C$10138-SUM($C$10173:$C$10182)-C10224)))</f>
        <v>353.98125</v>
      </c>
    </row>
    <row r="10247" customFormat="false" ht="15" hidden="false" customHeight="false" outlineLevel="0" collapsed="false">
      <c r="A10247" s="3" t="s">
        <v>564</v>
      </c>
      <c r="C10247" s="16" t="n">
        <f aca="false">IF(C10236=0,0,C10203/C10236*MAX(0,MIN(C10236,$C$10138-SUM($C$10173:$C$10182)-C10225)))</f>
        <v>304.59375</v>
      </c>
    </row>
    <row r="10248" customFormat="false" ht="15" hidden="false" customHeight="false" outlineLevel="0" collapsed="false">
      <c r="A10248" s="3" t="s">
        <v>565</v>
      </c>
      <c r="C10248" s="16" t="n">
        <f aca="false">IF(C10237=0,0,C10204/C10237*MAX(0,MIN(C10237,$C$10138-SUM($C$10173:$C$10182)-C10226)))</f>
        <v>20.1124853346373</v>
      </c>
    </row>
    <row r="10249" customFormat="false" ht="15" hidden="false" customHeight="false" outlineLevel="0" collapsed="false">
      <c r="A10249" s="24" t="s">
        <v>575</v>
      </c>
      <c r="B10249" s="25"/>
      <c r="C10249" s="25"/>
      <c r="D10249" s="25"/>
      <c r="E10249" s="25"/>
      <c r="F10249" s="25"/>
      <c r="G10249" s="25"/>
      <c r="H10249" s="25"/>
      <c r="I10249" s="25"/>
      <c r="J10249" s="25"/>
      <c r="K10249" s="25"/>
    </row>
    <row r="10250" customFormat="false" ht="15" hidden="false" customHeight="false" outlineLevel="0" collapsed="false">
      <c r="A10250" s="2" t="s">
        <v>556</v>
      </c>
      <c r="C10250" s="17" t="n">
        <f aca="false">C10173+C10239</f>
        <v>403.76</v>
      </c>
    </row>
    <row r="10251" customFormat="false" ht="15" hidden="false" customHeight="false" outlineLevel="0" collapsed="false">
      <c r="A10251" s="2" t="s">
        <v>557</v>
      </c>
      <c r="C10251" s="17" t="n">
        <f aca="false">C10174+C10240</f>
        <v>85.1568504864</v>
      </c>
    </row>
    <row r="10252" customFormat="false" ht="15" hidden="false" customHeight="false" outlineLevel="0" collapsed="false">
      <c r="A10252" s="2" t="s">
        <v>558</v>
      </c>
      <c r="C10252" s="17" t="n">
        <f aca="false">C10175+C10241</f>
        <v>54.1907230368</v>
      </c>
    </row>
    <row r="10253" customFormat="false" ht="15" hidden="false" customHeight="false" outlineLevel="0" collapsed="false">
      <c r="A10253" s="2" t="s">
        <v>559</v>
      </c>
      <c r="C10253" s="17" t="n">
        <f aca="false">C10176+C10242</f>
        <v>0</v>
      </c>
    </row>
    <row r="10254" customFormat="false" ht="15" hidden="false" customHeight="false" outlineLevel="0" collapsed="false">
      <c r="A10254" s="2" t="s">
        <v>560</v>
      </c>
      <c r="C10254" s="17" t="n">
        <f aca="false">C10177+C10243</f>
        <v>439.249936942163</v>
      </c>
    </row>
    <row r="10255" customFormat="false" ht="15" hidden="false" customHeight="false" outlineLevel="0" collapsed="false">
      <c r="A10255" s="2" t="s">
        <v>561</v>
      </c>
      <c r="C10255" s="17" t="n">
        <f aca="false">C10178+C10244</f>
        <v>357.2625</v>
      </c>
    </row>
    <row r="10256" customFormat="false" ht="15" hidden="false" customHeight="false" outlineLevel="0" collapsed="false">
      <c r="A10256" s="2" t="s">
        <v>562</v>
      </c>
      <c r="C10256" s="17" t="n">
        <f aca="false">C10179+C10245</f>
        <v>562.203125</v>
      </c>
    </row>
    <row r="10257" customFormat="false" ht="15" hidden="false" customHeight="false" outlineLevel="0" collapsed="false">
      <c r="A10257" s="2" t="s">
        <v>563</v>
      </c>
      <c r="C10257" s="17" t="n">
        <f aca="false">C10180+C10246</f>
        <v>353.98125</v>
      </c>
    </row>
    <row r="10258" customFormat="false" ht="15" hidden="false" customHeight="false" outlineLevel="0" collapsed="false">
      <c r="A10258" s="2" t="s">
        <v>564</v>
      </c>
      <c r="C10258" s="17" t="n">
        <f aca="false">C10181+C10247</f>
        <v>304.59375</v>
      </c>
    </row>
    <row r="10259" customFormat="false" ht="15" hidden="false" customHeight="false" outlineLevel="0" collapsed="false">
      <c r="A10259" s="2" t="s">
        <v>565</v>
      </c>
      <c r="C10259" s="17" t="n">
        <f aca="false">C10182+C10248</f>
        <v>20.1124853346373</v>
      </c>
    </row>
    <row r="10260" customFormat="false" ht="15" hidden="false" customHeight="false" outlineLevel="0" collapsed="false">
      <c r="A10260" s="24" t="s">
        <v>576</v>
      </c>
      <c r="B10260" s="25"/>
      <c r="C10260" s="25"/>
      <c r="D10260" s="25"/>
      <c r="E10260" s="25"/>
      <c r="F10260" s="25"/>
      <c r="G10260" s="25"/>
      <c r="H10260" s="25"/>
      <c r="I10260" s="25"/>
      <c r="J10260" s="25"/>
      <c r="K10260" s="25"/>
    </row>
    <row r="10261" customFormat="false" ht="15" hidden="false" customHeight="false" outlineLevel="0" collapsed="false">
      <c r="A10261" s="3" t="s">
        <v>556</v>
      </c>
      <c r="C10261" s="22" t="n">
        <f aca="false">IF(C10140=0,1,C10250/C10140)</f>
        <v>1</v>
      </c>
    </row>
    <row r="10262" customFormat="false" ht="15" hidden="false" customHeight="false" outlineLevel="0" collapsed="false">
      <c r="A10262" s="3" t="s">
        <v>557</v>
      </c>
      <c r="C10262" s="22" t="n">
        <f aca="false">IF(C10141=0,1,C10251/C10141)</f>
        <v>0.932640622583639</v>
      </c>
    </row>
    <row r="10263" customFormat="false" ht="15" hidden="false" customHeight="false" outlineLevel="0" collapsed="false">
      <c r="A10263" s="3" t="s">
        <v>558</v>
      </c>
      <c r="C10263" s="22" t="n">
        <f aca="false">IF(C10142=0,1,C10252/C10142)</f>
        <v>0.928374871640695</v>
      </c>
    </row>
    <row r="10264" customFormat="false" ht="15" hidden="false" customHeight="false" outlineLevel="0" collapsed="false">
      <c r="A10264" s="3" t="s">
        <v>559</v>
      </c>
      <c r="C10264" s="22" t="n">
        <f aca="false">IF(C10143=0,1,C10253/C10143)</f>
        <v>1</v>
      </c>
    </row>
    <row r="10265" customFormat="false" ht="15" hidden="false" customHeight="false" outlineLevel="0" collapsed="false">
      <c r="A10265" s="3" t="s">
        <v>560</v>
      </c>
      <c r="C10265" s="22" t="n">
        <f aca="false">IF(C10144=0,1,C10254/C10144)</f>
        <v>1</v>
      </c>
    </row>
    <row r="10266" customFormat="false" ht="15" hidden="false" customHeight="false" outlineLevel="0" collapsed="false">
      <c r="A10266" s="3" t="s">
        <v>561</v>
      </c>
      <c r="C10266" s="22" t="n">
        <f aca="false">IF(C10145=0,1,C10255/C10145)</f>
        <v>1</v>
      </c>
    </row>
    <row r="10267" customFormat="false" ht="15" hidden="false" customHeight="false" outlineLevel="0" collapsed="false">
      <c r="A10267" s="3" t="s">
        <v>562</v>
      </c>
      <c r="C10267" s="22" t="n">
        <f aca="false">IF(C10146=0,1,C10256/C10146)</f>
        <v>1</v>
      </c>
    </row>
    <row r="10268" customFormat="false" ht="15" hidden="false" customHeight="false" outlineLevel="0" collapsed="false">
      <c r="A10268" s="3" t="s">
        <v>563</v>
      </c>
      <c r="C10268" s="22" t="n">
        <f aca="false">IF(C10147=0,1,C10257/C10147)</f>
        <v>1</v>
      </c>
    </row>
    <row r="10269" customFormat="false" ht="15" hidden="false" customHeight="false" outlineLevel="0" collapsed="false">
      <c r="A10269" s="3" t="s">
        <v>564</v>
      </c>
      <c r="C10269" s="22" t="n">
        <f aca="false">IF(C10148=0,1,C10258/C10148)</f>
        <v>1</v>
      </c>
    </row>
    <row r="10270" customFormat="false" ht="15" hidden="false" customHeight="false" outlineLevel="0" collapsed="false">
      <c r="A10270" s="3" t="s">
        <v>565</v>
      </c>
      <c r="C10270" s="22" t="n">
        <f aca="false">IF(C10149=0,1,C10259/C10149)</f>
        <v>0.250675046545511</v>
      </c>
    </row>
    <row r="10271" customFormat="false" ht="15" hidden="false" customHeight="false" outlineLevel="0" collapsed="false">
      <c r="A10271" s="24" t="s">
        <v>577</v>
      </c>
      <c r="B10271" s="25"/>
      <c r="C10271" s="25"/>
      <c r="D10271" s="25"/>
      <c r="E10271" s="25"/>
      <c r="F10271" s="25"/>
      <c r="G10271" s="25"/>
      <c r="H10271" s="25"/>
      <c r="I10271" s="25"/>
      <c r="J10271" s="25"/>
      <c r="K10271" s="25"/>
    </row>
    <row r="10272" customFormat="false" ht="15" hidden="false" customHeight="false" outlineLevel="0" collapsed="false">
      <c r="A10272" s="3" t="s">
        <v>556</v>
      </c>
      <c r="C10272" s="16" t="n">
        <f aca="false">C10140-C10250</f>
        <v>0</v>
      </c>
    </row>
    <row r="10273" customFormat="false" ht="15" hidden="false" customHeight="false" outlineLevel="0" collapsed="false">
      <c r="A10273" s="3" t="s">
        <v>557</v>
      </c>
      <c r="C10273" s="16" t="n">
        <f aca="false">C10141-C10251</f>
        <v>6.15039951360001</v>
      </c>
    </row>
    <row r="10274" customFormat="false" ht="15" hidden="false" customHeight="false" outlineLevel="0" collapsed="false">
      <c r="A10274" s="3" t="s">
        <v>558</v>
      </c>
      <c r="C10274" s="16" t="n">
        <f aca="false">C10142-C10252</f>
        <v>4.1808730632</v>
      </c>
    </row>
    <row r="10275" customFormat="false" ht="15" hidden="false" customHeight="false" outlineLevel="0" collapsed="false">
      <c r="A10275" s="3" t="s">
        <v>559</v>
      </c>
      <c r="C10275" s="16" t="n">
        <f aca="false">C10143-C10253</f>
        <v>0</v>
      </c>
    </row>
    <row r="10276" customFormat="false" ht="15" hidden="false" customHeight="false" outlineLevel="0" collapsed="false">
      <c r="A10276" s="3" t="s">
        <v>560</v>
      </c>
      <c r="C10276" s="16" t="n">
        <f aca="false">C10144-C10254</f>
        <v>0</v>
      </c>
    </row>
    <row r="10277" customFormat="false" ht="15" hidden="false" customHeight="false" outlineLevel="0" collapsed="false">
      <c r="A10277" s="3" t="s">
        <v>561</v>
      </c>
      <c r="C10277" s="16" t="n">
        <f aca="false">C10145-C10255</f>
        <v>0</v>
      </c>
    </row>
    <row r="10278" customFormat="false" ht="15" hidden="false" customHeight="false" outlineLevel="0" collapsed="false">
      <c r="A10278" s="3" t="s">
        <v>562</v>
      </c>
      <c r="C10278" s="16" t="n">
        <f aca="false">C10146-C10256</f>
        <v>0</v>
      </c>
    </row>
    <row r="10279" customFormat="false" ht="15" hidden="false" customHeight="false" outlineLevel="0" collapsed="false">
      <c r="A10279" s="3" t="s">
        <v>563</v>
      </c>
      <c r="C10279" s="16" t="n">
        <f aca="false">C10147-C10257</f>
        <v>0</v>
      </c>
    </row>
    <row r="10280" customFormat="false" ht="15" hidden="false" customHeight="false" outlineLevel="0" collapsed="false">
      <c r="A10280" s="3" t="s">
        <v>564</v>
      </c>
      <c r="C10280" s="16" t="n">
        <f aca="false">C10148-C10258</f>
        <v>0</v>
      </c>
    </row>
    <row r="10281" customFormat="false" ht="15" hidden="false" customHeight="false" outlineLevel="0" collapsed="false">
      <c r="A10281" s="3" t="s">
        <v>565</v>
      </c>
      <c r="C10281" s="16" t="n">
        <f aca="false">C10149-C10259</f>
        <v>60.1208111653627</v>
      </c>
    </row>
    <row r="10282" customFormat="false" ht="15" hidden="false" customHeight="false" outlineLevel="0" collapsed="false">
      <c r="A10282" s="24" t="s">
        <v>578</v>
      </c>
      <c r="B10282" s="25"/>
      <c r="C10282" s="25"/>
      <c r="D10282" s="25"/>
      <c r="E10282" s="25"/>
      <c r="F10282" s="25"/>
      <c r="G10282" s="25"/>
      <c r="H10282" s="25"/>
      <c r="I10282" s="25"/>
      <c r="J10282" s="25"/>
      <c r="K10282" s="25"/>
    </row>
    <row r="10283" customFormat="false" ht="15" hidden="false" customHeight="false" outlineLevel="0" collapsed="false">
      <c r="A10283" s="3" t="s">
        <v>556</v>
      </c>
      <c r="C10283" s="22" t="n">
        <f aca="false">IF(C10140=0,0,C10272/C10140)</f>
        <v>0</v>
      </c>
    </row>
    <row r="10284" customFormat="false" ht="15" hidden="false" customHeight="false" outlineLevel="0" collapsed="false">
      <c r="A10284" s="3" t="s">
        <v>557</v>
      </c>
      <c r="C10284" s="22" t="n">
        <f aca="false">IF(C10141=0,0,C10273/C10141)</f>
        <v>0.0673593774163608</v>
      </c>
    </row>
    <row r="10285" customFormat="false" ht="15" hidden="false" customHeight="false" outlineLevel="0" collapsed="false">
      <c r="A10285" s="3" t="s">
        <v>558</v>
      </c>
      <c r="C10285" s="22" t="n">
        <f aca="false">IF(C10142=0,0,C10274/C10142)</f>
        <v>0.0716251283593048</v>
      </c>
    </row>
    <row r="10286" customFormat="false" ht="15" hidden="false" customHeight="false" outlineLevel="0" collapsed="false">
      <c r="A10286" s="3" t="s">
        <v>559</v>
      </c>
      <c r="C10286" s="22" t="n">
        <f aca="false">IF(C10143=0,0,C10275/C10143)</f>
        <v>0</v>
      </c>
    </row>
    <row r="10287" customFormat="false" ht="15" hidden="false" customHeight="false" outlineLevel="0" collapsed="false">
      <c r="A10287" s="3" t="s">
        <v>560</v>
      </c>
      <c r="C10287" s="22" t="n">
        <f aca="false">IF(C10144=0,0,C10276/C10144)</f>
        <v>0</v>
      </c>
    </row>
    <row r="10288" customFormat="false" ht="15" hidden="false" customHeight="false" outlineLevel="0" collapsed="false">
      <c r="A10288" s="3" t="s">
        <v>561</v>
      </c>
      <c r="C10288" s="22" t="n">
        <f aca="false">IF(C10145=0,0,C10277/C10145)</f>
        <v>0</v>
      </c>
    </row>
    <row r="10289" customFormat="false" ht="15" hidden="false" customHeight="false" outlineLevel="0" collapsed="false">
      <c r="A10289" s="3" t="s">
        <v>562</v>
      </c>
      <c r="C10289" s="22" t="n">
        <f aca="false">IF(C10146=0,0,C10278/C10146)</f>
        <v>0</v>
      </c>
    </row>
    <row r="10290" customFormat="false" ht="15" hidden="false" customHeight="false" outlineLevel="0" collapsed="false">
      <c r="A10290" s="3" t="s">
        <v>563</v>
      </c>
      <c r="C10290" s="22" t="n">
        <f aca="false">IF(C10147=0,0,C10279/C10147)</f>
        <v>0</v>
      </c>
    </row>
    <row r="10291" customFormat="false" ht="15" hidden="false" customHeight="false" outlineLevel="0" collapsed="false">
      <c r="A10291" s="3" t="s">
        <v>564</v>
      </c>
      <c r="C10291" s="22" t="n">
        <f aca="false">IF(C10148=0,0,C10280/C10148)</f>
        <v>0</v>
      </c>
    </row>
    <row r="10292" customFormat="false" ht="15" hidden="false" customHeight="false" outlineLevel="0" collapsed="false">
      <c r="A10292" s="3" t="s">
        <v>565</v>
      </c>
      <c r="C10292" s="22" t="n">
        <f aca="false">IF(C10149=0,0,C10281/C10149)</f>
        <v>0.749324953454489</v>
      </c>
    </row>
    <row r="10293" customFormat="false" ht="15" hidden="false" customHeight="false" outlineLevel="0" collapsed="false">
      <c r="A10293" s="2" t="s">
        <v>579</v>
      </c>
      <c r="C10293" s="17" t="n">
        <f aca="false">MAX(0,$C$10138-SUM($C$10173:$C$10182)-SUM($C$10195:$C$10204))</f>
        <v>0</v>
      </c>
    </row>
    <row r="10294" customFormat="false" ht="15" hidden="false" customHeight="false" outlineLevel="0" collapsed="false">
      <c r="A10294" s="3" t="s">
        <v>580</v>
      </c>
      <c r="C10294" s="16" t="n">
        <f aca="false">SUM($C$10250:$C$10259)+C10293+C10137-C10136</f>
        <v>0</v>
      </c>
    </row>
    <row r="10296" customFormat="false" ht="15" hidden="false" customHeight="false" outlineLevel="0" collapsed="false">
      <c r="A10296" s="24" t="s">
        <v>583</v>
      </c>
      <c r="B10296" s="25"/>
      <c r="C10296" s="25"/>
      <c r="D10296" s="25"/>
      <c r="E10296" s="25"/>
      <c r="F10296" s="25"/>
      <c r="G10296" s="25"/>
      <c r="H10296" s="25"/>
      <c r="I10296" s="25"/>
      <c r="J10296" s="25"/>
      <c r="K10296" s="25"/>
    </row>
    <row r="10297" customFormat="false" ht="15" hidden="false" customHeight="false" outlineLevel="0" collapsed="false">
      <c r="A10297" s="3" t="s">
        <v>584</v>
      </c>
      <c r="C10297" s="27" t="n">
        <f aca="false">Assumptions!$C$34</f>
        <v>1</v>
      </c>
    </row>
    <row r="10298" customFormat="false" ht="15" hidden="false" customHeight="false" outlineLevel="0" collapsed="false">
      <c r="A10298" s="3" t="s">
        <v>585</v>
      </c>
      <c r="C10298" s="29" t="n">
        <f aca="false">Assumptions!$C$35</f>
        <v>100</v>
      </c>
    </row>
    <row r="10299" customFormat="false" ht="15" hidden="false" customHeight="false" outlineLevel="0" collapsed="false">
      <c r="A10299" s="3" t="s">
        <v>586</v>
      </c>
      <c r="C10299" s="40" t="n">
        <f aca="false">Assumptions!$C$36</f>
        <v>98</v>
      </c>
    </row>
    <row r="10300" customFormat="false" ht="15" hidden="false" customHeight="false" outlineLevel="0" collapsed="false">
      <c r="A10300" s="3" t="s">
        <v>587</v>
      </c>
      <c r="C10300" s="16" t="n">
        <f aca="false">C10298*C10299/100*(1+Assumptions!$C$37)</f>
        <v>98.49</v>
      </c>
    </row>
    <row r="10301" customFormat="false" ht="15" hidden="false" customHeight="false" outlineLevel="0" collapsed="false">
      <c r="A10301" s="3" t="s">
        <v>588</v>
      </c>
      <c r="C10301" s="27" t="n">
        <f aca="false">Assumptions!$C$38</f>
        <v>3</v>
      </c>
    </row>
    <row r="10302" customFormat="false" ht="15" hidden="false" customHeight="false" outlineLevel="0" collapsed="false">
      <c r="A10302" s="3" t="s">
        <v>589</v>
      </c>
      <c r="C10302" s="21" t="n">
        <f aca="false">IF(C10129=1,SUMPRODUCT($G$10065:$K$10065,$G$9839:$K$9839),0)</f>
        <v>2</v>
      </c>
    </row>
    <row r="10303" customFormat="false" ht="15" hidden="false" customHeight="false" outlineLevel="0" collapsed="false">
      <c r="A10303" s="3" t="s">
        <v>590</v>
      </c>
      <c r="C10303" s="22" t="n">
        <f aca="false">IFERROR(C10298/CHOOSE(C10297,SUMPRODUCT($G$10128:$K$10128,$G$9885:$K$9885),SUMPRODUCT($G$10128:$K$10128,$G$9898:$K$9898),SUMPRODUCT($G$10128:$K$10128,$G$9911:$K$9911),SUMPRODUCT($G$10128:$K$10128,$G$9924:$K$9924),SUMPRODUCT($G$10128:$K$10128,$G$9937:$K$9937),SUMPRODUCT($G$10128:$K$10128,$G$9950:$K$9950),SUMPRODUCT($G$10128:$K$10128,$G$9963:$K$9963),SUMPRODUCT($G$10128:$K$10128,$G$9976:$K$9976),SUMPRODUCT($G$10128:$K$10128,$G$9989:$K$9989),SUMPRODUCT($G$10128:$K$10128,$G$10002:$K$10002)),0)</f>
        <v>0.255102040816327</v>
      </c>
    </row>
    <row r="10304" customFormat="false" ht="15" hidden="false" customHeight="false" outlineLevel="0" collapsed="false">
      <c r="A10304" s="3" t="s">
        <v>591</v>
      </c>
      <c r="C10304" s="16" t="n">
        <f aca="false">CHOOSE(C10297,C10250,C10251,C10252,C10253,C10254,C10255,C10256,C10257,C10258,C10259)*C10303</f>
        <v>103</v>
      </c>
    </row>
    <row r="10305" customFormat="false" ht="15" hidden="false" customHeight="false" outlineLevel="0" collapsed="false">
      <c r="A10305" s="3" t="s">
        <v>592</v>
      </c>
      <c r="C10305" s="22" t="n">
        <f aca="false">CHOOSE(C10297,C10261,C10262,C10263,C10264,C10265,C10266,C10267,C10268,C10269,C10270)</f>
        <v>1</v>
      </c>
    </row>
    <row r="10306" customFormat="false" ht="15" hidden="false" customHeight="false" outlineLevel="0" collapsed="false">
      <c r="A10306" s="3" t="s">
        <v>593</v>
      </c>
      <c r="C10306" s="21" t="n">
        <f aca="false">IF(C10129=1,C10302,C10301)</f>
        <v>2</v>
      </c>
    </row>
    <row r="10307" customFormat="false" ht="15" hidden="false" customHeight="false" outlineLevel="0" collapsed="false">
      <c r="A10307" s="3" t="s">
        <v>594</v>
      </c>
      <c r="C10307" s="35" t="n">
        <f aca="false">CHOOSE($C$9831,Assumptions!$C$91,Assumptions!$C$110,Assumptions!$C$129)</f>
        <v>85</v>
      </c>
    </row>
    <row r="10308" customFormat="false" ht="15" hidden="false" customHeight="false" outlineLevel="0" collapsed="false">
      <c r="A10308" s="3" t="s">
        <v>595</v>
      </c>
      <c r="C10308" s="16" t="n">
        <f aca="false">INDEX($G$9848:$K$9848,C10301)*CHOOSE($C$9831,Assumptions!$C$90,Assumptions!$C$109,Assumptions!$C$128)+MAX(0,INDEX($G$10062:$K$10062,C10301))</f>
        <v>1633.40082545963</v>
      </c>
    </row>
    <row r="10309" customFormat="false" ht="15" hidden="false" customHeight="false" outlineLevel="0" collapsed="false">
      <c r="A10309" s="24" t="s">
        <v>596</v>
      </c>
      <c r="B10309" s="25"/>
      <c r="C10309" s="25"/>
      <c r="D10309" s="25"/>
      <c r="E10309" s="25"/>
      <c r="F10309" s="25"/>
      <c r="G10309" s="25"/>
      <c r="H10309" s="25"/>
      <c r="I10309" s="25"/>
      <c r="J10309" s="25"/>
      <c r="K10309" s="25"/>
    </row>
    <row r="10310" customFormat="false" ht="15" hidden="false" customHeight="false" outlineLevel="0" collapsed="false">
      <c r="A10310" s="3" t="s">
        <v>556</v>
      </c>
      <c r="C10310" s="16" t="n">
        <f aca="false">INDEX($G$9885:$K$9885,C10301)</f>
        <v>388</v>
      </c>
    </row>
    <row r="10311" customFormat="false" ht="15" hidden="false" customHeight="false" outlineLevel="0" collapsed="false">
      <c r="A10311" s="3" t="s">
        <v>557</v>
      </c>
      <c r="C10311" s="16" t="n">
        <f aca="false">INDEX($G$9898:$K$9898,C10301)</f>
        <v>90</v>
      </c>
    </row>
    <row r="10312" customFormat="false" ht="15" hidden="false" customHeight="false" outlineLevel="0" collapsed="false">
      <c r="A10312" s="3" t="s">
        <v>558</v>
      </c>
      <c r="C10312" s="16" t="n">
        <f aca="false">INDEX($G$9911:$K$9911,C10301)</f>
        <v>57.324</v>
      </c>
    </row>
    <row r="10313" customFormat="false" ht="15" hidden="false" customHeight="false" outlineLevel="0" collapsed="false">
      <c r="A10313" s="3" t="s">
        <v>559</v>
      </c>
      <c r="C10313" s="16" t="n">
        <f aca="false">INDEX($G$9924:$K$9924,C10301)</f>
        <v>0</v>
      </c>
    </row>
    <row r="10314" customFormat="false" ht="15" hidden="false" customHeight="false" outlineLevel="0" collapsed="false">
      <c r="A10314" s="3" t="s">
        <v>560</v>
      </c>
      <c r="C10314" s="16" t="n">
        <f aca="false">INDEX($G$9937:$K$9937,C10301)</f>
        <v>434.9547587</v>
      </c>
    </row>
    <row r="10315" customFormat="false" ht="15" hidden="false" customHeight="false" outlineLevel="0" collapsed="false">
      <c r="A10315" s="3" t="s">
        <v>561</v>
      </c>
      <c r="C10315" s="16" t="n">
        <f aca="false">INDEX($G$9950:$K$9950,C10301)</f>
        <v>350</v>
      </c>
    </row>
    <row r="10316" customFormat="false" ht="15" hidden="false" customHeight="false" outlineLevel="0" collapsed="false">
      <c r="A10316" s="3" t="s">
        <v>562</v>
      </c>
      <c r="C10316" s="16" t="n">
        <f aca="false">INDEX($G$9963:$K$9963,C10301)</f>
        <v>550</v>
      </c>
    </row>
    <row r="10317" customFormat="false" ht="15" hidden="false" customHeight="false" outlineLevel="0" collapsed="false">
      <c r="A10317" s="3" t="s">
        <v>563</v>
      </c>
      <c r="C10317" s="16" t="n">
        <f aca="false">INDEX($G$9976:$K$9976,C10301)</f>
        <v>350</v>
      </c>
    </row>
    <row r="10318" customFormat="false" ht="15" hidden="false" customHeight="false" outlineLevel="0" collapsed="false">
      <c r="A10318" s="3" t="s">
        <v>564</v>
      </c>
      <c r="C10318" s="16" t="n">
        <f aca="false">INDEX($G$9989:$K$9989,C10301)</f>
        <v>300</v>
      </c>
    </row>
    <row r="10319" customFormat="false" ht="15" hidden="false" customHeight="false" outlineLevel="0" collapsed="false">
      <c r="A10319" s="3" t="s">
        <v>565</v>
      </c>
      <c r="C10319" s="16" t="n">
        <f aca="false">INDEX($G$10002:$K$10002,C10301)</f>
        <v>78.61</v>
      </c>
    </row>
    <row r="10320" customFormat="false" ht="15" hidden="false" customHeight="false" outlineLevel="0" collapsed="false">
      <c r="A10320" s="24" t="s">
        <v>566</v>
      </c>
      <c r="B10320" s="25"/>
      <c r="C10320" s="25"/>
      <c r="D10320" s="25"/>
      <c r="E10320" s="25"/>
      <c r="F10320" s="25"/>
      <c r="G10320" s="25"/>
      <c r="H10320" s="25"/>
      <c r="I10320" s="25"/>
      <c r="J10320" s="25"/>
      <c r="K10320" s="25"/>
    </row>
    <row r="10321" customFormat="false" ht="15" hidden="false" customHeight="false" outlineLevel="0" collapsed="false">
      <c r="A10321" s="3" t="s">
        <v>556</v>
      </c>
      <c r="C10321" s="27" t="n">
        <f aca="false">Assumptions!$M$57</f>
        <v>1</v>
      </c>
    </row>
    <row r="10322" customFormat="false" ht="15" hidden="false" customHeight="false" outlineLevel="0" collapsed="false">
      <c r="A10322" s="3" t="s">
        <v>557</v>
      </c>
      <c r="C10322" s="27" t="n">
        <f aca="false">Assumptions!$M$58</f>
        <v>1</v>
      </c>
    </row>
    <row r="10323" customFormat="false" ht="15" hidden="false" customHeight="false" outlineLevel="0" collapsed="false">
      <c r="A10323" s="3" t="s">
        <v>558</v>
      </c>
      <c r="C10323" s="27" t="n">
        <f aca="false">Assumptions!$M$59</f>
        <v>1</v>
      </c>
    </row>
    <row r="10324" customFormat="false" ht="15" hidden="false" customHeight="false" outlineLevel="0" collapsed="false">
      <c r="A10324" s="3" t="s">
        <v>559</v>
      </c>
      <c r="C10324" s="27" t="n">
        <f aca="false">Assumptions!$M$60</f>
        <v>2</v>
      </c>
    </row>
    <row r="10325" customFormat="false" ht="15" hidden="false" customHeight="false" outlineLevel="0" collapsed="false">
      <c r="A10325" s="3" t="s">
        <v>560</v>
      </c>
      <c r="C10325" s="27" t="n">
        <f aca="false">Assumptions!$M$61</f>
        <v>2</v>
      </c>
    </row>
    <row r="10326" customFormat="false" ht="15" hidden="false" customHeight="false" outlineLevel="0" collapsed="false">
      <c r="A10326" s="3" t="s">
        <v>561</v>
      </c>
      <c r="C10326" s="27" t="n">
        <f aca="false">Assumptions!$M$62</f>
        <v>2</v>
      </c>
    </row>
    <row r="10327" customFormat="false" ht="15" hidden="false" customHeight="false" outlineLevel="0" collapsed="false">
      <c r="A10327" s="3" t="s">
        <v>562</v>
      </c>
      <c r="C10327" s="27" t="n">
        <f aca="false">Assumptions!$M$63</f>
        <v>2</v>
      </c>
    </row>
    <row r="10328" customFormat="false" ht="15" hidden="false" customHeight="false" outlineLevel="0" collapsed="false">
      <c r="A10328" s="3" t="s">
        <v>563</v>
      </c>
      <c r="C10328" s="27" t="n">
        <f aca="false">Assumptions!$M$64</f>
        <v>2</v>
      </c>
    </row>
    <row r="10329" customFormat="false" ht="15" hidden="false" customHeight="false" outlineLevel="0" collapsed="false">
      <c r="A10329" s="3" t="s">
        <v>564</v>
      </c>
      <c r="C10329" s="27" t="n">
        <f aca="false">Assumptions!$M$65</f>
        <v>2</v>
      </c>
    </row>
    <row r="10330" customFormat="false" ht="15" hidden="false" customHeight="false" outlineLevel="0" collapsed="false">
      <c r="A10330" s="3" t="s">
        <v>565</v>
      </c>
      <c r="C10330" s="27" t="n">
        <f aca="false">Assumptions!$M$66</f>
        <v>3</v>
      </c>
    </row>
    <row r="10331" customFormat="false" ht="15" hidden="false" customHeight="false" outlineLevel="0" collapsed="false">
      <c r="A10331" s="24" t="s">
        <v>567</v>
      </c>
      <c r="B10331" s="25"/>
      <c r="C10331" s="25"/>
      <c r="D10331" s="25"/>
      <c r="E10331" s="25"/>
      <c r="F10331" s="25"/>
      <c r="G10331" s="25"/>
      <c r="H10331" s="25"/>
      <c r="I10331" s="25"/>
      <c r="J10331" s="25"/>
      <c r="K10331" s="25"/>
    </row>
    <row r="10332" customFormat="false" ht="15" hidden="false" customHeight="false" outlineLevel="0" collapsed="false">
      <c r="A10332" s="3" t="s">
        <v>556</v>
      </c>
      <c r="C10332" s="33" t="n">
        <f aca="false">Assumptions!$Q$57</f>
        <v>0.3</v>
      </c>
    </row>
    <row r="10333" customFormat="false" ht="15" hidden="false" customHeight="false" outlineLevel="0" collapsed="false">
      <c r="A10333" s="3" t="s">
        <v>557</v>
      </c>
      <c r="C10333" s="33" t="n">
        <f aca="false">Assumptions!$Q$58</f>
        <v>0.033</v>
      </c>
    </row>
    <row r="10334" customFormat="false" ht="15" hidden="false" customHeight="false" outlineLevel="0" collapsed="false">
      <c r="A10334" s="3" t="s">
        <v>558</v>
      </c>
      <c r="C10334" s="33" t="n">
        <f aca="false">Assumptions!$Q$59</f>
        <v>0.021</v>
      </c>
    </row>
    <row r="10335" customFormat="false" ht="15" hidden="false" customHeight="false" outlineLevel="0" collapsed="false">
      <c r="A10335" s="3" t="s">
        <v>559</v>
      </c>
      <c r="C10335" s="33" t="n">
        <f aca="false">Assumptions!$Q$60</f>
        <v>0</v>
      </c>
    </row>
    <row r="10336" customFormat="false" ht="15" hidden="false" customHeight="false" outlineLevel="0" collapsed="false">
      <c r="A10336" s="3" t="s">
        <v>560</v>
      </c>
      <c r="C10336" s="33" t="n">
        <f aca="false">Assumptions!$Q$61</f>
        <v>0</v>
      </c>
    </row>
    <row r="10337" customFormat="false" ht="15" hidden="false" customHeight="false" outlineLevel="0" collapsed="false">
      <c r="A10337" s="3" t="s">
        <v>561</v>
      </c>
      <c r="C10337" s="33" t="n">
        <f aca="false">Assumptions!$Q$62</f>
        <v>0</v>
      </c>
    </row>
    <row r="10338" customFormat="false" ht="15" hidden="false" customHeight="false" outlineLevel="0" collapsed="false">
      <c r="A10338" s="3" t="s">
        <v>562</v>
      </c>
      <c r="C10338" s="33" t="n">
        <f aca="false">Assumptions!$Q$63</f>
        <v>0</v>
      </c>
    </row>
    <row r="10339" customFormat="false" ht="15" hidden="false" customHeight="false" outlineLevel="0" collapsed="false">
      <c r="A10339" s="3" t="s">
        <v>563</v>
      </c>
      <c r="C10339" s="33" t="n">
        <f aca="false">Assumptions!$Q$64</f>
        <v>0</v>
      </c>
    </row>
    <row r="10340" customFormat="false" ht="15" hidden="false" customHeight="false" outlineLevel="0" collapsed="false">
      <c r="A10340" s="3" t="s">
        <v>564</v>
      </c>
      <c r="C10340" s="33" t="n">
        <f aca="false">Assumptions!$Q$65</f>
        <v>0</v>
      </c>
    </row>
    <row r="10341" customFormat="false" ht="15" hidden="false" customHeight="false" outlineLevel="0" collapsed="false">
      <c r="A10341" s="3" t="s">
        <v>565</v>
      </c>
      <c r="C10341" s="33" t="n">
        <f aca="false">Assumptions!$Q$66</f>
        <v>0</v>
      </c>
    </row>
    <row r="10342" customFormat="false" ht="15" hidden="false" customHeight="false" outlineLevel="0" collapsed="false">
      <c r="A10342" s="24" t="s">
        <v>568</v>
      </c>
      <c r="B10342" s="25"/>
      <c r="C10342" s="25"/>
      <c r="D10342" s="25"/>
      <c r="E10342" s="25"/>
      <c r="F10342" s="25"/>
      <c r="G10342" s="25"/>
      <c r="H10342" s="25"/>
      <c r="I10342" s="25"/>
      <c r="J10342" s="25"/>
      <c r="K10342" s="25"/>
    </row>
    <row r="10343" customFormat="false" ht="15" hidden="false" customHeight="false" outlineLevel="0" collapsed="false">
      <c r="A10343" s="3" t="s">
        <v>556</v>
      </c>
      <c r="C10343" s="16" t="n">
        <f aca="false">IF(C10332&gt;0,MIN(C10310,C10332*$C$10308),0)</f>
        <v>388</v>
      </c>
    </row>
    <row r="10344" customFormat="false" ht="15" hidden="false" customHeight="false" outlineLevel="0" collapsed="false">
      <c r="A10344" s="3" t="s">
        <v>557</v>
      </c>
      <c r="C10344" s="16" t="n">
        <f aca="false">IF(C10333&gt;0,MIN(C10311,C10333*$C$10308),0)</f>
        <v>53.9022272401676</v>
      </c>
    </row>
    <row r="10345" customFormat="false" ht="15" hidden="false" customHeight="false" outlineLevel="0" collapsed="false">
      <c r="A10345" s="3" t="s">
        <v>558</v>
      </c>
      <c r="C10345" s="16" t="n">
        <f aca="false">IF(C10334&gt;0,MIN(C10312,C10334*$C$10308),0)</f>
        <v>34.3014173346521</v>
      </c>
    </row>
    <row r="10346" customFormat="false" ht="15" hidden="false" customHeight="false" outlineLevel="0" collapsed="false">
      <c r="A10346" s="3" t="s">
        <v>559</v>
      </c>
      <c r="C10346" s="16" t="n">
        <f aca="false">IF(C10335&gt;0,MIN(C10313,C10335*$C$10308),0)</f>
        <v>0</v>
      </c>
    </row>
    <row r="10347" customFormat="false" ht="15" hidden="false" customHeight="false" outlineLevel="0" collapsed="false">
      <c r="A10347" s="3" t="s">
        <v>560</v>
      </c>
      <c r="C10347" s="16" t="n">
        <f aca="false">IF(C10336&gt;0,MIN(C10314,C10336*$C$10308),0)</f>
        <v>0</v>
      </c>
    </row>
    <row r="10348" customFormat="false" ht="15" hidden="false" customHeight="false" outlineLevel="0" collapsed="false">
      <c r="A10348" s="3" t="s">
        <v>561</v>
      </c>
      <c r="C10348" s="16" t="n">
        <f aca="false">IF(C10337&gt;0,MIN(C10315,C10337*$C$10308),0)</f>
        <v>0</v>
      </c>
    </row>
    <row r="10349" customFormat="false" ht="15" hidden="false" customHeight="false" outlineLevel="0" collapsed="false">
      <c r="A10349" s="3" t="s">
        <v>562</v>
      </c>
      <c r="C10349" s="16" t="n">
        <f aca="false">IF(C10338&gt;0,MIN(C10316,C10338*$C$10308),0)</f>
        <v>0</v>
      </c>
    </row>
    <row r="10350" customFormat="false" ht="15" hidden="false" customHeight="false" outlineLevel="0" collapsed="false">
      <c r="A10350" s="3" t="s">
        <v>563</v>
      </c>
      <c r="C10350" s="16" t="n">
        <f aca="false">IF(C10339&gt;0,MIN(C10317,C10339*$C$10308),0)</f>
        <v>0</v>
      </c>
    </row>
    <row r="10351" customFormat="false" ht="15" hidden="false" customHeight="false" outlineLevel="0" collapsed="false">
      <c r="A10351" s="3" t="s">
        <v>564</v>
      </c>
      <c r="C10351" s="16" t="n">
        <f aca="false">IF(C10340&gt;0,MIN(C10318,C10340*$C$10308),0)</f>
        <v>0</v>
      </c>
    </row>
    <row r="10352" customFormat="false" ht="15" hidden="false" customHeight="false" outlineLevel="0" collapsed="false">
      <c r="A10352" s="3" t="s">
        <v>565</v>
      </c>
      <c r="C10352" s="16" t="n">
        <f aca="false">IF(C10341&gt;0,MIN(C10319,C10341*$C$10308),0)</f>
        <v>0</v>
      </c>
    </row>
    <row r="10353" customFormat="false" ht="15" hidden="false" customHeight="false" outlineLevel="0" collapsed="false">
      <c r="A10353" s="24" t="s">
        <v>569</v>
      </c>
      <c r="B10353" s="25"/>
      <c r="C10353" s="25"/>
      <c r="D10353" s="25"/>
      <c r="E10353" s="25"/>
      <c r="F10353" s="25"/>
      <c r="G10353" s="25"/>
      <c r="H10353" s="25"/>
      <c r="I10353" s="25"/>
      <c r="J10353" s="25"/>
      <c r="K10353" s="25"/>
    </row>
    <row r="10354" customFormat="false" ht="15" hidden="false" customHeight="false" outlineLevel="0" collapsed="false">
      <c r="A10354" s="3" t="s">
        <v>556</v>
      </c>
      <c r="C10354" s="16" t="n">
        <f aca="false">IF(C10332&gt;0,C10310-C10343,0)</f>
        <v>0</v>
      </c>
    </row>
    <row r="10355" customFormat="false" ht="15" hidden="false" customHeight="false" outlineLevel="0" collapsed="false">
      <c r="A10355" s="3" t="s">
        <v>557</v>
      </c>
      <c r="C10355" s="16" t="n">
        <f aca="false">IF(C10333&gt;0,C10311-C10344,0)</f>
        <v>36.0977727598324</v>
      </c>
    </row>
    <row r="10356" customFormat="false" ht="15" hidden="false" customHeight="false" outlineLevel="0" collapsed="false">
      <c r="A10356" s="3" t="s">
        <v>558</v>
      </c>
      <c r="C10356" s="16" t="n">
        <f aca="false">IF(C10334&gt;0,C10312-C10345,0)</f>
        <v>23.0225826653479</v>
      </c>
    </row>
    <row r="10357" customFormat="false" ht="15" hidden="false" customHeight="false" outlineLevel="0" collapsed="false">
      <c r="A10357" s="3" t="s">
        <v>559</v>
      </c>
      <c r="C10357" s="16" t="n">
        <f aca="false">IF(C10335&gt;0,C10313-C10346,0)</f>
        <v>0</v>
      </c>
    </row>
    <row r="10358" customFormat="false" ht="15" hidden="false" customHeight="false" outlineLevel="0" collapsed="false">
      <c r="A10358" s="3" t="s">
        <v>560</v>
      </c>
      <c r="C10358" s="16" t="n">
        <f aca="false">IF(C10336&gt;0,C10314-C10347,0)</f>
        <v>0</v>
      </c>
    </row>
    <row r="10359" customFormat="false" ht="15" hidden="false" customHeight="false" outlineLevel="0" collapsed="false">
      <c r="A10359" s="3" t="s">
        <v>561</v>
      </c>
      <c r="C10359" s="16" t="n">
        <f aca="false">IF(C10337&gt;0,C10315-C10348,0)</f>
        <v>0</v>
      </c>
    </row>
    <row r="10360" customFormat="false" ht="15" hidden="false" customHeight="false" outlineLevel="0" collapsed="false">
      <c r="A10360" s="3" t="s">
        <v>562</v>
      </c>
      <c r="C10360" s="16" t="n">
        <f aca="false">IF(C10338&gt;0,C10316-C10349,0)</f>
        <v>0</v>
      </c>
    </row>
    <row r="10361" customFormat="false" ht="15" hidden="false" customHeight="false" outlineLevel="0" collapsed="false">
      <c r="A10361" s="3" t="s">
        <v>563</v>
      </c>
      <c r="C10361" s="16" t="n">
        <f aca="false">IF(C10339&gt;0,C10317-C10350,0)</f>
        <v>0</v>
      </c>
    </row>
    <row r="10362" customFormat="false" ht="15" hidden="false" customHeight="false" outlineLevel="0" collapsed="false">
      <c r="A10362" s="3" t="s">
        <v>564</v>
      </c>
      <c r="C10362" s="16" t="n">
        <f aca="false">IF(C10340&gt;0,C10318-C10351,0)</f>
        <v>0</v>
      </c>
    </row>
    <row r="10363" customFormat="false" ht="15" hidden="false" customHeight="false" outlineLevel="0" collapsed="false">
      <c r="A10363" s="3" t="s">
        <v>565</v>
      </c>
      <c r="C10363" s="16" t="n">
        <f aca="false">IF(C10341&gt;0,C10319-C10352,0)</f>
        <v>0</v>
      </c>
    </row>
    <row r="10364" customFormat="false" ht="15" hidden="false" customHeight="false" outlineLevel="0" collapsed="false">
      <c r="A10364" s="24" t="s">
        <v>570</v>
      </c>
      <c r="B10364" s="25"/>
      <c r="C10364" s="25"/>
      <c r="D10364" s="25"/>
      <c r="E10364" s="25"/>
      <c r="F10364" s="25"/>
      <c r="G10364" s="25"/>
      <c r="H10364" s="25"/>
      <c r="I10364" s="25"/>
      <c r="J10364" s="25"/>
      <c r="K10364" s="25"/>
    </row>
    <row r="10365" customFormat="false" ht="15" hidden="false" customHeight="false" outlineLevel="0" collapsed="false">
      <c r="A10365" s="3" t="s">
        <v>556</v>
      </c>
      <c r="C10365" s="16" t="n">
        <f aca="false">IF(C10332&gt;0,C10354,C10310)</f>
        <v>0</v>
      </c>
    </row>
    <row r="10366" customFormat="false" ht="15" hidden="false" customHeight="false" outlineLevel="0" collapsed="false">
      <c r="A10366" s="3" t="s">
        <v>557</v>
      </c>
      <c r="C10366" s="16" t="n">
        <f aca="false">IF(C10333&gt;0,C10355,C10311)</f>
        <v>36.0977727598324</v>
      </c>
    </row>
    <row r="10367" customFormat="false" ht="15" hidden="false" customHeight="false" outlineLevel="0" collapsed="false">
      <c r="A10367" s="3" t="s">
        <v>558</v>
      </c>
      <c r="C10367" s="16" t="n">
        <f aca="false">IF(C10334&gt;0,C10356,C10312)</f>
        <v>23.0225826653479</v>
      </c>
    </row>
    <row r="10368" customFormat="false" ht="15" hidden="false" customHeight="false" outlineLevel="0" collapsed="false">
      <c r="A10368" s="3" t="s">
        <v>559</v>
      </c>
      <c r="C10368" s="16" t="n">
        <f aca="false">IF(C10335&gt;0,C10357,C10313)</f>
        <v>0</v>
      </c>
    </row>
    <row r="10369" customFormat="false" ht="15" hidden="false" customHeight="false" outlineLevel="0" collapsed="false">
      <c r="A10369" s="3" t="s">
        <v>560</v>
      </c>
      <c r="C10369" s="16" t="n">
        <f aca="false">IF(C10336&gt;0,C10358,C10314)</f>
        <v>434.9547587</v>
      </c>
    </row>
    <row r="10370" customFormat="false" ht="15" hidden="false" customHeight="false" outlineLevel="0" collapsed="false">
      <c r="A10370" s="3" t="s">
        <v>561</v>
      </c>
      <c r="C10370" s="16" t="n">
        <f aca="false">IF(C10337&gt;0,C10359,C10315)</f>
        <v>350</v>
      </c>
    </row>
    <row r="10371" customFormat="false" ht="15" hidden="false" customHeight="false" outlineLevel="0" collapsed="false">
      <c r="A10371" s="3" t="s">
        <v>562</v>
      </c>
      <c r="C10371" s="16" t="n">
        <f aca="false">IF(C10338&gt;0,C10360,C10316)</f>
        <v>550</v>
      </c>
    </row>
    <row r="10372" customFormat="false" ht="15" hidden="false" customHeight="false" outlineLevel="0" collapsed="false">
      <c r="A10372" s="3" t="s">
        <v>563</v>
      </c>
      <c r="C10372" s="16" t="n">
        <f aca="false">IF(C10339&gt;0,C10361,C10317)</f>
        <v>350</v>
      </c>
    </row>
    <row r="10373" customFormat="false" ht="15" hidden="false" customHeight="false" outlineLevel="0" collapsed="false">
      <c r="A10373" s="3" t="s">
        <v>564</v>
      </c>
      <c r="C10373" s="16" t="n">
        <f aca="false">IF(C10340&gt;0,C10362,C10318)</f>
        <v>300</v>
      </c>
    </row>
    <row r="10374" customFormat="false" ht="15" hidden="false" customHeight="false" outlineLevel="0" collapsed="false">
      <c r="A10374" s="3" t="s">
        <v>565</v>
      </c>
      <c r="C10374" s="16" t="n">
        <f aca="false">IF(C10341&gt;0,C10363,C10319)</f>
        <v>78.61</v>
      </c>
    </row>
    <row r="10375" customFormat="false" ht="15" hidden="false" customHeight="false" outlineLevel="0" collapsed="false">
      <c r="A10375" s="24" t="s">
        <v>571</v>
      </c>
      <c r="B10375" s="25"/>
      <c r="C10375" s="25"/>
      <c r="D10375" s="25"/>
      <c r="E10375" s="25"/>
      <c r="F10375" s="25"/>
      <c r="G10375" s="25"/>
      <c r="H10375" s="25"/>
      <c r="I10375" s="25"/>
      <c r="J10375" s="25"/>
      <c r="K10375" s="25"/>
    </row>
    <row r="10376" customFormat="false" ht="15" hidden="false" customHeight="false" outlineLevel="0" collapsed="false">
      <c r="A10376" s="3" t="s">
        <v>556</v>
      </c>
      <c r="C10376" s="21" t="n">
        <f aca="false">IF(C10332&gt;0,Assumptions!$C$17,C10321)</f>
        <v>99</v>
      </c>
    </row>
    <row r="10377" customFormat="false" ht="15" hidden="false" customHeight="false" outlineLevel="0" collapsed="false">
      <c r="A10377" s="3" t="s">
        <v>557</v>
      </c>
      <c r="C10377" s="21" t="n">
        <f aca="false">IF(C10333&gt;0,Assumptions!$C$17,C10322)</f>
        <v>99</v>
      </c>
    </row>
    <row r="10378" customFormat="false" ht="15" hidden="false" customHeight="false" outlineLevel="0" collapsed="false">
      <c r="A10378" s="3" t="s">
        <v>558</v>
      </c>
      <c r="C10378" s="21" t="n">
        <f aca="false">IF(C10334&gt;0,Assumptions!$C$17,C10323)</f>
        <v>99</v>
      </c>
    </row>
    <row r="10379" customFormat="false" ht="15" hidden="false" customHeight="false" outlineLevel="0" collapsed="false">
      <c r="A10379" s="3" t="s">
        <v>559</v>
      </c>
      <c r="C10379" s="21" t="n">
        <f aca="false">IF(C10335&gt;0,Assumptions!$C$17,C10324)</f>
        <v>2</v>
      </c>
    </row>
    <row r="10380" customFormat="false" ht="15" hidden="false" customHeight="false" outlineLevel="0" collapsed="false">
      <c r="A10380" s="3" t="s">
        <v>560</v>
      </c>
      <c r="C10380" s="21" t="n">
        <f aca="false">IF(C10336&gt;0,Assumptions!$C$17,C10325)</f>
        <v>2</v>
      </c>
    </row>
    <row r="10381" customFormat="false" ht="15" hidden="false" customHeight="false" outlineLevel="0" collapsed="false">
      <c r="A10381" s="3" t="s">
        <v>561</v>
      </c>
      <c r="C10381" s="21" t="n">
        <f aca="false">IF(C10337&gt;0,Assumptions!$C$17,C10326)</f>
        <v>2</v>
      </c>
    </row>
    <row r="10382" customFormat="false" ht="15" hidden="false" customHeight="false" outlineLevel="0" collapsed="false">
      <c r="A10382" s="3" t="s">
        <v>562</v>
      </c>
      <c r="C10382" s="21" t="n">
        <f aca="false">IF(C10338&gt;0,Assumptions!$C$17,C10327)</f>
        <v>2</v>
      </c>
    </row>
    <row r="10383" customFormat="false" ht="15" hidden="false" customHeight="false" outlineLevel="0" collapsed="false">
      <c r="A10383" s="3" t="s">
        <v>563</v>
      </c>
      <c r="C10383" s="21" t="n">
        <f aca="false">IF(C10339&gt;0,Assumptions!$C$17,C10328)</f>
        <v>2</v>
      </c>
    </row>
    <row r="10384" customFormat="false" ht="15" hidden="false" customHeight="false" outlineLevel="0" collapsed="false">
      <c r="A10384" s="3" t="s">
        <v>564</v>
      </c>
      <c r="C10384" s="21" t="n">
        <f aca="false">IF(C10340&gt;0,Assumptions!$C$17,C10329)</f>
        <v>2</v>
      </c>
    </row>
    <row r="10385" customFormat="false" ht="15" hidden="false" customHeight="false" outlineLevel="0" collapsed="false">
      <c r="A10385" s="3" t="s">
        <v>565</v>
      </c>
      <c r="C10385" s="21" t="n">
        <f aca="false">IF(C10341&gt;0,Assumptions!$C$17,C10330)</f>
        <v>3</v>
      </c>
    </row>
    <row r="10386" customFormat="false" ht="15" hidden="false" customHeight="false" outlineLevel="0" collapsed="false">
      <c r="A10386" s="24" t="s">
        <v>572</v>
      </c>
      <c r="B10386" s="25"/>
      <c r="C10386" s="25"/>
      <c r="D10386" s="25"/>
      <c r="E10386" s="25"/>
      <c r="F10386" s="25"/>
      <c r="G10386" s="25"/>
      <c r="H10386" s="25"/>
      <c r="I10386" s="25"/>
      <c r="J10386" s="25"/>
      <c r="K10386" s="25"/>
    </row>
    <row r="10387" customFormat="false" ht="15" hidden="false" customHeight="false" outlineLevel="0" collapsed="false">
      <c r="A10387" s="3" t="s">
        <v>556</v>
      </c>
      <c r="C10387" s="16" t="n">
        <f aca="false">SUMPRODUCT(($C$10376:$C$10385&lt;C10376)*$C$10365:$C$10374)</f>
        <v>2063.5647587</v>
      </c>
    </row>
    <row r="10388" customFormat="false" ht="15" hidden="false" customHeight="false" outlineLevel="0" collapsed="false">
      <c r="A10388" s="3" t="s">
        <v>557</v>
      </c>
      <c r="C10388" s="16" t="n">
        <f aca="false">SUMPRODUCT(($C$10376:$C$10385&lt;C10377)*$C$10365:$C$10374)</f>
        <v>2063.5647587</v>
      </c>
    </row>
    <row r="10389" customFormat="false" ht="15" hidden="false" customHeight="false" outlineLevel="0" collapsed="false">
      <c r="A10389" s="3" t="s">
        <v>558</v>
      </c>
      <c r="C10389" s="16" t="n">
        <f aca="false">SUMPRODUCT(($C$10376:$C$10385&lt;C10378)*$C$10365:$C$10374)</f>
        <v>2063.5647587</v>
      </c>
    </row>
    <row r="10390" customFormat="false" ht="15" hidden="false" customHeight="false" outlineLevel="0" collapsed="false">
      <c r="A10390" s="3" t="s">
        <v>559</v>
      </c>
      <c r="C10390" s="16" t="n">
        <f aca="false">SUMPRODUCT(($C$10376:$C$10385&lt;C10379)*$C$10365:$C$10374)</f>
        <v>0</v>
      </c>
    </row>
    <row r="10391" customFormat="false" ht="15" hidden="false" customHeight="false" outlineLevel="0" collapsed="false">
      <c r="A10391" s="3" t="s">
        <v>560</v>
      </c>
      <c r="C10391" s="16" t="n">
        <f aca="false">SUMPRODUCT(($C$10376:$C$10385&lt;C10380)*$C$10365:$C$10374)</f>
        <v>0</v>
      </c>
    </row>
    <row r="10392" customFormat="false" ht="15" hidden="false" customHeight="false" outlineLevel="0" collapsed="false">
      <c r="A10392" s="3" t="s">
        <v>561</v>
      </c>
      <c r="C10392" s="16" t="n">
        <f aca="false">SUMPRODUCT(($C$10376:$C$10385&lt;C10381)*$C$10365:$C$10374)</f>
        <v>0</v>
      </c>
    </row>
    <row r="10393" customFormat="false" ht="15" hidden="false" customHeight="false" outlineLevel="0" collapsed="false">
      <c r="A10393" s="3" t="s">
        <v>562</v>
      </c>
      <c r="C10393" s="16" t="n">
        <f aca="false">SUMPRODUCT(($C$10376:$C$10385&lt;C10382)*$C$10365:$C$10374)</f>
        <v>0</v>
      </c>
    </row>
    <row r="10394" customFormat="false" ht="15" hidden="false" customHeight="false" outlineLevel="0" collapsed="false">
      <c r="A10394" s="3" t="s">
        <v>563</v>
      </c>
      <c r="C10394" s="16" t="n">
        <f aca="false">SUMPRODUCT(($C$10376:$C$10385&lt;C10383)*$C$10365:$C$10374)</f>
        <v>0</v>
      </c>
    </row>
    <row r="10395" customFormat="false" ht="15" hidden="false" customHeight="false" outlineLevel="0" collapsed="false">
      <c r="A10395" s="3" t="s">
        <v>564</v>
      </c>
      <c r="C10395" s="16" t="n">
        <f aca="false">SUMPRODUCT(($C$10376:$C$10385&lt;C10384)*$C$10365:$C$10374)</f>
        <v>0</v>
      </c>
    </row>
    <row r="10396" customFormat="false" ht="15" hidden="false" customHeight="false" outlineLevel="0" collapsed="false">
      <c r="A10396" s="3" t="s">
        <v>565</v>
      </c>
      <c r="C10396" s="16" t="n">
        <f aca="false">SUMPRODUCT(($C$10376:$C$10385&lt;C10385)*$C$10365:$C$10374)</f>
        <v>1984.9547587</v>
      </c>
    </row>
    <row r="10397" customFormat="false" ht="15" hidden="false" customHeight="false" outlineLevel="0" collapsed="false">
      <c r="A10397" s="24" t="s">
        <v>573</v>
      </c>
      <c r="B10397" s="25"/>
      <c r="C10397" s="25"/>
      <c r="D10397" s="25"/>
      <c r="E10397" s="25"/>
      <c r="F10397" s="25"/>
      <c r="G10397" s="25"/>
      <c r="H10397" s="25"/>
      <c r="I10397" s="25"/>
      <c r="J10397" s="25"/>
      <c r="K10397" s="25"/>
    </row>
    <row r="10398" customFormat="false" ht="15" hidden="false" customHeight="false" outlineLevel="0" collapsed="false">
      <c r="A10398" s="3" t="s">
        <v>556</v>
      </c>
      <c r="C10398" s="16" t="n">
        <f aca="false">SUMPRODUCT(($C$10376:$C$10385=C10376)*$C$10365:$C$10374)</f>
        <v>59.1203554251802</v>
      </c>
    </row>
    <row r="10399" customFormat="false" ht="15" hidden="false" customHeight="false" outlineLevel="0" collapsed="false">
      <c r="A10399" s="3" t="s">
        <v>557</v>
      </c>
      <c r="C10399" s="16" t="n">
        <f aca="false">SUMPRODUCT(($C$10376:$C$10385=C10377)*$C$10365:$C$10374)</f>
        <v>59.1203554251802</v>
      </c>
    </row>
    <row r="10400" customFormat="false" ht="15" hidden="false" customHeight="false" outlineLevel="0" collapsed="false">
      <c r="A10400" s="3" t="s">
        <v>558</v>
      </c>
      <c r="C10400" s="16" t="n">
        <f aca="false">SUMPRODUCT(($C$10376:$C$10385=C10378)*$C$10365:$C$10374)</f>
        <v>59.1203554251802</v>
      </c>
    </row>
    <row r="10401" customFormat="false" ht="15" hidden="false" customHeight="false" outlineLevel="0" collapsed="false">
      <c r="A10401" s="3" t="s">
        <v>559</v>
      </c>
      <c r="C10401" s="16" t="n">
        <f aca="false">SUMPRODUCT(($C$10376:$C$10385=C10379)*$C$10365:$C$10374)</f>
        <v>1984.9547587</v>
      </c>
    </row>
    <row r="10402" customFormat="false" ht="15" hidden="false" customHeight="false" outlineLevel="0" collapsed="false">
      <c r="A10402" s="3" t="s">
        <v>560</v>
      </c>
      <c r="C10402" s="16" t="n">
        <f aca="false">SUMPRODUCT(($C$10376:$C$10385=C10380)*$C$10365:$C$10374)</f>
        <v>1984.9547587</v>
      </c>
    </row>
    <row r="10403" customFormat="false" ht="15" hidden="false" customHeight="false" outlineLevel="0" collapsed="false">
      <c r="A10403" s="3" t="s">
        <v>561</v>
      </c>
      <c r="C10403" s="16" t="n">
        <f aca="false">SUMPRODUCT(($C$10376:$C$10385=C10381)*$C$10365:$C$10374)</f>
        <v>1984.9547587</v>
      </c>
    </row>
    <row r="10404" customFormat="false" ht="15" hidden="false" customHeight="false" outlineLevel="0" collapsed="false">
      <c r="A10404" s="3" t="s">
        <v>562</v>
      </c>
      <c r="C10404" s="16" t="n">
        <f aca="false">SUMPRODUCT(($C$10376:$C$10385=C10382)*$C$10365:$C$10374)</f>
        <v>1984.9547587</v>
      </c>
    </row>
    <row r="10405" customFormat="false" ht="15" hidden="false" customHeight="false" outlineLevel="0" collapsed="false">
      <c r="A10405" s="3" t="s">
        <v>563</v>
      </c>
      <c r="C10405" s="16" t="n">
        <f aca="false">SUMPRODUCT(($C$10376:$C$10385=C10383)*$C$10365:$C$10374)</f>
        <v>1984.9547587</v>
      </c>
    </row>
    <row r="10406" customFormat="false" ht="15" hidden="false" customHeight="false" outlineLevel="0" collapsed="false">
      <c r="A10406" s="3" t="s">
        <v>564</v>
      </c>
      <c r="C10406" s="16" t="n">
        <f aca="false">SUMPRODUCT(($C$10376:$C$10385=C10384)*$C$10365:$C$10374)</f>
        <v>1984.9547587</v>
      </c>
    </row>
    <row r="10407" customFormat="false" ht="15" hidden="false" customHeight="false" outlineLevel="0" collapsed="false">
      <c r="A10407" s="3" t="s">
        <v>565</v>
      </c>
      <c r="C10407" s="16" t="n">
        <f aca="false">SUMPRODUCT(($C$10376:$C$10385=C10385)*$C$10365:$C$10374)</f>
        <v>78.61</v>
      </c>
    </row>
    <row r="10408" customFormat="false" ht="15" hidden="false" customHeight="false" outlineLevel="0" collapsed="false">
      <c r="A10408" s="24" t="s">
        <v>574</v>
      </c>
      <c r="B10408" s="25"/>
      <c r="C10408" s="25"/>
      <c r="D10408" s="25"/>
      <c r="E10408" s="25"/>
      <c r="F10408" s="25"/>
      <c r="G10408" s="25"/>
      <c r="H10408" s="25"/>
      <c r="I10408" s="25"/>
      <c r="J10408" s="25"/>
      <c r="K10408" s="25"/>
    </row>
    <row r="10409" customFormat="false" ht="15" hidden="false" customHeight="false" outlineLevel="0" collapsed="false">
      <c r="A10409" s="3" t="s">
        <v>556</v>
      </c>
      <c r="C10409" s="16" t="n">
        <f aca="false">IF(C10398=0,0,C10365/C10398*MAX(0,MIN(C10398,$C$10308-SUM($C$10343:$C$10352)-C10387)))</f>
        <v>0</v>
      </c>
    </row>
    <row r="10410" customFormat="false" ht="15" hidden="false" customHeight="false" outlineLevel="0" collapsed="false">
      <c r="A10410" s="3" t="s">
        <v>557</v>
      </c>
      <c r="C10410" s="16" t="n">
        <f aca="false">IF(C10399=0,0,C10366/C10399*MAX(0,MIN(C10399,$C$10308-SUM($C$10343:$C$10352)-C10388)))</f>
        <v>0</v>
      </c>
    </row>
    <row r="10411" customFormat="false" ht="15" hidden="false" customHeight="false" outlineLevel="0" collapsed="false">
      <c r="A10411" s="3" t="s">
        <v>558</v>
      </c>
      <c r="C10411" s="16" t="n">
        <f aca="false">IF(C10400=0,0,C10367/C10400*MAX(0,MIN(C10400,$C$10308-SUM($C$10343:$C$10352)-C10389)))</f>
        <v>0</v>
      </c>
    </row>
    <row r="10412" customFormat="false" ht="15" hidden="false" customHeight="false" outlineLevel="0" collapsed="false">
      <c r="A10412" s="3" t="s">
        <v>559</v>
      </c>
      <c r="C10412" s="16" t="n">
        <f aca="false">IF(C10401=0,0,C10368/C10401*MAX(0,MIN(C10401,$C$10308-SUM($C$10343:$C$10352)-C10390)))</f>
        <v>0</v>
      </c>
    </row>
    <row r="10413" customFormat="false" ht="15" hidden="false" customHeight="false" outlineLevel="0" collapsed="false">
      <c r="A10413" s="3" t="s">
        <v>560</v>
      </c>
      <c r="C10413" s="16" t="n">
        <f aca="false">IF(C10402=0,0,C10369/C10402*MAX(0,MIN(C10402,$C$10308-SUM($C$10343:$C$10352)-C10391)))</f>
        <v>253.571734254394</v>
      </c>
    </row>
    <row r="10414" customFormat="false" ht="15" hidden="false" customHeight="false" outlineLevel="0" collapsed="false">
      <c r="A10414" s="3" t="s">
        <v>561</v>
      </c>
      <c r="C10414" s="16" t="n">
        <f aca="false">IF(C10403=0,0,C10370/C10403*MAX(0,MIN(C10403,$C$10308-SUM($C$10343:$C$10352)-C10392)))</f>
        <v>204.044455690738</v>
      </c>
    </row>
    <row r="10415" customFormat="false" ht="15" hidden="false" customHeight="false" outlineLevel="0" collapsed="false">
      <c r="A10415" s="3" t="s">
        <v>562</v>
      </c>
      <c r="C10415" s="16" t="n">
        <f aca="false">IF(C10404=0,0,C10371/C10404*MAX(0,MIN(C10404,$C$10308-SUM($C$10343:$C$10352)-C10393)))</f>
        <v>320.641287514017</v>
      </c>
    </row>
    <row r="10416" customFormat="false" ht="15" hidden="false" customHeight="false" outlineLevel="0" collapsed="false">
      <c r="A10416" s="3" t="s">
        <v>563</v>
      </c>
      <c r="C10416" s="16" t="n">
        <f aca="false">IF(C10405=0,0,C10372/C10405*MAX(0,MIN(C10405,$C$10308-SUM($C$10343:$C$10352)-C10394)))</f>
        <v>204.044455690738</v>
      </c>
    </row>
    <row r="10417" customFormat="false" ht="15" hidden="false" customHeight="false" outlineLevel="0" collapsed="false">
      <c r="A10417" s="3" t="s">
        <v>564</v>
      </c>
      <c r="C10417" s="16" t="n">
        <f aca="false">IF(C10406=0,0,C10373/C10406*MAX(0,MIN(C10406,$C$10308-SUM($C$10343:$C$10352)-C10395)))</f>
        <v>174.895247734918</v>
      </c>
    </row>
    <row r="10418" customFormat="false" ht="15" hidden="false" customHeight="false" outlineLevel="0" collapsed="false">
      <c r="A10418" s="3" t="s">
        <v>565</v>
      </c>
      <c r="C10418" s="16" t="n">
        <f aca="false">IF(C10407=0,0,C10374/C10407*MAX(0,MIN(C10407,$C$10308-SUM($C$10343:$C$10352)-C10396)))</f>
        <v>0</v>
      </c>
    </row>
    <row r="10419" customFormat="false" ht="15" hidden="false" customHeight="false" outlineLevel="0" collapsed="false">
      <c r="A10419" s="24" t="s">
        <v>575</v>
      </c>
      <c r="B10419" s="25"/>
      <c r="C10419" s="25"/>
      <c r="D10419" s="25"/>
      <c r="E10419" s="25"/>
      <c r="F10419" s="25"/>
      <c r="G10419" s="25"/>
      <c r="H10419" s="25"/>
      <c r="I10419" s="25"/>
      <c r="J10419" s="25"/>
      <c r="K10419" s="25"/>
    </row>
    <row r="10420" customFormat="false" ht="15" hidden="false" customHeight="false" outlineLevel="0" collapsed="false">
      <c r="A10420" s="2" t="s">
        <v>556</v>
      </c>
      <c r="C10420" s="17" t="n">
        <f aca="false">C10343+C10409</f>
        <v>388</v>
      </c>
    </row>
    <row r="10421" customFormat="false" ht="15" hidden="false" customHeight="false" outlineLevel="0" collapsed="false">
      <c r="A10421" s="2" t="s">
        <v>557</v>
      </c>
      <c r="C10421" s="17" t="n">
        <f aca="false">C10344+C10410</f>
        <v>53.9022272401676</v>
      </c>
    </row>
    <row r="10422" customFormat="false" ht="15" hidden="false" customHeight="false" outlineLevel="0" collapsed="false">
      <c r="A10422" s="2" t="s">
        <v>558</v>
      </c>
      <c r="C10422" s="17" t="n">
        <f aca="false">C10345+C10411</f>
        <v>34.3014173346521</v>
      </c>
    </row>
    <row r="10423" customFormat="false" ht="15" hidden="false" customHeight="false" outlineLevel="0" collapsed="false">
      <c r="A10423" s="2" t="s">
        <v>559</v>
      </c>
      <c r="C10423" s="17" t="n">
        <f aca="false">C10346+C10412</f>
        <v>0</v>
      </c>
    </row>
    <row r="10424" customFormat="false" ht="15" hidden="false" customHeight="false" outlineLevel="0" collapsed="false">
      <c r="A10424" s="2" t="s">
        <v>560</v>
      </c>
      <c r="C10424" s="17" t="n">
        <f aca="false">C10347+C10413</f>
        <v>253.571734254394</v>
      </c>
    </row>
    <row r="10425" customFormat="false" ht="15" hidden="false" customHeight="false" outlineLevel="0" collapsed="false">
      <c r="A10425" s="2" t="s">
        <v>561</v>
      </c>
      <c r="C10425" s="17" t="n">
        <f aca="false">C10348+C10414</f>
        <v>204.044455690738</v>
      </c>
    </row>
    <row r="10426" customFormat="false" ht="15" hidden="false" customHeight="false" outlineLevel="0" collapsed="false">
      <c r="A10426" s="2" t="s">
        <v>562</v>
      </c>
      <c r="C10426" s="17" t="n">
        <f aca="false">C10349+C10415</f>
        <v>320.641287514017</v>
      </c>
    </row>
    <row r="10427" customFormat="false" ht="15" hidden="false" customHeight="false" outlineLevel="0" collapsed="false">
      <c r="A10427" s="2" t="s">
        <v>563</v>
      </c>
      <c r="C10427" s="17" t="n">
        <f aca="false">C10350+C10416</f>
        <v>204.044455690738</v>
      </c>
    </row>
    <row r="10428" customFormat="false" ht="15" hidden="false" customHeight="false" outlineLevel="0" collapsed="false">
      <c r="A10428" s="2" t="s">
        <v>564</v>
      </c>
      <c r="C10428" s="17" t="n">
        <f aca="false">C10351+C10417</f>
        <v>174.895247734918</v>
      </c>
    </row>
    <row r="10429" customFormat="false" ht="15" hidden="false" customHeight="false" outlineLevel="0" collapsed="false">
      <c r="A10429" s="2" t="s">
        <v>565</v>
      </c>
      <c r="C10429" s="17" t="n">
        <f aca="false">C10352+C10418</f>
        <v>0</v>
      </c>
    </row>
    <row r="10430" customFormat="false" ht="15" hidden="false" customHeight="false" outlineLevel="0" collapsed="false">
      <c r="A10430" s="24" t="s">
        <v>576</v>
      </c>
      <c r="B10430" s="25"/>
      <c r="C10430" s="25"/>
      <c r="D10430" s="25"/>
      <c r="E10430" s="25"/>
      <c r="F10430" s="25"/>
      <c r="G10430" s="25"/>
      <c r="H10430" s="25"/>
      <c r="I10430" s="25"/>
      <c r="J10430" s="25"/>
      <c r="K10430" s="25"/>
    </row>
    <row r="10431" customFormat="false" ht="15" hidden="false" customHeight="false" outlineLevel="0" collapsed="false">
      <c r="A10431" s="3" t="s">
        <v>556</v>
      </c>
      <c r="C10431" s="22" t="n">
        <f aca="false">IF(C10310=0,1,C10420/C10310)</f>
        <v>1</v>
      </c>
    </row>
    <row r="10432" customFormat="false" ht="15" hidden="false" customHeight="false" outlineLevel="0" collapsed="false">
      <c r="A10432" s="3" t="s">
        <v>557</v>
      </c>
      <c r="C10432" s="22" t="n">
        <f aca="false">IF(C10311=0,1,C10421/C10311)</f>
        <v>0.598913636001863</v>
      </c>
    </row>
    <row r="10433" customFormat="false" ht="15" hidden="false" customHeight="false" outlineLevel="0" collapsed="false">
      <c r="A10433" s="3" t="s">
        <v>558</v>
      </c>
      <c r="C10433" s="22" t="n">
        <f aca="false">IF(C10312=0,1,C10422/C10312)</f>
        <v>0.598377945269907</v>
      </c>
    </row>
    <row r="10434" customFormat="false" ht="15" hidden="false" customHeight="false" outlineLevel="0" collapsed="false">
      <c r="A10434" s="3" t="s">
        <v>559</v>
      </c>
      <c r="C10434" s="22" t="n">
        <f aca="false">IF(C10313=0,1,C10423/C10313)</f>
        <v>1</v>
      </c>
    </row>
    <row r="10435" customFormat="false" ht="15" hidden="false" customHeight="false" outlineLevel="0" collapsed="false">
      <c r="A10435" s="3" t="s">
        <v>560</v>
      </c>
      <c r="C10435" s="22" t="n">
        <f aca="false">IF(C10314=0,1,C10424/C10314)</f>
        <v>0.582984159116395</v>
      </c>
    </row>
    <row r="10436" customFormat="false" ht="15" hidden="false" customHeight="false" outlineLevel="0" collapsed="false">
      <c r="A10436" s="3" t="s">
        <v>561</v>
      </c>
      <c r="C10436" s="22" t="n">
        <f aca="false">IF(C10315=0,1,C10425/C10315)</f>
        <v>0.582984159116395</v>
      </c>
    </row>
    <row r="10437" customFormat="false" ht="15" hidden="false" customHeight="false" outlineLevel="0" collapsed="false">
      <c r="A10437" s="3" t="s">
        <v>562</v>
      </c>
      <c r="C10437" s="22" t="n">
        <f aca="false">IF(C10316=0,1,C10426/C10316)</f>
        <v>0.582984159116395</v>
      </c>
    </row>
    <row r="10438" customFormat="false" ht="15" hidden="false" customHeight="false" outlineLevel="0" collapsed="false">
      <c r="A10438" s="3" t="s">
        <v>563</v>
      </c>
      <c r="C10438" s="22" t="n">
        <f aca="false">IF(C10317=0,1,C10427/C10317)</f>
        <v>0.582984159116395</v>
      </c>
    </row>
    <row r="10439" customFormat="false" ht="15" hidden="false" customHeight="false" outlineLevel="0" collapsed="false">
      <c r="A10439" s="3" t="s">
        <v>564</v>
      </c>
      <c r="C10439" s="22" t="n">
        <f aca="false">IF(C10318=0,1,C10428/C10318)</f>
        <v>0.582984159116395</v>
      </c>
    </row>
    <row r="10440" customFormat="false" ht="15" hidden="false" customHeight="false" outlineLevel="0" collapsed="false">
      <c r="A10440" s="3" t="s">
        <v>565</v>
      </c>
      <c r="C10440" s="22" t="n">
        <f aca="false">IF(C10319=0,1,C10429/C10319)</f>
        <v>0</v>
      </c>
    </row>
    <row r="10441" customFormat="false" ht="15" hidden="false" customHeight="false" outlineLevel="0" collapsed="false">
      <c r="A10441" s="24" t="s">
        <v>577</v>
      </c>
      <c r="B10441" s="25"/>
      <c r="C10441" s="25"/>
      <c r="D10441" s="25"/>
      <c r="E10441" s="25"/>
      <c r="F10441" s="25"/>
      <c r="G10441" s="25"/>
      <c r="H10441" s="25"/>
      <c r="I10441" s="25"/>
      <c r="J10441" s="25"/>
      <c r="K10441" s="25"/>
    </row>
    <row r="10442" customFormat="false" ht="15" hidden="false" customHeight="false" outlineLevel="0" collapsed="false">
      <c r="A10442" s="3" t="s">
        <v>556</v>
      </c>
      <c r="C10442" s="16" t="n">
        <f aca="false">C10310-C10420</f>
        <v>0</v>
      </c>
    </row>
    <row r="10443" customFormat="false" ht="15" hidden="false" customHeight="false" outlineLevel="0" collapsed="false">
      <c r="A10443" s="3" t="s">
        <v>557</v>
      </c>
      <c r="C10443" s="16" t="n">
        <f aca="false">C10311-C10421</f>
        <v>36.0977727598324</v>
      </c>
    </row>
    <row r="10444" customFormat="false" ht="15" hidden="false" customHeight="false" outlineLevel="0" collapsed="false">
      <c r="A10444" s="3" t="s">
        <v>558</v>
      </c>
      <c r="C10444" s="16" t="n">
        <f aca="false">C10312-C10422</f>
        <v>23.0225826653479</v>
      </c>
    </row>
    <row r="10445" customFormat="false" ht="15" hidden="false" customHeight="false" outlineLevel="0" collapsed="false">
      <c r="A10445" s="3" t="s">
        <v>559</v>
      </c>
      <c r="C10445" s="16" t="n">
        <f aca="false">C10313-C10423</f>
        <v>0</v>
      </c>
    </row>
    <row r="10446" customFormat="false" ht="15" hidden="false" customHeight="false" outlineLevel="0" collapsed="false">
      <c r="A10446" s="3" t="s">
        <v>560</v>
      </c>
      <c r="C10446" s="16" t="n">
        <f aca="false">C10314-C10424</f>
        <v>181.383024445606</v>
      </c>
    </row>
    <row r="10447" customFormat="false" ht="15" hidden="false" customHeight="false" outlineLevel="0" collapsed="false">
      <c r="A10447" s="3" t="s">
        <v>561</v>
      </c>
      <c r="C10447" s="16" t="n">
        <f aca="false">C10315-C10425</f>
        <v>145.955544309262</v>
      </c>
    </row>
    <row r="10448" customFormat="false" ht="15" hidden="false" customHeight="false" outlineLevel="0" collapsed="false">
      <c r="A10448" s="3" t="s">
        <v>562</v>
      </c>
      <c r="C10448" s="16" t="n">
        <f aca="false">C10316-C10426</f>
        <v>229.358712485983</v>
      </c>
    </row>
    <row r="10449" customFormat="false" ht="15" hidden="false" customHeight="false" outlineLevel="0" collapsed="false">
      <c r="A10449" s="3" t="s">
        <v>563</v>
      </c>
      <c r="C10449" s="16" t="n">
        <f aca="false">C10317-C10427</f>
        <v>145.955544309262</v>
      </c>
    </row>
    <row r="10450" customFormat="false" ht="15" hidden="false" customHeight="false" outlineLevel="0" collapsed="false">
      <c r="A10450" s="3" t="s">
        <v>564</v>
      </c>
      <c r="C10450" s="16" t="n">
        <f aca="false">C10318-C10428</f>
        <v>125.104752265082</v>
      </c>
    </row>
    <row r="10451" customFormat="false" ht="15" hidden="false" customHeight="false" outlineLevel="0" collapsed="false">
      <c r="A10451" s="3" t="s">
        <v>565</v>
      </c>
      <c r="C10451" s="16" t="n">
        <f aca="false">C10319-C10429</f>
        <v>78.61</v>
      </c>
    </row>
    <row r="10452" customFormat="false" ht="15" hidden="false" customHeight="false" outlineLevel="0" collapsed="false">
      <c r="A10452" s="24" t="s">
        <v>578</v>
      </c>
      <c r="B10452" s="25"/>
      <c r="C10452" s="25"/>
      <c r="D10452" s="25"/>
      <c r="E10452" s="25"/>
      <c r="F10452" s="25"/>
      <c r="G10452" s="25"/>
      <c r="H10452" s="25"/>
      <c r="I10452" s="25"/>
      <c r="J10452" s="25"/>
      <c r="K10452" s="25"/>
    </row>
    <row r="10453" customFormat="false" ht="15" hidden="false" customHeight="false" outlineLevel="0" collapsed="false">
      <c r="A10453" s="3" t="s">
        <v>556</v>
      </c>
      <c r="C10453" s="22" t="n">
        <f aca="false">IF(C10310=0,0,C10442/C10310)</f>
        <v>0</v>
      </c>
    </row>
    <row r="10454" customFormat="false" ht="15" hidden="false" customHeight="false" outlineLevel="0" collapsed="false">
      <c r="A10454" s="3" t="s">
        <v>557</v>
      </c>
      <c r="C10454" s="22" t="n">
        <f aca="false">IF(C10311=0,0,C10443/C10311)</f>
        <v>0.401086363998137</v>
      </c>
    </row>
    <row r="10455" customFormat="false" ht="15" hidden="false" customHeight="false" outlineLevel="0" collapsed="false">
      <c r="A10455" s="3" t="s">
        <v>558</v>
      </c>
      <c r="C10455" s="22" t="n">
        <f aca="false">IF(C10312=0,0,C10444/C10312)</f>
        <v>0.401622054730093</v>
      </c>
    </row>
    <row r="10456" customFormat="false" ht="15" hidden="false" customHeight="false" outlineLevel="0" collapsed="false">
      <c r="A10456" s="3" t="s">
        <v>559</v>
      </c>
      <c r="C10456" s="22" t="n">
        <f aca="false">IF(C10313=0,0,C10445/C10313)</f>
        <v>0</v>
      </c>
    </row>
    <row r="10457" customFormat="false" ht="15" hidden="false" customHeight="false" outlineLevel="0" collapsed="false">
      <c r="A10457" s="3" t="s">
        <v>560</v>
      </c>
      <c r="C10457" s="22" t="n">
        <f aca="false">IF(C10314=0,0,C10446/C10314)</f>
        <v>0.417015840883605</v>
      </c>
    </row>
    <row r="10458" customFormat="false" ht="15" hidden="false" customHeight="false" outlineLevel="0" collapsed="false">
      <c r="A10458" s="3" t="s">
        <v>561</v>
      </c>
      <c r="C10458" s="22" t="n">
        <f aca="false">IF(C10315=0,0,C10447/C10315)</f>
        <v>0.417015840883605</v>
      </c>
    </row>
    <row r="10459" customFormat="false" ht="15" hidden="false" customHeight="false" outlineLevel="0" collapsed="false">
      <c r="A10459" s="3" t="s">
        <v>562</v>
      </c>
      <c r="C10459" s="22" t="n">
        <f aca="false">IF(C10316=0,0,C10448/C10316)</f>
        <v>0.417015840883605</v>
      </c>
    </row>
    <row r="10460" customFormat="false" ht="15" hidden="false" customHeight="false" outlineLevel="0" collapsed="false">
      <c r="A10460" s="3" t="s">
        <v>563</v>
      </c>
      <c r="C10460" s="22" t="n">
        <f aca="false">IF(C10317=0,0,C10449/C10317)</f>
        <v>0.417015840883605</v>
      </c>
    </row>
    <row r="10461" customFormat="false" ht="15" hidden="false" customHeight="false" outlineLevel="0" collapsed="false">
      <c r="A10461" s="3" t="s">
        <v>564</v>
      </c>
      <c r="C10461" s="22" t="n">
        <f aca="false">IF(C10318=0,0,C10450/C10318)</f>
        <v>0.417015840883605</v>
      </c>
    </row>
    <row r="10462" customFormat="false" ht="15" hidden="false" customHeight="false" outlineLevel="0" collapsed="false">
      <c r="A10462" s="3" t="s">
        <v>565</v>
      </c>
      <c r="C10462" s="22" t="n">
        <f aca="false">IF(C10319=0,0,C10451/C10319)</f>
        <v>1</v>
      </c>
    </row>
    <row r="10463" customFormat="false" ht="15" hidden="false" customHeight="false" outlineLevel="0" collapsed="false">
      <c r="A10463" s="2" t="s">
        <v>579</v>
      </c>
      <c r="C10463" s="17" t="n">
        <f aca="false">MAX(0,$C$10308-SUM($C$10343:$C$10352)-SUM($C$10365:$C$10374))</f>
        <v>0</v>
      </c>
    </row>
    <row r="10464" customFormat="false" ht="15" hidden="false" customHeight="false" outlineLevel="0" collapsed="false">
      <c r="A10464" s="3" t="s">
        <v>597</v>
      </c>
      <c r="C10464" s="35" t="n">
        <f aca="false">MIN(C10307,100*CHOOSE(C10297,C10431,C10432,C10433,C10434,C10435,C10436,C10437,C10438,C10439,C10440))</f>
        <v>85</v>
      </c>
    </row>
    <row r="10465" customFormat="false" ht="15" hidden="false" customHeight="false" outlineLevel="0" collapsed="false">
      <c r="A10465" s="3" t="s">
        <v>598</v>
      </c>
      <c r="C10465" s="21" t="n">
        <f aca="false">IF(C10129=1,C10302+Assumptions!$C$40,C10301)</f>
        <v>3</v>
      </c>
    </row>
    <row r="10466" customFormat="false" ht="15" hidden="false" customHeight="false" outlineLevel="0" collapsed="false">
      <c r="A10466" s="24" t="s">
        <v>599</v>
      </c>
      <c r="B10466" s="25"/>
      <c r="C10466" s="25"/>
      <c r="D10466" s="25"/>
      <c r="E10466" s="25"/>
      <c r="F10466" s="25"/>
      <c r="G10466" s="25"/>
      <c r="H10466" s="25"/>
      <c r="I10466" s="25"/>
      <c r="J10466" s="25"/>
      <c r="K10466" s="25"/>
    </row>
    <row r="10467" customFormat="false" ht="15" hidden="false" customHeight="false" outlineLevel="0" collapsed="false">
      <c r="A10467" s="3" t="s">
        <v>600</v>
      </c>
      <c r="C10467" s="21" t="n">
        <f aca="false">COLUMN()-COLUMN($C$1)</f>
        <v>0</v>
      </c>
      <c r="D10467" s="21" t="n">
        <f aca="false">COLUMN()-COLUMN($C$1)</f>
        <v>1</v>
      </c>
      <c r="E10467" s="21" t="n">
        <f aca="false">COLUMN()-COLUMN($C$1)</f>
        <v>2</v>
      </c>
      <c r="F10467" s="21" t="n">
        <f aca="false">COLUMN()-COLUMN($C$1)</f>
        <v>3</v>
      </c>
      <c r="G10467" s="21" t="n">
        <f aca="false">COLUMN()-COLUMN($C$1)</f>
        <v>4</v>
      </c>
      <c r="H10467" s="21" t="n">
        <f aca="false">COLUMN()-COLUMN($C$1)</f>
        <v>5</v>
      </c>
      <c r="I10467" s="21" t="n">
        <f aca="false">COLUMN()-COLUMN($C$1)</f>
        <v>6</v>
      </c>
    </row>
    <row r="10468" customFormat="false" ht="15" hidden="false" customHeight="false" outlineLevel="0" collapsed="false">
      <c r="A10468" s="3" t="s">
        <v>601</v>
      </c>
      <c r="D10468" s="31" t="n">
        <f aca="false">CHOOSE($C$10297,G9877,G9890,G9903,G9916,G9929,G9942,G9955,G9968,G9981,G9994)</f>
        <v>0.1215</v>
      </c>
      <c r="E10468" s="31" t="n">
        <f aca="false">CHOOSE($C$10297,H9877,H9890,H9903,H9916,H9929,H9942,H9955,H9968,H9981,H9994)</f>
        <v>0.12</v>
      </c>
      <c r="F10468" s="31" t="n">
        <f aca="false">CHOOSE($C$10297,I9877,I9890,I9903,I9916,I9929,I9942,I9955,I9968,I9981,I9994)</f>
        <v>0.1175</v>
      </c>
      <c r="G10468" s="31" t="n">
        <f aca="false">CHOOSE($C$10297,J9877,J9890,J9903,J9916,J9929,J9942,J9955,J9968,J9981,J9994)</f>
        <v>0.1175</v>
      </c>
      <c r="H10468" s="31" t="n">
        <f aca="false">CHOOSE($C$10297,K9877,K9890,K9903,K9916,K9929,K9942,K9955,K9968,K9981,K9994)</f>
        <v>0.1175</v>
      </c>
    </row>
    <row r="10469" customFormat="false" ht="15" hidden="false" customHeight="false" outlineLevel="0" collapsed="false">
      <c r="A10469" s="3" t="s">
        <v>602</v>
      </c>
      <c r="D10469" s="16" t="n">
        <f aca="false">IF(D10467&lt;=$C$10306,$C$10298*D10468,0)</f>
        <v>12.15</v>
      </c>
      <c r="E10469" s="16" t="n">
        <f aca="false">IF(E10467&lt;=$C$10306,$C$10298*E10468,0)</f>
        <v>12</v>
      </c>
      <c r="F10469" s="16" t="n">
        <f aca="false">IF(F10467&lt;=$C$10306,$C$10298*F10468,0)</f>
        <v>0</v>
      </c>
      <c r="G10469" s="16" t="n">
        <f aca="false">IF(G10467&lt;=$C$10306,$C$10298*G10468,0)</f>
        <v>0</v>
      </c>
      <c r="H10469" s="16" t="n">
        <f aca="false">IF(H10467&lt;=$C$10306,$C$10298*H10468,0)</f>
        <v>0</v>
      </c>
    </row>
    <row r="10470" customFormat="false" ht="15" hidden="false" customHeight="false" outlineLevel="0" collapsed="false">
      <c r="A10470" s="3" t="s">
        <v>603</v>
      </c>
      <c r="D10470" s="16" t="n">
        <f aca="false">IF(AND($C$10129=0,D10467=$C$10301),$C$10298*$C$10464/100,0)+IF(AND($C$10129=1,D10467=$C$10465),$C$10304,0)</f>
        <v>0</v>
      </c>
      <c r="E10470" s="16" t="n">
        <f aca="false">IF(AND($C$10129=0,E10467=$C$10301),$C$10298*$C$10464/100,0)+IF(AND($C$10129=1,E10467=$C$10465),$C$10304,0)</f>
        <v>0</v>
      </c>
      <c r="F10470" s="16" t="n">
        <f aca="false">IF(AND($C$10129=0,F10467=$C$10301),$C$10298*$C$10464/100,0)+IF(AND($C$10129=1,F10467=$C$10465),$C$10304,0)</f>
        <v>103</v>
      </c>
      <c r="G10470" s="16" t="n">
        <f aca="false">IF(AND($C$10129=0,G10467=$C$10301),$C$10298*$C$10464/100,0)+IF(AND($C$10129=1,G10467=$C$10465),$C$10304,0)</f>
        <v>0</v>
      </c>
      <c r="H10470" s="16" t="n">
        <f aca="false">IF(AND($C$10129=0,H10467=$C$10301),$C$10298*$C$10464/100,0)+IF(AND($C$10129=1,H10467=$C$10465),$C$10304,0)</f>
        <v>0</v>
      </c>
      <c r="I10470" s="16" t="n">
        <f aca="false">IF(AND($C$10129=0,I10467=$C$10301),$C$10298*$C$10464/100,0)+IF(AND($C$10129=1,I10467=$C$10465),$C$10304,0)</f>
        <v>0</v>
      </c>
    </row>
    <row r="10471" customFormat="false" ht="15" hidden="false" customHeight="false" outlineLevel="0" collapsed="false">
      <c r="A10471" s="2" t="s">
        <v>604</v>
      </c>
      <c r="C10471" s="17" t="n">
        <f aca="false">-$C$10300</f>
        <v>-98.49</v>
      </c>
      <c r="D10471" s="17" t="n">
        <f aca="false">D10469+D10470</f>
        <v>12.15</v>
      </c>
      <c r="E10471" s="17" t="n">
        <f aca="false">E10469+E10470</f>
        <v>12</v>
      </c>
      <c r="F10471" s="17" t="n">
        <f aca="false">F10469+F10470</f>
        <v>103</v>
      </c>
      <c r="G10471" s="17" t="n">
        <f aca="false">G10469+G10470</f>
        <v>0</v>
      </c>
      <c r="H10471" s="17" t="n">
        <f aca="false">H10469+H10470</f>
        <v>0</v>
      </c>
      <c r="I10471" s="17" t="n">
        <f aca="false">I10469+I10470</f>
        <v>0</v>
      </c>
    </row>
    <row r="10472" customFormat="false" ht="15" hidden="false" customHeight="false" outlineLevel="0" collapsed="false">
      <c r="A10472" s="3" t="s">
        <v>605</v>
      </c>
      <c r="C10472" s="16" t="n">
        <f aca="false">SUM($C$10469:$I$10469)</f>
        <v>24.15</v>
      </c>
    </row>
    <row r="10473" customFormat="false" ht="15" hidden="false" customHeight="false" outlineLevel="0" collapsed="false">
      <c r="A10473" s="3" t="s">
        <v>606</v>
      </c>
      <c r="C10473" s="16" t="n">
        <f aca="false">SUM($C$10470:$I$10470)</f>
        <v>103</v>
      </c>
    </row>
    <row r="10474" customFormat="false" ht="15" hidden="false" customHeight="false" outlineLevel="0" collapsed="false">
      <c r="A10474" s="3" t="s">
        <v>607</v>
      </c>
      <c r="C10474" s="16" t="n">
        <f aca="false">C10472+C10473</f>
        <v>127.15</v>
      </c>
    </row>
    <row r="10475" customFormat="false" ht="15" hidden="false" customHeight="false" outlineLevel="0" collapsed="false">
      <c r="A10475" s="3" t="s">
        <v>608</v>
      </c>
      <c r="C10475" s="16" t="n">
        <f aca="false">C10473-C10298*C10299/100</f>
        <v>5</v>
      </c>
    </row>
    <row r="10476" customFormat="false" ht="15" hidden="false" customHeight="false" outlineLevel="0" collapsed="false">
      <c r="A10476" s="3" t="s">
        <v>609</v>
      </c>
      <c r="C10476" s="16" t="n">
        <f aca="false">C10474-C10300</f>
        <v>28.66</v>
      </c>
    </row>
    <row r="10477" customFormat="false" ht="15" hidden="false" customHeight="false" outlineLevel="0" collapsed="false">
      <c r="A10477" s="2" t="s">
        <v>484</v>
      </c>
      <c r="C10477" s="44" t="n">
        <f aca="false">C10474/C10300</f>
        <v>1.29099400954412</v>
      </c>
    </row>
    <row r="10478" customFormat="false" ht="15" hidden="false" customHeight="false" outlineLevel="0" collapsed="false">
      <c r="A10478" s="2" t="s">
        <v>483</v>
      </c>
      <c r="C10478" s="42" t="n">
        <f aca="false">IF(C10474&lt;=0,-1,IFERROR(IRR($C$10471:$I$10471,MAX(-0.9,C10477^(1/C10465)-1)),IRR($C$10471:$I$10471,0.1)))</f>
        <v>0.0994077590660149</v>
      </c>
    </row>
    <row r="10479" customFormat="false" ht="15" hidden="false" customHeight="false" outlineLevel="0" collapsed="false">
      <c r="A10479" s="3" t="s">
        <v>610</v>
      </c>
      <c r="C10479" s="32" t="n">
        <f aca="false">MAX($G$10073:$K$10073)</f>
        <v>15.7734539449449</v>
      </c>
    </row>
    <row r="10480" customFormat="false" ht="15" hidden="false" customHeight="false" outlineLevel="0" collapsed="false">
      <c r="A10480" s="3" t="s">
        <v>611</v>
      </c>
      <c r="C10480" s="32" t="n">
        <f aca="false">MIN($G$10074:$K$10074)</f>
        <v>0.899631625108658</v>
      </c>
    </row>
    <row r="10481" customFormat="false" ht="15" hidden="false" customHeight="false" outlineLevel="0" collapsed="false">
      <c r="A10481" s="3" t="s">
        <v>612</v>
      </c>
      <c r="C10481" s="16" t="n">
        <f aca="false">SUM($G$9861:$K$9861)</f>
        <v>-319.393886227031</v>
      </c>
    </row>
    <row r="10485" customFormat="false" ht="15" hidden="false" customHeight="false" outlineLevel="0" collapsed="false">
      <c r="A10485" s="9" t="s">
        <v>1146</v>
      </c>
      <c r="B10485" s="10"/>
      <c r="C10485" s="10"/>
      <c r="D10485" s="10"/>
      <c r="E10485" s="10"/>
      <c r="F10485" s="10"/>
      <c r="G10485" s="10"/>
      <c r="H10485" s="10"/>
      <c r="I10485" s="10"/>
      <c r="J10485" s="10"/>
      <c r="K10485" s="10"/>
    </row>
    <row r="10486" customFormat="false" ht="15" hidden="false" customHeight="false" outlineLevel="0" collapsed="false">
      <c r="A10486" s="3" t="s">
        <v>1126</v>
      </c>
      <c r="C10486" s="11" t="n">
        <v>3</v>
      </c>
    </row>
    <row r="10487" customFormat="false" ht="15" hidden="false" customHeight="false" outlineLevel="0" collapsed="false">
      <c r="A10487" s="3" t="s">
        <v>1127</v>
      </c>
      <c r="C10487" s="19" t="n">
        <v>0</v>
      </c>
    </row>
    <row r="10488" customFormat="false" ht="15" hidden="false" customHeight="false" outlineLevel="0" collapsed="false">
      <c r="A10488" s="3" t="s">
        <v>1128</v>
      </c>
      <c r="C10488" s="30" t="n">
        <f aca="false">Sensitivities!$A$33</f>
        <v>0.02</v>
      </c>
    </row>
    <row r="10489" customFormat="false" ht="15" hidden="false" customHeight="false" outlineLevel="0" collapsed="false">
      <c r="A10489" s="3" t="s">
        <v>1129</v>
      </c>
      <c r="C10489" s="19" t="n">
        <v>0</v>
      </c>
    </row>
    <row r="10490" customFormat="false" ht="15" hidden="false" customHeight="false" outlineLevel="0" collapsed="false">
      <c r="A10490" s="3" t="s">
        <v>1130</v>
      </c>
      <c r="C10490" s="15" t="n">
        <v>0</v>
      </c>
    </row>
    <row r="10492" customFormat="false" ht="15" hidden="false" customHeight="false" outlineLevel="0" collapsed="false">
      <c r="A10492" s="24" t="s">
        <v>301</v>
      </c>
      <c r="B10492" s="25"/>
      <c r="C10492" s="25"/>
      <c r="D10492" s="25"/>
      <c r="E10492" s="25"/>
      <c r="F10492" s="25"/>
      <c r="G10492" s="25"/>
      <c r="H10492" s="25"/>
      <c r="I10492" s="25"/>
      <c r="J10492" s="25"/>
      <c r="K10492" s="25"/>
    </row>
    <row r="10493" customFormat="false" ht="15" hidden="false" customHeight="false" outlineLevel="0" collapsed="false">
      <c r="A10493" s="3" t="s">
        <v>302</v>
      </c>
      <c r="F10493" s="27" t="n">
        <f aca="false">Assumptions!$C$6</f>
        <v>2026</v>
      </c>
      <c r="G10493" s="21" t="n">
        <f aca="false">F10493+1</f>
        <v>2027</v>
      </c>
      <c r="H10493" s="21" t="n">
        <f aca="false">G10493+1</f>
        <v>2028</v>
      </c>
      <c r="I10493" s="21" t="n">
        <f aca="false">H10493+1</f>
        <v>2029</v>
      </c>
      <c r="J10493" s="21" t="n">
        <f aca="false">I10493+1</f>
        <v>2030</v>
      </c>
      <c r="K10493" s="21" t="n">
        <f aca="false">J10493+1</f>
        <v>2031</v>
      </c>
    </row>
    <row r="10494" customFormat="false" ht="15" hidden="false" customHeight="false" outlineLevel="0" collapsed="false">
      <c r="A10494" s="3" t="s">
        <v>303</v>
      </c>
      <c r="G10494" s="21" t="n">
        <f aca="false">G10493-Assumptions!$C$6</f>
        <v>1</v>
      </c>
      <c r="H10494" s="21" t="n">
        <f aca="false">H10493-Assumptions!$C$6</f>
        <v>2</v>
      </c>
      <c r="I10494" s="21" t="n">
        <f aca="false">I10493-Assumptions!$C$6</f>
        <v>3</v>
      </c>
      <c r="J10494" s="21" t="n">
        <f aca="false">J10493-Assumptions!$C$6</f>
        <v>4</v>
      </c>
      <c r="K10494" s="21" t="n">
        <f aca="false">K10493-Assumptions!$C$6</f>
        <v>5</v>
      </c>
    </row>
    <row r="10495" customFormat="false" ht="15" hidden="false" customHeight="false" outlineLevel="0" collapsed="false">
      <c r="A10495" s="3" t="s">
        <v>180</v>
      </c>
      <c r="G10495" s="22" t="n">
        <f aca="false">CHOOSE($C$10486,Assumptions!$G$79,Assumptions!$G$98,Assumptions!$G$117)+$C$10487</f>
        <v>-0.1</v>
      </c>
      <c r="H10495" s="22" t="n">
        <f aca="false">CHOOSE($C$10486,Assumptions!$H$79,Assumptions!$H$98,Assumptions!$H$117)+$C$10487</f>
        <v>-0.07</v>
      </c>
      <c r="I10495" s="22" t="n">
        <f aca="false">CHOOSE($C$10486,Assumptions!$I$79,Assumptions!$I$98,Assumptions!$I$117)+$C$10487</f>
        <v>-0.03</v>
      </c>
      <c r="J10495" s="22" t="n">
        <f aca="false">CHOOSE($C$10486,Assumptions!$J$79,Assumptions!$J$98,Assumptions!$J$117)+$C$10487</f>
        <v>0</v>
      </c>
      <c r="K10495" s="22" t="n">
        <f aca="false">CHOOSE($C$10486,Assumptions!$K$79,Assumptions!$K$98,Assumptions!$K$117)+$C$10487</f>
        <v>0.01</v>
      </c>
    </row>
    <row r="10496" customFormat="false" ht="15" hidden="false" customHeight="false" outlineLevel="0" collapsed="false">
      <c r="A10496" s="3" t="s">
        <v>181</v>
      </c>
      <c r="G10496" s="22" t="n">
        <f aca="false">CHOOSE($C$10486,Assumptions!$G$80,Assumptions!$G$99,Assumptions!$G$118)</f>
        <v>0.533920660818678</v>
      </c>
      <c r="H10496" s="22" t="n">
        <f aca="false">CHOOSE($C$10486,Assumptions!$H$80,Assumptions!$H$99,Assumptions!$H$118)</f>
        <v>0.503920660818678</v>
      </c>
      <c r="I10496" s="22" t="n">
        <f aca="false">CHOOSE($C$10486,Assumptions!$I$80,Assumptions!$I$99,Assumptions!$I$118)</f>
        <v>0.498920660818678</v>
      </c>
      <c r="J10496" s="22" t="n">
        <f aca="false">CHOOSE($C$10486,Assumptions!$J$80,Assumptions!$J$99,Assumptions!$J$118)</f>
        <v>0.503920660818678</v>
      </c>
      <c r="K10496" s="22" t="n">
        <f aca="false">CHOOSE($C$10486,Assumptions!$K$80,Assumptions!$K$99,Assumptions!$K$118)</f>
        <v>0.513920660818678</v>
      </c>
    </row>
    <row r="10497" customFormat="false" ht="15" hidden="false" customHeight="false" outlineLevel="0" collapsed="false">
      <c r="A10497" s="3" t="s">
        <v>182</v>
      </c>
      <c r="G10497" s="22" t="n">
        <f aca="false">CHOOSE($C$10486,Assumptions!$G$81,Assumptions!$G$100,Assumptions!$G$119)+$C$10488</f>
        <v>0.48</v>
      </c>
      <c r="H10497" s="22" t="n">
        <f aca="false">CHOOSE($C$10486,Assumptions!$H$81,Assumptions!$H$100,Assumptions!$H$119)+$C$10488</f>
        <v>0.45</v>
      </c>
      <c r="I10497" s="22" t="n">
        <f aca="false">CHOOSE($C$10486,Assumptions!$I$81,Assumptions!$I$100,Assumptions!$I$119)+$C$10488</f>
        <v>0.445</v>
      </c>
      <c r="J10497" s="22" t="n">
        <f aca="false">CHOOSE($C$10486,Assumptions!$J$81,Assumptions!$J$100,Assumptions!$J$119)+$C$10488</f>
        <v>0.45</v>
      </c>
      <c r="K10497" s="22" t="n">
        <f aca="false">CHOOSE($C$10486,Assumptions!$K$81,Assumptions!$K$100,Assumptions!$K$119)+$C$10488</f>
        <v>0.46</v>
      </c>
    </row>
    <row r="10498" customFormat="false" ht="15" hidden="false" customHeight="false" outlineLevel="0" collapsed="false">
      <c r="A10498" s="24" t="s">
        <v>304</v>
      </c>
      <c r="B10498" s="25"/>
      <c r="C10498" s="25"/>
      <c r="D10498" s="25"/>
      <c r="E10498" s="25"/>
      <c r="F10498" s="25"/>
      <c r="G10498" s="25"/>
      <c r="H10498" s="25"/>
      <c r="I10498" s="25"/>
      <c r="J10498" s="25"/>
      <c r="K10498" s="25"/>
    </row>
    <row r="10499" customFormat="false" ht="15" hidden="false" customHeight="false" outlineLevel="0" collapsed="false">
      <c r="A10499" s="2" t="s">
        <v>275</v>
      </c>
      <c r="F10499" s="28" t="n">
        <f aca="false">'Historical Financials'!G25</f>
        <v>498.291</v>
      </c>
      <c r="G10499" s="17" t="n">
        <f aca="false">F10499*(1+G10495)</f>
        <v>448.4619</v>
      </c>
      <c r="H10499" s="17" t="n">
        <f aca="false">G10499*(1+H10495)</f>
        <v>417.069567</v>
      </c>
      <c r="I10499" s="17" t="n">
        <f aca="false">H10499*(1+I10495)</f>
        <v>404.55747999</v>
      </c>
      <c r="J10499" s="17" t="n">
        <f aca="false">I10499*(1+J10495)</f>
        <v>404.55747999</v>
      </c>
      <c r="K10499" s="17" t="n">
        <f aca="false">J10499*(1+K10495)</f>
        <v>408.6030547899</v>
      </c>
    </row>
    <row r="10500" customFormat="false" ht="15" hidden="false" customHeight="false" outlineLevel="0" collapsed="false">
      <c r="A10500" s="3" t="s">
        <v>276</v>
      </c>
      <c r="G10500" s="16" t="n">
        <f aca="false">G10499*(1-G10496)</f>
        <v>209.018826</v>
      </c>
      <c r="H10500" s="16" t="n">
        <f aca="false">H10499*(1-H10496)</f>
        <v>206.89959519</v>
      </c>
      <c r="I10500" s="16" t="n">
        <f aca="false">I10499*(1-I10496)</f>
        <v>202.71539473425</v>
      </c>
      <c r="J10500" s="16" t="n">
        <f aca="false">J10499*(1-J10496)</f>
        <v>200.6926073343</v>
      </c>
      <c r="K10500" s="16" t="n">
        <f aca="false">K10499*(1-K10496)</f>
        <v>198.613502859744</v>
      </c>
    </row>
    <row r="10501" customFormat="false" ht="15" hidden="false" customHeight="false" outlineLevel="0" collapsed="false">
      <c r="A10501" s="2" t="s">
        <v>277</v>
      </c>
      <c r="G10501" s="17" t="n">
        <f aca="false">G10499-G10500</f>
        <v>239.443074</v>
      </c>
      <c r="H10501" s="17" t="n">
        <f aca="false">H10499-H10500</f>
        <v>210.16997181</v>
      </c>
      <c r="I10501" s="17" t="n">
        <f aca="false">I10499-I10500</f>
        <v>201.84208525575</v>
      </c>
      <c r="J10501" s="17" t="n">
        <f aca="false">J10499-J10500</f>
        <v>203.8648726557</v>
      </c>
      <c r="K10501" s="17" t="n">
        <f aca="false">K10499-K10500</f>
        <v>209.989551930156</v>
      </c>
    </row>
    <row r="10502" customFormat="false" ht="15" hidden="false" customHeight="false" outlineLevel="0" collapsed="false">
      <c r="A10502" s="3" t="s">
        <v>305</v>
      </c>
      <c r="G10502" s="16" t="n">
        <f aca="false">G10501-G10503</f>
        <v>24.181362</v>
      </c>
      <c r="H10502" s="16" t="n">
        <f aca="false">H10501-H10503</f>
        <v>22.48866666</v>
      </c>
      <c r="I10502" s="16" t="n">
        <f aca="false">I10501-I10503</f>
        <v>21.8140066602</v>
      </c>
      <c r="J10502" s="16" t="n">
        <f aca="false">J10501-J10503</f>
        <v>21.8140066602</v>
      </c>
      <c r="K10502" s="16" t="n">
        <f aca="false">K10501-K10503</f>
        <v>22.032146726802</v>
      </c>
    </row>
    <row r="10503" customFormat="false" ht="15" hidden="false" customHeight="false" outlineLevel="0" collapsed="false">
      <c r="A10503" s="2" t="s">
        <v>306</v>
      </c>
      <c r="G10503" s="17" t="n">
        <f aca="false">G10499*G10497</f>
        <v>215.261712</v>
      </c>
      <c r="H10503" s="17" t="n">
        <f aca="false">H10499*H10497</f>
        <v>187.68130515</v>
      </c>
      <c r="I10503" s="17" t="n">
        <f aca="false">I10499*I10497</f>
        <v>180.02807859555</v>
      </c>
      <c r="J10503" s="17" t="n">
        <f aca="false">J10499*J10497</f>
        <v>182.0508659955</v>
      </c>
      <c r="K10503" s="17" t="n">
        <f aca="false">K10499*K10497</f>
        <v>187.957405203354</v>
      </c>
    </row>
    <row r="10504" customFormat="false" ht="15" hidden="false" customHeight="false" outlineLevel="0" collapsed="false">
      <c r="A10504" s="3" t="s">
        <v>307</v>
      </c>
      <c r="G10504" s="16" t="n">
        <f aca="false">G10499*'Historical Financials'!G30/'Historical Financials'!G25</f>
        <v>166.7637</v>
      </c>
      <c r="H10504" s="16" t="n">
        <f aca="false">H10499*'Historical Financials'!G30/'Historical Financials'!G25</f>
        <v>155.090241</v>
      </c>
      <c r="I10504" s="16" t="n">
        <f aca="false">I10499*'Historical Financials'!G30/'Historical Financials'!G25</f>
        <v>150.43753377</v>
      </c>
      <c r="J10504" s="16" t="n">
        <f aca="false">J10499*'Historical Financials'!G30/'Historical Financials'!G25</f>
        <v>150.43753377</v>
      </c>
      <c r="K10504" s="16" t="n">
        <f aca="false">K10499*'Historical Financials'!G30/'Historical Financials'!G25</f>
        <v>151.9419091077</v>
      </c>
    </row>
    <row r="10505" customFormat="false" ht="15" hidden="false" customHeight="false" outlineLevel="0" collapsed="false">
      <c r="A10505" s="3" t="s">
        <v>308</v>
      </c>
      <c r="G10505" s="16" t="n">
        <f aca="false">G10499*'Historical Financials'!G31/'Historical Financials'!G25</f>
        <v>0</v>
      </c>
      <c r="H10505" s="16" t="n">
        <f aca="false">H10499*'Historical Financials'!G31/'Historical Financials'!G25</f>
        <v>0</v>
      </c>
      <c r="I10505" s="16" t="n">
        <f aca="false">I10499*'Historical Financials'!G31/'Historical Financials'!G25</f>
        <v>0</v>
      </c>
      <c r="J10505" s="16" t="n">
        <f aca="false">J10499*'Historical Financials'!G31/'Historical Financials'!G25</f>
        <v>0</v>
      </c>
      <c r="K10505" s="16" t="n">
        <f aca="false">K10499*'Historical Financials'!G31/'Historical Financials'!G25</f>
        <v>0</v>
      </c>
    </row>
    <row r="10506" customFormat="false" ht="15" hidden="false" customHeight="false" outlineLevel="0" collapsed="false">
      <c r="A10506" s="2" t="s">
        <v>309</v>
      </c>
      <c r="G10506" s="17" t="n">
        <f aca="false">G10503-G10504-G10505</f>
        <v>48.498012</v>
      </c>
      <c r="H10506" s="17" t="n">
        <f aca="false">H10503-H10504-H10505</f>
        <v>32.59106415</v>
      </c>
      <c r="I10506" s="17" t="n">
        <f aca="false">I10503-I10504-I10505</f>
        <v>29.59054482555</v>
      </c>
      <c r="J10506" s="17" t="n">
        <f aca="false">J10503-J10504-J10505</f>
        <v>31.6133322255</v>
      </c>
      <c r="K10506" s="17" t="n">
        <f aca="false">K10503-K10504-K10505</f>
        <v>36.015496095654</v>
      </c>
    </row>
    <row r="10507" customFormat="false" ht="15" hidden="false" customHeight="false" outlineLevel="0" collapsed="false">
      <c r="A10507" s="3" t="s">
        <v>310</v>
      </c>
      <c r="G10507" s="16" t="n">
        <f aca="false">G10533+G10546+G10559+G10572+G10585+G10598+G10611+G10624+G10637+G10650</f>
        <v>194.5679854</v>
      </c>
      <c r="H10507" s="16" t="n">
        <f aca="false">H10533+H10546+H10559+H10572+H10585+H10598+H10611+H10624+H10637+H10650</f>
        <v>193.3700704</v>
      </c>
      <c r="I10507" s="16" t="n">
        <f aca="false">I10533+I10546+I10559+I10572+I10585+I10598+I10611+I10624+I10637+I10650</f>
        <v>190.43548850972</v>
      </c>
      <c r="J10507" s="16" t="n">
        <f aca="false">J10533+J10546+J10559+J10572+J10585+J10598+J10611+J10624+J10637+J10650</f>
        <v>189.96548850972</v>
      </c>
      <c r="K10507" s="16" t="n">
        <f aca="false">K10533+K10546+K10559+K10572+K10585+K10598+K10611+K10624+K10637+K10650</f>
        <v>189.49548850972</v>
      </c>
    </row>
    <row r="10508" customFormat="false" ht="15" hidden="false" customHeight="false" outlineLevel="0" collapsed="false">
      <c r="A10508" s="3" t="s">
        <v>311</v>
      </c>
      <c r="G10508" s="16" t="n">
        <f aca="false">G10534+G10547+G10560+G10573+G10586+G10599+G10612+G10625+G10638+G10651</f>
        <v>0</v>
      </c>
      <c r="H10508" s="16" t="n">
        <f aca="false">H10534+H10547+H10560+H10573+H10586+H10599+H10612+H10625+H10638+H10651</f>
        <v>0</v>
      </c>
      <c r="I10508" s="16" t="n">
        <f aca="false">I10534+I10547+I10560+I10573+I10586+I10599+I10612+I10625+I10638+I10651</f>
        <v>0</v>
      </c>
      <c r="J10508" s="16" t="n">
        <f aca="false">J10534+J10547+J10560+J10573+J10586+J10599+J10612+J10625+J10638+J10651</f>
        <v>0</v>
      </c>
      <c r="K10508" s="16" t="n">
        <f aca="false">K10534+K10547+K10560+K10573+K10586+K10599+K10612+K10625+K10638+K10651</f>
        <v>0</v>
      </c>
    </row>
    <row r="10509" customFormat="false" ht="15" hidden="false" customHeight="false" outlineLevel="0" collapsed="false">
      <c r="A10509" s="3" t="s">
        <v>283</v>
      </c>
      <c r="G10509" s="16" t="n">
        <f aca="false">G10507+G10508</f>
        <v>194.5679854</v>
      </c>
      <c r="H10509" s="16" t="n">
        <f aca="false">H10507+H10508</f>
        <v>193.3700704</v>
      </c>
      <c r="I10509" s="16" t="n">
        <f aca="false">I10507+I10508</f>
        <v>190.43548850972</v>
      </c>
      <c r="J10509" s="16" t="n">
        <f aca="false">J10507+J10508</f>
        <v>189.96548850972</v>
      </c>
      <c r="K10509" s="16" t="n">
        <f aca="false">K10507+K10508</f>
        <v>189.49548850972</v>
      </c>
    </row>
    <row r="10510" customFormat="false" ht="15" hidden="false" customHeight="false" outlineLevel="0" collapsed="false">
      <c r="A10510" s="2" t="s">
        <v>284</v>
      </c>
      <c r="G10510" s="17" t="n">
        <f aca="false">G10506-G10509</f>
        <v>-146.0699734</v>
      </c>
      <c r="H10510" s="17" t="n">
        <f aca="false">H10506-H10509</f>
        <v>-160.77900625</v>
      </c>
      <c r="I10510" s="17" t="n">
        <f aca="false">I10506-I10509</f>
        <v>-160.84494368417</v>
      </c>
      <c r="J10510" s="17" t="n">
        <f aca="false">J10506-J10509</f>
        <v>-158.35215628422</v>
      </c>
      <c r="K10510" s="17" t="n">
        <f aca="false">K10506-K10509</f>
        <v>-153.479992414066</v>
      </c>
    </row>
    <row r="10511" customFormat="false" ht="15" hidden="false" customHeight="false" outlineLevel="0" collapsed="false">
      <c r="A10511" s="3" t="s">
        <v>312</v>
      </c>
      <c r="G10511" s="16" t="n">
        <f aca="false">MAX(0,G10510)*Assumptions!$C$9</f>
        <v>0</v>
      </c>
      <c r="H10511" s="16" t="n">
        <f aca="false">MAX(0,H10510)*Assumptions!$C$9</f>
        <v>0</v>
      </c>
      <c r="I10511" s="16" t="n">
        <f aca="false">MAX(0,I10510)*Assumptions!$C$9</f>
        <v>0</v>
      </c>
      <c r="J10511" s="16" t="n">
        <f aca="false">MAX(0,J10510)*Assumptions!$C$9</f>
        <v>0</v>
      </c>
      <c r="K10511" s="16" t="n">
        <f aca="false">MAX(0,K10510)*Assumptions!$C$9</f>
        <v>0</v>
      </c>
    </row>
    <row r="10512" customFormat="false" ht="15" hidden="false" customHeight="false" outlineLevel="0" collapsed="false">
      <c r="A10512" s="2" t="s">
        <v>313</v>
      </c>
      <c r="G10512" s="17" t="n">
        <f aca="false">G10510-G10511</f>
        <v>-146.0699734</v>
      </c>
      <c r="H10512" s="17" t="n">
        <f aca="false">H10510-H10511</f>
        <v>-160.77900625</v>
      </c>
      <c r="I10512" s="17" t="n">
        <f aca="false">I10510-I10511</f>
        <v>-160.84494368417</v>
      </c>
      <c r="J10512" s="17" t="n">
        <f aca="false">J10510-J10511</f>
        <v>-158.35215628422</v>
      </c>
      <c r="K10512" s="17" t="n">
        <f aca="false">K10510-K10511</f>
        <v>-153.479992414066</v>
      </c>
    </row>
    <row r="10513" customFormat="false" ht="15" hidden="false" customHeight="false" outlineLevel="0" collapsed="false">
      <c r="A10513" s="24" t="s">
        <v>314</v>
      </c>
      <c r="B10513" s="25"/>
      <c r="C10513" s="25"/>
      <c r="D10513" s="25"/>
      <c r="E10513" s="25"/>
      <c r="F10513" s="25"/>
      <c r="G10513" s="25"/>
      <c r="H10513" s="25"/>
      <c r="I10513" s="25"/>
      <c r="J10513" s="25"/>
      <c r="K10513" s="25"/>
    </row>
    <row r="10514" customFormat="false" ht="15" hidden="false" customHeight="false" outlineLevel="0" collapsed="false">
      <c r="A10514" s="3" t="s">
        <v>184</v>
      </c>
      <c r="G10514" s="16" t="n">
        <f aca="false">G10499*CHOOSE($C$10486,Assumptions!$C$83,Assumptions!$C$102,Assumptions!$C$121)</f>
        <v>58.300047</v>
      </c>
      <c r="H10514" s="16" t="n">
        <f aca="false">H10499*CHOOSE($C$10486,Assumptions!$C$83,Assumptions!$C$102,Assumptions!$C$121)</f>
        <v>54.21904371</v>
      </c>
      <c r="I10514" s="16" t="n">
        <f aca="false">I10499*CHOOSE($C$10486,Assumptions!$C$83,Assumptions!$C$102,Assumptions!$C$121)</f>
        <v>52.5924723987</v>
      </c>
      <c r="J10514" s="16" t="n">
        <f aca="false">J10499*CHOOSE($C$10486,Assumptions!$C$83,Assumptions!$C$102,Assumptions!$C$121)</f>
        <v>52.5924723987</v>
      </c>
      <c r="K10514" s="16" t="n">
        <f aca="false">K10499*CHOOSE($C$10486,Assumptions!$C$83,Assumptions!$C$102,Assumptions!$C$121)</f>
        <v>53.118397122687</v>
      </c>
    </row>
    <row r="10515" customFormat="false" ht="15" hidden="false" customHeight="false" outlineLevel="0" collapsed="false">
      <c r="A10515" s="3" t="s">
        <v>315</v>
      </c>
      <c r="G10515" s="16" t="n">
        <f aca="false">CHOOSE($C$10486,Assumptions!$C$84,Assumptions!$C$103,Assumptions!$C$122)*(G10499-F10499)+CHOOSE($C$10486,Assumptions!$C$85,Assumptions!$C$104,Assumptions!$C$123)*G10499</f>
        <v>0</v>
      </c>
      <c r="H10515" s="16" t="n">
        <f aca="false">CHOOSE($C$10486,Assumptions!$C$84,Assumptions!$C$103,Assumptions!$C$122)*(H10499-G10499)+CHOOSE($C$10486,Assumptions!$C$85,Assumptions!$C$104,Assumptions!$C$123)*H10499</f>
        <v>0</v>
      </c>
      <c r="I10515" s="16" t="n">
        <f aca="false">CHOOSE($C$10486,Assumptions!$C$84,Assumptions!$C$103,Assumptions!$C$122)*(I10499-H10499)+CHOOSE($C$10486,Assumptions!$C$85,Assumptions!$C$104,Assumptions!$C$123)*I10499</f>
        <v>0</v>
      </c>
      <c r="J10515" s="16" t="n">
        <f aca="false">CHOOSE($C$10486,Assumptions!$C$84,Assumptions!$C$103,Assumptions!$C$122)*(J10499-I10499)+CHOOSE($C$10486,Assumptions!$C$85,Assumptions!$C$104,Assumptions!$C$123)*J10499</f>
        <v>0</v>
      </c>
      <c r="K10515" s="16" t="n">
        <f aca="false">CHOOSE($C$10486,Assumptions!$C$84,Assumptions!$C$103,Assumptions!$C$122)*(K10499-J10499)+CHOOSE($C$10486,Assumptions!$C$85,Assumptions!$C$104,Assumptions!$C$123)*K10499</f>
        <v>0</v>
      </c>
    </row>
    <row r="10516" customFormat="false" ht="15" hidden="false" customHeight="false" outlineLevel="0" collapsed="false">
      <c r="A10516" s="2" t="s">
        <v>316</v>
      </c>
      <c r="G10516" s="17" t="n">
        <f aca="false">G10512+G10504+G10505+G10508-G10514-G10515</f>
        <v>-37.6063204</v>
      </c>
      <c r="H10516" s="17" t="n">
        <f aca="false">H10512+H10504+H10505+H10508-H10514-H10515</f>
        <v>-59.90780896</v>
      </c>
      <c r="I10516" s="17" t="n">
        <f aca="false">I10512+I10504+I10505+I10508-I10514-I10515</f>
        <v>-62.99988231287</v>
      </c>
      <c r="J10516" s="17" t="n">
        <f aca="false">J10512+J10504+J10505+J10508-J10514-J10515</f>
        <v>-60.50709491292</v>
      </c>
      <c r="K10516" s="17" t="n">
        <f aca="false">K10512+K10504+K10505+K10508-K10514-K10515</f>
        <v>-54.656480429053</v>
      </c>
    </row>
    <row r="10518" customFormat="false" ht="15" hidden="false" customHeight="false" outlineLevel="0" collapsed="false">
      <c r="A10518" s="24" t="s">
        <v>318</v>
      </c>
      <c r="B10518" s="25"/>
      <c r="C10518" s="25"/>
      <c r="D10518" s="25"/>
      <c r="E10518" s="25"/>
      <c r="F10518" s="25"/>
      <c r="G10518" s="25"/>
      <c r="H10518" s="25"/>
      <c r="I10518" s="25"/>
      <c r="J10518" s="25"/>
      <c r="K10518" s="25"/>
    </row>
    <row r="10519" customFormat="false" ht="15" hidden="false" customHeight="false" outlineLevel="0" collapsed="false">
      <c r="A10519" s="3" t="s">
        <v>319</v>
      </c>
      <c r="G10519" s="30" t="n">
        <f aca="false">Assumptions!$G$53</f>
        <v>0.039</v>
      </c>
      <c r="H10519" s="30" t="n">
        <f aca="false">Assumptions!$H$53</f>
        <v>0.0375</v>
      </c>
      <c r="I10519" s="30" t="n">
        <f aca="false">Assumptions!$I$53</f>
        <v>0.035</v>
      </c>
      <c r="J10519" s="30" t="n">
        <f aca="false">Assumptions!$J$53</f>
        <v>0.035</v>
      </c>
      <c r="K10519" s="30" t="n">
        <f aca="false">Assumptions!$K$53</f>
        <v>0.035</v>
      </c>
    </row>
    <row r="10520" customFormat="false" ht="15" hidden="false" customHeight="false" outlineLevel="0" collapsed="false">
      <c r="A10520" s="3" t="s">
        <v>320</v>
      </c>
      <c r="C10520" s="31" t="n">
        <f aca="false">CHOOSE($C$10486,Assumptions!$C$86,Assumptions!$C$105,Assumptions!$C$124)+$C$10489</f>
        <v>0.03</v>
      </c>
    </row>
    <row r="10521" customFormat="false" ht="15" hidden="false" customHeight="false" outlineLevel="0" collapsed="false">
      <c r="A10521" s="3" t="s">
        <v>321</v>
      </c>
      <c r="C10521" s="31" t="n">
        <f aca="false">CHOOSE($C$10486,Assumptions!$C$87,Assumptions!$C$106,Assumptions!$C$125)</f>
        <v>0.12</v>
      </c>
    </row>
    <row r="10522" customFormat="false" ht="15" hidden="false" customHeight="false" outlineLevel="0" collapsed="false">
      <c r="A10522" s="3" t="s">
        <v>322</v>
      </c>
      <c r="C10522" s="32" t="n">
        <f aca="false">CHOOSE($C$10486,Assumptions!$C$88,Assumptions!$C$107,Assumptions!$C$126)</f>
        <v>9</v>
      </c>
    </row>
    <row r="10523" customFormat="false" ht="15" hidden="false" customHeight="false" outlineLevel="0" collapsed="false">
      <c r="A10523" s="3" t="s">
        <v>323</v>
      </c>
      <c r="C10523" s="32" t="n">
        <f aca="false">CHOOSE($C$10486,Assumptions!$C$89,Assumptions!$C$108,Assumptions!$C$127)</f>
        <v>1.75</v>
      </c>
    </row>
    <row r="10524" customFormat="false" ht="15" hidden="false" customHeight="false" outlineLevel="0" collapsed="false">
      <c r="A10524" s="3" t="s">
        <v>324</v>
      </c>
      <c r="G10524" s="16" t="n">
        <f aca="false">G10529+G10542+G10555+G10568+G10581+G10594+G10607+G10620+G10633+G10646</f>
        <v>2625.934</v>
      </c>
      <c r="H10524" s="16" t="n">
        <f aca="false">H10529+H10542+H10555+H10568+H10581+H10594+H10607+H10620+H10633+H10646</f>
        <v>2621.934</v>
      </c>
      <c r="I10524" s="16" t="n">
        <f aca="false">I10529+I10542+I10555+I10568+I10581+I10594+I10607+I10620+I10633+I10646</f>
        <v>2585.57812936</v>
      </c>
      <c r="J10524" s="16" t="n">
        <f aca="false">J10529+J10542+J10555+J10568+J10581+J10594+J10607+J10620+J10633+J10646</f>
        <v>2581.57812936</v>
      </c>
      <c r="K10524" s="16" t="n">
        <f aca="false">K10529+K10542+K10555+K10568+K10581+K10594+K10607+K10620+K10633+K10646</f>
        <v>2577.57812936</v>
      </c>
    </row>
    <row r="10525" customFormat="false" ht="15" hidden="false" customHeight="false" outlineLevel="0" collapsed="false">
      <c r="A10525" s="3" t="s">
        <v>325</v>
      </c>
      <c r="G10525" s="16" t="n">
        <f aca="false">F10717</f>
        <v>37.87</v>
      </c>
      <c r="H10525" s="16" t="n">
        <f aca="false">G10717</f>
        <v>96.2636796</v>
      </c>
      <c r="I10525" s="16" t="n">
        <f aca="false">H10717</f>
        <v>0</v>
      </c>
      <c r="J10525" s="16" t="n">
        <f aca="false">I10717</f>
        <v>-66.99988231287</v>
      </c>
      <c r="K10525" s="16" t="n">
        <f aca="false">J10717</f>
        <v>-131.50697722579</v>
      </c>
    </row>
    <row r="10526" customFormat="false" ht="15" hidden="false" customHeight="false" outlineLevel="0" collapsed="false">
      <c r="A10526" s="3" t="s">
        <v>326</v>
      </c>
      <c r="G10526" s="16" t="n">
        <f aca="false">G10529*IF(G10530=1,$C$10521,IF(Assumptions!$I$57=1,MAX(G10519,Assumptions!$G$57)+Assumptions!$F$57+$C$10520,Assumptions!$E$57))+G10542*IF(G10543=1,$C$10521,IF(Assumptions!$I$58=1,MAX(G10519,Assumptions!$G$58)+Assumptions!$F$58+$C$10520,Assumptions!$E$58))+G10555*IF(G10556=1,$C$10521,IF(Assumptions!$I$59=1,MAX(G10519,Assumptions!$G$59)+Assumptions!$F$59+$C$10520,Assumptions!$E$59))+G10568*IF(G10569=1,$C$10521,IF(Assumptions!$I$60=1,MAX(G10519,Assumptions!$G$60)+Assumptions!$F$60+$C$10520,Assumptions!$E$60))+G10581*IF(G10582=1,$C$10521,IF(Assumptions!$I$61=1,MAX(G10519,Assumptions!$G$61)+Assumptions!$F$61+$C$10520,Assumptions!$E$61))+G10594*IF(G10595=1,$C$10521,IF(Assumptions!$I$62=1,MAX(G10519,Assumptions!$G$62)+Assumptions!$F$62+$C$10520,Assumptions!$E$62))+G10607*IF(G10608=1,$C$10521,IF(Assumptions!$I$63=1,MAX(G10519,Assumptions!$G$63)+Assumptions!$F$63+$C$10520,Assumptions!$E$63))+G10620*IF(G10621=1,$C$10521,IF(Assumptions!$I$64=1,MAX(G10519,Assumptions!$G$64)+Assumptions!$F$64+$C$10520,Assumptions!$E$64))+G10633*IF(G10634=1,$C$10521,IF(Assumptions!$I$65=1,MAX(G10519,Assumptions!$G$65)+Assumptions!$F$65+$C$10520,Assumptions!$E$65))+G10646*IF(G10647=1,$C$10521,IF(Assumptions!$I$66=1,MAX(G10519,Assumptions!$G$66)+Assumptions!$F$66+$C$10520,Assumptions!$E$66))</f>
        <v>194.5679854</v>
      </c>
      <c r="H10526" s="16" t="n">
        <f aca="false">H10529*IF(OR(H10530=1,G10839=1),$C$10521,IF(Assumptions!$I$57=1,MAX(H10519,Assumptions!$G$57)+Assumptions!$F$57+$C$10520,Assumptions!$E$57))+H10542*IF(OR(H10543=1,G10840=1),$C$10521,IF(Assumptions!$I$58=1,MAX(H10519,Assumptions!$G$58)+Assumptions!$F$58+$C$10520,Assumptions!$E$58))+H10555*IF(OR(H10556=1,G10841=1),$C$10521,IF(Assumptions!$I$59=1,MAX(H10519,Assumptions!$G$59)+Assumptions!$F$59+$C$10520,Assumptions!$E$59))+H10568*IF(OR(H10569=1,G10842=1),$C$10521,IF(Assumptions!$I$60=1,MAX(H10519,Assumptions!$G$60)+Assumptions!$F$60+$C$10520,Assumptions!$E$60))+H10581*IF(OR(H10582=1,G10843=1),$C$10521,IF(Assumptions!$I$61=1,MAX(H10519,Assumptions!$G$61)+Assumptions!$F$61+$C$10520,Assumptions!$E$61))+H10594*IF(OR(H10595=1,G10844=1),$C$10521,IF(Assumptions!$I$62=1,MAX(H10519,Assumptions!$G$62)+Assumptions!$F$62+$C$10520,Assumptions!$E$62))+H10607*IF(OR(H10608=1,G10845=1),$C$10521,IF(Assumptions!$I$63=1,MAX(H10519,Assumptions!$G$63)+Assumptions!$F$63+$C$10520,Assumptions!$E$63))+H10620*IF(OR(H10621=1,G10846=1),$C$10521,IF(Assumptions!$I$64=1,MAX(H10519,Assumptions!$G$64)+Assumptions!$F$64+$C$10520,Assumptions!$E$64))+H10633*IF(OR(H10634=1,G10847=1),$C$10521,IF(Assumptions!$I$65=1,MAX(H10519,Assumptions!$G$65)+Assumptions!$F$65+$C$10520,Assumptions!$E$65))+H10646*IF(OR(H10647=1,G10848=1),$C$10521,IF(Assumptions!$I$66=1,MAX(H10519,Assumptions!$G$66)+Assumptions!$F$66+$C$10520,Assumptions!$E$66))</f>
        <v>242.5450704</v>
      </c>
      <c r="I10526" s="16" t="n">
        <f aca="false">I10529*IF(OR(I10530=1,H10839=1),$C$10521,IF(Assumptions!$I$57=1,MAX(I10519,Assumptions!$G$57)+Assumptions!$F$57+$C$10520,Assumptions!$E$57))+I10542*IF(OR(I10543=1,H10840=1),$C$10521,IF(Assumptions!$I$58=1,MAX(I10519,Assumptions!$G$58)+Assumptions!$F$58+$C$10520,Assumptions!$E$58))+I10555*IF(OR(I10556=1,H10841=1),$C$10521,IF(Assumptions!$I$59=1,MAX(I10519,Assumptions!$G$59)+Assumptions!$F$59+$C$10520,Assumptions!$E$59))+I10568*IF(OR(I10569=1,H10842=1),$C$10521,IF(Assumptions!$I$60=1,MAX(I10519,Assumptions!$G$60)+Assumptions!$F$60+$C$10520,Assumptions!$E$60))+I10581*IF(OR(I10582=1,H10843=1),$C$10521,IF(Assumptions!$I$61=1,MAX(I10519,Assumptions!$G$61)+Assumptions!$F$61+$C$10520,Assumptions!$E$61))+I10594*IF(OR(I10595=1,H10844=1),$C$10521,IF(Assumptions!$I$62=1,MAX(I10519,Assumptions!$G$62)+Assumptions!$F$62+$C$10520,Assumptions!$E$62))+I10607*IF(OR(I10608=1,H10845=1),$C$10521,IF(Assumptions!$I$63=1,MAX(I10519,Assumptions!$G$63)+Assumptions!$F$63+$C$10520,Assumptions!$E$63))+I10620*IF(OR(I10621=1,H10846=1),$C$10521,IF(Assumptions!$I$64=1,MAX(I10519,Assumptions!$G$64)+Assumptions!$F$64+$C$10520,Assumptions!$E$64))+I10633*IF(OR(I10634=1,H10847=1),$C$10521,IF(Assumptions!$I$65=1,MAX(I10519,Assumptions!$G$65)+Assumptions!$F$65+$C$10520,Assumptions!$E$65))+I10646*IF(OR(I10647=1,H10848=1),$C$10521,IF(Assumptions!$I$66=1,MAX(I10519,Assumptions!$G$66)+Assumptions!$F$66+$C$10520,Assumptions!$E$66))</f>
        <v>207.62298850972</v>
      </c>
      <c r="J10526" s="16" t="n">
        <f aca="false">J10529*IF(OR(J10530=1,I10839=1),$C$10521,IF(Assumptions!$I$57=1,MAX(J10519,Assumptions!$G$57)+Assumptions!$F$57+$C$10520,Assumptions!$E$57))+J10542*IF(OR(J10543=1,I10840=1),$C$10521,IF(Assumptions!$I$58=1,MAX(J10519,Assumptions!$G$58)+Assumptions!$F$58+$C$10520,Assumptions!$E$58))+J10555*IF(OR(J10556=1,I10841=1),$C$10521,IF(Assumptions!$I$59=1,MAX(J10519,Assumptions!$G$59)+Assumptions!$F$59+$C$10520,Assumptions!$E$59))+J10568*IF(OR(J10569=1,I10842=1),$C$10521,IF(Assumptions!$I$60=1,MAX(J10519,Assumptions!$G$60)+Assumptions!$F$60+$C$10520,Assumptions!$E$60))+J10581*IF(OR(J10582=1,I10843=1),$C$10521,IF(Assumptions!$I$61=1,MAX(J10519,Assumptions!$G$61)+Assumptions!$F$61+$C$10520,Assumptions!$E$61))+J10594*IF(OR(J10595=1,I10844=1),$C$10521,IF(Assumptions!$I$62=1,MAX(J10519,Assumptions!$G$62)+Assumptions!$F$62+$C$10520,Assumptions!$E$62))+J10607*IF(OR(J10608=1,I10845=1),$C$10521,IF(Assumptions!$I$63=1,MAX(J10519,Assumptions!$G$63)+Assumptions!$F$63+$C$10520,Assumptions!$E$63))+J10620*IF(OR(J10621=1,I10846=1),$C$10521,IF(Assumptions!$I$64=1,MAX(J10519,Assumptions!$G$64)+Assumptions!$F$64+$C$10520,Assumptions!$E$64))+J10633*IF(OR(J10634=1,I10847=1),$C$10521,IF(Assumptions!$I$65=1,MAX(J10519,Assumptions!$G$65)+Assumptions!$F$65+$C$10520,Assumptions!$E$65))+J10646*IF(OR(J10647=1,I10848=1),$C$10521,IF(Assumptions!$I$66=1,MAX(J10519,Assumptions!$G$66)+Assumptions!$F$66+$C$10520,Assumptions!$E$66))</f>
        <v>216.04048850972</v>
      </c>
      <c r="K10526" s="16" t="n">
        <f aca="false">K10529*IF(OR(K10530=1,J10839=1),$C$10521,IF(Assumptions!$I$57=1,MAX(K10519,Assumptions!$G$57)+Assumptions!$F$57+$C$10520,Assumptions!$E$57))+K10542*IF(OR(K10543=1,J10840=1),$C$10521,IF(Assumptions!$I$58=1,MAX(K10519,Assumptions!$G$58)+Assumptions!$F$58+$C$10520,Assumptions!$E$58))+K10555*IF(OR(K10556=1,J10841=1),$C$10521,IF(Assumptions!$I$59=1,MAX(K10519,Assumptions!$G$59)+Assumptions!$F$59+$C$10520,Assumptions!$E$59))+K10568*IF(OR(K10569=1,J10842=1),$C$10521,IF(Assumptions!$I$60=1,MAX(K10519,Assumptions!$G$60)+Assumptions!$F$60+$C$10520,Assumptions!$E$60))+K10581*IF(OR(K10582=1,J10843=1),$C$10521,IF(Assumptions!$I$61=1,MAX(K10519,Assumptions!$G$61)+Assumptions!$F$61+$C$10520,Assumptions!$E$61))+K10594*IF(OR(K10595=1,J10844=1),$C$10521,IF(Assumptions!$I$62=1,MAX(K10519,Assumptions!$G$62)+Assumptions!$F$62+$C$10520,Assumptions!$E$62))+K10607*IF(OR(K10608=1,J10845=1),$C$10521,IF(Assumptions!$I$63=1,MAX(K10519,Assumptions!$G$63)+Assumptions!$F$63+$C$10520,Assumptions!$E$63))+K10620*IF(OR(K10621=1,J10846=1),$C$10521,IF(Assumptions!$I$64=1,MAX(K10519,Assumptions!$G$64)+Assumptions!$F$64+$C$10520,Assumptions!$E$64))+K10633*IF(OR(K10634=1,J10847=1),$C$10521,IF(Assumptions!$I$65=1,MAX(K10519,Assumptions!$G$65)+Assumptions!$F$65+$C$10520,Assumptions!$E$65))+K10646*IF(OR(K10647=1,J10848=1),$C$10521,IF(Assumptions!$I$66=1,MAX(K10519,Assumptions!$G$66)+Assumptions!$F$66+$C$10520,Assumptions!$E$66))</f>
        <v>208.08048850972</v>
      </c>
    </row>
    <row r="10527" customFormat="false" ht="15" hidden="false" customHeight="false" outlineLevel="0" collapsed="false">
      <c r="A10527" s="3" t="s">
        <v>327</v>
      </c>
      <c r="G10527" s="21" t="n">
        <f aca="false">IF(G10503&lt;=0,0,IF(AND((G10524-G10525)/G10503&lt;=$C$10522,G10503/G10526&gt;=$C$10523),1,0))</f>
        <v>0</v>
      </c>
      <c r="H10527" s="21" t="n">
        <f aca="false">IF(H10503&lt;=0,0,IF(AND((H10524-H10525)/H10503&lt;=$C$10522,H10503/H10526&gt;=$C$10523),1,0))</f>
        <v>0</v>
      </c>
      <c r="I10527" s="21" t="n">
        <f aca="false">IF(I10503&lt;=0,0,IF(AND((I10524-I10525)/I10503&lt;=$C$10522,I10503/I10526&gt;=$C$10523),1,0))</f>
        <v>0</v>
      </c>
      <c r="J10527" s="21" t="n">
        <f aca="false">IF(J10503&lt;=0,0,IF(AND((J10524-J10525)/J10503&lt;=$C$10522,J10503/J10526&gt;=$C$10523),1,0))</f>
        <v>0</v>
      </c>
      <c r="K10527" s="21" t="n">
        <f aca="false">IF(K10503&lt;=0,0,IF(AND((K10524-K10525)/K10503&lt;=$C$10522,K10503/K10526&gt;=$C$10523),1,0))</f>
        <v>0</v>
      </c>
    </row>
    <row r="10528" customFormat="false" ht="15" hidden="false" customHeight="false" outlineLevel="0" collapsed="false">
      <c r="A10528" s="24" t="s">
        <v>328</v>
      </c>
      <c r="B10528" s="25"/>
      <c r="C10528" s="25"/>
      <c r="D10528" s="25"/>
      <c r="E10528" s="25"/>
      <c r="F10528" s="25"/>
      <c r="G10528" s="25"/>
      <c r="H10528" s="25"/>
      <c r="I10528" s="25"/>
      <c r="J10528" s="25"/>
      <c r="K10528" s="25"/>
    </row>
    <row r="10529" customFormat="false" ht="15" hidden="false" customHeight="false" outlineLevel="0" collapsed="false">
      <c r="A10529" s="3" t="s">
        <v>329</v>
      </c>
      <c r="G10529" s="16" t="n">
        <f aca="false">F10540</f>
        <v>400</v>
      </c>
      <c r="H10529" s="16" t="n">
        <f aca="false">G10540</f>
        <v>396</v>
      </c>
      <c r="I10529" s="16" t="n">
        <f aca="false">H10540</f>
        <v>392</v>
      </c>
      <c r="J10529" s="16" t="n">
        <f aca="false">I10540</f>
        <v>388</v>
      </c>
      <c r="K10529" s="16" t="n">
        <f aca="false">J10540</f>
        <v>384</v>
      </c>
    </row>
    <row r="10530" customFormat="false" ht="15" hidden="false" customHeight="false" outlineLevel="0" collapsed="false">
      <c r="A10530" s="3" t="s">
        <v>330</v>
      </c>
      <c r="G10530" s="21" t="n">
        <f aca="false">IF(G10493=Assumptions!$K$57,1,0)</f>
        <v>0</v>
      </c>
      <c r="H10530" s="21" t="n">
        <f aca="false">IF(H10493=Assumptions!$K$57,1,0)</f>
        <v>0</v>
      </c>
      <c r="I10530" s="21" t="n">
        <f aca="false">IF(I10493=Assumptions!$K$57,1,0)</f>
        <v>0</v>
      </c>
      <c r="J10530" s="21" t="n">
        <f aca="false">IF(J10493=Assumptions!$K$57,1,0)</f>
        <v>0</v>
      </c>
      <c r="K10530" s="21" t="n">
        <f aca="false">IF(K10493=Assumptions!$K$57,1,0)</f>
        <v>1</v>
      </c>
    </row>
    <row r="10532" customFormat="false" ht="15" hidden="false" customHeight="false" outlineLevel="0" collapsed="false">
      <c r="A10532" s="3" t="s">
        <v>331</v>
      </c>
      <c r="G10532" s="31" t="n">
        <f aca="false">IF(Assumptions!$I$57=1,MAX(G10519,Assumptions!$G$57)+Assumptions!$F$57+$C$10520,Assumptions!$E$57)</f>
        <v>0.1215</v>
      </c>
      <c r="H10532" s="31" t="n">
        <f aca="false">IF(G10839=1,$C$10521,IF(Assumptions!$I$57=1,MAX(H10519,Assumptions!$G$57)+Assumptions!$F$57+$C$10520,Assumptions!$E$57))</f>
        <v>0.12</v>
      </c>
      <c r="I10532" s="31" t="n">
        <f aca="false">IF(H10839=1,$C$10521,IF(Assumptions!$I$57=1,MAX(I10519,Assumptions!$G$57)+Assumptions!$F$57+$C$10520,Assumptions!$E$57))</f>
        <v>0.1175</v>
      </c>
      <c r="J10532" s="31" t="n">
        <f aca="false">IF(I10839=1,$C$10521,IF(Assumptions!$I$57=1,MAX(J10519,Assumptions!$G$57)+Assumptions!$F$57+$C$10520,Assumptions!$E$57))</f>
        <v>0.1175</v>
      </c>
      <c r="K10532" s="31" t="n">
        <f aca="false">IF(J10839=1,$C$10521,IF(Assumptions!$I$57=1,MAX(K10519,Assumptions!$G$57)+Assumptions!$F$57+$C$10520,Assumptions!$E$57))</f>
        <v>0.1175</v>
      </c>
    </row>
    <row r="10533" customFormat="false" ht="15" hidden="false" customHeight="false" outlineLevel="0" collapsed="false">
      <c r="A10533" s="3" t="s">
        <v>332</v>
      </c>
      <c r="G10533" s="16" t="n">
        <f aca="false">G10529*G10532</f>
        <v>48.6</v>
      </c>
      <c r="H10533" s="16" t="n">
        <f aca="false">H10529*H10532</f>
        <v>47.52</v>
      </c>
      <c r="I10533" s="16" t="n">
        <f aca="false">I10529*I10532</f>
        <v>46.06</v>
      </c>
      <c r="J10533" s="16" t="n">
        <f aca="false">J10529*J10532</f>
        <v>45.59</v>
      </c>
      <c r="K10533" s="16" t="n">
        <f aca="false">K10529*K10532</f>
        <v>45.12</v>
      </c>
    </row>
    <row r="10534" customFormat="false" ht="15" hidden="false" customHeight="false" outlineLevel="0" collapsed="false">
      <c r="A10534" s="3" t="s">
        <v>333</v>
      </c>
      <c r="G10534" s="16" t="n">
        <f aca="false">G10529*Assumptions!$H$57</f>
        <v>0</v>
      </c>
      <c r="H10534" s="16" t="n">
        <f aca="false">H10529*Assumptions!$H$57</f>
        <v>0</v>
      </c>
      <c r="I10534" s="16" t="n">
        <f aca="false">I10529*Assumptions!$H$57</f>
        <v>0</v>
      </c>
      <c r="J10534" s="16" t="n">
        <f aca="false">J10529*Assumptions!$H$57</f>
        <v>0</v>
      </c>
      <c r="K10534" s="16" t="n">
        <f aca="false">K10529*Assumptions!$H$57</f>
        <v>0</v>
      </c>
    </row>
    <row r="10535" customFormat="false" ht="15" hidden="false" customHeight="false" outlineLevel="0" collapsed="false">
      <c r="A10535" s="3" t="s">
        <v>334</v>
      </c>
      <c r="G10535" s="16" t="n">
        <f aca="false">MIN(G10529,Assumptions!$L$57*Assumptions!$C$57)</f>
        <v>4</v>
      </c>
      <c r="H10535" s="16" t="n">
        <f aca="false">MIN(H10529,Assumptions!$L$57*Assumptions!$C$57)</f>
        <v>4</v>
      </c>
      <c r="I10535" s="16" t="n">
        <f aca="false">MIN(I10529,Assumptions!$L$57*Assumptions!$C$57)</f>
        <v>4</v>
      </c>
      <c r="J10535" s="16" t="n">
        <f aca="false">MIN(J10529,Assumptions!$L$57*Assumptions!$C$57)</f>
        <v>4</v>
      </c>
      <c r="K10535" s="16" t="n">
        <f aca="false">MIN(K10529,Assumptions!$L$57*Assumptions!$C$57)</f>
        <v>4</v>
      </c>
    </row>
    <row r="10536" customFormat="false" ht="15" hidden="false" customHeight="false" outlineLevel="0" collapsed="false">
      <c r="A10536" s="3" t="s">
        <v>335</v>
      </c>
      <c r="G10536" s="16" t="n">
        <f aca="false">IF(AND(Assumptions!$P$57=1,G10493&lt;Assumptions!$K$57),MIN(MAX(0,-G10709),MAX(0,Assumptions!$D$57-G10529)),0)</f>
        <v>0</v>
      </c>
      <c r="H10536" s="16" t="n">
        <f aca="false">IF(AND(Assumptions!$P$57=1,OR(H10493&lt;Assumptions!$K$57,G10839=1)),MIN(MAX(0,-H10709),MAX(0,Assumptions!$D$57-H10529)),0)</f>
        <v>0</v>
      </c>
      <c r="I10536" s="16" t="n">
        <f aca="false">IF(AND(Assumptions!$P$57=1,OR(I10493&lt;Assumptions!$K$57,H10839=1)),MIN(MAX(0,-I10709),MAX(0,Assumptions!$D$57-I10529)),0)</f>
        <v>0</v>
      </c>
      <c r="J10536" s="16" t="n">
        <f aca="false">IF(AND(Assumptions!$P$57=1,OR(J10493&lt;Assumptions!$K$57,I10839=1)),MIN(MAX(0,-J10709),MAX(0,Assumptions!$D$57-J10529)),0)</f>
        <v>0</v>
      </c>
      <c r="K10536" s="16" t="n">
        <f aca="false">IF(AND(Assumptions!$P$57=1,OR(K10493&lt;Assumptions!$K$57,J10839=1)),MIN(MAX(0,-K10709),MAX(0,Assumptions!$D$57-K10529)),0)</f>
        <v>0</v>
      </c>
    </row>
    <row r="10537" customFormat="false" ht="15" hidden="false" customHeight="false" outlineLevel="0" collapsed="false">
      <c r="A10537" s="3" t="s">
        <v>336</v>
      </c>
      <c r="G10537" s="16" t="n">
        <f aca="false">G10530*MIN(G10529-G10535+G10534,MAX(0,G10711-Assumptions!$C$12*G10527))</f>
        <v>0</v>
      </c>
      <c r="H10537" s="16" t="n">
        <f aca="false">H10530*MIN(H10529-H10535+H10534,MAX(0,H10711-Assumptions!$C$12*H10527))</f>
        <v>0</v>
      </c>
      <c r="I10537" s="16" t="n">
        <f aca="false">I10530*MIN(I10529-I10535+I10534,MAX(0,I10711-Assumptions!$C$12*I10527))</f>
        <v>0</v>
      </c>
      <c r="J10537" s="16" t="n">
        <f aca="false">J10530*MIN(J10529-J10535+J10534,MAX(0,J10711-Assumptions!$C$12*J10527))</f>
        <v>0</v>
      </c>
      <c r="K10537" s="16" t="n">
        <f aca="false">K10530*MIN(K10529-K10535+K10534,MAX(0,K10711-Assumptions!$C$12*K10527))</f>
        <v>0</v>
      </c>
    </row>
    <row r="10538" customFormat="false" ht="15" hidden="false" customHeight="false" outlineLevel="0" collapsed="false">
      <c r="A10538" s="3" t="s">
        <v>337</v>
      </c>
      <c r="G10538" s="16" t="n">
        <f aca="false">Assumptions!$N$57*MIN(G10529+G10536+G10534-G10535-G10537,MAX(0,G10715))</f>
        <v>0</v>
      </c>
      <c r="H10538" s="16" t="n">
        <f aca="false">Assumptions!$N$57*MIN(H10529+H10536+H10534-H10535-H10537,MAX(0,H10715))</f>
        <v>0</v>
      </c>
      <c r="I10538" s="16" t="n">
        <f aca="false">Assumptions!$N$57*MIN(I10529+I10536+I10534-I10535-I10537,MAX(0,I10715))</f>
        <v>0</v>
      </c>
      <c r="J10538" s="16" t="n">
        <f aca="false">Assumptions!$N$57*MIN(J10529+J10536+J10534-J10535-J10537,MAX(0,J10715))</f>
        <v>0</v>
      </c>
      <c r="K10538" s="16" t="n">
        <f aca="false">Assumptions!$N$57*MIN(K10529+K10536+K10534-K10535-K10537,MAX(0,K10715))</f>
        <v>0</v>
      </c>
    </row>
    <row r="10539" customFormat="false" ht="15" hidden="false" customHeight="false" outlineLevel="0" collapsed="false">
      <c r="A10539" s="3" t="s">
        <v>338</v>
      </c>
      <c r="G10539" s="16" t="n">
        <f aca="false">G10530*(1-G10527)*(G10529-G10535+G10534-G10537)</f>
        <v>0</v>
      </c>
      <c r="H10539" s="16" t="n">
        <f aca="false">H10530*(1-H10527)*(H10529-H10535+H10534-H10537)</f>
        <v>0</v>
      </c>
      <c r="I10539" s="16" t="n">
        <f aca="false">I10530*(1-I10527)*(I10529-I10535+I10534-I10537)</f>
        <v>0</v>
      </c>
      <c r="J10539" s="16" t="n">
        <f aca="false">J10530*(1-J10527)*(J10529-J10535+J10534-J10537)</f>
        <v>0</v>
      </c>
      <c r="K10539" s="16" t="n">
        <f aca="false">K10530*(1-K10527)*(K10529-K10535+K10534-K10537)</f>
        <v>380</v>
      </c>
    </row>
    <row r="10540" customFormat="false" ht="15" hidden="false" customHeight="false" outlineLevel="0" collapsed="false">
      <c r="A10540" s="2" t="s">
        <v>339</v>
      </c>
      <c r="F10540" s="28" t="n">
        <f aca="false">Assumptions!$C$57</f>
        <v>400</v>
      </c>
      <c r="G10540" s="17" t="n">
        <f aca="false">G10529+G10536+G10534-G10535-G10537-G10538</f>
        <v>396</v>
      </c>
      <c r="H10540" s="17" t="n">
        <f aca="false">H10529+H10536+H10534-H10535-H10537-H10538</f>
        <v>392</v>
      </c>
      <c r="I10540" s="17" t="n">
        <f aca="false">I10529+I10536+I10534-I10535-I10537-I10538</f>
        <v>388</v>
      </c>
      <c r="J10540" s="17" t="n">
        <f aca="false">J10529+J10536+J10534-J10535-J10537-J10538</f>
        <v>384</v>
      </c>
      <c r="K10540" s="17" t="n">
        <f aca="false">K10529+K10536+K10534-K10535-K10537-K10538</f>
        <v>380</v>
      </c>
    </row>
    <row r="10541" customFormat="false" ht="15" hidden="false" customHeight="false" outlineLevel="0" collapsed="false">
      <c r="A10541" s="24" t="s">
        <v>340</v>
      </c>
      <c r="B10541" s="25"/>
      <c r="C10541" s="25"/>
      <c r="D10541" s="25"/>
      <c r="E10541" s="25"/>
      <c r="F10541" s="25"/>
      <c r="G10541" s="25"/>
      <c r="H10541" s="25"/>
      <c r="I10541" s="25"/>
      <c r="J10541" s="25"/>
      <c r="K10541" s="25"/>
    </row>
    <row r="10542" customFormat="false" ht="15" hidden="false" customHeight="false" outlineLevel="0" collapsed="false">
      <c r="A10542" s="3" t="s">
        <v>329</v>
      </c>
      <c r="G10542" s="16" t="n">
        <f aca="false">F10553</f>
        <v>90</v>
      </c>
      <c r="H10542" s="16" t="n">
        <f aca="false">G10553</f>
        <v>90</v>
      </c>
      <c r="I10542" s="16" t="n">
        <f aca="false">H10553</f>
        <v>90</v>
      </c>
      <c r="J10542" s="16" t="n">
        <f aca="false">I10553</f>
        <v>90</v>
      </c>
      <c r="K10542" s="16" t="n">
        <f aca="false">J10553</f>
        <v>90</v>
      </c>
    </row>
    <row r="10543" customFormat="false" ht="15" hidden="false" customHeight="false" outlineLevel="0" collapsed="false">
      <c r="A10543" s="3" t="s">
        <v>330</v>
      </c>
      <c r="G10543" s="21" t="n">
        <f aca="false">IF(G10493=Assumptions!$K$58,1,0)</f>
        <v>0</v>
      </c>
      <c r="H10543" s="21" t="n">
        <f aca="false">IF(H10493=Assumptions!$K$58,1,0)</f>
        <v>0</v>
      </c>
      <c r="I10543" s="21" t="n">
        <f aca="false">IF(I10493=Assumptions!$K$58,1,0)</f>
        <v>0</v>
      </c>
      <c r="J10543" s="21" t="n">
        <f aca="false">IF(J10493=Assumptions!$K$58,1,0)</f>
        <v>0</v>
      </c>
      <c r="K10543" s="21" t="n">
        <f aca="false">IF(K10493=Assumptions!$K$58,1,0)</f>
        <v>0</v>
      </c>
    </row>
    <row r="10545" customFormat="false" ht="15" hidden="false" customHeight="false" outlineLevel="0" collapsed="false">
      <c r="A10545" s="3" t="s">
        <v>331</v>
      </c>
      <c r="G10545" s="31" t="n">
        <f aca="false">IF(Assumptions!$I$58=1,MAX(G10519,Assumptions!$G$58)+Assumptions!$F$58+$C$10520,Assumptions!$E$58)</f>
        <v>0.0581</v>
      </c>
      <c r="H10545" s="31" t="n">
        <f aca="false">IF(G10840=1,$C$10521,IF(Assumptions!$I$58=1,MAX(H10519,Assumptions!$G$58)+Assumptions!$F$58+$C$10520,Assumptions!$E$58))</f>
        <v>0.0581</v>
      </c>
      <c r="I10545" s="31" t="n">
        <f aca="false">IF(H10840=1,$C$10521,IF(Assumptions!$I$58=1,MAX(I10519,Assumptions!$G$58)+Assumptions!$F$58+$C$10520,Assumptions!$E$58))</f>
        <v>0.0581</v>
      </c>
      <c r="J10545" s="31" t="n">
        <f aca="false">IF(I10840=1,$C$10521,IF(Assumptions!$I$58=1,MAX(J10519,Assumptions!$G$58)+Assumptions!$F$58+$C$10520,Assumptions!$E$58))</f>
        <v>0.0581</v>
      </c>
      <c r="K10545" s="31" t="n">
        <f aca="false">IF(J10840=1,$C$10521,IF(Assumptions!$I$58=1,MAX(K10519,Assumptions!$G$58)+Assumptions!$F$58+$C$10520,Assumptions!$E$58))</f>
        <v>0.0581</v>
      </c>
    </row>
    <row r="10546" customFormat="false" ht="15" hidden="false" customHeight="false" outlineLevel="0" collapsed="false">
      <c r="A10546" s="3" t="s">
        <v>332</v>
      </c>
      <c r="G10546" s="16" t="n">
        <f aca="false">G10542*G10545</f>
        <v>5.229</v>
      </c>
      <c r="H10546" s="16" t="n">
        <f aca="false">H10542*H10545</f>
        <v>5.229</v>
      </c>
      <c r="I10546" s="16" t="n">
        <f aca="false">I10542*I10545</f>
        <v>5.229</v>
      </c>
      <c r="J10546" s="16" t="n">
        <f aca="false">J10542*J10545</f>
        <v>5.229</v>
      </c>
      <c r="K10546" s="16" t="n">
        <f aca="false">K10542*K10545</f>
        <v>5.229</v>
      </c>
    </row>
    <row r="10547" customFormat="false" ht="15" hidden="false" customHeight="false" outlineLevel="0" collapsed="false">
      <c r="A10547" s="3" t="s">
        <v>333</v>
      </c>
      <c r="G10547" s="16" t="n">
        <f aca="false">G10542*Assumptions!$H$58</f>
        <v>0</v>
      </c>
      <c r="H10547" s="16" t="n">
        <f aca="false">H10542*Assumptions!$H$58</f>
        <v>0</v>
      </c>
      <c r="I10547" s="16" t="n">
        <f aca="false">I10542*Assumptions!$H$58</f>
        <v>0</v>
      </c>
      <c r="J10547" s="16" t="n">
        <f aca="false">J10542*Assumptions!$H$58</f>
        <v>0</v>
      </c>
      <c r="K10547" s="16" t="n">
        <f aca="false">K10542*Assumptions!$H$58</f>
        <v>0</v>
      </c>
    </row>
    <row r="10548" customFormat="false" ht="15" hidden="false" customHeight="false" outlineLevel="0" collapsed="false">
      <c r="A10548" s="3" t="s">
        <v>334</v>
      </c>
      <c r="G10548" s="16" t="n">
        <f aca="false">MIN(G10542,Assumptions!$L$58*Assumptions!$C$58)</f>
        <v>0</v>
      </c>
      <c r="H10548" s="16" t="n">
        <f aca="false">MIN(H10542,Assumptions!$L$58*Assumptions!$C$58)</f>
        <v>0</v>
      </c>
      <c r="I10548" s="16" t="n">
        <f aca="false">MIN(I10542,Assumptions!$L$58*Assumptions!$C$58)</f>
        <v>0</v>
      </c>
      <c r="J10548" s="16" t="n">
        <f aca="false">MIN(J10542,Assumptions!$L$58*Assumptions!$C$58)</f>
        <v>0</v>
      </c>
      <c r="K10548" s="16" t="n">
        <f aca="false">MIN(K10542,Assumptions!$L$58*Assumptions!$C$58)</f>
        <v>0</v>
      </c>
    </row>
    <row r="10549" customFormat="false" ht="15" hidden="false" customHeight="false" outlineLevel="0" collapsed="false">
      <c r="A10549" s="3" t="s">
        <v>335</v>
      </c>
      <c r="G10549" s="16" t="n">
        <f aca="false">IF(AND(Assumptions!$P$58=1,G10493&lt;Assumptions!$K$58),MIN(MAX(0,-G10709),MAX(0,Assumptions!$D$58-G10542)),0)</f>
        <v>0</v>
      </c>
      <c r="H10549" s="16" t="n">
        <f aca="false">IF(AND(Assumptions!$P$58=1,OR(H10493&lt;Assumptions!$K$58,G10840=1)),MIN(MAX(0,-H10709),MAX(0,Assumptions!$D$58-H10542)),0)</f>
        <v>0</v>
      </c>
      <c r="I10549" s="16" t="n">
        <f aca="false">IF(AND(Assumptions!$P$58=1,OR(I10493&lt;Assumptions!$K$58,H10840=1)),MIN(MAX(0,-I10709),MAX(0,Assumptions!$D$58-I10542)),0)</f>
        <v>0</v>
      </c>
      <c r="J10549" s="16" t="n">
        <f aca="false">IF(AND(Assumptions!$P$58=1,OR(J10493&lt;Assumptions!$K$58,I10840=1)),MIN(MAX(0,-J10709),MAX(0,Assumptions!$D$58-J10542)),0)</f>
        <v>0</v>
      </c>
      <c r="K10549" s="16" t="n">
        <f aca="false">IF(AND(Assumptions!$P$58=1,OR(K10493&lt;Assumptions!$K$58,J10840=1)),MIN(MAX(0,-K10709),MAX(0,Assumptions!$D$58-K10542)),0)</f>
        <v>0</v>
      </c>
    </row>
    <row r="10550" customFormat="false" ht="15" hidden="false" customHeight="false" outlineLevel="0" collapsed="false">
      <c r="A10550" s="3" t="s">
        <v>336</v>
      </c>
      <c r="G10550" s="16" t="n">
        <f aca="false">G10543*MIN(G10542-G10548+G10547,MAX(0,G10711-Assumptions!$C$12*G10527-G10537))</f>
        <v>0</v>
      </c>
      <c r="H10550" s="16" t="n">
        <f aca="false">H10543*MIN(H10542-H10548+H10547,MAX(0,H10711-Assumptions!$C$12*H10527-H10537))</f>
        <v>0</v>
      </c>
      <c r="I10550" s="16" t="n">
        <f aca="false">I10543*MIN(I10542-I10548+I10547,MAX(0,I10711-Assumptions!$C$12*I10527-I10537))</f>
        <v>0</v>
      </c>
      <c r="J10550" s="16" t="n">
        <f aca="false">J10543*MIN(J10542-J10548+J10547,MAX(0,J10711-Assumptions!$C$12*J10527-J10537))</f>
        <v>0</v>
      </c>
      <c r="K10550" s="16" t="n">
        <f aca="false">K10543*MIN(K10542-K10548+K10547,MAX(0,K10711-Assumptions!$C$12*K10527-K10537))</f>
        <v>0</v>
      </c>
    </row>
    <row r="10551" customFormat="false" ht="15" hidden="false" customHeight="false" outlineLevel="0" collapsed="false">
      <c r="A10551" s="3" t="s">
        <v>337</v>
      </c>
      <c r="G10551" s="16" t="n">
        <f aca="false">Assumptions!$N$58*MIN(G10542+G10549+G10547-G10548-G10550,MAX(0,G10715-G10538))</f>
        <v>0</v>
      </c>
      <c r="H10551" s="16" t="n">
        <f aca="false">Assumptions!$N$58*MIN(H10542+H10549+H10547-H10548-H10550,MAX(0,H10715-H10538))</f>
        <v>0</v>
      </c>
      <c r="I10551" s="16" t="n">
        <f aca="false">Assumptions!$N$58*MIN(I10542+I10549+I10547-I10548-I10550,MAX(0,I10715-I10538))</f>
        <v>0</v>
      </c>
      <c r="J10551" s="16" t="n">
        <f aca="false">Assumptions!$N$58*MIN(J10542+J10549+J10547-J10548-J10550,MAX(0,J10715-J10538))</f>
        <v>0</v>
      </c>
      <c r="K10551" s="16" t="n">
        <f aca="false">Assumptions!$N$58*MIN(K10542+K10549+K10547-K10548-K10550,MAX(0,K10715-K10538))</f>
        <v>0</v>
      </c>
    </row>
    <row r="10552" customFormat="false" ht="15" hidden="false" customHeight="false" outlineLevel="0" collapsed="false">
      <c r="A10552" s="3" t="s">
        <v>338</v>
      </c>
      <c r="G10552" s="16" t="n">
        <f aca="false">G10543*(1-G10527)*(G10542-G10548+G10547-G10550)</f>
        <v>0</v>
      </c>
      <c r="H10552" s="16" t="n">
        <f aca="false">H10543*(1-H10527)*(H10542-H10548+H10547-H10550)</f>
        <v>0</v>
      </c>
      <c r="I10552" s="16" t="n">
        <f aca="false">I10543*(1-I10527)*(I10542-I10548+I10547-I10550)</f>
        <v>0</v>
      </c>
      <c r="J10552" s="16" t="n">
        <f aca="false">J10543*(1-J10527)*(J10542-J10548+J10547-J10550)</f>
        <v>0</v>
      </c>
      <c r="K10552" s="16" t="n">
        <f aca="false">K10543*(1-K10527)*(K10542-K10548+K10547-K10550)</f>
        <v>0</v>
      </c>
    </row>
    <row r="10553" customFormat="false" ht="15" hidden="false" customHeight="false" outlineLevel="0" collapsed="false">
      <c r="A10553" s="2" t="s">
        <v>339</v>
      </c>
      <c r="F10553" s="28" t="n">
        <f aca="false">Assumptions!$C$58</f>
        <v>90</v>
      </c>
      <c r="G10553" s="17" t="n">
        <f aca="false">G10542+G10549+G10547-G10548-G10550-G10551</f>
        <v>90</v>
      </c>
      <c r="H10553" s="17" t="n">
        <f aca="false">H10542+H10549+H10547-H10548-H10550-H10551</f>
        <v>90</v>
      </c>
      <c r="I10553" s="17" t="n">
        <f aca="false">I10542+I10549+I10547-I10548-I10550-I10551</f>
        <v>90</v>
      </c>
      <c r="J10553" s="17" t="n">
        <f aca="false">J10542+J10549+J10547-J10548-J10550-J10551</f>
        <v>90</v>
      </c>
      <c r="K10553" s="17" t="n">
        <f aca="false">K10542+K10549+K10547-K10548-K10550-K10551</f>
        <v>90</v>
      </c>
    </row>
    <row r="10554" customFormat="false" ht="15" hidden="false" customHeight="false" outlineLevel="0" collapsed="false">
      <c r="A10554" s="24" t="s">
        <v>341</v>
      </c>
      <c r="B10554" s="25"/>
      <c r="C10554" s="25"/>
      <c r="D10554" s="25"/>
      <c r="E10554" s="25"/>
      <c r="F10554" s="25"/>
      <c r="G10554" s="25"/>
      <c r="H10554" s="25"/>
      <c r="I10554" s="25"/>
      <c r="J10554" s="25"/>
      <c r="K10554" s="25"/>
    </row>
    <row r="10555" customFormat="false" ht="15" hidden="false" customHeight="false" outlineLevel="0" collapsed="false">
      <c r="A10555" s="3" t="s">
        <v>329</v>
      </c>
      <c r="G10555" s="16" t="n">
        <f aca="false">F10566</f>
        <v>57.324</v>
      </c>
      <c r="H10555" s="16" t="n">
        <f aca="false">G10566</f>
        <v>57.324</v>
      </c>
      <c r="I10555" s="16" t="n">
        <f aca="false">H10566</f>
        <v>57.324</v>
      </c>
      <c r="J10555" s="16" t="n">
        <f aca="false">I10566</f>
        <v>57.324</v>
      </c>
      <c r="K10555" s="16" t="n">
        <f aca="false">J10566</f>
        <v>57.324</v>
      </c>
    </row>
    <row r="10556" customFormat="false" ht="15" hidden="false" customHeight="false" outlineLevel="0" collapsed="false">
      <c r="A10556" s="3" t="s">
        <v>330</v>
      </c>
      <c r="G10556" s="21" t="n">
        <f aca="false">IF(G10493=Assumptions!$K$59,1,0)</f>
        <v>0</v>
      </c>
      <c r="H10556" s="21" t="n">
        <f aca="false">IF(H10493=Assumptions!$K$59,1,0)</f>
        <v>0</v>
      </c>
      <c r="I10556" s="21" t="n">
        <f aca="false">IF(I10493=Assumptions!$K$59,1,0)</f>
        <v>0</v>
      </c>
      <c r="J10556" s="21" t="n">
        <f aca="false">IF(J10493=Assumptions!$K$59,1,0)</f>
        <v>0</v>
      </c>
      <c r="K10556" s="21" t="n">
        <f aca="false">IF(K10493=Assumptions!$K$59,1,0)</f>
        <v>0</v>
      </c>
    </row>
    <row r="10558" customFormat="false" ht="15" hidden="false" customHeight="false" outlineLevel="0" collapsed="false">
      <c r="A10558" s="3" t="s">
        <v>331</v>
      </c>
      <c r="G10558" s="31" t="n">
        <f aca="false">IF(Assumptions!$I$59=1,MAX(G10519,Assumptions!$G$59)+Assumptions!$F$59+$C$10520,Assumptions!$E$59)</f>
        <v>0.0731</v>
      </c>
      <c r="H10558" s="31" t="n">
        <f aca="false">IF(G10841=1,$C$10521,IF(Assumptions!$I$59=1,MAX(H10519,Assumptions!$G$59)+Assumptions!$F$59+$C$10520,Assumptions!$E$59))</f>
        <v>0.0731</v>
      </c>
      <c r="I10558" s="31" t="n">
        <f aca="false">IF(H10841=1,$C$10521,IF(Assumptions!$I$59=1,MAX(I10519,Assumptions!$G$59)+Assumptions!$F$59+$C$10520,Assumptions!$E$59))</f>
        <v>0.0731</v>
      </c>
      <c r="J10558" s="31" t="n">
        <f aca="false">IF(I10841=1,$C$10521,IF(Assumptions!$I$59=1,MAX(J10519,Assumptions!$G$59)+Assumptions!$F$59+$C$10520,Assumptions!$E$59))</f>
        <v>0.0731</v>
      </c>
      <c r="K10558" s="31" t="n">
        <f aca="false">IF(J10841=1,$C$10521,IF(Assumptions!$I$59=1,MAX(K10519,Assumptions!$G$59)+Assumptions!$F$59+$C$10520,Assumptions!$E$59))</f>
        <v>0.0731</v>
      </c>
    </row>
    <row r="10559" customFormat="false" ht="15" hidden="false" customHeight="false" outlineLevel="0" collapsed="false">
      <c r="A10559" s="3" t="s">
        <v>332</v>
      </c>
      <c r="G10559" s="16" t="n">
        <f aca="false">G10555*G10558</f>
        <v>4.1903844</v>
      </c>
      <c r="H10559" s="16" t="n">
        <f aca="false">H10555*H10558</f>
        <v>4.1903844</v>
      </c>
      <c r="I10559" s="16" t="n">
        <f aca="false">I10555*I10558</f>
        <v>4.1903844</v>
      </c>
      <c r="J10559" s="16" t="n">
        <f aca="false">J10555*J10558</f>
        <v>4.1903844</v>
      </c>
      <c r="K10559" s="16" t="n">
        <f aca="false">K10555*K10558</f>
        <v>4.1903844</v>
      </c>
    </row>
    <row r="10560" customFormat="false" ht="15" hidden="false" customHeight="false" outlineLevel="0" collapsed="false">
      <c r="A10560" s="3" t="s">
        <v>333</v>
      </c>
      <c r="G10560" s="16" t="n">
        <f aca="false">G10555*Assumptions!$H$59</f>
        <v>0</v>
      </c>
      <c r="H10560" s="16" t="n">
        <f aca="false">H10555*Assumptions!$H$59</f>
        <v>0</v>
      </c>
      <c r="I10560" s="16" t="n">
        <f aca="false">I10555*Assumptions!$H$59</f>
        <v>0</v>
      </c>
      <c r="J10560" s="16" t="n">
        <f aca="false">J10555*Assumptions!$H$59</f>
        <v>0</v>
      </c>
      <c r="K10560" s="16" t="n">
        <f aca="false">K10555*Assumptions!$H$59</f>
        <v>0</v>
      </c>
    </row>
    <row r="10561" customFormat="false" ht="15" hidden="false" customHeight="false" outlineLevel="0" collapsed="false">
      <c r="A10561" s="3" t="s">
        <v>334</v>
      </c>
      <c r="G10561" s="16" t="n">
        <f aca="false">MIN(G10555,Assumptions!$L$59*Assumptions!$C$59)</f>
        <v>0</v>
      </c>
      <c r="H10561" s="16" t="n">
        <f aca="false">MIN(H10555,Assumptions!$L$59*Assumptions!$C$59)</f>
        <v>0</v>
      </c>
      <c r="I10561" s="16" t="n">
        <f aca="false">MIN(I10555,Assumptions!$L$59*Assumptions!$C$59)</f>
        <v>0</v>
      </c>
      <c r="J10561" s="16" t="n">
        <f aca="false">MIN(J10555,Assumptions!$L$59*Assumptions!$C$59)</f>
        <v>0</v>
      </c>
      <c r="K10561" s="16" t="n">
        <f aca="false">MIN(K10555,Assumptions!$L$59*Assumptions!$C$59)</f>
        <v>0</v>
      </c>
    </row>
    <row r="10562" customFormat="false" ht="15" hidden="false" customHeight="false" outlineLevel="0" collapsed="false">
      <c r="A10562" s="3" t="s">
        <v>335</v>
      </c>
      <c r="G10562" s="16" t="n">
        <f aca="false">IF(AND(Assumptions!$P$59=1,G10493&lt;Assumptions!$K$59),MIN(MAX(0,-G10709),MAX(0,Assumptions!$D$59-G10555)),0)</f>
        <v>0</v>
      </c>
      <c r="H10562" s="16" t="n">
        <f aca="false">IF(AND(Assumptions!$P$59=1,OR(H10493&lt;Assumptions!$K$59,G10841=1)),MIN(MAX(0,-H10709),MAX(0,Assumptions!$D$59-H10555)),0)</f>
        <v>0</v>
      </c>
      <c r="I10562" s="16" t="n">
        <f aca="false">IF(AND(Assumptions!$P$59=1,OR(I10493&lt;Assumptions!$K$59,H10841=1)),MIN(MAX(0,-I10709),MAX(0,Assumptions!$D$59-I10555)),0)</f>
        <v>0</v>
      </c>
      <c r="J10562" s="16" t="n">
        <f aca="false">IF(AND(Assumptions!$P$59=1,OR(J10493&lt;Assumptions!$K$59,I10841=1)),MIN(MAX(0,-J10709),MAX(0,Assumptions!$D$59-J10555)),0)</f>
        <v>0</v>
      </c>
      <c r="K10562" s="16" t="n">
        <f aca="false">IF(AND(Assumptions!$P$59=1,OR(K10493&lt;Assumptions!$K$59,J10841=1)),MIN(MAX(0,-K10709),MAX(0,Assumptions!$D$59-K10555)),0)</f>
        <v>0</v>
      </c>
    </row>
    <row r="10563" customFormat="false" ht="15" hidden="false" customHeight="false" outlineLevel="0" collapsed="false">
      <c r="A10563" s="3" t="s">
        <v>336</v>
      </c>
      <c r="G10563" s="16" t="n">
        <f aca="false">G10556*MIN(G10555-G10561+G10560,MAX(0,G10711-Assumptions!$C$12*G10527-G10537-G10550))</f>
        <v>0</v>
      </c>
      <c r="H10563" s="16" t="n">
        <f aca="false">H10556*MIN(H10555-H10561+H10560,MAX(0,H10711-Assumptions!$C$12*H10527-H10537-H10550))</f>
        <v>0</v>
      </c>
      <c r="I10563" s="16" t="n">
        <f aca="false">I10556*MIN(I10555-I10561+I10560,MAX(0,I10711-Assumptions!$C$12*I10527-I10537-I10550))</f>
        <v>0</v>
      </c>
      <c r="J10563" s="16" t="n">
        <f aca="false">J10556*MIN(J10555-J10561+J10560,MAX(0,J10711-Assumptions!$C$12*J10527-J10537-J10550))</f>
        <v>0</v>
      </c>
      <c r="K10563" s="16" t="n">
        <f aca="false">K10556*MIN(K10555-K10561+K10560,MAX(0,K10711-Assumptions!$C$12*K10527-K10537-K10550))</f>
        <v>0</v>
      </c>
    </row>
    <row r="10564" customFormat="false" ht="15" hidden="false" customHeight="false" outlineLevel="0" collapsed="false">
      <c r="A10564" s="3" t="s">
        <v>337</v>
      </c>
      <c r="G10564" s="16" t="n">
        <f aca="false">Assumptions!$N$59*MIN(G10555+G10562+G10560-G10561-G10563,MAX(0,G10715-G10538-G10551))</f>
        <v>0</v>
      </c>
      <c r="H10564" s="16" t="n">
        <f aca="false">Assumptions!$N$59*MIN(H10555+H10562+H10560-H10561-H10563,MAX(0,H10715-H10538-H10551))</f>
        <v>0</v>
      </c>
      <c r="I10564" s="16" t="n">
        <f aca="false">Assumptions!$N$59*MIN(I10555+I10562+I10560-I10561-I10563,MAX(0,I10715-I10538-I10551))</f>
        <v>0</v>
      </c>
      <c r="J10564" s="16" t="n">
        <f aca="false">Assumptions!$N$59*MIN(J10555+J10562+J10560-J10561-J10563,MAX(0,J10715-J10538-J10551))</f>
        <v>0</v>
      </c>
      <c r="K10564" s="16" t="n">
        <f aca="false">Assumptions!$N$59*MIN(K10555+K10562+K10560-K10561-K10563,MAX(0,K10715-K10538-K10551))</f>
        <v>0</v>
      </c>
    </row>
    <row r="10565" customFormat="false" ht="15" hidden="false" customHeight="false" outlineLevel="0" collapsed="false">
      <c r="A10565" s="3" t="s">
        <v>338</v>
      </c>
      <c r="G10565" s="16" t="n">
        <f aca="false">G10556*(1-G10527)*(G10555-G10561+G10560-G10563)</f>
        <v>0</v>
      </c>
      <c r="H10565" s="16" t="n">
        <f aca="false">H10556*(1-H10527)*(H10555-H10561+H10560-H10563)</f>
        <v>0</v>
      </c>
      <c r="I10565" s="16" t="n">
        <f aca="false">I10556*(1-I10527)*(I10555-I10561+I10560-I10563)</f>
        <v>0</v>
      </c>
      <c r="J10565" s="16" t="n">
        <f aca="false">J10556*(1-J10527)*(J10555-J10561+J10560-J10563)</f>
        <v>0</v>
      </c>
      <c r="K10565" s="16" t="n">
        <f aca="false">K10556*(1-K10527)*(K10555-K10561+K10560-K10563)</f>
        <v>0</v>
      </c>
    </row>
    <row r="10566" customFormat="false" ht="15" hidden="false" customHeight="false" outlineLevel="0" collapsed="false">
      <c r="A10566" s="2" t="s">
        <v>339</v>
      </c>
      <c r="F10566" s="28" t="n">
        <f aca="false">Assumptions!$C$59</f>
        <v>57.324</v>
      </c>
      <c r="G10566" s="17" t="n">
        <f aca="false">G10555+G10562+G10560-G10561-G10563-G10564</f>
        <v>57.324</v>
      </c>
      <c r="H10566" s="17" t="n">
        <f aca="false">H10555+H10562+H10560-H10561-H10563-H10564</f>
        <v>57.324</v>
      </c>
      <c r="I10566" s="17" t="n">
        <f aca="false">I10555+I10562+I10560-I10561-I10563-I10564</f>
        <v>57.324</v>
      </c>
      <c r="J10566" s="17" t="n">
        <f aca="false">J10555+J10562+J10560-J10561-J10563-J10564</f>
        <v>57.324</v>
      </c>
      <c r="K10566" s="17" t="n">
        <f aca="false">K10555+K10562+K10560-K10561-K10563-K10564</f>
        <v>57.324</v>
      </c>
    </row>
    <row r="10567" customFormat="false" ht="15" hidden="false" customHeight="false" outlineLevel="0" collapsed="false">
      <c r="A10567" s="24" t="s">
        <v>342</v>
      </c>
      <c r="B10567" s="25"/>
      <c r="C10567" s="25"/>
      <c r="D10567" s="25"/>
      <c r="E10567" s="25"/>
      <c r="F10567" s="25"/>
      <c r="G10567" s="25"/>
      <c r="H10567" s="25"/>
      <c r="I10567" s="25"/>
      <c r="J10567" s="25"/>
      <c r="K10567" s="25"/>
    </row>
    <row r="10568" customFormat="false" ht="15" hidden="false" customHeight="false" outlineLevel="0" collapsed="false">
      <c r="A10568" s="3" t="s">
        <v>329</v>
      </c>
      <c r="G10568" s="16" t="n">
        <f aca="false">F10579</f>
        <v>0</v>
      </c>
      <c r="H10568" s="16" t="n">
        <f aca="false">G10579</f>
        <v>0</v>
      </c>
      <c r="I10568" s="16" t="n">
        <f aca="false">H10579</f>
        <v>0</v>
      </c>
      <c r="J10568" s="16" t="n">
        <f aca="false">I10579</f>
        <v>0</v>
      </c>
      <c r="K10568" s="16" t="n">
        <f aca="false">J10579</f>
        <v>0</v>
      </c>
    </row>
    <row r="10569" customFormat="false" ht="15" hidden="false" customHeight="false" outlineLevel="0" collapsed="false">
      <c r="A10569" s="3" t="s">
        <v>330</v>
      </c>
      <c r="G10569" s="21" t="n">
        <f aca="false">IF(G10493=Assumptions!$K$60,1,0)</f>
        <v>1</v>
      </c>
      <c r="H10569" s="21" t="n">
        <f aca="false">IF(H10493=Assumptions!$K$60,1,0)</f>
        <v>0</v>
      </c>
      <c r="I10569" s="21" t="n">
        <f aca="false">IF(I10493=Assumptions!$K$60,1,0)</f>
        <v>0</v>
      </c>
      <c r="J10569" s="21" t="n">
        <f aca="false">IF(J10493=Assumptions!$K$60,1,0)</f>
        <v>0</v>
      </c>
      <c r="K10569" s="21" t="n">
        <f aca="false">IF(K10493=Assumptions!$K$60,1,0)</f>
        <v>0</v>
      </c>
    </row>
    <row r="10571" customFormat="false" ht="15" hidden="false" customHeight="false" outlineLevel="0" collapsed="false">
      <c r="A10571" s="3" t="s">
        <v>331</v>
      </c>
      <c r="G10571" s="31" t="n">
        <f aca="false">IF(Assumptions!$I$60=1,MAX(G10519,Assumptions!$G$60)+Assumptions!$F$60+$C$10520,Assumptions!$E$60)</f>
        <v>0.084</v>
      </c>
      <c r="H10571" s="31" t="n">
        <f aca="false">IF(G10842=1,$C$10521,IF(Assumptions!$I$60=1,MAX(H10519,Assumptions!$G$60)+Assumptions!$F$60+$C$10520,Assumptions!$E$60))</f>
        <v>0.0825</v>
      </c>
      <c r="I10571" s="31" t="n">
        <f aca="false">IF(H10842=1,$C$10521,IF(Assumptions!$I$60=1,MAX(I10519,Assumptions!$G$60)+Assumptions!$F$60+$C$10520,Assumptions!$E$60))</f>
        <v>0.08</v>
      </c>
      <c r="J10571" s="31" t="n">
        <f aca="false">IF(I10842=1,$C$10521,IF(Assumptions!$I$60=1,MAX(J10519,Assumptions!$G$60)+Assumptions!$F$60+$C$10520,Assumptions!$E$60))</f>
        <v>0.08</v>
      </c>
      <c r="K10571" s="31" t="n">
        <f aca="false">IF(J10842=1,$C$10521,IF(Assumptions!$I$60=1,MAX(K10519,Assumptions!$G$60)+Assumptions!$F$60+$C$10520,Assumptions!$E$60))</f>
        <v>0.08</v>
      </c>
    </row>
    <row r="10572" customFormat="false" ht="15" hidden="false" customHeight="false" outlineLevel="0" collapsed="false">
      <c r="A10572" s="3" t="s">
        <v>332</v>
      </c>
      <c r="G10572" s="16" t="n">
        <f aca="false">G10568*G10571</f>
        <v>0</v>
      </c>
      <c r="H10572" s="16" t="n">
        <f aca="false">H10568*H10571</f>
        <v>0</v>
      </c>
      <c r="I10572" s="16" t="n">
        <f aca="false">I10568*I10571</f>
        <v>0</v>
      </c>
      <c r="J10572" s="16" t="n">
        <f aca="false">J10568*J10571</f>
        <v>0</v>
      </c>
      <c r="K10572" s="16" t="n">
        <f aca="false">K10568*K10571</f>
        <v>0</v>
      </c>
    </row>
    <row r="10573" customFormat="false" ht="15" hidden="false" customHeight="false" outlineLevel="0" collapsed="false">
      <c r="A10573" s="3" t="s">
        <v>333</v>
      </c>
      <c r="G10573" s="16" t="n">
        <f aca="false">G10568*Assumptions!$H$60</f>
        <v>0</v>
      </c>
      <c r="H10573" s="16" t="n">
        <f aca="false">H10568*Assumptions!$H$60</f>
        <v>0</v>
      </c>
      <c r="I10573" s="16" t="n">
        <f aca="false">I10568*Assumptions!$H$60</f>
        <v>0</v>
      </c>
      <c r="J10573" s="16" t="n">
        <f aca="false">J10568*Assumptions!$H$60</f>
        <v>0</v>
      </c>
      <c r="K10573" s="16" t="n">
        <f aca="false">K10568*Assumptions!$H$60</f>
        <v>0</v>
      </c>
    </row>
    <row r="10574" customFormat="false" ht="15" hidden="false" customHeight="false" outlineLevel="0" collapsed="false">
      <c r="A10574" s="3" t="s">
        <v>334</v>
      </c>
      <c r="G10574" s="16" t="n">
        <f aca="false">MIN(G10568,Assumptions!$L$60*Assumptions!$C$60)</f>
        <v>0</v>
      </c>
      <c r="H10574" s="16" t="n">
        <f aca="false">MIN(H10568,Assumptions!$L$60*Assumptions!$C$60)</f>
        <v>0</v>
      </c>
      <c r="I10574" s="16" t="n">
        <f aca="false">MIN(I10568,Assumptions!$L$60*Assumptions!$C$60)</f>
        <v>0</v>
      </c>
      <c r="J10574" s="16" t="n">
        <f aca="false">MIN(J10568,Assumptions!$L$60*Assumptions!$C$60)</f>
        <v>0</v>
      </c>
      <c r="K10574" s="16" t="n">
        <f aca="false">MIN(K10568,Assumptions!$L$60*Assumptions!$C$60)</f>
        <v>0</v>
      </c>
    </row>
    <row r="10575" customFormat="false" ht="15" hidden="false" customHeight="false" outlineLevel="0" collapsed="false">
      <c r="A10575" s="3" t="s">
        <v>335</v>
      </c>
      <c r="G10575" s="16" t="n">
        <f aca="false">IF(AND(Assumptions!$P$60=1,G10493&lt;Assumptions!$K$60),MIN(MAX(0,-G10709),MAX(0,Assumptions!$D$60-G10568)),0)</f>
        <v>0</v>
      </c>
      <c r="H10575" s="16" t="n">
        <f aca="false">IF(AND(Assumptions!$P$60=1,OR(H10493&lt;Assumptions!$K$60,G10842=1)),MIN(MAX(0,-H10709),MAX(0,Assumptions!$D$60-H10568)),0)</f>
        <v>0</v>
      </c>
      <c r="I10575" s="16" t="n">
        <f aca="false">IF(AND(Assumptions!$P$60=1,OR(I10493&lt;Assumptions!$K$60,H10842=1)),MIN(MAX(0,-I10709),MAX(0,Assumptions!$D$60-I10568)),0)</f>
        <v>0</v>
      </c>
      <c r="J10575" s="16" t="n">
        <f aca="false">IF(AND(Assumptions!$P$60=1,OR(J10493&lt;Assumptions!$K$60,I10842=1)),MIN(MAX(0,-J10709),MAX(0,Assumptions!$D$60-J10568)),0)</f>
        <v>0</v>
      </c>
      <c r="K10575" s="16" t="n">
        <f aca="false">IF(AND(Assumptions!$P$60=1,OR(K10493&lt;Assumptions!$K$60,J10842=1)),MIN(MAX(0,-K10709),MAX(0,Assumptions!$D$60-K10568)),0)</f>
        <v>0</v>
      </c>
    </row>
    <row r="10576" customFormat="false" ht="15" hidden="false" customHeight="false" outlineLevel="0" collapsed="false">
      <c r="A10576" s="3" t="s">
        <v>336</v>
      </c>
      <c r="G10576" s="16" t="n">
        <f aca="false">G10569*MIN(G10568-G10574+G10573,MAX(0,G10711-Assumptions!$C$12*G10527-G10537-G10550-G10563))</f>
        <v>0</v>
      </c>
      <c r="H10576" s="16" t="n">
        <f aca="false">H10569*MIN(H10568-H10574+H10573,MAX(0,H10711-Assumptions!$C$12*H10527-H10537-H10550-H10563))</f>
        <v>0</v>
      </c>
      <c r="I10576" s="16" t="n">
        <f aca="false">I10569*MIN(I10568-I10574+I10573,MAX(0,I10711-Assumptions!$C$12*I10527-I10537-I10550-I10563))</f>
        <v>0</v>
      </c>
      <c r="J10576" s="16" t="n">
        <f aca="false">J10569*MIN(J10568-J10574+J10573,MAX(0,J10711-Assumptions!$C$12*J10527-J10537-J10550-J10563))</f>
        <v>0</v>
      </c>
      <c r="K10576" s="16" t="n">
        <f aca="false">K10569*MIN(K10568-K10574+K10573,MAX(0,K10711-Assumptions!$C$12*K10527-K10537-K10550-K10563))</f>
        <v>0</v>
      </c>
    </row>
    <row r="10577" customFormat="false" ht="15" hidden="false" customHeight="false" outlineLevel="0" collapsed="false">
      <c r="A10577" s="3" t="s">
        <v>337</v>
      </c>
      <c r="G10577" s="16" t="n">
        <f aca="false">Assumptions!$N$60*MIN(G10568+G10575+G10573-G10574-G10576,MAX(0,G10715-G10538-G10551-G10564))</f>
        <v>0</v>
      </c>
      <c r="H10577" s="16" t="n">
        <f aca="false">Assumptions!$N$60*MIN(H10568+H10575+H10573-H10574-H10576,MAX(0,H10715-H10538-H10551-H10564))</f>
        <v>0</v>
      </c>
      <c r="I10577" s="16" t="n">
        <f aca="false">Assumptions!$N$60*MIN(I10568+I10575+I10573-I10574-I10576,MAX(0,I10715-I10538-I10551-I10564))</f>
        <v>0</v>
      </c>
      <c r="J10577" s="16" t="n">
        <f aca="false">Assumptions!$N$60*MIN(J10568+J10575+J10573-J10574-J10576,MAX(0,J10715-J10538-J10551-J10564))</f>
        <v>0</v>
      </c>
      <c r="K10577" s="16" t="n">
        <f aca="false">Assumptions!$N$60*MIN(K10568+K10575+K10573-K10574-K10576,MAX(0,K10715-K10538-K10551-K10564))</f>
        <v>0</v>
      </c>
    </row>
    <row r="10578" customFormat="false" ht="15" hidden="false" customHeight="false" outlineLevel="0" collapsed="false">
      <c r="A10578" s="3" t="s">
        <v>338</v>
      </c>
      <c r="G10578" s="16" t="n">
        <f aca="false">G10569*(1-G10527)*(G10568-G10574+G10573-G10576)</f>
        <v>0</v>
      </c>
      <c r="H10578" s="16" t="n">
        <f aca="false">H10569*(1-H10527)*(H10568-H10574+H10573-H10576)</f>
        <v>0</v>
      </c>
      <c r="I10578" s="16" t="n">
        <f aca="false">I10569*(1-I10527)*(I10568-I10574+I10573-I10576)</f>
        <v>0</v>
      </c>
      <c r="J10578" s="16" t="n">
        <f aca="false">J10569*(1-J10527)*(J10568-J10574+J10573-J10576)</f>
        <v>0</v>
      </c>
      <c r="K10578" s="16" t="n">
        <f aca="false">K10569*(1-K10527)*(K10568-K10574+K10573-K10576)</f>
        <v>0</v>
      </c>
    </row>
    <row r="10579" customFormat="false" ht="15" hidden="false" customHeight="false" outlineLevel="0" collapsed="false">
      <c r="A10579" s="2" t="s">
        <v>339</v>
      </c>
      <c r="F10579" s="28" t="n">
        <f aca="false">Assumptions!$C$60</f>
        <v>0</v>
      </c>
      <c r="G10579" s="17" t="n">
        <f aca="false">G10568+G10575+G10573-G10574-G10576-G10577</f>
        <v>0</v>
      </c>
      <c r="H10579" s="17" t="n">
        <f aca="false">H10568+H10575+H10573-H10574-H10576-H10577</f>
        <v>0</v>
      </c>
      <c r="I10579" s="17" t="n">
        <f aca="false">I10568+I10575+I10573-I10574-I10576-I10577</f>
        <v>0</v>
      </c>
      <c r="J10579" s="17" t="n">
        <f aca="false">J10568+J10575+J10573-J10574-J10576-J10577</f>
        <v>0</v>
      </c>
      <c r="K10579" s="17" t="n">
        <f aca="false">K10568+K10575+K10573-K10574-K10576-K10577</f>
        <v>0</v>
      </c>
    </row>
    <row r="10580" customFormat="false" ht="15" hidden="false" customHeight="false" outlineLevel="0" collapsed="false">
      <c r="A10580" s="24" t="s">
        <v>343</v>
      </c>
      <c r="B10580" s="25"/>
      <c r="C10580" s="25"/>
      <c r="D10580" s="25"/>
      <c r="E10580" s="25"/>
      <c r="F10580" s="25"/>
      <c r="G10580" s="25"/>
      <c r="H10580" s="25"/>
      <c r="I10580" s="25"/>
      <c r="J10580" s="25"/>
      <c r="K10580" s="25"/>
    </row>
    <row r="10581" customFormat="false" ht="15" hidden="false" customHeight="false" outlineLevel="0" collapsed="false">
      <c r="A10581" s="3" t="s">
        <v>329</v>
      </c>
      <c r="G10581" s="16" t="n">
        <f aca="false">F10592</f>
        <v>450</v>
      </c>
      <c r="H10581" s="16" t="n">
        <f aca="false">G10592</f>
        <v>450</v>
      </c>
      <c r="I10581" s="16" t="n">
        <f aca="false">H10592</f>
        <v>417.64412936</v>
      </c>
      <c r="J10581" s="16" t="n">
        <f aca="false">I10592</f>
        <v>417.64412936</v>
      </c>
      <c r="K10581" s="16" t="n">
        <f aca="false">J10592</f>
        <v>417.64412936</v>
      </c>
    </row>
    <row r="10582" customFormat="false" ht="15" hidden="false" customHeight="false" outlineLevel="0" collapsed="false">
      <c r="A10582" s="3" t="s">
        <v>330</v>
      </c>
      <c r="G10582" s="21" t="n">
        <f aca="false">IF(G10493=Assumptions!$K$61,1,0)</f>
        <v>0</v>
      </c>
      <c r="H10582" s="21" t="n">
        <f aca="false">IF(H10493=Assumptions!$K$61,1,0)</f>
        <v>1</v>
      </c>
      <c r="I10582" s="21" t="n">
        <f aca="false">IF(I10493=Assumptions!$K$61,1,0)</f>
        <v>0</v>
      </c>
      <c r="J10582" s="21" t="n">
        <f aca="false">IF(J10493=Assumptions!$K$61,1,0)</f>
        <v>0</v>
      </c>
      <c r="K10582" s="21" t="n">
        <f aca="false">IF(K10493=Assumptions!$K$61,1,0)</f>
        <v>0</v>
      </c>
    </row>
    <row r="10584" customFormat="false" ht="15" hidden="false" customHeight="false" outlineLevel="0" collapsed="false">
      <c r="A10584" s="3" t="s">
        <v>331</v>
      </c>
      <c r="G10584" s="31" t="n">
        <f aca="false">IF(Assumptions!$I$61=1,MAX(G10519,Assumptions!$G$61)+Assumptions!$F$61+$C$10520,Assumptions!$E$61)</f>
        <v>0.0395</v>
      </c>
      <c r="H10584" s="31" t="n">
        <f aca="false">IF(G10843=1,$C$10521,IF(Assumptions!$I$61=1,MAX(H10519,Assumptions!$G$61)+Assumptions!$F$61+$C$10520,Assumptions!$E$61))</f>
        <v>0.0395</v>
      </c>
      <c r="I10584" s="31" t="n">
        <f aca="false">IF(H10843=1,$C$10521,IF(Assumptions!$I$61=1,MAX(I10519,Assumptions!$G$61)+Assumptions!$F$61+$C$10520,Assumptions!$E$61))</f>
        <v>0.0395</v>
      </c>
      <c r="J10584" s="31" t="n">
        <f aca="false">IF(I10843=1,$C$10521,IF(Assumptions!$I$61=1,MAX(J10519,Assumptions!$G$61)+Assumptions!$F$61+$C$10520,Assumptions!$E$61))</f>
        <v>0.0395</v>
      </c>
      <c r="K10584" s="31" t="n">
        <f aca="false">IF(J10843=1,$C$10521,IF(Assumptions!$I$61=1,MAX(K10519,Assumptions!$G$61)+Assumptions!$F$61+$C$10520,Assumptions!$E$61))</f>
        <v>0.0395</v>
      </c>
    </row>
    <row r="10585" customFormat="false" ht="15" hidden="false" customHeight="false" outlineLevel="0" collapsed="false">
      <c r="A10585" s="3" t="s">
        <v>332</v>
      </c>
      <c r="G10585" s="16" t="n">
        <f aca="false">G10581*G10584</f>
        <v>17.775</v>
      </c>
      <c r="H10585" s="16" t="n">
        <f aca="false">H10581*H10584</f>
        <v>17.775</v>
      </c>
      <c r="I10585" s="16" t="n">
        <f aca="false">I10581*I10584</f>
        <v>16.49694310972</v>
      </c>
      <c r="J10585" s="16" t="n">
        <f aca="false">J10581*J10584</f>
        <v>16.49694310972</v>
      </c>
      <c r="K10585" s="16" t="n">
        <f aca="false">K10581*K10584</f>
        <v>16.49694310972</v>
      </c>
    </row>
    <row r="10586" customFormat="false" ht="15" hidden="false" customHeight="false" outlineLevel="0" collapsed="false">
      <c r="A10586" s="3" t="s">
        <v>333</v>
      </c>
      <c r="G10586" s="16" t="n">
        <f aca="false">G10581*Assumptions!$H$61</f>
        <v>0</v>
      </c>
      <c r="H10586" s="16" t="n">
        <f aca="false">H10581*Assumptions!$H$61</f>
        <v>0</v>
      </c>
      <c r="I10586" s="16" t="n">
        <f aca="false">I10581*Assumptions!$H$61</f>
        <v>0</v>
      </c>
      <c r="J10586" s="16" t="n">
        <f aca="false">J10581*Assumptions!$H$61</f>
        <v>0</v>
      </c>
      <c r="K10586" s="16" t="n">
        <f aca="false">K10581*Assumptions!$H$61</f>
        <v>0</v>
      </c>
    </row>
    <row r="10587" customFormat="false" ht="15" hidden="false" customHeight="false" outlineLevel="0" collapsed="false">
      <c r="A10587" s="3" t="s">
        <v>334</v>
      </c>
      <c r="G10587" s="16" t="n">
        <f aca="false">MIN(G10581,Assumptions!$L$61*Assumptions!$C$61)</f>
        <v>0</v>
      </c>
      <c r="H10587" s="16" t="n">
        <f aca="false">MIN(H10581,Assumptions!$L$61*Assumptions!$C$61)</f>
        <v>0</v>
      </c>
      <c r="I10587" s="16" t="n">
        <f aca="false">MIN(I10581,Assumptions!$L$61*Assumptions!$C$61)</f>
        <v>0</v>
      </c>
      <c r="J10587" s="16" t="n">
        <f aca="false">MIN(J10581,Assumptions!$L$61*Assumptions!$C$61)</f>
        <v>0</v>
      </c>
      <c r="K10587" s="16" t="n">
        <f aca="false">MIN(K10581,Assumptions!$L$61*Assumptions!$C$61)</f>
        <v>0</v>
      </c>
    </row>
    <row r="10588" customFormat="false" ht="15" hidden="false" customHeight="false" outlineLevel="0" collapsed="false">
      <c r="A10588" s="3" t="s">
        <v>335</v>
      </c>
      <c r="G10588" s="16" t="n">
        <f aca="false">IF(AND(Assumptions!$P$61=1,G10493&lt;Assumptions!$K$61),MIN(MAX(0,-G10709),MAX(0,Assumptions!$D$61-G10581)),0)</f>
        <v>0</v>
      </c>
      <c r="H10588" s="16" t="n">
        <f aca="false">IF(AND(Assumptions!$P$61=1,OR(H10493&lt;Assumptions!$K$61,G10843=1)),MIN(MAX(0,-H10709),MAX(0,Assumptions!$D$61-H10581)),0)</f>
        <v>0</v>
      </c>
      <c r="I10588" s="16" t="n">
        <f aca="false">IF(AND(Assumptions!$P$61=1,OR(I10493&lt;Assumptions!$K$61,H10843=1)),MIN(MAX(0,-I10709),MAX(0,Assumptions!$D$61-I10581)),0)</f>
        <v>0</v>
      </c>
      <c r="J10588" s="16" t="n">
        <f aca="false">IF(AND(Assumptions!$P$61=1,OR(J10493&lt;Assumptions!$K$61,I10843=1)),MIN(MAX(0,-J10709),MAX(0,Assumptions!$D$61-J10581)),0)</f>
        <v>0</v>
      </c>
      <c r="K10588" s="16" t="n">
        <f aca="false">IF(AND(Assumptions!$P$61=1,OR(K10493&lt;Assumptions!$K$61,J10843=1)),MIN(MAX(0,-K10709),MAX(0,Assumptions!$D$61-K10581)),0)</f>
        <v>0</v>
      </c>
    </row>
    <row r="10589" customFormat="false" ht="15" hidden="false" customHeight="false" outlineLevel="0" collapsed="false">
      <c r="A10589" s="3" t="s">
        <v>336</v>
      </c>
      <c r="G10589" s="16" t="n">
        <f aca="false">G10582*MIN(G10581-G10587+G10586,MAX(0,G10711-Assumptions!$C$12*G10527-G10537-G10550-G10563-G10576))</f>
        <v>0</v>
      </c>
      <c r="H10589" s="16" t="n">
        <f aca="false">H10582*MIN(H10581-H10587+H10586,MAX(0,H10711-Assumptions!$C$12*H10527-H10537-H10550-H10563-H10576))</f>
        <v>32.3558706400001</v>
      </c>
      <c r="I10589" s="16" t="n">
        <f aca="false">I10582*MIN(I10581-I10587+I10586,MAX(0,I10711-Assumptions!$C$12*I10527-I10537-I10550-I10563-I10576))</f>
        <v>0</v>
      </c>
      <c r="J10589" s="16" t="n">
        <f aca="false">J10582*MIN(J10581-J10587+J10586,MAX(0,J10711-Assumptions!$C$12*J10527-J10537-J10550-J10563-J10576))</f>
        <v>0</v>
      </c>
      <c r="K10589" s="16" t="n">
        <f aca="false">K10582*MIN(K10581-K10587+K10586,MAX(0,K10711-Assumptions!$C$12*K10527-K10537-K10550-K10563-K10576))</f>
        <v>0</v>
      </c>
    </row>
    <row r="10590" customFormat="false" ht="15" hidden="false" customHeight="false" outlineLevel="0" collapsed="false">
      <c r="A10590" s="3" t="s">
        <v>337</v>
      </c>
      <c r="G10590" s="16" t="n">
        <f aca="false">Assumptions!$N$61*MIN(G10581+G10588+G10586-G10587-G10589,MAX(0,G10715-G10538-G10551-G10564-G10577))</f>
        <v>0</v>
      </c>
      <c r="H10590" s="16" t="n">
        <f aca="false">Assumptions!$N$61*MIN(H10581+H10588+H10586-H10587-H10589,MAX(0,H10715-H10538-H10551-H10564-H10577))</f>
        <v>0</v>
      </c>
      <c r="I10590" s="16" t="n">
        <f aca="false">Assumptions!$N$61*MIN(I10581+I10588+I10586-I10587-I10589,MAX(0,I10715-I10538-I10551-I10564-I10577))</f>
        <v>0</v>
      </c>
      <c r="J10590" s="16" t="n">
        <f aca="false">Assumptions!$N$61*MIN(J10581+J10588+J10586-J10587-J10589,MAX(0,J10715-J10538-J10551-J10564-J10577))</f>
        <v>0</v>
      </c>
      <c r="K10590" s="16" t="n">
        <f aca="false">Assumptions!$N$61*MIN(K10581+K10588+K10586-K10587-K10589,MAX(0,K10715-K10538-K10551-K10564-K10577))</f>
        <v>0</v>
      </c>
    </row>
    <row r="10591" customFormat="false" ht="15" hidden="false" customHeight="false" outlineLevel="0" collapsed="false">
      <c r="A10591" s="3" t="s">
        <v>338</v>
      </c>
      <c r="G10591" s="16" t="n">
        <f aca="false">G10582*(1-G10527)*(G10581-G10587+G10586-G10589)</f>
        <v>0</v>
      </c>
      <c r="H10591" s="16" t="n">
        <f aca="false">H10582*(1-H10527)*(H10581-H10587+H10586-H10589)</f>
        <v>417.64412936</v>
      </c>
      <c r="I10591" s="16" t="n">
        <f aca="false">I10582*(1-I10527)*(I10581-I10587+I10586-I10589)</f>
        <v>0</v>
      </c>
      <c r="J10591" s="16" t="n">
        <f aca="false">J10582*(1-J10527)*(J10581-J10587+J10586-J10589)</f>
        <v>0</v>
      </c>
      <c r="K10591" s="16" t="n">
        <f aca="false">K10582*(1-K10527)*(K10581-K10587+K10586-K10589)</f>
        <v>0</v>
      </c>
    </row>
    <row r="10592" customFormat="false" ht="15" hidden="false" customHeight="false" outlineLevel="0" collapsed="false">
      <c r="A10592" s="2" t="s">
        <v>339</v>
      </c>
      <c r="F10592" s="28" t="n">
        <f aca="false">Assumptions!$C$61</f>
        <v>450</v>
      </c>
      <c r="G10592" s="17" t="n">
        <f aca="false">G10581+G10588+G10586-G10587-G10589-G10590</f>
        <v>450</v>
      </c>
      <c r="H10592" s="17" t="n">
        <f aca="false">H10581+H10588+H10586-H10587-H10589-H10590</f>
        <v>417.64412936</v>
      </c>
      <c r="I10592" s="17" t="n">
        <f aca="false">I10581+I10588+I10586-I10587-I10589-I10590</f>
        <v>417.64412936</v>
      </c>
      <c r="J10592" s="17" t="n">
        <f aca="false">J10581+J10588+J10586-J10587-J10589-J10590</f>
        <v>417.64412936</v>
      </c>
      <c r="K10592" s="17" t="n">
        <f aca="false">K10581+K10588+K10586-K10587-K10589-K10590</f>
        <v>417.64412936</v>
      </c>
    </row>
    <row r="10593" customFormat="false" ht="15" hidden="false" customHeight="false" outlineLevel="0" collapsed="false">
      <c r="A10593" s="24" t="s">
        <v>344</v>
      </c>
      <c r="B10593" s="25"/>
      <c r="C10593" s="25"/>
      <c r="D10593" s="25"/>
      <c r="E10593" s="25"/>
      <c r="F10593" s="25"/>
      <c r="G10593" s="25"/>
      <c r="H10593" s="25"/>
      <c r="I10593" s="25"/>
      <c r="J10593" s="25"/>
      <c r="K10593" s="25"/>
    </row>
    <row r="10594" customFormat="false" ht="15" hidden="false" customHeight="false" outlineLevel="0" collapsed="false">
      <c r="A10594" s="3" t="s">
        <v>329</v>
      </c>
      <c r="G10594" s="16" t="n">
        <f aca="false">F10605</f>
        <v>350</v>
      </c>
      <c r="H10594" s="16" t="n">
        <f aca="false">G10605</f>
        <v>350</v>
      </c>
      <c r="I10594" s="16" t="n">
        <f aca="false">H10605</f>
        <v>350</v>
      </c>
      <c r="J10594" s="16" t="n">
        <f aca="false">I10605</f>
        <v>350</v>
      </c>
      <c r="K10594" s="16" t="n">
        <f aca="false">J10605</f>
        <v>350</v>
      </c>
    </row>
    <row r="10595" customFormat="false" ht="15" hidden="false" customHeight="false" outlineLevel="0" collapsed="false">
      <c r="A10595" s="3" t="s">
        <v>330</v>
      </c>
      <c r="G10595" s="21" t="n">
        <f aca="false">IF(G10493=Assumptions!$K$62,1,0)</f>
        <v>0</v>
      </c>
      <c r="H10595" s="21" t="n">
        <f aca="false">IF(H10493=Assumptions!$K$62,1,0)</f>
        <v>1</v>
      </c>
      <c r="I10595" s="21" t="n">
        <f aca="false">IF(I10493=Assumptions!$K$62,1,0)</f>
        <v>0</v>
      </c>
      <c r="J10595" s="21" t="n">
        <f aca="false">IF(J10493=Assumptions!$K$62,1,0)</f>
        <v>0</v>
      </c>
      <c r="K10595" s="21" t="n">
        <f aca="false">IF(K10493=Assumptions!$K$62,1,0)</f>
        <v>0</v>
      </c>
    </row>
    <row r="10597" customFormat="false" ht="15" hidden="false" customHeight="false" outlineLevel="0" collapsed="false">
      <c r="A10597" s="3" t="s">
        <v>331</v>
      </c>
      <c r="G10597" s="31" t="n">
        <f aca="false">IF(Assumptions!$I$62=1,MAX(G10519,Assumptions!$G$62)+Assumptions!$F$62+$C$10520,Assumptions!$E$62)</f>
        <v>0.083</v>
      </c>
      <c r="H10597" s="31" t="n">
        <f aca="false">IF(G10844=1,$C$10521,IF(Assumptions!$I$62=1,MAX(H10519,Assumptions!$G$62)+Assumptions!$F$62+$C$10520,Assumptions!$E$62))</f>
        <v>0.083</v>
      </c>
      <c r="I10597" s="31" t="n">
        <f aca="false">IF(H10844=1,$C$10521,IF(Assumptions!$I$62=1,MAX(I10519,Assumptions!$G$62)+Assumptions!$F$62+$C$10520,Assumptions!$E$62))</f>
        <v>0.083</v>
      </c>
      <c r="J10597" s="31" t="n">
        <f aca="false">IF(I10844=1,$C$10521,IF(Assumptions!$I$62=1,MAX(J10519,Assumptions!$G$62)+Assumptions!$F$62+$C$10520,Assumptions!$E$62))</f>
        <v>0.083</v>
      </c>
      <c r="K10597" s="31" t="n">
        <f aca="false">IF(J10844=1,$C$10521,IF(Assumptions!$I$62=1,MAX(K10519,Assumptions!$G$62)+Assumptions!$F$62+$C$10520,Assumptions!$E$62))</f>
        <v>0.083</v>
      </c>
    </row>
    <row r="10598" customFormat="false" ht="15" hidden="false" customHeight="false" outlineLevel="0" collapsed="false">
      <c r="A10598" s="3" t="s">
        <v>332</v>
      </c>
      <c r="G10598" s="16" t="n">
        <f aca="false">G10594*G10597</f>
        <v>29.05</v>
      </c>
      <c r="H10598" s="16" t="n">
        <f aca="false">H10594*H10597</f>
        <v>29.05</v>
      </c>
      <c r="I10598" s="16" t="n">
        <f aca="false">I10594*I10597</f>
        <v>29.05</v>
      </c>
      <c r="J10598" s="16" t="n">
        <f aca="false">J10594*J10597</f>
        <v>29.05</v>
      </c>
      <c r="K10598" s="16" t="n">
        <f aca="false">K10594*K10597</f>
        <v>29.05</v>
      </c>
    </row>
    <row r="10599" customFormat="false" ht="15" hidden="false" customHeight="false" outlineLevel="0" collapsed="false">
      <c r="A10599" s="3" t="s">
        <v>333</v>
      </c>
      <c r="G10599" s="16" t="n">
        <f aca="false">G10594*Assumptions!$H$62</f>
        <v>0</v>
      </c>
      <c r="H10599" s="16" t="n">
        <f aca="false">H10594*Assumptions!$H$62</f>
        <v>0</v>
      </c>
      <c r="I10599" s="16" t="n">
        <f aca="false">I10594*Assumptions!$H$62</f>
        <v>0</v>
      </c>
      <c r="J10599" s="16" t="n">
        <f aca="false">J10594*Assumptions!$H$62</f>
        <v>0</v>
      </c>
      <c r="K10599" s="16" t="n">
        <f aca="false">K10594*Assumptions!$H$62</f>
        <v>0</v>
      </c>
    </row>
    <row r="10600" customFormat="false" ht="15" hidden="false" customHeight="false" outlineLevel="0" collapsed="false">
      <c r="A10600" s="3" t="s">
        <v>334</v>
      </c>
      <c r="G10600" s="16" t="n">
        <f aca="false">MIN(G10594,Assumptions!$L$62*Assumptions!$C$62)</f>
        <v>0</v>
      </c>
      <c r="H10600" s="16" t="n">
        <f aca="false">MIN(H10594,Assumptions!$L$62*Assumptions!$C$62)</f>
        <v>0</v>
      </c>
      <c r="I10600" s="16" t="n">
        <f aca="false">MIN(I10594,Assumptions!$L$62*Assumptions!$C$62)</f>
        <v>0</v>
      </c>
      <c r="J10600" s="16" t="n">
        <f aca="false">MIN(J10594,Assumptions!$L$62*Assumptions!$C$62)</f>
        <v>0</v>
      </c>
      <c r="K10600" s="16" t="n">
        <f aca="false">MIN(K10594,Assumptions!$L$62*Assumptions!$C$62)</f>
        <v>0</v>
      </c>
    </row>
    <row r="10601" customFormat="false" ht="15" hidden="false" customHeight="false" outlineLevel="0" collapsed="false">
      <c r="A10601" s="3" t="s">
        <v>335</v>
      </c>
      <c r="G10601" s="16" t="n">
        <f aca="false">IF(AND(Assumptions!$P$62=1,G10493&lt;Assumptions!$K$62),MIN(MAX(0,-G10709),MAX(0,Assumptions!$D$62-G10594)),0)</f>
        <v>0</v>
      </c>
      <c r="H10601" s="16" t="n">
        <f aca="false">IF(AND(Assumptions!$P$62=1,OR(H10493&lt;Assumptions!$K$62,G10844=1)),MIN(MAX(0,-H10709),MAX(0,Assumptions!$D$62-H10594)),0)</f>
        <v>0</v>
      </c>
      <c r="I10601" s="16" t="n">
        <f aca="false">IF(AND(Assumptions!$P$62=1,OR(I10493&lt;Assumptions!$K$62,H10844=1)),MIN(MAX(0,-I10709),MAX(0,Assumptions!$D$62-I10594)),0)</f>
        <v>0</v>
      </c>
      <c r="J10601" s="16" t="n">
        <f aca="false">IF(AND(Assumptions!$P$62=1,OR(J10493&lt;Assumptions!$K$62,I10844=1)),MIN(MAX(0,-J10709),MAX(0,Assumptions!$D$62-J10594)),0)</f>
        <v>0</v>
      </c>
      <c r="K10601" s="16" t="n">
        <f aca="false">IF(AND(Assumptions!$P$62=1,OR(K10493&lt;Assumptions!$K$62,J10844=1)),MIN(MAX(0,-K10709),MAX(0,Assumptions!$D$62-K10594)),0)</f>
        <v>0</v>
      </c>
    </row>
    <row r="10602" customFormat="false" ht="15" hidden="false" customHeight="false" outlineLevel="0" collapsed="false">
      <c r="A10602" s="3" t="s">
        <v>336</v>
      </c>
      <c r="G10602" s="16" t="n">
        <f aca="false">G10595*MIN(G10594-G10600+G10599,MAX(0,G10711-Assumptions!$C$12*G10527-G10537-G10550-G10563-G10576-G10589))</f>
        <v>0</v>
      </c>
      <c r="H10602" s="16" t="n">
        <f aca="false">H10595*MIN(H10594-H10600+H10599,MAX(0,H10711-Assumptions!$C$12*H10527-H10537-H10550-H10563-H10576-H10589))</f>
        <v>0</v>
      </c>
      <c r="I10602" s="16" t="n">
        <f aca="false">I10595*MIN(I10594-I10600+I10599,MAX(0,I10711-Assumptions!$C$12*I10527-I10537-I10550-I10563-I10576-I10589))</f>
        <v>0</v>
      </c>
      <c r="J10602" s="16" t="n">
        <f aca="false">J10595*MIN(J10594-J10600+J10599,MAX(0,J10711-Assumptions!$C$12*J10527-J10537-J10550-J10563-J10576-J10589))</f>
        <v>0</v>
      </c>
      <c r="K10602" s="16" t="n">
        <f aca="false">K10595*MIN(K10594-K10600+K10599,MAX(0,K10711-Assumptions!$C$12*K10527-K10537-K10550-K10563-K10576-K10589))</f>
        <v>0</v>
      </c>
    </row>
    <row r="10603" customFormat="false" ht="15" hidden="false" customHeight="false" outlineLevel="0" collapsed="false">
      <c r="A10603" s="3" t="s">
        <v>337</v>
      </c>
      <c r="G10603" s="16" t="n">
        <f aca="false">Assumptions!$N$62*MIN(G10594+G10601+G10599-G10600-G10602,MAX(0,G10715-G10538-G10551-G10564-G10577-G10590))</f>
        <v>0</v>
      </c>
      <c r="H10603" s="16" t="n">
        <f aca="false">Assumptions!$N$62*MIN(H10594+H10601+H10599-H10600-H10602,MAX(0,H10715-H10538-H10551-H10564-H10577-H10590))</f>
        <v>0</v>
      </c>
      <c r="I10603" s="16" t="n">
        <f aca="false">Assumptions!$N$62*MIN(I10594+I10601+I10599-I10600-I10602,MAX(0,I10715-I10538-I10551-I10564-I10577-I10590))</f>
        <v>0</v>
      </c>
      <c r="J10603" s="16" t="n">
        <f aca="false">Assumptions!$N$62*MIN(J10594+J10601+J10599-J10600-J10602,MAX(0,J10715-J10538-J10551-J10564-J10577-J10590))</f>
        <v>0</v>
      </c>
      <c r="K10603" s="16" t="n">
        <f aca="false">Assumptions!$N$62*MIN(K10594+K10601+K10599-K10600-K10602,MAX(0,K10715-K10538-K10551-K10564-K10577-K10590))</f>
        <v>0</v>
      </c>
    </row>
    <row r="10604" customFormat="false" ht="15" hidden="false" customHeight="false" outlineLevel="0" collapsed="false">
      <c r="A10604" s="3" t="s">
        <v>338</v>
      </c>
      <c r="G10604" s="16" t="n">
        <f aca="false">G10595*(1-G10527)*(G10594-G10600+G10599-G10602)</f>
        <v>0</v>
      </c>
      <c r="H10604" s="16" t="n">
        <f aca="false">H10595*(1-H10527)*(H10594-H10600+H10599-H10602)</f>
        <v>350</v>
      </c>
      <c r="I10604" s="16" t="n">
        <f aca="false">I10595*(1-I10527)*(I10594-I10600+I10599-I10602)</f>
        <v>0</v>
      </c>
      <c r="J10604" s="16" t="n">
        <f aca="false">J10595*(1-J10527)*(J10594-J10600+J10599-J10602)</f>
        <v>0</v>
      </c>
      <c r="K10604" s="16" t="n">
        <f aca="false">K10595*(1-K10527)*(K10594-K10600+K10599-K10602)</f>
        <v>0</v>
      </c>
    </row>
    <row r="10605" customFormat="false" ht="15" hidden="false" customHeight="false" outlineLevel="0" collapsed="false">
      <c r="A10605" s="2" t="s">
        <v>339</v>
      </c>
      <c r="F10605" s="28" t="n">
        <f aca="false">Assumptions!$C$62</f>
        <v>350</v>
      </c>
      <c r="G10605" s="17" t="n">
        <f aca="false">G10594+G10601+G10599-G10600-G10602-G10603</f>
        <v>350</v>
      </c>
      <c r="H10605" s="17" t="n">
        <f aca="false">H10594+H10601+H10599-H10600-H10602-H10603</f>
        <v>350</v>
      </c>
      <c r="I10605" s="17" t="n">
        <f aca="false">I10594+I10601+I10599-I10600-I10602-I10603</f>
        <v>350</v>
      </c>
      <c r="J10605" s="17" t="n">
        <f aca="false">J10594+J10601+J10599-J10600-J10602-J10603</f>
        <v>350</v>
      </c>
      <c r="K10605" s="17" t="n">
        <f aca="false">K10594+K10601+K10599-K10600-K10602-K10603</f>
        <v>350</v>
      </c>
    </row>
    <row r="10606" customFormat="false" ht="15" hidden="false" customHeight="false" outlineLevel="0" collapsed="false">
      <c r="A10606" s="24" t="s">
        <v>345</v>
      </c>
      <c r="B10606" s="25"/>
      <c r="C10606" s="25"/>
      <c r="D10606" s="25"/>
      <c r="E10606" s="25"/>
      <c r="F10606" s="25"/>
      <c r="G10606" s="25"/>
      <c r="H10606" s="25"/>
      <c r="I10606" s="25"/>
      <c r="J10606" s="25"/>
      <c r="K10606" s="25"/>
    </row>
    <row r="10607" customFormat="false" ht="15" hidden="false" customHeight="false" outlineLevel="0" collapsed="false">
      <c r="A10607" s="3" t="s">
        <v>329</v>
      </c>
      <c r="G10607" s="16" t="n">
        <f aca="false">F10618</f>
        <v>550</v>
      </c>
      <c r="H10607" s="16" t="n">
        <f aca="false">G10618</f>
        <v>550</v>
      </c>
      <c r="I10607" s="16" t="n">
        <f aca="false">H10618</f>
        <v>550</v>
      </c>
      <c r="J10607" s="16" t="n">
        <f aca="false">I10618</f>
        <v>550</v>
      </c>
      <c r="K10607" s="16" t="n">
        <f aca="false">J10618</f>
        <v>550</v>
      </c>
    </row>
    <row r="10608" customFormat="false" ht="15" hidden="false" customHeight="false" outlineLevel="0" collapsed="false">
      <c r="A10608" s="3" t="s">
        <v>330</v>
      </c>
      <c r="G10608" s="21" t="n">
        <f aca="false">IF(G10493=Assumptions!$K$63,1,0)</f>
        <v>0</v>
      </c>
      <c r="H10608" s="21" t="n">
        <f aca="false">IF(H10493=Assumptions!$K$63,1,0)</f>
        <v>0</v>
      </c>
      <c r="I10608" s="21" t="n">
        <f aca="false">IF(I10493=Assumptions!$K$63,1,0)</f>
        <v>1</v>
      </c>
      <c r="J10608" s="21" t="n">
        <f aca="false">IF(J10493=Assumptions!$K$63,1,0)</f>
        <v>0</v>
      </c>
      <c r="K10608" s="21" t="n">
        <f aca="false">IF(K10493=Assumptions!$K$63,1,0)</f>
        <v>0</v>
      </c>
    </row>
    <row r="10610" customFormat="false" ht="15" hidden="false" customHeight="false" outlineLevel="0" collapsed="false">
      <c r="A10610" s="3" t="s">
        <v>331</v>
      </c>
      <c r="G10610" s="31" t="n">
        <f aca="false">IF(Assumptions!$I$63=1,MAX(G10519,Assumptions!$G$63)+Assumptions!$F$63+$C$10520,Assumptions!$E$63)</f>
        <v>0.08875</v>
      </c>
      <c r="H10610" s="31" t="n">
        <f aca="false">IF(G10845=1,$C$10521,IF(Assumptions!$I$63=1,MAX(H10519,Assumptions!$G$63)+Assumptions!$F$63+$C$10520,Assumptions!$E$63))</f>
        <v>0.08875</v>
      </c>
      <c r="I10610" s="31" t="n">
        <f aca="false">IF(H10845=1,$C$10521,IF(Assumptions!$I$63=1,MAX(I10519,Assumptions!$G$63)+Assumptions!$F$63+$C$10520,Assumptions!$E$63))</f>
        <v>0.08875</v>
      </c>
      <c r="J10610" s="31" t="n">
        <f aca="false">IF(I10845=1,$C$10521,IF(Assumptions!$I$63=1,MAX(J10519,Assumptions!$G$63)+Assumptions!$F$63+$C$10520,Assumptions!$E$63))</f>
        <v>0.08875</v>
      </c>
      <c r="K10610" s="31" t="n">
        <f aca="false">IF(J10845=1,$C$10521,IF(Assumptions!$I$63=1,MAX(K10519,Assumptions!$G$63)+Assumptions!$F$63+$C$10520,Assumptions!$E$63))</f>
        <v>0.08875</v>
      </c>
    </row>
    <row r="10611" customFormat="false" ht="15" hidden="false" customHeight="false" outlineLevel="0" collapsed="false">
      <c r="A10611" s="3" t="s">
        <v>332</v>
      </c>
      <c r="G10611" s="16" t="n">
        <f aca="false">G10607*G10610</f>
        <v>48.8125</v>
      </c>
      <c r="H10611" s="16" t="n">
        <f aca="false">H10607*H10610</f>
        <v>48.8125</v>
      </c>
      <c r="I10611" s="16" t="n">
        <f aca="false">I10607*I10610</f>
        <v>48.8125</v>
      </c>
      <c r="J10611" s="16" t="n">
        <f aca="false">J10607*J10610</f>
        <v>48.8125</v>
      </c>
      <c r="K10611" s="16" t="n">
        <f aca="false">K10607*K10610</f>
        <v>48.8125</v>
      </c>
    </row>
    <row r="10612" customFormat="false" ht="15" hidden="false" customHeight="false" outlineLevel="0" collapsed="false">
      <c r="A10612" s="3" t="s">
        <v>333</v>
      </c>
      <c r="G10612" s="16" t="n">
        <f aca="false">G10607*Assumptions!$H$63</f>
        <v>0</v>
      </c>
      <c r="H10612" s="16" t="n">
        <f aca="false">H10607*Assumptions!$H$63</f>
        <v>0</v>
      </c>
      <c r="I10612" s="16" t="n">
        <f aca="false">I10607*Assumptions!$H$63</f>
        <v>0</v>
      </c>
      <c r="J10612" s="16" t="n">
        <f aca="false">J10607*Assumptions!$H$63</f>
        <v>0</v>
      </c>
      <c r="K10612" s="16" t="n">
        <f aca="false">K10607*Assumptions!$H$63</f>
        <v>0</v>
      </c>
    </row>
    <row r="10613" customFormat="false" ht="15" hidden="false" customHeight="false" outlineLevel="0" collapsed="false">
      <c r="A10613" s="3" t="s">
        <v>334</v>
      </c>
      <c r="G10613" s="16" t="n">
        <f aca="false">MIN(G10607,Assumptions!$L$63*Assumptions!$C$63)</f>
        <v>0</v>
      </c>
      <c r="H10613" s="16" t="n">
        <f aca="false">MIN(H10607,Assumptions!$L$63*Assumptions!$C$63)</f>
        <v>0</v>
      </c>
      <c r="I10613" s="16" t="n">
        <f aca="false">MIN(I10607,Assumptions!$L$63*Assumptions!$C$63)</f>
        <v>0</v>
      </c>
      <c r="J10613" s="16" t="n">
        <f aca="false">MIN(J10607,Assumptions!$L$63*Assumptions!$C$63)</f>
        <v>0</v>
      </c>
      <c r="K10613" s="16" t="n">
        <f aca="false">MIN(K10607,Assumptions!$L$63*Assumptions!$C$63)</f>
        <v>0</v>
      </c>
    </row>
    <row r="10614" customFormat="false" ht="15" hidden="false" customHeight="false" outlineLevel="0" collapsed="false">
      <c r="A10614" s="3" t="s">
        <v>335</v>
      </c>
      <c r="G10614" s="16" t="n">
        <f aca="false">IF(AND(Assumptions!$P$63=1,G10493&lt;Assumptions!$K$63),MIN(MAX(0,-G10709),MAX(0,Assumptions!$D$63-G10607)),0)</f>
        <v>0</v>
      </c>
      <c r="H10614" s="16" t="n">
        <f aca="false">IF(AND(Assumptions!$P$63=1,OR(H10493&lt;Assumptions!$K$63,G10845=1)),MIN(MAX(0,-H10709),MAX(0,Assumptions!$D$63-H10607)),0)</f>
        <v>0</v>
      </c>
      <c r="I10614" s="16" t="n">
        <f aca="false">IF(AND(Assumptions!$P$63=1,OR(I10493&lt;Assumptions!$K$63,H10845=1)),MIN(MAX(0,-I10709),MAX(0,Assumptions!$D$63-I10607)),0)</f>
        <v>0</v>
      </c>
      <c r="J10614" s="16" t="n">
        <f aca="false">IF(AND(Assumptions!$P$63=1,OR(J10493&lt;Assumptions!$K$63,I10845=1)),MIN(MAX(0,-J10709),MAX(0,Assumptions!$D$63-J10607)),0)</f>
        <v>0</v>
      </c>
      <c r="K10614" s="16" t="n">
        <f aca="false">IF(AND(Assumptions!$P$63=1,OR(K10493&lt;Assumptions!$K$63,J10845=1)),MIN(MAX(0,-K10709),MAX(0,Assumptions!$D$63-K10607)),0)</f>
        <v>0</v>
      </c>
    </row>
    <row r="10615" customFormat="false" ht="15" hidden="false" customHeight="false" outlineLevel="0" collapsed="false">
      <c r="A10615" s="3" t="s">
        <v>336</v>
      </c>
      <c r="G10615" s="16" t="n">
        <f aca="false">G10608*MIN(G10607-G10613+G10612,MAX(0,G10711-Assumptions!$C$12*G10527-G10537-G10550-G10563-G10576-G10589-G10602))</f>
        <v>0</v>
      </c>
      <c r="H10615" s="16" t="n">
        <f aca="false">H10608*MIN(H10607-H10613+H10612,MAX(0,H10711-Assumptions!$C$12*H10527-H10537-H10550-H10563-H10576-H10589-H10602))</f>
        <v>0</v>
      </c>
      <c r="I10615" s="16" t="n">
        <f aca="false">I10608*MIN(I10607-I10613+I10612,MAX(0,I10711-Assumptions!$C$12*I10527-I10537-I10550-I10563-I10576-I10589-I10602))</f>
        <v>0</v>
      </c>
      <c r="J10615" s="16" t="n">
        <f aca="false">J10608*MIN(J10607-J10613+J10612,MAX(0,J10711-Assumptions!$C$12*J10527-J10537-J10550-J10563-J10576-J10589-J10602))</f>
        <v>0</v>
      </c>
      <c r="K10615" s="16" t="n">
        <f aca="false">K10608*MIN(K10607-K10613+K10612,MAX(0,K10711-Assumptions!$C$12*K10527-K10537-K10550-K10563-K10576-K10589-K10602))</f>
        <v>0</v>
      </c>
    </row>
    <row r="10616" customFormat="false" ht="15" hidden="false" customHeight="false" outlineLevel="0" collapsed="false">
      <c r="A10616" s="3" t="s">
        <v>337</v>
      </c>
      <c r="G10616" s="16" t="n">
        <f aca="false">Assumptions!$N$63*MIN(G10607+G10614+G10612-G10613-G10615,MAX(0,G10715-G10538-G10551-G10564-G10577-G10590-G10603))</f>
        <v>0</v>
      </c>
      <c r="H10616" s="16" t="n">
        <f aca="false">Assumptions!$N$63*MIN(H10607+H10614+H10612-H10613-H10615,MAX(0,H10715-H10538-H10551-H10564-H10577-H10590-H10603))</f>
        <v>0</v>
      </c>
      <c r="I10616" s="16" t="n">
        <f aca="false">Assumptions!$N$63*MIN(I10607+I10614+I10612-I10613-I10615,MAX(0,I10715-I10538-I10551-I10564-I10577-I10590-I10603))</f>
        <v>0</v>
      </c>
      <c r="J10616" s="16" t="n">
        <f aca="false">Assumptions!$N$63*MIN(J10607+J10614+J10612-J10613-J10615,MAX(0,J10715-J10538-J10551-J10564-J10577-J10590-J10603))</f>
        <v>0</v>
      </c>
      <c r="K10616" s="16" t="n">
        <f aca="false">Assumptions!$N$63*MIN(K10607+K10614+K10612-K10613-K10615,MAX(0,K10715-K10538-K10551-K10564-K10577-K10590-K10603))</f>
        <v>0</v>
      </c>
    </row>
    <row r="10617" customFormat="false" ht="15" hidden="false" customHeight="false" outlineLevel="0" collapsed="false">
      <c r="A10617" s="3" t="s">
        <v>338</v>
      </c>
      <c r="G10617" s="16" t="n">
        <f aca="false">G10608*(1-G10527)*(G10607-G10613+G10612-G10615)</f>
        <v>0</v>
      </c>
      <c r="H10617" s="16" t="n">
        <f aca="false">H10608*(1-H10527)*(H10607-H10613+H10612-H10615)</f>
        <v>0</v>
      </c>
      <c r="I10617" s="16" t="n">
        <f aca="false">I10608*(1-I10527)*(I10607-I10613+I10612-I10615)</f>
        <v>550</v>
      </c>
      <c r="J10617" s="16" t="n">
        <f aca="false">J10608*(1-J10527)*(J10607-J10613+J10612-J10615)</f>
        <v>0</v>
      </c>
      <c r="K10617" s="16" t="n">
        <f aca="false">K10608*(1-K10527)*(K10607-K10613+K10612-K10615)</f>
        <v>0</v>
      </c>
    </row>
    <row r="10618" customFormat="false" ht="15" hidden="false" customHeight="false" outlineLevel="0" collapsed="false">
      <c r="A10618" s="2" t="s">
        <v>339</v>
      </c>
      <c r="F10618" s="28" t="n">
        <f aca="false">Assumptions!$C$63</f>
        <v>550</v>
      </c>
      <c r="G10618" s="17" t="n">
        <f aca="false">G10607+G10614+G10612-G10613-G10615-G10616</f>
        <v>550</v>
      </c>
      <c r="H10618" s="17" t="n">
        <f aca="false">H10607+H10614+H10612-H10613-H10615-H10616</f>
        <v>550</v>
      </c>
      <c r="I10618" s="17" t="n">
        <f aca="false">I10607+I10614+I10612-I10613-I10615-I10616</f>
        <v>550</v>
      </c>
      <c r="J10618" s="17" t="n">
        <f aca="false">J10607+J10614+J10612-J10613-J10615-J10616</f>
        <v>550</v>
      </c>
      <c r="K10618" s="17" t="n">
        <f aca="false">K10607+K10614+K10612-K10613-K10615-K10616</f>
        <v>550</v>
      </c>
    </row>
    <row r="10619" customFormat="false" ht="15" hidden="false" customHeight="false" outlineLevel="0" collapsed="false">
      <c r="A10619" s="24" t="s">
        <v>346</v>
      </c>
      <c r="B10619" s="25"/>
      <c r="C10619" s="25"/>
      <c r="D10619" s="25"/>
      <c r="E10619" s="25"/>
      <c r="F10619" s="25"/>
      <c r="G10619" s="25"/>
      <c r="H10619" s="25"/>
      <c r="I10619" s="25"/>
      <c r="J10619" s="25"/>
      <c r="K10619" s="25"/>
    </row>
    <row r="10620" customFormat="false" ht="15" hidden="false" customHeight="false" outlineLevel="0" collapsed="false">
      <c r="A10620" s="3" t="s">
        <v>329</v>
      </c>
      <c r="G10620" s="16" t="n">
        <f aca="false">F10631</f>
        <v>350</v>
      </c>
      <c r="H10620" s="16" t="n">
        <f aca="false">G10631</f>
        <v>350</v>
      </c>
      <c r="I10620" s="16" t="n">
        <f aca="false">H10631</f>
        <v>350</v>
      </c>
      <c r="J10620" s="16" t="n">
        <f aca="false">I10631</f>
        <v>350</v>
      </c>
      <c r="K10620" s="16" t="n">
        <f aca="false">J10631</f>
        <v>350</v>
      </c>
    </row>
    <row r="10621" customFormat="false" ht="15" hidden="false" customHeight="false" outlineLevel="0" collapsed="false">
      <c r="A10621" s="3" t="s">
        <v>330</v>
      </c>
      <c r="G10621" s="21" t="n">
        <f aca="false">IF(G10493=Assumptions!$K$64,1,0)</f>
        <v>0</v>
      </c>
      <c r="H10621" s="21" t="n">
        <f aca="false">IF(H10493=Assumptions!$K$64,1,0)</f>
        <v>0</v>
      </c>
      <c r="I10621" s="21" t="n">
        <f aca="false">IF(I10493=Assumptions!$K$64,1,0)</f>
        <v>0</v>
      </c>
      <c r="J10621" s="21" t="n">
        <f aca="false">IF(J10493=Assumptions!$K$64,1,0)</f>
        <v>1</v>
      </c>
      <c r="K10621" s="21" t="n">
        <f aca="false">IF(K10493=Assumptions!$K$64,1,0)</f>
        <v>0</v>
      </c>
    </row>
    <row r="10623" customFormat="false" ht="15" hidden="false" customHeight="false" outlineLevel="0" collapsed="false">
      <c r="A10623" s="3" t="s">
        <v>331</v>
      </c>
      <c r="G10623" s="31" t="n">
        <f aca="false">IF(Assumptions!$I$64=1,MAX(G10519,Assumptions!$G$64)+Assumptions!$F$64+$C$10520,Assumptions!$E$64)</f>
        <v>0.0455</v>
      </c>
      <c r="H10623" s="31" t="n">
        <f aca="false">IF(G10846=1,$C$10521,IF(Assumptions!$I$64=1,MAX(H10519,Assumptions!$G$64)+Assumptions!$F$64+$C$10520,Assumptions!$E$64))</f>
        <v>0.0455</v>
      </c>
      <c r="I10623" s="31" t="n">
        <f aca="false">IF(H10846=1,$C$10521,IF(Assumptions!$I$64=1,MAX(I10519,Assumptions!$G$64)+Assumptions!$F$64+$C$10520,Assumptions!$E$64))</f>
        <v>0.0455</v>
      </c>
      <c r="J10623" s="31" t="n">
        <f aca="false">IF(I10846=1,$C$10521,IF(Assumptions!$I$64=1,MAX(J10519,Assumptions!$G$64)+Assumptions!$F$64+$C$10520,Assumptions!$E$64))</f>
        <v>0.0455</v>
      </c>
      <c r="K10623" s="31" t="n">
        <f aca="false">IF(J10846=1,$C$10521,IF(Assumptions!$I$64=1,MAX(K10519,Assumptions!$G$64)+Assumptions!$F$64+$C$10520,Assumptions!$E$64))</f>
        <v>0.0455</v>
      </c>
    </row>
    <row r="10624" customFormat="false" ht="15" hidden="false" customHeight="false" outlineLevel="0" collapsed="false">
      <c r="A10624" s="3" t="s">
        <v>332</v>
      </c>
      <c r="G10624" s="16" t="n">
        <f aca="false">G10620*G10623</f>
        <v>15.925</v>
      </c>
      <c r="H10624" s="16" t="n">
        <f aca="false">H10620*H10623</f>
        <v>15.925</v>
      </c>
      <c r="I10624" s="16" t="n">
        <f aca="false">I10620*I10623</f>
        <v>15.925</v>
      </c>
      <c r="J10624" s="16" t="n">
        <f aca="false">J10620*J10623</f>
        <v>15.925</v>
      </c>
      <c r="K10624" s="16" t="n">
        <f aca="false">K10620*K10623</f>
        <v>15.925</v>
      </c>
    </row>
    <row r="10625" customFormat="false" ht="15" hidden="false" customHeight="false" outlineLevel="0" collapsed="false">
      <c r="A10625" s="3" t="s">
        <v>333</v>
      </c>
      <c r="G10625" s="16" t="n">
        <f aca="false">G10620*Assumptions!$H$64</f>
        <v>0</v>
      </c>
      <c r="H10625" s="16" t="n">
        <f aca="false">H10620*Assumptions!$H$64</f>
        <v>0</v>
      </c>
      <c r="I10625" s="16" t="n">
        <f aca="false">I10620*Assumptions!$H$64</f>
        <v>0</v>
      </c>
      <c r="J10625" s="16" t="n">
        <f aca="false">J10620*Assumptions!$H$64</f>
        <v>0</v>
      </c>
      <c r="K10625" s="16" t="n">
        <f aca="false">K10620*Assumptions!$H$64</f>
        <v>0</v>
      </c>
    </row>
    <row r="10626" customFormat="false" ht="15" hidden="false" customHeight="false" outlineLevel="0" collapsed="false">
      <c r="A10626" s="3" t="s">
        <v>334</v>
      </c>
      <c r="G10626" s="16" t="n">
        <f aca="false">MIN(G10620,Assumptions!$L$64*Assumptions!$C$64)</f>
        <v>0</v>
      </c>
      <c r="H10626" s="16" t="n">
        <f aca="false">MIN(H10620,Assumptions!$L$64*Assumptions!$C$64)</f>
        <v>0</v>
      </c>
      <c r="I10626" s="16" t="n">
        <f aca="false">MIN(I10620,Assumptions!$L$64*Assumptions!$C$64)</f>
        <v>0</v>
      </c>
      <c r="J10626" s="16" t="n">
        <f aca="false">MIN(J10620,Assumptions!$L$64*Assumptions!$C$64)</f>
        <v>0</v>
      </c>
      <c r="K10626" s="16" t="n">
        <f aca="false">MIN(K10620,Assumptions!$L$64*Assumptions!$C$64)</f>
        <v>0</v>
      </c>
    </row>
    <row r="10627" customFormat="false" ht="15" hidden="false" customHeight="false" outlineLevel="0" collapsed="false">
      <c r="A10627" s="3" t="s">
        <v>335</v>
      </c>
      <c r="G10627" s="16" t="n">
        <f aca="false">IF(AND(Assumptions!$P$64=1,G10493&lt;Assumptions!$K$64),MIN(MAX(0,-G10709),MAX(0,Assumptions!$D$64-G10620)),0)</f>
        <v>0</v>
      </c>
      <c r="H10627" s="16" t="n">
        <f aca="false">IF(AND(Assumptions!$P$64=1,OR(H10493&lt;Assumptions!$K$64,G10846=1)),MIN(MAX(0,-H10709),MAX(0,Assumptions!$D$64-H10620)),0)</f>
        <v>0</v>
      </c>
      <c r="I10627" s="16" t="n">
        <f aca="false">IF(AND(Assumptions!$P$64=1,OR(I10493&lt;Assumptions!$K$64,H10846=1)),MIN(MAX(0,-I10709),MAX(0,Assumptions!$D$64-I10620)),0)</f>
        <v>0</v>
      </c>
      <c r="J10627" s="16" t="n">
        <f aca="false">IF(AND(Assumptions!$P$64=1,OR(J10493&lt;Assumptions!$K$64,I10846=1)),MIN(MAX(0,-J10709),MAX(0,Assumptions!$D$64-J10620)),0)</f>
        <v>0</v>
      </c>
      <c r="K10627" s="16" t="n">
        <f aca="false">IF(AND(Assumptions!$P$64=1,OR(K10493&lt;Assumptions!$K$64,J10846=1)),MIN(MAX(0,-K10709),MAX(0,Assumptions!$D$64-K10620)),0)</f>
        <v>0</v>
      </c>
    </row>
    <row r="10628" customFormat="false" ht="15" hidden="false" customHeight="false" outlineLevel="0" collapsed="false">
      <c r="A10628" s="3" t="s">
        <v>336</v>
      </c>
      <c r="G10628" s="16" t="n">
        <f aca="false">G10621*MIN(G10620-G10626+G10625,MAX(0,G10711-Assumptions!$C$12*G10527-G10537-G10550-G10563-G10576-G10589-G10602-G10615))</f>
        <v>0</v>
      </c>
      <c r="H10628" s="16" t="n">
        <f aca="false">H10621*MIN(H10620-H10626+H10625,MAX(0,H10711-Assumptions!$C$12*H10527-H10537-H10550-H10563-H10576-H10589-H10602-H10615))</f>
        <v>0</v>
      </c>
      <c r="I10628" s="16" t="n">
        <f aca="false">I10621*MIN(I10620-I10626+I10625,MAX(0,I10711-Assumptions!$C$12*I10527-I10537-I10550-I10563-I10576-I10589-I10602-I10615))</f>
        <v>0</v>
      </c>
      <c r="J10628" s="16" t="n">
        <f aca="false">J10621*MIN(J10620-J10626+J10625,MAX(0,J10711-Assumptions!$C$12*J10527-J10537-J10550-J10563-J10576-J10589-J10602-J10615))</f>
        <v>0</v>
      </c>
      <c r="K10628" s="16" t="n">
        <f aca="false">K10621*MIN(K10620-K10626+K10625,MAX(0,K10711-Assumptions!$C$12*K10527-K10537-K10550-K10563-K10576-K10589-K10602-K10615))</f>
        <v>0</v>
      </c>
    </row>
    <row r="10629" customFormat="false" ht="15" hidden="false" customHeight="false" outlineLevel="0" collapsed="false">
      <c r="A10629" s="3" t="s">
        <v>337</v>
      </c>
      <c r="G10629" s="16" t="n">
        <f aca="false">Assumptions!$N$64*MIN(G10620+G10627+G10625-G10626-G10628,MAX(0,G10715-G10538-G10551-G10564-G10577-G10590-G10603-G10616))</f>
        <v>0</v>
      </c>
      <c r="H10629" s="16" t="n">
        <f aca="false">Assumptions!$N$64*MIN(H10620+H10627+H10625-H10626-H10628,MAX(0,H10715-H10538-H10551-H10564-H10577-H10590-H10603-H10616))</f>
        <v>0</v>
      </c>
      <c r="I10629" s="16" t="n">
        <f aca="false">Assumptions!$N$64*MIN(I10620+I10627+I10625-I10626-I10628,MAX(0,I10715-I10538-I10551-I10564-I10577-I10590-I10603-I10616))</f>
        <v>0</v>
      </c>
      <c r="J10629" s="16" t="n">
        <f aca="false">Assumptions!$N$64*MIN(J10620+J10627+J10625-J10626-J10628,MAX(0,J10715-J10538-J10551-J10564-J10577-J10590-J10603-J10616))</f>
        <v>0</v>
      </c>
      <c r="K10629" s="16" t="n">
        <f aca="false">Assumptions!$N$64*MIN(K10620+K10627+K10625-K10626-K10628,MAX(0,K10715-K10538-K10551-K10564-K10577-K10590-K10603-K10616))</f>
        <v>0</v>
      </c>
    </row>
    <row r="10630" customFormat="false" ht="15" hidden="false" customHeight="false" outlineLevel="0" collapsed="false">
      <c r="A10630" s="3" t="s">
        <v>338</v>
      </c>
      <c r="G10630" s="16" t="n">
        <f aca="false">G10621*(1-G10527)*(G10620-G10626+G10625-G10628)</f>
        <v>0</v>
      </c>
      <c r="H10630" s="16" t="n">
        <f aca="false">H10621*(1-H10527)*(H10620-H10626+H10625-H10628)</f>
        <v>0</v>
      </c>
      <c r="I10630" s="16" t="n">
        <f aca="false">I10621*(1-I10527)*(I10620-I10626+I10625-I10628)</f>
        <v>0</v>
      </c>
      <c r="J10630" s="16" t="n">
        <f aca="false">J10621*(1-J10527)*(J10620-J10626+J10625-J10628)</f>
        <v>350</v>
      </c>
      <c r="K10630" s="16" t="n">
        <f aca="false">K10621*(1-K10527)*(K10620-K10626+K10625-K10628)</f>
        <v>0</v>
      </c>
    </row>
    <row r="10631" customFormat="false" ht="15" hidden="false" customHeight="false" outlineLevel="0" collapsed="false">
      <c r="A10631" s="2" t="s">
        <v>339</v>
      </c>
      <c r="F10631" s="28" t="n">
        <f aca="false">Assumptions!$C$64</f>
        <v>350</v>
      </c>
      <c r="G10631" s="17" t="n">
        <f aca="false">G10620+G10627+G10625-G10626-G10628-G10629</f>
        <v>350</v>
      </c>
      <c r="H10631" s="17" t="n">
        <f aca="false">H10620+H10627+H10625-H10626-H10628-H10629</f>
        <v>350</v>
      </c>
      <c r="I10631" s="17" t="n">
        <f aca="false">I10620+I10627+I10625-I10626-I10628-I10629</f>
        <v>350</v>
      </c>
      <c r="J10631" s="17" t="n">
        <f aca="false">J10620+J10627+J10625-J10626-J10628-J10629</f>
        <v>350</v>
      </c>
      <c r="K10631" s="17" t="n">
        <f aca="false">K10620+K10627+K10625-K10626-K10628-K10629</f>
        <v>350</v>
      </c>
    </row>
    <row r="10632" customFormat="false" ht="15" hidden="false" customHeight="false" outlineLevel="0" collapsed="false">
      <c r="A10632" s="24" t="s">
        <v>347</v>
      </c>
      <c r="B10632" s="25"/>
      <c r="C10632" s="25"/>
      <c r="D10632" s="25"/>
      <c r="E10632" s="25"/>
      <c r="F10632" s="25"/>
      <c r="G10632" s="25"/>
      <c r="H10632" s="25"/>
      <c r="I10632" s="25"/>
      <c r="J10632" s="25"/>
      <c r="K10632" s="25"/>
    </row>
    <row r="10633" customFormat="false" ht="15" hidden="false" customHeight="false" outlineLevel="0" collapsed="false">
      <c r="A10633" s="3" t="s">
        <v>329</v>
      </c>
      <c r="G10633" s="16" t="n">
        <f aca="false">F10644</f>
        <v>300</v>
      </c>
      <c r="H10633" s="16" t="n">
        <f aca="false">G10644</f>
        <v>300</v>
      </c>
      <c r="I10633" s="16" t="n">
        <f aca="false">H10644</f>
        <v>300</v>
      </c>
      <c r="J10633" s="16" t="n">
        <f aca="false">I10644</f>
        <v>300</v>
      </c>
      <c r="K10633" s="16" t="n">
        <f aca="false">J10644</f>
        <v>300</v>
      </c>
    </row>
    <row r="10634" customFormat="false" ht="15" hidden="false" customHeight="false" outlineLevel="0" collapsed="false">
      <c r="A10634" s="3" t="s">
        <v>330</v>
      </c>
      <c r="G10634" s="21" t="n">
        <f aca="false">IF(G10493=Assumptions!$K$65,1,0)</f>
        <v>0</v>
      </c>
      <c r="H10634" s="21" t="n">
        <f aca="false">IF(H10493=Assumptions!$K$65,1,0)</f>
        <v>0</v>
      </c>
      <c r="I10634" s="21" t="n">
        <f aca="false">IF(I10493=Assumptions!$K$65,1,0)</f>
        <v>0</v>
      </c>
      <c r="J10634" s="21" t="n">
        <f aca="false">IF(J10493=Assumptions!$K$65,1,0)</f>
        <v>0</v>
      </c>
      <c r="K10634" s="21" t="n">
        <f aca="false">IF(K10493=Assumptions!$K$65,1,0)</f>
        <v>1</v>
      </c>
    </row>
    <row r="10636" customFormat="false" ht="15" hidden="false" customHeight="false" outlineLevel="0" collapsed="false">
      <c r="A10636" s="3" t="s">
        <v>331</v>
      </c>
      <c r="G10636" s="31" t="n">
        <f aca="false">IF(Assumptions!$I$65=1,MAX(G10519,Assumptions!$G$65)+Assumptions!$F$65+$C$10520,Assumptions!$E$65)</f>
        <v>0.06125</v>
      </c>
      <c r="H10636" s="31" t="n">
        <f aca="false">IF(G10847=1,$C$10521,IF(Assumptions!$I$65=1,MAX(H10519,Assumptions!$G$65)+Assumptions!$F$65+$C$10520,Assumptions!$E$65))</f>
        <v>0.06125</v>
      </c>
      <c r="I10636" s="31" t="n">
        <f aca="false">IF(H10847=1,$C$10521,IF(Assumptions!$I$65=1,MAX(I10519,Assumptions!$G$65)+Assumptions!$F$65+$C$10520,Assumptions!$E$65))</f>
        <v>0.06125</v>
      </c>
      <c r="J10636" s="31" t="n">
        <f aca="false">IF(I10847=1,$C$10521,IF(Assumptions!$I$65=1,MAX(J10519,Assumptions!$G$65)+Assumptions!$F$65+$C$10520,Assumptions!$E$65))</f>
        <v>0.06125</v>
      </c>
      <c r="K10636" s="31" t="n">
        <f aca="false">IF(J10847=1,$C$10521,IF(Assumptions!$I$65=1,MAX(K10519,Assumptions!$G$65)+Assumptions!$F$65+$C$10520,Assumptions!$E$65))</f>
        <v>0.06125</v>
      </c>
    </row>
    <row r="10637" customFormat="false" ht="15" hidden="false" customHeight="false" outlineLevel="0" collapsed="false">
      <c r="A10637" s="3" t="s">
        <v>332</v>
      </c>
      <c r="G10637" s="16" t="n">
        <f aca="false">G10633*G10636</f>
        <v>18.375</v>
      </c>
      <c r="H10637" s="16" t="n">
        <f aca="false">H10633*H10636</f>
        <v>18.375</v>
      </c>
      <c r="I10637" s="16" t="n">
        <f aca="false">I10633*I10636</f>
        <v>18.375</v>
      </c>
      <c r="J10637" s="16" t="n">
        <f aca="false">J10633*J10636</f>
        <v>18.375</v>
      </c>
      <c r="K10637" s="16" t="n">
        <f aca="false">K10633*K10636</f>
        <v>18.375</v>
      </c>
    </row>
    <row r="10638" customFormat="false" ht="15" hidden="false" customHeight="false" outlineLevel="0" collapsed="false">
      <c r="A10638" s="3" t="s">
        <v>333</v>
      </c>
      <c r="G10638" s="16" t="n">
        <f aca="false">G10633*Assumptions!$H$65</f>
        <v>0</v>
      </c>
      <c r="H10638" s="16" t="n">
        <f aca="false">H10633*Assumptions!$H$65</f>
        <v>0</v>
      </c>
      <c r="I10638" s="16" t="n">
        <f aca="false">I10633*Assumptions!$H$65</f>
        <v>0</v>
      </c>
      <c r="J10638" s="16" t="n">
        <f aca="false">J10633*Assumptions!$H$65</f>
        <v>0</v>
      </c>
      <c r="K10638" s="16" t="n">
        <f aca="false">K10633*Assumptions!$H$65</f>
        <v>0</v>
      </c>
    </row>
    <row r="10639" customFormat="false" ht="15" hidden="false" customHeight="false" outlineLevel="0" collapsed="false">
      <c r="A10639" s="3" t="s">
        <v>334</v>
      </c>
      <c r="G10639" s="16" t="n">
        <f aca="false">MIN(G10633,Assumptions!$L$65*Assumptions!$C$65)</f>
        <v>0</v>
      </c>
      <c r="H10639" s="16" t="n">
        <f aca="false">MIN(H10633,Assumptions!$L$65*Assumptions!$C$65)</f>
        <v>0</v>
      </c>
      <c r="I10639" s="16" t="n">
        <f aca="false">MIN(I10633,Assumptions!$L$65*Assumptions!$C$65)</f>
        <v>0</v>
      </c>
      <c r="J10639" s="16" t="n">
        <f aca="false">MIN(J10633,Assumptions!$L$65*Assumptions!$C$65)</f>
        <v>0</v>
      </c>
      <c r="K10639" s="16" t="n">
        <f aca="false">MIN(K10633,Assumptions!$L$65*Assumptions!$C$65)</f>
        <v>0</v>
      </c>
    </row>
    <row r="10640" customFormat="false" ht="15" hidden="false" customHeight="false" outlineLevel="0" collapsed="false">
      <c r="A10640" s="3" t="s">
        <v>335</v>
      </c>
      <c r="G10640" s="16" t="n">
        <f aca="false">IF(AND(Assumptions!$P$65=1,G10493&lt;Assumptions!$K$65),MIN(MAX(0,-G10709),MAX(0,Assumptions!$D$65-G10633)),0)</f>
        <v>0</v>
      </c>
      <c r="H10640" s="16" t="n">
        <f aca="false">IF(AND(Assumptions!$P$65=1,OR(H10493&lt;Assumptions!$K$65,G10847=1)),MIN(MAX(0,-H10709),MAX(0,Assumptions!$D$65-H10633)),0)</f>
        <v>0</v>
      </c>
      <c r="I10640" s="16" t="n">
        <f aca="false">IF(AND(Assumptions!$P$65=1,OR(I10493&lt;Assumptions!$K$65,H10847=1)),MIN(MAX(0,-I10709),MAX(0,Assumptions!$D$65-I10633)),0)</f>
        <v>0</v>
      </c>
      <c r="J10640" s="16" t="n">
        <f aca="false">IF(AND(Assumptions!$P$65=1,OR(J10493&lt;Assumptions!$K$65,I10847=1)),MIN(MAX(0,-J10709),MAX(0,Assumptions!$D$65-J10633)),0)</f>
        <v>0</v>
      </c>
      <c r="K10640" s="16" t="n">
        <f aca="false">IF(AND(Assumptions!$P$65=1,OR(K10493&lt;Assumptions!$K$65,J10847=1)),MIN(MAX(0,-K10709),MAX(0,Assumptions!$D$65-K10633)),0)</f>
        <v>0</v>
      </c>
    </row>
    <row r="10641" customFormat="false" ht="15" hidden="false" customHeight="false" outlineLevel="0" collapsed="false">
      <c r="A10641" s="3" t="s">
        <v>336</v>
      </c>
      <c r="G10641" s="16" t="n">
        <f aca="false">G10634*MIN(G10633-G10639+G10638,MAX(0,G10711-Assumptions!$C$12*G10527-G10537-G10550-G10563-G10576-G10589-G10602-G10615-G10628))</f>
        <v>0</v>
      </c>
      <c r="H10641" s="16" t="n">
        <f aca="false">H10634*MIN(H10633-H10639+H10638,MAX(0,H10711-Assumptions!$C$12*H10527-H10537-H10550-H10563-H10576-H10589-H10602-H10615-H10628))</f>
        <v>0</v>
      </c>
      <c r="I10641" s="16" t="n">
        <f aca="false">I10634*MIN(I10633-I10639+I10638,MAX(0,I10711-Assumptions!$C$12*I10527-I10537-I10550-I10563-I10576-I10589-I10602-I10615-I10628))</f>
        <v>0</v>
      </c>
      <c r="J10641" s="16" t="n">
        <f aca="false">J10634*MIN(J10633-J10639+J10638,MAX(0,J10711-Assumptions!$C$12*J10527-J10537-J10550-J10563-J10576-J10589-J10602-J10615-J10628))</f>
        <v>0</v>
      </c>
      <c r="K10641" s="16" t="n">
        <f aca="false">K10634*MIN(K10633-K10639+K10638,MAX(0,K10711-Assumptions!$C$12*K10527-K10537-K10550-K10563-K10576-K10589-K10602-K10615-K10628))</f>
        <v>0</v>
      </c>
    </row>
    <row r="10642" customFormat="false" ht="15" hidden="false" customHeight="false" outlineLevel="0" collapsed="false">
      <c r="A10642" s="3" t="s">
        <v>337</v>
      </c>
      <c r="G10642" s="16" t="n">
        <f aca="false">Assumptions!$N$65*MIN(G10633+G10640+G10638-G10639-G10641,MAX(0,G10715-G10538-G10551-G10564-G10577-G10590-G10603-G10616-G10629))</f>
        <v>0</v>
      </c>
      <c r="H10642" s="16" t="n">
        <f aca="false">Assumptions!$N$65*MIN(H10633+H10640+H10638-H10639-H10641,MAX(0,H10715-H10538-H10551-H10564-H10577-H10590-H10603-H10616-H10629))</f>
        <v>0</v>
      </c>
      <c r="I10642" s="16" t="n">
        <f aca="false">Assumptions!$N$65*MIN(I10633+I10640+I10638-I10639-I10641,MAX(0,I10715-I10538-I10551-I10564-I10577-I10590-I10603-I10616-I10629))</f>
        <v>0</v>
      </c>
      <c r="J10642" s="16" t="n">
        <f aca="false">Assumptions!$N$65*MIN(J10633+J10640+J10638-J10639-J10641,MAX(0,J10715-J10538-J10551-J10564-J10577-J10590-J10603-J10616-J10629))</f>
        <v>0</v>
      </c>
      <c r="K10642" s="16" t="n">
        <f aca="false">Assumptions!$N$65*MIN(K10633+K10640+K10638-K10639-K10641,MAX(0,K10715-K10538-K10551-K10564-K10577-K10590-K10603-K10616-K10629))</f>
        <v>0</v>
      </c>
    </row>
    <row r="10643" customFormat="false" ht="15" hidden="false" customHeight="false" outlineLevel="0" collapsed="false">
      <c r="A10643" s="3" t="s">
        <v>338</v>
      </c>
      <c r="G10643" s="16" t="n">
        <f aca="false">G10634*(1-G10527)*(G10633-G10639+G10638-G10641)</f>
        <v>0</v>
      </c>
      <c r="H10643" s="16" t="n">
        <f aca="false">H10634*(1-H10527)*(H10633-H10639+H10638-H10641)</f>
        <v>0</v>
      </c>
      <c r="I10643" s="16" t="n">
        <f aca="false">I10634*(1-I10527)*(I10633-I10639+I10638-I10641)</f>
        <v>0</v>
      </c>
      <c r="J10643" s="16" t="n">
        <f aca="false">J10634*(1-J10527)*(J10633-J10639+J10638-J10641)</f>
        <v>0</v>
      </c>
      <c r="K10643" s="16" t="n">
        <f aca="false">K10634*(1-K10527)*(K10633-K10639+K10638-K10641)</f>
        <v>300</v>
      </c>
    </row>
    <row r="10644" customFormat="false" ht="15" hidden="false" customHeight="false" outlineLevel="0" collapsed="false">
      <c r="A10644" s="2" t="s">
        <v>339</v>
      </c>
      <c r="F10644" s="28" t="n">
        <f aca="false">Assumptions!$C$65</f>
        <v>300</v>
      </c>
      <c r="G10644" s="17" t="n">
        <f aca="false">G10633+G10640+G10638-G10639-G10641-G10642</f>
        <v>300</v>
      </c>
      <c r="H10644" s="17" t="n">
        <f aca="false">H10633+H10640+H10638-H10639-H10641-H10642</f>
        <v>300</v>
      </c>
      <c r="I10644" s="17" t="n">
        <f aca="false">I10633+I10640+I10638-I10639-I10641-I10642</f>
        <v>300</v>
      </c>
      <c r="J10644" s="17" t="n">
        <f aca="false">J10633+J10640+J10638-J10639-J10641-J10642</f>
        <v>300</v>
      </c>
      <c r="K10644" s="17" t="n">
        <f aca="false">K10633+K10640+K10638-K10639-K10641-K10642</f>
        <v>300</v>
      </c>
    </row>
    <row r="10645" customFormat="false" ht="15" hidden="false" customHeight="false" outlineLevel="0" collapsed="false">
      <c r="A10645" s="24" t="s">
        <v>348</v>
      </c>
      <c r="B10645" s="25"/>
      <c r="C10645" s="25"/>
      <c r="D10645" s="25"/>
      <c r="E10645" s="25"/>
      <c r="F10645" s="25"/>
      <c r="G10645" s="25"/>
      <c r="H10645" s="25"/>
      <c r="I10645" s="25"/>
      <c r="J10645" s="25"/>
      <c r="K10645" s="25"/>
    </row>
    <row r="10646" customFormat="false" ht="15" hidden="false" customHeight="false" outlineLevel="0" collapsed="false">
      <c r="A10646" s="3" t="s">
        <v>329</v>
      </c>
      <c r="G10646" s="16" t="n">
        <f aca="false">F10657</f>
        <v>78.61</v>
      </c>
      <c r="H10646" s="16" t="n">
        <f aca="false">G10657</f>
        <v>78.61</v>
      </c>
      <c r="I10646" s="16" t="n">
        <f aca="false">H10657</f>
        <v>78.61</v>
      </c>
      <c r="J10646" s="16" t="n">
        <f aca="false">I10657</f>
        <v>78.61</v>
      </c>
      <c r="K10646" s="16" t="n">
        <f aca="false">J10657</f>
        <v>78.61</v>
      </c>
    </row>
    <row r="10647" customFormat="false" ht="15" hidden="false" customHeight="false" outlineLevel="0" collapsed="false">
      <c r="A10647" s="3" t="s">
        <v>330</v>
      </c>
      <c r="G10647" s="21" t="n">
        <f aca="false">IF(G10493=Assumptions!$K$66,1,0)</f>
        <v>0</v>
      </c>
      <c r="H10647" s="21" t="n">
        <f aca="false">IF(H10493=Assumptions!$K$66,1,0)</f>
        <v>0</v>
      </c>
      <c r="I10647" s="21" t="n">
        <f aca="false">IF(I10493=Assumptions!$K$66,1,0)</f>
        <v>0</v>
      </c>
      <c r="J10647" s="21" t="n">
        <f aca="false">IF(J10493=Assumptions!$K$66,1,0)</f>
        <v>0</v>
      </c>
      <c r="K10647" s="21" t="n">
        <f aca="false">IF(K10493=Assumptions!$K$66,1,0)</f>
        <v>0</v>
      </c>
    </row>
    <row r="10649" customFormat="false" ht="15" hidden="false" customHeight="false" outlineLevel="0" collapsed="false">
      <c r="A10649" s="3" t="s">
        <v>331</v>
      </c>
      <c r="G10649" s="31" t="n">
        <f aca="false">IF(Assumptions!$I$66=1,MAX(G10519,Assumptions!$G$66)+Assumptions!$F$66+$C$10520,Assumptions!$E$66)</f>
        <v>0.0841</v>
      </c>
      <c r="H10649" s="31" t="n">
        <f aca="false">IF(G10848=1,$C$10521,IF(Assumptions!$I$66=1,MAX(H10519,Assumptions!$G$66)+Assumptions!$F$66+$C$10520,Assumptions!$E$66))</f>
        <v>0.0826</v>
      </c>
      <c r="I10649" s="31" t="n">
        <f aca="false">IF(H10848=1,$C$10521,IF(Assumptions!$I$66=1,MAX(I10519,Assumptions!$G$66)+Assumptions!$F$66+$C$10520,Assumptions!$E$66))</f>
        <v>0.0801</v>
      </c>
      <c r="J10649" s="31" t="n">
        <f aca="false">IF(I10848=1,$C$10521,IF(Assumptions!$I$66=1,MAX(J10519,Assumptions!$G$66)+Assumptions!$F$66+$C$10520,Assumptions!$E$66))</f>
        <v>0.0801</v>
      </c>
      <c r="K10649" s="31" t="n">
        <f aca="false">IF(J10848=1,$C$10521,IF(Assumptions!$I$66=1,MAX(K10519,Assumptions!$G$66)+Assumptions!$F$66+$C$10520,Assumptions!$E$66))</f>
        <v>0.0801</v>
      </c>
    </row>
    <row r="10650" customFormat="false" ht="15" hidden="false" customHeight="false" outlineLevel="0" collapsed="false">
      <c r="A10650" s="3" t="s">
        <v>332</v>
      </c>
      <c r="G10650" s="16" t="n">
        <f aca="false">G10646*G10649</f>
        <v>6.611101</v>
      </c>
      <c r="H10650" s="16" t="n">
        <f aca="false">H10646*H10649</f>
        <v>6.493186</v>
      </c>
      <c r="I10650" s="16" t="n">
        <f aca="false">I10646*I10649</f>
        <v>6.296661</v>
      </c>
      <c r="J10650" s="16" t="n">
        <f aca="false">J10646*J10649</f>
        <v>6.296661</v>
      </c>
      <c r="K10650" s="16" t="n">
        <f aca="false">K10646*K10649</f>
        <v>6.296661</v>
      </c>
    </row>
    <row r="10651" customFormat="false" ht="15" hidden="false" customHeight="false" outlineLevel="0" collapsed="false">
      <c r="A10651" s="3" t="s">
        <v>333</v>
      </c>
      <c r="G10651" s="16" t="n">
        <f aca="false">G10646*Assumptions!$H$66</f>
        <v>0</v>
      </c>
      <c r="H10651" s="16" t="n">
        <f aca="false">H10646*Assumptions!$H$66</f>
        <v>0</v>
      </c>
      <c r="I10651" s="16" t="n">
        <f aca="false">I10646*Assumptions!$H$66</f>
        <v>0</v>
      </c>
      <c r="J10651" s="16" t="n">
        <f aca="false">J10646*Assumptions!$H$66</f>
        <v>0</v>
      </c>
      <c r="K10651" s="16" t="n">
        <f aca="false">K10646*Assumptions!$H$66</f>
        <v>0</v>
      </c>
    </row>
    <row r="10652" customFormat="false" ht="15" hidden="false" customHeight="false" outlineLevel="0" collapsed="false">
      <c r="A10652" s="3" t="s">
        <v>334</v>
      </c>
      <c r="G10652" s="16" t="n">
        <f aca="false">MIN(G10646,Assumptions!$L$66*Assumptions!$C$66)</f>
        <v>0</v>
      </c>
      <c r="H10652" s="16" t="n">
        <f aca="false">MIN(H10646,Assumptions!$L$66*Assumptions!$C$66)</f>
        <v>0</v>
      </c>
      <c r="I10652" s="16" t="n">
        <f aca="false">MIN(I10646,Assumptions!$L$66*Assumptions!$C$66)</f>
        <v>0</v>
      </c>
      <c r="J10652" s="16" t="n">
        <f aca="false">MIN(J10646,Assumptions!$L$66*Assumptions!$C$66)</f>
        <v>0</v>
      </c>
      <c r="K10652" s="16" t="n">
        <f aca="false">MIN(K10646,Assumptions!$L$66*Assumptions!$C$66)</f>
        <v>0</v>
      </c>
    </row>
    <row r="10653" customFormat="false" ht="15" hidden="false" customHeight="false" outlineLevel="0" collapsed="false">
      <c r="A10653" s="3" t="s">
        <v>335</v>
      </c>
      <c r="G10653" s="16" t="n">
        <f aca="false">IF(AND(Assumptions!$P$66=1,G10493&lt;Assumptions!$K$66),MIN(MAX(0,-G10709),MAX(0,Assumptions!$D$66-G10646)),0)</f>
        <v>0</v>
      </c>
      <c r="H10653" s="16" t="n">
        <f aca="false">IF(AND(Assumptions!$P$66=1,OR(H10493&lt;Assumptions!$K$66,G10848=1)),MIN(MAX(0,-H10709),MAX(0,Assumptions!$D$66-H10646)),0)</f>
        <v>0</v>
      </c>
      <c r="I10653" s="16" t="n">
        <f aca="false">IF(AND(Assumptions!$P$66=1,OR(I10493&lt;Assumptions!$K$66,H10848=1)),MIN(MAX(0,-I10709),MAX(0,Assumptions!$D$66-I10646)),0)</f>
        <v>0</v>
      </c>
      <c r="J10653" s="16" t="n">
        <f aca="false">IF(AND(Assumptions!$P$66=1,OR(J10493&lt;Assumptions!$K$66,I10848=1)),MIN(MAX(0,-J10709),MAX(0,Assumptions!$D$66-J10646)),0)</f>
        <v>0</v>
      </c>
      <c r="K10653" s="16" t="n">
        <f aca="false">IF(AND(Assumptions!$P$66=1,OR(K10493&lt;Assumptions!$K$66,J10848=1)),MIN(MAX(0,-K10709),MAX(0,Assumptions!$D$66-K10646)),0)</f>
        <v>0</v>
      </c>
    </row>
    <row r="10654" customFormat="false" ht="15" hidden="false" customHeight="false" outlineLevel="0" collapsed="false">
      <c r="A10654" s="3" t="s">
        <v>336</v>
      </c>
      <c r="G10654" s="16" t="n">
        <f aca="false">G10647*MIN(G10646-G10652+G10651,MAX(0,G10711-Assumptions!$C$12*G10527-G10537-G10550-G10563-G10576-G10589-G10602-G10615-G10628-G10641))</f>
        <v>0</v>
      </c>
      <c r="H10654" s="16" t="n">
        <f aca="false">H10647*MIN(H10646-H10652+H10651,MAX(0,H10711-Assumptions!$C$12*H10527-H10537-H10550-H10563-H10576-H10589-H10602-H10615-H10628-H10641))</f>
        <v>0</v>
      </c>
      <c r="I10654" s="16" t="n">
        <f aca="false">I10647*MIN(I10646-I10652+I10651,MAX(0,I10711-Assumptions!$C$12*I10527-I10537-I10550-I10563-I10576-I10589-I10602-I10615-I10628-I10641))</f>
        <v>0</v>
      </c>
      <c r="J10654" s="16" t="n">
        <f aca="false">J10647*MIN(J10646-J10652+J10651,MAX(0,J10711-Assumptions!$C$12*J10527-J10537-J10550-J10563-J10576-J10589-J10602-J10615-J10628-J10641))</f>
        <v>0</v>
      </c>
      <c r="K10654" s="16" t="n">
        <f aca="false">K10647*MIN(K10646-K10652+K10651,MAX(0,K10711-Assumptions!$C$12*K10527-K10537-K10550-K10563-K10576-K10589-K10602-K10615-K10628-K10641))</f>
        <v>0</v>
      </c>
    </row>
    <row r="10655" customFormat="false" ht="15" hidden="false" customHeight="false" outlineLevel="0" collapsed="false">
      <c r="A10655" s="3" t="s">
        <v>337</v>
      </c>
      <c r="G10655" s="16" t="n">
        <f aca="false">Assumptions!$N$66*MIN(G10646+G10653+G10651-G10652-G10654,MAX(0,G10715-G10538-G10551-G10564-G10577-G10590-G10603-G10616-G10629-G10642))</f>
        <v>0</v>
      </c>
      <c r="H10655" s="16" t="n">
        <f aca="false">Assumptions!$N$66*MIN(H10646+H10653+H10651-H10652-H10654,MAX(0,H10715-H10538-H10551-H10564-H10577-H10590-H10603-H10616-H10629-H10642))</f>
        <v>0</v>
      </c>
      <c r="I10655" s="16" t="n">
        <f aca="false">Assumptions!$N$66*MIN(I10646+I10653+I10651-I10652-I10654,MAX(0,I10715-I10538-I10551-I10564-I10577-I10590-I10603-I10616-I10629-I10642))</f>
        <v>0</v>
      </c>
      <c r="J10655" s="16" t="n">
        <f aca="false">Assumptions!$N$66*MIN(J10646+J10653+J10651-J10652-J10654,MAX(0,J10715-J10538-J10551-J10564-J10577-J10590-J10603-J10616-J10629-J10642))</f>
        <v>0</v>
      </c>
      <c r="K10655" s="16" t="n">
        <f aca="false">Assumptions!$N$66*MIN(K10646+K10653+K10651-K10652-K10654,MAX(0,K10715-K10538-K10551-K10564-K10577-K10590-K10603-K10616-K10629-K10642))</f>
        <v>0</v>
      </c>
    </row>
    <row r="10656" customFormat="false" ht="15" hidden="false" customHeight="false" outlineLevel="0" collapsed="false">
      <c r="A10656" s="3" t="s">
        <v>338</v>
      </c>
      <c r="G10656" s="16" t="n">
        <f aca="false">G10647*(1-G10527)*(G10646-G10652+G10651-G10654)</f>
        <v>0</v>
      </c>
      <c r="H10656" s="16" t="n">
        <f aca="false">H10647*(1-H10527)*(H10646-H10652+H10651-H10654)</f>
        <v>0</v>
      </c>
      <c r="I10656" s="16" t="n">
        <f aca="false">I10647*(1-I10527)*(I10646-I10652+I10651-I10654)</f>
        <v>0</v>
      </c>
      <c r="J10656" s="16" t="n">
        <f aca="false">J10647*(1-J10527)*(J10646-J10652+J10651-J10654)</f>
        <v>0</v>
      </c>
      <c r="K10656" s="16" t="n">
        <f aca="false">K10647*(1-K10527)*(K10646-K10652+K10651-K10654)</f>
        <v>0</v>
      </c>
    </row>
    <row r="10657" customFormat="false" ht="15" hidden="false" customHeight="false" outlineLevel="0" collapsed="false">
      <c r="A10657" s="2" t="s">
        <v>339</v>
      </c>
      <c r="F10657" s="28" t="n">
        <f aca="false">Assumptions!$C$66</f>
        <v>78.61</v>
      </c>
      <c r="G10657" s="17" t="n">
        <f aca="false">G10646+G10653+G10651-G10652-G10654-G10655</f>
        <v>78.61</v>
      </c>
      <c r="H10657" s="17" t="n">
        <f aca="false">H10646+H10653+H10651-H10652-H10654-H10655</f>
        <v>78.61</v>
      </c>
      <c r="I10657" s="17" t="n">
        <f aca="false">I10646+I10653+I10651-I10652-I10654-I10655</f>
        <v>78.61</v>
      </c>
      <c r="J10657" s="17" t="n">
        <f aca="false">J10646+J10653+J10651-J10652-J10654-J10655</f>
        <v>78.61</v>
      </c>
      <c r="K10657" s="17" t="n">
        <f aca="false">K10646+K10653+K10651-K10652-K10654-K10655</f>
        <v>78.61</v>
      </c>
    </row>
    <row r="10658" customFormat="false" ht="15" hidden="false" customHeight="false" outlineLevel="0" collapsed="false">
      <c r="A10658" s="24" t="s">
        <v>349</v>
      </c>
      <c r="B10658" s="25"/>
      <c r="C10658" s="25"/>
      <c r="D10658" s="25"/>
      <c r="E10658" s="25"/>
      <c r="F10658" s="25"/>
      <c r="G10658" s="25"/>
      <c r="H10658" s="25"/>
      <c r="I10658" s="25"/>
      <c r="J10658" s="25"/>
      <c r="K10658" s="25"/>
    </row>
    <row r="10659" customFormat="false" ht="15" hidden="false" customHeight="false" outlineLevel="0" collapsed="false">
      <c r="A10659" s="2" t="s">
        <v>350</v>
      </c>
      <c r="F10659" s="17" t="n">
        <f aca="false">F10540+F10553+F10566+F10579+F10592+F10605+F10618+F10631+F10644+F10657</f>
        <v>2625.934</v>
      </c>
      <c r="G10659" s="17" t="n">
        <f aca="false">G10540+G10553+G10566+G10579+G10592+G10605+G10618+G10631+G10644+G10657</f>
        <v>2621.934</v>
      </c>
      <c r="H10659" s="17" t="n">
        <f aca="false">H10540+H10553+H10566+H10579+H10592+H10605+H10618+H10631+H10644+H10657</f>
        <v>2585.57812936</v>
      </c>
      <c r="I10659" s="17" t="n">
        <f aca="false">I10540+I10553+I10566+I10579+I10592+I10605+I10618+I10631+I10644+I10657</f>
        <v>2581.57812936</v>
      </c>
      <c r="J10659" s="17" t="n">
        <f aca="false">J10540+J10553+J10566+J10579+J10592+J10605+J10618+J10631+J10644+J10657</f>
        <v>2577.57812936</v>
      </c>
      <c r="K10659" s="17" t="n">
        <f aca="false">K10540+K10553+K10566+K10579+K10592+K10605+K10618+K10631+K10644+K10657</f>
        <v>2573.57812936</v>
      </c>
    </row>
    <row r="10660" customFormat="false" ht="15" hidden="false" customHeight="false" outlineLevel="0" collapsed="false">
      <c r="A10660" s="3" t="s">
        <v>351</v>
      </c>
      <c r="G10660" s="16" t="n">
        <f aca="false">G10530*Assumptions!$C$57+G10543*Assumptions!$C$58+G10556*Assumptions!$C$59+G10569*Assumptions!$C$60+G10582*Assumptions!$C$61+G10595*Assumptions!$C$62+G10608*Assumptions!$C$63+G10621*Assumptions!$C$64+G10634*Assumptions!$C$65+G10647*Assumptions!$C$66</f>
        <v>0</v>
      </c>
      <c r="H10660" s="16" t="n">
        <f aca="false">H10530*Assumptions!$C$57+H10543*Assumptions!$C$58+H10556*Assumptions!$C$59+H10569*Assumptions!$C$60+H10582*Assumptions!$C$61+H10595*Assumptions!$C$62+H10608*Assumptions!$C$63+H10621*Assumptions!$C$64+H10634*Assumptions!$C$65+H10647*Assumptions!$C$66</f>
        <v>800</v>
      </c>
      <c r="I10660" s="16" t="n">
        <f aca="false">I10530*Assumptions!$C$57+I10543*Assumptions!$C$58+I10556*Assumptions!$C$59+I10569*Assumptions!$C$60+I10582*Assumptions!$C$61+I10595*Assumptions!$C$62+I10608*Assumptions!$C$63+I10621*Assumptions!$C$64+I10634*Assumptions!$C$65+I10647*Assumptions!$C$66</f>
        <v>550</v>
      </c>
      <c r="J10660" s="16" t="n">
        <f aca="false">J10530*Assumptions!$C$57+J10543*Assumptions!$C$58+J10556*Assumptions!$C$59+J10569*Assumptions!$C$60+J10582*Assumptions!$C$61+J10595*Assumptions!$C$62+J10608*Assumptions!$C$63+J10621*Assumptions!$C$64+J10634*Assumptions!$C$65+J10647*Assumptions!$C$66</f>
        <v>350</v>
      </c>
      <c r="K10660" s="16" t="n">
        <f aca="false">K10530*Assumptions!$C$57+K10543*Assumptions!$C$58+K10556*Assumptions!$C$59+K10569*Assumptions!$C$60+K10582*Assumptions!$C$61+K10595*Assumptions!$C$62+K10608*Assumptions!$C$63+K10621*Assumptions!$C$64+K10634*Assumptions!$C$65+K10647*Assumptions!$C$66</f>
        <v>700</v>
      </c>
    </row>
    <row r="10661" customFormat="false" ht="15" hidden="false" customHeight="false" outlineLevel="0" collapsed="false">
      <c r="A10661" s="24" t="s">
        <v>352</v>
      </c>
      <c r="B10661" s="25"/>
      <c r="C10661" s="25"/>
      <c r="D10661" s="25"/>
      <c r="E10661" s="25"/>
      <c r="F10661" s="25"/>
      <c r="G10661" s="25"/>
      <c r="H10661" s="25"/>
      <c r="I10661" s="25"/>
      <c r="J10661" s="25"/>
      <c r="K10661" s="25"/>
    </row>
    <row r="10662" customFormat="false" ht="15" hidden="false" customHeight="false" outlineLevel="0" collapsed="false">
      <c r="A10662" s="3" t="s">
        <v>353</v>
      </c>
      <c r="C10662" s="16" t="n">
        <f aca="false">SUMPRODUCT($G$10530:$K$10530,$G$10529:$K$10529-$G$10535:$K$10535+$G$10534:$K$10534)</f>
        <v>380</v>
      </c>
    </row>
    <row r="10663" customFormat="false" ht="15" hidden="false" customHeight="false" outlineLevel="0" collapsed="false">
      <c r="A10663" s="3" t="s">
        <v>354</v>
      </c>
      <c r="C10663" s="16" t="n">
        <f aca="false">SUMPRODUCT($G$10530:$K$10530,$G$10537:$K$10537)</f>
        <v>0</v>
      </c>
    </row>
    <row r="10664" customFormat="false" ht="15" hidden="false" customHeight="false" outlineLevel="0" collapsed="false">
      <c r="A10664" s="3" t="s">
        <v>355</v>
      </c>
      <c r="C10664" s="3" t="str">
        <f aca="false">IF(SUM($G$10530:$K$10530)=0,"n/a (beyond horizon)",IF(SUMPRODUCT($G$10530:$K$10530,$G$10527:$K$10527)&gt;0,"REFINANCING PASS","REFINANCING FAILURE"))</f>
        <v>REFINANCING FAILURE</v>
      </c>
    </row>
    <row r="10665" customFormat="false" ht="15" hidden="false" customHeight="false" outlineLevel="0" collapsed="false">
      <c r="A10665" s="3" t="s">
        <v>356</v>
      </c>
      <c r="C10665" s="3" t="str">
        <f aca="false">IF(SUM($G$10530:$K$10530)=0,"n/a",IF(C10663&gt;=C10662-0.001,"Repaid from cash",IF(SUMPRODUCT($G$10530:$K$10530,$G$10527:$K$10527)&gt;0,IF(C10663&gt;0,"Partly repaid; remainder refinanced","Refinanced"),IF(SUM($G$10539:$K$10539)&gt;0.001,IF(C10663&gt;0,"Partial repayment; PAYMENT DEFAULT","PAYMENT DEFAULT"),"Repaid from cash"))))</f>
        <v>PAYMENT DEFAULT</v>
      </c>
    </row>
    <row r="10666" customFormat="false" ht="15" hidden="false" customHeight="false" outlineLevel="0" collapsed="false">
      <c r="A10666" s="3" t="s">
        <v>357</v>
      </c>
      <c r="C10666" s="16" t="n">
        <f aca="false">SUMPRODUCT($G$10543:$K$10543,$G$10542:$K$10542-$G$10548:$K$10548+$G$10547:$K$10547)</f>
        <v>0</v>
      </c>
    </row>
    <row r="10667" customFormat="false" ht="15" hidden="false" customHeight="false" outlineLevel="0" collapsed="false">
      <c r="A10667" s="3" t="s">
        <v>358</v>
      </c>
      <c r="C10667" s="16" t="n">
        <f aca="false">SUMPRODUCT($G$10543:$K$10543,$G$10550:$K$10550)</f>
        <v>0</v>
      </c>
    </row>
    <row r="10668" customFormat="false" ht="15" hidden="false" customHeight="false" outlineLevel="0" collapsed="false">
      <c r="A10668" s="3" t="s">
        <v>359</v>
      </c>
      <c r="C10668" s="3" t="str">
        <f aca="false">IF(SUM($G$10543:$K$10543)=0,"n/a (beyond horizon)",IF(SUMPRODUCT($G$10543:$K$10543,$G$10527:$K$10527)&gt;0,"REFINANCING PASS","REFINANCING FAILURE"))</f>
        <v>n/a (beyond horizon)</v>
      </c>
    </row>
    <row r="10669" customFormat="false" ht="15" hidden="false" customHeight="false" outlineLevel="0" collapsed="false">
      <c r="A10669" s="3" t="s">
        <v>360</v>
      </c>
      <c r="C10669" s="3" t="str">
        <f aca="false">IF(SUM($G$10543:$K$10543)=0,"n/a",IF(C10667&gt;=C10666-0.001,"Repaid from cash",IF(SUMPRODUCT($G$10543:$K$10543,$G$10527:$K$10527)&gt;0,IF(C10667&gt;0,"Partly repaid; remainder refinanced","Refinanced"),IF(SUM($G$10552:$K$10552)&gt;0.001,IF(C10667&gt;0,"Partial repayment; PAYMENT DEFAULT","PAYMENT DEFAULT"),"Repaid from cash"))))</f>
        <v>n/a</v>
      </c>
    </row>
    <row r="10670" customFormat="false" ht="15" hidden="false" customHeight="false" outlineLevel="0" collapsed="false">
      <c r="A10670" s="3" t="s">
        <v>361</v>
      </c>
      <c r="C10670" s="16" t="n">
        <f aca="false">SUMPRODUCT($G$10556:$K$10556,$G$10555:$K$10555-$G$10561:$K$10561+$G$10560:$K$10560)</f>
        <v>0</v>
      </c>
    </row>
    <row r="10671" customFormat="false" ht="15" hidden="false" customHeight="false" outlineLevel="0" collapsed="false">
      <c r="A10671" s="3" t="s">
        <v>362</v>
      </c>
      <c r="C10671" s="16" t="n">
        <f aca="false">SUMPRODUCT($G$10556:$K$10556,$G$10563:$K$10563)</f>
        <v>0</v>
      </c>
    </row>
    <row r="10672" customFormat="false" ht="15" hidden="false" customHeight="false" outlineLevel="0" collapsed="false">
      <c r="A10672" s="3" t="s">
        <v>363</v>
      </c>
      <c r="C10672" s="3" t="str">
        <f aca="false">IF(SUM($G$10556:$K$10556)=0,"n/a (beyond horizon)",IF(SUMPRODUCT($G$10556:$K$10556,$G$10527:$K$10527)&gt;0,"REFINANCING PASS","REFINANCING FAILURE"))</f>
        <v>n/a (beyond horizon)</v>
      </c>
    </row>
    <row r="10673" customFormat="false" ht="15" hidden="false" customHeight="false" outlineLevel="0" collapsed="false">
      <c r="A10673" s="3" t="s">
        <v>364</v>
      </c>
      <c r="C10673" s="3" t="str">
        <f aca="false">IF(SUM($G$10556:$K$10556)=0,"n/a",IF(C10671&gt;=C10670-0.001,"Repaid from cash",IF(SUMPRODUCT($G$10556:$K$10556,$G$10527:$K$10527)&gt;0,IF(C10671&gt;0,"Partly repaid; remainder refinanced","Refinanced"),IF(SUM($G$10565:$K$10565)&gt;0.001,IF(C10671&gt;0,"Partial repayment; PAYMENT DEFAULT","PAYMENT DEFAULT"),"Repaid from cash"))))</f>
        <v>n/a</v>
      </c>
    </row>
    <row r="10674" customFormat="false" ht="15" hidden="false" customHeight="false" outlineLevel="0" collapsed="false">
      <c r="A10674" s="3" t="s">
        <v>365</v>
      </c>
      <c r="C10674" s="16" t="n">
        <f aca="false">SUMPRODUCT($G$10569:$K$10569,$G$10568:$K$10568-$G$10574:$K$10574+$G$10573:$K$10573)</f>
        <v>0</v>
      </c>
    </row>
    <row r="10675" customFormat="false" ht="15" hidden="false" customHeight="false" outlineLevel="0" collapsed="false">
      <c r="A10675" s="3" t="s">
        <v>366</v>
      </c>
      <c r="C10675" s="16" t="n">
        <f aca="false">SUMPRODUCT($G$10569:$K$10569,$G$10576:$K$10576)</f>
        <v>0</v>
      </c>
    </row>
    <row r="10676" customFormat="false" ht="15" hidden="false" customHeight="false" outlineLevel="0" collapsed="false">
      <c r="A10676" s="3" t="s">
        <v>367</v>
      </c>
      <c r="C10676" s="3" t="str">
        <f aca="false">IF(SUM($G$10569:$K$10569)=0,"n/a (beyond horizon)",IF(SUMPRODUCT($G$10569:$K$10569,$G$10527:$K$10527)&gt;0,"REFINANCING PASS","REFINANCING FAILURE"))</f>
        <v>REFINANCING FAILURE</v>
      </c>
    </row>
    <row r="10677" customFormat="false" ht="15" hidden="false" customHeight="false" outlineLevel="0" collapsed="false">
      <c r="A10677" s="3" t="s">
        <v>368</v>
      </c>
      <c r="C10677" s="3" t="str">
        <f aca="false">IF(SUM($G$10569:$K$10569)=0,"n/a",IF(C10675&gt;=C10674-0.001,"Repaid from cash",IF(SUMPRODUCT($G$10569:$K$10569,$G$10527:$K$10527)&gt;0,IF(C10675&gt;0,"Partly repaid; remainder refinanced","Refinanced"),IF(SUM($G$10578:$K$10578)&gt;0.001,IF(C10675&gt;0,"Partial repayment; PAYMENT DEFAULT","PAYMENT DEFAULT"),"Repaid from cash"))))</f>
        <v>Repaid from cash</v>
      </c>
    </row>
    <row r="10678" customFormat="false" ht="15" hidden="false" customHeight="false" outlineLevel="0" collapsed="false">
      <c r="A10678" s="3" t="s">
        <v>369</v>
      </c>
      <c r="C10678" s="16" t="n">
        <f aca="false">SUMPRODUCT($G$10582:$K$10582,$G$10581:$K$10581-$G$10587:$K$10587+$G$10586:$K$10586)</f>
        <v>450</v>
      </c>
    </row>
    <row r="10679" customFormat="false" ht="15" hidden="false" customHeight="false" outlineLevel="0" collapsed="false">
      <c r="A10679" s="3" t="s">
        <v>370</v>
      </c>
      <c r="C10679" s="16" t="n">
        <f aca="false">SUMPRODUCT($G$10582:$K$10582,$G$10589:$K$10589)</f>
        <v>32.3558706400001</v>
      </c>
    </row>
    <row r="10680" customFormat="false" ht="15" hidden="false" customHeight="false" outlineLevel="0" collapsed="false">
      <c r="A10680" s="3" t="s">
        <v>371</v>
      </c>
      <c r="C10680" s="3" t="str">
        <f aca="false">IF(SUM($G$10582:$K$10582)=0,"n/a (beyond horizon)",IF(SUMPRODUCT($G$10582:$K$10582,$G$10527:$K$10527)&gt;0,"REFINANCING PASS","REFINANCING FAILURE"))</f>
        <v>REFINANCING FAILURE</v>
      </c>
    </row>
    <row r="10681" customFormat="false" ht="15" hidden="false" customHeight="false" outlineLevel="0" collapsed="false">
      <c r="A10681" s="3" t="s">
        <v>372</v>
      </c>
      <c r="C10681" s="3" t="str">
        <f aca="false">IF(SUM($G$10582:$K$10582)=0,"n/a",IF(C10679&gt;=C10678-0.001,"Repaid from cash",IF(SUMPRODUCT($G$10582:$K$10582,$G$10527:$K$10527)&gt;0,IF(C10679&gt;0,"Partly repaid; remainder refinanced","Refinanced"),IF(SUM($G$10591:$K$10591)&gt;0.001,IF(C10679&gt;0,"Partial repayment; PAYMENT DEFAULT","PAYMENT DEFAULT"),"Repaid from cash"))))</f>
        <v>Partial repayment; PAYMENT DEFAULT</v>
      </c>
    </row>
    <row r="10682" customFormat="false" ht="15" hidden="false" customHeight="false" outlineLevel="0" collapsed="false">
      <c r="A10682" s="3" t="s">
        <v>373</v>
      </c>
      <c r="C10682" s="16" t="n">
        <f aca="false">SUMPRODUCT($G$10595:$K$10595,$G$10594:$K$10594-$G$10600:$K$10600+$G$10599:$K$10599)</f>
        <v>350</v>
      </c>
    </row>
    <row r="10683" customFormat="false" ht="15" hidden="false" customHeight="false" outlineLevel="0" collapsed="false">
      <c r="A10683" s="3" t="s">
        <v>374</v>
      </c>
      <c r="C10683" s="16" t="n">
        <f aca="false">SUMPRODUCT($G$10595:$K$10595,$G$10602:$K$10602)</f>
        <v>0</v>
      </c>
    </row>
    <row r="10684" customFormat="false" ht="15" hidden="false" customHeight="false" outlineLevel="0" collapsed="false">
      <c r="A10684" s="3" t="s">
        <v>375</v>
      </c>
      <c r="C10684" s="3" t="str">
        <f aca="false">IF(SUM($G$10595:$K$10595)=0,"n/a (beyond horizon)",IF(SUMPRODUCT($G$10595:$K$10595,$G$10527:$K$10527)&gt;0,"REFINANCING PASS","REFINANCING FAILURE"))</f>
        <v>REFINANCING FAILURE</v>
      </c>
    </row>
    <row r="10685" customFormat="false" ht="15" hidden="false" customHeight="false" outlineLevel="0" collapsed="false">
      <c r="A10685" s="3" t="s">
        <v>376</v>
      </c>
      <c r="C10685" s="3" t="str">
        <f aca="false">IF(SUM($G$10595:$K$10595)=0,"n/a",IF(C10683&gt;=C10682-0.001,"Repaid from cash",IF(SUMPRODUCT($G$10595:$K$10595,$G$10527:$K$10527)&gt;0,IF(C10683&gt;0,"Partly repaid; remainder refinanced","Refinanced"),IF(SUM($G$10604:$K$10604)&gt;0.001,IF(C10683&gt;0,"Partial repayment; PAYMENT DEFAULT","PAYMENT DEFAULT"),"Repaid from cash"))))</f>
        <v>PAYMENT DEFAULT</v>
      </c>
    </row>
    <row r="10686" customFormat="false" ht="15" hidden="false" customHeight="false" outlineLevel="0" collapsed="false">
      <c r="A10686" s="3" t="s">
        <v>377</v>
      </c>
      <c r="C10686" s="16" t="n">
        <f aca="false">SUMPRODUCT($G$10608:$K$10608,$G$10607:$K$10607-$G$10613:$K$10613+$G$10612:$K$10612)</f>
        <v>550</v>
      </c>
    </row>
    <row r="10687" customFormat="false" ht="15" hidden="false" customHeight="false" outlineLevel="0" collapsed="false">
      <c r="A10687" s="3" t="s">
        <v>378</v>
      </c>
      <c r="C10687" s="16" t="n">
        <f aca="false">SUMPRODUCT($G$10608:$K$10608,$G$10615:$K$10615)</f>
        <v>0</v>
      </c>
    </row>
    <row r="10688" customFormat="false" ht="15" hidden="false" customHeight="false" outlineLevel="0" collapsed="false">
      <c r="A10688" s="3" t="s">
        <v>379</v>
      </c>
      <c r="C10688" s="3" t="str">
        <f aca="false">IF(SUM($G$10608:$K$10608)=0,"n/a (beyond horizon)",IF(SUMPRODUCT($G$10608:$K$10608,$G$10527:$K$10527)&gt;0,"REFINANCING PASS","REFINANCING FAILURE"))</f>
        <v>REFINANCING FAILURE</v>
      </c>
    </row>
    <row r="10689" customFormat="false" ht="15" hidden="false" customHeight="false" outlineLevel="0" collapsed="false">
      <c r="A10689" s="3" t="s">
        <v>380</v>
      </c>
      <c r="C10689" s="3" t="str">
        <f aca="false">IF(SUM($G$10608:$K$10608)=0,"n/a",IF(C10687&gt;=C10686-0.001,"Repaid from cash",IF(SUMPRODUCT($G$10608:$K$10608,$G$10527:$K$10527)&gt;0,IF(C10687&gt;0,"Partly repaid; remainder refinanced","Refinanced"),IF(SUM($G$10617:$K$10617)&gt;0.001,IF(C10687&gt;0,"Partial repayment; PAYMENT DEFAULT","PAYMENT DEFAULT"),"Repaid from cash"))))</f>
        <v>PAYMENT DEFAULT</v>
      </c>
    </row>
    <row r="10690" customFormat="false" ht="15" hidden="false" customHeight="false" outlineLevel="0" collapsed="false">
      <c r="A10690" s="3" t="s">
        <v>381</v>
      </c>
      <c r="C10690" s="16" t="n">
        <f aca="false">SUMPRODUCT($G$10621:$K$10621,$G$10620:$K$10620-$G$10626:$K$10626+$G$10625:$K$10625)</f>
        <v>350</v>
      </c>
    </row>
    <row r="10691" customFormat="false" ht="15" hidden="false" customHeight="false" outlineLevel="0" collapsed="false">
      <c r="A10691" s="3" t="s">
        <v>382</v>
      </c>
      <c r="C10691" s="16" t="n">
        <f aca="false">SUMPRODUCT($G$10621:$K$10621,$G$10628:$K$10628)</f>
        <v>0</v>
      </c>
    </row>
    <row r="10692" customFormat="false" ht="15" hidden="false" customHeight="false" outlineLevel="0" collapsed="false">
      <c r="A10692" s="3" t="s">
        <v>383</v>
      </c>
      <c r="C10692" s="3" t="str">
        <f aca="false">IF(SUM($G$10621:$K$10621)=0,"n/a (beyond horizon)",IF(SUMPRODUCT($G$10621:$K$10621,$G$10527:$K$10527)&gt;0,"REFINANCING PASS","REFINANCING FAILURE"))</f>
        <v>REFINANCING FAILURE</v>
      </c>
    </row>
    <row r="10693" customFormat="false" ht="15" hidden="false" customHeight="false" outlineLevel="0" collapsed="false">
      <c r="A10693" s="3" t="s">
        <v>384</v>
      </c>
      <c r="C10693" s="3" t="str">
        <f aca="false">IF(SUM($G$10621:$K$10621)=0,"n/a",IF(C10691&gt;=C10690-0.001,"Repaid from cash",IF(SUMPRODUCT($G$10621:$K$10621,$G$10527:$K$10527)&gt;0,IF(C10691&gt;0,"Partly repaid; remainder refinanced","Refinanced"),IF(SUM($G$10630:$K$10630)&gt;0.001,IF(C10691&gt;0,"Partial repayment; PAYMENT DEFAULT","PAYMENT DEFAULT"),"Repaid from cash"))))</f>
        <v>PAYMENT DEFAULT</v>
      </c>
    </row>
    <row r="10694" customFormat="false" ht="15" hidden="false" customHeight="false" outlineLevel="0" collapsed="false">
      <c r="A10694" s="3" t="s">
        <v>385</v>
      </c>
      <c r="C10694" s="16" t="n">
        <f aca="false">SUMPRODUCT($G$10634:$K$10634,$G$10633:$K$10633-$G$10639:$K$10639+$G$10638:$K$10638)</f>
        <v>300</v>
      </c>
    </row>
    <row r="10695" customFormat="false" ht="15" hidden="false" customHeight="false" outlineLevel="0" collapsed="false">
      <c r="A10695" s="3" t="s">
        <v>386</v>
      </c>
      <c r="C10695" s="16" t="n">
        <f aca="false">SUMPRODUCT($G$10634:$K$10634,$G$10641:$K$10641)</f>
        <v>0</v>
      </c>
    </row>
    <row r="10696" customFormat="false" ht="15" hidden="false" customHeight="false" outlineLevel="0" collapsed="false">
      <c r="A10696" s="3" t="s">
        <v>387</v>
      </c>
      <c r="C10696" s="3" t="str">
        <f aca="false">IF(SUM($G$10634:$K$10634)=0,"n/a (beyond horizon)",IF(SUMPRODUCT($G$10634:$K$10634,$G$10527:$K$10527)&gt;0,"REFINANCING PASS","REFINANCING FAILURE"))</f>
        <v>REFINANCING FAILURE</v>
      </c>
    </row>
    <row r="10697" customFormat="false" ht="15" hidden="false" customHeight="false" outlineLevel="0" collapsed="false">
      <c r="A10697" s="3" t="s">
        <v>388</v>
      </c>
      <c r="C10697" s="3" t="str">
        <f aca="false">IF(SUM($G$10634:$K$10634)=0,"n/a",IF(C10695&gt;=C10694-0.001,"Repaid from cash",IF(SUMPRODUCT($G$10634:$K$10634,$G$10527:$K$10527)&gt;0,IF(C10695&gt;0,"Partly repaid; remainder refinanced","Refinanced"),IF(SUM($G$10643:$K$10643)&gt;0.001,IF(C10695&gt;0,"Partial repayment; PAYMENT DEFAULT","PAYMENT DEFAULT"),"Repaid from cash"))))</f>
        <v>PAYMENT DEFAULT</v>
      </c>
    </row>
    <row r="10698" customFormat="false" ht="15" hidden="false" customHeight="false" outlineLevel="0" collapsed="false">
      <c r="A10698" s="3" t="s">
        <v>389</v>
      </c>
      <c r="C10698" s="16" t="n">
        <f aca="false">SUMPRODUCT($G$10647:$K$10647,$G$10646:$K$10646-$G$10652:$K$10652+$G$10651:$K$10651)</f>
        <v>0</v>
      </c>
    </row>
    <row r="10699" customFormat="false" ht="15" hidden="false" customHeight="false" outlineLevel="0" collapsed="false">
      <c r="A10699" s="3" t="s">
        <v>390</v>
      </c>
      <c r="C10699" s="16" t="n">
        <f aca="false">SUMPRODUCT($G$10647:$K$10647,$G$10654:$K$10654)</f>
        <v>0</v>
      </c>
    </row>
    <row r="10700" customFormat="false" ht="15" hidden="false" customHeight="false" outlineLevel="0" collapsed="false">
      <c r="A10700" s="3" t="s">
        <v>391</v>
      </c>
      <c r="C10700" s="3" t="str">
        <f aca="false">IF(SUM($G$10647:$K$10647)=0,"n/a (beyond horizon)",IF(SUMPRODUCT($G$10647:$K$10647,$G$10527:$K$10527)&gt;0,"REFINANCING PASS","REFINANCING FAILURE"))</f>
        <v>n/a (beyond horizon)</v>
      </c>
    </row>
    <row r="10701" customFormat="false" ht="15" hidden="false" customHeight="false" outlineLevel="0" collapsed="false">
      <c r="A10701" s="3" t="s">
        <v>392</v>
      </c>
      <c r="C10701" s="3" t="str">
        <f aca="false">IF(SUM($G$10647:$K$10647)=0,"n/a",IF(C10699&gt;=C10698-0.001,"Repaid from cash",IF(SUMPRODUCT($G$10647:$K$10647,$G$10527:$K$10527)&gt;0,IF(C10699&gt;0,"Partly repaid; remainder refinanced","Refinanced"),IF(SUM($G$10656:$K$10656)&gt;0.001,IF(C10699&gt;0,"Partial repayment; PAYMENT DEFAULT","PAYMENT DEFAULT"),"Repaid from cash"))))</f>
        <v>n/a</v>
      </c>
    </row>
    <row r="10702" customFormat="false" ht="15" hidden="false" customHeight="false" outlineLevel="0" collapsed="false">
      <c r="A10702" s="3" t="s">
        <v>393</v>
      </c>
      <c r="C10702" s="21" t="n">
        <f aca="false">IF(C10664="REFINANCING FAILURE",1,0)+IF(C10668="REFINANCING FAILURE",1,0)+IF(C10672="REFINANCING FAILURE",1,0)+IF(C10676="REFINANCING FAILURE",1,0)+IF(C10680="REFINANCING FAILURE",1,0)+IF(C10684="REFINANCING FAILURE",1,0)+IF(C10688="REFINANCING FAILURE",1,0)+IF(C10692="REFINANCING FAILURE",1,0)+IF(C10696="REFINANCING FAILURE",1,0)+IF(C10700="REFINANCING FAILURE",1,0)</f>
        <v>7</v>
      </c>
    </row>
    <row r="10704" customFormat="false" ht="15" hidden="false" customHeight="false" outlineLevel="0" collapsed="false">
      <c r="A10704" s="24" t="s">
        <v>395</v>
      </c>
      <c r="B10704" s="25"/>
      <c r="C10704" s="25"/>
      <c r="D10704" s="25"/>
      <c r="E10704" s="25"/>
      <c r="F10704" s="25"/>
      <c r="G10704" s="25"/>
      <c r="H10704" s="25"/>
      <c r="I10704" s="25"/>
      <c r="J10704" s="25"/>
      <c r="K10704" s="25"/>
    </row>
    <row r="10705" customFormat="false" ht="15" hidden="false" customHeight="false" outlineLevel="0" collapsed="false">
      <c r="A10705" s="3" t="s">
        <v>325</v>
      </c>
      <c r="G10705" s="16" t="n">
        <f aca="false">F10717</f>
        <v>37.87</v>
      </c>
      <c r="H10705" s="16" t="n">
        <f aca="false">G10717</f>
        <v>96.2636796</v>
      </c>
      <c r="I10705" s="16" t="n">
        <f aca="false">H10717</f>
        <v>0</v>
      </c>
      <c r="J10705" s="16" t="n">
        <f aca="false">I10717</f>
        <v>-66.99988231287</v>
      </c>
      <c r="K10705" s="16" t="n">
        <f aca="false">J10717</f>
        <v>-131.50697722579</v>
      </c>
    </row>
    <row r="10706" customFormat="false" ht="15" hidden="false" customHeight="false" outlineLevel="0" collapsed="false">
      <c r="A10706" s="3" t="s">
        <v>396</v>
      </c>
      <c r="G10706" s="16" t="n">
        <f aca="false">G10516</f>
        <v>-37.6063204</v>
      </c>
      <c r="H10706" s="16" t="n">
        <f aca="false">H10516</f>
        <v>-59.90780896</v>
      </c>
      <c r="I10706" s="16" t="n">
        <f aca="false">I10516</f>
        <v>-62.99988231287</v>
      </c>
      <c r="J10706" s="16" t="n">
        <f aca="false">J10516</f>
        <v>-60.50709491292</v>
      </c>
      <c r="K10706" s="16" t="n">
        <f aca="false">K10516</f>
        <v>-54.656480429053</v>
      </c>
    </row>
    <row r="10707" customFormat="false" ht="15" hidden="false" customHeight="false" outlineLevel="0" collapsed="false">
      <c r="A10707" s="3" t="s">
        <v>397</v>
      </c>
      <c r="G10707" s="16" t="n">
        <f aca="false">CHOOSE($C$10486,Assumptions!$G$82,Assumptions!$G$101,Assumptions!$G$120)</f>
        <v>100</v>
      </c>
      <c r="H10707" s="16" t="n">
        <f aca="false">CHOOSE($C$10486,Assumptions!$H$82,Assumptions!$H$101,Assumptions!$H$120)</f>
        <v>0</v>
      </c>
      <c r="I10707" s="16" t="n">
        <f aca="false">CHOOSE($C$10486,Assumptions!$I$82,Assumptions!$I$101,Assumptions!$I$120)</f>
        <v>0</v>
      </c>
      <c r="J10707" s="16" t="n">
        <f aca="false">CHOOSE($C$10486,Assumptions!$J$82,Assumptions!$J$101,Assumptions!$J$120)</f>
        <v>0</v>
      </c>
      <c r="K10707" s="16" t="n">
        <f aca="false">CHOOSE($C$10486,Assumptions!$K$82,Assumptions!$K$101,Assumptions!$K$120)</f>
        <v>0</v>
      </c>
    </row>
    <row r="10708" customFormat="false" ht="15" hidden="false" customHeight="false" outlineLevel="0" collapsed="false">
      <c r="A10708" s="3" t="s">
        <v>398</v>
      </c>
      <c r="G10708" s="16" t="n">
        <f aca="false">G10535+G10548+G10561+G10574+G10587+G10600+G10613+G10626+G10639+G10652</f>
        <v>4</v>
      </c>
      <c r="H10708" s="16" t="n">
        <f aca="false">H10535+H10548+H10561+H10574+H10587+H10600+H10613+H10626+H10639+H10652</f>
        <v>4</v>
      </c>
      <c r="I10708" s="16" t="n">
        <f aca="false">I10535+I10548+I10561+I10574+I10587+I10600+I10613+I10626+I10639+I10652</f>
        <v>4</v>
      </c>
      <c r="J10708" s="16" t="n">
        <f aca="false">J10535+J10548+J10561+J10574+J10587+J10600+J10613+J10626+J10639+J10652</f>
        <v>4</v>
      </c>
      <c r="K10708" s="16" t="n">
        <f aca="false">K10535+K10548+K10561+K10574+K10587+K10600+K10613+K10626+K10639+K10652</f>
        <v>4</v>
      </c>
    </row>
    <row r="10709" customFormat="false" ht="15" hidden="false" customHeight="false" outlineLevel="0" collapsed="false">
      <c r="A10709" s="2" t="s">
        <v>399</v>
      </c>
      <c r="G10709" s="17" t="n">
        <f aca="false">G10705+G10706+G10707-G10708</f>
        <v>96.2636796</v>
      </c>
      <c r="H10709" s="17" t="n">
        <f aca="false">H10705+H10706+H10707-H10708</f>
        <v>32.3558706400001</v>
      </c>
      <c r="I10709" s="17" t="n">
        <f aca="false">I10705+I10706+I10707-I10708</f>
        <v>-66.99988231287</v>
      </c>
      <c r="J10709" s="17" t="n">
        <f aca="false">J10705+J10706+J10707-J10708</f>
        <v>-131.50697722579</v>
      </c>
      <c r="K10709" s="17" t="n">
        <f aca="false">K10705+K10706+K10707-K10708</f>
        <v>-190.163457654843</v>
      </c>
    </row>
    <row r="10710" customFormat="false" ht="15" hidden="false" customHeight="false" outlineLevel="0" collapsed="false">
      <c r="A10710" s="3" t="s">
        <v>400</v>
      </c>
      <c r="G10710" s="16" t="n">
        <f aca="false">G10536+G10549+G10562+G10575+G10588+G10601+G10614+G10627+G10640+G10653</f>
        <v>0</v>
      </c>
      <c r="H10710" s="16" t="n">
        <f aca="false">H10536+H10549+H10562+H10575+H10588+H10601+H10614+H10627+H10640+H10653</f>
        <v>0</v>
      </c>
      <c r="I10710" s="16" t="n">
        <f aca="false">I10536+I10549+I10562+I10575+I10588+I10601+I10614+I10627+I10640+I10653</f>
        <v>0</v>
      </c>
      <c r="J10710" s="16" t="n">
        <f aca="false">J10536+J10549+J10562+J10575+J10588+J10601+J10614+J10627+J10640+J10653</f>
        <v>0</v>
      </c>
      <c r="K10710" s="16" t="n">
        <f aca="false">K10536+K10549+K10562+K10575+K10588+K10601+K10614+K10627+K10640+K10653</f>
        <v>0</v>
      </c>
    </row>
    <row r="10711" customFormat="false" ht="15" hidden="false" customHeight="false" outlineLevel="0" collapsed="false">
      <c r="A10711" s="2" t="s">
        <v>401</v>
      </c>
      <c r="G10711" s="17" t="n">
        <f aca="false">G10709+G10710</f>
        <v>96.2636796</v>
      </c>
      <c r="H10711" s="17" t="n">
        <f aca="false">H10709+H10710</f>
        <v>32.3558706400001</v>
      </c>
      <c r="I10711" s="17" t="n">
        <f aca="false">I10709+I10710</f>
        <v>-66.99988231287</v>
      </c>
      <c r="J10711" s="17" t="n">
        <f aca="false">J10709+J10710</f>
        <v>-131.50697722579</v>
      </c>
      <c r="K10711" s="17" t="n">
        <f aca="false">K10709+K10710</f>
        <v>-190.163457654843</v>
      </c>
    </row>
    <row r="10712" customFormat="false" ht="15" hidden="false" customHeight="false" outlineLevel="0" collapsed="false">
      <c r="A10712" s="3" t="s">
        <v>402</v>
      </c>
      <c r="G10712" s="16" t="n">
        <f aca="false">G10537+G10550+G10563+G10576+G10589+G10602+G10615+G10628+G10641+G10654</f>
        <v>0</v>
      </c>
      <c r="H10712" s="16" t="n">
        <f aca="false">H10537+H10550+H10563+H10576+H10589+H10602+H10615+H10628+H10641+H10654</f>
        <v>32.3558706400001</v>
      </c>
      <c r="I10712" s="16" t="n">
        <f aca="false">I10537+I10550+I10563+I10576+I10589+I10602+I10615+I10628+I10641+I10654</f>
        <v>0</v>
      </c>
      <c r="J10712" s="16" t="n">
        <f aca="false">J10537+J10550+J10563+J10576+J10589+J10602+J10615+J10628+J10641+J10654</f>
        <v>0</v>
      </c>
      <c r="K10712" s="16" t="n">
        <f aca="false">K10537+K10550+K10563+K10576+K10589+K10602+K10615+K10628+K10641+K10654</f>
        <v>0</v>
      </c>
    </row>
    <row r="10713" customFormat="false" ht="15" hidden="false" customHeight="false" outlineLevel="0" collapsed="false">
      <c r="A10713" s="2" t="s">
        <v>403</v>
      </c>
      <c r="G10713" s="17" t="n">
        <f aca="false">G10711-G10712</f>
        <v>96.2636796</v>
      </c>
      <c r="H10713" s="17" t="n">
        <f aca="false">H10711-H10712</f>
        <v>0</v>
      </c>
      <c r="I10713" s="17" t="n">
        <f aca="false">I10711-I10712</f>
        <v>-66.99988231287</v>
      </c>
      <c r="J10713" s="17" t="n">
        <f aca="false">J10711-J10712</f>
        <v>-131.50697722579</v>
      </c>
      <c r="K10713" s="17" t="n">
        <f aca="false">K10711-K10712</f>
        <v>-190.163457654843</v>
      </c>
    </row>
    <row r="10714" customFormat="false" ht="15" hidden="false" customHeight="false" outlineLevel="0" collapsed="false">
      <c r="A10714" s="3" t="s">
        <v>404</v>
      </c>
      <c r="G10714" s="16" t="n">
        <f aca="false">MAX(0,-G10713)</f>
        <v>0</v>
      </c>
      <c r="H10714" s="16" t="n">
        <f aca="false">MAX(0,-H10713)</f>
        <v>-0</v>
      </c>
      <c r="I10714" s="16" t="n">
        <f aca="false">MAX(0,-I10713)</f>
        <v>66.99988231287</v>
      </c>
      <c r="J10714" s="16" t="n">
        <f aca="false">MAX(0,-J10713)</f>
        <v>131.50697722579</v>
      </c>
      <c r="K10714" s="16" t="n">
        <f aca="false">MAX(0,-K10713)</f>
        <v>190.163457654843</v>
      </c>
    </row>
    <row r="10715" customFormat="false" ht="15" hidden="false" customHeight="false" outlineLevel="0" collapsed="false">
      <c r="A10715" s="3" t="s">
        <v>405</v>
      </c>
      <c r="G10715" s="16" t="n">
        <f aca="false">MAX(0,G10713-Assumptions!$C$12)*Assumptions!$C$13</f>
        <v>0</v>
      </c>
      <c r="H10715" s="16" t="n">
        <f aca="false">MAX(0,H10713-Assumptions!$C$12)*Assumptions!$C$13</f>
        <v>0</v>
      </c>
      <c r="I10715" s="16" t="n">
        <f aca="false">MAX(0,I10713-Assumptions!$C$12)*Assumptions!$C$13</f>
        <v>0</v>
      </c>
      <c r="J10715" s="16" t="n">
        <f aca="false">MAX(0,J10713-Assumptions!$C$12)*Assumptions!$C$13</f>
        <v>0</v>
      </c>
      <c r="K10715" s="16" t="n">
        <f aca="false">MAX(0,K10713-Assumptions!$C$12)*Assumptions!$C$13</f>
        <v>0</v>
      </c>
    </row>
    <row r="10716" customFormat="false" ht="15" hidden="false" customHeight="false" outlineLevel="0" collapsed="false">
      <c r="A10716" s="3" t="s">
        <v>406</v>
      </c>
      <c r="G10716" s="16" t="n">
        <f aca="false">G10538+G10551+G10564+G10577+G10590+G10603+G10616+G10629+G10642+G10655</f>
        <v>0</v>
      </c>
      <c r="H10716" s="16" t="n">
        <f aca="false">H10538+H10551+H10564+H10577+H10590+H10603+H10616+H10629+H10642+H10655</f>
        <v>0</v>
      </c>
      <c r="I10716" s="16" t="n">
        <f aca="false">I10538+I10551+I10564+I10577+I10590+I10603+I10616+I10629+I10642+I10655</f>
        <v>0</v>
      </c>
      <c r="J10716" s="16" t="n">
        <f aca="false">J10538+J10551+J10564+J10577+J10590+J10603+J10616+J10629+J10642+J10655</f>
        <v>0</v>
      </c>
      <c r="K10716" s="16" t="n">
        <f aca="false">K10538+K10551+K10564+K10577+K10590+K10603+K10616+K10629+K10642+K10655</f>
        <v>0</v>
      </c>
    </row>
    <row r="10717" customFormat="false" ht="15" hidden="false" customHeight="false" outlineLevel="0" collapsed="false">
      <c r="A10717" s="2" t="s">
        <v>407</v>
      </c>
      <c r="F10717" s="28" t="n">
        <f aca="false">Assumptions!$C$11</f>
        <v>37.87</v>
      </c>
      <c r="G10717" s="17" t="n">
        <f aca="false">G10713-G10716</f>
        <v>96.2636796</v>
      </c>
      <c r="H10717" s="17" t="n">
        <f aca="false">H10713-H10716</f>
        <v>0</v>
      </c>
      <c r="I10717" s="17" t="n">
        <f aca="false">I10713-I10716</f>
        <v>-66.99988231287</v>
      </c>
      <c r="J10717" s="17" t="n">
        <f aca="false">J10713-J10716</f>
        <v>-131.50697722579</v>
      </c>
      <c r="K10717" s="17" t="n">
        <f aca="false">K10713-K10716</f>
        <v>-190.163457654843</v>
      </c>
    </row>
    <row r="10718" customFormat="false" ht="15" hidden="false" customHeight="false" outlineLevel="0" collapsed="false">
      <c r="A10718" s="3" t="s">
        <v>408</v>
      </c>
      <c r="G10718" s="16" t="n">
        <f aca="false">G10539+G10552+G10565+G10578+G10591+G10604+G10617+G10630+G10643+G10656</f>
        <v>0</v>
      </c>
      <c r="H10718" s="16" t="n">
        <f aca="false">H10539+H10552+H10565+H10578+H10591+H10604+H10617+H10630+H10643+H10656</f>
        <v>767.64412936</v>
      </c>
      <c r="I10718" s="16" t="n">
        <f aca="false">I10539+I10552+I10565+I10578+I10591+I10604+I10617+I10630+I10643+I10656</f>
        <v>550</v>
      </c>
      <c r="J10718" s="16" t="n">
        <f aca="false">J10539+J10552+J10565+J10578+J10591+J10604+J10617+J10630+J10643+J10656</f>
        <v>350</v>
      </c>
      <c r="K10718" s="16" t="n">
        <f aca="false">K10539+K10552+K10565+K10578+K10591+K10604+K10617+K10630+K10643+K10656</f>
        <v>680</v>
      </c>
    </row>
    <row r="10719" customFormat="false" ht="15" hidden="false" customHeight="false" outlineLevel="0" collapsed="false">
      <c r="A10719" s="3" t="s">
        <v>409</v>
      </c>
      <c r="G10719" s="21" t="n">
        <f aca="false">IF(OR(G10714&gt;0.001,G10718&gt;0.001),1,0)</f>
        <v>0</v>
      </c>
      <c r="H10719" s="21" t="n">
        <f aca="false">IF(OR(H10714&gt;0.001,H10718&gt;0.001),1,0)</f>
        <v>1</v>
      </c>
      <c r="I10719" s="21" t="n">
        <f aca="false">IF(OR(I10714&gt;0.001,I10718&gt;0.001),1,0)</f>
        <v>1</v>
      </c>
      <c r="J10719" s="21" t="n">
        <f aca="false">IF(OR(J10714&gt;0.001,J10718&gt;0.001),1,0)</f>
        <v>1</v>
      </c>
      <c r="K10719" s="21" t="n">
        <f aca="false">IF(OR(K10714&gt;0.001,K10718&gt;0.001),1,0)</f>
        <v>1</v>
      </c>
    </row>
    <row r="10720" customFormat="false" ht="15" hidden="false" customHeight="false" outlineLevel="0" collapsed="false">
      <c r="A10720" s="3" t="s">
        <v>410</v>
      </c>
      <c r="G10720" s="21" t="n">
        <f aca="false">IF(G10719=1,1,0)</f>
        <v>0</v>
      </c>
      <c r="H10720" s="21" t="n">
        <f aca="false">IF(AND(H10719=1,SUM($G$10719:G10719)=0),1,0)</f>
        <v>1</v>
      </c>
      <c r="I10720" s="21" t="n">
        <f aca="false">IF(AND(I10719=1,SUM($G$10719:H10719)=0),1,0)</f>
        <v>0</v>
      </c>
      <c r="J10720" s="21" t="n">
        <f aca="false">IF(AND(J10719=1,SUM($G$10719:I10719)=0),1,0)</f>
        <v>0</v>
      </c>
      <c r="K10720" s="21" t="n">
        <f aca="false">IF(AND(K10719=1,SUM($G$10719:J10719)=0),1,0)</f>
        <v>0</v>
      </c>
    </row>
    <row r="10721" customFormat="false" ht="15" hidden="false" customHeight="false" outlineLevel="0" collapsed="false">
      <c r="A10721" s="3" t="s">
        <v>411</v>
      </c>
      <c r="G10721" s="16" t="n">
        <f aca="false">(G10659-F10659)-(G10710+G10508-G10708-G10712-G10716)</f>
        <v>0</v>
      </c>
      <c r="H10721" s="16" t="n">
        <f aca="false">(H10659-G10659)-(H10710+H10508-H10708-H10712-H10716)</f>
        <v>-3.12638803734444E-013</v>
      </c>
      <c r="I10721" s="16" t="n">
        <f aca="false">(I10659-H10659)-(I10710+I10508-I10708-I10712-I10716)</f>
        <v>0</v>
      </c>
      <c r="J10721" s="16" t="n">
        <f aca="false">(J10659-I10659)-(J10710+J10508-J10708-J10712-J10716)</f>
        <v>0</v>
      </c>
      <c r="K10721" s="16" t="n">
        <f aca="false">(K10659-J10659)-(K10710+K10508-K10708-K10712-K10716)</f>
        <v>0</v>
      </c>
    </row>
    <row r="10723" customFormat="false" ht="15" hidden="false" customHeight="false" outlineLevel="0" collapsed="false">
      <c r="A10723" s="24" t="s">
        <v>413</v>
      </c>
      <c r="B10723" s="25"/>
      <c r="C10723" s="25"/>
      <c r="D10723" s="25"/>
      <c r="E10723" s="25"/>
      <c r="F10723" s="25"/>
      <c r="G10723" s="25"/>
      <c r="H10723" s="25"/>
      <c r="I10723" s="25"/>
      <c r="J10723" s="25"/>
      <c r="K10723" s="25"/>
    </row>
    <row r="10724" customFormat="false" ht="15" hidden="false" customHeight="false" outlineLevel="0" collapsed="false">
      <c r="A10724" s="3" t="s">
        <v>414</v>
      </c>
      <c r="G10724" s="16" t="n">
        <f aca="false">G10659</f>
        <v>2621.934</v>
      </c>
      <c r="H10724" s="16" t="n">
        <f aca="false">H10659</f>
        <v>2585.57812936</v>
      </c>
      <c r="I10724" s="16" t="n">
        <f aca="false">I10659</f>
        <v>2581.57812936</v>
      </c>
      <c r="J10724" s="16" t="n">
        <f aca="false">J10659</f>
        <v>2577.57812936</v>
      </c>
      <c r="K10724" s="16" t="n">
        <f aca="false">K10659</f>
        <v>2573.57812936</v>
      </c>
    </row>
    <row r="10725" customFormat="false" ht="15" hidden="false" customHeight="false" outlineLevel="0" collapsed="false">
      <c r="A10725" s="3" t="s">
        <v>415</v>
      </c>
      <c r="G10725" s="16" t="n">
        <f aca="false">Assumptions!$O$57*G10540+Assumptions!$O$58*G10553+Assumptions!$O$59*G10566+Assumptions!$O$60*G10579+Assumptions!$O$61*G10592+Assumptions!$O$62*G10605+Assumptions!$O$63*G10618+Assumptions!$O$64*G10631+Assumptions!$O$65*G10644+Assumptions!$O$66*G10657</f>
        <v>543.324</v>
      </c>
      <c r="H10725" s="16" t="n">
        <f aca="false">Assumptions!$O$57*H10540+Assumptions!$O$58*H10553+Assumptions!$O$59*H10566+Assumptions!$O$60*H10579+Assumptions!$O$61*H10592+Assumptions!$O$62*H10605+Assumptions!$O$63*H10618+Assumptions!$O$64*H10631+Assumptions!$O$65*H10644+Assumptions!$O$66*H10657</f>
        <v>539.324</v>
      </c>
      <c r="I10725" s="16" t="n">
        <f aca="false">Assumptions!$O$57*I10540+Assumptions!$O$58*I10553+Assumptions!$O$59*I10566+Assumptions!$O$60*I10579+Assumptions!$O$61*I10592+Assumptions!$O$62*I10605+Assumptions!$O$63*I10618+Assumptions!$O$64*I10631+Assumptions!$O$65*I10644+Assumptions!$O$66*I10657</f>
        <v>535.324</v>
      </c>
      <c r="J10725" s="16" t="n">
        <f aca="false">Assumptions!$O$57*J10540+Assumptions!$O$58*J10553+Assumptions!$O$59*J10566+Assumptions!$O$60*J10579+Assumptions!$O$61*J10592+Assumptions!$O$62*J10605+Assumptions!$O$63*J10618+Assumptions!$O$64*J10631+Assumptions!$O$65*J10644+Assumptions!$O$66*J10657</f>
        <v>531.324</v>
      </c>
      <c r="K10725" s="16" t="n">
        <f aca="false">Assumptions!$O$57*K10540+Assumptions!$O$58*K10553+Assumptions!$O$59*K10566+Assumptions!$O$60*K10579+Assumptions!$O$61*K10592+Assumptions!$O$62*K10605+Assumptions!$O$63*K10618+Assumptions!$O$64*K10631+Assumptions!$O$65*K10644+Assumptions!$O$66*K10657</f>
        <v>527.324</v>
      </c>
    </row>
    <row r="10726" customFormat="false" ht="15" hidden="false" customHeight="false" outlineLevel="0" collapsed="false">
      <c r="A10726" s="3" t="s">
        <v>416</v>
      </c>
      <c r="G10726" s="16" t="n">
        <f aca="false">G10724-G10717</f>
        <v>2525.6703204</v>
      </c>
      <c r="H10726" s="16" t="n">
        <f aca="false">H10724-H10717</f>
        <v>2585.57812936</v>
      </c>
      <c r="I10726" s="16" t="n">
        <f aca="false">I10724-I10717</f>
        <v>2648.57801167287</v>
      </c>
      <c r="J10726" s="16" t="n">
        <f aca="false">J10724-J10717</f>
        <v>2709.08510658579</v>
      </c>
      <c r="K10726" s="16" t="n">
        <f aca="false">K10724-K10717</f>
        <v>2763.74158701484</v>
      </c>
    </row>
    <row r="10727" customFormat="false" ht="15" hidden="false" customHeight="false" outlineLevel="0" collapsed="false">
      <c r="A10727" s="3" t="s">
        <v>417</v>
      </c>
      <c r="G10727" s="32" t="n">
        <f aca="false">IF(G10503&gt;0,G10724/G10503,0)</f>
        <v>12.1802153092604</v>
      </c>
      <c r="H10727" s="32" t="n">
        <f aca="false">IF(H10503&gt;0,H10724/H10503,0)</f>
        <v>13.7764287566816</v>
      </c>
      <c r="I10727" s="32" t="n">
        <f aca="false">IF(I10503&gt;0,I10724/I10503,0)</f>
        <v>14.3398638117988</v>
      </c>
      <c r="J10727" s="32" t="n">
        <f aca="false">IF(J10503&gt;0,J10724/J10503,0)</f>
        <v>14.1585601104678</v>
      </c>
      <c r="K10727" s="32" t="n">
        <f aca="false">IF(K10503&gt;0,K10724/K10503,0)</f>
        <v>13.6923476176722</v>
      </c>
    </row>
    <row r="10728" customFormat="false" ht="15" hidden="false" customHeight="false" outlineLevel="0" collapsed="false">
      <c r="A10728" s="3" t="s">
        <v>418</v>
      </c>
      <c r="G10728" s="32" t="n">
        <f aca="false">IF(G10503&gt;0,G10726/G10503,0)</f>
        <v>11.7330216178899</v>
      </c>
      <c r="H10728" s="32" t="n">
        <f aca="false">IF(H10503&gt;0,H10726/H10503,0)</f>
        <v>13.7764287566816</v>
      </c>
      <c r="I10728" s="32" t="n">
        <f aca="false">IF(I10503&gt;0,I10726/I10503,0)</f>
        <v>14.7120273255993</v>
      </c>
      <c r="J10728" s="32" t="n">
        <f aca="false">IF(J10503&gt;0,J10726/J10503,0)</f>
        <v>14.88092403061</v>
      </c>
      <c r="K10728" s="32" t="n">
        <f aca="false">IF(K10503&gt;0,K10726/K10503,0)</f>
        <v>14.7040845984478</v>
      </c>
    </row>
    <row r="10729" customFormat="false" ht="15" hidden="false" customHeight="false" outlineLevel="0" collapsed="false">
      <c r="A10729" s="3" t="s">
        <v>419</v>
      </c>
      <c r="G10729" s="32" t="n">
        <f aca="false">IF(G10507&gt;0,G10503/G10507,0)</f>
        <v>1.10635730517257</v>
      </c>
      <c r="H10729" s="32" t="n">
        <f aca="false">IF(H10507&gt;0,H10503/H10507,0)</f>
        <v>0.970580942344219</v>
      </c>
      <c r="I10729" s="32" t="n">
        <f aca="false">IF(I10507&gt;0,I10503/I10507,0)</f>
        <v>0.945349419923699</v>
      </c>
      <c r="J10729" s="32" t="n">
        <f aca="false">IF(J10507&gt;0,J10503/J10507,0)</f>
        <v>0.958336524300755</v>
      </c>
      <c r="K10729" s="32" t="n">
        <f aca="false">IF(K10507&gt;0,K10503/K10507,0)</f>
        <v>0.991883272164091</v>
      </c>
    </row>
    <row r="10730" customFormat="false" ht="15" hidden="false" customHeight="false" outlineLevel="0" collapsed="false">
      <c r="A10730" s="3" t="s">
        <v>420</v>
      </c>
      <c r="G10730" s="32" t="n">
        <f aca="false">IF(G10507&gt;0,G10506/G10507,0)</f>
        <v>0.249259979231917</v>
      </c>
      <c r="H10730" s="32" t="n">
        <f aca="false">IF(H10507&gt;0,H10506/H10507,0)</f>
        <v>0.168542443422516</v>
      </c>
      <c r="I10730" s="32" t="n">
        <f aca="false">IF(I10507&gt;0,I10506/I10507,0)</f>
        <v>0.155383563521248</v>
      </c>
      <c r="J10730" s="32" t="n">
        <f aca="false">IF(J10507&gt;0,J10506/J10507,0)</f>
        <v>0.166416186821653</v>
      </c>
      <c r="K10730" s="32" t="n">
        <f aca="false">IF(K10507&gt;0,K10506/K10507,0)</f>
        <v>0.190059913187889</v>
      </c>
    </row>
    <row r="10731" customFormat="false" ht="15" hidden="false" customHeight="false" outlineLevel="0" collapsed="false">
      <c r="A10731" s="3" t="s">
        <v>213</v>
      </c>
      <c r="G10731" s="22" t="n">
        <f aca="false">IF(G10724&gt;0,G10516/G10724,0)</f>
        <v>-0.0143429698840627</v>
      </c>
      <c r="H10731" s="22" t="n">
        <f aca="false">IF(H10724&gt;0,H10516/H10724,0)</f>
        <v>-0.0231699859616421</v>
      </c>
      <c r="I10731" s="22" t="n">
        <f aca="false">IF(I10724&gt;0,I10516/I10724,0)</f>
        <v>-0.024403631870126</v>
      </c>
      <c r="J10731" s="22" t="n">
        <f aca="false">IF(J10724&gt;0,J10516/J10724,0)</f>
        <v>-0.0234743980109513</v>
      </c>
      <c r="K10731" s="22" t="n">
        <f aca="false">IF(K10724&gt;0,K10516/K10724,0)</f>
        <v>-0.0212375446486426</v>
      </c>
    </row>
    <row r="10732" customFormat="false" ht="15" hidden="false" customHeight="false" outlineLevel="0" collapsed="false">
      <c r="A10732" s="3" t="s">
        <v>421</v>
      </c>
      <c r="G10732" s="32" t="n">
        <f aca="false">IF(G10507+G10708&gt;0,(G10503-G10514-G10511)/(G10507+G10708),0)</f>
        <v>0.790468134547534</v>
      </c>
      <c r="H10732" s="32" t="n">
        <f aca="false">IF(H10507+H10708&gt;0,(H10503-H10514-H10511)/(H10507+H10708),0)</f>
        <v>0.676203140473724</v>
      </c>
      <c r="I10732" s="32" t="n">
        <f aca="false">IF(I10507+I10708&gt;0,(I10503-I10514-I10511)/(I10507+I10708),0)</f>
        <v>0.655413305326097</v>
      </c>
      <c r="J10732" s="32" t="n">
        <f aca="false">IF(J10507+J10708&gt;0,(J10503-J10514-J10511)/(J10507+J10708),0)</f>
        <v>0.667430039186134</v>
      </c>
      <c r="K10732" s="32" t="n">
        <f aca="false">IF(K10507+K10708&gt;0,(K10503-K10514-K10511)/(K10507+K10708),0)</f>
        <v>0.696858666417401</v>
      </c>
    </row>
    <row r="10733" customFormat="false" ht="15" hidden="false" customHeight="false" outlineLevel="0" collapsed="false">
      <c r="A10733" s="3" t="s">
        <v>422</v>
      </c>
      <c r="G10733" s="16" t="n">
        <f aca="false">MAX(0,G10717)+Assumptions!$P$57*MAX(0,Assumptions!$D$57-G10540)+Assumptions!$P$58*MAX(0,Assumptions!$D$58-G10553)+Assumptions!$P$59*MAX(0,Assumptions!$D$59-G10566)+Assumptions!$P$60*MAX(0,Assumptions!$D$60-G10579)+Assumptions!$P$61*MAX(0,Assumptions!$D$61-G10592)+Assumptions!$P$62*MAX(0,Assumptions!$D$62-G10605)+Assumptions!$P$63*MAX(0,Assumptions!$D$63-G10618)+Assumptions!$P$64*MAX(0,Assumptions!$D$64-G10631)+Assumptions!$P$65*MAX(0,Assumptions!$D$65-G10644)+Assumptions!$P$66*MAX(0,Assumptions!$D$66-G10657)</f>
        <v>670.7636796</v>
      </c>
      <c r="H10733" s="16" t="n">
        <f aca="false">MAX(0,H10717)+Assumptions!$P$57*MAX(0,Assumptions!$D$57-H10540)+Assumptions!$P$58*MAX(0,Assumptions!$D$58-H10553)+Assumptions!$P$59*MAX(0,Assumptions!$D$59-H10566)+Assumptions!$P$60*MAX(0,Assumptions!$D$60-H10579)+Assumptions!$P$61*MAX(0,Assumptions!$D$61-H10592)+Assumptions!$P$62*MAX(0,Assumptions!$D$62-H10605)+Assumptions!$P$63*MAX(0,Assumptions!$D$63-H10618)+Assumptions!$P$64*MAX(0,Assumptions!$D$64-H10631)+Assumptions!$P$65*MAX(0,Assumptions!$D$65-H10644)+Assumptions!$P$66*MAX(0,Assumptions!$D$66-H10657)</f>
        <v>574.5</v>
      </c>
      <c r="I10733" s="16" t="n">
        <f aca="false">MAX(0,I10717)+Assumptions!$P$57*MAX(0,Assumptions!$D$57-I10540)+Assumptions!$P$58*MAX(0,Assumptions!$D$58-I10553)+Assumptions!$P$59*MAX(0,Assumptions!$D$59-I10566)+Assumptions!$P$60*MAX(0,Assumptions!$D$60-I10579)+Assumptions!$P$61*MAX(0,Assumptions!$D$61-I10592)+Assumptions!$P$62*MAX(0,Assumptions!$D$62-I10605)+Assumptions!$P$63*MAX(0,Assumptions!$D$63-I10618)+Assumptions!$P$64*MAX(0,Assumptions!$D$64-I10631)+Assumptions!$P$65*MAX(0,Assumptions!$D$65-I10644)+Assumptions!$P$66*MAX(0,Assumptions!$D$66-I10657)</f>
        <v>574.5</v>
      </c>
      <c r="J10733" s="16" t="n">
        <f aca="false">MAX(0,J10717)+Assumptions!$P$57*MAX(0,Assumptions!$D$57-J10540)+Assumptions!$P$58*MAX(0,Assumptions!$D$58-J10553)+Assumptions!$P$59*MAX(0,Assumptions!$D$59-J10566)+Assumptions!$P$60*MAX(0,Assumptions!$D$60-J10579)+Assumptions!$P$61*MAX(0,Assumptions!$D$61-J10592)+Assumptions!$P$62*MAX(0,Assumptions!$D$62-J10605)+Assumptions!$P$63*MAX(0,Assumptions!$D$63-J10618)+Assumptions!$P$64*MAX(0,Assumptions!$D$64-J10631)+Assumptions!$P$65*MAX(0,Assumptions!$D$65-J10644)+Assumptions!$P$66*MAX(0,Assumptions!$D$66-J10657)</f>
        <v>574.5</v>
      </c>
      <c r="K10733" s="16" t="n">
        <f aca="false">MAX(0,K10717)+Assumptions!$P$57*MAX(0,Assumptions!$D$57-K10540)+Assumptions!$P$58*MAX(0,Assumptions!$D$58-K10553)+Assumptions!$P$59*MAX(0,Assumptions!$D$59-K10566)+Assumptions!$P$60*MAX(0,Assumptions!$D$60-K10579)+Assumptions!$P$61*MAX(0,Assumptions!$D$61-K10592)+Assumptions!$P$62*MAX(0,Assumptions!$D$62-K10605)+Assumptions!$P$63*MAX(0,Assumptions!$D$63-K10618)+Assumptions!$P$64*MAX(0,Assumptions!$D$64-K10631)+Assumptions!$P$65*MAX(0,Assumptions!$D$65-K10644)+Assumptions!$P$66*MAX(0,Assumptions!$D$66-K10657)</f>
        <v>574.5</v>
      </c>
    </row>
    <row r="10734" customFormat="false" ht="15" hidden="false" customHeight="false" outlineLevel="0" collapsed="false">
      <c r="A10734" s="3" t="s">
        <v>423</v>
      </c>
      <c r="G10734" s="22" t="n">
        <f aca="false">IF(G10724&gt;0,G10724/(G10724+MAX(0,G10503*CHOOSE($C$10486,Assumptions!$C$90,Assumptions!$C$109,Assumptions!$C$128)-G10726)),0)</f>
        <v>1</v>
      </c>
      <c r="H10734" s="22" t="n">
        <f aca="false">IF(H10724&gt;0,H10724/(H10724+MAX(0,H10503*CHOOSE($C$10486,Assumptions!$C$90,Assumptions!$C$109,Assumptions!$C$128)-H10726)),0)</f>
        <v>1</v>
      </c>
      <c r="I10734" s="22" t="n">
        <f aca="false">IF(I10724&gt;0,I10724/(I10724+MAX(0,I10503*CHOOSE($C$10486,Assumptions!$C$90,Assumptions!$C$109,Assumptions!$C$128)-I10726)),0)</f>
        <v>1</v>
      </c>
      <c r="J10734" s="22" t="n">
        <f aca="false">IF(J10724&gt;0,J10724/(J10724+MAX(0,J10503*CHOOSE($C$10486,Assumptions!$C$90,Assumptions!$C$109,Assumptions!$C$128)-J10726)),0)</f>
        <v>1</v>
      </c>
      <c r="K10734" s="22" t="n">
        <f aca="false">IF(K10724&gt;0,K10724/(K10724+MAX(0,K10503*CHOOSE($C$10486,Assumptions!$C$90,Assumptions!$C$109,Assumptions!$C$128)-K10726)),0)</f>
        <v>1</v>
      </c>
    </row>
    <row r="10735" customFormat="false" ht="15" hidden="false" customHeight="false" outlineLevel="0" collapsed="false">
      <c r="A10735" s="3" t="s">
        <v>424</v>
      </c>
      <c r="G10735" s="22" t="n">
        <f aca="false">IF(G10724&gt;0,MAX(0,G10717)/G10724,0)</f>
        <v>0.0367147607834522</v>
      </c>
      <c r="H10735" s="22" t="n">
        <f aca="false">IF(H10724&gt;0,MAX(0,H10717)/H10724,0)</f>
        <v>0</v>
      </c>
      <c r="I10735" s="22" t="n">
        <f aca="false">IF(I10724&gt;0,MAX(0,I10717)/I10724,0)</f>
        <v>0</v>
      </c>
      <c r="J10735" s="22" t="n">
        <f aca="false">IF(J10724&gt;0,MAX(0,J10717)/J10724,0)</f>
        <v>0</v>
      </c>
      <c r="K10735" s="22" t="n">
        <f aca="false">IF(K10724&gt;0,MAX(0,K10717)/K10724,0)</f>
        <v>0</v>
      </c>
    </row>
    <row r="10736" customFormat="false" ht="15" hidden="false" customHeight="false" outlineLevel="0" collapsed="false">
      <c r="A10736" s="3" t="s">
        <v>425</v>
      </c>
      <c r="G10736" s="16" t="n">
        <f aca="false">Assumptions!$C$31*(1-CHOOSE($C$10486,Assumptions!$C$93,Assumptions!$C$112,Assumptions!$C$131))</f>
        <v>3162.39046666667</v>
      </c>
      <c r="H10736" s="16" t="n">
        <f aca="false">Assumptions!$C$31*(1-CHOOSE($C$10486,Assumptions!$C$93,Assumptions!$C$112,Assumptions!$C$131))</f>
        <v>3162.39046666667</v>
      </c>
      <c r="I10736" s="16" t="n">
        <f aca="false">Assumptions!$C$31*(1-CHOOSE($C$10486,Assumptions!$C$93,Assumptions!$C$112,Assumptions!$C$131))</f>
        <v>3162.39046666667</v>
      </c>
      <c r="J10736" s="16" t="n">
        <f aca="false">Assumptions!$C$31*(1-CHOOSE($C$10486,Assumptions!$C$93,Assumptions!$C$112,Assumptions!$C$131))</f>
        <v>3162.39046666667</v>
      </c>
      <c r="K10736" s="16" t="n">
        <f aca="false">Assumptions!$C$31*(1-CHOOSE($C$10486,Assumptions!$C$93,Assumptions!$C$112,Assumptions!$C$131))</f>
        <v>3162.39046666667</v>
      </c>
    </row>
    <row r="10737" customFormat="false" ht="15" hidden="false" customHeight="false" outlineLevel="0" collapsed="false">
      <c r="A10737" s="24" t="s">
        <v>426</v>
      </c>
      <c r="B10737" s="25"/>
      <c r="C10737" s="25"/>
      <c r="D10737" s="25"/>
      <c r="E10737" s="25"/>
      <c r="F10737" s="25"/>
      <c r="G10737" s="25"/>
      <c r="H10737" s="25"/>
      <c r="I10737" s="25"/>
      <c r="J10737" s="25"/>
      <c r="K10737" s="25"/>
    </row>
    <row r="10738" customFormat="false" ht="15" hidden="false" customHeight="false" outlineLevel="0" collapsed="false">
      <c r="A10738" s="24" t="s">
        <v>427</v>
      </c>
      <c r="B10738" s="25"/>
      <c r="C10738" s="25"/>
      <c r="D10738" s="25"/>
      <c r="E10738" s="25"/>
      <c r="F10738" s="25"/>
      <c r="G10738" s="25"/>
      <c r="H10738" s="25"/>
      <c r="I10738" s="25"/>
      <c r="J10738" s="25"/>
      <c r="K10738" s="25"/>
    </row>
    <row r="10739" customFormat="false" ht="15" hidden="false" customHeight="false" outlineLevel="0" collapsed="false">
      <c r="A10739" s="3" t="s">
        <v>428</v>
      </c>
      <c r="G10739" s="22" t="n">
        <f aca="false">IF(G10736&gt;0,G10724/G10736,99)</f>
        <v>0.829098755399318</v>
      </c>
      <c r="H10739" s="22" t="n">
        <f aca="false">IF(H10736&gt;0,H10724/H10736,99)</f>
        <v>0.81760242974845</v>
      </c>
      <c r="I10739" s="22" t="n">
        <f aca="false">IF(I10736&gt;0,I10724/I10736,99)</f>
        <v>0.816337563805372</v>
      </c>
      <c r="J10739" s="22" t="n">
        <f aca="false">IF(J10736&gt;0,J10724/J10736,99)</f>
        <v>0.815072697862294</v>
      </c>
      <c r="K10739" s="22" t="n">
        <f aca="false">IF(K10736&gt;0,K10724/K10736,99)</f>
        <v>0.813807831919217</v>
      </c>
    </row>
    <row r="10740" customFormat="false" ht="15" hidden="false" customHeight="false" outlineLevel="0" collapsed="false">
      <c r="A10740" s="3" t="s">
        <v>429</v>
      </c>
      <c r="G10740" s="33" t="n">
        <f aca="false">Assumptions!$G$71</f>
        <v>0.6</v>
      </c>
      <c r="H10740" s="33" t="n">
        <f aca="false">Assumptions!$H$71</f>
        <v>0.6</v>
      </c>
      <c r="I10740" s="33" t="n">
        <f aca="false">Assumptions!$I$71</f>
        <v>0.6</v>
      </c>
      <c r="J10740" s="33" t="n">
        <f aca="false">Assumptions!$J$71</f>
        <v>0.6</v>
      </c>
      <c r="K10740" s="33" t="n">
        <f aca="false">Assumptions!$K$71</f>
        <v>0.6</v>
      </c>
    </row>
    <row r="10741" customFormat="false" ht="15" hidden="false" customHeight="false" outlineLevel="0" collapsed="false">
      <c r="A10741" s="3" t="s">
        <v>430</v>
      </c>
      <c r="G10741" s="22" t="n">
        <f aca="false">G10740-G10739</f>
        <v>-0.229098755399318</v>
      </c>
      <c r="H10741" s="22" t="n">
        <f aca="false">H10740-H10739</f>
        <v>-0.21760242974845</v>
      </c>
      <c r="I10741" s="22" t="n">
        <f aca="false">I10740-I10739</f>
        <v>-0.216337563805372</v>
      </c>
      <c r="J10741" s="22" t="n">
        <f aca="false">J10740-J10739</f>
        <v>-0.215072697862294</v>
      </c>
      <c r="K10741" s="22" t="n">
        <f aca="false">K10740-K10739</f>
        <v>-0.213807831919217</v>
      </c>
    </row>
    <row r="10742" customFormat="false" ht="15" hidden="false" customHeight="false" outlineLevel="0" collapsed="false">
      <c r="A10742" s="3" t="s">
        <v>431</v>
      </c>
      <c r="G10742" s="22" t="n">
        <f aca="false">IF(G10740=0,0,G10741/ABS(G10740))</f>
        <v>-0.381831258998863</v>
      </c>
      <c r="H10742" s="22" t="n">
        <f aca="false">IF(H10740=0,0,H10741/ABS(H10740))</f>
        <v>-0.362670716247416</v>
      </c>
      <c r="I10742" s="22" t="n">
        <f aca="false">IF(I10740=0,0,I10741/ABS(I10740))</f>
        <v>-0.360562606342287</v>
      </c>
      <c r="J10742" s="22" t="n">
        <f aca="false">IF(J10740=0,0,J10741/ABS(J10740))</f>
        <v>-0.358454496437157</v>
      </c>
      <c r="K10742" s="22" t="n">
        <f aca="false">IF(K10740=0,0,K10741/ABS(K10740))</f>
        <v>-0.356346386532028</v>
      </c>
    </row>
    <row r="10743" customFormat="false" ht="15" hidden="false" customHeight="false" outlineLevel="0" collapsed="false">
      <c r="A10743" s="3" t="s">
        <v>432</v>
      </c>
      <c r="G10743" s="21" t="n">
        <f aca="false">IF(G10741&lt;0,1,0)</f>
        <v>1</v>
      </c>
      <c r="H10743" s="21" t="n">
        <f aca="false">IF(H10741&lt;0,1,0)</f>
        <v>1</v>
      </c>
      <c r="I10743" s="21" t="n">
        <f aca="false">IF(I10741&lt;0,1,0)</f>
        <v>1</v>
      </c>
      <c r="J10743" s="21" t="n">
        <f aca="false">IF(J10741&lt;0,1,0)</f>
        <v>1</v>
      </c>
      <c r="K10743" s="21" t="n">
        <f aca="false">IF(K10741&lt;0,1,0)</f>
        <v>1</v>
      </c>
    </row>
    <row r="10744" customFormat="false" ht="15" hidden="false" customHeight="false" outlineLevel="0" collapsed="false">
      <c r="A10744" s="3" t="s">
        <v>433</v>
      </c>
      <c r="C10744" s="21" t="n">
        <f aca="false">IFERROR(INDEX($G$10493:$K$10493,MATCH(1,$G$10743:$K$10743,0)),0)</f>
        <v>2027</v>
      </c>
    </row>
    <row r="10745" customFormat="false" ht="15" hidden="false" customHeight="false" outlineLevel="0" collapsed="false">
      <c r="A10745" s="3" t="s">
        <v>434</v>
      </c>
      <c r="C10745" s="22" t="n">
        <f aca="false">MIN($G$10742:$K$10742)</f>
        <v>-0.381831258998863</v>
      </c>
    </row>
    <row r="10746" customFormat="false" ht="15" hidden="false" customHeight="false" outlineLevel="0" collapsed="false">
      <c r="A10746" s="24" t="s">
        <v>435</v>
      </c>
      <c r="B10746" s="25"/>
      <c r="C10746" s="25"/>
      <c r="D10746" s="25"/>
      <c r="E10746" s="25"/>
      <c r="F10746" s="25"/>
      <c r="G10746" s="25"/>
      <c r="H10746" s="25"/>
      <c r="I10746" s="25"/>
      <c r="J10746" s="25"/>
      <c r="K10746" s="25"/>
    </row>
    <row r="10747" customFormat="false" ht="15" hidden="false" customHeight="false" outlineLevel="0" collapsed="false">
      <c r="A10747" s="3" t="s">
        <v>428</v>
      </c>
      <c r="G10747" s="32" t="n">
        <f aca="false">IF(G10507&gt;0,G10503/G10507,99)</f>
        <v>1.10635730517257</v>
      </c>
      <c r="H10747" s="32" t="n">
        <f aca="false">IF(H10507&gt;0,H10503/H10507,99)</f>
        <v>0.970580942344219</v>
      </c>
      <c r="I10747" s="32" t="n">
        <f aca="false">IF(I10507&gt;0,I10503/I10507,99)</f>
        <v>0.945349419923699</v>
      </c>
      <c r="J10747" s="32" t="n">
        <f aca="false">IF(J10507&gt;0,J10503/J10507,99)</f>
        <v>0.958336524300755</v>
      </c>
      <c r="K10747" s="32" t="n">
        <f aca="false">IF(K10507&gt;0,K10503/K10507,99)</f>
        <v>0.991883272164091</v>
      </c>
    </row>
    <row r="10748" customFormat="false" ht="15" hidden="false" customHeight="false" outlineLevel="0" collapsed="false">
      <c r="A10748" s="3" t="s">
        <v>429</v>
      </c>
      <c r="G10748" s="34" t="n">
        <f aca="false">Assumptions!$G$72</f>
        <v>1.5</v>
      </c>
      <c r="H10748" s="34" t="n">
        <f aca="false">Assumptions!$H$72</f>
        <v>1.5</v>
      </c>
      <c r="I10748" s="34" t="n">
        <f aca="false">Assumptions!$I$72</f>
        <v>1.5</v>
      </c>
      <c r="J10748" s="34" t="n">
        <f aca="false">Assumptions!$J$72</f>
        <v>1.5</v>
      </c>
      <c r="K10748" s="34" t="n">
        <f aca="false">Assumptions!$K$72</f>
        <v>1.5</v>
      </c>
    </row>
    <row r="10749" customFormat="false" ht="15" hidden="false" customHeight="false" outlineLevel="0" collapsed="false">
      <c r="A10749" s="3" t="s">
        <v>430</v>
      </c>
      <c r="G10749" s="32" t="n">
        <f aca="false">G10747-G10748</f>
        <v>-0.393642694827429</v>
      </c>
      <c r="H10749" s="32" t="n">
        <f aca="false">H10747-H10748</f>
        <v>-0.529419057655781</v>
      </c>
      <c r="I10749" s="32" t="n">
        <f aca="false">I10747-I10748</f>
        <v>-0.554650580076301</v>
      </c>
      <c r="J10749" s="32" t="n">
        <f aca="false">J10747-J10748</f>
        <v>-0.541663475699245</v>
      </c>
      <c r="K10749" s="32" t="n">
        <f aca="false">K10747-K10748</f>
        <v>-0.508116727835909</v>
      </c>
    </row>
    <row r="10750" customFormat="false" ht="15" hidden="false" customHeight="false" outlineLevel="0" collapsed="false">
      <c r="A10750" s="3" t="s">
        <v>431</v>
      </c>
      <c r="G10750" s="22" t="n">
        <f aca="false">IF(G10748=0,0,G10749/ABS(G10748))</f>
        <v>-0.262428463218286</v>
      </c>
      <c r="H10750" s="22" t="n">
        <f aca="false">IF(H10748=0,0,H10749/ABS(H10748))</f>
        <v>-0.352946038437187</v>
      </c>
      <c r="I10750" s="22" t="n">
        <f aca="false">IF(I10748=0,0,I10749/ABS(I10748))</f>
        <v>-0.369767053384201</v>
      </c>
      <c r="J10750" s="22" t="n">
        <f aca="false">IF(J10748=0,0,J10749/ABS(J10748))</f>
        <v>-0.361108983799497</v>
      </c>
      <c r="K10750" s="22" t="n">
        <f aca="false">IF(K10748=0,0,K10749/ABS(K10748))</f>
        <v>-0.338744485223939</v>
      </c>
    </row>
    <row r="10751" customFormat="false" ht="15" hidden="false" customHeight="false" outlineLevel="0" collapsed="false">
      <c r="A10751" s="3" t="s">
        <v>432</v>
      </c>
      <c r="G10751" s="21" t="n">
        <f aca="false">IF(G10749&lt;0,1,0)</f>
        <v>1</v>
      </c>
      <c r="H10751" s="21" t="n">
        <f aca="false">IF(H10749&lt;0,1,0)</f>
        <v>1</v>
      </c>
      <c r="I10751" s="21" t="n">
        <f aca="false">IF(I10749&lt;0,1,0)</f>
        <v>1</v>
      </c>
      <c r="J10751" s="21" t="n">
        <f aca="false">IF(J10749&lt;0,1,0)</f>
        <v>1</v>
      </c>
      <c r="K10751" s="21" t="n">
        <f aca="false">IF(K10749&lt;0,1,0)</f>
        <v>1</v>
      </c>
    </row>
    <row r="10752" customFormat="false" ht="15" hidden="false" customHeight="false" outlineLevel="0" collapsed="false">
      <c r="A10752" s="3" t="s">
        <v>433</v>
      </c>
      <c r="C10752" s="21" t="n">
        <f aca="false">IFERROR(INDEX($G$10493:$K$10493,MATCH(1,$G$10751:$K$10751,0)),0)</f>
        <v>2027</v>
      </c>
    </row>
    <row r="10753" customFormat="false" ht="15" hidden="false" customHeight="false" outlineLevel="0" collapsed="false">
      <c r="A10753" s="3" t="s">
        <v>434</v>
      </c>
      <c r="C10753" s="22" t="n">
        <f aca="false">MIN($G$10750:$K$10750)</f>
        <v>-0.369767053384201</v>
      </c>
    </row>
    <row r="10754" customFormat="false" ht="15" hidden="false" customHeight="false" outlineLevel="0" collapsed="false">
      <c r="A10754" s="24" t="s">
        <v>436</v>
      </c>
      <c r="B10754" s="25"/>
      <c r="C10754" s="25"/>
      <c r="D10754" s="25"/>
      <c r="E10754" s="25"/>
      <c r="F10754" s="25"/>
      <c r="G10754" s="25"/>
      <c r="H10754" s="25"/>
      <c r="I10754" s="25"/>
      <c r="J10754" s="25"/>
      <c r="K10754" s="25"/>
    </row>
    <row r="10755" customFormat="false" ht="15" hidden="false" customHeight="false" outlineLevel="0" collapsed="false">
      <c r="A10755" s="3" t="s">
        <v>428</v>
      </c>
      <c r="G10755" s="22" t="n">
        <f aca="false">IF(G10736&gt;0,G10725/G10736,99)</f>
        <v>0.171808005914176</v>
      </c>
      <c r="H10755" s="22" t="n">
        <f aca="false">IF(H10736&gt;0,H10725/H10736,99)</f>
        <v>0.170543139971098</v>
      </c>
      <c r="I10755" s="22" t="n">
        <f aca="false">IF(I10736&gt;0,I10725/I10736,99)</f>
        <v>0.169278274028021</v>
      </c>
      <c r="J10755" s="22" t="n">
        <f aca="false">IF(J10736&gt;0,J10725/J10736,99)</f>
        <v>0.168013408084943</v>
      </c>
      <c r="K10755" s="22" t="n">
        <f aca="false">IF(K10736&gt;0,K10725/K10736,99)</f>
        <v>0.166748542141865</v>
      </c>
    </row>
    <row r="10756" customFormat="false" ht="15" hidden="false" customHeight="false" outlineLevel="0" collapsed="false">
      <c r="A10756" s="3" t="s">
        <v>429</v>
      </c>
      <c r="G10756" s="33" t="n">
        <f aca="false">Assumptions!$G$73</f>
        <v>0.4</v>
      </c>
      <c r="H10756" s="33" t="n">
        <f aca="false">Assumptions!$H$73</f>
        <v>0.4</v>
      </c>
      <c r="I10756" s="33" t="n">
        <f aca="false">Assumptions!$I$73</f>
        <v>0.4</v>
      </c>
      <c r="J10756" s="33" t="n">
        <f aca="false">Assumptions!$J$73</f>
        <v>0.4</v>
      </c>
      <c r="K10756" s="33" t="n">
        <f aca="false">Assumptions!$K$73</f>
        <v>0.4</v>
      </c>
    </row>
    <row r="10757" customFormat="false" ht="15" hidden="false" customHeight="false" outlineLevel="0" collapsed="false">
      <c r="A10757" s="3" t="s">
        <v>430</v>
      </c>
      <c r="G10757" s="22" t="n">
        <f aca="false">G10756-G10755</f>
        <v>0.228191994085824</v>
      </c>
      <c r="H10757" s="22" t="n">
        <f aca="false">H10756-H10755</f>
        <v>0.229456860028902</v>
      </c>
      <c r="I10757" s="22" t="n">
        <f aca="false">I10756-I10755</f>
        <v>0.230721725971979</v>
      </c>
      <c r="J10757" s="22" t="n">
        <f aca="false">J10756-J10755</f>
        <v>0.231986591915057</v>
      </c>
      <c r="K10757" s="22" t="n">
        <f aca="false">K10756-K10755</f>
        <v>0.233251457858135</v>
      </c>
    </row>
    <row r="10758" customFormat="false" ht="15" hidden="false" customHeight="false" outlineLevel="0" collapsed="false">
      <c r="A10758" s="3" t="s">
        <v>431</v>
      </c>
      <c r="G10758" s="22" t="n">
        <f aca="false">IF(G10756=0,0,G10757/ABS(G10756))</f>
        <v>0.57047998521456</v>
      </c>
      <c r="H10758" s="22" t="n">
        <f aca="false">IF(H10756=0,0,H10757/ABS(H10756))</f>
        <v>0.573642150072254</v>
      </c>
      <c r="I10758" s="22" t="n">
        <f aca="false">IF(I10756=0,0,I10757/ABS(I10756))</f>
        <v>0.576804314929948</v>
      </c>
      <c r="J10758" s="22" t="n">
        <f aca="false">IF(J10756=0,0,J10757/ABS(J10756))</f>
        <v>0.579966479787643</v>
      </c>
      <c r="K10758" s="22" t="n">
        <f aca="false">IF(K10756=0,0,K10757/ABS(K10756))</f>
        <v>0.583128644645337</v>
      </c>
    </row>
    <row r="10759" customFormat="false" ht="15" hidden="false" customHeight="false" outlineLevel="0" collapsed="false">
      <c r="A10759" s="3" t="s">
        <v>432</v>
      </c>
      <c r="G10759" s="21" t="n">
        <f aca="false">IF(G10757&lt;0,1,0)</f>
        <v>0</v>
      </c>
      <c r="H10759" s="21" t="n">
        <f aca="false">IF(H10757&lt;0,1,0)</f>
        <v>0</v>
      </c>
      <c r="I10759" s="21" t="n">
        <f aca="false">IF(I10757&lt;0,1,0)</f>
        <v>0</v>
      </c>
      <c r="J10759" s="21" t="n">
        <f aca="false">IF(J10757&lt;0,1,0)</f>
        <v>0</v>
      </c>
      <c r="K10759" s="21" t="n">
        <f aca="false">IF(K10757&lt;0,1,0)</f>
        <v>0</v>
      </c>
    </row>
    <row r="10760" customFormat="false" ht="15" hidden="false" customHeight="false" outlineLevel="0" collapsed="false">
      <c r="A10760" s="3" t="s">
        <v>433</v>
      </c>
      <c r="C10760" s="21" t="n">
        <f aca="false">IFERROR(INDEX($G$10493:$K$10493,MATCH(1,$G$10759:$K$10759,0)),0)</f>
        <v>0</v>
      </c>
    </row>
    <row r="10761" customFormat="false" ht="15" hidden="false" customHeight="false" outlineLevel="0" collapsed="false">
      <c r="A10761" s="3" t="s">
        <v>434</v>
      </c>
      <c r="C10761" s="22" t="n">
        <f aca="false">MIN($G$10758:$K$10758)</f>
        <v>0.57047998521456</v>
      </c>
    </row>
    <row r="10762" customFormat="false" ht="15" hidden="false" customHeight="false" outlineLevel="0" collapsed="false">
      <c r="A10762" s="24" t="s">
        <v>437</v>
      </c>
      <c r="B10762" s="25"/>
      <c r="C10762" s="25"/>
      <c r="D10762" s="25"/>
      <c r="E10762" s="25"/>
      <c r="F10762" s="25"/>
      <c r="G10762" s="25"/>
      <c r="H10762" s="25"/>
      <c r="I10762" s="25"/>
      <c r="J10762" s="25"/>
      <c r="K10762" s="25"/>
    </row>
    <row r="10763" customFormat="false" ht="15" hidden="false" customHeight="false" outlineLevel="0" collapsed="false">
      <c r="A10763" s="3" t="s">
        <v>428</v>
      </c>
      <c r="G10763" s="16" t="n">
        <f aca="false">G10733</f>
        <v>670.7636796</v>
      </c>
      <c r="H10763" s="16" t="n">
        <f aca="false">H10733</f>
        <v>574.5</v>
      </c>
      <c r="I10763" s="16" t="n">
        <f aca="false">I10733</f>
        <v>574.5</v>
      </c>
      <c r="J10763" s="16" t="n">
        <f aca="false">J10733</f>
        <v>574.5</v>
      </c>
      <c r="K10763" s="16" t="n">
        <f aca="false">K10733</f>
        <v>574.5</v>
      </c>
    </row>
    <row r="10764" customFormat="false" ht="15" hidden="false" customHeight="false" outlineLevel="0" collapsed="false">
      <c r="A10764" s="3" t="s">
        <v>429</v>
      </c>
      <c r="G10764" s="29" t="n">
        <f aca="false">Assumptions!$G$74</f>
        <v>100</v>
      </c>
      <c r="H10764" s="29" t="n">
        <f aca="false">Assumptions!$H$74</f>
        <v>100</v>
      </c>
      <c r="I10764" s="29" t="n">
        <f aca="false">Assumptions!$I$74</f>
        <v>100</v>
      </c>
      <c r="J10764" s="29" t="n">
        <f aca="false">Assumptions!$J$74</f>
        <v>100</v>
      </c>
      <c r="K10764" s="29" t="n">
        <f aca="false">Assumptions!$K$74</f>
        <v>100</v>
      </c>
    </row>
    <row r="10765" customFormat="false" ht="15" hidden="false" customHeight="false" outlineLevel="0" collapsed="false">
      <c r="A10765" s="3" t="s">
        <v>430</v>
      </c>
      <c r="G10765" s="16" t="n">
        <f aca="false">G10763-G10764</f>
        <v>570.7636796</v>
      </c>
      <c r="H10765" s="16" t="n">
        <f aca="false">H10763-H10764</f>
        <v>474.5</v>
      </c>
      <c r="I10765" s="16" t="n">
        <f aca="false">I10763-I10764</f>
        <v>474.5</v>
      </c>
      <c r="J10765" s="16" t="n">
        <f aca="false">J10763-J10764</f>
        <v>474.5</v>
      </c>
      <c r="K10765" s="16" t="n">
        <f aca="false">K10763-K10764</f>
        <v>474.5</v>
      </c>
    </row>
    <row r="10766" customFormat="false" ht="15" hidden="false" customHeight="false" outlineLevel="0" collapsed="false">
      <c r="A10766" s="3" t="s">
        <v>431</v>
      </c>
      <c r="G10766" s="22" t="n">
        <f aca="false">IF(G10764=0,0,G10765/ABS(G10764))</f>
        <v>5.707636796</v>
      </c>
      <c r="H10766" s="22" t="n">
        <f aca="false">IF(H10764=0,0,H10765/ABS(H10764))</f>
        <v>4.745</v>
      </c>
      <c r="I10766" s="22" t="n">
        <f aca="false">IF(I10764=0,0,I10765/ABS(I10764))</f>
        <v>4.745</v>
      </c>
      <c r="J10766" s="22" t="n">
        <f aca="false">IF(J10764=0,0,J10765/ABS(J10764))</f>
        <v>4.745</v>
      </c>
      <c r="K10766" s="22" t="n">
        <f aca="false">IF(K10764=0,0,K10765/ABS(K10764))</f>
        <v>4.745</v>
      </c>
    </row>
    <row r="10767" customFormat="false" ht="15" hidden="false" customHeight="false" outlineLevel="0" collapsed="false">
      <c r="A10767" s="3" t="s">
        <v>432</v>
      </c>
      <c r="G10767" s="21" t="n">
        <f aca="false">IF(G10765&lt;0,1,0)</f>
        <v>0</v>
      </c>
      <c r="H10767" s="21" t="n">
        <f aca="false">IF(H10765&lt;0,1,0)</f>
        <v>0</v>
      </c>
      <c r="I10767" s="21" t="n">
        <f aca="false">IF(I10765&lt;0,1,0)</f>
        <v>0</v>
      </c>
      <c r="J10767" s="21" t="n">
        <f aca="false">IF(J10765&lt;0,1,0)</f>
        <v>0</v>
      </c>
      <c r="K10767" s="21" t="n">
        <f aca="false">IF(K10765&lt;0,1,0)</f>
        <v>0</v>
      </c>
    </row>
    <row r="10768" customFormat="false" ht="15" hidden="false" customHeight="false" outlineLevel="0" collapsed="false">
      <c r="A10768" s="3" t="s">
        <v>433</v>
      </c>
      <c r="C10768" s="21" t="n">
        <f aca="false">IFERROR(INDEX($G$10493:$K$10493,MATCH(1,$G$10767:$K$10767,0)),0)</f>
        <v>0</v>
      </c>
    </row>
    <row r="10769" customFormat="false" ht="15" hidden="false" customHeight="false" outlineLevel="0" collapsed="false">
      <c r="A10769" s="3" t="s">
        <v>434</v>
      </c>
      <c r="C10769" s="22" t="n">
        <f aca="false">MIN($G$10766:$K$10766)</f>
        <v>4.745</v>
      </c>
    </row>
    <row r="10770" customFormat="false" ht="15" hidden="false" customHeight="false" outlineLevel="0" collapsed="false">
      <c r="A10770" s="24" t="s">
        <v>438</v>
      </c>
      <c r="B10770" s="25"/>
      <c r="C10770" s="25"/>
      <c r="D10770" s="25"/>
      <c r="E10770" s="25"/>
      <c r="F10770" s="25"/>
      <c r="G10770" s="25"/>
      <c r="H10770" s="25"/>
      <c r="I10770" s="25"/>
      <c r="J10770" s="25"/>
      <c r="K10770" s="25"/>
    </row>
    <row r="10771" customFormat="false" ht="15" hidden="false" customHeight="false" outlineLevel="0" collapsed="false">
      <c r="A10771" s="3" t="s">
        <v>428</v>
      </c>
      <c r="G10771" s="32" t="n">
        <f aca="false">IF(G10503&gt;0,G10726/G10503,99)</f>
        <v>11.7330216178899</v>
      </c>
      <c r="H10771" s="32" t="n">
        <f aca="false">IF(H10503&gt;0,H10726/H10503,99)</f>
        <v>13.7764287566816</v>
      </c>
      <c r="I10771" s="32" t="n">
        <f aca="false">IF(I10503&gt;0,I10726/I10503,99)</f>
        <v>14.7120273255993</v>
      </c>
      <c r="J10771" s="32" t="n">
        <f aca="false">IF(J10503&gt;0,J10726/J10503,99)</f>
        <v>14.88092403061</v>
      </c>
      <c r="K10771" s="32" t="n">
        <f aca="false">IF(K10503&gt;0,K10726/K10503,99)</f>
        <v>14.7040845984478</v>
      </c>
    </row>
    <row r="10772" customFormat="false" ht="15" hidden="false" customHeight="false" outlineLevel="0" collapsed="false">
      <c r="A10772" s="3" t="s">
        <v>429</v>
      </c>
      <c r="G10772" s="34" t="n">
        <f aca="false">Assumptions!$G$75</f>
        <v>10.5</v>
      </c>
      <c r="H10772" s="34" t="n">
        <f aca="false">Assumptions!$H$75</f>
        <v>10.5</v>
      </c>
      <c r="I10772" s="34" t="n">
        <f aca="false">Assumptions!$I$75</f>
        <v>10</v>
      </c>
      <c r="J10772" s="34" t="n">
        <f aca="false">Assumptions!$J$75</f>
        <v>10</v>
      </c>
      <c r="K10772" s="34" t="n">
        <f aca="false">Assumptions!$K$75</f>
        <v>9.5</v>
      </c>
    </row>
    <row r="10773" customFormat="false" ht="15" hidden="false" customHeight="false" outlineLevel="0" collapsed="false">
      <c r="A10773" s="3" t="s">
        <v>430</v>
      </c>
      <c r="G10773" s="32" t="n">
        <f aca="false">G10772-G10771</f>
        <v>-1.23302161788995</v>
      </c>
      <c r="H10773" s="32" t="n">
        <f aca="false">H10772-H10771</f>
        <v>-3.27642875668163</v>
      </c>
      <c r="I10773" s="32" t="n">
        <f aca="false">I10772-I10771</f>
        <v>-4.7120273255993</v>
      </c>
      <c r="J10773" s="32" t="n">
        <f aca="false">J10772-J10771</f>
        <v>-4.88092403060996</v>
      </c>
      <c r="K10773" s="32" t="n">
        <f aca="false">K10772-K10771</f>
        <v>-5.20408459844776</v>
      </c>
    </row>
    <row r="10774" customFormat="false" ht="15" hidden="false" customHeight="false" outlineLevel="0" collapsed="false">
      <c r="A10774" s="3" t="s">
        <v>431</v>
      </c>
      <c r="G10774" s="22" t="n">
        <f aca="false">IF(G10772=0,0,G10773/ABS(G10772))</f>
        <v>-0.117430630275233</v>
      </c>
      <c r="H10774" s="22" t="n">
        <f aca="false">IF(H10772=0,0,H10773/ABS(H10772))</f>
        <v>-0.312040833969679</v>
      </c>
      <c r="I10774" s="22" t="n">
        <f aca="false">IF(I10772=0,0,I10773/ABS(I10772))</f>
        <v>-0.47120273255993</v>
      </c>
      <c r="J10774" s="22" t="n">
        <f aca="false">IF(J10772=0,0,J10773/ABS(J10772))</f>
        <v>-0.488092403060996</v>
      </c>
      <c r="K10774" s="22" t="n">
        <f aca="false">IF(K10772=0,0,K10773/ABS(K10772))</f>
        <v>-0.547798378783975</v>
      </c>
    </row>
    <row r="10775" customFormat="false" ht="15" hidden="false" customHeight="false" outlineLevel="0" collapsed="false">
      <c r="A10775" s="3" t="s">
        <v>432</v>
      </c>
      <c r="G10775" s="21" t="n">
        <f aca="false">IF(G10773&lt;0,1,0)</f>
        <v>1</v>
      </c>
      <c r="H10775" s="21" t="n">
        <f aca="false">IF(H10773&lt;0,1,0)</f>
        <v>1</v>
      </c>
      <c r="I10775" s="21" t="n">
        <f aca="false">IF(I10773&lt;0,1,0)</f>
        <v>1</v>
      </c>
      <c r="J10775" s="21" t="n">
        <f aca="false">IF(J10773&lt;0,1,0)</f>
        <v>1</v>
      </c>
      <c r="K10775" s="21" t="n">
        <f aca="false">IF(K10773&lt;0,1,0)</f>
        <v>1</v>
      </c>
    </row>
    <row r="10776" customFormat="false" ht="15" hidden="false" customHeight="false" outlineLevel="0" collapsed="false">
      <c r="A10776" s="3" t="s">
        <v>433</v>
      </c>
      <c r="C10776" s="21" t="n">
        <f aca="false">IFERROR(INDEX($G$10493:$K$10493,MATCH(1,$G$10775:$K$10775,0)),0)</f>
        <v>2027</v>
      </c>
    </row>
    <row r="10777" customFormat="false" ht="15" hidden="false" customHeight="false" outlineLevel="0" collapsed="false">
      <c r="A10777" s="3" t="s">
        <v>434</v>
      </c>
      <c r="C10777" s="22" t="n">
        <f aca="false">MIN($G$10774:$K$10774)</f>
        <v>-0.547798378783975</v>
      </c>
    </row>
    <row r="10778" customFormat="false" ht="15" hidden="false" customHeight="false" outlineLevel="0" collapsed="false">
      <c r="A10778" s="3" t="s">
        <v>439</v>
      </c>
      <c r="G10778" s="21" t="n">
        <f aca="false">G10743+G10751+G10759+G10767+G10775</f>
        <v>3</v>
      </c>
      <c r="H10778" s="21" t="n">
        <f aca="false">H10743+H10751+H10759+H10767+H10775</f>
        <v>3</v>
      </c>
      <c r="I10778" s="21" t="n">
        <f aca="false">I10743+I10751+I10759+I10767+I10775</f>
        <v>3</v>
      </c>
      <c r="J10778" s="21" t="n">
        <f aca="false">J10743+J10751+J10759+J10767+J10775</f>
        <v>3</v>
      </c>
      <c r="K10778" s="21" t="n">
        <f aca="false">K10743+K10751+K10759+K10767+K10775</f>
        <v>3</v>
      </c>
    </row>
    <row r="10779" customFormat="false" ht="15" hidden="false" customHeight="false" outlineLevel="0" collapsed="false">
      <c r="A10779" s="3" t="s">
        <v>440</v>
      </c>
      <c r="C10779" s="21" t="n">
        <f aca="false">SUM($G$10778:$K$10778)</f>
        <v>15</v>
      </c>
    </row>
    <row r="10780" customFormat="false" ht="15" hidden="false" customHeight="false" outlineLevel="0" collapsed="false">
      <c r="A10780" s="3" t="s">
        <v>441</v>
      </c>
      <c r="C10780" s="22" t="n">
        <f aca="false">MIN(C10745,C10753,C10761,C10769,C10777)</f>
        <v>-0.547798378783975</v>
      </c>
    </row>
    <row r="10782" customFormat="false" ht="15" hidden="false" customHeight="false" outlineLevel="0" collapsed="false">
      <c r="A10782" s="24" t="s">
        <v>543</v>
      </c>
      <c r="B10782" s="25"/>
      <c r="C10782" s="25"/>
      <c r="D10782" s="25"/>
      <c r="E10782" s="25"/>
      <c r="F10782" s="25"/>
      <c r="G10782" s="25"/>
      <c r="H10782" s="25"/>
      <c r="I10782" s="25"/>
      <c r="J10782" s="25"/>
      <c r="K10782" s="25"/>
    </row>
    <row r="10783" customFormat="false" ht="15" hidden="false" customHeight="false" outlineLevel="0" collapsed="false">
      <c r="A10783" s="3" t="s">
        <v>544</v>
      </c>
      <c r="G10783" s="21" t="n">
        <f aca="false">IF($C$10784=1,G10720,IF(G10503=MIN($G$10503:$K$10503),1,0))</f>
        <v>0</v>
      </c>
      <c r="H10783" s="21" t="n">
        <f aca="false">IF($C$10784=1,H10720,IF(AND(H10503=MIN($G$10503:$K$10503),SUM($G$10783:G10783)=0),1,0))</f>
        <v>1</v>
      </c>
      <c r="I10783" s="21" t="n">
        <f aca="false">IF($C$10784=1,I10720,IF(AND(I10503=MIN($G$10503:$K$10503),SUM($G$10783:H10783)=0),1,0))</f>
        <v>0</v>
      </c>
      <c r="J10783" s="21" t="n">
        <f aca="false">IF($C$10784=1,J10720,IF(AND(J10503=MIN($G$10503:$K$10503),SUM($G$10783:I10783)=0),1,0))</f>
        <v>0</v>
      </c>
      <c r="K10783" s="21" t="n">
        <f aca="false">IF($C$10784=1,K10720,IF(AND(K10503=MIN($G$10503:$K$10503),SUM($G$10783:J10783)=0),1,0))</f>
        <v>0</v>
      </c>
    </row>
    <row r="10784" customFormat="false" ht="15" hidden="false" customHeight="false" outlineLevel="0" collapsed="false">
      <c r="A10784" s="3" t="s">
        <v>545</v>
      </c>
      <c r="C10784" s="21" t="n">
        <f aca="false">IF(SUM($G$10720:$K$10720)&gt;0,1,0)</f>
        <v>1</v>
      </c>
    </row>
    <row r="10785" customFormat="false" ht="15" hidden="false" customHeight="false" outlineLevel="0" collapsed="false">
      <c r="A10785" s="3" t="s">
        <v>546</v>
      </c>
      <c r="C10785" s="21" t="n">
        <f aca="false">SUMPRODUCT($G$10783:$K$10783,$G$10493:$K$10493)</f>
        <v>2028</v>
      </c>
    </row>
    <row r="10786" customFormat="false" ht="15" hidden="false" customHeight="false" outlineLevel="0" collapsed="false">
      <c r="A10786" s="3" t="s">
        <v>547</v>
      </c>
      <c r="C10786" s="16" t="n">
        <f aca="false">SUMPRODUCT($G$10783:$K$10783,$G$10503:$K$10503)</f>
        <v>187.68130515</v>
      </c>
    </row>
    <row r="10787" customFormat="false" ht="15" hidden="false" customHeight="false" outlineLevel="0" collapsed="false">
      <c r="A10787" s="3" t="s">
        <v>548</v>
      </c>
      <c r="C10787" s="16" t="n">
        <f aca="false">MAX(0,SUMPRODUCT($G$10783:$K$10783,$G$10717:$K$10717))</f>
        <v>0</v>
      </c>
    </row>
    <row r="10788" customFormat="false" ht="15" hidden="false" customHeight="false" outlineLevel="0" collapsed="false">
      <c r="A10788" s="3" t="s">
        <v>549</v>
      </c>
      <c r="C10788" s="16" t="n">
        <f aca="false">(CHOOSE($C$10486,Assumptions!$C$92,Assumptions!$C$111,Assumptions!$C$130)+$C$10490)*C10786</f>
        <v>1501.4504412</v>
      </c>
    </row>
    <row r="10789" customFormat="false" ht="15" hidden="false" customHeight="false" outlineLevel="0" collapsed="false">
      <c r="A10789" s="3" t="s">
        <v>550</v>
      </c>
      <c r="C10789" s="16" t="n">
        <f aca="false">Assumptions!$C$31*(1-CHOOSE($C$10486,Assumptions!$C$93,Assumptions!$C$112,Assumptions!$C$131))*CHOOSE($C$10486,Assumptions!$C$94,Assumptions!$C$113,Assumptions!$C$132)</f>
        <v>2688.03189666667</v>
      </c>
    </row>
    <row r="10790" customFormat="false" ht="15" hidden="false" customHeight="false" outlineLevel="0" collapsed="false">
      <c r="A10790" s="3" t="s">
        <v>551</v>
      </c>
      <c r="C10790" s="16" t="n">
        <f aca="false">MAX(C10788,C10789)+C10787</f>
        <v>2688.03189666667</v>
      </c>
    </row>
    <row r="10791" customFormat="false" ht="15" hidden="false" customHeight="false" outlineLevel="0" collapsed="false">
      <c r="A10791" s="2" t="s">
        <v>552</v>
      </c>
      <c r="C10791" s="17" t="n">
        <f aca="false">IF(ISNUMBER(Assumptions!$C$14),Assumptions!$C$14,C10790)</f>
        <v>2688.03189666667</v>
      </c>
    </row>
    <row r="10792" customFormat="false" ht="15" hidden="false" customHeight="false" outlineLevel="0" collapsed="false">
      <c r="A10792" s="3" t="s">
        <v>553</v>
      </c>
      <c r="C10792" s="16" t="n">
        <f aca="false">C10791*Assumptions!$C$15</f>
        <v>107.521275866667</v>
      </c>
    </row>
    <row r="10793" customFormat="false" ht="15" hidden="false" customHeight="false" outlineLevel="0" collapsed="false">
      <c r="A10793" s="2" t="s">
        <v>554</v>
      </c>
      <c r="C10793" s="17" t="n">
        <f aca="false">C10791-C10792</f>
        <v>2580.5106208</v>
      </c>
    </row>
    <row r="10794" customFormat="false" ht="15" hidden="false" customHeight="false" outlineLevel="0" collapsed="false">
      <c r="A10794" s="24" t="s">
        <v>555</v>
      </c>
      <c r="B10794" s="25"/>
      <c r="C10794" s="25"/>
      <c r="D10794" s="25"/>
      <c r="E10794" s="25"/>
      <c r="F10794" s="25"/>
      <c r="G10794" s="25"/>
      <c r="H10794" s="25"/>
      <c r="I10794" s="25"/>
      <c r="J10794" s="25"/>
      <c r="K10794" s="25"/>
    </row>
    <row r="10795" customFormat="false" ht="15" hidden="false" customHeight="false" outlineLevel="0" collapsed="false">
      <c r="A10795" s="3" t="s">
        <v>556</v>
      </c>
      <c r="C10795" s="16" t="n">
        <f aca="false">SUMPRODUCT($G$10783:$K$10783,$G$10540:$K$10540)*(1+SUMPRODUCT($G$10783:$K$10783,$G$10532:$K$10532)*Assumptions!$C$16/12)</f>
        <v>403.76</v>
      </c>
    </row>
    <row r="10796" customFormat="false" ht="15" hidden="false" customHeight="false" outlineLevel="0" collapsed="false">
      <c r="A10796" s="3" t="s">
        <v>557</v>
      </c>
      <c r="C10796" s="16" t="n">
        <f aca="false">SUMPRODUCT($G$10783:$K$10783,$G$10553:$K$10553)*(1+SUMPRODUCT($G$10783:$K$10783,$G$10545:$K$10545)*Assumptions!$C$16/12)</f>
        <v>91.30725</v>
      </c>
    </row>
    <row r="10797" customFormat="false" ht="15" hidden="false" customHeight="false" outlineLevel="0" collapsed="false">
      <c r="A10797" s="3" t="s">
        <v>558</v>
      </c>
      <c r="C10797" s="16" t="n">
        <f aca="false">SUMPRODUCT($G$10783:$K$10783,$G$10566:$K$10566)*(1+SUMPRODUCT($G$10783:$K$10783,$G$10558:$K$10558)*Assumptions!$C$16/12)</f>
        <v>58.3715961</v>
      </c>
    </row>
    <row r="10798" customFormat="false" ht="15" hidden="false" customHeight="false" outlineLevel="0" collapsed="false">
      <c r="A10798" s="3" t="s">
        <v>559</v>
      </c>
      <c r="C10798" s="16" t="n">
        <f aca="false">SUMPRODUCT($G$10783:$K$10783,$G$10579:$K$10579)*(1+SUMPRODUCT($G$10783:$K$10783,$G$10571:$K$10571)*Assumptions!$C$16/12)</f>
        <v>0</v>
      </c>
    </row>
    <row r="10799" customFormat="false" ht="15" hidden="false" customHeight="false" outlineLevel="0" collapsed="false">
      <c r="A10799" s="3" t="s">
        <v>560</v>
      </c>
      <c r="C10799" s="16" t="n">
        <f aca="false">SUMPRODUCT($G$10783:$K$10783,$G$10592:$K$10592)*(1+SUMPRODUCT($G$10783:$K$10783,$G$10584:$K$10584)*Assumptions!$C$16/12)</f>
        <v>421.76836513743</v>
      </c>
    </row>
    <row r="10800" customFormat="false" ht="15" hidden="false" customHeight="false" outlineLevel="0" collapsed="false">
      <c r="A10800" s="3" t="s">
        <v>561</v>
      </c>
      <c r="C10800" s="16" t="n">
        <f aca="false">SUMPRODUCT($G$10783:$K$10783,$G$10605:$K$10605)*(1+SUMPRODUCT($G$10783:$K$10783,$G$10597:$K$10597)*Assumptions!$C$16/12)</f>
        <v>357.2625</v>
      </c>
    </row>
    <row r="10801" customFormat="false" ht="15" hidden="false" customHeight="false" outlineLevel="0" collapsed="false">
      <c r="A10801" s="3" t="s">
        <v>562</v>
      </c>
      <c r="C10801" s="16" t="n">
        <f aca="false">SUMPRODUCT($G$10783:$K$10783,$G$10618:$K$10618)*(1+SUMPRODUCT($G$10783:$K$10783,$G$10610:$K$10610)*Assumptions!$C$16/12)</f>
        <v>562.203125</v>
      </c>
    </row>
    <row r="10802" customFormat="false" ht="15" hidden="false" customHeight="false" outlineLevel="0" collapsed="false">
      <c r="A10802" s="3" t="s">
        <v>563</v>
      </c>
      <c r="C10802" s="16" t="n">
        <f aca="false">SUMPRODUCT($G$10783:$K$10783,$G$10631:$K$10631)*(1+SUMPRODUCT($G$10783:$K$10783,$G$10623:$K$10623)*Assumptions!$C$16/12)</f>
        <v>353.98125</v>
      </c>
    </row>
    <row r="10803" customFormat="false" ht="15" hidden="false" customHeight="false" outlineLevel="0" collapsed="false">
      <c r="A10803" s="3" t="s">
        <v>564</v>
      </c>
      <c r="C10803" s="16" t="n">
        <f aca="false">SUMPRODUCT($G$10783:$K$10783,$G$10644:$K$10644)*(1+SUMPRODUCT($G$10783:$K$10783,$G$10636:$K$10636)*Assumptions!$C$16/12)</f>
        <v>304.59375</v>
      </c>
    </row>
    <row r="10804" customFormat="false" ht="15" hidden="false" customHeight="false" outlineLevel="0" collapsed="false">
      <c r="A10804" s="3" t="s">
        <v>565</v>
      </c>
      <c r="C10804" s="16" t="n">
        <f aca="false">SUMPRODUCT($G$10783:$K$10783,$G$10657:$K$10657)*(1+SUMPRODUCT($G$10783:$K$10783,$G$10649:$K$10649)*Assumptions!$C$16/12)</f>
        <v>80.2332965</v>
      </c>
    </row>
    <row r="10805" customFormat="false" ht="15" hidden="false" customHeight="false" outlineLevel="0" collapsed="false">
      <c r="A10805" s="24" t="s">
        <v>566</v>
      </c>
      <c r="B10805" s="25"/>
      <c r="C10805" s="25"/>
      <c r="D10805" s="25"/>
      <c r="E10805" s="25"/>
      <c r="F10805" s="25"/>
      <c r="G10805" s="25"/>
      <c r="H10805" s="25"/>
      <c r="I10805" s="25"/>
      <c r="J10805" s="25"/>
      <c r="K10805" s="25"/>
    </row>
    <row r="10806" customFormat="false" ht="15" hidden="false" customHeight="false" outlineLevel="0" collapsed="false">
      <c r="A10806" s="3" t="s">
        <v>556</v>
      </c>
      <c r="C10806" s="27" t="n">
        <f aca="false">Assumptions!$M$57</f>
        <v>1</v>
      </c>
    </row>
    <row r="10807" customFormat="false" ht="15" hidden="false" customHeight="false" outlineLevel="0" collapsed="false">
      <c r="A10807" s="3" t="s">
        <v>557</v>
      </c>
      <c r="C10807" s="27" t="n">
        <f aca="false">Assumptions!$M$58</f>
        <v>1</v>
      </c>
    </row>
    <row r="10808" customFormat="false" ht="15" hidden="false" customHeight="false" outlineLevel="0" collapsed="false">
      <c r="A10808" s="3" t="s">
        <v>558</v>
      </c>
      <c r="C10808" s="27" t="n">
        <f aca="false">Assumptions!$M$59</f>
        <v>1</v>
      </c>
    </row>
    <row r="10809" customFormat="false" ht="15" hidden="false" customHeight="false" outlineLevel="0" collapsed="false">
      <c r="A10809" s="3" t="s">
        <v>559</v>
      </c>
      <c r="C10809" s="27" t="n">
        <f aca="false">Assumptions!$M$60</f>
        <v>2</v>
      </c>
    </row>
    <row r="10810" customFormat="false" ht="15" hidden="false" customHeight="false" outlineLevel="0" collapsed="false">
      <c r="A10810" s="3" t="s">
        <v>560</v>
      </c>
      <c r="C10810" s="27" t="n">
        <f aca="false">Assumptions!$M$61</f>
        <v>2</v>
      </c>
    </row>
    <row r="10811" customFormat="false" ht="15" hidden="false" customHeight="false" outlineLevel="0" collapsed="false">
      <c r="A10811" s="3" t="s">
        <v>561</v>
      </c>
      <c r="C10811" s="27" t="n">
        <f aca="false">Assumptions!$M$62</f>
        <v>2</v>
      </c>
    </row>
    <row r="10812" customFormat="false" ht="15" hidden="false" customHeight="false" outlineLevel="0" collapsed="false">
      <c r="A10812" s="3" t="s">
        <v>562</v>
      </c>
      <c r="C10812" s="27" t="n">
        <f aca="false">Assumptions!$M$63</f>
        <v>2</v>
      </c>
    </row>
    <row r="10813" customFormat="false" ht="15" hidden="false" customHeight="false" outlineLevel="0" collapsed="false">
      <c r="A10813" s="3" t="s">
        <v>563</v>
      </c>
      <c r="C10813" s="27" t="n">
        <f aca="false">Assumptions!$M$64</f>
        <v>2</v>
      </c>
    </row>
    <row r="10814" customFormat="false" ht="15" hidden="false" customHeight="false" outlineLevel="0" collapsed="false">
      <c r="A10814" s="3" t="s">
        <v>564</v>
      </c>
      <c r="C10814" s="27" t="n">
        <f aca="false">Assumptions!$M$65</f>
        <v>2</v>
      </c>
    </row>
    <row r="10815" customFormat="false" ht="15" hidden="false" customHeight="false" outlineLevel="0" collapsed="false">
      <c r="A10815" s="3" t="s">
        <v>565</v>
      </c>
      <c r="C10815" s="27" t="n">
        <f aca="false">Assumptions!$M$66</f>
        <v>3</v>
      </c>
    </row>
    <row r="10816" customFormat="false" ht="15" hidden="false" customHeight="false" outlineLevel="0" collapsed="false">
      <c r="A10816" s="24" t="s">
        <v>567</v>
      </c>
      <c r="B10816" s="25"/>
      <c r="C10816" s="25"/>
      <c r="D10816" s="25"/>
      <c r="E10816" s="25"/>
      <c r="F10816" s="25"/>
      <c r="G10816" s="25"/>
      <c r="H10816" s="25"/>
      <c r="I10816" s="25"/>
      <c r="J10816" s="25"/>
      <c r="K10816" s="25"/>
    </row>
    <row r="10817" customFormat="false" ht="15" hidden="false" customHeight="false" outlineLevel="0" collapsed="false">
      <c r="A10817" s="3" t="s">
        <v>556</v>
      </c>
      <c r="C10817" s="33" t="n">
        <f aca="false">Assumptions!$Q$57</f>
        <v>0.3</v>
      </c>
    </row>
    <row r="10818" customFormat="false" ht="15" hidden="false" customHeight="false" outlineLevel="0" collapsed="false">
      <c r="A10818" s="3" t="s">
        <v>557</v>
      </c>
      <c r="C10818" s="33" t="n">
        <f aca="false">Assumptions!$Q$58</f>
        <v>0.033</v>
      </c>
    </row>
    <row r="10819" customFormat="false" ht="15" hidden="false" customHeight="false" outlineLevel="0" collapsed="false">
      <c r="A10819" s="3" t="s">
        <v>558</v>
      </c>
      <c r="C10819" s="33" t="n">
        <f aca="false">Assumptions!$Q$59</f>
        <v>0.021</v>
      </c>
    </row>
    <row r="10820" customFormat="false" ht="15" hidden="false" customHeight="false" outlineLevel="0" collapsed="false">
      <c r="A10820" s="3" t="s">
        <v>559</v>
      </c>
      <c r="C10820" s="33" t="n">
        <f aca="false">Assumptions!$Q$60</f>
        <v>0</v>
      </c>
    </row>
    <row r="10821" customFormat="false" ht="15" hidden="false" customHeight="false" outlineLevel="0" collapsed="false">
      <c r="A10821" s="3" t="s">
        <v>560</v>
      </c>
      <c r="C10821" s="33" t="n">
        <f aca="false">Assumptions!$Q$61</f>
        <v>0</v>
      </c>
    </row>
    <row r="10822" customFormat="false" ht="15" hidden="false" customHeight="false" outlineLevel="0" collapsed="false">
      <c r="A10822" s="3" t="s">
        <v>561</v>
      </c>
      <c r="C10822" s="33" t="n">
        <f aca="false">Assumptions!$Q$62</f>
        <v>0</v>
      </c>
    </row>
    <row r="10823" customFormat="false" ht="15" hidden="false" customHeight="false" outlineLevel="0" collapsed="false">
      <c r="A10823" s="3" t="s">
        <v>562</v>
      </c>
      <c r="C10823" s="33" t="n">
        <f aca="false">Assumptions!$Q$63</f>
        <v>0</v>
      </c>
    </row>
    <row r="10824" customFormat="false" ht="15" hidden="false" customHeight="false" outlineLevel="0" collapsed="false">
      <c r="A10824" s="3" t="s">
        <v>563</v>
      </c>
      <c r="C10824" s="33" t="n">
        <f aca="false">Assumptions!$Q$64</f>
        <v>0</v>
      </c>
    </row>
    <row r="10825" customFormat="false" ht="15" hidden="false" customHeight="false" outlineLevel="0" collapsed="false">
      <c r="A10825" s="3" t="s">
        <v>564</v>
      </c>
      <c r="C10825" s="33" t="n">
        <f aca="false">Assumptions!$Q$65</f>
        <v>0</v>
      </c>
    </row>
    <row r="10826" customFormat="false" ht="15" hidden="false" customHeight="false" outlineLevel="0" collapsed="false">
      <c r="A10826" s="3" t="s">
        <v>565</v>
      </c>
      <c r="C10826" s="33" t="n">
        <f aca="false">Assumptions!$Q$66</f>
        <v>0</v>
      </c>
    </row>
    <row r="10827" customFormat="false" ht="15" hidden="false" customHeight="false" outlineLevel="0" collapsed="false">
      <c r="A10827" s="24" t="s">
        <v>568</v>
      </c>
      <c r="B10827" s="25"/>
      <c r="C10827" s="25"/>
      <c r="D10827" s="25"/>
      <c r="E10827" s="25"/>
      <c r="F10827" s="25"/>
      <c r="G10827" s="25"/>
      <c r="H10827" s="25"/>
      <c r="I10827" s="25"/>
      <c r="J10827" s="25"/>
      <c r="K10827" s="25"/>
    </row>
    <row r="10828" customFormat="false" ht="15" hidden="false" customHeight="false" outlineLevel="0" collapsed="false">
      <c r="A10828" s="3" t="s">
        <v>556</v>
      </c>
      <c r="C10828" s="16" t="n">
        <f aca="false">IF(C10817&gt;0,MIN(C10795,C10817*$C$10793),0)</f>
        <v>403.76</v>
      </c>
    </row>
    <row r="10829" customFormat="false" ht="15" hidden="false" customHeight="false" outlineLevel="0" collapsed="false">
      <c r="A10829" s="3" t="s">
        <v>557</v>
      </c>
      <c r="C10829" s="16" t="n">
        <f aca="false">IF(C10818&gt;0,MIN(C10796,C10818*$C$10793),0)</f>
        <v>85.1568504864</v>
      </c>
    </row>
    <row r="10830" customFormat="false" ht="15" hidden="false" customHeight="false" outlineLevel="0" collapsed="false">
      <c r="A10830" s="3" t="s">
        <v>558</v>
      </c>
      <c r="C10830" s="16" t="n">
        <f aca="false">IF(C10819&gt;0,MIN(C10797,C10819*$C$10793),0)</f>
        <v>54.1907230368</v>
      </c>
    </row>
    <row r="10831" customFormat="false" ht="15" hidden="false" customHeight="false" outlineLevel="0" collapsed="false">
      <c r="A10831" s="3" t="s">
        <v>559</v>
      </c>
      <c r="C10831" s="16" t="n">
        <f aca="false">IF(C10820&gt;0,MIN(C10798,C10820*$C$10793),0)</f>
        <v>0</v>
      </c>
    </row>
    <row r="10832" customFormat="false" ht="15" hidden="false" customHeight="false" outlineLevel="0" collapsed="false">
      <c r="A10832" s="3" t="s">
        <v>560</v>
      </c>
      <c r="C10832" s="16" t="n">
        <f aca="false">IF(C10821&gt;0,MIN(C10799,C10821*$C$10793),0)</f>
        <v>0</v>
      </c>
    </row>
    <row r="10833" customFormat="false" ht="15" hidden="false" customHeight="false" outlineLevel="0" collapsed="false">
      <c r="A10833" s="3" t="s">
        <v>561</v>
      </c>
      <c r="C10833" s="16" t="n">
        <f aca="false">IF(C10822&gt;0,MIN(C10800,C10822*$C$10793),0)</f>
        <v>0</v>
      </c>
    </row>
    <row r="10834" customFormat="false" ht="15" hidden="false" customHeight="false" outlineLevel="0" collapsed="false">
      <c r="A10834" s="3" t="s">
        <v>562</v>
      </c>
      <c r="C10834" s="16" t="n">
        <f aca="false">IF(C10823&gt;0,MIN(C10801,C10823*$C$10793),0)</f>
        <v>0</v>
      </c>
    </row>
    <row r="10835" customFormat="false" ht="15" hidden="false" customHeight="false" outlineLevel="0" collapsed="false">
      <c r="A10835" s="3" t="s">
        <v>563</v>
      </c>
      <c r="C10835" s="16" t="n">
        <f aca="false">IF(C10824&gt;0,MIN(C10802,C10824*$C$10793),0)</f>
        <v>0</v>
      </c>
    </row>
    <row r="10836" customFormat="false" ht="15" hidden="false" customHeight="false" outlineLevel="0" collapsed="false">
      <c r="A10836" s="3" t="s">
        <v>564</v>
      </c>
      <c r="C10836" s="16" t="n">
        <f aca="false">IF(C10825&gt;0,MIN(C10803,C10825*$C$10793),0)</f>
        <v>0</v>
      </c>
    </row>
    <row r="10837" customFormat="false" ht="15" hidden="false" customHeight="false" outlineLevel="0" collapsed="false">
      <c r="A10837" s="3" t="s">
        <v>565</v>
      </c>
      <c r="C10837" s="16" t="n">
        <f aca="false">IF(C10826&gt;0,MIN(C10804,C10826*$C$10793),0)</f>
        <v>0</v>
      </c>
    </row>
    <row r="10838" customFormat="false" ht="15" hidden="false" customHeight="false" outlineLevel="0" collapsed="false">
      <c r="A10838" s="24" t="s">
        <v>569</v>
      </c>
      <c r="B10838" s="25"/>
      <c r="C10838" s="25"/>
      <c r="D10838" s="25"/>
      <c r="E10838" s="25"/>
      <c r="F10838" s="25"/>
      <c r="G10838" s="25"/>
      <c r="H10838" s="25"/>
      <c r="I10838" s="25"/>
      <c r="J10838" s="25"/>
      <c r="K10838" s="25"/>
    </row>
    <row r="10839" customFormat="false" ht="15" hidden="false" customHeight="false" outlineLevel="0" collapsed="false">
      <c r="A10839" s="3" t="s">
        <v>556</v>
      </c>
      <c r="C10839" s="16" t="n">
        <f aca="false">IF(C10817&gt;0,C10795-C10828,0)</f>
        <v>0</v>
      </c>
      <c r="G10839" s="21" t="n">
        <f aca="false">IF(AND(G10530=1,G10527=1),1,0)</f>
        <v>0</v>
      </c>
      <c r="H10839" s="21" t="n">
        <f aca="false">IF(G10839=1,1,IF(AND(H10530=1,H10527=1),1,0))</f>
        <v>0</v>
      </c>
      <c r="I10839" s="21" t="n">
        <f aca="false">IF(H10839=1,1,IF(AND(I10530=1,I10527=1),1,0))</f>
        <v>0</v>
      </c>
      <c r="J10839" s="21" t="n">
        <f aca="false">IF(I10839=1,1,IF(AND(J10530=1,J10527=1),1,0))</f>
        <v>0</v>
      </c>
      <c r="K10839" s="21" t="n">
        <f aca="false">IF(J10839=1,1,IF(AND(K10530=1,K10527=1),1,0))</f>
        <v>0</v>
      </c>
    </row>
    <row r="10840" customFormat="false" ht="15" hidden="false" customHeight="false" outlineLevel="0" collapsed="false">
      <c r="A10840" s="3" t="s">
        <v>557</v>
      </c>
      <c r="C10840" s="16" t="n">
        <f aca="false">IF(C10818&gt;0,C10796-C10829,0)</f>
        <v>6.15039951360001</v>
      </c>
      <c r="G10840" s="21" t="n">
        <f aca="false">IF(AND(G10543=1,G10527=1),1,0)</f>
        <v>0</v>
      </c>
      <c r="H10840" s="21" t="n">
        <f aca="false">IF(G10840=1,1,IF(AND(H10543=1,H10527=1),1,0))</f>
        <v>0</v>
      </c>
      <c r="I10840" s="21" t="n">
        <f aca="false">IF(H10840=1,1,IF(AND(I10543=1,I10527=1),1,0))</f>
        <v>0</v>
      </c>
      <c r="J10840" s="21" t="n">
        <f aca="false">IF(I10840=1,1,IF(AND(J10543=1,J10527=1),1,0))</f>
        <v>0</v>
      </c>
      <c r="K10840" s="21" t="n">
        <f aca="false">IF(J10840=1,1,IF(AND(K10543=1,K10527=1),1,0))</f>
        <v>0</v>
      </c>
    </row>
    <row r="10841" customFormat="false" ht="15" hidden="false" customHeight="false" outlineLevel="0" collapsed="false">
      <c r="A10841" s="3" t="s">
        <v>558</v>
      </c>
      <c r="C10841" s="16" t="n">
        <f aca="false">IF(C10819&gt;0,C10797-C10830,0)</f>
        <v>4.1808730632</v>
      </c>
      <c r="G10841" s="21" t="n">
        <f aca="false">IF(AND(G10556=1,G10527=1),1,0)</f>
        <v>0</v>
      </c>
      <c r="H10841" s="21" t="n">
        <f aca="false">IF(G10841=1,1,IF(AND(H10556=1,H10527=1),1,0))</f>
        <v>0</v>
      </c>
      <c r="I10841" s="21" t="n">
        <f aca="false">IF(H10841=1,1,IF(AND(I10556=1,I10527=1),1,0))</f>
        <v>0</v>
      </c>
      <c r="J10841" s="21" t="n">
        <f aca="false">IF(I10841=1,1,IF(AND(J10556=1,J10527=1),1,0))</f>
        <v>0</v>
      </c>
      <c r="K10841" s="21" t="n">
        <f aca="false">IF(J10841=1,1,IF(AND(K10556=1,K10527=1),1,0))</f>
        <v>0</v>
      </c>
    </row>
    <row r="10842" customFormat="false" ht="15" hidden="false" customHeight="false" outlineLevel="0" collapsed="false">
      <c r="A10842" s="3" t="s">
        <v>559</v>
      </c>
      <c r="C10842" s="16" t="n">
        <f aca="false">IF(C10820&gt;0,C10798-C10831,0)</f>
        <v>0</v>
      </c>
      <c r="G10842" s="21" t="n">
        <f aca="false">IF(AND(G10569=1,G10527=1),1,0)</f>
        <v>0</v>
      </c>
      <c r="H10842" s="21" t="n">
        <f aca="false">IF(G10842=1,1,IF(AND(H10569=1,H10527=1),1,0))</f>
        <v>0</v>
      </c>
      <c r="I10842" s="21" t="n">
        <f aca="false">IF(H10842=1,1,IF(AND(I10569=1,I10527=1),1,0))</f>
        <v>0</v>
      </c>
      <c r="J10842" s="21" t="n">
        <f aca="false">IF(I10842=1,1,IF(AND(J10569=1,J10527=1),1,0))</f>
        <v>0</v>
      </c>
      <c r="K10842" s="21" t="n">
        <f aca="false">IF(J10842=1,1,IF(AND(K10569=1,K10527=1),1,0))</f>
        <v>0</v>
      </c>
    </row>
    <row r="10843" customFormat="false" ht="15" hidden="false" customHeight="false" outlineLevel="0" collapsed="false">
      <c r="A10843" s="3" t="s">
        <v>560</v>
      </c>
      <c r="C10843" s="16" t="n">
        <f aca="false">IF(C10821&gt;0,C10799-C10832,0)</f>
        <v>0</v>
      </c>
      <c r="G10843" s="21" t="n">
        <f aca="false">IF(AND(G10582=1,G10527=1),1,0)</f>
        <v>0</v>
      </c>
      <c r="H10843" s="21" t="n">
        <f aca="false">IF(G10843=1,1,IF(AND(H10582=1,H10527=1),1,0))</f>
        <v>0</v>
      </c>
      <c r="I10843" s="21" t="n">
        <f aca="false">IF(H10843=1,1,IF(AND(I10582=1,I10527=1),1,0))</f>
        <v>0</v>
      </c>
      <c r="J10843" s="21" t="n">
        <f aca="false">IF(I10843=1,1,IF(AND(J10582=1,J10527=1),1,0))</f>
        <v>0</v>
      </c>
      <c r="K10843" s="21" t="n">
        <f aca="false">IF(J10843=1,1,IF(AND(K10582=1,K10527=1),1,0))</f>
        <v>0</v>
      </c>
    </row>
    <row r="10844" customFormat="false" ht="15" hidden="false" customHeight="false" outlineLevel="0" collapsed="false">
      <c r="A10844" s="3" t="s">
        <v>561</v>
      </c>
      <c r="C10844" s="16" t="n">
        <f aca="false">IF(C10822&gt;0,C10800-C10833,0)</f>
        <v>0</v>
      </c>
      <c r="G10844" s="21" t="n">
        <f aca="false">IF(AND(G10595=1,G10527=1),1,0)</f>
        <v>0</v>
      </c>
      <c r="H10844" s="21" t="n">
        <f aca="false">IF(G10844=1,1,IF(AND(H10595=1,H10527=1),1,0))</f>
        <v>0</v>
      </c>
      <c r="I10844" s="21" t="n">
        <f aca="false">IF(H10844=1,1,IF(AND(I10595=1,I10527=1),1,0))</f>
        <v>0</v>
      </c>
      <c r="J10844" s="21" t="n">
        <f aca="false">IF(I10844=1,1,IF(AND(J10595=1,J10527=1),1,0))</f>
        <v>0</v>
      </c>
      <c r="K10844" s="21" t="n">
        <f aca="false">IF(J10844=1,1,IF(AND(K10595=1,K10527=1),1,0))</f>
        <v>0</v>
      </c>
    </row>
    <row r="10845" customFormat="false" ht="15" hidden="false" customHeight="false" outlineLevel="0" collapsed="false">
      <c r="A10845" s="3" t="s">
        <v>562</v>
      </c>
      <c r="C10845" s="16" t="n">
        <f aca="false">IF(C10823&gt;0,C10801-C10834,0)</f>
        <v>0</v>
      </c>
      <c r="G10845" s="21" t="n">
        <f aca="false">IF(AND(G10608=1,G10527=1),1,0)</f>
        <v>0</v>
      </c>
      <c r="H10845" s="21" t="n">
        <f aca="false">IF(G10845=1,1,IF(AND(H10608=1,H10527=1),1,0))</f>
        <v>0</v>
      </c>
      <c r="I10845" s="21" t="n">
        <f aca="false">IF(H10845=1,1,IF(AND(I10608=1,I10527=1),1,0))</f>
        <v>0</v>
      </c>
      <c r="J10845" s="21" t="n">
        <f aca="false">IF(I10845=1,1,IF(AND(J10608=1,J10527=1),1,0))</f>
        <v>0</v>
      </c>
      <c r="K10845" s="21" t="n">
        <f aca="false">IF(J10845=1,1,IF(AND(K10608=1,K10527=1),1,0))</f>
        <v>0</v>
      </c>
    </row>
    <row r="10846" customFormat="false" ht="15" hidden="false" customHeight="false" outlineLevel="0" collapsed="false">
      <c r="A10846" s="3" t="s">
        <v>563</v>
      </c>
      <c r="C10846" s="16" t="n">
        <f aca="false">IF(C10824&gt;0,C10802-C10835,0)</f>
        <v>0</v>
      </c>
      <c r="G10846" s="21" t="n">
        <f aca="false">IF(AND(G10621=1,G10527=1),1,0)</f>
        <v>0</v>
      </c>
      <c r="H10846" s="21" t="n">
        <f aca="false">IF(G10846=1,1,IF(AND(H10621=1,H10527=1),1,0))</f>
        <v>0</v>
      </c>
      <c r="I10846" s="21" t="n">
        <f aca="false">IF(H10846=1,1,IF(AND(I10621=1,I10527=1),1,0))</f>
        <v>0</v>
      </c>
      <c r="J10846" s="21" t="n">
        <f aca="false">IF(I10846=1,1,IF(AND(J10621=1,J10527=1),1,0))</f>
        <v>0</v>
      </c>
      <c r="K10846" s="21" t="n">
        <f aca="false">IF(J10846=1,1,IF(AND(K10621=1,K10527=1),1,0))</f>
        <v>0</v>
      </c>
    </row>
    <row r="10847" customFormat="false" ht="15" hidden="false" customHeight="false" outlineLevel="0" collapsed="false">
      <c r="A10847" s="3" t="s">
        <v>564</v>
      </c>
      <c r="C10847" s="16" t="n">
        <f aca="false">IF(C10825&gt;0,C10803-C10836,0)</f>
        <v>0</v>
      </c>
      <c r="G10847" s="21" t="n">
        <f aca="false">IF(AND(G10634=1,G10527=1),1,0)</f>
        <v>0</v>
      </c>
      <c r="H10847" s="21" t="n">
        <f aca="false">IF(G10847=1,1,IF(AND(H10634=1,H10527=1),1,0))</f>
        <v>0</v>
      </c>
      <c r="I10847" s="21" t="n">
        <f aca="false">IF(H10847=1,1,IF(AND(I10634=1,I10527=1),1,0))</f>
        <v>0</v>
      </c>
      <c r="J10847" s="21" t="n">
        <f aca="false">IF(I10847=1,1,IF(AND(J10634=1,J10527=1),1,0))</f>
        <v>0</v>
      </c>
      <c r="K10847" s="21" t="n">
        <f aca="false">IF(J10847=1,1,IF(AND(K10634=1,K10527=1),1,0))</f>
        <v>0</v>
      </c>
    </row>
    <row r="10848" customFormat="false" ht="15" hidden="false" customHeight="false" outlineLevel="0" collapsed="false">
      <c r="A10848" s="3" t="s">
        <v>565</v>
      </c>
      <c r="C10848" s="16" t="n">
        <f aca="false">IF(C10826&gt;0,C10804-C10837,0)</f>
        <v>0</v>
      </c>
      <c r="G10848" s="21" t="n">
        <f aca="false">IF(AND(G10647=1,G10527=1),1,0)</f>
        <v>0</v>
      </c>
      <c r="H10848" s="21" t="n">
        <f aca="false">IF(G10848=1,1,IF(AND(H10647=1,H10527=1),1,0))</f>
        <v>0</v>
      </c>
      <c r="I10848" s="21" t="n">
        <f aca="false">IF(H10848=1,1,IF(AND(I10647=1,I10527=1),1,0))</f>
        <v>0</v>
      </c>
      <c r="J10848" s="21" t="n">
        <f aca="false">IF(I10848=1,1,IF(AND(J10647=1,J10527=1),1,0))</f>
        <v>0</v>
      </c>
      <c r="K10848" s="21" t="n">
        <f aca="false">IF(J10848=1,1,IF(AND(K10647=1,K10527=1),1,0))</f>
        <v>0</v>
      </c>
    </row>
    <row r="10849" customFormat="false" ht="15" hidden="false" customHeight="false" outlineLevel="0" collapsed="false">
      <c r="A10849" s="24" t="s">
        <v>570</v>
      </c>
      <c r="B10849" s="25"/>
      <c r="C10849" s="25"/>
      <c r="D10849" s="25"/>
      <c r="E10849" s="25"/>
      <c r="F10849" s="25"/>
      <c r="G10849" s="25"/>
      <c r="H10849" s="25"/>
      <c r="I10849" s="25"/>
      <c r="J10849" s="25"/>
      <c r="K10849" s="25"/>
    </row>
    <row r="10850" customFormat="false" ht="15" hidden="false" customHeight="false" outlineLevel="0" collapsed="false">
      <c r="A10850" s="3" t="s">
        <v>556</v>
      </c>
      <c r="C10850" s="16" t="n">
        <f aca="false">IF(C10817&gt;0,C10839,C10795)</f>
        <v>0</v>
      </c>
    </row>
    <row r="10851" customFormat="false" ht="15" hidden="false" customHeight="false" outlineLevel="0" collapsed="false">
      <c r="A10851" s="3" t="s">
        <v>557</v>
      </c>
      <c r="C10851" s="16" t="n">
        <f aca="false">IF(C10818&gt;0,C10840,C10796)</f>
        <v>6.15039951360001</v>
      </c>
    </row>
    <row r="10852" customFormat="false" ht="15" hidden="false" customHeight="false" outlineLevel="0" collapsed="false">
      <c r="A10852" s="3" t="s">
        <v>558</v>
      </c>
      <c r="C10852" s="16" t="n">
        <f aca="false">IF(C10819&gt;0,C10841,C10797)</f>
        <v>4.1808730632</v>
      </c>
    </row>
    <row r="10853" customFormat="false" ht="15" hidden="false" customHeight="false" outlineLevel="0" collapsed="false">
      <c r="A10853" s="3" t="s">
        <v>559</v>
      </c>
      <c r="C10853" s="16" t="n">
        <f aca="false">IF(C10820&gt;0,C10842,C10798)</f>
        <v>0</v>
      </c>
    </row>
    <row r="10854" customFormat="false" ht="15" hidden="false" customHeight="false" outlineLevel="0" collapsed="false">
      <c r="A10854" s="3" t="s">
        <v>560</v>
      </c>
      <c r="C10854" s="16" t="n">
        <f aca="false">IF(C10821&gt;0,C10843,C10799)</f>
        <v>421.76836513743</v>
      </c>
    </row>
    <row r="10855" customFormat="false" ht="15" hidden="false" customHeight="false" outlineLevel="0" collapsed="false">
      <c r="A10855" s="3" t="s">
        <v>561</v>
      </c>
      <c r="C10855" s="16" t="n">
        <f aca="false">IF(C10822&gt;0,C10844,C10800)</f>
        <v>357.2625</v>
      </c>
    </row>
    <row r="10856" customFormat="false" ht="15" hidden="false" customHeight="false" outlineLevel="0" collapsed="false">
      <c r="A10856" s="3" t="s">
        <v>562</v>
      </c>
      <c r="C10856" s="16" t="n">
        <f aca="false">IF(C10823&gt;0,C10845,C10801)</f>
        <v>562.203125</v>
      </c>
    </row>
    <row r="10857" customFormat="false" ht="15" hidden="false" customHeight="false" outlineLevel="0" collapsed="false">
      <c r="A10857" s="3" t="s">
        <v>563</v>
      </c>
      <c r="C10857" s="16" t="n">
        <f aca="false">IF(C10824&gt;0,C10846,C10802)</f>
        <v>353.98125</v>
      </c>
    </row>
    <row r="10858" customFormat="false" ht="15" hidden="false" customHeight="false" outlineLevel="0" collapsed="false">
      <c r="A10858" s="3" t="s">
        <v>564</v>
      </c>
      <c r="C10858" s="16" t="n">
        <f aca="false">IF(C10825&gt;0,C10847,C10803)</f>
        <v>304.59375</v>
      </c>
    </row>
    <row r="10859" customFormat="false" ht="15" hidden="false" customHeight="false" outlineLevel="0" collapsed="false">
      <c r="A10859" s="3" t="s">
        <v>565</v>
      </c>
      <c r="C10859" s="16" t="n">
        <f aca="false">IF(C10826&gt;0,C10848,C10804)</f>
        <v>80.2332965</v>
      </c>
    </row>
    <row r="10860" customFormat="false" ht="15" hidden="false" customHeight="false" outlineLevel="0" collapsed="false">
      <c r="A10860" s="24" t="s">
        <v>571</v>
      </c>
      <c r="B10860" s="25"/>
      <c r="C10860" s="25"/>
      <c r="D10860" s="25"/>
      <c r="E10860" s="25"/>
      <c r="F10860" s="25"/>
      <c r="G10860" s="25"/>
      <c r="H10860" s="25"/>
      <c r="I10860" s="25"/>
      <c r="J10860" s="25"/>
      <c r="K10860" s="25"/>
    </row>
    <row r="10861" customFormat="false" ht="15" hidden="false" customHeight="false" outlineLevel="0" collapsed="false">
      <c r="A10861" s="3" t="s">
        <v>556</v>
      </c>
      <c r="C10861" s="21" t="n">
        <f aca="false">IF(C10817&gt;0,Assumptions!$C$17,C10806)</f>
        <v>99</v>
      </c>
    </row>
    <row r="10862" customFormat="false" ht="15" hidden="false" customHeight="false" outlineLevel="0" collapsed="false">
      <c r="A10862" s="3" t="s">
        <v>557</v>
      </c>
      <c r="C10862" s="21" t="n">
        <f aca="false">IF(C10818&gt;0,Assumptions!$C$17,C10807)</f>
        <v>99</v>
      </c>
    </row>
    <row r="10863" customFormat="false" ht="15" hidden="false" customHeight="false" outlineLevel="0" collapsed="false">
      <c r="A10863" s="3" t="s">
        <v>558</v>
      </c>
      <c r="C10863" s="21" t="n">
        <f aca="false">IF(C10819&gt;0,Assumptions!$C$17,C10808)</f>
        <v>99</v>
      </c>
    </row>
    <row r="10864" customFormat="false" ht="15" hidden="false" customHeight="false" outlineLevel="0" collapsed="false">
      <c r="A10864" s="3" t="s">
        <v>559</v>
      </c>
      <c r="C10864" s="21" t="n">
        <f aca="false">IF(C10820&gt;0,Assumptions!$C$17,C10809)</f>
        <v>2</v>
      </c>
    </row>
    <row r="10865" customFormat="false" ht="15" hidden="false" customHeight="false" outlineLevel="0" collapsed="false">
      <c r="A10865" s="3" t="s">
        <v>560</v>
      </c>
      <c r="C10865" s="21" t="n">
        <f aca="false">IF(C10821&gt;0,Assumptions!$C$17,C10810)</f>
        <v>2</v>
      </c>
    </row>
    <row r="10866" customFormat="false" ht="15" hidden="false" customHeight="false" outlineLevel="0" collapsed="false">
      <c r="A10866" s="3" t="s">
        <v>561</v>
      </c>
      <c r="C10866" s="21" t="n">
        <f aca="false">IF(C10822&gt;0,Assumptions!$C$17,C10811)</f>
        <v>2</v>
      </c>
    </row>
    <row r="10867" customFormat="false" ht="15" hidden="false" customHeight="false" outlineLevel="0" collapsed="false">
      <c r="A10867" s="3" t="s">
        <v>562</v>
      </c>
      <c r="C10867" s="21" t="n">
        <f aca="false">IF(C10823&gt;0,Assumptions!$C$17,C10812)</f>
        <v>2</v>
      </c>
    </row>
    <row r="10868" customFormat="false" ht="15" hidden="false" customHeight="false" outlineLevel="0" collapsed="false">
      <c r="A10868" s="3" t="s">
        <v>563</v>
      </c>
      <c r="C10868" s="21" t="n">
        <f aca="false">IF(C10824&gt;0,Assumptions!$C$17,C10813)</f>
        <v>2</v>
      </c>
    </row>
    <row r="10869" customFormat="false" ht="15" hidden="false" customHeight="false" outlineLevel="0" collapsed="false">
      <c r="A10869" s="3" t="s">
        <v>564</v>
      </c>
      <c r="C10869" s="21" t="n">
        <f aca="false">IF(C10825&gt;0,Assumptions!$C$17,C10814)</f>
        <v>2</v>
      </c>
    </row>
    <row r="10870" customFormat="false" ht="15" hidden="false" customHeight="false" outlineLevel="0" collapsed="false">
      <c r="A10870" s="3" t="s">
        <v>565</v>
      </c>
      <c r="C10870" s="21" t="n">
        <f aca="false">IF(C10826&gt;0,Assumptions!$C$17,C10815)</f>
        <v>3</v>
      </c>
    </row>
    <row r="10871" customFormat="false" ht="15" hidden="false" customHeight="false" outlineLevel="0" collapsed="false">
      <c r="A10871" s="24" t="s">
        <v>572</v>
      </c>
      <c r="B10871" s="25"/>
      <c r="C10871" s="25"/>
      <c r="D10871" s="25"/>
      <c r="E10871" s="25"/>
      <c r="F10871" s="25"/>
      <c r="G10871" s="25"/>
      <c r="H10871" s="25"/>
      <c r="I10871" s="25"/>
      <c r="J10871" s="25"/>
      <c r="K10871" s="25"/>
    </row>
    <row r="10872" customFormat="false" ht="15" hidden="false" customHeight="false" outlineLevel="0" collapsed="false">
      <c r="A10872" s="3" t="s">
        <v>556</v>
      </c>
      <c r="C10872" s="16" t="n">
        <f aca="false">SUMPRODUCT(($C$10861:$C$10870&lt;C10861)*$C$10850:$C$10859)</f>
        <v>2080.04228663743</v>
      </c>
    </row>
    <row r="10873" customFormat="false" ht="15" hidden="false" customHeight="false" outlineLevel="0" collapsed="false">
      <c r="A10873" s="3" t="s">
        <v>557</v>
      </c>
      <c r="C10873" s="16" t="n">
        <f aca="false">SUMPRODUCT(($C$10861:$C$10870&lt;C10862)*$C$10850:$C$10859)</f>
        <v>2080.04228663743</v>
      </c>
    </row>
    <row r="10874" customFormat="false" ht="15" hidden="false" customHeight="false" outlineLevel="0" collapsed="false">
      <c r="A10874" s="3" t="s">
        <v>558</v>
      </c>
      <c r="C10874" s="16" t="n">
        <f aca="false">SUMPRODUCT(($C$10861:$C$10870&lt;C10863)*$C$10850:$C$10859)</f>
        <v>2080.04228663743</v>
      </c>
    </row>
    <row r="10875" customFormat="false" ht="15" hidden="false" customHeight="false" outlineLevel="0" collapsed="false">
      <c r="A10875" s="3" t="s">
        <v>559</v>
      </c>
      <c r="C10875" s="16" t="n">
        <f aca="false">SUMPRODUCT(($C$10861:$C$10870&lt;C10864)*$C$10850:$C$10859)</f>
        <v>0</v>
      </c>
    </row>
    <row r="10876" customFormat="false" ht="15" hidden="false" customHeight="false" outlineLevel="0" collapsed="false">
      <c r="A10876" s="3" t="s">
        <v>560</v>
      </c>
      <c r="C10876" s="16" t="n">
        <f aca="false">SUMPRODUCT(($C$10861:$C$10870&lt;C10865)*$C$10850:$C$10859)</f>
        <v>0</v>
      </c>
    </row>
    <row r="10877" customFormat="false" ht="15" hidden="false" customHeight="false" outlineLevel="0" collapsed="false">
      <c r="A10877" s="3" t="s">
        <v>561</v>
      </c>
      <c r="C10877" s="16" t="n">
        <f aca="false">SUMPRODUCT(($C$10861:$C$10870&lt;C10866)*$C$10850:$C$10859)</f>
        <v>0</v>
      </c>
    </row>
    <row r="10878" customFormat="false" ht="15" hidden="false" customHeight="false" outlineLevel="0" collapsed="false">
      <c r="A10878" s="3" t="s">
        <v>562</v>
      </c>
      <c r="C10878" s="16" t="n">
        <f aca="false">SUMPRODUCT(($C$10861:$C$10870&lt;C10867)*$C$10850:$C$10859)</f>
        <v>0</v>
      </c>
    </row>
    <row r="10879" customFormat="false" ht="15" hidden="false" customHeight="false" outlineLevel="0" collapsed="false">
      <c r="A10879" s="3" t="s">
        <v>563</v>
      </c>
      <c r="C10879" s="16" t="n">
        <f aca="false">SUMPRODUCT(($C$10861:$C$10870&lt;C10868)*$C$10850:$C$10859)</f>
        <v>0</v>
      </c>
    </row>
    <row r="10880" customFormat="false" ht="15" hidden="false" customHeight="false" outlineLevel="0" collapsed="false">
      <c r="A10880" s="3" t="s">
        <v>564</v>
      </c>
      <c r="C10880" s="16" t="n">
        <f aca="false">SUMPRODUCT(($C$10861:$C$10870&lt;C10869)*$C$10850:$C$10859)</f>
        <v>0</v>
      </c>
    </row>
    <row r="10881" customFormat="false" ht="15" hidden="false" customHeight="false" outlineLevel="0" collapsed="false">
      <c r="A10881" s="3" t="s">
        <v>565</v>
      </c>
      <c r="C10881" s="16" t="n">
        <f aca="false">SUMPRODUCT(($C$10861:$C$10870&lt;C10870)*$C$10850:$C$10859)</f>
        <v>1999.80899013743</v>
      </c>
    </row>
    <row r="10882" customFormat="false" ht="15" hidden="false" customHeight="false" outlineLevel="0" collapsed="false">
      <c r="A10882" s="24" t="s">
        <v>573</v>
      </c>
      <c r="B10882" s="25"/>
      <c r="C10882" s="25"/>
      <c r="D10882" s="25"/>
      <c r="E10882" s="25"/>
      <c r="F10882" s="25"/>
      <c r="G10882" s="25"/>
      <c r="H10882" s="25"/>
      <c r="I10882" s="25"/>
      <c r="J10882" s="25"/>
      <c r="K10882" s="25"/>
    </row>
    <row r="10883" customFormat="false" ht="15" hidden="false" customHeight="false" outlineLevel="0" collapsed="false">
      <c r="A10883" s="3" t="s">
        <v>556</v>
      </c>
      <c r="C10883" s="16" t="n">
        <f aca="false">SUMPRODUCT(($C$10861:$C$10870=C10861)*$C$10850:$C$10859)</f>
        <v>10.3312725768</v>
      </c>
    </row>
    <row r="10884" customFormat="false" ht="15" hidden="false" customHeight="false" outlineLevel="0" collapsed="false">
      <c r="A10884" s="3" t="s">
        <v>557</v>
      </c>
      <c r="C10884" s="16" t="n">
        <f aca="false">SUMPRODUCT(($C$10861:$C$10870=C10862)*$C$10850:$C$10859)</f>
        <v>10.3312725768</v>
      </c>
    </row>
    <row r="10885" customFormat="false" ht="15" hidden="false" customHeight="false" outlineLevel="0" collapsed="false">
      <c r="A10885" s="3" t="s">
        <v>558</v>
      </c>
      <c r="C10885" s="16" t="n">
        <f aca="false">SUMPRODUCT(($C$10861:$C$10870=C10863)*$C$10850:$C$10859)</f>
        <v>10.3312725768</v>
      </c>
    </row>
    <row r="10886" customFormat="false" ht="15" hidden="false" customHeight="false" outlineLevel="0" collapsed="false">
      <c r="A10886" s="3" t="s">
        <v>559</v>
      </c>
      <c r="C10886" s="16" t="n">
        <f aca="false">SUMPRODUCT(($C$10861:$C$10870=C10864)*$C$10850:$C$10859)</f>
        <v>1999.80899013743</v>
      </c>
    </row>
    <row r="10887" customFormat="false" ht="15" hidden="false" customHeight="false" outlineLevel="0" collapsed="false">
      <c r="A10887" s="3" t="s">
        <v>560</v>
      </c>
      <c r="C10887" s="16" t="n">
        <f aca="false">SUMPRODUCT(($C$10861:$C$10870=C10865)*$C$10850:$C$10859)</f>
        <v>1999.80899013743</v>
      </c>
    </row>
    <row r="10888" customFormat="false" ht="15" hidden="false" customHeight="false" outlineLevel="0" collapsed="false">
      <c r="A10888" s="3" t="s">
        <v>561</v>
      </c>
      <c r="C10888" s="16" t="n">
        <f aca="false">SUMPRODUCT(($C$10861:$C$10870=C10866)*$C$10850:$C$10859)</f>
        <v>1999.80899013743</v>
      </c>
    </row>
    <row r="10889" customFormat="false" ht="15" hidden="false" customHeight="false" outlineLevel="0" collapsed="false">
      <c r="A10889" s="3" t="s">
        <v>562</v>
      </c>
      <c r="C10889" s="16" t="n">
        <f aca="false">SUMPRODUCT(($C$10861:$C$10870=C10867)*$C$10850:$C$10859)</f>
        <v>1999.80899013743</v>
      </c>
    </row>
    <row r="10890" customFormat="false" ht="15" hidden="false" customHeight="false" outlineLevel="0" collapsed="false">
      <c r="A10890" s="3" t="s">
        <v>563</v>
      </c>
      <c r="C10890" s="16" t="n">
        <f aca="false">SUMPRODUCT(($C$10861:$C$10870=C10868)*$C$10850:$C$10859)</f>
        <v>1999.80899013743</v>
      </c>
    </row>
    <row r="10891" customFormat="false" ht="15" hidden="false" customHeight="false" outlineLevel="0" collapsed="false">
      <c r="A10891" s="3" t="s">
        <v>564</v>
      </c>
      <c r="C10891" s="16" t="n">
        <f aca="false">SUMPRODUCT(($C$10861:$C$10870=C10869)*$C$10850:$C$10859)</f>
        <v>1999.80899013743</v>
      </c>
    </row>
    <row r="10892" customFormat="false" ht="15" hidden="false" customHeight="false" outlineLevel="0" collapsed="false">
      <c r="A10892" s="3" t="s">
        <v>565</v>
      </c>
      <c r="C10892" s="16" t="n">
        <f aca="false">SUMPRODUCT(($C$10861:$C$10870=C10870)*$C$10850:$C$10859)</f>
        <v>80.2332965</v>
      </c>
    </row>
    <row r="10893" customFormat="false" ht="15" hidden="false" customHeight="false" outlineLevel="0" collapsed="false">
      <c r="A10893" s="24" t="s">
        <v>574</v>
      </c>
      <c r="B10893" s="25"/>
      <c r="C10893" s="25"/>
      <c r="D10893" s="25"/>
      <c r="E10893" s="25"/>
      <c r="F10893" s="25"/>
      <c r="G10893" s="25"/>
      <c r="H10893" s="25"/>
      <c r="I10893" s="25"/>
      <c r="J10893" s="25"/>
      <c r="K10893" s="25"/>
    </row>
    <row r="10894" customFormat="false" ht="15" hidden="false" customHeight="false" outlineLevel="0" collapsed="false">
      <c r="A10894" s="3" t="s">
        <v>556</v>
      </c>
      <c r="C10894" s="16" t="n">
        <f aca="false">IF(C10883=0,0,C10850/C10883*MAX(0,MIN(C10883,$C$10793-SUM($C$10828:$C$10837)-C10872)))</f>
        <v>0</v>
      </c>
    </row>
    <row r="10895" customFormat="false" ht="15" hidden="false" customHeight="false" outlineLevel="0" collapsed="false">
      <c r="A10895" s="3" t="s">
        <v>557</v>
      </c>
      <c r="C10895" s="16" t="n">
        <f aca="false">IF(C10884=0,0,C10851/C10884*MAX(0,MIN(C10884,$C$10793-SUM($C$10828:$C$10837)-C10873)))</f>
        <v>0</v>
      </c>
    </row>
    <row r="10896" customFormat="false" ht="15" hidden="false" customHeight="false" outlineLevel="0" collapsed="false">
      <c r="A10896" s="3" t="s">
        <v>558</v>
      </c>
      <c r="C10896" s="16" t="n">
        <f aca="false">IF(C10885=0,0,C10852/C10885*MAX(0,MIN(C10885,$C$10793-SUM($C$10828:$C$10837)-C10874)))</f>
        <v>0</v>
      </c>
    </row>
    <row r="10897" customFormat="false" ht="15" hidden="false" customHeight="false" outlineLevel="0" collapsed="false">
      <c r="A10897" s="3" t="s">
        <v>559</v>
      </c>
      <c r="C10897" s="16" t="n">
        <f aca="false">IF(C10886=0,0,C10853/C10886*MAX(0,MIN(C10886,$C$10793-SUM($C$10828:$C$10837)-C10875)))</f>
        <v>0</v>
      </c>
    </row>
    <row r="10898" customFormat="false" ht="15" hidden="false" customHeight="false" outlineLevel="0" collapsed="false">
      <c r="A10898" s="3" t="s">
        <v>560</v>
      </c>
      <c r="C10898" s="16" t="n">
        <f aca="false">IF(C10887=0,0,C10854/C10887*MAX(0,MIN(C10887,$C$10793-SUM($C$10828:$C$10837)-C10876)))</f>
        <v>421.76836513743</v>
      </c>
    </row>
    <row r="10899" customFormat="false" ht="15" hidden="false" customHeight="false" outlineLevel="0" collapsed="false">
      <c r="A10899" s="3" t="s">
        <v>561</v>
      </c>
      <c r="C10899" s="16" t="n">
        <f aca="false">IF(C10888=0,0,C10855/C10888*MAX(0,MIN(C10888,$C$10793-SUM($C$10828:$C$10837)-C10877)))</f>
        <v>357.2625</v>
      </c>
    </row>
    <row r="10900" customFormat="false" ht="15" hidden="false" customHeight="false" outlineLevel="0" collapsed="false">
      <c r="A10900" s="3" t="s">
        <v>562</v>
      </c>
      <c r="C10900" s="16" t="n">
        <f aca="false">IF(C10889=0,0,C10856/C10889*MAX(0,MIN(C10889,$C$10793-SUM($C$10828:$C$10837)-C10878)))</f>
        <v>562.203125</v>
      </c>
    </row>
    <row r="10901" customFormat="false" ht="15" hidden="false" customHeight="false" outlineLevel="0" collapsed="false">
      <c r="A10901" s="3" t="s">
        <v>563</v>
      </c>
      <c r="C10901" s="16" t="n">
        <f aca="false">IF(C10890=0,0,C10857/C10890*MAX(0,MIN(C10890,$C$10793-SUM($C$10828:$C$10837)-C10879)))</f>
        <v>353.98125</v>
      </c>
    </row>
    <row r="10902" customFormat="false" ht="15" hidden="false" customHeight="false" outlineLevel="0" collapsed="false">
      <c r="A10902" s="3" t="s">
        <v>564</v>
      </c>
      <c r="C10902" s="16" t="n">
        <f aca="false">IF(C10891=0,0,C10858/C10891*MAX(0,MIN(C10891,$C$10793-SUM($C$10828:$C$10837)-C10880)))</f>
        <v>304.59375</v>
      </c>
    </row>
    <row r="10903" customFormat="false" ht="15" hidden="false" customHeight="false" outlineLevel="0" collapsed="false">
      <c r="A10903" s="3" t="s">
        <v>565</v>
      </c>
      <c r="C10903" s="16" t="n">
        <f aca="false">IF(C10892=0,0,C10859/C10892*MAX(0,MIN(C10892,$C$10793-SUM($C$10828:$C$10837)-C10881)))</f>
        <v>37.5940571393696</v>
      </c>
    </row>
    <row r="10904" customFormat="false" ht="15" hidden="false" customHeight="false" outlineLevel="0" collapsed="false">
      <c r="A10904" s="24" t="s">
        <v>575</v>
      </c>
      <c r="B10904" s="25"/>
      <c r="C10904" s="25"/>
      <c r="D10904" s="25"/>
      <c r="E10904" s="25"/>
      <c r="F10904" s="25"/>
      <c r="G10904" s="25"/>
      <c r="H10904" s="25"/>
      <c r="I10904" s="25"/>
      <c r="J10904" s="25"/>
      <c r="K10904" s="25"/>
    </row>
    <row r="10905" customFormat="false" ht="15" hidden="false" customHeight="false" outlineLevel="0" collapsed="false">
      <c r="A10905" s="2" t="s">
        <v>556</v>
      </c>
      <c r="C10905" s="17" t="n">
        <f aca="false">C10828+C10894</f>
        <v>403.76</v>
      </c>
    </row>
    <row r="10906" customFormat="false" ht="15" hidden="false" customHeight="false" outlineLevel="0" collapsed="false">
      <c r="A10906" s="2" t="s">
        <v>557</v>
      </c>
      <c r="C10906" s="17" t="n">
        <f aca="false">C10829+C10895</f>
        <v>85.1568504864</v>
      </c>
    </row>
    <row r="10907" customFormat="false" ht="15" hidden="false" customHeight="false" outlineLevel="0" collapsed="false">
      <c r="A10907" s="2" t="s">
        <v>558</v>
      </c>
      <c r="C10907" s="17" t="n">
        <f aca="false">C10830+C10896</f>
        <v>54.1907230368</v>
      </c>
    </row>
    <row r="10908" customFormat="false" ht="15" hidden="false" customHeight="false" outlineLevel="0" collapsed="false">
      <c r="A10908" s="2" t="s">
        <v>559</v>
      </c>
      <c r="C10908" s="17" t="n">
        <f aca="false">C10831+C10897</f>
        <v>0</v>
      </c>
    </row>
    <row r="10909" customFormat="false" ht="15" hidden="false" customHeight="false" outlineLevel="0" collapsed="false">
      <c r="A10909" s="2" t="s">
        <v>560</v>
      </c>
      <c r="C10909" s="17" t="n">
        <f aca="false">C10832+C10898</f>
        <v>421.76836513743</v>
      </c>
    </row>
    <row r="10910" customFormat="false" ht="15" hidden="false" customHeight="false" outlineLevel="0" collapsed="false">
      <c r="A10910" s="2" t="s">
        <v>561</v>
      </c>
      <c r="C10910" s="17" t="n">
        <f aca="false">C10833+C10899</f>
        <v>357.2625</v>
      </c>
    </row>
    <row r="10911" customFormat="false" ht="15" hidden="false" customHeight="false" outlineLevel="0" collapsed="false">
      <c r="A10911" s="2" t="s">
        <v>562</v>
      </c>
      <c r="C10911" s="17" t="n">
        <f aca="false">C10834+C10900</f>
        <v>562.203125</v>
      </c>
    </row>
    <row r="10912" customFormat="false" ht="15" hidden="false" customHeight="false" outlineLevel="0" collapsed="false">
      <c r="A10912" s="2" t="s">
        <v>563</v>
      </c>
      <c r="C10912" s="17" t="n">
        <f aca="false">C10835+C10901</f>
        <v>353.98125</v>
      </c>
    </row>
    <row r="10913" customFormat="false" ht="15" hidden="false" customHeight="false" outlineLevel="0" collapsed="false">
      <c r="A10913" s="2" t="s">
        <v>564</v>
      </c>
      <c r="C10913" s="17" t="n">
        <f aca="false">C10836+C10902</f>
        <v>304.59375</v>
      </c>
    </row>
    <row r="10914" customFormat="false" ht="15" hidden="false" customHeight="false" outlineLevel="0" collapsed="false">
      <c r="A10914" s="2" t="s">
        <v>565</v>
      </c>
      <c r="C10914" s="17" t="n">
        <f aca="false">C10837+C10903</f>
        <v>37.5940571393696</v>
      </c>
    </row>
    <row r="10915" customFormat="false" ht="15" hidden="false" customHeight="false" outlineLevel="0" collapsed="false">
      <c r="A10915" s="24" t="s">
        <v>576</v>
      </c>
      <c r="B10915" s="25"/>
      <c r="C10915" s="25"/>
      <c r="D10915" s="25"/>
      <c r="E10915" s="25"/>
      <c r="F10915" s="25"/>
      <c r="G10915" s="25"/>
      <c r="H10915" s="25"/>
      <c r="I10915" s="25"/>
      <c r="J10915" s="25"/>
      <c r="K10915" s="25"/>
    </row>
    <row r="10916" customFormat="false" ht="15" hidden="false" customHeight="false" outlineLevel="0" collapsed="false">
      <c r="A10916" s="3" t="s">
        <v>556</v>
      </c>
      <c r="C10916" s="22" t="n">
        <f aca="false">IF(C10795=0,1,C10905/C10795)</f>
        <v>1</v>
      </c>
    </row>
    <row r="10917" customFormat="false" ht="15" hidden="false" customHeight="false" outlineLevel="0" collapsed="false">
      <c r="A10917" s="3" t="s">
        <v>557</v>
      </c>
      <c r="C10917" s="22" t="n">
        <f aca="false">IF(C10796=0,1,C10906/C10796)</f>
        <v>0.932640622583639</v>
      </c>
    </row>
    <row r="10918" customFormat="false" ht="15" hidden="false" customHeight="false" outlineLevel="0" collapsed="false">
      <c r="A10918" s="3" t="s">
        <v>558</v>
      </c>
      <c r="C10918" s="22" t="n">
        <f aca="false">IF(C10797=0,1,C10907/C10797)</f>
        <v>0.928374871640695</v>
      </c>
    </row>
    <row r="10919" customFormat="false" ht="15" hidden="false" customHeight="false" outlineLevel="0" collapsed="false">
      <c r="A10919" s="3" t="s">
        <v>559</v>
      </c>
      <c r="C10919" s="22" t="n">
        <f aca="false">IF(C10798=0,1,C10908/C10798)</f>
        <v>1</v>
      </c>
    </row>
    <row r="10920" customFormat="false" ht="15" hidden="false" customHeight="false" outlineLevel="0" collapsed="false">
      <c r="A10920" s="3" t="s">
        <v>560</v>
      </c>
      <c r="C10920" s="22" t="n">
        <f aca="false">IF(C10799=0,1,C10909/C10799)</f>
        <v>1</v>
      </c>
    </row>
    <row r="10921" customFormat="false" ht="15" hidden="false" customHeight="false" outlineLevel="0" collapsed="false">
      <c r="A10921" s="3" t="s">
        <v>561</v>
      </c>
      <c r="C10921" s="22" t="n">
        <f aca="false">IF(C10800=0,1,C10910/C10800)</f>
        <v>1</v>
      </c>
    </row>
    <row r="10922" customFormat="false" ht="15" hidden="false" customHeight="false" outlineLevel="0" collapsed="false">
      <c r="A10922" s="3" t="s">
        <v>562</v>
      </c>
      <c r="C10922" s="22" t="n">
        <f aca="false">IF(C10801=0,1,C10911/C10801)</f>
        <v>1</v>
      </c>
    </row>
    <row r="10923" customFormat="false" ht="15" hidden="false" customHeight="false" outlineLevel="0" collapsed="false">
      <c r="A10923" s="3" t="s">
        <v>563</v>
      </c>
      <c r="C10923" s="22" t="n">
        <f aca="false">IF(C10802=0,1,C10912/C10802)</f>
        <v>1</v>
      </c>
    </row>
    <row r="10924" customFormat="false" ht="15" hidden="false" customHeight="false" outlineLevel="0" collapsed="false">
      <c r="A10924" s="3" t="s">
        <v>564</v>
      </c>
      <c r="C10924" s="22" t="n">
        <f aca="false">IF(C10803=0,1,C10913/C10803)</f>
        <v>1</v>
      </c>
    </row>
    <row r="10925" customFormat="false" ht="15" hidden="false" customHeight="false" outlineLevel="0" collapsed="false">
      <c r="A10925" s="3" t="s">
        <v>565</v>
      </c>
      <c r="C10925" s="22" t="n">
        <f aca="false">IF(C10804=0,1,C10914/C10804)</f>
        <v>0.468559298686794</v>
      </c>
    </row>
    <row r="10926" customFormat="false" ht="15" hidden="false" customHeight="false" outlineLevel="0" collapsed="false">
      <c r="A10926" s="24" t="s">
        <v>577</v>
      </c>
      <c r="B10926" s="25"/>
      <c r="C10926" s="25"/>
      <c r="D10926" s="25"/>
      <c r="E10926" s="25"/>
      <c r="F10926" s="25"/>
      <c r="G10926" s="25"/>
      <c r="H10926" s="25"/>
      <c r="I10926" s="25"/>
      <c r="J10926" s="25"/>
      <c r="K10926" s="25"/>
    </row>
    <row r="10927" customFormat="false" ht="15" hidden="false" customHeight="false" outlineLevel="0" collapsed="false">
      <c r="A10927" s="3" t="s">
        <v>556</v>
      </c>
      <c r="C10927" s="16" t="n">
        <f aca="false">C10795-C10905</f>
        <v>0</v>
      </c>
    </row>
    <row r="10928" customFormat="false" ht="15" hidden="false" customHeight="false" outlineLevel="0" collapsed="false">
      <c r="A10928" s="3" t="s">
        <v>557</v>
      </c>
      <c r="C10928" s="16" t="n">
        <f aca="false">C10796-C10906</f>
        <v>6.15039951360001</v>
      </c>
    </row>
    <row r="10929" customFormat="false" ht="15" hidden="false" customHeight="false" outlineLevel="0" collapsed="false">
      <c r="A10929" s="3" t="s">
        <v>558</v>
      </c>
      <c r="C10929" s="16" t="n">
        <f aca="false">C10797-C10907</f>
        <v>4.1808730632</v>
      </c>
    </row>
    <row r="10930" customFormat="false" ht="15" hidden="false" customHeight="false" outlineLevel="0" collapsed="false">
      <c r="A10930" s="3" t="s">
        <v>559</v>
      </c>
      <c r="C10930" s="16" t="n">
        <f aca="false">C10798-C10908</f>
        <v>0</v>
      </c>
    </row>
    <row r="10931" customFormat="false" ht="15" hidden="false" customHeight="false" outlineLevel="0" collapsed="false">
      <c r="A10931" s="3" t="s">
        <v>560</v>
      </c>
      <c r="C10931" s="16" t="n">
        <f aca="false">C10799-C10909</f>
        <v>0</v>
      </c>
    </row>
    <row r="10932" customFormat="false" ht="15" hidden="false" customHeight="false" outlineLevel="0" collapsed="false">
      <c r="A10932" s="3" t="s">
        <v>561</v>
      </c>
      <c r="C10932" s="16" t="n">
        <f aca="false">C10800-C10910</f>
        <v>0</v>
      </c>
    </row>
    <row r="10933" customFormat="false" ht="15" hidden="false" customHeight="false" outlineLevel="0" collapsed="false">
      <c r="A10933" s="3" t="s">
        <v>562</v>
      </c>
      <c r="C10933" s="16" t="n">
        <f aca="false">C10801-C10911</f>
        <v>0</v>
      </c>
    </row>
    <row r="10934" customFormat="false" ht="15" hidden="false" customHeight="false" outlineLevel="0" collapsed="false">
      <c r="A10934" s="3" t="s">
        <v>563</v>
      </c>
      <c r="C10934" s="16" t="n">
        <f aca="false">C10802-C10912</f>
        <v>0</v>
      </c>
    </row>
    <row r="10935" customFormat="false" ht="15" hidden="false" customHeight="false" outlineLevel="0" collapsed="false">
      <c r="A10935" s="3" t="s">
        <v>564</v>
      </c>
      <c r="C10935" s="16" t="n">
        <f aca="false">C10803-C10913</f>
        <v>0</v>
      </c>
    </row>
    <row r="10936" customFormat="false" ht="15" hidden="false" customHeight="false" outlineLevel="0" collapsed="false">
      <c r="A10936" s="3" t="s">
        <v>565</v>
      </c>
      <c r="C10936" s="16" t="n">
        <f aca="false">C10804-C10914</f>
        <v>42.6392393606304</v>
      </c>
    </row>
    <row r="10937" customFormat="false" ht="15" hidden="false" customHeight="false" outlineLevel="0" collapsed="false">
      <c r="A10937" s="24" t="s">
        <v>578</v>
      </c>
      <c r="B10937" s="25"/>
      <c r="C10937" s="25"/>
      <c r="D10937" s="25"/>
      <c r="E10937" s="25"/>
      <c r="F10937" s="25"/>
      <c r="G10937" s="25"/>
      <c r="H10937" s="25"/>
      <c r="I10937" s="25"/>
      <c r="J10937" s="25"/>
      <c r="K10937" s="25"/>
    </row>
    <row r="10938" customFormat="false" ht="15" hidden="false" customHeight="false" outlineLevel="0" collapsed="false">
      <c r="A10938" s="3" t="s">
        <v>556</v>
      </c>
      <c r="C10938" s="22" t="n">
        <f aca="false">IF(C10795=0,0,C10927/C10795)</f>
        <v>0</v>
      </c>
    </row>
    <row r="10939" customFormat="false" ht="15" hidden="false" customHeight="false" outlineLevel="0" collapsed="false">
      <c r="A10939" s="3" t="s">
        <v>557</v>
      </c>
      <c r="C10939" s="22" t="n">
        <f aca="false">IF(C10796=0,0,C10928/C10796)</f>
        <v>0.0673593774163608</v>
      </c>
    </row>
    <row r="10940" customFormat="false" ht="15" hidden="false" customHeight="false" outlineLevel="0" collapsed="false">
      <c r="A10940" s="3" t="s">
        <v>558</v>
      </c>
      <c r="C10940" s="22" t="n">
        <f aca="false">IF(C10797=0,0,C10929/C10797)</f>
        <v>0.0716251283593048</v>
      </c>
    </row>
    <row r="10941" customFormat="false" ht="15" hidden="false" customHeight="false" outlineLevel="0" collapsed="false">
      <c r="A10941" s="3" t="s">
        <v>559</v>
      </c>
      <c r="C10941" s="22" t="n">
        <f aca="false">IF(C10798=0,0,C10930/C10798)</f>
        <v>0</v>
      </c>
    </row>
    <row r="10942" customFormat="false" ht="15" hidden="false" customHeight="false" outlineLevel="0" collapsed="false">
      <c r="A10942" s="3" t="s">
        <v>560</v>
      </c>
      <c r="C10942" s="22" t="n">
        <f aca="false">IF(C10799=0,0,C10931/C10799)</f>
        <v>0</v>
      </c>
    </row>
    <row r="10943" customFormat="false" ht="15" hidden="false" customHeight="false" outlineLevel="0" collapsed="false">
      <c r="A10943" s="3" t="s">
        <v>561</v>
      </c>
      <c r="C10943" s="22" t="n">
        <f aca="false">IF(C10800=0,0,C10932/C10800)</f>
        <v>0</v>
      </c>
    </row>
    <row r="10944" customFormat="false" ht="15" hidden="false" customHeight="false" outlineLevel="0" collapsed="false">
      <c r="A10944" s="3" t="s">
        <v>562</v>
      </c>
      <c r="C10944" s="22" t="n">
        <f aca="false">IF(C10801=0,0,C10933/C10801)</f>
        <v>0</v>
      </c>
    </row>
    <row r="10945" customFormat="false" ht="15" hidden="false" customHeight="false" outlineLevel="0" collapsed="false">
      <c r="A10945" s="3" t="s">
        <v>563</v>
      </c>
      <c r="C10945" s="22" t="n">
        <f aca="false">IF(C10802=0,0,C10934/C10802)</f>
        <v>0</v>
      </c>
    </row>
    <row r="10946" customFormat="false" ht="15" hidden="false" customHeight="false" outlineLevel="0" collapsed="false">
      <c r="A10946" s="3" t="s">
        <v>564</v>
      </c>
      <c r="C10946" s="22" t="n">
        <f aca="false">IF(C10803=0,0,C10935/C10803)</f>
        <v>0</v>
      </c>
    </row>
    <row r="10947" customFormat="false" ht="15" hidden="false" customHeight="false" outlineLevel="0" collapsed="false">
      <c r="A10947" s="3" t="s">
        <v>565</v>
      </c>
      <c r="C10947" s="22" t="n">
        <f aca="false">IF(C10804=0,0,C10936/C10804)</f>
        <v>0.531440701313206</v>
      </c>
    </row>
    <row r="10948" customFormat="false" ht="15" hidden="false" customHeight="false" outlineLevel="0" collapsed="false">
      <c r="A10948" s="2" t="s">
        <v>579</v>
      </c>
      <c r="C10948" s="17" t="n">
        <f aca="false">MAX(0,$C$10793-SUM($C$10828:$C$10837)-SUM($C$10850:$C$10859))</f>
        <v>0</v>
      </c>
    </row>
    <row r="10949" customFormat="false" ht="15" hidden="false" customHeight="false" outlineLevel="0" collapsed="false">
      <c r="A10949" s="3" t="s">
        <v>580</v>
      </c>
      <c r="C10949" s="16" t="n">
        <f aca="false">SUM($C$10905:$C$10914)+C10948+C10792-C10791</f>
        <v>0</v>
      </c>
    </row>
    <row r="10951" customFormat="false" ht="15" hidden="false" customHeight="false" outlineLevel="0" collapsed="false">
      <c r="A10951" s="24" t="s">
        <v>583</v>
      </c>
      <c r="B10951" s="25"/>
      <c r="C10951" s="25"/>
      <c r="D10951" s="25"/>
      <c r="E10951" s="25"/>
      <c r="F10951" s="25"/>
      <c r="G10951" s="25"/>
      <c r="H10951" s="25"/>
      <c r="I10951" s="25"/>
      <c r="J10951" s="25"/>
      <c r="K10951" s="25"/>
    </row>
    <row r="10952" customFormat="false" ht="15" hidden="false" customHeight="false" outlineLevel="0" collapsed="false">
      <c r="A10952" s="3" t="s">
        <v>584</v>
      </c>
      <c r="C10952" s="27" t="n">
        <f aca="false">Assumptions!$C$34</f>
        <v>1</v>
      </c>
    </row>
    <row r="10953" customFormat="false" ht="15" hidden="false" customHeight="false" outlineLevel="0" collapsed="false">
      <c r="A10953" s="3" t="s">
        <v>585</v>
      </c>
      <c r="C10953" s="29" t="n">
        <f aca="false">Assumptions!$C$35</f>
        <v>100</v>
      </c>
    </row>
    <row r="10954" customFormat="false" ht="15" hidden="false" customHeight="false" outlineLevel="0" collapsed="false">
      <c r="A10954" s="3" t="s">
        <v>586</v>
      </c>
      <c r="C10954" s="40" t="n">
        <f aca="false">Assumptions!$C$36</f>
        <v>98</v>
      </c>
    </row>
    <row r="10955" customFormat="false" ht="15" hidden="false" customHeight="false" outlineLevel="0" collapsed="false">
      <c r="A10955" s="3" t="s">
        <v>587</v>
      </c>
      <c r="C10955" s="16" t="n">
        <f aca="false">C10953*C10954/100*(1+Assumptions!$C$37)</f>
        <v>98.49</v>
      </c>
    </row>
    <row r="10956" customFormat="false" ht="15" hidden="false" customHeight="false" outlineLevel="0" collapsed="false">
      <c r="A10956" s="3" t="s">
        <v>588</v>
      </c>
      <c r="C10956" s="27" t="n">
        <f aca="false">Assumptions!$C$38</f>
        <v>3</v>
      </c>
    </row>
    <row r="10957" customFormat="false" ht="15" hidden="false" customHeight="false" outlineLevel="0" collapsed="false">
      <c r="A10957" s="3" t="s">
        <v>589</v>
      </c>
      <c r="C10957" s="21" t="n">
        <f aca="false">IF(C10784=1,SUMPRODUCT($G$10720:$K$10720,$G$10494:$K$10494),0)</f>
        <v>2</v>
      </c>
    </row>
    <row r="10958" customFormat="false" ht="15" hidden="false" customHeight="false" outlineLevel="0" collapsed="false">
      <c r="A10958" s="3" t="s">
        <v>590</v>
      </c>
      <c r="C10958" s="22" t="n">
        <f aca="false">IFERROR(C10953/CHOOSE(C10952,SUMPRODUCT($G$10783:$K$10783,$G$10540:$K$10540),SUMPRODUCT($G$10783:$K$10783,$G$10553:$K$10553),SUMPRODUCT($G$10783:$K$10783,$G$10566:$K$10566),SUMPRODUCT($G$10783:$K$10783,$G$10579:$K$10579),SUMPRODUCT($G$10783:$K$10783,$G$10592:$K$10592),SUMPRODUCT($G$10783:$K$10783,$G$10605:$K$10605),SUMPRODUCT($G$10783:$K$10783,$G$10618:$K$10618),SUMPRODUCT($G$10783:$K$10783,$G$10631:$K$10631),SUMPRODUCT($G$10783:$K$10783,$G$10644:$K$10644),SUMPRODUCT($G$10783:$K$10783,$G$10657:$K$10657)),0)</f>
        <v>0.255102040816327</v>
      </c>
    </row>
    <row r="10959" customFormat="false" ht="15" hidden="false" customHeight="false" outlineLevel="0" collapsed="false">
      <c r="A10959" s="3" t="s">
        <v>591</v>
      </c>
      <c r="C10959" s="16" t="n">
        <f aca="false">CHOOSE(C10952,C10905,C10906,C10907,C10908,C10909,C10910,C10911,C10912,C10913,C10914)*C10958</f>
        <v>103</v>
      </c>
    </row>
    <row r="10960" customFormat="false" ht="15" hidden="false" customHeight="false" outlineLevel="0" collapsed="false">
      <c r="A10960" s="3" t="s">
        <v>592</v>
      </c>
      <c r="C10960" s="22" t="n">
        <f aca="false">CHOOSE(C10952,C10916,C10917,C10918,C10919,C10920,C10921,C10922,C10923,C10924,C10925)</f>
        <v>1</v>
      </c>
    </row>
    <row r="10961" customFormat="false" ht="15" hidden="false" customHeight="false" outlineLevel="0" collapsed="false">
      <c r="A10961" s="3" t="s">
        <v>593</v>
      </c>
      <c r="C10961" s="21" t="n">
        <f aca="false">IF(C10784=1,C10957,C10956)</f>
        <v>2</v>
      </c>
    </row>
    <row r="10962" customFormat="false" ht="15" hidden="false" customHeight="false" outlineLevel="0" collapsed="false">
      <c r="A10962" s="3" t="s">
        <v>594</v>
      </c>
      <c r="C10962" s="35" t="n">
        <f aca="false">CHOOSE($C$10486,Assumptions!$C$91,Assumptions!$C$110,Assumptions!$C$129)</f>
        <v>85</v>
      </c>
    </row>
    <row r="10963" customFormat="false" ht="15" hidden="false" customHeight="false" outlineLevel="0" collapsed="false">
      <c r="A10963" s="3" t="s">
        <v>595</v>
      </c>
      <c r="C10963" s="16" t="n">
        <f aca="false">INDEX($G$10503:$K$10503,C10956)*CHOOSE($C$10486,Assumptions!$C$90,Assumptions!$C$109,Assumptions!$C$128)+MAX(0,INDEX($G$10717:$K$10717,C10956))</f>
        <v>1710.26674665773</v>
      </c>
    </row>
    <row r="10964" customFormat="false" ht="15" hidden="false" customHeight="false" outlineLevel="0" collapsed="false">
      <c r="A10964" s="24" t="s">
        <v>596</v>
      </c>
      <c r="B10964" s="25"/>
      <c r="C10964" s="25"/>
      <c r="D10964" s="25"/>
      <c r="E10964" s="25"/>
      <c r="F10964" s="25"/>
      <c r="G10964" s="25"/>
      <c r="H10964" s="25"/>
      <c r="I10964" s="25"/>
      <c r="J10964" s="25"/>
      <c r="K10964" s="25"/>
    </row>
    <row r="10965" customFormat="false" ht="15" hidden="false" customHeight="false" outlineLevel="0" collapsed="false">
      <c r="A10965" s="3" t="s">
        <v>556</v>
      </c>
      <c r="C10965" s="16" t="n">
        <f aca="false">INDEX($G$10540:$K$10540,C10956)</f>
        <v>388</v>
      </c>
    </row>
    <row r="10966" customFormat="false" ht="15" hidden="false" customHeight="false" outlineLevel="0" collapsed="false">
      <c r="A10966" s="3" t="s">
        <v>557</v>
      </c>
      <c r="C10966" s="16" t="n">
        <f aca="false">INDEX($G$10553:$K$10553,C10956)</f>
        <v>90</v>
      </c>
    </row>
    <row r="10967" customFormat="false" ht="15" hidden="false" customHeight="false" outlineLevel="0" collapsed="false">
      <c r="A10967" s="3" t="s">
        <v>558</v>
      </c>
      <c r="C10967" s="16" t="n">
        <f aca="false">INDEX($G$10566:$K$10566,C10956)</f>
        <v>57.324</v>
      </c>
    </row>
    <row r="10968" customFormat="false" ht="15" hidden="false" customHeight="false" outlineLevel="0" collapsed="false">
      <c r="A10968" s="3" t="s">
        <v>559</v>
      </c>
      <c r="C10968" s="16" t="n">
        <f aca="false">INDEX($G$10579:$K$10579,C10956)</f>
        <v>0</v>
      </c>
    </row>
    <row r="10969" customFormat="false" ht="15" hidden="false" customHeight="false" outlineLevel="0" collapsed="false">
      <c r="A10969" s="3" t="s">
        <v>560</v>
      </c>
      <c r="C10969" s="16" t="n">
        <f aca="false">INDEX($G$10592:$K$10592,C10956)</f>
        <v>417.64412936</v>
      </c>
    </row>
    <row r="10970" customFormat="false" ht="15" hidden="false" customHeight="false" outlineLevel="0" collapsed="false">
      <c r="A10970" s="3" t="s">
        <v>561</v>
      </c>
      <c r="C10970" s="16" t="n">
        <f aca="false">INDEX($G$10605:$K$10605,C10956)</f>
        <v>350</v>
      </c>
    </row>
    <row r="10971" customFormat="false" ht="15" hidden="false" customHeight="false" outlineLevel="0" collapsed="false">
      <c r="A10971" s="3" t="s">
        <v>562</v>
      </c>
      <c r="C10971" s="16" t="n">
        <f aca="false">INDEX($G$10618:$K$10618,C10956)</f>
        <v>550</v>
      </c>
    </row>
    <row r="10972" customFormat="false" ht="15" hidden="false" customHeight="false" outlineLevel="0" collapsed="false">
      <c r="A10972" s="3" t="s">
        <v>563</v>
      </c>
      <c r="C10972" s="16" t="n">
        <f aca="false">INDEX($G$10631:$K$10631,C10956)</f>
        <v>350</v>
      </c>
    </row>
    <row r="10973" customFormat="false" ht="15" hidden="false" customHeight="false" outlineLevel="0" collapsed="false">
      <c r="A10973" s="3" t="s">
        <v>564</v>
      </c>
      <c r="C10973" s="16" t="n">
        <f aca="false">INDEX($G$10644:$K$10644,C10956)</f>
        <v>300</v>
      </c>
    </row>
    <row r="10974" customFormat="false" ht="15" hidden="false" customHeight="false" outlineLevel="0" collapsed="false">
      <c r="A10974" s="3" t="s">
        <v>565</v>
      </c>
      <c r="C10974" s="16" t="n">
        <f aca="false">INDEX($G$10657:$K$10657,C10956)</f>
        <v>78.61</v>
      </c>
    </row>
    <row r="10975" customFormat="false" ht="15" hidden="false" customHeight="false" outlineLevel="0" collapsed="false">
      <c r="A10975" s="24" t="s">
        <v>566</v>
      </c>
      <c r="B10975" s="25"/>
      <c r="C10975" s="25"/>
      <c r="D10975" s="25"/>
      <c r="E10975" s="25"/>
      <c r="F10975" s="25"/>
      <c r="G10975" s="25"/>
      <c r="H10975" s="25"/>
      <c r="I10975" s="25"/>
      <c r="J10975" s="25"/>
      <c r="K10975" s="25"/>
    </row>
    <row r="10976" customFormat="false" ht="15" hidden="false" customHeight="false" outlineLevel="0" collapsed="false">
      <c r="A10976" s="3" t="s">
        <v>556</v>
      </c>
      <c r="C10976" s="27" t="n">
        <f aca="false">Assumptions!$M$57</f>
        <v>1</v>
      </c>
    </row>
    <row r="10977" customFormat="false" ht="15" hidden="false" customHeight="false" outlineLevel="0" collapsed="false">
      <c r="A10977" s="3" t="s">
        <v>557</v>
      </c>
      <c r="C10977" s="27" t="n">
        <f aca="false">Assumptions!$M$58</f>
        <v>1</v>
      </c>
    </row>
    <row r="10978" customFormat="false" ht="15" hidden="false" customHeight="false" outlineLevel="0" collapsed="false">
      <c r="A10978" s="3" t="s">
        <v>558</v>
      </c>
      <c r="C10978" s="27" t="n">
        <f aca="false">Assumptions!$M$59</f>
        <v>1</v>
      </c>
    </row>
    <row r="10979" customFormat="false" ht="15" hidden="false" customHeight="false" outlineLevel="0" collapsed="false">
      <c r="A10979" s="3" t="s">
        <v>559</v>
      </c>
      <c r="C10979" s="27" t="n">
        <f aca="false">Assumptions!$M$60</f>
        <v>2</v>
      </c>
    </row>
    <row r="10980" customFormat="false" ht="15" hidden="false" customHeight="false" outlineLevel="0" collapsed="false">
      <c r="A10980" s="3" t="s">
        <v>560</v>
      </c>
      <c r="C10980" s="27" t="n">
        <f aca="false">Assumptions!$M$61</f>
        <v>2</v>
      </c>
    </row>
    <row r="10981" customFormat="false" ht="15" hidden="false" customHeight="false" outlineLevel="0" collapsed="false">
      <c r="A10981" s="3" t="s">
        <v>561</v>
      </c>
      <c r="C10981" s="27" t="n">
        <f aca="false">Assumptions!$M$62</f>
        <v>2</v>
      </c>
    </row>
    <row r="10982" customFormat="false" ht="15" hidden="false" customHeight="false" outlineLevel="0" collapsed="false">
      <c r="A10982" s="3" t="s">
        <v>562</v>
      </c>
      <c r="C10982" s="27" t="n">
        <f aca="false">Assumptions!$M$63</f>
        <v>2</v>
      </c>
    </row>
    <row r="10983" customFormat="false" ht="15" hidden="false" customHeight="false" outlineLevel="0" collapsed="false">
      <c r="A10983" s="3" t="s">
        <v>563</v>
      </c>
      <c r="C10983" s="27" t="n">
        <f aca="false">Assumptions!$M$64</f>
        <v>2</v>
      </c>
    </row>
    <row r="10984" customFormat="false" ht="15" hidden="false" customHeight="false" outlineLevel="0" collapsed="false">
      <c r="A10984" s="3" t="s">
        <v>564</v>
      </c>
      <c r="C10984" s="27" t="n">
        <f aca="false">Assumptions!$M$65</f>
        <v>2</v>
      </c>
    </row>
    <row r="10985" customFormat="false" ht="15" hidden="false" customHeight="false" outlineLevel="0" collapsed="false">
      <c r="A10985" s="3" t="s">
        <v>565</v>
      </c>
      <c r="C10985" s="27" t="n">
        <f aca="false">Assumptions!$M$66</f>
        <v>3</v>
      </c>
    </row>
    <row r="10986" customFormat="false" ht="15" hidden="false" customHeight="false" outlineLevel="0" collapsed="false">
      <c r="A10986" s="24" t="s">
        <v>567</v>
      </c>
      <c r="B10986" s="25"/>
      <c r="C10986" s="25"/>
      <c r="D10986" s="25"/>
      <c r="E10986" s="25"/>
      <c r="F10986" s="25"/>
      <c r="G10986" s="25"/>
      <c r="H10986" s="25"/>
      <c r="I10986" s="25"/>
      <c r="J10986" s="25"/>
      <c r="K10986" s="25"/>
    </row>
    <row r="10987" customFormat="false" ht="15" hidden="false" customHeight="false" outlineLevel="0" collapsed="false">
      <c r="A10987" s="3" t="s">
        <v>556</v>
      </c>
      <c r="C10987" s="33" t="n">
        <f aca="false">Assumptions!$Q$57</f>
        <v>0.3</v>
      </c>
    </row>
    <row r="10988" customFormat="false" ht="15" hidden="false" customHeight="false" outlineLevel="0" collapsed="false">
      <c r="A10988" s="3" t="s">
        <v>557</v>
      </c>
      <c r="C10988" s="33" t="n">
        <f aca="false">Assumptions!$Q$58</f>
        <v>0.033</v>
      </c>
    </row>
    <row r="10989" customFormat="false" ht="15" hidden="false" customHeight="false" outlineLevel="0" collapsed="false">
      <c r="A10989" s="3" t="s">
        <v>558</v>
      </c>
      <c r="C10989" s="33" t="n">
        <f aca="false">Assumptions!$Q$59</f>
        <v>0.021</v>
      </c>
    </row>
    <row r="10990" customFormat="false" ht="15" hidden="false" customHeight="false" outlineLevel="0" collapsed="false">
      <c r="A10990" s="3" t="s">
        <v>559</v>
      </c>
      <c r="C10990" s="33" t="n">
        <f aca="false">Assumptions!$Q$60</f>
        <v>0</v>
      </c>
    </row>
    <row r="10991" customFormat="false" ht="15" hidden="false" customHeight="false" outlineLevel="0" collapsed="false">
      <c r="A10991" s="3" t="s">
        <v>560</v>
      </c>
      <c r="C10991" s="33" t="n">
        <f aca="false">Assumptions!$Q$61</f>
        <v>0</v>
      </c>
    </row>
    <row r="10992" customFormat="false" ht="15" hidden="false" customHeight="false" outlineLevel="0" collapsed="false">
      <c r="A10992" s="3" t="s">
        <v>561</v>
      </c>
      <c r="C10992" s="33" t="n">
        <f aca="false">Assumptions!$Q$62</f>
        <v>0</v>
      </c>
    </row>
    <row r="10993" customFormat="false" ht="15" hidden="false" customHeight="false" outlineLevel="0" collapsed="false">
      <c r="A10993" s="3" t="s">
        <v>562</v>
      </c>
      <c r="C10993" s="33" t="n">
        <f aca="false">Assumptions!$Q$63</f>
        <v>0</v>
      </c>
    </row>
    <row r="10994" customFormat="false" ht="15" hidden="false" customHeight="false" outlineLevel="0" collapsed="false">
      <c r="A10994" s="3" t="s">
        <v>563</v>
      </c>
      <c r="C10994" s="33" t="n">
        <f aca="false">Assumptions!$Q$64</f>
        <v>0</v>
      </c>
    </row>
    <row r="10995" customFormat="false" ht="15" hidden="false" customHeight="false" outlineLevel="0" collapsed="false">
      <c r="A10995" s="3" t="s">
        <v>564</v>
      </c>
      <c r="C10995" s="33" t="n">
        <f aca="false">Assumptions!$Q$65</f>
        <v>0</v>
      </c>
    </row>
    <row r="10996" customFormat="false" ht="15" hidden="false" customHeight="false" outlineLevel="0" collapsed="false">
      <c r="A10996" s="3" t="s">
        <v>565</v>
      </c>
      <c r="C10996" s="33" t="n">
        <f aca="false">Assumptions!$Q$66</f>
        <v>0</v>
      </c>
    </row>
    <row r="10997" customFormat="false" ht="15" hidden="false" customHeight="false" outlineLevel="0" collapsed="false">
      <c r="A10997" s="24" t="s">
        <v>568</v>
      </c>
      <c r="B10997" s="25"/>
      <c r="C10997" s="25"/>
      <c r="D10997" s="25"/>
      <c r="E10997" s="25"/>
      <c r="F10997" s="25"/>
      <c r="G10997" s="25"/>
      <c r="H10997" s="25"/>
      <c r="I10997" s="25"/>
      <c r="J10997" s="25"/>
      <c r="K10997" s="25"/>
    </row>
    <row r="10998" customFormat="false" ht="15" hidden="false" customHeight="false" outlineLevel="0" collapsed="false">
      <c r="A10998" s="3" t="s">
        <v>556</v>
      </c>
      <c r="C10998" s="16" t="n">
        <f aca="false">IF(C10987&gt;0,MIN(C10965,C10987*$C$10963),0)</f>
        <v>388</v>
      </c>
    </row>
    <row r="10999" customFormat="false" ht="15" hidden="false" customHeight="false" outlineLevel="0" collapsed="false">
      <c r="A10999" s="3" t="s">
        <v>557</v>
      </c>
      <c r="C10999" s="16" t="n">
        <f aca="false">IF(C10988&gt;0,MIN(C10966,C10988*$C$10963),0)</f>
        <v>56.4388026397049</v>
      </c>
    </row>
    <row r="11000" customFormat="false" ht="15" hidden="false" customHeight="false" outlineLevel="0" collapsed="false">
      <c r="A11000" s="3" t="s">
        <v>558</v>
      </c>
      <c r="C11000" s="16" t="n">
        <f aca="false">IF(C10989&gt;0,MIN(C10967,C10989*$C$10963),0)</f>
        <v>35.9156016798122</v>
      </c>
    </row>
    <row r="11001" customFormat="false" ht="15" hidden="false" customHeight="false" outlineLevel="0" collapsed="false">
      <c r="A11001" s="3" t="s">
        <v>559</v>
      </c>
      <c r="C11001" s="16" t="n">
        <f aca="false">IF(C10990&gt;0,MIN(C10968,C10990*$C$10963),0)</f>
        <v>0</v>
      </c>
    </row>
    <row r="11002" customFormat="false" ht="15" hidden="false" customHeight="false" outlineLevel="0" collapsed="false">
      <c r="A11002" s="3" t="s">
        <v>560</v>
      </c>
      <c r="C11002" s="16" t="n">
        <f aca="false">IF(C10991&gt;0,MIN(C10969,C10991*$C$10963),0)</f>
        <v>0</v>
      </c>
    </row>
    <row r="11003" customFormat="false" ht="15" hidden="false" customHeight="false" outlineLevel="0" collapsed="false">
      <c r="A11003" s="3" t="s">
        <v>561</v>
      </c>
      <c r="C11003" s="16" t="n">
        <f aca="false">IF(C10992&gt;0,MIN(C10970,C10992*$C$10963),0)</f>
        <v>0</v>
      </c>
    </row>
    <row r="11004" customFormat="false" ht="15" hidden="false" customHeight="false" outlineLevel="0" collapsed="false">
      <c r="A11004" s="3" t="s">
        <v>562</v>
      </c>
      <c r="C11004" s="16" t="n">
        <f aca="false">IF(C10993&gt;0,MIN(C10971,C10993*$C$10963),0)</f>
        <v>0</v>
      </c>
    </row>
    <row r="11005" customFormat="false" ht="15" hidden="false" customHeight="false" outlineLevel="0" collapsed="false">
      <c r="A11005" s="3" t="s">
        <v>563</v>
      </c>
      <c r="C11005" s="16" t="n">
        <f aca="false">IF(C10994&gt;0,MIN(C10972,C10994*$C$10963),0)</f>
        <v>0</v>
      </c>
    </row>
    <row r="11006" customFormat="false" ht="15" hidden="false" customHeight="false" outlineLevel="0" collapsed="false">
      <c r="A11006" s="3" t="s">
        <v>564</v>
      </c>
      <c r="C11006" s="16" t="n">
        <f aca="false">IF(C10995&gt;0,MIN(C10973,C10995*$C$10963),0)</f>
        <v>0</v>
      </c>
    </row>
    <row r="11007" customFormat="false" ht="15" hidden="false" customHeight="false" outlineLevel="0" collapsed="false">
      <c r="A11007" s="3" t="s">
        <v>565</v>
      </c>
      <c r="C11007" s="16" t="n">
        <f aca="false">IF(C10996&gt;0,MIN(C10974,C10996*$C$10963),0)</f>
        <v>0</v>
      </c>
    </row>
    <row r="11008" customFormat="false" ht="15" hidden="false" customHeight="false" outlineLevel="0" collapsed="false">
      <c r="A11008" s="24" t="s">
        <v>569</v>
      </c>
      <c r="B11008" s="25"/>
      <c r="C11008" s="25"/>
      <c r="D11008" s="25"/>
      <c r="E11008" s="25"/>
      <c r="F11008" s="25"/>
      <c r="G11008" s="25"/>
      <c r="H11008" s="25"/>
      <c r="I11008" s="25"/>
      <c r="J11008" s="25"/>
      <c r="K11008" s="25"/>
    </row>
    <row r="11009" customFormat="false" ht="15" hidden="false" customHeight="false" outlineLevel="0" collapsed="false">
      <c r="A11009" s="3" t="s">
        <v>556</v>
      </c>
      <c r="C11009" s="16" t="n">
        <f aca="false">IF(C10987&gt;0,C10965-C10998,0)</f>
        <v>0</v>
      </c>
    </row>
    <row r="11010" customFormat="false" ht="15" hidden="false" customHeight="false" outlineLevel="0" collapsed="false">
      <c r="A11010" s="3" t="s">
        <v>557</v>
      </c>
      <c r="C11010" s="16" t="n">
        <f aca="false">IF(C10988&gt;0,C10966-C10999,0)</f>
        <v>33.5611973602951</v>
      </c>
    </row>
    <row r="11011" customFormat="false" ht="15" hidden="false" customHeight="false" outlineLevel="0" collapsed="false">
      <c r="A11011" s="3" t="s">
        <v>558</v>
      </c>
      <c r="C11011" s="16" t="n">
        <f aca="false">IF(C10989&gt;0,C10967-C11000,0)</f>
        <v>21.4083983201878</v>
      </c>
    </row>
    <row r="11012" customFormat="false" ht="15" hidden="false" customHeight="false" outlineLevel="0" collapsed="false">
      <c r="A11012" s="3" t="s">
        <v>559</v>
      </c>
      <c r="C11012" s="16" t="n">
        <f aca="false">IF(C10990&gt;0,C10968-C11001,0)</f>
        <v>0</v>
      </c>
    </row>
    <row r="11013" customFormat="false" ht="15" hidden="false" customHeight="false" outlineLevel="0" collapsed="false">
      <c r="A11013" s="3" t="s">
        <v>560</v>
      </c>
      <c r="C11013" s="16" t="n">
        <f aca="false">IF(C10991&gt;0,C10969-C11002,0)</f>
        <v>0</v>
      </c>
    </row>
    <row r="11014" customFormat="false" ht="15" hidden="false" customHeight="false" outlineLevel="0" collapsed="false">
      <c r="A11014" s="3" t="s">
        <v>561</v>
      </c>
      <c r="C11014" s="16" t="n">
        <f aca="false">IF(C10992&gt;0,C10970-C11003,0)</f>
        <v>0</v>
      </c>
    </row>
    <row r="11015" customFormat="false" ht="15" hidden="false" customHeight="false" outlineLevel="0" collapsed="false">
      <c r="A11015" s="3" t="s">
        <v>562</v>
      </c>
      <c r="C11015" s="16" t="n">
        <f aca="false">IF(C10993&gt;0,C10971-C11004,0)</f>
        <v>0</v>
      </c>
    </row>
    <row r="11016" customFormat="false" ht="15" hidden="false" customHeight="false" outlineLevel="0" collapsed="false">
      <c r="A11016" s="3" t="s">
        <v>563</v>
      </c>
      <c r="C11016" s="16" t="n">
        <f aca="false">IF(C10994&gt;0,C10972-C11005,0)</f>
        <v>0</v>
      </c>
    </row>
    <row r="11017" customFormat="false" ht="15" hidden="false" customHeight="false" outlineLevel="0" collapsed="false">
      <c r="A11017" s="3" t="s">
        <v>564</v>
      </c>
      <c r="C11017" s="16" t="n">
        <f aca="false">IF(C10995&gt;0,C10973-C11006,0)</f>
        <v>0</v>
      </c>
    </row>
    <row r="11018" customFormat="false" ht="15" hidden="false" customHeight="false" outlineLevel="0" collapsed="false">
      <c r="A11018" s="3" t="s">
        <v>565</v>
      </c>
      <c r="C11018" s="16" t="n">
        <f aca="false">IF(C10996&gt;0,C10974-C11007,0)</f>
        <v>0</v>
      </c>
    </row>
    <row r="11019" customFormat="false" ht="15" hidden="false" customHeight="false" outlineLevel="0" collapsed="false">
      <c r="A11019" s="24" t="s">
        <v>570</v>
      </c>
      <c r="B11019" s="25"/>
      <c r="C11019" s="25"/>
      <c r="D11019" s="25"/>
      <c r="E11019" s="25"/>
      <c r="F11019" s="25"/>
      <c r="G11019" s="25"/>
      <c r="H11019" s="25"/>
      <c r="I11019" s="25"/>
      <c r="J11019" s="25"/>
      <c r="K11019" s="25"/>
    </row>
    <row r="11020" customFormat="false" ht="15" hidden="false" customHeight="false" outlineLevel="0" collapsed="false">
      <c r="A11020" s="3" t="s">
        <v>556</v>
      </c>
      <c r="C11020" s="16" t="n">
        <f aca="false">IF(C10987&gt;0,C11009,C10965)</f>
        <v>0</v>
      </c>
    </row>
    <row r="11021" customFormat="false" ht="15" hidden="false" customHeight="false" outlineLevel="0" collapsed="false">
      <c r="A11021" s="3" t="s">
        <v>557</v>
      </c>
      <c r="C11021" s="16" t="n">
        <f aca="false">IF(C10988&gt;0,C11010,C10966)</f>
        <v>33.5611973602951</v>
      </c>
    </row>
    <row r="11022" customFormat="false" ht="15" hidden="false" customHeight="false" outlineLevel="0" collapsed="false">
      <c r="A11022" s="3" t="s">
        <v>558</v>
      </c>
      <c r="C11022" s="16" t="n">
        <f aca="false">IF(C10989&gt;0,C11011,C10967)</f>
        <v>21.4083983201878</v>
      </c>
    </row>
    <row r="11023" customFormat="false" ht="15" hidden="false" customHeight="false" outlineLevel="0" collapsed="false">
      <c r="A11023" s="3" t="s">
        <v>559</v>
      </c>
      <c r="C11023" s="16" t="n">
        <f aca="false">IF(C10990&gt;0,C11012,C10968)</f>
        <v>0</v>
      </c>
    </row>
    <row r="11024" customFormat="false" ht="15" hidden="false" customHeight="false" outlineLevel="0" collapsed="false">
      <c r="A11024" s="3" t="s">
        <v>560</v>
      </c>
      <c r="C11024" s="16" t="n">
        <f aca="false">IF(C10991&gt;0,C11013,C10969)</f>
        <v>417.64412936</v>
      </c>
    </row>
    <row r="11025" customFormat="false" ht="15" hidden="false" customHeight="false" outlineLevel="0" collapsed="false">
      <c r="A11025" s="3" t="s">
        <v>561</v>
      </c>
      <c r="C11025" s="16" t="n">
        <f aca="false">IF(C10992&gt;0,C11014,C10970)</f>
        <v>350</v>
      </c>
    </row>
    <row r="11026" customFormat="false" ht="15" hidden="false" customHeight="false" outlineLevel="0" collapsed="false">
      <c r="A11026" s="3" t="s">
        <v>562</v>
      </c>
      <c r="C11026" s="16" t="n">
        <f aca="false">IF(C10993&gt;0,C11015,C10971)</f>
        <v>550</v>
      </c>
    </row>
    <row r="11027" customFormat="false" ht="15" hidden="false" customHeight="false" outlineLevel="0" collapsed="false">
      <c r="A11027" s="3" t="s">
        <v>563</v>
      </c>
      <c r="C11027" s="16" t="n">
        <f aca="false">IF(C10994&gt;0,C11016,C10972)</f>
        <v>350</v>
      </c>
    </row>
    <row r="11028" customFormat="false" ht="15" hidden="false" customHeight="false" outlineLevel="0" collapsed="false">
      <c r="A11028" s="3" t="s">
        <v>564</v>
      </c>
      <c r="C11028" s="16" t="n">
        <f aca="false">IF(C10995&gt;0,C11017,C10973)</f>
        <v>300</v>
      </c>
    </row>
    <row r="11029" customFormat="false" ht="15" hidden="false" customHeight="false" outlineLevel="0" collapsed="false">
      <c r="A11029" s="3" t="s">
        <v>565</v>
      </c>
      <c r="C11029" s="16" t="n">
        <f aca="false">IF(C10996&gt;0,C11018,C10974)</f>
        <v>78.61</v>
      </c>
    </row>
    <row r="11030" customFormat="false" ht="15" hidden="false" customHeight="false" outlineLevel="0" collapsed="false">
      <c r="A11030" s="24" t="s">
        <v>571</v>
      </c>
      <c r="B11030" s="25"/>
      <c r="C11030" s="25"/>
      <c r="D11030" s="25"/>
      <c r="E11030" s="25"/>
      <c r="F11030" s="25"/>
      <c r="G11030" s="25"/>
      <c r="H11030" s="25"/>
      <c r="I11030" s="25"/>
      <c r="J11030" s="25"/>
      <c r="K11030" s="25"/>
    </row>
    <row r="11031" customFormat="false" ht="15" hidden="false" customHeight="false" outlineLevel="0" collapsed="false">
      <c r="A11031" s="3" t="s">
        <v>556</v>
      </c>
      <c r="C11031" s="21" t="n">
        <f aca="false">IF(C10987&gt;0,Assumptions!$C$17,C10976)</f>
        <v>99</v>
      </c>
    </row>
    <row r="11032" customFormat="false" ht="15" hidden="false" customHeight="false" outlineLevel="0" collapsed="false">
      <c r="A11032" s="3" t="s">
        <v>557</v>
      </c>
      <c r="C11032" s="21" t="n">
        <f aca="false">IF(C10988&gt;0,Assumptions!$C$17,C10977)</f>
        <v>99</v>
      </c>
    </row>
    <row r="11033" customFormat="false" ht="15" hidden="false" customHeight="false" outlineLevel="0" collapsed="false">
      <c r="A11033" s="3" t="s">
        <v>558</v>
      </c>
      <c r="C11033" s="21" t="n">
        <f aca="false">IF(C10989&gt;0,Assumptions!$C$17,C10978)</f>
        <v>99</v>
      </c>
    </row>
    <row r="11034" customFormat="false" ht="15" hidden="false" customHeight="false" outlineLevel="0" collapsed="false">
      <c r="A11034" s="3" t="s">
        <v>559</v>
      </c>
      <c r="C11034" s="21" t="n">
        <f aca="false">IF(C10990&gt;0,Assumptions!$C$17,C10979)</f>
        <v>2</v>
      </c>
    </row>
    <row r="11035" customFormat="false" ht="15" hidden="false" customHeight="false" outlineLevel="0" collapsed="false">
      <c r="A11035" s="3" t="s">
        <v>560</v>
      </c>
      <c r="C11035" s="21" t="n">
        <f aca="false">IF(C10991&gt;0,Assumptions!$C$17,C10980)</f>
        <v>2</v>
      </c>
    </row>
    <row r="11036" customFormat="false" ht="15" hidden="false" customHeight="false" outlineLevel="0" collapsed="false">
      <c r="A11036" s="3" t="s">
        <v>561</v>
      </c>
      <c r="C11036" s="21" t="n">
        <f aca="false">IF(C10992&gt;0,Assumptions!$C$17,C10981)</f>
        <v>2</v>
      </c>
    </row>
    <row r="11037" customFormat="false" ht="15" hidden="false" customHeight="false" outlineLevel="0" collapsed="false">
      <c r="A11037" s="3" t="s">
        <v>562</v>
      </c>
      <c r="C11037" s="21" t="n">
        <f aca="false">IF(C10993&gt;0,Assumptions!$C$17,C10982)</f>
        <v>2</v>
      </c>
    </row>
    <row r="11038" customFormat="false" ht="15" hidden="false" customHeight="false" outlineLevel="0" collapsed="false">
      <c r="A11038" s="3" t="s">
        <v>563</v>
      </c>
      <c r="C11038" s="21" t="n">
        <f aca="false">IF(C10994&gt;0,Assumptions!$C$17,C10983)</f>
        <v>2</v>
      </c>
    </row>
    <row r="11039" customFormat="false" ht="15" hidden="false" customHeight="false" outlineLevel="0" collapsed="false">
      <c r="A11039" s="3" t="s">
        <v>564</v>
      </c>
      <c r="C11039" s="21" t="n">
        <f aca="false">IF(C10995&gt;0,Assumptions!$C$17,C10984)</f>
        <v>2</v>
      </c>
    </row>
    <row r="11040" customFormat="false" ht="15" hidden="false" customHeight="false" outlineLevel="0" collapsed="false">
      <c r="A11040" s="3" t="s">
        <v>565</v>
      </c>
      <c r="C11040" s="21" t="n">
        <f aca="false">IF(C10996&gt;0,Assumptions!$C$17,C10985)</f>
        <v>3</v>
      </c>
    </row>
    <row r="11041" customFormat="false" ht="15" hidden="false" customHeight="false" outlineLevel="0" collapsed="false">
      <c r="A11041" s="24" t="s">
        <v>572</v>
      </c>
      <c r="B11041" s="25"/>
      <c r="C11041" s="25"/>
      <c r="D11041" s="25"/>
      <c r="E11041" s="25"/>
      <c r="F11041" s="25"/>
      <c r="G11041" s="25"/>
      <c r="H11041" s="25"/>
      <c r="I11041" s="25"/>
      <c r="J11041" s="25"/>
      <c r="K11041" s="25"/>
    </row>
    <row r="11042" customFormat="false" ht="15" hidden="false" customHeight="false" outlineLevel="0" collapsed="false">
      <c r="A11042" s="3" t="s">
        <v>556</v>
      </c>
      <c r="C11042" s="16" t="n">
        <f aca="false">SUMPRODUCT(($C$11031:$C$11040&lt;C11031)*$C$11020:$C$11029)</f>
        <v>2046.25412936</v>
      </c>
    </row>
    <row r="11043" customFormat="false" ht="15" hidden="false" customHeight="false" outlineLevel="0" collapsed="false">
      <c r="A11043" s="3" t="s">
        <v>557</v>
      </c>
      <c r="C11043" s="16" t="n">
        <f aca="false">SUMPRODUCT(($C$11031:$C$11040&lt;C11032)*$C$11020:$C$11029)</f>
        <v>2046.25412936</v>
      </c>
    </row>
    <row r="11044" customFormat="false" ht="15" hidden="false" customHeight="false" outlineLevel="0" collapsed="false">
      <c r="A11044" s="3" t="s">
        <v>558</v>
      </c>
      <c r="C11044" s="16" t="n">
        <f aca="false">SUMPRODUCT(($C$11031:$C$11040&lt;C11033)*$C$11020:$C$11029)</f>
        <v>2046.25412936</v>
      </c>
    </row>
    <row r="11045" customFormat="false" ht="15" hidden="false" customHeight="false" outlineLevel="0" collapsed="false">
      <c r="A11045" s="3" t="s">
        <v>559</v>
      </c>
      <c r="C11045" s="16" t="n">
        <f aca="false">SUMPRODUCT(($C$11031:$C$11040&lt;C11034)*$C$11020:$C$11029)</f>
        <v>0</v>
      </c>
    </row>
    <row r="11046" customFormat="false" ht="15" hidden="false" customHeight="false" outlineLevel="0" collapsed="false">
      <c r="A11046" s="3" t="s">
        <v>560</v>
      </c>
      <c r="C11046" s="16" t="n">
        <f aca="false">SUMPRODUCT(($C$11031:$C$11040&lt;C11035)*$C$11020:$C$11029)</f>
        <v>0</v>
      </c>
    </row>
    <row r="11047" customFormat="false" ht="15" hidden="false" customHeight="false" outlineLevel="0" collapsed="false">
      <c r="A11047" s="3" t="s">
        <v>561</v>
      </c>
      <c r="C11047" s="16" t="n">
        <f aca="false">SUMPRODUCT(($C$11031:$C$11040&lt;C11036)*$C$11020:$C$11029)</f>
        <v>0</v>
      </c>
    </row>
    <row r="11048" customFormat="false" ht="15" hidden="false" customHeight="false" outlineLevel="0" collapsed="false">
      <c r="A11048" s="3" t="s">
        <v>562</v>
      </c>
      <c r="C11048" s="16" t="n">
        <f aca="false">SUMPRODUCT(($C$11031:$C$11040&lt;C11037)*$C$11020:$C$11029)</f>
        <v>0</v>
      </c>
    </row>
    <row r="11049" customFormat="false" ht="15" hidden="false" customHeight="false" outlineLevel="0" collapsed="false">
      <c r="A11049" s="3" t="s">
        <v>563</v>
      </c>
      <c r="C11049" s="16" t="n">
        <f aca="false">SUMPRODUCT(($C$11031:$C$11040&lt;C11038)*$C$11020:$C$11029)</f>
        <v>0</v>
      </c>
    </row>
    <row r="11050" customFormat="false" ht="15" hidden="false" customHeight="false" outlineLevel="0" collapsed="false">
      <c r="A11050" s="3" t="s">
        <v>564</v>
      </c>
      <c r="C11050" s="16" t="n">
        <f aca="false">SUMPRODUCT(($C$11031:$C$11040&lt;C11039)*$C$11020:$C$11029)</f>
        <v>0</v>
      </c>
    </row>
    <row r="11051" customFormat="false" ht="15" hidden="false" customHeight="false" outlineLevel="0" collapsed="false">
      <c r="A11051" s="3" t="s">
        <v>565</v>
      </c>
      <c r="C11051" s="16" t="n">
        <f aca="false">SUMPRODUCT(($C$11031:$C$11040&lt;C11040)*$C$11020:$C$11029)</f>
        <v>1967.64412936</v>
      </c>
    </row>
    <row r="11052" customFormat="false" ht="15" hidden="false" customHeight="false" outlineLevel="0" collapsed="false">
      <c r="A11052" s="24" t="s">
        <v>573</v>
      </c>
      <c r="B11052" s="25"/>
      <c r="C11052" s="25"/>
      <c r="D11052" s="25"/>
      <c r="E11052" s="25"/>
      <c r="F11052" s="25"/>
      <c r="G11052" s="25"/>
      <c r="H11052" s="25"/>
      <c r="I11052" s="25"/>
      <c r="J11052" s="25"/>
      <c r="K11052" s="25"/>
    </row>
    <row r="11053" customFormat="false" ht="15" hidden="false" customHeight="false" outlineLevel="0" collapsed="false">
      <c r="A11053" s="3" t="s">
        <v>556</v>
      </c>
      <c r="C11053" s="16" t="n">
        <f aca="false">SUMPRODUCT(($C$11031:$C$11040=C11031)*$C$11020:$C$11029)</f>
        <v>54.9695956804828</v>
      </c>
    </row>
    <row r="11054" customFormat="false" ht="15" hidden="false" customHeight="false" outlineLevel="0" collapsed="false">
      <c r="A11054" s="3" t="s">
        <v>557</v>
      </c>
      <c r="C11054" s="16" t="n">
        <f aca="false">SUMPRODUCT(($C$11031:$C$11040=C11032)*$C$11020:$C$11029)</f>
        <v>54.9695956804828</v>
      </c>
    </row>
    <row r="11055" customFormat="false" ht="15" hidden="false" customHeight="false" outlineLevel="0" collapsed="false">
      <c r="A11055" s="3" t="s">
        <v>558</v>
      </c>
      <c r="C11055" s="16" t="n">
        <f aca="false">SUMPRODUCT(($C$11031:$C$11040=C11033)*$C$11020:$C$11029)</f>
        <v>54.9695956804828</v>
      </c>
    </row>
    <row r="11056" customFormat="false" ht="15" hidden="false" customHeight="false" outlineLevel="0" collapsed="false">
      <c r="A11056" s="3" t="s">
        <v>559</v>
      </c>
      <c r="C11056" s="16" t="n">
        <f aca="false">SUMPRODUCT(($C$11031:$C$11040=C11034)*$C$11020:$C$11029)</f>
        <v>1967.64412936</v>
      </c>
    </row>
    <row r="11057" customFormat="false" ht="15" hidden="false" customHeight="false" outlineLevel="0" collapsed="false">
      <c r="A11057" s="3" t="s">
        <v>560</v>
      </c>
      <c r="C11057" s="16" t="n">
        <f aca="false">SUMPRODUCT(($C$11031:$C$11040=C11035)*$C$11020:$C$11029)</f>
        <v>1967.64412936</v>
      </c>
    </row>
    <row r="11058" customFormat="false" ht="15" hidden="false" customHeight="false" outlineLevel="0" collapsed="false">
      <c r="A11058" s="3" t="s">
        <v>561</v>
      </c>
      <c r="C11058" s="16" t="n">
        <f aca="false">SUMPRODUCT(($C$11031:$C$11040=C11036)*$C$11020:$C$11029)</f>
        <v>1967.64412936</v>
      </c>
    </row>
    <row r="11059" customFormat="false" ht="15" hidden="false" customHeight="false" outlineLevel="0" collapsed="false">
      <c r="A11059" s="3" t="s">
        <v>562</v>
      </c>
      <c r="C11059" s="16" t="n">
        <f aca="false">SUMPRODUCT(($C$11031:$C$11040=C11037)*$C$11020:$C$11029)</f>
        <v>1967.64412936</v>
      </c>
    </row>
    <row r="11060" customFormat="false" ht="15" hidden="false" customHeight="false" outlineLevel="0" collapsed="false">
      <c r="A11060" s="3" t="s">
        <v>563</v>
      </c>
      <c r="C11060" s="16" t="n">
        <f aca="false">SUMPRODUCT(($C$11031:$C$11040=C11038)*$C$11020:$C$11029)</f>
        <v>1967.64412936</v>
      </c>
    </row>
    <row r="11061" customFormat="false" ht="15" hidden="false" customHeight="false" outlineLevel="0" collapsed="false">
      <c r="A11061" s="3" t="s">
        <v>564</v>
      </c>
      <c r="C11061" s="16" t="n">
        <f aca="false">SUMPRODUCT(($C$11031:$C$11040=C11039)*$C$11020:$C$11029)</f>
        <v>1967.64412936</v>
      </c>
    </row>
    <row r="11062" customFormat="false" ht="15" hidden="false" customHeight="false" outlineLevel="0" collapsed="false">
      <c r="A11062" s="3" t="s">
        <v>565</v>
      </c>
      <c r="C11062" s="16" t="n">
        <f aca="false">SUMPRODUCT(($C$11031:$C$11040=C11040)*$C$11020:$C$11029)</f>
        <v>78.61</v>
      </c>
    </row>
    <row r="11063" customFormat="false" ht="15" hidden="false" customHeight="false" outlineLevel="0" collapsed="false">
      <c r="A11063" s="24" t="s">
        <v>574</v>
      </c>
      <c r="B11063" s="25"/>
      <c r="C11063" s="25"/>
      <c r="D11063" s="25"/>
      <c r="E11063" s="25"/>
      <c r="F11063" s="25"/>
      <c r="G11063" s="25"/>
      <c r="H11063" s="25"/>
      <c r="I11063" s="25"/>
      <c r="J11063" s="25"/>
      <c r="K11063" s="25"/>
    </row>
    <row r="11064" customFormat="false" ht="15" hidden="false" customHeight="false" outlineLevel="0" collapsed="false">
      <c r="A11064" s="3" t="s">
        <v>556</v>
      </c>
      <c r="C11064" s="16" t="n">
        <f aca="false">IF(C11053=0,0,C11020/C11053*MAX(0,MIN(C11053,$C$10963-SUM($C$10998:$C$11007)-C11042)))</f>
        <v>0</v>
      </c>
    </row>
    <row r="11065" customFormat="false" ht="15" hidden="false" customHeight="false" outlineLevel="0" collapsed="false">
      <c r="A11065" s="3" t="s">
        <v>557</v>
      </c>
      <c r="C11065" s="16" t="n">
        <f aca="false">IF(C11054=0,0,C11021/C11054*MAX(0,MIN(C11054,$C$10963-SUM($C$10998:$C$11007)-C11043)))</f>
        <v>0</v>
      </c>
    </row>
    <row r="11066" customFormat="false" ht="15" hidden="false" customHeight="false" outlineLevel="0" collapsed="false">
      <c r="A11066" s="3" t="s">
        <v>558</v>
      </c>
      <c r="C11066" s="16" t="n">
        <f aca="false">IF(C11055=0,0,C11022/C11055*MAX(0,MIN(C11055,$C$10963-SUM($C$10998:$C$11007)-C11044)))</f>
        <v>0</v>
      </c>
    </row>
    <row r="11067" customFormat="false" ht="15" hidden="false" customHeight="false" outlineLevel="0" collapsed="false">
      <c r="A11067" s="3" t="s">
        <v>559</v>
      </c>
      <c r="C11067" s="16" t="n">
        <f aca="false">IF(C11056=0,0,C11023/C11056*MAX(0,MIN(C11056,$C$10963-SUM($C$10998:$C$11007)-C11045)))</f>
        <v>0</v>
      </c>
    </row>
    <row r="11068" customFormat="false" ht="15" hidden="false" customHeight="false" outlineLevel="0" collapsed="false">
      <c r="A11068" s="3" t="s">
        <v>560</v>
      </c>
      <c r="C11068" s="16" t="n">
        <f aca="false">IF(C11057=0,0,C11024/C11057*MAX(0,MIN(C11057,$C$10963-SUM($C$10998:$C$11007)-C11046)))</f>
        <v>261.05618477465</v>
      </c>
    </row>
    <row r="11069" customFormat="false" ht="15" hidden="false" customHeight="false" outlineLevel="0" collapsed="false">
      <c r="A11069" s="3" t="s">
        <v>561</v>
      </c>
      <c r="C11069" s="16" t="n">
        <f aca="false">IF(C11058=0,0,C11025/C11058*MAX(0,MIN(C11058,$C$10963-SUM($C$10998:$C$11007)-C11047)))</f>
        <v>218.773971062739</v>
      </c>
    </row>
    <row r="11070" customFormat="false" ht="15" hidden="false" customHeight="false" outlineLevel="0" collapsed="false">
      <c r="A11070" s="3" t="s">
        <v>562</v>
      </c>
      <c r="C11070" s="16" t="n">
        <f aca="false">IF(C11059=0,0,C11026/C11059*MAX(0,MIN(C11059,$C$10963-SUM($C$10998:$C$11007)-C11048)))</f>
        <v>343.787668812876</v>
      </c>
    </row>
    <row r="11071" customFormat="false" ht="15" hidden="false" customHeight="false" outlineLevel="0" collapsed="false">
      <c r="A11071" s="3" t="s">
        <v>563</v>
      </c>
      <c r="C11071" s="16" t="n">
        <f aca="false">IF(C11060=0,0,C11027/C11060*MAX(0,MIN(C11060,$C$10963-SUM($C$10998:$C$11007)-C11049)))</f>
        <v>218.773971062739</v>
      </c>
    </row>
    <row r="11072" customFormat="false" ht="15" hidden="false" customHeight="false" outlineLevel="0" collapsed="false">
      <c r="A11072" s="3" t="s">
        <v>564</v>
      </c>
      <c r="C11072" s="16" t="n">
        <f aca="false">IF(C11061=0,0,C11028/C11061*MAX(0,MIN(C11061,$C$10963-SUM($C$10998:$C$11007)-C11050)))</f>
        <v>187.520546625205</v>
      </c>
    </row>
    <row r="11073" customFormat="false" ht="15" hidden="false" customHeight="false" outlineLevel="0" collapsed="false">
      <c r="A11073" s="3" t="s">
        <v>565</v>
      </c>
      <c r="C11073" s="16" t="n">
        <f aca="false">IF(C11062=0,0,C11029/C11062*MAX(0,MIN(C11062,$C$10963-SUM($C$10998:$C$11007)-C11051)))</f>
        <v>0</v>
      </c>
    </row>
    <row r="11074" customFormat="false" ht="15" hidden="false" customHeight="false" outlineLevel="0" collapsed="false">
      <c r="A11074" s="24" t="s">
        <v>575</v>
      </c>
      <c r="B11074" s="25"/>
      <c r="C11074" s="25"/>
      <c r="D11074" s="25"/>
      <c r="E11074" s="25"/>
      <c r="F11074" s="25"/>
      <c r="G11074" s="25"/>
      <c r="H11074" s="25"/>
      <c r="I11074" s="25"/>
      <c r="J11074" s="25"/>
      <c r="K11074" s="25"/>
    </row>
    <row r="11075" customFormat="false" ht="15" hidden="false" customHeight="false" outlineLevel="0" collapsed="false">
      <c r="A11075" s="2" t="s">
        <v>556</v>
      </c>
      <c r="C11075" s="17" t="n">
        <f aca="false">C10998+C11064</f>
        <v>388</v>
      </c>
    </row>
    <row r="11076" customFormat="false" ht="15" hidden="false" customHeight="false" outlineLevel="0" collapsed="false">
      <c r="A11076" s="2" t="s">
        <v>557</v>
      </c>
      <c r="C11076" s="17" t="n">
        <f aca="false">C10999+C11065</f>
        <v>56.4388026397049</v>
      </c>
    </row>
    <row r="11077" customFormat="false" ht="15" hidden="false" customHeight="false" outlineLevel="0" collapsed="false">
      <c r="A11077" s="2" t="s">
        <v>558</v>
      </c>
      <c r="C11077" s="17" t="n">
        <f aca="false">C11000+C11066</f>
        <v>35.9156016798122</v>
      </c>
    </row>
    <row r="11078" customFormat="false" ht="15" hidden="false" customHeight="false" outlineLevel="0" collapsed="false">
      <c r="A11078" s="2" t="s">
        <v>559</v>
      </c>
      <c r="C11078" s="17" t="n">
        <f aca="false">C11001+C11067</f>
        <v>0</v>
      </c>
    </row>
    <row r="11079" customFormat="false" ht="15" hidden="false" customHeight="false" outlineLevel="0" collapsed="false">
      <c r="A11079" s="2" t="s">
        <v>560</v>
      </c>
      <c r="C11079" s="17" t="n">
        <f aca="false">C11002+C11068</f>
        <v>261.05618477465</v>
      </c>
    </row>
    <row r="11080" customFormat="false" ht="15" hidden="false" customHeight="false" outlineLevel="0" collapsed="false">
      <c r="A11080" s="2" t="s">
        <v>561</v>
      </c>
      <c r="C11080" s="17" t="n">
        <f aca="false">C11003+C11069</f>
        <v>218.773971062739</v>
      </c>
    </row>
    <row r="11081" customFormat="false" ht="15" hidden="false" customHeight="false" outlineLevel="0" collapsed="false">
      <c r="A11081" s="2" t="s">
        <v>562</v>
      </c>
      <c r="C11081" s="17" t="n">
        <f aca="false">C11004+C11070</f>
        <v>343.787668812876</v>
      </c>
    </row>
    <row r="11082" customFormat="false" ht="15" hidden="false" customHeight="false" outlineLevel="0" collapsed="false">
      <c r="A11082" s="2" t="s">
        <v>563</v>
      </c>
      <c r="C11082" s="17" t="n">
        <f aca="false">C11005+C11071</f>
        <v>218.773971062739</v>
      </c>
    </row>
    <row r="11083" customFormat="false" ht="15" hidden="false" customHeight="false" outlineLevel="0" collapsed="false">
      <c r="A11083" s="2" t="s">
        <v>564</v>
      </c>
      <c r="C11083" s="17" t="n">
        <f aca="false">C11006+C11072</f>
        <v>187.520546625205</v>
      </c>
    </row>
    <row r="11084" customFormat="false" ht="15" hidden="false" customHeight="false" outlineLevel="0" collapsed="false">
      <c r="A11084" s="2" t="s">
        <v>565</v>
      </c>
      <c r="C11084" s="17" t="n">
        <f aca="false">C11007+C11073</f>
        <v>0</v>
      </c>
    </row>
    <row r="11085" customFormat="false" ht="15" hidden="false" customHeight="false" outlineLevel="0" collapsed="false">
      <c r="A11085" s="24" t="s">
        <v>576</v>
      </c>
      <c r="B11085" s="25"/>
      <c r="C11085" s="25"/>
      <c r="D11085" s="25"/>
      <c r="E11085" s="25"/>
      <c r="F11085" s="25"/>
      <c r="G11085" s="25"/>
      <c r="H11085" s="25"/>
      <c r="I11085" s="25"/>
      <c r="J11085" s="25"/>
      <c r="K11085" s="25"/>
    </row>
    <row r="11086" customFormat="false" ht="15" hidden="false" customHeight="false" outlineLevel="0" collapsed="false">
      <c r="A11086" s="3" t="s">
        <v>556</v>
      </c>
      <c r="C11086" s="22" t="n">
        <f aca="false">IF(C10965=0,1,C11075/C10965)</f>
        <v>1</v>
      </c>
    </row>
    <row r="11087" customFormat="false" ht="15" hidden="false" customHeight="false" outlineLevel="0" collapsed="false">
      <c r="A11087" s="3" t="s">
        <v>557</v>
      </c>
      <c r="C11087" s="22" t="n">
        <f aca="false">IF(C10966=0,1,C11076/C10966)</f>
        <v>0.627097807107833</v>
      </c>
    </row>
    <row r="11088" customFormat="false" ht="15" hidden="false" customHeight="false" outlineLevel="0" collapsed="false">
      <c r="A11088" s="3" t="s">
        <v>558</v>
      </c>
      <c r="C11088" s="22" t="n">
        <f aca="false">IF(C10967=0,1,C11077/C10967)</f>
        <v>0.626536907400255</v>
      </c>
    </row>
    <row r="11089" customFormat="false" ht="15" hidden="false" customHeight="false" outlineLevel="0" collapsed="false">
      <c r="A11089" s="3" t="s">
        <v>559</v>
      </c>
      <c r="C11089" s="22" t="n">
        <f aca="false">IF(C10968=0,1,C11078/C10968)</f>
        <v>1</v>
      </c>
    </row>
    <row r="11090" customFormat="false" ht="15" hidden="false" customHeight="false" outlineLevel="0" collapsed="false">
      <c r="A11090" s="3" t="s">
        <v>560</v>
      </c>
      <c r="C11090" s="22" t="n">
        <f aca="false">IF(C10969=0,1,C11079/C10969)</f>
        <v>0.625068488750683</v>
      </c>
    </row>
    <row r="11091" customFormat="false" ht="15" hidden="false" customHeight="false" outlineLevel="0" collapsed="false">
      <c r="A11091" s="3" t="s">
        <v>561</v>
      </c>
      <c r="C11091" s="22" t="n">
        <f aca="false">IF(C10970=0,1,C11080/C10970)</f>
        <v>0.625068488750683</v>
      </c>
    </row>
    <row r="11092" customFormat="false" ht="15" hidden="false" customHeight="false" outlineLevel="0" collapsed="false">
      <c r="A11092" s="3" t="s">
        <v>562</v>
      </c>
      <c r="C11092" s="22" t="n">
        <f aca="false">IF(C10971=0,1,C11081/C10971)</f>
        <v>0.625068488750683</v>
      </c>
    </row>
    <row r="11093" customFormat="false" ht="15" hidden="false" customHeight="false" outlineLevel="0" collapsed="false">
      <c r="A11093" s="3" t="s">
        <v>563</v>
      </c>
      <c r="C11093" s="22" t="n">
        <f aca="false">IF(C10972=0,1,C11082/C10972)</f>
        <v>0.625068488750683</v>
      </c>
    </row>
    <row r="11094" customFormat="false" ht="15" hidden="false" customHeight="false" outlineLevel="0" collapsed="false">
      <c r="A11094" s="3" t="s">
        <v>564</v>
      </c>
      <c r="C11094" s="22" t="n">
        <f aca="false">IF(C10973=0,1,C11083/C10973)</f>
        <v>0.625068488750683</v>
      </c>
    </row>
    <row r="11095" customFormat="false" ht="15" hidden="false" customHeight="false" outlineLevel="0" collapsed="false">
      <c r="A11095" s="3" t="s">
        <v>565</v>
      </c>
      <c r="C11095" s="22" t="n">
        <f aca="false">IF(C10974=0,1,C11084/C10974)</f>
        <v>0</v>
      </c>
    </row>
    <row r="11096" customFormat="false" ht="15" hidden="false" customHeight="false" outlineLevel="0" collapsed="false">
      <c r="A11096" s="24" t="s">
        <v>577</v>
      </c>
      <c r="B11096" s="25"/>
      <c r="C11096" s="25"/>
      <c r="D11096" s="25"/>
      <c r="E11096" s="25"/>
      <c r="F11096" s="25"/>
      <c r="G11096" s="25"/>
      <c r="H11096" s="25"/>
      <c r="I11096" s="25"/>
      <c r="J11096" s="25"/>
      <c r="K11096" s="25"/>
    </row>
    <row r="11097" customFormat="false" ht="15" hidden="false" customHeight="false" outlineLevel="0" collapsed="false">
      <c r="A11097" s="3" t="s">
        <v>556</v>
      </c>
      <c r="C11097" s="16" t="n">
        <f aca="false">C10965-C11075</f>
        <v>0</v>
      </c>
    </row>
    <row r="11098" customFormat="false" ht="15" hidden="false" customHeight="false" outlineLevel="0" collapsed="false">
      <c r="A11098" s="3" t="s">
        <v>557</v>
      </c>
      <c r="C11098" s="16" t="n">
        <f aca="false">C10966-C11076</f>
        <v>33.5611973602951</v>
      </c>
    </row>
    <row r="11099" customFormat="false" ht="15" hidden="false" customHeight="false" outlineLevel="0" collapsed="false">
      <c r="A11099" s="3" t="s">
        <v>558</v>
      </c>
      <c r="C11099" s="16" t="n">
        <f aca="false">C10967-C11077</f>
        <v>21.4083983201878</v>
      </c>
    </row>
    <row r="11100" customFormat="false" ht="15" hidden="false" customHeight="false" outlineLevel="0" collapsed="false">
      <c r="A11100" s="3" t="s">
        <v>559</v>
      </c>
      <c r="C11100" s="16" t="n">
        <f aca="false">C10968-C11078</f>
        <v>0</v>
      </c>
    </row>
    <row r="11101" customFormat="false" ht="15" hidden="false" customHeight="false" outlineLevel="0" collapsed="false">
      <c r="A11101" s="3" t="s">
        <v>560</v>
      </c>
      <c r="C11101" s="16" t="n">
        <f aca="false">C10969-C11079</f>
        <v>156.58794458535</v>
      </c>
    </row>
    <row r="11102" customFormat="false" ht="15" hidden="false" customHeight="false" outlineLevel="0" collapsed="false">
      <c r="A11102" s="3" t="s">
        <v>561</v>
      </c>
      <c r="C11102" s="16" t="n">
        <f aca="false">C10970-C11080</f>
        <v>131.226028937261</v>
      </c>
    </row>
    <row r="11103" customFormat="false" ht="15" hidden="false" customHeight="false" outlineLevel="0" collapsed="false">
      <c r="A11103" s="3" t="s">
        <v>562</v>
      </c>
      <c r="C11103" s="16" t="n">
        <f aca="false">C10971-C11081</f>
        <v>206.212331187125</v>
      </c>
    </row>
    <row r="11104" customFormat="false" ht="15" hidden="false" customHeight="false" outlineLevel="0" collapsed="false">
      <c r="A11104" s="3" t="s">
        <v>563</v>
      </c>
      <c r="C11104" s="16" t="n">
        <f aca="false">C10972-C11082</f>
        <v>131.226028937261</v>
      </c>
    </row>
    <row r="11105" customFormat="false" ht="15" hidden="false" customHeight="false" outlineLevel="0" collapsed="false">
      <c r="A11105" s="3" t="s">
        <v>564</v>
      </c>
      <c r="C11105" s="16" t="n">
        <f aca="false">C10973-C11083</f>
        <v>112.479453374795</v>
      </c>
    </row>
    <row r="11106" customFormat="false" ht="15" hidden="false" customHeight="false" outlineLevel="0" collapsed="false">
      <c r="A11106" s="3" t="s">
        <v>565</v>
      </c>
      <c r="C11106" s="16" t="n">
        <f aca="false">C10974-C11084</f>
        <v>78.61</v>
      </c>
    </row>
    <row r="11107" customFormat="false" ht="15" hidden="false" customHeight="false" outlineLevel="0" collapsed="false">
      <c r="A11107" s="24" t="s">
        <v>578</v>
      </c>
      <c r="B11107" s="25"/>
      <c r="C11107" s="25"/>
      <c r="D11107" s="25"/>
      <c r="E11107" s="25"/>
      <c r="F11107" s="25"/>
      <c r="G11107" s="25"/>
      <c r="H11107" s="25"/>
      <c r="I11107" s="25"/>
      <c r="J11107" s="25"/>
      <c r="K11107" s="25"/>
    </row>
    <row r="11108" customFormat="false" ht="15" hidden="false" customHeight="false" outlineLevel="0" collapsed="false">
      <c r="A11108" s="3" t="s">
        <v>556</v>
      </c>
      <c r="C11108" s="22" t="n">
        <f aca="false">IF(C10965=0,0,C11097/C10965)</f>
        <v>0</v>
      </c>
    </row>
    <row r="11109" customFormat="false" ht="15" hidden="false" customHeight="false" outlineLevel="0" collapsed="false">
      <c r="A11109" s="3" t="s">
        <v>557</v>
      </c>
      <c r="C11109" s="22" t="n">
        <f aca="false">IF(C10966=0,0,C11098/C10966)</f>
        <v>0.372902192892167</v>
      </c>
    </row>
    <row r="11110" customFormat="false" ht="15" hidden="false" customHeight="false" outlineLevel="0" collapsed="false">
      <c r="A11110" s="3" t="s">
        <v>558</v>
      </c>
      <c r="C11110" s="22" t="n">
        <f aca="false">IF(C10967=0,0,C11099/C10967)</f>
        <v>0.373463092599745</v>
      </c>
    </row>
    <row r="11111" customFormat="false" ht="15" hidden="false" customHeight="false" outlineLevel="0" collapsed="false">
      <c r="A11111" s="3" t="s">
        <v>559</v>
      </c>
      <c r="C11111" s="22" t="n">
        <f aca="false">IF(C10968=0,0,C11100/C10968)</f>
        <v>0</v>
      </c>
    </row>
    <row r="11112" customFormat="false" ht="15" hidden="false" customHeight="false" outlineLevel="0" collapsed="false">
      <c r="A11112" s="3" t="s">
        <v>560</v>
      </c>
      <c r="C11112" s="22" t="n">
        <f aca="false">IF(C10969=0,0,C11101/C10969)</f>
        <v>0.374931511249317</v>
      </c>
    </row>
    <row r="11113" customFormat="false" ht="15" hidden="false" customHeight="false" outlineLevel="0" collapsed="false">
      <c r="A11113" s="3" t="s">
        <v>561</v>
      </c>
      <c r="C11113" s="22" t="n">
        <f aca="false">IF(C10970=0,0,C11102/C10970)</f>
        <v>0.374931511249317</v>
      </c>
    </row>
    <row r="11114" customFormat="false" ht="15" hidden="false" customHeight="false" outlineLevel="0" collapsed="false">
      <c r="A11114" s="3" t="s">
        <v>562</v>
      </c>
      <c r="C11114" s="22" t="n">
        <f aca="false">IF(C10971=0,0,C11103/C10971)</f>
        <v>0.374931511249317</v>
      </c>
    </row>
    <row r="11115" customFormat="false" ht="15" hidden="false" customHeight="false" outlineLevel="0" collapsed="false">
      <c r="A11115" s="3" t="s">
        <v>563</v>
      </c>
      <c r="C11115" s="22" t="n">
        <f aca="false">IF(C10972=0,0,C11104/C10972)</f>
        <v>0.374931511249317</v>
      </c>
    </row>
    <row r="11116" customFormat="false" ht="15" hidden="false" customHeight="false" outlineLevel="0" collapsed="false">
      <c r="A11116" s="3" t="s">
        <v>564</v>
      </c>
      <c r="C11116" s="22" t="n">
        <f aca="false">IF(C10973=0,0,C11105/C10973)</f>
        <v>0.374931511249317</v>
      </c>
    </row>
    <row r="11117" customFormat="false" ht="15" hidden="false" customHeight="false" outlineLevel="0" collapsed="false">
      <c r="A11117" s="3" t="s">
        <v>565</v>
      </c>
      <c r="C11117" s="22" t="n">
        <f aca="false">IF(C10974=0,0,C11106/C10974)</f>
        <v>1</v>
      </c>
    </row>
    <row r="11118" customFormat="false" ht="15" hidden="false" customHeight="false" outlineLevel="0" collapsed="false">
      <c r="A11118" s="2" t="s">
        <v>579</v>
      </c>
      <c r="C11118" s="17" t="n">
        <f aca="false">MAX(0,$C$10963-SUM($C$10998:$C$11007)-SUM($C$11020:$C$11029))</f>
        <v>0</v>
      </c>
    </row>
    <row r="11119" customFormat="false" ht="15" hidden="false" customHeight="false" outlineLevel="0" collapsed="false">
      <c r="A11119" s="3" t="s">
        <v>597</v>
      </c>
      <c r="C11119" s="35" t="n">
        <f aca="false">MIN(C10962,100*CHOOSE(C10952,C11086,C11087,C11088,C11089,C11090,C11091,C11092,C11093,C11094,C11095))</f>
        <v>85</v>
      </c>
    </row>
    <row r="11120" customFormat="false" ht="15" hidden="false" customHeight="false" outlineLevel="0" collapsed="false">
      <c r="A11120" s="3" t="s">
        <v>598</v>
      </c>
      <c r="C11120" s="21" t="n">
        <f aca="false">IF(C10784=1,C10957+Assumptions!$C$40,C10956)</f>
        <v>3</v>
      </c>
    </row>
    <row r="11121" customFormat="false" ht="15" hidden="false" customHeight="false" outlineLevel="0" collapsed="false">
      <c r="A11121" s="24" t="s">
        <v>599</v>
      </c>
      <c r="B11121" s="25"/>
      <c r="C11121" s="25"/>
      <c r="D11121" s="25"/>
      <c r="E11121" s="25"/>
      <c r="F11121" s="25"/>
      <c r="G11121" s="25"/>
      <c r="H11121" s="25"/>
      <c r="I11121" s="25"/>
      <c r="J11121" s="25"/>
      <c r="K11121" s="25"/>
    </row>
    <row r="11122" customFormat="false" ht="15" hidden="false" customHeight="false" outlineLevel="0" collapsed="false">
      <c r="A11122" s="3" t="s">
        <v>600</v>
      </c>
      <c r="C11122" s="21" t="n">
        <f aca="false">COLUMN()-COLUMN($C$1)</f>
        <v>0</v>
      </c>
      <c r="D11122" s="21" t="n">
        <f aca="false">COLUMN()-COLUMN($C$1)</f>
        <v>1</v>
      </c>
      <c r="E11122" s="21" t="n">
        <f aca="false">COLUMN()-COLUMN($C$1)</f>
        <v>2</v>
      </c>
      <c r="F11122" s="21" t="n">
        <f aca="false">COLUMN()-COLUMN($C$1)</f>
        <v>3</v>
      </c>
      <c r="G11122" s="21" t="n">
        <f aca="false">COLUMN()-COLUMN($C$1)</f>
        <v>4</v>
      </c>
      <c r="H11122" s="21" t="n">
        <f aca="false">COLUMN()-COLUMN($C$1)</f>
        <v>5</v>
      </c>
      <c r="I11122" s="21" t="n">
        <f aca="false">COLUMN()-COLUMN($C$1)</f>
        <v>6</v>
      </c>
    </row>
    <row r="11123" customFormat="false" ht="15" hidden="false" customHeight="false" outlineLevel="0" collapsed="false">
      <c r="A11123" s="3" t="s">
        <v>601</v>
      </c>
      <c r="D11123" s="31" t="n">
        <f aca="false">CHOOSE($C$10952,G10532,G10545,G10558,G10571,G10584,G10597,G10610,G10623,G10636,G10649)</f>
        <v>0.1215</v>
      </c>
      <c r="E11123" s="31" t="n">
        <f aca="false">CHOOSE($C$10952,H10532,H10545,H10558,H10571,H10584,H10597,H10610,H10623,H10636,H10649)</f>
        <v>0.12</v>
      </c>
      <c r="F11123" s="31" t="n">
        <f aca="false">CHOOSE($C$10952,I10532,I10545,I10558,I10571,I10584,I10597,I10610,I10623,I10636,I10649)</f>
        <v>0.1175</v>
      </c>
      <c r="G11123" s="31" t="n">
        <f aca="false">CHOOSE($C$10952,J10532,J10545,J10558,J10571,J10584,J10597,J10610,J10623,J10636,J10649)</f>
        <v>0.1175</v>
      </c>
      <c r="H11123" s="31" t="n">
        <f aca="false">CHOOSE($C$10952,K10532,K10545,K10558,K10571,K10584,K10597,K10610,K10623,K10636,K10649)</f>
        <v>0.1175</v>
      </c>
    </row>
    <row r="11124" customFormat="false" ht="15" hidden="false" customHeight="false" outlineLevel="0" collapsed="false">
      <c r="A11124" s="3" t="s">
        <v>602</v>
      </c>
      <c r="D11124" s="16" t="n">
        <f aca="false">IF(D11122&lt;=$C$10961,$C$10953*D11123,0)</f>
        <v>12.15</v>
      </c>
      <c r="E11124" s="16" t="n">
        <f aca="false">IF(E11122&lt;=$C$10961,$C$10953*E11123,0)</f>
        <v>12</v>
      </c>
      <c r="F11124" s="16" t="n">
        <f aca="false">IF(F11122&lt;=$C$10961,$C$10953*F11123,0)</f>
        <v>0</v>
      </c>
      <c r="G11124" s="16" t="n">
        <f aca="false">IF(G11122&lt;=$C$10961,$C$10953*G11123,0)</f>
        <v>0</v>
      </c>
      <c r="H11124" s="16" t="n">
        <f aca="false">IF(H11122&lt;=$C$10961,$C$10953*H11123,0)</f>
        <v>0</v>
      </c>
    </row>
    <row r="11125" customFormat="false" ht="15" hidden="false" customHeight="false" outlineLevel="0" collapsed="false">
      <c r="A11125" s="3" t="s">
        <v>603</v>
      </c>
      <c r="D11125" s="16" t="n">
        <f aca="false">IF(AND($C$10784=0,D11122=$C$10956),$C$10953*$C$11119/100,0)+IF(AND($C$10784=1,D11122=$C$11120),$C$10959,0)</f>
        <v>0</v>
      </c>
      <c r="E11125" s="16" t="n">
        <f aca="false">IF(AND($C$10784=0,E11122=$C$10956),$C$10953*$C$11119/100,0)+IF(AND($C$10784=1,E11122=$C$11120),$C$10959,0)</f>
        <v>0</v>
      </c>
      <c r="F11125" s="16" t="n">
        <f aca="false">IF(AND($C$10784=0,F11122=$C$10956),$C$10953*$C$11119/100,0)+IF(AND($C$10784=1,F11122=$C$11120),$C$10959,0)</f>
        <v>103</v>
      </c>
      <c r="G11125" s="16" t="n">
        <f aca="false">IF(AND($C$10784=0,G11122=$C$10956),$C$10953*$C$11119/100,0)+IF(AND($C$10784=1,G11122=$C$11120),$C$10959,0)</f>
        <v>0</v>
      </c>
      <c r="H11125" s="16" t="n">
        <f aca="false">IF(AND($C$10784=0,H11122=$C$10956),$C$10953*$C$11119/100,0)+IF(AND($C$10784=1,H11122=$C$11120),$C$10959,0)</f>
        <v>0</v>
      </c>
      <c r="I11125" s="16" t="n">
        <f aca="false">IF(AND($C$10784=0,I11122=$C$10956),$C$10953*$C$11119/100,0)+IF(AND($C$10784=1,I11122=$C$11120),$C$10959,0)</f>
        <v>0</v>
      </c>
    </row>
    <row r="11126" customFormat="false" ht="15" hidden="false" customHeight="false" outlineLevel="0" collapsed="false">
      <c r="A11126" s="2" t="s">
        <v>604</v>
      </c>
      <c r="C11126" s="17" t="n">
        <f aca="false">-$C$10955</f>
        <v>-98.49</v>
      </c>
      <c r="D11126" s="17" t="n">
        <f aca="false">D11124+D11125</f>
        <v>12.15</v>
      </c>
      <c r="E11126" s="17" t="n">
        <f aca="false">E11124+E11125</f>
        <v>12</v>
      </c>
      <c r="F11126" s="17" t="n">
        <f aca="false">F11124+F11125</f>
        <v>103</v>
      </c>
      <c r="G11126" s="17" t="n">
        <f aca="false">G11124+G11125</f>
        <v>0</v>
      </c>
      <c r="H11126" s="17" t="n">
        <f aca="false">H11124+H11125</f>
        <v>0</v>
      </c>
      <c r="I11126" s="17" t="n">
        <f aca="false">I11124+I11125</f>
        <v>0</v>
      </c>
    </row>
    <row r="11127" customFormat="false" ht="15" hidden="false" customHeight="false" outlineLevel="0" collapsed="false">
      <c r="A11127" s="3" t="s">
        <v>605</v>
      </c>
      <c r="C11127" s="16" t="n">
        <f aca="false">SUM($C$11124:$I$11124)</f>
        <v>24.15</v>
      </c>
    </row>
    <row r="11128" customFormat="false" ht="15" hidden="false" customHeight="false" outlineLevel="0" collapsed="false">
      <c r="A11128" s="3" t="s">
        <v>606</v>
      </c>
      <c r="C11128" s="16" t="n">
        <f aca="false">SUM($C$11125:$I$11125)</f>
        <v>103</v>
      </c>
    </row>
    <row r="11129" customFormat="false" ht="15" hidden="false" customHeight="false" outlineLevel="0" collapsed="false">
      <c r="A11129" s="3" t="s">
        <v>607</v>
      </c>
      <c r="C11129" s="16" t="n">
        <f aca="false">C11127+C11128</f>
        <v>127.15</v>
      </c>
    </row>
    <row r="11130" customFormat="false" ht="15" hidden="false" customHeight="false" outlineLevel="0" collapsed="false">
      <c r="A11130" s="3" t="s">
        <v>608</v>
      </c>
      <c r="C11130" s="16" t="n">
        <f aca="false">C11128-C10953*C10954/100</f>
        <v>5</v>
      </c>
    </row>
    <row r="11131" customFormat="false" ht="15" hidden="false" customHeight="false" outlineLevel="0" collapsed="false">
      <c r="A11131" s="3" t="s">
        <v>609</v>
      </c>
      <c r="C11131" s="16" t="n">
        <f aca="false">C11129-C10955</f>
        <v>28.66</v>
      </c>
    </row>
    <row r="11132" customFormat="false" ht="15" hidden="false" customHeight="false" outlineLevel="0" collapsed="false">
      <c r="A11132" s="2" t="s">
        <v>484</v>
      </c>
      <c r="C11132" s="44" t="n">
        <f aca="false">C11129/C10955</f>
        <v>1.29099400954412</v>
      </c>
    </row>
    <row r="11133" customFormat="false" ht="15" hidden="false" customHeight="false" outlineLevel="0" collapsed="false">
      <c r="A11133" s="2" t="s">
        <v>483</v>
      </c>
      <c r="C11133" s="42" t="n">
        <f aca="false">IF(C11129&lt;=0,-1,IFERROR(IRR($C$11126:$I$11126,MAX(-0.9,C11132^(1/C11120)-1)),IRR($C$11126:$I$11126,0.1)))</f>
        <v>0.0994077590660149</v>
      </c>
    </row>
    <row r="11134" customFormat="false" ht="15" hidden="false" customHeight="false" outlineLevel="0" collapsed="false">
      <c r="A11134" s="3" t="s">
        <v>610</v>
      </c>
      <c r="C11134" s="32" t="n">
        <f aca="false">MAX($G$10728:$K$10728)</f>
        <v>14.88092403061</v>
      </c>
    </row>
    <row r="11135" customFormat="false" ht="15" hidden="false" customHeight="false" outlineLevel="0" collapsed="false">
      <c r="A11135" s="3" t="s">
        <v>611</v>
      </c>
      <c r="C11135" s="32" t="n">
        <f aca="false">MIN($G$10729:$K$10729)</f>
        <v>0.945349419923699</v>
      </c>
    </row>
    <row r="11136" customFormat="false" ht="15" hidden="false" customHeight="false" outlineLevel="0" collapsed="false">
      <c r="A11136" s="3" t="s">
        <v>612</v>
      </c>
      <c r="C11136" s="16" t="n">
        <f aca="false">SUM($G$10516:$K$10516)</f>
        <v>-275.677587014843</v>
      </c>
    </row>
    <row r="11140" customFormat="false" ht="15" hidden="false" customHeight="false" outlineLevel="0" collapsed="false">
      <c r="A11140" s="9" t="s">
        <v>1147</v>
      </c>
      <c r="B11140" s="10"/>
      <c r="C11140" s="10"/>
      <c r="D11140" s="10"/>
      <c r="E11140" s="10"/>
      <c r="F11140" s="10"/>
      <c r="G11140" s="10"/>
      <c r="H11140" s="10"/>
      <c r="I11140" s="10"/>
      <c r="J11140" s="10"/>
      <c r="K11140" s="10"/>
    </row>
    <row r="11141" customFormat="false" ht="15" hidden="false" customHeight="false" outlineLevel="0" collapsed="false">
      <c r="A11141" s="3" t="s">
        <v>1126</v>
      </c>
      <c r="C11141" s="11" t="n">
        <v>3</v>
      </c>
    </row>
    <row r="11142" customFormat="false" ht="15" hidden="false" customHeight="false" outlineLevel="0" collapsed="false">
      <c r="A11142" s="3" t="s">
        <v>1127</v>
      </c>
      <c r="C11142" s="19" t="n">
        <v>0</v>
      </c>
    </row>
    <row r="11143" customFormat="false" ht="15" hidden="false" customHeight="false" outlineLevel="0" collapsed="false">
      <c r="A11143" s="3" t="s">
        <v>1128</v>
      </c>
      <c r="C11143" s="30" t="n">
        <f aca="false">Sensitivities!$A$34</f>
        <v>0.04</v>
      </c>
    </row>
    <row r="11144" customFormat="false" ht="15" hidden="false" customHeight="false" outlineLevel="0" collapsed="false">
      <c r="A11144" s="3" t="s">
        <v>1129</v>
      </c>
      <c r="C11144" s="19" t="n">
        <v>0</v>
      </c>
    </row>
    <row r="11145" customFormat="false" ht="15" hidden="false" customHeight="false" outlineLevel="0" collapsed="false">
      <c r="A11145" s="3" t="s">
        <v>1130</v>
      </c>
      <c r="C11145" s="15" t="n">
        <v>0</v>
      </c>
    </row>
    <row r="11147" customFormat="false" ht="15" hidden="false" customHeight="false" outlineLevel="0" collapsed="false">
      <c r="A11147" s="24" t="s">
        <v>301</v>
      </c>
      <c r="B11147" s="25"/>
      <c r="C11147" s="25"/>
      <c r="D11147" s="25"/>
      <c r="E11147" s="25"/>
      <c r="F11147" s="25"/>
      <c r="G11147" s="25"/>
      <c r="H11147" s="25"/>
      <c r="I11147" s="25"/>
      <c r="J11147" s="25"/>
      <c r="K11147" s="25"/>
    </row>
    <row r="11148" customFormat="false" ht="15" hidden="false" customHeight="false" outlineLevel="0" collapsed="false">
      <c r="A11148" s="3" t="s">
        <v>302</v>
      </c>
      <c r="F11148" s="27" t="n">
        <f aca="false">Assumptions!$C$6</f>
        <v>2026</v>
      </c>
      <c r="G11148" s="21" t="n">
        <f aca="false">F11148+1</f>
        <v>2027</v>
      </c>
      <c r="H11148" s="21" t="n">
        <f aca="false">G11148+1</f>
        <v>2028</v>
      </c>
      <c r="I11148" s="21" t="n">
        <f aca="false">H11148+1</f>
        <v>2029</v>
      </c>
      <c r="J11148" s="21" t="n">
        <f aca="false">I11148+1</f>
        <v>2030</v>
      </c>
      <c r="K11148" s="21" t="n">
        <f aca="false">J11148+1</f>
        <v>2031</v>
      </c>
    </row>
    <row r="11149" customFormat="false" ht="15" hidden="false" customHeight="false" outlineLevel="0" collapsed="false">
      <c r="A11149" s="3" t="s">
        <v>303</v>
      </c>
      <c r="G11149" s="21" t="n">
        <f aca="false">G11148-Assumptions!$C$6</f>
        <v>1</v>
      </c>
      <c r="H11149" s="21" t="n">
        <f aca="false">H11148-Assumptions!$C$6</f>
        <v>2</v>
      </c>
      <c r="I11149" s="21" t="n">
        <f aca="false">I11148-Assumptions!$C$6</f>
        <v>3</v>
      </c>
      <c r="J11149" s="21" t="n">
        <f aca="false">J11148-Assumptions!$C$6</f>
        <v>4</v>
      </c>
      <c r="K11149" s="21" t="n">
        <f aca="false">K11148-Assumptions!$C$6</f>
        <v>5</v>
      </c>
    </row>
    <row r="11150" customFormat="false" ht="15" hidden="false" customHeight="false" outlineLevel="0" collapsed="false">
      <c r="A11150" s="3" t="s">
        <v>180</v>
      </c>
      <c r="G11150" s="22" t="n">
        <f aca="false">CHOOSE($C$11141,Assumptions!$G$79,Assumptions!$G$98,Assumptions!$G$117)+$C$11142</f>
        <v>-0.1</v>
      </c>
      <c r="H11150" s="22" t="n">
        <f aca="false">CHOOSE($C$11141,Assumptions!$H$79,Assumptions!$H$98,Assumptions!$H$117)+$C$11142</f>
        <v>-0.07</v>
      </c>
      <c r="I11150" s="22" t="n">
        <f aca="false">CHOOSE($C$11141,Assumptions!$I$79,Assumptions!$I$98,Assumptions!$I$117)+$C$11142</f>
        <v>-0.03</v>
      </c>
      <c r="J11150" s="22" t="n">
        <f aca="false">CHOOSE($C$11141,Assumptions!$J$79,Assumptions!$J$98,Assumptions!$J$117)+$C$11142</f>
        <v>0</v>
      </c>
      <c r="K11150" s="22" t="n">
        <f aca="false">CHOOSE($C$11141,Assumptions!$K$79,Assumptions!$K$98,Assumptions!$K$117)+$C$11142</f>
        <v>0.01</v>
      </c>
    </row>
    <row r="11151" customFormat="false" ht="15" hidden="false" customHeight="false" outlineLevel="0" collapsed="false">
      <c r="A11151" s="3" t="s">
        <v>181</v>
      </c>
      <c r="G11151" s="22" t="n">
        <f aca="false">CHOOSE($C$11141,Assumptions!$G$80,Assumptions!$G$99,Assumptions!$G$118)</f>
        <v>0.533920660818678</v>
      </c>
      <c r="H11151" s="22" t="n">
        <f aca="false">CHOOSE($C$11141,Assumptions!$H$80,Assumptions!$H$99,Assumptions!$H$118)</f>
        <v>0.503920660818678</v>
      </c>
      <c r="I11151" s="22" t="n">
        <f aca="false">CHOOSE($C$11141,Assumptions!$I$80,Assumptions!$I$99,Assumptions!$I$118)</f>
        <v>0.498920660818678</v>
      </c>
      <c r="J11151" s="22" t="n">
        <f aca="false">CHOOSE($C$11141,Assumptions!$J$80,Assumptions!$J$99,Assumptions!$J$118)</f>
        <v>0.503920660818678</v>
      </c>
      <c r="K11151" s="22" t="n">
        <f aca="false">CHOOSE($C$11141,Assumptions!$K$80,Assumptions!$K$99,Assumptions!$K$118)</f>
        <v>0.513920660818678</v>
      </c>
    </row>
    <row r="11152" customFormat="false" ht="15" hidden="false" customHeight="false" outlineLevel="0" collapsed="false">
      <c r="A11152" s="3" t="s">
        <v>182</v>
      </c>
      <c r="G11152" s="22" t="n">
        <f aca="false">CHOOSE($C$11141,Assumptions!$G$81,Assumptions!$G$100,Assumptions!$G$119)+$C$11143</f>
        <v>0.5</v>
      </c>
      <c r="H11152" s="22" t="n">
        <f aca="false">CHOOSE($C$11141,Assumptions!$H$81,Assumptions!$H$100,Assumptions!$H$119)+$C$11143</f>
        <v>0.47</v>
      </c>
      <c r="I11152" s="22" t="n">
        <f aca="false">CHOOSE($C$11141,Assumptions!$I$81,Assumptions!$I$100,Assumptions!$I$119)+$C$11143</f>
        <v>0.465</v>
      </c>
      <c r="J11152" s="22" t="n">
        <f aca="false">CHOOSE($C$11141,Assumptions!$J$81,Assumptions!$J$100,Assumptions!$J$119)+$C$11143</f>
        <v>0.47</v>
      </c>
      <c r="K11152" s="22" t="n">
        <f aca="false">CHOOSE($C$11141,Assumptions!$K$81,Assumptions!$K$100,Assumptions!$K$119)+$C$11143</f>
        <v>0.48</v>
      </c>
    </row>
    <row r="11153" customFormat="false" ht="15" hidden="false" customHeight="false" outlineLevel="0" collapsed="false">
      <c r="A11153" s="24" t="s">
        <v>304</v>
      </c>
      <c r="B11153" s="25"/>
      <c r="C11153" s="25"/>
      <c r="D11153" s="25"/>
      <c r="E11153" s="25"/>
      <c r="F11153" s="25"/>
      <c r="G11153" s="25"/>
      <c r="H11153" s="25"/>
      <c r="I11153" s="25"/>
      <c r="J11153" s="25"/>
      <c r="K11153" s="25"/>
    </row>
    <row r="11154" customFormat="false" ht="15" hidden="false" customHeight="false" outlineLevel="0" collapsed="false">
      <c r="A11154" s="2" t="s">
        <v>275</v>
      </c>
      <c r="F11154" s="28" t="n">
        <f aca="false">'Historical Financials'!G25</f>
        <v>498.291</v>
      </c>
      <c r="G11154" s="17" t="n">
        <f aca="false">F11154*(1+G11150)</f>
        <v>448.4619</v>
      </c>
      <c r="H11154" s="17" t="n">
        <f aca="false">G11154*(1+H11150)</f>
        <v>417.069567</v>
      </c>
      <c r="I11154" s="17" t="n">
        <f aca="false">H11154*(1+I11150)</f>
        <v>404.55747999</v>
      </c>
      <c r="J11154" s="17" t="n">
        <f aca="false">I11154*(1+J11150)</f>
        <v>404.55747999</v>
      </c>
      <c r="K11154" s="17" t="n">
        <f aca="false">J11154*(1+K11150)</f>
        <v>408.6030547899</v>
      </c>
    </row>
    <row r="11155" customFormat="false" ht="15" hidden="false" customHeight="false" outlineLevel="0" collapsed="false">
      <c r="A11155" s="3" t="s">
        <v>276</v>
      </c>
      <c r="G11155" s="16" t="n">
        <f aca="false">G11154*(1-G11151)</f>
        <v>209.018826</v>
      </c>
      <c r="H11155" s="16" t="n">
        <f aca="false">H11154*(1-H11151)</f>
        <v>206.89959519</v>
      </c>
      <c r="I11155" s="16" t="n">
        <f aca="false">I11154*(1-I11151)</f>
        <v>202.71539473425</v>
      </c>
      <c r="J11155" s="16" t="n">
        <f aca="false">J11154*(1-J11151)</f>
        <v>200.6926073343</v>
      </c>
      <c r="K11155" s="16" t="n">
        <f aca="false">K11154*(1-K11151)</f>
        <v>198.613502859744</v>
      </c>
    </row>
    <row r="11156" customFormat="false" ht="15" hidden="false" customHeight="false" outlineLevel="0" collapsed="false">
      <c r="A11156" s="2" t="s">
        <v>277</v>
      </c>
      <c r="G11156" s="17" t="n">
        <f aca="false">G11154-G11155</f>
        <v>239.443074</v>
      </c>
      <c r="H11156" s="17" t="n">
        <f aca="false">H11154-H11155</f>
        <v>210.16997181</v>
      </c>
      <c r="I11156" s="17" t="n">
        <f aca="false">I11154-I11155</f>
        <v>201.84208525575</v>
      </c>
      <c r="J11156" s="17" t="n">
        <f aca="false">J11154-J11155</f>
        <v>203.8648726557</v>
      </c>
      <c r="K11156" s="17" t="n">
        <f aca="false">K11154-K11155</f>
        <v>209.989551930156</v>
      </c>
    </row>
    <row r="11157" customFormat="false" ht="15" hidden="false" customHeight="false" outlineLevel="0" collapsed="false">
      <c r="A11157" s="3" t="s">
        <v>305</v>
      </c>
      <c r="G11157" s="16" t="n">
        <f aca="false">G11156-G11158</f>
        <v>15.212124</v>
      </c>
      <c r="H11157" s="16" t="n">
        <f aca="false">H11156-H11158</f>
        <v>14.14727532</v>
      </c>
      <c r="I11157" s="16" t="n">
        <f aca="false">I11156-I11158</f>
        <v>13.7228570604</v>
      </c>
      <c r="J11157" s="16" t="n">
        <f aca="false">J11156-J11158</f>
        <v>13.7228570604</v>
      </c>
      <c r="K11157" s="16" t="n">
        <f aca="false">K11156-K11158</f>
        <v>13.860085631004</v>
      </c>
    </row>
    <row r="11158" customFormat="false" ht="15" hidden="false" customHeight="false" outlineLevel="0" collapsed="false">
      <c r="A11158" s="2" t="s">
        <v>306</v>
      </c>
      <c r="G11158" s="17" t="n">
        <f aca="false">G11154*G11152</f>
        <v>224.23095</v>
      </c>
      <c r="H11158" s="17" t="n">
        <f aca="false">H11154*H11152</f>
        <v>196.02269649</v>
      </c>
      <c r="I11158" s="17" t="n">
        <f aca="false">I11154*I11152</f>
        <v>188.11922819535</v>
      </c>
      <c r="J11158" s="17" t="n">
        <f aca="false">J11154*J11152</f>
        <v>190.1420155953</v>
      </c>
      <c r="K11158" s="17" t="n">
        <f aca="false">K11154*K11152</f>
        <v>196.129466299152</v>
      </c>
    </row>
    <row r="11159" customFormat="false" ht="15" hidden="false" customHeight="false" outlineLevel="0" collapsed="false">
      <c r="A11159" s="3" t="s">
        <v>307</v>
      </c>
      <c r="G11159" s="16" t="n">
        <f aca="false">G11154*'Historical Financials'!G30/'Historical Financials'!G25</f>
        <v>166.7637</v>
      </c>
      <c r="H11159" s="16" t="n">
        <f aca="false">H11154*'Historical Financials'!G30/'Historical Financials'!G25</f>
        <v>155.090241</v>
      </c>
      <c r="I11159" s="16" t="n">
        <f aca="false">I11154*'Historical Financials'!G30/'Historical Financials'!G25</f>
        <v>150.43753377</v>
      </c>
      <c r="J11159" s="16" t="n">
        <f aca="false">J11154*'Historical Financials'!G30/'Historical Financials'!G25</f>
        <v>150.43753377</v>
      </c>
      <c r="K11159" s="16" t="n">
        <f aca="false">K11154*'Historical Financials'!G30/'Historical Financials'!G25</f>
        <v>151.9419091077</v>
      </c>
    </row>
    <row r="11160" customFormat="false" ht="15" hidden="false" customHeight="false" outlineLevel="0" collapsed="false">
      <c r="A11160" s="3" t="s">
        <v>308</v>
      </c>
      <c r="G11160" s="16" t="n">
        <f aca="false">G11154*'Historical Financials'!G31/'Historical Financials'!G25</f>
        <v>0</v>
      </c>
      <c r="H11160" s="16" t="n">
        <f aca="false">H11154*'Historical Financials'!G31/'Historical Financials'!G25</f>
        <v>0</v>
      </c>
      <c r="I11160" s="16" t="n">
        <f aca="false">I11154*'Historical Financials'!G31/'Historical Financials'!G25</f>
        <v>0</v>
      </c>
      <c r="J11160" s="16" t="n">
        <f aca="false">J11154*'Historical Financials'!G31/'Historical Financials'!G25</f>
        <v>0</v>
      </c>
      <c r="K11160" s="16" t="n">
        <f aca="false">K11154*'Historical Financials'!G31/'Historical Financials'!G25</f>
        <v>0</v>
      </c>
    </row>
    <row r="11161" customFormat="false" ht="15" hidden="false" customHeight="false" outlineLevel="0" collapsed="false">
      <c r="A11161" s="2" t="s">
        <v>309</v>
      </c>
      <c r="G11161" s="17" t="n">
        <f aca="false">G11158-G11159-G11160</f>
        <v>57.46725</v>
      </c>
      <c r="H11161" s="17" t="n">
        <f aca="false">H11158-H11159-H11160</f>
        <v>40.93245549</v>
      </c>
      <c r="I11161" s="17" t="n">
        <f aca="false">I11158-I11159-I11160</f>
        <v>37.68169442535</v>
      </c>
      <c r="J11161" s="17" t="n">
        <f aca="false">J11158-J11159-J11160</f>
        <v>39.7044818253</v>
      </c>
      <c r="K11161" s="17" t="n">
        <f aca="false">K11158-K11159-K11160</f>
        <v>44.187557191452</v>
      </c>
    </row>
    <row r="11162" customFormat="false" ht="15" hidden="false" customHeight="false" outlineLevel="0" collapsed="false">
      <c r="A11162" s="3" t="s">
        <v>310</v>
      </c>
      <c r="G11162" s="16" t="n">
        <f aca="false">G11188+G11201+G11214+G11227+G11240+G11253+G11266+G11279+G11292+G11305</f>
        <v>194.5679854</v>
      </c>
      <c r="H11162" s="16" t="n">
        <f aca="false">H11188+H11201+H11214+H11227+H11240+H11253+H11266+H11279+H11292+H11305</f>
        <v>193.3700704</v>
      </c>
      <c r="I11162" s="16" t="n">
        <f aca="false">I11188+I11201+I11214+I11227+I11240+I11253+I11266+I11279+I11292+I11305</f>
        <v>189.75171865079</v>
      </c>
      <c r="J11162" s="16" t="n">
        <f aca="false">J11188+J11201+J11214+J11227+J11240+J11253+J11266+J11279+J11292+J11305</f>
        <v>189.28171865079</v>
      </c>
      <c r="K11162" s="16" t="n">
        <f aca="false">K11188+K11201+K11214+K11227+K11240+K11253+K11266+K11279+K11292+K11305</f>
        <v>188.81171865079</v>
      </c>
    </row>
    <row r="11163" customFormat="false" ht="15" hidden="false" customHeight="false" outlineLevel="0" collapsed="false">
      <c r="A11163" s="3" t="s">
        <v>311</v>
      </c>
      <c r="G11163" s="16" t="n">
        <f aca="false">G11189+G11202+G11215+G11228+G11241+G11254+G11267+G11280+G11293+G11306</f>
        <v>0</v>
      </c>
      <c r="H11163" s="16" t="n">
        <f aca="false">H11189+H11202+H11215+H11228+H11241+H11254+H11267+H11280+H11293+H11306</f>
        <v>0</v>
      </c>
      <c r="I11163" s="16" t="n">
        <f aca="false">I11189+I11202+I11215+I11228+I11241+I11254+I11267+I11280+I11293+I11306</f>
        <v>0</v>
      </c>
      <c r="J11163" s="16" t="n">
        <f aca="false">J11189+J11202+J11215+J11228+J11241+J11254+J11267+J11280+J11293+J11306</f>
        <v>0</v>
      </c>
      <c r="K11163" s="16" t="n">
        <f aca="false">K11189+K11202+K11215+K11228+K11241+K11254+K11267+K11280+K11293+K11306</f>
        <v>0</v>
      </c>
    </row>
    <row r="11164" customFormat="false" ht="15" hidden="false" customHeight="false" outlineLevel="0" collapsed="false">
      <c r="A11164" s="3" t="s">
        <v>283</v>
      </c>
      <c r="G11164" s="16" t="n">
        <f aca="false">G11162+G11163</f>
        <v>194.5679854</v>
      </c>
      <c r="H11164" s="16" t="n">
        <f aca="false">H11162+H11163</f>
        <v>193.3700704</v>
      </c>
      <c r="I11164" s="16" t="n">
        <f aca="false">I11162+I11163</f>
        <v>189.75171865079</v>
      </c>
      <c r="J11164" s="16" t="n">
        <f aca="false">J11162+J11163</f>
        <v>189.28171865079</v>
      </c>
      <c r="K11164" s="16" t="n">
        <f aca="false">K11162+K11163</f>
        <v>188.81171865079</v>
      </c>
    </row>
    <row r="11165" customFormat="false" ht="15" hidden="false" customHeight="false" outlineLevel="0" collapsed="false">
      <c r="A11165" s="2" t="s">
        <v>284</v>
      </c>
      <c r="G11165" s="17" t="n">
        <f aca="false">G11161-G11164</f>
        <v>-137.1007354</v>
      </c>
      <c r="H11165" s="17" t="n">
        <f aca="false">H11161-H11164</f>
        <v>-152.43761491</v>
      </c>
      <c r="I11165" s="17" t="n">
        <f aca="false">I11161-I11164</f>
        <v>-152.07002422544</v>
      </c>
      <c r="J11165" s="17" t="n">
        <f aca="false">J11161-J11164</f>
        <v>-149.57723682549</v>
      </c>
      <c r="K11165" s="17" t="n">
        <f aca="false">K11161-K11164</f>
        <v>-144.624161459338</v>
      </c>
    </row>
    <row r="11166" customFormat="false" ht="15" hidden="false" customHeight="false" outlineLevel="0" collapsed="false">
      <c r="A11166" s="3" t="s">
        <v>312</v>
      </c>
      <c r="G11166" s="16" t="n">
        <f aca="false">MAX(0,G11165)*Assumptions!$C$9</f>
        <v>0</v>
      </c>
      <c r="H11166" s="16" t="n">
        <f aca="false">MAX(0,H11165)*Assumptions!$C$9</f>
        <v>0</v>
      </c>
      <c r="I11166" s="16" t="n">
        <f aca="false">MAX(0,I11165)*Assumptions!$C$9</f>
        <v>0</v>
      </c>
      <c r="J11166" s="16" t="n">
        <f aca="false">MAX(0,J11165)*Assumptions!$C$9</f>
        <v>0</v>
      </c>
      <c r="K11166" s="16" t="n">
        <f aca="false">MAX(0,K11165)*Assumptions!$C$9</f>
        <v>0</v>
      </c>
    </row>
    <row r="11167" customFormat="false" ht="15" hidden="false" customHeight="false" outlineLevel="0" collapsed="false">
      <c r="A11167" s="2" t="s">
        <v>313</v>
      </c>
      <c r="G11167" s="17" t="n">
        <f aca="false">G11165-G11166</f>
        <v>-137.1007354</v>
      </c>
      <c r="H11167" s="17" t="n">
        <f aca="false">H11165-H11166</f>
        <v>-152.43761491</v>
      </c>
      <c r="I11167" s="17" t="n">
        <f aca="false">I11165-I11166</f>
        <v>-152.07002422544</v>
      </c>
      <c r="J11167" s="17" t="n">
        <f aca="false">J11165-J11166</f>
        <v>-149.57723682549</v>
      </c>
      <c r="K11167" s="17" t="n">
        <f aca="false">K11165-K11166</f>
        <v>-144.624161459338</v>
      </c>
    </row>
    <row r="11168" customFormat="false" ht="15" hidden="false" customHeight="false" outlineLevel="0" collapsed="false">
      <c r="A11168" s="24" t="s">
        <v>314</v>
      </c>
      <c r="B11168" s="25"/>
      <c r="C11168" s="25"/>
      <c r="D11168" s="25"/>
      <c r="E11168" s="25"/>
      <c r="F11168" s="25"/>
      <c r="G11168" s="25"/>
      <c r="H11168" s="25"/>
      <c r="I11168" s="25"/>
      <c r="J11168" s="25"/>
      <c r="K11168" s="25"/>
    </row>
    <row r="11169" customFormat="false" ht="15" hidden="false" customHeight="false" outlineLevel="0" collapsed="false">
      <c r="A11169" s="3" t="s">
        <v>184</v>
      </c>
      <c r="G11169" s="16" t="n">
        <f aca="false">G11154*CHOOSE($C$11141,Assumptions!$C$83,Assumptions!$C$102,Assumptions!$C$121)</f>
        <v>58.300047</v>
      </c>
      <c r="H11169" s="16" t="n">
        <f aca="false">H11154*CHOOSE($C$11141,Assumptions!$C$83,Assumptions!$C$102,Assumptions!$C$121)</f>
        <v>54.21904371</v>
      </c>
      <c r="I11169" s="16" t="n">
        <f aca="false">I11154*CHOOSE($C$11141,Assumptions!$C$83,Assumptions!$C$102,Assumptions!$C$121)</f>
        <v>52.5924723987</v>
      </c>
      <c r="J11169" s="16" t="n">
        <f aca="false">J11154*CHOOSE($C$11141,Assumptions!$C$83,Assumptions!$C$102,Assumptions!$C$121)</f>
        <v>52.5924723987</v>
      </c>
      <c r="K11169" s="16" t="n">
        <f aca="false">K11154*CHOOSE($C$11141,Assumptions!$C$83,Assumptions!$C$102,Assumptions!$C$121)</f>
        <v>53.118397122687</v>
      </c>
    </row>
    <row r="11170" customFormat="false" ht="15" hidden="false" customHeight="false" outlineLevel="0" collapsed="false">
      <c r="A11170" s="3" t="s">
        <v>315</v>
      </c>
      <c r="G11170" s="16" t="n">
        <f aca="false">CHOOSE($C$11141,Assumptions!$C$84,Assumptions!$C$103,Assumptions!$C$122)*(G11154-F11154)+CHOOSE($C$11141,Assumptions!$C$85,Assumptions!$C$104,Assumptions!$C$123)*G11154</f>
        <v>0</v>
      </c>
      <c r="H11170" s="16" t="n">
        <f aca="false">CHOOSE($C$11141,Assumptions!$C$84,Assumptions!$C$103,Assumptions!$C$122)*(H11154-G11154)+CHOOSE($C$11141,Assumptions!$C$85,Assumptions!$C$104,Assumptions!$C$123)*H11154</f>
        <v>0</v>
      </c>
      <c r="I11170" s="16" t="n">
        <f aca="false">CHOOSE($C$11141,Assumptions!$C$84,Assumptions!$C$103,Assumptions!$C$122)*(I11154-H11154)+CHOOSE($C$11141,Assumptions!$C$85,Assumptions!$C$104,Assumptions!$C$123)*I11154</f>
        <v>0</v>
      </c>
      <c r="J11170" s="16" t="n">
        <f aca="false">CHOOSE($C$11141,Assumptions!$C$84,Assumptions!$C$103,Assumptions!$C$122)*(J11154-I11154)+CHOOSE($C$11141,Assumptions!$C$85,Assumptions!$C$104,Assumptions!$C$123)*J11154</f>
        <v>0</v>
      </c>
      <c r="K11170" s="16" t="n">
        <f aca="false">CHOOSE($C$11141,Assumptions!$C$84,Assumptions!$C$103,Assumptions!$C$122)*(K11154-J11154)+CHOOSE($C$11141,Assumptions!$C$85,Assumptions!$C$104,Assumptions!$C$123)*K11154</f>
        <v>0</v>
      </c>
    </row>
    <row r="11171" customFormat="false" ht="15" hidden="false" customHeight="false" outlineLevel="0" collapsed="false">
      <c r="A11171" s="2" t="s">
        <v>316</v>
      </c>
      <c r="G11171" s="17" t="n">
        <f aca="false">G11167+G11159+G11160+G11163-G11169-G11170</f>
        <v>-28.6370824</v>
      </c>
      <c r="H11171" s="17" t="n">
        <f aca="false">H11167+H11159+H11160+H11163-H11169-H11170</f>
        <v>-51.56641762</v>
      </c>
      <c r="I11171" s="17" t="n">
        <f aca="false">I11167+I11159+I11160+I11163-I11169-I11170</f>
        <v>-54.22496285414</v>
      </c>
      <c r="J11171" s="17" t="n">
        <f aca="false">J11167+J11159+J11160+J11163-J11169-J11170</f>
        <v>-51.73217545419</v>
      </c>
      <c r="K11171" s="17" t="n">
        <f aca="false">K11167+K11159+K11160+K11163-K11169-K11170</f>
        <v>-45.800649474325</v>
      </c>
    </row>
    <row r="11173" customFormat="false" ht="15" hidden="false" customHeight="false" outlineLevel="0" collapsed="false">
      <c r="A11173" s="24" t="s">
        <v>318</v>
      </c>
      <c r="B11173" s="25"/>
      <c r="C11173" s="25"/>
      <c r="D11173" s="25"/>
      <c r="E11173" s="25"/>
      <c r="F11173" s="25"/>
      <c r="G11173" s="25"/>
      <c r="H11173" s="25"/>
      <c r="I11173" s="25"/>
      <c r="J11173" s="25"/>
      <c r="K11173" s="25"/>
    </row>
    <row r="11174" customFormat="false" ht="15" hidden="false" customHeight="false" outlineLevel="0" collapsed="false">
      <c r="A11174" s="3" t="s">
        <v>319</v>
      </c>
      <c r="G11174" s="30" t="n">
        <f aca="false">Assumptions!$G$53</f>
        <v>0.039</v>
      </c>
      <c r="H11174" s="30" t="n">
        <f aca="false">Assumptions!$H$53</f>
        <v>0.0375</v>
      </c>
      <c r="I11174" s="30" t="n">
        <f aca="false">Assumptions!$I$53</f>
        <v>0.035</v>
      </c>
      <c r="J11174" s="30" t="n">
        <f aca="false">Assumptions!$J$53</f>
        <v>0.035</v>
      </c>
      <c r="K11174" s="30" t="n">
        <f aca="false">Assumptions!$K$53</f>
        <v>0.035</v>
      </c>
    </row>
    <row r="11175" customFormat="false" ht="15" hidden="false" customHeight="false" outlineLevel="0" collapsed="false">
      <c r="A11175" s="3" t="s">
        <v>320</v>
      </c>
      <c r="C11175" s="31" t="n">
        <f aca="false">CHOOSE($C$11141,Assumptions!$C$86,Assumptions!$C$105,Assumptions!$C$124)+$C$11144</f>
        <v>0.03</v>
      </c>
    </row>
    <row r="11176" customFormat="false" ht="15" hidden="false" customHeight="false" outlineLevel="0" collapsed="false">
      <c r="A11176" s="3" t="s">
        <v>321</v>
      </c>
      <c r="C11176" s="31" t="n">
        <f aca="false">CHOOSE($C$11141,Assumptions!$C$87,Assumptions!$C$106,Assumptions!$C$125)</f>
        <v>0.12</v>
      </c>
    </row>
    <row r="11177" customFormat="false" ht="15" hidden="false" customHeight="false" outlineLevel="0" collapsed="false">
      <c r="A11177" s="3" t="s">
        <v>322</v>
      </c>
      <c r="C11177" s="32" t="n">
        <f aca="false">CHOOSE($C$11141,Assumptions!$C$88,Assumptions!$C$107,Assumptions!$C$126)</f>
        <v>9</v>
      </c>
    </row>
    <row r="11178" customFormat="false" ht="15" hidden="false" customHeight="false" outlineLevel="0" collapsed="false">
      <c r="A11178" s="3" t="s">
        <v>323</v>
      </c>
      <c r="C11178" s="32" t="n">
        <f aca="false">CHOOSE($C$11141,Assumptions!$C$89,Assumptions!$C$108,Assumptions!$C$127)</f>
        <v>1.75</v>
      </c>
    </row>
    <row r="11179" customFormat="false" ht="15" hidden="false" customHeight="false" outlineLevel="0" collapsed="false">
      <c r="A11179" s="3" t="s">
        <v>324</v>
      </c>
      <c r="G11179" s="16" t="n">
        <f aca="false">G11184+G11197+G11210+G11223+G11236+G11249+G11262+G11275+G11288+G11301</f>
        <v>2625.934</v>
      </c>
      <c r="H11179" s="16" t="n">
        <f aca="false">H11184+H11197+H11210+H11223+H11236+H11249+H11262+H11275+H11288+H11301</f>
        <v>2621.934</v>
      </c>
      <c r="I11179" s="16" t="n">
        <f aca="false">I11184+I11197+I11210+I11223+I11236+I11249+I11262+I11275+I11288+I11301</f>
        <v>2568.26750002</v>
      </c>
      <c r="J11179" s="16" t="n">
        <f aca="false">J11184+J11197+J11210+J11223+J11236+J11249+J11262+J11275+J11288+J11301</f>
        <v>2564.26750002</v>
      </c>
      <c r="K11179" s="16" t="n">
        <f aca="false">K11184+K11197+K11210+K11223+K11236+K11249+K11262+K11275+K11288+K11301</f>
        <v>2560.26750002</v>
      </c>
    </row>
    <row r="11180" customFormat="false" ht="15" hidden="false" customHeight="false" outlineLevel="0" collapsed="false">
      <c r="A11180" s="3" t="s">
        <v>325</v>
      </c>
      <c r="G11180" s="16" t="n">
        <f aca="false">F11372</f>
        <v>37.87</v>
      </c>
      <c r="H11180" s="16" t="n">
        <f aca="false">G11372</f>
        <v>105.2329176</v>
      </c>
      <c r="I11180" s="16" t="n">
        <f aca="false">H11372</f>
        <v>0</v>
      </c>
      <c r="J11180" s="16" t="n">
        <f aca="false">I11372</f>
        <v>-58.22496285414</v>
      </c>
      <c r="K11180" s="16" t="n">
        <f aca="false">J11372</f>
        <v>-113.95713830833</v>
      </c>
    </row>
    <row r="11181" customFormat="false" ht="15" hidden="false" customHeight="false" outlineLevel="0" collapsed="false">
      <c r="A11181" s="3" t="s">
        <v>326</v>
      </c>
      <c r="G11181" s="16" t="n">
        <f aca="false">G11184*IF(G11185=1,$C$11176,IF(Assumptions!$I$57=1,MAX(G11174,Assumptions!$G$57)+Assumptions!$F$57+$C$11175,Assumptions!$E$57))+G11197*IF(G11198=1,$C$11176,IF(Assumptions!$I$58=1,MAX(G11174,Assumptions!$G$58)+Assumptions!$F$58+$C$11175,Assumptions!$E$58))+G11210*IF(G11211=1,$C$11176,IF(Assumptions!$I$59=1,MAX(G11174,Assumptions!$G$59)+Assumptions!$F$59+$C$11175,Assumptions!$E$59))+G11223*IF(G11224=1,$C$11176,IF(Assumptions!$I$60=1,MAX(G11174,Assumptions!$G$60)+Assumptions!$F$60+$C$11175,Assumptions!$E$60))+G11236*IF(G11237=1,$C$11176,IF(Assumptions!$I$61=1,MAX(G11174,Assumptions!$G$61)+Assumptions!$F$61+$C$11175,Assumptions!$E$61))+G11249*IF(G11250=1,$C$11176,IF(Assumptions!$I$62=1,MAX(G11174,Assumptions!$G$62)+Assumptions!$F$62+$C$11175,Assumptions!$E$62))+G11262*IF(G11263=1,$C$11176,IF(Assumptions!$I$63=1,MAX(G11174,Assumptions!$G$63)+Assumptions!$F$63+$C$11175,Assumptions!$E$63))+G11275*IF(G11276=1,$C$11176,IF(Assumptions!$I$64=1,MAX(G11174,Assumptions!$G$64)+Assumptions!$F$64+$C$11175,Assumptions!$E$64))+G11288*IF(G11289=1,$C$11176,IF(Assumptions!$I$65=1,MAX(G11174,Assumptions!$G$65)+Assumptions!$F$65+$C$11175,Assumptions!$E$65))+G11301*IF(G11302=1,$C$11176,IF(Assumptions!$I$66=1,MAX(G11174,Assumptions!$G$66)+Assumptions!$F$66+$C$11175,Assumptions!$E$66))</f>
        <v>194.5679854</v>
      </c>
      <c r="H11181" s="16" t="n">
        <f aca="false">H11184*IF(OR(H11185=1,G11494=1),$C$11176,IF(Assumptions!$I$57=1,MAX(H11174,Assumptions!$G$57)+Assumptions!$F$57+$C$11175,Assumptions!$E$57))+H11197*IF(OR(H11198=1,G11495=1),$C$11176,IF(Assumptions!$I$58=1,MAX(H11174,Assumptions!$G$58)+Assumptions!$F$58+$C$11175,Assumptions!$E$58))+H11210*IF(OR(H11211=1,G11496=1),$C$11176,IF(Assumptions!$I$59=1,MAX(H11174,Assumptions!$G$59)+Assumptions!$F$59+$C$11175,Assumptions!$E$59))+H11223*IF(OR(H11224=1,G11497=1),$C$11176,IF(Assumptions!$I$60=1,MAX(H11174,Assumptions!$G$60)+Assumptions!$F$60+$C$11175,Assumptions!$E$60))+H11236*IF(OR(H11237=1,G11498=1),$C$11176,IF(Assumptions!$I$61=1,MAX(H11174,Assumptions!$G$61)+Assumptions!$F$61+$C$11175,Assumptions!$E$61))+H11249*IF(OR(H11250=1,G11499=1),$C$11176,IF(Assumptions!$I$62=1,MAX(H11174,Assumptions!$G$62)+Assumptions!$F$62+$C$11175,Assumptions!$E$62))+H11262*IF(OR(H11263=1,G11500=1),$C$11176,IF(Assumptions!$I$63=1,MAX(H11174,Assumptions!$G$63)+Assumptions!$F$63+$C$11175,Assumptions!$E$63))+H11275*IF(OR(H11276=1,G11501=1),$C$11176,IF(Assumptions!$I$64=1,MAX(H11174,Assumptions!$G$64)+Assumptions!$F$64+$C$11175,Assumptions!$E$64))+H11288*IF(OR(H11289=1,G11502=1),$C$11176,IF(Assumptions!$I$65=1,MAX(H11174,Assumptions!$G$65)+Assumptions!$F$65+$C$11175,Assumptions!$E$65))+H11301*IF(OR(H11302=1,G11503=1),$C$11176,IF(Assumptions!$I$66=1,MAX(H11174,Assumptions!$G$66)+Assumptions!$F$66+$C$11175,Assumptions!$E$66))</f>
        <v>242.5450704</v>
      </c>
      <c r="I11181" s="16" t="n">
        <f aca="false">I11184*IF(OR(I11185=1,H11494=1),$C$11176,IF(Assumptions!$I$57=1,MAX(I11174,Assumptions!$G$57)+Assumptions!$F$57+$C$11175,Assumptions!$E$57))+I11197*IF(OR(I11198=1,H11495=1),$C$11176,IF(Assumptions!$I$58=1,MAX(I11174,Assumptions!$G$58)+Assumptions!$F$58+$C$11175,Assumptions!$E$58))+I11210*IF(OR(I11211=1,H11496=1),$C$11176,IF(Assumptions!$I$59=1,MAX(I11174,Assumptions!$G$59)+Assumptions!$F$59+$C$11175,Assumptions!$E$59))+I11223*IF(OR(I11224=1,H11497=1),$C$11176,IF(Assumptions!$I$60=1,MAX(I11174,Assumptions!$G$60)+Assumptions!$F$60+$C$11175,Assumptions!$E$60))+I11236*IF(OR(I11237=1,H11498=1),$C$11176,IF(Assumptions!$I$61=1,MAX(I11174,Assumptions!$G$61)+Assumptions!$F$61+$C$11175,Assumptions!$E$61))+I11249*IF(OR(I11250=1,H11499=1),$C$11176,IF(Assumptions!$I$62=1,MAX(I11174,Assumptions!$G$62)+Assumptions!$F$62+$C$11175,Assumptions!$E$62))+I11262*IF(OR(I11263=1,H11500=1),$C$11176,IF(Assumptions!$I$63=1,MAX(I11174,Assumptions!$G$63)+Assumptions!$F$63+$C$11175,Assumptions!$E$63))+I11275*IF(OR(I11276=1,H11501=1),$C$11176,IF(Assumptions!$I$64=1,MAX(I11174,Assumptions!$G$64)+Assumptions!$F$64+$C$11175,Assumptions!$E$64))+I11288*IF(OR(I11289=1,H11502=1),$C$11176,IF(Assumptions!$I$65=1,MAX(I11174,Assumptions!$G$65)+Assumptions!$F$65+$C$11175,Assumptions!$E$65))+I11301*IF(OR(I11302=1,H11503=1),$C$11176,IF(Assumptions!$I$66=1,MAX(I11174,Assumptions!$G$66)+Assumptions!$F$66+$C$11175,Assumptions!$E$66))</f>
        <v>206.93921865079</v>
      </c>
      <c r="J11181" s="16" t="n">
        <f aca="false">J11184*IF(OR(J11185=1,I11494=1),$C$11176,IF(Assumptions!$I$57=1,MAX(J11174,Assumptions!$G$57)+Assumptions!$F$57+$C$11175,Assumptions!$E$57))+J11197*IF(OR(J11198=1,I11495=1),$C$11176,IF(Assumptions!$I$58=1,MAX(J11174,Assumptions!$G$58)+Assumptions!$F$58+$C$11175,Assumptions!$E$58))+J11210*IF(OR(J11211=1,I11496=1),$C$11176,IF(Assumptions!$I$59=1,MAX(J11174,Assumptions!$G$59)+Assumptions!$F$59+$C$11175,Assumptions!$E$59))+J11223*IF(OR(J11224=1,I11497=1),$C$11176,IF(Assumptions!$I$60=1,MAX(J11174,Assumptions!$G$60)+Assumptions!$F$60+$C$11175,Assumptions!$E$60))+J11236*IF(OR(J11237=1,I11498=1),$C$11176,IF(Assumptions!$I$61=1,MAX(J11174,Assumptions!$G$61)+Assumptions!$F$61+$C$11175,Assumptions!$E$61))+J11249*IF(OR(J11250=1,I11499=1),$C$11176,IF(Assumptions!$I$62=1,MAX(J11174,Assumptions!$G$62)+Assumptions!$F$62+$C$11175,Assumptions!$E$62))+J11262*IF(OR(J11263=1,I11500=1),$C$11176,IF(Assumptions!$I$63=1,MAX(J11174,Assumptions!$G$63)+Assumptions!$F$63+$C$11175,Assumptions!$E$63))+J11275*IF(OR(J11276=1,I11501=1),$C$11176,IF(Assumptions!$I$64=1,MAX(J11174,Assumptions!$G$64)+Assumptions!$F$64+$C$11175,Assumptions!$E$64))+J11288*IF(OR(J11289=1,I11502=1),$C$11176,IF(Assumptions!$I$65=1,MAX(J11174,Assumptions!$G$65)+Assumptions!$F$65+$C$11175,Assumptions!$E$65))+J11301*IF(OR(J11302=1,I11503=1),$C$11176,IF(Assumptions!$I$66=1,MAX(J11174,Assumptions!$G$66)+Assumptions!$F$66+$C$11175,Assumptions!$E$66))</f>
        <v>215.35671865079</v>
      </c>
      <c r="K11181" s="16" t="n">
        <f aca="false">K11184*IF(OR(K11185=1,J11494=1),$C$11176,IF(Assumptions!$I$57=1,MAX(K11174,Assumptions!$G$57)+Assumptions!$F$57+$C$11175,Assumptions!$E$57))+K11197*IF(OR(K11198=1,J11495=1),$C$11176,IF(Assumptions!$I$58=1,MAX(K11174,Assumptions!$G$58)+Assumptions!$F$58+$C$11175,Assumptions!$E$58))+K11210*IF(OR(K11211=1,J11496=1),$C$11176,IF(Assumptions!$I$59=1,MAX(K11174,Assumptions!$G$59)+Assumptions!$F$59+$C$11175,Assumptions!$E$59))+K11223*IF(OR(K11224=1,J11497=1),$C$11176,IF(Assumptions!$I$60=1,MAX(K11174,Assumptions!$G$60)+Assumptions!$F$60+$C$11175,Assumptions!$E$60))+K11236*IF(OR(K11237=1,J11498=1),$C$11176,IF(Assumptions!$I$61=1,MAX(K11174,Assumptions!$G$61)+Assumptions!$F$61+$C$11175,Assumptions!$E$61))+K11249*IF(OR(K11250=1,J11499=1),$C$11176,IF(Assumptions!$I$62=1,MAX(K11174,Assumptions!$G$62)+Assumptions!$F$62+$C$11175,Assumptions!$E$62))+K11262*IF(OR(K11263=1,J11500=1),$C$11176,IF(Assumptions!$I$63=1,MAX(K11174,Assumptions!$G$63)+Assumptions!$F$63+$C$11175,Assumptions!$E$63))+K11275*IF(OR(K11276=1,J11501=1),$C$11176,IF(Assumptions!$I$64=1,MAX(K11174,Assumptions!$G$64)+Assumptions!$F$64+$C$11175,Assumptions!$E$64))+K11288*IF(OR(K11289=1,J11502=1),$C$11176,IF(Assumptions!$I$65=1,MAX(K11174,Assumptions!$G$65)+Assumptions!$F$65+$C$11175,Assumptions!$E$65))+K11301*IF(OR(K11302=1,J11503=1),$C$11176,IF(Assumptions!$I$66=1,MAX(K11174,Assumptions!$G$66)+Assumptions!$F$66+$C$11175,Assumptions!$E$66))</f>
        <v>207.39671865079</v>
      </c>
    </row>
    <row r="11182" customFormat="false" ht="15" hidden="false" customHeight="false" outlineLevel="0" collapsed="false">
      <c r="A11182" s="3" t="s">
        <v>327</v>
      </c>
      <c r="G11182" s="21" t="n">
        <f aca="false">IF(G11158&lt;=0,0,IF(AND((G11179-G11180)/G11158&lt;=$C$11177,G11158/G11181&gt;=$C$11178),1,0))</f>
        <v>0</v>
      </c>
      <c r="H11182" s="21" t="n">
        <f aca="false">IF(H11158&lt;=0,0,IF(AND((H11179-H11180)/H11158&lt;=$C$11177,H11158/H11181&gt;=$C$11178),1,0))</f>
        <v>0</v>
      </c>
      <c r="I11182" s="21" t="n">
        <f aca="false">IF(I11158&lt;=0,0,IF(AND((I11179-I11180)/I11158&lt;=$C$11177,I11158/I11181&gt;=$C$11178),1,0))</f>
        <v>0</v>
      </c>
      <c r="J11182" s="21" t="n">
        <f aca="false">IF(J11158&lt;=0,0,IF(AND((J11179-J11180)/J11158&lt;=$C$11177,J11158/J11181&gt;=$C$11178),1,0))</f>
        <v>0</v>
      </c>
      <c r="K11182" s="21" t="n">
        <f aca="false">IF(K11158&lt;=0,0,IF(AND((K11179-K11180)/K11158&lt;=$C$11177,K11158/K11181&gt;=$C$11178),1,0))</f>
        <v>0</v>
      </c>
    </row>
    <row r="11183" customFormat="false" ht="15" hidden="false" customHeight="false" outlineLevel="0" collapsed="false">
      <c r="A11183" s="24" t="s">
        <v>328</v>
      </c>
      <c r="B11183" s="25"/>
      <c r="C11183" s="25"/>
      <c r="D11183" s="25"/>
      <c r="E11183" s="25"/>
      <c r="F11183" s="25"/>
      <c r="G11183" s="25"/>
      <c r="H11183" s="25"/>
      <c r="I11183" s="25"/>
      <c r="J11183" s="25"/>
      <c r="K11183" s="25"/>
    </row>
    <row r="11184" customFormat="false" ht="15" hidden="false" customHeight="false" outlineLevel="0" collapsed="false">
      <c r="A11184" s="3" t="s">
        <v>329</v>
      </c>
      <c r="G11184" s="16" t="n">
        <f aca="false">F11195</f>
        <v>400</v>
      </c>
      <c r="H11184" s="16" t="n">
        <f aca="false">G11195</f>
        <v>396</v>
      </c>
      <c r="I11184" s="16" t="n">
        <f aca="false">H11195</f>
        <v>392</v>
      </c>
      <c r="J11184" s="16" t="n">
        <f aca="false">I11195</f>
        <v>388</v>
      </c>
      <c r="K11184" s="16" t="n">
        <f aca="false">J11195</f>
        <v>384</v>
      </c>
    </row>
    <row r="11185" customFormat="false" ht="15" hidden="false" customHeight="false" outlineLevel="0" collapsed="false">
      <c r="A11185" s="3" t="s">
        <v>330</v>
      </c>
      <c r="G11185" s="21" t="n">
        <f aca="false">IF(G11148=Assumptions!$K$57,1,0)</f>
        <v>0</v>
      </c>
      <c r="H11185" s="21" t="n">
        <f aca="false">IF(H11148=Assumptions!$K$57,1,0)</f>
        <v>0</v>
      </c>
      <c r="I11185" s="21" t="n">
        <f aca="false">IF(I11148=Assumptions!$K$57,1,0)</f>
        <v>0</v>
      </c>
      <c r="J11185" s="21" t="n">
        <f aca="false">IF(J11148=Assumptions!$K$57,1,0)</f>
        <v>0</v>
      </c>
      <c r="K11185" s="21" t="n">
        <f aca="false">IF(K11148=Assumptions!$K$57,1,0)</f>
        <v>1</v>
      </c>
    </row>
    <row r="11187" customFormat="false" ht="15" hidden="false" customHeight="false" outlineLevel="0" collapsed="false">
      <c r="A11187" s="3" t="s">
        <v>331</v>
      </c>
      <c r="G11187" s="31" t="n">
        <f aca="false">IF(Assumptions!$I$57=1,MAX(G11174,Assumptions!$G$57)+Assumptions!$F$57+$C$11175,Assumptions!$E$57)</f>
        <v>0.1215</v>
      </c>
      <c r="H11187" s="31" t="n">
        <f aca="false">IF(G11494=1,$C$11176,IF(Assumptions!$I$57=1,MAX(H11174,Assumptions!$G$57)+Assumptions!$F$57+$C$11175,Assumptions!$E$57))</f>
        <v>0.12</v>
      </c>
      <c r="I11187" s="31" t="n">
        <f aca="false">IF(H11494=1,$C$11176,IF(Assumptions!$I$57=1,MAX(I11174,Assumptions!$G$57)+Assumptions!$F$57+$C$11175,Assumptions!$E$57))</f>
        <v>0.1175</v>
      </c>
      <c r="J11187" s="31" t="n">
        <f aca="false">IF(I11494=1,$C$11176,IF(Assumptions!$I$57=1,MAX(J11174,Assumptions!$G$57)+Assumptions!$F$57+$C$11175,Assumptions!$E$57))</f>
        <v>0.1175</v>
      </c>
      <c r="K11187" s="31" t="n">
        <f aca="false">IF(J11494=1,$C$11176,IF(Assumptions!$I$57=1,MAX(K11174,Assumptions!$G$57)+Assumptions!$F$57+$C$11175,Assumptions!$E$57))</f>
        <v>0.1175</v>
      </c>
    </row>
    <row r="11188" customFormat="false" ht="15" hidden="false" customHeight="false" outlineLevel="0" collapsed="false">
      <c r="A11188" s="3" t="s">
        <v>332</v>
      </c>
      <c r="G11188" s="16" t="n">
        <f aca="false">G11184*G11187</f>
        <v>48.6</v>
      </c>
      <c r="H11188" s="16" t="n">
        <f aca="false">H11184*H11187</f>
        <v>47.52</v>
      </c>
      <c r="I11188" s="16" t="n">
        <f aca="false">I11184*I11187</f>
        <v>46.06</v>
      </c>
      <c r="J11188" s="16" t="n">
        <f aca="false">J11184*J11187</f>
        <v>45.59</v>
      </c>
      <c r="K11188" s="16" t="n">
        <f aca="false">K11184*K11187</f>
        <v>45.12</v>
      </c>
    </row>
    <row r="11189" customFormat="false" ht="15" hidden="false" customHeight="false" outlineLevel="0" collapsed="false">
      <c r="A11189" s="3" t="s">
        <v>333</v>
      </c>
      <c r="G11189" s="16" t="n">
        <f aca="false">G11184*Assumptions!$H$57</f>
        <v>0</v>
      </c>
      <c r="H11189" s="16" t="n">
        <f aca="false">H11184*Assumptions!$H$57</f>
        <v>0</v>
      </c>
      <c r="I11189" s="16" t="n">
        <f aca="false">I11184*Assumptions!$H$57</f>
        <v>0</v>
      </c>
      <c r="J11189" s="16" t="n">
        <f aca="false">J11184*Assumptions!$H$57</f>
        <v>0</v>
      </c>
      <c r="K11189" s="16" t="n">
        <f aca="false">K11184*Assumptions!$H$57</f>
        <v>0</v>
      </c>
    </row>
    <row r="11190" customFormat="false" ht="15" hidden="false" customHeight="false" outlineLevel="0" collapsed="false">
      <c r="A11190" s="3" t="s">
        <v>334</v>
      </c>
      <c r="G11190" s="16" t="n">
        <f aca="false">MIN(G11184,Assumptions!$L$57*Assumptions!$C$57)</f>
        <v>4</v>
      </c>
      <c r="H11190" s="16" t="n">
        <f aca="false">MIN(H11184,Assumptions!$L$57*Assumptions!$C$57)</f>
        <v>4</v>
      </c>
      <c r="I11190" s="16" t="n">
        <f aca="false">MIN(I11184,Assumptions!$L$57*Assumptions!$C$57)</f>
        <v>4</v>
      </c>
      <c r="J11190" s="16" t="n">
        <f aca="false">MIN(J11184,Assumptions!$L$57*Assumptions!$C$57)</f>
        <v>4</v>
      </c>
      <c r="K11190" s="16" t="n">
        <f aca="false">MIN(K11184,Assumptions!$L$57*Assumptions!$C$57)</f>
        <v>4</v>
      </c>
    </row>
    <row r="11191" customFormat="false" ht="15" hidden="false" customHeight="false" outlineLevel="0" collapsed="false">
      <c r="A11191" s="3" t="s">
        <v>335</v>
      </c>
      <c r="G11191" s="16" t="n">
        <f aca="false">IF(AND(Assumptions!$P$57=1,G11148&lt;Assumptions!$K$57),MIN(MAX(0,-G11364),MAX(0,Assumptions!$D$57-G11184)),0)</f>
        <v>0</v>
      </c>
      <c r="H11191" s="16" t="n">
        <f aca="false">IF(AND(Assumptions!$P$57=1,OR(H11148&lt;Assumptions!$K$57,G11494=1)),MIN(MAX(0,-H11364),MAX(0,Assumptions!$D$57-H11184)),0)</f>
        <v>0</v>
      </c>
      <c r="I11191" s="16" t="n">
        <f aca="false">IF(AND(Assumptions!$P$57=1,OR(I11148&lt;Assumptions!$K$57,H11494=1)),MIN(MAX(0,-I11364),MAX(0,Assumptions!$D$57-I11184)),0)</f>
        <v>0</v>
      </c>
      <c r="J11191" s="16" t="n">
        <f aca="false">IF(AND(Assumptions!$P$57=1,OR(J11148&lt;Assumptions!$K$57,I11494=1)),MIN(MAX(0,-J11364),MAX(0,Assumptions!$D$57-J11184)),0)</f>
        <v>0</v>
      </c>
      <c r="K11191" s="16" t="n">
        <f aca="false">IF(AND(Assumptions!$P$57=1,OR(K11148&lt;Assumptions!$K$57,J11494=1)),MIN(MAX(0,-K11364),MAX(0,Assumptions!$D$57-K11184)),0)</f>
        <v>0</v>
      </c>
    </row>
    <row r="11192" customFormat="false" ht="15" hidden="false" customHeight="false" outlineLevel="0" collapsed="false">
      <c r="A11192" s="3" t="s">
        <v>336</v>
      </c>
      <c r="G11192" s="16" t="n">
        <f aca="false">G11185*MIN(G11184-G11190+G11189,MAX(0,G11366-Assumptions!$C$12*G11182))</f>
        <v>0</v>
      </c>
      <c r="H11192" s="16" t="n">
        <f aca="false">H11185*MIN(H11184-H11190+H11189,MAX(0,H11366-Assumptions!$C$12*H11182))</f>
        <v>0</v>
      </c>
      <c r="I11192" s="16" t="n">
        <f aca="false">I11185*MIN(I11184-I11190+I11189,MAX(0,I11366-Assumptions!$C$12*I11182))</f>
        <v>0</v>
      </c>
      <c r="J11192" s="16" t="n">
        <f aca="false">J11185*MIN(J11184-J11190+J11189,MAX(0,J11366-Assumptions!$C$12*J11182))</f>
        <v>0</v>
      </c>
      <c r="K11192" s="16" t="n">
        <f aca="false">K11185*MIN(K11184-K11190+K11189,MAX(0,K11366-Assumptions!$C$12*K11182))</f>
        <v>0</v>
      </c>
    </row>
    <row r="11193" customFormat="false" ht="15" hidden="false" customHeight="false" outlineLevel="0" collapsed="false">
      <c r="A11193" s="3" t="s">
        <v>337</v>
      </c>
      <c r="G11193" s="16" t="n">
        <f aca="false">Assumptions!$N$57*MIN(G11184+G11191+G11189-G11190-G11192,MAX(0,G11370))</f>
        <v>0</v>
      </c>
      <c r="H11193" s="16" t="n">
        <f aca="false">Assumptions!$N$57*MIN(H11184+H11191+H11189-H11190-H11192,MAX(0,H11370))</f>
        <v>0</v>
      </c>
      <c r="I11193" s="16" t="n">
        <f aca="false">Assumptions!$N$57*MIN(I11184+I11191+I11189-I11190-I11192,MAX(0,I11370))</f>
        <v>0</v>
      </c>
      <c r="J11193" s="16" t="n">
        <f aca="false">Assumptions!$N$57*MIN(J11184+J11191+J11189-J11190-J11192,MAX(0,J11370))</f>
        <v>0</v>
      </c>
      <c r="K11193" s="16" t="n">
        <f aca="false">Assumptions!$N$57*MIN(K11184+K11191+K11189-K11190-K11192,MAX(0,K11370))</f>
        <v>0</v>
      </c>
    </row>
    <row r="11194" customFormat="false" ht="15" hidden="false" customHeight="false" outlineLevel="0" collapsed="false">
      <c r="A11194" s="3" t="s">
        <v>338</v>
      </c>
      <c r="G11194" s="16" t="n">
        <f aca="false">G11185*(1-G11182)*(G11184-G11190+G11189-G11192)</f>
        <v>0</v>
      </c>
      <c r="H11194" s="16" t="n">
        <f aca="false">H11185*(1-H11182)*(H11184-H11190+H11189-H11192)</f>
        <v>0</v>
      </c>
      <c r="I11194" s="16" t="n">
        <f aca="false">I11185*(1-I11182)*(I11184-I11190+I11189-I11192)</f>
        <v>0</v>
      </c>
      <c r="J11194" s="16" t="n">
        <f aca="false">J11185*(1-J11182)*(J11184-J11190+J11189-J11192)</f>
        <v>0</v>
      </c>
      <c r="K11194" s="16" t="n">
        <f aca="false">K11185*(1-K11182)*(K11184-K11190+K11189-K11192)</f>
        <v>380</v>
      </c>
    </row>
    <row r="11195" customFormat="false" ht="15" hidden="false" customHeight="false" outlineLevel="0" collapsed="false">
      <c r="A11195" s="2" t="s">
        <v>339</v>
      </c>
      <c r="F11195" s="28" t="n">
        <f aca="false">Assumptions!$C$57</f>
        <v>400</v>
      </c>
      <c r="G11195" s="17" t="n">
        <f aca="false">G11184+G11191+G11189-G11190-G11192-G11193</f>
        <v>396</v>
      </c>
      <c r="H11195" s="17" t="n">
        <f aca="false">H11184+H11191+H11189-H11190-H11192-H11193</f>
        <v>392</v>
      </c>
      <c r="I11195" s="17" t="n">
        <f aca="false">I11184+I11191+I11189-I11190-I11192-I11193</f>
        <v>388</v>
      </c>
      <c r="J11195" s="17" t="n">
        <f aca="false">J11184+J11191+J11189-J11190-J11192-J11193</f>
        <v>384</v>
      </c>
      <c r="K11195" s="17" t="n">
        <f aca="false">K11184+K11191+K11189-K11190-K11192-K11193</f>
        <v>380</v>
      </c>
    </row>
    <row r="11196" customFormat="false" ht="15" hidden="false" customHeight="false" outlineLevel="0" collapsed="false">
      <c r="A11196" s="24" t="s">
        <v>340</v>
      </c>
      <c r="B11196" s="25"/>
      <c r="C11196" s="25"/>
      <c r="D11196" s="25"/>
      <c r="E11196" s="25"/>
      <c r="F11196" s="25"/>
      <c r="G11196" s="25"/>
      <c r="H11196" s="25"/>
      <c r="I11196" s="25"/>
      <c r="J11196" s="25"/>
      <c r="K11196" s="25"/>
    </row>
    <row r="11197" customFormat="false" ht="15" hidden="false" customHeight="false" outlineLevel="0" collapsed="false">
      <c r="A11197" s="3" t="s">
        <v>329</v>
      </c>
      <c r="G11197" s="16" t="n">
        <f aca="false">F11208</f>
        <v>90</v>
      </c>
      <c r="H11197" s="16" t="n">
        <f aca="false">G11208</f>
        <v>90</v>
      </c>
      <c r="I11197" s="16" t="n">
        <f aca="false">H11208</f>
        <v>90</v>
      </c>
      <c r="J11197" s="16" t="n">
        <f aca="false">I11208</f>
        <v>90</v>
      </c>
      <c r="K11197" s="16" t="n">
        <f aca="false">J11208</f>
        <v>90</v>
      </c>
    </row>
    <row r="11198" customFormat="false" ht="15" hidden="false" customHeight="false" outlineLevel="0" collapsed="false">
      <c r="A11198" s="3" t="s">
        <v>330</v>
      </c>
      <c r="G11198" s="21" t="n">
        <f aca="false">IF(G11148=Assumptions!$K$58,1,0)</f>
        <v>0</v>
      </c>
      <c r="H11198" s="21" t="n">
        <f aca="false">IF(H11148=Assumptions!$K$58,1,0)</f>
        <v>0</v>
      </c>
      <c r="I11198" s="21" t="n">
        <f aca="false">IF(I11148=Assumptions!$K$58,1,0)</f>
        <v>0</v>
      </c>
      <c r="J11198" s="21" t="n">
        <f aca="false">IF(J11148=Assumptions!$K$58,1,0)</f>
        <v>0</v>
      </c>
      <c r="K11198" s="21" t="n">
        <f aca="false">IF(K11148=Assumptions!$K$58,1,0)</f>
        <v>0</v>
      </c>
    </row>
    <row r="11200" customFormat="false" ht="15" hidden="false" customHeight="false" outlineLevel="0" collapsed="false">
      <c r="A11200" s="3" t="s">
        <v>331</v>
      </c>
      <c r="G11200" s="31" t="n">
        <f aca="false">IF(Assumptions!$I$58=1,MAX(G11174,Assumptions!$G$58)+Assumptions!$F$58+$C$11175,Assumptions!$E$58)</f>
        <v>0.0581</v>
      </c>
      <c r="H11200" s="31" t="n">
        <f aca="false">IF(G11495=1,$C$11176,IF(Assumptions!$I$58=1,MAX(H11174,Assumptions!$G$58)+Assumptions!$F$58+$C$11175,Assumptions!$E$58))</f>
        <v>0.0581</v>
      </c>
      <c r="I11200" s="31" t="n">
        <f aca="false">IF(H11495=1,$C$11176,IF(Assumptions!$I$58=1,MAX(I11174,Assumptions!$G$58)+Assumptions!$F$58+$C$11175,Assumptions!$E$58))</f>
        <v>0.0581</v>
      </c>
      <c r="J11200" s="31" t="n">
        <f aca="false">IF(I11495=1,$C$11176,IF(Assumptions!$I$58=1,MAX(J11174,Assumptions!$G$58)+Assumptions!$F$58+$C$11175,Assumptions!$E$58))</f>
        <v>0.0581</v>
      </c>
      <c r="K11200" s="31" t="n">
        <f aca="false">IF(J11495=1,$C$11176,IF(Assumptions!$I$58=1,MAX(K11174,Assumptions!$G$58)+Assumptions!$F$58+$C$11175,Assumptions!$E$58))</f>
        <v>0.0581</v>
      </c>
    </row>
    <row r="11201" customFormat="false" ht="15" hidden="false" customHeight="false" outlineLevel="0" collapsed="false">
      <c r="A11201" s="3" t="s">
        <v>332</v>
      </c>
      <c r="G11201" s="16" t="n">
        <f aca="false">G11197*G11200</f>
        <v>5.229</v>
      </c>
      <c r="H11201" s="16" t="n">
        <f aca="false">H11197*H11200</f>
        <v>5.229</v>
      </c>
      <c r="I11201" s="16" t="n">
        <f aca="false">I11197*I11200</f>
        <v>5.229</v>
      </c>
      <c r="J11201" s="16" t="n">
        <f aca="false">J11197*J11200</f>
        <v>5.229</v>
      </c>
      <c r="K11201" s="16" t="n">
        <f aca="false">K11197*K11200</f>
        <v>5.229</v>
      </c>
    </row>
    <row r="11202" customFormat="false" ht="15" hidden="false" customHeight="false" outlineLevel="0" collapsed="false">
      <c r="A11202" s="3" t="s">
        <v>333</v>
      </c>
      <c r="G11202" s="16" t="n">
        <f aca="false">G11197*Assumptions!$H$58</f>
        <v>0</v>
      </c>
      <c r="H11202" s="16" t="n">
        <f aca="false">H11197*Assumptions!$H$58</f>
        <v>0</v>
      </c>
      <c r="I11202" s="16" t="n">
        <f aca="false">I11197*Assumptions!$H$58</f>
        <v>0</v>
      </c>
      <c r="J11202" s="16" t="n">
        <f aca="false">J11197*Assumptions!$H$58</f>
        <v>0</v>
      </c>
      <c r="K11202" s="16" t="n">
        <f aca="false">K11197*Assumptions!$H$58</f>
        <v>0</v>
      </c>
    </row>
    <row r="11203" customFormat="false" ht="15" hidden="false" customHeight="false" outlineLevel="0" collapsed="false">
      <c r="A11203" s="3" t="s">
        <v>334</v>
      </c>
      <c r="G11203" s="16" t="n">
        <f aca="false">MIN(G11197,Assumptions!$L$58*Assumptions!$C$58)</f>
        <v>0</v>
      </c>
      <c r="H11203" s="16" t="n">
        <f aca="false">MIN(H11197,Assumptions!$L$58*Assumptions!$C$58)</f>
        <v>0</v>
      </c>
      <c r="I11203" s="16" t="n">
        <f aca="false">MIN(I11197,Assumptions!$L$58*Assumptions!$C$58)</f>
        <v>0</v>
      </c>
      <c r="J11203" s="16" t="n">
        <f aca="false">MIN(J11197,Assumptions!$L$58*Assumptions!$C$58)</f>
        <v>0</v>
      </c>
      <c r="K11203" s="16" t="n">
        <f aca="false">MIN(K11197,Assumptions!$L$58*Assumptions!$C$58)</f>
        <v>0</v>
      </c>
    </row>
    <row r="11204" customFormat="false" ht="15" hidden="false" customHeight="false" outlineLevel="0" collapsed="false">
      <c r="A11204" s="3" t="s">
        <v>335</v>
      </c>
      <c r="G11204" s="16" t="n">
        <f aca="false">IF(AND(Assumptions!$P$58=1,G11148&lt;Assumptions!$K$58),MIN(MAX(0,-G11364),MAX(0,Assumptions!$D$58-G11197)),0)</f>
        <v>0</v>
      </c>
      <c r="H11204" s="16" t="n">
        <f aca="false">IF(AND(Assumptions!$P$58=1,OR(H11148&lt;Assumptions!$K$58,G11495=1)),MIN(MAX(0,-H11364),MAX(0,Assumptions!$D$58-H11197)),0)</f>
        <v>0</v>
      </c>
      <c r="I11204" s="16" t="n">
        <f aca="false">IF(AND(Assumptions!$P$58=1,OR(I11148&lt;Assumptions!$K$58,H11495=1)),MIN(MAX(0,-I11364),MAX(0,Assumptions!$D$58-I11197)),0)</f>
        <v>0</v>
      </c>
      <c r="J11204" s="16" t="n">
        <f aca="false">IF(AND(Assumptions!$P$58=1,OR(J11148&lt;Assumptions!$K$58,I11495=1)),MIN(MAX(0,-J11364),MAX(0,Assumptions!$D$58-J11197)),0)</f>
        <v>0</v>
      </c>
      <c r="K11204" s="16" t="n">
        <f aca="false">IF(AND(Assumptions!$P$58=1,OR(K11148&lt;Assumptions!$K$58,J11495=1)),MIN(MAX(0,-K11364),MAX(0,Assumptions!$D$58-K11197)),0)</f>
        <v>0</v>
      </c>
    </row>
    <row r="11205" customFormat="false" ht="15" hidden="false" customHeight="false" outlineLevel="0" collapsed="false">
      <c r="A11205" s="3" t="s">
        <v>336</v>
      </c>
      <c r="G11205" s="16" t="n">
        <f aca="false">G11198*MIN(G11197-G11203+G11202,MAX(0,G11366-Assumptions!$C$12*G11182-G11192))</f>
        <v>0</v>
      </c>
      <c r="H11205" s="16" t="n">
        <f aca="false">H11198*MIN(H11197-H11203+H11202,MAX(0,H11366-Assumptions!$C$12*H11182-H11192))</f>
        <v>0</v>
      </c>
      <c r="I11205" s="16" t="n">
        <f aca="false">I11198*MIN(I11197-I11203+I11202,MAX(0,I11366-Assumptions!$C$12*I11182-I11192))</f>
        <v>0</v>
      </c>
      <c r="J11205" s="16" t="n">
        <f aca="false">J11198*MIN(J11197-J11203+J11202,MAX(0,J11366-Assumptions!$C$12*J11182-J11192))</f>
        <v>0</v>
      </c>
      <c r="K11205" s="16" t="n">
        <f aca="false">K11198*MIN(K11197-K11203+K11202,MAX(0,K11366-Assumptions!$C$12*K11182-K11192))</f>
        <v>0</v>
      </c>
    </row>
    <row r="11206" customFormat="false" ht="15" hidden="false" customHeight="false" outlineLevel="0" collapsed="false">
      <c r="A11206" s="3" t="s">
        <v>337</v>
      </c>
      <c r="G11206" s="16" t="n">
        <f aca="false">Assumptions!$N$58*MIN(G11197+G11204+G11202-G11203-G11205,MAX(0,G11370-G11193))</f>
        <v>0</v>
      </c>
      <c r="H11206" s="16" t="n">
        <f aca="false">Assumptions!$N$58*MIN(H11197+H11204+H11202-H11203-H11205,MAX(0,H11370-H11193))</f>
        <v>0</v>
      </c>
      <c r="I11206" s="16" t="n">
        <f aca="false">Assumptions!$N$58*MIN(I11197+I11204+I11202-I11203-I11205,MAX(0,I11370-I11193))</f>
        <v>0</v>
      </c>
      <c r="J11206" s="16" t="n">
        <f aca="false">Assumptions!$N$58*MIN(J11197+J11204+J11202-J11203-J11205,MAX(0,J11370-J11193))</f>
        <v>0</v>
      </c>
      <c r="K11206" s="16" t="n">
        <f aca="false">Assumptions!$N$58*MIN(K11197+K11204+K11202-K11203-K11205,MAX(0,K11370-K11193))</f>
        <v>0</v>
      </c>
    </row>
    <row r="11207" customFormat="false" ht="15" hidden="false" customHeight="false" outlineLevel="0" collapsed="false">
      <c r="A11207" s="3" t="s">
        <v>338</v>
      </c>
      <c r="G11207" s="16" t="n">
        <f aca="false">G11198*(1-G11182)*(G11197-G11203+G11202-G11205)</f>
        <v>0</v>
      </c>
      <c r="H11207" s="16" t="n">
        <f aca="false">H11198*(1-H11182)*(H11197-H11203+H11202-H11205)</f>
        <v>0</v>
      </c>
      <c r="I11207" s="16" t="n">
        <f aca="false">I11198*(1-I11182)*(I11197-I11203+I11202-I11205)</f>
        <v>0</v>
      </c>
      <c r="J11207" s="16" t="n">
        <f aca="false">J11198*(1-J11182)*(J11197-J11203+J11202-J11205)</f>
        <v>0</v>
      </c>
      <c r="K11207" s="16" t="n">
        <f aca="false">K11198*(1-K11182)*(K11197-K11203+K11202-K11205)</f>
        <v>0</v>
      </c>
    </row>
    <row r="11208" customFormat="false" ht="15" hidden="false" customHeight="false" outlineLevel="0" collapsed="false">
      <c r="A11208" s="2" t="s">
        <v>339</v>
      </c>
      <c r="F11208" s="28" t="n">
        <f aca="false">Assumptions!$C$58</f>
        <v>90</v>
      </c>
      <c r="G11208" s="17" t="n">
        <f aca="false">G11197+G11204+G11202-G11203-G11205-G11206</f>
        <v>90</v>
      </c>
      <c r="H11208" s="17" t="n">
        <f aca="false">H11197+H11204+H11202-H11203-H11205-H11206</f>
        <v>90</v>
      </c>
      <c r="I11208" s="17" t="n">
        <f aca="false">I11197+I11204+I11202-I11203-I11205-I11206</f>
        <v>90</v>
      </c>
      <c r="J11208" s="17" t="n">
        <f aca="false">J11197+J11204+J11202-J11203-J11205-J11206</f>
        <v>90</v>
      </c>
      <c r="K11208" s="17" t="n">
        <f aca="false">K11197+K11204+K11202-K11203-K11205-K11206</f>
        <v>90</v>
      </c>
    </row>
    <row r="11209" customFormat="false" ht="15" hidden="false" customHeight="false" outlineLevel="0" collapsed="false">
      <c r="A11209" s="24" t="s">
        <v>341</v>
      </c>
      <c r="B11209" s="25"/>
      <c r="C11209" s="25"/>
      <c r="D11209" s="25"/>
      <c r="E11209" s="25"/>
      <c r="F11209" s="25"/>
      <c r="G11209" s="25"/>
      <c r="H11209" s="25"/>
      <c r="I11209" s="25"/>
      <c r="J11209" s="25"/>
      <c r="K11209" s="25"/>
    </row>
    <row r="11210" customFormat="false" ht="15" hidden="false" customHeight="false" outlineLevel="0" collapsed="false">
      <c r="A11210" s="3" t="s">
        <v>329</v>
      </c>
      <c r="G11210" s="16" t="n">
        <f aca="false">F11221</f>
        <v>57.324</v>
      </c>
      <c r="H11210" s="16" t="n">
        <f aca="false">G11221</f>
        <v>57.324</v>
      </c>
      <c r="I11210" s="16" t="n">
        <f aca="false">H11221</f>
        <v>57.324</v>
      </c>
      <c r="J11210" s="16" t="n">
        <f aca="false">I11221</f>
        <v>57.324</v>
      </c>
      <c r="K11210" s="16" t="n">
        <f aca="false">J11221</f>
        <v>57.324</v>
      </c>
    </row>
    <row r="11211" customFormat="false" ht="15" hidden="false" customHeight="false" outlineLevel="0" collapsed="false">
      <c r="A11211" s="3" t="s">
        <v>330</v>
      </c>
      <c r="G11211" s="21" t="n">
        <f aca="false">IF(G11148=Assumptions!$K$59,1,0)</f>
        <v>0</v>
      </c>
      <c r="H11211" s="21" t="n">
        <f aca="false">IF(H11148=Assumptions!$K$59,1,0)</f>
        <v>0</v>
      </c>
      <c r="I11211" s="21" t="n">
        <f aca="false">IF(I11148=Assumptions!$K$59,1,0)</f>
        <v>0</v>
      </c>
      <c r="J11211" s="21" t="n">
        <f aca="false">IF(J11148=Assumptions!$K$59,1,0)</f>
        <v>0</v>
      </c>
      <c r="K11211" s="21" t="n">
        <f aca="false">IF(K11148=Assumptions!$K$59,1,0)</f>
        <v>0</v>
      </c>
    </row>
    <row r="11213" customFormat="false" ht="15" hidden="false" customHeight="false" outlineLevel="0" collapsed="false">
      <c r="A11213" s="3" t="s">
        <v>331</v>
      </c>
      <c r="G11213" s="31" t="n">
        <f aca="false">IF(Assumptions!$I$59=1,MAX(G11174,Assumptions!$G$59)+Assumptions!$F$59+$C$11175,Assumptions!$E$59)</f>
        <v>0.0731</v>
      </c>
      <c r="H11213" s="31" t="n">
        <f aca="false">IF(G11496=1,$C$11176,IF(Assumptions!$I$59=1,MAX(H11174,Assumptions!$G$59)+Assumptions!$F$59+$C$11175,Assumptions!$E$59))</f>
        <v>0.0731</v>
      </c>
      <c r="I11213" s="31" t="n">
        <f aca="false">IF(H11496=1,$C$11176,IF(Assumptions!$I$59=1,MAX(I11174,Assumptions!$G$59)+Assumptions!$F$59+$C$11175,Assumptions!$E$59))</f>
        <v>0.0731</v>
      </c>
      <c r="J11213" s="31" t="n">
        <f aca="false">IF(I11496=1,$C$11176,IF(Assumptions!$I$59=1,MAX(J11174,Assumptions!$G$59)+Assumptions!$F$59+$C$11175,Assumptions!$E$59))</f>
        <v>0.0731</v>
      </c>
      <c r="K11213" s="31" t="n">
        <f aca="false">IF(J11496=1,$C$11176,IF(Assumptions!$I$59=1,MAX(K11174,Assumptions!$G$59)+Assumptions!$F$59+$C$11175,Assumptions!$E$59))</f>
        <v>0.0731</v>
      </c>
    </row>
    <row r="11214" customFormat="false" ht="15" hidden="false" customHeight="false" outlineLevel="0" collapsed="false">
      <c r="A11214" s="3" t="s">
        <v>332</v>
      </c>
      <c r="G11214" s="16" t="n">
        <f aca="false">G11210*G11213</f>
        <v>4.1903844</v>
      </c>
      <c r="H11214" s="16" t="n">
        <f aca="false">H11210*H11213</f>
        <v>4.1903844</v>
      </c>
      <c r="I11214" s="16" t="n">
        <f aca="false">I11210*I11213</f>
        <v>4.1903844</v>
      </c>
      <c r="J11214" s="16" t="n">
        <f aca="false">J11210*J11213</f>
        <v>4.1903844</v>
      </c>
      <c r="K11214" s="16" t="n">
        <f aca="false">K11210*K11213</f>
        <v>4.1903844</v>
      </c>
    </row>
    <row r="11215" customFormat="false" ht="15" hidden="false" customHeight="false" outlineLevel="0" collapsed="false">
      <c r="A11215" s="3" t="s">
        <v>333</v>
      </c>
      <c r="G11215" s="16" t="n">
        <f aca="false">G11210*Assumptions!$H$59</f>
        <v>0</v>
      </c>
      <c r="H11215" s="16" t="n">
        <f aca="false">H11210*Assumptions!$H$59</f>
        <v>0</v>
      </c>
      <c r="I11215" s="16" t="n">
        <f aca="false">I11210*Assumptions!$H$59</f>
        <v>0</v>
      </c>
      <c r="J11215" s="16" t="n">
        <f aca="false">J11210*Assumptions!$H$59</f>
        <v>0</v>
      </c>
      <c r="K11215" s="16" t="n">
        <f aca="false">K11210*Assumptions!$H$59</f>
        <v>0</v>
      </c>
    </row>
    <row r="11216" customFormat="false" ht="15" hidden="false" customHeight="false" outlineLevel="0" collapsed="false">
      <c r="A11216" s="3" t="s">
        <v>334</v>
      </c>
      <c r="G11216" s="16" t="n">
        <f aca="false">MIN(G11210,Assumptions!$L$59*Assumptions!$C$59)</f>
        <v>0</v>
      </c>
      <c r="H11216" s="16" t="n">
        <f aca="false">MIN(H11210,Assumptions!$L$59*Assumptions!$C$59)</f>
        <v>0</v>
      </c>
      <c r="I11216" s="16" t="n">
        <f aca="false">MIN(I11210,Assumptions!$L$59*Assumptions!$C$59)</f>
        <v>0</v>
      </c>
      <c r="J11216" s="16" t="n">
        <f aca="false">MIN(J11210,Assumptions!$L$59*Assumptions!$C$59)</f>
        <v>0</v>
      </c>
      <c r="K11216" s="16" t="n">
        <f aca="false">MIN(K11210,Assumptions!$L$59*Assumptions!$C$59)</f>
        <v>0</v>
      </c>
    </row>
    <row r="11217" customFormat="false" ht="15" hidden="false" customHeight="false" outlineLevel="0" collapsed="false">
      <c r="A11217" s="3" t="s">
        <v>335</v>
      </c>
      <c r="G11217" s="16" t="n">
        <f aca="false">IF(AND(Assumptions!$P$59=1,G11148&lt;Assumptions!$K$59),MIN(MAX(0,-G11364),MAX(0,Assumptions!$D$59-G11210)),0)</f>
        <v>0</v>
      </c>
      <c r="H11217" s="16" t="n">
        <f aca="false">IF(AND(Assumptions!$P$59=1,OR(H11148&lt;Assumptions!$K$59,G11496=1)),MIN(MAX(0,-H11364),MAX(0,Assumptions!$D$59-H11210)),0)</f>
        <v>0</v>
      </c>
      <c r="I11217" s="16" t="n">
        <f aca="false">IF(AND(Assumptions!$P$59=1,OR(I11148&lt;Assumptions!$K$59,H11496=1)),MIN(MAX(0,-I11364),MAX(0,Assumptions!$D$59-I11210)),0)</f>
        <v>0</v>
      </c>
      <c r="J11217" s="16" t="n">
        <f aca="false">IF(AND(Assumptions!$P$59=1,OR(J11148&lt;Assumptions!$K$59,I11496=1)),MIN(MAX(0,-J11364),MAX(0,Assumptions!$D$59-J11210)),0)</f>
        <v>0</v>
      </c>
      <c r="K11217" s="16" t="n">
        <f aca="false">IF(AND(Assumptions!$P$59=1,OR(K11148&lt;Assumptions!$K$59,J11496=1)),MIN(MAX(0,-K11364),MAX(0,Assumptions!$D$59-K11210)),0)</f>
        <v>0</v>
      </c>
    </row>
    <row r="11218" customFormat="false" ht="15" hidden="false" customHeight="false" outlineLevel="0" collapsed="false">
      <c r="A11218" s="3" t="s">
        <v>336</v>
      </c>
      <c r="G11218" s="16" t="n">
        <f aca="false">G11211*MIN(G11210-G11216+G11215,MAX(0,G11366-Assumptions!$C$12*G11182-G11192-G11205))</f>
        <v>0</v>
      </c>
      <c r="H11218" s="16" t="n">
        <f aca="false">H11211*MIN(H11210-H11216+H11215,MAX(0,H11366-Assumptions!$C$12*H11182-H11192-H11205))</f>
        <v>0</v>
      </c>
      <c r="I11218" s="16" t="n">
        <f aca="false">I11211*MIN(I11210-I11216+I11215,MAX(0,I11366-Assumptions!$C$12*I11182-I11192-I11205))</f>
        <v>0</v>
      </c>
      <c r="J11218" s="16" t="n">
        <f aca="false">J11211*MIN(J11210-J11216+J11215,MAX(0,J11366-Assumptions!$C$12*J11182-J11192-J11205))</f>
        <v>0</v>
      </c>
      <c r="K11218" s="16" t="n">
        <f aca="false">K11211*MIN(K11210-K11216+K11215,MAX(0,K11366-Assumptions!$C$12*K11182-K11192-K11205))</f>
        <v>0</v>
      </c>
    </row>
    <row r="11219" customFormat="false" ht="15" hidden="false" customHeight="false" outlineLevel="0" collapsed="false">
      <c r="A11219" s="3" t="s">
        <v>337</v>
      </c>
      <c r="G11219" s="16" t="n">
        <f aca="false">Assumptions!$N$59*MIN(G11210+G11217+G11215-G11216-G11218,MAX(0,G11370-G11193-G11206))</f>
        <v>0</v>
      </c>
      <c r="H11219" s="16" t="n">
        <f aca="false">Assumptions!$N$59*MIN(H11210+H11217+H11215-H11216-H11218,MAX(0,H11370-H11193-H11206))</f>
        <v>0</v>
      </c>
      <c r="I11219" s="16" t="n">
        <f aca="false">Assumptions!$N$59*MIN(I11210+I11217+I11215-I11216-I11218,MAX(0,I11370-I11193-I11206))</f>
        <v>0</v>
      </c>
      <c r="J11219" s="16" t="n">
        <f aca="false">Assumptions!$N$59*MIN(J11210+J11217+J11215-J11216-J11218,MAX(0,J11370-J11193-J11206))</f>
        <v>0</v>
      </c>
      <c r="K11219" s="16" t="n">
        <f aca="false">Assumptions!$N$59*MIN(K11210+K11217+K11215-K11216-K11218,MAX(0,K11370-K11193-K11206))</f>
        <v>0</v>
      </c>
    </row>
    <row r="11220" customFormat="false" ht="15" hidden="false" customHeight="false" outlineLevel="0" collapsed="false">
      <c r="A11220" s="3" t="s">
        <v>338</v>
      </c>
      <c r="G11220" s="16" t="n">
        <f aca="false">G11211*(1-G11182)*(G11210-G11216+G11215-G11218)</f>
        <v>0</v>
      </c>
      <c r="H11220" s="16" t="n">
        <f aca="false">H11211*(1-H11182)*(H11210-H11216+H11215-H11218)</f>
        <v>0</v>
      </c>
      <c r="I11220" s="16" t="n">
        <f aca="false">I11211*(1-I11182)*(I11210-I11216+I11215-I11218)</f>
        <v>0</v>
      </c>
      <c r="J11220" s="16" t="n">
        <f aca="false">J11211*(1-J11182)*(J11210-J11216+J11215-J11218)</f>
        <v>0</v>
      </c>
      <c r="K11220" s="16" t="n">
        <f aca="false">K11211*(1-K11182)*(K11210-K11216+K11215-K11218)</f>
        <v>0</v>
      </c>
    </row>
    <row r="11221" customFormat="false" ht="15" hidden="false" customHeight="false" outlineLevel="0" collapsed="false">
      <c r="A11221" s="2" t="s">
        <v>339</v>
      </c>
      <c r="F11221" s="28" t="n">
        <f aca="false">Assumptions!$C$59</f>
        <v>57.324</v>
      </c>
      <c r="G11221" s="17" t="n">
        <f aca="false">G11210+G11217+G11215-G11216-G11218-G11219</f>
        <v>57.324</v>
      </c>
      <c r="H11221" s="17" t="n">
        <f aca="false">H11210+H11217+H11215-H11216-H11218-H11219</f>
        <v>57.324</v>
      </c>
      <c r="I11221" s="17" t="n">
        <f aca="false">I11210+I11217+I11215-I11216-I11218-I11219</f>
        <v>57.324</v>
      </c>
      <c r="J11221" s="17" t="n">
        <f aca="false">J11210+J11217+J11215-J11216-J11218-J11219</f>
        <v>57.324</v>
      </c>
      <c r="K11221" s="17" t="n">
        <f aca="false">K11210+K11217+K11215-K11216-K11218-K11219</f>
        <v>57.324</v>
      </c>
    </row>
    <row r="11222" customFormat="false" ht="15" hidden="false" customHeight="false" outlineLevel="0" collapsed="false">
      <c r="A11222" s="24" t="s">
        <v>342</v>
      </c>
      <c r="B11222" s="25"/>
      <c r="C11222" s="25"/>
      <c r="D11222" s="25"/>
      <c r="E11222" s="25"/>
      <c r="F11222" s="25"/>
      <c r="G11222" s="25"/>
      <c r="H11222" s="25"/>
      <c r="I11222" s="25"/>
      <c r="J11222" s="25"/>
      <c r="K11222" s="25"/>
    </row>
    <row r="11223" customFormat="false" ht="15" hidden="false" customHeight="false" outlineLevel="0" collapsed="false">
      <c r="A11223" s="3" t="s">
        <v>329</v>
      </c>
      <c r="G11223" s="16" t="n">
        <f aca="false">F11234</f>
        <v>0</v>
      </c>
      <c r="H11223" s="16" t="n">
        <f aca="false">G11234</f>
        <v>0</v>
      </c>
      <c r="I11223" s="16" t="n">
        <f aca="false">H11234</f>
        <v>0</v>
      </c>
      <c r="J11223" s="16" t="n">
        <f aca="false">I11234</f>
        <v>0</v>
      </c>
      <c r="K11223" s="16" t="n">
        <f aca="false">J11234</f>
        <v>0</v>
      </c>
    </row>
    <row r="11224" customFormat="false" ht="15" hidden="false" customHeight="false" outlineLevel="0" collapsed="false">
      <c r="A11224" s="3" t="s">
        <v>330</v>
      </c>
      <c r="G11224" s="21" t="n">
        <f aca="false">IF(G11148=Assumptions!$K$60,1,0)</f>
        <v>1</v>
      </c>
      <c r="H11224" s="21" t="n">
        <f aca="false">IF(H11148=Assumptions!$K$60,1,0)</f>
        <v>0</v>
      </c>
      <c r="I11224" s="21" t="n">
        <f aca="false">IF(I11148=Assumptions!$K$60,1,0)</f>
        <v>0</v>
      </c>
      <c r="J11224" s="21" t="n">
        <f aca="false">IF(J11148=Assumptions!$K$60,1,0)</f>
        <v>0</v>
      </c>
      <c r="K11224" s="21" t="n">
        <f aca="false">IF(K11148=Assumptions!$K$60,1,0)</f>
        <v>0</v>
      </c>
    </row>
    <row r="11226" customFormat="false" ht="15" hidden="false" customHeight="false" outlineLevel="0" collapsed="false">
      <c r="A11226" s="3" t="s">
        <v>331</v>
      </c>
      <c r="G11226" s="31" t="n">
        <f aca="false">IF(Assumptions!$I$60=1,MAX(G11174,Assumptions!$G$60)+Assumptions!$F$60+$C$11175,Assumptions!$E$60)</f>
        <v>0.084</v>
      </c>
      <c r="H11226" s="31" t="n">
        <f aca="false">IF(G11497=1,$C$11176,IF(Assumptions!$I$60=1,MAX(H11174,Assumptions!$G$60)+Assumptions!$F$60+$C$11175,Assumptions!$E$60))</f>
        <v>0.0825</v>
      </c>
      <c r="I11226" s="31" t="n">
        <f aca="false">IF(H11497=1,$C$11176,IF(Assumptions!$I$60=1,MAX(I11174,Assumptions!$G$60)+Assumptions!$F$60+$C$11175,Assumptions!$E$60))</f>
        <v>0.08</v>
      </c>
      <c r="J11226" s="31" t="n">
        <f aca="false">IF(I11497=1,$C$11176,IF(Assumptions!$I$60=1,MAX(J11174,Assumptions!$G$60)+Assumptions!$F$60+$C$11175,Assumptions!$E$60))</f>
        <v>0.08</v>
      </c>
      <c r="K11226" s="31" t="n">
        <f aca="false">IF(J11497=1,$C$11176,IF(Assumptions!$I$60=1,MAX(K11174,Assumptions!$G$60)+Assumptions!$F$60+$C$11175,Assumptions!$E$60))</f>
        <v>0.08</v>
      </c>
    </row>
    <row r="11227" customFormat="false" ht="15" hidden="false" customHeight="false" outlineLevel="0" collapsed="false">
      <c r="A11227" s="3" t="s">
        <v>332</v>
      </c>
      <c r="G11227" s="16" t="n">
        <f aca="false">G11223*G11226</f>
        <v>0</v>
      </c>
      <c r="H11227" s="16" t="n">
        <f aca="false">H11223*H11226</f>
        <v>0</v>
      </c>
      <c r="I11227" s="16" t="n">
        <f aca="false">I11223*I11226</f>
        <v>0</v>
      </c>
      <c r="J11227" s="16" t="n">
        <f aca="false">J11223*J11226</f>
        <v>0</v>
      </c>
      <c r="K11227" s="16" t="n">
        <f aca="false">K11223*K11226</f>
        <v>0</v>
      </c>
    </row>
    <row r="11228" customFormat="false" ht="15" hidden="false" customHeight="false" outlineLevel="0" collapsed="false">
      <c r="A11228" s="3" t="s">
        <v>333</v>
      </c>
      <c r="G11228" s="16" t="n">
        <f aca="false">G11223*Assumptions!$H$60</f>
        <v>0</v>
      </c>
      <c r="H11228" s="16" t="n">
        <f aca="false">H11223*Assumptions!$H$60</f>
        <v>0</v>
      </c>
      <c r="I11228" s="16" t="n">
        <f aca="false">I11223*Assumptions!$H$60</f>
        <v>0</v>
      </c>
      <c r="J11228" s="16" t="n">
        <f aca="false">J11223*Assumptions!$H$60</f>
        <v>0</v>
      </c>
      <c r="K11228" s="16" t="n">
        <f aca="false">K11223*Assumptions!$H$60</f>
        <v>0</v>
      </c>
    </row>
    <row r="11229" customFormat="false" ht="15" hidden="false" customHeight="false" outlineLevel="0" collapsed="false">
      <c r="A11229" s="3" t="s">
        <v>334</v>
      </c>
      <c r="G11229" s="16" t="n">
        <f aca="false">MIN(G11223,Assumptions!$L$60*Assumptions!$C$60)</f>
        <v>0</v>
      </c>
      <c r="H11229" s="16" t="n">
        <f aca="false">MIN(H11223,Assumptions!$L$60*Assumptions!$C$60)</f>
        <v>0</v>
      </c>
      <c r="I11229" s="16" t="n">
        <f aca="false">MIN(I11223,Assumptions!$L$60*Assumptions!$C$60)</f>
        <v>0</v>
      </c>
      <c r="J11229" s="16" t="n">
        <f aca="false">MIN(J11223,Assumptions!$L$60*Assumptions!$C$60)</f>
        <v>0</v>
      </c>
      <c r="K11229" s="16" t="n">
        <f aca="false">MIN(K11223,Assumptions!$L$60*Assumptions!$C$60)</f>
        <v>0</v>
      </c>
    </row>
    <row r="11230" customFormat="false" ht="15" hidden="false" customHeight="false" outlineLevel="0" collapsed="false">
      <c r="A11230" s="3" t="s">
        <v>335</v>
      </c>
      <c r="G11230" s="16" t="n">
        <f aca="false">IF(AND(Assumptions!$P$60=1,G11148&lt;Assumptions!$K$60),MIN(MAX(0,-G11364),MAX(0,Assumptions!$D$60-G11223)),0)</f>
        <v>0</v>
      </c>
      <c r="H11230" s="16" t="n">
        <f aca="false">IF(AND(Assumptions!$P$60=1,OR(H11148&lt;Assumptions!$K$60,G11497=1)),MIN(MAX(0,-H11364),MAX(0,Assumptions!$D$60-H11223)),0)</f>
        <v>0</v>
      </c>
      <c r="I11230" s="16" t="n">
        <f aca="false">IF(AND(Assumptions!$P$60=1,OR(I11148&lt;Assumptions!$K$60,H11497=1)),MIN(MAX(0,-I11364),MAX(0,Assumptions!$D$60-I11223)),0)</f>
        <v>0</v>
      </c>
      <c r="J11230" s="16" t="n">
        <f aca="false">IF(AND(Assumptions!$P$60=1,OR(J11148&lt;Assumptions!$K$60,I11497=1)),MIN(MAX(0,-J11364),MAX(0,Assumptions!$D$60-J11223)),0)</f>
        <v>0</v>
      </c>
      <c r="K11230" s="16" t="n">
        <f aca="false">IF(AND(Assumptions!$P$60=1,OR(K11148&lt;Assumptions!$K$60,J11497=1)),MIN(MAX(0,-K11364),MAX(0,Assumptions!$D$60-K11223)),0)</f>
        <v>0</v>
      </c>
    </row>
    <row r="11231" customFormat="false" ht="15" hidden="false" customHeight="false" outlineLevel="0" collapsed="false">
      <c r="A11231" s="3" t="s">
        <v>336</v>
      </c>
      <c r="G11231" s="16" t="n">
        <f aca="false">G11224*MIN(G11223-G11229+G11228,MAX(0,G11366-Assumptions!$C$12*G11182-G11192-G11205-G11218))</f>
        <v>0</v>
      </c>
      <c r="H11231" s="16" t="n">
        <f aca="false">H11224*MIN(H11223-H11229+H11228,MAX(0,H11366-Assumptions!$C$12*H11182-H11192-H11205-H11218))</f>
        <v>0</v>
      </c>
      <c r="I11231" s="16" t="n">
        <f aca="false">I11224*MIN(I11223-I11229+I11228,MAX(0,I11366-Assumptions!$C$12*I11182-I11192-I11205-I11218))</f>
        <v>0</v>
      </c>
      <c r="J11231" s="16" t="n">
        <f aca="false">J11224*MIN(J11223-J11229+J11228,MAX(0,J11366-Assumptions!$C$12*J11182-J11192-J11205-J11218))</f>
        <v>0</v>
      </c>
      <c r="K11231" s="16" t="n">
        <f aca="false">K11224*MIN(K11223-K11229+K11228,MAX(0,K11366-Assumptions!$C$12*K11182-K11192-K11205-K11218))</f>
        <v>0</v>
      </c>
    </row>
    <row r="11232" customFormat="false" ht="15" hidden="false" customHeight="false" outlineLevel="0" collapsed="false">
      <c r="A11232" s="3" t="s">
        <v>337</v>
      </c>
      <c r="G11232" s="16" t="n">
        <f aca="false">Assumptions!$N$60*MIN(G11223+G11230+G11228-G11229-G11231,MAX(0,G11370-G11193-G11206-G11219))</f>
        <v>0</v>
      </c>
      <c r="H11232" s="16" t="n">
        <f aca="false">Assumptions!$N$60*MIN(H11223+H11230+H11228-H11229-H11231,MAX(0,H11370-H11193-H11206-H11219))</f>
        <v>0</v>
      </c>
      <c r="I11232" s="16" t="n">
        <f aca="false">Assumptions!$N$60*MIN(I11223+I11230+I11228-I11229-I11231,MAX(0,I11370-I11193-I11206-I11219))</f>
        <v>0</v>
      </c>
      <c r="J11232" s="16" t="n">
        <f aca="false">Assumptions!$N$60*MIN(J11223+J11230+J11228-J11229-J11231,MAX(0,J11370-J11193-J11206-J11219))</f>
        <v>0</v>
      </c>
      <c r="K11232" s="16" t="n">
        <f aca="false">Assumptions!$N$60*MIN(K11223+K11230+K11228-K11229-K11231,MAX(0,K11370-K11193-K11206-K11219))</f>
        <v>0</v>
      </c>
    </row>
    <row r="11233" customFormat="false" ht="15" hidden="false" customHeight="false" outlineLevel="0" collapsed="false">
      <c r="A11233" s="3" t="s">
        <v>338</v>
      </c>
      <c r="G11233" s="16" t="n">
        <f aca="false">G11224*(1-G11182)*(G11223-G11229+G11228-G11231)</f>
        <v>0</v>
      </c>
      <c r="H11233" s="16" t="n">
        <f aca="false">H11224*(1-H11182)*(H11223-H11229+H11228-H11231)</f>
        <v>0</v>
      </c>
      <c r="I11233" s="16" t="n">
        <f aca="false">I11224*(1-I11182)*(I11223-I11229+I11228-I11231)</f>
        <v>0</v>
      </c>
      <c r="J11233" s="16" t="n">
        <f aca="false">J11224*(1-J11182)*(J11223-J11229+J11228-J11231)</f>
        <v>0</v>
      </c>
      <c r="K11233" s="16" t="n">
        <f aca="false">K11224*(1-K11182)*(K11223-K11229+K11228-K11231)</f>
        <v>0</v>
      </c>
    </row>
    <row r="11234" customFormat="false" ht="15" hidden="false" customHeight="false" outlineLevel="0" collapsed="false">
      <c r="A11234" s="2" t="s">
        <v>339</v>
      </c>
      <c r="F11234" s="28" t="n">
        <f aca="false">Assumptions!$C$60</f>
        <v>0</v>
      </c>
      <c r="G11234" s="17" t="n">
        <f aca="false">G11223+G11230+G11228-G11229-G11231-G11232</f>
        <v>0</v>
      </c>
      <c r="H11234" s="17" t="n">
        <f aca="false">H11223+H11230+H11228-H11229-H11231-H11232</f>
        <v>0</v>
      </c>
      <c r="I11234" s="17" t="n">
        <f aca="false">I11223+I11230+I11228-I11229-I11231-I11232</f>
        <v>0</v>
      </c>
      <c r="J11234" s="17" t="n">
        <f aca="false">J11223+J11230+J11228-J11229-J11231-J11232</f>
        <v>0</v>
      </c>
      <c r="K11234" s="17" t="n">
        <f aca="false">K11223+K11230+K11228-K11229-K11231-K11232</f>
        <v>0</v>
      </c>
    </row>
    <row r="11235" customFormat="false" ht="15" hidden="false" customHeight="false" outlineLevel="0" collapsed="false">
      <c r="A11235" s="24" t="s">
        <v>343</v>
      </c>
      <c r="B11235" s="25"/>
      <c r="C11235" s="25"/>
      <c r="D11235" s="25"/>
      <c r="E11235" s="25"/>
      <c r="F11235" s="25"/>
      <c r="G11235" s="25"/>
      <c r="H11235" s="25"/>
      <c r="I11235" s="25"/>
      <c r="J11235" s="25"/>
      <c r="K11235" s="25"/>
    </row>
    <row r="11236" customFormat="false" ht="15" hidden="false" customHeight="false" outlineLevel="0" collapsed="false">
      <c r="A11236" s="3" t="s">
        <v>329</v>
      </c>
      <c r="G11236" s="16" t="n">
        <f aca="false">F11247</f>
        <v>450</v>
      </c>
      <c r="H11236" s="16" t="n">
        <f aca="false">G11247</f>
        <v>450</v>
      </c>
      <c r="I11236" s="16" t="n">
        <f aca="false">H11247</f>
        <v>400.33350002</v>
      </c>
      <c r="J11236" s="16" t="n">
        <f aca="false">I11247</f>
        <v>400.33350002</v>
      </c>
      <c r="K11236" s="16" t="n">
        <f aca="false">J11247</f>
        <v>400.33350002</v>
      </c>
    </row>
    <row r="11237" customFormat="false" ht="15" hidden="false" customHeight="false" outlineLevel="0" collapsed="false">
      <c r="A11237" s="3" t="s">
        <v>330</v>
      </c>
      <c r="G11237" s="21" t="n">
        <f aca="false">IF(G11148=Assumptions!$K$61,1,0)</f>
        <v>0</v>
      </c>
      <c r="H11237" s="21" t="n">
        <f aca="false">IF(H11148=Assumptions!$K$61,1,0)</f>
        <v>1</v>
      </c>
      <c r="I11237" s="21" t="n">
        <f aca="false">IF(I11148=Assumptions!$K$61,1,0)</f>
        <v>0</v>
      </c>
      <c r="J11237" s="21" t="n">
        <f aca="false">IF(J11148=Assumptions!$K$61,1,0)</f>
        <v>0</v>
      </c>
      <c r="K11237" s="21" t="n">
        <f aca="false">IF(K11148=Assumptions!$K$61,1,0)</f>
        <v>0</v>
      </c>
    </row>
    <row r="11239" customFormat="false" ht="15" hidden="false" customHeight="false" outlineLevel="0" collapsed="false">
      <c r="A11239" s="3" t="s">
        <v>331</v>
      </c>
      <c r="G11239" s="31" t="n">
        <f aca="false">IF(Assumptions!$I$61=1,MAX(G11174,Assumptions!$G$61)+Assumptions!$F$61+$C$11175,Assumptions!$E$61)</f>
        <v>0.0395</v>
      </c>
      <c r="H11239" s="31" t="n">
        <f aca="false">IF(G11498=1,$C$11176,IF(Assumptions!$I$61=1,MAX(H11174,Assumptions!$G$61)+Assumptions!$F$61+$C$11175,Assumptions!$E$61))</f>
        <v>0.0395</v>
      </c>
      <c r="I11239" s="31" t="n">
        <f aca="false">IF(H11498=1,$C$11176,IF(Assumptions!$I$61=1,MAX(I11174,Assumptions!$G$61)+Assumptions!$F$61+$C$11175,Assumptions!$E$61))</f>
        <v>0.0395</v>
      </c>
      <c r="J11239" s="31" t="n">
        <f aca="false">IF(I11498=1,$C$11176,IF(Assumptions!$I$61=1,MAX(J11174,Assumptions!$G$61)+Assumptions!$F$61+$C$11175,Assumptions!$E$61))</f>
        <v>0.0395</v>
      </c>
      <c r="K11239" s="31" t="n">
        <f aca="false">IF(J11498=1,$C$11176,IF(Assumptions!$I$61=1,MAX(K11174,Assumptions!$G$61)+Assumptions!$F$61+$C$11175,Assumptions!$E$61))</f>
        <v>0.0395</v>
      </c>
    </row>
    <row r="11240" customFormat="false" ht="15" hidden="false" customHeight="false" outlineLevel="0" collapsed="false">
      <c r="A11240" s="3" t="s">
        <v>332</v>
      </c>
      <c r="G11240" s="16" t="n">
        <f aca="false">G11236*G11239</f>
        <v>17.775</v>
      </c>
      <c r="H11240" s="16" t="n">
        <f aca="false">H11236*H11239</f>
        <v>17.775</v>
      </c>
      <c r="I11240" s="16" t="n">
        <f aca="false">I11236*I11239</f>
        <v>15.81317325079</v>
      </c>
      <c r="J11240" s="16" t="n">
        <f aca="false">J11236*J11239</f>
        <v>15.81317325079</v>
      </c>
      <c r="K11240" s="16" t="n">
        <f aca="false">K11236*K11239</f>
        <v>15.81317325079</v>
      </c>
    </row>
    <row r="11241" customFormat="false" ht="15" hidden="false" customHeight="false" outlineLevel="0" collapsed="false">
      <c r="A11241" s="3" t="s">
        <v>333</v>
      </c>
      <c r="G11241" s="16" t="n">
        <f aca="false">G11236*Assumptions!$H$61</f>
        <v>0</v>
      </c>
      <c r="H11241" s="16" t="n">
        <f aca="false">H11236*Assumptions!$H$61</f>
        <v>0</v>
      </c>
      <c r="I11241" s="16" t="n">
        <f aca="false">I11236*Assumptions!$H$61</f>
        <v>0</v>
      </c>
      <c r="J11241" s="16" t="n">
        <f aca="false">J11236*Assumptions!$H$61</f>
        <v>0</v>
      </c>
      <c r="K11241" s="16" t="n">
        <f aca="false">K11236*Assumptions!$H$61</f>
        <v>0</v>
      </c>
    </row>
    <row r="11242" customFormat="false" ht="15" hidden="false" customHeight="false" outlineLevel="0" collapsed="false">
      <c r="A11242" s="3" t="s">
        <v>334</v>
      </c>
      <c r="G11242" s="16" t="n">
        <f aca="false">MIN(G11236,Assumptions!$L$61*Assumptions!$C$61)</f>
        <v>0</v>
      </c>
      <c r="H11242" s="16" t="n">
        <f aca="false">MIN(H11236,Assumptions!$L$61*Assumptions!$C$61)</f>
        <v>0</v>
      </c>
      <c r="I11242" s="16" t="n">
        <f aca="false">MIN(I11236,Assumptions!$L$61*Assumptions!$C$61)</f>
        <v>0</v>
      </c>
      <c r="J11242" s="16" t="n">
        <f aca="false">MIN(J11236,Assumptions!$L$61*Assumptions!$C$61)</f>
        <v>0</v>
      </c>
      <c r="K11242" s="16" t="n">
        <f aca="false">MIN(K11236,Assumptions!$L$61*Assumptions!$C$61)</f>
        <v>0</v>
      </c>
    </row>
    <row r="11243" customFormat="false" ht="15" hidden="false" customHeight="false" outlineLevel="0" collapsed="false">
      <c r="A11243" s="3" t="s">
        <v>335</v>
      </c>
      <c r="G11243" s="16" t="n">
        <f aca="false">IF(AND(Assumptions!$P$61=1,G11148&lt;Assumptions!$K$61),MIN(MAX(0,-G11364),MAX(0,Assumptions!$D$61-G11236)),0)</f>
        <v>0</v>
      </c>
      <c r="H11243" s="16" t="n">
        <f aca="false">IF(AND(Assumptions!$P$61=1,OR(H11148&lt;Assumptions!$K$61,G11498=1)),MIN(MAX(0,-H11364),MAX(0,Assumptions!$D$61-H11236)),0)</f>
        <v>0</v>
      </c>
      <c r="I11243" s="16" t="n">
        <f aca="false">IF(AND(Assumptions!$P$61=1,OR(I11148&lt;Assumptions!$K$61,H11498=1)),MIN(MAX(0,-I11364),MAX(0,Assumptions!$D$61-I11236)),0)</f>
        <v>0</v>
      </c>
      <c r="J11243" s="16" t="n">
        <f aca="false">IF(AND(Assumptions!$P$61=1,OR(J11148&lt;Assumptions!$K$61,I11498=1)),MIN(MAX(0,-J11364),MAX(0,Assumptions!$D$61-J11236)),0)</f>
        <v>0</v>
      </c>
      <c r="K11243" s="16" t="n">
        <f aca="false">IF(AND(Assumptions!$P$61=1,OR(K11148&lt;Assumptions!$K$61,J11498=1)),MIN(MAX(0,-K11364),MAX(0,Assumptions!$D$61-K11236)),0)</f>
        <v>0</v>
      </c>
    </row>
    <row r="11244" customFormat="false" ht="15" hidden="false" customHeight="false" outlineLevel="0" collapsed="false">
      <c r="A11244" s="3" t="s">
        <v>336</v>
      </c>
      <c r="G11244" s="16" t="n">
        <f aca="false">G11237*MIN(G11236-G11242+G11241,MAX(0,G11366-Assumptions!$C$12*G11182-G11192-G11205-G11218-G11231))</f>
        <v>0</v>
      </c>
      <c r="H11244" s="16" t="n">
        <f aca="false">H11237*MIN(H11236-H11242+H11241,MAX(0,H11366-Assumptions!$C$12*H11182-H11192-H11205-H11218-H11231))</f>
        <v>49.66649998</v>
      </c>
      <c r="I11244" s="16" t="n">
        <f aca="false">I11237*MIN(I11236-I11242+I11241,MAX(0,I11366-Assumptions!$C$12*I11182-I11192-I11205-I11218-I11231))</f>
        <v>0</v>
      </c>
      <c r="J11244" s="16" t="n">
        <f aca="false">J11237*MIN(J11236-J11242+J11241,MAX(0,J11366-Assumptions!$C$12*J11182-J11192-J11205-J11218-J11231))</f>
        <v>0</v>
      </c>
      <c r="K11244" s="16" t="n">
        <f aca="false">K11237*MIN(K11236-K11242+K11241,MAX(0,K11366-Assumptions!$C$12*K11182-K11192-K11205-K11218-K11231))</f>
        <v>0</v>
      </c>
    </row>
    <row r="11245" customFormat="false" ht="15" hidden="false" customHeight="false" outlineLevel="0" collapsed="false">
      <c r="A11245" s="3" t="s">
        <v>337</v>
      </c>
      <c r="G11245" s="16" t="n">
        <f aca="false">Assumptions!$N$61*MIN(G11236+G11243+G11241-G11242-G11244,MAX(0,G11370-G11193-G11206-G11219-G11232))</f>
        <v>0</v>
      </c>
      <c r="H11245" s="16" t="n">
        <f aca="false">Assumptions!$N$61*MIN(H11236+H11243+H11241-H11242-H11244,MAX(0,H11370-H11193-H11206-H11219-H11232))</f>
        <v>0</v>
      </c>
      <c r="I11245" s="16" t="n">
        <f aca="false">Assumptions!$N$61*MIN(I11236+I11243+I11241-I11242-I11244,MAX(0,I11370-I11193-I11206-I11219-I11232))</f>
        <v>0</v>
      </c>
      <c r="J11245" s="16" t="n">
        <f aca="false">Assumptions!$N$61*MIN(J11236+J11243+J11241-J11242-J11244,MAX(0,J11370-J11193-J11206-J11219-J11232))</f>
        <v>0</v>
      </c>
      <c r="K11245" s="16" t="n">
        <f aca="false">Assumptions!$N$61*MIN(K11236+K11243+K11241-K11242-K11244,MAX(0,K11370-K11193-K11206-K11219-K11232))</f>
        <v>0</v>
      </c>
    </row>
    <row r="11246" customFormat="false" ht="15" hidden="false" customHeight="false" outlineLevel="0" collapsed="false">
      <c r="A11246" s="3" t="s">
        <v>338</v>
      </c>
      <c r="G11246" s="16" t="n">
        <f aca="false">G11237*(1-G11182)*(G11236-G11242+G11241-G11244)</f>
        <v>0</v>
      </c>
      <c r="H11246" s="16" t="n">
        <f aca="false">H11237*(1-H11182)*(H11236-H11242+H11241-H11244)</f>
        <v>400.33350002</v>
      </c>
      <c r="I11246" s="16" t="n">
        <f aca="false">I11237*(1-I11182)*(I11236-I11242+I11241-I11244)</f>
        <v>0</v>
      </c>
      <c r="J11246" s="16" t="n">
        <f aca="false">J11237*(1-J11182)*(J11236-J11242+J11241-J11244)</f>
        <v>0</v>
      </c>
      <c r="K11246" s="16" t="n">
        <f aca="false">K11237*(1-K11182)*(K11236-K11242+K11241-K11244)</f>
        <v>0</v>
      </c>
    </row>
    <row r="11247" customFormat="false" ht="15" hidden="false" customHeight="false" outlineLevel="0" collapsed="false">
      <c r="A11247" s="2" t="s">
        <v>339</v>
      </c>
      <c r="F11247" s="28" t="n">
        <f aca="false">Assumptions!$C$61</f>
        <v>450</v>
      </c>
      <c r="G11247" s="17" t="n">
        <f aca="false">G11236+G11243+G11241-G11242-G11244-G11245</f>
        <v>450</v>
      </c>
      <c r="H11247" s="17" t="n">
        <f aca="false">H11236+H11243+H11241-H11242-H11244-H11245</f>
        <v>400.33350002</v>
      </c>
      <c r="I11247" s="17" t="n">
        <f aca="false">I11236+I11243+I11241-I11242-I11244-I11245</f>
        <v>400.33350002</v>
      </c>
      <c r="J11247" s="17" t="n">
        <f aca="false">J11236+J11243+J11241-J11242-J11244-J11245</f>
        <v>400.33350002</v>
      </c>
      <c r="K11247" s="17" t="n">
        <f aca="false">K11236+K11243+K11241-K11242-K11244-K11245</f>
        <v>400.33350002</v>
      </c>
    </row>
    <row r="11248" customFormat="false" ht="15" hidden="false" customHeight="false" outlineLevel="0" collapsed="false">
      <c r="A11248" s="24" t="s">
        <v>344</v>
      </c>
      <c r="B11248" s="25"/>
      <c r="C11248" s="25"/>
      <c r="D11248" s="25"/>
      <c r="E11248" s="25"/>
      <c r="F11248" s="25"/>
      <c r="G11248" s="25"/>
      <c r="H11248" s="25"/>
      <c r="I11248" s="25"/>
      <c r="J11248" s="25"/>
      <c r="K11248" s="25"/>
    </row>
    <row r="11249" customFormat="false" ht="15" hidden="false" customHeight="false" outlineLevel="0" collapsed="false">
      <c r="A11249" s="3" t="s">
        <v>329</v>
      </c>
      <c r="G11249" s="16" t="n">
        <f aca="false">F11260</f>
        <v>350</v>
      </c>
      <c r="H11249" s="16" t="n">
        <f aca="false">G11260</f>
        <v>350</v>
      </c>
      <c r="I11249" s="16" t="n">
        <f aca="false">H11260</f>
        <v>350</v>
      </c>
      <c r="J11249" s="16" t="n">
        <f aca="false">I11260</f>
        <v>350</v>
      </c>
      <c r="K11249" s="16" t="n">
        <f aca="false">J11260</f>
        <v>350</v>
      </c>
    </row>
    <row r="11250" customFormat="false" ht="15" hidden="false" customHeight="false" outlineLevel="0" collapsed="false">
      <c r="A11250" s="3" t="s">
        <v>330</v>
      </c>
      <c r="G11250" s="21" t="n">
        <f aca="false">IF(G11148=Assumptions!$K$62,1,0)</f>
        <v>0</v>
      </c>
      <c r="H11250" s="21" t="n">
        <f aca="false">IF(H11148=Assumptions!$K$62,1,0)</f>
        <v>1</v>
      </c>
      <c r="I11250" s="21" t="n">
        <f aca="false">IF(I11148=Assumptions!$K$62,1,0)</f>
        <v>0</v>
      </c>
      <c r="J11250" s="21" t="n">
        <f aca="false">IF(J11148=Assumptions!$K$62,1,0)</f>
        <v>0</v>
      </c>
      <c r="K11250" s="21" t="n">
        <f aca="false">IF(K11148=Assumptions!$K$62,1,0)</f>
        <v>0</v>
      </c>
    </row>
    <row r="11252" customFormat="false" ht="15" hidden="false" customHeight="false" outlineLevel="0" collapsed="false">
      <c r="A11252" s="3" t="s">
        <v>331</v>
      </c>
      <c r="G11252" s="31" t="n">
        <f aca="false">IF(Assumptions!$I$62=1,MAX(G11174,Assumptions!$G$62)+Assumptions!$F$62+$C$11175,Assumptions!$E$62)</f>
        <v>0.083</v>
      </c>
      <c r="H11252" s="31" t="n">
        <f aca="false">IF(G11499=1,$C$11176,IF(Assumptions!$I$62=1,MAX(H11174,Assumptions!$G$62)+Assumptions!$F$62+$C$11175,Assumptions!$E$62))</f>
        <v>0.083</v>
      </c>
      <c r="I11252" s="31" t="n">
        <f aca="false">IF(H11499=1,$C$11176,IF(Assumptions!$I$62=1,MAX(I11174,Assumptions!$G$62)+Assumptions!$F$62+$C$11175,Assumptions!$E$62))</f>
        <v>0.083</v>
      </c>
      <c r="J11252" s="31" t="n">
        <f aca="false">IF(I11499=1,$C$11176,IF(Assumptions!$I$62=1,MAX(J11174,Assumptions!$G$62)+Assumptions!$F$62+$C$11175,Assumptions!$E$62))</f>
        <v>0.083</v>
      </c>
      <c r="K11252" s="31" t="n">
        <f aca="false">IF(J11499=1,$C$11176,IF(Assumptions!$I$62=1,MAX(K11174,Assumptions!$G$62)+Assumptions!$F$62+$C$11175,Assumptions!$E$62))</f>
        <v>0.083</v>
      </c>
    </row>
    <row r="11253" customFormat="false" ht="15" hidden="false" customHeight="false" outlineLevel="0" collapsed="false">
      <c r="A11253" s="3" t="s">
        <v>332</v>
      </c>
      <c r="G11253" s="16" t="n">
        <f aca="false">G11249*G11252</f>
        <v>29.05</v>
      </c>
      <c r="H11253" s="16" t="n">
        <f aca="false">H11249*H11252</f>
        <v>29.05</v>
      </c>
      <c r="I11253" s="16" t="n">
        <f aca="false">I11249*I11252</f>
        <v>29.05</v>
      </c>
      <c r="J11253" s="16" t="n">
        <f aca="false">J11249*J11252</f>
        <v>29.05</v>
      </c>
      <c r="K11253" s="16" t="n">
        <f aca="false">K11249*K11252</f>
        <v>29.05</v>
      </c>
    </row>
    <row r="11254" customFormat="false" ht="15" hidden="false" customHeight="false" outlineLevel="0" collapsed="false">
      <c r="A11254" s="3" t="s">
        <v>333</v>
      </c>
      <c r="G11254" s="16" t="n">
        <f aca="false">G11249*Assumptions!$H$62</f>
        <v>0</v>
      </c>
      <c r="H11254" s="16" t="n">
        <f aca="false">H11249*Assumptions!$H$62</f>
        <v>0</v>
      </c>
      <c r="I11254" s="16" t="n">
        <f aca="false">I11249*Assumptions!$H$62</f>
        <v>0</v>
      </c>
      <c r="J11254" s="16" t="n">
        <f aca="false">J11249*Assumptions!$H$62</f>
        <v>0</v>
      </c>
      <c r="K11254" s="16" t="n">
        <f aca="false">K11249*Assumptions!$H$62</f>
        <v>0</v>
      </c>
    </row>
    <row r="11255" customFormat="false" ht="15" hidden="false" customHeight="false" outlineLevel="0" collapsed="false">
      <c r="A11255" s="3" t="s">
        <v>334</v>
      </c>
      <c r="G11255" s="16" t="n">
        <f aca="false">MIN(G11249,Assumptions!$L$62*Assumptions!$C$62)</f>
        <v>0</v>
      </c>
      <c r="H11255" s="16" t="n">
        <f aca="false">MIN(H11249,Assumptions!$L$62*Assumptions!$C$62)</f>
        <v>0</v>
      </c>
      <c r="I11255" s="16" t="n">
        <f aca="false">MIN(I11249,Assumptions!$L$62*Assumptions!$C$62)</f>
        <v>0</v>
      </c>
      <c r="J11255" s="16" t="n">
        <f aca="false">MIN(J11249,Assumptions!$L$62*Assumptions!$C$62)</f>
        <v>0</v>
      </c>
      <c r="K11255" s="16" t="n">
        <f aca="false">MIN(K11249,Assumptions!$L$62*Assumptions!$C$62)</f>
        <v>0</v>
      </c>
    </row>
    <row r="11256" customFormat="false" ht="15" hidden="false" customHeight="false" outlineLevel="0" collapsed="false">
      <c r="A11256" s="3" t="s">
        <v>335</v>
      </c>
      <c r="G11256" s="16" t="n">
        <f aca="false">IF(AND(Assumptions!$P$62=1,G11148&lt;Assumptions!$K$62),MIN(MAX(0,-G11364),MAX(0,Assumptions!$D$62-G11249)),0)</f>
        <v>0</v>
      </c>
      <c r="H11256" s="16" t="n">
        <f aca="false">IF(AND(Assumptions!$P$62=1,OR(H11148&lt;Assumptions!$K$62,G11499=1)),MIN(MAX(0,-H11364),MAX(0,Assumptions!$D$62-H11249)),0)</f>
        <v>0</v>
      </c>
      <c r="I11256" s="16" t="n">
        <f aca="false">IF(AND(Assumptions!$P$62=1,OR(I11148&lt;Assumptions!$K$62,H11499=1)),MIN(MAX(0,-I11364),MAX(0,Assumptions!$D$62-I11249)),0)</f>
        <v>0</v>
      </c>
      <c r="J11256" s="16" t="n">
        <f aca="false">IF(AND(Assumptions!$P$62=1,OR(J11148&lt;Assumptions!$K$62,I11499=1)),MIN(MAX(0,-J11364),MAX(0,Assumptions!$D$62-J11249)),0)</f>
        <v>0</v>
      </c>
      <c r="K11256" s="16" t="n">
        <f aca="false">IF(AND(Assumptions!$P$62=1,OR(K11148&lt;Assumptions!$K$62,J11499=1)),MIN(MAX(0,-K11364),MAX(0,Assumptions!$D$62-K11249)),0)</f>
        <v>0</v>
      </c>
    </row>
    <row r="11257" customFormat="false" ht="15" hidden="false" customHeight="false" outlineLevel="0" collapsed="false">
      <c r="A11257" s="3" t="s">
        <v>336</v>
      </c>
      <c r="G11257" s="16" t="n">
        <f aca="false">G11250*MIN(G11249-G11255+G11254,MAX(0,G11366-Assumptions!$C$12*G11182-G11192-G11205-G11218-G11231-G11244))</f>
        <v>0</v>
      </c>
      <c r="H11257" s="16" t="n">
        <f aca="false">H11250*MIN(H11249-H11255+H11254,MAX(0,H11366-Assumptions!$C$12*H11182-H11192-H11205-H11218-H11231-H11244))</f>
        <v>0</v>
      </c>
      <c r="I11257" s="16" t="n">
        <f aca="false">I11250*MIN(I11249-I11255+I11254,MAX(0,I11366-Assumptions!$C$12*I11182-I11192-I11205-I11218-I11231-I11244))</f>
        <v>0</v>
      </c>
      <c r="J11257" s="16" t="n">
        <f aca="false">J11250*MIN(J11249-J11255+J11254,MAX(0,J11366-Assumptions!$C$12*J11182-J11192-J11205-J11218-J11231-J11244))</f>
        <v>0</v>
      </c>
      <c r="K11257" s="16" t="n">
        <f aca="false">K11250*MIN(K11249-K11255+K11254,MAX(0,K11366-Assumptions!$C$12*K11182-K11192-K11205-K11218-K11231-K11244))</f>
        <v>0</v>
      </c>
    </row>
    <row r="11258" customFormat="false" ht="15" hidden="false" customHeight="false" outlineLevel="0" collapsed="false">
      <c r="A11258" s="3" t="s">
        <v>337</v>
      </c>
      <c r="G11258" s="16" t="n">
        <f aca="false">Assumptions!$N$62*MIN(G11249+G11256+G11254-G11255-G11257,MAX(0,G11370-G11193-G11206-G11219-G11232-G11245))</f>
        <v>0</v>
      </c>
      <c r="H11258" s="16" t="n">
        <f aca="false">Assumptions!$N$62*MIN(H11249+H11256+H11254-H11255-H11257,MAX(0,H11370-H11193-H11206-H11219-H11232-H11245))</f>
        <v>0</v>
      </c>
      <c r="I11258" s="16" t="n">
        <f aca="false">Assumptions!$N$62*MIN(I11249+I11256+I11254-I11255-I11257,MAX(0,I11370-I11193-I11206-I11219-I11232-I11245))</f>
        <v>0</v>
      </c>
      <c r="J11258" s="16" t="n">
        <f aca="false">Assumptions!$N$62*MIN(J11249+J11256+J11254-J11255-J11257,MAX(0,J11370-J11193-J11206-J11219-J11232-J11245))</f>
        <v>0</v>
      </c>
      <c r="K11258" s="16" t="n">
        <f aca="false">Assumptions!$N$62*MIN(K11249+K11256+K11254-K11255-K11257,MAX(0,K11370-K11193-K11206-K11219-K11232-K11245))</f>
        <v>0</v>
      </c>
    </row>
    <row r="11259" customFormat="false" ht="15" hidden="false" customHeight="false" outlineLevel="0" collapsed="false">
      <c r="A11259" s="3" t="s">
        <v>338</v>
      </c>
      <c r="G11259" s="16" t="n">
        <f aca="false">G11250*(1-G11182)*(G11249-G11255+G11254-G11257)</f>
        <v>0</v>
      </c>
      <c r="H11259" s="16" t="n">
        <f aca="false">H11250*(1-H11182)*(H11249-H11255+H11254-H11257)</f>
        <v>350</v>
      </c>
      <c r="I11259" s="16" t="n">
        <f aca="false">I11250*(1-I11182)*(I11249-I11255+I11254-I11257)</f>
        <v>0</v>
      </c>
      <c r="J11259" s="16" t="n">
        <f aca="false">J11250*(1-J11182)*(J11249-J11255+J11254-J11257)</f>
        <v>0</v>
      </c>
      <c r="K11259" s="16" t="n">
        <f aca="false">K11250*(1-K11182)*(K11249-K11255+K11254-K11257)</f>
        <v>0</v>
      </c>
    </row>
    <row r="11260" customFormat="false" ht="15" hidden="false" customHeight="false" outlineLevel="0" collapsed="false">
      <c r="A11260" s="2" t="s">
        <v>339</v>
      </c>
      <c r="F11260" s="28" t="n">
        <f aca="false">Assumptions!$C$62</f>
        <v>350</v>
      </c>
      <c r="G11260" s="17" t="n">
        <f aca="false">G11249+G11256+G11254-G11255-G11257-G11258</f>
        <v>350</v>
      </c>
      <c r="H11260" s="17" t="n">
        <f aca="false">H11249+H11256+H11254-H11255-H11257-H11258</f>
        <v>350</v>
      </c>
      <c r="I11260" s="17" t="n">
        <f aca="false">I11249+I11256+I11254-I11255-I11257-I11258</f>
        <v>350</v>
      </c>
      <c r="J11260" s="17" t="n">
        <f aca="false">J11249+J11256+J11254-J11255-J11257-J11258</f>
        <v>350</v>
      </c>
      <c r="K11260" s="17" t="n">
        <f aca="false">K11249+K11256+K11254-K11255-K11257-K11258</f>
        <v>350</v>
      </c>
    </row>
    <row r="11261" customFormat="false" ht="15" hidden="false" customHeight="false" outlineLevel="0" collapsed="false">
      <c r="A11261" s="24" t="s">
        <v>345</v>
      </c>
      <c r="B11261" s="25"/>
      <c r="C11261" s="25"/>
      <c r="D11261" s="25"/>
      <c r="E11261" s="25"/>
      <c r="F11261" s="25"/>
      <c r="G11261" s="25"/>
      <c r="H11261" s="25"/>
      <c r="I11261" s="25"/>
      <c r="J11261" s="25"/>
      <c r="K11261" s="25"/>
    </row>
    <row r="11262" customFormat="false" ht="15" hidden="false" customHeight="false" outlineLevel="0" collapsed="false">
      <c r="A11262" s="3" t="s">
        <v>329</v>
      </c>
      <c r="G11262" s="16" t="n">
        <f aca="false">F11273</f>
        <v>550</v>
      </c>
      <c r="H11262" s="16" t="n">
        <f aca="false">G11273</f>
        <v>550</v>
      </c>
      <c r="I11262" s="16" t="n">
        <f aca="false">H11273</f>
        <v>550</v>
      </c>
      <c r="J11262" s="16" t="n">
        <f aca="false">I11273</f>
        <v>550</v>
      </c>
      <c r="K11262" s="16" t="n">
        <f aca="false">J11273</f>
        <v>550</v>
      </c>
    </row>
    <row r="11263" customFormat="false" ht="15" hidden="false" customHeight="false" outlineLevel="0" collapsed="false">
      <c r="A11263" s="3" t="s">
        <v>330</v>
      </c>
      <c r="G11263" s="21" t="n">
        <f aca="false">IF(G11148=Assumptions!$K$63,1,0)</f>
        <v>0</v>
      </c>
      <c r="H11263" s="21" t="n">
        <f aca="false">IF(H11148=Assumptions!$K$63,1,0)</f>
        <v>0</v>
      </c>
      <c r="I11263" s="21" t="n">
        <f aca="false">IF(I11148=Assumptions!$K$63,1,0)</f>
        <v>1</v>
      </c>
      <c r="J11263" s="21" t="n">
        <f aca="false">IF(J11148=Assumptions!$K$63,1,0)</f>
        <v>0</v>
      </c>
      <c r="K11263" s="21" t="n">
        <f aca="false">IF(K11148=Assumptions!$K$63,1,0)</f>
        <v>0</v>
      </c>
    </row>
    <row r="11265" customFormat="false" ht="15" hidden="false" customHeight="false" outlineLevel="0" collapsed="false">
      <c r="A11265" s="3" t="s">
        <v>331</v>
      </c>
      <c r="G11265" s="31" t="n">
        <f aca="false">IF(Assumptions!$I$63=1,MAX(G11174,Assumptions!$G$63)+Assumptions!$F$63+$C$11175,Assumptions!$E$63)</f>
        <v>0.08875</v>
      </c>
      <c r="H11265" s="31" t="n">
        <f aca="false">IF(G11500=1,$C$11176,IF(Assumptions!$I$63=1,MAX(H11174,Assumptions!$G$63)+Assumptions!$F$63+$C$11175,Assumptions!$E$63))</f>
        <v>0.08875</v>
      </c>
      <c r="I11265" s="31" t="n">
        <f aca="false">IF(H11500=1,$C$11176,IF(Assumptions!$I$63=1,MAX(I11174,Assumptions!$G$63)+Assumptions!$F$63+$C$11175,Assumptions!$E$63))</f>
        <v>0.08875</v>
      </c>
      <c r="J11265" s="31" t="n">
        <f aca="false">IF(I11500=1,$C$11176,IF(Assumptions!$I$63=1,MAX(J11174,Assumptions!$G$63)+Assumptions!$F$63+$C$11175,Assumptions!$E$63))</f>
        <v>0.08875</v>
      </c>
      <c r="K11265" s="31" t="n">
        <f aca="false">IF(J11500=1,$C$11176,IF(Assumptions!$I$63=1,MAX(K11174,Assumptions!$G$63)+Assumptions!$F$63+$C$11175,Assumptions!$E$63))</f>
        <v>0.08875</v>
      </c>
    </row>
    <row r="11266" customFormat="false" ht="15" hidden="false" customHeight="false" outlineLevel="0" collapsed="false">
      <c r="A11266" s="3" t="s">
        <v>332</v>
      </c>
      <c r="G11266" s="16" t="n">
        <f aca="false">G11262*G11265</f>
        <v>48.8125</v>
      </c>
      <c r="H11266" s="16" t="n">
        <f aca="false">H11262*H11265</f>
        <v>48.8125</v>
      </c>
      <c r="I11266" s="16" t="n">
        <f aca="false">I11262*I11265</f>
        <v>48.8125</v>
      </c>
      <c r="J11266" s="16" t="n">
        <f aca="false">J11262*J11265</f>
        <v>48.8125</v>
      </c>
      <c r="K11266" s="16" t="n">
        <f aca="false">K11262*K11265</f>
        <v>48.8125</v>
      </c>
    </row>
    <row r="11267" customFormat="false" ht="15" hidden="false" customHeight="false" outlineLevel="0" collapsed="false">
      <c r="A11267" s="3" t="s">
        <v>333</v>
      </c>
      <c r="G11267" s="16" t="n">
        <f aca="false">G11262*Assumptions!$H$63</f>
        <v>0</v>
      </c>
      <c r="H11267" s="16" t="n">
        <f aca="false">H11262*Assumptions!$H$63</f>
        <v>0</v>
      </c>
      <c r="I11267" s="16" t="n">
        <f aca="false">I11262*Assumptions!$H$63</f>
        <v>0</v>
      </c>
      <c r="J11267" s="16" t="n">
        <f aca="false">J11262*Assumptions!$H$63</f>
        <v>0</v>
      </c>
      <c r="K11267" s="16" t="n">
        <f aca="false">K11262*Assumptions!$H$63</f>
        <v>0</v>
      </c>
    </row>
    <row r="11268" customFormat="false" ht="15" hidden="false" customHeight="false" outlineLevel="0" collapsed="false">
      <c r="A11268" s="3" t="s">
        <v>334</v>
      </c>
      <c r="G11268" s="16" t="n">
        <f aca="false">MIN(G11262,Assumptions!$L$63*Assumptions!$C$63)</f>
        <v>0</v>
      </c>
      <c r="H11268" s="16" t="n">
        <f aca="false">MIN(H11262,Assumptions!$L$63*Assumptions!$C$63)</f>
        <v>0</v>
      </c>
      <c r="I11268" s="16" t="n">
        <f aca="false">MIN(I11262,Assumptions!$L$63*Assumptions!$C$63)</f>
        <v>0</v>
      </c>
      <c r="J11268" s="16" t="n">
        <f aca="false">MIN(J11262,Assumptions!$L$63*Assumptions!$C$63)</f>
        <v>0</v>
      </c>
      <c r="K11268" s="16" t="n">
        <f aca="false">MIN(K11262,Assumptions!$L$63*Assumptions!$C$63)</f>
        <v>0</v>
      </c>
    </row>
    <row r="11269" customFormat="false" ht="15" hidden="false" customHeight="false" outlineLevel="0" collapsed="false">
      <c r="A11269" s="3" t="s">
        <v>335</v>
      </c>
      <c r="G11269" s="16" t="n">
        <f aca="false">IF(AND(Assumptions!$P$63=1,G11148&lt;Assumptions!$K$63),MIN(MAX(0,-G11364),MAX(0,Assumptions!$D$63-G11262)),0)</f>
        <v>0</v>
      </c>
      <c r="H11269" s="16" t="n">
        <f aca="false">IF(AND(Assumptions!$P$63=1,OR(H11148&lt;Assumptions!$K$63,G11500=1)),MIN(MAX(0,-H11364),MAX(0,Assumptions!$D$63-H11262)),0)</f>
        <v>0</v>
      </c>
      <c r="I11269" s="16" t="n">
        <f aca="false">IF(AND(Assumptions!$P$63=1,OR(I11148&lt;Assumptions!$K$63,H11500=1)),MIN(MAX(0,-I11364),MAX(0,Assumptions!$D$63-I11262)),0)</f>
        <v>0</v>
      </c>
      <c r="J11269" s="16" t="n">
        <f aca="false">IF(AND(Assumptions!$P$63=1,OR(J11148&lt;Assumptions!$K$63,I11500=1)),MIN(MAX(0,-J11364),MAX(0,Assumptions!$D$63-J11262)),0)</f>
        <v>0</v>
      </c>
      <c r="K11269" s="16" t="n">
        <f aca="false">IF(AND(Assumptions!$P$63=1,OR(K11148&lt;Assumptions!$K$63,J11500=1)),MIN(MAX(0,-K11364),MAX(0,Assumptions!$D$63-K11262)),0)</f>
        <v>0</v>
      </c>
    </row>
    <row r="11270" customFormat="false" ht="15" hidden="false" customHeight="false" outlineLevel="0" collapsed="false">
      <c r="A11270" s="3" t="s">
        <v>336</v>
      </c>
      <c r="G11270" s="16" t="n">
        <f aca="false">G11263*MIN(G11262-G11268+G11267,MAX(0,G11366-Assumptions!$C$12*G11182-G11192-G11205-G11218-G11231-G11244-G11257))</f>
        <v>0</v>
      </c>
      <c r="H11270" s="16" t="n">
        <f aca="false">H11263*MIN(H11262-H11268+H11267,MAX(0,H11366-Assumptions!$C$12*H11182-H11192-H11205-H11218-H11231-H11244-H11257))</f>
        <v>0</v>
      </c>
      <c r="I11270" s="16" t="n">
        <f aca="false">I11263*MIN(I11262-I11268+I11267,MAX(0,I11366-Assumptions!$C$12*I11182-I11192-I11205-I11218-I11231-I11244-I11257))</f>
        <v>0</v>
      </c>
      <c r="J11270" s="16" t="n">
        <f aca="false">J11263*MIN(J11262-J11268+J11267,MAX(0,J11366-Assumptions!$C$12*J11182-J11192-J11205-J11218-J11231-J11244-J11257))</f>
        <v>0</v>
      </c>
      <c r="K11270" s="16" t="n">
        <f aca="false">K11263*MIN(K11262-K11268+K11267,MAX(0,K11366-Assumptions!$C$12*K11182-K11192-K11205-K11218-K11231-K11244-K11257))</f>
        <v>0</v>
      </c>
    </row>
    <row r="11271" customFormat="false" ht="15" hidden="false" customHeight="false" outlineLevel="0" collapsed="false">
      <c r="A11271" s="3" t="s">
        <v>337</v>
      </c>
      <c r="G11271" s="16" t="n">
        <f aca="false">Assumptions!$N$63*MIN(G11262+G11269+G11267-G11268-G11270,MAX(0,G11370-G11193-G11206-G11219-G11232-G11245-G11258))</f>
        <v>0</v>
      </c>
      <c r="H11271" s="16" t="n">
        <f aca="false">Assumptions!$N$63*MIN(H11262+H11269+H11267-H11268-H11270,MAX(0,H11370-H11193-H11206-H11219-H11232-H11245-H11258))</f>
        <v>0</v>
      </c>
      <c r="I11271" s="16" t="n">
        <f aca="false">Assumptions!$N$63*MIN(I11262+I11269+I11267-I11268-I11270,MAX(0,I11370-I11193-I11206-I11219-I11232-I11245-I11258))</f>
        <v>0</v>
      </c>
      <c r="J11271" s="16" t="n">
        <f aca="false">Assumptions!$N$63*MIN(J11262+J11269+J11267-J11268-J11270,MAX(0,J11370-J11193-J11206-J11219-J11232-J11245-J11258))</f>
        <v>0</v>
      </c>
      <c r="K11271" s="16" t="n">
        <f aca="false">Assumptions!$N$63*MIN(K11262+K11269+K11267-K11268-K11270,MAX(0,K11370-K11193-K11206-K11219-K11232-K11245-K11258))</f>
        <v>0</v>
      </c>
    </row>
    <row r="11272" customFormat="false" ht="15" hidden="false" customHeight="false" outlineLevel="0" collapsed="false">
      <c r="A11272" s="3" t="s">
        <v>338</v>
      </c>
      <c r="G11272" s="16" t="n">
        <f aca="false">G11263*(1-G11182)*(G11262-G11268+G11267-G11270)</f>
        <v>0</v>
      </c>
      <c r="H11272" s="16" t="n">
        <f aca="false">H11263*(1-H11182)*(H11262-H11268+H11267-H11270)</f>
        <v>0</v>
      </c>
      <c r="I11272" s="16" t="n">
        <f aca="false">I11263*(1-I11182)*(I11262-I11268+I11267-I11270)</f>
        <v>550</v>
      </c>
      <c r="J11272" s="16" t="n">
        <f aca="false">J11263*(1-J11182)*(J11262-J11268+J11267-J11270)</f>
        <v>0</v>
      </c>
      <c r="K11272" s="16" t="n">
        <f aca="false">K11263*(1-K11182)*(K11262-K11268+K11267-K11270)</f>
        <v>0</v>
      </c>
    </row>
    <row r="11273" customFormat="false" ht="15" hidden="false" customHeight="false" outlineLevel="0" collapsed="false">
      <c r="A11273" s="2" t="s">
        <v>339</v>
      </c>
      <c r="F11273" s="28" t="n">
        <f aca="false">Assumptions!$C$63</f>
        <v>550</v>
      </c>
      <c r="G11273" s="17" t="n">
        <f aca="false">G11262+G11269+G11267-G11268-G11270-G11271</f>
        <v>550</v>
      </c>
      <c r="H11273" s="17" t="n">
        <f aca="false">H11262+H11269+H11267-H11268-H11270-H11271</f>
        <v>550</v>
      </c>
      <c r="I11273" s="17" t="n">
        <f aca="false">I11262+I11269+I11267-I11268-I11270-I11271</f>
        <v>550</v>
      </c>
      <c r="J11273" s="17" t="n">
        <f aca="false">J11262+J11269+J11267-J11268-J11270-J11271</f>
        <v>550</v>
      </c>
      <c r="K11273" s="17" t="n">
        <f aca="false">K11262+K11269+K11267-K11268-K11270-K11271</f>
        <v>550</v>
      </c>
    </row>
    <row r="11274" customFormat="false" ht="15" hidden="false" customHeight="false" outlineLevel="0" collapsed="false">
      <c r="A11274" s="24" t="s">
        <v>346</v>
      </c>
      <c r="B11274" s="25"/>
      <c r="C11274" s="25"/>
      <c r="D11274" s="25"/>
      <c r="E11274" s="25"/>
      <c r="F11274" s="25"/>
      <c r="G11274" s="25"/>
      <c r="H11274" s="25"/>
      <c r="I11274" s="25"/>
      <c r="J11274" s="25"/>
      <c r="K11274" s="25"/>
    </row>
    <row r="11275" customFormat="false" ht="15" hidden="false" customHeight="false" outlineLevel="0" collapsed="false">
      <c r="A11275" s="3" t="s">
        <v>329</v>
      </c>
      <c r="G11275" s="16" t="n">
        <f aca="false">F11286</f>
        <v>350</v>
      </c>
      <c r="H11275" s="16" t="n">
        <f aca="false">G11286</f>
        <v>350</v>
      </c>
      <c r="I11275" s="16" t="n">
        <f aca="false">H11286</f>
        <v>350</v>
      </c>
      <c r="J11275" s="16" t="n">
        <f aca="false">I11286</f>
        <v>350</v>
      </c>
      <c r="K11275" s="16" t="n">
        <f aca="false">J11286</f>
        <v>350</v>
      </c>
    </row>
    <row r="11276" customFormat="false" ht="15" hidden="false" customHeight="false" outlineLevel="0" collapsed="false">
      <c r="A11276" s="3" t="s">
        <v>330</v>
      </c>
      <c r="G11276" s="21" t="n">
        <f aca="false">IF(G11148=Assumptions!$K$64,1,0)</f>
        <v>0</v>
      </c>
      <c r="H11276" s="21" t="n">
        <f aca="false">IF(H11148=Assumptions!$K$64,1,0)</f>
        <v>0</v>
      </c>
      <c r="I11276" s="21" t="n">
        <f aca="false">IF(I11148=Assumptions!$K$64,1,0)</f>
        <v>0</v>
      </c>
      <c r="J11276" s="21" t="n">
        <f aca="false">IF(J11148=Assumptions!$K$64,1,0)</f>
        <v>1</v>
      </c>
      <c r="K11276" s="21" t="n">
        <f aca="false">IF(K11148=Assumptions!$K$64,1,0)</f>
        <v>0</v>
      </c>
    </row>
    <row r="11278" customFormat="false" ht="15" hidden="false" customHeight="false" outlineLevel="0" collapsed="false">
      <c r="A11278" s="3" t="s">
        <v>331</v>
      </c>
      <c r="G11278" s="31" t="n">
        <f aca="false">IF(Assumptions!$I$64=1,MAX(G11174,Assumptions!$G$64)+Assumptions!$F$64+$C$11175,Assumptions!$E$64)</f>
        <v>0.0455</v>
      </c>
      <c r="H11278" s="31" t="n">
        <f aca="false">IF(G11501=1,$C$11176,IF(Assumptions!$I$64=1,MAX(H11174,Assumptions!$G$64)+Assumptions!$F$64+$C$11175,Assumptions!$E$64))</f>
        <v>0.0455</v>
      </c>
      <c r="I11278" s="31" t="n">
        <f aca="false">IF(H11501=1,$C$11176,IF(Assumptions!$I$64=1,MAX(I11174,Assumptions!$G$64)+Assumptions!$F$64+$C$11175,Assumptions!$E$64))</f>
        <v>0.0455</v>
      </c>
      <c r="J11278" s="31" t="n">
        <f aca="false">IF(I11501=1,$C$11176,IF(Assumptions!$I$64=1,MAX(J11174,Assumptions!$G$64)+Assumptions!$F$64+$C$11175,Assumptions!$E$64))</f>
        <v>0.0455</v>
      </c>
      <c r="K11278" s="31" t="n">
        <f aca="false">IF(J11501=1,$C$11176,IF(Assumptions!$I$64=1,MAX(K11174,Assumptions!$G$64)+Assumptions!$F$64+$C$11175,Assumptions!$E$64))</f>
        <v>0.0455</v>
      </c>
    </row>
    <row r="11279" customFormat="false" ht="15" hidden="false" customHeight="false" outlineLevel="0" collapsed="false">
      <c r="A11279" s="3" t="s">
        <v>332</v>
      </c>
      <c r="G11279" s="16" t="n">
        <f aca="false">G11275*G11278</f>
        <v>15.925</v>
      </c>
      <c r="H11279" s="16" t="n">
        <f aca="false">H11275*H11278</f>
        <v>15.925</v>
      </c>
      <c r="I11279" s="16" t="n">
        <f aca="false">I11275*I11278</f>
        <v>15.925</v>
      </c>
      <c r="J11279" s="16" t="n">
        <f aca="false">J11275*J11278</f>
        <v>15.925</v>
      </c>
      <c r="K11279" s="16" t="n">
        <f aca="false">K11275*K11278</f>
        <v>15.925</v>
      </c>
    </row>
    <row r="11280" customFormat="false" ht="15" hidden="false" customHeight="false" outlineLevel="0" collapsed="false">
      <c r="A11280" s="3" t="s">
        <v>333</v>
      </c>
      <c r="G11280" s="16" t="n">
        <f aca="false">G11275*Assumptions!$H$64</f>
        <v>0</v>
      </c>
      <c r="H11280" s="16" t="n">
        <f aca="false">H11275*Assumptions!$H$64</f>
        <v>0</v>
      </c>
      <c r="I11280" s="16" t="n">
        <f aca="false">I11275*Assumptions!$H$64</f>
        <v>0</v>
      </c>
      <c r="J11280" s="16" t="n">
        <f aca="false">J11275*Assumptions!$H$64</f>
        <v>0</v>
      </c>
      <c r="K11280" s="16" t="n">
        <f aca="false">K11275*Assumptions!$H$64</f>
        <v>0</v>
      </c>
    </row>
    <row r="11281" customFormat="false" ht="15" hidden="false" customHeight="false" outlineLevel="0" collapsed="false">
      <c r="A11281" s="3" t="s">
        <v>334</v>
      </c>
      <c r="G11281" s="16" t="n">
        <f aca="false">MIN(G11275,Assumptions!$L$64*Assumptions!$C$64)</f>
        <v>0</v>
      </c>
      <c r="H11281" s="16" t="n">
        <f aca="false">MIN(H11275,Assumptions!$L$64*Assumptions!$C$64)</f>
        <v>0</v>
      </c>
      <c r="I11281" s="16" t="n">
        <f aca="false">MIN(I11275,Assumptions!$L$64*Assumptions!$C$64)</f>
        <v>0</v>
      </c>
      <c r="J11281" s="16" t="n">
        <f aca="false">MIN(J11275,Assumptions!$L$64*Assumptions!$C$64)</f>
        <v>0</v>
      </c>
      <c r="K11281" s="16" t="n">
        <f aca="false">MIN(K11275,Assumptions!$L$64*Assumptions!$C$64)</f>
        <v>0</v>
      </c>
    </row>
    <row r="11282" customFormat="false" ht="15" hidden="false" customHeight="false" outlineLevel="0" collapsed="false">
      <c r="A11282" s="3" t="s">
        <v>335</v>
      </c>
      <c r="G11282" s="16" t="n">
        <f aca="false">IF(AND(Assumptions!$P$64=1,G11148&lt;Assumptions!$K$64),MIN(MAX(0,-G11364),MAX(0,Assumptions!$D$64-G11275)),0)</f>
        <v>0</v>
      </c>
      <c r="H11282" s="16" t="n">
        <f aca="false">IF(AND(Assumptions!$P$64=1,OR(H11148&lt;Assumptions!$K$64,G11501=1)),MIN(MAX(0,-H11364),MAX(0,Assumptions!$D$64-H11275)),0)</f>
        <v>0</v>
      </c>
      <c r="I11282" s="16" t="n">
        <f aca="false">IF(AND(Assumptions!$P$64=1,OR(I11148&lt;Assumptions!$K$64,H11501=1)),MIN(MAX(0,-I11364),MAX(0,Assumptions!$D$64-I11275)),0)</f>
        <v>0</v>
      </c>
      <c r="J11282" s="16" t="n">
        <f aca="false">IF(AND(Assumptions!$P$64=1,OR(J11148&lt;Assumptions!$K$64,I11501=1)),MIN(MAX(0,-J11364),MAX(0,Assumptions!$D$64-J11275)),0)</f>
        <v>0</v>
      </c>
      <c r="K11282" s="16" t="n">
        <f aca="false">IF(AND(Assumptions!$P$64=1,OR(K11148&lt;Assumptions!$K$64,J11501=1)),MIN(MAX(0,-K11364),MAX(0,Assumptions!$D$64-K11275)),0)</f>
        <v>0</v>
      </c>
    </row>
    <row r="11283" customFormat="false" ht="15" hidden="false" customHeight="false" outlineLevel="0" collapsed="false">
      <c r="A11283" s="3" t="s">
        <v>336</v>
      </c>
      <c r="G11283" s="16" t="n">
        <f aca="false">G11276*MIN(G11275-G11281+G11280,MAX(0,G11366-Assumptions!$C$12*G11182-G11192-G11205-G11218-G11231-G11244-G11257-G11270))</f>
        <v>0</v>
      </c>
      <c r="H11283" s="16" t="n">
        <f aca="false">H11276*MIN(H11275-H11281+H11280,MAX(0,H11366-Assumptions!$C$12*H11182-H11192-H11205-H11218-H11231-H11244-H11257-H11270))</f>
        <v>0</v>
      </c>
      <c r="I11283" s="16" t="n">
        <f aca="false">I11276*MIN(I11275-I11281+I11280,MAX(0,I11366-Assumptions!$C$12*I11182-I11192-I11205-I11218-I11231-I11244-I11257-I11270))</f>
        <v>0</v>
      </c>
      <c r="J11283" s="16" t="n">
        <f aca="false">J11276*MIN(J11275-J11281+J11280,MAX(0,J11366-Assumptions!$C$12*J11182-J11192-J11205-J11218-J11231-J11244-J11257-J11270))</f>
        <v>0</v>
      </c>
      <c r="K11283" s="16" t="n">
        <f aca="false">K11276*MIN(K11275-K11281+K11280,MAX(0,K11366-Assumptions!$C$12*K11182-K11192-K11205-K11218-K11231-K11244-K11257-K11270))</f>
        <v>0</v>
      </c>
    </row>
    <row r="11284" customFormat="false" ht="15" hidden="false" customHeight="false" outlineLevel="0" collapsed="false">
      <c r="A11284" s="3" t="s">
        <v>337</v>
      </c>
      <c r="G11284" s="16" t="n">
        <f aca="false">Assumptions!$N$64*MIN(G11275+G11282+G11280-G11281-G11283,MAX(0,G11370-G11193-G11206-G11219-G11232-G11245-G11258-G11271))</f>
        <v>0</v>
      </c>
      <c r="H11284" s="16" t="n">
        <f aca="false">Assumptions!$N$64*MIN(H11275+H11282+H11280-H11281-H11283,MAX(0,H11370-H11193-H11206-H11219-H11232-H11245-H11258-H11271))</f>
        <v>0</v>
      </c>
      <c r="I11284" s="16" t="n">
        <f aca="false">Assumptions!$N$64*MIN(I11275+I11282+I11280-I11281-I11283,MAX(0,I11370-I11193-I11206-I11219-I11232-I11245-I11258-I11271))</f>
        <v>0</v>
      </c>
      <c r="J11284" s="16" t="n">
        <f aca="false">Assumptions!$N$64*MIN(J11275+J11282+J11280-J11281-J11283,MAX(0,J11370-J11193-J11206-J11219-J11232-J11245-J11258-J11271))</f>
        <v>0</v>
      </c>
      <c r="K11284" s="16" t="n">
        <f aca="false">Assumptions!$N$64*MIN(K11275+K11282+K11280-K11281-K11283,MAX(0,K11370-K11193-K11206-K11219-K11232-K11245-K11258-K11271))</f>
        <v>0</v>
      </c>
    </row>
    <row r="11285" customFormat="false" ht="15" hidden="false" customHeight="false" outlineLevel="0" collapsed="false">
      <c r="A11285" s="3" t="s">
        <v>338</v>
      </c>
      <c r="G11285" s="16" t="n">
        <f aca="false">G11276*(1-G11182)*(G11275-G11281+G11280-G11283)</f>
        <v>0</v>
      </c>
      <c r="H11285" s="16" t="n">
        <f aca="false">H11276*(1-H11182)*(H11275-H11281+H11280-H11283)</f>
        <v>0</v>
      </c>
      <c r="I11285" s="16" t="n">
        <f aca="false">I11276*(1-I11182)*(I11275-I11281+I11280-I11283)</f>
        <v>0</v>
      </c>
      <c r="J11285" s="16" t="n">
        <f aca="false">J11276*(1-J11182)*(J11275-J11281+J11280-J11283)</f>
        <v>350</v>
      </c>
      <c r="K11285" s="16" t="n">
        <f aca="false">K11276*(1-K11182)*(K11275-K11281+K11280-K11283)</f>
        <v>0</v>
      </c>
    </row>
    <row r="11286" customFormat="false" ht="15" hidden="false" customHeight="false" outlineLevel="0" collapsed="false">
      <c r="A11286" s="2" t="s">
        <v>339</v>
      </c>
      <c r="F11286" s="28" t="n">
        <f aca="false">Assumptions!$C$64</f>
        <v>350</v>
      </c>
      <c r="G11286" s="17" t="n">
        <f aca="false">G11275+G11282+G11280-G11281-G11283-G11284</f>
        <v>350</v>
      </c>
      <c r="H11286" s="17" t="n">
        <f aca="false">H11275+H11282+H11280-H11281-H11283-H11284</f>
        <v>350</v>
      </c>
      <c r="I11286" s="17" t="n">
        <f aca="false">I11275+I11282+I11280-I11281-I11283-I11284</f>
        <v>350</v>
      </c>
      <c r="J11286" s="17" t="n">
        <f aca="false">J11275+J11282+J11280-J11281-J11283-J11284</f>
        <v>350</v>
      </c>
      <c r="K11286" s="17" t="n">
        <f aca="false">K11275+K11282+K11280-K11281-K11283-K11284</f>
        <v>350</v>
      </c>
    </row>
    <row r="11287" customFormat="false" ht="15" hidden="false" customHeight="false" outlineLevel="0" collapsed="false">
      <c r="A11287" s="24" t="s">
        <v>347</v>
      </c>
      <c r="B11287" s="25"/>
      <c r="C11287" s="25"/>
      <c r="D11287" s="25"/>
      <c r="E11287" s="25"/>
      <c r="F11287" s="25"/>
      <c r="G11287" s="25"/>
      <c r="H11287" s="25"/>
      <c r="I11287" s="25"/>
      <c r="J11287" s="25"/>
      <c r="K11287" s="25"/>
    </row>
    <row r="11288" customFormat="false" ht="15" hidden="false" customHeight="false" outlineLevel="0" collapsed="false">
      <c r="A11288" s="3" t="s">
        <v>329</v>
      </c>
      <c r="G11288" s="16" t="n">
        <f aca="false">F11299</f>
        <v>300</v>
      </c>
      <c r="H11288" s="16" t="n">
        <f aca="false">G11299</f>
        <v>300</v>
      </c>
      <c r="I11288" s="16" t="n">
        <f aca="false">H11299</f>
        <v>300</v>
      </c>
      <c r="J11288" s="16" t="n">
        <f aca="false">I11299</f>
        <v>300</v>
      </c>
      <c r="K11288" s="16" t="n">
        <f aca="false">J11299</f>
        <v>300</v>
      </c>
    </row>
    <row r="11289" customFormat="false" ht="15" hidden="false" customHeight="false" outlineLevel="0" collapsed="false">
      <c r="A11289" s="3" t="s">
        <v>330</v>
      </c>
      <c r="G11289" s="21" t="n">
        <f aca="false">IF(G11148=Assumptions!$K$65,1,0)</f>
        <v>0</v>
      </c>
      <c r="H11289" s="21" t="n">
        <f aca="false">IF(H11148=Assumptions!$K$65,1,0)</f>
        <v>0</v>
      </c>
      <c r="I11289" s="21" t="n">
        <f aca="false">IF(I11148=Assumptions!$K$65,1,0)</f>
        <v>0</v>
      </c>
      <c r="J11289" s="21" t="n">
        <f aca="false">IF(J11148=Assumptions!$K$65,1,0)</f>
        <v>0</v>
      </c>
      <c r="K11289" s="21" t="n">
        <f aca="false">IF(K11148=Assumptions!$K$65,1,0)</f>
        <v>1</v>
      </c>
    </row>
    <row r="11291" customFormat="false" ht="15" hidden="false" customHeight="false" outlineLevel="0" collapsed="false">
      <c r="A11291" s="3" t="s">
        <v>331</v>
      </c>
      <c r="G11291" s="31" t="n">
        <f aca="false">IF(Assumptions!$I$65=1,MAX(G11174,Assumptions!$G$65)+Assumptions!$F$65+$C$11175,Assumptions!$E$65)</f>
        <v>0.06125</v>
      </c>
      <c r="H11291" s="31" t="n">
        <f aca="false">IF(G11502=1,$C$11176,IF(Assumptions!$I$65=1,MAX(H11174,Assumptions!$G$65)+Assumptions!$F$65+$C$11175,Assumptions!$E$65))</f>
        <v>0.06125</v>
      </c>
      <c r="I11291" s="31" t="n">
        <f aca="false">IF(H11502=1,$C$11176,IF(Assumptions!$I$65=1,MAX(I11174,Assumptions!$G$65)+Assumptions!$F$65+$C$11175,Assumptions!$E$65))</f>
        <v>0.06125</v>
      </c>
      <c r="J11291" s="31" t="n">
        <f aca="false">IF(I11502=1,$C$11176,IF(Assumptions!$I$65=1,MAX(J11174,Assumptions!$G$65)+Assumptions!$F$65+$C$11175,Assumptions!$E$65))</f>
        <v>0.06125</v>
      </c>
      <c r="K11291" s="31" t="n">
        <f aca="false">IF(J11502=1,$C$11176,IF(Assumptions!$I$65=1,MAX(K11174,Assumptions!$G$65)+Assumptions!$F$65+$C$11175,Assumptions!$E$65))</f>
        <v>0.06125</v>
      </c>
    </row>
    <row r="11292" customFormat="false" ht="15" hidden="false" customHeight="false" outlineLevel="0" collapsed="false">
      <c r="A11292" s="3" t="s">
        <v>332</v>
      </c>
      <c r="G11292" s="16" t="n">
        <f aca="false">G11288*G11291</f>
        <v>18.375</v>
      </c>
      <c r="H11292" s="16" t="n">
        <f aca="false">H11288*H11291</f>
        <v>18.375</v>
      </c>
      <c r="I11292" s="16" t="n">
        <f aca="false">I11288*I11291</f>
        <v>18.375</v>
      </c>
      <c r="J11292" s="16" t="n">
        <f aca="false">J11288*J11291</f>
        <v>18.375</v>
      </c>
      <c r="K11292" s="16" t="n">
        <f aca="false">K11288*K11291</f>
        <v>18.375</v>
      </c>
    </row>
    <row r="11293" customFormat="false" ht="15" hidden="false" customHeight="false" outlineLevel="0" collapsed="false">
      <c r="A11293" s="3" t="s">
        <v>333</v>
      </c>
      <c r="G11293" s="16" t="n">
        <f aca="false">G11288*Assumptions!$H$65</f>
        <v>0</v>
      </c>
      <c r="H11293" s="16" t="n">
        <f aca="false">H11288*Assumptions!$H$65</f>
        <v>0</v>
      </c>
      <c r="I11293" s="16" t="n">
        <f aca="false">I11288*Assumptions!$H$65</f>
        <v>0</v>
      </c>
      <c r="J11293" s="16" t="n">
        <f aca="false">J11288*Assumptions!$H$65</f>
        <v>0</v>
      </c>
      <c r="K11293" s="16" t="n">
        <f aca="false">K11288*Assumptions!$H$65</f>
        <v>0</v>
      </c>
    </row>
    <row r="11294" customFormat="false" ht="15" hidden="false" customHeight="false" outlineLevel="0" collapsed="false">
      <c r="A11294" s="3" t="s">
        <v>334</v>
      </c>
      <c r="G11294" s="16" t="n">
        <f aca="false">MIN(G11288,Assumptions!$L$65*Assumptions!$C$65)</f>
        <v>0</v>
      </c>
      <c r="H11294" s="16" t="n">
        <f aca="false">MIN(H11288,Assumptions!$L$65*Assumptions!$C$65)</f>
        <v>0</v>
      </c>
      <c r="I11294" s="16" t="n">
        <f aca="false">MIN(I11288,Assumptions!$L$65*Assumptions!$C$65)</f>
        <v>0</v>
      </c>
      <c r="J11294" s="16" t="n">
        <f aca="false">MIN(J11288,Assumptions!$L$65*Assumptions!$C$65)</f>
        <v>0</v>
      </c>
      <c r="K11294" s="16" t="n">
        <f aca="false">MIN(K11288,Assumptions!$L$65*Assumptions!$C$65)</f>
        <v>0</v>
      </c>
    </row>
    <row r="11295" customFormat="false" ht="15" hidden="false" customHeight="false" outlineLevel="0" collapsed="false">
      <c r="A11295" s="3" t="s">
        <v>335</v>
      </c>
      <c r="G11295" s="16" t="n">
        <f aca="false">IF(AND(Assumptions!$P$65=1,G11148&lt;Assumptions!$K$65),MIN(MAX(0,-G11364),MAX(0,Assumptions!$D$65-G11288)),0)</f>
        <v>0</v>
      </c>
      <c r="H11295" s="16" t="n">
        <f aca="false">IF(AND(Assumptions!$P$65=1,OR(H11148&lt;Assumptions!$K$65,G11502=1)),MIN(MAX(0,-H11364),MAX(0,Assumptions!$D$65-H11288)),0)</f>
        <v>0</v>
      </c>
      <c r="I11295" s="16" t="n">
        <f aca="false">IF(AND(Assumptions!$P$65=1,OR(I11148&lt;Assumptions!$K$65,H11502=1)),MIN(MAX(0,-I11364),MAX(0,Assumptions!$D$65-I11288)),0)</f>
        <v>0</v>
      </c>
      <c r="J11295" s="16" t="n">
        <f aca="false">IF(AND(Assumptions!$P$65=1,OR(J11148&lt;Assumptions!$K$65,I11502=1)),MIN(MAX(0,-J11364),MAX(0,Assumptions!$D$65-J11288)),0)</f>
        <v>0</v>
      </c>
      <c r="K11295" s="16" t="n">
        <f aca="false">IF(AND(Assumptions!$P$65=1,OR(K11148&lt;Assumptions!$K$65,J11502=1)),MIN(MAX(0,-K11364),MAX(0,Assumptions!$D$65-K11288)),0)</f>
        <v>0</v>
      </c>
    </row>
    <row r="11296" customFormat="false" ht="15" hidden="false" customHeight="false" outlineLevel="0" collapsed="false">
      <c r="A11296" s="3" t="s">
        <v>336</v>
      </c>
      <c r="G11296" s="16" t="n">
        <f aca="false">G11289*MIN(G11288-G11294+G11293,MAX(0,G11366-Assumptions!$C$12*G11182-G11192-G11205-G11218-G11231-G11244-G11257-G11270-G11283))</f>
        <v>0</v>
      </c>
      <c r="H11296" s="16" t="n">
        <f aca="false">H11289*MIN(H11288-H11294+H11293,MAX(0,H11366-Assumptions!$C$12*H11182-H11192-H11205-H11218-H11231-H11244-H11257-H11270-H11283))</f>
        <v>0</v>
      </c>
      <c r="I11296" s="16" t="n">
        <f aca="false">I11289*MIN(I11288-I11294+I11293,MAX(0,I11366-Assumptions!$C$12*I11182-I11192-I11205-I11218-I11231-I11244-I11257-I11270-I11283))</f>
        <v>0</v>
      </c>
      <c r="J11296" s="16" t="n">
        <f aca="false">J11289*MIN(J11288-J11294+J11293,MAX(0,J11366-Assumptions!$C$12*J11182-J11192-J11205-J11218-J11231-J11244-J11257-J11270-J11283))</f>
        <v>0</v>
      </c>
      <c r="K11296" s="16" t="n">
        <f aca="false">K11289*MIN(K11288-K11294+K11293,MAX(0,K11366-Assumptions!$C$12*K11182-K11192-K11205-K11218-K11231-K11244-K11257-K11270-K11283))</f>
        <v>0</v>
      </c>
    </row>
    <row r="11297" customFormat="false" ht="15" hidden="false" customHeight="false" outlineLevel="0" collapsed="false">
      <c r="A11297" s="3" t="s">
        <v>337</v>
      </c>
      <c r="G11297" s="16" t="n">
        <f aca="false">Assumptions!$N$65*MIN(G11288+G11295+G11293-G11294-G11296,MAX(0,G11370-G11193-G11206-G11219-G11232-G11245-G11258-G11271-G11284))</f>
        <v>0</v>
      </c>
      <c r="H11297" s="16" t="n">
        <f aca="false">Assumptions!$N$65*MIN(H11288+H11295+H11293-H11294-H11296,MAX(0,H11370-H11193-H11206-H11219-H11232-H11245-H11258-H11271-H11284))</f>
        <v>0</v>
      </c>
      <c r="I11297" s="16" t="n">
        <f aca="false">Assumptions!$N$65*MIN(I11288+I11295+I11293-I11294-I11296,MAX(0,I11370-I11193-I11206-I11219-I11232-I11245-I11258-I11271-I11284))</f>
        <v>0</v>
      </c>
      <c r="J11297" s="16" t="n">
        <f aca="false">Assumptions!$N$65*MIN(J11288+J11295+J11293-J11294-J11296,MAX(0,J11370-J11193-J11206-J11219-J11232-J11245-J11258-J11271-J11284))</f>
        <v>0</v>
      </c>
      <c r="K11297" s="16" t="n">
        <f aca="false">Assumptions!$N$65*MIN(K11288+K11295+K11293-K11294-K11296,MAX(0,K11370-K11193-K11206-K11219-K11232-K11245-K11258-K11271-K11284))</f>
        <v>0</v>
      </c>
    </row>
    <row r="11298" customFormat="false" ht="15" hidden="false" customHeight="false" outlineLevel="0" collapsed="false">
      <c r="A11298" s="3" t="s">
        <v>338</v>
      </c>
      <c r="G11298" s="16" t="n">
        <f aca="false">G11289*(1-G11182)*(G11288-G11294+G11293-G11296)</f>
        <v>0</v>
      </c>
      <c r="H11298" s="16" t="n">
        <f aca="false">H11289*(1-H11182)*(H11288-H11294+H11293-H11296)</f>
        <v>0</v>
      </c>
      <c r="I11298" s="16" t="n">
        <f aca="false">I11289*(1-I11182)*(I11288-I11294+I11293-I11296)</f>
        <v>0</v>
      </c>
      <c r="J11298" s="16" t="n">
        <f aca="false">J11289*(1-J11182)*(J11288-J11294+J11293-J11296)</f>
        <v>0</v>
      </c>
      <c r="K11298" s="16" t="n">
        <f aca="false">K11289*(1-K11182)*(K11288-K11294+K11293-K11296)</f>
        <v>300</v>
      </c>
    </row>
    <row r="11299" customFormat="false" ht="15" hidden="false" customHeight="false" outlineLevel="0" collapsed="false">
      <c r="A11299" s="2" t="s">
        <v>339</v>
      </c>
      <c r="F11299" s="28" t="n">
        <f aca="false">Assumptions!$C$65</f>
        <v>300</v>
      </c>
      <c r="G11299" s="17" t="n">
        <f aca="false">G11288+G11295+G11293-G11294-G11296-G11297</f>
        <v>300</v>
      </c>
      <c r="H11299" s="17" t="n">
        <f aca="false">H11288+H11295+H11293-H11294-H11296-H11297</f>
        <v>300</v>
      </c>
      <c r="I11299" s="17" t="n">
        <f aca="false">I11288+I11295+I11293-I11294-I11296-I11297</f>
        <v>300</v>
      </c>
      <c r="J11299" s="17" t="n">
        <f aca="false">J11288+J11295+J11293-J11294-J11296-J11297</f>
        <v>300</v>
      </c>
      <c r="K11299" s="17" t="n">
        <f aca="false">K11288+K11295+K11293-K11294-K11296-K11297</f>
        <v>300</v>
      </c>
    </row>
    <row r="11300" customFormat="false" ht="15" hidden="false" customHeight="false" outlineLevel="0" collapsed="false">
      <c r="A11300" s="24" t="s">
        <v>348</v>
      </c>
      <c r="B11300" s="25"/>
      <c r="C11300" s="25"/>
      <c r="D11300" s="25"/>
      <c r="E11300" s="25"/>
      <c r="F11300" s="25"/>
      <c r="G11300" s="25"/>
      <c r="H11300" s="25"/>
      <c r="I11300" s="25"/>
      <c r="J11300" s="25"/>
      <c r="K11300" s="25"/>
    </row>
    <row r="11301" customFormat="false" ht="15" hidden="false" customHeight="false" outlineLevel="0" collapsed="false">
      <c r="A11301" s="3" t="s">
        <v>329</v>
      </c>
      <c r="G11301" s="16" t="n">
        <f aca="false">F11312</f>
        <v>78.61</v>
      </c>
      <c r="H11301" s="16" t="n">
        <f aca="false">G11312</f>
        <v>78.61</v>
      </c>
      <c r="I11301" s="16" t="n">
        <f aca="false">H11312</f>
        <v>78.61</v>
      </c>
      <c r="J11301" s="16" t="n">
        <f aca="false">I11312</f>
        <v>78.61</v>
      </c>
      <c r="K11301" s="16" t="n">
        <f aca="false">J11312</f>
        <v>78.61</v>
      </c>
    </row>
    <row r="11302" customFormat="false" ht="15" hidden="false" customHeight="false" outlineLevel="0" collapsed="false">
      <c r="A11302" s="3" t="s">
        <v>330</v>
      </c>
      <c r="G11302" s="21" t="n">
        <f aca="false">IF(G11148=Assumptions!$K$66,1,0)</f>
        <v>0</v>
      </c>
      <c r="H11302" s="21" t="n">
        <f aca="false">IF(H11148=Assumptions!$K$66,1,0)</f>
        <v>0</v>
      </c>
      <c r="I11302" s="21" t="n">
        <f aca="false">IF(I11148=Assumptions!$K$66,1,0)</f>
        <v>0</v>
      </c>
      <c r="J11302" s="21" t="n">
        <f aca="false">IF(J11148=Assumptions!$K$66,1,0)</f>
        <v>0</v>
      </c>
      <c r="K11302" s="21" t="n">
        <f aca="false">IF(K11148=Assumptions!$K$66,1,0)</f>
        <v>0</v>
      </c>
    </row>
    <row r="11304" customFormat="false" ht="15" hidden="false" customHeight="false" outlineLevel="0" collapsed="false">
      <c r="A11304" s="3" t="s">
        <v>331</v>
      </c>
      <c r="G11304" s="31" t="n">
        <f aca="false">IF(Assumptions!$I$66=1,MAX(G11174,Assumptions!$G$66)+Assumptions!$F$66+$C$11175,Assumptions!$E$66)</f>
        <v>0.0841</v>
      </c>
      <c r="H11304" s="31" t="n">
        <f aca="false">IF(G11503=1,$C$11176,IF(Assumptions!$I$66=1,MAX(H11174,Assumptions!$G$66)+Assumptions!$F$66+$C$11175,Assumptions!$E$66))</f>
        <v>0.0826</v>
      </c>
      <c r="I11304" s="31" t="n">
        <f aca="false">IF(H11503=1,$C$11176,IF(Assumptions!$I$66=1,MAX(I11174,Assumptions!$G$66)+Assumptions!$F$66+$C$11175,Assumptions!$E$66))</f>
        <v>0.0801</v>
      </c>
      <c r="J11304" s="31" t="n">
        <f aca="false">IF(I11503=1,$C$11176,IF(Assumptions!$I$66=1,MAX(J11174,Assumptions!$G$66)+Assumptions!$F$66+$C$11175,Assumptions!$E$66))</f>
        <v>0.0801</v>
      </c>
      <c r="K11304" s="31" t="n">
        <f aca="false">IF(J11503=1,$C$11176,IF(Assumptions!$I$66=1,MAX(K11174,Assumptions!$G$66)+Assumptions!$F$66+$C$11175,Assumptions!$E$66))</f>
        <v>0.0801</v>
      </c>
    </row>
    <row r="11305" customFormat="false" ht="15" hidden="false" customHeight="false" outlineLevel="0" collapsed="false">
      <c r="A11305" s="3" t="s">
        <v>332</v>
      </c>
      <c r="G11305" s="16" t="n">
        <f aca="false">G11301*G11304</f>
        <v>6.611101</v>
      </c>
      <c r="H11305" s="16" t="n">
        <f aca="false">H11301*H11304</f>
        <v>6.493186</v>
      </c>
      <c r="I11305" s="16" t="n">
        <f aca="false">I11301*I11304</f>
        <v>6.296661</v>
      </c>
      <c r="J11305" s="16" t="n">
        <f aca="false">J11301*J11304</f>
        <v>6.296661</v>
      </c>
      <c r="K11305" s="16" t="n">
        <f aca="false">K11301*K11304</f>
        <v>6.296661</v>
      </c>
    </row>
    <row r="11306" customFormat="false" ht="15" hidden="false" customHeight="false" outlineLevel="0" collapsed="false">
      <c r="A11306" s="3" t="s">
        <v>333</v>
      </c>
      <c r="G11306" s="16" t="n">
        <f aca="false">G11301*Assumptions!$H$66</f>
        <v>0</v>
      </c>
      <c r="H11306" s="16" t="n">
        <f aca="false">H11301*Assumptions!$H$66</f>
        <v>0</v>
      </c>
      <c r="I11306" s="16" t="n">
        <f aca="false">I11301*Assumptions!$H$66</f>
        <v>0</v>
      </c>
      <c r="J11306" s="16" t="n">
        <f aca="false">J11301*Assumptions!$H$66</f>
        <v>0</v>
      </c>
      <c r="K11306" s="16" t="n">
        <f aca="false">K11301*Assumptions!$H$66</f>
        <v>0</v>
      </c>
    </row>
    <row r="11307" customFormat="false" ht="15" hidden="false" customHeight="false" outlineLevel="0" collapsed="false">
      <c r="A11307" s="3" t="s">
        <v>334</v>
      </c>
      <c r="G11307" s="16" t="n">
        <f aca="false">MIN(G11301,Assumptions!$L$66*Assumptions!$C$66)</f>
        <v>0</v>
      </c>
      <c r="H11307" s="16" t="n">
        <f aca="false">MIN(H11301,Assumptions!$L$66*Assumptions!$C$66)</f>
        <v>0</v>
      </c>
      <c r="I11307" s="16" t="n">
        <f aca="false">MIN(I11301,Assumptions!$L$66*Assumptions!$C$66)</f>
        <v>0</v>
      </c>
      <c r="J11307" s="16" t="n">
        <f aca="false">MIN(J11301,Assumptions!$L$66*Assumptions!$C$66)</f>
        <v>0</v>
      </c>
      <c r="K11307" s="16" t="n">
        <f aca="false">MIN(K11301,Assumptions!$L$66*Assumptions!$C$66)</f>
        <v>0</v>
      </c>
    </row>
    <row r="11308" customFormat="false" ht="15" hidden="false" customHeight="false" outlineLevel="0" collapsed="false">
      <c r="A11308" s="3" t="s">
        <v>335</v>
      </c>
      <c r="G11308" s="16" t="n">
        <f aca="false">IF(AND(Assumptions!$P$66=1,G11148&lt;Assumptions!$K$66),MIN(MAX(0,-G11364),MAX(0,Assumptions!$D$66-G11301)),0)</f>
        <v>0</v>
      </c>
      <c r="H11308" s="16" t="n">
        <f aca="false">IF(AND(Assumptions!$P$66=1,OR(H11148&lt;Assumptions!$K$66,G11503=1)),MIN(MAX(0,-H11364),MAX(0,Assumptions!$D$66-H11301)),0)</f>
        <v>0</v>
      </c>
      <c r="I11308" s="16" t="n">
        <f aca="false">IF(AND(Assumptions!$P$66=1,OR(I11148&lt;Assumptions!$K$66,H11503=1)),MIN(MAX(0,-I11364),MAX(0,Assumptions!$D$66-I11301)),0)</f>
        <v>0</v>
      </c>
      <c r="J11308" s="16" t="n">
        <f aca="false">IF(AND(Assumptions!$P$66=1,OR(J11148&lt;Assumptions!$K$66,I11503=1)),MIN(MAX(0,-J11364),MAX(0,Assumptions!$D$66-J11301)),0)</f>
        <v>0</v>
      </c>
      <c r="K11308" s="16" t="n">
        <f aca="false">IF(AND(Assumptions!$P$66=1,OR(K11148&lt;Assumptions!$K$66,J11503=1)),MIN(MAX(0,-K11364),MAX(0,Assumptions!$D$66-K11301)),0)</f>
        <v>0</v>
      </c>
    </row>
    <row r="11309" customFormat="false" ht="15" hidden="false" customHeight="false" outlineLevel="0" collapsed="false">
      <c r="A11309" s="3" t="s">
        <v>336</v>
      </c>
      <c r="G11309" s="16" t="n">
        <f aca="false">G11302*MIN(G11301-G11307+G11306,MAX(0,G11366-Assumptions!$C$12*G11182-G11192-G11205-G11218-G11231-G11244-G11257-G11270-G11283-G11296))</f>
        <v>0</v>
      </c>
      <c r="H11309" s="16" t="n">
        <f aca="false">H11302*MIN(H11301-H11307+H11306,MAX(0,H11366-Assumptions!$C$12*H11182-H11192-H11205-H11218-H11231-H11244-H11257-H11270-H11283-H11296))</f>
        <v>0</v>
      </c>
      <c r="I11309" s="16" t="n">
        <f aca="false">I11302*MIN(I11301-I11307+I11306,MAX(0,I11366-Assumptions!$C$12*I11182-I11192-I11205-I11218-I11231-I11244-I11257-I11270-I11283-I11296))</f>
        <v>0</v>
      </c>
      <c r="J11309" s="16" t="n">
        <f aca="false">J11302*MIN(J11301-J11307+J11306,MAX(0,J11366-Assumptions!$C$12*J11182-J11192-J11205-J11218-J11231-J11244-J11257-J11270-J11283-J11296))</f>
        <v>0</v>
      </c>
      <c r="K11309" s="16" t="n">
        <f aca="false">K11302*MIN(K11301-K11307+K11306,MAX(0,K11366-Assumptions!$C$12*K11182-K11192-K11205-K11218-K11231-K11244-K11257-K11270-K11283-K11296))</f>
        <v>0</v>
      </c>
    </row>
    <row r="11310" customFormat="false" ht="15" hidden="false" customHeight="false" outlineLevel="0" collapsed="false">
      <c r="A11310" s="3" t="s">
        <v>337</v>
      </c>
      <c r="G11310" s="16" t="n">
        <f aca="false">Assumptions!$N$66*MIN(G11301+G11308+G11306-G11307-G11309,MAX(0,G11370-G11193-G11206-G11219-G11232-G11245-G11258-G11271-G11284-G11297))</f>
        <v>0</v>
      </c>
      <c r="H11310" s="16" t="n">
        <f aca="false">Assumptions!$N$66*MIN(H11301+H11308+H11306-H11307-H11309,MAX(0,H11370-H11193-H11206-H11219-H11232-H11245-H11258-H11271-H11284-H11297))</f>
        <v>0</v>
      </c>
      <c r="I11310" s="16" t="n">
        <f aca="false">Assumptions!$N$66*MIN(I11301+I11308+I11306-I11307-I11309,MAX(0,I11370-I11193-I11206-I11219-I11232-I11245-I11258-I11271-I11284-I11297))</f>
        <v>0</v>
      </c>
      <c r="J11310" s="16" t="n">
        <f aca="false">Assumptions!$N$66*MIN(J11301+J11308+J11306-J11307-J11309,MAX(0,J11370-J11193-J11206-J11219-J11232-J11245-J11258-J11271-J11284-J11297))</f>
        <v>0</v>
      </c>
      <c r="K11310" s="16" t="n">
        <f aca="false">Assumptions!$N$66*MIN(K11301+K11308+K11306-K11307-K11309,MAX(0,K11370-K11193-K11206-K11219-K11232-K11245-K11258-K11271-K11284-K11297))</f>
        <v>0</v>
      </c>
    </row>
    <row r="11311" customFormat="false" ht="15" hidden="false" customHeight="false" outlineLevel="0" collapsed="false">
      <c r="A11311" s="3" t="s">
        <v>338</v>
      </c>
      <c r="G11311" s="16" t="n">
        <f aca="false">G11302*(1-G11182)*(G11301-G11307+G11306-G11309)</f>
        <v>0</v>
      </c>
      <c r="H11311" s="16" t="n">
        <f aca="false">H11302*(1-H11182)*(H11301-H11307+H11306-H11309)</f>
        <v>0</v>
      </c>
      <c r="I11311" s="16" t="n">
        <f aca="false">I11302*(1-I11182)*(I11301-I11307+I11306-I11309)</f>
        <v>0</v>
      </c>
      <c r="J11311" s="16" t="n">
        <f aca="false">J11302*(1-J11182)*(J11301-J11307+J11306-J11309)</f>
        <v>0</v>
      </c>
      <c r="K11311" s="16" t="n">
        <f aca="false">K11302*(1-K11182)*(K11301-K11307+K11306-K11309)</f>
        <v>0</v>
      </c>
    </row>
    <row r="11312" customFormat="false" ht="15" hidden="false" customHeight="false" outlineLevel="0" collapsed="false">
      <c r="A11312" s="2" t="s">
        <v>339</v>
      </c>
      <c r="F11312" s="28" t="n">
        <f aca="false">Assumptions!$C$66</f>
        <v>78.61</v>
      </c>
      <c r="G11312" s="17" t="n">
        <f aca="false">G11301+G11308+G11306-G11307-G11309-G11310</f>
        <v>78.61</v>
      </c>
      <c r="H11312" s="17" t="n">
        <f aca="false">H11301+H11308+H11306-H11307-H11309-H11310</f>
        <v>78.61</v>
      </c>
      <c r="I11312" s="17" t="n">
        <f aca="false">I11301+I11308+I11306-I11307-I11309-I11310</f>
        <v>78.61</v>
      </c>
      <c r="J11312" s="17" t="n">
        <f aca="false">J11301+J11308+J11306-J11307-J11309-J11310</f>
        <v>78.61</v>
      </c>
      <c r="K11312" s="17" t="n">
        <f aca="false">K11301+K11308+K11306-K11307-K11309-K11310</f>
        <v>78.61</v>
      </c>
    </row>
    <row r="11313" customFormat="false" ht="15" hidden="false" customHeight="false" outlineLevel="0" collapsed="false">
      <c r="A11313" s="24" t="s">
        <v>349</v>
      </c>
      <c r="B11313" s="25"/>
      <c r="C11313" s="25"/>
      <c r="D11313" s="25"/>
      <c r="E11313" s="25"/>
      <c r="F11313" s="25"/>
      <c r="G11313" s="25"/>
      <c r="H11313" s="25"/>
      <c r="I11313" s="25"/>
      <c r="J11313" s="25"/>
      <c r="K11313" s="25"/>
    </row>
    <row r="11314" customFormat="false" ht="15" hidden="false" customHeight="false" outlineLevel="0" collapsed="false">
      <c r="A11314" s="2" t="s">
        <v>350</v>
      </c>
      <c r="F11314" s="17" t="n">
        <f aca="false">F11195+F11208+F11221+F11234+F11247+F11260+F11273+F11286+F11299+F11312</f>
        <v>2625.934</v>
      </c>
      <c r="G11314" s="17" t="n">
        <f aca="false">G11195+G11208+G11221+G11234+G11247+G11260+G11273+G11286+G11299+G11312</f>
        <v>2621.934</v>
      </c>
      <c r="H11314" s="17" t="n">
        <f aca="false">H11195+H11208+H11221+H11234+H11247+H11260+H11273+H11286+H11299+H11312</f>
        <v>2568.26750002</v>
      </c>
      <c r="I11314" s="17" t="n">
        <f aca="false">I11195+I11208+I11221+I11234+I11247+I11260+I11273+I11286+I11299+I11312</f>
        <v>2564.26750002</v>
      </c>
      <c r="J11314" s="17" t="n">
        <f aca="false">J11195+J11208+J11221+J11234+J11247+J11260+J11273+J11286+J11299+J11312</f>
        <v>2560.26750002</v>
      </c>
      <c r="K11314" s="17" t="n">
        <f aca="false">K11195+K11208+K11221+K11234+K11247+K11260+K11273+K11286+K11299+K11312</f>
        <v>2556.26750002</v>
      </c>
    </row>
    <row r="11315" customFormat="false" ht="15" hidden="false" customHeight="false" outlineLevel="0" collapsed="false">
      <c r="A11315" s="3" t="s">
        <v>351</v>
      </c>
      <c r="G11315" s="16" t="n">
        <f aca="false">G11185*Assumptions!$C$57+G11198*Assumptions!$C$58+G11211*Assumptions!$C$59+G11224*Assumptions!$C$60+G11237*Assumptions!$C$61+G11250*Assumptions!$C$62+G11263*Assumptions!$C$63+G11276*Assumptions!$C$64+G11289*Assumptions!$C$65+G11302*Assumptions!$C$66</f>
        <v>0</v>
      </c>
      <c r="H11315" s="16" t="n">
        <f aca="false">H11185*Assumptions!$C$57+H11198*Assumptions!$C$58+H11211*Assumptions!$C$59+H11224*Assumptions!$C$60+H11237*Assumptions!$C$61+H11250*Assumptions!$C$62+H11263*Assumptions!$C$63+H11276*Assumptions!$C$64+H11289*Assumptions!$C$65+H11302*Assumptions!$C$66</f>
        <v>800</v>
      </c>
      <c r="I11315" s="16" t="n">
        <f aca="false">I11185*Assumptions!$C$57+I11198*Assumptions!$C$58+I11211*Assumptions!$C$59+I11224*Assumptions!$C$60+I11237*Assumptions!$C$61+I11250*Assumptions!$C$62+I11263*Assumptions!$C$63+I11276*Assumptions!$C$64+I11289*Assumptions!$C$65+I11302*Assumptions!$C$66</f>
        <v>550</v>
      </c>
      <c r="J11315" s="16" t="n">
        <f aca="false">J11185*Assumptions!$C$57+J11198*Assumptions!$C$58+J11211*Assumptions!$C$59+J11224*Assumptions!$C$60+J11237*Assumptions!$C$61+J11250*Assumptions!$C$62+J11263*Assumptions!$C$63+J11276*Assumptions!$C$64+J11289*Assumptions!$C$65+J11302*Assumptions!$C$66</f>
        <v>350</v>
      </c>
      <c r="K11315" s="16" t="n">
        <f aca="false">K11185*Assumptions!$C$57+K11198*Assumptions!$C$58+K11211*Assumptions!$C$59+K11224*Assumptions!$C$60+K11237*Assumptions!$C$61+K11250*Assumptions!$C$62+K11263*Assumptions!$C$63+K11276*Assumptions!$C$64+K11289*Assumptions!$C$65+K11302*Assumptions!$C$66</f>
        <v>700</v>
      </c>
    </row>
    <row r="11316" customFormat="false" ht="15" hidden="false" customHeight="false" outlineLevel="0" collapsed="false">
      <c r="A11316" s="24" t="s">
        <v>352</v>
      </c>
      <c r="B11316" s="25"/>
      <c r="C11316" s="25"/>
      <c r="D11316" s="25"/>
      <c r="E11316" s="25"/>
      <c r="F11316" s="25"/>
      <c r="G11316" s="25"/>
      <c r="H11316" s="25"/>
      <c r="I11316" s="25"/>
      <c r="J11316" s="25"/>
      <c r="K11316" s="25"/>
    </row>
    <row r="11317" customFormat="false" ht="15" hidden="false" customHeight="false" outlineLevel="0" collapsed="false">
      <c r="A11317" s="3" t="s">
        <v>353</v>
      </c>
      <c r="C11317" s="16" t="n">
        <f aca="false">SUMPRODUCT($G$11185:$K$11185,$G$11184:$K$11184-$G$11190:$K$11190+$G$11189:$K$11189)</f>
        <v>380</v>
      </c>
    </row>
    <row r="11318" customFormat="false" ht="15" hidden="false" customHeight="false" outlineLevel="0" collapsed="false">
      <c r="A11318" s="3" t="s">
        <v>354</v>
      </c>
      <c r="C11318" s="16" t="n">
        <f aca="false">SUMPRODUCT($G$11185:$K$11185,$G$11192:$K$11192)</f>
        <v>0</v>
      </c>
    </row>
    <row r="11319" customFormat="false" ht="15" hidden="false" customHeight="false" outlineLevel="0" collapsed="false">
      <c r="A11319" s="3" t="s">
        <v>355</v>
      </c>
      <c r="C11319" s="3" t="str">
        <f aca="false">IF(SUM($G$11185:$K$11185)=0,"n/a (beyond horizon)",IF(SUMPRODUCT($G$11185:$K$11185,$G$11182:$K$11182)&gt;0,"REFINANCING PASS","REFINANCING FAILURE"))</f>
        <v>REFINANCING FAILURE</v>
      </c>
    </row>
    <row r="11320" customFormat="false" ht="15" hidden="false" customHeight="false" outlineLevel="0" collapsed="false">
      <c r="A11320" s="3" t="s">
        <v>356</v>
      </c>
      <c r="C11320" s="3" t="str">
        <f aca="false">IF(SUM($G$11185:$K$11185)=0,"n/a",IF(C11318&gt;=C11317-0.001,"Repaid from cash",IF(SUMPRODUCT($G$11185:$K$11185,$G$11182:$K$11182)&gt;0,IF(C11318&gt;0,"Partly repaid; remainder refinanced","Refinanced"),IF(SUM($G$11194:$K$11194)&gt;0.001,IF(C11318&gt;0,"Partial repayment; PAYMENT DEFAULT","PAYMENT DEFAULT"),"Repaid from cash"))))</f>
        <v>PAYMENT DEFAULT</v>
      </c>
    </row>
    <row r="11321" customFormat="false" ht="15" hidden="false" customHeight="false" outlineLevel="0" collapsed="false">
      <c r="A11321" s="3" t="s">
        <v>357</v>
      </c>
      <c r="C11321" s="16" t="n">
        <f aca="false">SUMPRODUCT($G$11198:$K$11198,$G$11197:$K$11197-$G$11203:$K$11203+$G$11202:$K$11202)</f>
        <v>0</v>
      </c>
    </row>
    <row r="11322" customFormat="false" ht="15" hidden="false" customHeight="false" outlineLevel="0" collapsed="false">
      <c r="A11322" s="3" t="s">
        <v>358</v>
      </c>
      <c r="C11322" s="16" t="n">
        <f aca="false">SUMPRODUCT($G$11198:$K$11198,$G$11205:$K$11205)</f>
        <v>0</v>
      </c>
    </row>
    <row r="11323" customFormat="false" ht="15" hidden="false" customHeight="false" outlineLevel="0" collapsed="false">
      <c r="A11323" s="3" t="s">
        <v>359</v>
      </c>
      <c r="C11323" s="3" t="str">
        <f aca="false">IF(SUM($G$11198:$K$11198)=0,"n/a (beyond horizon)",IF(SUMPRODUCT($G$11198:$K$11198,$G$11182:$K$11182)&gt;0,"REFINANCING PASS","REFINANCING FAILURE"))</f>
        <v>n/a (beyond horizon)</v>
      </c>
    </row>
    <row r="11324" customFormat="false" ht="15" hidden="false" customHeight="false" outlineLevel="0" collapsed="false">
      <c r="A11324" s="3" t="s">
        <v>360</v>
      </c>
      <c r="C11324" s="3" t="str">
        <f aca="false">IF(SUM($G$11198:$K$11198)=0,"n/a",IF(C11322&gt;=C11321-0.001,"Repaid from cash",IF(SUMPRODUCT($G$11198:$K$11198,$G$11182:$K$11182)&gt;0,IF(C11322&gt;0,"Partly repaid; remainder refinanced","Refinanced"),IF(SUM($G$11207:$K$11207)&gt;0.001,IF(C11322&gt;0,"Partial repayment; PAYMENT DEFAULT","PAYMENT DEFAULT"),"Repaid from cash"))))</f>
        <v>n/a</v>
      </c>
    </row>
    <row r="11325" customFormat="false" ht="15" hidden="false" customHeight="false" outlineLevel="0" collapsed="false">
      <c r="A11325" s="3" t="s">
        <v>361</v>
      </c>
      <c r="C11325" s="16" t="n">
        <f aca="false">SUMPRODUCT($G$11211:$K$11211,$G$11210:$K$11210-$G$11216:$K$11216+$G$11215:$K$11215)</f>
        <v>0</v>
      </c>
    </row>
    <row r="11326" customFormat="false" ht="15" hidden="false" customHeight="false" outlineLevel="0" collapsed="false">
      <c r="A11326" s="3" t="s">
        <v>362</v>
      </c>
      <c r="C11326" s="16" t="n">
        <f aca="false">SUMPRODUCT($G$11211:$K$11211,$G$11218:$K$11218)</f>
        <v>0</v>
      </c>
    </row>
    <row r="11327" customFormat="false" ht="15" hidden="false" customHeight="false" outlineLevel="0" collapsed="false">
      <c r="A11327" s="3" t="s">
        <v>363</v>
      </c>
      <c r="C11327" s="3" t="str">
        <f aca="false">IF(SUM($G$11211:$K$11211)=0,"n/a (beyond horizon)",IF(SUMPRODUCT($G$11211:$K$11211,$G$11182:$K$11182)&gt;0,"REFINANCING PASS","REFINANCING FAILURE"))</f>
        <v>n/a (beyond horizon)</v>
      </c>
    </row>
    <row r="11328" customFormat="false" ht="15" hidden="false" customHeight="false" outlineLevel="0" collapsed="false">
      <c r="A11328" s="3" t="s">
        <v>364</v>
      </c>
      <c r="C11328" s="3" t="str">
        <f aca="false">IF(SUM($G$11211:$K$11211)=0,"n/a",IF(C11326&gt;=C11325-0.001,"Repaid from cash",IF(SUMPRODUCT($G$11211:$K$11211,$G$11182:$K$11182)&gt;0,IF(C11326&gt;0,"Partly repaid; remainder refinanced","Refinanced"),IF(SUM($G$11220:$K$11220)&gt;0.001,IF(C11326&gt;0,"Partial repayment; PAYMENT DEFAULT","PAYMENT DEFAULT"),"Repaid from cash"))))</f>
        <v>n/a</v>
      </c>
    </row>
    <row r="11329" customFormat="false" ht="15" hidden="false" customHeight="false" outlineLevel="0" collapsed="false">
      <c r="A11329" s="3" t="s">
        <v>365</v>
      </c>
      <c r="C11329" s="16" t="n">
        <f aca="false">SUMPRODUCT($G$11224:$K$11224,$G$11223:$K$11223-$G$11229:$K$11229+$G$11228:$K$11228)</f>
        <v>0</v>
      </c>
    </row>
    <row r="11330" customFormat="false" ht="15" hidden="false" customHeight="false" outlineLevel="0" collapsed="false">
      <c r="A11330" s="3" t="s">
        <v>366</v>
      </c>
      <c r="C11330" s="16" t="n">
        <f aca="false">SUMPRODUCT($G$11224:$K$11224,$G$11231:$K$11231)</f>
        <v>0</v>
      </c>
    </row>
    <row r="11331" customFormat="false" ht="15" hidden="false" customHeight="false" outlineLevel="0" collapsed="false">
      <c r="A11331" s="3" t="s">
        <v>367</v>
      </c>
      <c r="C11331" s="3" t="str">
        <f aca="false">IF(SUM($G$11224:$K$11224)=0,"n/a (beyond horizon)",IF(SUMPRODUCT($G$11224:$K$11224,$G$11182:$K$11182)&gt;0,"REFINANCING PASS","REFINANCING FAILURE"))</f>
        <v>REFINANCING FAILURE</v>
      </c>
    </row>
    <row r="11332" customFormat="false" ht="15" hidden="false" customHeight="false" outlineLevel="0" collapsed="false">
      <c r="A11332" s="3" t="s">
        <v>368</v>
      </c>
      <c r="C11332" s="3" t="str">
        <f aca="false">IF(SUM($G$11224:$K$11224)=0,"n/a",IF(C11330&gt;=C11329-0.001,"Repaid from cash",IF(SUMPRODUCT($G$11224:$K$11224,$G$11182:$K$11182)&gt;0,IF(C11330&gt;0,"Partly repaid; remainder refinanced","Refinanced"),IF(SUM($G$11233:$K$11233)&gt;0.001,IF(C11330&gt;0,"Partial repayment; PAYMENT DEFAULT","PAYMENT DEFAULT"),"Repaid from cash"))))</f>
        <v>Repaid from cash</v>
      </c>
    </row>
    <row r="11333" customFormat="false" ht="15" hidden="false" customHeight="false" outlineLevel="0" collapsed="false">
      <c r="A11333" s="3" t="s">
        <v>369</v>
      </c>
      <c r="C11333" s="16" t="n">
        <f aca="false">SUMPRODUCT($G$11237:$K$11237,$G$11236:$K$11236-$G$11242:$K$11242+$G$11241:$K$11241)</f>
        <v>450</v>
      </c>
    </row>
    <row r="11334" customFormat="false" ht="15" hidden="false" customHeight="false" outlineLevel="0" collapsed="false">
      <c r="A11334" s="3" t="s">
        <v>370</v>
      </c>
      <c r="C11334" s="16" t="n">
        <f aca="false">SUMPRODUCT($G$11237:$K$11237,$G$11244:$K$11244)</f>
        <v>49.66649998</v>
      </c>
    </row>
    <row r="11335" customFormat="false" ht="15" hidden="false" customHeight="false" outlineLevel="0" collapsed="false">
      <c r="A11335" s="3" t="s">
        <v>371</v>
      </c>
      <c r="C11335" s="3" t="str">
        <f aca="false">IF(SUM($G$11237:$K$11237)=0,"n/a (beyond horizon)",IF(SUMPRODUCT($G$11237:$K$11237,$G$11182:$K$11182)&gt;0,"REFINANCING PASS","REFINANCING FAILURE"))</f>
        <v>REFINANCING FAILURE</v>
      </c>
    </row>
    <row r="11336" customFormat="false" ht="15" hidden="false" customHeight="false" outlineLevel="0" collapsed="false">
      <c r="A11336" s="3" t="s">
        <v>372</v>
      </c>
      <c r="C11336" s="3" t="str">
        <f aca="false">IF(SUM($G$11237:$K$11237)=0,"n/a",IF(C11334&gt;=C11333-0.001,"Repaid from cash",IF(SUMPRODUCT($G$11237:$K$11237,$G$11182:$K$11182)&gt;0,IF(C11334&gt;0,"Partly repaid; remainder refinanced","Refinanced"),IF(SUM($G$11246:$K$11246)&gt;0.001,IF(C11334&gt;0,"Partial repayment; PAYMENT DEFAULT","PAYMENT DEFAULT"),"Repaid from cash"))))</f>
        <v>Partial repayment; PAYMENT DEFAULT</v>
      </c>
    </row>
    <row r="11337" customFormat="false" ht="15" hidden="false" customHeight="false" outlineLevel="0" collapsed="false">
      <c r="A11337" s="3" t="s">
        <v>373</v>
      </c>
      <c r="C11337" s="16" t="n">
        <f aca="false">SUMPRODUCT($G$11250:$K$11250,$G$11249:$K$11249-$G$11255:$K$11255+$G$11254:$K$11254)</f>
        <v>350</v>
      </c>
    </row>
    <row r="11338" customFormat="false" ht="15" hidden="false" customHeight="false" outlineLevel="0" collapsed="false">
      <c r="A11338" s="3" t="s">
        <v>374</v>
      </c>
      <c r="C11338" s="16" t="n">
        <f aca="false">SUMPRODUCT($G$11250:$K$11250,$G$11257:$K$11257)</f>
        <v>0</v>
      </c>
    </row>
    <row r="11339" customFormat="false" ht="15" hidden="false" customHeight="false" outlineLevel="0" collapsed="false">
      <c r="A11339" s="3" t="s">
        <v>375</v>
      </c>
      <c r="C11339" s="3" t="str">
        <f aca="false">IF(SUM($G$11250:$K$11250)=0,"n/a (beyond horizon)",IF(SUMPRODUCT($G$11250:$K$11250,$G$11182:$K$11182)&gt;0,"REFINANCING PASS","REFINANCING FAILURE"))</f>
        <v>REFINANCING FAILURE</v>
      </c>
    </row>
    <row r="11340" customFormat="false" ht="15" hidden="false" customHeight="false" outlineLevel="0" collapsed="false">
      <c r="A11340" s="3" t="s">
        <v>376</v>
      </c>
      <c r="C11340" s="3" t="str">
        <f aca="false">IF(SUM($G$11250:$K$11250)=0,"n/a",IF(C11338&gt;=C11337-0.001,"Repaid from cash",IF(SUMPRODUCT($G$11250:$K$11250,$G$11182:$K$11182)&gt;0,IF(C11338&gt;0,"Partly repaid; remainder refinanced","Refinanced"),IF(SUM($G$11259:$K$11259)&gt;0.001,IF(C11338&gt;0,"Partial repayment; PAYMENT DEFAULT","PAYMENT DEFAULT"),"Repaid from cash"))))</f>
        <v>PAYMENT DEFAULT</v>
      </c>
    </row>
    <row r="11341" customFormat="false" ht="15" hidden="false" customHeight="false" outlineLevel="0" collapsed="false">
      <c r="A11341" s="3" t="s">
        <v>377</v>
      </c>
      <c r="C11341" s="16" t="n">
        <f aca="false">SUMPRODUCT($G$11263:$K$11263,$G$11262:$K$11262-$G$11268:$K$11268+$G$11267:$K$11267)</f>
        <v>550</v>
      </c>
    </row>
    <row r="11342" customFormat="false" ht="15" hidden="false" customHeight="false" outlineLevel="0" collapsed="false">
      <c r="A11342" s="3" t="s">
        <v>378</v>
      </c>
      <c r="C11342" s="16" t="n">
        <f aca="false">SUMPRODUCT($G$11263:$K$11263,$G$11270:$K$11270)</f>
        <v>0</v>
      </c>
    </row>
    <row r="11343" customFormat="false" ht="15" hidden="false" customHeight="false" outlineLevel="0" collapsed="false">
      <c r="A11343" s="3" t="s">
        <v>379</v>
      </c>
      <c r="C11343" s="3" t="str">
        <f aca="false">IF(SUM($G$11263:$K$11263)=0,"n/a (beyond horizon)",IF(SUMPRODUCT($G$11263:$K$11263,$G$11182:$K$11182)&gt;0,"REFINANCING PASS","REFINANCING FAILURE"))</f>
        <v>REFINANCING FAILURE</v>
      </c>
    </row>
    <row r="11344" customFormat="false" ht="15" hidden="false" customHeight="false" outlineLevel="0" collapsed="false">
      <c r="A11344" s="3" t="s">
        <v>380</v>
      </c>
      <c r="C11344" s="3" t="str">
        <f aca="false">IF(SUM($G$11263:$K$11263)=0,"n/a",IF(C11342&gt;=C11341-0.001,"Repaid from cash",IF(SUMPRODUCT($G$11263:$K$11263,$G$11182:$K$11182)&gt;0,IF(C11342&gt;0,"Partly repaid; remainder refinanced","Refinanced"),IF(SUM($G$11272:$K$11272)&gt;0.001,IF(C11342&gt;0,"Partial repayment; PAYMENT DEFAULT","PAYMENT DEFAULT"),"Repaid from cash"))))</f>
        <v>PAYMENT DEFAULT</v>
      </c>
    </row>
    <row r="11345" customFormat="false" ht="15" hidden="false" customHeight="false" outlineLevel="0" collapsed="false">
      <c r="A11345" s="3" t="s">
        <v>381</v>
      </c>
      <c r="C11345" s="16" t="n">
        <f aca="false">SUMPRODUCT($G$11276:$K$11276,$G$11275:$K$11275-$G$11281:$K$11281+$G$11280:$K$11280)</f>
        <v>350</v>
      </c>
    </row>
    <row r="11346" customFormat="false" ht="15" hidden="false" customHeight="false" outlineLevel="0" collapsed="false">
      <c r="A11346" s="3" t="s">
        <v>382</v>
      </c>
      <c r="C11346" s="16" t="n">
        <f aca="false">SUMPRODUCT($G$11276:$K$11276,$G$11283:$K$11283)</f>
        <v>0</v>
      </c>
    </row>
    <row r="11347" customFormat="false" ht="15" hidden="false" customHeight="false" outlineLevel="0" collapsed="false">
      <c r="A11347" s="3" t="s">
        <v>383</v>
      </c>
      <c r="C11347" s="3" t="str">
        <f aca="false">IF(SUM($G$11276:$K$11276)=0,"n/a (beyond horizon)",IF(SUMPRODUCT($G$11276:$K$11276,$G$11182:$K$11182)&gt;0,"REFINANCING PASS","REFINANCING FAILURE"))</f>
        <v>REFINANCING FAILURE</v>
      </c>
    </row>
    <row r="11348" customFormat="false" ht="15" hidden="false" customHeight="false" outlineLevel="0" collapsed="false">
      <c r="A11348" s="3" t="s">
        <v>384</v>
      </c>
      <c r="C11348" s="3" t="str">
        <f aca="false">IF(SUM($G$11276:$K$11276)=0,"n/a",IF(C11346&gt;=C11345-0.001,"Repaid from cash",IF(SUMPRODUCT($G$11276:$K$11276,$G$11182:$K$11182)&gt;0,IF(C11346&gt;0,"Partly repaid; remainder refinanced","Refinanced"),IF(SUM($G$11285:$K$11285)&gt;0.001,IF(C11346&gt;0,"Partial repayment; PAYMENT DEFAULT","PAYMENT DEFAULT"),"Repaid from cash"))))</f>
        <v>PAYMENT DEFAULT</v>
      </c>
    </row>
    <row r="11349" customFormat="false" ht="15" hidden="false" customHeight="false" outlineLevel="0" collapsed="false">
      <c r="A11349" s="3" t="s">
        <v>385</v>
      </c>
      <c r="C11349" s="16" t="n">
        <f aca="false">SUMPRODUCT($G$11289:$K$11289,$G$11288:$K$11288-$G$11294:$K$11294+$G$11293:$K$11293)</f>
        <v>300</v>
      </c>
    </row>
    <row r="11350" customFormat="false" ht="15" hidden="false" customHeight="false" outlineLevel="0" collapsed="false">
      <c r="A11350" s="3" t="s">
        <v>386</v>
      </c>
      <c r="C11350" s="16" t="n">
        <f aca="false">SUMPRODUCT($G$11289:$K$11289,$G$11296:$K$11296)</f>
        <v>0</v>
      </c>
    </row>
    <row r="11351" customFormat="false" ht="15" hidden="false" customHeight="false" outlineLevel="0" collapsed="false">
      <c r="A11351" s="3" t="s">
        <v>387</v>
      </c>
      <c r="C11351" s="3" t="str">
        <f aca="false">IF(SUM($G$11289:$K$11289)=0,"n/a (beyond horizon)",IF(SUMPRODUCT($G$11289:$K$11289,$G$11182:$K$11182)&gt;0,"REFINANCING PASS","REFINANCING FAILURE"))</f>
        <v>REFINANCING FAILURE</v>
      </c>
    </row>
    <row r="11352" customFormat="false" ht="15" hidden="false" customHeight="false" outlineLevel="0" collapsed="false">
      <c r="A11352" s="3" t="s">
        <v>388</v>
      </c>
      <c r="C11352" s="3" t="str">
        <f aca="false">IF(SUM($G$11289:$K$11289)=0,"n/a",IF(C11350&gt;=C11349-0.001,"Repaid from cash",IF(SUMPRODUCT($G$11289:$K$11289,$G$11182:$K$11182)&gt;0,IF(C11350&gt;0,"Partly repaid; remainder refinanced","Refinanced"),IF(SUM($G$11298:$K$11298)&gt;0.001,IF(C11350&gt;0,"Partial repayment; PAYMENT DEFAULT","PAYMENT DEFAULT"),"Repaid from cash"))))</f>
        <v>PAYMENT DEFAULT</v>
      </c>
    </row>
    <row r="11353" customFormat="false" ht="15" hidden="false" customHeight="false" outlineLevel="0" collapsed="false">
      <c r="A11353" s="3" t="s">
        <v>389</v>
      </c>
      <c r="C11353" s="16" t="n">
        <f aca="false">SUMPRODUCT($G$11302:$K$11302,$G$11301:$K$11301-$G$11307:$K$11307+$G$11306:$K$11306)</f>
        <v>0</v>
      </c>
    </row>
    <row r="11354" customFormat="false" ht="15" hidden="false" customHeight="false" outlineLevel="0" collapsed="false">
      <c r="A11354" s="3" t="s">
        <v>390</v>
      </c>
      <c r="C11354" s="16" t="n">
        <f aca="false">SUMPRODUCT($G$11302:$K$11302,$G$11309:$K$11309)</f>
        <v>0</v>
      </c>
    </row>
    <row r="11355" customFormat="false" ht="15" hidden="false" customHeight="false" outlineLevel="0" collapsed="false">
      <c r="A11355" s="3" t="s">
        <v>391</v>
      </c>
      <c r="C11355" s="3" t="str">
        <f aca="false">IF(SUM($G$11302:$K$11302)=0,"n/a (beyond horizon)",IF(SUMPRODUCT($G$11302:$K$11302,$G$11182:$K$11182)&gt;0,"REFINANCING PASS","REFINANCING FAILURE"))</f>
        <v>n/a (beyond horizon)</v>
      </c>
    </row>
    <row r="11356" customFormat="false" ht="15" hidden="false" customHeight="false" outlineLevel="0" collapsed="false">
      <c r="A11356" s="3" t="s">
        <v>392</v>
      </c>
      <c r="C11356" s="3" t="str">
        <f aca="false">IF(SUM($G$11302:$K$11302)=0,"n/a",IF(C11354&gt;=C11353-0.001,"Repaid from cash",IF(SUMPRODUCT($G$11302:$K$11302,$G$11182:$K$11182)&gt;0,IF(C11354&gt;0,"Partly repaid; remainder refinanced","Refinanced"),IF(SUM($G$11311:$K$11311)&gt;0.001,IF(C11354&gt;0,"Partial repayment; PAYMENT DEFAULT","PAYMENT DEFAULT"),"Repaid from cash"))))</f>
        <v>n/a</v>
      </c>
    </row>
    <row r="11357" customFormat="false" ht="15" hidden="false" customHeight="false" outlineLevel="0" collapsed="false">
      <c r="A11357" s="3" t="s">
        <v>393</v>
      </c>
      <c r="C11357" s="21" t="n">
        <f aca="false">IF(C11319="REFINANCING FAILURE",1,0)+IF(C11323="REFINANCING FAILURE",1,0)+IF(C11327="REFINANCING FAILURE",1,0)+IF(C11331="REFINANCING FAILURE",1,0)+IF(C11335="REFINANCING FAILURE",1,0)+IF(C11339="REFINANCING FAILURE",1,0)+IF(C11343="REFINANCING FAILURE",1,0)+IF(C11347="REFINANCING FAILURE",1,0)+IF(C11351="REFINANCING FAILURE",1,0)+IF(C11355="REFINANCING FAILURE",1,0)</f>
        <v>7</v>
      </c>
    </row>
    <row r="11359" customFormat="false" ht="15" hidden="false" customHeight="false" outlineLevel="0" collapsed="false">
      <c r="A11359" s="24" t="s">
        <v>395</v>
      </c>
      <c r="B11359" s="25"/>
      <c r="C11359" s="25"/>
      <c r="D11359" s="25"/>
      <c r="E11359" s="25"/>
      <c r="F11359" s="25"/>
      <c r="G11359" s="25"/>
      <c r="H11359" s="25"/>
      <c r="I11359" s="25"/>
      <c r="J11359" s="25"/>
      <c r="K11359" s="25"/>
    </row>
    <row r="11360" customFormat="false" ht="15" hidden="false" customHeight="false" outlineLevel="0" collapsed="false">
      <c r="A11360" s="3" t="s">
        <v>325</v>
      </c>
      <c r="G11360" s="16" t="n">
        <f aca="false">F11372</f>
        <v>37.87</v>
      </c>
      <c r="H11360" s="16" t="n">
        <f aca="false">G11372</f>
        <v>105.2329176</v>
      </c>
      <c r="I11360" s="16" t="n">
        <f aca="false">H11372</f>
        <v>0</v>
      </c>
      <c r="J11360" s="16" t="n">
        <f aca="false">I11372</f>
        <v>-58.22496285414</v>
      </c>
      <c r="K11360" s="16" t="n">
        <f aca="false">J11372</f>
        <v>-113.95713830833</v>
      </c>
    </row>
    <row r="11361" customFormat="false" ht="15" hidden="false" customHeight="false" outlineLevel="0" collapsed="false">
      <c r="A11361" s="3" t="s">
        <v>396</v>
      </c>
      <c r="G11361" s="16" t="n">
        <f aca="false">G11171</f>
        <v>-28.6370824</v>
      </c>
      <c r="H11361" s="16" t="n">
        <f aca="false">H11171</f>
        <v>-51.56641762</v>
      </c>
      <c r="I11361" s="16" t="n">
        <f aca="false">I11171</f>
        <v>-54.22496285414</v>
      </c>
      <c r="J11361" s="16" t="n">
        <f aca="false">J11171</f>
        <v>-51.73217545419</v>
      </c>
      <c r="K11361" s="16" t="n">
        <f aca="false">K11171</f>
        <v>-45.800649474325</v>
      </c>
    </row>
    <row r="11362" customFormat="false" ht="15" hidden="false" customHeight="false" outlineLevel="0" collapsed="false">
      <c r="A11362" s="3" t="s">
        <v>397</v>
      </c>
      <c r="G11362" s="16" t="n">
        <f aca="false">CHOOSE($C$11141,Assumptions!$G$82,Assumptions!$G$101,Assumptions!$G$120)</f>
        <v>100</v>
      </c>
      <c r="H11362" s="16" t="n">
        <f aca="false">CHOOSE($C$11141,Assumptions!$H$82,Assumptions!$H$101,Assumptions!$H$120)</f>
        <v>0</v>
      </c>
      <c r="I11362" s="16" t="n">
        <f aca="false">CHOOSE($C$11141,Assumptions!$I$82,Assumptions!$I$101,Assumptions!$I$120)</f>
        <v>0</v>
      </c>
      <c r="J11362" s="16" t="n">
        <f aca="false">CHOOSE($C$11141,Assumptions!$J$82,Assumptions!$J$101,Assumptions!$J$120)</f>
        <v>0</v>
      </c>
      <c r="K11362" s="16" t="n">
        <f aca="false">CHOOSE($C$11141,Assumptions!$K$82,Assumptions!$K$101,Assumptions!$K$120)</f>
        <v>0</v>
      </c>
    </row>
    <row r="11363" customFormat="false" ht="15" hidden="false" customHeight="false" outlineLevel="0" collapsed="false">
      <c r="A11363" s="3" t="s">
        <v>398</v>
      </c>
      <c r="G11363" s="16" t="n">
        <f aca="false">G11190+G11203+G11216+G11229+G11242+G11255+G11268+G11281+G11294+G11307</f>
        <v>4</v>
      </c>
      <c r="H11363" s="16" t="n">
        <f aca="false">H11190+H11203+H11216+H11229+H11242+H11255+H11268+H11281+H11294+H11307</f>
        <v>4</v>
      </c>
      <c r="I11363" s="16" t="n">
        <f aca="false">I11190+I11203+I11216+I11229+I11242+I11255+I11268+I11281+I11294+I11307</f>
        <v>4</v>
      </c>
      <c r="J11363" s="16" t="n">
        <f aca="false">J11190+J11203+J11216+J11229+J11242+J11255+J11268+J11281+J11294+J11307</f>
        <v>4</v>
      </c>
      <c r="K11363" s="16" t="n">
        <f aca="false">K11190+K11203+K11216+K11229+K11242+K11255+K11268+K11281+K11294+K11307</f>
        <v>4</v>
      </c>
    </row>
    <row r="11364" customFormat="false" ht="15" hidden="false" customHeight="false" outlineLevel="0" collapsed="false">
      <c r="A11364" s="2" t="s">
        <v>399</v>
      </c>
      <c r="G11364" s="17" t="n">
        <f aca="false">G11360+G11361+G11362-G11363</f>
        <v>105.2329176</v>
      </c>
      <c r="H11364" s="17" t="n">
        <f aca="false">H11360+H11361+H11362-H11363</f>
        <v>49.66649998</v>
      </c>
      <c r="I11364" s="17" t="n">
        <f aca="false">I11360+I11361+I11362-I11363</f>
        <v>-58.22496285414</v>
      </c>
      <c r="J11364" s="17" t="n">
        <f aca="false">J11360+J11361+J11362-J11363</f>
        <v>-113.95713830833</v>
      </c>
      <c r="K11364" s="17" t="n">
        <f aca="false">K11360+K11361+K11362-K11363</f>
        <v>-163.757787782655</v>
      </c>
    </row>
    <row r="11365" customFormat="false" ht="15" hidden="false" customHeight="false" outlineLevel="0" collapsed="false">
      <c r="A11365" s="3" t="s">
        <v>400</v>
      </c>
      <c r="G11365" s="16" t="n">
        <f aca="false">G11191+G11204+G11217+G11230+G11243+G11256+G11269+G11282+G11295+G11308</f>
        <v>0</v>
      </c>
      <c r="H11365" s="16" t="n">
        <f aca="false">H11191+H11204+H11217+H11230+H11243+H11256+H11269+H11282+H11295+H11308</f>
        <v>0</v>
      </c>
      <c r="I11365" s="16" t="n">
        <f aca="false">I11191+I11204+I11217+I11230+I11243+I11256+I11269+I11282+I11295+I11308</f>
        <v>0</v>
      </c>
      <c r="J11365" s="16" t="n">
        <f aca="false">J11191+J11204+J11217+J11230+J11243+J11256+J11269+J11282+J11295+J11308</f>
        <v>0</v>
      </c>
      <c r="K11365" s="16" t="n">
        <f aca="false">K11191+K11204+K11217+K11230+K11243+K11256+K11269+K11282+K11295+K11308</f>
        <v>0</v>
      </c>
    </row>
    <row r="11366" customFormat="false" ht="15" hidden="false" customHeight="false" outlineLevel="0" collapsed="false">
      <c r="A11366" s="2" t="s">
        <v>401</v>
      </c>
      <c r="G11366" s="17" t="n">
        <f aca="false">G11364+G11365</f>
        <v>105.2329176</v>
      </c>
      <c r="H11366" s="17" t="n">
        <f aca="false">H11364+H11365</f>
        <v>49.66649998</v>
      </c>
      <c r="I11366" s="17" t="n">
        <f aca="false">I11364+I11365</f>
        <v>-58.22496285414</v>
      </c>
      <c r="J11366" s="17" t="n">
        <f aca="false">J11364+J11365</f>
        <v>-113.95713830833</v>
      </c>
      <c r="K11366" s="17" t="n">
        <f aca="false">K11364+K11365</f>
        <v>-163.757787782655</v>
      </c>
    </row>
    <row r="11367" customFormat="false" ht="15" hidden="false" customHeight="false" outlineLevel="0" collapsed="false">
      <c r="A11367" s="3" t="s">
        <v>402</v>
      </c>
      <c r="G11367" s="16" t="n">
        <f aca="false">G11192+G11205+G11218+G11231+G11244+G11257+G11270+G11283+G11296+G11309</f>
        <v>0</v>
      </c>
      <c r="H11367" s="16" t="n">
        <f aca="false">H11192+H11205+H11218+H11231+H11244+H11257+H11270+H11283+H11296+H11309</f>
        <v>49.66649998</v>
      </c>
      <c r="I11367" s="16" t="n">
        <f aca="false">I11192+I11205+I11218+I11231+I11244+I11257+I11270+I11283+I11296+I11309</f>
        <v>0</v>
      </c>
      <c r="J11367" s="16" t="n">
        <f aca="false">J11192+J11205+J11218+J11231+J11244+J11257+J11270+J11283+J11296+J11309</f>
        <v>0</v>
      </c>
      <c r="K11367" s="16" t="n">
        <f aca="false">K11192+K11205+K11218+K11231+K11244+K11257+K11270+K11283+K11296+K11309</f>
        <v>0</v>
      </c>
    </row>
    <row r="11368" customFormat="false" ht="15" hidden="false" customHeight="false" outlineLevel="0" collapsed="false">
      <c r="A11368" s="2" t="s">
        <v>403</v>
      </c>
      <c r="G11368" s="17" t="n">
        <f aca="false">G11366-G11367</f>
        <v>105.2329176</v>
      </c>
      <c r="H11368" s="17" t="n">
        <f aca="false">H11366-H11367</f>
        <v>0</v>
      </c>
      <c r="I11368" s="17" t="n">
        <f aca="false">I11366-I11367</f>
        <v>-58.22496285414</v>
      </c>
      <c r="J11368" s="17" t="n">
        <f aca="false">J11366-J11367</f>
        <v>-113.95713830833</v>
      </c>
      <c r="K11368" s="17" t="n">
        <f aca="false">K11366-K11367</f>
        <v>-163.757787782655</v>
      </c>
    </row>
    <row r="11369" customFormat="false" ht="15" hidden="false" customHeight="false" outlineLevel="0" collapsed="false">
      <c r="A11369" s="3" t="s">
        <v>404</v>
      </c>
      <c r="G11369" s="16" t="n">
        <f aca="false">MAX(0,-G11368)</f>
        <v>0</v>
      </c>
      <c r="H11369" s="16" t="n">
        <f aca="false">MAX(0,-H11368)</f>
        <v>-0</v>
      </c>
      <c r="I11369" s="16" t="n">
        <f aca="false">MAX(0,-I11368)</f>
        <v>58.22496285414</v>
      </c>
      <c r="J11369" s="16" t="n">
        <f aca="false">MAX(0,-J11368)</f>
        <v>113.95713830833</v>
      </c>
      <c r="K11369" s="16" t="n">
        <f aca="false">MAX(0,-K11368)</f>
        <v>163.757787782655</v>
      </c>
    </row>
    <row r="11370" customFormat="false" ht="15" hidden="false" customHeight="false" outlineLevel="0" collapsed="false">
      <c r="A11370" s="3" t="s">
        <v>405</v>
      </c>
      <c r="G11370" s="16" t="n">
        <f aca="false">MAX(0,G11368-Assumptions!$C$12)*Assumptions!$C$13</f>
        <v>0</v>
      </c>
      <c r="H11370" s="16" t="n">
        <f aca="false">MAX(0,H11368-Assumptions!$C$12)*Assumptions!$C$13</f>
        <v>0</v>
      </c>
      <c r="I11370" s="16" t="n">
        <f aca="false">MAX(0,I11368-Assumptions!$C$12)*Assumptions!$C$13</f>
        <v>0</v>
      </c>
      <c r="J11370" s="16" t="n">
        <f aca="false">MAX(0,J11368-Assumptions!$C$12)*Assumptions!$C$13</f>
        <v>0</v>
      </c>
      <c r="K11370" s="16" t="n">
        <f aca="false">MAX(0,K11368-Assumptions!$C$12)*Assumptions!$C$13</f>
        <v>0</v>
      </c>
    </row>
    <row r="11371" customFormat="false" ht="15" hidden="false" customHeight="false" outlineLevel="0" collapsed="false">
      <c r="A11371" s="3" t="s">
        <v>406</v>
      </c>
      <c r="G11371" s="16" t="n">
        <f aca="false">G11193+G11206+G11219+G11232+G11245+G11258+G11271+G11284+G11297+G11310</f>
        <v>0</v>
      </c>
      <c r="H11371" s="16" t="n">
        <f aca="false">H11193+H11206+H11219+H11232+H11245+H11258+H11271+H11284+H11297+H11310</f>
        <v>0</v>
      </c>
      <c r="I11371" s="16" t="n">
        <f aca="false">I11193+I11206+I11219+I11232+I11245+I11258+I11271+I11284+I11297+I11310</f>
        <v>0</v>
      </c>
      <c r="J11371" s="16" t="n">
        <f aca="false">J11193+J11206+J11219+J11232+J11245+J11258+J11271+J11284+J11297+J11310</f>
        <v>0</v>
      </c>
      <c r="K11371" s="16" t="n">
        <f aca="false">K11193+K11206+K11219+K11232+K11245+K11258+K11271+K11284+K11297+K11310</f>
        <v>0</v>
      </c>
    </row>
    <row r="11372" customFormat="false" ht="15" hidden="false" customHeight="false" outlineLevel="0" collapsed="false">
      <c r="A11372" s="2" t="s">
        <v>407</v>
      </c>
      <c r="F11372" s="28" t="n">
        <f aca="false">Assumptions!$C$11</f>
        <v>37.87</v>
      </c>
      <c r="G11372" s="17" t="n">
        <f aca="false">G11368-G11371</f>
        <v>105.2329176</v>
      </c>
      <c r="H11372" s="17" t="n">
        <f aca="false">H11368-H11371</f>
        <v>0</v>
      </c>
      <c r="I11372" s="17" t="n">
        <f aca="false">I11368-I11371</f>
        <v>-58.22496285414</v>
      </c>
      <c r="J11372" s="17" t="n">
        <f aca="false">J11368-J11371</f>
        <v>-113.95713830833</v>
      </c>
      <c r="K11372" s="17" t="n">
        <f aca="false">K11368-K11371</f>
        <v>-163.757787782655</v>
      </c>
    </row>
    <row r="11373" customFormat="false" ht="15" hidden="false" customHeight="false" outlineLevel="0" collapsed="false">
      <c r="A11373" s="3" t="s">
        <v>408</v>
      </c>
      <c r="G11373" s="16" t="n">
        <f aca="false">G11194+G11207+G11220+G11233+G11246+G11259+G11272+G11285+G11298+G11311</f>
        <v>0</v>
      </c>
      <c r="H11373" s="16" t="n">
        <f aca="false">H11194+H11207+H11220+H11233+H11246+H11259+H11272+H11285+H11298+H11311</f>
        <v>750.33350002</v>
      </c>
      <c r="I11373" s="16" t="n">
        <f aca="false">I11194+I11207+I11220+I11233+I11246+I11259+I11272+I11285+I11298+I11311</f>
        <v>550</v>
      </c>
      <c r="J11373" s="16" t="n">
        <f aca="false">J11194+J11207+J11220+J11233+J11246+J11259+J11272+J11285+J11298+J11311</f>
        <v>350</v>
      </c>
      <c r="K11373" s="16" t="n">
        <f aca="false">K11194+K11207+K11220+K11233+K11246+K11259+K11272+K11285+K11298+K11311</f>
        <v>680</v>
      </c>
    </row>
    <row r="11374" customFormat="false" ht="15" hidden="false" customHeight="false" outlineLevel="0" collapsed="false">
      <c r="A11374" s="3" t="s">
        <v>409</v>
      </c>
      <c r="G11374" s="21" t="n">
        <f aca="false">IF(OR(G11369&gt;0.001,G11373&gt;0.001),1,0)</f>
        <v>0</v>
      </c>
      <c r="H11374" s="21" t="n">
        <f aca="false">IF(OR(H11369&gt;0.001,H11373&gt;0.001),1,0)</f>
        <v>1</v>
      </c>
      <c r="I11374" s="21" t="n">
        <f aca="false">IF(OR(I11369&gt;0.001,I11373&gt;0.001),1,0)</f>
        <v>1</v>
      </c>
      <c r="J11374" s="21" t="n">
        <f aca="false">IF(OR(J11369&gt;0.001,J11373&gt;0.001),1,0)</f>
        <v>1</v>
      </c>
      <c r="K11374" s="21" t="n">
        <f aca="false">IF(OR(K11369&gt;0.001,K11373&gt;0.001),1,0)</f>
        <v>1</v>
      </c>
    </row>
    <row r="11375" customFormat="false" ht="15" hidden="false" customHeight="false" outlineLevel="0" collapsed="false">
      <c r="A11375" s="3" t="s">
        <v>410</v>
      </c>
      <c r="G11375" s="21" t="n">
        <f aca="false">IF(G11374=1,1,0)</f>
        <v>0</v>
      </c>
      <c r="H11375" s="21" t="n">
        <f aca="false">IF(AND(H11374=1,SUM($G$11374:G11374)=0),1,0)</f>
        <v>1</v>
      </c>
      <c r="I11375" s="21" t="n">
        <f aca="false">IF(AND(I11374=1,SUM($G$11374:H11374)=0),1,0)</f>
        <v>0</v>
      </c>
      <c r="J11375" s="21" t="n">
        <f aca="false">IF(AND(J11374=1,SUM($G$11374:I11374)=0),1,0)</f>
        <v>0</v>
      </c>
      <c r="K11375" s="21" t="n">
        <f aca="false">IF(AND(K11374=1,SUM($G$11374:J11374)=0),1,0)</f>
        <v>0</v>
      </c>
    </row>
    <row r="11376" customFormat="false" ht="15" hidden="false" customHeight="false" outlineLevel="0" collapsed="false">
      <c r="A11376" s="3" t="s">
        <v>411</v>
      </c>
      <c r="G11376" s="16" t="n">
        <f aca="false">(G11314-F11314)-(G11365+G11163-G11363-G11367-G11371)</f>
        <v>0</v>
      </c>
      <c r="H11376" s="16" t="n">
        <f aca="false">(H11314-G11314)-(H11365+H11163-H11363-H11367-H11371)</f>
        <v>0</v>
      </c>
      <c r="I11376" s="16" t="n">
        <f aca="false">(I11314-H11314)-(I11365+I11163-I11363-I11367-I11371)</f>
        <v>0</v>
      </c>
      <c r="J11376" s="16" t="n">
        <f aca="false">(J11314-I11314)-(J11365+J11163-J11363-J11367-J11371)</f>
        <v>0</v>
      </c>
      <c r="K11376" s="16" t="n">
        <f aca="false">(K11314-J11314)-(K11365+K11163-K11363-K11367-K11371)</f>
        <v>0</v>
      </c>
    </row>
    <row r="11378" customFormat="false" ht="15" hidden="false" customHeight="false" outlineLevel="0" collapsed="false">
      <c r="A11378" s="24" t="s">
        <v>413</v>
      </c>
      <c r="B11378" s="25"/>
      <c r="C11378" s="25"/>
      <c r="D11378" s="25"/>
      <c r="E11378" s="25"/>
      <c r="F11378" s="25"/>
      <c r="G11378" s="25"/>
      <c r="H11378" s="25"/>
      <c r="I11378" s="25"/>
      <c r="J11378" s="25"/>
      <c r="K11378" s="25"/>
    </row>
    <row r="11379" customFormat="false" ht="15" hidden="false" customHeight="false" outlineLevel="0" collapsed="false">
      <c r="A11379" s="3" t="s">
        <v>414</v>
      </c>
      <c r="G11379" s="16" t="n">
        <f aca="false">G11314</f>
        <v>2621.934</v>
      </c>
      <c r="H11379" s="16" t="n">
        <f aca="false">H11314</f>
        <v>2568.26750002</v>
      </c>
      <c r="I11379" s="16" t="n">
        <f aca="false">I11314</f>
        <v>2564.26750002</v>
      </c>
      <c r="J11379" s="16" t="n">
        <f aca="false">J11314</f>
        <v>2560.26750002</v>
      </c>
      <c r="K11379" s="16" t="n">
        <f aca="false">K11314</f>
        <v>2556.26750002</v>
      </c>
    </row>
    <row r="11380" customFormat="false" ht="15" hidden="false" customHeight="false" outlineLevel="0" collapsed="false">
      <c r="A11380" s="3" t="s">
        <v>415</v>
      </c>
      <c r="G11380" s="16" t="n">
        <f aca="false">Assumptions!$O$57*G11195+Assumptions!$O$58*G11208+Assumptions!$O$59*G11221+Assumptions!$O$60*G11234+Assumptions!$O$61*G11247+Assumptions!$O$62*G11260+Assumptions!$O$63*G11273+Assumptions!$O$64*G11286+Assumptions!$O$65*G11299+Assumptions!$O$66*G11312</f>
        <v>543.324</v>
      </c>
      <c r="H11380" s="16" t="n">
        <f aca="false">Assumptions!$O$57*H11195+Assumptions!$O$58*H11208+Assumptions!$O$59*H11221+Assumptions!$O$60*H11234+Assumptions!$O$61*H11247+Assumptions!$O$62*H11260+Assumptions!$O$63*H11273+Assumptions!$O$64*H11286+Assumptions!$O$65*H11299+Assumptions!$O$66*H11312</f>
        <v>539.324</v>
      </c>
      <c r="I11380" s="16" t="n">
        <f aca="false">Assumptions!$O$57*I11195+Assumptions!$O$58*I11208+Assumptions!$O$59*I11221+Assumptions!$O$60*I11234+Assumptions!$O$61*I11247+Assumptions!$O$62*I11260+Assumptions!$O$63*I11273+Assumptions!$O$64*I11286+Assumptions!$O$65*I11299+Assumptions!$O$66*I11312</f>
        <v>535.324</v>
      </c>
      <c r="J11380" s="16" t="n">
        <f aca="false">Assumptions!$O$57*J11195+Assumptions!$O$58*J11208+Assumptions!$O$59*J11221+Assumptions!$O$60*J11234+Assumptions!$O$61*J11247+Assumptions!$O$62*J11260+Assumptions!$O$63*J11273+Assumptions!$O$64*J11286+Assumptions!$O$65*J11299+Assumptions!$O$66*J11312</f>
        <v>531.324</v>
      </c>
      <c r="K11380" s="16" t="n">
        <f aca="false">Assumptions!$O$57*K11195+Assumptions!$O$58*K11208+Assumptions!$O$59*K11221+Assumptions!$O$60*K11234+Assumptions!$O$61*K11247+Assumptions!$O$62*K11260+Assumptions!$O$63*K11273+Assumptions!$O$64*K11286+Assumptions!$O$65*K11299+Assumptions!$O$66*K11312</f>
        <v>527.324</v>
      </c>
    </row>
    <row r="11381" customFormat="false" ht="15" hidden="false" customHeight="false" outlineLevel="0" collapsed="false">
      <c r="A11381" s="3" t="s">
        <v>416</v>
      </c>
      <c r="G11381" s="16" t="n">
        <f aca="false">G11379-G11372</f>
        <v>2516.7010824</v>
      </c>
      <c r="H11381" s="16" t="n">
        <f aca="false">H11379-H11372</f>
        <v>2568.26750002</v>
      </c>
      <c r="I11381" s="16" t="n">
        <f aca="false">I11379-I11372</f>
        <v>2622.49246287414</v>
      </c>
      <c r="J11381" s="16" t="n">
        <f aca="false">J11379-J11372</f>
        <v>2674.22463832833</v>
      </c>
      <c r="K11381" s="16" t="n">
        <f aca="false">K11379-K11372</f>
        <v>2720.02528780266</v>
      </c>
    </row>
    <row r="11382" customFormat="false" ht="15" hidden="false" customHeight="false" outlineLevel="0" collapsed="false">
      <c r="A11382" s="3" t="s">
        <v>417</v>
      </c>
      <c r="G11382" s="32" t="n">
        <f aca="false">IF(G11158&gt;0,G11379/G11158,0)</f>
        <v>11.69300669689</v>
      </c>
      <c r="H11382" s="32" t="n">
        <f aca="false">IF(H11158&gt;0,H11379/H11158,0)</f>
        <v>13.1018884343886</v>
      </c>
      <c r="I11382" s="32" t="n">
        <f aca="false">IF(I11158&gt;0,I11379/I11158,0)</f>
        <v>13.6310760182216</v>
      </c>
      <c r="J11382" s="32" t="n">
        <f aca="false">IF(J11158&gt;0,J11379/J11158,0)</f>
        <v>13.4650276636874</v>
      </c>
      <c r="K11382" s="32" t="n">
        <f aca="false">IF(K11158&gt;0,K11379/K11158,0)</f>
        <v>13.0335718964379</v>
      </c>
    </row>
    <row r="11383" customFormat="false" ht="15" hidden="false" customHeight="false" outlineLevel="0" collapsed="false">
      <c r="A11383" s="3" t="s">
        <v>418</v>
      </c>
      <c r="G11383" s="32" t="n">
        <f aca="false">IF(G11158&gt;0,G11381/G11158,0)</f>
        <v>11.2237007531744</v>
      </c>
      <c r="H11383" s="32" t="n">
        <f aca="false">IF(H11158&gt;0,H11381/H11158,0)</f>
        <v>13.1018884343886</v>
      </c>
      <c r="I11383" s="32" t="n">
        <f aca="false">IF(I11158&gt;0,I11381/I11158,0)</f>
        <v>13.9405869779077</v>
      </c>
      <c r="J11383" s="32" t="n">
        <f aca="false">IF(J11158&gt;0,J11381/J11158,0)</f>
        <v>14.0643541089844</v>
      </c>
      <c r="K11383" s="32" t="n">
        <f aca="false">IF(K11158&gt;0,K11381/K11158,0)</f>
        <v>13.8685192955854</v>
      </c>
    </row>
    <row r="11384" customFormat="false" ht="15" hidden="false" customHeight="false" outlineLevel="0" collapsed="false">
      <c r="A11384" s="3" t="s">
        <v>419</v>
      </c>
      <c r="G11384" s="32" t="n">
        <f aca="false">IF(G11162&gt;0,G11158/G11162,0)</f>
        <v>1.15245552622143</v>
      </c>
      <c r="H11384" s="32" t="n">
        <f aca="false">IF(H11162&gt;0,H11158/H11162,0)</f>
        <v>1.01371787311507</v>
      </c>
      <c r="I11384" s="32" t="n">
        <f aca="false">IF(I11162&gt;0,I11158/I11162,0)</f>
        <v>0.991396702664684</v>
      </c>
      <c r="J11384" s="32" t="n">
        <f aca="false">IF(J11162&gt;0,J11158/J11162,0)</f>
        <v>1.00454506093162</v>
      </c>
      <c r="K11384" s="32" t="n">
        <f aca="false">IF(K11162&gt;0,K11158/K11162,0)</f>
        <v>1.03875685100826</v>
      </c>
    </row>
    <row r="11385" customFormat="false" ht="15" hidden="false" customHeight="false" outlineLevel="0" collapsed="false">
      <c r="A11385" s="3" t="s">
        <v>420</v>
      </c>
      <c r="G11385" s="32" t="n">
        <f aca="false">IF(G11162&gt;0,G11161/G11162,0)</f>
        <v>0.295358200280775</v>
      </c>
      <c r="H11385" s="32" t="n">
        <f aca="false">IF(H11162&gt;0,H11161/H11162,0)</f>
        <v>0.211679374193371</v>
      </c>
      <c r="I11385" s="32" t="n">
        <f aca="false">IF(I11162&gt;0,I11161/I11162,0)</f>
        <v>0.198584206210525</v>
      </c>
      <c r="J11385" s="32" t="n">
        <f aca="false">IF(J11162&gt;0,J11161/J11162,0)</f>
        <v>0.209763954534625</v>
      </c>
      <c r="K11385" s="32" t="n">
        <f aca="false">IF(K11162&gt;0,K11161/K11162,0)</f>
        <v>0.234029738764136</v>
      </c>
    </row>
    <row r="11386" customFormat="false" ht="15" hidden="false" customHeight="false" outlineLevel="0" collapsed="false">
      <c r="A11386" s="3" t="s">
        <v>213</v>
      </c>
      <c r="G11386" s="22" t="n">
        <f aca="false">IF(G11379&gt;0,G11171/G11379,0)</f>
        <v>-0.0109221217620276</v>
      </c>
      <c r="H11386" s="22" t="n">
        <f aca="false">IF(H11379&gt;0,H11171/H11379,0)</f>
        <v>-0.0200782892045312</v>
      </c>
      <c r="I11386" s="22" t="n">
        <f aca="false">IF(I11379&gt;0,I11171/I11379,0)</f>
        <v>-0.0211463752723603</v>
      </c>
      <c r="J11386" s="22" t="n">
        <f aca="false">IF(J11379&gt;0,J11171/J11379,0)</f>
        <v>-0.0202057696915599</v>
      </c>
      <c r="K11386" s="22" t="n">
        <f aca="false">IF(K11379&gt;0,K11171/K11379,0)</f>
        <v>-0.0179170018294121</v>
      </c>
    </row>
    <row r="11387" customFormat="false" ht="15" hidden="false" customHeight="false" outlineLevel="0" collapsed="false">
      <c r="A11387" s="3" t="s">
        <v>421</v>
      </c>
      <c r="G11387" s="32" t="n">
        <f aca="false">IF(G11162+G11363&gt;0,(G11158-G11169-G11166)/(G11162+G11363),0)</f>
        <v>0.835637742235965</v>
      </c>
      <c r="H11387" s="32" t="n">
        <f aca="false">IF(H11162+H11363&gt;0,(H11158-H11169-H11166)/(H11162+H11363),0)</f>
        <v>0.718465836753332</v>
      </c>
      <c r="I11387" s="32" t="n">
        <f aca="false">IF(I11162+I11363&gt;0,(I11158-I11169-I11166)/(I11162+I11363),0)</f>
        <v>0.69948672837797</v>
      </c>
      <c r="J11387" s="32" t="n">
        <f aca="false">IF(J11162+J11363&gt;0,(J11158-J11169-J11166)/(J11162+J11363),0)</f>
        <v>0.71165314628186</v>
      </c>
      <c r="K11387" s="32" t="n">
        <f aca="false">IF(K11162+K11363&gt;0,(K11158-K11169-K11166)/(K11162+K11363),0)</f>
        <v>0.741713575176822</v>
      </c>
    </row>
    <row r="11388" customFormat="false" ht="15" hidden="false" customHeight="false" outlineLevel="0" collapsed="false">
      <c r="A11388" s="3" t="s">
        <v>422</v>
      </c>
      <c r="G11388" s="16" t="n">
        <f aca="false">MAX(0,G11372)+Assumptions!$P$57*MAX(0,Assumptions!$D$57-G11195)+Assumptions!$P$58*MAX(0,Assumptions!$D$58-G11208)+Assumptions!$P$59*MAX(0,Assumptions!$D$59-G11221)+Assumptions!$P$60*MAX(0,Assumptions!$D$60-G11234)+Assumptions!$P$61*MAX(0,Assumptions!$D$61-G11247)+Assumptions!$P$62*MAX(0,Assumptions!$D$62-G11260)+Assumptions!$P$63*MAX(0,Assumptions!$D$63-G11273)+Assumptions!$P$64*MAX(0,Assumptions!$D$64-G11286)+Assumptions!$P$65*MAX(0,Assumptions!$D$65-G11299)+Assumptions!$P$66*MAX(0,Assumptions!$D$66-G11312)</f>
        <v>679.7329176</v>
      </c>
      <c r="H11388" s="16" t="n">
        <f aca="false">MAX(0,H11372)+Assumptions!$P$57*MAX(0,Assumptions!$D$57-H11195)+Assumptions!$P$58*MAX(0,Assumptions!$D$58-H11208)+Assumptions!$P$59*MAX(0,Assumptions!$D$59-H11221)+Assumptions!$P$60*MAX(0,Assumptions!$D$60-H11234)+Assumptions!$P$61*MAX(0,Assumptions!$D$61-H11247)+Assumptions!$P$62*MAX(0,Assumptions!$D$62-H11260)+Assumptions!$P$63*MAX(0,Assumptions!$D$63-H11273)+Assumptions!$P$64*MAX(0,Assumptions!$D$64-H11286)+Assumptions!$P$65*MAX(0,Assumptions!$D$65-H11299)+Assumptions!$P$66*MAX(0,Assumptions!$D$66-H11312)</f>
        <v>574.5</v>
      </c>
      <c r="I11388" s="16" t="n">
        <f aca="false">MAX(0,I11372)+Assumptions!$P$57*MAX(0,Assumptions!$D$57-I11195)+Assumptions!$P$58*MAX(0,Assumptions!$D$58-I11208)+Assumptions!$P$59*MAX(0,Assumptions!$D$59-I11221)+Assumptions!$P$60*MAX(0,Assumptions!$D$60-I11234)+Assumptions!$P$61*MAX(0,Assumptions!$D$61-I11247)+Assumptions!$P$62*MAX(0,Assumptions!$D$62-I11260)+Assumptions!$P$63*MAX(0,Assumptions!$D$63-I11273)+Assumptions!$P$64*MAX(0,Assumptions!$D$64-I11286)+Assumptions!$P$65*MAX(0,Assumptions!$D$65-I11299)+Assumptions!$P$66*MAX(0,Assumptions!$D$66-I11312)</f>
        <v>574.5</v>
      </c>
      <c r="J11388" s="16" t="n">
        <f aca="false">MAX(0,J11372)+Assumptions!$P$57*MAX(0,Assumptions!$D$57-J11195)+Assumptions!$P$58*MAX(0,Assumptions!$D$58-J11208)+Assumptions!$P$59*MAX(0,Assumptions!$D$59-J11221)+Assumptions!$P$60*MAX(0,Assumptions!$D$60-J11234)+Assumptions!$P$61*MAX(0,Assumptions!$D$61-J11247)+Assumptions!$P$62*MAX(0,Assumptions!$D$62-J11260)+Assumptions!$P$63*MAX(0,Assumptions!$D$63-J11273)+Assumptions!$P$64*MAX(0,Assumptions!$D$64-J11286)+Assumptions!$P$65*MAX(0,Assumptions!$D$65-J11299)+Assumptions!$P$66*MAX(0,Assumptions!$D$66-J11312)</f>
        <v>574.5</v>
      </c>
      <c r="K11388" s="16" t="n">
        <f aca="false">MAX(0,K11372)+Assumptions!$P$57*MAX(0,Assumptions!$D$57-K11195)+Assumptions!$P$58*MAX(0,Assumptions!$D$58-K11208)+Assumptions!$P$59*MAX(0,Assumptions!$D$59-K11221)+Assumptions!$P$60*MAX(0,Assumptions!$D$60-K11234)+Assumptions!$P$61*MAX(0,Assumptions!$D$61-K11247)+Assumptions!$P$62*MAX(0,Assumptions!$D$62-K11260)+Assumptions!$P$63*MAX(0,Assumptions!$D$63-K11273)+Assumptions!$P$64*MAX(0,Assumptions!$D$64-K11286)+Assumptions!$P$65*MAX(0,Assumptions!$D$65-K11299)+Assumptions!$P$66*MAX(0,Assumptions!$D$66-K11312)</f>
        <v>574.5</v>
      </c>
    </row>
    <row r="11389" customFormat="false" ht="15" hidden="false" customHeight="false" outlineLevel="0" collapsed="false">
      <c r="A11389" s="3" t="s">
        <v>423</v>
      </c>
      <c r="G11389" s="22" t="n">
        <f aca="false">IF(G11379&gt;0,G11379/(G11379+MAX(0,G11158*CHOOSE($C$11141,Assumptions!$C$90,Assumptions!$C$109,Assumptions!$C$128)-G11381)),0)</f>
        <v>1</v>
      </c>
      <c r="H11389" s="22" t="n">
        <f aca="false">IF(H11379&gt;0,H11379/(H11379+MAX(0,H11158*CHOOSE($C$11141,Assumptions!$C$90,Assumptions!$C$109,Assumptions!$C$128)-H11381)),0)</f>
        <v>1</v>
      </c>
      <c r="I11389" s="22" t="n">
        <f aca="false">IF(I11379&gt;0,I11379/(I11379+MAX(0,I11158*CHOOSE($C$11141,Assumptions!$C$90,Assumptions!$C$109,Assumptions!$C$128)-I11381)),0)</f>
        <v>1</v>
      </c>
      <c r="J11389" s="22" t="n">
        <f aca="false">IF(J11379&gt;0,J11379/(J11379+MAX(0,J11158*CHOOSE($C$11141,Assumptions!$C$90,Assumptions!$C$109,Assumptions!$C$128)-J11381)),0)</f>
        <v>1</v>
      </c>
      <c r="K11389" s="22" t="n">
        <f aca="false">IF(K11379&gt;0,K11379/(K11379+MAX(0,K11158*CHOOSE($C$11141,Assumptions!$C$90,Assumptions!$C$109,Assumptions!$C$128)-K11381)),0)</f>
        <v>1</v>
      </c>
    </row>
    <row r="11390" customFormat="false" ht="15" hidden="false" customHeight="false" outlineLevel="0" collapsed="false">
      <c r="A11390" s="3" t="s">
        <v>424</v>
      </c>
      <c r="G11390" s="22" t="n">
        <f aca="false">IF(G11379&gt;0,MAX(0,G11372)/G11379,0)</f>
        <v>0.0401356089054873</v>
      </c>
      <c r="H11390" s="22" t="n">
        <f aca="false">IF(H11379&gt;0,MAX(0,H11372)/H11379,0)</f>
        <v>0</v>
      </c>
      <c r="I11390" s="22" t="n">
        <f aca="false">IF(I11379&gt;0,MAX(0,I11372)/I11379,0)</f>
        <v>0</v>
      </c>
      <c r="J11390" s="22" t="n">
        <f aca="false">IF(J11379&gt;0,MAX(0,J11372)/J11379,0)</f>
        <v>0</v>
      </c>
      <c r="K11390" s="22" t="n">
        <f aca="false">IF(K11379&gt;0,MAX(0,K11372)/K11379,0)</f>
        <v>0</v>
      </c>
    </row>
    <row r="11391" customFormat="false" ht="15" hidden="false" customHeight="false" outlineLevel="0" collapsed="false">
      <c r="A11391" s="3" t="s">
        <v>425</v>
      </c>
      <c r="G11391" s="16" t="n">
        <f aca="false">Assumptions!$C$31*(1-CHOOSE($C$11141,Assumptions!$C$93,Assumptions!$C$112,Assumptions!$C$131))</f>
        <v>3162.39046666667</v>
      </c>
      <c r="H11391" s="16" t="n">
        <f aca="false">Assumptions!$C$31*(1-CHOOSE($C$11141,Assumptions!$C$93,Assumptions!$C$112,Assumptions!$C$131))</f>
        <v>3162.39046666667</v>
      </c>
      <c r="I11391" s="16" t="n">
        <f aca="false">Assumptions!$C$31*(1-CHOOSE($C$11141,Assumptions!$C$93,Assumptions!$C$112,Assumptions!$C$131))</f>
        <v>3162.39046666667</v>
      </c>
      <c r="J11391" s="16" t="n">
        <f aca="false">Assumptions!$C$31*(1-CHOOSE($C$11141,Assumptions!$C$93,Assumptions!$C$112,Assumptions!$C$131))</f>
        <v>3162.39046666667</v>
      </c>
      <c r="K11391" s="16" t="n">
        <f aca="false">Assumptions!$C$31*(1-CHOOSE($C$11141,Assumptions!$C$93,Assumptions!$C$112,Assumptions!$C$131))</f>
        <v>3162.39046666667</v>
      </c>
    </row>
    <row r="11392" customFormat="false" ht="15" hidden="false" customHeight="false" outlineLevel="0" collapsed="false">
      <c r="A11392" s="24" t="s">
        <v>426</v>
      </c>
      <c r="B11392" s="25"/>
      <c r="C11392" s="25"/>
      <c r="D11392" s="25"/>
      <c r="E11392" s="25"/>
      <c r="F11392" s="25"/>
      <c r="G11392" s="25"/>
      <c r="H11392" s="25"/>
      <c r="I11392" s="25"/>
      <c r="J11392" s="25"/>
      <c r="K11392" s="25"/>
    </row>
    <row r="11393" customFormat="false" ht="15" hidden="false" customHeight="false" outlineLevel="0" collapsed="false">
      <c r="A11393" s="24" t="s">
        <v>427</v>
      </c>
      <c r="B11393" s="25"/>
      <c r="C11393" s="25"/>
      <c r="D11393" s="25"/>
      <c r="E11393" s="25"/>
      <c r="F11393" s="25"/>
      <c r="G11393" s="25"/>
      <c r="H11393" s="25"/>
      <c r="I11393" s="25"/>
      <c r="J11393" s="25"/>
      <c r="K11393" s="25"/>
    </row>
    <row r="11394" customFormat="false" ht="15" hidden="false" customHeight="false" outlineLevel="0" collapsed="false">
      <c r="A11394" s="3" t="s">
        <v>428</v>
      </c>
      <c r="G11394" s="22" t="n">
        <f aca="false">IF(G11391&gt;0,G11379/G11391,99)</f>
        <v>0.829098755399318</v>
      </c>
      <c r="H11394" s="22" t="n">
        <f aca="false">IF(H11391&gt;0,H11379/H11391,99)</f>
        <v>0.812128523372098</v>
      </c>
      <c r="I11394" s="22" t="n">
        <f aca="false">IF(I11391&gt;0,I11379/I11391,99)</f>
        <v>0.810863657429021</v>
      </c>
      <c r="J11394" s="22" t="n">
        <f aca="false">IF(J11391&gt;0,J11379/J11391,99)</f>
        <v>0.809598791485943</v>
      </c>
      <c r="K11394" s="22" t="n">
        <f aca="false">IF(K11391&gt;0,K11379/K11391,99)</f>
        <v>0.808333925542865</v>
      </c>
    </row>
    <row r="11395" customFormat="false" ht="15" hidden="false" customHeight="false" outlineLevel="0" collapsed="false">
      <c r="A11395" s="3" t="s">
        <v>429</v>
      </c>
      <c r="G11395" s="33" t="n">
        <f aca="false">Assumptions!$G$71</f>
        <v>0.6</v>
      </c>
      <c r="H11395" s="33" t="n">
        <f aca="false">Assumptions!$H$71</f>
        <v>0.6</v>
      </c>
      <c r="I11395" s="33" t="n">
        <f aca="false">Assumptions!$I$71</f>
        <v>0.6</v>
      </c>
      <c r="J11395" s="33" t="n">
        <f aca="false">Assumptions!$J$71</f>
        <v>0.6</v>
      </c>
      <c r="K11395" s="33" t="n">
        <f aca="false">Assumptions!$K$71</f>
        <v>0.6</v>
      </c>
    </row>
    <row r="11396" customFormat="false" ht="15" hidden="false" customHeight="false" outlineLevel="0" collapsed="false">
      <c r="A11396" s="3" t="s">
        <v>430</v>
      </c>
      <c r="G11396" s="22" t="n">
        <f aca="false">G11395-G11394</f>
        <v>-0.229098755399318</v>
      </c>
      <c r="H11396" s="22" t="n">
        <f aca="false">H11395-H11394</f>
        <v>-0.212128523372098</v>
      </c>
      <c r="I11396" s="22" t="n">
        <f aca="false">I11395-I11394</f>
        <v>-0.210863657429021</v>
      </c>
      <c r="J11396" s="22" t="n">
        <f aca="false">J11395-J11394</f>
        <v>-0.209598791485943</v>
      </c>
      <c r="K11396" s="22" t="n">
        <f aca="false">K11395-K11394</f>
        <v>-0.208333925542865</v>
      </c>
    </row>
    <row r="11397" customFormat="false" ht="15" hidden="false" customHeight="false" outlineLevel="0" collapsed="false">
      <c r="A11397" s="3" t="s">
        <v>431</v>
      </c>
      <c r="G11397" s="22" t="n">
        <f aca="false">IF(G11395=0,0,G11396/ABS(G11395))</f>
        <v>-0.381831258998863</v>
      </c>
      <c r="H11397" s="22" t="n">
        <f aca="false">IF(H11395=0,0,H11396/ABS(H11395))</f>
        <v>-0.353547538953497</v>
      </c>
      <c r="I11397" s="22" t="n">
        <f aca="false">IF(I11395=0,0,I11396/ABS(I11395))</f>
        <v>-0.351439429048368</v>
      </c>
      <c r="J11397" s="22" t="n">
        <f aca="false">IF(J11395=0,0,J11396/ABS(J11395))</f>
        <v>-0.349331319143238</v>
      </c>
      <c r="K11397" s="22" t="n">
        <f aca="false">IF(K11395=0,0,K11396/ABS(K11395))</f>
        <v>-0.347223209238109</v>
      </c>
    </row>
    <row r="11398" customFormat="false" ht="15" hidden="false" customHeight="false" outlineLevel="0" collapsed="false">
      <c r="A11398" s="3" t="s">
        <v>432</v>
      </c>
      <c r="G11398" s="21" t="n">
        <f aca="false">IF(G11396&lt;0,1,0)</f>
        <v>1</v>
      </c>
      <c r="H11398" s="21" t="n">
        <f aca="false">IF(H11396&lt;0,1,0)</f>
        <v>1</v>
      </c>
      <c r="I11398" s="21" t="n">
        <f aca="false">IF(I11396&lt;0,1,0)</f>
        <v>1</v>
      </c>
      <c r="J11398" s="21" t="n">
        <f aca="false">IF(J11396&lt;0,1,0)</f>
        <v>1</v>
      </c>
      <c r="K11398" s="21" t="n">
        <f aca="false">IF(K11396&lt;0,1,0)</f>
        <v>1</v>
      </c>
    </row>
    <row r="11399" customFormat="false" ht="15" hidden="false" customHeight="false" outlineLevel="0" collapsed="false">
      <c r="A11399" s="3" t="s">
        <v>433</v>
      </c>
      <c r="C11399" s="21" t="n">
        <f aca="false">IFERROR(INDEX($G$11148:$K$11148,MATCH(1,$G$11398:$K$11398,0)),0)</f>
        <v>2027</v>
      </c>
    </row>
    <row r="11400" customFormat="false" ht="15" hidden="false" customHeight="false" outlineLevel="0" collapsed="false">
      <c r="A11400" s="3" t="s">
        <v>434</v>
      </c>
      <c r="C11400" s="22" t="n">
        <f aca="false">MIN($G$11397:$K$11397)</f>
        <v>-0.381831258998863</v>
      </c>
    </row>
    <row r="11401" customFormat="false" ht="15" hidden="false" customHeight="false" outlineLevel="0" collapsed="false">
      <c r="A11401" s="24" t="s">
        <v>435</v>
      </c>
      <c r="B11401" s="25"/>
      <c r="C11401" s="25"/>
      <c r="D11401" s="25"/>
      <c r="E11401" s="25"/>
      <c r="F11401" s="25"/>
      <c r="G11401" s="25"/>
      <c r="H11401" s="25"/>
      <c r="I11401" s="25"/>
      <c r="J11401" s="25"/>
      <c r="K11401" s="25"/>
    </row>
    <row r="11402" customFormat="false" ht="15" hidden="false" customHeight="false" outlineLevel="0" collapsed="false">
      <c r="A11402" s="3" t="s">
        <v>428</v>
      </c>
      <c r="G11402" s="32" t="n">
        <f aca="false">IF(G11162&gt;0,G11158/G11162,99)</f>
        <v>1.15245552622143</v>
      </c>
      <c r="H11402" s="32" t="n">
        <f aca="false">IF(H11162&gt;0,H11158/H11162,99)</f>
        <v>1.01371787311507</v>
      </c>
      <c r="I11402" s="32" t="n">
        <f aca="false">IF(I11162&gt;0,I11158/I11162,99)</f>
        <v>0.991396702664684</v>
      </c>
      <c r="J11402" s="32" t="n">
        <f aca="false">IF(J11162&gt;0,J11158/J11162,99)</f>
        <v>1.00454506093162</v>
      </c>
      <c r="K11402" s="32" t="n">
        <f aca="false">IF(K11162&gt;0,K11158/K11162,99)</f>
        <v>1.03875685100826</v>
      </c>
    </row>
    <row r="11403" customFormat="false" ht="15" hidden="false" customHeight="false" outlineLevel="0" collapsed="false">
      <c r="A11403" s="3" t="s">
        <v>429</v>
      </c>
      <c r="G11403" s="34" t="n">
        <f aca="false">Assumptions!$G$72</f>
        <v>1.5</v>
      </c>
      <c r="H11403" s="34" t="n">
        <f aca="false">Assumptions!$H$72</f>
        <v>1.5</v>
      </c>
      <c r="I11403" s="34" t="n">
        <f aca="false">Assumptions!$I$72</f>
        <v>1.5</v>
      </c>
      <c r="J11403" s="34" t="n">
        <f aca="false">Assumptions!$J$72</f>
        <v>1.5</v>
      </c>
      <c r="K11403" s="34" t="n">
        <f aca="false">Assumptions!$K$72</f>
        <v>1.5</v>
      </c>
    </row>
    <row r="11404" customFormat="false" ht="15" hidden="false" customHeight="false" outlineLevel="0" collapsed="false">
      <c r="A11404" s="3" t="s">
        <v>430</v>
      </c>
      <c r="G11404" s="32" t="n">
        <f aca="false">G11402-G11403</f>
        <v>-0.347544473778572</v>
      </c>
      <c r="H11404" s="32" t="n">
        <f aca="false">H11402-H11403</f>
        <v>-0.486282126884927</v>
      </c>
      <c r="I11404" s="32" t="n">
        <f aca="false">I11402-I11403</f>
        <v>-0.508603297335316</v>
      </c>
      <c r="J11404" s="32" t="n">
        <f aca="false">J11402-J11403</f>
        <v>-0.495454939068378</v>
      </c>
      <c r="K11404" s="32" t="n">
        <f aca="false">K11402-K11403</f>
        <v>-0.461243148991741</v>
      </c>
    </row>
    <row r="11405" customFormat="false" ht="15" hidden="false" customHeight="false" outlineLevel="0" collapsed="false">
      <c r="A11405" s="3" t="s">
        <v>431</v>
      </c>
      <c r="G11405" s="22" t="n">
        <f aca="false">IF(G11403=0,0,G11404/ABS(G11403))</f>
        <v>-0.231696315852382</v>
      </c>
      <c r="H11405" s="22" t="n">
        <f aca="false">IF(H11403=0,0,H11404/ABS(H11403))</f>
        <v>-0.324188084589951</v>
      </c>
      <c r="I11405" s="22" t="n">
        <f aca="false">IF(I11403=0,0,I11404/ABS(I11403))</f>
        <v>-0.339068864890211</v>
      </c>
      <c r="J11405" s="22" t="n">
        <f aca="false">IF(J11403=0,0,J11404/ABS(J11403))</f>
        <v>-0.330303292712252</v>
      </c>
      <c r="K11405" s="22" t="n">
        <f aca="false">IF(K11403=0,0,K11404/ABS(K11403))</f>
        <v>-0.307495432661161</v>
      </c>
    </row>
    <row r="11406" customFormat="false" ht="15" hidden="false" customHeight="false" outlineLevel="0" collapsed="false">
      <c r="A11406" s="3" t="s">
        <v>432</v>
      </c>
      <c r="G11406" s="21" t="n">
        <f aca="false">IF(G11404&lt;0,1,0)</f>
        <v>1</v>
      </c>
      <c r="H11406" s="21" t="n">
        <f aca="false">IF(H11404&lt;0,1,0)</f>
        <v>1</v>
      </c>
      <c r="I11406" s="21" t="n">
        <f aca="false">IF(I11404&lt;0,1,0)</f>
        <v>1</v>
      </c>
      <c r="J11406" s="21" t="n">
        <f aca="false">IF(J11404&lt;0,1,0)</f>
        <v>1</v>
      </c>
      <c r="K11406" s="21" t="n">
        <f aca="false">IF(K11404&lt;0,1,0)</f>
        <v>1</v>
      </c>
    </row>
    <row r="11407" customFormat="false" ht="15" hidden="false" customHeight="false" outlineLevel="0" collapsed="false">
      <c r="A11407" s="3" t="s">
        <v>433</v>
      </c>
      <c r="C11407" s="21" t="n">
        <f aca="false">IFERROR(INDEX($G$11148:$K$11148,MATCH(1,$G$11406:$K$11406,0)),0)</f>
        <v>2027</v>
      </c>
    </row>
    <row r="11408" customFormat="false" ht="15" hidden="false" customHeight="false" outlineLevel="0" collapsed="false">
      <c r="A11408" s="3" t="s">
        <v>434</v>
      </c>
      <c r="C11408" s="22" t="n">
        <f aca="false">MIN($G$11405:$K$11405)</f>
        <v>-0.339068864890211</v>
      </c>
    </row>
    <row r="11409" customFormat="false" ht="15" hidden="false" customHeight="false" outlineLevel="0" collapsed="false">
      <c r="A11409" s="24" t="s">
        <v>436</v>
      </c>
      <c r="B11409" s="25"/>
      <c r="C11409" s="25"/>
      <c r="D11409" s="25"/>
      <c r="E11409" s="25"/>
      <c r="F11409" s="25"/>
      <c r="G11409" s="25"/>
      <c r="H11409" s="25"/>
      <c r="I11409" s="25"/>
      <c r="J11409" s="25"/>
      <c r="K11409" s="25"/>
    </row>
    <row r="11410" customFormat="false" ht="15" hidden="false" customHeight="false" outlineLevel="0" collapsed="false">
      <c r="A11410" s="3" t="s">
        <v>428</v>
      </c>
      <c r="G11410" s="22" t="n">
        <f aca="false">IF(G11391&gt;0,G11380/G11391,99)</f>
        <v>0.171808005914176</v>
      </c>
      <c r="H11410" s="22" t="n">
        <f aca="false">IF(H11391&gt;0,H11380/H11391,99)</f>
        <v>0.170543139971098</v>
      </c>
      <c r="I11410" s="22" t="n">
        <f aca="false">IF(I11391&gt;0,I11380/I11391,99)</f>
        <v>0.169278274028021</v>
      </c>
      <c r="J11410" s="22" t="n">
        <f aca="false">IF(J11391&gt;0,J11380/J11391,99)</f>
        <v>0.168013408084943</v>
      </c>
      <c r="K11410" s="22" t="n">
        <f aca="false">IF(K11391&gt;0,K11380/K11391,99)</f>
        <v>0.166748542141865</v>
      </c>
    </row>
    <row r="11411" customFormat="false" ht="15" hidden="false" customHeight="false" outlineLevel="0" collapsed="false">
      <c r="A11411" s="3" t="s">
        <v>429</v>
      </c>
      <c r="G11411" s="33" t="n">
        <f aca="false">Assumptions!$G$73</f>
        <v>0.4</v>
      </c>
      <c r="H11411" s="33" t="n">
        <f aca="false">Assumptions!$H$73</f>
        <v>0.4</v>
      </c>
      <c r="I11411" s="33" t="n">
        <f aca="false">Assumptions!$I$73</f>
        <v>0.4</v>
      </c>
      <c r="J11411" s="33" t="n">
        <f aca="false">Assumptions!$J$73</f>
        <v>0.4</v>
      </c>
      <c r="K11411" s="33" t="n">
        <f aca="false">Assumptions!$K$73</f>
        <v>0.4</v>
      </c>
    </row>
    <row r="11412" customFormat="false" ht="15" hidden="false" customHeight="false" outlineLevel="0" collapsed="false">
      <c r="A11412" s="3" t="s">
        <v>430</v>
      </c>
      <c r="G11412" s="22" t="n">
        <f aca="false">G11411-G11410</f>
        <v>0.228191994085824</v>
      </c>
      <c r="H11412" s="22" t="n">
        <f aca="false">H11411-H11410</f>
        <v>0.229456860028902</v>
      </c>
      <c r="I11412" s="22" t="n">
        <f aca="false">I11411-I11410</f>
        <v>0.230721725971979</v>
      </c>
      <c r="J11412" s="22" t="n">
        <f aca="false">J11411-J11410</f>
        <v>0.231986591915057</v>
      </c>
      <c r="K11412" s="22" t="n">
        <f aca="false">K11411-K11410</f>
        <v>0.233251457858135</v>
      </c>
    </row>
    <row r="11413" customFormat="false" ht="15" hidden="false" customHeight="false" outlineLevel="0" collapsed="false">
      <c r="A11413" s="3" t="s">
        <v>431</v>
      </c>
      <c r="G11413" s="22" t="n">
        <f aca="false">IF(G11411=0,0,G11412/ABS(G11411))</f>
        <v>0.57047998521456</v>
      </c>
      <c r="H11413" s="22" t="n">
        <f aca="false">IF(H11411=0,0,H11412/ABS(H11411))</f>
        <v>0.573642150072254</v>
      </c>
      <c r="I11413" s="22" t="n">
        <f aca="false">IF(I11411=0,0,I11412/ABS(I11411))</f>
        <v>0.576804314929948</v>
      </c>
      <c r="J11413" s="22" t="n">
        <f aca="false">IF(J11411=0,0,J11412/ABS(J11411))</f>
        <v>0.579966479787643</v>
      </c>
      <c r="K11413" s="22" t="n">
        <f aca="false">IF(K11411=0,0,K11412/ABS(K11411))</f>
        <v>0.583128644645337</v>
      </c>
    </row>
    <row r="11414" customFormat="false" ht="15" hidden="false" customHeight="false" outlineLevel="0" collapsed="false">
      <c r="A11414" s="3" t="s">
        <v>432</v>
      </c>
      <c r="G11414" s="21" t="n">
        <f aca="false">IF(G11412&lt;0,1,0)</f>
        <v>0</v>
      </c>
      <c r="H11414" s="21" t="n">
        <f aca="false">IF(H11412&lt;0,1,0)</f>
        <v>0</v>
      </c>
      <c r="I11414" s="21" t="n">
        <f aca="false">IF(I11412&lt;0,1,0)</f>
        <v>0</v>
      </c>
      <c r="J11414" s="21" t="n">
        <f aca="false">IF(J11412&lt;0,1,0)</f>
        <v>0</v>
      </c>
      <c r="K11414" s="21" t="n">
        <f aca="false">IF(K11412&lt;0,1,0)</f>
        <v>0</v>
      </c>
    </row>
    <row r="11415" customFormat="false" ht="15" hidden="false" customHeight="false" outlineLevel="0" collapsed="false">
      <c r="A11415" s="3" t="s">
        <v>433</v>
      </c>
      <c r="C11415" s="21" t="n">
        <f aca="false">IFERROR(INDEX($G$11148:$K$11148,MATCH(1,$G$11414:$K$11414,0)),0)</f>
        <v>0</v>
      </c>
    </row>
    <row r="11416" customFormat="false" ht="15" hidden="false" customHeight="false" outlineLevel="0" collapsed="false">
      <c r="A11416" s="3" t="s">
        <v>434</v>
      </c>
      <c r="C11416" s="22" t="n">
        <f aca="false">MIN($G$11413:$K$11413)</f>
        <v>0.57047998521456</v>
      </c>
    </row>
    <row r="11417" customFormat="false" ht="15" hidden="false" customHeight="false" outlineLevel="0" collapsed="false">
      <c r="A11417" s="24" t="s">
        <v>437</v>
      </c>
      <c r="B11417" s="25"/>
      <c r="C11417" s="25"/>
      <c r="D11417" s="25"/>
      <c r="E11417" s="25"/>
      <c r="F11417" s="25"/>
      <c r="G11417" s="25"/>
      <c r="H11417" s="25"/>
      <c r="I11417" s="25"/>
      <c r="J11417" s="25"/>
      <c r="K11417" s="25"/>
    </row>
    <row r="11418" customFormat="false" ht="15" hidden="false" customHeight="false" outlineLevel="0" collapsed="false">
      <c r="A11418" s="3" t="s">
        <v>428</v>
      </c>
      <c r="G11418" s="16" t="n">
        <f aca="false">G11388</f>
        <v>679.7329176</v>
      </c>
      <c r="H11418" s="16" t="n">
        <f aca="false">H11388</f>
        <v>574.5</v>
      </c>
      <c r="I11418" s="16" t="n">
        <f aca="false">I11388</f>
        <v>574.5</v>
      </c>
      <c r="J11418" s="16" t="n">
        <f aca="false">J11388</f>
        <v>574.5</v>
      </c>
      <c r="K11418" s="16" t="n">
        <f aca="false">K11388</f>
        <v>574.5</v>
      </c>
    </row>
    <row r="11419" customFormat="false" ht="15" hidden="false" customHeight="false" outlineLevel="0" collapsed="false">
      <c r="A11419" s="3" t="s">
        <v>429</v>
      </c>
      <c r="G11419" s="29" t="n">
        <f aca="false">Assumptions!$G$74</f>
        <v>100</v>
      </c>
      <c r="H11419" s="29" t="n">
        <f aca="false">Assumptions!$H$74</f>
        <v>100</v>
      </c>
      <c r="I11419" s="29" t="n">
        <f aca="false">Assumptions!$I$74</f>
        <v>100</v>
      </c>
      <c r="J11419" s="29" t="n">
        <f aca="false">Assumptions!$J$74</f>
        <v>100</v>
      </c>
      <c r="K11419" s="29" t="n">
        <f aca="false">Assumptions!$K$74</f>
        <v>100</v>
      </c>
    </row>
    <row r="11420" customFormat="false" ht="15" hidden="false" customHeight="false" outlineLevel="0" collapsed="false">
      <c r="A11420" s="3" t="s">
        <v>430</v>
      </c>
      <c r="G11420" s="16" t="n">
        <f aca="false">G11418-G11419</f>
        <v>579.7329176</v>
      </c>
      <c r="H11420" s="16" t="n">
        <f aca="false">H11418-H11419</f>
        <v>474.5</v>
      </c>
      <c r="I11420" s="16" t="n">
        <f aca="false">I11418-I11419</f>
        <v>474.5</v>
      </c>
      <c r="J11420" s="16" t="n">
        <f aca="false">J11418-J11419</f>
        <v>474.5</v>
      </c>
      <c r="K11420" s="16" t="n">
        <f aca="false">K11418-K11419</f>
        <v>474.5</v>
      </c>
    </row>
    <row r="11421" customFormat="false" ht="15" hidden="false" customHeight="false" outlineLevel="0" collapsed="false">
      <c r="A11421" s="3" t="s">
        <v>431</v>
      </c>
      <c r="G11421" s="22" t="n">
        <f aca="false">IF(G11419=0,0,G11420/ABS(G11419))</f>
        <v>5.797329176</v>
      </c>
      <c r="H11421" s="22" t="n">
        <f aca="false">IF(H11419=0,0,H11420/ABS(H11419))</f>
        <v>4.745</v>
      </c>
      <c r="I11421" s="22" t="n">
        <f aca="false">IF(I11419=0,0,I11420/ABS(I11419))</f>
        <v>4.745</v>
      </c>
      <c r="J11421" s="22" t="n">
        <f aca="false">IF(J11419=0,0,J11420/ABS(J11419))</f>
        <v>4.745</v>
      </c>
      <c r="K11421" s="22" t="n">
        <f aca="false">IF(K11419=0,0,K11420/ABS(K11419))</f>
        <v>4.745</v>
      </c>
    </row>
    <row r="11422" customFormat="false" ht="15" hidden="false" customHeight="false" outlineLevel="0" collapsed="false">
      <c r="A11422" s="3" t="s">
        <v>432</v>
      </c>
      <c r="G11422" s="21" t="n">
        <f aca="false">IF(G11420&lt;0,1,0)</f>
        <v>0</v>
      </c>
      <c r="H11422" s="21" t="n">
        <f aca="false">IF(H11420&lt;0,1,0)</f>
        <v>0</v>
      </c>
      <c r="I11422" s="21" t="n">
        <f aca="false">IF(I11420&lt;0,1,0)</f>
        <v>0</v>
      </c>
      <c r="J11422" s="21" t="n">
        <f aca="false">IF(J11420&lt;0,1,0)</f>
        <v>0</v>
      </c>
      <c r="K11422" s="21" t="n">
        <f aca="false">IF(K11420&lt;0,1,0)</f>
        <v>0</v>
      </c>
    </row>
    <row r="11423" customFormat="false" ht="15" hidden="false" customHeight="false" outlineLevel="0" collapsed="false">
      <c r="A11423" s="3" t="s">
        <v>433</v>
      </c>
      <c r="C11423" s="21" t="n">
        <f aca="false">IFERROR(INDEX($G$11148:$K$11148,MATCH(1,$G$11422:$K$11422,0)),0)</f>
        <v>0</v>
      </c>
    </row>
    <row r="11424" customFormat="false" ht="15" hidden="false" customHeight="false" outlineLevel="0" collapsed="false">
      <c r="A11424" s="3" t="s">
        <v>434</v>
      </c>
      <c r="C11424" s="22" t="n">
        <f aca="false">MIN($G$11421:$K$11421)</f>
        <v>4.745</v>
      </c>
    </row>
    <row r="11425" customFormat="false" ht="15" hidden="false" customHeight="false" outlineLevel="0" collapsed="false">
      <c r="A11425" s="24" t="s">
        <v>438</v>
      </c>
      <c r="B11425" s="25"/>
      <c r="C11425" s="25"/>
      <c r="D11425" s="25"/>
      <c r="E11425" s="25"/>
      <c r="F11425" s="25"/>
      <c r="G11425" s="25"/>
      <c r="H11425" s="25"/>
      <c r="I11425" s="25"/>
      <c r="J11425" s="25"/>
      <c r="K11425" s="25"/>
    </row>
    <row r="11426" customFormat="false" ht="15" hidden="false" customHeight="false" outlineLevel="0" collapsed="false">
      <c r="A11426" s="3" t="s">
        <v>428</v>
      </c>
      <c r="G11426" s="32" t="n">
        <f aca="false">IF(G11158&gt;0,G11381/G11158,99)</f>
        <v>11.2237007531744</v>
      </c>
      <c r="H11426" s="32" t="n">
        <f aca="false">IF(H11158&gt;0,H11381/H11158,99)</f>
        <v>13.1018884343886</v>
      </c>
      <c r="I11426" s="32" t="n">
        <f aca="false">IF(I11158&gt;0,I11381/I11158,99)</f>
        <v>13.9405869779077</v>
      </c>
      <c r="J11426" s="32" t="n">
        <f aca="false">IF(J11158&gt;0,J11381/J11158,99)</f>
        <v>14.0643541089844</v>
      </c>
      <c r="K11426" s="32" t="n">
        <f aca="false">IF(K11158&gt;0,K11381/K11158,99)</f>
        <v>13.8685192955854</v>
      </c>
    </row>
    <row r="11427" customFormat="false" ht="15" hidden="false" customHeight="false" outlineLevel="0" collapsed="false">
      <c r="A11427" s="3" t="s">
        <v>429</v>
      </c>
      <c r="G11427" s="34" t="n">
        <f aca="false">Assumptions!$G$75</f>
        <v>10.5</v>
      </c>
      <c r="H11427" s="34" t="n">
        <f aca="false">Assumptions!$H$75</f>
        <v>10.5</v>
      </c>
      <c r="I11427" s="34" t="n">
        <f aca="false">Assumptions!$I$75</f>
        <v>10</v>
      </c>
      <c r="J11427" s="34" t="n">
        <f aca="false">Assumptions!$J$75</f>
        <v>10</v>
      </c>
      <c r="K11427" s="34" t="n">
        <f aca="false">Assumptions!$K$75</f>
        <v>9.5</v>
      </c>
    </row>
    <row r="11428" customFormat="false" ht="15" hidden="false" customHeight="false" outlineLevel="0" collapsed="false">
      <c r="A11428" s="3" t="s">
        <v>430</v>
      </c>
      <c r="G11428" s="32" t="n">
        <f aca="false">G11427-G11426</f>
        <v>-0.723700753174351</v>
      </c>
      <c r="H11428" s="32" t="n">
        <f aca="false">H11427-H11426</f>
        <v>-2.60188843438861</v>
      </c>
      <c r="I11428" s="32" t="n">
        <f aca="false">I11427-I11426</f>
        <v>-3.94058697790768</v>
      </c>
      <c r="J11428" s="32" t="n">
        <f aca="false">J11427-J11426</f>
        <v>-4.06435410898438</v>
      </c>
      <c r="K11428" s="32" t="n">
        <f aca="false">K11427-K11426</f>
        <v>-4.36851929558539</v>
      </c>
    </row>
    <row r="11429" customFormat="false" ht="15" hidden="false" customHeight="false" outlineLevel="0" collapsed="false">
      <c r="A11429" s="3" t="s">
        <v>431</v>
      </c>
      <c r="G11429" s="22" t="n">
        <f aca="false">IF(G11427=0,0,G11428/ABS(G11427))</f>
        <v>-0.0689238812547001</v>
      </c>
      <c r="H11429" s="22" t="n">
        <f aca="false">IF(H11427=0,0,H11428/ABS(H11427))</f>
        <v>-0.247798898513201</v>
      </c>
      <c r="I11429" s="22" t="n">
        <f aca="false">IF(I11427=0,0,I11428/ABS(I11427))</f>
        <v>-0.394058697790768</v>
      </c>
      <c r="J11429" s="22" t="n">
        <f aca="false">IF(J11427=0,0,J11428/ABS(J11427))</f>
        <v>-0.406435410898438</v>
      </c>
      <c r="K11429" s="22" t="n">
        <f aca="false">IF(K11427=0,0,K11428/ABS(K11427))</f>
        <v>-0.45984413637741</v>
      </c>
    </row>
    <row r="11430" customFormat="false" ht="15" hidden="false" customHeight="false" outlineLevel="0" collapsed="false">
      <c r="A11430" s="3" t="s">
        <v>432</v>
      </c>
      <c r="G11430" s="21" t="n">
        <f aca="false">IF(G11428&lt;0,1,0)</f>
        <v>1</v>
      </c>
      <c r="H11430" s="21" t="n">
        <f aca="false">IF(H11428&lt;0,1,0)</f>
        <v>1</v>
      </c>
      <c r="I11430" s="21" t="n">
        <f aca="false">IF(I11428&lt;0,1,0)</f>
        <v>1</v>
      </c>
      <c r="J11430" s="21" t="n">
        <f aca="false">IF(J11428&lt;0,1,0)</f>
        <v>1</v>
      </c>
      <c r="K11430" s="21" t="n">
        <f aca="false">IF(K11428&lt;0,1,0)</f>
        <v>1</v>
      </c>
    </row>
    <row r="11431" customFormat="false" ht="15" hidden="false" customHeight="false" outlineLevel="0" collapsed="false">
      <c r="A11431" s="3" t="s">
        <v>433</v>
      </c>
      <c r="C11431" s="21" t="n">
        <f aca="false">IFERROR(INDEX($G$11148:$K$11148,MATCH(1,$G$11430:$K$11430,0)),0)</f>
        <v>2027</v>
      </c>
    </row>
    <row r="11432" customFormat="false" ht="15" hidden="false" customHeight="false" outlineLevel="0" collapsed="false">
      <c r="A11432" s="3" t="s">
        <v>434</v>
      </c>
      <c r="C11432" s="22" t="n">
        <f aca="false">MIN($G$11429:$K$11429)</f>
        <v>-0.45984413637741</v>
      </c>
    </row>
    <row r="11433" customFormat="false" ht="15" hidden="false" customHeight="false" outlineLevel="0" collapsed="false">
      <c r="A11433" s="3" t="s">
        <v>439</v>
      </c>
      <c r="G11433" s="21" t="n">
        <f aca="false">G11398+G11406+G11414+G11422+G11430</f>
        <v>3</v>
      </c>
      <c r="H11433" s="21" t="n">
        <f aca="false">H11398+H11406+H11414+H11422+H11430</f>
        <v>3</v>
      </c>
      <c r="I11433" s="21" t="n">
        <f aca="false">I11398+I11406+I11414+I11422+I11430</f>
        <v>3</v>
      </c>
      <c r="J11433" s="21" t="n">
        <f aca="false">J11398+J11406+J11414+J11422+J11430</f>
        <v>3</v>
      </c>
      <c r="K11433" s="21" t="n">
        <f aca="false">K11398+K11406+K11414+K11422+K11430</f>
        <v>3</v>
      </c>
    </row>
    <row r="11434" customFormat="false" ht="15" hidden="false" customHeight="false" outlineLevel="0" collapsed="false">
      <c r="A11434" s="3" t="s">
        <v>440</v>
      </c>
      <c r="C11434" s="21" t="n">
        <f aca="false">SUM($G$11433:$K$11433)</f>
        <v>15</v>
      </c>
    </row>
    <row r="11435" customFormat="false" ht="15" hidden="false" customHeight="false" outlineLevel="0" collapsed="false">
      <c r="A11435" s="3" t="s">
        <v>441</v>
      </c>
      <c r="C11435" s="22" t="n">
        <f aca="false">MIN(C11400,C11408,C11416,C11424,C11432)</f>
        <v>-0.45984413637741</v>
      </c>
    </row>
    <row r="11437" customFormat="false" ht="15" hidden="false" customHeight="false" outlineLevel="0" collapsed="false">
      <c r="A11437" s="24" t="s">
        <v>543</v>
      </c>
      <c r="B11437" s="25"/>
      <c r="C11437" s="25"/>
      <c r="D11437" s="25"/>
      <c r="E11437" s="25"/>
      <c r="F11437" s="25"/>
      <c r="G11437" s="25"/>
      <c r="H11437" s="25"/>
      <c r="I11437" s="25"/>
      <c r="J11437" s="25"/>
      <c r="K11437" s="25"/>
    </row>
    <row r="11438" customFormat="false" ht="15" hidden="false" customHeight="false" outlineLevel="0" collapsed="false">
      <c r="A11438" s="3" t="s">
        <v>544</v>
      </c>
      <c r="G11438" s="21" t="n">
        <f aca="false">IF($C$11439=1,G11375,IF(G11158=MIN($G$11158:$K$11158),1,0))</f>
        <v>0</v>
      </c>
      <c r="H11438" s="21" t="n">
        <f aca="false">IF($C$11439=1,H11375,IF(AND(H11158=MIN($G$11158:$K$11158),SUM($G$11438:G11438)=0),1,0))</f>
        <v>1</v>
      </c>
      <c r="I11438" s="21" t="n">
        <f aca="false">IF($C$11439=1,I11375,IF(AND(I11158=MIN($G$11158:$K$11158),SUM($G$11438:H11438)=0),1,0))</f>
        <v>0</v>
      </c>
      <c r="J11438" s="21" t="n">
        <f aca="false">IF($C$11439=1,J11375,IF(AND(J11158=MIN($G$11158:$K$11158),SUM($G$11438:I11438)=0),1,0))</f>
        <v>0</v>
      </c>
      <c r="K11438" s="21" t="n">
        <f aca="false">IF($C$11439=1,K11375,IF(AND(K11158=MIN($G$11158:$K$11158),SUM($G$11438:J11438)=0),1,0))</f>
        <v>0</v>
      </c>
    </row>
    <row r="11439" customFormat="false" ht="15" hidden="false" customHeight="false" outlineLevel="0" collapsed="false">
      <c r="A11439" s="3" t="s">
        <v>545</v>
      </c>
      <c r="C11439" s="21" t="n">
        <f aca="false">IF(SUM($G$11375:$K$11375)&gt;0,1,0)</f>
        <v>1</v>
      </c>
    </row>
    <row r="11440" customFormat="false" ht="15" hidden="false" customHeight="false" outlineLevel="0" collapsed="false">
      <c r="A11440" s="3" t="s">
        <v>546</v>
      </c>
      <c r="C11440" s="21" t="n">
        <f aca="false">SUMPRODUCT($G$11438:$K$11438,$G$11148:$K$11148)</f>
        <v>2028</v>
      </c>
    </row>
    <row r="11441" customFormat="false" ht="15" hidden="false" customHeight="false" outlineLevel="0" collapsed="false">
      <c r="A11441" s="3" t="s">
        <v>547</v>
      </c>
      <c r="C11441" s="16" t="n">
        <f aca="false">SUMPRODUCT($G$11438:$K$11438,$G$11158:$K$11158)</f>
        <v>196.02269649</v>
      </c>
    </row>
    <row r="11442" customFormat="false" ht="15" hidden="false" customHeight="false" outlineLevel="0" collapsed="false">
      <c r="A11442" s="3" t="s">
        <v>548</v>
      </c>
      <c r="C11442" s="16" t="n">
        <f aca="false">MAX(0,SUMPRODUCT($G$11438:$K$11438,$G$11372:$K$11372))</f>
        <v>0</v>
      </c>
    </row>
    <row r="11443" customFormat="false" ht="15" hidden="false" customHeight="false" outlineLevel="0" collapsed="false">
      <c r="A11443" s="3" t="s">
        <v>549</v>
      </c>
      <c r="C11443" s="16" t="n">
        <f aca="false">(CHOOSE($C$11141,Assumptions!$C$92,Assumptions!$C$111,Assumptions!$C$130)+$C$11145)*C11441</f>
        <v>1568.18157192</v>
      </c>
    </row>
    <row r="11444" customFormat="false" ht="15" hidden="false" customHeight="false" outlineLevel="0" collapsed="false">
      <c r="A11444" s="3" t="s">
        <v>550</v>
      </c>
      <c r="C11444" s="16" t="n">
        <f aca="false">Assumptions!$C$31*(1-CHOOSE($C$11141,Assumptions!$C$93,Assumptions!$C$112,Assumptions!$C$131))*CHOOSE($C$11141,Assumptions!$C$94,Assumptions!$C$113,Assumptions!$C$132)</f>
        <v>2688.03189666667</v>
      </c>
    </row>
    <row r="11445" customFormat="false" ht="15" hidden="false" customHeight="false" outlineLevel="0" collapsed="false">
      <c r="A11445" s="3" t="s">
        <v>551</v>
      </c>
      <c r="C11445" s="16" t="n">
        <f aca="false">MAX(C11443,C11444)+C11442</f>
        <v>2688.03189666667</v>
      </c>
    </row>
    <row r="11446" customFormat="false" ht="15" hidden="false" customHeight="false" outlineLevel="0" collapsed="false">
      <c r="A11446" s="2" t="s">
        <v>552</v>
      </c>
      <c r="C11446" s="17" t="n">
        <f aca="false">IF(ISNUMBER(Assumptions!$C$14),Assumptions!$C$14,C11445)</f>
        <v>2688.03189666667</v>
      </c>
    </row>
    <row r="11447" customFormat="false" ht="15" hidden="false" customHeight="false" outlineLevel="0" collapsed="false">
      <c r="A11447" s="3" t="s">
        <v>553</v>
      </c>
      <c r="C11447" s="16" t="n">
        <f aca="false">C11446*Assumptions!$C$15</f>
        <v>107.521275866667</v>
      </c>
    </row>
    <row r="11448" customFormat="false" ht="15" hidden="false" customHeight="false" outlineLevel="0" collapsed="false">
      <c r="A11448" s="2" t="s">
        <v>554</v>
      </c>
      <c r="C11448" s="17" t="n">
        <f aca="false">C11446-C11447</f>
        <v>2580.5106208</v>
      </c>
    </row>
    <row r="11449" customFormat="false" ht="15" hidden="false" customHeight="false" outlineLevel="0" collapsed="false">
      <c r="A11449" s="24" t="s">
        <v>555</v>
      </c>
      <c r="B11449" s="25"/>
      <c r="C11449" s="25"/>
      <c r="D11449" s="25"/>
      <c r="E11449" s="25"/>
      <c r="F11449" s="25"/>
      <c r="G11449" s="25"/>
      <c r="H11449" s="25"/>
      <c r="I11449" s="25"/>
      <c r="J11449" s="25"/>
      <c r="K11449" s="25"/>
    </row>
    <row r="11450" customFormat="false" ht="15" hidden="false" customHeight="false" outlineLevel="0" collapsed="false">
      <c r="A11450" s="3" t="s">
        <v>556</v>
      </c>
      <c r="C11450" s="16" t="n">
        <f aca="false">SUMPRODUCT($G$11438:$K$11438,$G$11195:$K$11195)*(1+SUMPRODUCT($G$11438:$K$11438,$G$11187:$K$11187)*Assumptions!$C$16/12)</f>
        <v>403.76</v>
      </c>
    </row>
    <row r="11451" customFormat="false" ht="15" hidden="false" customHeight="false" outlineLevel="0" collapsed="false">
      <c r="A11451" s="3" t="s">
        <v>557</v>
      </c>
      <c r="C11451" s="16" t="n">
        <f aca="false">SUMPRODUCT($G$11438:$K$11438,$G$11208:$K$11208)*(1+SUMPRODUCT($G$11438:$K$11438,$G$11200:$K$11200)*Assumptions!$C$16/12)</f>
        <v>91.30725</v>
      </c>
    </row>
    <row r="11452" customFormat="false" ht="15" hidden="false" customHeight="false" outlineLevel="0" collapsed="false">
      <c r="A11452" s="3" t="s">
        <v>558</v>
      </c>
      <c r="C11452" s="16" t="n">
        <f aca="false">SUMPRODUCT($G$11438:$K$11438,$G$11221:$K$11221)*(1+SUMPRODUCT($G$11438:$K$11438,$G$11213:$K$11213)*Assumptions!$C$16/12)</f>
        <v>58.3715961</v>
      </c>
    </row>
    <row r="11453" customFormat="false" ht="15" hidden="false" customHeight="false" outlineLevel="0" collapsed="false">
      <c r="A11453" s="3" t="s">
        <v>559</v>
      </c>
      <c r="C11453" s="16" t="n">
        <f aca="false">SUMPRODUCT($G$11438:$K$11438,$G$11234:$K$11234)*(1+SUMPRODUCT($G$11438:$K$11438,$G$11226:$K$11226)*Assumptions!$C$16/12)</f>
        <v>0</v>
      </c>
    </row>
    <row r="11454" customFormat="false" ht="15" hidden="false" customHeight="false" outlineLevel="0" collapsed="false">
      <c r="A11454" s="3" t="s">
        <v>560</v>
      </c>
      <c r="C11454" s="16" t="n">
        <f aca="false">SUMPRODUCT($G$11438:$K$11438,$G$11247:$K$11247)*(1+SUMPRODUCT($G$11438:$K$11438,$G$11239:$K$11239)*Assumptions!$C$16/12)</f>
        <v>404.286793332698</v>
      </c>
    </row>
    <row r="11455" customFormat="false" ht="15" hidden="false" customHeight="false" outlineLevel="0" collapsed="false">
      <c r="A11455" s="3" t="s">
        <v>561</v>
      </c>
      <c r="C11455" s="16" t="n">
        <f aca="false">SUMPRODUCT($G$11438:$K$11438,$G$11260:$K$11260)*(1+SUMPRODUCT($G$11438:$K$11438,$G$11252:$K$11252)*Assumptions!$C$16/12)</f>
        <v>357.2625</v>
      </c>
    </row>
    <row r="11456" customFormat="false" ht="15" hidden="false" customHeight="false" outlineLevel="0" collapsed="false">
      <c r="A11456" s="3" t="s">
        <v>562</v>
      </c>
      <c r="C11456" s="16" t="n">
        <f aca="false">SUMPRODUCT($G$11438:$K$11438,$G$11273:$K$11273)*(1+SUMPRODUCT($G$11438:$K$11438,$G$11265:$K$11265)*Assumptions!$C$16/12)</f>
        <v>562.203125</v>
      </c>
    </row>
    <row r="11457" customFormat="false" ht="15" hidden="false" customHeight="false" outlineLevel="0" collapsed="false">
      <c r="A11457" s="3" t="s">
        <v>563</v>
      </c>
      <c r="C11457" s="16" t="n">
        <f aca="false">SUMPRODUCT($G$11438:$K$11438,$G$11286:$K$11286)*(1+SUMPRODUCT($G$11438:$K$11438,$G$11278:$K$11278)*Assumptions!$C$16/12)</f>
        <v>353.98125</v>
      </c>
    </row>
    <row r="11458" customFormat="false" ht="15" hidden="false" customHeight="false" outlineLevel="0" collapsed="false">
      <c r="A11458" s="3" t="s">
        <v>564</v>
      </c>
      <c r="C11458" s="16" t="n">
        <f aca="false">SUMPRODUCT($G$11438:$K$11438,$G$11299:$K$11299)*(1+SUMPRODUCT($G$11438:$K$11438,$G$11291:$K$11291)*Assumptions!$C$16/12)</f>
        <v>304.59375</v>
      </c>
    </row>
    <row r="11459" customFormat="false" ht="15" hidden="false" customHeight="false" outlineLevel="0" collapsed="false">
      <c r="A11459" s="3" t="s">
        <v>565</v>
      </c>
      <c r="C11459" s="16" t="n">
        <f aca="false">SUMPRODUCT($G$11438:$K$11438,$G$11312:$K$11312)*(1+SUMPRODUCT($G$11438:$K$11438,$G$11304:$K$11304)*Assumptions!$C$16/12)</f>
        <v>80.2332965</v>
      </c>
    </row>
    <row r="11460" customFormat="false" ht="15" hidden="false" customHeight="false" outlineLevel="0" collapsed="false">
      <c r="A11460" s="24" t="s">
        <v>566</v>
      </c>
      <c r="B11460" s="25"/>
      <c r="C11460" s="25"/>
      <c r="D11460" s="25"/>
      <c r="E11460" s="25"/>
      <c r="F11460" s="25"/>
      <c r="G11460" s="25"/>
      <c r="H11460" s="25"/>
      <c r="I11460" s="25"/>
      <c r="J11460" s="25"/>
      <c r="K11460" s="25"/>
    </row>
    <row r="11461" customFormat="false" ht="15" hidden="false" customHeight="false" outlineLevel="0" collapsed="false">
      <c r="A11461" s="3" t="s">
        <v>556</v>
      </c>
      <c r="C11461" s="27" t="n">
        <f aca="false">Assumptions!$M$57</f>
        <v>1</v>
      </c>
    </row>
    <row r="11462" customFormat="false" ht="15" hidden="false" customHeight="false" outlineLevel="0" collapsed="false">
      <c r="A11462" s="3" t="s">
        <v>557</v>
      </c>
      <c r="C11462" s="27" t="n">
        <f aca="false">Assumptions!$M$58</f>
        <v>1</v>
      </c>
    </row>
    <row r="11463" customFormat="false" ht="15" hidden="false" customHeight="false" outlineLevel="0" collapsed="false">
      <c r="A11463" s="3" t="s">
        <v>558</v>
      </c>
      <c r="C11463" s="27" t="n">
        <f aca="false">Assumptions!$M$59</f>
        <v>1</v>
      </c>
    </row>
    <row r="11464" customFormat="false" ht="15" hidden="false" customHeight="false" outlineLevel="0" collapsed="false">
      <c r="A11464" s="3" t="s">
        <v>559</v>
      </c>
      <c r="C11464" s="27" t="n">
        <f aca="false">Assumptions!$M$60</f>
        <v>2</v>
      </c>
    </row>
    <row r="11465" customFormat="false" ht="15" hidden="false" customHeight="false" outlineLevel="0" collapsed="false">
      <c r="A11465" s="3" t="s">
        <v>560</v>
      </c>
      <c r="C11465" s="27" t="n">
        <f aca="false">Assumptions!$M$61</f>
        <v>2</v>
      </c>
    </row>
    <row r="11466" customFormat="false" ht="15" hidden="false" customHeight="false" outlineLevel="0" collapsed="false">
      <c r="A11466" s="3" t="s">
        <v>561</v>
      </c>
      <c r="C11466" s="27" t="n">
        <f aca="false">Assumptions!$M$62</f>
        <v>2</v>
      </c>
    </row>
    <row r="11467" customFormat="false" ht="15" hidden="false" customHeight="false" outlineLevel="0" collapsed="false">
      <c r="A11467" s="3" t="s">
        <v>562</v>
      </c>
      <c r="C11467" s="27" t="n">
        <f aca="false">Assumptions!$M$63</f>
        <v>2</v>
      </c>
    </row>
    <row r="11468" customFormat="false" ht="15" hidden="false" customHeight="false" outlineLevel="0" collapsed="false">
      <c r="A11468" s="3" t="s">
        <v>563</v>
      </c>
      <c r="C11468" s="27" t="n">
        <f aca="false">Assumptions!$M$64</f>
        <v>2</v>
      </c>
    </row>
    <row r="11469" customFormat="false" ht="15" hidden="false" customHeight="false" outlineLevel="0" collapsed="false">
      <c r="A11469" s="3" t="s">
        <v>564</v>
      </c>
      <c r="C11469" s="27" t="n">
        <f aca="false">Assumptions!$M$65</f>
        <v>2</v>
      </c>
    </row>
    <row r="11470" customFormat="false" ht="15" hidden="false" customHeight="false" outlineLevel="0" collapsed="false">
      <c r="A11470" s="3" t="s">
        <v>565</v>
      </c>
      <c r="C11470" s="27" t="n">
        <f aca="false">Assumptions!$M$66</f>
        <v>3</v>
      </c>
    </row>
    <row r="11471" customFormat="false" ht="15" hidden="false" customHeight="false" outlineLevel="0" collapsed="false">
      <c r="A11471" s="24" t="s">
        <v>567</v>
      </c>
      <c r="B11471" s="25"/>
      <c r="C11471" s="25"/>
      <c r="D11471" s="25"/>
      <c r="E11471" s="25"/>
      <c r="F11471" s="25"/>
      <c r="G11471" s="25"/>
      <c r="H11471" s="25"/>
      <c r="I11471" s="25"/>
      <c r="J11471" s="25"/>
      <c r="K11471" s="25"/>
    </row>
    <row r="11472" customFormat="false" ht="15" hidden="false" customHeight="false" outlineLevel="0" collapsed="false">
      <c r="A11472" s="3" t="s">
        <v>556</v>
      </c>
      <c r="C11472" s="33" t="n">
        <f aca="false">Assumptions!$Q$57</f>
        <v>0.3</v>
      </c>
    </row>
    <row r="11473" customFormat="false" ht="15" hidden="false" customHeight="false" outlineLevel="0" collapsed="false">
      <c r="A11473" s="3" t="s">
        <v>557</v>
      </c>
      <c r="C11473" s="33" t="n">
        <f aca="false">Assumptions!$Q$58</f>
        <v>0.033</v>
      </c>
    </row>
    <row r="11474" customFormat="false" ht="15" hidden="false" customHeight="false" outlineLevel="0" collapsed="false">
      <c r="A11474" s="3" t="s">
        <v>558</v>
      </c>
      <c r="C11474" s="33" t="n">
        <f aca="false">Assumptions!$Q$59</f>
        <v>0.021</v>
      </c>
    </row>
    <row r="11475" customFormat="false" ht="15" hidden="false" customHeight="false" outlineLevel="0" collapsed="false">
      <c r="A11475" s="3" t="s">
        <v>559</v>
      </c>
      <c r="C11475" s="33" t="n">
        <f aca="false">Assumptions!$Q$60</f>
        <v>0</v>
      </c>
    </row>
    <row r="11476" customFormat="false" ht="15" hidden="false" customHeight="false" outlineLevel="0" collapsed="false">
      <c r="A11476" s="3" t="s">
        <v>560</v>
      </c>
      <c r="C11476" s="33" t="n">
        <f aca="false">Assumptions!$Q$61</f>
        <v>0</v>
      </c>
    </row>
    <row r="11477" customFormat="false" ht="15" hidden="false" customHeight="false" outlineLevel="0" collapsed="false">
      <c r="A11477" s="3" t="s">
        <v>561</v>
      </c>
      <c r="C11477" s="33" t="n">
        <f aca="false">Assumptions!$Q$62</f>
        <v>0</v>
      </c>
    </row>
    <row r="11478" customFormat="false" ht="15" hidden="false" customHeight="false" outlineLevel="0" collapsed="false">
      <c r="A11478" s="3" t="s">
        <v>562</v>
      </c>
      <c r="C11478" s="33" t="n">
        <f aca="false">Assumptions!$Q$63</f>
        <v>0</v>
      </c>
    </row>
    <row r="11479" customFormat="false" ht="15" hidden="false" customHeight="false" outlineLevel="0" collapsed="false">
      <c r="A11479" s="3" t="s">
        <v>563</v>
      </c>
      <c r="C11479" s="33" t="n">
        <f aca="false">Assumptions!$Q$64</f>
        <v>0</v>
      </c>
    </row>
    <row r="11480" customFormat="false" ht="15" hidden="false" customHeight="false" outlineLevel="0" collapsed="false">
      <c r="A11480" s="3" t="s">
        <v>564</v>
      </c>
      <c r="C11480" s="33" t="n">
        <f aca="false">Assumptions!$Q$65</f>
        <v>0</v>
      </c>
    </row>
    <row r="11481" customFormat="false" ht="15" hidden="false" customHeight="false" outlineLevel="0" collapsed="false">
      <c r="A11481" s="3" t="s">
        <v>565</v>
      </c>
      <c r="C11481" s="33" t="n">
        <f aca="false">Assumptions!$Q$66</f>
        <v>0</v>
      </c>
    </row>
    <row r="11482" customFormat="false" ht="15" hidden="false" customHeight="false" outlineLevel="0" collapsed="false">
      <c r="A11482" s="24" t="s">
        <v>568</v>
      </c>
      <c r="B11482" s="25"/>
      <c r="C11482" s="25"/>
      <c r="D11482" s="25"/>
      <c r="E11482" s="25"/>
      <c r="F11482" s="25"/>
      <c r="G11482" s="25"/>
      <c r="H11482" s="25"/>
      <c r="I11482" s="25"/>
      <c r="J11482" s="25"/>
      <c r="K11482" s="25"/>
    </row>
    <row r="11483" customFormat="false" ht="15" hidden="false" customHeight="false" outlineLevel="0" collapsed="false">
      <c r="A11483" s="3" t="s">
        <v>556</v>
      </c>
      <c r="C11483" s="16" t="n">
        <f aca="false">IF(C11472&gt;0,MIN(C11450,C11472*$C$11448),0)</f>
        <v>403.76</v>
      </c>
    </row>
    <row r="11484" customFormat="false" ht="15" hidden="false" customHeight="false" outlineLevel="0" collapsed="false">
      <c r="A11484" s="3" t="s">
        <v>557</v>
      </c>
      <c r="C11484" s="16" t="n">
        <f aca="false">IF(C11473&gt;0,MIN(C11451,C11473*$C$11448),0)</f>
        <v>85.1568504864</v>
      </c>
    </row>
    <row r="11485" customFormat="false" ht="15" hidden="false" customHeight="false" outlineLevel="0" collapsed="false">
      <c r="A11485" s="3" t="s">
        <v>558</v>
      </c>
      <c r="C11485" s="16" t="n">
        <f aca="false">IF(C11474&gt;0,MIN(C11452,C11474*$C$11448),0)</f>
        <v>54.1907230368</v>
      </c>
    </row>
    <row r="11486" customFormat="false" ht="15" hidden="false" customHeight="false" outlineLevel="0" collapsed="false">
      <c r="A11486" s="3" t="s">
        <v>559</v>
      </c>
      <c r="C11486" s="16" t="n">
        <f aca="false">IF(C11475&gt;0,MIN(C11453,C11475*$C$11448),0)</f>
        <v>0</v>
      </c>
    </row>
    <row r="11487" customFormat="false" ht="15" hidden="false" customHeight="false" outlineLevel="0" collapsed="false">
      <c r="A11487" s="3" t="s">
        <v>560</v>
      </c>
      <c r="C11487" s="16" t="n">
        <f aca="false">IF(C11476&gt;0,MIN(C11454,C11476*$C$11448),0)</f>
        <v>0</v>
      </c>
    </row>
    <row r="11488" customFormat="false" ht="15" hidden="false" customHeight="false" outlineLevel="0" collapsed="false">
      <c r="A11488" s="3" t="s">
        <v>561</v>
      </c>
      <c r="C11488" s="16" t="n">
        <f aca="false">IF(C11477&gt;0,MIN(C11455,C11477*$C$11448),0)</f>
        <v>0</v>
      </c>
    </row>
    <row r="11489" customFormat="false" ht="15" hidden="false" customHeight="false" outlineLevel="0" collapsed="false">
      <c r="A11489" s="3" t="s">
        <v>562</v>
      </c>
      <c r="C11489" s="16" t="n">
        <f aca="false">IF(C11478&gt;0,MIN(C11456,C11478*$C$11448),0)</f>
        <v>0</v>
      </c>
    </row>
    <row r="11490" customFormat="false" ht="15" hidden="false" customHeight="false" outlineLevel="0" collapsed="false">
      <c r="A11490" s="3" t="s">
        <v>563</v>
      </c>
      <c r="C11490" s="16" t="n">
        <f aca="false">IF(C11479&gt;0,MIN(C11457,C11479*$C$11448),0)</f>
        <v>0</v>
      </c>
    </row>
    <row r="11491" customFormat="false" ht="15" hidden="false" customHeight="false" outlineLevel="0" collapsed="false">
      <c r="A11491" s="3" t="s">
        <v>564</v>
      </c>
      <c r="C11491" s="16" t="n">
        <f aca="false">IF(C11480&gt;0,MIN(C11458,C11480*$C$11448),0)</f>
        <v>0</v>
      </c>
    </row>
    <row r="11492" customFormat="false" ht="15" hidden="false" customHeight="false" outlineLevel="0" collapsed="false">
      <c r="A11492" s="3" t="s">
        <v>565</v>
      </c>
      <c r="C11492" s="16" t="n">
        <f aca="false">IF(C11481&gt;0,MIN(C11459,C11481*$C$11448),0)</f>
        <v>0</v>
      </c>
    </row>
    <row r="11493" customFormat="false" ht="15" hidden="false" customHeight="false" outlineLevel="0" collapsed="false">
      <c r="A11493" s="24" t="s">
        <v>569</v>
      </c>
      <c r="B11493" s="25"/>
      <c r="C11493" s="25"/>
      <c r="D11493" s="25"/>
      <c r="E11493" s="25"/>
      <c r="F11493" s="25"/>
      <c r="G11493" s="25"/>
      <c r="H11493" s="25"/>
      <c r="I11493" s="25"/>
      <c r="J11493" s="25"/>
      <c r="K11493" s="25"/>
    </row>
    <row r="11494" customFormat="false" ht="15" hidden="false" customHeight="false" outlineLevel="0" collapsed="false">
      <c r="A11494" s="3" t="s">
        <v>556</v>
      </c>
      <c r="C11494" s="16" t="n">
        <f aca="false">IF(C11472&gt;0,C11450-C11483,0)</f>
        <v>0</v>
      </c>
      <c r="G11494" s="21" t="n">
        <f aca="false">IF(AND(G11185=1,G11182=1),1,0)</f>
        <v>0</v>
      </c>
      <c r="H11494" s="21" t="n">
        <f aca="false">IF(G11494=1,1,IF(AND(H11185=1,H11182=1),1,0))</f>
        <v>0</v>
      </c>
      <c r="I11494" s="21" t="n">
        <f aca="false">IF(H11494=1,1,IF(AND(I11185=1,I11182=1),1,0))</f>
        <v>0</v>
      </c>
      <c r="J11494" s="21" t="n">
        <f aca="false">IF(I11494=1,1,IF(AND(J11185=1,J11182=1),1,0))</f>
        <v>0</v>
      </c>
      <c r="K11494" s="21" t="n">
        <f aca="false">IF(J11494=1,1,IF(AND(K11185=1,K11182=1),1,0))</f>
        <v>0</v>
      </c>
    </row>
    <row r="11495" customFormat="false" ht="15" hidden="false" customHeight="false" outlineLevel="0" collapsed="false">
      <c r="A11495" s="3" t="s">
        <v>557</v>
      </c>
      <c r="C11495" s="16" t="n">
        <f aca="false">IF(C11473&gt;0,C11451-C11484,0)</f>
        <v>6.15039951360001</v>
      </c>
      <c r="G11495" s="21" t="n">
        <f aca="false">IF(AND(G11198=1,G11182=1),1,0)</f>
        <v>0</v>
      </c>
      <c r="H11495" s="21" t="n">
        <f aca="false">IF(G11495=1,1,IF(AND(H11198=1,H11182=1),1,0))</f>
        <v>0</v>
      </c>
      <c r="I11495" s="21" t="n">
        <f aca="false">IF(H11495=1,1,IF(AND(I11198=1,I11182=1),1,0))</f>
        <v>0</v>
      </c>
      <c r="J11495" s="21" t="n">
        <f aca="false">IF(I11495=1,1,IF(AND(J11198=1,J11182=1),1,0))</f>
        <v>0</v>
      </c>
      <c r="K11495" s="21" t="n">
        <f aca="false">IF(J11495=1,1,IF(AND(K11198=1,K11182=1),1,0))</f>
        <v>0</v>
      </c>
    </row>
    <row r="11496" customFormat="false" ht="15" hidden="false" customHeight="false" outlineLevel="0" collapsed="false">
      <c r="A11496" s="3" t="s">
        <v>558</v>
      </c>
      <c r="C11496" s="16" t="n">
        <f aca="false">IF(C11474&gt;0,C11452-C11485,0)</f>
        <v>4.1808730632</v>
      </c>
      <c r="G11496" s="21" t="n">
        <f aca="false">IF(AND(G11211=1,G11182=1),1,0)</f>
        <v>0</v>
      </c>
      <c r="H11496" s="21" t="n">
        <f aca="false">IF(G11496=1,1,IF(AND(H11211=1,H11182=1),1,0))</f>
        <v>0</v>
      </c>
      <c r="I11496" s="21" t="n">
        <f aca="false">IF(H11496=1,1,IF(AND(I11211=1,I11182=1),1,0))</f>
        <v>0</v>
      </c>
      <c r="J11496" s="21" t="n">
        <f aca="false">IF(I11496=1,1,IF(AND(J11211=1,J11182=1),1,0))</f>
        <v>0</v>
      </c>
      <c r="K11496" s="21" t="n">
        <f aca="false">IF(J11496=1,1,IF(AND(K11211=1,K11182=1),1,0))</f>
        <v>0</v>
      </c>
    </row>
    <row r="11497" customFormat="false" ht="15" hidden="false" customHeight="false" outlineLevel="0" collapsed="false">
      <c r="A11497" s="3" t="s">
        <v>559</v>
      </c>
      <c r="C11497" s="16" t="n">
        <f aca="false">IF(C11475&gt;0,C11453-C11486,0)</f>
        <v>0</v>
      </c>
      <c r="G11497" s="21" t="n">
        <f aca="false">IF(AND(G11224=1,G11182=1),1,0)</f>
        <v>0</v>
      </c>
      <c r="H11497" s="21" t="n">
        <f aca="false">IF(G11497=1,1,IF(AND(H11224=1,H11182=1),1,0))</f>
        <v>0</v>
      </c>
      <c r="I11497" s="21" t="n">
        <f aca="false">IF(H11497=1,1,IF(AND(I11224=1,I11182=1),1,0))</f>
        <v>0</v>
      </c>
      <c r="J11497" s="21" t="n">
        <f aca="false">IF(I11497=1,1,IF(AND(J11224=1,J11182=1),1,0))</f>
        <v>0</v>
      </c>
      <c r="K11497" s="21" t="n">
        <f aca="false">IF(J11497=1,1,IF(AND(K11224=1,K11182=1),1,0))</f>
        <v>0</v>
      </c>
    </row>
    <row r="11498" customFormat="false" ht="15" hidden="false" customHeight="false" outlineLevel="0" collapsed="false">
      <c r="A11498" s="3" t="s">
        <v>560</v>
      </c>
      <c r="C11498" s="16" t="n">
        <f aca="false">IF(C11476&gt;0,C11454-C11487,0)</f>
        <v>0</v>
      </c>
      <c r="G11498" s="21" t="n">
        <f aca="false">IF(AND(G11237=1,G11182=1),1,0)</f>
        <v>0</v>
      </c>
      <c r="H11498" s="21" t="n">
        <f aca="false">IF(G11498=1,1,IF(AND(H11237=1,H11182=1),1,0))</f>
        <v>0</v>
      </c>
      <c r="I11498" s="21" t="n">
        <f aca="false">IF(H11498=1,1,IF(AND(I11237=1,I11182=1),1,0))</f>
        <v>0</v>
      </c>
      <c r="J11498" s="21" t="n">
        <f aca="false">IF(I11498=1,1,IF(AND(J11237=1,J11182=1),1,0))</f>
        <v>0</v>
      </c>
      <c r="K11498" s="21" t="n">
        <f aca="false">IF(J11498=1,1,IF(AND(K11237=1,K11182=1),1,0))</f>
        <v>0</v>
      </c>
    </row>
    <row r="11499" customFormat="false" ht="15" hidden="false" customHeight="false" outlineLevel="0" collapsed="false">
      <c r="A11499" s="3" t="s">
        <v>561</v>
      </c>
      <c r="C11499" s="16" t="n">
        <f aca="false">IF(C11477&gt;0,C11455-C11488,0)</f>
        <v>0</v>
      </c>
      <c r="G11499" s="21" t="n">
        <f aca="false">IF(AND(G11250=1,G11182=1),1,0)</f>
        <v>0</v>
      </c>
      <c r="H11499" s="21" t="n">
        <f aca="false">IF(G11499=1,1,IF(AND(H11250=1,H11182=1),1,0))</f>
        <v>0</v>
      </c>
      <c r="I11499" s="21" t="n">
        <f aca="false">IF(H11499=1,1,IF(AND(I11250=1,I11182=1),1,0))</f>
        <v>0</v>
      </c>
      <c r="J11499" s="21" t="n">
        <f aca="false">IF(I11499=1,1,IF(AND(J11250=1,J11182=1),1,0))</f>
        <v>0</v>
      </c>
      <c r="K11499" s="21" t="n">
        <f aca="false">IF(J11499=1,1,IF(AND(K11250=1,K11182=1),1,0))</f>
        <v>0</v>
      </c>
    </row>
    <row r="11500" customFormat="false" ht="15" hidden="false" customHeight="false" outlineLevel="0" collapsed="false">
      <c r="A11500" s="3" t="s">
        <v>562</v>
      </c>
      <c r="C11500" s="16" t="n">
        <f aca="false">IF(C11478&gt;0,C11456-C11489,0)</f>
        <v>0</v>
      </c>
      <c r="G11500" s="21" t="n">
        <f aca="false">IF(AND(G11263=1,G11182=1),1,0)</f>
        <v>0</v>
      </c>
      <c r="H11500" s="21" t="n">
        <f aca="false">IF(G11500=1,1,IF(AND(H11263=1,H11182=1),1,0))</f>
        <v>0</v>
      </c>
      <c r="I11500" s="21" t="n">
        <f aca="false">IF(H11500=1,1,IF(AND(I11263=1,I11182=1),1,0))</f>
        <v>0</v>
      </c>
      <c r="J11500" s="21" t="n">
        <f aca="false">IF(I11500=1,1,IF(AND(J11263=1,J11182=1),1,0))</f>
        <v>0</v>
      </c>
      <c r="K11500" s="21" t="n">
        <f aca="false">IF(J11500=1,1,IF(AND(K11263=1,K11182=1),1,0))</f>
        <v>0</v>
      </c>
    </row>
    <row r="11501" customFormat="false" ht="15" hidden="false" customHeight="false" outlineLevel="0" collapsed="false">
      <c r="A11501" s="3" t="s">
        <v>563</v>
      </c>
      <c r="C11501" s="16" t="n">
        <f aca="false">IF(C11479&gt;0,C11457-C11490,0)</f>
        <v>0</v>
      </c>
      <c r="G11501" s="21" t="n">
        <f aca="false">IF(AND(G11276=1,G11182=1),1,0)</f>
        <v>0</v>
      </c>
      <c r="H11501" s="21" t="n">
        <f aca="false">IF(G11501=1,1,IF(AND(H11276=1,H11182=1),1,0))</f>
        <v>0</v>
      </c>
      <c r="I11501" s="21" t="n">
        <f aca="false">IF(H11501=1,1,IF(AND(I11276=1,I11182=1),1,0))</f>
        <v>0</v>
      </c>
      <c r="J11501" s="21" t="n">
        <f aca="false">IF(I11501=1,1,IF(AND(J11276=1,J11182=1),1,0))</f>
        <v>0</v>
      </c>
      <c r="K11501" s="21" t="n">
        <f aca="false">IF(J11501=1,1,IF(AND(K11276=1,K11182=1),1,0))</f>
        <v>0</v>
      </c>
    </row>
    <row r="11502" customFormat="false" ht="15" hidden="false" customHeight="false" outlineLevel="0" collapsed="false">
      <c r="A11502" s="3" t="s">
        <v>564</v>
      </c>
      <c r="C11502" s="16" t="n">
        <f aca="false">IF(C11480&gt;0,C11458-C11491,0)</f>
        <v>0</v>
      </c>
      <c r="G11502" s="21" t="n">
        <f aca="false">IF(AND(G11289=1,G11182=1),1,0)</f>
        <v>0</v>
      </c>
      <c r="H11502" s="21" t="n">
        <f aca="false">IF(G11502=1,1,IF(AND(H11289=1,H11182=1),1,0))</f>
        <v>0</v>
      </c>
      <c r="I11502" s="21" t="n">
        <f aca="false">IF(H11502=1,1,IF(AND(I11289=1,I11182=1),1,0))</f>
        <v>0</v>
      </c>
      <c r="J11502" s="21" t="n">
        <f aca="false">IF(I11502=1,1,IF(AND(J11289=1,J11182=1),1,0))</f>
        <v>0</v>
      </c>
      <c r="K11502" s="21" t="n">
        <f aca="false">IF(J11502=1,1,IF(AND(K11289=1,K11182=1),1,0))</f>
        <v>0</v>
      </c>
    </row>
    <row r="11503" customFormat="false" ht="15" hidden="false" customHeight="false" outlineLevel="0" collapsed="false">
      <c r="A11503" s="3" t="s">
        <v>565</v>
      </c>
      <c r="C11503" s="16" t="n">
        <f aca="false">IF(C11481&gt;0,C11459-C11492,0)</f>
        <v>0</v>
      </c>
      <c r="G11503" s="21" t="n">
        <f aca="false">IF(AND(G11302=1,G11182=1),1,0)</f>
        <v>0</v>
      </c>
      <c r="H11503" s="21" t="n">
        <f aca="false">IF(G11503=1,1,IF(AND(H11302=1,H11182=1),1,0))</f>
        <v>0</v>
      </c>
      <c r="I11503" s="21" t="n">
        <f aca="false">IF(H11503=1,1,IF(AND(I11302=1,I11182=1),1,0))</f>
        <v>0</v>
      </c>
      <c r="J11503" s="21" t="n">
        <f aca="false">IF(I11503=1,1,IF(AND(J11302=1,J11182=1),1,0))</f>
        <v>0</v>
      </c>
      <c r="K11503" s="21" t="n">
        <f aca="false">IF(J11503=1,1,IF(AND(K11302=1,K11182=1),1,0))</f>
        <v>0</v>
      </c>
    </row>
    <row r="11504" customFormat="false" ht="15" hidden="false" customHeight="false" outlineLevel="0" collapsed="false">
      <c r="A11504" s="24" t="s">
        <v>570</v>
      </c>
      <c r="B11504" s="25"/>
      <c r="C11504" s="25"/>
      <c r="D11504" s="25"/>
      <c r="E11504" s="25"/>
      <c r="F11504" s="25"/>
      <c r="G11504" s="25"/>
      <c r="H11504" s="25"/>
      <c r="I11504" s="25"/>
      <c r="J11504" s="25"/>
      <c r="K11504" s="25"/>
    </row>
    <row r="11505" customFormat="false" ht="15" hidden="false" customHeight="false" outlineLevel="0" collapsed="false">
      <c r="A11505" s="3" t="s">
        <v>556</v>
      </c>
      <c r="C11505" s="16" t="n">
        <f aca="false">IF(C11472&gt;0,C11494,C11450)</f>
        <v>0</v>
      </c>
    </row>
    <row r="11506" customFormat="false" ht="15" hidden="false" customHeight="false" outlineLevel="0" collapsed="false">
      <c r="A11506" s="3" t="s">
        <v>557</v>
      </c>
      <c r="C11506" s="16" t="n">
        <f aca="false">IF(C11473&gt;0,C11495,C11451)</f>
        <v>6.15039951360001</v>
      </c>
    </row>
    <row r="11507" customFormat="false" ht="15" hidden="false" customHeight="false" outlineLevel="0" collapsed="false">
      <c r="A11507" s="3" t="s">
        <v>558</v>
      </c>
      <c r="C11507" s="16" t="n">
        <f aca="false">IF(C11474&gt;0,C11496,C11452)</f>
        <v>4.1808730632</v>
      </c>
    </row>
    <row r="11508" customFormat="false" ht="15" hidden="false" customHeight="false" outlineLevel="0" collapsed="false">
      <c r="A11508" s="3" t="s">
        <v>559</v>
      </c>
      <c r="C11508" s="16" t="n">
        <f aca="false">IF(C11475&gt;0,C11497,C11453)</f>
        <v>0</v>
      </c>
    </row>
    <row r="11509" customFormat="false" ht="15" hidden="false" customHeight="false" outlineLevel="0" collapsed="false">
      <c r="A11509" s="3" t="s">
        <v>560</v>
      </c>
      <c r="C11509" s="16" t="n">
        <f aca="false">IF(C11476&gt;0,C11498,C11454)</f>
        <v>404.286793332698</v>
      </c>
    </row>
    <row r="11510" customFormat="false" ht="15" hidden="false" customHeight="false" outlineLevel="0" collapsed="false">
      <c r="A11510" s="3" t="s">
        <v>561</v>
      </c>
      <c r="C11510" s="16" t="n">
        <f aca="false">IF(C11477&gt;0,C11499,C11455)</f>
        <v>357.2625</v>
      </c>
    </row>
    <row r="11511" customFormat="false" ht="15" hidden="false" customHeight="false" outlineLevel="0" collapsed="false">
      <c r="A11511" s="3" t="s">
        <v>562</v>
      </c>
      <c r="C11511" s="16" t="n">
        <f aca="false">IF(C11478&gt;0,C11500,C11456)</f>
        <v>562.203125</v>
      </c>
    </row>
    <row r="11512" customFormat="false" ht="15" hidden="false" customHeight="false" outlineLevel="0" collapsed="false">
      <c r="A11512" s="3" t="s">
        <v>563</v>
      </c>
      <c r="C11512" s="16" t="n">
        <f aca="false">IF(C11479&gt;0,C11501,C11457)</f>
        <v>353.98125</v>
      </c>
    </row>
    <row r="11513" customFormat="false" ht="15" hidden="false" customHeight="false" outlineLevel="0" collapsed="false">
      <c r="A11513" s="3" t="s">
        <v>564</v>
      </c>
      <c r="C11513" s="16" t="n">
        <f aca="false">IF(C11480&gt;0,C11502,C11458)</f>
        <v>304.59375</v>
      </c>
    </row>
    <row r="11514" customFormat="false" ht="15" hidden="false" customHeight="false" outlineLevel="0" collapsed="false">
      <c r="A11514" s="3" t="s">
        <v>565</v>
      </c>
      <c r="C11514" s="16" t="n">
        <f aca="false">IF(C11481&gt;0,C11503,C11459)</f>
        <v>80.2332965</v>
      </c>
    </row>
    <row r="11515" customFormat="false" ht="15" hidden="false" customHeight="false" outlineLevel="0" collapsed="false">
      <c r="A11515" s="24" t="s">
        <v>571</v>
      </c>
      <c r="B11515" s="25"/>
      <c r="C11515" s="25"/>
      <c r="D11515" s="25"/>
      <c r="E11515" s="25"/>
      <c r="F11515" s="25"/>
      <c r="G11515" s="25"/>
      <c r="H11515" s="25"/>
      <c r="I11515" s="25"/>
      <c r="J11515" s="25"/>
      <c r="K11515" s="25"/>
    </row>
    <row r="11516" customFormat="false" ht="15" hidden="false" customHeight="false" outlineLevel="0" collapsed="false">
      <c r="A11516" s="3" t="s">
        <v>556</v>
      </c>
      <c r="C11516" s="21" t="n">
        <f aca="false">IF(C11472&gt;0,Assumptions!$C$17,C11461)</f>
        <v>99</v>
      </c>
    </row>
    <row r="11517" customFormat="false" ht="15" hidden="false" customHeight="false" outlineLevel="0" collapsed="false">
      <c r="A11517" s="3" t="s">
        <v>557</v>
      </c>
      <c r="C11517" s="21" t="n">
        <f aca="false">IF(C11473&gt;0,Assumptions!$C$17,C11462)</f>
        <v>99</v>
      </c>
    </row>
    <row r="11518" customFormat="false" ht="15" hidden="false" customHeight="false" outlineLevel="0" collapsed="false">
      <c r="A11518" s="3" t="s">
        <v>558</v>
      </c>
      <c r="C11518" s="21" t="n">
        <f aca="false">IF(C11474&gt;0,Assumptions!$C$17,C11463)</f>
        <v>99</v>
      </c>
    </row>
    <row r="11519" customFormat="false" ht="15" hidden="false" customHeight="false" outlineLevel="0" collapsed="false">
      <c r="A11519" s="3" t="s">
        <v>559</v>
      </c>
      <c r="C11519" s="21" t="n">
        <f aca="false">IF(C11475&gt;0,Assumptions!$C$17,C11464)</f>
        <v>2</v>
      </c>
    </row>
    <row r="11520" customFormat="false" ht="15" hidden="false" customHeight="false" outlineLevel="0" collapsed="false">
      <c r="A11520" s="3" t="s">
        <v>560</v>
      </c>
      <c r="C11520" s="21" t="n">
        <f aca="false">IF(C11476&gt;0,Assumptions!$C$17,C11465)</f>
        <v>2</v>
      </c>
    </row>
    <row r="11521" customFormat="false" ht="15" hidden="false" customHeight="false" outlineLevel="0" collapsed="false">
      <c r="A11521" s="3" t="s">
        <v>561</v>
      </c>
      <c r="C11521" s="21" t="n">
        <f aca="false">IF(C11477&gt;0,Assumptions!$C$17,C11466)</f>
        <v>2</v>
      </c>
    </row>
    <row r="11522" customFormat="false" ht="15" hidden="false" customHeight="false" outlineLevel="0" collapsed="false">
      <c r="A11522" s="3" t="s">
        <v>562</v>
      </c>
      <c r="C11522" s="21" t="n">
        <f aca="false">IF(C11478&gt;0,Assumptions!$C$17,C11467)</f>
        <v>2</v>
      </c>
    </row>
    <row r="11523" customFormat="false" ht="15" hidden="false" customHeight="false" outlineLevel="0" collapsed="false">
      <c r="A11523" s="3" t="s">
        <v>563</v>
      </c>
      <c r="C11523" s="21" t="n">
        <f aca="false">IF(C11479&gt;0,Assumptions!$C$17,C11468)</f>
        <v>2</v>
      </c>
    </row>
    <row r="11524" customFormat="false" ht="15" hidden="false" customHeight="false" outlineLevel="0" collapsed="false">
      <c r="A11524" s="3" t="s">
        <v>564</v>
      </c>
      <c r="C11524" s="21" t="n">
        <f aca="false">IF(C11480&gt;0,Assumptions!$C$17,C11469)</f>
        <v>2</v>
      </c>
    </row>
    <row r="11525" customFormat="false" ht="15" hidden="false" customHeight="false" outlineLevel="0" collapsed="false">
      <c r="A11525" s="3" t="s">
        <v>565</v>
      </c>
      <c r="C11525" s="21" t="n">
        <f aca="false">IF(C11481&gt;0,Assumptions!$C$17,C11470)</f>
        <v>3</v>
      </c>
    </row>
    <row r="11526" customFormat="false" ht="15" hidden="false" customHeight="false" outlineLevel="0" collapsed="false">
      <c r="A11526" s="24" t="s">
        <v>572</v>
      </c>
      <c r="B11526" s="25"/>
      <c r="C11526" s="25"/>
      <c r="D11526" s="25"/>
      <c r="E11526" s="25"/>
      <c r="F11526" s="25"/>
      <c r="G11526" s="25"/>
      <c r="H11526" s="25"/>
      <c r="I11526" s="25"/>
      <c r="J11526" s="25"/>
      <c r="K11526" s="25"/>
    </row>
    <row r="11527" customFormat="false" ht="15" hidden="false" customHeight="false" outlineLevel="0" collapsed="false">
      <c r="A11527" s="3" t="s">
        <v>556</v>
      </c>
      <c r="C11527" s="16" t="n">
        <f aca="false">SUMPRODUCT(($C$11516:$C$11525&lt;C11516)*$C$11505:$C$11514)</f>
        <v>2062.5607148327</v>
      </c>
    </row>
    <row r="11528" customFormat="false" ht="15" hidden="false" customHeight="false" outlineLevel="0" collapsed="false">
      <c r="A11528" s="3" t="s">
        <v>557</v>
      </c>
      <c r="C11528" s="16" t="n">
        <f aca="false">SUMPRODUCT(($C$11516:$C$11525&lt;C11517)*$C$11505:$C$11514)</f>
        <v>2062.5607148327</v>
      </c>
    </row>
    <row r="11529" customFormat="false" ht="15" hidden="false" customHeight="false" outlineLevel="0" collapsed="false">
      <c r="A11529" s="3" t="s">
        <v>558</v>
      </c>
      <c r="C11529" s="16" t="n">
        <f aca="false">SUMPRODUCT(($C$11516:$C$11525&lt;C11518)*$C$11505:$C$11514)</f>
        <v>2062.5607148327</v>
      </c>
    </row>
    <row r="11530" customFormat="false" ht="15" hidden="false" customHeight="false" outlineLevel="0" collapsed="false">
      <c r="A11530" s="3" t="s">
        <v>559</v>
      </c>
      <c r="C11530" s="16" t="n">
        <f aca="false">SUMPRODUCT(($C$11516:$C$11525&lt;C11519)*$C$11505:$C$11514)</f>
        <v>0</v>
      </c>
    </row>
    <row r="11531" customFormat="false" ht="15" hidden="false" customHeight="false" outlineLevel="0" collapsed="false">
      <c r="A11531" s="3" t="s">
        <v>560</v>
      </c>
      <c r="C11531" s="16" t="n">
        <f aca="false">SUMPRODUCT(($C$11516:$C$11525&lt;C11520)*$C$11505:$C$11514)</f>
        <v>0</v>
      </c>
    </row>
    <row r="11532" customFormat="false" ht="15" hidden="false" customHeight="false" outlineLevel="0" collapsed="false">
      <c r="A11532" s="3" t="s">
        <v>561</v>
      </c>
      <c r="C11532" s="16" t="n">
        <f aca="false">SUMPRODUCT(($C$11516:$C$11525&lt;C11521)*$C$11505:$C$11514)</f>
        <v>0</v>
      </c>
    </row>
    <row r="11533" customFormat="false" ht="15" hidden="false" customHeight="false" outlineLevel="0" collapsed="false">
      <c r="A11533" s="3" t="s">
        <v>562</v>
      </c>
      <c r="C11533" s="16" t="n">
        <f aca="false">SUMPRODUCT(($C$11516:$C$11525&lt;C11522)*$C$11505:$C$11514)</f>
        <v>0</v>
      </c>
    </row>
    <row r="11534" customFormat="false" ht="15" hidden="false" customHeight="false" outlineLevel="0" collapsed="false">
      <c r="A11534" s="3" t="s">
        <v>563</v>
      </c>
      <c r="C11534" s="16" t="n">
        <f aca="false">SUMPRODUCT(($C$11516:$C$11525&lt;C11523)*$C$11505:$C$11514)</f>
        <v>0</v>
      </c>
    </row>
    <row r="11535" customFormat="false" ht="15" hidden="false" customHeight="false" outlineLevel="0" collapsed="false">
      <c r="A11535" s="3" t="s">
        <v>564</v>
      </c>
      <c r="C11535" s="16" t="n">
        <f aca="false">SUMPRODUCT(($C$11516:$C$11525&lt;C11524)*$C$11505:$C$11514)</f>
        <v>0</v>
      </c>
    </row>
    <row r="11536" customFormat="false" ht="15" hidden="false" customHeight="false" outlineLevel="0" collapsed="false">
      <c r="A11536" s="3" t="s">
        <v>565</v>
      </c>
      <c r="C11536" s="16" t="n">
        <f aca="false">SUMPRODUCT(($C$11516:$C$11525&lt;C11525)*$C$11505:$C$11514)</f>
        <v>1982.3274183327</v>
      </c>
    </row>
    <row r="11537" customFormat="false" ht="15" hidden="false" customHeight="false" outlineLevel="0" collapsed="false">
      <c r="A11537" s="24" t="s">
        <v>573</v>
      </c>
      <c r="B11537" s="25"/>
      <c r="C11537" s="25"/>
      <c r="D11537" s="25"/>
      <c r="E11537" s="25"/>
      <c r="F11537" s="25"/>
      <c r="G11537" s="25"/>
      <c r="H11537" s="25"/>
      <c r="I11537" s="25"/>
      <c r="J11537" s="25"/>
      <c r="K11537" s="25"/>
    </row>
    <row r="11538" customFormat="false" ht="15" hidden="false" customHeight="false" outlineLevel="0" collapsed="false">
      <c r="A11538" s="3" t="s">
        <v>556</v>
      </c>
      <c r="C11538" s="16" t="n">
        <f aca="false">SUMPRODUCT(($C$11516:$C$11525=C11516)*$C$11505:$C$11514)</f>
        <v>10.3312725768</v>
      </c>
    </row>
    <row r="11539" customFormat="false" ht="15" hidden="false" customHeight="false" outlineLevel="0" collapsed="false">
      <c r="A11539" s="3" t="s">
        <v>557</v>
      </c>
      <c r="C11539" s="16" t="n">
        <f aca="false">SUMPRODUCT(($C$11516:$C$11525=C11517)*$C$11505:$C$11514)</f>
        <v>10.3312725768</v>
      </c>
    </row>
    <row r="11540" customFormat="false" ht="15" hidden="false" customHeight="false" outlineLevel="0" collapsed="false">
      <c r="A11540" s="3" t="s">
        <v>558</v>
      </c>
      <c r="C11540" s="16" t="n">
        <f aca="false">SUMPRODUCT(($C$11516:$C$11525=C11518)*$C$11505:$C$11514)</f>
        <v>10.3312725768</v>
      </c>
    </row>
    <row r="11541" customFormat="false" ht="15" hidden="false" customHeight="false" outlineLevel="0" collapsed="false">
      <c r="A11541" s="3" t="s">
        <v>559</v>
      </c>
      <c r="C11541" s="16" t="n">
        <f aca="false">SUMPRODUCT(($C$11516:$C$11525=C11519)*$C$11505:$C$11514)</f>
        <v>1982.3274183327</v>
      </c>
    </row>
    <row r="11542" customFormat="false" ht="15" hidden="false" customHeight="false" outlineLevel="0" collapsed="false">
      <c r="A11542" s="3" t="s">
        <v>560</v>
      </c>
      <c r="C11542" s="16" t="n">
        <f aca="false">SUMPRODUCT(($C$11516:$C$11525=C11520)*$C$11505:$C$11514)</f>
        <v>1982.3274183327</v>
      </c>
    </row>
    <row r="11543" customFormat="false" ht="15" hidden="false" customHeight="false" outlineLevel="0" collapsed="false">
      <c r="A11543" s="3" t="s">
        <v>561</v>
      </c>
      <c r="C11543" s="16" t="n">
        <f aca="false">SUMPRODUCT(($C$11516:$C$11525=C11521)*$C$11505:$C$11514)</f>
        <v>1982.3274183327</v>
      </c>
    </row>
    <row r="11544" customFormat="false" ht="15" hidden="false" customHeight="false" outlineLevel="0" collapsed="false">
      <c r="A11544" s="3" t="s">
        <v>562</v>
      </c>
      <c r="C11544" s="16" t="n">
        <f aca="false">SUMPRODUCT(($C$11516:$C$11525=C11522)*$C$11505:$C$11514)</f>
        <v>1982.3274183327</v>
      </c>
    </row>
    <row r="11545" customFormat="false" ht="15" hidden="false" customHeight="false" outlineLevel="0" collapsed="false">
      <c r="A11545" s="3" t="s">
        <v>563</v>
      </c>
      <c r="C11545" s="16" t="n">
        <f aca="false">SUMPRODUCT(($C$11516:$C$11525=C11523)*$C$11505:$C$11514)</f>
        <v>1982.3274183327</v>
      </c>
    </row>
    <row r="11546" customFormat="false" ht="15" hidden="false" customHeight="false" outlineLevel="0" collapsed="false">
      <c r="A11546" s="3" t="s">
        <v>564</v>
      </c>
      <c r="C11546" s="16" t="n">
        <f aca="false">SUMPRODUCT(($C$11516:$C$11525=C11524)*$C$11505:$C$11514)</f>
        <v>1982.3274183327</v>
      </c>
    </row>
    <row r="11547" customFormat="false" ht="15" hidden="false" customHeight="false" outlineLevel="0" collapsed="false">
      <c r="A11547" s="3" t="s">
        <v>565</v>
      </c>
      <c r="C11547" s="16" t="n">
        <f aca="false">SUMPRODUCT(($C$11516:$C$11525=C11525)*$C$11505:$C$11514)</f>
        <v>80.2332965</v>
      </c>
    </row>
    <row r="11548" customFormat="false" ht="15" hidden="false" customHeight="false" outlineLevel="0" collapsed="false">
      <c r="A11548" s="24" t="s">
        <v>574</v>
      </c>
      <c r="B11548" s="25"/>
      <c r="C11548" s="25"/>
      <c r="D11548" s="25"/>
      <c r="E11548" s="25"/>
      <c r="F11548" s="25"/>
      <c r="G11548" s="25"/>
      <c r="H11548" s="25"/>
      <c r="I11548" s="25"/>
      <c r="J11548" s="25"/>
      <c r="K11548" s="25"/>
    </row>
    <row r="11549" customFormat="false" ht="15" hidden="false" customHeight="false" outlineLevel="0" collapsed="false">
      <c r="A11549" s="3" t="s">
        <v>556</v>
      </c>
      <c r="C11549" s="16" t="n">
        <f aca="false">IF(C11538=0,0,C11505/C11538*MAX(0,MIN(C11538,$C$11448-SUM($C$11483:$C$11492)-C11527)))</f>
        <v>0</v>
      </c>
    </row>
    <row r="11550" customFormat="false" ht="15" hidden="false" customHeight="false" outlineLevel="0" collapsed="false">
      <c r="A11550" s="3" t="s">
        <v>557</v>
      </c>
      <c r="C11550" s="16" t="n">
        <f aca="false">IF(C11539=0,0,C11506/C11539*MAX(0,MIN(C11539,$C$11448-SUM($C$11483:$C$11492)-C11528)))</f>
        <v>0</v>
      </c>
    </row>
    <row r="11551" customFormat="false" ht="15" hidden="false" customHeight="false" outlineLevel="0" collapsed="false">
      <c r="A11551" s="3" t="s">
        <v>558</v>
      </c>
      <c r="C11551" s="16" t="n">
        <f aca="false">IF(C11540=0,0,C11507/C11540*MAX(0,MIN(C11540,$C$11448-SUM($C$11483:$C$11492)-C11529)))</f>
        <v>0</v>
      </c>
    </row>
    <row r="11552" customFormat="false" ht="15" hidden="false" customHeight="false" outlineLevel="0" collapsed="false">
      <c r="A11552" s="3" t="s">
        <v>559</v>
      </c>
      <c r="C11552" s="16" t="n">
        <f aca="false">IF(C11541=0,0,C11508/C11541*MAX(0,MIN(C11541,$C$11448-SUM($C$11483:$C$11492)-C11530)))</f>
        <v>0</v>
      </c>
    </row>
    <row r="11553" customFormat="false" ht="15" hidden="false" customHeight="false" outlineLevel="0" collapsed="false">
      <c r="A11553" s="3" t="s">
        <v>560</v>
      </c>
      <c r="C11553" s="16" t="n">
        <f aca="false">IF(C11542=0,0,C11509/C11542*MAX(0,MIN(C11542,$C$11448-SUM($C$11483:$C$11492)-C11531)))</f>
        <v>404.286793332698</v>
      </c>
    </row>
    <row r="11554" customFormat="false" ht="15" hidden="false" customHeight="false" outlineLevel="0" collapsed="false">
      <c r="A11554" s="3" t="s">
        <v>561</v>
      </c>
      <c r="C11554" s="16" t="n">
        <f aca="false">IF(C11543=0,0,C11510/C11543*MAX(0,MIN(C11543,$C$11448-SUM($C$11483:$C$11492)-C11532)))</f>
        <v>357.2625</v>
      </c>
    </row>
    <row r="11555" customFormat="false" ht="15" hidden="false" customHeight="false" outlineLevel="0" collapsed="false">
      <c r="A11555" s="3" t="s">
        <v>562</v>
      </c>
      <c r="C11555" s="16" t="n">
        <f aca="false">IF(C11544=0,0,C11511/C11544*MAX(0,MIN(C11544,$C$11448-SUM($C$11483:$C$11492)-C11533)))</f>
        <v>562.203125</v>
      </c>
    </row>
    <row r="11556" customFormat="false" ht="15" hidden="false" customHeight="false" outlineLevel="0" collapsed="false">
      <c r="A11556" s="3" t="s">
        <v>563</v>
      </c>
      <c r="C11556" s="16" t="n">
        <f aca="false">IF(C11545=0,0,C11512/C11545*MAX(0,MIN(C11545,$C$11448-SUM($C$11483:$C$11492)-C11534)))</f>
        <v>353.98125</v>
      </c>
    </row>
    <row r="11557" customFormat="false" ht="15" hidden="false" customHeight="false" outlineLevel="0" collapsed="false">
      <c r="A11557" s="3" t="s">
        <v>564</v>
      </c>
      <c r="C11557" s="16" t="n">
        <f aca="false">IF(C11546=0,0,C11513/C11546*MAX(0,MIN(C11546,$C$11448-SUM($C$11483:$C$11492)-C11535)))</f>
        <v>304.59375</v>
      </c>
    </row>
    <row r="11558" customFormat="false" ht="15" hidden="false" customHeight="false" outlineLevel="0" collapsed="false">
      <c r="A11558" s="3" t="s">
        <v>565</v>
      </c>
      <c r="C11558" s="16" t="n">
        <f aca="false">IF(C11547=0,0,C11514/C11547*MAX(0,MIN(C11547,$C$11448-SUM($C$11483:$C$11492)-C11536)))</f>
        <v>55.0756289441022</v>
      </c>
    </row>
    <row r="11559" customFormat="false" ht="15" hidden="false" customHeight="false" outlineLevel="0" collapsed="false">
      <c r="A11559" s="24" t="s">
        <v>575</v>
      </c>
      <c r="B11559" s="25"/>
      <c r="C11559" s="25"/>
      <c r="D11559" s="25"/>
      <c r="E11559" s="25"/>
      <c r="F11559" s="25"/>
      <c r="G11559" s="25"/>
      <c r="H11559" s="25"/>
      <c r="I11559" s="25"/>
      <c r="J11559" s="25"/>
      <c r="K11559" s="25"/>
    </row>
    <row r="11560" customFormat="false" ht="15" hidden="false" customHeight="false" outlineLevel="0" collapsed="false">
      <c r="A11560" s="2" t="s">
        <v>556</v>
      </c>
      <c r="C11560" s="17" t="n">
        <f aca="false">C11483+C11549</f>
        <v>403.76</v>
      </c>
    </row>
    <row r="11561" customFormat="false" ht="15" hidden="false" customHeight="false" outlineLevel="0" collapsed="false">
      <c r="A11561" s="2" t="s">
        <v>557</v>
      </c>
      <c r="C11561" s="17" t="n">
        <f aca="false">C11484+C11550</f>
        <v>85.1568504864</v>
      </c>
    </row>
    <row r="11562" customFormat="false" ht="15" hidden="false" customHeight="false" outlineLevel="0" collapsed="false">
      <c r="A11562" s="2" t="s">
        <v>558</v>
      </c>
      <c r="C11562" s="17" t="n">
        <f aca="false">C11485+C11551</f>
        <v>54.1907230368</v>
      </c>
    </row>
    <row r="11563" customFormat="false" ht="15" hidden="false" customHeight="false" outlineLevel="0" collapsed="false">
      <c r="A11563" s="2" t="s">
        <v>559</v>
      </c>
      <c r="C11563" s="17" t="n">
        <f aca="false">C11486+C11552</f>
        <v>0</v>
      </c>
    </row>
    <row r="11564" customFormat="false" ht="15" hidden="false" customHeight="false" outlineLevel="0" collapsed="false">
      <c r="A11564" s="2" t="s">
        <v>560</v>
      </c>
      <c r="C11564" s="17" t="n">
        <f aca="false">C11487+C11553</f>
        <v>404.286793332698</v>
      </c>
    </row>
    <row r="11565" customFormat="false" ht="15" hidden="false" customHeight="false" outlineLevel="0" collapsed="false">
      <c r="A11565" s="2" t="s">
        <v>561</v>
      </c>
      <c r="C11565" s="17" t="n">
        <f aca="false">C11488+C11554</f>
        <v>357.2625</v>
      </c>
    </row>
    <row r="11566" customFormat="false" ht="15" hidden="false" customHeight="false" outlineLevel="0" collapsed="false">
      <c r="A11566" s="2" t="s">
        <v>562</v>
      </c>
      <c r="C11566" s="17" t="n">
        <f aca="false">C11489+C11555</f>
        <v>562.203125</v>
      </c>
    </row>
    <row r="11567" customFormat="false" ht="15" hidden="false" customHeight="false" outlineLevel="0" collapsed="false">
      <c r="A11567" s="2" t="s">
        <v>563</v>
      </c>
      <c r="C11567" s="17" t="n">
        <f aca="false">C11490+C11556</f>
        <v>353.98125</v>
      </c>
    </row>
    <row r="11568" customFormat="false" ht="15" hidden="false" customHeight="false" outlineLevel="0" collapsed="false">
      <c r="A11568" s="2" t="s">
        <v>564</v>
      </c>
      <c r="C11568" s="17" t="n">
        <f aca="false">C11491+C11557</f>
        <v>304.59375</v>
      </c>
    </row>
    <row r="11569" customFormat="false" ht="15" hidden="false" customHeight="false" outlineLevel="0" collapsed="false">
      <c r="A11569" s="2" t="s">
        <v>565</v>
      </c>
      <c r="C11569" s="17" t="n">
        <f aca="false">C11492+C11558</f>
        <v>55.0756289441022</v>
      </c>
    </row>
    <row r="11570" customFormat="false" ht="15" hidden="false" customHeight="false" outlineLevel="0" collapsed="false">
      <c r="A11570" s="24" t="s">
        <v>576</v>
      </c>
      <c r="B11570" s="25"/>
      <c r="C11570" s="25"/>
      <c r="D11570" s="25"/>
      <c r="E11570" s="25"/>
      <c r="F11570" s="25"/>
      <c r="G11570" s="25"/>
      <c r="H11570" s="25"/>
      <c r="I11570" s="25"/>
      <c r="J11570" s="25"/>
      <c r="K11570" s="25"/>
    </row>
    <row r="11571" customFormat="false" ht="15" hidden="false" customHeight="false" outlineLevel="0" collapsed="false">
      <c r="A11571" s="3" t="s">
        <v>556</v>
      </c>
      <c r="C11571" s="22" t="n">
        <f aca="false">IF(C11450=0,1,C11560/C11450)</f>
        <v>1</v>
      </c>
    </row>
    <row r="11572" customFormat="false" ht="15" hidden="false" customHeight="false" outlineLevel="0" collapsed="false">
      <c r="A11572" s="3" t="s">
        <v>557</v>
      </c>
      <c r="C11572" s="22" t="n">
        <f aca="false">IF(C11451=0,1,C11561/C11451)</f>
        <v>0.932640622583639</v>
      </c>
    </row>
    <row r="11573" customFormat="false" ht="15" hidden="false" customHeight="false" outlineLevel="0" collapsed="false">
      <c r="A11573" s="3" t="s">
        <v>558</v>
      </c>
      <c r="C11573" s="22" t="n">
        <f aca="false">IF(C11452=0,1,C11562/C11452)</f>
        <v>0.928374871640695</v>
      </c>
    </row>
    <row r="11574" customFormat="false" ht="15" hidden="false" customHeight="false" outlineLevel="0" collapsed="false">
      <c r="A11574" s="3" t="s">
        <v>559</v>
      </c>
      <c r="C11574" s="22" t="n">
        <f aca="false">IF(C11453=0,1,C11563/C11453)</f>
        <v>1</v>
      </c>
    </row>
    <row r="11575" customFormat="false" ht="15" hidden="false" customHeight="false" outlineLevel="0" collapsed="false">
      <c r="A11575" s="3" t="s">
        <v>560</v>
      </c>
      <c r="C11575" s="22" t="n">
        <f aca="false">IF(C11454=0,1,C11564/C11454)</f>
        <v>1</v>
      </c>
    </row>
    <row r="11576" customFormat="false" ht="15" hidden="false" customHeight="false" outlineLevel="0" collapsed="false">
      <c r="A11576" s="3" t="s">
        <v>561</v>
      </c>
      <c r="C11576" s="22" t="n">
        <f aca="false">IF(C11455=0,1,C11565/C11455)</f>
        <v>1</v>
      </c>
    </row>
    <row r="11577" customFormat="false" ht="15" hidden="false" customHeight="false" outlineLevel="0" collapsed="false">
      <c r="A11577" s="3" t="s">
        <v>562</v>
      </c>
      <c r="C11577" s="22" t="n">
        <f aca="false">IF(C11456=0,1,C11566/C11456)</f>
        <v>1</v>
      </c>
    </row>
    <row r="11578" customFormat="false" ht="15" hidden="false" customHeight="false" outlineLevel="0" collapsed="false">
      <c r="A11578" s="3" t="s">
        <v>563</v>
      </c>
      <c r="C11578" s="22" t="n">
        <f aca="false">IF(C11457=0,1,C11567/C11457)</f>
        <v>1</v>
      </c>
    </row>
    <row r="11579" customFormat="false" ht="15" hidden="false" customHeight="false" outlineLevel="0" collapsed="false">
      <c r="A11579" s="3" t="s">
        <v>564</v>
      </c>
      <c r="C11579" s="22" t="n">
        <f aca="false">IF(C11458=0,1,C11568/C11458)</f>
        <v>1</v>
      </c>
    </row>
    <row r="11580" customFormat="false" ht="15" hidden="false" customHeight="false" outlineLevel="0" collapsed="false">
      <c r="A11580" s="3" t="s">
        <v>565</v>
      </c>
      <c r="C11580" s="22" t="n">
        <f aca="false">IF(C11459=0,1,C11569/C11459)</f>
        <v>0.68644355082808</v>
      </c>
    </row>
    <row r="11581" customFormat="false" ht="15" hidden="false" customHeight="false" outlineLevel="0" collapsed="false">
      <c r="A11581" s="24" t="s">
        <v>577</v>
      </c>
      <c r="B11581" s="25"/>
      <c r="C11581" s="25"/>
      <c r="D11581" s="25"/>
      <c r="E11581" s="25"/>
      <c r="F11581" s="25"/>
      <c r="G11581" s="25"/>
      <c r="H11581" s="25"/>
      <c r="I11581" s="25"/>
      <c r="J11581" s="25"/>
      <c r="K11581" s="25"/>
    </row>
    <row r="11582" customFormat="false" ht="15" hidden="false" customHeight="false" outlineLevel="0" collapsed="false">
      <c r="A11582" s="3" t="s">
        <v>556</v>
      </c>
      <c r="C11582" s="16" t="n">
        <f aca="false">C11450-C11560</f>
        <v>0</v>
      </c>
    </row>
    <row r="11583" customFormat="false" ht="15" hidden="false" customHeight="false" outlineLevel="0" collapsed="false">
      <c r="A11583" s="3" t="s">
        <v>557</v>
      </c>
      <c r="C11583" s="16" t="n">
        <f aca="false">C11451-C11561</f>
        <v>6.15039951360001</v>
      </c>
    </row>
    <row r="11584" customFormat="false" ht="15" hidden="false" customHeight="false" outlineLevel="0" collapsed="false">
      <c r="A11584" s="3" t="s">
        <v>558</v>
      </c>
      <c r="C11584" s="16" t="n">
        <f aca="false">C11452-C11562</f>
        <v>4.1808730632</v>
      </c>
    </row>
    <row r="11585" customFormat="false" ht="15" hidden="false" customHeight="false" outlineLevel="0" collapsed="false">
      <c r="A11585" s="3" t="s">
        <v>559</v>
      </c>
      <c r="C11585" s="16" t="n">
        <f aca="false">C11453-C11563</f>
        <v>0</v>
      </c>
    </row>
    <row r="11586" customFormat="false" ht="15" hidden="false" customHeight="false" outlineLevel="0" collapsed="false">
      <c r="A11586" s="3" t="s">
        <v>560</v>
      </c>
      <c r="C11586" s="16" t="n">
        <f aca="false">C11454-C11564</f>
        <v>0</v>
      </c>
    </row>
    <row r="11587" customFormat="false" ht="15" hidden="false" customHeight="false" outlineLevel="0" collapsed="false">
      <c r="A11587" s="3" t="s">
        <v>561</v>
      </c>
      <c r="C11587" s="16" t="n">
        <f aca="false">C11455-C11565</f>
        <v>0</v>
      </c>
    </row>
    <row r="11588" customFormat="false" ht="15" hidden="false" customHeight="false" outlineLevel="0" collapsed="false">
      <c r="A11588" s="3" t="s">
        <v>562</v>
      </c>
      <c r="C11588" s="16" t="n">
        <f aca="false">C11456-C11566</f>
        <v>0</v>
      </c>
    </row>
    <row r="11589" customFormat="false" ht="15" hidden="false" customHeight="false" outlineLevel="0" collapsed="false">
      <c r="A11589" s="3" t="s">
        <v>563</v>
      </c>
      <c r="C11589" s="16" t="n">
        <f aca="false">C11457-C11567</f>
        <v>0</v>
      </c>
    </row>
    <row r="11590" customFormat="false" ht="15" hidden="false" customHeight="false" outlineLevel="0" collapsed="false">
      <c r="A11590" s="3" t="s">
        <v>564</v>
      </c>
      <c r="C11590" s="16" t="n">
        <f aca="false">C11458-C11568</f>
        <v>0</v>
      </c>
    </row>
    <row r="11591" customFormat="false" ht="15" hidden="false" customHeight="false" outlineLevel="0" collapsed="false">
      <c r="A11591" s="3" t="s">
        <v>565</v>
      </c>
      <c r="C11591" s="16" t="n">
        <f aca="false">C11459-C11569</f>
        <v>25.1576675558978</v>
      </c>
    </row>
    <row r="11592" customFormat="false" ht="15" hidden="false" customHeight="false" outlineLevel="0" collapsed="false">
      <c r="A11592" s="24" t="s">
        <v>578</v>
      </c>
      <c r="B11592" s="25"/>
      <c r="C11592" s="25"/>
      <c r="D11592" s="25"/>
      <c r="E11592" s="25"/>
      <c r="F11592" s="25"/>
      <c r="G11592" s="25"/>
      <c r="H11592" s="25"/>
      <c r="I11592" s="25"/>
      <c r="J11592" s="25"/>
      <c r="K11592" s="25"/>
    </row>
    <row r="11593" customFormat="false" ht="15" hidden="false" customHeight="false" outlineLevel="0" collapsed="false">
      <c r="A11593" s="3" t="s">
        <v>556</v>
      </c>
      <c r="C11593" s="22" t="n">
        <f aca="false">IF(C11450=0,0,C11582/C11450)</f>
        <v>0</v>
      </c>
    </row>
    <row r="11594" customFormat="false" ht="15" hidden="false" customHeight="false" outlineLevel="0" collapsed="false">
      <c r="A11594" s="3" t="s">
        <v>557</v>
      </c>
      <c r="C11594" s="22" t="n">
        <f aca="false">IF(C11451=0,0,C11583/C11451)</f>
        <v>0.0673593774163608</v>
      </c>
    </row>
    <row r="11595" customFormat="false" ht="15" hidden="false" customHeight="false" outlineLevel="0" collapsed="false">
      <c r="A11595" s="3" t="s">
        <v>558</v>
      </c>
      <c r="C11595" s="22" t="n">
        <f aca="false">IF(C11452=0,0,C11584/C11452)</f>
        <v>0.0716251283593048</v>
      </c>
    </row>
    <row r="11596" customFormat="false" ht="15" hidden="false" customHeight="false" outlineLevel="0" collapsed="false">
      <c r="A11596" s="3" t="s">
        <v>559</v>
      </c>
      <c r="C11596" s="22" t="n">
        <f aca="false">IF(C11453=0,0,C11585/C11453)</f>
        <v>0</v>
      </c>
    </row>
    <row r="11597" customFormat="false" ht="15" hidden="false" customHeight="false" outlineLevel="0" collapsed="false">
      <c r="A11597" s="3" t="s">
        <v>560</v>
      </c>
      <c r="C11597" s="22" t="n">
        <f aca="false">IF(C11454=0,0,C11586/C11454)</f>
        <v>0</v>
      </c>
    </row>
    <row r="11598" customFormat="false" ht="15" hidden="false" customHeight="false" outlineLevel="0" collapsed="false">
      <c r="A11598" s="3" t="s">
        <v>561</v>
      </c>
      <c r="C11598" s="22" t="n">
        <f aca="false">IF(C11455=0,0,C11587/C11455)</f>
        <v>0</v>
      </c>
    </row>
    <row r="11599" customFormat="false" ht="15" hidden="false" customHeight="false" outlineLevel="0" collapsed="false">
      <c r="A11599" s="3" t="s">
        <v>562</v>
      </c>
      <c r="C11599" s="22" t="n">
        <f aca="false">IF(C11456=0,0,C11588/C11456)</f>
        <v>0</v>
      </c>
    </row>
    <row r="11600" customFormat="false" ht="15" hidden="false" customHeight="false" outlineLevel="0" collapsed="false">
      <c r="A11600" s="3" t="s">
        <v>563</v>
      </c>
      <c r="C11600" s="22" t="n">
        <f aca="false">IF(C11457=0,0,C11589/C11457)</f>
        <v>0</v>
      </c>
    </row>
    <row r="11601" customFormat="false" ht="15" hidden="false" customHeight="false" outlineLevel="0" collapsed="false">
      <c r="A11601" s="3" t="s">
        <v>564</v>
      </c>
      <c r="C11601" s="22" t="n">
        <f aca="false">IF(C11458=0,0,C11590/C11458)</f>
        <v>0</v>
      </c>
    </row>
    <row r="11602" customFormat="false" ht="15" hidden="false" customHeight="false" outlineLevel="0" collapsed="false">
      <c r="A11602" s="3" t="s">
        <v>565</v>
      </c>
      <c r="C11602" s="22" t="n">
        <f aca="false">IF(C11459=0,0,C11591/C11459)</f>
        <v>0.31355644917192</v>
      </c>
    </row>
    <row r="11603" customFormat="false" ht="15" hidden="false" customHeight="false" outlineLevel="0" collapsed="false">
      <c r="A11603" s="2" t="s">
        <v>579</v>
      </c>
      <c r="C11603" s="17" t="n">
        <f aca="false">MAX(0,$C$11448-SUM($C$11483:$C$11492)-SUM($C$11505:$C$11514))</f>
        <v>0</v>
      </c>
    </row>
    <row r="11604" customFormat="false" ht="15" hidden="false" customHeight="false" outlineLevel="0" collapsed="false">
      <c r="A11604" s="3" t="s">
        <v>580</v>
      </c>
      <c r="C11604" s="16" t="n">
        <f aca="false">SUM($C$11560:$C$11569)+C11603+C11447-C11446</f>
        <v>0</v>
      </c>
    </row>
    <row r="11606" customFormat="false" ht="15" hidden="false" customHeight="false" outlineLevel="0" collapsed="false">
      <c r="A11606" s="24" t="s">
        <v>583</v>
      </c>
      <c r="B11606" s="25"/>
      <c r="C11606" s="25"/>
      <c r="D11606" s="25"/>
      <c r="E11606" s="25"/>
      <c r="F11606" s="25"/>
      <c r="G11606" s="25"/>
      <c r="H11606" s="25"/>
      <c r="I11606" s="25"/>
      <c r="J11606" s="25"/>
      <c r="K11606" s="25"/>
    </row>
    <row r="11607" customFormat="false" ht="15" hidden="false" customHeight="false" outlineLevel="0" collapsed="false">
      <c r="A11607" s="3" t="s">
        <v>584</v>
      </c>
      <c r="C11607" s="27" t="n">
        <f aca="false">Assumptions!$C$34</f>
        <v>1</v>
      </c>
    </row>
    <row r="11608" customFormat="false" ht="15" hidden="false" customHeight="false" outlineLevel="0" collapsed="false">
      <c r="A11608" s="3" t="s">
        <v>585</v>
      </c>
      <c r="C11608" s="29" t="n">
        <f aca="false">Assumptions!$C$35</f>
        <v>100</v>
      </c>
    </row>
    <row r="11609" customFormat="false" ht="15" hidden="false" customHeight="false" outlineLevel="0" collapsed="false">
      <c r="A11609" s="3" t="s">
        <v>586</v>
      </c>
      <c r="C11609" s="40" t="n">
        <f aca="false">Assumptions!$C$36</f>
        <v>98</v>
      </c>
    </row>
    <row r="11610" customFormat="false" ht="15" hidden="false" customHeight="false" outlineLevel="0" collapsed="false">
      <c r="A11610" s="3" t="s">
        <v>587</v>
      </c>
      <c r="C11610" s="16" t="n">
        <f aca="false">C11608*C11609/100*(1+Assumptions!$C$37)</f>
        <v>98.49</v>
      </c>
    </row>
    <row r="11611" customFormat="false" ht="15" hidden="false" customHeight="false" outlineLevel="0" collapsed="false">
      <c r="A11611" s="3" t="s">
        <v>588</v>
      </c>
      <c r="C11611" s="27" t="n">
        <f aca="false">Assumptions!$C$38</f>
        <v>3</v>
      </c>
    </row>
    <row r="11612" customFormat="false" ht="15" hidden="false" customHeight="false" outlineLevel="0" collapsed="false">
      <c r="A11612" s="3" t="s">
        <v>589</v>
      </c>
      <c r="C11612" s="21" t="n">
        <f aca="false">IF(C11439=1,SUMPRODUCT($G$11375:$K$11375,$G$11149:$K$11149),0)</f>
        <v>2</v>
      </c>
    </row>
    <row r="11613" customFormat="false" ht="15" hidden="false" customHeight="false" outlineLevel="0" collapsed="false">
      <c r="A11613" s="3" t="s">
        <v>590</v>
      </c>
      <c r="C11613" s="22" t="n">
        <f aca="false">IFERROR(C11608/CHOOSE(C11607,SUMPRODUCT($G$11438:$K$11438,$G$11195:$K$11195),SUMPRODUCT($G$11438:$K$11438,$G$11208:$K$11208),SUMPRODUCT($G$11438:$K$11438,$G$11221:$K$11221),SUMPRODUCT($G$11438:$K$11438,$G$11234:$K$11234),SUMPRODUCT($G$11438:$K$11438,$G$11247:$K$11247),SUMPRODUCT($G$11438:$K$11438,$G$11260:$K$11260),SUMPRODUCT($G$11438:$K$11438,$G$11273:$K$11273),SUMPRODUCT($G$11438:$K$11438,$G$11286:$K$11286),SUMPRODUCT($G$11438:$K$11438,$G$11299:$K$11299),SUMPRODUCT($G$11438:$K$11438,$G$11312:$K$11312)),0)</f>
        <v>0.255102040816327</v>
      </c>
    </row>
    <row r="11614" customFormat="false" ht="15" hidden="false" customHeight="false" outlineLevel="0" collapsed="false">
      <c r="A11614" s="3" t="s">
        <v>591</v>
      </c>
      <c r="C11614" s="16" t="n">
        <f aca="false">CHOOSE(C11607,C11560,C11561,C11562,C11563,C11564,C11565,C11566,C11567,C11568,C11569)*C11613</f>
        <v>103</v>
      </c>
    </row>
    <row r="11615" customFormat="false" ht="15" hidden="false" customHeight="false" outlineLevel="0" collapsed="false">
      <c r="A11615" s="3" t="s">
        <v>592</v>
      </c>
      <c r="C11615" s="22" t="n">
        <f aca="false">CHOOSE(C11607,C11571,C11572,C11573,C11574,C11575,C11576,C11577,C11578,C11579,C11580)</f>
        <v>1</v>
      </c>
    </row>
    <row r="11616" customFormat="false" ht="15" hidden="false" customHeight="false" outlineLevel="0" collapsed="false">
      <c r="A11616" s="3" t="s">
        <v>593</v>
      </c>
      <c r="C11616" s="21" t="n">
        <f aca="false">IF(C11439=1,C11612,C11611)</f>
        <v>2</v>
      </c>
    </row>
    <row r="11617" customFormat="false" ht="15" hidden="false" customHeight="false" outlineLevel="0" collapsed="false">
      <c r="A11617" s="3" t="s">
        <v>594</v>
      </c>
      <c r="C11617" s="35" t="n">
        <f aca="false">CHOOSE($C$11141,Assumptions!$C$91,Assumptions!$C$110,Assumptions!$C$129)</f>
        <v>85</v>
      </c>
    </row>
    <row r="11618" customFormat="false" ht="15" hidden="false" customHeight="false" outlineLevel="0" collapsed="false">
      <c r="A11618" s="3" t="s">
        <v>595</v>
      </c>
      <c r="C11618" s="16" t="n">
        <f aca="false">INDEX($G$11158:$K$11158,C11611)*CHOOSE($C$11141,Assumptions!$C$90,Assumptions!$C$109,Assumptions!$C$128)+MAX(0,INDEX($G$11372:$K$11372,C11611))</f>
        <v>1787.13266785583</v>
      </c>
    </row>
    <row r="11619" customFormat="false" ht="15" hidden="false" customHeight="false" outlineLevel="0" collapsed="false">
      <c r="A11619" s="24" t="s">
        <v>596</v>
      </c>
      <c r="B11619" s="25"/>
      <c r="C11619" s="25"/>
      <c r="D11619" s="25"/>
      <c r="E11619" s="25"/>
      <c r="F11619" s="25"/>
      <c r="G11619" s="25"/>
      <c r="H11619" s="25"/>
      <c r="I11619" s="25"/>
      <c r="J11619" s="25"/>
      <c r="K11619" s="25"/>
    </row>
    <row r="11620" customFormat="false" ht="15" hidden="false" customHeight="false" outlineLevel="0" collapsed="false">
      <c r="A11620" s="3" t="s">
        <v>556</v>
      </c>
      <c r="C11620" s="16" t="n">
        <f aca="false">INDEX($G$11195:$K$11195,C11611)</f>
        <v>388</v>
      </c>
    </row>
    <row r="11621" customFormat="false" ht="15" hidden="false" customHeight="false" outlineLevel="0" collapsed="false">
      <c r="A11621" s="3" t="s">
        <v>557</v>
      </c>
      <c r="C11621" s="16" t="n">
        <f aca="false">INDEX($G$11208:$K$11208,C11611)</f>
        <v>90</v>
      </c>
    </row>
    <row r="11622" customFormat="false" ht="15" hidden="false" customHeight="false" outlineLevel="0" collapsed="false">
      <c r="A11622" s="3" t="s">
        <v>558</v>
      </c>
      <c r="C11622" s="16" t="n">
        <f aca="false">INDEX($G$11221:$K$11221,C11611)</f>
        <v>57.324</v>
      </c>
    </row>
    <row r="11623" customFormat="false" ht="15" hidden="false" customHeight="false" outlineLevel="0" collapsed="false">
      <c r="A11623" s="3" t="s">
        <v>559</v>
      </c>
      <c r="C11623" s="16" t="n">
        <f aca="false">INDEX($G$11234:$K$11234,C11611)</f>
        <v>0</v>
      </c>
    </row>
    <row r="11624" customFormat="false" ht="15" hidden="false" customHeight="false" outlineLevel="0" collapsed="false">
      <c r="A11624" s="3" t="s">
        <v>560</v>
      </c>
      <c r="C11624" s="16" t="n">
        <f aca="false">INDEX($G$11247:$K$11247,C11611)</f>
        <v>400.33350002</v>
      </c>
    </row>
    <row r="11625" customFormat="false" ht="15" hidden="false" customHeight="false" outlineLevel="0" collapsed="false">
      <c r="A11625" s="3" t="s">
        <v>561</v>
      </c>
      <c r="C11625" s="16" t="n">
        <f aca="false">INDEX($G$11260:$K$11260,C11611)</f>
        <v>350</v>
      </c>
    </row>
    <row r="11626" customFormat="false" ht="15" hidden="false" customHeight="false" outlineLevel="0" collapsed="false">
      <c r="A11626" s="3" t="s">
        <v>562</v>
      </c>
      <c r="C11626" s="16" t="n">
        <f aca="false">INDEX($G$11273:$K$11273,C11611)</f>
        <v>550</v>
      </c>
    </row>
    <row r="11627" customFormat="false" ht="15" hidden="false" customHeight="false" outlineLevel="0" collapsed="false">
      <c r="A11627" s="3" t="s">
        <v>563</v>
      </c>
      <c r="C11627" s="16" t="n">
        <f aca="false">INDEX($G$11286:$K$11286,C11611)</f>
        <v>350</v>
      </c>
    </row>
    <row r="11628" customFormat="false" ht="15" hidden="false" customHeight="false" outlineLevel="0" collapsed="false">
      <c r="A11628" s="3" t="s">
        <v>564</v>
      </c>
      <c r="C11628" s="16" t="n">
        <f aca="false">INDEX($G$11299:$K$11299,C11611)</f>
        <v>300</v>
      </c>
    </row>
    <row r="11629" customFormat="false" ht="15" hidden="false" customHeight="false" outlineLevel="0" collapsed="false">
      <c r="A11629" s="3" t="s">
        <v>565</v>
      </c>
      <c r="C11629" s="16" t="n">
        <f aca="false">INDEX($G$11312:$K$11312,C11611)</f>
        <v>78.61</v>
      </c>
    </row>
    <row r="11630" customFormat="false" ht="15" hidden="false" customHeight="false" outlineLevel="0" collapsed="false">
      <c r="A11630" s="24" t="s">
        <v>566</v>
      </c>
      <c r="B11630" s="25"/>
      <c r="C11630" s="25"/>
      <c r="D11630" s="25"/>
      <c r="E11630" s="25"/>
      <c r="F11630" s="25"/>
      <c r="G11630" s="25"/>
      <c r="H11630" s="25"/>
      <c r="I11630" s="25"/>
      <c r="J11630" s="25"/>
      <c r="K11630" s="25"/>
    </row>
    <row r="11631" customFormat="false" ht="15" hidden="false" customHeight="false" outlineLevel="0" collapsed="false">
      <c r="A11631" s="3" t="s">
        <v>556</v>
      </c>
      <c r="C11631" s="27" t="n">
        <f aca="false">Assumptions!$M$57</f>
        <v>1</v>
      </c>
    </row>
    <row r="11632" customFormat="false" ht="15" hidden="false" customHeight="false" outlineLevel="0" collapsed="false">
      <c r="A11632" s="3" t="s">
        <v>557</v>
      </c>
      <c r="C11632" s="27" t="n">
        <f aca="false">Assumptions!$M$58</f>
        <v>1</v>
      </c>
    </row>
    <row r="11633" customFormat="false" ht="15" hidden="false" customHeight="false" outlineLevel="0" collapsed="false">
      <c r="A11633" s="3" t="s">
        <v>558</v>
      </c>
      <c r="C11633" s="27" t="n">
        <f aca="false">Assumptions!$M$59</f>
        <v>1</v>
      </c>
    </row>
    <row r="11634" customFormat="false" ht="15" hidden="false" customHeight="false" outlineLevel="0" collapsed="false">
      <c r="A11634" s="3" t="s">
        <v>559</v>
      </c>
      <c r="C11634" s="27" t="n">
        <f aca="false">Assumptions!$M$60</f>
        <v>2</v>
      </c>
    </row>
    <row r="11635" customFormat="false" ht="15" hidden="false" customHeight="false" outlineLevel="0" collapsed="false">
      <c r="A11635" s="3" t="s">
        <v>560</v>
      </c>
      <c r="C11635" s="27" t="n">
        <f aca="false">Assumptions!$M$61</f>
        <v>2</v>
      </c>
    </row>
    <row r="11636" customFormat="false" ht="15" hidden="false" customHeight="false" outlineLevel="0" collapsed="false">
      <c r="A11636" s="3" t="s">
        <v>561</v>
      </c>
      <c r="C11636" s="27" t="n">
        <f aca="false">Assumptions!$M$62</f>
        <v>2</v>
      </c>
    </row>
    <row r="11637" customFormat="false" ht="15" hidden="false" customHeight="false" outlineLevel="0" collapsed="false">
      <c r="A11637" s="3" t="s">
        <v>562</v>
      </c>
      <c r="C11637" s="27" t="n">
        <f aca="false">Assumptions!$M$63</f>
        <v>2</v>
      </c>
    </row>
    <row r="11638" customFormat="false" ht="15" hidden="false" customHeight="false" outlineLevel="0" collapsed="false">
      <c r="A11638" s="3" t="s">
        <v>563</v>
      </c>
      <c r="C11638" s="27" t="n">
        <f aca="false">Assumptions!$M$64</f>
        <v>2</v>
      </c>
    </row>
    <row r="11639" customFormat="false" ht="15" hidden="false" customHeight="false" outlineLevel="0" collapsed="false">
      <c r="A11639" s="3" t="s">
        <v>564</v>
      </c>
      <c r="C11639" s="27" t="n">
        <f aca="false">Assumptions!$M$65</f>
        <v>2</v>
      </c>
    </row>
    <row r="11640" customFormat="false" ht="15" hidden="false" customHeight="false" outlineLevel="0" collapsed="false">
      <c r="A11640" s="3" t="s">
        <v>565</v>
      </c>
      <c r="C11640" s="27" t="n">
        <f aca="false">Assumptions!$M$66</f>
        <v>3</v>
      </c>
    </row>
    <row r="11641" customFormat="false" ht="15" hidden="false" customHeight="false" outlineLevel="0" collapsed="false">
      <c r="A11641" s="24" t="s">
        <v>567</v>
      </c>
      <c r="B11641" s="25"/>
      <c r="C11641" s="25"/>
      <c r="D11641" s="25"/>
      <c r="E11641" s="25"/>
      <c r="F11641" s="25"/>
      <c r="G11641" s="25"/>
      <c r="H11641" s="25"/>
      <c r="I11641" s="25"/>
      <c r="J11641" s="25"/>
      <c r="K11641" s="25"/>
    </row>
    <row r="11642" customFormat="false" ht="15" hidden="false" customHeight="false" outlineLevel="0" collapsed="false">
      <c r="A11642" s="3" t="s">
        <v>556</v>
      </c>
      <c r="C11642" s="33" t="n">
        <f aca="false">Assumptions!$Q$57</f>
        <v>0.3</v>
      </c>
    </row>
    <row r="11643" customFormat="false" ht="15" hidden="false" customHeight="false" outlineLevel="0" collapsed="false">
      <c r="A11643" s="3" t="s">
        <v>557</v>
      </c>
      <c r="C11643" s="33" t="n">
        <f aca="false">Assumptions!$Q$58</f>
        <v>0.033</v>
      </c>
    </row>
    <row r="11644" customFormat="false" ht="15" hidden="false" customHeight="false" outlineLevel="0" collapsed="false">
      <c r="A11644" s="3" t="s">
        <v>558</v>
      </c>
      <c r="C11644" s="33" t="n">
        <f aca="false">Assumptions!$Q$59</f>
        <v>0.021</v>
      </c>
    </row>
    <row r="11645" customFormat="false" ht="15" hidden="false" customHeight="false" outlineLevel="0" collapsed="false">
      <c r="A11645" s="3" t="s">
        <v>559</v>
      </c>
      <c r="C11645" s="33" t="n">
        <f aca="false">Assumptions!$Q$60</f>
        <v>0</v>
      </c>
    </row>
    <row r="11646" customFormat="false" ht="15" hidden="false" customHeight="false" outlineLevel="0" collapsed="false">
      <c r="A11646" s="3" t="s">
        <v>560</v>
      </c>
      <c r="C11646" s="33" t="n">
        <f aca="false">Assumptions!$Q$61</f>
        <v>0</v>
      </c>
    </row>
    <row r="11647" customFormat="false" ht="15" hidden="false" customHeight="false" outlineLevel="0" collapsed="false">
      <c r="A11647" s="3" t="s">
        <v>561</v>
      </c>
      <c r="C11647" s="33" t="n">
        <f aca="false">Assumptions!$Q$62</f>
        <v>0</v>
      </c>
    </row>
    <row r="11648" customFormat="false" ht="15" hidden="false" customHeight="false" outlineLevel="0" collapsed="false">
      <c r="A11648" s="3" t="s">
        <v>562</v>
      </c>
      <c r="C11648" s="33" t="n">
        <f aca="false">Assumptions!$Q$63</f>
        <v>0</v>
      </c>
    </row>
    <row r="11649" customFormat="false" ht="15" hidden="false" customHeight="false" outlineLevel="0" collapsed="false">
      <c r="A11649" s="3" t="s">
        <v>563</v>
      </c>
      <c r="C11649" s="33" t="n">
        <f aca="false">Assumptions!$Q$64</f>
        <v>0</v>
      </c>
    </row>
    <row r="11650" customFormat="false" ht="15" hidden="false" customHeight="false" outlineLevel="0" collapsed="false">
      <c r="A11650" s="3" t="s">
        <v>564</v>
      </c>
      <c r="C11650" s="33" t="n">
        <f aca="false">Assumptions!$Q$65</f>
        <v>0</v>
      </c>
    </row>
    <row r="11651" customFormat="false" ht="15" hidden="false" customHeight="false" outlineLevel="0" collapsed="false">
      <c r="A11651" s="3" t="s">
        <v>565</v>
      </c>
      <c r="C11651" s="33" t="n">
        <f aca="false">Assumptions!$Q$66</f>
        <v>0</v>
      </c>
    </row>
    <row r="11652" customFormat="false" ht="15" hidden="false" customHeight="false" outlineLevel="0" collapsed="false">
      <c r="A11652" s="24" t="s">
        <v>568</v>
      </c>
      <c r="B11652" s="25"/>
      <c r="C11652" s="25"/>
      <c r="D11652" s="25"/>
      <c r="E11652" s="25"/>
      <c r="F11652" s="25"/>
      <c r="G11652" s="25"/>
      <c r="H11652" s="25"/>
      <c r="I11652" s="25"/>
      <c r="J11652" s="25"/>
      <c r="K11652" s="25"/>
    </row>
    <row r="11653" customFormat="false" ht="15" hidden="false" customHeight="false" outlineLevel="0" collapsed="false">
      <c r="A11653" s="3" t="s">
        <v>556</v>
      </c>
      <c r="C11653" s="16" t="n">
        <f aca="false">IF(C11642&gt;0,MIN(C11620,C11642*$C$11618),0)</f>
        <v>388</v>
      </c>
    </row>
    <row r="11654" customFormat="false" ht="15" hidden="false" customHeight="false" outlineLevel="0" collapsed="false">
      <c r="A11654" s="3" t="s">
        <v>557</v>
      </c>
      <c r="C11654" s="16" t="n">
        <f aca="false">IF(C11643&gt;0,MIN(C11621,C11643*$C$11618),0)</f>
        <v>58.9753780392422</v>
      </c>
    </row>
    <row r="11655" customFormat="false" ht="15" hidden="false" customHeight="false" outlineLevel="0" collapsed="false">
      <c r="A11655" s="3" t="s">
        <v>558</v>
      </c>
      <c r="C11655" s="16" t="n">
        <f aca="false">IF(C11644&gt;0,MIN(C11622,C11644*$C$11618),0)</f>
        <v>37.5297860249723</v>
      </c>
    </row>
    <row r="11656" customFormat="false" ht="15" hidden="false" customHeight="false" outlineLevel="0" collapsed="false">
      <c r="A11656" s="3" t="s">
        <v>559</v>
      </c>
      <c r="C11656" s="16" t="n">
        <f aca="false">IF(C11645&gt;0,MIN(C11623,C11645*$C$11618),0)</f>
        <v>0</v>
      </c>
    </row>
    <row r="11657" customFormat="false" ht="15" hidden="false" customHeight="false" outlineLevel="0" collapsed="false">
      <c r="A11657" s="3" t="s">
        <v>560</v>
      </c>
      <c r="C11657" s="16" t="n">
        <f aca="false">IF(C11646&gt;0,MIN(C11624,C11646*$C$11618),0)</f>
        <v>0</v>
      </c>
    </row>
    <row r="11658" customFormat="false" ht="15" hidden="false" customHeight="false" outlineLevel="0" collapsed="false">
      <c r="A11658" s="3" t="s">
        <v>561</v>
      </c>
      <c r="C11658" s="16" t="n">
        <f aca="false">IF(C11647&gt;0,MIN(C11625,C11647*$C$11618),0)</f>
        <v>0</v>
      </c>
    </row>
    <row r="11659" customFormat="false" ht="15" hidden="false" customHeight="false" outlineLevel="0" collapsed="false">
      <c r="A11659" s="3" t="s">
        <v>562</v>
      </c>
      <c r="C11659" s="16" t="n">
        <f aca="false">IF(C11648&gt;0,MIN(C11626,C11648*$C$11618),0)</f>
        <v>0</v>
      </c>
    </row>
    <row r="11660" customFormat="false" ht="15" hidden="false" customHeight="false" outlineLevel="0" collapsed="false">
      <c r="A11660" s="3" t="s">
        <v>563</v>
      </c>
      <c r="C11660" s="16" t="n">
        <f aca="false">IF(C11649&gt;0,MIN(C11627,C11649*$C$11618),0)</f>
        <v>0</v>
      </c>
    </row>
    <row r="11661" customFormat="false" ht="15" hidden="false" customHeight="false" outlineLevel="0" collapsed="false">
      <c r="A11661" s="3" t="s">
        <v>564</v>
      </c>
      <c r="C11661" s="16" t="n">
        <f aca="false">IF(C11650&gt;0,MIN(C11628,C11650*$C$11618),0)</f>
        <v>0</v>
      </c>
    </row>
    <row r="11662" customFormat="false" ht="15" hidden="false" customHeight="false" outlineLevel="0" collapsed="false">
      <c r="A11662" s="3" t="s">
        <v>565</v>
      </c>
      <c r="C11662" s="16" t="n">
        <f aca="false">IF(C11651&gt;0,MIN(C11629,C11651*$C$11618),0)</f>
        <v>0</v>
      </c>
    </row>
    <row r="11663" customFormat="false" ht="15" hidden="false" customHeight="false" outlineLevel="0" collapsed="false">
      <c r="A11663" s="24" t="s">
        <v>569</v>
      </c>
      <c r="B11663" s="25"/>
      <c r="C11663" s="25"/>
      <c r="D11663" s="25"/>
      <c r="E11663" s="25"/>
      <c r="F11663" s="25"/>
      <c r="G11663" s="25"/>
      <c r="H11663" s="25"/>
      <c r="I11663" s="25"/>
      <c r="J11663" s="25"/>
      <c r="K11663" s="25"/>
    </row>
    <row r="11664" customFormat="false" ht="15" hidden="false" customHeight="false" outlineLevel="0" collapsed="false">
      <c r="A11664" s="3" t="s">
        <v>556</v>
      </c>
      <c r="C11664" s="16" t="n">
        <f aca="false">IF(C11642&gt;0,C11620-C11653,0)</f>
        <v>0</v>
      </c>
    </row>
    <row r="11665" customFormat="false" ht="15" hidden="false" customHeight="false" outlineLevel="0" collapsed="false">
      <c r="A11665" s="3" t="s">
        <v>557</v>
      </c>
      <c r="C11665" s="16" t="n">
        <f aca="false">IF(C11643&gt;0,C11621-C11654,0)</f>
        <v>31.0246219607578</v>
      </c>
    </row>
    <row r="11666" customFormat="false" ht="15" hidden="false" customHeight="false" outlineLevel="0" collapsed="false">
      <c r="A11666" s="3" t="s">
        <v>558</v>
      </c>
      <c r="C11666" s="16" t="n">
        <f aca="false">IF(C11644&gt;0,C11622-C11655,0)</f>
        <v>19.7942139750277</v>
      </c>
    </row>
    <row r="11667" customFormat="false" ht="15" hidden="false" customHeight="false" outlineLevel="0" collapsed="false">
      <c r="A11667" s="3" t="s">
        <v>559</v>
      </c>
      <c r="C11667" s="16" t="n">
        <f aca="false">IF(C11645&gt;0,C11623-C11656,0)</f>
        <v>0</v>
      </c>
    </row>
    <row r="11668" customFormat="false" ht="15" hidden="false" customHeight="false" outlineLevel="0" collapsed="false">
      <c r="A11668" s="3" t="s">
        <v>560</v>
      </c>
      <c r="C11668" s="16" t="n">
        <f aca="false">IF(C11646&gt;0,C11624-C11657,0)</f>
        <v>0</v>
      </c>
    </row>
    <row r="11669" customFormat="false" ht="15" hidden="false" customHeight="false" outlineLevel="0" collapsed="false">
      <c r="A11669" s="3" t="s">
        <v>561</v>
      </c>
      <c r="C11669" s="16" t="n">
        <f aca="false">IF(C11647&gt;0,C11625-C11658,0)</f>
        <v>0</v>
      </c>
    </row>
    <row r="11670" customFormat="false" ht="15" hidden="false" customHeight="false" outlineLevel="0" collapsed="false">
      <c r="A11670" s="3" t="s">
        <v>562</v>
      </c>
      <c r="C11670" s="16" t="n">
        <f aca="false">IF(C11648&gt;0,C11626-C11659,0)</f>
        <v>0</v>
      </c>
    </row>
    <row r="11671" customFormat="false" ht="15" hidden="false" customHeight="false" outlineLevel="0" collapsed="false">
      <c r="A11671" s="3" t="s">
        <v>563</v>
      </c>
      <c r="C11671" s="16" t="n">
        <f aca="false">IF(C11649&gt;0,C11627-C11660,0)</f>
        <v>0</v>
      </c>
    </row>
    <row r="11672" customFormat="false" ht="15" hidden="false" customHeight="false" outlineLevel="0" collapsed="false">
      <c r="A11672" s="3" t="s">
        <v>564</v>
      </c>
      <c r="C11672" s="16" t="n">
        <f aca="false">IF(C11650&gt;0,C11628-C11661,0)</f>
        <v>0</v>
      </c>
    </row>
    <row r="11673" customFormat="false" ht="15" hidden="false" customHeight="false" outlineLevel="0" collapsed="false">
      <c r="A11673" s="3" t="s">
        <v>565</v>
      </c>
      <c r="C11673" s="16" t="n">
        <f aca="false">IF(C11651&gt;0,C11629-C11662,0)</f>
        <v>0</v>
      </c>
    </row>
    <row r="11674" customFormat="false" ht="15" hidden="false" customHeight="false" outlineLevel="0" collapsed="false">
      <c r="A11674" s="24" t="s">
        <v>570</v>
      </c>
      <c r="B11674" s="25"/>
      <c r="C11674" s="25"/>
      <c r="D11674" s="25"/>
      <c r="E11674" s="25"/>
      <c r="F11674" s="25"/>
      <c r="G11674" s="25"/>
      <c r="H11674" s="25"/>
      <c r="I11674" s="25"/>
      <c r="J11674" s="25"/>
      <c r="K11674" s="25"/>
    </row>
    <row r="11675" customFormat="false" ht="15" hidden="false" customHeight="false" outlineLevel="0" collapsed="false">
      <c r="A11675" s="3" t="s">
        <v>556</v>
      </c>
      <c r="C11675" s="16" t="n">
        <f aca="false">IF(C11642&gt;0,C11664,C11620)</f>
        <v>0</v>
      </c>
    </row>
    <row r="11676" customFormat="false" ht="15" hidden="false" customHeight="false" outlineLevel="0" collapsed="false">
      <c r="A11676" s="3" t="s">
        <v>557</v>
      </c>
      <c r="C11676" s="16" t="n">
        <f aca="false">IF(C11643&gt;0,C11665,C11621)</f>
        <v>31.0246219607578</v>
      </c>
    </row>
    <row r="11677" customFormat="false" ht="15" hidden="false" customHeight="false" outlineLevel="0" collapsed="false">
      <c r="A11677" s="3" t="s">
        <v>558</v>
      </c>
      <c r="C11677" s="16" t="n">
        <f aca="false">IF(C11644&gt;0,C11666,C11622)</f>
        <v>19.7942139750277</v>
      </c>
    </row>
    <row r="11678" customFormat="false" ht="15" hidden="false" customHeight="false" outlineLevel="0" collapsed="false">
      <c r="A11678" s="3" t="s">
        <v>559</v>
      </c>
      <c r="C11678" s="16" t="n">
        <f aca="false">IF(C11645&gt;0,C11667,C11623)</f>
        <v>0</v>
      </c>
    </row>
    <row r="11679" customFormat="false" ht="15" hidden="false" customHeight="false" outlineLevel="0" collapsed="false">
      <c r="A11679" s="3" t="s">
        <v>560</v>
      </c>
      <c r="C11679" s="16" t="n">
        <f aca="false">IF(C11646&gt;0,C11668,C11624)</f>
        <v>400.33350002</v>
      </c>
    </row>
    <row r="11680" customFormat="false" ht="15" hidden="false" customHeight="false" outlineLevel="0" collapsed="false">
      <c r="A11680" s="3" t="s">
        <v>561</v>
      </c>
      <c r="C11680" s="16" t="n">
        <f aca="false">IF(C11647&gt;0,C11669,C11625)</f>
        <v>350</v>
      </c>
    </row>
    <row r="11681" customFormat="false" ht="15" hidden="false" customHeight="false" outlineLevel="0" collapsed="false">
      <c r="A11681" s="3" t="s">
        <v>562</v>
      </c>
      <c r="C11681" s="16" t="n">
        <f aca="false">IF(C11648&gt;0,C11670,C11626)</f>
        <v>550</v>
      </c>
    </row>
    <row r="11682" customFormat="false" ht="15" hidden="false" customHeight="false" outlineLevel="0" collapsed="false">
      <c r="A11682" s="3" t="s">
        <v>563</v>
      </c>
      <c r="C11682" s="16" t="n">
        <f aca="false">IF(C11649&gt;0,C11671,C11627)</f>
        <v>350</v>
      </c>
    </row>
    <row r="11683" customFormat="false" ht="15" hidden="false" customHeight="false" outlineLevel="0" collapsed="false">
      <c r="A11683" s="3" t="s">
        <v>564</v>
      </c>
      <c r="C11683" s="16" t="n">
        <f aca="false">IF(C11650&gt;0,C11672,C11628)</f>
        <v>300</v>
      </c>
    </row>
    <row r="11684" customFormat="false" ht="15" hidden="false" customHeight="false" outlineLevel="0" collapsed="false">
      <c r="A11684" s="3" t="s">
        <v>565</v>
      </c>
      <c r="C11684" s="16" t="n">
        <f aca="false">IF(C11651&gt;0,C11673,C11629)</f>
        <v>78.61</v>
      </c>
    </row>
    <row r="11685" customFormat="false" ht="15" hidden="false" customHeight="false" outlineLevel="0" collapsed="false">
      <c r="A11685" s="24" t="s">
        <v>571</v>
      </c>
      <c r="B11685" s="25"/>
      <c r="C11685" s="25"/>
      <c r="D11685" s="25"/>
      <c r="E11685" s="25"/>
      <c r="F11685" s="25"/>
      <c r="G11685" s="25"/>
      <c r="H11685" s="25"/>
      <c r="I11685" s="25"/>
      <c r="J11685" s="25"/>
      <c r="K11685" s="25"/>
    </row>
    <row r="11686" customFormat="false" ht="15" hidden="false" customHeight="false" outlineLevel="0" collapsed="false">
      <c r="A11686" s="3" t="s">
        <v>556</v>
      </c>
      <c r="C11686" s="21" t="n">
        <f aca="false">IF(C11642&gt;0,Assumptions!$C$17,C11631)</f>
        <v>99</v>
      </c>
    </row>
    <row r="11687" customFormat="false" ht="15" hidden="false" customHeight="false" outlineLevel="0" collapsed="false">
      <c r="A11687" s="3" t="s">
        <v>557</v>
      </c>
      <c r="C11687" s="21" t="n">
        <f aca="false">IF(C11643&gt;0,Assumptions!$C$17,C11632)</f>
        <v>99</v>
      </c>
    </row>
    <row r="11688" customFormat="false" ht="15" hidden="false" customHeight="false" outlineLevel="0" collapsed="false">
      <c r="A11688" s="3" t="s">
        <v>558</v>
      </c>
      <c r="C11688" s="21" t="n">
        <f aca="false">IF(C11644&gt;0,Assumptions!$C$17,C11633)</f>
        <v>99</v>
      </c>
    </row>
    <row r="11689" customFormat="false" ht="15" hidden="false" customHeight="false" outlineLevel="0" collapsed="false">
      <c r="A11689" s="3" t="s">
        <v>559</v>
      </c>
      <c r="C11689" s="21" t="n">
        <f aca="false">IF(C11645&gt;0,Assumptions!$C$17,C11634)</f>
        <v>2</v>
      </c>
    </row>
    <row r="11690" customFormat="false" ht="15" hidden="false" customHeight="false" outlineLevel="0" collapsed="false">
      <c r="A11690" s="3" t="s">
        <v>560</v>
      </c>
      <c r="C11690" s="21" t="n">
        <f aca="false">IF(C11646&gt;0,Assumptions!$C$17,C11635)</f>
        <v>2</v>
      </c>
    </row>
    <row r="11691" customFormat="false" ht="15" hidden="false" customHeight="false" outlineLevel="0" collapsed="false">
      <c r="A11691" s="3" t="s">
        <v>561</v>
      </c>
      <c r="C11691" s="21" t="n">
        <f aca="false">IF(C11647&gt;0,Assumptions!$C$17,C11636)</f>
        <v>2</v>
      </c>
    </row>
    <row r="11692" customFormat="false" ht="15" hidden="false" customHeight="false" outlineLevel="0" collapsed="false">
      <c r="A11692" s="3" t="s">
        <v>562</v>
      </c>
      <c r="C11692" s="21" t="n">
        <f aca="false">IF(C11648&gt;0,Assumptions!$C$17,C11637)</f>
        <v>2</v>
      </c>
    </row>
    <row r="11693" customFormat="false" ht="15" hidden="false" customHeight="false" outlineLevel="0" collapsed="false">
      <c r="A11693" s="3" t="s">
        <v>563</v>
      </c>
      <c r="C11693" s="21" t="n">
        <f aca="false">IF(C11649&gt;0,Assumptions!$C$17,C11638)</f>
        <v>2</v>
      </c>
    </row>
    <row r="11694" customFormat="false" ht="15" hidden="false" customHeight="false" outlineLevel="0" collapsed="false">
      <c r="A11694" s="3" t="s">
        <v>564</v>
      </c>
      <c r="C11694" s="21" t="n">
        <f aca="false">IF(C11650&gt;0,Assumptions!$C$17,C11639)</f>
        <v>2</v>
      </c>
    </row>
    <row r="11695" customFormat="false" ht="15" hidden="false" customHeight="false" outlineLevel="0" collapsed="false">
      <c r="A11695" s="3" t="s">
        <v>565</v>
      </c>
      <c r="C11695" s="21" t="n">
        <f aca="false">IF(C11651&gt;0,Assumptions!$C$17,C11640)</f>
        <v>3</v>
      </c>
    </row>
    <row r="11696" customFormat="false" ht="15" hidden="false" customHeight="false" outlineLevel="0" collapsed="false">
      <c r="A11696" s="24" t="s">
        <v>572</v>
      </c>
      <c r="B11696" s="25"/>
      <c r="C11696" s="25"/>
      <c r="D11696" s="25"/>
      <c r="E11696" s="25"/>
      <c r="F11696" s="25"/>
      <c r="G11696" s="25"/>
      <c r="H11696" s="25"/>
      <c r="I11696" s="25"/>
      <c r="J11696" s="25"/>
      <c r="K11696" s="25"/>
    </row>
    <row r="11697" customFormat="false" ht="15" hidden="false" customHeight="false" outlineLevel="0" collapsed="false">
      <c r="A11697" s="3" t="s">
        <v>556</v>
      </c>
      <c r="C11697" s="16" t="n">
        <f aca="false">SUMPRODUCT(($C$11686:$C$11695&lt;C11686)*$C$11675:$C$11684)</f>
        <v>2028.94350002</v>
      </c>
    </row>
    <row r="11698" customFormat="false" ht="15" hidden="false" customHeight="false" outlineLevel="0" collapsed="false">
      <c r="A11698" s="3" t="s">
        <v>557</v>
      </c>
      <c r="C11698" s="16" t="n">
        <f aca="false">SUMPRODUCT(($C$11686:$C$11695&lt;C11687)*$C$11675:$C$11684)</f>
        <v>2028.94350002</v>
      </c>
    </row>
    <row r="11699" customFormat="false" ht="15" hidden="false" customHeight="false" outlineLevel="0" collapsed="false">
      <c r="A11699" s="3" t="s">
        <v>558</v>
      </c>
      <c r="C11699" s="16" t="n">
        <f aca="false">SUMPRODUCT(($C$11686:$C$11695&lt;C11688)*$C$11675:$C$11684)</f>
        <v>2028.94350002</v>
      </c>
    </row>
    <row r="11700" customFormat="false" ht="15" hidden="false" customHeight="false" outlineLevel="0" collapsed="false">
      <c r="A11700" s="3" t="s">
        <v>559</v>
      </c>
      <c r="C11700" s="16" t="n">
        <f aca="false">SUMPRODUCT(($C$11686:$C$11695&lt;C11689)*$C$11675:$C$11684)</f>
        <v>0</v>
      </c>
    </row>
    <row r="11701" customFormat="false" ht="15" hidden="false" customHeight="false" outlineLevel="0" collapsed="false">
      <c r="A11701" s="3" t="s">
        <v>560</v>
      </c>
      <c r="C11701" s="16" t="n">
        <f aca="false">SUMPRODUCT(($C$11686:$C$11695&lt;C11690)*$C$11675:$C$11684)</f>
        <v>0</v>
      </c>
    </row>
    <row r="11702" customFormat="false" ht="15" hidden="false" customHeight="false" outlineLevel="0" collapsed="false">
      <c r="A11702" s="3" t="s">
        <v>561</v>
      </c>
      <c r="C11702" s="16" t="n">
        <f aca="false">SUMPRODUCT(($C$11686:$C$11695&lt;C11691)*$C$11675:$C$11684)</f>
        <v>0</v>
      </c>
    </row>
    <row r="11703" customFormat="false" ht="15" hidden="false" customHeight="false" outlineLevel="0" collapsed="false">
      <c r="A11703" s="3" t="s">
        <v>562</v>
      </c>
      <c r="C11703" s="16" t="n">
        <f aca="false">SUMPRODUCT(($C$11686:$C$11695&lt;C11692)*$C$11675:$C$11684)</f>
        <v>0</v>
      </c>
    </row>
    <row r="11704" customFormat="false" ht="15" hidden="false" customHeight="false" outlineLevel="0" collapsed="false">
      <c r="A11704" s="3" t="s">
        <v>563</v>
      </c>
      <c r="C11704" s="16" t="n">
        <f aca="false">SUMPRODUCT(($C$11686:$C$11695&lt;C11693)*$C$11675:$C$11684)</f>
        <v>0</v>
      </c>
    </row>
    <row r="11705" customFormat="false" ht="15" hidden="false" customHeight="false" outlineLevel="0" collapsed="false">
      <c r="A11705" s="3" t="s">
        <v>564</v>
      </c>
      <c r="C11705" s="16" t="n">
        <f aca="false">SUMPRODUCT(($C$11686:$C$11695&lt;C11694)*$C$11675:$C$11684)</f>
        <v>0</v>
      </c>
    </row>
    <row r="11706" customFormat="false" ht="15" hidden="false" customHeight="false" outlineLevel="0" collapsed="false">
      <c r="A11706" s="3" t="s">
        <v>565</v>
      </c>
      <c r="C11706" s="16" t="n">
        <f aca="false">SUMPRODUCT(($C$11686:$C$11695&lt;C11695)*$C$11675:$C$11684)</f>
        <v>1950.33350002</v>
      </c>
    </row>
    <row r="11707" customFormat="false" ht="15" hidden="false" customHeight="false" outlineLevel="0" collapsed="false">
      <c r="A11707" s="24" t="s">
        <v>573</v>
      </c>
      <c r="B11707" s="25"/>
      <c r="C11707" s="25"/>
      <c r="D11707" s="25"/>
      <c r="E11707" s="25"/>
      <c r="F11707" s="25"/>
      <c r="G11707" s="25"/>
      <c r="H11707" s="25"/>
      <c r="I11707" s="25"/>
      <c r="J11707" s="25"/>
      <c r="K11707" s="25"/>
    </row>
    <row r="11708" customFormat="false" ht="15" hidden="false" customHeight="false" outlineLevel="0" collapsed="false">
      <c r="A11708" s="3" t="s">
        <v>556</v>
      </c>
      <c r="C11708" s="16" t="n">
        <f aca="false">SUMPRODUCT(($C$11686:$C$11695=C11686)*$C$11675:$C$11684)</f>
        <v>50.8188359357854</v>
      </c>
    </row>
    <row r="11709" customFormat="false" ht="15" hidden="false" customHeight="false" outlineLevel="0" collapsed="false">
      <c r="A11709" s="3" t="s">
        <v>557</v>
      </c>
      <c r="C11709" s="16" t="n">
        <f aca="false">SUMPRODUCT(($C$11686:$C$11695=C11687)*$C$11675:$C$11684)</f>
        <v>50.8188359357854</v>
      </c>
    </row>
    <row r="11710" customFormat="false" ht="15" hidden="false" customHeight="false" outlineLevel="0" collapsed="false">
      <c r="A11710" s="3" t="s">
        <v>558</v>
      </c>
      <c r="C11710" s="16" t="n">
        <f aca="false">SUMPRODUCT(($C$11686:$C$11695=C11688)*$C$11675:$C$11684)</f>
        <v>50.8188359357854</v>
      </c>
    </row>
    <row r="11711" customFormat="false" ht="15" hidden="false" customHeight="false" outlineLevel="0" collapsed="false">
      <c r="A11711" s="3" t="s">
        <v>559</v>
      </c>
      <c r="C11711" s="16" t="n">
        <f aca="false">SUMPRODUCT(($C$11686:$C$11695=C11689)*$C$11675:$C$11684)</f>
        <v>1950.33350002</v>
      </c>
    </row>
    <row r="11712" customFormat="false" ht="15" hidden="false" customHeight="false" outlineLevel="0" collapsed="false">
      <c r="A11712" s="3" t="s">
        <v>560</v>
      </c>
      <c r="C11712" s="16" t="n">
        <f aca="false">SUMPRODUCT(($C$11686:$C$11695=C11690)*$C$11675:$C$11684)</f>
        <v>1950.33350002</v>
      </c>
    </row>
    <row r="11713" customFormat="false" ht="15" hidden="false" customHeight="false" outlineLevel="0" collapsed="false">
      <c r="A11713" s="3" t="s">
        <v>561</v>
      </c>
      <c r="C11713" s="16" t="n">
        <f aca="false">SUMPRODUCT(($C$11686:$C$11695=C11691)*$C$11675:$C$11684)</f>
        <v>1950.33350002</v>
      </c>
    </row>
    <row r="11714" customFormat="false" ht="15" hidden="false" customHeight="false" outlineLevel="0" collapsed="false">
      <c r="A11714" s="3" t="s">
        <v>562</v>
      </c>
      <c r="C11714" s="16" t="n">
        <f aca="false">SUMPRODUCT(($C$11686:$C$11695=C11692)*$C$11675:$C$11684)</f>
        <v>1950.33350002</v>
      </c>
    </row>
    <row r="11715" customFormat="false" ht="15" hidden="false" customHeight="false" outlineLevel="0" collapsed="false">
      <c r="A11715" s="3" t="s">
        <v>563</v>
      </c>
      <c r="C11715" s="16" t="n">
        <f aca="false">SUMPRODUCT(($C$11686:$C$11695=C11693)*$C$11675:$C$11684)</f>
        <v>1950.33350002</v>
      </c>
    </row>
    <row r="11716" customFormat="false" ht="15" hidden="false" customHeight="false" outlineLevel="0" collapsed="false">
      <c r="A11716" s="3" t="s">
        <v>564</v>
      </c>
      <c r="C11716" s="16" t="n">
        <f aca="false">SUMPRODUCT(($C$11686:$C$11695=C11694)*$C$11675:$C$11684)</f>
        <v>1950.33350002</v>
      </c>
    </row>
    <row r="11717" customFormat="false" ht="15" hidden="false" customHeight="false" outlineLevel="0" collapsed="false">
      <c r="A11717" s="3" t="s">
        <v>565</v>
      </c>
      <c r="C11717" s="16" t="n">
        <f aca="false">SUMPRODUCT(($C$11686:$C$11695=C11695)*$C$11675:$C$11684)</f>
        <v>78.61</v>
      </c>
    </row>
    <row r="11718" customFormat="false" ht="15" hidden="false" customHeight="false" outlineLevel="0" collapsed="false">
      <c r="A11718" s="24" t="s">
        <v>574</v>
      </c>
      <c r="B11718" s="25"/>
      <c r="C11718" s="25"/>
      <c r="D11718" s="25"/>
      <c r="E11718" s="25"/>
      <c r="F11718" s="25"/>
      <c r="G11718" s="25"/>
      <c r="H11718" s="25"/>
      <c r="I11718" s="25"/>
      <c r="J11718" s="25"/>
      <c r="K11718" s="25"/>
    </row>
    <row r="11719" customFormat="false" ht="15" hidden="false" customHeight="false" outlineLevel="0" collapsed="false">
      <c r="A11719" s="3" t="s">
        <v>556</v>
      </c>
      <c r="C11719" s="16" t="n">
        <f aca="false">IF(C11708=0,0,C11675/C11708*MAX(0,MIN(C11708,$C$11618-SUM($C$11653:$C$11662)-C11697)))</f>
        <v>0</v>
      </c>
    </row>
    <row r="11720" customFormat="false" ht="15" hidden="false" customHeight="false" outlineLevel="0" collapsed="false">
      <c r="A11720" s="3" t="s">
        <v>557</v>
      </c>
      <c r="C11720" s="16" t="n">
        <f aca="false">IF(C11709=0,0,C11676/C11709*MAX(0,MIN(C11709,$C$11618-SUM($C$11653:$C$11662)-C11698)))</f>
        <v>0</v>
      </c>
    </row>
    <row r="11721" customFormat="false" ht="15" hidden="false" customHeight="false" outlineLevel="0" collapsed="false">
      <c r="A11721" s="3" t="s">
        <v>558</v>
      </c>
      <c r="C11721" s="16" t="n">
        <f aca="false">IF(C11710=0,0,C11677/C11710*MAX(0,MIN(C11710,$C$11618-SUM($C$11653:$C$11662)-C11699)))</f>
        <v>0</v>
      </c>
    </row>
    <row r="11722" customFormat="false" ht="15" hidden="false" customHeight="false" outlineLevel="0" collapsed="false">
      <c r="A11722" s="3" t="s">
        <v>559</v>
      </c>
      <c r="C11722" s="16" t="n">
        <f aca="false">IF(C11711=0,0,C11678/C11711*MAX(0,MIN(C11711,$C$11618-SUM($C$11653:$C$11662)-C11700)))</f>
        <v>0</v>
      </c>
    </row>
    <row r="11723" customFormat="false" ht="15" hidden="false" customHeight="false" outlineLevel="0" collapsed="false">
      <c r="A11723" s="3" t="s">
        <v>560</v>
      </c>
      <c r="C11723" s="16" t="n">
        <f aca="false">IF(C11712=0,0,C11679/C11712*MAX(0,MIN(C11712,$C$11618-SUM($C$11653:$C$11662)-C11701)))</f>
        <v>267.382695221029</v>
      </c>
    </row>
    <row r="11724" customFormat="false" ht="15" hidden="false" customHeight="false" outlineLevel="0" collapsed="false">
      <c r="A11724" s="3" t="s">
        <v>561</v>
      </c>
      <c r="C11724" s="16" t="n">
        <f aca="false">IF(C11713=0,0,C11680/C11713*MAX(0,MIN(C11713,$C$11618-SUM($C$11653:$C$11662)-C11702)))</f>
        <v>233.764956774002</v>
      </c>
    </row>
    <row r="11725" customFormat="false" ht="15" hidden="false" customHeight="false" outlineLevel="0" collapsed="false">
      <c r="A11725" s="3" t="s">
        <v>562</v>
      </c>
      <c r="C11725" s="16" t="n">
        <f aca="false">IF(C11714=0,0,C11681/C11714*MAX(0,MIN(C11714,$C$11618-SUM($C$11653:$C$11662)-C11703)))</f>
        <v>367.344932073432</v>
      </c>
    </row>
    <row r="11726" customFormat="false" ht="15" hidden="false" customHeight="false" outlineLevel="0" collapsed="false">
      <c r="A11726" s="3" t="s">
        <v>563</v>
      </c>
      <c r="C11726" s="16" t="n">
        <f aca="false">IF(C11715=0,0,C11682/C11715*MAX(0,MIN(C11715,$C$11618-SUM($C$11653:$C$11662)-C11704)))</f>
        <v>233.764956774002</v>
      </c>
    </row>
    <row r="11727" customFormat="false" ht="15" hidden="false" customHeight="false" outlineLevel="0" collapsed="false">
      <c r="A11727" s="3" t="s">
        <v>564</v>
      </c>
      <c r="C11727" s="16" t="n">
        <f aca="false">IF(C11716=0,0,C11683/C11716*MAX(0,MIN(C11716,$C$11618-SUM($C$11653:$C$11662)-C11705)))</f>
        <v>200.369962949145</v>
      </c>
    </row>
    <row r="11728" customFormat="false" ht="15" hidden="false" customHeight="false" outlineLevel="0" collapsed="false">
      <c r="A11728" s="3" t="s">
        <v>565</v>
      </c>
      <c r="C11728" s="16" t="n">
        <f aca="false">IF(C11717=0,0,C11684/C11717*MAX(0,MIN(C11717,$C$11618-SUM($C$11653:$C$11662)-C11706)))</f>
        <v>0</v>
      </c>
    </row>
    <row r="11729" customFormat="false" ht="15" hidden="false" customHeight="false" outlineLevel="0" collapsed="false">
      <c r="A11729" s="24" t="s">
        <v>575</v>
      </c>
      <c r="B11729" s="25"/>
      <c r="C11729" s="25"/>
      <c r="D11729" s="25"/>
      <c r="E11729" s="25"/>
      <c r="F11729" s="25"/>
      <c r="G11729" s="25"/>
      <c r="H11729" s="25"/>
      <c r="I11729" s="25"/>
      <c r="J11729" s="25"/>
      <c r="K11729" s="25"/>
    </row>
    <row r="11730" customFormat="false" ht="15" hidden="false" customHeight="false" outlineLevel="0" collapsed="false">
      <c r="A11730" s="2" t="s">
        <v>556</v>
      </c>
      <c r="C11730" s="17" t="n">
        <f aca="false">C11653+C11719</f>
        <v>388</v>
      </c>
    </row>
    <row r="11731" customFormat="false" ht="15" hidden="false" customHeight="false" outlineLevel="0" collapsed="false">
      <c r="A11731" s="2" t="s">
        <v>557</v>
      </c>
      <c r="C11731" s="17" t="n">
        <f aca="false">C11654+C11720</f>
        <v>58.9753780392422</v>
      </c>
    </row>
    <row r="11732" customFormat="false" ht="15" hidden="false" customHeight="false" outlineLevel="0" collapsed="false">
      <c r="A11732" s="2" t="s">
        <v>558</v>
      </c>
      <c r="C11732" s="17" t="n">
        <f aca="false">C11655+C11721</f>
        <v>37.5297860249723</v>
      </c>
    </row>
    <row r="11733" customFormat="false" ht="15" hidden="false" customHeight="false" outlineLevel="0" collapsed="false">
      <c r="A11733" s="2" t="s">
        <v>559</v>
      </c>
      <c r="C11733" s="17" t="n">
        <f aca="false">C11656+C11722</f>
        <v>0</v>
      </c>
    </row>
    <row r="11734" customFormat="false" ht="15" hidden="false" customHeight="false" outlineLevel="0" collapsed="false">
      <c r="A11734" s="2" t="s">
        <v>560</v>
      </c>
      <c r="C11734" s="17" t="n">
        <f aca="false">C11657+C11723</f>
        <v>267.382695221029</v>
      </c>
    </row>
    <row r="11735" customFormat="false" ht="15" hidden="false" customHeight="false" outlineLevel="0" collapsed="false">
      <c r="A11735" s="2" t="s">
        <v>561</v>
      </c>
      <c r="C11735" s="17" t="n">
        <f aca="false">C11658+C11724</f>
        <v>233.764956774002</v>
      </c>
    </row>
    <row r="11736" customFormat="false" ht="15" hidden="false" customHeight="false" outlineLevel="0" collapsed="false">
      <c r="A11736" s="2" t="s">
        <v>562</v>
      </c>
      <c r="C11736" s="17" t="n">
        <f aca="false">C11659+C11725</f>
        <v>367.344932073432</v>
      </c>
    </row>
    <row r="11737" customFormat="false" ht="15" hidden="false" customHeight="false" outlineLevel="0" collapsed="false">
      <c r="A11737" s="2" t="s">
        <v>563</v>
      </c>
      <c r="C11737" s="17" t="n">
        <f aca="false">C11660+C11726</f>
        <v>233.764956774002</v>
      </c>
    </row>
    <row r="11738" customFormat="false" ht="15" hidden="false" customHeight="false" outlineLevel="0" collapsed="false">
      <c r="A11738" s="2" t="s">
        <v>564</v>
      </c>
      <c r="C11738" s="17" t="n">
        <f aca="false">C11661+C11727</f>
        <v>200.369962949145</v>
      </c>
    </row>
    <row r="11739" customFormat="false" ht="15" hidden="false" customHeight="false" outlineLevel="0" collapsed="false">
      <c r="A11739" s="2" t="s">
        <v>565</v>
      </c>
      <c r="C11739" s="17" t="n">
        <f aca="false">C11662+C11728</f>
        <v>0</v>
      </c>
    </row>
    <row r="11740" customFormat="false" ht="15" hidden="false" customHeight="false" outlineLevel="0" collapsed="false">
      <c r="A11740" s="24" t="s">
        <v>576</v>
      </c>
      <c r="B11740" s="25"/>
      <c r="C11740" s="25"/>
      <c r="D11740" s="25"/>
      <c r="E11740" s="25"/>
      <c r="F11740" s="25"/>
      <c r="G11740" s="25"/>
      <c r="H11740" s="25"/>
      <c r="I11740" s="25"/>
      <c r="J11740" s="25"/>
      <c r="K11740" s="25"/>
    </row>
    <row r="11741" customFormat="false" ht="15" hidden="false" customHeight="false" outlineLevel="0" collapsed="false">
      <c r="A11741" s="3" t="s">
        <v>556</v>
      </c>
      <c r="C11741" s="22" t="n">
        <f aca="false">IF(C11620=0,1,C11730/C11620)</f>
        <v>1</v>
      </c>
    </row>
    <row r="11742" customFormat="false" ht="15" hidden="false" customHeight="false" outlineLevel="0" collapsed="false">
      <c r="A11742" s="3" t="s">
        <v>557</v>
      </c>
      <c r="C11742" s="22" t="n">
        <f aca="false">IF(C11621=0,1,C11731/C11621)</f>
        <v>0.655281978213803</v>
      </c>
    </row>
    <row r="11743" customFormat="false" ht="15" hidden="false" customHeight="false" outlineLevel="0" collapsed="false">
      <c r="A11743" s="3" t="s">
        <v>558</v>
      </c>
      <c r="C11743" s="22" t="n">
        <f aca="false">IF(C11622=0,1,C11732/C11622)</f>
        <v>0.654695869530604</v>
      </c>
    </row>
    <row r="11744" customFormat="false" ht="15" hidden="false" customHeight="false" outlineLevel="0" collapsed="false">
      <c r="A11744" s="3" t="s">
        <v>559</v>
      </c>
      <c r="C11744" s="22" t="n">
        <f aca="false">IF(C11623=0,1,C11733/C11623)</f>
        <v>1</v>
      </c>
    </row>
    <row r="11745" customFormat="false" ht="15" hidden="false" customHeight="false" outlineLevel="0" collapsed="false">
      <c r="A11745" s="3" t="s">
        <v>560</v>
      </c>
      <c r="C11745" s="22" t="n">
        <f aca="false">IF(C11624=0,1,C11734/C11624)</f>
        <v>0.667899876497149</v>
      </c>
    </row>
    <row r="11746" customFormat="false" ht="15" hidden="false" customHeight="false" outlineLevel="0" collapsed="false">
      <c r="A11746" s="3" t="s">
        <v>561</v>
      </c>
      <c r="C11746" s="22" t="n">
        <f aca="false">IF(C11625=0,1,C11735/C11625)</f>
        <v>0.667899876497149</v>
      </c>
    </row>
    <row r="11747" customFormat="false" ht="15" hidden="false" customHeight="false" outlineLevel="0" collapsed="false">
      <c r="A11747" s="3" t="s">
        <v>562</v>
      </c>
      <c r="C11747" s="22" t="n">
        <f aca="false">IF(C11626=0,1,C11736/C11626)</f>
        <v>0.667899876497149</v>
      </c>
    </row>
    <row r="11748" customFormat="false" ht="15" hidden="false" customHeight="false" outlineLevel="0" collapsed="false">
      <c r="A11748" s="3" t="s">
        <v>563</v>
      </c>
      <c r="C11748" s="22" t="n">
        <f aca="false">IF(C11627=0,1,C11737/C11627)</f>
        <v>0.667899876497149</v>
      </c>
    </row>
    <row r="11749" customFormat="false" ht="15" hidden="false" customHeight="false" outlineLevel="0" collapsed="false">
      <c r="A11749" s="3" t="s">
        <v>564</v>
      </c>
      <c r="C11749" s="22" t="n">
        <f aca="false">IF(C11628=0,1,C11738/C11628)</f>
        <v>0.667899876497149</v>
      </c>
    </row>
    <row r="11750" customFormat="false" ht="15" hidden="false" customHeight="false" outlineLevel="0" collapsed="false">
      <c r="A11750" s="3" t="s">
        <v>565</v>
      </c>
      <c r="C11750" s="22" t="n">
        <f aca="false">IF(C11629=0,1,C11739/C11629)</f>
        <v>0</v>
      </c>
    </row>
    <row r="11751" customFormat="false" ht="15" hidden="false" customHeight="false" outlineLevel="0" collapsed="false">
      <c r="A11751" s="24" t="s">
        <v>577</v>
      </c>
      <c r="B11751" s="25"/>
      <c r="C11751" s="25"/>
      <c r="D11751" s="25"/>
      <c r="E11751" s="25"/>
      <c r="F11751" s="25"/>
      <c r="G11751" s="25"/>
      <c r="H11751" s="25"/>
      <c r="I11751" s="25"/>
      <c r="J11751" s="25"/>
      <c r="K11751" s="25"/>
    </row>
    <row r="11752" customFormat="false" ht="15" hidden="false" customHeight="false" outlineLevel="0" collapsed="false">
      <c r="A11752" s="3" t="s">
        <v>556</v>
      </c>
      <c r="C11752" s="16" t="n">
        <f aca="false">C11620-C11730</f>
        <v>0</v>
      </c>
    </row>
    <row r="11753" customFormat="false" ht="15" hidden="false" customHeight="false" outlineLevel="0" collapsed="false">
      <c r="A11753" s="3" t="s">
        <v>557</v>
      </c>
      <c r="C11753" s="16" t="n">
        <f aca="false">C11621-C11731</f>
        <v>31.0246219607578</v>
      </c>
    </row>
    <row r="11754" customFormat="false" ht="15" hidden="false" customHeight="false" outlineLevel="0" collapsed="false">
      <c r="A11754" s="3" t="s">
        <v>558</v>
      </c>
      <c r="C11754" s="16" t="n">
        <f aca="false">C11622-C11732</f>
        <v>19.7942139750277</v>
      </c>
    </row>
    <row r="11755" customFormat="false" ht="15" hidden="false" customHeight="false" outlineLevel="0" collapsed="false">
      <c r="A11755" s="3" t="s">
        <v>559</v>
      </c>
      <c r="C11755" s="16" t="n">
        <f aca="false">C11623-C11733</f>
        <v>0</v>
      </c>
    </row>
    <row r="11756" customFormat="false" ht="15" hidden="false" customHeight="false" outlineLevel="0" collapsed="false">
      <c r="A11756" s="3" t="s">
        <v>560</v>
      </c>
      <c r="C11756" s="16" t="n">
        <f aca="false">C11624-C11734</f>
        <v>132.950804798971</v>
      </c>
    </row>
    <row r="11757" customFormat="false" ht="15" hidden="false" customHeight="false" outlineLevel="0" collapsed="false">
      <c r="A11757" s="3" t="s">
        <v>561</v>
      </c>
      <c r="C11757" s="16" t="n">
        <f aca="false">C11625-C11735</f>
        <v>116.235043225998</v>
      </c>
    </row>
    <row r="11758" customFormat="false" ht="15" hidden="false" customHeight="false" outlineLevel="0" collapsed="false">
      <c r="A11758" s="3" t="s">
        <v>562</v>
      </c>
      <c r="C11758" s="16" t="n">
        <f aca="false">C11626-C11736</f>
        <v>182.655067926568</v>
      </c>
    </row>
    <row r="11759" customFormat="false" ht="15" hidden="false" customHeight="false" outlineLevel="0" collapsed="false">
      <c r="A11759" s="3" t="s">
        <v>563</v>
      </c>
      <c r="C11759" s="16" t="n">
        <f aca="false">C11627-C11737</f>
        <v>116.235043225998</v>
      </c>
    </row>
    <row r="11760" customFormat="false" ht="15" hidden="false" customHeight="false" outlineLevel="0" collapsed="false">
      <c r="A11760" s="3" t="s">
        <v>564</v>
      </c>
      <c r="C11760" s="16" t="n">
        <f aca="false">C11628-C11738</f>
        <v>99.6300370508552</v>
      </c>
    </row>
    <row r="11761" customFormat="false" ht="15" hidden="false" customHeight="false" outlineLevel="0" collapsed="false">
      <c r="A11761" s="3" t="s">
        <v>565</v>
      </c>
      <c r="C11761" s="16" t="n">
        <f aca="false">C11629-C11739</f>
        <v>78.61</v>
      </c>
    </row>
    <row r="11762" customFormat="false" ht="15" hidden="false" customHeight="false" outlineLevel="0" collapsed="false">
      <c r="A11762" s="24" t="s">
        <v>578</v>
      </c>
      <c r="B11762" s="25"/>
      <c r="C11762" s="25"/>
      <c r="D11762" s="25"/>
      <c r="E11762" s="25"/>
      <c r="F11762" s="25"/>
      <c r="G11762" s="25"/>
      <c r="H11762" s="25"/>
      <c r="I11762" s="25"/>
      <c r="J11762" s="25"/>
      <c r="K11762" s="25"/>
    </row>
    <row r="11763" customFormat="false" ht="15" hidden="false" customHeight="false" outlineLevel="0" collapsed="false">
      <c r="A11763" s="3" t="s">
        <v>556</v>
      </c>
      <c r="C11763" s="22" t="n">
        <f aca="false">IF(C11620=0,0,C11752/C11620)</f>
        <v>0</v>
      </c>
    </row>
    <row r="11764" customFormat="false" ht="15" hidden="false" customHeight="false" outlineLevel="0" collapsed="false">
      <c r="A11764" s="3" t="s">
        <v>557</v>
      </c>
      <c r="C11764" s="22" t="n">
        <f aca="false">IF(C11621=0,0,C11753/C11621)</f>
        <v>0.344718021786197</v>
      </c>
    </row>
    <row r="11765" customFormat="false" ht="15" hidden="false" customHeight="false" outlineLevel="0" collapsed="false">
      <c r="A11765" s="3" t="s">
        <v>558</v>
      </c>
      <c r="C11765" s="22" t="n">
        <f aca="false">IF(C11622=0,0,C11754/C11622)</f>
        <v>0.345304130469396</v>
      </c>
    </row>
    <row r="11766" customFormat="false" ht="15" hidden="false" customHeight="false" outlineLevel="0" collapsed="false">
      <c r="A11766" s="3" t="s">
        <v>559</v>
      </c>
      <c r="C11766" s="22" t="n">
        <f aca="false">IF(C11623=0,0,C11755/C11623)</f>
        <v>0</v>
      </c>
    </row>
    <row r="11767" customFormat="false" ht="15" hidden="false" customHeight="false" outlineLevel="0" collapsed="false">
      <c r="A11767" s="3" t="s">
        <v>560</v>
      </c>
      <c r="C11767" s="22" t="n">
        <f aca="false">IF(C11624=0,0,C11756/C11624)</f>
        <v>0.332100123502851</v>
      </c>
    </row>
    <row r="11768" customFormat="false" ht="15" hidden="false" customHeight="false" outlineLevel="0" collapsed="false">
      <c r="A11768" s="3" t="s">
        <v>561</v>
      </c>
      <c r="C11768" s="22" t="n">
        <f aca="false">IF(C11625=0,0,C11757/C11625)</f>
        <v>0.332100123502851</v>
      </c>
    </row>
    <row r="11769" customFormat="false" ht="15" hidden="false" customHeight="false" outlineLevel="0" collapsed="false">
      <c r="A11769" s="3" t="s">
        <v>562</v>
      </c>
      <c r="C11769" s="22" t="n">
        <f aca="false">IF(C11626=0,0,C11758/C11626)</f>
        <v>0.332100123502851</v>
      </c>
    </row>
    <row r="11770" customFormat="false" ht="15" hidden="false" customHeight="false" outlineLevel="0" collapsed="false">
      <c r="A11770" s="3" t="s">
        <v>563</v>
      </c>
      <c r="C11770" s="22" t="n">
        <f aca="false">IF(C11627=0,0,C11759/C11627)</f>
        <v>0.332100123502851</v>
      </c>
    </row>
    <row r="11771" customFormat="false" ht="15" hidden="false" customHeight="false" outlineLevel="0" collapsed="false">
      <c r="A11771" s="3" t="s">
        <v>564</v>
      </c>
      <c r="C11771" s="22" t="n">
        <f aca="false">IF(C11628=0,0,C11760/C11628)</f>
        <v>0.332100123502851</v>
      </c>
    </row>
    <row r="11772" customFormat="false" ht="15" hidden="false" customHeight="false" outlineLevel="0" collapsed="false">
      <c r="A11772" s="3" t="s">
        <v>565</v>
      </c>
      <c r="C11772" s="22" t="n">
        <f aca="false">IF(C11629=0,0,C11761/C11629)</f>
        <v>1</v>
      </c>
    </row>
    <row r="11773" customFormat="false" ht="15" hidden="false" customHeight="false" outlineLevel="0" collapsed="false">
      <c r="A11773" s="2" t="s">
        <v>579</v>
      </c>
      <c r="C11773" s="17" t="n">
        <f aca="false">MAX(0,$C$11618-SUM($C$11653:$C$11662)-SUM($C$11675:$C$11684))</f>
        <v>0</v>
      </c>
    </row>
    <row r="11774" customFormat="false" ht="15" hidden="false" customHeight="false" outlineLevel="0" collapsed="false">
      <c r="A11774" s="3" t="s">
        <v>597</v>
      </c>
      <c r="C11774" s="35" t="n">
        <f aca="false">MIN(C11617,100*CHOOSE(C11607,C11741,C11742,C11743,C11744,C11745,C11746,C11747,C11748,C11749,C11750))</f>
        <v>85</v>
      </c>
    </row>
    <row r="11775" customFormat="false" ht="15" hidden="false" customHeight="false" outlineLevel="0" collapsed="false">
      <c r="A11775" s="3" t="s">
        <v>598</v>
      </c>
      <c r="C11775" s="21" t="n">
        <f aca="false">IF(C11439=1,C11612+Assumptions!$C$40,C11611)</f>
        <v>3</v>
      </c>
    </row>
    <row r="11776" customFormat="false" ht="15" hidden="false" customHeight="false" outlineLevel="0" collapsed="false">
      <c r="A11776" s="24" t="s">
        <v>599</v>
      </c>
      <c r="B11776" s="25"/>
      <c r="C11776" s="25"/>
      <c r="D11776" s="25"/>
      <c r="E11776" s="25"/>
      <c r="F11776" s="25"/>
      <c r="G11776" s="25"/>
      <c r="H11776" s="25"/>
      <c r="I11776" s="25"/>
      <c r="J11776" s="25"/>
      <c r="K11776" s="25"/>
    </row>
    <row r="11777" customFormat="false" ht="15" hidden="false" customHeight="false" outlineLevel="0" collapsed="false">
      <c r="A11777" s="3" t="s">
        <v>600</v>
      </c>
      <c r="C11777" s="21" t="n">
        <f aca="false">COLUMN()-COLUMN($C$1)</f>
        <v>0</v>
      </c>
      <c r="D11777" s="21" t="n">
        <f aca="false">COLUMN()-COLUMN($C$1)</f>
        <v>1</v>
      </c>
      <c r="E11777" s="21" t="n">
        <f aca="false">COLUMN()-COLUMN($C$1)</f>
        <v>2</v>
      </c>
      <c r="F11777" s="21" t="n">
        <f aca="false">COLUMN()-COLUMN($C$1)</f>
        <v>3</v>
      </c>
      <c r="G11777" s="21" t="n">
        <f aca="false">COLUMN()-COLUMN($C$1)</f>
        <v>4</v>
      </c>
      <c r="H11777" s="21" t="n">
        <f aca="false">COLUMN()-COLUMN($C$1)</f>
        <v>5</v>
      </c>
      <c r="I11777" s="21" t="n">
        <f aca="false">COLUMN()-COLUMN($C$1)</f>
        <v>6</v>
      </c>
    </row>
    <row r="11778" customFormat="false" ht="15" hidden="false" customHeight="false" outlineLevel="0" collapsed="false">
      <c r="A11778" s="3" t="s">
        <v>601</v>
      </c>
      <c r="D11778" s="31" t="n">
        <f aca="false">CHOOSE($C$11607,G11187,G11200,G11213,G11226,G11239,G11252,G11265,G11278,G11291,G11304)</f>
        <v>0.1215</v>
      </c>
      <c r="E11778" s="31" t="n">
        <f aca="false">CHOOSE($C$11607,H11187,H11200,H11213,H11226,H11239,H11252,H11265,H11278,H11291,H11304)</f>
        <v>0.12</v>
      </c>
      <c r="F11778" s="31" t="n">
        <f aca="false">CHOOSE($C$11607,I11187,I11200,I11213,I11226,I11239,I11252,I11265,I11278,I11291,I11304)</f>
        <v>0.1175</v>
      </c>
      <c r="G11778" s="31" t="n">
        <f aca="false">CHOOSE($C$11607,J11187,J11200,J11213,J11226,J11239,J11252,J11265,J11278,J11291,J11304)</f>
        <v>0.1175</v>
      </c>
      <c r="H11778" s="31" t="n">
        <f aca="false">CHOOSE($C$11607,K11187,K11200,K11213,K11226,K11239,K11252,K11265,K11278,K11291,K11304)</f>
        <v>0.1175</v>
      </c>
    </row>
    <row r="11779" customFormat="false" ht="15" hidden="false" customHeight="false" outlineLevel="0" collapsed="false">
      <c r="A11779" s="3" t="s">
        <v>602</v>
      </c>
      <c r="D11779" s="16" t="n">
        <f aca="false">IF(D11777&lt;=$C$11616,$C$11608*D11778,0)</f>
        <v>12.15</v>
      </c>
      <c r="E11779" s="16" t="n">
        <f aca="false">IF(E11777&lt;=$C$11616,$C$11608*E11778,0)</f>
        <v>12</v>
      </c>
      <c r="F11779" s="16" t="n">
        <f aca="false">IF(F11777&lt;=$C$11616,$C$11608*F11778,0)</f>
        <v>0</v>
      </c>
      <c r="G11779" s="16" t="n">
        <f aca="false">IF(G11777&lt;=$C$11616,$C$11608*G11778,0)</f>
        <v>0</v>
      </c>
      <c r="H11779" s="16" t="n">
        <f aca="false">IF(H11777&lt;=$C$11616,$C$11608*H11778,0)</f>
        <v>0</v>
      </c>
    </row>
    <row r="11780" customFormat="false" ht="15" hidden="false" customHeight="false" outlineLevel="0" collapsed="false">
      <c r="A11780" s="3" t="s">
        <v>603</v>
      </c>
      <c r="D11780" s="16" t="n">
        <f aca="false">IF(AND($C$11439=0,D11777=$C$11611),$C$11608*$C$11774/100,0)+IF(AND($C$11439=1,D11777=$C$11775),$C$11614,0)</f>
        <v>0</v>
      </c>
      <c r="E11780" s="16" t="n">
        <f aca="false">IF(AND($C$11439=0,E11777=$C$11611),$C$11608*$C$11774/100,0)+IF(AND($C$11439=1,E11777=$C$11775),$C$11614,0)</f>
        <v>0</v>
      </c>
      <c r="F11780" s="16" t="n">
        <f aca="false">IF(AND($C$11439=0,F11777=$C$11611),$C$11608*$C$11774/100,0)+IF(AND($C$11439=1,F11777=$C$11775),$C$11614,0)</f>
        <v>103</v>
      </c>
      <c r="G11780" s="16" t="n">
        <f aca="false">IF(AND($C$11439=0,G11777=$C$11611),$C$11608*$C$11774/100,0)+IF(AND($C$11439=1,G11777=$C$11775),$C$11614,0)</f>
        <v>0</v>
      </c>
      <c r="H11780" s="16" t="n">
        <f aca="false">IF(AND($C$11439=0,H11777=$C$11611),$C$11608*$C$11774/100,0)+IF(AND($C$11439=1,H11777=$C$11775),$C$11614,0)</f>
        <v>0</v>
      </c>
      <c r="I11780" s="16" t="n">
        <f aca="false">IF(AND($C$11439=0,I11777=$C$11611),$C$11608*$C$11774/100,0)+IF(AND($C$11439=1,I11777=$C$11775),$C$11614,0)</f>
        <v>0</v>
      </c>
    </row>
    <row r="11781" customFormat="false" ht="15" hidden="false" customHeight="false" outlineLevel="0" collapsed="false">
      <c r="A11781" s="2" t="s">
        <v>604</v>
      </c>
      <c r="C11781" s="17" t="n">
        <f aca="false">-$C$11610</f>
        <v>-98.49</v>
      </c>
      <c r="D11781" s="17" t="n">
        <f aca="false">D11779+D11780</f>
        <v>12.15</v>
      </c>
      <c r="E11781" s="17" t="n">
        <f aca="false">E11779+E11780</f>
        <v>12</v>
      </c>
      <c r="F11781" s="17" t="n">
        <f aca="false">F11779+F11780</f>
        <v>103</v>
      </c>
      <c r="G11781" s="17" t="n">
        <f aca="false">G11779+G11780</f>
        <v>0</v>
      </c>
      <c r="H11781" s="17" t="n">
        <f aca="false">H11779+H11780</f>
        <v>0</v>
      </c>
      <c r="I11781" s="17" t="n">
        <f aca="false">I11779+I11780</f>
        <v>0</v>
      </c>
    </row>
    <row r="11782" customFormat="false" ht="15" hidden="false" customHeight="false" outlineLevel="0" collapsed="false">
      <c r="A11782" s="3" t="s">
        <v>605</v>
      </c>
      <c r="C11782" s="16" t="n">
        <f aca="false">SUM($C$11779:$I$11779)</f>
        <v>24.15</v>
      </c>
    </row>
    <row r="11783" customFormat="false" ht="15" hidden="false" customHeight="false" outlineLevel="0" collapsed="false">
      <c r="A11783" s="3" t="s">
        <v>606</v>
      </c>
      <c r="C11783" s="16" t="n">
        <f aca="false">SUM($C$11780:$I$11780)</f>
        <v>103</v>
      </c>
    </row>
    <row r="11784" customFormat="false" ht="15" hidden="false" customHeight="false" outlineLevel="0" collapsed="false">
      <c r="A11784" s="3" t="s">
        <v>607</v>
      </c>
      <c r="C11784" s="16" t="n">
        <f aca="false">C11782+C11783</f>
        <v>127.15</v>
      </c>
    </row>
    <row r="11785" customFormat="false" ht="15" hidden="false" customHeight="false" outlineLevel="0" collapsed="false">
      <c r="A11785" s="3" t="s">
        <v>608</v>
      </c>
      <c r="C11785" s="16" t="n">
        <f aca="false">C11783-C11608*C11609/100</f>
        <v>5</v>
      </c>
    </row>
    <row r="11786" customFormat="false" ht="15" hidden="false" customHeight="false" outlineLevel="0" collapsed="false">
      <c r="A11786" s="3" t="s">
        <v>609</v>
      </c>
      <c r="C11786" s="16" t="n">
        <f aca="false">C11784-C11610</f>
        <v>28.66</v>
      </c>
    </row>
    <row r="11787" customFormat="false" ht="15" hidden="false" customHeight="false" outlineLevel="0" collapsed="false">
      <c r="A11787" s="2" t="s">
        <v>484</v>
      </c>
      <c r="C11787" s="44" t="n">
        <f aca="false">C11784/C11610</f>
        <v>1.29099400954412</v>
      </c>
    </row>
    <row r="11788" customFormat="false" ht="15" hidden="false" customHeight="false" outlineLevel="0" collapsed="false">
      <c r="A11788" s="2" t="s">
        <v>483</v>
      </c>
      <c r="C11788" s="42" t="n">
        <f aca="false">IF(C11784&lt;=0,-1,IFERROR(IRR($C$11781:$I$11781,MAX(-0.9,C11787^(1/C11775)-1)),IRR($C$11781:$I$11781,0.1)))</f>
        <v>0.0994077590660149</v>
      </c>
    </row>
    <row r="11789" customFormat="false" ht="15" hidden="false" customHeight="false" outlineLevel="0" collapsed="false">
      <c r="A11789" s="3" t="s">
        <v>610</v>
      </c>
      <c r="C11789" s="32" t="n">
        <f aca="false">MAX($G$11383:$K$11383)</f>
        <v>14.0643541089844</v>
      </c>
    </row>
    <row r="11790" customFormat="false" ht="15" hidden="false" customHeight="false" outlineLevel="0" collapsed="false">
      <c r="A11790" s="3" t="s">
        <v>611</v>
      </c>
      <c r="C11790" s="32" t="n">
        <f aca="false">MIN($G$11384:$K$11384)</f>
        <v>0.991396702664684</v>
      </c>
    </row>
    <row r="11791" customFormat="false" ht="15" hidden="false" customHeight="false" outlineLevel="0" collapsed="false">
      <c r="A11791" s="3" t="s">
        <v>612</v>
      </c>
      <c r="C11791" s="16" t="n">
        <f aca="false">SUM($G$11171:$K$11171)</f>
        <v>-231.961287802655</v>
      </c>
    </row>
    <row r="11795" customFormat="false" ht="15" hidden="false" customHeight="false" outlineLevel="0" collapsed="false">
      <c r="A11795" s="9" t="s">
        <v>1148</v>
      </c>
      <c r="B11795" s="10"/>
      <c r="C11795" s="10"/>
      <c r="D11795" s="10"/>
      <c r="E11795" s="10"/>
      <c r="F11795" s="10"/>
      <c r="G11795" s="10"/>
      <c r="H11795" s="10"/>
      <c r="I11795" s="10"/>
      <c r="J11795" s="10"/>
      <c r="K11795" s="10"/>
    </row>
    <row r="11796" customFormat="false" ht="15" hidden="false" customHeight="false" outlineLevel="0" collapsed="false">
      <c r="A11796" s="3" t="s">
        <v>1126</v>
      </c>
      <c r="C11796" s="11" t="n">
        <v>1</v>
      </c>
    </row>
    <row r="11797" customFormat="false" ht="15" hidden="false" customHeight="false" outlineLevel="0" collapsed="false">
      <c r="A11797" s="3" t="s">
        <v>1127</v>
      </c>
      <c r="C11797" s="30" t="n">
        <f aca="false">Sensitivities!$A$40</f>
        <v>-0.1</v>
      </c>
    </row>
    <row r="11798" customFormat="false" ht="15" hidden="false" customHeight="false" outlineLevel="0" collapsed="false">
      <c r="A11798" s="3" t="s">
        <v>1128</v>
      </c>
      <c r="C11798" s="19" t="n">
        <v>0</v>
      </c>
    </row>
    <row r="11799" customFormat="false" ht="15" hidden="false" customHeight="false" outlineLevel="0" collapsed="false">
      <c r="A11799" s="3" t="s">
        <v>1129</v>
      </c>
      <c r="C11799" s="19" t="n">
        <v>0</v>
      </c>
    </row>
    <row r="11800" customFormat="false" ht="15" hidden="false" customHeight="false" outlineLevel="0" collapsed="false">
      <c r="A11800" s="3" t="s">
        <v>1130</v>
      </c>
      <c r="C11800" s="15" t="n">
        <v>0</v>
      </c>
    </row>
    <row r="11802" customFormat="false" ht="15" hidden="false" customHeight="false" outlineLevel="0" collapsed="false">
      <c r="A11802" s="24" t="s">
        <v>301</v>
      </c>
      <c r="B11802" s="25"/>
      <c r="C11802" s="25"/>
      <c r="D11802" s="25"/>
      <c r="E11802" s="25"/>
      <c r="F11802" s="25"/>
      <c r="G11802" s="25"/>
      <c r="H11802" s="25"/>
      <c r="I11802" s="25"/>
      <c r="J11802" s="25"/>
      <c r="K11802" s="25"/>
    </row>
    <row r="11803" customFormat="false" ht="15" hidden="false" customHeight="false" outlineLevel="0" collapsed="false">
      <c r="A11803" s="3" t="s">
        <v>302</v>
      </c>
      <c r="F11803" s="27" t="n">
        <f aca="false">Assumptions!$C$6</f>
        <v>2026</v>
      </c>
      <c r="G11803" s="21" t="n">
        <f aca="false">F11803+1</f>
        <v>2027</v>
      </c>
      <c r="H11803" s="21" t="n">
        <f aca="false">G11803+1</f>
        <v>2028</v>
      </c>
      <c r="I11803" s="21" t="n">
        <f aca="false">H11803+1</f>
        <v>2029</v>
      </c>
      <c r="J11803" s="21" t="n">
        <f aca="false">I11803+1</f>
        <v>2030</v>
      </c>
      <c r="K11803" s="21" t="n">
        <f aca="false">J11803+1</f>
        <v>2031</v>
      </c>
    </row>
    <row r="11804" customFormat="false" ht="15" hidden="false" customHeight="false" outlineLevel="0" collapsed="false">
      <c r="A11804" s="3" t="s">
        <v>303</v>
      </c>
      <c r="G11804" s="21" t="n">
        <f aca="false">G11803-Assumptions!$C$6</f>
        <v>1</v>
      </c>
      <c r="H11804" s="21" t="n">
        <f aca="false">H11803-Assumptions!$C$6</f>
        <v>2</v>
      </c>
      <c r="I11804" s="21" t="n">
        <f aca="false">I11803-Assumptions!$C$6</f>
        <v>3</v>
      </c>
      <c r="J11804" s="21" t="n">
        <f aca="false">J11803-Assumptions!$C$6</f>
        <v>4</v>
      </c>
      <c r="K11804" s="21" t="n">
        <f aca="false">K11803-Assumptions!$C$6</f>
        <v>5</v>
      </c>
    </row>
    <row r="11805" customFormat="false" ht="15" hidden="false" customHeight="false" outlineLevel="0" collapsed="false">
      <c r="A11805" s="3" t="s">
        <v>180</v>
      </c>
      <c r="G11805" s="22" t="n">
        <f aca="false">CHOOSE($C$11796,Assumptions!$G$79,Assumptions!$G$98,Assumptions!$G$117)+$C$11797</f>
        <v>-0.13</v>
      </c>
      <c r="H11805" s="22" t="n">
        <f aca="false">CHOOSE($C$11796,Assumptions!$H$79,Assumptions!$H$98,Assumptions!$H$117)+$C$11797</f>
        <v>-0.08</v>
      </c>
      <c r="I11805" s="22" t="n">
        <f aca="false">CHOOSE($C$11796,Assumptions!$I$79,Assumptions!$I$98,Assumptions!$I$117)+$C$11797</f>
        <v>-0.08</v>
      </c>
      <c r="J11805" s="22" t="n">
        <f aca="false">CHOOSE($C$11796,Assumptions!$J$79,Assumptions!$J$98,Assumptions!$J$117)+$C$11797</f>
        <v>-0.08</v>
      </c>
      <c r="K11805" s="22" t="n">
        <f aca="false">CHOOSE($C$11796,Assumptions!$K$79,Assumptions!$K$98,Assumptions!$K$117)+$C$11797</f>
        <v>-0.08</v>
      </c>
    </row>
    <row r="11806" customFormat="false" ht="15" hidden="false" customHeight="false" outlineLevel="0" collapsed="false">
      <c r="A11806" s="3" t="s">
        <v>181</v>
      </c>
      <c r="G11806" s="22" t="n">
        <f aca="false">CHOOSE($C$11796,Assumptions!$G$80,Assumptions!$G$99,Assumptions!$G$118)</f>
        <v>0.603920660818678</v>
      </c>
      <c r="H11806" s="22" t="n">
        <f aca="false">CHOOSE($C$11796,Assumptions!$H$80,Assumptions!$H$99,Assumptions!$H$118)</f>
        <v>0.606920660818678</v>
      </c>
      <c r="I11806" s="22" t="n">
        <f aca="false">CHOOSE($C$11796,Assumptions!$I$80,Assumptions!$I$99,Assumptions!$I$118)</f>
        <v>0.609920660818678</v>
      </c>
      <c r="J11806" s="22" t="n">
        <f aca="false">CHOOSE($C$11796,Assumptions!$J$80,Assumptions!$J$99,Assumptions!$J$118)</f>
        <v>0.611920660818678</v>
      </c>
      <c r="K11806" s="22" t="n">
        <f aca="false">CHOOSE($C$11796,Assumptions!$K$80,Assumptions!$K$99,Assumptions!$K$118)</f>
        <v>0.613920660818678</v>
      </c>
    </row>
    <row r="11807" customFormat="false" ht="15" hidden="false" customHeight="false" outlineLevel="0" collapsed="false">
      <c r="A11807" s="3" t="s">
        <v>182</v>
      </c>
      <c r="G11807" s="22" t="n">
        <f aca="false">CHOOSE($C$11796,Assumptions!$G$81,Assumptions!$G$100,Assumptions!$G$119)+$C$11798</f>
        <v>0.53</v>
      </c>
      <c r="H11807" s="22" t="n">
        <f aca="false">CHOOSE($C$11796,Assumptions!$H$81,Assumptions!$H$100,Assumptions!$H$119)+$C$11798</f>
        <v>0.533</v>
      </c>
      <c r="I11807" s="22" t="n">
        <f aca="false">CHOOSE($C$11796,Assumptions!$I$81,Assumptions!$I$100,Assumptions!$I$119)+$C$11798</f>
        <v>0.536</v>
      </c>
      <c r="J11807" s="22" t="n">
        <f aca="false">CHOOSE($C$11796,Assumptions!$J$81,Assumptions!$J$100,Assumptions!$J$119)+$C$11798</f>
        <v>0.538</v>
      </c>
      <c r="K11807" s="22" t="n">
        <f aca="false">CHOOSE($C$11796,Assumptions!$K$81,Assumptions!$K$100,Assumptions!$K$119)+$C$11798</f>
        <v>0.54</v>
      </c>
    </row>
    <row r="11808" customFormat="false" ht="15" hidden="false" customHeight="false" outlineLevel="0" collapsed="false">
      <c r="A11808" s="24" t="s">
        <v>304</v>
      </c>
      <c r="B11808" s="25"/>
      <c r="C11808" s="25"/>
      <c r="D11808" s="25"/>
      <c r="E11808" s="25"/>
      <c r="F11808" s="25"/>
      <c r="G11808" s="25"/>
      <c r="H11808" s="25"/>
      <c r="I11808" s="25"/>
      <c r="J11808" s="25"/>
      <c r="K11808" s="25"/>
    </row>
    <row r="11809" customFormat="false" ht="15" hidden="false" customHeight="false" outlineLevel="0" collapsed="false">
      <c r="A11809" s="2" t="s">
        <v>275</v>
      </c>
      <c r="F11809" s="28" t="n">
        <f aca="false">'Historical Financials'!G25</f>
        <v>498.291</v>
      </c>
      <c r="G11809" s="17" t="n">
        <f aca="false">F11809*(1+G11805)</f>
        <v>433.51317</v>
      </c>
      <c r="H11809" s="17" t="n">
        <f aca="false">G11809*(1+H11805)</f>
        <v>398.8321164</v>
      </c>
      <c r="I11809" s="17" t="n">
        <f aca="false">H11809*(1+I11805)</f>
        <v>366.925547088</v>
      </c>
      <c r="J11809" s="17" t="n">
        <f aca="false">I11809*(1+J11805)</f>
        <v>337.57150332096</v>
      </c>
      <c r="K11809" s="17" t="n">
        <f aca="false">J11809*(1+K11805)</f>
        <v>310.565783055283</v>
      </c>
    </row>
    <row r="11810" customFormat="false" ht="15" hidden="false" customHeight="false" outlineLevel="0" collapsed="false">
      <c r="A11810" s="3" t="s">
        <v>276</v>
      </c>
      <c r="G11810" s="16" t="n">
        <f aca="false">G11809*(1-G11806)</f>
        <v>171.7056099</v>
      </c>
      <c r="H11810" s="16" t="n">
        <f aca="false">H11809*(1-H11806)</f>
        <v>156.7726647588</v>
      </c>
      <c r="I11810" s="16" t="n">
        <f aca="false">I11809*(1-I11806)</f>
        <v>143.130074936832</v>
      </c>
      <c r="J11810" s="16" t="n">
        <f aca="false">J11809*(1-J11806)</f>
        <v>131.004525935244</v>
      </c>
      <c r="K11810" s="16" t="n">
        <f aca="false">K11809*(1-K11806)</f>
        <v>119.903032294314</v>
      </c>
    </row>
    <row r="11811" customFormat="false" ht="15" hidden="false" customHeight="false" outlineLevel="0" collapsed="false">
      <c r="A11811" s="2" t="s">
        <v>277</v>
      </c>
      <c r="G11811" s="17" t="n">
        <f aca="false">G11809-G11810</f>
        <v>261.8075601</v>
      </c>
      <c r="H11811" s="17" t="n">
        <f aca="false">H11809-H11810</f>
        <v>242.0594516412</v>
      </c>
      <c r="I11811" s="17" t="n">
        <f aca="false">I11809-I11810</f>
        <v>223.795472151168</v>
      </c>
      <c r="J11811" s="17" t="n">
        <f aca="false">J11809-J11810</f>
        <v>206.566977385717</v>
      </c>
      <c r="K11811" s="17" t="n">
        <f aca="false">K11809-K11810</f>
        <v>190.66275076097</v>
      </c>
    </row>
    <row r="11812" customFormat="false" ht="15" hidden="false" customHeight="false" outlineLevel="0" collapsed="false">
      <c r="A11812" s="3" t="s">
        <v>305</v>
      </c>
      <c r="G11812" s="16" t="n">
        <f aca="false">G11811-G11813</f>
        <v>32.04558</v>
      </c>
      <c r="H11812" s="16" t="n">
        <f aca="false">H11811-H11813</f>
        <v>29.4819336</v>
      </c>
      <c r="I11812" s="16" t="n">
        <f aca="false">I11811-I11813</f>
        <v>27.123378912</v>
      </c>
      <c r="J11812" s="16" t="n">
        <f aca="false">J11811-J11813</f>
        <v>24.95350859904</v>
      </c>
      <c r="K11812" s="16" t="n">
        <f aca="false">K11811-K11813</f>
        <v>22.9572279111168</v>
      </c>
    </row>
    <row r="11813" customFormat="false" ht="15" hidden="false" customHeight="false" outlineLevel="0" collapsed="false">
      <c r="A11813" s="2" t="s">
        <v>306</v>
      </c>
      <c r="G11813" s="17" t="n">
        <f aca="false">G11809*G11807</f>
        <v>229.7619801</v>
      </c>
      <c r="H11813" s="17" t="n">
        <f aca="false">H11809*H11807</f>
        <v>212.5775180412</v>
      </c>
      <c r="I11813" s="17" t="n">
        <f aca="false">I11809*I11807</f>
        <v>196.672093239168</v>
      </c>
      <c r="J11813" s="17" t="n">
        <f aca="false">J11809*J11807</f>
        <v>181.613468786677</v>
      </c>
      <c r="K11813" s="17" t="n">
        <f aca="false">K11809*K11807</f>
        <v>167.705522849853</v>
      </c>
    </row>
    <row r="11814" customFormat="false" ht="15" hidden="false" customHeight="false" outlineLevel="0" collapsed="false">
      <c r="A11814" s="3" t="s">
        <v>307</v>
      </c>
      <c r="G11814" s="16" t="n">
        <f aca="false">G11809*'Historical Financials'!G30/'Historical Financials'!G25</f>
        <v>161.20491</v>
      </c>
      <c r="H11814" s="16" t="n">
        <f aca="false">H11809*'Historical Financials'!G30/'Historical Financials'!G25</f>
        <v>148.3085172</v>
      </c>
      <c r="I11814" s="16" t="n">
        <f aca="false">I11809*'Historical Financials'!G30/'Historical Financials'!G25</f>
        <v>136.443835824</v>
      </c>
      <c r="J11814" s="16" t="n">
        <f aca="false">J11809*'Historical Financials'!G30/'Historical Financials'!G25</f>
        <v>125.52832895808</v>
      </c>
      <c r="K11814" s="16" t="n">
        <f aca="false">K11809*'Historical Financials'!G30/'Historical Financials'!G25</f>
        <v>115.486062641434</v>
      </c>
    </row>
    <row r="11815" customFormat="false" ht="15" hidden="false" customHeight="false" outlineLevel="0" collapsed="false">
      <c r="A11815" s="3" t="s">
        <v>308</v>
      </c>
      <c r="G11815" s="16" t="n">
        <f aca="false">G11809*'Historical Financials'!G31/'Historical Financials'!G25</f>
        <v>0</v>
      </c>
      <c r="H11815" s="16" t="n">
        <f aca="false">H11809*'Historical Financials'!G31/'Historical Financials'!G25</f>
        <v>0</v>
      </c>
      <c r="I11815" s="16" t="n">
        <f aca="false">I11809*'Historical Financials'!G31/'Historical Financials'!G25</f>
        <v>0</v>
      </c>
      <c r="J11815" s="16" t="n">
        <f aca="false">J11809*'Historical Financials'!G31/'Historical Financials'!G25</f>
        <v>0</v>
      </c>
      <c r="K11815" s="16" t="n">
        <f aca="false">K11809*'Historical Financials'!G31/'Historical Financials'!G25</f>
        <v>0</v>
      </c>
    </row>
    <row r="11816" customFormat="false" ht="15" hidden="false" customHeight="false" outlineLevel="0" collapsed="false">
      <c r="A11816" s="2" t="s">
        <v>309</v>
      </c>
      <c r="G11816" s="17" t="n">
        <f aca="false">G11813-G11814-G11815</f>
        <v>68.5570701</v>
      </c>
      <c r="H11816" s="17" t="n">
        <f aca="false">H11813-H11814-H11815</f>
        <v>64.2690008412</v>
      </c>
      <c r="I11816" s="17" t="n">
        <f aca="false">I11813-I11814-I11815</f>
        <v>60.228257415168</v>
      </c>
      <c r="J11816" s="17" t="n">
        <f aca="false">J11813-J11814-J11815</f>
        <v>56.0851398285965</v>
      </c>
      <c r="K11816" s="17" t="n">
        <f aca="false">K11813-K11814-K11815</f>
        <v>52.2194602084194</v>
      </c>
    </row>
    <row r="11817" customFormat="false" ht="15" hidden="false" customHeight="false" outlineLevel="0" collapsed="false">
      <c r="A11817" s="3" t="s">
        <v>310</v>
      </c>
      <c r="G11817" s="16" t="n">
        <f aca="false">G11843+G11856+G11869+G11882+G11895+G11908+G11921+G11934+G11947+G11960</f>
        <v>180.2096854</v>
      </c>
      <c r="H11817" s="16" t="n">
        <f aca="false">H11843+H11856+H11869+H11882+H11895+H11908+H11921+H11934+H11947+H11960</f>
        <v>179.1317704</v>
      </c>
      <c r="I11817" s="16" t="n">
        <f aca="false">I11843+I11856+I11869+I11882+I11895+I11908+I11921+I11934+I11947+I11960</f>
        <v>176.086578535747</v>
      </c>
      <c r="J11817" s="16" t="n">
        <f aca="false">J11843+J11856+J11869+J11882+J11895+J11908+J11921+J11934+J11947+J11960</f>
        <v>175.736578535747</v>
      </c>
      <c r="K11817" s="16" t="n">
        <f aca="false">K11843+K11856+K11869+K11882+K11895+K11908+K11921+K11934+K11947+K11960</f>
        <v>175.386578535747</v>
      </c>
    </row>
    <row r="11818" customFormat="false" ht="15" hidden="false" customHeight="false" outlineLevel="0" collapsed="false">
      <c r="A11818" s="3" t="s">
        <v>311</v>
      </c>
      <c r="G11818" s="16" t="n">
        <f aca="false">G11844+G11857+G11870+G11883+G11896+G11909+G11922+G11935+G11948+G11961</f>
        <v>0</v>
      </c>
      <c r="H11818" s="16" t="n">
        <f aca="false">H11844+H11857+H11870+H11883+H11896+H11909+H11922+H11935+H11948+H11961</f>
        <v>0</v>
      </c>
      <c r="I11818" s="16" t="n">
        <f aca="false">I11844+I11857+I11870+I11883+I11896+I11909+I11922+I11935+I11948+I11961</f>
        <v>0</v>
      </c>
      <c r="J11818" s="16" t="n">
        <f aca="false">J11844+J11857+J11870+J11883+J11896+J11909+J11922+J11935+J11948+J11961</f>
        <v>0</v>
      </c>
      <c r="K11818" s="16" t="n">
        <f aca="false">K11844+K11857+K11870+K11883+K11896+K11909+K11922+K11935+K11948+K11961</f>
        <v>0</v>
      </c>
    </row>
    <row r="11819" customFormat="false" ht="15" hidden="false" customHeight="false" outlineLevel="0" collapsed="false">
      <c r="A11819" s="3" t="s">
        <v>283</v>
      </c>
      <c r="G11819" s="16" t="n">
        <f aca="false">G11817+G11818</f>
        <v>180.2096854</v>
      </c>
      <c r="H11819" s="16" t="n">
        <f aca="false">H11817+H11818</f>
        <v>179.1317704</v>
      </c>
      <c r="I11819" s="16" t="n">
        <f aca="false">I11817+I11818</f>
        <v>176.086578535747</v>
      </c>
      <c r="J11819" s="16" t="n">
        <f aca="false">J11817+J11818</f>
        <v>175.736578535747</v>
      </c>
      <c r="K11819" s="16" t="n">
        <f aca="false">K11817+K11818</f>
        <v>175.386578535747</v>
      </c>
    </row>
    <row r="11820" customFormat="false" ht="15" hidden="false" customHeight="false" outlineLevel="0" collapsed="false">
      <c r="A11820" s="2" t="s">
        <v>284</v>
      </c>
      <c r="G11820" s="17" t="n">
        <f aca="false">G11816-G11819</f>
        <v>-111.6526153</v>
      </c>
      <c r="H11820" s="17" t="n">
        <f aca="false">H11816-H11819</f>
        <v>-114.8627695588</v>
      </c>
      <c r="I11820" s="17" t="n">
        <f aca="false">I11816-I11819</f>
        <v>-115.858321120579</v>
      </c>
      <c r="J11820" s="17" t="n">
        <f aca="false">J11816-J11819</f>
        <v>-119.65143870715</v>
      </c>
      <c r="K11820" s="17" t="n">
        <f aca="false">K11816-K11819</f>
        <v>-123.167118327327</v>
      </c>
    </row>
    <row r="11821" customFormat="false" ht="15" hidden="false" customHeight="false" outlineLevel="0" collapsed="false">
      <c r="A11821" s="3" t="s">
        <v>312</v>
      </c>
      <c r="G11821" s="16" t="n">
        <f aca="false">MAX(0,G11820)*Assumptions!$C$9</f>
        <v>0</v>
      </c>
      <c r="H11821" s="16" t="n">
        <f aca="false">MAX(0,H11820)*Assumptions!$C$9</f>
        <v>0</v>
      </c>
      <c r="I11821" s="16" t="n">
        <f aca="false">MAX(0,I11820)*Assumptions!$C$9</f>
        <v>0</v>
      </c>
      <c r="J11821" s="16" t="n">
        <f aca="false">MAX(0,J11820)*Assumptions!$C$9</f>
        <v>0</v>
      </c>
      <c r="K11821" s="16" t="n">
        <f aca="false">MAX(0,K11820)*Assumptions!$C$9</f>
        <v>0</v>
      </c>
    </row>
    <row r="11822" customFormat="false" ht="15" hidden="false" customHeight="false" outlineLevel="0" collapsed="false">
      <c r="A11822" s="2" t="s">
        <v>313</v>
      </c>
      <c r="G11822" s="17" t="n">
        <f aca="false">G11820-G11821</f>
        <v>-111.6526153</v>
      </c>
      <c r="H11822" s="17" t="n">
        <f aca="false">H11820-H11821</f>
        <v>-114.8627695588</v>
      </c>
      <c r="I11822" s="17" t="n">
        <f aca="false">I11820-I11821</f>
        <v>-115.858321120579</v>
      </c>
      <c r="J11822" s="17" t="n">
        <f aca="false">J11820-J11821</f>
        <v>-119.65143870715</v>
      </c>
      <c r="K11822" s="17" t="n">
        <f aca="false">K11820-K11821</f>
        <v>-123.167118327327</v>
      </c>
    </row>
    <row r="11823" customFormat="false" ht="15" hidden="false" customHeight="false" outlineLevel="0" collapsed="false">
      <c r="A11823" s="24" t="s">
        <v>314</v>
      </c>
      <c r="B11823" s="25"/>
      <c r="C11823" s="25"/>
      <c r="D11823" s="25"/>
      <c r="E11823" s="25"/>
      <c r="F11823" s="25"/>
      <c r="G11823" s="25"/>
      <c r="H11823" s="25"/>
      <c r="I11823" s="25"/>
      <c r="J11823" s="25"/>
      <c r="K11823" s="25"/>
    </row>
    <row r="11824" customFormat="false" ht="15" hidden="false" customHeight="false" outlineLevel="0" collapsed="false">
      <c r="A11824" s="3" t="s">
        <v>184</v>
      </c>
      <c r="G11824" s="16" t="n">
        <f aca="false">G11809*CHOOSE($C$11796,Assumptions!$C$83,Assumptions!$C$102,Assumptions!$C$121)</f>
        <v>95.3728974</v>
      </c>
      <c r="H11824" s="16" t="n">
        <f aca="false">H11809*CHOOSE($C$11796,Assumptions!$C$83,Assumptions!$C$102,Assumptions!$C$121)</f>
        <v>87.743065608</v>
      </c>
      <c r="I11824" s="16" t="n">
        <f aca="false">I11809*CHOOSE($C$11796,Assumptions!$C$83,Assumptions!$C$102,Assumptions!$C$121)</f>
        <v>80.72362035936</v>
      </c>
      <c r="J11824" s="16" t="n">
        <f aca="false">J11809*CHOOSE($C$11796,Assumptions!$C$83,Assumptions!$C$102,Assumptions!$C$121)</f>
        <v>74.2657307306112</v>
      </c>
      <c r="K11824" s="16" t="n">
        <f aca="false">K11809*CHOOSE($C$11796,Assumptions!$C$83,Assumptions!$C$102,Assumptions!$C$121)</f>
        <v>68.3244722721623</v>
      </c>
    </row>
    <row r="11825" customFormat="false" ht="15" hidden="false" customHeight="false" outlineLevel="0" collapsed="false">
      <c r="A11825" s="3" t="s">
        <v>315</v>
      </c>
      <c r="G11825" s="16" t="n">
        <f aca="false">CHOOSE($C$11796,Assumptions!$C$84,Assumptions!$C$103,Assumptions!$C$122)*(G11809-F11809)+CHOOSE($C$11796,Assumptions!$C$85,Assumptions!$C$104,Assumptions!$C$123)*G11809</f>
        <v>47.6864487</v>
      </c>
      <c r="H11825" s="16" t="n">
        <f aca="false">CHOOSE($C$11796,Assumptions!$C$84,Assumptions!$C$103,Assumptions!$C$122)*(H11809-G11809)+CHOOSE($C$11796,Assumptions!$C$85,Assumptions!$C$104,Assumptions!$C$123)*H11809</f>
        <v>43.871532804</v>
      </c>
      <c r="I11825" s="16" t="n">
        <f aca="false">CHOOSE($C$11796,Assumptions!$C$84,Assumptions!$C$103,Assumptions!$C$122)*(I11809-H11809)+CHOOSE($C$11796,Assumptions!$C$85,Assumptions!$C$104,Assumptions!$C$123)*I11809</f>
        <v>40.36181017968</v>
      </c>
      <c r="J11825" s="16" t="n">
        <f aca="false">CHOOSE($C$11796,Assumptions!$C$84,Assumptions!$C$103,Assumptions!$C$122)*(J11809-I11809)+CHOOSE($C$11796,Assumptions!$C$85,Assumptions!$C$104,Assumptions!$C$123)*J11809</f>
        <v>37.1328653653056</v>
      </c>
      <c r="K11825" s="16" t="n">
        <f aca="false">CHOOSE($C$11796,Assumptions!$C$84,Assumptions!$C$103,Assumptions!$C$122)*(K11809-J11809)+CHOOSE($C$11796,Assumptions!$C$85,Assumptions!$C$104,Assumptions!$C$123)*K11809</f>
        <v>34.1622361360812</v>
      </c>
    </row>
    <row r="11826" customFormat="false" ht="15" hidden="false" customHeight="false" outlineLevel="0" collapsed="false">
      <c r="A11826" s="2" t="s">
        <v>316</v>
      </c>
      <c r="G11826" s="17" t="n">
        <f aca="false">G11822+G11814+G11815+G11818-G11824-G11825</f>
        <v>-93.5070514</v>
      </c>
      <c r="H11826" s="17" t="n">
        <f aca="false">H11822+H11814+H11815+H11818-H11824-H11825</f>
        <v>-98.1688507708</v>
      </c>
      <c r="I11826" s="17" t="n">
        <f aca="false">I11822+I11814+I11815+I11818-I11824-I11825</f>
        <v>-100.499915835619</v>
      </c>
      <c r="J11826" s="17" t="n">
        <f aca="false">J11822+J11814+J11815+J11818-J11824-J11825</f>
        <v>-105.521705844987</v>
      </c>
      <c r="K11826" s="17" t="n">
        <f aca="false">K11822+K11814+K11815+K11818-K11824-K11825</f>
        <v>-110.167764094137</v>
      </c>
    </row>
    <row r="11828" customFormat="false" ht="15" hidden="false" customHeight="false" outlineLevel="0" collapsed="false">
      <c r="A11828" s="24" t="s">
        <v>318</v>
      </c>
      <c r="B11828" s="25"/>
      <c r="C11828" s="25"/>
      <c r="D11828" s="25"/>
      <c r="E11828" s="25"/>
      <c r="F11828" s="25"/>
      <c r="G11828" s="25"/>
      <c r="H11828" s="25"/>
      <c r="I11828" s="25"/>
      <c r="J11828" s="25"/>
      <c r="K11828" s="25"/>
    </row>
    <row r="11829" customFormat="false" ht="15" hidden="false" customHeight="false" outlineLevel="0" collapsed="false">
      <c r="A11829" s="3" t="s">
        <v>319</v>
      </c>
      <c r="G11829" s="30" t="n">
        <f aca="false">Assumptions!$G$53</f>
        <v>0.039</v>
      </c>
      <c r="H11829" s="30" t="n">
        <f aca="false">Assumptions!$H$53</f>
        <v>0.0375</v>
      </c>
      <c r="I11829" s="30" t="n">
        <f aca="false">Assumptions!$I$53</f>
        <v>0.035</v>
      </c>
      <c r="J11829" s="30" t="n">
        <f aca="false">Assumptions!$J$53</f>
        <v>0.035</v>
      </c>
      <c r="K11829" s="30" t="n">
        <f aca="false">Assumptions!$K$53</f>
        <v>0.035</v>
      </c>
    </row>
    <row r="11830" customFormat="false" ht="15" hidden="false" customHeight="false" outlineLevel="0" collapsed="false">
      <c r="A11830" s="3" t="s">
        <v>320</v>
      </c>
      <c r="C11830" s="31" t="n">
        <f aca="false">CHOOSE($C$11796,Assumptions!$C$86,Assumptions!$C$105,Assumptions!$C$124)+$C$11799</f>
        <v>0</v>
      </c>
    </row>
    <row r="11831" customFormat="false" ht="15" hidden="false" customHeight="false" outlineLevel="0" collapsed="false">
      <c r="A11831" s="3" t="s">
        <v>321</v>
      </c>
      <c r="C11831" s="31" t="n">
        <f aca="false">CHOOSE($C$11796,Assumptions!$C$87,Assumptions!$C$106,Assumptions!$C$125)</f>
        <v>0.08</v>
      </c>
    </row>
    <row r="11832" customFormat="false" ht="15" hidden="false" customHeight="false" outlineLevel="0" collapsed="false">
      <c r="A11832" s="3" t="s">
        <v>322</v>
      </c>
      <c r="C11832" s="32" t="n">
        <f aca="false">CHOOSE($C$11796,Assumptions!$C$88,Assumptions!$C$107,Assumptions!$C$126)</f>
        <v>11</v>
      </c>
    </row>
    <row r="11833" customFormat="false" ht="15" hidden="false" customHeight="false" outlineLevel="0" collapsed="false">
      <c r="A11833" s="3" t="s">
        <v>323</v>
      </c>
      <c r="C11833" s="32" t="n">
        <f aca="false">CHOOSE($C$11796,Assumptions!$C$89,Assumptions!$C$108,Assumptions!$C$127)</f>
        <v>1.2</v>
      </c>
    </row>
    <row r="11834" customFormat="false" ht="15" hidden="false" customHeight="false" outlineLevel="0" collapsed="false">
      <c r="A11834" s="3" t="s">
        <v>324</v>
      </c>
      <c r="G11834" s="16" t="n">
        <f aca="false">G11839+G11852+G11865+G11878+G11891+G11904+G11917+G11930+G11943+G11956</f>
        <v>2625.934</v>
      </c>
      <c r="H11834" s="16" t="n">
        <f aca="false">H11839+H11852+H11865+H11878+H11891+H11904+H11917+H11930+H11943+H11956</f>
        <v>2621.934</v>
      </c>
      <c r="I11834" s="16" t="n">
        <f aca="false">I11839+I11852+I11865+I11878+I11891+I11904+I11917+I11930+I11943+I11956</f>
        <v>2579.7399021708</v>
      </c>
      <c r="J11834" s="16" t="n">
        <f aca="false">J11839+J11852+J11865+J11878+J11891+J11904+J11917+J11930+J11943+J11956</f>
        <v>2575.7399021708</v>
      </c>
      <c r="K11834" s="16" t="n">
        <f aca="false">K11839+K11852+K11865+K11878+K11891+K11904+K11917+K11930+K11943+K11956</f>
        <v>2571.7399021708</v>
      </c>
    </row>
    <row r="11835" customFormat="false" ht="15" hidden="false" customHeight="false" outlineLevel="0" collapsed="false">
      <c r="A11835" s="3" t="s">
        <v>325</v>
      </c>
      <c r="G11835" s="16" t="n">
        <f aca="false">F12027</f>
        <v>37.87</v>
      </c>
      <c r="H11835" s="16" t="n">
        <f aca="false">G12027</f>
        <v>140.3629486</v>
      </c>
      <c r="I11835" s="16" t="n">
        <f aca="false">H12027</f>
        <v>0</v>
      </c>
      <c r="J11835" s="16" t="n">
        <f aca="false">I12027</f>
        <v>-104.499915835619</v>
      </c>
      <c r="K11835" s="16" t="n">
        <f aca="false">J12027</f>
        <v>-214.021621680605</v>
      </c>
    </row>
    <row r="11836" customFormat="false" ht="15" hidden="false" customHeight="false" outlineLevel="0" collapsed="false">
      <c r="A11836" s="3" t="s">
        <v>326</v>
      </c>
      <c r="G11836" s="16" t="n">
        <f aca="false">G11839*IF(G11840=1,$C$11831,IF(Assumptions!$I$57=1,MAX(G11829,Assumptions!$G$57)+Assumptions!$F$57+$C$11830,Assumptions!$E$57))+G11852*IF(G11853=1,$C$11831,IF(Assumptions!$I$58=1,MAX(G11829,Assumptions!$G$58)+Assumptions!$F$58+$C$11830,Assumptions!$E$58))+G11865*IF(G11866=1,$C$11831,IF(Assumptions!$I$59=1,MAX(G11829,Assumptions!$G$59)+Assumptions!$F$59+$C$11830,Assumptions!$E$59))+G11878*IF(G11879=1,$C$11831,IF(Assumptions!$I$60=1,MAX(G11829,Assumptions!$G$60)+Assumptions!$F$60+$C$11830,Assumptions!$E$60))+G11891*IF(G11892=1,$C$11831,IF(Assumptions!$I$61=1,MAX(G11829,Assumptions!$G$61)+Assumptions!$F$61+$C$11830,Assumptions!$E$61))+G11904*IF(G11905=1,$C$11831,IF(Assumptions!$I$62=1,MAX(G11829,Assumptions!$G$62)+Assumptions!$F$62+$C$11830,Assumptions!$E$62))+G11917*IF(G11918=1,$C$11831,IF(Assumptions!$I$63=1,MAX(G11829,Assumptions!$G$63)+Assumptions!$F$63+$C$11830,Assumptions!$E$63))+G11930*IF(G11931=1,$C$11831,IF(Assumptions!$I$64=1,MAX(G11829,Assumptions!$G$64)+Assumptions!$F$64+$C$11830,Assumptions!$E$64))+G11943*IF(G11944=1,$C$11831,IF(Assumptions!$I$65=1,MAX(G11829,Assumptions!$G$65)+Assumptions!$F$65+$C$11830,Assumptions!$E$65))+G11956*IF(G11957=1,$C$11831,IF(Assumptions!$I$66=1,MAX(G11829,Assumptions!$G$66)+Assumptions!$F$66+$C$11830,Assumptions!$E$66))</f>
        <v>180.2096854</v>
      </c>
      <c r="H11836" s="16" t="n">
        <f aca="false">H11839*IF(OR(H11840=1,G12149=1),$C$11831,IF(Assumptions!$I$57=1,MAX(H11829,Assumptions!$G$57)+Assumptions!$F$57+$C$11830,Assumptions!$E$57))+H11852*IF(OR(H11853=1,G12150=1),$C$11831,IF(Assumptions!$I$58=1,MAX(H11829,Assumptions!$G$58)+Assumptions!$F$58+$C$11830,Assumptions!$E$58))+H11865*IF(OR(H11866=1,G12151=1),$C$11831,IF(Assumptions!$I$59=1,MAX(H11829,Assumptions!$G$59)+Assumptions!$F$59+$C$11830,Assumptions!$E$59))+H11878*IF(OR(H11879=1,G12152=1),$C$11831,IF(Assumptions!$I$60=1,MAX(H11829,Assumptions!$G$60)+Assumptions!$F$60+$C$11830,Assumptions!$E$60))+H11891*IF(OR(H11892=1,G12153=1),$C$11831,IF(Assumptions!$I$61=1,MAX(H11829,Assumptions!$G$61)+Assumptions!$F$61+$C$11830,Assumptions!$E$61))+H11904*IF(OR(H11905=1,G12154=1),$C$11831,IF(Assumptions!$I$62=1,MAX(H11829,Assumptions!$G$62)+Assumptions!$F$62+$C$11830,Assumptions!$E$62))+H11917*IF(OR(H11918=1,G12155=1),$C$11831,IF(Assumptions!$I$63=1,MAX(H11829,Assumptions!$G$63)+Assumptions!$F$63+$C$11830,Assumptions!$E$63))+H11930*IF(OR(H11931=1,G12156=1),$C$11831,IF(Assumptions!$I$64=1,MAX(H11829,Assumptions!$G$64)+Assumptions!$F$64+$C$11830,Assumptions!$E$64))+H11943*IF(OR(H11944=1,G12157=1),$C$11831,IF(Assumptions!$I$65=1,MAX(H11829,Assumptions!$G$65)+Assumptions!$F$65+$C$11830,Assumptions!$E$65))+H11956*IF(OR(H11957=1,G12158=1),$C$11831,IF(Assumptions!$I$66=1,MAX(H11829,Assumptions!$G$66)+Assumptions!$F$66+$C$11830,Assumptions!$E$66))</f>
        <v>196.3067704</v>
      </c>
      <c r="I11836" s="16" t="n">
        <f aca="false">I11839*IF(OR(I11840=1,H12149=1),$C$11831,IF(Assumptions!$I$57=1,MAX(I11829,Assumptions!$G$57)+Assumptions!$F$57+$C$11830,Assumptions!$E$57))+I11852*IF(OR(I11853=1,H12150=1),$C$11831,IF(Assumptions!$I$58=1,MAX(I11829,Assumptions!$G$58)+Assumptions!$F$58+$C$11830,Assumptions!$E$58))+I11865*IF(OR(I11866=1,H12151=1),$C$11831,IF(Assumptions!$I$59=1,MAX(I11829,Assumptions!$G$59)+Assumptions!$F$59+$C$11830,Assumptions!$E$59))+I11878*IF(OR(I11879=1,H12152=1),$C$11831,IF(Assumptions!$I$60=1,MAX(I11829,Assumptions!$G$60)+Assumptions!$F$60+$C$11830,Assumptions!$E$60))+I11891*IF(OR(I11892=1,H12153=1),$C$11831,IF(Assumptions!$I$61=1,MAX(I11829,Assumptions!$G$61)+Assumptions!$F$61+$C$11830,Assumptions!$E$61))+I11904*IF(OR(I11905=1,H12154=1),$C$11831,IF(Assumptions!$I$62=1,MAX(I11829,Assumptions!$G$62)+Assumptions!$F$62+$C$11830,Assumptions!$E$62))+I11917*IF(OR(I11918=1,H12155=1),$C$11831,IF(Assumptions!$I$63=1,MAX(I11829,Assumptions!$G$63)+Assumptions!$F$63+$C$11830,Assumptions!$E$63))+I11930*IF(OR(I11931=1,H12156=1),$C$11831,IF(Assumptions!$I$64=1,MAX(I11829,Assumptions!$G$64)+Assumptions!$F$64+$C$11830,Assumptions!$E$64))+I11943*IF(OR(I11944=1,H12157=1),$C$11831,IF(Assumptions!$I$65=1,MAX(I11829,Assumptions!$G$65)+Assumptions!$F$65+$C$11830,Assumptions!$E$65))+I11956*IF(OR(I11957=1,H12158=1),$C$11831,IF(Assumptions!$I$66=1,MAX(I11829,Assumptions!$G$66)+Assumptions!$F$66+$C$11830,Assumptions!$E$66))</f>
        <v>171.274078535747</v>
      </c>
      <c r="J11836" s="16" t="n">
        <f aca="false">J11839*IF(OR(J11840=1,I12149=1),$C$11831,IF(Assumptions!$I$57=1,MAX(J11829,Assumptions!$G$57)+Assumptions!$F$57+$C$11830,Assumptions!$E$57))+J11852*IF(OR(J11853=1,I12150=1),$C$11831,IF(Assumptions!$I$58=1,MAX(J11829,Assumptions!$G$58)+Assumptions!$F$58+$C$11830,Assumptions!$E$58))+J11865*IF(OR(J11866=1,I12151=1),$C$11831,IF(Assumptions!$I$59=1,MAX(J11829,Assumptions!$G$59)+Assumptions!$F$59+$C$11830,Assumptions!$E$59))+J11878*IF(OR(J11879=1,I12152=1),$C$11831,IF(Assumptions!$I$60=1,MAX(J11829,Assumptions!$G$60)+Assumptions!$F$60+$C$11830,Assumptions!$E$60))+J11891*IF(OR(J11892=1,I12153=1),$C$11831,IF(Assumptions!$I$61=1,MAX(J11829,Assumptions!$G$61)+Assumptions!$F$61+$C$11830,Assumptions!$E$61))+J11904*IF(OR(J11905=1,I12154=1),$C$11831,IF(Assumptions!$I$62=1,MAX(J11829,Assumptions!$G$62)+Assumptions!$F$62+$C$11830,Assumptions!$E$62))+J11917*IF(OR(J11918=1,I12155=1),$C$11831,IF(Assumptions!$I$63=1,MAX(J11829,Assumptions!$G$63)+Assumptions!$F$63+$C$11830,Assumptions!$E$63))+J11930*IF(OR(J11931=1,I12156=1),$C$11831,IF(Assumptions!$I$64=1,MAX(J11829,Assumptions!$G$64)+Assumptions!$F$64+$C$11830,Assumptions!$E$64))+J11943*IF(OR(J11944=1,I12157=1),$C$11831,IF(Assumptions!$I$65=1,MAX(J11829,Assumptions!$G$65)+Assumptions!$F$65+$C$11830,Assumptions!$E$65))+J11956*IF(OR(J11957=1,I12158=1),$C$11831,IF(Assumptions!$I$66=1,MAX(J11829,Assumptions!$G$66)+Assumptions!$F$66+$C$11830,Assumptions!$E$66))</f>
        <v>187.811578535747</v>
      </c>
      <c r="K11836" s="16" t="n">
        <f aca="false">K11839*IF(OR(K11840=1,J12149=1),$C$11831,IF(Assumptions!$I$57=1,MAX(K11829,Assumptions!$G$57)+Assumptions!$F$57+$C$11830,Assumptions!$E$57))+K11852*IF(OR(K11853=1,J12150=1),$C$11831,IF(Assumptions!$I$58=1,MAX(K11829,Assumptions!$G$58)+Assumptions!$F$58+$C$11830,Assumptions!$E$58))+K11865*IF(OR(K11866=1,J12151=1),$C$11831,IF(Assumptions!$I$59=1,MAX(K11829,Assumptions!$G$59)+Assumptions!$F$59+$C$11830,Assumptions!$E$59))+K11878*IF(OR(K11879=1,J12152=1),$C$11831,IF(Assumptions!$I$60=1,MAX(K11829,Assumptions!$G$60)+Assumptions!$F$60+$C$11830,Assumptions!$E$60))+K11891*IF(OR(K11892=1,J12153=1),$C$11831,IF(Assumptions!$I$61=1,MAX(K11829,Assumptions!$G$61)+Assumptions!$F$61+$C$11830,Assumptions!$E$61))+K11904*IF(OR(K11905=1,J12154=1),$C$11831,IF(Assumptions!$I$62=1,MAX(K11829,Assumptions!$G$62)+Assumptions!$F$62+$C$11830,Assumptions!$E$62))+K11917*IF(OR(K11918=1,J12155=1),$C$11831,IF(Assumptions!$I$63=1,MAX(K11829,Assumptions!$G$63)+Assumptions!$F$63+$C$11830,Assumptions!$E$63))+K11930*IF(OR(K11931=1,J12156=1),$C$11831,IF(Assumptions!$I$64=1,MAX(K11829,Assumptions!$G$64)+Assumptions!$F$64+$C$11830,Assumptions!$E$64))+K11943*IF(OR(K11944=1,J12157=1),$C$11831,IF(Assumptions!$I$65=1,MAX(K11829,Assumptions!$G$65)+Assumptions!$F$65+$C$11830,Assumptions!$E$65))+K11956*IF(OR(K11957=1,J12158=1),$C$11831,IF(Assumptions!$I$66=1,MAX(K11829,Assumptions!$G$66)+Assumptions!$F$66+$C$11830,Assumptions!$E$66))</f>
        <v>178.131578535747</v>
      </c>
    </row>
    <row r="11837" customFormat="false" ht="15" hidden="false" customHeight="false" outlineLevel="0" collapsed="false">
      <c r="A11837" s="3" t="s">
        <v>327</v>
      </c>
      <c r="G11837" s="21" t="n">
        <f aca="false">IF(G11813&lt;=0,0,IF(AND((G11834-G11835)/G11813&lt;=$C$11832,G11813/G11836&gt;=$C$11833),1,0))</f>
        <v>0</v>
      </c>
      <c r="H11837" s="21" t="n">
        <f aca="false">IF(H11813&lt;=0,0,IF(AND((H11834-H11835)/H11813&lt;=$C$11832,H11813/H11836&gt;=$C$11833),1,0))</f>
        <v>0</v>
      </c>
      <c r="I11837" s="21" t="n">
        <f aca="false">IF(I11813&lt;=0,0,IF(AND((I11834-I11835)/I11813&lt;=$C$11832,I11813/I11836&gt;=$C$11833),1,0))</f>
        <v>0</v>
      </c>
      <c r="J11837" s="21" t="n">
        <f aca="false">IF(J11813&lt;=0,0,IF(AND((J11834-J11835)/J11813&lt;=$C$11832,J11813/J11836&gt;=$C$11833),1,0))</f>
        <v>0</v>
      </c>
      <c r="K11837" s="21" t="n">
        <f aca="false">IF(K11813&lt;=0,0,IF(AND((K11834-K11835)/K11813&lt;=$C$11832,K11813/K11836&gt;=$C$11833),1,0))</f>
        <v>0</v>
      </c>
    </row>
    <row r="11838" customFormat="false" ht="15" hidden="false" customHeight="false" outlineLevel="0" collapsed="false">
      <c r="A11838" s="24" t="s">
        <v>328</v>
      </c>
      <c r="B11838" s="25"/>
      <c r="C11838" s="25"/>
      <c r="D11838" s="25"/>
      <c r="E11838" s="25"/>
      <c r="F11838" s="25"/>
      <c r="G11838" s="25"/>
      <c r="H11838" s="25"/>
      <c r="I11838" s="25"/>
      <c r="J11838" s="25"/>
      <c r="K11838" s="25"/>
    </row>
    <row r="11839" customFormat="false" ht="15" hidden="false" customHeight="false" outlineLevel="0" collapsed="false">
      <c r="A11839" s="3" t="s">
        <v>329</v>
      </c>
      <c r="G11839" s="16" t="n">
        <f aca="false">F11850</f>
        <v>400</v>
      </c>
      <c r="H11839" s="16" t="n">
        <f aca="false">G11850</f>
        <v>396</v>
      </c>
      <c r="I11839" s="16" t="n">
        <f aca="false">H11850</f>
        <v>392</v>
      </c>
      <c r="J11839" s="16" t="n">
        <f aca="false">I11850</f>
        <v>388</v>
      </c>
      <c r="K11839" s="16" t="n">
        <f aca="false">J11850</f>
        <v>384</v>
      </c>
    </row>
    <row r="11840" customFormat="false" ht="15" hidden="false" customHeight="false" outlineLevel="0" collapsed="false">
      <c r="A11840" s="3" t="s">
        <v>330</v>
      </c>
      <c r="G11840" s="21" t="n">
        <f aca="false">IF(G11803=Assumptions!$K$57,1,0)</f>
        <v>0</v>
      </c>
      <c r="H11840" s="21" t="n">
        <f aca="false">IF(H11803=Assumptions!$K$57,1,0)</f>
        <v>0</v>
      </c>
      <c r="I11840" s="21" t="n">
        <f aca="false">IF(I11803=Assumptions!$K$57,1,0)</f>
        <v>0</v>
      </c>
      <c r="J11840" s="21" t="n">
        <f aca="false">IF(J11803=Assumptions!$K$57,1,0)</f>
        <v>0</v>
      </c>
      <c r="K11840" s="21" t="n">
        <f aca="false">IF(K11803=Assumptions!$K$57,1,0)</f>
        <v>1</v>
      </c>
    </row>
    <row r="11842" customFormat="false" ht="15" hidden="false" customHeight="false" outlineLevel="0" collapsed="false">
      <c r="A11842" s="3" t="s">
        <v>331</v>
      </c>
      <c r="G11842" s="31" t="n">
        <f aca="false">IF(Assumptions!$I$57=1,MAX(G11829,Assumptions!$G$57)+Assumptions!$F$57+$C$11830,Assumptions!$E$57)</f>
        <v>0.0915</v>
      </c>
      <c r="H11842" s="31" t="n">
        <f aca="false">IF(G12149=1,$C$11831,IF(Assumptions!$I$57=1,MAX(H11829,Assumptions!$G$57)+Assumptions!$F$57+$C$11830,Assumptions!$E$57))</f>
        <v>0.09</v>
      </c>
      <c r="I11842" s="31" t="n">
        <f aca="false">IF(H12149=1,$C$11831,IF(Assumptions!$I$57=1,MAX(I11829,Assumptions!$G$57)+Assumptions!$F$57+$C$11830,Assumptions!$E$57))</f>
        <v>0.0875</v>
      </c>
      <c r="J11842" s="31" t="n">
        <f aca="false">IF(I12149=1,$C$11831,IF(Assumptions!$I$57=1,MAX(J11829,Assumptions!$G$57)+Assumptions!$F$57+$C$11830,Assumptions!$E$57))</f>
        <v>0.0875</v>
      </c>
      <c r="K11842" s="31" t="n">
        <f aca="false">IF(J12149=1,$C$11831,IF(Assumptions!$I$57=1,MAX(K11829,Assumptions!$G$57)+Assumptions!$F$57+$C$11830,Assumptions!$E$57))</f>
        <v>0.0875</v>
      </c>
    </row>
    <row r="11843" customFormat="false" ht="15" hidden="false" customHeight="false" outlineLevel="0" collapsed="false">
      <c r="A11843" s="3" t="s">
        <v>332</v>
      </c>
      <c r="G11843" s="16" t="n">
        <f aca="false">G11839*G11842</f>
        <v>36.6</v>
      </c>
      <c r="H11843" s="16" t="n">
        <f aca="false">H11839*H11842</f>
        <v>35.64</v>
      </c>
      <c r="I11843" s="16" t="n">
        <f aca="false">I11839*I11842</f>
        <v>34.3</v>
      </c>
      <c r="J11843" s="16" t="n">
        <f aca="false">J11839*J11842</f>
        <v>33.95</v>
      </c>
      <c r="K11843" s="16" t="n">
        <f aca="false">K11839*K11842</f>
        <v>33.6</v>
      </c>
    </row>
    <row r="11844" customFormat="false" ht="15" hidden="false" customHeight="false" outlineLevel="0" collapsed="false">
      <c r="A11844" s="3" t="s">
        <v>333</v>
      </c>
      <c r="G11844" s="16" t="n">
        <f aca="false">G11839*Assumptions!$H$57</f>
        <v>0</v>
      </c>
      <c r="H11844" s="16" t="n">
        <f aca="false">H11839*Assumptions!$H$57</f>
        <v>0</v>
      </c>
      <c r="I11844" s="16" t="n">
        <f aca="false">I11839*Assumptions!$H$57</f>
        <v>0</v>
      </c>
      <c r="J11844" s="16" t="n">
        <f aca="false">J11839*Assumptions!$H$57</f>
        <v>0</v>
      </c>
      <c r="K11844" s="16" t="n">
        <f aca="false">K11839*Assumptions!$H$57</f>
        <v>0</v>
      </c>
    </row>
    <row r="11845" customFormat="false" ht="15" hidden="false" customHeight="false" outlineLevel="0" collapsed="false">
      <c r="A11845" s="3" t="s">
        <v>334</v>
      </c>
      <c r="G11845" s="16" t="n">
        <f aca="false">MIN(G11839,Assumptions!$L$57*Assumptions!$C$57)</f>
        <v>4</v>
      </c>
      <c r="H11845" s="16" t="n">
        <f aca="false">MIN(H11839,Assumptions!$L$57*Assumptions!$C$57)</f>
        <v>4</v>
      </c>
      <c r="I11845" s="16" t="n">
        <f aca="false">MIN(I11839,Assumptions!$L$57*Assumptions!$C$57)</f>
        <v>4</v>
      </c>
      <c r="J11845" s="16" t="n">
        <f aca="false">MIN(J11839,Assumptions!$L$57*Assumptions!$C$57)</f>
        <v>4</v>
      </c>
      <c r="K11845" s="16" t="n">
        <f aca="false">MIN(K11839,Assumptions!$L$57*Assumptions!$C$57)</f>
        <v>4</v>
      </c>
    </row>
    <row r="11846" customFormat="false" ht="15" hidden="false" customHeight="false" outlineLevel="0" collapsed="false">
      <c r="A11846" s="3" t="s">
        <v>335</v>
      </c>
      <c r="G11846" s="16" t="n">
        <f aca="false">IF(AND(Assumptions!$P$57=1,G11803&lt;Assumptions!$K$57),MIN(MAX(0,-G12019),MAX(0,Assumptions!$D$57-G11839)),0)</f>
        <v>0</v>
      </c>
      <c r="H11846" s="16" t="n">
        <f aca="false">IF(AND(Assumptions!$P$57=1,OR(H11803&lt;Assumptions!$K$57,G12149=1)),MIN(MAX(0,-H12019),MAX(0,Assumptions!$D$57-H11839)),0)</f>
        <v>0</v>
      </c>
      <c r="I11846" s="16" t="n">
        <f aca="false">IF(AND(Assumptions!$P$57=1,OR(I11803&lt;Assumptions!$K$57,H12149=1)),MIN(MAX(0,-I12019),MAX(0,Assumptions!$D$57-I11839)),0)</f>
        <v>0</v>
      </c>
      <c r="J11846" s="16" t="n">
        <f aca="false">IF(AND(Assumptions!$P$57=1,OR(J11803&lt;Assumptions!$K$57,I12149=1)),MIN(MAX(0,-J12019),MAX(0,Assumptions!$D$57-J11839)),0)</f>
        <v>0</v>
      </c>
      <c r="K11846" s="16" t="n">
        <f aca="false">IF(AND(Assumptions!$P$57=1,OR(K11803&lt;Assumptions!$K$57,J12149=1)),MIN(MAX(0,-K12019),MAX(0,Assumptions!$D$57-K11839)),0)</f>
        <v>0</v>
      </c>
    </row>
    <row r="11847" customFormat="false" ht="15" hidden="false" customHeight="false" outlineLevel="0" collapsed="false">
      <c r="A11847" s="3" t="s">
        <v>336</v>
      </c>
      <c r="G11847" s="16" t="n">
        <f aca="false">G11840*MIN(G11839-G11845+G11844,MAX(0,G12021-Assumptions!$C$12*G11837))</f>
        <v>0</v>
      </c>
      <c r="H11847" s="16" t="n">
        <f aca="false">H11840*MIN(H11839-H11845+H11844,MAX(0,H12021-Assumptions!$C$12*H11837))</f>
        <v>0</v>
      </c>
      <c r="I11847" s="16" t="n">
        <f aca="false">I11840*MIN(I11839-I11845+I11844,MAX(0,I12021-Assumptions!$C$12*I11837))</f>
        <v>0</v>
      </c>
      <c r="J11847" s="16" t="n">
        <f aca="false">J11840*MIN(J11839-J11845+J11844,MAX(0,J12021-Assumptions!$C$12*J11837))</f>
        <v>0</v>
      </c>
      <c r="K11847" s="16" t="n">
        <f aca="false">K11840*MIN(K11839-K11845+K11844,MAX(0,K12021-Assumptions!$C$12*K11837))</f>
        <v>0</v>
      </c>
    </row>
    <row r="11848" customFormat="false" ht="15" hidden="false" customHeight="false" outlineLevel="0" collapsed="false">
      <c r="A11848" s="3" t="s">
        <v>337</v>
      </c>
      <c r="G11848" s="16" t="n">
        <f aca="false">Assumptions!$N$57*MIN(G11839+G11846+G11844-G11845-G11847,MAX(0,G12025))</f>
        <v>0</v>
      </c>
      <c r="H11848" s="16" t="n">
        <f aca="false">Assumptions!$N$57*MIN(H11839+H11846+H11844-H11845-H11847,MAX(0,H12025))</f>
        <v>0</v>
      </c>
      <c r="I11848" s="16" t="n">
        <f aca="false">Assumptions!$N$57*MIN(I11839+I11846+I11844-I11845-I11847,MAX(0,I12025))</f>
        <v>0</v>
      </c>
      <c r="J11848" s="16" t="n">
        <f aca="false">Assumptions!$N$57*MIN(J11839+J11846+J11844-J11845-J11847,MAX(0,J12025))</f>
        <v>0</v>
      </c>
      <c r="K11848" s="16" t="n">
        <f aca="false">Assumptions!$N$57*MIN(K11839+K11846+K11844-K11845-K11847,MAX(0,K12025))</f>
        <v>0</v>
      </c>
    </row>
    <row r="11849" customFormat="false" ht="15" hidden="false" customHeight="false" outlineLevel="0" collapsed="false">
      <c r="A11849" s="3" t="s">
        <v>338</v>
      </c>
      <c r="G11849" s="16" t="n">
        <f aca="false">G11840*(1-G11837)*(G11839-G11845+G11844-G11847)</f>
        <v>0</v>
      </c>
      <c r="H11849" s="16" t="n">
        <f aca="false">H11840*(1-H11837)*(H11839-H11845+H11844-H11847)</f>
        <v>0</v>
      </c>
      <c r="I11849" s="16" t="n">
        <f aca="false">I11840*(1-I11837)*(I11839-I11845+I11844-I11847)</f>
        <v>0</v>
      </c>
      <c r="J11849" s="16" t="n">
        <f aca="false">J11840*(1-J11837)*(J11839-J11845+J11844-J11847)</f>
        <v>0</v>
      </c>
      <c r="K11849" s="16" t="n">
        <f aca="false">K11840*(1-K11837)*(K11839-K11845+K11844-K11847)</f>
        <v>380</v>
      </c>
    </row>
    <row r="11850" customFormat="false" ht="15" hidden="false" customHeight="false" outlineLevel="0" collapsed="false">
      <c r="A11850" s="2" t="s">
        <v>339</v>
      </c>
      <c r="F11850" s="28" t="n">
        <f aca="false">Assumptions!$C$57</f>
        <v>400</v>
      </c>
      <c r="G11850" s="17" t="n">
        <f aca="false">G11839+G11846+G11844-G11845-G11847-G11848</f>
        <v>396</v>
      </c>
      <c r="H11850" s="17" t="n">
        <f aca="false">H11839+H11846+H11844-H11845-H11847-H11848</f>
        <v>392</v>
      </c>
      <c r="I11850" s="17" t="n">
        <f aca="false">I11839+I11846+I11844-I11845-I11847-I11848</f>
        <v>388</v>
      </c>
      <c r="J11850" s="17" t="n">
        <f aca="false">J11839+J11846+J11844-J11845-J11847-J11848</f>
        <v>384</v>
      </c>
      <c r="K11850" s="17" t="n">
        <f aca="false">K11839+K11846+K11844-K11845-K11847-K11848</f>
        <v>380</v>
      </c>
    </row>
    <row r="11851" customFormat="false" ht="15" hidden="false" customHeight="false" outlineLevel="0" collapsed="false">
      <c r="A11851" s="24" t="s">
        <v>340</v>
      </c>
      <c r="B11851" s="25"/>
      <c r="C11851" s="25"/>
      <c r="D11851" s="25"/>
      <c r="E11851" s="25"/>
      <c r="F11851" s="25"/>
      <c r="G11851" s="25"/>
      <c r="H11851" s="25"/>
      <c r="I11851" s="25"/>
      <c r="J11851" s="25"/>
      <c r="K11851" s="25"/>
    </row>
    <row r="11852" customFormat="false" ht="15" hidden="false" customHeight="false" outlineLevel="0" collapsed="false">
      <c r="A11852" s="3" t="s">
        <v>329</v>
      </c>
      <c r="G11852" s="16" t="n">
        <f aca="false">F11863</f>
        <v>90</v>
      </c>
      <c r="H11852" s="16" t="n">
        <f aca="false">G11863</f>
        <v>90</v>
      </c>
      <c r="I11852" s="16" t="n">
        <f aca="false">H11863</f>
        <v>90</v>
      </c>
      <c r="J11852" s="16" t="n">
        <f aca="false">I11863</f>
        <v>90</v>
      </c>
      <c r="K11852" s="16" t="n">
        <f aca="false">J11863</f>
        <v>90</v>
      </c>
    </row>
    <row r="11853" customFormat="false" ht="15" hidden="false" customHeight="false" outlineLevel="0" collapsed="false">
      <c r="A11853" s="3" t="s">
        <v>330</v>
      </c>
      <c r="G11853" s="21" t="n">
        <f aca="false">IF(G11803=Assumptions!$K$58,1,0)</f>
        <v>0</v>
      </c>
      <c r="H11853" s="21" t="n">
        <f aca="false">IF(H11803=Assumptions!$K$58,1,0)</f>
        <v>0</v>
      </c>
      <c r="I11853" s="21" t="n">
        <f aca="false">IF(I11803=Assumptions!$K$58,1,0)</f>
        <v>0</v>
      </c>
      <c r="J11853" s="21" t="n">
        <f aca="false">IF(J11803=Assumptions!$K$58,1,0)</f>
        <v>0</v>
      </c>
      <c r="K11853" s="21" t="n">
        <f aca="false">IF(K11803=Assumptions!$K$58,1,0)</f>
        <v>0</v>
      </c>
    </row>
    <row r="11855" customFormat="false" ht="15" hidden="false" customHeight="false" outlineLevel="0" collapsed="false">
      <c r="A11855" s="3" t="s">
        <v>331</v>
      </c>
      <c r="G11855" s="31" t="n">
        <f aca="false">IF(Assumptions!$I$58=1,MAX(G11829,Assumptions!$G$58)+Assumptions!$F$58+$C$11830,Assumptions!$E$58)</f>
        <v>0.0581</v>
      </c>
      <c r="H11855" s="31" t="n">
        <f aca="false">IF(G12150=1,$C$11831,IF(Assumptions!$I$58=1,MAX(H11829,Assumptions!$G$58)+Assumptions!$F$58+$C$11830,Assumptions!$E$58))</f>
        <v>0.0581</v>
      </c>
      <c r="I11855" s="31" t="n">
        <f aca="false">IF(H12150=1,$C$11831,IF(Assumptions!$I$58=1,MAX(I11829,Assumptions!$G$58)+Assumptions!$F$58+$C$11830,Assumptions!$E$58))</f>
        <v>0.0581</v>
      </c>
      <c r="J11855" s="31" t="n">
        <f aca="false">IF(I12150=1,$C$11831,IF(Assumptions!$I$58=1,MAX(J11829,Assumptions!$G$58)+Assumptions!$F$58+$C$11830,Assumptions!$E$58))</f>
        <v>0.0581</v>
      </c>
      <c r="K11855" s="31" t="n">
        <f aca="false">IF(J12150=1,$C$11831,IF(Assumptions!$I$58=1,MAX(K11829,Assumptions!$G$58)+Assumptions!$F$58+$C$11830,Assumptions!$E$58))</f>
        <v>0.0581</v>
      </c>
    </row>
    <row r="11856" customFormat="false" ht="15" hidden="false" customHeight="false" outlineLevel="0" collapsed="false">
      <c r="A11856" s="3" t="s">
        <v>332</v>
      </c>
      <c r="G11856" s="16" t="n">
        <f aca="false">G11852*G11855</f>
        <v>5.229</v>
      </c>
      <c r="H11856" s="16" t="n">
        <f aca="false">H11852*H11855</f>
        <v>5.229</v>
      </c>
      <c r="I11856" s="16" t="n">
        <f aca="false">I11852*I11855</f>
        <v>5.229</v>
      </c>
      <c r="J11856" s="16" t="n">
        <f aca="false">J11852*J11855</f>
        <v>5.229</v>
      </c>
      <c r="K11856" s="16" t="n">
        <f aca="false">K11852*K11855</f>
        <v>5.229</v>
      </c>
    </row>
    <row r="11857" customFormat="false" ht="15" hidden="false" customHeight="false" outlineLevel="0" collapsed="false">
      <c r="A11857" s="3" t="s">
        <v>333</v>
      </c>
      <c r="G11857" s="16" t="n">
        <f aca="false">G11852*Assumptions!$H$58</f>
        <v>0</v>
      </c>
      <c r="H11857" s="16" t="n">
        <f aca="false">H11852*Assumptions!$H$58</f>
        <v>0</v>
      </c>
      <c r="I11857" s="16" t="n">
        <f aca="false">I11852*Assumptions!$H$58</f>
        <v>0</v>
      </c>
      <c r="J11857" s="16" t="n">
        <f aca="false">J11852*Assumptions!$H$58</f>
        <v>0</v>
      </c>
      <c r="K11857" s="16" t="n">
        <f aca="false">K11852*Assumptions!$H$58</f>
        <v>0</v>
      </c>
    </row>
    <row r="11858" customFormat="false" ht="15" hidden="false" customHeight="false" outlineLevel="0" collapsed="false">
      <c r="A11858" s="3" t="s">
        <v>334</v>
      </c>
      <c r="G11858" s="16" t="n">
        <f aca="false">MIN(G11852,Assumptions!$L$58*Assumptions!$C$58)</f>
        <v>0</v>
      </c>
      <c r="H11858" s="16" t="n">
        <f aca="false">MIN(H11852,Assumptions!$L$58*Assumptions!$C$58)</f>
        <v>0</v>
      </c>
      <c r="I11858" s="16" t="n">
        <f aca="false">MIN(I11852,Assumptions!$L$58*Assumptions!$C$58)</f>
        <v>0</v>
      </c>
      <c r="J11858" s="16" t="n">
        <f aca="false">MIN(J11852,Assumptions!$L$58*Assumptions!$C$58)</f>
        <v>0</v>
      </c>
      <c r="K11858" s="16" t="n">
        <f aca="false">MIN(K11852,Assumptions!$L$58*Assumptions!$C$58)</f>
        <v>0</v>
      </c>
    </row>
    <row r="11859" customFormat="false" ht="15" hidden="false" customHeight="false" outlineLevel="0" collapsed="false">
      <c r="A11859" s="3" t="s">
        <v>335</v>
      </c>
      <c r="G11859" s="16" t="n">
        <f aca="false">IF(AND(Assumptions!$P$58=1,G11803&lt;Assumptions!$K$58),MIN(MAX(0,-G12019),MAX(0,Assumptions!$D$58-G11852)),0)</f>
        <v>0</v>
      </c>
      <c r="H11859" s="16" t="n">
        <f aca="false">IF(AND(Assumptions!$P$58=1,OR(H11803&lt;Assumptions!$K$58,G12150=1)),MIN(MAX(0,-H12019),MAX(0,Assumptions!$D$58-H11852)),0)</f>
        <v>0</v>
      </c>
      <c r="I11859" s="16" t="n">
        <f aca="false">IF(AND(Assumptions!$P$58=1,OR(I11803&lt;Assumptions!$K$58,H12150=1)),MIN(MAX(0,-I12019),MAX(0,Assumptions!$D$58-I11852)),0)</f>
        <v>0</v>
      </c>
      <c r="J11859" s="16" t="n">
        <f aca="false">IF(AND(Assumptions!$P$58=1,OR(J11803&lt;Assumptions!$K$58,I12150=1)),MIN(MAX(0,-J12019),MAX(0,Assumptions!$D$58-J11852)),0)</f>
        <v>0</v>
      </c>
      <c r="K11859" s="16" t="n">
        <f aca="false">IF(AND(Assumptions!$P$58=1,OR(K11803&lt;Assumptions!$K$58,J12150=1)),MIN(MAX(0,-K12019),MAX(0,Assumptions!$D$58-K11852)),0)</f>
        <v>0</v>
      </c>
    </row>
    <row r="11860" customFormat="false" ht="15" hidden="false" customHeight="false" outlineLevel="0" collapsed="false">
      <c r="A11860" s="3" t="s">
        <v>336</v>
      </c>
      <c r="G11860" s="16" t="n">
        <f aca="false">G11853*MIN(G11852-G11858+G11857,MAX(0,G12021-Assumptions!$C$12*G11837-G11847))</f>
        <v>0</v>
      </c>
      <c r="H11860" s="16" t="n">
        <f aca="false">H11853*MIN(H11852-H11858+H11857,MAX(0,H12021-Assumptions!$C$12*H11837-H11847))</f>
        <v>0</v>
      </c>
      <c r="I11860" s="16" t="n">
        <f aca="false">I11853*MIN(I11852-I11858+I11857,MAX(0,I12021-Assumptions!$C$12*I11837-I11847))</f>
        <v>0</v>
      </c>
      <c r="J11860" s="16" t="n">
        <f aca="false">J11853*MIN(J11852-J11858+J11857,MAX(0,J12021-Assumptions!$C$12*J11837-J11847))</f>
        <v>0</v>
      </c>
      <c r="K11860" s="16" t="n">
        <f aca="false">K11853*MIN(K11852-K11858+K11857,MAX(0,K12021-Assumptions!$C$12*K11837-K11847))</f>
        <v>0</v>
      </c>
    </row>
    <row r="11861" customFormat="false" ht="15" hidden="false" customHeight="false" outlineLevel="0" collapsed="false">
      <c r="A11861" s="3" t="s">
        <v>337</v>
      </c>
      <c r="G11861" s="16" t="n">
        <f aca="false">Assumptions!$N$58*MIN(G11852+G11859+G11857-G11858-G11860,MAX(0,G12025-G11848))</f>
        <v>0</v>
      </c>
      <c r="H11861" s="16" t="n">
        <f aca="false">Assumptions!$N$58*MIN(H11852+H11859+H11857-H11858-H11860,MAX(0,H12025-H11848))</f>
        <v>0</v>
      </c>
      <c r="I11861" s="16" t="n">
        <f aca="false">Assumptions!$N$58*MIN(I11852+I11859+I11857-I11858-I11860,MAX(0,I12025-I11848))</f>
        <v>0</v>
      </c>
      <c r="J11861" s="16" t="n">
        <f aca="false">Assumptions!$N$58*MIN(J11852+J11859+J11857-J11858-J11860,MAX(0,J12025-J11848))</f>
        <v>0</v>
      </c>
      <c r="K11861" s="16" t="n">
        <f aca="false">Assumptions!$N$58*MIN(K11852+K11859+K11857-K11858-K11860,MAX(0,K12025-K11848))</f>
        <v>0</v>
      </c>
    </row>
    <row r="11862" customFormat="false" ht="15" hidden="false" customHeight="false" outlineLevel="0" collapsed="false">
      <c r="A11862" s="3" t="s">
        <v>338</v>
      </c>
      <c r="G11862" s="16" t="n">
        <f aca="false">G11853*(1-G11837)*(G11852-G11858+G11857-G11860)</f>
        <v>0</v>
      </c>
      <c r="H11862" s="16" t="n">
        <f aca="false">H11853*(1-H11837)*(H11852-H11858+H11857-H11860)</f>
        <v>0</v>
      </c>
      <c r="I11862" s="16" t="n">
        <f aca="false">I11853*(1-I11837)*(I11852-I11858+I11857-I11860)</f>
        <v>0</v>
      </c>
      <c r="J11862" s="16" t="n">
        <f aca="false">J11853*(1-J11837)*(J11852-J11858+J11857-J11860)</f>
        <v>0</v>
      </c>
      <c r="K11862" s="16" t="n">
        <f aca="false">K11853*(1-K11837)*(K11852-K11858+K11857-K11860)</f>
        <v>0</v>
      </c>
    </row>
    <row r="11863" customFormat="false" ht="15" hidden="false" customHeight="false" outlineLevel="0" collapsed="false">
      <c r="A11863" s="2" t="s">
        <v>339</v>
      </c>
      <c r="F11863" s="28" t="n">
        <f aca="false">Assumptions!$C$58</f>
        <v>90</v>
      </c>
      <c r="G11863" s="17" t="n">
        <f aca="false">G11852+G11859+G11857-G11858-G11860-G11861</f>
        <v>90</v>
      </c>
      <c r="H11863" s="17" t="n">
        <f aca="false">H11852+H11859+H11857-H11858-H11860-H11861</f>
        <v>90</v>
      </c>
      <c r="I11863" s="17" t="n">
        <f aca="false">I11852+I11859+I11857-I11858-I11860-I11861</f>
        <v>90</v>
      </c>
      <c r="J11863" s="17" t="n">
        <f aca="false">J11852+J11859+J11857-J11858-J11860-J11861</f>
        <v>90</v>
      </c>
      <c r="K11863" s="17" t="n">
        <f aca="false">K11852+K11859+K11857-K11858-K11860-K11861</f>
        <v>90</v>
      </c>
    </row>
    <row r="11864" customFormat="false" ht="15" hidden="false" customHeight="false" outlineLevel="0" collapsed="false">
      <c r="A11864" s="24" t="s">
        <v>341</v>
      </c>
      <c r="B11864" s="25"/>
      <c r="C11864" s="25"/>
      <c r="D11864" s="25"/>
      <c r="E11864" s="25"/>
      <c r="F11864" s="25"/>
      <c r="G11864" s="25"/>
      <c r="H11864" s="25"/>
      <c r="I11864" s="25"/>
      <c r="J11864" s="25"/>
      <c r="K11864" s="25"/>
    </row>
    <row r="11865" customFormat="false" ht="15" hidden="false" customHeight="false" outlineLevel="0" collapsed="false">
      <c r="A11865" s="3" t="s">
        <v>329</v>
      </c>
      <c r="G11865" s="16" t="n">
        <f aca="false">F11876</f>
        <v>57.324</v>
      </c>
      <c r="H11865" s="16" t="n">
        <f aca="false">G11876</f>
        <v>57.324</v>
      </c>
      <c r="I11865" s="16" t="n">
        <f aca="false">H11876</f>
        <v>57.324</v>
      </c>
      <c r="J11865" s="16" t="n">
        <f aca="false">I11876</f>
        <v>57.324</v>
      </c>
      <c r="K11865" s="16" t="n">
        <f aca="false">J11876</f>
        <v>57.324</v>
      </c>
    </row>
    <row r="11866" customFormat="false" ht="15" hidden="false" customHeight="false" outlineLevel="0" collapsed="false">
      <c r="A11866" s="3" t="s">
        <v>330</v>
      </c>
      <c r="G11866" s="21" t="n">
        <f aca="false">IF(G11803=Assumptions!$K$59,1,0)</f>
        <v>0</v>
      </c>
      <c r="H11866" s="21" t="n">
        <f aca="false">IF(H11803=Assumptions!$K$59,1,0)</f>
        <v>0</v>
      </c>
      <c r="I11866" s="21" t="n">
        <f aca="false">IF(I11803=Assumptions!$K$59,1,0)</f>
        <v>0</v>
      </c>
      <c r="J11866" s="21" t="n">
        <f aca="false">IF(J11803=Assumptions!$K$59,1,0)</f>
        <v>0</v>
      </c>
      <c r="K11866" s="21" t="n">
        <f aca="false">IF(K11803=Assumptions!$K$59,1,0)</f>
        <v>0</v>
      </c>
    </row>
    <row r="11868" customFormat="false" ht="15" hidden="false" customHeight="false" outlineLevel="0" collapsed="false">
      <c r="A11868" s="3" t="s">
        <v>331</v>
      </c>
      <c r="G11868" s="31" t="n">
        <f aca="false">IF(Assumptions!$I$59=1,MAX(G11829,Assumptions!$G$59)+Assumptions!$F$59+$C$11830,Assumptions!$E$59)</f>
        <v>0.0731</v>
      </c>
      <c r="H11868" s="31" t="n">
        <f aca="false">IF(G12151=1,$C$11831,IF(Assumptions!$I$59=1,MAX(H11829,Assumptions!$G$59)+Assumptions!$F$59+$C$11830,Assumptions!$E$59))</f>
        <v>0.0731</v>
      </c>
      <c r="I11868" s="31" t="n">
        <f aca="false">IF(H12151=1,$C$11831,IF(Assumptions!$I$59=1,MAX(I11829,Assumptions!$G$59)+Assumptions!$F$59+$C$11830,Assumptions!$E$59))</f>
        <v>0.0731</v>
      </c>
      <c r="J11868" s="31" t="n">
        <f aca="false">IF(I12151=1,$C$11831,IF(Assumptions!$I$59=1,MAX(J11829,Assumptions!$G$59)+Assumptions!$F$59+$C$11830,Assumptions!$E$59))</f>
        <v>0.0731</v>
      </c>
      <c r="K11868" s="31" t="n">
        <f aca="false">IF(J12151=1,$C$11831,IF(Assumptions!$I$59=1,MAX(K11829,Assumptions!$G$59)+Assumptions!$F$59+$C$11830,Assumptions!$E$59))</f>
        <v>0.0731</v>
      </c>
    </row>
    <row r="11869" customFormat="false" ht="15" hidden="false" customHeight="false" outlineLevel="0" collapsed="false">
      <c r="A11869" s="3" t="s">
        <v>332</v>
      </c>
      <c r="G11869" s="16" t="n">
        <f aca="false">G11865*G11868</f>
        <v>4.1903844</v>
      </c>
      <c r="H11869" s="16" t="n">
        <f aca="false">H11865*H11868</f>
        <v>4.1903844</v>
      </c>
      <c r="I11869" s="16" t="n">
        <f aca="false">I11865*I11868</f>
        <v>4.1903844</v>
      </c>
      <c r="J11869" s="16" t="n">
        <f aca="false">J11865*J11868</f>
        <v>4.1903844</v>
      </c>
      <c r="K11869" s="16" t="n">
        <f aca="false">K11865*K11868</f>
        <v>4.1903844</v>
      </c>
    </row>
    <row r="11870" customFormat="false" ht="15" hidden="false" customHeight="false" outlineLevel="0" collapsed="false">
      <c r="A11870" s="3" t="s">
        <v>333</v>
      </c>
      <c r="G11870" s="16" t="n">
        <f aca="false">G11865*Assumptions!$H$59</f>
        <v>0</v>
      </c>
      <c r="H11870" s="16" t="n">
        <f aca="false">H11865*Assumptions!$H$59</f>
        <v>0</v>
      </c>
      <c r="I11870" s="16" t="n">
        <f aca="false">I11865*Assumptions!$H$59</f>
        <v>0</v>
      </c>
      <c r="J11870" s="16" t="n">
        <f aca="false">J11865*Assumptions!$H$59</f>
        <v>0</v>
      </c>
      <c r="K11870" s="16" t="n">
        <f aca="false">K11865*Assumptions!$H$59</f>
        <v>0</v>
      </c>
    </row>
    <row r="11871" customFormat="false" ht="15" hidden="false" customHeight="false" outlineLevel="0" collapsed="false">
      <c r="A11871" s="3" t="s">
        <v>334</v>
      </c>
      <c r="G11871" s="16" t="n">
        <f aca="false">MIN(G11865,Assumptions!$L$59*Assumptions!$C$59)</f>
        <v>0</v>
      </c>
      <c r="H11871" s="16" t="n">
        <f aca="false">MIN(H11865,Assumptions!$L$59*Assumptions!$C$59)</f>
        <v>0</v>
      </c>
      <c r="I11871" s="16" t="n">
        <f aca="false">MIN(I11865,Assumptions!$L$59*Assumptions!$C$59)</f>
        <v>0</v>
      </c>
      <c r="J11871" s="16" t="n">
        <f aca="false">MIN(J11865,Assumptions!$L$59*Assumptions!$C$59)</f>
        <v>0</v>
      </c>
      <c r="K11871" s="16" t="n">
        <f aca="false">MIN(K11865,Assumptions!$L$59*Assumptions!$C$59)</f>
        <v>0</v>
      </c>
    </row>
    <row r="11872" customFormat="false" ht="15" hidden="false" customHeight="false" outlineLevel="0" collapsed="false">
      <c r="A11872" s="3" t="s">
        <v>335</v>
      </c>
      <c r="G11872" s="16" t="n">
        <f aca="false">IF(AND(Assumptions!$P$59=1,G11803&lt;Assumptions!$K$59),MIN(MAX(0,-G12019),MAX(0,Assumptions!$D$59-G11865)),0)</f>
        <v>0</v>
      </c>
      <c r="H11872" s="16" t="n">
        <f aca="false">IF(AND(Assumptions!$P$59=1,OR(H11803&lt;Assumptions!$K$59,G12151=1)),MIN(MAX(0,-H12019),MAX(0,Assumptions!$D$59-H11865)),0)</f>
        <v>0</v>
      </c>
      <c r="I11872" s="16" t="n">
        <f aca="false">IF(AND(Assumptions!$P$59=1,OR(I11803&lt;Assumptions!$K$59,H12151=1)),MIN(MAX(0,-I12019),MAX(0,Assumptions!$D$59-I11865)),0)</f>
        <v>0</v>
      </c>
      <c r="J11872" s="16" t="n">
        <f aca="false">IF(AND(Assumptions!$P$59=1,OR(J11803&lt;Assumptions!$K$59,I12151=1)),MIN(MAX(0,-J12019),MAX(0,Assumptions!$D$59-J11865)),0)</f>
        <v>0</v>
      </c>
      <c r="K11872" s="16" t="n">
        <f aca="false">IF(AND(Assumptions!$P$59=1,OR(K11803&lt;Assumptions!$K$59,J12151=1)),MIN(MAX(0,-K12019),MAX(0,Assumptions!$D$59-K11865)),0)</f>
        <v>0</v>
      </c>
    </row>
    <row r="11873" customFormat="false" ht="15" hidden="false" customHeight="false" outlineLevel="0" collapsed="false">
      <c r="A11873" s="3" t="s">
        <v>336</v>
      </c>
      <c r="G11873" s="16" t="n">
        <f aca="false">G11866*MIN(G11865-G11871+G11870,MAX(0,G12021-Assumptions!$C$12*G11837-G11847-G11860))</f>
        <v>0</v>
      </c>
      <c r="H11873" s="16" t="n">
        <f aca="false">H11866*MIN(H11865-H11871+H11870,MAX(0,H12021-Assumptions!$C$12*H11837-H11847-H11860))</f>
        <v>0</v>
      </c>
      <c r="I11873" s="16" t="n">
        <f aca="false">I11866*MIN(I11865-I11871+I11870,MAX(0,I12021-Assumptions!$C$12*I11837-I11847-I11860))</f>
        <v>0</v>
      </c>
      <c r="J11873" s="16" t="n">
        <f aca="false">J11866*MIN(J11865-J11871+J11870,MAX(0,J12021-Assumptions!$C$12*J11837-J11847-J11860))</f>
        <v>0</v>
      </c>
      <c r="K11873" s="16" t="n">
        <f aca="false">K11866*MIN(K11865-K11871+K11870,MAX(0,K12021-Assumptions!$C$12*K11837-K11847-K11860))</f>
        <v>0</v>
      </c>
    </row>
    <row r="11874" customFormat="false" ht="15" hidden="false" customHeight="false" outlineLevel="0" collapsed="false">
      <c r="A11874" s="3" t="s">
        <v>337</v>
      </c>
      <c r="G11874" s="16" t="n">
        <f aca="false">Assumptions!$N$59*MIN(G11865+G11872+G11870-G11871-G11873,MAX(0,G12025-G11848-G11861))</f>
        <v>0</v>
      </c>
      <c r="H11874" s="16" t="n">
        <f aca="false">Assumptions!$N$59*MIN(H11865+H11872+H11870-H11871-H11873,MAX(0,H12025-H11848-H11861))</f>
        <v>0</v>
      </c>
      <c r="I11874" s="16" t="n">
        <f aca="false">Assumptions!$N$59*MIN(I11865+I11872+I11870-I11871-I11873,MAX(0,I12025-I11848-I11861))</f>
        <v>0</v>
      </c>
      <c r="J11874" s="16" t="n">
        <f aca="false">Assumptions!$N$59*MIN(J11865+J11872+J11870-J11871-J11873,MAX(0,J12025-J11848-J11861))</f>
        <v>0</v>
      </c>
      <c r="K11874" s="16" t="n">
        <f aca="false">Assumptions!$N$59*MIN(K11865+K11872+K11870-K11871-K11873,MAX(0,K12025-K11848-K11861))</f>
        <v>0</v>
      </c>
    </row>
    <row r="11875" customFormat="false" ht="15" hidden="false" customHeight="false" outlineLevel="0" collapsed="false">
      <c r="A11875" s="3" t="s">
        <v>338</v>
      </c>
      <c r="G11875" s="16" t="n">
        <f aca="false">G11866*(1-G11837)*(G11865-G11871+G11870-G11873)</f>
        <v>0</v>
      </c>
      <c r="H11875" s="16" t="n">
        <f aca="false">H11866*(1-H11837)*(H11865-H11871+H11870-H11873)</f>
        <v>0</v>
      </c>
      <c r="I11875" s="16" t="n">
        <f aca="false">I11866*(1-I11837)*(I11865-I11871+I11870-I11873)</f>
        <v>0</v>
      </c>
      <c r="J11875" s="16" t="n">
        <f aca="false">J11866*(1-J11837)*(J11865-J11871+J11870-J11873)</f>
        <v>0</v>
      </c>
      <c r="K11875" s="16" t="n">
        <f aca="false">K11866*(1-K11837)*(K11865-K11871+K11870-K11873)</f>
        <v>0</v>
      </c>
    </row>
    <row r="11876" customFormat="false" ht="15" hidden="false" customHeight="false" outlineLevel="0" collapsed="false">
      <c r="A11876" s="2" t="s">
        <v>339</v>
      </c>
      <c r="F11876" s="28" t="n">
        <f aca="false">Assumptions!$C$59</f>
        <v>57.324</v>
      </c>
      <c r="G11876" s="17" t="n">
        <f aca="false">G11865+G11872+G11870-G11871-G11873-G11874</f>
        <v>57.324</v>
      </c>
      <c r="H11876" s="17" t="n">
        <f aca="false">H11865+H11872+H11870-H11871-H11873-H11874</f>
        <v>57.324</v>
      </c>
      <c r="I11876" s="17" t="n">
        <f aca="false">I11865+I11872+I11870-I11871-I11873-I11874</f>
        <v>57.324</v>
      </c>
      <c r="J11876" s="17" t="n">
        <f aca="false">J11865+J11872+J11870-J11871-J11873-J11874</f>
        <v>57.324</v>
      </c>
      <c r="K11876" s="17" t="n">
        <f aca="false">K11865+K11872+K11870-K11871-K11873-K11874</f>
        <v>57.324</v>
      </c>
    </row>
    <row r="11877" customFormat="false" ht="15" hidden="false" customHeight="false" outlineLevel="0" collapsed="false">
      <c r="A11877" s="24" t="s">
        <v>342</v>
      </c>
      <c r="B11877" s="25"/>
      <c r="C11877" s="25"/>
      <c r="D11877" s="25"/>
      <c r="E11877" s="25"/>
      <c r="F11877" s="25"/>
      <c r="G11877" s="25"/>
      <c r="H11877" s="25"/>
      <c r="I11877" s="25"/>
      <c r="J11877" s="25"/>
      <c r="K11877" s="25"/>
    </row>
    <row r="11878" customFormat="false" ht="15" hidden="false" customHeight="false" outlineLevel="0" collapsed="false">
      <c r="A11878" s="3" t="s">
        <v>329</v>
      </c>
      <c r="G11878" s="16" t="n">
        <f aca="false">F11889</f>
        <v>0</v>
      </c>
      <c r="H11878" s="16" t="n">
        <f aca="false">G11889</f>
        <v>0</v>
      </c>
      <c r="I11878" s="16" t="n">
        <f aca="false">H11889</f>
        <v>0</v>
      </c>
      <c r="J11878" s="16" t="n">
        <f aca="false">I11889</f>
        <v>0</v>
      </c>
      <c r="K11878" s="16" t="n">
        <f aca="false">J11889</f>
        <v>0</v>
      </c>
    </row>
    <row r="11879" customFormat="false" ht="15" hidden="false" customHeight="false" outlineLevel="0" collapsed="false">
      <c r="A11879" s="3" t="s">
        <v>330</v>
      </c>
      <c r="G11879" s="21" t="n">
        <f aca="false">IF(G11803=Assumptions!$K$60,1,0)</f>
        <v>1</v>
      </c>
      <c r="H11879" s="21" t="n">
        <f aca="false">IF(H11803=Assumptions!$K$60,1,0)</f>
        <v>0</v>
      </c>
      <c r="I11879" s="21" t="n">
        <f aca="false">IF(I11803=Assumptions!$K$60,1,0)</f>
        <v>0</v>
      </c>
      <c r="J11879" s="21" t="n">
        <f aca="false">IF(J11803=Assumptions!$K$60,1,0)</f>
        <v>0</v>
      </c>
      <c r="K11879" s="21" t="n">
        <f aca="false">IF(K11803=Assumptions!$K$60,1,0)</f>
        <v>0</v>
      </c>
    </row>
    <row r="11881" customFormat="false" ht="15" hidden="false" customHeight="false" outlineLevel="0" collapsed="false">
      <c r="A11881" s="3" t="s">
        <v>331</v>
      </c>
      <c r="G11881" s="31" t="n">
        <f aca="false">IF(Assumptions!$I$60=1,MAX(G11829,Assumptions!$G$60)+Assumptions!$F$60+$C$11830,Assumptions!$E$60)</f>
        <v>0.054</v>
      </c>
      <c r="H11881" s="31" t="n">
        <f aca="false">IF(G12152=1,$C$11831,IF(Assumptions!$I$60=1,MAX(H11829,Assumptions!$G$60)+Assumptions!$F$60+$C$11830,Assumptions!$E$60))</f>
        <v>0.0525</v>
      </c>
      <c r="I11881" s="31" t="n">
        <f aca="false">IF(H12152=1,$C$11831,IF(Assumptions!$I$60=1,MAX(I11829,Assumptions!$G$60)+Assumptions!$F$60+$C$11830,Assumptions!$E$60))</f>
        <v>0.05</v>
      </c>
      <c r="J11881" s="31" t="n">
        <f aca="false">IF(I12152=1,$C$11831,IF(Assumptions!$I$60=1,MAX(J11829,Assumptions!$G$60)+Assumptions!$F$60+$C$11830,Assumptions!$E$60))</f>
        <v>0.05</v>
      </c>
      <c r="K11881" s="31" t="n">
        <f aca="false">IF(J12152=1,$C$11831,IF(Assumptions!$I$60=1,MAX(K11829,Assumptions!$G$60)+Assumptions!$F$60+$C$11830,Assumptions!$E$60))</f>
        <v>0.05</v>
      </c>
    </row>
    <row r="11882" customFormat="false" ht="15" hidden="false" customHeight="false" outlineLevel="0" collapsed="false">
      <c r="A11882" s="3" t="s">
        <v>332</v>
      </c>
      <c r="G11882" s="16" t="n">
        <f aca="false">G11878*G11881</f>
        <v>0</v>
      </c>
      <c r="H11882" s="16" t="n">
        <f aca="false">H11878*H11881</f>
        <v>0</v>
      </c>
      <c r="I11882" s="16" t="n">
        <f aca="false">I11878*I11881</f>
        <v>0</v>
      </c>
      <c r="J11882" s="16" t="n">
        <f aca="false">J11878*J11881</f>
        <v>0</v>
      </c>
      <c r="K11882" s="16" t="n">
        <f aca="false">K11878*K11881</f>
        <v>0</v>
      </c>
    </row>
    <row r="11883" customFormat="false" ht="15" hidden="false" customHeight="false" outlineLevel="0" collapsed="false">
      <c r="A11883" s="3" t="s">
        <v>333</v>
      </c>
      <c r="G11883" s="16" t="n">
        <f aca="false">G11878*Assumptions!$H$60</f>
        <v>0</v>
      </c>
      <c r="H11883" s="16" t="n">
        <f aca="false">H11878*Assumptions!$H$60</f>
        <v>0</v>
      </c>
      <c r="I11883" s="16" t="n">
        <f aca="false">I11878*Assumptions!$H$60</f>
        <v>0</v>
      </c>
      <c r="J11883" s="16" t="n">
        <f aca="false">J11878*Assumptions!$H$60</f>
        <v>0</v>
      </c>
      <c r="K11883" s="16" t="n">
        <f aca="false">K11878*Assumptions!$H$60</f>
        <v>0</v>
      </c>
    </row>
    <row r="11884" customFormat="false" ht="15" hidden="false" customHeight="false" outlineLevel="0" collapsed="false">
      <c r="A11884" s="3" t="s">
        <v>334</v>
      </c>
      <c r="G11884" s="16" t="n">
        <f aca="false">MIN(G11878,Assumptions!$L$60*Assumptions!$C$60)</f>
        <v>0</v>
      </c>
      <c r="H11884" s="16" t="n">
        <f aca="false">MIN(H11878,Assumptions!$L$60*Assumptions!$C$60)</f>
        <v>0</v>
      </c>
      <c r="I11884" s="16" t="n">
        <f aca="false">MIN(I11878,Assumptions!$L$60*Assumptions!$C$60)</f>
        <v>0</v>
      </c>
      <c r="J11884" s="16" t="n">
        <f aca="false">MIN(J11878,Assumptions!$L$60*Assumptions!$C$60)</f>
        <v>0</v>
      </c>
      <c r="K11884" s="16" t="n">
        <f aca="false">MIN(K11878,Assumptions!$L$60*Assumptions!$C$60)</f>
        <v>0</v>
      </c>
    </row>
    <row r="11885" customFormat="false" ht="15" hidden="false" customHeight="false" outlineLevel="0" collapsed="false">
      <c r="A11885" s="3" t="s">
        <v>335</v>
      </c>
      <c r="G11885" s="16" t="n">
        <f aca="false">IF(AND(Assumptions!$P$60=1,G11803&lt;Assumptions!$K$60),MIN(MAX(0,-G12019),MAX(0,Assumptions!$D$60-G11878)),0)</f>
        <v>0</v>
      </c>
      <c r="H11885" s="16" t="n">
        <f aca="false">IF(AND(Assumptions!$P$60=1,OR(H11803&lt;Assumptions!$K$60,G12152=1)),MIN(MAX(0,-H12019),MAX(0,Assumptions!$D$60-H11878)),0)</f>
        <v>0</v>
      </c>
      <c r="I11885" s="16" t="n">
        <f aca="false">IF(AND(Assumptions!$P$60=1,OR(I11803&lt;Assumptions!$K$60,H12152=1)),MIN(MAX(0,-I12019),MAX(0,Assumptions!$D$60-I11878)),0)</f>
        <v>0</v>
      </c>
      <c r="J11885" s="16" t="n">
        <f aca="false">IF(AND(Assumptions!$P$60=1,OR(J11803&lt;Assumptions!$K$60,I12152=1)),MIN(MAX(0,-J12019),MAX(0,Assumptions!$D$60-J11878)),0)</f>
        <v>0</v>
      </c>
      <c r="K11885" s="16" t="n">
        <f aca="false">IF(AND(Assumptions!$P$60=1,OR(K11803&lt;Assumptions!$K$60,J12152=1)),MIN(MAX(0,-K12019),MAX(0,Assumptions!$D$60-K11878)),0)</f>
        <v>0</v>
      </c>
    </row>
    <row r="11886" customFormat="false" ht="15" hidden="false" customHeight="false" outlineLevel="0" collapsed="false">
      <c r="A11886" s="3" t="s">
        <v>336</v>
      </c>
      <c r="G11886" s="16" t="n">
        <f aca="false">G11879*MIN(G11878-G11884+G11883,MAX(0,G12021-Assumptions!$C$12*G11837-G11847-G11860-G11873))</f>
        <v>0</v>
      </c>
      <c r="H11886" s="16" t="n">
        <f aca="false">H11879*MIN(H11878-H11884+H11883,MAX(0,H12021-Assumptions!$C$12*H11837-H11847-H11860-H11873))</f>
        <v>0</v>
      </c>
      <c r="I11886" s="16" t="n">
        <f aca="false">I11879*MIN(I11878-I11884+I11883,MAX(0,I12021-Assumptions!$C$12*I11837-I11847-I11860-I11873))</f>
        <v>0</v>
      </c>
      <c r="J11886" s="16" t="n">
        <f aca="false">J11879*MIN(J11878-J11884+J11883,MAX(0,J12021-Assumptions!$C$12*J11837-J11847-J11860-J11873))</f>
        <v>0</v>
      </c>
      <c r="K11886" s="16" t="n">
        <f aca="false">K11879*MIN(K11878-K11884+K11883,MAX(0,K12021-Assumptions!$C$12*K11837-K11847-K11860-K11873))</f>
        <v>0</v>
      </c>
    </row>
    <row r="11887" customFormat="false" ht="15" hidden="false" customHeight="false" outlineLevel="0" collapsed="false">
      <c r="A11887" s="3" t="s">
        <v>337</v>
      </c>
      <c r="G11887" s="16" t="n">
        <f aca="false">Assumptions!$N$60*MIN(G11878+G11885+G11883-G11884-G11886,MAX(0,G12025-G11848-G11861-G11874))</f>
        <v>0</v>
      </c>
      <c r="H11887" s="16" t="n">
        <f aca="false">Assumptions!$N$60*MIN(H11878+H11885+H11883-H11884-H11886,MAX(0,H12025-H11848-H11861-H11874))</f>
        <v>0</v>
      </c>
      <c r="I11887" s="16" t="n">
        <f aca="false">Assumptions!$N$60*MIN(I11878+I11885+I11883-I11884-I11886,MAX(0,I12025-I11848-I11861-I11874))</f>
        <v>0</v>
      </c>
      <c r="J11887" s="16" t="n">
        <f aca="false">Assumptions!$N$60*MIN(J11878+J11885+J11883-J11884-J11886,MAX(0,J12025-J11848-J11861-J11874))</f>
        <v>0</v>
      </c>
      <c r="K11887" s="16" t="n">
        <f aca="false">Assumptions!$N$60*MIN(K11878+K11885+K11883-K11884-K11886,MAX(0,K12025-K11848-K11861-K11874))</f>
        <v>0</v>
      </c>
    </row>
    <row r="11888" customFormat="false" ht="15" hidden="false" customHeight="false" outlineLevel="0" collapsed="false">
      <c r="A11888" s="3" t="s">
        <v>338</v>
      </c>
      <c r="G11888" s="16" t="n">
        <f aca="false">G11879*(1-G11837)*(G11878-G11884+G11883-G11886)</f>
        <v>0</v>
      </c>
      <c r="H11888" s="16" t="n">
        <f aca="false">H11879*(1-H11837)*(H11878-H11884+H11883-H11886)</f>
        <v>0</v>
      </c>
      <c r="I11888" s="16" t="n">
        <f aca="false">I11879*(1-I11837)*(I11878-I11884+I11883-I11886)</f>
        <v>0</v>
      </c>
      <c r="J11888" s="16" t="n">
        <f aca="false">J11879*(1-J11837)*(J11878-J11884+J11883-J11886)</f>
        <v>0</v>
      </c>
      <c r="K11888" s="16" t="n">
        <f aca="false">K11879*(1-K11837)*(K11878-K11884+K11883-K11886)</f>
        <v>0</v>
      </c>
    </row>
    <row r="11889" customFormat="false" ht="15" hidden="false" customHeight="false" outlineLevel="0" collapsed="false">
      <c r="A11889" s="2" t="s">
        <v>339</v>
      </c>
      <c r="F11889" s="28" t="n">
        <f aca="false">Assumptions!$C$60</f>
        <v>0</v>
      </c>
      <c r="G11889" s="17" t="n">
        <f aca="false">G11878+G11885+G11883-G11884-G11886-G11887</f>
        <v>0</v>
      </c>
      <c r="H11889" s="17" t="n">
        <f aca="false">H11878+H11885+H11883-H11884-H11886-H11887</f>
        <v>0</v>
      </c>
      <c r="I11889" s="17" t="n">
        <f aca="false">I11878+I11885+I11883-I11884-I11886-I11887</f>
        <v>0</v>
      </c>
      <c r="J11889" s="17" t="n">
        <f aca="false">J11878+J11885+J11883-J11884-J11886-J11887</f>
        <v>0</v>
      </c>
      <c r="K11889" s="17" t="n">
        <f aca="false">K11878+K11885+K11883-K11884-K11886-K11887</f>
        <v>0</v>
      </c>
    </row>
    <row r="11890" customFormat="false" ht="15" hidden="false" customHeight="false" outlineLevel="0" collapsed="false">
      <c r="A11890" s="24" t="s">
        <v>343</v>
      </c>
      <c r="B11890" s="25"/>
      <c r="C11890" s="25"/>
      <c r="D11890" s="25"/>
      <c r="E11890" s="25"/>
      <c r="F11890" s="25"/>
      <c r="G11890" s="25"/>
      <c r="H11890" s="25"/>
      <c r="I11890" s="25"/>
      <c r="J11890" s="25"/>
      <c r="K11890" s="25"/>
    </row>
    <row r="11891" customFormat="false" ht="15" hidden="false" customHeight="false" outlineLevel="0" collapsed="false">
      <c r="A11891" s="3" t="s">
        <v>329</v>
      </c>
      <c r="G11891" s="16" t="n">
        <f aca="false">F11902</f>
        <v>450</v>
      </c>
      <c r="H11891" s="16" t="n">
        <f aca="false">G11902</f>
        <v>450</v>
      </c>
      <c r="I11891" s="16" t="n">
        <f aca="false">H11902</f>
        <v>411.8059021708</v>
      </c>
      <c r="J11891" s="16" t="n">
        <f aca="false">I11902</f>
        <v>411.8059021708</v>
      </c>
      <c r="K11891" s="16" t="n">
        <f aca="false">J11902</f>
        <v>411.8059021708</v>
      </c>
    </row>
    <row r="11892" customFormat="false" ht="15" hidden="false" customHeight="false" outlineLevel="0" collapsed="false">
      <c r="A11892" s="3" t="s">
        <v>330</v>
      </c>
      <c r="G11892" s="21" t="n">
        <f aca="false">IF(G11803=Assumptions!$K$61,1,0)</f>
        <v>0</v>
      </c>
      <c r="H11892" s="21" t="n">
        <f aca="false">IF(H11803=Assumptions!$K$61,1,0)</f>
        <v>1</v>
      </c>
      <c r="I11892" s="21" t="n">
        <f aca="false">IF(I11803=Assumptions!$K$61,1,0)</f>
        <v>0</v>
      </c>
      <c r="J11892" s="21" t="n">
        <f aca="false">IF(J11803=Assumptions!$K$61,1,0)</f>
        <v>0</v>
      </c>
      <c r="K11892" s="21" t="n">
        <f aca="false">IF(K11803=Assumptions!$K$61,1,0)</f>
        <v>0</v>
      </c>
    </row>
    <row r="11894" customFormat="false" ht="15" hidden="false" customHeight="false" outlineLevel="0" collapsed="false">
      <c r="A11894" s="3" t="s">
        <v>331</v>
      </c>
      <c r="G11894" s="31" t="n">
        <f aca="false">IF(Assumptions!$I$61=1,MAX(G11829,Assumptions!$G$61)+Assumptions!$F$61+$C$11830,Assumptions!$E$61)</f>
        <v>0.0395</v>
      </c>
      <c r="H11894" s="31" t="n">
        <f aca="false">IF(G12153=1,$C$11831,IF(Assumptions!$I$61=1,MAX(H11829,Assumptions!$G$61)+Assumptions!$F$61+$C$11830,Assumptions!$E$61))</f>
        <v>0.0395</v>
      </c>
      <c r="I11894" s="31" t="n">
        <f aca="false">IF(H12153=1,$C$11831,IF(Assumptions!$I$61=1,MAX(I11829,Assumptions!$G$61)+Assumptions!$F$61+$C$11830,Assumptions!$E$61))</f>
        <v>0.0395</v>
      </c>
      <c r="J11894" s="31" t="n">
        <f aca="false">IF(I12153=1,$C$11831,IF(Assumptions!$I$61=1,MAX(J11829,Assumptions!$G$61)+Assumptions!$F$61+$C$11830,Assumptions!$E$61))</f>
        <v>0.0395</v>
      </c>
      <c r="K11894" s="31" t="n">
        <f aca="false">IF(J12153=1,$C$11831,IF(Assumptions!$I$61=1,MAX(K11829,Assumptions!$G$61)+Assumptions!$F$61+$C$11830,Assumptions!$E$61))</f>
        <v>0.0395</v>
      </c>
    </row>
    <row r="11895" customFormat="false" ht="15" hidden="false" customHeight="false" outlineLevel="0" collapsed="false">
      <c r="A11895" s="3" t="s">
        <v>332</v>
      </c>
      <c r="G11895" s="16" t="n">
        <f aca="false">G11891*G11894</f>
        <v>17.775</v>
      </c>
      <c r="H11895" s="16" t="n">
        <f aca="false">H11891*H11894</f>
        <v>17.775</v>
      </c>
      <c r="I11895" s="16" t="n">
        <f aca="false">I11891*I11894</f>
        <v>16.2663331357466</v>
      </c>
      <c r="J11895" s="16" t="n">
        <f aca="false">J11891*J11894</f>
        <v>16.2663331357466</v>
      </c>
      <c r="K11895" s="16" t="n">
        <f aca="false">K11891*K11894</f>
        <v>16.2663331357466</v>
      </c>
    </row>
    <row r="11896" customFormat="false" ht="15" hidden="false" customHeight="false" outlineLevel="0" collapsed="false">
      <c r="A11896" s="3" t="s">
        <v>333</v>
      </c>
      <c r="G11896" s="16" t="n">
        <f aca="false">G11891*Assumptions!$H$61</f>
        <v>0</v>
      </c>
      <c r="H11896" s="16" t="n">
        <f aca="false">H11891*Assumptions!$H$61</f>
        <v>0</v>
      </c>
      <c r="I11896" s="16" t="n">
        <f aca="false">I11891*Assumptions!$H$61</f>
        <v>0</v>
      </c>
      <c r="J11896" s="16" t="n">
        <f aca="false">J11891*Assumptions!$H$61</f>
        <v>0</v>
      </c>
      <c r="K11896" s="16" t="n">
        <f aca="false">K11891*Assumptions!$H$61</f>
        <v>0</v>
      </c>
    </row>
    <row r="11897" customFormat="false" ht="15" hidden="false" customHeight="false" outlineLevel="0" collapsed="false">
      <c r="A11897" s="3" t="s">
        <v>334</v>
      </c>
      <c r="G11897" s="16" t="n">
        <f aca="false">MIN(G11891,Assumptions!$L$61*Assumptions!$C$61)</f>
        <v>0</v>
      </c>
      <c r="H11897" s="16" t="n">
        <f aca="false">MIN(H11891,Assumptions!$L$61*Assumptions!$C$61)</f>
        <v>0</v>
      </c>
      <c r="I11897" s="16" t="n">
        <f aca="false">MIN(I11891,Assumptions!$L$61*Assumptions!$C$61)</f>
        <v>0</v>
      </c>
      <c r="J11897" s="16" t="n">
        <f aca="false">MIN(J11891,Assumptions!$L$61*Assumptions!$C$61)</f>
        <v>0</v>
      </c>
      <c r="K11897" s="16" t="n">
        <f aca="false">MIN(K11891,Assumptions!$L$61*Assumptions!$C$61)</f>
        <v>0</v>
      </c>
    </row>
    <row r="11898" customFormat="false" ht="15" hidden="false" customHeight="false" outlineLevel="0" collapsed="false">
      <c r="A11898" s="3" t="s">
        <v>335</v>
      </c>
      <c r="G11898" s="16" t="n">
        <f aca="false">IF(AND(Assumptions!$P$61=1,G11803&lt;Assumptions!$K$61),MIN(MAX(0,-G12019),MAX(0,Assumptions!$D$61-G11891)),0)</f>
        <v>0</v>
      </c>
      <c r="H11898" s="16" t="n">
        <f aca="false">IF(AND(Assumptions!$P$61=1,OR(H11803&lt;Assumptions!$K$61,G12153=1)),MIN(MAX(0,-H12019),MAX(0,Assumptions!$D$61-H11891)),0)</f>
        <v>0</v>
      </c>
      <c r="I11898" s="16" t="n">
        <f aca="false">IF(AND(Assumptions!$P$61=1,OR(I11803&lt;Assumptions!$K$61,H12153=1)),MIN(MAX(0,-I12019),MAX(0,Assumptions!$D$61-I11891)),0)</f>
        <v>0</v>
      </c>
      <c r="J11898" s="16" t="n">
        <f aca="false">IF(AND(Assumptions!$P$61=1,OR(J11803&lt;Assumptions!$K$61,I12153=1)),MIN(MAX(0,-J12019),MAX(0,Assumptions!$D$61-J11891)),0)</f>
        <v>0</v>
      </c>
      <c r="K11898" s="16" t="n">
        <f aca="false">IF(AND(Assumptions!$P$61=1,OR(K11803&lt;Assumptions!$K$61,J12153=1)),MIN(MAX(0,-K12019),MAX(0,Assumptions!$D$61-K11891)),0)</f>
        <v>0</v>
      </c>
    </row>
    <row r="11899" customFormat="false" ht="15" hidden="false" customHeight="false" outlineLevel="0" collapsed="false">
      <c r="A11899" s="3" t="s">
        <v>336</v>
      </c>
      <c r="G11899" s="16" t="n">
        <f aca="false">G11892*MIN(G11891-G11897+G11896,MAX(0,G12021-Assumptions!$C$12*G11837-G11847-G11860-G11873-G11886))</f>
        <v>0</v>
      </c>
      <c r="H11899" s="16" t="n">
        <f aca="false">H11892*MIN(H11891-H11897+H11896,MAX(0,H12021-Assumptions!$C$12*H11837-H11847-H11860-H11873-H11886))</f>
        <v>38.1940978292</v>
      </c>
      <c r="I11899" s="16" t="n">
        <f aca="false">I11892*MIN(I11891-I11897+I11896,MAX(0,I12021-Assumptions!$C$12*I11837-I11847-I11860-I11873-I11886))</f>
        <v>0</v>
      </c>
      <c r="J11899" s="16" t="n">
        <f aca="false">J11892*MIN(J11891-J11897+J11896,MAX(0,J12021-Assumptions!$C$12*J11837-J11847-J11860-J11873-J11886))</f>
        <v>0</v>
      </c>
      <c r="K11899" s="16" t="n">
        <f aca="false">K11892*MIN(K11891-K11897+K11896,MAX(0,K12021-Assumptions!$C$12*K11837-K11847-K11860-K11873-K11886))</f>
        <v>0</v>
      </c>
    </row>
    <row r="11900" customFormat="false" ht="15" hidden="false" customHeight="false" outlineLevel="0" collapsed="false">
      <c r="A11900" s="3" t="s">
        <v>337</v>
      </c>
      <c r="G11900" s="16" t="n">
        <f aca="false">Assumptions!$N$61*MIN(G11891+G11898+G11896-G11897-G11899,MAX(0,G12025-G11848-G11861-G11874-G11887))</f>
        <v>0</v>
      </c>
      <c r="H11900" s="16" t="n">
        <f aca="false">Assumptions!$N$61*MIN(H11891+H11898+H11896-H11897-H11899,MAX(0,H12025-H11848-H11861-H11874-H11887))</f>
        <v>0</v>
      </c>
      <c r="I11900" s="16" t="n">
        <f aca="false">Assumptions!$N$61*MIN(I11891+I11898+I11896-I11897-I11899,MAX(0,I12025-I11848-I11861-I11874-I11887))</f>
        <v>0</v>
      </c>
      <c r="J11900" s="16" t="n">
        <f aca="false">Assumptions!$N$61*MIN(J11891+J11898+J11896-J11897-J11899,MAX(0,J12025-J11848-J11861-J11874-J11887))</f>
        <v>0</v>
      </c>
      <c r="K11900" s="16" t="n">
        <f aca="false">Assumptions!$N$61*MIN(K11891+K11898+K11896-K11897-K11899,MAX(0,K12025-K11848-K11861-K11874-K11887))</f>
        <v>0</v>
      </c>
    </row>
    <row r="11901" customFormat="false" ht="15" hidden="false" customHeight="false" outlineLevel="0" collapsed="false">
      <c r="A11901" s="3" t="s">
        <v>338</v>
      </c>
      <c r="G11901" s="16" t="n">
        <f aca="false">G11892*(1-G11837)*(G11891-G11897+G11896-G11899)</f>
        <v>0</v>
      </c>
      <c r="H11901" s="16" t="n">
        <f aca="false">H11892*(1-H11837)*(H11891-H11897+H11896-H11899)</f>
        <v>411.8059021708</v>
      </c>
      <c r="I11901" s="16" t="n">
        <f aca="false">I11892*(1-I11837)*(I11891-I11897+I11896-I11899)</f>
        <v>0</v>
      </c>
      <c r="J11901" s="16" t="n">
        <f aca="false">J11892*(1-J11837)*(J11891-J11897+J11896-J11899)</f>
        <v>0</v>
      </c>
      <c r="K11901" s="16" t="n">
        <f aca="false">K11892*(1-K11837)*(K11891-K11897+K11896-K11899)</f>
        <v>0</v>
      </c>
    </row>
    <row r="11902" customFormat="false" ht="15" hidden="false" customHeight="false" outlineLevel="0" collapsed="false">
      <c r="A11902" s="2" t="s">
        <v>339</v>
      </c>
      <c r="F11902" s="28" t="n">
        <f aca="false">Assumptions!$C$61</f>
        <v>450</v>
      </c>
      <c r="G11902" s="17" t="n">
        <f aca="false">G11891+G11898+G11896-G11897-G11899-G11900</f>
        <v>450</v>
      </c>
      <c r="H11902" s="17" t="n">
        <f aca="false">H11891+H11898+H11896-H11897-H11899-H11900</f>
        <v>411.8059021708</v>
      </c>
      <c r="I11902" s="17" t="n">
        <f aca="false">I11891+I11898+I11896-I11897-I11899-I11900</f>
        <v>411.8059021708</v>
      </c>
      <c r="J11902" s="17" t="n">
        <f aca="false">J11891+J11898+J11896-J11897-J11899-J11900</f>
        <v>411.8059021708</v>
      </c>
      <c r="K11902" s="17" t="n">
        <f aca="false">K11891+K11898+K11896-K11897-K11899-K11900</f>
        <v>411.8059021708</v>
      </c>
    </row>
    <row r="11903" customFormat="false" ht="15" hidden="false" customHeight="false" outlineLevel="0" collapsed="false">
      <c r="A11903" s="24" t="s">
        <v>344</v>
      </c>
      <c r="B11903" s="25"/>
      <c r="C11903" s="25"/>
      <c r="D11903" s="25"/>
      <c r="E11903" s="25"/>
      <c r="F11903" s="25"/>
      <c r="G11903" s="25"/>
      <c r="H11903" s="25"/>
      <c r="I11903" s="25"/>
      <c r="J11903" s="25"/>
      <c r="K11903" s="25"/>
    </row>
    <row r="11904" customFormat="false" ht="15" hidden="false" customHeight="false" outlineLevel="0" collapsed="false">
      <c r="A11904" s="3" t="s">
        <v>329</v>
      </c>
      <c r="G11904" s="16" t="n">
        <f aca="false">F11915</f>
        <v>350</v>
      </c>
      <c r="H11904" s="16" t="n">
        <f aca="false">G11915</f>
        <v>350</v>
      </c>
      <c r="I11904" s="16" t="n">
        <f aca="false">H11915</f>
        <v>350</v>
      </c>
      <c r="J11904" s="16" t="n">
        <f aca="false">I11915</f>
        <v>350</v>
      </c>
      <c r="K11904" s="16" t="n">
        <f aca="false">J11915</f>
        <v>350</v>
      </c>
    </row>
    <row r="11905" customFormat="false" ht="15" hidden="false" customHeight="false" outlineLevel="0" collapsed="false">
      <c r="A11905" s="3" t="s">
        <v>330</v>
      </c>
      <c r="G11905" s="21" t="n">
        <f aca="false">IF(G11803=Assumptions!$K$62,1,0)</f>
        <v>0</v>
      </c>
      <c r="H11905" s="21" t="n">
        <f aca="false">IF(H11803=Assumptions!$K$62,1,0)</f>
        <v>1</v>
      </c>
      <c r="I11905" s="21" t="n">
        <f aca="false">IF(I11803=Assumptions!$K$62,1,0)</f>
        <v>0</v>
      </c>
      <c r="J11905" s="21" t="n">
        <f aca="false">IF(J11803=Assumptions!$K$62,1,0)</f>
        <v>0</v>
      </c>
      <c r="K11905" s="21" t="n">
        <f aca="false">IF(K11803=Assumptions!$K$62,1,0)</f>
        <v>0</v>
      </c>
    </row>
    <row r="11907" customFormat="false" ht="15" hidden="false" customHeight="false" outlineLevel="0" collapsed="false">
      <c r="A11907" s="3" t="s">
        <v>331</v>
      </c>
      <c r="G11907" s="31" t="n">
        <f aca="false">IF(Assumptions!$I$62=1,MAX(G11829,Assumptions!$G$62)+Assumptions!$F$62+$C$11830,Assumptions!$E$62)</f>
        <v>0.083</v>
      </c>
      <c r="H11907" s="31" t="n">
        <f aca="false">IF(G12154=1,$C$11831,IF(Assumptions!$I$62=1,MAX(H11829,Assumptions!$G$62)+Assumptions!$F$62+$C$11830,Assumptions!$E$62))</f>
        <v>0.083</v>
      </c>
      <c r="I11907" s="31" t="n">
        <f aca="false">IF(H12154=1,$C$11831,IF(Assumptions!$I$62=1,MAX(I11829,Assumptions!$G$62)+Assumptions!$F$62+$C$11830,Assumptions!$E$62))</f>
        <v>0.083</v>
      </c>
      <c r="J11907" s="31" t="n">
        <f aca="false">IF(I12154=1,$C$11831,IF(Assumptions!$I$62=1,MAX(J11829,Assumptions!$G$62)+Assumptions!$F$62+$C$11830,Assumptions!$E$62))</f>
        <v>0.083</v>
      </c>
      <c r="K11907" s="31" t="n">
        <f aca="false">IF(J12154=1,$C$11831,IF(Assumptions!$I$62=1,MAX(K11829,Assumptions!$G$62)+Assumptions!$F$62+$C$11830,Assumptions!$E$62))</f>
        <v>0.083</v>
      </c>
    </row>
    <row r="11908" customFormat="false" ht="15" hidden="false" customHeight="false" outlineLevel="0" collapsed="false">
      <c r="A11908" s="3" t="s">
        <v>332</v>
      </c>
      <c r="G11908" s="16" t="n">
        <f aca="false">G11904*G11907</f>
        <v>29.05</v>
      </c>
      <c r="H11908" s="16" t="n">
        <f aca="false">H11904*H11907</f>
        <v>29.05</v>
      </c>
      <c r="I11908" s="16" t="n">
        <f aca="false">I11904*I11907</f>
        <v>29.05</v>
      </c>
      <c r="J11908" s="16" t="n">
        <f aca="false">J11904*J11907</f>
        <v>29.05</v>
      </c>
      <c r="K11908" s="16" t="n">
        <f aca="false">K11904*K11907</f>
        <v>29.05</v>
      </c>
    </row>
    <row r="11909" customFormat="false" ht="15" hidden="false" customHeight="false" outlineLevel="0" collapsed="false">
      <c r="A11909" s="3" t="s">
        <v>333</v>
      </c>
      <c r="G11909" s="16" t="n">
        <f aca="false">G11904*Assumptions!$H$62</f>
        <v>0</v>
      </c>
      <c r="H11909" s="16" t="n">
        <f aca="false">H11904*Assumptions!$H$62</f>
        <v>0</v>
      </c>
      <c r="I11909" s="16" t="n">
        <f aca="false">I11904*Assumptions!$H$62</f>
        <v>0</v>
      </c>
      <c r="J11909" s="16" t="n">
        <f aca="false">J11904*Assumptions!$H$62</f>
        <v>0</v>
      </c>
      <c r="K11909" s="16" t="n">
        <f aca="false">K11904*Assumptions!$H$62</f>
        <v>0</v>
      </c>
    </row>
    <row r="11910" customFormat="false" ht="15" hidden="false" customHeight="false" outlineLevel="0" collapsed="false">
      <c r="A11910" s="3" t="s">
        <v>334</v>
      </c>
      <c r="G11910" s="16" t="n">
        <f aca="false">MIN(G11904,Assumptions!$L$62*Assumptions!$C$62)</f>
        <v>0</v>
      </c>
      <c r="H11910" s="16" t="n">
        <f aca="false">MIN(H11904,Assumptions!$L$62*Assumptions!$C$62)</f>
        <v>0</v>
      </c>
      <c r="I11910" s="16" t="n">
        <f aca="false">MIN(I11904,Assumptions!$L$62*Assumptions!$C$62)</f>
        <v>0</v>
      </c>
      <c r="J11910" s="16" t="n">
        <f aca="false">MIN(J11904,Assumptions!$L$62*Assumptions!$C$62)</f>
        <v>0</v>
      </c>
      <c r="K11910" s="16" t="n">
        <f aca="false">MIN(K11904,Assumptions!$L$62*Assumptions!$C$62)</f>
        <v>0</v>
      </c>
    </row>
    <row r="11911" customFormat="false" ht="15" hidden="false" customHeight="false" outlineLevel="0" collapsed="false">
      <c r="A11911" s="3" t="s">
        <v>335</v>
      </c>
      <c r="G11911" s="16" t="n">
        <f aca="false">IF(AND(Assumptions!$P$62=1,G11803&lt;Assumptions!$K$62),MIN(MAX(0,-G12019),MAX(0,Assumptions!$D$62-G11904)),0)</f>
        <v>0</v>
      </c>
      <c r="H11911" s="16" t="n">
        <f aca="false">IF(AND(Assumptions!$P$62=1,OR(H11803&lt;Assumptions!$K$62,G12154=1)),MIN(MAX(0,-H12019),MAX(0,Assumptions!$D$62-H11904)),0)</f>
        <v>0</v>
      </c>
      <c r="I11911" s="16" t="n">
        <f aca="false">IF(AND(Assumptions!$P$62=1,OR(I11803&lt;Assumptions!$K$62,H12154=1)),MIN(MAX(0,-I12019),MAX(0,Assumptions!$D$62-I11904)),0)</f>
        <v>0</v>
      </c>
      <c r="J11911" s="16" t="n">
        <f aca="false">IF(AND(Assumptions!$P$62=1,OR(J11803&lt;Assumptions!$K$62,I12154=1)),MIN(MAX(0,-J12019),MAX(0,Assumptions!$D$62-J11904)),0)</f>
        <v>0</v>
      </c>
      <c r="K11911" s="16" t="n">
        <f aca="false">IF(AND(Assumptions!$P$62=1,OR(K11803&lt;Assumptions!$K$62,J12154=1)),MIN(MAX(0,-K12019),MAX(0,Assumptions!$D$62-K11904)),0)</f>
        <v>0</v>
      </c>
    </row>
    <row r="11912" customFormat="false" ht="15" hidden="false" customHeight="false" outlineLevel="0" collapsed="false">
      <c r="A11912" s="3" t="s">
        <v>336</v>
      </c>
      <c r="G11912" s="16" t="n">
        <f aca="false">G11905*MIN(G11904-G11910+G11909,MAX(0,G12021-Assumptions!$C$12*G11837-G11847-G11860-G11873-G11886-G11899))</f>
        <v>0</v>
      </c>
      <c r="H11912" s="16" t="n">
        <f aca="false">H11905*MIN(H11904-H11910+H11909,MAX(0,H12021-Assumptions!$C$12*H11837-H11847-H11860-H11873-H11886-H11899))</f>
        <v>0</v>
      </c>
      <c r="I11912" s="16" t="n">
        <f aca="false">I11905*MIN(I11904-I11910+I11909,MAX(0,I12021-Assumptions!$C$12*I11837-I11847-I11860-I11873-I11886-I11899))</f>
        <v>0</v>
      </c>
      <c r="J11912" s="16" t="n">
        <f aca="false">J11905*MIN(J11904-J11910+J11909,MAX(0,J12021-Assumptions!$C$12*J11837-J11847-J11860-J11873-J11886-J11899))</f>
        <v>0</v>
      </c>
      <c r="K11912" s="16" t="n">
        <f aca="false">K11905*MIN(K11904-K11910+K11909,MAX(0,K12021-Assumptions!$C$12*K11837-K11847-K11860-K11873-K11886-K11899))</f>
        <v>0</v>
      </c>
    </row>
    <row r="11913" customFormat="false" ht="15" hidden="false" customHeight="false" outlineLevel="0" collapsed="false">
      <c r="A11913" s="3" t="s">
        <v>337</v>
      </c>
      <c r="G11913" s="16" t="n">
        <f aca="false">Assumptions!$N$62*MIN(G11904+G11911+G11909-G11910-G11912,MAX(0,G12025-G11848-G11861-G11874-G11887-G11900))</f>
        <v>0</v>
      </c>
      <c r="H11913" s="16" t="n">
        <f aca="false">Assumptions!$N$62*MIN(H11904+H11911+H11909-H11910-H11912,MAX(0,H12025-H11848-H11861-H11874-H11887-H11900))</f>
        <v>0</v>
      </c>
      <c r="I11913" s="16" t="n">
        <f aca="false">Assumptions!$N$62*MIN(I11904+I11911+I11909-I11910-I11912,MAX(0,I12025-I11848-I11861-I11874-I11887-I11900))</f>
        <v>0</v>
      </c>
      <c r="J11913" s="16" t="n">
        <f aca="false">Assumptions!$N$62*MIN(J11904+J11911+J11909-J11910-J11912,MAX(0,J12025-J11848-J11861-J11874-J11887-J11900))</f>
        <v>0</v>
      </c>
      <c r="K11913" s="16" t="n">
        <f aca="false">Assumptions!$N$62*MIN(K11904+K11911+K11909-K11910-K11912,MAX(0,K12025-K11848-K11861-K11874-K11887-K11900))</f>
        <v>0</v>
      </c>
    </row>
    <row r="11914" customFormat="false" ht="15" hidden="false" customHeight="false" outlineLevel="0" collapsed="false">
      <c r="A11914" s="3" t="s">
        <v>338</v>
      </c>
      <c r="G11914" s="16" t="n">
        <f aca="false">G11905*(1-G11837)*(G11904-G11910+G11909-G11912)</f>
        <v>0</v>
      </c>
      <c r="H11914" s="16" t="n">
        <f aca="false">H11905*(1-H11837)*(H11904-H11910+H11909-H11912)</f>
        <v>350</v>
      </c>
      <c r="I11914" s="16" t="n">
        <f aca="false">I11905*(1-I11837)*(I11904-I11910+I11909-I11912)</f>
        <v>0</v>
      </c>
      <c r="J11914" s="16" t="n">
        <f aca="false">J11905*(1-J11837)*(J11904-J11910+J11909-J11912)</f>
        <v>0</v>
      </c>
      <c r="K11914" s="16" t="n">
        <f aca="false">K11905*(1-K11837)*(K11904-K11910+K11909-K11912)</f>
        <v>0</v>
      </c>
    </row>
    <row r="11915" customFormat="false" ht="15" hidden="false" customHeight="false" outlineLevel="0" collapsed="false">
      <c r="A11915" s="2" t="s">
        <v>339</v>
      </c>
      <c r="F11915" s="28" t="n">
        <f aca="false">Assumptions!$C$62</f>
        <v>350</v>
      </c>
      <c r="G11915" s="17" t="n">
        <f aca="false">G11904+G11911+G11909-G11910-G11912-G11913</f>
        <v>350</v>
      </c>
      <c r="H11915" s="17" t="n">
        <f aca="false">H11904+H11911+H11909-H11910-H11912-H11913</f>
        <v>350</v>
      </c>
      <c r="I11915" s="17" t="n">
        <f aca="false">I11904+I11911+I11909-I11910-I11912-I11913</f>
        <v>350</v>
      </c>
      <c r="J11915" s="17" t="n">
        <f aca="false">J11904+J11911+J11909-J11910-J11912-J11913</f>
        <v>350</v>
      </c>
      <c r="K11915" s="17" t="n">
        <f aca="false">K11904+K11911+K11909-K11910-K11912-K11913</f>
        <v>350</v>
      </c>
    </row>
    <row r="11916" customFormat="false" ht="15" hidden="false" customHeight="false" outlineLevel="0" collapsed="false">
      <c r="A11916" s="24" t="s">
        <v>345</v>
      </c>
      <c r="B11916" s="25"/>
      <c r="C11916" s="25"/>
      <c r="D11916" s="25"/>
      <c r="E11916" s="25"/>
      <c r="F11916" s="25"/>
      <c r="G11916" s="25"/>
      <c r="H11916" s="25"/>
      <c r="I11916" s="25"/>
      <c r="J11916" s="25"/>
      <c r="K11916" s="25"/>
    </row>
    <row r="11917" customFormat="false" ht="15" hidden="false" customHeight="false" outlineLevel="0" collapsed="false">
      <c r="A11917" s="3" t="s">
        <v>329</v>
      </c>
      <c r="G11917" s="16" t="n">
        <f aca="false">F11928</f>
        <v>550</v>
      </c>
      <c r="H11917" s="16" t="n">
        <f aca="false">G11928</f>
        <v>550</v>
      </c>
      <c r="I11917" s="16" t="n">
        <f aca="false">H11928</f>
        <v>550</v>
      </c>
      <c r="J11917" s="16" t="n">
        <f aca="false">I11928</f>
        <v>550</v>
      </c>
      <c r="K11917" s="16" t="n">
        <f aca="false">J11928</f>
        <v>550</v>
      </c>
    </row>
    <row r="11918" customFormat="false" ht="15" hidden="false" customHeight="false" outlineLevel="0" collapsed="false">
      <c r="A11918" s="3" t="s">
        <v>330</v>
      </c>
      <c r="G11918" s="21" t="n">
        <f aca="false">IF(G11803=Assumptions!$K$63,1,0)</f>
        <v>0</v>
      </c>
      <c r="H11918" s="21" t="n">
        <f aca="false">IF(H11803=Assumptions!$K$63,1,0)</f>
        <v>0</v>
      </c>
      <c r="I11918" s="21" t="n">
        <f aca="false">IF(I11803=Assumptions!$K$63,1,0)</f>
        <v>1</v>
      </c>
      <c r="J11918" s="21" t="n">
        <f aca="false">IF(J11803=Assumptions!$K$63,1,0)</f>
        <v>0</v>
      </c>
      <c r="K11918" s="21" t="n">
        <f aca="false">IF(K11803=Assumptions!$K$63,1,0)</f>
        <v>0</v>
      </c>
    </row>
    <row r="11920" customFormat="false" ht="15" hidden="false" customHeight="false" outlineLevel="0" collapsed="false">
      <c r="A11920" s="3" t="s">
        <v>331</v>
      </c>
      <c r="G11920" s="31" t="n">
        <f aca="false">IF(Assumptions!$I$63=1,MAX(G11829,Assumptions!$G$63)+Assumptions!$F$63+$C$11830,Assumptions!$E$63)</f>
        <v>0.08875</v>
      </c>
      <c r="H11920" s="31" t="n">
        <f aca="false">IF(G12155=1,$C$11831,IF(Assumptions!$I$63=1,MAX(H11829,Assumptions!$G$63)+Assumptions!$F$63+$C$11830,Assumptions!$E$63))</f>
        <v>0.08875</v>
      </c>
      <c r="I11920" s="31" t="n">
        <f aca="false">IF(H12155=1,$C$11831,IF(Assumptions!$I$63=1,MAX(I11829,Assumptions!$G$63)+Assumptions!$F$63+$C$11830,Assumptions!$E$63))</f>
        <v>0.08875</v>
      </c>
      <c r="J11920" s="31" t="n">
        <f aca="false">IF(I12155=1,$C$11831,IF(Assumptions!$I$63=1,MAX(J11829,Assumptions!$G$63)+Assumptions!$F$63+$C$11830,Assumptions!$E$63))</f>
        <v>0.08875</v>
      </c>
      <c r="K11920" s="31" t="n">
        <f aca="false">IF(J12155=1,$C$11831,IF(Assumptions!$I$63=1,MAX(K11829,Assumptions!$G$63)+Assumptions!$F$63+$C$11830,Assumptions!$E$63))</f>
        <v>0.08875</v>
      </c>
    </row>
    <row r="11921" customFormat="false" ht="15" hidden="false" customHeight="false" outlineLevel="0" collapsed="false">
      <c r="A11921" s="3" t="s">
        <v>332</v>
      </c>
      <c r="G11921" s="16" t="n">
        <f aca="false">G11917*G11920</f>
        <v>48.8125</v>
      </c>
      <c r="H11921" s="16" t="n">
        <f aca="false">H11917*H11920</f>
        <v>48.8125</v>
      </c>
      <c r="I11921" s="16" t="n">
        <f aca="false">I11917*I11920</f>
        <v>48.8125</v>
      </c>
      <c r="J11921" s="16" t="n">
        <f aca="false">J11917*J11920</f>
        <v>48.8125</v>
      </c>
      <c r="K11921" s="16" t="n">
        <f aca="false">K11917*K11920</f>
        <v>48.8125</v>
      </c>
    </row>
    <row r="11922" customFormat="false" ht="15" hidden="false" customHeight="false" outlineLevel="0" collapsed="false">
      <c r="A11922" s="3" t="s">
        <v>333</v>
      </c>
      <c r="G11922" s="16" t="n">
        <f aca="false">G11917*Assumptions!$H$63</f>
        <v>0</v>
      </c>
      <c r="H11922" s="16" t="n">
        <f aca="false">H11917*Assumptions!$H$63</f>
        <v>0</v>
      </c>
      <c r="I11922" s="16" t="n">
        <f aca="false">I11917*Assumptions!$H$63</f>
        <v>0</v>
      </c>
      <c r="J11922" s="16" t="n">
        <f aca="false">J11917*Assumptions!$H$63</f>
        <v>0</v>
      </c>
      <c r="K11922" s="16" t="n">
        <f aca="false">K11917*Assumptions!$H$63</f>
        <v>0</v>
      </c>
    </row>
    <row r="11923" customFormat="false" ht="15" hidden="false" customHeight="false" outlineLevel="0" collapsed="false">
      <c r="A11923" s="3" t="s">
        <v>334</v>
      </c>
      <c r="G11923" s="16" t="n">
        <f aca="false">MIN(G11917,Assumptions!$L$63*Assumptions!$C$63)</f>
        <v>0</v>
      </c>
      <c r="H11923" s="16" t="n">
        <f aca="false">MIN(H11917,Assumptions!$L$63*Assumptions!$C$63)</f>
        <v>0</v>
      </c>
      <c r="I11923" s="16" t="n">
        <f aca="false">MIN(I11917,Assumptions!$L$63*Assumptions!$C$63)</f>
        <v>0</v>
      </c>
      <c r="J11923" s="16" t="n">
        <f aca="false">MIN(J11917,Assumptions!$L$63*Assumptions!$C$63)</f>
        <v>0</v>
      </c>
      <c r="K11923" s="16" t="n">
        <f aca="false">MIN(K11917,Assumptions!$L$63*Assumptions!$C$63)</f>
        <v>0</v>
      </c>
    </row>
    <row r="11924" customFormat="false" ht="15" hidden="false" customHeight="false" outlineLevel="0" collapsed="false">
      <c r="A11924" s="3" t="s">
        <v>335</v>
      </c>
      <c r="G11924" s="16" t="n">
        <f aca="false">IF(AND(Assumptions!$P$63=1,G11803&lt;Assumptions!$K$63),MIN(MAX(0,-G12019),MAX(0,Assumptions!$D$63-G11917)),0)</f>
        <v>0</v>
      </c>
      <c r="H11924" s="16" t="n">
        <f aca="false">IF(AND(Assumptions!$P$63=1,OR(H11803&lt;Assumptions!$K$63,G12155=1)),MIN(MAX(0,-H12019),MAX(0,Assumptions!$D$63-H11917)),0)</f>
        <v>0</v>
      </c>
      <c r="I11924" s="16" t="n">
        <f aca="false">IF(AND(Assumptions!$P$63=1,OR(I11803&lt;Assumptions!$K$63,H12155=1)),MIN(MAX(0,-I12019),MAX(0,Assumptions!$D$63-I11917)),0)</f>
        <v>0</v>
      </c>
      <c r="J11924" s="16" t="n">
        <f aca="false">IF(AND(Assumptions!$P$63=1,OR(J11803&lt;Assumptions!$K$63,I12155=1)),MIN(MAX(0,-J12019),MAX(0,Assumptions!$D$63-J11917)),0)</f>
        <v>0</v>
      </c>
      <c r="K11924" s="16" t="n">
        <f aca="false">IF(AND(Assumptions!$P$63=1,OR(K11803&lt;Assumptions!$K$63,J12155=1)),MIN(MAX(0,-K12019),MAX(0,Assumptions!$D$63-K11917)),0)</f>
        <v>0</v>
      </c>
    </row>
    <row r="11925" customFormat="false" ht="15" hidden="false" customHeight="false" outlineLevel="0" collapsed="false">
      <c r="A11925" s="3" t="s">
        <v>336</v>
      </c>
      <c r="G11925" s="16" t="n">
        <f aca="false">G11918*MIN(G11917-G11923+G11922,MAX(0,G12021-Assumptions!$C$12*G11837-G11847-G11860-G11873-G11886-G11899-G11912))</f>
        <v>0</v>
      </c>
      <c r="H11925" s="16" t="n">
        <f aca="false">H11918*MIN(H11917-H11923+H11922,MAX(0,H12021-Assumptions!$C$12*H11837-H11847-H11860-H11873-H11886-H11899-H11912))</f>
        <v>0</v>
      </c>
      <c r="I11925" s="16" t="n">
        <f aca="false">I11918*MIN(I11917-I11923+I11922,MAX(0,I12021-Assumptions!$C$12*I11837-I11847-I11860-I11873-I11886-I11899-I11912))</f>
        <v>0</v>
      </c>
      <c r="J11925" s="16" t="n">
        <f aca="false">J11918*MIN(J11917-J11923+J11922,MAX(0,J12021-Assumptions!$C$12*J11837-J11847-J11860-J11873-J11886-J11899-J11912))</f>
        <v>0</v>
      </c>
      <c r="K11925" s="16" t="n">
        <f aca="false">K11918*MIN(K11917-K11923+K11922,MAX(0,K12021-Assumptions!$C$12*K11837-K11847-K11860-K11873-K11886-K11899-K11912))</f>
        <v>0</v>
      </c>
    </row>
    <row r="11926" customFormat="false" ht="15" hidden="false" customHeight="false" outlineLevel="0" collapsed="false">
      <c r="A11926" s="3" t="s">
        <v>337</v>
      </c>
      <c r="G11926" s="16" t="n">
        <f aca="false">Assumptions!$N$63*MIN(G11917+G11924+G11922-G11923-G11925,MAX(0,G12025-G11848-G11861-G11874-G11887-G11900-G11913))</f>
        <v>0</v>
      </c>
      <c r="H11926" s="16" t="n">
        <f aca="false">Assumptions!$N$63*MIN(H11917+H11924+H11922-H11923-H11925,MAX(0,H12025-H11848-H11861-H11874-H11887-H11900-H11913))</f>
        <v>0</v>
      </c>
      <c r="I11926" s="16" t="n">
        <f aca="false">Assumptions!$N$63*MIN(I11917+I11924+I11922-I11923-I11925,MAX(0,I12025-I11848-I11861-I11874-I11887-I11900-I11913))</f>
        <v>0</v>
      </c>
      <c r="J11926" s="16" t="n">
        <f aca="false">Assumptions!$N$63*MIN(J11917+J11924+J11922-J11923-J11925,MAX(0,J12025-J11848-J11861-J11874-J11887-J11900-J11913))</f>
        <v>0</v>
      </c>
      <c r="K11926" s="16" t="n">
        <f aca="false">Assumptions!$N$63*MIN(K11917+K11924+K11922-K11923-K11925,MAX(0,K12025-K11848-K11861-K11874-K11887-K11900-K11913))</f>
        <v>0</v>
      </c>
    </row>
    <row r="11927" customFormat="false" ht="15" hidden="false" customHeight="false" outlineLevel="0" collapsed="false">
      <c r="A11927" s="3" t="s">
        <v>338</v>
      </c>
      <c r="G11927" s="16" t="n">
        <f aca="false">G11918*(1-G11837)*(G11917-G11923+G11922-G11925)</f>
        <v>0</v>
      </c>
      <c r="H11927" s="16" t="n">
        <f aca="false">H11918*(1-H11837)*(H11917-H11923+H11922-H11925)</f>
        <v>0</v>
      </c>
      <c r="I11927" s="16" t="n">
        <f aca="false">I11918*(1-I11837)*(I11917-I11923+I11922-I11925)</f>
        <v>550</v>
      </c>
      <c r="J11927" s="16" t="n">
        <f aca="false">J11918*(1-J11837)*(J11917-J11923+J11922-J11925)</f>
        <v>0</v>
      </c>
      <c r="K11927" s="16" t="n">
        <f aca="false">K11918*(1-K11837)*(K11917-K11923+K11922-K11925)</f>
        <v>0</v>
      </c>
    </row>
    <row r="11928" customFormat="false" ht="15" hidden="false" customHeight="false" outlineLevel="0" collapsed="false">
      <c r="A11928" s="2" t="s">
        <v>339</v>
      </c>
      <c r="F11928" s="28" t="n">
        <f aca="false">Assumptions!$C$63</f>
        <v>550</v>
      </c>
      <c r="G11928" s="17" t="n">
        <f aca="false">G11917+G11924+G11922-G11923-G11925-G11926</f>
        <v>550</v>
      </c>
      <c r="H11928" s="17" t="n">
        <f aca="false">H11917+H11924+H11922-H11923-H11925-H11926</f>
        <v>550</v>
      </c>
      <c r="I11928" s="17" t="n">
        <f aca="false">I11917+I11924+I11922-I11923-I11925-I11926</f>
        <v>550</v>
      </c>
      <c r="J11928" s="17" t="n">
        <f aca="false">J11917+J11924+J11922-J11923-J11925-J11926</f>
        <v>550</v>
      </c>
      <c r="K11928" s="17" t="n">
        <f aca="false">K11917+K11924+K11922-K11923-K11925-K11926</f>
        <v>550</v>
      </c>
    </row>
    <row r="11929" customFormat="false" ht="15" hidden="false" customHeight="false" outlineLevel="0" collapsed="false">
      <c r="A11929" s="24" t="s">
        <v>346</v>
      </c>
      <c r="B11929" s="25"/>
      <c r="C11929" s="25"/>
      <c r="D11929" s="25"/>
      <c r="E11929" s="25"/>
      <c r="F11929" s="25"/>
      <c r="G11929" s="25"/>
      <c r="H11929" s="25"/>
      <c r="I11929" s="25"/>
      <c r="J11929" s="25"/>
      <c r="K11929" s="25"/>
    </row>
    <row r="11930" customFormat="false" ht="15" hidden="false" customHeight="false" outlineLevel="0" collapsed="false">
      <c r="A11930" s="3" t="s">
        <v>329</v>
      </c>
      <c r="G11930" s="16" t="n">
        <f aca="false">F11941</f>
        <v>350</v>
      </c>
      <c r="H11930" s="16" t="n">
        <f aca="false">G11941</f>
        <v>350</v>
      </c>
      <c r="I11930" s="16" t="n">
        <f aca="false">H11941</f>
        <v>350</v>
      </c>
      <c r="J11930" s="16" t="n">
        <f aca="false">I11941</f>
        <v>350</v>
      </c>
      <c r="K11930" s="16" t="n">
        <f aca="false">J11941</f>
        <v>350</v>
      </c>
    </row>
    <row r="11931" customFormat="false" ht="15" hidden="false" customHeight="false" outlineLevel="0" collapsed="false">
      <c r="A11931" s="3" t="s">
        <v>330</v>
      </c>
      <c r="G11931" s="21" t="n">
        <f aca="false">IF(G11803=Assumptions!$K$64,1,0)</f>
        <v>0</v>
      </c>
      <c r="H11931" s="21" t="n">
        <f aca="false">IF(H11803=Assumptions!$K$64,1,0)</f>
        <v>0</v>
      </c>
      <c r="I11931" s="21" t="n">
        <f aca="false">IF(I11803=Assumptions!$K$64,1,0)</f>
        <v>0</v>
      </c>
      <c r="J11931" s="21" t="n">
        <f aca="false">IF(J11803=Assumptions!$K$64,1,0)</f>
        <v>1</v>
      </c>
      <c r="K11931" s="21" t="n">
        <f aca="false">IF(K11803=Assumptions!$K$64,1,0)</f>
        <v>0</v>
      </c>
    </row>
    <row r="11933" customFormat="false" ht="15" hidden="false" customHeight="false" outlineLevel="0" collapsed="false">
      <c r="A11933" s="3" t="s">
        <v>331</v>
      </c>
      <c r="G11933" s="31" t="n">
        <f aca="false">IF(Assumptions!$I$64=1,MAX(G11829,Assumptions!$G$64)+Assumptions!$F$64+$C$11830,Assumptions!$E$64)</f>
        <v>0.0455</v>
      </c>
      <c r="H11933" s="31" t="n">
        <f aca="false">IF(G12156=1,$C$11831,IF(Assumptions!$I$64=1,MAX(H11829,Assumptions!$G$64)+Assumptions!$F$64+$C$11830,Assumptions!$E$64))</f>
        <v>0.0455</v>
      </c>
      <c r="I11933" s="31" t="n">
        <f aca="false">IF(H12156=1,$C$11831,IF(Assumptions!$I$64=1,MAX(I11829,Assumptions!$G$64)+Assumptions!$F$64+$C$11830,Assumptions!$E$64))</f>
        <v>0.0455</v>
      </c>
      <c r="J11933" s="31" t="n">
        <f aca="false">IF(I12156=1,$C$11831,IF(Assumptions!$I$64=1,MAX(J11829,Assumptions!$G$64)+Assumptions!$F$64+$C$11830,Assumptions!$E$64))</f>
        <v>0.0455</v>
      </c>
      <c r="K11933" s="31" t="n">
        <f aca="false">IF(J12156=1,$C$11831,IF(Assumptions!$I$64=1,MAX(K11829,Assumptions!$G$64)+Assumptions!$F$64+$C$11830,Assumptions!$E$64))</f>
        <v>0.0455</v>
      </c>
    </row>
    <row r="11934" customFormat="false" ht="15" hidden="false" customHeight="false" outlineLevel="0" collapsed="false">
      <c r="A11934" s="3" t="s">
        <v>332</v>
      </c>
      <c r="G11934" s="16" t="n">
        <f aca="false">G11930*G11933</f>
        <v>15.925</v>
      </c>
      <c r="H11934" s="16" t="n">
        <f aca="false">H11930*H11933</f>
        <v>15.925</v>
      </c>
      <c r="I11934" s="16" t="n">
        <f aca="false">I11930*I11933</f>
        <v>15.925</v>
      </c>
      <c r="J11934" s="16" t="n">
        <f aca="false">J11930*J11933</f>
        <v>15.925</v>
      </c>
      <c r="K11934" s="16" t="n">
        <f aca="false">K11930*K11933</f>
        <v>15.925</v>
      </c>
    </row>
    <row r="11935" customFormat="false" ht="15" hidden="false" customHeight="false" outlineLevel="0" collapsed="false">
      <c r="A11935" s="3" t="s">
        <v>333</v>
      </c>
      <c r="G11935" s="16" t="n">
        <f aca="false">G11930*Assumptions!$H$64</f>
        <v>0</v>
      </c>
      <c r="H11935" s="16" t="n">
        <f aca="false">H11930*Assumptions!$H$64</f>
        <v>0</v>
      </c>
      <c r="I11935" s="16" t="n">
        <f aca="false">I11930*Assumptions!$H$64</f>
        <v>0</v>
      </c>
      <c r="J11935" s="16" t="n">
        <f aca="false">J11930*Assumptions!$H$64</f>
        <v>0</v>
      </c>
      <c r="K11935" s="16" t="n">
        <f aca="false">K11930*Assumptions!$H$64</f>
        <v>0</v>
      </c>
    </row>
    <row r="11936" customFormat="false" ht="15" hidden="false" customHeight="false" outlineLevel="0" collapsed="false">
      <c r="A11936" s="3" t="s">
        <v>334</v>
      </c>
      <c r="G11936" s="16" t="n">
        <f aca="false">MIN(G11930,Assumptions!$L$64*Assumptions!$C$64)</f>
        <v>0</v>
      </c>
      <c r="H11936" s="16" t="n">
        <f aca="false">MIN(H11930,Assumptions!$L$64*Assumptions!$C$64)</f>
        <v>0</v>
      </c>
      <c r="I11936" s="16" t="n">
        <f aca="false">MIN(I11930,Assumptions!$L$64*Assumptions!$C$64)</f>
        <v>0</v>
      </c>
      <c r="J11936" s="16" t="n">
        <f aca="false">MIN(J11930,Assumptions!$L$64*Assumptions!$C$64)</f>
        <v>0</v>
      </c>
      <c r="K11936" s="16" t="n">
        <f aca="false">MIN(K11930,Assumptions!$L$64*Assumptions!$C$64)</f>
        <v>0</v>
      </c>
    </row>
    <row r="11937" customFormat="false" ht="15" hidden="false" customHeight="false" outlineLevel="0" collapsed="false">
      <c r="A11937" s="3" t="s">
        <v>335</v>
      </c>
      <c r="G11937" s="16" t="n">
        <f aca="false">IF(AND(Assumptions!$P$64=1,G11803&lt;Assumptions!$K$64),MIN(MAX(0,-G12019),MAX(0,Assumptions!$D$64-G11930)),0)</f>
        <v>0</v>
      </c>
      <c r="H11937" s="16" t="n">
        <f aca="false">IF(AND(Assumptions!$P$64=1,OR(H11803&lt;Assumptions!$K$64,G12156=1)),MIN(MAX(0,-H12019),MAX(0,Assumptions!$D$64-H11930)),0)</f>
        <v>0</v>
      </c>
      <c r="I11937" s="16" t="n">
        <f aca="false">IF(AND(Assumptions!$P$64=1,OR(I11803&lt;Assumptions!$K$64,H12156=1)),MIN(MAX(0,-I12019),MAX(0,Assumptions!$D$64-I11930)),0)</f>
        <v>0</v>
      </c>
      <c r="J11937" s="16" t="n">
        <f aca="false">IF(AND(Assumptions!$P$64=1,OR(J11803&lt;Assumptions!$K$64,I12156=1)),MIN(MAX(0,-J12019),MAX(0,Assumptions!$D$64-J11930)),0)</f>
        <v>0</v>
      </c>
      <c r="K11937" s="16" t="n">
        <f aca="false">IF(AND(Assumptions!$P$64=1,OR(K11803&lt;Assumptions!$K$64,J12156=1)),MIN(MAX(0,-K12019),MAX(0,Assumptions!$D$64-K11930)),0)</f>
        <v>0</v>
      </c>
    </row>
    <row r="11938" customFormat="false" ht="15" hidden="false" customHeight="false" outlineLevel="0" collapsed="false">
      <c r="A11938" s="3" t="s">
        <v>336</v>
      </c>
      <c r="G11938" s="16" t="n">
        <f aca="false">G11931*MIN(G11930-G11936+G11935,MAX(0,G12021-Assumptions!$C$12*G11837-G11847-G11860-G11873-G11886-G11899-G11912-G11925))</f>
        <v>0</v>
      </c>
      <c r="H11938" s="16" t="n">
        <f aca="false">H11931*MIN(H11930-H11936+H11935,MAX(0,H12021-Assumptions!$C$12*H11837-H11847-H11860-H11873-H11886-H11899-H11912-H11925))</f>
        <v>0</v>
      </c>
      <c r="I11938" s="16" t="n">
        <f aca="false">I11931*MIN(I11930-I11936+I11935,MAX(0,I12021-Assumptions!$C$12*I11837-I11847-I11860-I11873-I11886-I11899-I11912-I11925))</f>
        <v>0</v>
      </c>
      <c r="J11938" s="16" t="n">
        <f aca="false">J11931*MIN(J11930-J11936+J11935,MAX(0,J12021-Assumptions!$C$12*J11837-J11847-J11860-J11873-J11886-J11899-J11912-J11925))</f>
        <v>0</v>
      </c>
      <c r="K11938" s="16" t="n">
        <f aca="false">K11931*MIN(K11930-K11936+K11935,MAX(0,K12021-Assumptions!$C$12*K11837-K11847-K11860-K11873-K11886-K11899-K11912-K11925))</f>
        <v>0</v>
      </c>
    </row>
    <row r="11939" customFormat="false" ht="15" hidden="false" customHeight="false" outlineLevel="0" collapsed="false">
      <c r="A11939" s="3" t="s">
        <v>337</v>
      </c>
      <c r="G11939" s="16" t="n">
        <f aca="false">Assumptions!$N$64*MIN(G11930+G11937+G11935-G11936-G11938,MAX(0,G12025-G11848-G11861-G11874-G11887-G11900-G11913-G11926))</f>
        <v>0</v>
      </c>
      <c r="H11939" s="16" t="n">
        <f aca="false">Assumptions!$N$64*MIN(H11930+H11937+H11935-H11936-H11938,MAX(0,H12025-H11848-H11861-H11874-H11887-H11900-H11913-H11926))</f>
        <v>0</v>
      </c>
      <c r="I11939" s="16" t="n">
        <f aca="false">Assumptions!$N$64*MIN(I11930+I11937+I11935-I11936-I11938,MAX(0,I12025-I11848-I11861-I11874-I11887-I11900-I11913-I11926))</f>
        <v>0</v>
      </c>
      <c r="J11939" s="16" t="n">
        <f aca="false">Assumptions!$N$64*MIN(J11930+J11937+J11935-J11936-J11938,MAX(0,J12025-J11848-J11861-J11874-J11887-J11900-J11913-J11926))</f>
        <v>0</v>
      </c>
      <c r="K11939" s="16" t="n">
        <f aca="false">Assumptions!$N$64*MIN(K11930+K11937+K11935-K11936-K11938,MAX(0,K12025-K11848-K11861-K11874-K11887-K11900-K11913-K11926))</f>
        <v>0</v>
      </c>
    </row>
    <row r="11940" customFormat="false" ht="15" hidden="false" customHeight="false" outlineLevel="0" collapsed="false">
      <c r="A11940" s="3" t="s">
        <v>338</v>
      </c>
      <c r="G11940" s="16" t="n">
        <f aca="false">G11931*(1-G11837)*(G11930-G11936+G11935-G11938)</f>
        <v>0</v>
      </c>
      <c r="H11940" s="16" t="n">
        <f aca="false">H11931*(1-H11837)*(H11930-H11936+H11935-H11938)</f>
        <v>0</v>
      </c>
      <c r="I11940" s="16" t="n">
        <f aca="false">I11931*(1-I11837)*(I11930-I11936+I11935-I11938)</f>
        <v>0</v>
      </c>
      <c r="J11940" s="16" t="n">
        <f aca="false">J11931*(1-J11837)*(J11930-J11936+J11935-J11938)</f>
        <v>350</v>
      </c>
      <c r="K11940" s="16" t="n">
        <f aca="false">K11931*(1-K11837)*(K11930-K11936+K11935-K11938)</f>
        <v>0</v>
      </c>
    </row>
    <row r="11941" customFormat="false" ht="15" hidden="false" customHeight="false" outlineLevel="0" collapsed="false">
      <c r="A11941" s="2" t="s">
        <v>339</v>
      </c>
      <c r="F11941" s="28" t="n">
        <f aca="false">Assumptions!$C$64</f>
        <v>350</v>
      </c>
      <c r="G11941" s="17" t="n">
        <f aca="false">G11930+G11937+G11935-G11936-G11938-G11939</f>
        <v>350</v>
      </c>
      <c r="H11941" s="17" t="n">
        <f aca="false">H11930+H11937+H11935-H11936-H11938-H11939</f>
        <v>350</v>
      </c>
      <c r="I11941" s="17" t="n">
        <f aca="false">I11930+I11937+I11935-I11936-I11938-I11939</f>
        <v>350</v>
      </c>
      <c r="J11941" s="17" t="n">
        <f aca="false">J11930+J11937+J11935-J11936-J11938-J11939</f>
        <v>350</v>
      </c>
      <c r="K11941" s="17" t="n">
        <f aca="false">K11930+K11937+K11935-K11936-K11938-K11939</f>
        <v>350</v>
      </c>
    </row>
    <row r="11942" customFormat="false" ht="15" hidden="false" customHeight="false" outlineLevel="0" collapsed="false">
      <c r="A11942" s="24" t="s">
        <v>347</v>
      </c>
      <c r="B11942" s="25"/>
      <c r="C11942" s="25"/>
      <c r="D11942" s="25"/>
      <c r="E11942" s="25"/>
      <c r="F11942" s="25"/>
      <c r="G11942" s="25"/>
      <c r="H11942" s="25"/>
      <c r="I11942" s="25"/>
      <c r="J11942" s="25"/>
      <c r="K11942" s="25"/>
    </row>
    <row r="11943" customFormat="false" ht="15" hidden="false" customHeight="false" outlineLevel="0" collapsed="false">
      <c r="A11943" s="3" t="s">
        <v>329</v>
      </c>
      <c r="G11943" s="16" t="n">
        <f aca="false">F11954</f>
        <v>300</v>
      </c>
      <c r="H11943" s="16" t="n">
        <f aca="false">G11954</f>
        <v>300</v>
      </c>
      <c r="I11943" s="16" t="n">
        <f aca="false">H11954</f>
        <v>300</v>
      </c>
      <c r="J11943" s="16" t="n">
        <f aca="false">I11954</f>
        <v>300</v>
      </c>
      <c r="K11943" s="16" t="n">
        <f aca="false">J11954</f>
        <v>300</v>
      </c>
    </row>
    <row r="11944" customFormat="false" ht="15" hidden="false" customHeight="false" outlineLevel="0" collapsed="false">
      <c r="A11944" s="3" t="s">
        <v>330</v>
      </c>
      <c r="G11944" s="21" t="n">
        <f aca="false">IF(G11803=Assumptions!$K$65,1,0)</f>
        <v>0</v>
      </c>
      <c r="H11944" s="21" t="n">
        <f aca="false">IF(H11803=Assumptions!$K$65,1,0)</f>
        <v>0</v>
      </c>
      <c r="I11944" s="21" t="n">
        <f aca="false">IF(I11803=Assumptions!$K$65,1,0)</f>
        <v>0</v>
      </c>
      <c r="J11944" s="21" t="n">
        <f aca="false">IF(J11803=Assumptions!$K$65,1,0)</f>
        <v>0</v>
      </c>
      <c r="K11944" s="21" t="n">
        <f aca="false">IF(K11803=Assumptions!$K$65,1,0)</f>
        <v>1</v>
      </c>
    </row>
    <row r="11946" customFormat="false" ht="15" hidden="false" customHeight="false" outlineLevel="0" collapsed="false">
      <c r="A11946" s="3" t="s">
        <v>331</v>
      </c>
      <c r="G11946" s="31" t="n">
        <f aca="false">IF(Assumptions!$I$65=1,MAX(G11829,Assumptions!$G$65)+Assumptions!$F$65+$C$11830,Assumptions!$E$65)</f>
        <v>0.06125</v>
      </c>
      <c r="H11946" s="31" t="n">
        <f aca="false">IF(G12157=1,$C$11831,IF(Assumptions!$I$65=1,MAX(H11829,Assumptions!$G$65)+Assumptions!$F$65+$C$11830,Assumptions!$E$65))</f>
        <v>0.06125</v>
      </c>
      <c r="I11946" s="31" t="n">
        <f aca="false">IF(H12157=1,$C$11831,IF(Assumptions!$I$65=1,MAX(I11829,Assumptions!$G$65)+Assumptions!$F$65+$C$11830,Assumptions!$E$65))</f>
        <v>0.06125</v>
      </c>
      <c r="J11946" s="31" t="n">
        <f aca="false">IF(I12157=1,$C$11831,IF(Assumptions!$I$65=1,MAX(J11829,Assumptions!$G$65)+Assumptions!$F$65+$C$11830,Assumptions!$E$65))</f>
        <v>0.06125</v>
      </c>
      <c r="K11946" s="31" t="n">
        <f aca="false">IF(J12157=1,$C$11831,IF(Assumptions!$I$65=1,MAX(K11829,Assumptions!$G$65)+Assumptions!$F$65+$C$11830,Assumptions!$E$65))</f>
        <v>0.06125</v>
      </c>
    </row>
    <row r="11947" customFormat="false" ht="15" hidden="false" customHeight="false" outlineLevel="0" collapsed="false">
      <c r="A11947" s="3" t="s">
        <v>332</v>
      </c>
      <c r="G11947" s="16" t="n">
        <f aca="false">G11943*G11946</f>
        <v>18.375</v>
      </c>
      <c r="H11947" s="16" t="n">
        <f aca="false">H11943*H11946</f>
        <v>18.375</v>
      </c>
      <c r="I11947" s="16" t="n">
        <f aca="false">I11943*I11946</f>
        <v>18.375</v>
      </c>
      <c r="J11947" s="16" t="n">
        <f aca="false">J11943*J11946</f>
        <v>18.375</v>
      </c>
      <c r="K11947" s="16" t="n">
        <f aca="false">K11943*K11946</f>
        <v>18.375</v>
      </c>
    </row>
    <row r="11948" customFormat="false" ht="15" hidden="false" customHeight="false" outlineLevel="0" collapsed="false">
      <c r="A11948" s="3" t="s">
        <v>333</v>
      </c>
      <c r="G11948" s="16" t="n">
        <f aca="false">G11943*Assumptions!$H$65</f>
        <v>0</v>
      </c>
      <c r="H11948" s="16" t="n">
        <f aca="false">H11943*Assumptions!$H$65</f>
        <v>0</v>
      </c>
      <c r="I11948" s="16" t="n">
        <f aca="false">I11943*Assumptions!$H$65</f>
        <v>0</v>
      </c>
      <c r="J11948" s="16" t="n">
        <f aca="false">J11943*Assumptions!$H$65</f>
        <v>0</v>
      </c>
      <c r="K11948" s="16" t="n">
        <f aca="false">K11943*Assumptions!$H$65</f>
        <v>0</v>
      </c>
    </row>
    <row r="11949" customFormat="false" ht="15" hidden="false" customHeight="false" outlineLevel="0" collapsed="false">
      <c r="A11949" s="3" t="s">
        <v>334</v>
      </c>
      <c r="G11949" s="16" t="n">
        <f aca="false">MIN(G11943,Assumptions!$L$65*Assumptions!$C$65)</f>
        <v>0</v>
      </c>
      <c r="H11949" s="16" t="n">
        <f aca="false">MIN(H11943,Assumptions!$L$65*Assumptions!$C$65)</f>
        <v>0</v>
      </c>
      <c r="I11949" s="16" t="n">
        <f aca="false">MIN(I11943,Assumptions!$L$65*Assumptions!$C$65)</f>
        <v>0</v>
      </c>
      <c r="J11949" s="16" t="n">
        <f aca="false">MIN(J11943,Assumptions!$L$65*Assumptions!$C$65)</f>
        <v>0</v>
      </c>
      <c r="K11949" s="16" t="n">
        <f aca="false">MIN(K11943,Assumptions!$L$65*Assumptions!$C$65)</f>
        <v>0</v>
      </c>
    </row>
    <row r="11950" customFormat="false" ht="15" hidden="false" customHeight="false" outlineLevel="0" collapsed="false">
      <c r="A11950" s="3" t="s">
        <v>335</v>
      </c>
      <c r="G11950" s="16" t="n">
        <f aca="false">IF(AND(Assumptions!$P$65=1,G11803&lt;Assumptions!$K$65),MIN(MAX(0,-G12019),MAX(0,Assumptions!$D$65-G11943)),0)</f>
        <v>0</v>
      </c>
      <c r="H11950" s="16" t="n">
        <f aca="false">IF(AND(Assumptions!$P$65=1,OR(H11803&lt;Assumptions!$K$65,G12157=1)),MIN(MAX(0,-H12019),MAX(0,Assumptions!$D$65-H11943)),0)</f>
        <v>0</v>
      </c>
      <c r="I11950" s="16" t="n">
        <f aca="false">IF(AND(Assumptions!$P$65=1,OR(I11803&lt;Assumptions!$K$65,H12157=1)),MIN(MAX(0,-I12019),MAX(0,Assumptions!$D$65-I11943)),0)</f>
        <v>0</v>
      </c>
      <c r="J11950" s="16" t="n">
        <f aca="false">IF(AND(Assumptions!$P$65=1,OR(J11803&lt;Assumptions!$K$65,I12157=1)),MIN(MAX(0,-J12019),MAX(0,Assumptions!$D$65-J11943)),0)</f>
        <v>0</v>
      </c>
      <c r="K11950" s="16" t="n">
        <f aca="false">IF(AND(Assumptions!$P$65=1,OR(K11803&lt;Assumptions!$K$65,J12157=1)),MIN(MAX(0,-K12019),MAX(0,Assumptions!$D$65-K11943)),0)</f>
        <v>0</v>
      </c>
    </row>
    <row r="11951" customFormat="false" ht="15" hidden="false" customHeight="false" outlineLevel="0" collapsed="false">
      <c r="A11951" s="3" t="s">
        <v>336</v>
      </c>
      <c r="G11951" s="16" t="n">
        <f aca="false">G11944*MIN(G11943-G11949+G11948,MAX(0,G12021-Assumptions!$C$12*G11837-G11847-G11860-G11873-G11886-G11899-G11912-G11925-G11938))</f>
        <v>0</v>
      </c>
      <c r="H11951" s="16" t="n">
        <f aca="false">H11944*MIN(H11943-H11949+H11948,MAX(0,H12021-Assumptions!$C$12*H11837-H11847-H11860-H11873-H11886-H11899-H11912-H11925-H11938))</f>
        <v>0</v>
      </c>
      <c r="I11951" s="16" t="n">
        <f aca="false">I11944*MIN(I11943-I11949+I11948,MAX(0,I12021-Assumptions!$C$12*I11837-I11847-I11860-I11873-I11886-I11899-I11912-I11925-I11938))</f>
        <v>0</v>
      </c>
      <c r="J11951" s="16" t="n">
        <f aca="false">J11944*MIN(J11943-J11949+J11948,MAX(0,J12021-Assumptions!$C$12*J11837-J11847-J11860-J11873-J11886-J11899-J11912-J11925-J11938))</f>
        <v>0</v>
      </c>
      <c r="K11951" s="16" t="n">
        <f aca="false">K11944*MIN(K11943-K11949+K11948,MAX(0,K12021-Assumptions!$C$12*K11837-K11847-K11860-K11873-K11886-K11899-K11912-K11925-K11938))</f>
        <v>0</v>
      </c>
    </row>
    <row r="11952" customFormat="false" ht="15" hidden="false" customHeight="false" outlineLevel="0" collapsed="false">
      <c r="A11952" s="3" t="s">
        <v>337</v>
      </c>
      <c r="G11952" s="16" t="n">
        <f aca="false">Assumptions!$N$65*MIN(G11943+G11950+G11948-G11949-G11951,MAX(0,G12025-G11848-G11861-G11874-G11887-G11900-G11913-G11926-G11939))</f>
        <v>0</v>
      </c>
      <c r="H11952" s="16" t="n">
        <f aca="false">Assumptions!$N$65*MIN(H11943+H11950+H11948-H11949-H11951,MAX(0,H12025-H11848-H11861-H11874-H11887-H11900-H11913-H11926-H11939))</f>
        <v>0</v>
      </c>
      <c r="I11952" s="16" t="n">
        <f aca="false">Assumptions!$N$65*MIN(I11943+I11950+I11948-I11949-I11951,MAX(0,I12025-I11848-I11861-I11874-I11887-I11900-I11913-I11926-I11939))</f>
        <v>0</v>
      </c>
      <c r="J11952" s="16" t="n">
        <f aca="false">Assumptions!$N$65*MIN(J11943+J11950+J11948-J11949-J11951,MAX(0,J12025-J11848-J11861-J11874-J11887-J11900-J11913-J11926-J11939))</f>
        <v>0</v>
      </c>
      <c r="K11952" s="16" t="n">
        <f aca="false">Assumptions!$N$65*MIN(K11943+K11950+K11948-K11949-K11951,MAX(0,K12025-K11848-K11861-K11874-K11887-K11900-K11913-K11926-K11939))</f>
        <v>0</v>
      </c>
    </row>
    <row r="11953" customFormat="false" ht="15" hidden="false" customHeight="false" outlineLevel="0" collapsed="false">
      <c r="A11953" s="3" t="s">
        <v>338</v>
      </c>
      <c r="G11953" s="16" t="n">
        <f aca="false">G11944*(1-G11837)*(G11943-G11949+G11948-G11951)</f>
        <v>0</v>
      </c>
      <c r="H11953" s="16" t="n">
        <f aca="false">H11944*(1-H11837)*(H11943-H11949+H11948-H11951)</f>
        <v>0</v>
      </c>
      <c r="I11953" s="16" t="n">
        <f aca="false">I11944*(1-I11837)*(I11943-I11949+I11948-I11951)</f>
        <v>0</v>
      </c>
      <c r="J11953" s="16" t="n">
        <f aca="false">J11944*(1-J11837)*(J11943-J11949+J11948-J11951)</f>
        <v>0</v>
      </c>
      <c r="K11953" s="16" t="n">
        <f aca="false">K11944*(1-K11837)*(K11943-K11949+K11948-K11951)</f>
        <v>300</v>
      </c>
    </row>
    <row r="11954" customFormat="false" ht="15" hidden="false" customHeight="false" outlineLevel="0" collapsed="false">
      <c r="A11954" s="2" t="s">
        <v>339</v>
      </c>
      <c r="F11954" s="28" t="n">
        <f aca="false">Assumptions!$C$65</f>
        <v>300</v>
      </c>
      <c r="G11954" s="17" t="n">
        <f aca="false">G11943+G11950+G11948-G11949-G11951-G11952</f>
        <v>300</v>
      </c>
      <c r="H11954" s="17" t="n">
        <f aca="false">H11943+H11950+H11948-H11949-H11951-H11952</f>
        <v>300</v>
      </c>
      <c r="I11954" s="17" t="n">
        <f aca="false">I11943+I11950+I11948-I11949-I11951-I11952</f>
        <v>300</v>
      </c>
      <c r="J11954" s="17" t="n">
        <f aca="false">J11943+J11950+J11948-J11949-J11951-J11952</f>
        <v>300</v>
      </c>
      <c r="K11954" s="17" t="n">
        <f aca="false">K11943+K11950+K11948-K11949-K11951-K11952</f>
        <v>300</v>
      </c>
    </row>
    <row r="11955" customFormat="false" ht="15" hidden="false" customHeight="false" outlineLevel="0" collapsed="false">
      <c r="A11955" s="24" t="s">
        <v>348</v>
      </c>
      <c r="B11955" s="25"/>
      <c r="C11955" s="25"/>
      <c r="D11955" s="25"/>
      <c r="E11955" s="25"/>
      <c r="F11955" s="25"/>
      <c r="G11955" s="25"/>
      <c r="H11955" s="25"/>
      <c r="I11955" s="25"/>
      <c r="J11955" s="25"/>
      <c r="K11955" s="25"/>
    </row>
    <row r="11956" customFormat="false" ht="15" hidden="false" customHeight="false" outlineLevel="0" collapsed="false">
      <c r="A11956" s="3" t="s">
        <v>329</v>
      </c>
      <c r="G11956" s="16" t="n">
        <f aca="false">F11967</f>
        <v>78.61</v>
      </c>
      <c r="H11956" s="16" t="n">
        <f aca="false">G11967</f>
        <v>78.61</v>
      </c>
      <c r="I11956" s="16" t="n">
        <f aca="false">H11967</f>
        <v>78.61</v>
      </c>
      <c r="J11956" s="16" t="n">
        <f aca="false">I11967</f>
        <v>78.61</v>
      </c>
      <c r="K11956" s="16" t="n">
        <f aca="false">J11967</f>
        <v>78.61</v>
      </c>
    </row>
    <row r="11957" customFormat="false" ht="15" hidden="false" customHeight="false" outlineLevel="0" collapsed="false">
      <c r="A11957" s="3" t="s">
        <v>330</v>
      </c>
      <c r="G11957" s="21" t="n">
        <f aca="false">IF(G11803=Assumptions!$K$66,1,0)</f>
        <v>0</v>
      </c>
      <c r="H11957" s="21" t="n">
        <f aca="false">IF(H11803=Assumptions!$K$66,1,0)</f>
        <v>0</v>
      </c>
      <c r="I11957" s="21" t="n">
        <f aca="false">IF(I11803=Assumptions!$K$66,1,0)</f>
        <v>0</v>
      </c>
      <c r="J11957" s="21" t="n">
        <f aca="false">IF(J11803=Assumptions!$K$66,1,0)</f>
        <v>0</v>
      </c>
      <c r="K11957" s="21" t="n">
        <f aca="false">IF(K11803=Assumptions!$K$66,1,0)</f>
        <v>0</v>
      </c>
    </row>
    <row r="11959" customFormat="false" ht="15" hidden="false" customHeight="false" outlineLevel="0" collapsed="false">
      <c r="A11959" s="3" t="s">
        <v>331</v>
      </c>
      <c r="G11959" s="31" t="n">
        <f aca="false">IF(Assumptions!$I$66=1,MAX(G11829,Assumptions!$G$66)+Assumptions!$F$66+$C$11830,Assumptions!$E$66)</f>
        <v>0.0541</v>
      </c>
      <c r="H11959" s="31" t="n">
        <f aca="false">IF(G12158=1,$C$11831,IF(Assumptions!$I$66=1,MAX(H11829,Assumptions!$G$66)+Assumptions!$F$66+$C$11830,Assumptions!$E$66))</f>
        <v>0.0526</v>
      </c>
      <c r="I11959" s="31" t="n">
        <f aca="false">IF(H12158=1,$C$11831,IF(Assumptions!$I$66=1,MAX(I11829,Assumptions!$G$66)+Assumptions!$F$66+$C$11830,Assumptions!$E$66))</f>
        <v>0.0501</v>
      </c>
      <c r="J11959" s="31" t="n">
        <f aca="false">IF(I12158=1,$C$11831,IF(Assumptions!$I$66=1,MAX(J11829,Assumptions!$G$66)+Assumptions!$F$66+$C$11830,Assumptions!$E$66))</f>
        <v>0.0501</v>
      </c>
      <c r="K11959" s="31" t="n">
        <f aca="false">IF(J12158=1,$C$11831,IF(Assumptions!$I$66=1,MAX(K11829,Assumptions!$G$66)+Assumptions!$F$66+$C$11830,Assumptions!$E$66))</f>
        <v>0.0501</v>
      </c>
    </row>
    <row r="11960" customFormat="false" ht="15" hidden="false" customHeight="false" outlineLevel="0" collapsed="false">
      <c r="A11960" s="3" t="s">
        <v>332</v>
      </c>
      <c r="G11960" s="16" t="n">
        <f aca="false">G11956*G11959</f>
        <v>4.252801</v>
      </c>
      <c r="H11960" s="16" t="n">
        <f aca="false">H11956*H11959</f>
        <v>4.134886</v>
      </c>
      <c r="I11960" s="16" t="n">
        <f aca="false">I11956*I11959</f>
        <v>3.938361</v>
      </c>
      <c r="J11960" s="16" t="n">
        <f aca="false">J11956*J11959</f>
        <v>3.938361</v>
      </c>
      <c r="K11960" s="16" t="n">
        <f aca="false">K11956*K11959</f>
        <v>3.938361</v>
      </c>
    </row>
    <row r="11961" customFormat="false" ht="15" hidden="false" customHeight="false" outlineLevel="0" collapsed="false">
      <c r="A11961" s="3" t="s">
        <v>333</v>
      </c>
      <c r="G11961" s="16" t="n">
        <f aca="false">G11956*Assumptions!$H$66</f>
        <v>0</v>
      </c>
      <c r="H11961" s="16" t="n">
        <f aca="false">H11956*Assumptions!$H$66</f>
        <v>0</v>
      </c>
      <c r="I11961" s="16" t="n">
        <f aca="false">I11956*Assumptions!$H$66</f>
        <v>0</v>
      </c>
      <c r="J11961" s="16" t="n">
        <f aca="false">J11956*Assumptions!$H$66</f>
        <v>0</v>
      </c>
      <c r="K11961" s="16" t="n">
        <f aca="false">K11956*Assumptions!$H$66</f>
        <v>0</v>
      </c>
    </row>
    <row r="11962" customFormat="false" ht="15" hidden="false" customHeight="false" outlineLevel="0" collapsed="false">
      <c r="A11962" s="3" t="s">
        <v>334</v>
      </c>
      <c r="G11962" s="16" t="n">
        <f aca="false">MIN(G11956,Assumptions!$L$66*Assumptions!$C$66)</f>
        <v>0</v>
      </c>
      <c r="H11962" s="16" t="n">
        <f aca="false">MIN(H11956,Assumptions!$L$66*Assumptions!$C$66)</f>
        <v>0</v>
      </c>
      <c r="I11962" s="16" t="n">
        <f aca="false">MIN(I11956,Assumptions!$L$66*Assumptions!$C$66)</f>
        <v>0</v>
      </c>
      <c r="J11962" s="16" t="n">
        <f aca="false">MIN(J11956,Assumptions!$L$66*Assumptions!$C$66)</f>
        <v>0</v>
      </c>
      <c r="K11962" s="16" t="n">
        <f aca="false">MIN(K11956,Assumptions!$L$66*Assumptions!$C$66)</f>
        <v>0</v>
      </c>
    </row>
    <row r="11963" customFormat="false" ht="15" hidden="false" customHeight="false" outlineLevel="0" collapsed="false">
      <c r="A11963" s="3" t="s">
        <v>335</v>
      </c>
      <c r="G11963" s="16" t="n">
        <f aca="false">IF(AND(Assumptions!$P$66=1,G11803&lt;Assumptions!$K$66),MIN(MAX(0,-G12019),MAX(0,Assumptions!$D$66-G11956)),0)</f>
        <v>0</v>
      </c>
      <c r="H11963" s="16" t="n">
        <f aca="false">IF(AND(Assumptions!$P$66=1,OR(H11803&lt;Assumptions!$K$66,G12158=1)),MIN(MAX(0,-H12019),MAX(0,Assumptions!$D$66-H11956)),0)</f>
        <v>0</v>
      </c>
      <c r="I11963" s="16" t="n">
        <f aca="false">IF(AND(Assumptions!$P$66=1,OR(I11803&lt;Assumptions!$K$66,H12158=1)),MIN(MAX(0,-I12019),MAX(0,Assumptions!$D$66-I11956)),0)</f>
        <v>0</v>
      </c>
      <c r="J11963" s="16" t="n">
        <f aca="false">IF(AND(Assumptions!$P$66=1,OR(J11803&lt;Assumptions!$K$66,I12158=1)),MIN(MAX(0,-J12019),MAX(0,Assumptions!$D$66-J11956)),0)</f>
        <v>0</v>
      </c>
      <c r="K11963" s="16" t="n">
        <f aca="false">IF(AND(Assumptions!$P$66=1,OR(K11803&lt;Assumptions!$K$66,J12158=1)),MIN(MAX(0,-K12019),MAX(0,Assumptions!$D$66-K11956)),0)</f>
        <v>0</v>
      </c>
    </row>
    <row r="11964" customFormat="false" ht="15" hidden="false" customHeight="false" outlineLevel="0" collapsed="false">
      <c r="A11964" s="3" t="s">
        <v>336</v>
      </c>
      <c r="G11964" s="16" t="n">
        <f aca="false">G11957*MIN(G11956-G11962+G11961,MAX(0,G12021-Assumptions!$C$12*G11837-G11847-G11860-G11873-G11886-G11899-G11912-G11925-G11938-G11951))</f>
        <v>0</v>
      </c>
      <c r="H11964" s="16" t="n">
        <f aca="false">H11957*MIN(H11956-H11962+H11961,MAX(0,H12021-Assumptions!$C$12*H11837-H11847-H11860-H11873-H11886-H11899-H11912-H11925-H11938-H11951))</f>
        <v>0</v>
      </c>
      <c r="I11964" s="16" t="n">
        <f aca="false">I11957*MIN(I11956-I11962+I11961,MAX(0,I12021-Assumptions!$C$12*I11837-I11847-I11860-I11873-I11886-I11899-I11912-I11925-I11938-I11951))</f>
        <v>0</v>
      </c>
      <c r="J11964" s="16" t="n">
        <f aca="false">J11957*MIN(J11956-J11962+J11961,MAX(0,J12021-Assumptions!$C$12*J11837-J11847-J11860-J11873-J11886-J11899-J11912-J11925-J11938-J11951))</f>
        <v>0</v>
      </c>
      <c r="K11964" s="16" t="n">
        <f aca="false">K11957*MIN(K11956-K11962+K11961,MAX(0,K12021-Assumptions!$C$12*K11837-K11847-K11860-K11873-K11886-K11899-K11912-K11925-K11938-K11951))</f>
        <v>0</v>
      </c>
    </row>
    <row r="11965" customFormat="false" ht="15" hidden="false" customHeight="false" outlineLevel="0" collapsed="false">
      <c r="A11965" s="3" t="s">
        <v>337</v>
      </c>
      <c r="G11965" s="16" t="n">
        <f aca="false">Assumptions!$N$66*MIN(G11956+G11963+G11961-G11962-G11964,MAX(0,G12025-G11848-G11861-G11874-G11887-G11900-G11913-G11926-G11939-G11952))</f>
        <v>0</v>
      </c>
      <c r="H11965" s="16" t="n">
        <f aca="false">Assumptions!$N$66*MIN(H11956+H11963+H11961-H11962-H11964,MAX(0,H12025-H11848-H11861-H11874-H11887-H11900-H11913-H11926-H11939-H11952))</f>
        <v>0</v>
      </c>
      <c r="I11965" s="16" t="n">
        <f aca="false">Assumptions!$N$66*MIN(I11956+I11963+I11961-I11962-I11964,MAX(0,I12025-I11848-I11861-I11874-I11887-I11900-I11913-I11926-I11939-I11952))</f>
        <v>0</v>
      </c>
      <c r="J11965" s="16" t="n">
        <f aca="false">Assumptions!$N$66*MIN(J11956+J11963+J11961-J11962-J11964,MAX(0,J12025-J11848-J11861-J11874-J11887-J11900-J11913-J11926-J11939-J11952))</f>
        <v>0</v>
      </c>
      <c r="K11965" s="16" t="n">
        <f aca="false">Assumptions!$N$66*MIN(K11956+K11963+K11961-K11962-K11964,MAX(0,K12025-K11848-K11861-K11874-K11887-K11900-K11913-K11926-K11939-K11952))</f>
        <v>0</v>
      </c>
    </row>
    <row r="11966" customFormat="false" ht="15" hidden="false" customHeight="false" outlineLevel="0" collapsed="false">
      <c r="A11966" s="3" t="s">
        <v>338</v>
      </c>
      <c r="G11966" s="16" t="n">
        <f aca="false">G11957*(1-G11837)*(G11956-G11962+G11961-G11964)</f>
        <v>0</v>
      </c>
      <c r="H11966" s="16" t="n">
        <f aca="false">H11957*(1-H11837)*(H11956-H11962+H11961-H11964)</f>
        <v>0</v>
      </c>
      <c r="I11966" s="16" t="n">
        <f aca="false">I11957*(1-I11837)*(I11956-I11962+I11961-I11964)</f>
        <v>0</v>
      </c>
      <c r="J11966" s="16" t="n">
        <f aca="false">J11957*(1-J11837)*(J11956-J11962+J11961-J11964)</f>
        <v>0</v>
      </c>
      <c r="K11966" s="16" t="n">
        <f aca="false">K11957*(1-K11837)*(K11956-K11962+K11961-K11964)</f>
        <v>0</v>
      </c>
    </row>
    <row r="11967" customFormat="false" ht="15" hidden="false" customHeight="false" outlineLevel="0" collapsed="false">
      <c r="A11967" s="2" t="s">
        <v>339</v>
      </c>
      <c r="F11967" s="28" t="n">
        <f aca="false">Assumptions!$C$66</f>
        <v>78.61</v>
      </c>
      <c r="G11967" s="17" t="n">
        <f aca="false">G11956+G11963+G11961-G11962-G11964-G11965</f>
        <v>78.61</v>
      </c>
      <c r="H11967" s="17" t="n">
        <f aca="false">H11956+H11963+H11961-H11962-H11964-H11965</f>
        <v>78.61</v>
      </c>
      <c r="I11967" s="17" t="n">
        <f aca="false">I11956+I11963+I11961-I11962-I11964-I11965</f>
        <v>78.61</v>
      </c>
      <c r="J11967" s="17" t="n">
        <f aca="false">J11956+J11963+J11961-J11962-J11964-J11965</f>
        <v>78.61</v>
      </c>
      <c r="K11967" s="17" t="n">
        <f aca="false">K11956+K11963+K11961-K11962-K11964-K11965</f>
        <v>78.61</v>
      </c>
    </row>
    <row r="11968" customFormat="false" ht="15" hidden="false" customHeight="false" outlineLevel="0" collapsed="false">
      <c r="A11968" s="24" t="s">
        <v>349</v>
      </c>
      <c r="B11968" s="25"/>
      <c r="C11968" s="25"/>
      <c r="D11968" s="25"/>
      <c r="E11968" s="25"/>
      <c r="F11968" s="25"/>
      <c r="G11968" s="25"/>
      <c r="H11968" s="25"/>
      <c r="I11968" s="25"/>
      <c r="J11968" s="25"/>
      <c r="K11968" s="25"/>
    </row>
    <row r="11969" customFormat="false" ht="15" hidden="false" customHeight="false" outlineLevel="0" collapsed="false">
      <c r="A11969" s="2" t="s">
        <v>350</v>
      </c>
      <c r="F11969" s="17" t="n">
        <f aca="false">F11850+F11863+F11876+F11889+F11902+F11915+F11928+F11941+F11954+F11967</f>
        <v>2625.934</v>
      </c>
      <c r="G11969" s="17" t="n">
        <f aca="false">G11850+G11863+G11876+G11889+G11902+G11915+G11928+G11941+G11954+G11967</f>
        <v>2621.934</v>
      </c>
      <c r="H11969" s="17" t="n">
        <f aca="false">H11850+H11863+H11876+H11889+H11902+H11915+H11928+H11941+H11954+H11967</f>
        <v>2579.7399021708</v>
      </c>
      <c r="I11969" s="17" t="n">
        <f aca="false">I11850+I11863+I11876+I11889+I11902+I11915+I11928+I11941+I11954+I11967</f>
        <v>2575.7399021708</v>
      </c>
      <c r="J11969" s="17" t="n">
        <f aca="false">J11850+J11863+J11876+J11889+J11902+J11915+J11928+J11941+J11954+J11967</f>
        <v>2571.7399021708</v>
      </c>
      <c r="K11969" s="17" t="n">
        <f aca="false">K11850+K11863+K11876+K11889+K11902+K11915+K11928+K11941+K11954+K11967</f>
        <v>2567.7399021708</v>
      </c>
    </row>
    <row r="11970" customFormat="false" ht="15" hidden="false" customHeight="false" outlineLevel="0" collapsed="false">
      <c r="A11970" s="3" t="s">
        <v>351</v>
      </c>
      <c r="G11970" s="16" t="n">
        <f aca="false">G11840*Assumptions!$C$57+G11853*Assumptions!$C$58+G11866*Assumptions!$C$59+G11879*Assumptions!$C$60+G11892*Assumptions!$C$61+G11905*Assumptions!$C$62+G11918*Assumptions!$C$63+G11931*Assumptions!$C$64+G11944*Assumptions!$C$65+G11957*Assumptions!$C$66</f>
        <v>0</v>
      </c>
      <c r="H11970" s="16" t="n">
        <f aca="false">H11840*Assumptions!$C$57+H11853*Assumptions!$C$58+H11866*Assumptions!$C$59+H11879*Assumptions!$C$60+H11892*Assumptions!$C$61+H11905*Assumptions!$C$62+H11918*Assumptions!$C$63+H11931*Assumptions!$C$64+H11944*Assumptions!$C$65+H11957*Assumptions!$C$66</f>
        <v>800</v>
      </c>
      <c r="I11970" s="16" t="n">
        <f aca="false">I11840*Assumptions!$C$57+I11853*Assumptions!$C$58+I11866*Assumptions!$C$59+I11879*Assumptions!$C$60+I11892*Assumptions!$C$61+I11905*Assumptions!$C$62+I11918*Assumptions!$C$63+I11931*Assumptions!$C$64+I11944*Assumptions!$C$65+I11957*Assumptions!$C$66</f>
        <v>550</v>
      </c>
      <c r="J11970" s="16" t="n">
        <f aca="false">J11840*Assumptions!$C$57+J11853*Assumptions!$C$58+J11866*Assumptions!$C$59+J11879*Assumptions!$C$60+J11892*Assumptions!$C$61+J11905*Assumptions!$C$62+J11918*Assumptions!$C$63+J11931*Assumptions!$C$64+J11944*Assumptions!$C$65+J11957*Assumptions!$C$66</f>
        <v>350</v>
      </c>
      <c r="K11970" s="16" t="n">
        <f aca="false">K11840*Assumptions!$C$57+K11853*Assumptions!$C$58+K11866*Assumptions!$C$59+K11879*Assumptions!$C$60+K11892*Assumptions!$C$61+K11905*Assumptions!$C$62+K11918*Assumptions!$C$63+K11931*Assumptions!$C$64+K11944*Assumptions!$C$65+K11957*Assumptions!$C$66</f>
        <v>700</v>
      </c>
    </row>
    <row r="11971" customFormat="false" ht="15" hidden="false" customHeight="false" outlineLevel="0" collapsed="false">
      <c r="A11971" s="24" t="s">
        <v>352</v>
      </c>
      <c r="B11971" s="25"/>
      <c r="C11971" s="25"/>
      <c r="D11971" s="25"/>
      <c r="E11971" s="25"/>
      <c r="F11971" s="25"/>
      <c r="G11971" s="25"/>
      <c r="H11971" s="25"/>
      <c r="I11971" s="25"/>
      <c r="J11971" s="25"/>
      <c r="K11971" s="25"/>
    </row>
    <row r="11972" customFormat="false" ht="15" hidden="false" customHeight="false" outlineLevel="0" collapsed="false">
      <c r="A11972" s="3" t="s">
        <v>353</v>
      </c>
      <c r="C11972" s="16" t="n">
        <f aca="false">SUMPRODUCT($G$11840:$K$11840,$G$11839:$K$11839-$G$11845:$K$11845+$G$11844:$K$11844)</f>
        <v>380</v>
      </c>
    </row>
    <row r="11973" customFormat="false" ht="15" hidden="false" customHeight="false" outlineLevel="0" collapsed="false">
      <c r="A11973" s="3" t="s">
        <v>354</v>
      </c>
      <c r="C11973" s="16" t="n">
        <f aca="false">SUMPRODUCT($G$11840:$K$11840,$G$11847:$K$11847)</f>
        <v>0</v>
      </c>
    </row>
    <row r="11974" customFormat="false" ht="15" hidden="false" customHeight="false" outlineLevel="0" collapsed="false">
      <c r="A11974" s="3" t="s">
        <v>355</v>
      </c>
      <c r="C11974" s="3" t="str">
        <f aca="false">IF(SUM($G$11840:$K$11840)=0,"n/a (beyond horizon)",IF(SUMPRODUCT($G$11840:$K$11840,$G$11837:$K$11837)&gt;0,"REFINANCING PASS","REFINANCING FAILURE"))</f>
        <v>REFINANCING FAILURE</v>
      </c>
    </row>
    <row r="11975" customFormat="false" ht="15" hidden="false" customHeight="false" outlineLevel="0" collapsed="false">
      <c r="A11975" s="3" t="s">
        <v>356</v>
      </c>
      <c r="C11975" s="3" t="str">
        <f aca="false">IF(SUM($G$11840:$K$11840)=0,"n/a",IF(C11973&gt;=C11972-0.001,"Repaid from cash",IF(SUMPRODUCT($G$11840:$K$11840,$G$11837:$K$11837)&gt;0,IF(C11973&gt;0,"Partly repaid; remainder refinanced","Refinanced"),IF(SUM($G$11849:$K$11849)&gt;0.001,IF(C11973&gt;0,"Partial repayment; PAYMENT DEFAULT","PAYMENT DEFAULT"),"Repaid from cash"))))</f>
        <v>PAYMENT DEFAULT</v>
      </c>
    </row>
    <row r="11976" customFormat="false" ht="15" hidden="false" customHeight="false" outlineLevel="0" collapsed="false">
      <c r="A11976" s="3" t="s">
        <v>357</v>
      </c>
      <c r="C11976" s="16" t="n">
        <f aca="false">SUMPRODUCT($G$11853:$K$11853,$G$11852:$K$11852-$G$11858:$K$11858+$G$11857:$K$11857)</f>
        <v>0</v>
      </c>
    </row>
    <row r="11977" customFormat="false" ht="15" hidden="false" customHeight="false" outlineLevel="0" collapsed="false">
      <c r="A11977" s="3" t="s">
        <v>358</v>
      </c>
      <c r="C11977" s="16" t="n">
        <f aca="false">SUMPRODUCT($G$11853:$K$11853,$G$11860:$K$11860)</f>
        <v>0</v>
      </c>
    </row>
    <row r="11978" customFormat="false" ht="15" hidden="false" customHeight="false" outlineLevel="0" collapsed="false">
      <c r="A11978" s="3" t="s">
        <v>359</v>
      </c>
      <c r="C11978" s="3" t="str">
        <f aca="false">IF(SUM($G$11853:$K$11853)=0,"n/a (beyond horizon)",IF(SUMPRODUCT($G$11853:$K$11853,$G$11837:$K$11837)&gt;0,"REFINANCING PASS","REFINANCING FAILURE"))</f>
        <v>n/a (beyond horizon)</v>
      </c>
    </row>
    <row r="11979" customFormat="false" ht="15" hidden="false" customHeight="false" outlineLevel="0" collapsed="false">
      <c r="A11979" s="3" t="s">
        <v>360</v>
      </c>
      <c r="C11979" s="3" t="str">
        <f aca="false">IF(SUM($G$11853:$K$11853)=0,"n/a",IF(C11977&gt;=C11976-0.001,"Repaid from cash",IF(SUMPRODUCT($G$11853:$K$11853,$G$11837:$K$11837)&gt;0,IF(C11977&gt;0,"Partly repaid; remainder refinanced","Refinanced"),IF(SUM($G$11862:$K$11862)&gt;0.001,IF(C11977&gt;0,"Partial repayment; PAYMENT DEFAULT","PAYMENT DEFAULT"),"Repaid from cash"))))</f>
        <v>n/a</v>
      </c>
    </row>
    <row r="11980" customFormat="false" ht="15" hidden="false" customHeight="false" outlineLevel="0" collapsed="false">
      <c r="A11980" s="3" t="s">
        <v>361</v>
      </c>
      <c r="C11980" s="16" t="n">
        <f aca="false">SUMPRODUCT($G$11866:$K$11866,$G$11865:$K$11865-$G$11871:$K$11871+$G$11870:$K$11870)</f>
        <v>0</v>
      </c>
    </row>
    <row r="11981" customFormat="false" ht="15" hidden="false" customHeight="false" outlineLevel="0" collapsed="false">
      <c r="A11981" s="3" t="s">
        <v>362</v>
      </c>
      <c r="C11981" s="16" t="n">
        <f aca="false">SUMPRODUCT($G$11866:$K$11866,$G$11873:$K$11873)</f>
        <v>0</v>
      </c>
    </row>
    <row r="11982" customFormat="false" ht="15" hidden="false" customHeight="false" outlineLevel="0" collapsed="false">
      <c r="A11982" s="3" t="s">
        <v>363</v>
      </c>
      <c r="C11982" s="3" t="str">
        <f aca="false">IF(SUM($G$11866:$K$11866)=0,"n/a (beyond horizon)",IF(SUMPRODUCT($G$11866:$K$11866,$G$11837:$K$11837)&gt;0,"REFINANCING PASS","REFINANCING FAILURE"))</f>
        <v>n/a (beyond horizon)</v>
      </c>
    </row>
    <row r="11983" customFormat="false" ht="15" hidden="false" customHeight="false" outlineLevel="0" collapsed="false">
      <c r="A11983" s="3" t="s">
        <v>364</v>
      </c>
      <c r="C11983" s="3" t="str">
        <f aca="false">IF(SUM($G$11866:$K$11866)=0,"n/a",IF(C11981&gt;=C11980-0.001,"Repaid from cash",IF(SUMPRODUCT($G$11866:$K$11866,$G$11837:$K$11837)&gt;0,IF(C11981&gt;0,"Partly repaid; remainder refinanced","Refinanced"),IF(SUM($G$11875:$K$11875)&gt;0.001,IF(C11981&gt;0,"Partial repayment; PAYMENT DEFAULT","PAYMENT DEFAULT"),"Repaid from cash"))))</f>
        <v>n/a</v>
      </c>
    </row>
    <row r="11984" customFormat="false" ht="15" hidden="false" customHeight="false" outlineLevel="0" collapsed="false">
      <c r="A11984" s="3" t="s">
        <v>365</v>
      </c>
      <c r="C11984" s="16" t="n">
        <f aca="false">SUMPRODUCT($G$11879:$K$11879,$G$11878:$K$11878-$G$11884:$K$11884+$G$11883:$K$11883)</f>
        <v>0</v>
      </c>
    </row>
    <row r="11985" customFormat="false" ht="15" hidden="false" customHeight="false" outlineLevel="0" collapsed="false">
      <c r="A11985" s="3" t="s">
        <v>366</v>
      </c>
      <c r="C11985" s="16" t="n">
        <f aca="false">SUMPRODUCT($G$11879:$K$11879,$G$11886:$K$11886)</f>
        <v>0</v>
      </c>
    </row>
    <row r="11986" customFormat="false" ht="15" hidden="false" customHeight="false" outlineLevel="0" collapsed="false">
      <c r="A11986" s="3" t="s">
        <v>367</v>
      </c>
      <c r="C11986" s="3" t="str">
        <f aca="false">IF(SUM($G$11879:$K$11879)=0,"n/a (beyond horizon)",IF(SUMPRODUCT($G$11879:$K$11879,$G$11837:$K$11837)&gt;0,"REFINANCING PASS","REFINANCING FAILURE"))</f>
        <v>REFINANCING FAILURE</v>
      </c>
    </row>
    <row r="11987" customFormat="false" ht="15" hidden="false" customHeight="false" outlineLevel="0" collapsed="false">
      <c r="A11987" s="3" t="s">
        <v>368</v>
      </c>
      <c r="C11987" s="3" t="str">
        <f aca="false">IF(SUM($G$11879:$K$11879)=0,"n/a",IF(C11985&gt;=C11984-0.001,"Repaid from cash",IF(SUMPRODUCT($G$11879:$K$11879,$G$11837:$K$11837)&gt;0,IF(C11985&gt;0,"Partly repaid; remainder refinanced","Refinanced"),IF(SUM($G$11888:$K$11888)&gt;0.001,IF(C11985&gt;0,"Partial repayment; PAYMENT DEFAULT","PAYMENT DEFAULT"),"Repaid from cash"))))</f>
        <v>Repaid from cash</v>
      </c>
    </row>
    <row r="11988" customFormat="false" ht="15" hidden="false" customHeight="false" outlineLevel="0" collapsed="false">
      <c r="A11988" s="3" t="s">
        <v>369</v>
      </c>
      <c r="C11988" s="16" t="n">
        <f aca="false">SUMPRODUCT($G$11892:$K$11892,$G$11891:$K$11891-$G$11897:$K$11897+$G$11896:$K$11896)</f>
        <v>450</v>
      </c>
    </row>
    <row r="11989" customFormat="false" ht="15" hidden="false" customHeight="false" outlineLevel="0" collapsed="false">
      <c r="A11989" s="3" t="s">
        <v>370</v>
      </c>
      <c r="C11989" s="16" t="n">
        <f aca="false">SUMPRODUCT($G$11892:$K$11892,$G$11899:$K$11899)</f>
        <v>38.1940978292</v>
      </c>
    </row>
    <row r="11990" customFormat="false" ht="15" hidden="false" customHeight="false" outlineLevel="0" collapsed="false">
      <c r="A11990" s="3" t="s">
        <v>371</v>
      </c>
      <c r="C11990" s="3" t="str">
        <f aca="false">IF(SUM($G$11892:$K$11892)=0,"n/a (beyond horizon)",IF(SUMPRODUCT($G$11892:$K$11892,$G$11837:$K$11837)&gt;0,"REFINANCING PASS","REFINANCING FAILURE"))</f>
        <v>REFINANCING FAILURE</v>
      </c>
    </row>
    <row r="11991" customFormat="false" ht="15" hidden="false" customHeight="false" outlineLevel="0" collapsed="false">
      <c r="A11991" s="3" t="s">
        <v>372</v>
      </c>
      <c r="C11991" s="3" t="str">
        <f aca="false">IF(SUM($G$11892:$K$11892)=0,"n/a",IF(C11989&gt;=C11988-0.001,"Repaid from cash",IF(SUMPRODUCT($G$11892:$K$11892,$G$11837:$K$11837)&gt;0,IF(C11989&gt;0,"Partly repaid; remainder refinanced","Refinanced"),IF(SUM($G$11901:$K$11901)&gt;0.001,IF(C11989&gt;0,"Partial repayment; PAYMENT DEFAULT","PAYMENT DEFAULT"),"Repaid from cash"))))</f>
        <v>Partial repayment; PAYMENT DEFAULT</v>
      </c>
    </row>
    <row r="11992" customFormat="false" ht="15" hidden="false" customHeight="false" outlineLevel="0" collapsed="false">
      <c r="A11992" s="3" t="s">
        <v>373</v>
      </c>
      <c r="C11992" s="16" t="n">
        <f aca="false">SUMPRODUCT($G$11905:$K$11905,$G$11904:$K$11904-$G$11910:$K$11910+$G$11909:$K$11909)</f>
        <v>350</v>
      </c>
    </row>
    <row r="11993" customFormat="false" ht="15" hidden="false" customHeight="false" outlineLevel="0" collapsed="false">
      <c r="A11993" s="3" t="s">
        <v>374</v>
      </c>
      <c r="C11993" s="16" t="n">
        <f aca="false">SUMPRODUCT($G$11905:$K$11905,$G$11912:$K$11912)</f>
        <v>0</v>
      </c>
    </row>
    <row r="11994" customFormat="false" ht="15" hidden="false" customHeight="false" outlineLevel="0" collapsed="false">
      <c r="A11994" s="3" t="s">
        <v>375</v>
      </c>
      <c r="C11994" s="3" t="str">
        <f aca="false">IF(SUM($G$11905:$K$11905)=0,"n/a (beyond horizon)",IF(SUMPRODUCT($G$11905:$K$11905,$G$11837:$K$11837)&gt;0,"REFINANCING PASS","REFINANCING FAILURE"))</f>
        <v>REFINANCING FAILURE</v>
      </c>
    </row>
    <row r="11995" customFormat="false" ht="15" hidden="false" customHeight="false" outlineLevel="0" collapsed="false">
      <c r="A11995" s="3" t="s">
        <v>376</v>
      </c>
      <c r="C11995" s="3" t="str">
        <f aca="false">IF(SUM($G$11905:$K$11905)=0,"n/a",IF(C11993&gt;=C11992-0.001,"Repaid from cash",IF(SUMPRODUCT($G$11905:$K$11905,$G$11837:$K$11837)&gt;0,IF(C11993&gt;0,"Partly repaid; remainder refinanced","Refinanced"),IF(SUM($G$11914:$K$11914)&gt;0.001,IF(C11993&gt;0,"Partial repayment; PAYMENT DEFAULT","PAYMENT DEFAULT"),"Repaid from cash"))))</f>
        <v>PAYMENT DEFAULT</v>
      </c>
    </row>
    <row r="11996" customFormat="false" ht="15" hidden="false" customHeight="false" outlineLevel="0" collapsed="false">
      <c r="A11996" s="3" t="s">
        <v>377</v>
      </c>
      <c r="C11996" s="16" t="n">
        <f aca="false">SUMPRODUCT($G$11918:$K$11918,$G$11917:$K$11917-$G$11923:$K$11923+$G$11922:$K$11922)</f>
        <v>550</v>
      </c>
    </row>
    <row r="11997" customFormat="false" ht="15" hidden="false" customHeight="false" outlineLevel="0" collapsed="false">
      <c r="A11997" s="3" t="s">
        <v>378</v>
      </c>
      <c r="C11997" s="16" t="n">
        <f aca="false">SUMPRODUCT($G$11918:$K$11918,$G$11925:$K$11925)</f>
        <v>0</v>
      </c>
    </row>
    <row r="11998" customFormat="false" ht="15" hidden="false" customHeight="false" outlineLevel="0" collapsed="false">
      <c r="A11998" s="3" t="s">
        <v>379</v>
      </c>
      <c r="C11998" s="3" t="str">
        <f aca="false">IF(SUM($G$11918:$K$11918)=0,"n/a (beyond horizon)",IF(SUMPRODUCT($G$11918:$K$11918,$G$11837:$K$11837)&gt;0,"REFINANCING PASS","REFINANCING FAILURE"))</f>
        <v>REFINANCING FAILURE</v>
      </c>
    </row>
    <row r="11999" customFormat="false" ht="15" hidden="false" customHeight="false" outlineLevel="0" collapsed="false">
      <c r="A11999" s="3" t="s">
        <v>380</v>
      </c>
      <c r="C11999" s="3" t="str">
        <f aca="false">IF(SUM($G$11918:$K$11918)=0,"n/a",IF(C11997&gt;=C11996-0.001,"Repaid from cash",IF(SUMPRODUCT($G$11918:$K$11918,$G$11837:$K$11837)&gt;0,IF(C11997&gt;0,"Partly repaid; remainder refinanced","Refinanced"),IF(SUM($G$11927:$K$11927)&gt;0.001,IF(C11997&gt;0,"Partial repayment; PAYMENT DEFAULT","PAYMENT DEFAULT"),"Repaid from cash"))))</f>
        <v>PAYMENT DEFAULT</v>
      </c>
    </row>
    <row r="12000" customFormat="false" ht="15" hidden="false" customHeight="false" outlineLevel="0" collapsed="false">
      <c r="A12000" s="3" t="s">
        <v>381</v>
      </c>
      <c r="C12000" s="16" t="n">
        <f aca="false">SUMPRODUCT($G$11931:$K$11931,$G$11930:$K$11930-$G$11936:$K$11936+$G$11935:$K$11935)</f>
        <v>350</v>
      </c>
    </row>
    <row r="12001" customFormat="false" ht="15" hidden="false" customHeight="false" outlineLevel="0" collapsed="false">
      <c r="A12001" s="3" t="s">
        <v>382</v>
      </c>
      <c r="C12001" s="16" t="n">
        <f aca="false">SUMPRODUCT($G$11931:$K$11931,$G$11938:$K$11938)</f>
        <v>0</v>
      </c>
    </row>
    <row r="12002" customFormat="false" ht="15" hidden="false" customHeight="false" outlineLevel="0" collapsed="false">
      <c r="A12002" s="3" t="s">
        <v>383</v>
      </c>
      <c r="C12002" s="3" t="str">
        <f aca="false">IF(SUM($G$11931:$K$11931)=0,"n/a (beyond horizon)",IF(SUMPRODUCT($G$11931:$K$11931,$G$11837:$K$11837)&gt;0,"REFINANCING PASS","REFINANCING FAILURE"))</f>
        <v>REFINANCING FAILURE</v>
      </c>
    </row>
    <row r="12003" customFormat="false" ht="15" hidden="false" customHeight="false" outlineLevel="0" collapsed="false">
      <c r="A12003" s="3" t="s">
        <v>384</v>
      </c>
      <c r="C12003" s="3" t="str">
        <f aca="false">IF(SUM($G$11931:$K$11931)=0,"n/a",IF(C12001&gt;=C12000-0.001,"Repaid from cash",IF(SUMPRODUCT($G$11931:$K$11931,$G$11837:$K$11837)&gt;0,IF(C12001&gt;0,"Partly repaid; remainder refinanced","Refinanced"),IF(SUM($G$11940:$K$11940)&gt;0.001,IF(C12001&gt;0,"Partial repayment; PAYMENT DEFAULT","PAYMENT DEFAULT"),"Repaid from cash"))))</f>
        <v>PAYMENT DEFAULT</v>
      </c>
    </row>
    <row r="12004" customFormat="false" ht="15" hidden="false" customHeight="false" outlineLevel="0" collapsed="false">
      <c r="A12004" s="3" t="s">
        <v>385</v>
      </c>
      <c r="C12004" s="16" t="n">
        <f aca="false">SUMPRODUCT($G$11944:$K$11944,$G$11943:$K$11943-$G$11949:$K$11949+$G$11948:$K$11948)</f>
        <v>300</v>
      </c>
    </row>
    <row r="12005" customFormat="false" ht="15" hidden="false" customHeight="false" outlineLevel="0" collapsed="false">
      <c r="A12005" s="3" t="s">
        <v>386</v>
      </c>
      <c r="C12005" s="16" t="n">
        <f aca="false">SUMPRODUCT($G$11944:$K$11944,$G$11951:$K$11951)</f>
        <v>0</v>
      </c>
    </row>
    <row r="12006" customFormat="false" ht="15" hidden="false" customHeight="false" outlineLevel="0" collapsed="false">
      <c r="A12006" s="3" t="s">
        <v>387</v>
      </c>
      <c r="C12006" s="3" t="str">
        <f aca="false">IF(SUM($G$11944:$K$11944)=0,"n/a (beyond horizon)",IF(SUMPRODUCT($G$11944:$K$11944,$G$11837:$K$11837)&gt;0,"REFINANCING PASS","REFINANCING FAILURE"))</f>
        <v>REFINANCING FAILURE</v>
      </c>
    </row>
    <row r="12007" customFormat="false" ht="15" hidden="false" customHeight="false" outlineLevel="0" collapsed="false">
      <c r="A12007" s="3" t="s">
        <v>388</v>
      </c>
      <c r="C12007" s="3" t="str">
        <f aca="false">IF(SUM($G$11944:$K$11944)=0,"n/a",IF(C12005&gt;=C12004-0.001,"Repaid from cash",IF(SUMPRODUCT($G$11944:$K$11944,$G$11837:$K$11837)&gt;0,IF(C12005&gt;0,"Partly repaid; remainder refinanced","Refinanced"),IF(SUM($G$11953:$K$11953)&gt;0.001,IF(C12005&gt;0,"Partial repayment; PAYMENT DEFAULT","PAYMENT DEFAULT"),"Repaid from cash"))))</f>
        <v>PAYMENT DEFAULT</v>
      </c>
    </row>
    <row r="12008" customFormat="false" ht="15" hidden="false" customHeight="false" outlineLevel="0" collapsed="false">
      <c r="A12008" s="3" t="s">
        <v>389</v>
      </c>
      <c r="C12008" s="16" t="n">
        <f aca="false">SUMPRODUCT($G$11957:$K$11957,$G$11956:$K$11956-$G$11962:$K$11962+$G$11961:$K$11961)</f>
        <v>0</v>
      </c>
    </row>
    <row r="12009" customFormat="false" ht="15" hidden="false" customHeight="false" outlineLevel="0" collapsed="false">
      <c r="A12009" s="3" t="s">
        <v>390</v>
      </c>
      <c r="C12009" s="16" t="n">
        <f aca="false">SUMPRODUCT($G$11957:$K$11957,$G$11964:$K$11964)</f>
        <v>0</v>
      </c>
    </row>
    <row r="12010" customFormat="false" ht="15" hidden="false" customHeight="false" outlineLevel="0" collapsed="false">
      <c r="A12010" s="3" t="s">
        <v>391</v>
      </c>
      <c r="C12010" s="3" t="str">
        <f aca="false">IF(SUM($G$11957:$K$11957)=0,"n/a (beyond horizon)",IF(SUMPRODUCT($G$11957:$K$11957,$G$11837:$K$11837)&gt;0,"REFINANCING PASS","REFINANCING FAILURE"))</f>
        <v>n/a (beyond horizon)</v>
      </c>
    </row>
    <row r="12011" customFormat="false" ht="15" hidden="false" customHeight="false" outlineLevel="0" collapsed="false">
      <c r="A12011" s="3" t="s">
        <v>392</v>
      </c>
      <c r="C12011" s="3" t="str">
        <f aca="false">IF(SUM($G$11957:$K$11957)=0,"n/a",IF(C12009&gt;=C12008-0.001,"Repaid from cash",IF(SUMPRODUCT($G$11957:$K$11957,$G$11837:$K$11837)&gt;0,IF(C12009&gt;0,"Partly repaid; remainder refinanced","Refinanced"),IF(SUM($G$11966:$K$11966)&gt;0.001,IF(C12009&gt;0,"Partial repayment; PAYMENT DEFAULT","PAYMENT DEFAULT"),"Repaid from cash"))))</f>
        <v>n/a</v>
      </c>
    </row>
    <row r="12012" customFormat="false" ht="15" hidden="false" customHeight="false" outlineLevel="0" collapsed="false">
      <c r="A12012" s="3" t="s">
        <v>393</v>
      </c>
      <c r="C12012" s="21" t="n">
        <f aca="false">IF(C11974="REFINANCING FAILURE",1,0)+IF(C11978="REFINANCING FAILURE",1,0)+IF(C11982="REFINANCING FAILURE",1,0)+IF(C11986="REFINANCING FAILURE",1,0)+IF(C11990="REFINANCING FAILURE",1,0)+IF(C11994="REFINANCING FAILURE",1,0)+IF(C11998="REFINANCING FAILURE",1,0)+IF(C12002="REFINANCING FAILURE",1,0)+IF(C12006="REFINANCING FAILURE",1,0)+IF(C12010="REFINANCING FAILURE",1,0)</f>
        <v>7</v>
      </c>
    </row>
    <row r="12014" customFormat="false" ht="15" hidden="false" customHeight="false" outlineLevel="0" collapsed="false">
      <c r="A12014" s="24" t="s">
        <v>395</v>
      </c>
      <c r="B12014" s="25"/>
      <c r="C12014" s="25"/>
      <c r="D12014" s="25"/>
      <c r="E12014" s="25"/>
      <c r="F12014" s="25"/>
      <c r="G12014" s="25"/>
      <c r="H12014" s="25"/>
      <c r="I12014" s="25"/>
      <c r="J12014" s="25"/>
      <c r="K12014" s="25"/>
    </row>
    <row r="12015" customFormat="false" ht="15" hidden="false" customHeight="false" outlineLevel="0" collapsed="false">
      <c r="A12015" s="3" t="s">
        <v>325</v>
      </c>
      <c r="G12015" s="16" t="n">
        <f aca="false">F12027</f>
        <v>37.87</v>
      </c>
      <c r="H12015" s="16" t="n">
        <f aca="false">G12027</f>
        <v>140.3629486</v>
      </c>
      <c r="I12015" s="16" t="n">
        <f aca="false">H12027</f>
        <v>0</v>
      </c>
      <c r="J12015" s="16" t="n">
        <f aca="false">I12027</f>
        <v>-104.499915835619</v>
      </c>
      <c r="K12015" s="16" t="n">
        <f aca="false">J12027</f>
        <v>-214.021621680605</v>
      </c>
    </row>
    <row r="12016" customFormat="false" ht="15" hidden="false" customHeight="false" outlineLevel="0" collapsed="false">
      <c r="A12016" s="3" t="s">
        <v>396</v>
      </c>
      <c r="G12016" s="16" t="n">
        <f aca="false">G11826</f>
        <v>-93.5070514</v>
      </c>
      <c r="H12016" s="16" t="n">
        <f aca="false">H11826</f>
        <v>-98.1688507708</v>
      </c>
      <c r="I12016" s="16" t="n">
        <f aca="false">I11826</f>
        <v>-100.499915835619</v>
      </c>
      <c r="J12016" s="16" t="n">
        <f aca="false">J11826</f>
        <v>-105.521705844987</v>
      </c>
      <c r="K12016" s="16" t="n">
        <f aca="false">K11826</f>
        <v>-110.167764094137</v>
      </c>
    </row>
    <row r="12017" customFormat="false" ht="15" hidden="false" customHeight="false" outlineLevel="0" collapsed="false">
      <c r="A12017" s="3" t="s">
        <v>397</v>
      </c>
      <c r="G12017" s="16" t="n">
        <f aca="false">CHOOSE($C$11796,Assumptions!$G$82,Assumptions!$G$101,Assumptions!$G$120)</f>
        <v>200</v>
      </c>
      <c r="H12017" s="16" t="n">
        <f aca="false">CHOOSE($C$11796,Assumptions!$H$82,Assumptions!$H$101,Assumptions!$H$120)</f>
        <v>0</v>
      </c>
      <c r="I12017" s="16" t="n">
        <f aca="false">CHOOSE($C$11796,Assumptions!$I$82,Assumptions!$I$101,Assumptions!$I$120)</f>
        <v>0</v>
      </c>
      <c r="J12017" s="16" t="n">
        <f aca="false">CHOOSE($C$11796,Assumptions!$J$82,Assumptions!$J$101,Assumptions!$J$120)</f>
        <v>0</v>
      </c>
      <c r="K12017" s="16" t="n">
        <f aca="false">CHOOSE($C$11796,Assumptions!$K$82,Assumptions!$K$101,Assumptions!$K$120)</f>
        <v>0</v>
      </c>
    </row>
    <row r="12018" customFormat="false" ht="15" hidden="false" customHeight="false" outlineLevel="0" collapsed="false">
      <c r="A12018" s="3" t="s">
        <v>398</v>
      </c>
      <c r="G12018" s="16" t="n">
        <f aca="false">G11845+G11858+G11871+G11884+G11897+G11910+G11923+G11936+G11949+G11962</f>
        <v>4</v>
      </c>
      <c r="H12018" s="16" t="n">
        <f aca="false">H11845+H11858+H11871+H11884+H11897+H11910+H11923+H11936+H11949+H11962</f>
        <v>4</v>
      </c>
      <c r="I12018" s="16" t="n">
        <f aca="false">I11845+I11858+I11871+I11884+I11897+I11910+I11923+I11936+I11949+I11962</f>
        <v>4</v>
      </c>
      <c r="J12018" s="16" t="n">
        <f aca="false">J11845+J11858+J11871+J11884+J11897+J11910+J11923+J11936+J11949+J11962</f>
        <v>4</v>
      </c>
      <c r="K12018" s="16" t="n">
        <f aca="false">K11845+K11858+K11871+K11884+K11897+K11910+K11923+K11936+K11949+K11962</f>
        <v>4</v>
      </c>
    </row>
    <row r="12019" customFormat="false" ht="15" hidden="false" customHeight="false" outlineLevel="0" collapsed="false">
      <c r="A12019" s="2" t="s">
        <v>399</v>
      </c>
      <c r="G12019" s="17" t="n">
        <f aca="false">G12015+G12016+G12017-G12018</f>
        <v>140.3629486</v>
      </c>
      <c r="H12019" s="17" t="n">
        <f aca="false">H12015+H12016+H12017-H12018</f>
        <v>38.1940978292</v>
      </c>
      <c r="I12019" s="17" t="n">
        <f aca="false">I12015+I12016+I12017-I12018</f>
        <v>-104.499915835619</v>
      </c>
      <c r="J12019" s="17" t="n">
        <f aca="false">J12015+J12016+J12017-J12018</f>
        <v>-214.021621680605</v>
      </c>
      <c r="K12019" s="17" t="n">
        <f aca="false">K12015+K12016+K12017-K12018</f>
        <v>-328.189385774743</v>
      </c>
    </row>
    <row r="12020" customFormat="false" ht="15" hidden="false" customHeight="false" outlineLevel="0" collapsed="false">
      <c r="A12020" s="3" t="s">
        <v>400</v>
      </c>
      <c r="G12020" s="16" t="n">
        <f aca="false">G11846+G11859+G11872+G11885+G11898+G11911+G11924+G11937+G11950+G11963</f>
        <v>0</v>
      </c>
      <c r="H12020" s="16" t="n">
        <f aca="false">H11846+H11859+H11872+H11885+H11898+H11911+H11924+H11937+H11950+H11963</f>
        <v>0</v>
      </c>
      <c r="I12020" s="16" t="n">
        <f aca="false">I11846+I11859+I11872+I11885+I11898+I11911+I11924+I11937+I11950+I11963</f>
        <v>0</v>
      </c>
      <c r="J12020" s="16" t="n">
        <f aca="false">J11846+J11859+J11872+J11885+J11898+J11911+J11924+J11937+J11950+J11963</f>
        <v>0</v>
      </c>
      <c r="K12020" s="16" t="n">
        <f aca="false">K11846+K11859+K11872+K11885+K11898+K11911+K11924+K11937+K11950+K11963</f>
        <v>0</v>
      </c>
    </row>
    <row r="12021" customFormat="false" ht="15" hidden="false" customHeight="false" outlineLevel="0" collapsed="false">
      <c r="A12021" s="2" t="s">
        <v>401</v>
      </c>
      <c r="G12021" s="17" t="n">
        <f aca="false">G12019+G12020</f>
        <v>140.3629486</v>
      </c>
      <c r="H12021" s="17" t="n">
        <f aca="false">H12019+H12020</f>
        <v>38.1940978292</v>
      </c>
      <c r="I12021" s="17" t="n">
        <f aca="false">I12019+I12020</f>
        <v>-104.499915835619</v>
      </c>
      <c r="J12021" s="17" t="n">
        <f aca="false">J12019+J12020</f>
        <v>-214.021621680605</v>
      </c>
      <c r="K12021" s="17" t="n">
        <f aca="false">K12019+K12020</f>
        <v>-328.189385774743</v>
      </c>
    </row>
    <row r="12022" customFormat="false" ht="15" hidden="false" customHeight="false" outlineLevel="0" collapsed="false">
      <c r="A12022" s="3" t="s">
        <v>402</v>
      </c>
      <c r="G12022" s="16" t="n">
        <f aca="false">G11847+G11860+G11873+G11886+G11899+G11912+G11925+G11938+G11951+G11964</f>
        <v>0</v>
      </c>
      <c r="H12022" s="16" t="n">
        <f aca="false">H11847+H11860+H11873+H11886+H11899+H11912+H11925+H11938+H11951+H11964</f>
        <v>38.1940978292</v>
      </c>
      <c r="I12022" s="16" t="n">
        <f aca="false">I11847+I11860+I11873+I11886+I11899+I11912+I11925+I11938+I11951+I11964</f>
        <v>0</v>
      </c>
      <c r="J12022" s="16" t="n">
        <f aca="false">J11847+J11860+J11873+J11886+J11899+J11912+J11925+J11938+J11951+J11964</f>
        <v>0</v>
      </c>
      <c r="K12022" s="16" t="n">
        <f aca="false">K11847+K11860+K11873+K11886+K11899+K11912+K11925+K11938+K11951+K11964</f>
        <v>0</v>
      </c>
    </row>
    <row r="12023" customFormat="false" ht="15" hidden="false" customHeight="false" outlineLevel="0" collapsed="false">
      <c r="A12023" s="2" t="s">
        <v>403</v>
      </c>
      <c r="G12023" s="17" t="n">
        <f aca="false">G12021-G12022</f>
        <v>140.3629486</v>
      </c>
      <c r="H12023" s="17" t="n">
        <f aca="false">H12021-H12022</f>
        <v>0</v>
      </c>
      <c r="I12023" s="17" t="n">
        <f aca="false">I12021-I12022</f>
        <v>-104.499915835619</v>
      </c>
      <c r="J12023" s="17" t="n">
        <f aca="false">J12021-J12022</f>
        <v>-214.021621680605</v>
      </c>
      <c r="K12023" s="17" t="n">
        <f aca="false">K12021-K12022</f>
        <v>-328.189385774743</v>
      </c>
    </row>
    <row r="12024" customFormat="false" ht="15" hidden="false" customHeight="false" outlineLevel="0" collapsed="false">
      <c r="A12024" s="3" t="s">
        <v>404</v>
      </c>
      <c r="G12024" s="16" t="n">
        <f aca="false">MAX(0,-G12023)</f>
        <v>0</v>
      </c>
      <c r="H12024" s="16" t="n">
        <f aca="false">MAX(0,-H12023)</f>
        <v>-0</v>
      </c>
      <c r="I12024" s="16" t="n">
        <f aca="false">MAX(0,-I12023)</f>
        <v>104.499915835619</v>
      </c>
      <c r="J12024" s="16" t="n">
        <f aca="false">MAX(0,-J12023)</f>
        <v>214.021621680605</v>
      </c>
      <c r="K12024" s="16" t="n">
        <f aca="false">MAX(0,-K12023)</f>
        <v>328.189385774743</v>
      </c>
    </row>
    <row r="12025" customFormat="false" ht="15" hidden="false" customHeight="false" outlineLevel="0" collapsed="false">
      <c r="A12025" s="3" t="s">
        <v>405</v>
      </c>
      <c r="G12025" s="16" t="n">
        <f aca="false">MAX(0,G12023-Assumptions!$C$12)*Assumptions!$C$13</f>
        <v>0</v>
      </c>
      <c r="H12025" s="16" t="n">
        <f aca="false">MAX(0,H12023-Assumptions!$C$12)*Assumptions!$C$13</f>
        <v>0</v>
      </c>
      <c r="I12025" s="16" t="n">
        <f aca="false">MAX(0,I12023-Assumptions!$C$12)*Assumptions!$C$13</f>
        <v>0</v>
      </c>
      <c r="J12025" s="16" t="n">
        <f aca="false">MAX(0,J12023-Assumptions!$C$12)*Assumptions!$C$13</f>
        <v>0</v>
      </c>
      <c r="K12025" s="16" t="n">
        <f aca="false">MAX(0,K12023-Assumptions!$C$12)*Assumptions!$C$13</f>
        <v>0</v>
      </c>
    </row>
    <row r="12026" customFormat="false" ht="15" hidden="false" customHeight="false" outlineLevel="0" collapsed="false">
      <c r="A12026" s="3" t="s">
        <v>406</v>
      </c>
      <c r="G12026" s="16" t="n">
        <f aca="false">G11848+G11861+G11874+G11887+G11900+G11913+G11926+G11939+G11952+G11965</f>
        <v>0</v>
      </c>
      <c r="H12026" s="16" t="n">
        <f aca="false">H11848+H11861+H11874+H11887+H11900+H11913+H11926+H11939+H11952+H11965</f>
        <v>0</v>
      </c>
      <c r="I12026" s="16" t="n">
        <f aca="false">I11848+I11861+I11874+I11887+I11900+I11913+I11926+I11939+I11952+I11965</f>
        <v>0</v>
      </c>
      <c r="J12026" s="16" t="n">
        <f aca="false">J11848+J11861+J11874+J11887+J11900+J11913+J11926+J11939+J11952+J11965</f>
        <v>0</v>
      </c>
      <c r="K12026" s="16" t="n">
        <f aca="false">K11848+K11861+K11874+K11887+K11900+K11913+K11926+K11939+K11952+K11965</f>
        <v>0</v>
      </c>
    </row>
    <row r="12027" customFormat="false" ht="15" hidden="false" customHeight="false" outlineLevel="0" collapsed="false">
      <c r="A12027" s="2" t="s">
        <v>407</v>
      </c>
      <c r="F12027" s="28" t="n">
        <f aca="false">Assumptions!$C$11</f>
        <v>37.87</v>
      </c>
      <c r="G12027" s="17" t="n">
        <f aca="false">G12023-G12026</f>
        <v>140.3629486</v>
      </c>
      <c r="H12027" s="17" t="n">
        <f aca="false">H12023-H12026</f>
        <v>0</v>
      </c>
      <c r="I12027" s="17" t="n">
        <f aca="false">I12023-I12026</f>
        <v>-104.499915835619</v>
      </c>
      <c r="J12027" s="17" t="n">
        <f aca="false">J12023-J12026</f>
        <v>-214.021621680605</v>
      </c>
      <c r="K12027" s="17" t="n">
        <f aca="false">K12023-K12026</f>
        <v>-328.189385774743</v>
      </c>
    </row>
    <row r="12028" customFormat="false" ht="15" hidden="false" customHeight="false" outlineLevel="0" collapsed="false">
      <c r="A12028" s="3" t="s">
        <v>408</v>
      </c>
      <c r="G12028" s="16" t="n">
        <f aca="false">G11849+G11862+G11875+G11888+G11901+G11914+G11927+G11940+G11953+G11966</f>
        <v>0</v>
      </c>
      <c r="H12028" s="16" t="n">
        <f aca="false">H11849+H11862+H11875+H11888+H11901+H11914+H11927+H11940+H11953+H11966</f>
        <v>761.8059021708</v>
      </c>
      <c r="I12028" s="16" t="n">
        <f aca="false">I11849+I11862+I11875+I11888+I11901+I11914+I11927+I11940+I11953+I11966</f>
        <v>550</v>
      </c>
      <c r="J12028" s="16" t="n">
        <f aca="false">J11849+J11862+J11875+J11888+J11901+J11914+J11927+J11940+J11953+J11966</f>
        <v>350</v>
      </c>
      <c r="K12028" s="16" t="n">
        <f aca="false">K11849+K11862+K11875+K11888+K11901+K11914+K11927+K11940+K11953+K11966</f>
        <v>680</v>
      </c>
    </row>
    <row r="12029" customFormat="false" ht="15" hidden="false" customHeight="false" outlineLevel="0" collapsed="false">
      <c r="A12029" s="3" t="s">
        <v>409</v>
      </c>
      <c r="G12029" s="21" t="n">
        <f aca="false">IF(OR(G12024&gt;0.001,G12028&gt;0.001),1,0)</f>
        <v>0</v>
      </c>
      <c r="H12029" s="21" t="n">
        <f aca="false">IF(OR(H12024&gt;0.001,H12028&gt;0.001),1,0)</f>
        <v>1</v>
      </c>
      <c r="I12029" s="21" t="n">
        <f aca="false">IF(OR(I12024&gt;0.001,I12028&gt;0.001),1,0)</f>
        <v>1</v>
      </c>
      <c r="J12029" s="21" t="n">
        <f aca="false">IF(OR(J12024&gt;0.001,J12028&gt;0.001),1,0)</f>
        <v>1</v>
      </c>
      <c r="K12029" s="21" t="n">
        <f aca="false">IF(OR(K12024&gt;0.001,K12028&gt;0.001),1,0)</f>
        <v>1</v>
      </c>
    </row>
    <row r="12030" customFormat="false" ht="15" hidden="false" customHeight="false" outlineLevel="0" collapsed="false">
      <c r="A12030" s="3" t="s">
        <v>410</v>
      </c>
      <c r="G12030" s="21" t="n">
        <f aca="false">IF(G12029=1,1,0)</f>
        <v>0</v>
      </c>
      <c r="H12030" s="21" t="n">
        <f aca="false">IF(AND(H12029=1,SUM($G$12029:G12029)=0),1,0)</f>
        <v>1</v>
      </c>
      <c r="I12030" s="21" t="n">
        <f aca="false">IF(AND(I12029=1,SUM($G$12029:H12029)=0),1,0)</f>
        <v>0</v>
      </c>
      <c r="J12030" s="21" t="n">
        <f aca="false">IF(AND(J12029=1,SUM($G$12029:I12029)=0),1,0)</f>
        <v>0</v>
      </c>
      <c r="K12030" s="21" t="n">
        <f aca="false">IF(AND(K12029=1,SUM($G$12029:J12029)=0),1,0)</f>
        <v>0</v>
      </c>
    </row>
    <row r="12031" customFormat="false" ht="15" hidden="false" customHeight="false" outlineLevel="0" collapsed="false">
      <c r="A12031" s="3" t="s">
        <v>411</v>
      </c>
      <c r="G12031" s="16" t="n">
        <f aca="false">(G11969-F11969)-(G12020+G11818-G12018-G12022-G12026)</f>
        <v>0</v>
      </c>
      <c r="H12031" s="16" t="n">
        <f aca="false">(H11969-G11969)-(H12020+H11818-H12018-H12022-H12026)</f>
        <v>0</v>
      </c>
      <c r="I12031" s="16" t="n">
        <f aca="false">(I11969-H11969)-(I12020+I11818-I12018-I12022-I12026)</f>
        <v>0</v>
      </c>
      <c r="J12031" s="16" t="n">
        <f aca="false">(J11969-I11969)-(J12020+J11818-J12018-J12022-J12026)</f>
        <v>0</v>
      </c>
      <c r="K12031" s="16" t="n">
        <f aca="false">(K11969-J11969)-(K12020+K11818-K12018-K12022-K12026)</f>
        <v>0</v>
      </c>
    </row>
    <row r="12033" customFormat="false" ht="15" hidden="false" customHeight="false" outlineLevel="0" collapsed="false">
      <c r="A12033" s="24" t="s">
        <v>413</v>
      </c>
      <c r="B12033" s="25"/>
      <c r="C12033" s="25"/>
      <c r="D12033" s="25"/>
      <c r="E12033" s="25"/>
      <c r="F12033" s="25"/>
      <c r="G12033" s="25"/>
      <c r="H12033" s="25"/>
      <c r="I12033" s="25"/>
      <c r="J12033" s="25"/>
      <c r="K12033" s="25"/>
    </row>
    <row r="12034" customFormat="false" ht="15" hidden="false" customHeight="false" outlineLevel="0" collapsed="false">
      <c r="A12034" s="3" t="s">
        <v>414</v>
      </c>
      <c r="G12034" s="16" t="n">
        <f aca="false">G11969</f>
        <v>2621.934</v>
      </c>
      <c r="H12034" s="16" t="n">
        <f aca="false">H11969</f>
        <v>2579.7399021708</v>
      </c>
      <c r="I12034" s="16" t="n">
        <f aca="false">I11969</f>
        <v>2575.7399021708</v>
      </c>
      <c r="J12034" s="16" t="n">
        <f aca="false">J11969</f>
        <v>2571.7399021708</v>
      </c>
      <c r="K12034" s="16" t="n">
        <f aca="false">K11969</f>
        <v>2567.7399021708</v>
      </c>
    </row>
    <row r="12035" customFormat="false" ht="15" hidden="false" customHeight="false" outlineLevel="0" collapsed="false">
      <c r="A12035" s="3" t="s">
        <v>415</v>
      </c>
      <c r="G12035" s="16" t="n">
        <f aca="false">Assumptions!$O$57*G11850+Assumptions!$O$58*G11863+Assumptions!$O$59*G11876+Assumptions!$O$60*G11889+Assumptions!$O$61*G11902+Assumptions!$O$62*G11915+Assumptions!$O$63*G11928+Assumptions!$O$64*G11941+Assumptions!$O$65*G11954+Assumptions!$O$66*G11967</f>
        <v>543.324</v>
      </c>
      <c r="H12035" s="16" t="n">
        <f aca="false">Assumptions!$O$57*H11850+Assumptions!$O$58*H11863+Assumptions!$O$59*H11876+Assumptions!$O$60*H11889+Assumptions!$O$61*H11902+Assumptions!$O$62*H11915+Assumptions!$O$63*H11928+Assumptions!$O$64*H11941+Assumptions!$O$65*H11954+Assumptions!$O$66*H11967</f>
        <v>539.324</v>
      </c>
      <c r="I12035" s="16" t="n">
        <f aca="false">Assumptions!$O$57*I11850+Assumptions!$O$58*I11863+Assumptions!$O$59*I11876+Assumptions!$O$60*I11889+Assumptions!$O$61*I11902+Assumptions!$O$62*I11915+Assumptions!$O$63*I11928+Assumptions!$O$64*I11941+Assumptions!$O$65*I11954+Assumptions!$O$66*I11967</f>
        <v>535.324</v>
      </c>
      <c r="J12035" s="16" t="n">
        <f aca="false">Assumptions!$O$57*J11850+Assumptions!$O$58*J11863+Assumptions!$O$59*J11876+Assumptions!$O$60*J11889+Assumptions!$O$61*J11902+Assumptions!$O$62*J11915+Assumptions!$O$63*J11928+Assumptions!$O$64*J11941+Assumptions!$O$65*J11954+Assumptions!$O$66*J11967</f>
        <v>531.324</v>
      </c>
      <c r="K12035" s="16" t="n">
        <f aca="false">Assumptions!$O$57*K11850+Assumptions!$O$58*K11863+Assumptions!$O$59*K11876+Assumptions!$O$60*K11889+Assumptions!$O$61*K11902+Assumptions!$O$62*K11915+Assumptions!$O$63*K11928+Assumptions!$O$64*K11941+Assumptions!$O$65*K11954+Assumptions!$O$66*K11967</f>
        <v>527.324</v>
      </c>
    </row>
    <row r="12036" customFormat="false" ht="15" hidden="false" customHeight="false" outlineLevel="0" collapsed="false">
      <c r="A12036" s="3" t="s">
        <v>416</v>
      </c>
      <c r="G12036" s="16" t="n">
        <f aca="false">G12034-G12027</f>
        <v>2481.5710514</v>
      </c>
      <c r="H12036" s="16" t="n">
        <f aca="false">H12034-H12027</f>
        <v>2579.7399021708</v>
      </c>
      <c r="I12036" s="16" t="n">
        <f aca="false">I12034-I12027</f>
        <v>2680.23981800642</v>
      </c>
      <c r="J12036" s="16" t="n">
        <f aca="false">J12034-J12027</f>
        <v>2785.76152385141</v>
      </c>
      <c r="K12036" s="16" t="n">
        <f aca="false">K12034-K12027</f>
        <v>2895.92928794554</v>
      </c>
    </row>
    <row r="12037" customFormat="false" ht="15" hidden="false" customHeight="false" outlineLevel="0" collapsed="false">
      <c r="A12037" s="3" t="s">
        <v>417</v>
      </c>
      <c r="G12037" s="32" t="n">
        <f aca="false">IF(G11813&gt;0,G12034/G11813,0)</f>
        <v>11.4115224758197</v>
      </c>
      <c r="H12037" s="32" t="n">
        <f aca="false">IF(H11813&gt;0,H12034/H11813,0)</f>
        <v>12.1355255529459</v>
      </c>
      <c r="I12037" s="32" t="n">
        <f aca="false">IF(I11813&gt;0,I12034/I11813,0)</f>
        <v>13.0966211817276</v>
      </c>
      <c r="J12037" s="32" t="n">
        <f aca="false">IF(J11813&gt;0,J12034/J11813,0)</f>
        <v>14.1605130905328</v>
      </c>
      <c r="K12037" s="32" t="n">
        <f aca="false">IF(K11813&gt;0,K12034/K11813,0)</f>
        <v>15.3110038270457</v>
      </c>
    </row>
    <row r="12038" customFormat="false" ht="15" hidden="false" customHeight="false" outlineLevel="0" collapsed="false">
      <c r="A12038" s="3" t="s">
        <v>418</v>
      </c>
      <c r="G12038" s="32" t="n">
        <f aca="false">IF(G11813&gt;0,G12036/G11813,0)</f>
        <v>10.8006165785999</v>
      </c>
      <c r="H12038" s="32" t="n">
        <f aca="false">IF(H11813&gt;0,H12036/H11813,0)</f>
        <v>12.1355255529459</v>
      </c>
      <c r="I12038" s="32" t="n">
        <f aca="false">IF(I11813&gt;0,I12036/I11813,0)</f>
        <v>13.627962024826</v>
      </c>
      <c r="J12038" s="32" t="n">
        <f aca="false">IF(J11813&gt;0,J12036/J11813,0)</f>
        <v>15.3389588473945</v>
      </c>
      <c r="K12038" s="32" t="n">
        <f aca="false">IF(K11813&gt;0,K12036/K11813,0)</f>
        <v>17.267942276047</v>
      </c>
    </row>
    <row r="12039" customFormat="false" ht="15" hidden="false" customHeight="false" outlineLevel="0" collapsed="false">
      <c r="A12039" s="3" t="s">
        <v>419</v>
      </c>
      <c r="G12039" s="32" t="n">
        <f aca="false">IF(G11817&gt;0,G11813/G11817,0)</f>
        <v>1.27497020812179</v>
      </c>
      <c r="H12039" s="32" t="n">
        <f aca="false">IF(H11817&gt;0,H11813/H11817,0)</f>
        <v>1.1867103058632</v>
      </c>
      <c r="I12039" s="32" t="n">
        <f aca="false">IF(I11817&gt;0,I11813/I11817,0)</f>
        <v>1.11690564309104</v>
      </c>
      <c r="J12039" s="32" t="n">
        <f aca="false">IF(J11817&gt;0,J11813/J11817,0)</f>
        <v>1.03344147416489</v>
      </c>
      <c r="K12039" s="32" t="n">
        <f aca="false">IF(K11817&gt;0,K11813/K11817,0)</f>
        <v>0.956204997269343</v>
      </c>
    </row>
    <row r="12040" customFormat="false" ht="15" hidden="false" customHeight="false" outlineLevel="0" collapsed="false">
      <c r="A12040" s="3" t="s">
        <v>420</v>
      </c>
      <c r="G12040" s="32" t="n">
        <f aca="false">IF(G11817&gt;0,G11816/G11817,0)</f>
        <v>0.380429442223531</v>
      </c>
      <c r="H12040" s="32" t="n">
        <f aca="false">IF(H11817&gt;0,H11816/H11817,0)</f>
        <v>0.358780582013385</v>
      </c>
      <c r="I12040" s="32" t="n">
        <f aca="false">IF(I11817&gt;0,I11816/I11817,0)</f>
        <v>0.342037751633304</v>
      </c>
      <c r="J12040" s="32" t="n">
        <f aca="false">IF(J11817&gt;0,J11816/J11817,0)</f>
        <v>0.319143232990554</v>
      </c>
      <c r="K12040" s="32" t="n">
        <f aca="false">IF(K11817&gt;0,K11816/K11817,0)</f>
        <v>0.297739203560415</v>
      </c>
    </row>
    <row r="12041" customFormat="false" ht="15" hidden="false" customHeight="false" outlineLevel="0" collapsed="false">
      <c r="A12041" s="3" t="s">
        <v>213</v>
      </c>
      <c r="G12041" s="22" t="n">
        <f aca="false">IF(G12034&gt;0,G11826/G12034,0)</f>
        <v>-0.0356633887046737</v>
      </c>
      <c r="H12041" s="22" t="n">
        <f aca="false">IF(H12034&gt;0,H11826/H12034,0)</f>
        <v>-0.0380537784790602</v>
      </c>
      <c r="I12041" s="22" t="n">
        <f aca="false">IF(I12034&gt;0,I11826/I12034,0)</f>
        <v>-0.0390178821048346</v>
      </c>
      <c r="J12041" s="22" t="n">
        <f aca="false">IF(J12034&gt;0,J11826/J12034,0)</f>
        <v>-0.04103125116032</v>
      </c>
      <c r="K12041" s="22" t="n">
        <f aca="false">IF(K12034&gt;0,K11826/K12034,0)</f>
        <v>-0.0429045652174505</v>
      </c>
    </row>
    <row r="12042" customFormat="false" ht="15" hidden="false" customHeight="false" outlineLevel="0" collapsed="false">
      <c r="A12042" s="3" t="s">
        <v>421</v>
      </c>
      <c r="G12042" s="32" t="n">
        <f aca="false">IF(G11817+G12018&gt;0,(G11813-G11824-G11821)/(G11817+G12018),0)</f>
        <v>0.729544065004956</v>
      </c>
      <c r="H12042" s="32" t="n">
        <f aca="false">IF(H11817+H12018&gt;0,(H11813-H11824-H11821)/(H11817+H12018),0)</f>
        <v>0.681664640496481</v>
      </c>
      <c r="I12042" s="32" t="n">
        <f aca="false">IF(I11817+I12018&gt;0,(I11813-I11824-I11821)/(I11817+I12018),0)</f>
        <v>0.643848496776192</v>
      </c>
      <c r="J12042" s="32" t="n">
        <f aca="false">IF(J11817+J12018&gt;0,(J11813-J11824-J11821)/(J11817+J12018),0)</f>
        <v>0.59725037012828</v>
      </c>
      <c r="K12042" s="32" t="n">
        <f aca="false">IF(K11817+K12018&gt;0,(K11813-K11824-K11821)/(K11817+K12018),0)</f>
        <v>0.554004939438024</v>
      </c>
    </row>
    <row r="12043" customFormat="false" ht="15" hidden="false" customHeight="false" outlineLevel="0" collapsed="false">
      <c r="A12043" s="3" t="s">
        <v>422</v>
      </c>
      <c r="G12043" s="16" t="n">
        <f aca="false">MAX(0,G12027)+Assumptions!$P$57*MAX(0,Assumptions!$D$57-G11850)+Assumptions!$P$58*MAX(0,Assumptions!$D$58-G11863)+Assumptions!$P$59*MAX(0,Assumptions!$D$59-G11876)+Assumptions!$P$60*MAX(0,Assumptions!$D$60-G11889)+Assumptions!$P$61*MAX(0,Assumptions!$D$61-G11902)+Assumptions!$P$62*MAX(0,Assumptions!$D$62-G11915)+Assumptions!$P$63*MAX(0,Assumptions!$D$63-G11928)+Assumptions!$P$64*MAX(0,Assumptions!$D$64-G11941)+Assumptions!$P$65*MAX(0,Assumptions!$D$65-G11954)+Assumptions!$P$66*MAX(0,Assumptions!$D$66-G11967)</f>
        <v>714.8629486</v>
      </c>
      <c r="H12043" s="16" t="n">
        <f aca="false">MAX(0,H12027)+Assumptions!$P$57*MAX(0,Assumptions!$D$57-H11850)+Assumptions!$P$58*MAX(0,Assumptions!$D$58-H11863)+Assumptions!$P$59*MAX(0,Assumptions!$D$59-H11876)+Assumptions!$P$60*MAX(0,Assumptions!$D$60-H11889)+Assumptions!$P$61*MAX(0,Assumptions!$D$61-H11902)+Assumptions!$P$62*MAX(0,Assumptions!$D$62-H11915)+Assumptions!$P$63*MAX(0,Assumptions!$D$63-H11928)+Assumptions!$P$64*MAX(0,Assumptions!$D$64-H11941)+Assumptions!$P$65*MAX(0,Assumptions!$D$65-H11954)+Assumptions!$P$66*MAX(0,Assumptions!$D$66-H11967)</f>
        <v>574.5</v>
      </c>
      <c r="I12043" s="16" t="n">
        <f aca="false">MAX(0,I12027)+Assumptions!$P$57*MAX(0,Assumptions!$D$57-I11850)+Assumptions!$P$58*MAX(0,Assumptions!$D$58-I11863)+Assumptions!$P$59*MAX(0,Assumptions!$D$59-I11876)+Assumptions!$P$60*MAX(0,Assumptions!$D$60-I11889)+Assumptions!$P$61*MAX(0,Assumptions!$D$61-I11902)+Assumptions!$P$62*MAX(0,Assumptions!$D$62-I11915)+Assumptions!$P$63*MAX(0,Assumptions!$D$63-I11928)+Assumptions!$P$64*MAX(0,Assumptions!$D$64-I11941)+Assumptions!$P$65*MAX(0,Assumptions!$D$65-I11954)+Assumptions!$P$66*MAX(0,Assumptions!$D$66-I11967)</f>
        <v>574.5</v>
      </c>
      <c r="J12043" s="16" t="n">
        <f aca="false">MAX(0,J12027)+Assumptions!$P$57*MAX(0,Assumptions!$D$57-J11850)+Assumptions!$P$58*MAX(0,Assumptions!$D$58-J11863)+Assumptions!$P$59*MAX(0,Assumptions!$D$59-J11876)+Assumptions!$P$60*MAX(0,Assumptions!$D$60-J11889)+Assumptions!$P$61*MAX(0,Assumptions!$D$61-J11902)+Assumptions!$P$62*MAX(0,Assumptions!$D$62-J11915)+Assumptions!$P$63*MAX(0,Assumptions!$D$63-J11928)+Assumptions!$P$64*MAX(0,Assumptions!$D$64-J11941)+Assumptions!$P$65*MAX(0,Assumptions!$D$65-J11954)+Assumptions!$P$66*MAX(0,Assumptions!$D$66-J11967)</f>
        <v>574.5</v>
      </c>
      <c r="K12043" s="16" t="n">
        <f aca="false">MAX(0,K12027)+Assumptions!$P$57*MAX(0,Assumptions!$D$57-K11850)+Assumptions!$P$58*MAX(0,Assumptions!$D$58-K11863)+Assumptions!$P$59*MAX(0,Assumptions!$D$59-K11876)+Assumptions!$P$60*MAX(0,Assumptions!$D$60-K11889)+Assumptions!$P$61*MAX(0,Assumptions!$D$61-K11902)+Assumptions!$P$62*MAX(0,Assumptions!$D$62-K11915)+Assumptions!$P$63*MAX(0,Assumptions!$D$63-K11928)+Assumptions!$P$64*MAX(0,Assumptions!$D$64-K11941)+Assumptions!$P$65*MAX(0,Assumptions!$D$65-K11954)+Assumptions!$P$66*MAX(0,Assumptions!$D$66-K11967)</f>
        <v>574.5</v>
      </c>
    </row>
    <row r="12044" customFormat="false" ht="15" hidden="false" customHeight="false" outlineLevel="0" collapsed="false">
      <c r="A12044" s="3" t="s">
        <v>423</v>
      </c>
      <c r="G12044" s="22" t="n">
        <f aca="false">IF(G12034&gt;0,G12034/(G12034+MAX(0,G11813*CHOOSE($C$11796,Assumptions!$C$90,Assumptions!$C$109,Assumptions!$C$128)-G12036)),0)</f>
        <v>0.870383981494333</v>
      </c>
      <c r="H12044" s="22" t="n">
        <f aca="false">IF(H12034&gt;0,H12034/(H12034+MAX(0,H11813*CHOOSE($C$11796,Assumptions!$C$90,Assumptions!$C$109,Assumptions!$C$128)-H12036)),0)</f>
        <v>0.970842044235672</v>
      </c>
      <c r="I12044" s="22" t="n">
        <f aca="false">IF(I12034&gt;0,I12034/(I12034+MAX(0,I11813*CHOOSE($C$11796,Assumptions!$C$90,Assumptions!$C$109,Assumptions!$C$128)-I12036)),0)</f>
        <v>1</v>
      </c>
      <c r="J12044" s="22" t="n">
        <f aca="false">IF(J12034&gt;0,J12034/(J12034+MAX(0,J11813*CHOOSE($C$11796,Assumptions!$C$90,Assumptions!$C$109,Assumptions!$C$128)-J12036)),0)</f>
        <v>1</v>
      </c>
      <c r="K12044" s="22" t="n">
        <f aca="false">IF(K12034&gt;0,K12034/(K12034+MAX(0,K11813*CHOOSE($C$11796,Assumptions!$C$90,Assumptions!$C$109,Assumptions!$C$128)-K12036)),0)</f>
        <v>1</v>
      </c>
    </row>
    <row r="12045" customFormat="false" ht="15" hidden="false" customHeight="false" outlineLevel="0" collapsed="false">
      <c r="A12045" s="3" t="s">
        <v>424</v>
      </c>
      <c r="G12045" s="22" t="n">
        <f aca="false">IF(G12034&gt;0,MAX(0,G12027)/G12034,0)</f>
        <v>0.0535341273273851</v>
      </c>
      <c r="H12045" s="22" t="n">
        <f aca="false">IF(H12034&gt;0,MAX(0,H12027)/H12034,0)</f>
        <v>0</v>
      </c>
      <c r="I12045" s="22" t="n">
        <f aca="false">IF(I12034&gt;0,MAX(0,I12027)/I12034,0)</f>
        <v>0</v>
      </c>
      <c r="J12045" s="22" t="n">
        <f aca="false">IF(J12034&gt;0,MAX(0,J12027)/J12034,0)</f>
        <v>0</v>
      </c>
      <c r="K12045" s="22" t="n">
        <f aca="false">IF(K12034&gt;0,MAX(0,K12027)/K12034,0)</f>
        <v>0</v>
      </c>
    </row>
    <row r="12046" customFormat="false" ht="15" hidden="false" customHeight="false" outlineLevel="0" collapsed="false">
      <c r="A12046" s="3" t="s">
        <v>425</v>
      </c>
      <c r="G12046" s="16" t="n">
        <f aca="false">Assumptions!$C$31*(1-CHOOSE($C$11796,Assumptions!$C$93,Assumptions!$C$112,Assumptions!$C$131))</f>
        <v>4517.70066666667</v>
      </c>
      <c r="H12046" s="16" t="n">
        <f aca="false">Assumptions!$C$31*(1-CHOOSE($C$11796,Assumptions!$C$93,Assumptions!$C$112,Assumptions!$C$131))</f>
        <v>4517.70066666667</v>
      </c>
      <c r="I12046" s="16" t="n">
        <f aca="false">Assumptions!$C$31*(1-CHOOSE($C$11796,Assumptions!$C$93,Assumptions!$C$112,Assumptions!$C$131))</f>
        <v>4517.70066666667</v>
      </c>
      <c r="J12046" s="16" t="n">
        <f aca="false">Assumptions!$C$31*(1-CHOOSE($C$11796,Assumptions!$C$93,Assumptions!$C$112,Assumptions!$C$131))</f>
        <v>4517.70066666667</v>
      </c>
      <c r="K12046" s="16" t="n">
        <f aca="false">Assumptions!$C$31*(1-CHOOSE($C$11796,Assumptions!$C$93,Assumptions!$C$112,Assumptions!$C$131))</f>
        <v>4517.70066666667</v>
      </c>
    </row>
    <row r="12047" customFormat="false" ht="15" hidden="false" customHeight="false" outlineLevel="0" collapsed="false">
      <c r="A12047" s="24" t="s">
        <v>426</v>
      </c>
      <c r="B12047" s="25"/>
      <c r="C12047" s="25"/>
      <c r="D12047" s="25"/>
      <c r="E12047" s="25"/>
      <c r="F12047" s="25"/>
      <c r="G12047" s="25"/>
      <c r="H12047" s="25"/>
      <c r="I12047" s="25"/>
      <c r="J12047" s="25"/>
      <c r="K12047" s="25"/>
    </row>
    <row r="12048" customFormat="false" ht="15" hidden="false" customHeight="false" outlineLevel="0" collapsed="false">
      <c r="A12048" s="24" t="s">
        <v>427</v>
      </c>
      <c r="B12048" s="25"/>
      <c r="C12048" s="25"/>
      <c r="D12048" s="25"/>
      <c r="E12048" s="25"/>
      <c r="F12048" s="25"/>
      <c r="G12048" s="25"/>
      <c r="H12048" s="25"/>
      <c r="I12048" s="25"/>
      <c r="J12048" s="25"/>
      <c r="K12048" s="25"/>
    </row>
    <row r="12049" customFormat="false" ht="15" hidden="false" customHeight="false" outlineLevel="0" collapsed="false">
      <c r="A12049" s="3" t="s">
        <v>428</v>
      </c>
      <c r="G12049" s="22" t="n">
        <f aca="false">IF(G12046&gt;0,G12034/G12046,99)</f>
        <v>0.580369128779522</v>
      </c>
      <c r="H12049" s="22" t="n">
        <f aca="false">IF(H12046&gt;0,H12034/H12046,99)</f>
        <v>0.57102940024449</v>
      </c>
      <c r="I12049" s="22" t="n">
        <f aca="false">IF(I12046&gt;0,I12034/I12046,99)</f>
        <v>0.570143994084336</v>
      </c>
      <c r="J12049" s="22" t="n">
        <f aca="false">IF(J12046&gt;0,J12034/J12046,99)</f>
        <v>0.569258587924182</v>
      </c>
      <c r="K12049" s="22" t="n">
        <f aca="false">IF(K12046&gt;0,K12034/K12046,99)</f>
        <v>0.568373181764027</v>
      </c>
    </row>
    <row r="12050" customFormat="false" ht="15" hidden="false" customHeight="false" outlineLevel="0" collapsed="false">
      <c r="A12050" s="3" t="s">
        <v>429</v>
      </c>
      <c r="G12050" s="33" t="n">
        <f aca="false">Assumptions!$G$71</f>
        <v>0.6</v>
      </c>
      <c r="H12050" s="33" t="n">
        <f aca="false">Assumptions!$H$71</f>
        <v>0.6</v>
      </c>
      <c r="I12050" s="33" t="n">
        <f aca="false">Assumptions!$I$71</f>
        <v>0.6</v>
      </c>
      <c r="J12050" s="33" t="n">
        <f aca="false">Assumptions!$J$71</f>
        <v>0.6</v>
      </c>
      <c r="K12050" s="33" t="n">
        <f aca="false">Assumptions!$K$71</f>
        <v>0.6</v>
      </c>
    </row>
    <row r="12051" customFormat="false" ht="15" hidden="false" customHeight="false" outlineLevel="0" collapsed="false">
      <c r="A12051" s="3" t="s">
        <v>430</v>
      </c>
      <c r="G12051" s="22" t="n">
        <f aca="false">G12050-G12049</f>
        <v>0.0196308712204777</v>
      </c>
      <c r="H12051" s="22" t="n">
        <f aca="false">H12050-H12049</f>
        <v>0.0289705997555098</v>
      </c>
      <c r="I12051" s="22" t="n">
        <f aca="false">I12050-I12049</f>
        <v>0.0298560059156641</v>
      </c>
      <c r="J12051" s="22" t="n">
        <f aca="false">J12050-J12049</f>
        <v>0.0307414120758185</v>
      </c>
      <c r="K12051" s="22" t="n">
        <f aca="false">K12050-K12049</f>
        <v>0.0316268182359728</v>
      </c>
    </row>
    <row r="12052" customFormat="false" ht="15" hidden="false" customHeight="false" outlineLevel="0" collapsed="false">
      <c r="A12052" s="3" t="s">
        <v>431</v>
      </c>
      <c r="G12052" s="22" t="n">
        <f aca="false">IF(G12050=0,0,G12051/ABS(G12050))</f>
        <v>0.0327181187007962</v>
      </c>
      <c r="H12052" s="22" t="n">
        <f aca="false">IF(H12050=0,0,H12051/ABS(H12050))</f>
        <v>0.0482843329258496</v>
      </c>
      <c r="I12052" s="22" t="n">
        <f aca="false">IF(I12050=0,0,I12051/ABS(I12050))</f>
        <v>0.0497600098594401</v>
      </c>
      <c r="J12052" s="22" t="n">
        <f aca="false">IF(J12050=0,0,J12051/ABS(J12050))</f>
        <v>0.0512356867930308</v>
      </c>
      <c r="K12052" s="22" t="n">
        <f aca="false">IF(K12050=0,0,K12051/ABS(K12050))</f>
        <v>0.0527113637266213</v>
      </c>
    </row>
    <row r="12053" customFormat="false" ht="15" hidden="false" customHeight="false" outlineLevel="0" collapsed="false">
      <c r="A12053" s="3" t="s">
        <v>432</v>
      </c>
      <c r="G12053" s="21" t="n">
        <f aca="false">IF(G12051&lt;0,1,0)</f>
        <v>0</v>
      </c>
      <c r="H12053" s="21" t="n">
        <f aca="false">IF(H12051&lt;0,1,0)</f>
        <v>0</v>
      </c>
      <c r="I12053" s="21" t="n">
        <f aca="false">IF(I12051&lt;0,1,0)</f>
        <v>0</v>
      </c>
      <c r="J12053" s="21" t="n">
        <f aca="false">IF(J12051&lt;0,1,0)</f>
        <v>0</v>
      </c>
      <c r="K12053" s="21" t="n">
        <f aca="false">IF(K12051&lt;0,1,0)</f>
        <v>0</v>
      </c>
    </row>
    <row r="12054" customFormat="false" ht="15" hidden="false" customHeight="false" outlineLevel="0" collapsed="false">
      <c r="A12054" s="3" t="s">
        <v>433</v>
      </c>
      <c r="C12054" s="21" t="n">
        <f aca="false">IFERROR(INDEX($G$11803:$K$11803,MATCH(1,$G$12053:$K$12053,0)),0)</f>
        <v>0</v>
      </c>
    </row>
    <row r="12055" customFormat="false" ht="15" hidden="false" customHeight="false" outlineLevel="0" collapsed="false">
      <c r="A12055" s="3" t="s">
        <v>434</v>
      </c>
      <c r="C12055" s="22" t="n">
        <f aca="false">MIN($G$12052:$K$12052)</f>
        <v>0.0327181187007962</v>
      </c>
    </row>
    <row r="12056" customFormat="false" ht="15" hidden="false" customHeight="false" outlineLevel="0" collapsed="false">
      <c r="A12056" s="24" t="s">
        <v>435</v>
      </c>
      <c r="B12056" s="25"/>
      <c r="C12056" s="25"/>
      <c r="D12056" s="25"/>
      <c r="E12056" s="25"/>
      <c r="F12056" s="25"/>
      <c r="G12056" s="25"/>
      <c r="H12056" s="25"/>
      <c r="I12056" s="25"/>
      <c r="J12056" s="25"/>
      <c r="K12056" s="25"/>
    </row>
    <row r="12057" customFormat="false" ht="15" hidden="false" customHeight="false" outlineLevel="0" collapsed="false">
      <c r="A12057" s="3" t="s">
        <v>428</v>
      </c>
      <c r="G12057" s="32" t="n">
        <f aca="false">IF(G11817&gt;0,G11813/G11817,99)</f>
        <v>1.27497020812179</v>
      </c>
      <c r="H12057" s="32" t="n">
        <f aca="false">IF(H11817&gt;0,H11813/H11817,99)</f>
        <v>1.1867103058632</v>
      </c>
      <c r="I12057" s="32" t="n">
        <f aca="false">IF(I11817&gt;0,I11813/I11817,99)</f>
        <v>1.11690564309104</v>
      </c>
      <c r="J12057" s="32" t="n">
        <f aca="false">IF(J11817&gt;0,J11813/J11817,99)</f>
        <v>1.03344147416489</v>
      </c>
      <c r="K12057" s="32" t="n">
        <f aca="false">IF(K11817&gt;0,K11813/K11817,99)</f>
        <v>0.956204997269343</v>
      </c>
    </row>
    <row r="12058" customFormat="false" ht="15" hidden="false" customHeight="false" outlineLevel="0" collapsed="false">
      <c r="A12058" s="3" t="s">
        <v>429</v>
      </c>
      <c r="G12058" s="34" t="n">
        <f aca="false">Assumptions!$G$72</f>
        <v>1.5</v>
      </c>
      <c r="H12058" s="34" t="n">
        <f aca="false">Assumptions!$H$72</f>
        <v>1.5</v>
      </c>
      <c r="I12058" s="34" t="n">
        <f aca="false">Assumptions!$I$72</f>
        <v>1.5</v>
      </c>
      <c r="J12058" s="34" t="n">
        <f aca="false">Assumptions!$J$72</f>
        <v>1.5</v>
      </c>
      <c r="K12058" s="34" t="n">
        <f aca="false">Assumptions!$K$72</f>
        <v>1.5</v>
      </c>
    </row>
    <row r="12059" customFormat="false" ht="15" hidden="false" customHeight="false" outlineLevel="0" collapsed="false">
      <c r="A12059" s="3" t="s">
        <v>430</v>
      </c>
      <c r="G12059" s="32" t="n">
        <f aca="false">G12057-G12058</f>
        <v>-0.225029791878212</v>
      </c>
      <c r="H12059" s="32" t="n">
        <f aca="false">H12057-H12058</f>
        <v>-0.313289694136803</v>
      </c>
      <c r="I12059" s="32" t="n">
        <f aca="false">I12057-I12058</f>
        <v>-0.383094356908965</v>
      </c>
      <c r="J12059" s="32" t="n">
        <f aca="false">J12057-J12058</f>
        <v>-0.466558525835107</v>
      </c>
      <c r="K12059" s="32" t="n">
        <f aca="false">K12057-K12058</f>
        <v>-0.543795002730657</v>
      </c>
    </row>
    <row r="12060" customFormat="false" ht="15" hidden="false" customHeight="false" outlineLevel="0" collapsed="false">
      <c r="A12060" s="3" t="s">
        <v>431</v>
      </c>
      <c r="G12060" s="22" t="n">
        <f aca="false">IF(G12058=0,0,G12059/ABS(G12058))</f>
        <v>-0.150019861252141</v>
      </c>
      <c r="H12060" s="22" t="n">
        <f aca="false">IF(H12058=0,0,H12059/ABS(H12058))</f>
        <v>-0.208859796091202</v>
      </c>
      <c r="I12060" s="22" t="n">
        <f aca="false">IF(I12058=0,0,I12059/ABS(I12058))</f>
        <v>-0.25539623793931</v>
      </c>
      <c r="J12060" s="22" t="n">
        <f aca="false">IF(J12058=0,0,J12059/ABS(J12058))</f>
        <v>-0.311039017223404</v>
      </c>
      <c r="K12060" s="22" t="n">
        <f aca="false">IF(K12058=0,0,K12059/ABS(K12058))</f>
        <v>-0.362530001820438</v>
      </c>
    </row>
    <row r="12061" customFormat="false" ht="15" hidden="false" customHeight="false" outlineLevel="0" collapsed="false">
      <c r="A12061" s="3" t="s">
        <v>432</v>
      </c>
      <c r="G12061" s="21" t="n">
        <f aca="false">IF(G12059&lt;0,1,0)</f>
        <v>1</v>
      </c>
      <c r="H12061" s="21" t="n">
        <f aca="false">IF(H12059&lt;0,1,0)</f>
        <v>1</v>
      </c>
      <c r="I12061" s="21" t="n">
        <f aca="false">IF(I12059&lt;0,1,0)</f>
        <v>1</v>
      </c>
      <c r="J12061" s="21" t="n">
        <f aca="false">IF(J12059&lt;0,1,0)</f>
        <v>1</v>
      </c>
      <c r="K12061" s="21" t="n">
        <f aca="false">IF(K12059&lt;0,1,0)</f>
        <v>1</v>
      </c>
    </row>
    <row r="12062" customFormat="false" ht="15" hidden="false" customHeight="false" outlineLevel="0" collapsed="false">
      <c r="A12062" s="3" t="s">
        <v>433</v>
      </c>
      <c r="C12062" s="21" t="n">
        <f aca="false">IFERROR(INDEX($G$11803:$K$11803,MATCH(1,$G$12061:$K$12061,0)),0)</f>
        <v>2027</v>
      </c>
    </row>
    <row r="12063" customFormat="false" ht="15" hidden="false" customHeight="false" outlineLevel="0" collapsed="false">
      <c r="A12063" s="3" t="s">
        <v>434</v>
      </c>
      <c r="C12063" s="22" t="n">
        <f aca="false">MIN($G$12060:$K$12060)</f>
        <v>-0.362530001820438</v>
      </c>
    </row>
    <row r="12064" customFormat="false" ht="15" hidden="false" customHeight="false" outlineLevel="0" collapsed="false">
      <c r="A12064" s="24" t="s">
        <v>436</v>
      </c>
      <c r="B12064" s="25"/>
      <c r="C12064" s="25"/>
      <c r="D12064" s="25"/>
      <c r="E12064" s="25"/>
      <c r="F12064" s="25"/>
      <c r="G12064" s="25"/>
      <c r="H12064" s="25"/>
      <c r="I12064" s="25"/>
      <c r="J12064" s="25"/>
      <c r="K12064" s="25"/>
    </row>
    <row r="12065" customFormat="false" ht="15" hidden="false" customHeight="false" outlineLevel="0" collapsed="false">
      <c r="A12065" s="3" t="s">
        <v>428</v>
      </c>
      <c r="G12065" s="22" t="n">
        <f aca="false">IF(G12046&gt;0,G12035/G12046,99)</f>
        <v>0.120265604139923</v>
      </c>
      <c r="H12065" s="22" t="n">
        <f aca="false">IF(H12046&gt;0,H12035/H12046,99)</f>
        <v>0.119380197979769</v>
      </c>
      <c r="I12065" s="22" t="n">
        <f aca="false">IF(I12046&gt;0,I12035/I12046,99)</f>
        <v>0.118494791819614</v>
      </c>
      <c r="J12065" s="22" t="n">
        <f aca="false">IF(J12046&gt;0,J12035/J12046,99)</f>
        <v>0.11760938565946</v>
      </c>
      <c r="K12065" s="22" t="n">
        <f aca="false">IF(K12046&gt;0,K12035/K12046,99)</f>
        <v>0.116723979499306</v>
      </c>
    </row>
    <row r="12066" customFormat="false" ht="15" hidden="false" customHeight="false" outlineLevel="0" collapsed="false">
      <c r="A12066" s="3" t="s">
        <v>429</v>
      </c>
      <c r="G12066" s="33" t="n">
        <f aca="false">Assumptions!$G$73</f>
        <v>0.4</v>
      </c>
      <c r="H12066" s="33" t="n">
        <f aca="false">Assumptions!$H$73</f>
        <v>0.4</v>
      </c>
      <c r="I12066" s="33" t="n">
        <f aca="false">Assumptions!$I$73</f>
        <v>0.4</v>
      </c>
      <c r="J12066" s="33" t="n">
        <f aca="false">Assumptions!$J$73</f>
        <v>0.4</v>
      </c>
      <c r="K12066" s="33" t="n">
        <f aca="false">Assumptions!$K$73</f>
        <v>0.4</v>
      </c>
    </row>
    <row r="12067" customFormat="false" ht="15" hidden="false" customHeight="false" outlineLevel="0" collapsed="false">
      <c r="A12067" s="3" t="s">
        <v>430</v>
      </c>
      <c r="G12067" s="22" t="n">
        <f aca="false">G12066-G12065</f>
        <v>0.279734395860077</v>
      </c>
      <c r="H12067" s="22" t="n">
        <f aca="false">H12066-H12065</f>
        <v>0.280619802020231</v>
      </c>
      <c r="I12067" s="22" t="n">
        <f aca="false">I12066-I12065</f>
        <v>0.281505208180386</v>
      </c>
      <c r="J12067" s="22" t="n">
        <f aca="false">J12066-J12065</f>
        <v>0.28239061434054</v>
      </c>
      <c r="K12067" s="22" t="n">
        <f aca="false">K12066-K12065</f>
        <v>0.283276020500694</v>
      </c>
    </row>
    <row r="12068" customFormat="false" ht="15" hidden="false" customHeight="false" outlineLevel="0" collapsed="false">
      <c r="A12068" s="3" t="s">
        <v>431</v>
      </c>
      <c r="G12068" s="22" t="n">
        <f aca="false">IF(G12066=0,0,G12067/ABS(G12066))</f>
        <v>0.699335989650192</v>
      </c>
      <c r="H12068" s="22" t="n">
        <f aca="false">IF(H12066=0,0,H12067/ABS(H12066))</f>
        <v>0.701549505050578</v>
      </c>
      <c r="I12068" s="22" t="n">
        <f aca="false">IF(I12066=0,0,I12067/ABS(I12066))</f>
        <v>0.703763020450964</v>
      </c>
      <c r="J12068" s="22" t="n">
        <f aca="false">IF(J12066=0,0,J12067/ABS(J12066))</f>
        <v>0.70597653585135</v>
      </c>
      <c r="K12068" s="22" t="n">
        <f aca="false">IF(K12066=0,0,K12067/ABS(K12066))</f>
        <v>0.708190051251736</v>
      </c>
    </row>
    <row r="12069" customFormat="false" ht="15" hidden="false" customHeight="false" outlineLevel="0" collapsed="false">
      <c r="A12069" s="3" t="s">
        <v>432</v>
      </c>
      <c r="G12069" s="21" t="n">
        <f aca="false">IF(G12067&lt;0,1,0)</f>
        <v>0</v>
      </c>
      <c r="H12069" s="21" t="n">
        <f aca="false">IF(H12067&lt;0,1,0)</f>
        <v>0</v>
      </c>
      <c r="I12069" s="21" t="n">
        <f aca="false">IF(I12067&lt;0,1,0)</f>
        <v>0</v>
      </c>
      <c r="J12069" s="21" t="n">
        <f aca="false">IF(J12067&lt;0,1,0)</f>
        <v>0</v>
      </c>
      <c r="K12069" s="21" t="n">
        <f aca="false">IF(K12067&lt;0,1,0)</f>
        <v>0</v>
      </c>
    </row>
    <row r="12070" customFormat="false" ht="15" hidden="false" customHeight="false" outlineLevel="0" collapsed="false">
      <c r="A12070" s="3" t="s">
        <v>433</v>
      </c>
      <c r="C12070" s="21" t="n">
        <f aca="false">IFERROR(INDEX($G$11803:$K$11803,MATCH(1,$G$12069:$K$12069,0)),0)</f>
        <v>0</v>
      </c>
    </row>
    <row r="12071" customFormat="false" ht="15" hidden="false" customHeight="false" outlineLevel="0" collapsed="false">
      <c r="A12071" s="3" t="s">
        <v>434</v>
      </c>
      <c r="C12071" s="22" t="n">
        <f aca="false">MIN($G$12068:$K$12068)</f>
        <v>0.699335989650192</v>
      </c>
    </row>
    <row r="12072" customFormat="false" ht="15" hidden="false" customHeight="false" outlineLevel="0" collapsed="false">
      <c r="A12072" s="24" t="s">
        <v>437</v>
      </c>
      <c r="B12072" s="25"/>
      <c r="C12072" s="25"/>
      <c r="D12072" s="25"/>
      <c r="E12072" s="25"/>
      <c r="F12072" s="25"/>
      <c r="G12072" s="25"/>
      <c r="H12072" s="25"/>
      <c r="I12072" s="25"/>
      <c r="J12072" s="25"/>
      <c r="K12072" s="25"/>
    </row>
    <row r="12073" customFormat="false" ht="15" hidden="false" customHeight="false" outlineLevel="0" collapsed="false">
      <c r="A12073" s="3" t="s">
        <v>428</v>
      </c>
      <c r="G12073" s="16" t="n">
        <f aca="false">G12043</f>
        <v>714.8629486</v>
      </c>
      <c r="H12073" s="16" t="n">
        <f aca="false">H12043</f>
        <v>574.5</v>
      </c>
      <c r="I12073" s="16" t="n">
        <f aca="false">I12043</f>
        <v>574.5</v>
      </c>
      <c r="J12073" s="16" t="n">
        <f aca="false">J12043</f>
        <v>574.5</v>
      </c>
      <c r="K12073" s="16" t="n">
        <f aca="false">K12043</f>
        <v>574.5</v>
      </c>
    </row>
    <row r="12074" customFormat="false" ht="15" hidden="false" customHeight="false" outlineLevel="0" collapsed="false">
      <c r="A12074" s="3" t="s">
        <v>429</v>
      </c>
      <c r="G12074" s="29" t="n">
        <f aca="false">Assumptions!$G$74</f>
        <v>100</v>
      </c>
      <c r="H12074" s="29" t="n">
        <f aca="false">Assumptions!$H$74</f>
        <v>100</v>
      </c>
      <c r="I12074" s="29" t="n">
        <f aca="false">Assumptions!$I$74</f>
        <v>100</v>
      </c>
      <c r="J12074" s="29" t="n">
        <f aca="false">Assumptions!$J$74</f>
        <v>100</v>
      </c>
      <c r="K12074" s="29" t="n">
        <f aca="false">Assumptions!$K$74</f>
        <v>100</v>
      </c>
    </row>
    <row r="12075" customFormat="false" ht="15" hidden="false" customHeight="false" outlineLevel="0" collapsed="false">
      <c r="A12075" s="3" t="s">
        <v>430</v>
      </c>
      <c r="G12075" s="16" t="n">
        <f aca="false">G12073-G12074</f>
        <v>614.8629486</v>
      </c>
      <c r="H12075" s="16" t="n">
        <f aca="false">H12073-H12074</f>
        <v>474.5</v>
      </c>
      <c r="I12075" s="16" t="n">
        <f aca="false">I12073-I12074</f>
        <v>474.5</v>
      </c>
      <c r="J12075" s="16" t="n">
        <f aca="false">J12073-J12074</f>
        <v>474.5</v>
      </c>
      <c r="K12075" s="16" t="n">
        <f aca="false">K12073-K12074</f>
        <v>474.5</v>
      </c>
    </row>
    <row r="12076" customFormat="false" ht="15" hidden="false" customHeight="false" outlineLevel="0" collapsed="false">
      <c r="A12076" s="3" t="s">
        <v>431</v>
      </c>
      <c r="G12076" s="22" t="n">
        <f aca="false">IF(G12074=0,0,G12075/ABS(G12074))</f>
        <v>6.148629486</v>
      </c>
      <c r="H12076" s="22" t="n">
        <f aca="false">IF(H12074=0,0,H12075/ABS(H12074))</f>
        <v>4.745</v>
      </c>
      <c r="I12076" s="22" t="n">
        <f aca="false">IF(I12074=0,0,I12075/ABS(I12074))</f>
        <v>4.745</v>
      </c>
      <c r="J12076" s="22" t="n">
        <f aca="false">IF(J12074=0,0,J12075/ABS(J12074))</f>
        <v>4.745</v>
      </c>
      <c r="K12076" s="22" t="n">
        <f aca="false">IF(K12074=0,0,K12075/ABS(K12074))</f>
        <v>4.745</v>
      </c>
    </row>
    <row r="12077" customFormat="false" ht="15" hidden="false" customHeight="false" outlineLevel="0" collapsed="false">
      <c r="A12077" s="3" t="s">
        <v>432</v>
      </c>
      <c r="G12077" s="21" t="n">
        <f aca="false">IF(G12075&lt;0,1,0)</f>
        <v>0</v>
      </c>
      <c r="H12077" s="21" t="n">
        <f aca="false">IF(H12075&lt;0,1,0)</f>
        <v>0</v>
      </c>
      <c r="I12077" s="21" t="n">
        <f aca="false">IF(I12075&lt;0,1,0)</f>
        <v>0</v>
      </c>
      <c r="J12077" s="21" t="n">
        <f aca="false">IF(J12075&lt;0,1,0)</f>
        <v>0</v>
      </c>
      <c r="K12077" s="21" t="n">
        <f aca="false">IF(K12075&lt;0,1,0)</f>
        <v>0</v>
      </c>
    </row>
    <row r="12078" customFormat="false" ht="15" hidden="false" customHeight="false" outlineLevel="0" collapsed="false">
      <c r="A12078" s="3" t="s">
        <v>433</v>
      </c>
      <c r="C12078" s="21" t="n">
        <f aca="false">IFERROR(INDEX($G$11803:$K$11803,MATCH(1,$G$12077:$K$12077,0)),0)</f>
        <v>0</v>
      </c>
    </row>
    <row r="12079" customFormat="false" ht="15" hidden="false" customHeight="false" outlineLevel="0" collapsed="false">
      <c r="A12079" s="3" t="s">
        <v>434</v>
      </c>
      <c r="C12079" s="22" t="n">
        <f aca="false">MIN($G$12076:$K$12076)</f>
        <v>4.745</v>
      </c>
    </row>
    <row r="12080" customFormat="false" ht="15" hidden="false" customHeight="false" outlineLevel="0" collapsed="false">
      <c r="A12080" s="24" t="s">
        <v>438</v>
      </c>
      <c r="B12080" s="25"/>
      <c r="C12080" s="25"/>
      <c r="D12080" s="25"/>
      <c r="E12080" s="25"/>
      <c r="F12080" s="25"/>
      <c r="G12080" s="25"/>
      <c r="H12080" s="25"/>
      <c r="I12080" s="25"/>
      <c r="J12080" s="25"/>
      <c r="K12080" s="25"/>
    </row>
    <row r="12081" customFormat="false" ht="15" hidden="false" customHeight="false" outlineLevel="0" collapsed="false">
      <c r="A12081" s="3" t="s">
        <v>428</v>
      </c>
      <c r="G12081" s="32" t="n">
        <f aca="false">IF(G11813&gt;0,G12036/G11813,99)</f>
        <v>10.8006165785999</v>
      </c>
      <c r="H12081" s="32" t="n">
        <f aca="false">IF(H11813&gt;0,H12036/H11813,99)</f>
        <v>12.1355255529459</v>
      </c>
      <c r="I12081" s="32" t="n">
        <f aca="false">IF(I11813&gt;0,I12036/I11813,99)</f>
        <v>13.627962024826</v>
      </c>
      <c r="J12081" s="32" t="n">
        <f aca="false">IF(J11813&gt;0,J12036/J11813,99)</f>
        <v>15.3389588473945</v>
      </c>
      <c r="K12081" s="32" t="n">
        <f aca="false">IF(K11813&gt;0,K12036/K11813,99)</f>
        <v>17.267942276047</v>
      </c>
    </row>
    <row r="12082" customFormat="false" ht="15" hidden="false" customHeight="false" outlineLevel="0" collapsed="false">
      <c r="A12082" s="3" t="s">
        <v>429</v>
      </c>
      <c r="G12082" s="34" t="n">
        <f aca="false">Assumptions!$G$75</f>
        <v>10.5</v>
      </c>
      <c r="H12082" s="34" t="n">
        <f aca="false">Assumptions!$H$75</f>
        <v>10.5</v>
      </c>
      <c r="I12082" s="34" t="n">
        <f aca="false">Assumptions!$I$75</f>
        <v>10</v>
      </c>
      <c r="J12082" s="34" t="n">
        <f aca="false">Assumptions!$J$75</f>
        <v>10</v>
      </c>
      <c r="K12082" s="34" t="n">
        <f aca="false">Assumptions!$K$75</f>
        <v>9.5</v>
      </c>
    </row>
    <row r="12083" customFormat="false" ht="15" hidden="false" customHeight="false" outlineLevel="0" collapsed="false">
      <c r="A12083" s="3" t="s">
        <v>430</v>
      </c>
      <c r="G12083" s="32" t="n">
        <f aca="false">G12082-G12081</f>
        <v>-0.300616578599897</v>
      </c>
      <c r="H12083" s="32" t="n">
        <f aca="false">H12082-H12081</f>
        <v>-1.63552555294589</v>
      </c>
      <c r="I12083" s="32" t="n">
        <f aca="false">I12082-I12081</f>
        <v>-3.62796202482599</v>
      </c>
      <c r="J12083" s="32" t="n">
        <f aca="false">J12082-J12081</f>
        <v>-5.33895884739455</v>
      </c>
      <c r="K12083" s="32" t="n">
        <f aca="false">K12082-K12081</f>
        <v>-7.767942276047</v>
      </c>
    </row>
    <row r="12084" customFormat="false" ht="15" hidden="false" customHeight="false" outlineLevel="0" collapsed="false">
      <c r="A12084" s="3" t="s">
        <v>431</v>
      </c>
      <c r="G12084" s="22" t="n">
        <f aca="false">IF(G12082=0,0,G12083/ABS(G12082))</f>
        <v>-0.0286301503428473</v>
      </c>
      <c r="H12084" s="22" t="n">
        <f aca="false">IF(H12082=0,0,H12083/ABS(H12082))</f>
        <v>-0.1557643383758</v>
      </c>
      <c r="I12084" s="22" t="n">
        <f aca="false">IF(I12082=0,0,I12083/ABS(I12082))</f>
        <v>-0.362796202482599</v>
      </c>
      <c r="J12084" s="22" t="n">
        <f aca="false">IF(J12082=0,0,J12083/ABS(J12082))</f>
        <v>-0.533895884739455</v>
      </c>
      <c r="K12084" s="22" t="n">
        <f aca="false">IF(K12082=0,0,K12083/ABS(K12082))</f>
        <v>-0.817678134320737</v>
      </c>
    </row>
    <row r="12085" customFormat="false" ht="15" hidden="false" customHeight="false" outlineLevel="0" collapsed="false">
      <c r="A12085" s="3" t="s">
        <v>432</v>
      </c>
      <c r="G12085" s="21" t="n">
        <f aca="false">IF(G12083&lt;0,1,0)</f>
        <v>1</v>
      </c>
      <c r="H12085" s="21" t="n">
        <f aca="false">IF(H12083&lt;0,1,0)</f>
        <v>1</v>
      </c>
      <c r="I12085" s="21" t="n">
        <f aca="false">IF(I12083&lt;0,1,0)</f>
        <v>1</v>
      </c>
      <c r="J12085" s="21" t="n">
        <f aca="false">IF(J12083&lt;0,1,0)</f>
        <v>1</v>
      </c>
      <c r="K12085" s="21" t="n">
        <f aca="false">IF(K12083&lt;0,1,0)</f>
        <v>1</v>
      </c>
    </row>
    <row r="12086" customFormat="false" ht="15" hidden="false" customHeight="false" outlineLevel="0" collapsed="false">
      <c r="A12086" s="3" t="s">
        <v>433</v>
      </c>
      <c r="C12086" s="21" t="n">
        <f aca="false">IFERROR(INDEX($G$11803:$K$11803,MATCH(1,$G$12085:$K$12085,0)),0)</f>
        <v>2027</v>
      </c>
    </row>
    <row r="12087" customFormat="false" ht="15" hidden="false" customHeight="false" outlineLevel="0" collapsed="false">
      <c r="A12087" s="3" t="s">
        <v>434</v>
      </c>
      <c r="C12087" s="22" t="n">
        <f aca="false">MIN($G$12084:$K$12084)</f>
        <v>-0.817678134320737</v>
      </c>
    </row>
    <row r="12088" customFormat="false" ht="15" hidden="false" customHeight="false" outlineLevel="0" collapsed="false">
      <c r="A12088" s="3" t="s">
        <v>439</v>
      </c>
      <c r="G12088" s="21" t="n">
        <f aca="false">G12053+G12061+G12069+G12077+G12085</f>
        <v>2</v>
      </c>
      <c r="H12088" s="21" t="n">
        <f aca="false">H12053+H12061+H12069+H12077+H12085</f>
        <v>2</v>
      </c>
      <c r="I12088" s="21" t="n">
        <f aca="false">I12053+I12061+I12069+I12077+I12085</f>
        <v>2</v>
      </c>
      <c r="J12088" s="21" t="n">
        <f aca="false">J12053+J12061+J12069+J12077+J12085</f>
        <v>2</v>
      </c>
      <c r="K12088" s="21" t="n">
        <f aca="false">K12053+K12061+K12069+K12077+K12085</f>
        <v>2</v>
      </c>
    </row>
    <row r="12089" customFormat="false" ht="15" hidden="false" customHeight="false" outlineLevel="0" collapsed="false">
      <c r="A12089" s="3" t="s">
        <v>440</v>
      </c>
      <c r="C12089" s="21" t="n">
        <f aca="false">SUM($G$12088:$K$12088)</f>
        <v>10</v>
      </c>
    </row>
    <row r="12090" customFormat="false" ht="15" hidden="false" customHeight="false" outlineLevel="0" collapsed="false">
      <c r="A12090" s="3" t="s">
        <v>441</v>
      </c>
      <c r="C12090" s="22" t="n">
        <f aca="false">MIN(C12055,C12063,C12071,C12079,C12087)</f>
        <v>-0.817678134320737</v>
      </c>
    </row>
    <row r="12092" customFormat="false" ht="15" hidden="false" customHeight="false" outlineLevel="0" collapsed="false">
      <c r="A12092" s="24" t="s">
        <v>543</v>
      </c>
      <c r="B12092" s="25"/>
      <c r="C12092" s="25"/>
      <c r="D12092" s="25"/>
      <c r="E12092" s="25"/>
      <c r="F12092" s="25"/>
      <c r="G12092" s="25"/>
      <c r="H12092" s="25"/>
      <c r="I12092" s="25"/>
      <c r="J12092" s="25"/>
      <c r="K12092" s="25"/>
    </row>
    <row r="12093" customFormat="false" ht="15" hidden="false" customHeight="false" outlineLevel="0" collapsed="false">
      <c r="A12093" s="3" t="s">
        <v>544</v>
      </c>
      <c r="G12093" s="21" t="n">
        <f aca="false">IF($C$12094=1,G12030,IF(G11813=MIN($G$11813:$K$11813),1,0))</f>
        <v>0</v>
      </c>
      <c r="H12093" s="21" t="n">
        <f aca="false">IF($C$12094=1,H12030,IF(AND(H11813=MIN($G$11813:$K$11813),SUM($G$12093:G12093)=0),1,0))</f>
        <v>1</v>
      </c>
      <c r="I12093" s="21" t="n">
        <f aca="false">IF($C$12094=1,I12030,IF(AND(I11813=MIN($G$11813:$K$11813),SUM($G$12093:H12093)=0),1,0))</f>
        <v>0</v>
      </c>
      <c r="J12093" s="21" t="n">
        <f aca="false">IF($C$12094=1,J12030,IF(AND(J11813=MIN($G$11813:$K$11813),SUM($G$12093:I12093)=0),1,0))</f>
        <v>0</v>
      </c>
      <c r="K12093" s="21" t="n">
        <f aca="false">IF($C$12094=1,K12030,IF(AND(K11813=MIN($G$11813:$K$11813),SUM($G$12093:J12093)=0),1,0))</f>
        <v>0</v>
      </c>
    </row>
    <row r="12094" customFormat="false" ht="15" hidden="false" customHeight="false" outlineLevel="0" collapsed="false">
      <c r="A12094" s="3" t="s">
        <v>545</v>
      </c>
      <c r="C12094" s="21" t="n">
        <f aca="false">IF(SUM($G$12030:$K$12030)&gt;0,1,0)</f>
        <v>1</v>
      </c>
    </row>
    <row r="12095" customFormat="false" ht="15" hidden="false" customHeight="false" outlineLevel="0" collapsed="false">
      <c r="A12095" s="3" t="s">
        <v>546</v>
      </c>
      <c r="C12095" s="21" t="n">
        <f aca="false">SUMPRODUCT($G$12093:$K$12093,$G$11803:$K$11803)</f>
        <v>2028</v>
      </c>
    </row>
    <row r="12096" customFormat="false" ht="15" hidden="false" customHeight="false" outlineLevel="0" collapsed="false">
      <c r="A12096" s="3" t="s">
        <v>547</v>
      </c>
      <c r="C12096" s="16" t="n">
        <f aca="false">SUMPRODUCT($G$12093:$K$12093,$G$11813:$K$11813)</f>
        <v>212.5775180412</v>
      </c>
    </row>
    <row r="12097" customFormat="false" ht="15" hidden="false" customHeight="false" outlineLevel="0" collapsed="false">
      <c r="A12097" s="3" t="s">
        <v>548</v>
      </c>
      <c r="C12097" s="16" t="n">
        <f aca="false">MAX(0,SUMPRODUCT($G$12093:$K$12093,$G$12027:$K$12027))</f>
        <v>0</v>
      </c>
    </row>
    <row r="12098" customFormat="false" ht="15" hidden="false" customHeight="false" outlineLevel="0" collapsed="false">
      <c r="A12098" s="3" t="s">
        <v>549</v>
      </c>
      <c r="C12098" s="16" t="n">
        <f aca="false">(CHOOSE($C$11796,Assumptions!$C$92,Assumptions!$C$111,Assumptions!$C$130)+$C$11800)*C12096</f>
        <v>2125.775180412</v>
      </c>
    </row>
    <row r="12099" customFormat="false" ht="15" hidden="false" customHeight="false" outlineLevel="0" collapsed="false">
      <c r="A12099" s="3" t="s">
        <v>550</v>
      </c>
      <c r="C12099" s="16" t="n">
        <f aca="false">Assumptions!$C$31*(1-CHOOSE($C$11796,Assumptions!$C$93,Assumptions!$C$112,Assumptions!$C$131))*CHOOSE($C$11796,Assumptions!$C$94,Assumptions!$C$113,Assumptions!$C$132)</f>
        <v>3840.04556666667</v>
      </c>
    </row>
    <row r="12100" customFormat="false" ht="15" hidden="false" customHeight="false" outlineLevel="0" collapsed="false">
      <c r="A12100" s="3" t="s">
        <v>551</v>
      </c>
      <c r="C12100" s="16" t="n">
        <f aca="false">MAX(C12098,C12099)+C12097</f>
        <v>3840.04556666667</v>
      </c>
    </row>
    <row r="12101" customFormat="false" ht="15" hidden="false" customHeight="false" outlineLevel="0" collapsed="false">
      <c r="A12101" s="2" t="s">
        <v>552</v>
      </c>
      <c r="C12101" s="17" t="n">
        <f aca="false">IF(ISNUMBER(Assumptions!$C$14),Assumptions!$C$14,C12100)</f>
        <v>3840.04556666667</v>
      </c>
    </row>
    <row r="12102" customFormat="false" ht="15" hidden="false" customHeight="false" outlineLevel="0" collapsed="false">
      <c r="A12102" s="3" t="s">
        <v>553</v>
      </c>
      <c r="C12102" s="16" t="n">
        <f aca="false">C12101*Assumptions!$C$15</f>
        <v>153.601822666667</v>
      </c>
    </row>
    <row r="12103" customFormat="false" ht="15" hidden="false" customHeight="false" outlineLevel="0" collapsed="false">
      <c r="A12103" s="2" t="s">
        <v>554</v>
      </c>
      <c r="C12103" s="17" t="n">
        <f aca="false">C12101-C12102</f>
        <v>3686.443744</v>
      </c>
    </row>
    <row r="12104" customFormat="false" ht="15" hidden="false" customHeight="false" outlineLevel="0" collapsed="false">
      <c r="A12104" s="24" t="s">
        <v>555</v>
      </c>
      <c r="B12104" s="25"/>
      <c r="C12104" s="25"/>
      <c r="D12104" s="25"/>
      <c r="E12104" s="25"/>
      <c r="F12104" s="25"/>
      <c r="G12104" s="25"/>
      <c r="H12104" s="25"/>
      <c r="I12104" s="25"/>
      <c r="J12104" s="25"/>
      <c r="K12104" s="25"/>
    </row>
    <row r="12105" customFormat="false" ht="15" hidden="false" customHeight="false" outlineLevel="0" collapsed="false">
      <c r="A12105" s="3" t="s">
        <v>556</v>
      </c>
      <c r="C12105" s="16" t="n">
        <f aca="false">SUMPRODUCT($G$12093:$K$12093,$G$11850:$K$11850)*(1+SUMPRODUCT($G$12093:$K$12093,$G$11842:$K$11842)*Assumptions!$C$16/12)</f>
        <v>400.82</v>
      </c>
    </row>
    <row r="12106" customFormat="false" ht="15" hidden="false" customHeight="false" outlineLevel="0" collapsed="false">
      <c r="A12106" s="3" t="s">
        <v>557</v>
      </c>
      <c r="C12106" s="16" t="n">
        <f aca="false">SUMPRODUCT($G$12093:$K$12093,$G$11863:$K$11863)*(1+SUMPRODUCT($G$12093:$K$12093,$G$11855:$K$11855)*Assumptions!$C$16/12)</f>
        <v>91.30725</v>
      </c>
    </row>
    <row r="12107" customFormat="false" ht="15" hidden="false" customHeight="false" outlineLevel="0" collapsed="false">
      <c r="A12107" s="3" t="s">
        <v>558</v>
      </c>
      <c r="C12107" s="16" t="n">
        <f aca="false">SUMPRODUCT($G$12093:$K$12093,$G$11876:$K$11876)*(1+SUMPRODUCT($G$12093:$K$12093,$G$11868:$K$11868)*Assumptions!$C$16/12)</f>
        <v>58.3715961</v>
      </c>
    </row>
    <row r="12108" customFormat="false" ht="15" hidden="false" customHeight="false" outlineLevel="0" collapsed="false">
      <c r="A12108" s="3" t="s">
        <v>559</v>
      </c>
      <c r="C12108" s="16" t="n">
        <f aca="false">SUMPRODUCT($G$12093:$K$12093,$G$11889:$K$11889)*(1+SUMPRODUCT($G$12093:$K$12093,$G$11881:$K$11881)*Assumptions!$C$16/12)</f>
        <v>0</v>
      </c>
    </row>
    <row r="12109" customFormat="false" ht="15" hidden="false" customHeight="false" outlineLevel="0" collapsed="false">
      <c r="A12109" s="3" t="s">
        <v>560</v>
      </c>
      <c r="C12109" s="16" t="n">
        <f aca="false">SUMPRODUCT($G$12093:$K$12093,$G$11902:$K$11902)*(1+SUMPRODUCT($G$12093:$K$12093,$G$11894:$K$11894)*Assumptions!$C$16/12)</f>
        <v>415.872485454737</v>
      </c>
    </row>
    <row r="12110" customFormat="false" ht="15" hidden="false" customHeight="false" outlineLevel="0" collapsed="false">
      <c r="A12110" s="3" t="s">
        <v>561</v>
      </c>
      <c r="C12110" s="16" t="n">
        <f aca="false">SUMPRODUCT($G$12093:$K$12093,$G$11915:$K$11915)*(1+SUMPRODUCT($G$12093:$K$12093,$G$11907:$K$11907)*Assumptions!$C$16/12)</f>
        <v>357.2625</v>
      </c>
    </row>
    <row r="12111" customFormat="false" ht="15" hidden="false" customHeight="false" outlineLevel="0" collapsed="false">
      <c r="A12111" s="3" t="s">
        <v>562</v>
      </c>
      <c r="C12111" s="16" t="n">
        <f aca="false">SUMPRODUCT($G$12093:$K$12093,$G$11928:$K$11928)*(1+SUMPRODUCT($G$12093:$K$12093,$G$11920:$K$11920)*Assumptions!$C$16/12)</f>
        <v>562.203125</v>
      </c>
    </row>
    <row r="12112" customFormat="false" ht="15" hidden="false" customHeight="false" outlineLevel="0" collapsed="false">
      <c r="A12112" s="3" t="s">
        <v>563</v>
      </c>
      <c r="C12112" s="16" t="n">
        <f aca="false">SUMPRODUCT($G$12093:$K$12093,$G$11941:$K$11941)*(1+SUMPRODUCT($G$12093:$K$12093,$G$11933:$K$11933)*Assumptions!$C$16/12)</f>
        <v>353.98125</v>
      </c>
    </row>
    <row r="12113" customFormat="false" ht="15" hidden="false" customHeight="false" outlineLevel="0" collapsed="false">
      <c r="A12113" s="3" t="s">
        <v>564</v>
      </c>
      <c r="C12113" s="16" t="n">
        <f aca="false">SUMPRODUCT($G$12093:$K$12093,$G$11954:$K$11954)*(1+SUMPRODUCT($G$12093:$K$12093,$G$11946:$K$11946)*Assumptions!$C$16/12)</f>
        <v>304.59375</v>
      </c>
    </row>
    <row r="12114" customFormat="false" ht="15" hidden="false" customHeight="false" outlineLevel="0" collapsed="false">
      <c r="A12114" s="3" t="s">
        <v>565</v>
      </c>
      <c r="C12114" s="16" t="n">
        <f aca="false">SUMPRODUCT($G$12093:$K$12093,$G$11967:$K$11967)*(1+SUMPRODUCT($G$12093:$K$12093,$G$11959:$K$11959)*Assumptions!$C$16/12)</f>
        <v>79.6437215</v>
      </c>
    </row>
    <row r="12115" customFormat="false" ht="15" hidden="false" customHeight="false" outlineLevel="0" collapsed="false">
      <c r="A12115" s="24" t="s">
        <v>566</v>
      </c>
      <c r="B12115" s="25"/>
      <c r="C12115" s="25"/>
      <c r="D12115" s="25"/>
      <c r="E12115" s="25"/>
      <c r="F12115" s="25"/>
      <c r="G12115" s="25"/>
      <c r="H12115" s="25"/>
      <c r="I12115" s="25"/>
      <c r="J12115" s="25"/>
      <c r="K12115" s="25"/>
    </row>
    <row r="12116" customFormat="false" ht="15" hidden="false" customHeight="false" outlineLevel="0" collapsed="false">
      <c r="A12116" s="3" t="s">
        <v>556</v>
      </c>
      <c r="C12116" s="27" t="n">
        <f aca="false">Assumptions!$M$57</f>
        <v>1</v>
      </c>
    </row>
    <row r="12117" customFormat="false" ht="15" hidden="false" customHeight="false" outlineLevel="0" collapsed="false">
      <c r="A12117" s="3" t="s">
        <v>557</v>
      </c>
      <c r="C12117" s="27" t="n">
        <f aca="false">Assumptions!$M$58</f>
        <v>1</v>
      </c>
    </row>
    <row r="12118" customFormat="false" ht="15" hidden="false" customHeight="false" outlineLevel="0" collapsed="false">
      <c r="A12118" s="3" t="s">
        <v>558</v>
      </c>
      <c r="C12118" s="27" t="n">
        <f aca="false">Assumptions!$M$59</f>
        <v>1</v>
      </c>
    </row>
    <row r="12119" customFormat="false" ht="15" hidden="false" customHeight="false" outlineLevel="0" collapsed="false">
      <c r="A12119" s="3" t="s">
        <v>559</v>
      </c>
      <c r="C12119" s="27" t="n">
        <f aca="false">Assumptions!$M$60</f>
        <v>2</v>
      </c>
    </row>
    <row r="12120" customFormat="false" ht="15" hidden="false" customHeight="false" outlineLevel="0" collapsed="false">
      <c r="A12120" s="3" t="s">
        <v>560</v>
      </c>
      <c r="C12120" s="27" t="n">
        <f aca="false">Assumptions!$M$61</f>
        <v>2</v>
      </c>
    </row>
    <row r="12121" customFormat="false" ht="15" hidden="false" customHeight="false" outlineLevel="0" collapsed="false">
      <c r="A12121" s="3" t="s">
        <v>561</v>
      </c>
      <c r="C12121" s="27" t="n">
        <f aca="false">Assumptions!$M$62</f>
        <v>2</v>
      </c>
    </row>
    <row r="12122" customFormat="false" ht="15" hidden="false" customHeight="false" outlineLevel="0" collapsed="false">
      <c r="A12122" s="3" t="s">
        <v>562</v>
      </c>
      <c r="C12122" s="27" t="n">
        <f aca="false">Assumptions!$M$63</f>
        <v>2</v>
      </c>
    </row>
    <row r="12123" customFormat="false" ht="15" hidden="false" customHeight="false" outlineLevel="0" collapsed="false">
      <c r="A12123" s="3" t="s">
        <v>563</v>
      </c>
      <c r="C12123" s="27" t="n">
        <f aca="false">Assumptions!$M$64</f>
        <v>2</v>
      </c>
    </row>
    <row r="12124" customFormat="false" ht="15" hidden="false" customHeight="false" outlineLevel="0" collapsed="false">
      <c r="A12124" s="3" t="s">
        <v>564</v>
      </c>
      <c r="C12124" s="27" t="n">
        <f aca="false">Assumptions!$M$65</f>
        <v>2</v>
      </c>
    </row>
    <row r="12125" customFormat="false" ht="15" hidden="false" customHeight="false" outlineLevel="0" collapsed="false">
      <c r="A12125" s="3" t="s">
        <v>565</v>
      </c>
      <c r="C12125" s="27" t="n">
        <f aca="false">Assumptions!$M$66</f>
        <v>3</v>
      </c>
    </row>
    <row r="12126" customFormat="false" ht="15" hidden="false" customHeight="false" outlineLevel="0" collapsed="false">
      <c r="A12126" s="24" t="s">
        <v>567</v>
      </c>
      <c r="B12126" s="25"/>
      <c r="C12126" s="25"/>
      <c r="D12126" s="25"/>
      <c r="E12126" s="25"/>
      <c r="F12126" s="25"/>
      <c r="G12126" s="25"/>
      <c r="H12126" s="25"/>
      <c r="I12126" s="25"/>
      <c r="J12126" s="25"/>
      <c r="K12126" s="25"/>
    </row>
    <row r="12127" customFormat="false" ht="15" hidden="false" customHeight="false" outlineLevel="0" collapsed="false">
      <c r="A12127" s="3" t="s">
        <v>556</v>
      </c>
      <c r="C12127" s="33" t="n">
        <f aca="false">Assumptions!$Q$57</f>
        <v>0.3</v>
      </c>
    </row>
    <row r="12128" customFormat="false" ht="15" hidden="false" customHeight="false" outlineLevel="0" collapsed="false">
      <c r="A12128" s="3" t="s">
        <v>557</v>
      </c>
      <c r="C12128" s="33" t="n">
        <f aca="false">Assumptions!$Q$58</f>
        <v>0.033</v>
      </c>
    </row>
    <row r="12129" customFormat="false" ht="15" hidden="false" customHeight="false" outlineLevel="0" collapsed="false">
      <c r="A12129" s="3" t="s">
        <v>558</v>
      </c>
      <c r="C12129" s="33" t="n">
        <f aca="false">Assumptions!$Q$59</f>
        <v>0.021</v>
      </c>
    </row>
    <row r="12130" customFormat="false" ht="15" hidden="false" customHeight="false" outlineLevel="0" collapsed="false">
      <c r="A12130" s="3" t="s">
        <v>559</v>
      </c>
      <c r="C12130" s="33" t="n">
        <f aca="false">Assumptions!$Q$60</f>
        <v>0</v>
      </c>
    </row>
    <row r="12131" customFormat="false" ht="15" hidden="false" customHeight="false" outlineLevel="0" collapsed="false">
      <c r="A12131" s="3" t="s">
        <v>560</v>
      </c>
      <c r="C12131" s="33" t="n">
        <f aca="false">Assumptions!$Q$61</f>
        <v>0</v>
      </c>
    </row>
    <row r="12132" customFormat="false" ht="15" hidden="false" customHeight="false" outlineLevel="0" collapsed="false">
      <c r="A12132" s="3" t="s">
        <v>561</v>
      </c>
      <c r="C12132" s="33" t="n">
        <f aca="false">Assumptions!$Q$62</f>
        <v>0</v>
      </c>
    </row>
    <row r="12133" customFormat="false" ht="15" hidden="false" customHeight="false" outlineLevel="0" collapsed="false">
      <c r="A12133" s="3" t="s">
        <v>562</v>
      </c>
      <c r="C12133" s="33" t="n">
        <f aca="false">Assumptions!$Q$63</f>
        <v>0</v>
      </c>
    </row>
    <row r="12134" customFormat="false" ht="15" hidden="false" customHeight="false" outlineLevel="0" collapsed="false">
      <c r="A12134" s="3" t="s">
        <v>563</v>
      </c>
      <c r="C12134" s="33" t="n">
        <f aca="false">Assumptions!$Q$64</f>
        <v>0</v>
      </c>
    </row>
    <row r="12135" customFormat="false" ht="15" hidden="false" customHeight="false" outlineLevel="0" collapsed="false">
      <c r="A12135" s="3" t="s">
        <v>564</v>
      </c>
      <c r="C12135" s="33" t="n">
        <f aca="false">Assumptions!$Q$65</f>
        <v>0</v>
      </c>
    </row>
    <row r="12136" customFormat="false" ht="15" hidden="false" customHeight="false" outlineLevel="0" collapsed="false">
      <c r="A12136" s="3" t="s">
        <v>565</v>
      </c>
      <c r="C12136" s="33" t="n">
        <f aca="false">Assumptions!$Q$66</f>
        <v>0</v>
      </c>
    </row>
    <row r="12137" customFormat="false" ht="15" hidden="false" customHeight="false" outlineLevel="0" collapsed="false">
      <c r="A12137" s="24" t="s">
        <v>568</v>
      </c>
      <c r="B12137" s="25"/>
      <c r="C12137" s="25"/>
      <c r="D12137" s="25"/>
      <c r="E12137" s="25"/>
      <c r="F12137" s="25"/>
      <c r="G12137" s="25"/>
      <c r="H12137" s="25"/>
      <c r="I12137" s="25"/>
      <c r="J12137" s="25"/>
      <c r="K12137" s="25"/>
    </row>
    <row r="12138" customFormat="false" ht="15" hidden="false" customHeight="false" outlineLevel="0" collapsed="false">
      <c r="A12138" s="3" t="s">
        <v>556</v>
      </c>
      <c r="C12138" s="16" t="n">
        <f aca="false">IF(C12127&gt;0,MIN(C12105,C12127*$C$12103),0)</f>
        <v>400.82</v>
      </c>
    </row>
    <row r="12139" customFormat="false" ht="15" hidden="false" customHeight="false" outlineLevel="0" collapsed="false">
      <c r="A12139" s="3" t="s">
        <v>557</v>
      </c>
      <c r="C12139" s="16" t="n">
        <f aca="false">IF(C12128&gt;0,MIN(C12106,C12128*$C$12103),0)</f>
        <v>91.30725</v>
      </c>
    </row>
    <row r="12140" customFormat="false" ht="15" hidden="false" customHeight="false" outlineLevel="0" collapsed="false">
      <c r="A12140" s="3" t="s">
        <v>558</v>
      </c>
      <c r="C12140" s="16" t="n">
        <f aca="false">IF(C12129&gt;0,MIN(C12107,C12129*$C$12103),0)</f>
        <v>58.3715961</v>
      </c>
    </row>
    <row r="12141" customFormat="false" ht="15" hidden="false" customHeight="false" outlineLevel="0" collapsed="false">
      <c r="A12141" s="3" t="s">
        <v>559</v>
      </c>
      <c r="C12141" s="16" t="n">
        <f aca="false">IF(C12130&gt;0,MIN(C12108,C12130*$C$12103),0)</f>
        <v>0</v>
      </c>
    </row>
    <row r="12142" customFormat="false" ht="15" hidden="false" customHeight="false" outlineLevel="0" collapsed="false">
      <c r="A12142" s="3" t="s">
        <v>560</v>
      </c>
      <c r="C12142" s="16" t="n">
        <f aca="false">IF(C12131&gt;0,MIN(C12109,C12131*$C$12103),0)</f>
        <v>0</v>
      </c>
    </row>
    <row r="12143" customFormat="false" ht="15" hidden="false" customHeight="false" outlineLevel="0" collapsed="false">
      <c r="A12143" s="3" t="s">
        <v>561</v>
      </c>
      <c r="C12143" s="16" t="n">
        <f aca="false">IF(C12132&gt;0,MIN(C12110,C12132*$C$12103),0)</f>
        <v>0</v>
      </c>
    </row>
    <row r="12144" customFormat="false" ht="15" hidden="false" customHeight="false" outlineLevel="0" collapsed="false">
      <c r="A12144" s="3" t="s">
        <v>562</v>
      </c>
      <c r="C12144" s="16" t="n">
        <f aca="false">IF(C12133&gt;0,MIN(C12111,C12133*$C$12103),0)</f>
        <v>0</v>
      </c>
    </row>
    <row r="12145" customFormat="false" ht="15" hidden="false" customHeight="false" outlineLevel="0" collapsed="false">
      <c r="A12145" s="3" t="s">
        <v>563</v>
      </c>
      <c r="C12145" s="16" t="n">
        <f aca="false">IF(C12134&gt;0,MIN(C12112,C12134*$C$12103),0)</f>
        <v>0</v>
      </c>
    </row>
    <row r="12146" customFormat="false" ht="15" hidden="false" customHeight="false" outlineLevel="0" collapsed="false">
      <c r="A12146" s="3" t="s">
        <v>564</v>
      </c>
      <c r="C12146" s="16" t="n">
        <f aca="false">IF(C12135&gt;0,MIN(C12113,C12135*$C$12103),0)</f>
        <v>0</v>
      </c>
    </row>
    <row r="12147" customFormat="false" ht="15" hidden="false" customHeight="false" outlineLevel="0" collapsed="false">
      <c r="A12147" s="3" t="s">
        <v>565</v>
      </c>
      <c r="C12147" s="16" t="n">
        <f aca="false">IF(C12136&gt;0,MIN(C12114,C12136*$C$12103),0)</f>
        <v>0</v>
      </c>
    </row>
    <row r="12148" customFormat="false" ht="15" hidden="false" customHeight="false" outlineLevel="0" collapsed="false">
      <c r="A12148" s="24" t="s">
        <v>569</v>
      </c>
      <c r="B12148" s="25"/>
      <c r="C12148" s="25"/>
      <c r="D12148" s="25"/>
      <c r="E12148" s="25"/>
      <c r="F12148" s="25"/>
      <c r="G12148" s="25"/>
      <c r="H12148" s="25"/>
      <c r="I12148" s="25"/>
      <c r="J12148" s="25"/>
      <c r="K12148" s="25"/>
    </row>
    <row r="12149" customFormat="false" ht="15" hidden="false" customHeight="false" outlineLevel="0" collapsed="false">
      <c r="A12149" s="3" t="s">
        <v>556</v>
      </c>
      <c r="C12149" s="16" t="n">
        <f aca="false">IF(C12127&gt;0,C12105-C12138,0)</f>
        <v>0</v>
      </c>
      <c r="G12149" s="21" t="n">
        <f aca="false">IF(AND(G11840=1,G11837=1),1,0)</f>
        <v>0</v>
      </c>
      <c r="H12149" s="21" t="n">
        <f aca="false">IF(G12149=1,1,IF(AND(H11840=1,H11837=1),1,0))</f>
        <v>0</v>
      </c>
      <c r="I12149" s="21" t="n">
        <f aca="false">IF(H12149=1,1,IF(AND(I11840=1,I11837=1),1,0))</f>
        <v>0</v>
      </c>
      <c r="J12149" s="21" t="n">
        <f aca="false">IF(I12149=1,1,IF(AND(J11840=1,J11837=1),1,0))</f>
        <v>0</v>
      </c>
      <c r="K12149" s="21" t="n">
        <f aca="false">IF(J12149=1,1,IF(AND(K11840=1,K11837=1),1,0))</f>
        <v>0</v>
      </c>
    </row>
    <row r="12150" customFormat="false" ht="15" hidden="false" customHeight="false" outlineLevel="0" collapsed="false">
      <c r="A12150" s="3" t="s">
        <v>557</v>
      </c>
      <c r="C12150" s="16" t="n">
        <f aca="false">IF(C12128&gt;0,C12106-C12139,0)</f>
        <v>0</v>
      </c>
      <c r="G12150" s="21" t="n">
        <f aca="false">IF(AND(G11853=1,G11837=1),1,0)</f>
        <v>0</v>
      </c>
      <c r="H12150" s="21" t="n">
        <f aca="false">IF(G12150=1,1,IF(AND(H11853=1,H11837=1),1,0))</f>
        <v>0</v>
      </c>
      <c r="I12150" s="21" t="n">
        <f aca="false">IF(H12150=1,1,IF(AND(I11853=1,I11837=1),1,0))</f>
        <v>0</v>
      </c>
      <c r="J12150" s="21" t="n">
        <f aca="false">IF(I12150=1,1,IF(AND(J11853=1,J11837=1),1,0))</f>
        <v>0</v>
      </c>
      <c r="K12150" s="21" t="n">
        <f aca="false">IF(J12150=1,1,IF(AND(K11853=1,K11837=1),1,0))</f>
        <v>0</v>
      </c>
    </row>
    <row r="12151" customFormat="false" ht="15" hidden="false" customHeight="false" outlineLevel="0" collapsed="false">
      <c r="A12151" s="3" t="s">
        <v>558</v>
      </c>
      <c r="C12151" s="16" t="n">
        <f aca="false">IF(C12129&gt;0,C12107-C12140,0)</f>
        <v>0</v>
      </c>
      <c r="G12151" s="21" t="n">
        <f aca="false">IF(AND(G11866=1,G11837=1),1,0)</f>
        <v>0</v>
      </c>
      <c r="H12151" s="21" t="n">
        <f aca="false">IF(G12151=1,1,IF(AND(H11866=1,H11837=1),1,0))</f>
        <v>0</v>
      </c>
      <c r="I12151" s="21" t="n">
        <f aca="false">IF(H12151=1,1,IF(AND(I11866=1,I11837=1),1,0))</f>
        <v>0</v>
      </c>
      <c r="J12151" s="21" t="n">
        <f aca="false">IF(I12151=1,1,IF(AND(J11866=1,J11837=1),1,0))</f>
        <v>0</v>
      </c>
      <c r="K12151" s="21" t="n">
        <f aca="false">IF(J12151=1,1,IF(AND(K11866=1,K11837=1),1,0))</f>
        <v>0</v>
      </c>
    </row>
    <row r="12152" customFormat="false" ht="15" hidden="false" customHeight="false" outlineLevel="0" collapsed="false">
      <c r="A12152" s="3" t="s">
        <v>559</v>
      </c>
      <c r="C12152" s="16" t="n">
        <f aca="false">IF(C12130&gt;0,C12108-C12141,0)</f>
        <v>0</v>
      </c>
      <c r="G12152" s="21" t="n">
        <f aca="false">IF(AND(G11879=1,G11837=1),1,0)</f>
        <v>0</v>
      </c>
      <c r="H12152" s="21" t="n">
        <f aca="false">IF(G12152=1,1,IF(AND(H11879=1,H11837=1),1,0))</f>
        <v>0</v>
      </c>
      <c r="I12152" s="21" t="n">
        <f aca="false">IF(H12152=1,1,IF(AND(I11879=1,I11837=1),1,0))</f>
        <v>0</v>
      </c>
      <c r="J12152" s="21" t="n">
        <f aca="false">IF(I12152=1,1,IF(AND(J11879=1,J11837=1),1,0))</f>
        <v>0</v>
      </c>
      <c r="K12152" s="21" t="n">
        <f aca="false">IF(J12152=1,1,IF(AND(K11879=1,K11837=1),1,0))</f>
        <v>0</v>
      </c>
    </row>
    <row r="12153" customFormat="false" ht="15" hidden="false" customHeight="false" outlineLevel="0" collapsed="false">
      <c r="A12153" s="3" t="s">
        <v>560</v>
      </c>
      <c r="C12153" s="16" t="n">
        <f aca="false">IF(C12131&gt;0,C12109-C12142,0)</f>
        <v>0</v>
      </c>
      <c r="G12153" s="21" t="n">
        <f aca="false">IF(AND(G11892=1,G11837=1),1,0)</f>
        <v>0</v>
      </c>
      <c r="H12153" s="21" t="n">
        <f aca="false">IF(G12153=1,1,IF(AND(H11892=1,H11837=1),1,0))</f>
        <v>0</v>
      </c>
      <c r="I12153" s="21" t="n">
        <f aca="false">IF(H12153=1,1,IF(AND(I11892=1,I11837=1),1,0))</f>
        <v>0</v>
      </c>
      <c r="J12153" s="21" t="n">
        <f aca="false">IF(I12153=1,1,IF(AND(J11892=1,J11837=1),1,0))</f>
        <v>0</v>
      </c>
      <c r="K12153" s="21" t="n">
        <f aca="false">IF(J12153=1,1,IF(AND(K11892=1,K11837=1),1,0))</f>
        <v>0</v>
      </c>
    </row>
    <row r="12154" customFormat="false" ht="15" hidden="false" customHeight="false" outlineLevel="0" collapsed="false">
      <c r="A12154" s="3" t="s">
        <v>561</v>
      </c>
      <c r="C12154" s="16" t="n">
        <f aca="false">IF(C12132&gt;0,C12110-C12143,0)</f>
        <v>0</v>
      </c>
      <c r="G12154" s="21" t="n">
        <f aca="false">IF(AND(G11905=1,G11837=1),1,0)</f>
        <v>0</v>
      </c>
      <c r="H12154" s="21" t="n">
        <f aca="false">IF(G12154=1,1,IF(AND(H11905=1,H11837=1),1,0))</f>
        <v>0</v>
      </c>
      <c r="I12154" s="21" t="n">
        <f aca="false">IF(H12154=1,1,IF(AND(I11905=1,I11837=1),1,0))</f>
        <v>0</v>
      </c>
      <c r="J12154" s="21" t="n">
        <f aca="false">IF(I12154=1,1,IF(AND(J11905=1,J11837=1),1,0))</f>
        <v>0</v>
      </c>
      <c r="K12154" s="21" t="n">
        <f aca="false">IF(J12154=1,1,IF(AND(K11905=1,K11837=1),1,0))</f>
        <v>0</v>
      </c>
    </row>
    <row r="12155" customFormat="false" ht="15" hidden="false" customHeight="false" outlineLevel="0" collapsed="false">
      <c r="A12155" s="3" t="s">
        <v>562</v>
      </c>
      <c r="C12155" s="16" t="n">
        <f aca="false">IF(C12133&gt;0,C12111-C12144,0)</f>
        <v>0</v>
      </c>
      <c r="G12155" s="21" t="n">
        <f aca="false">IF(AND(G11918=1,G11837=1),1,0)</f>
        <v>0</v>
      </c>
      <c r="H12155" s="21" t="n">
        <f aca="false">IF(G12155=1,1,IF(AND(H11918=1,H11837=1),1,0))</f>
        <v>0</v>
      </c>
      <c r="I12155" s="21" t="n">
        <f aca="false">IF(H12155=1,1,IF(AND(I11918=1,I11837=1),1,0))</f>
        <v>0</v>
      </c>
      <c r="J12155" s="21" t="n">
        <f aca="false">IF(I12155=1,1,IF(AND(J11918=1,J11837=1),1,0))</f>
        <v>0</v>
      </c>
      <c r="K12155" s="21" t="n">
        <f aca="false">IF(J12155=1,1,IF(AND(K11918=1,K11837=1),1,0))</f>
        <v>0</v>
      </c>
    </row>
    <row r="12156" customFormat="false" ht="15" hidden="false" customHeight="false" outlineLevel="0" collapsed="false">
      <c r="A12156" s="3" t="s">
        <v>563</v>
      </c>
      <c r="C12156" s="16" t="n">
        <f aca="false">IF(C12134&gt;0,C12112-C12145,0)</f>
        <v>0</v>
      </c>
      <c r="G12156" s="21" t="n">
        <f aca="false">IF(AND(G11931=1,G11837=1),1,0)</f>
        <v>0</v>
      </c>
      <c r="H12156" s="21" t="n">
        <f aca="false">IF(G12156=1,1,IF(AND(H11931=1,H11837=1),1,0))</f>
        <v>0</v>
      </c>
      <c r="I12156" s="21" t="n">
        <f aca="false">IF(H12156=1,1,IF(AND(I11931=1,I11837=1),1,0))</f>
        <v>0</v>
      </c>
      <c r="J12156" s="21" t="n">
        <f aca="false">IF(I12156=1,1,IF(AND(J11931=1,J11837=1),1,0))</f>
        <v>0</v>
      </c>
      <c r="K12156" s="21" t="n">
        <f aca="false">IF(J12156=1,1,IF(AND(K11931=1,K11837=1),1,0))</f>
        <v>0</v>
      </c>
    </row>
    <row r="12157" customFormat="false" ht="15" hidden="false" customHeight="false" outlineLevel="0" collapsed="false">
      <c r="A12157" s="3" t="s">
        <v>564</v>
      </c>
      <c r="C12157" s="16" t="n">
        <f aca="false">IF(C12135&gt;0,C12113-C12146,0)</f>
        <v>0</v>
      </c>
      <c r="G12157" s="21" t="n">
        <f aca="false">IF(AND(G11944=1,G11837=1),1,0)</f>
        <v>0</v>
      </c>
      <c r="H12157" s="21" t="n">
        <f aca="false">IF(G12157=1,1,IF(AND(H11944=1,H11837=1),1,0))</f>
        <v>0</v>
      </c>
      <c r="I12157" s="21" t="n">
        <f aca="false">IF(H12157=1,1,IF(AND(I11944=1,I11837=1),1,0))</f>
        <v>0</v>
      </c>
      <c r="J12157" s="21" t="n">
        <f aca="false">IF(I12157=1,1,IF(AND(J11944=1,J11837=1),1,0))</f>
        <v>0</v>
      </c>
      <c r="K12157" s="21" t="n">
        <f aca="false">IF(J12157=1,1,IF(AND(K11944=1,K11837=1),1,0))</f>
        <v>0</v>
      </c>
    </row>
    <row r="12158" customFormat="false" ht="15" hidden="false" customHeight="false" outlineLevel="0" collapsed="false">
      <c r="A12158" s="3" t="s">
        <v>565</v>
      </c>
      <c r="C12158" s="16" t="n">
        <f aca="false">IF(C12136&gt;0,C12114-C12147,0)</f>
        <v>0</v>
      </c>
      <c r="G12158" s="21" t="n">
        <f aca="false">IF(AND(G11957=1,G11837=1),1,0)</f>
        <v>0</v>
      </c>
      <c r="H12158" s="21" t="n">
        <f aca="false">IF(G12158=1,1,IF(AND(H11957=1,H11837=1),1,0))</f>
        <v>0</v>
      </c>
      <c r="I12158" s="21" t="n">
        <f aca="false">IF(H12158=1,1,IF(AND(I11957=1,I11837=1),1,0))</f>
        <v>0</v>
      </c>
      <c r="J12158" s="21" t="n">
        <f aca="false">IF(I12158=1,1,IF(AND(J11957=1,J11837=1),1,0))</f>
        <v>0</v>
      </c>
      <c r="K12158" s="21" t="n">
        <f aca="false">IF(J12158=1,1,IF(AND(K11957=1,K11837=1),1,0))</f>
        <v>0</v>
      </c>
    </row>
    <row r="12159" customFormat="false" ht="15" hidden="false" customHeight="false" outlineLevel="0" collapsed="false">
      <c r="A12159" s="24" t="s">
        <v>570</v>
      </c>
      <c r="B12159" s="25"/>
      <c r="C12159" s="25"/>
      <c r="D12159" s="25"/>
      <c r="E12159" s="25"/>
      <c r="F12159" s="25"/>
      <c r="G12159" s="25"/>
      <c r="H12159" s="25"/>
      <c r="I12159" s="25"/>
      <c r="J12159" s="25"/>
      <c r="K12159" s="25"/>
    </row>
    <row r="12160" customFormat="false" ht="15" hidden="false" customHeight="false" outlineLevel="0" collapsed="false">
      <c r="A12160" s="3" t="s">
        <v>556</v>
      </c>
      <c r="C12160" s="16" t="n">
        <f aca="false">IF(C12127&gt;0,C12149,C12105)</f>
        <v>0</v>
      </c>
    </row>
    <row r="12161" customFormat="false" ht="15" hidden="false" customHeight="false" outlineLevel="0" collapsed="false">
      <c r="A12161" s="3" t="s">
        <v>557</v>
      </c>
      <c r="C12161" s="16" t="n">
        <f aca="false">IF(C12128&gt;0,C12150,C12106)</f>
        <v>0</v>
      </c>
    </row>
    <row r="12162" customFormat="false" ht="15" hidden="false" customHeight="false" outlineLevel="0" collapsed="false">
      <c r="A12162" s="3" t="s">
        <v>558</v>
      </c>
      <c r="C12162" s="16" t="n">
        <f aca="false">IF(C12129&gt;0,C12151,C12107)</f>
        <v>0</v>
      </c>
    </row>
    <row r="12163" customFormat="false" ht="15" hidden="false" customHeight="false" outlineLevel="0" collapsed="false">
      <c r="A12163" s="3" t="s">
        <v>559</v>
      </c>
      <c r="C12163" s="16" t="n">
        <f aca="false">IF(C12130&gt;0,C12152,C12108)</f>
        <v>0</v>
      </c>
    </row>
    <row r="12164" customFormat="false" ht="15" hidden="false" customHeight="false" outlineLevel="0" collapsed="false">
      <c r="A12164" s="3" t="s">
        <v>560</v>
      </c>
      <c r="C12164" s="16" t="n">
        <f aca="false">IF(C12131&gt;0,C12153,C12109)</f>
        <v>415.872485454737</v>
      </c>
    </row>
    <row r="12165" customFormat="false" ht="15" hidden="false" customHeight="false" outlineLevel="0" collapsed="false">
      <c r="A12165" s="3" t="s">
        <v>561</v>
      </c>
      <c r="C12165" s="16" t="n">
        <f aca="false">IF(C12132&gt;0,C12154,C12110)</f>
        <v>357.2625</v>
      </c>
    </row>
    <row r="12166" customFormat="false" ht="15" hidden="false" customHeight="false" outlineLevel="0" collapsed="false">
      <c r="A12166" s="3" t="s">
        <v>562</v>
      </c>
      <c r="C12166" s="16" t="n">
        <f aca="false">IF(C12133&gt;0,C12155,C12111)</f>
        <v>562.203125</v>
      </c>
    </row>
    <row r="12167" customFormat="false" ht="15" hidden="false" customHeight="false" outlineLevel="0" collapsed="false">
      <c r="A12167" s="3" t="s">
        <v>563</v>
      </c>
      <c r="C12167" s="16" t="n">
        <f aca="false">IF(C12134&gt;0,C12156,C12112)</f>
        <v>353.98125</v>
      </c>
    </row>
    <row r="12168" customFormat="false" ht="15" hidden="false" customHeight="false" outlineLevel="0" collapsed="false">
      <c r="A12168" s="3" t="s">
        <v>564</v>
      </c>
      <c r="C12168" s="16" t="n">
        <f aca="false">IF(C12135&gt;0,C12157,C12113)</f>
        <v>304.59375</v>
      </c>
    </row>
    <row r="12169" customFormat="false" ht="15" hidden="false" customHeight="false" outlineLevel="0" collapsed="false">
      <c r="A12169" s="3" t="s">
        <v>565</v>
      </c>
      <c r="C12169" s="16" t="n">
        <f aca="false">IF(C12136&gt;0,C12158,C12114)</f>
        <v>79.6437215</v>
      </c>
    </row>
    <row r="12170" customFormat="false" ht="15" hidden="false" customHeight="false" outlineLevel="0" collapsed="false">
      <c r="A12170" s="24" t="s">
        <v>571</v>
      </c>
      <c r="B12170" s="25"/>
      <c r="C12170" s="25"/>
      <c r="D12170" s="25"/>
      <c r="E12170" s="25"/>
      <c r="F12170" s="25"/>
      <c r="G12170" s="25"/>
      <c r="H12170" s="25"/>
      <c r="I12170" s="25"/>
      <c r="J12170" s="25"/>
      <c r="K12170" s="25"/>
    </row>
    <row r="12171" customFormat="false" ht="15" hidden="false" customHeight="false" outlineLevel="0" collapsed="false">
      <c r="A12171" s="3" t="s">
        <v>556</v>
      </c>
      <c r="C12171" s="21" t="n">
        <f aca="false">IF(C12127&gt;0,Assumptions!$C$17,C12116)</f>
        <v>99</v>
      </c>
    </row>
    <row r="12172" customFormat="false" ht="15" hidden="false" customHeight="false" outlineLevel="0" collapsed="false">
      <c r="A12172" s="3" t="s">
        <v>557</v>
      </c>
      <c r="C12172" s="21" t="n">
        <f aca="false">IF(C12128&gt;0,Assumptions!$C$17,C12117)</f>
        <v>99</v>
      </c>
    </row>
    <row r="12173" customFormat="false" ht="15" hidden="false" customHeight="false" outlineLevel="0" collapsed="false">
      <c r="A12173" s="3" t="s">
        <v>558</v>
      </c>
      <c r="C12173" s="21" t="n">
        <f aca="false">IF(C12129&gt;0,Assumptions!$C$17,C12118)</f>
        <v>99</v>
      </c>
    </row>
    <row r="12174" customFormat="false" ht="15" hidden="false" customHeight="false" outlineLevel="0" collapsed="false">
      <c r="A12174" s="3" t="s">
        <v>559</v>
      </c>
      <c r="C12174" s="21" t="n">
        <f aca="false">IF(C12130&gt;0,Assumptions!$C$17,C12119)</f>
        <v>2</v>
      </c>
    </row>
    <row r="12175" customFormat="false" ht="15" hidden="false" customHeight="false" outlineLevel="0" collapsed="false">
      <c r="A12175" s="3" t="s">
        <v>560</v>
      </c>
      <c r="C12175" s="21" t="n">
        <f aca="false">IF(C12131&gt;0,Assumptions!$C$17,C12120)</f>
        <v>2</v>
      </c>
    </row>
    <row r="12176" customFormat="false" ht="15" hidden="false" customHeight="false" outlineLevel="0" collapsed="false">
      <c r="A12176" s="3" t="s">
        <v>561</v>
      </c>
      <c r="C12176" s="21" t="n">
        <f aca="false">IF(C12132&gt;0,Assumptions!$C$17,C12121)</f>
        <v>2</v>
      </c>
    </row>
    <row r="12177" customFormat="false" ht="15" hidden="false" customHeight="false" outlineLevel="0" collapsed="false">
      <c r="A12177" s="3" t="s">
        <v>562</v>
      </c>
      <c r="C12177" s="21" t="n">
        <f aca="false">IF(C12133&gt;0,Assumptions!$C$17,C12122)</f>
        <v>2</v>
      </c>
    </row>
    <row r="12178" customFormat="false" ht="15" hidden="false" customHeight="false" outlineLevel="0" collapsed="false">
      <c r="A12178" s="3" t="s">
        <v>563</v>
      </c>
      <c r="C12178" s="21" t="n">
        <f aca="false">IF(C12134&gt;0,Assumptions!$C$17,C12123)</f>
        <v>2</v>
      </c>
    </row>
    <row r="12179" customFormat="false" ht="15" hidden="false" customHeight="false" outlineLevel="0" collapsed="false">
      <c r="A12179" s="3" t="s">
        <v>564</v>
      </c>
      <c r="C12179" s="21" t="n">
        <f aca="false">IF(C12135&gt;0,Assumptions!$C$17,C12124)</f>
        <v>2</v>
      </c>
    </row>
    <row r="12180" customFormat="false" ht="15" hidden="false" customHeight="false" outlineLevel="0" collapsed="false">
      <c r="A12180" s="3" t="s">
        <v>565</v>
      </c>
      <c r="C12180" s="21" t="n">
        <f aca="false">IF(C12136&gt;0,Assumptions!$C$17,C12125)</f>
        <v>3</v>
      </c>
    </row>
    <row r="12181" customFormat="false" ht="15" hidden="false" customHeight="false" outlineLevel="0" collapsed="false">
      <c r="A12181" s="24" t="s">
        <v>572</v>
      </c>
      <c r="B12181" s="25"/>
      <c r="C12181" s="25"/>
      <c r="D12181" s="25"/>
      <c r="E12181" s="25"/>
      <c r="F12181" s="25"/>
      <c r="G12181" s="25"/>
      <c r="H12181" s="25"/>
      <c r="I12181" s="25"/>
      <c r="J12181" s="25"/>
      <c r="K12181" s="25"/>
    </row>
    <row r="12182" customFormat="false" ht="15" hidden="false" customHeight="false" outlineLevel="0" collapsed="false">
      <c r="A12182" s="3" t="s">
        <v>556</v>
      </c>
      <c r="C12182" s="16" t="n">
        <f aca="false">SUMPRODUCT(($C$12171:$C$12180&lt;C12171)*$C$12160:$C$12169)</f>
        <v>2073.55683195474</v>
      </c>
    </row>
    <row r="12183" customFormat="false" ht="15" hidden="false" customHeight="false" outlineLevel="0" collapsed="false">
      <c r="A12183" s="3" t="s">
        <v>557</v>
      </c>
      <c r="C12183" s="16" t="n">
        <f aca="false">SUMPRODUCT(($C$12171:$C$12180&lt;C12172)*$C$12160:$C$12169)</f>
        <v>2073.55683195474</v>
      </c>
    </row>
    <row r="12184" customFormat="false" ht="15" hidden="false" customHeight="false" outlineLevel="0" collapsed="false">
      <c r="A12184" s="3" t="s">
        <v>558</v>
      </c>
      <c r="C12184" s="16" t="n">
        <f aca="false">SUMPRODUCT(($C$12171:$C$12180&lt;C12173)*$C$12160:$C$12169)</f>
        <v>2073.55683195474</v>
      </c>
    </row>
    <row r="12185" customFormat="false" ht="15" hidden="false" customHeight="false" outlineLevel="0" collapsed="false">
      <c r="A12185" s="3" t="s">
        <v>559</v>
      </c>
      <c r="C12185" s="16" t="n">
        <f aca="false">SUMPRODUCT(($C$12171:$C$12180&lt;C12174)*$C$12160:$C$12169)</f>
        <v>0</v>
      </c>
    </row>
    <row r="12186" customFormat="false" ht="15" hidden="false" customHeight="false" outlineLevel="0" collapsed="false">
      <c r="A12186" s="3" t="s">
        <v>560</v>
      </c>
      <c r="C12186" s="16" t="n">
        <f aca="false">SUMPRODUCT(($C$12171:$C$12180&lt;C12175)*$C$12160:$C$12169)</f>
        <v>0</v>
      </c>
    </row>
    <row r="12187" customFormat="false" ht="15" hidden="false" customHeight="false" outlineLevel="0" collapsed="false">
      <c r="A12187" s="3" t="s">
        <v>561</v>
      </c>
      <c r="C12187" s="16" t="n">
        <f aca="false">SUMPRODUCT(($C$12171:$C$12180&lt;C12176)*$C$12160:$C$12169)</f>
        <v>0</v>
      </c>
    </row>
    <row r="12188" customFormat="false" ht="15" hidden="false" customHeight="false" outlineLevel="0" collapsed="false">
      <c r="A12188" s="3" t="s">
        <v>562</v>
      </c>
      <c r="C12188" s="16" t="n">
        <f aca="false">SUMPRODUCT(($C$12171:$C$12180&lt;C12177)*$C$12160:$C$12169)</f>
        <v>0</v>
      </c>
    </row>
    <row r="12189" customFormat="false" ht="15" hidden="false" customHeight="false" outlineLevel="0" collapsed="false">
      <c r="A12189" s="3" t="s">
        <v>563</v>
      </c>
      <c r="C12189" s="16" t="n">
        <f aca="false">SUMPRODUCT(($C$12171:$C$12180&lt;C12178)*$C$12160:$C$12169)</f>
        <v>0</v>
      </c>
    </row>
    <row r="12190" customFormat="false" ht="15" hidden="false" customHeight="false" outlineLevel="0" collapsed="false">
      <c r="A12190" s="3" t="s">
        <v>564</v>
      </c>
      <c r="C12190" s="16" t="n">
        <f aca="false">SUMPRODUCT(($C$12171:$C$12180&lt;C12179)*$C$12160:$C$12169)</f>
        <v>0</v>
      </c>
    </row>
    <row r="12191" customFormat="false" ht="15" hidden="false" customHeight="false" outlineLevel="0" collapsed="false">
      <c r="A12191" s="3" t="s">
        <v>565</v>
      </c>
      <c r="C12191" s="16" t="n">
        <f aca="false">SUMPRODUCT(($C$12171:$C$12180&lt;C12180)*$C$12160:$C$12169)</f>
        <v>1993.91311045474</v>
      </c>
    </row>
    <row r="12192" customFormat="false" ht="15" hidden="false" customHeight="false" outlineLevel="0" collapsed="false">
      <c r="A12192" s="24" t="s">
        <v>573</v>
      </c>
      <c r="B12192" s="25"/>
      <c r="C12192" s="25"/>
      <c r="D12192" s="25"/>
      <c r="E12192" s="25"/>
      <c r="F12192" s="25"/>
      <c r="G12192" s="25"/>
      <c r="H12192" s="25"/>
      <c r="I12192" s="25"/>
      <c r="J12192" s="25"/>
      <c r="K12192" s="25"/>
    </row>
    <row r="12193" customFormat="false" ht="15" hidden="false" customHeight="false" outlineLevel="0" collapsed="false">
      <c r="A12193" s="3" t="s">
        <v>556</v>
      </c>
      <c r="C12193" s="16" t="n">
        <f aca="false">SUMPRODUCT(($C$12171:$C$12180=C12171)*$C$12160:$C$12169)</f>
        <v>0</v>
      </c>
    </row>
    <row r="12194" customFormat="false" ht="15" hidden="false" customHeight="false" outlineLevel="0" collapsed="false">
      <c r="A12194" s="3" t="s">
        <v>557</v>
      </c>
      <c r="C12194" s="16" t="n">
        <f aca="false">SUMPRODUCT(($C$12171:$C$12180=C12172)*$C$12160:$C$12169)</f>
        <v>0</v>
      </c>
    </row>
    <row r="12195" customFormat="false" ht="15" hidden="false" customHeight="false" outlineLevel="0" collapsed="false">
      <c r="A12195" s="3" t="s">
        <v>558</v>
      </c>
      <c r="C12195" s="16" t="n">
        <f aca="false">SUMPRODUCT(($C$12171:$C$12180=C12173)*$C$12160:$C$12169)</f>
        <v>0</v>
      </c>
    </row>
    <row r="12196" customFormat="false" ht="15" hidden="false" customHeight="false" outlineLevel="0" collapsed="false">
      <c r="A12196" s="3" t="s">
        <v>559</v>
      </c>
      <c r="C12196" s="16" t="n">
        <f aca="false">SUMPRODUCT(($C$12171:$C$12180=C12174)*$C$12160:$C$12169)</f>
        <v>1993.91311045474</v>
      </c>
    </row>
    <row r="12197" customFormat="false" ht="15" hidden="false" customHeight="false" outlineLevel="0" collapsed="false">
      <c r="A12197" s="3" t="s">
        <v>560</v>
      </c>
      <c r="C12197" s="16" t="n">
        <f aca="false">SUMPRODUCT(($C$12171:$C$12180=C12175)*$C$12160:$C$12169)</f>
        <v>1993.91311045474</v>
      </c>
    </row>
    <row r="12198" customFormat="false" ht="15" hidden="false" customHeight="false" outlineLevel="0" collapsed="false">
      <c r="A12198" s="3" t="s">
        <v>561</v>
      </c>
      <c r="C12198" s="16" t="n">
        <f aca="false">SUMPRODUCT(($C$12171:$C$12180=C12176)*$C$12160:$C$12169)</f>
        <v>1993.91311045474</v>
      </c>
    </row>
    <row r="12199" customFormat="false" ht="15" hidden="false" customHeight="false" outlineLevel="0" collapsed="false">
      <c r="A12199" s="3" t="s">
        <v>562</v>
      </c>
      <c r="C12199" s="16" t="n">
        <f aca="false">SUMPRODUCT(($C$12171:$C$12180=C12177)*$C$12160:$C$12169)</f>
        <v>1993.91311045474</v>
      </c>
    </row>
    <row r="12200" customFormat="false" ht="15" hidden="false" customHeight="false" outlineLevel="0" collapsed="false">
      <c r="A12200" s="3" t="s">
        <v>563</v>
      </c>
      <c r="C12200" s="16" t="n">
        <f aca="false">SUMPRODUCT(($C$12171:$C$12180=C12178)*$C$12160:$C$12169)</f>
        <v>1993.91311045474</v>
      </c>
    </row>
    <row r="12201" customFormat="false" ht="15" hidden="false" customHeight="false" outlineLevel="0" collapsed="false">
      <c r="A12201" s="3" t="s">
        <v>564</v>
      </c>
      <c r="C12201" s="16" t="n">
        <f aca="false">SUMPRODUCT(($C$12171:$C$12180=C12179)*$C$12160:$C$12169)</f>
        <v>1993.91311045474</v>
      </c>
    </row>
    <row r="12202" customFormat="false" ht="15" hidden="false" customHeight="false" outlineLevel="0" collapsed="false">
      <c r="A12202" s="3" t="s">
        <v>565</v>
      </c>
      <c r="C12202" s="16" t="n">
        <f aca="false">SUMPRODUCT(($C$12171:$C$12180=C12180)*$C$12160:$C$12169)</f>
        <v>79.6437215</v>
      </c>
    </row>
    <row r="12203" customFormat="false" ht="15" hidden="false" customHeight="false" outlineLevel="0" collapsed="false">
      <c r="A12203" s="24" t="s">
        <v>574</v>
      </c>
      <c r="B12203" s="25"/>
      <c r="C12203" s="25"/>
      <c r="D12203" s="25"/>
      <c r="E12203" s="25"/>
      <c r="F12203" s="25"/>
      <c r="G12203" s="25"/>
      <c r="H12203" s="25"/>
      <c r="I12203" s="25"/>
      <c r="J12203" s="25"/>
      <c r="K12203" s="25"/>
    </row>
    <row r="12204" customFormat="false" ht="15" hidden="false" customHeight="false" outlineLevel="0" collapsed="false">
      <c r="A12204" s="3" t="s">
        <v>556</v>
      </c>
      <c r="C12204" s="16" t="n">
        <f aca="false">IF(C12193=0,0,C12160/C12193*MAX(0,MIN(C12193,$C$12103-SUM($C$12138:$C$12147)-C12182)))</f>
        <v>0</v>
      </c>
    </row>
    <row r="12205" customFormat="false" ht="15" hidden="false" customHeight="false" outlineLevel="0" collapsed="false">
      <c r="A12205" s="3" t="s">
        <v>557</v>
      </c>
      <c r="C12205" s="16" t="n">
        <f aca="false">IF(C12194=0,0,C12161/C12194*MAX(0,MIN(C12194,$C$12103-SUM($C$12138:$C$12147)-C12183)))</f>
        <v>0</v>
      </c>
    </row>
    <row r="12206" customFormat="false" ht="15" hidden="false" customHeight="false" outlineLevel="0" collapsed="false">
      <c r="A12206" s="3" t="s">
        <v>558</v>
      </c>
      <c r="C12206" s="16" t="n">
        <f aca="false">IF(C12195=0,0,C12162/C12195*MAX(0,MIN(C12195,$C$12103-SUM($C$12138:$C$12147)-C12184)))</f>
        <v>0</v>
      </c>
    </row>
    <row r="12207" customFormat="false" ht="15" hidden="false" customHeight="false" outlineLevel="0" collapsed="false">
      <c r="A12207" s="3" t="s">
        <v>559</v>
      </c>
      <c r="C12207" s="16" t="n">
        <f aca="false">IF(C12196=0,0,C12163/C12196*MAX(0,MIN(C12196,$C$12103-SUM($C$12138:$C$12147)-C12185)))</f>
        <v>0</v>
      </c>
    </row>
    <row r="12208" customFormat="false" ht="15" hidden="false" customHeight="false" outlineLevel="0" collapsed="false">
      <c r="A12208" s="3" t="s">
        <v>560</v>
      </c>
      <c r="C12208" s="16" t="n">
        <f aca="false">IF(C12197=0,0,C12164/C12197*MAX(0,MIN(C12197,$C$12103-SUM($C$12138:$C$12147)-C12186)))</f>
        <v>415.872485454737</v>
      </c>
    </row>
    <row r="12209" customFormat="false" ht="15" hidden="false" customHeight="false" outlineLevel="0" collapsed="false">
      <c r="A12209" s="3" t="s">
        <v>561</v>
      </c>
      <c r="C12209" s="16" t="n">
        <f aca="false">IF(C12198=0,0,C12165/C12198*MAX(0,MIN(C12198,$C$12103-SUM($C$12138:$C$12147)-C12187)))</f>
        <v>357.2625</v>
      </c>
    </row>
    <row r="12210" customFormat="false" ht="15" hidden="false" customHeight="false" outlineLevel="0" collapsed="false">
      <c r="A12210" s="3" t="s">
        <v>562</v>
      </c>
      <c r="C12210" s="16" t="n">
        <f aca="false">IF(C12199=0,0,C12166/C12199*MAX(0,MIN(C12199,$C$12103-SUM($C$12138:$C$12147)-C12188)))</f>
        <v>562.203125</v>
      </c>
    </row>
    <row r="12211" customFormat="false" ht="15" hidden="false" customHeight="false" outlineLevel="0" collapsed="false">
      <c r="A12211" s="3" t="s">
        <v>563</v>
      </c>
      <c r="C12211" s="16" t="n">
        <f aca="false">IF(C12200=0,0,C12167/C12200*MAX(0,MIN(C12200,$C$12103-SUM($C$12138:$C$12147)-C12189)))</f>
        <v>353.98125</v>
      </c>
    </row>
    <row r="12212" customFormat="false" ht="15" hidden="false" customHeight="false" outlineLevel="0" collapsed="false">
      <c r="A12212" s="3" t="s">
        <v>564</v>
      </c>
      <c r="C12212" s="16" t="n">
        <f aca="false">IF(C12201=0,0,C12168/C12201*MAX(0,MIN(C12201,$C$12103-SUM($C$12138:$C$12147)-C12190)))</f>
        <v>304.59375</v>
      </c>
    </row>
    <row r="12213" customFormat="false" ht="15" hidden="false" customHeight="false" outlineLevel="0" collapsed="false">
      <c r="A12213" s="3" t="s">
        <v>565</v>
      </c>
      <c r="C12213" s="16" t="n">
        <f aca="false">IF(C12202=0,0,C12169/C12202*MAX(0,MIN(C12202,$C$12103-SUM($C$12138:$C$12147)-C12191)))</f>
        <v>79.6437215</v>
      </c>
    </row>
    <row r="12214" customFormat="false" ht="15" hidden="false" customHeight="false" outlineLevel="0" collapsed="false">
      <c r="A12214" s="24" t="s">
        <v>575</v>
      </c>
      <c r="B12214" s="25"/>
      <c r="C12214" s="25"/>
      <c r="D12214" s="25"/>
      <c r="E12214" s="25"/>
      <c r="F12214" s="25"/>
      <c r="G12214" s="25"/>
      <c r="H12214" s="25"/>
      <c r="I12214" s="25"/>
      <c r="J12214" s="25"/>
      <c r="K12214" s="25"/>
    </row>
    <row r="12215" customFormat="false" ht="15" hidden="false" customHeight="false" outlineLevel="0" collapsed="false">
      <c r="A12215" s="2" t="s">
        <v>556</v>
      </c>
      <c r="C12215" s="17" t="n">
        <f aca="false">C12138+C12204</f>
        <v>400.82</v>
      </c>
    </row>
    <row r="12216" customFormat="false" ht="15" hidden="false" customHeight="false" outlineLevel="0" collapsed="false">
      <c r="A12216" s="2" t="s">
        <v>557</v>
      </c>
      <c r="C12216" s="17" t="n">
        <f aca="false">C12139+C12205</f>
        <v>91.30725</v>
      </c>
    </row>
    <row r="12217" customFormat="false" ht="15" hidden="false" customHeight="false" outlineLevel="0" collapsed="false">
      <c r="A12217" s="2" t="s">
        <v>558</v>
      </c>
      <c r="C12217" s="17" t="n">
        <f aca="false">C12140+C12206</f>
        <v>58.3715961</v>
      </c>
    </row>
    <row r="12218" customFormat="false" ht="15" hidden="false" customHeight="false" outlineLevel="0" collapsed="false">
      <c r="A12218" s="2" t="s">
        <v>559</v>
      </c>
      <c r="C12218" s="17" t="n">
        <f aca="false">C12141+C12207</f>
        <v>0</v>
      </c>
    </row>
    <row r="12219" customFormat="false" ht="15" hidden="false" customHeight="false" outlineLevel="0" collapsed="false">
      <c r="A12219" s="2" t="s">
        <v>560</v>
      </c>
      <c r="C12219" s="17" t="n">
        <f aca="false">C12142+C12208</f>
        <v>415.872485454737</v>
      </c>
    </row>
    <row r="12220" customFormat="false" ht="15" hidden="false" customHeight="false" outlineLevel="0" collapsed="false">
      <c r="A12220" s="2" t="s">
        <v>561</v>
      </c>
      <c r="C12220" s="17" t="n">
        <f aca="false">C12143+C12209</f>
        <v>357.2625</v>
      </c>
    </row>
    <row r="12221" customFormat="false" ht="15" hidden="false" customHeight="false" outlineLevel="0" collapsed="false">
      <c r="A12221" s="2" t="s">
        <v>562</v>
      </c>
      <c r="C12221" s="17" t="n">
        <f aca="false">C12144+C12210</f>
        <v>562.203125</v>
      </c>
    </row>
    <row r="12222" customFormat="false" ht="15" hidden="false" customHeight="false" outlineLevel="0" collapsed="false">
      <c r="A12222" s="2" t="s">
        <v>563</v>
      </c>
      <c r="C12222" s="17" t="n">
        <f aca="false">C12145+C12211</f>
        <v>353.98125</v>
      </c>
    </row>
    <row r="12223" customFormat="false" ht="15" hidden="false" customHeight="false" outlineLevel="0" collapsed="false">
      <c r="A12223" s="2" t="s">
        <v>564</v>
      </c>
      <c r="C12223" s="17" t="n">
        <f aca="false">C12146+C12212</f>
        <v>304.59375</v>
      </c>
    </row>
    <row r="12224" customFormat="false" ht="15" hidden="false" customHeight="false" outlineLevel="0" collapsed="false">
      <c r="A12224" s="2" t="s">
        <v>565</v>
      </c>
      <c r="C12224" s="17" t="n">
        <f aca="false">C12147+C12213</f>
        <v>79.6437215</v>
      </c>
    </row>
    <row r="12225" customFormat="false" ht="15" hidden="false" customHeight="false" outlineLevel="0" collapsed="false">
      <c r="A12225" s="24" t="s">
        <v>576</v>
      </c>
      <c r="B12225" s="25"/>
      <c r="C12225" s="25"/>
      <c r="D12225" s="25"/>
      <c r="E12225" s="25"/>
      <c r="F12225" s="25"/>
      <c r="G12225" s="25"/>
      <c r="H12225" s="25"/>
      <c r="I12225" s="25"/>
      <c r="J12225" s="25"/>
      <c r="K12225" s="25"/>
    </row>
    <row r="12226" customFormat="false" ht="15" hidden="false" customHeight="false" outlineLevel="0" collapsed="false">
      <c r="A12226" s="3" t="s">
        <v>556</v>
      </c>
      <c r="C12226" s="22" t="n">
        <f aca="false">IF(C12105=0,1,C12215/C12105)</f>
        <v>1</v>
      </c>
    </row>
    <row r="12227" customFormat="false" ht="15" hidden="false" customHeight="false" outlineLevel="0" collapsed="false">
      <c r="A12227" s="3" t="s">
        <v>557</v>
      </c>
      <c r="C12227" s="22" t="n">
        <f aca="false">IF(C12106=0,1,C12216/C12106)</f>
        <v>1</v>
      </c>
    </row>
    <row r="12228" customFormat="false" ht="15" hidden="false" customHeight="false" outlineLevel="0" collapsed="false">
      <c r="A12228" s="3" t="s">
        <v>558</v>
      </c>
      <c r="C12228" s="22" t="n">
        <f aca="false">IF(C12107=0,1,C12217/C12107)</f>
        <v>1</v>
      </c>
    </row>
    <row r="12229" customFormat="false" ht="15" hidden="false" customHeight="false" outlineLevel="0" collapsed="false">
      <c r="A12229" s="3" t="s">
        <v>559</v>
      </c>
      <c r="C12229" s="22" t="n">
        <f aca="false">IF(C12108=0,1,C12218/C12108)</f>
        <v>1</v>
      </c>
    </row>
    <row r="12230" customFormat="false" ht="15" hidden="false" customHeight="false" outlineLevel="0" collapsed="false">
      <c r="A12230" s="3" t="s">
        <v>560</v>
      </c>
      <c r="C12230" s="22" t="n">
        <f aca="false">IF(C12109=0,1,C12219/C12109)</f>
        <v>1</v>
      </c>
    </row>
    <row r="12231" customFormat="false" ht="15" hidden="false" customHeight="false" outlineLevel="0" collapsed="false">
      <c r="A12231" s="3" t="s">
        <v>561</v>
      </c>
      <c r="C12231" s="22" t="n">
        <f aca="false">IF(C12110=0,1,C12220/C12110)</f>
        <v>1</v>
      </c>
    </row>
    <row r="12232" customFormat="false" ht="15" hidden="false" customHeight="false" outlineLevel="0" collapsed="false">
      <c r="A12232" s="3" t="s">
        <v>562</v>
      </c>
      <c r="C12232" s="22" t="n">
        <f aca="false">IF(C12111=0,1,C12221/C12111)</f>
        <v>1</v>
      </c>
    </row>
    <row r="12233" customFormat="false" ht="15" hidden="false" customHeight="false" outlineLevel="0" collapsed="false">
      <c r="A12233" s="3" t="s">
        <v>563</v>
      </c>
      <c r="C12233" s="22" t="n">
        <f aca="false">IF(C12112=0,1,C12222/C12112)</f>
        <v>1</v>
      </c>
    </row>
    <row r="12234" customFormat="false" ht="15" hidden="false" customHeight="false" outlineLevel="0" collapsed="false">
      <c r="A12234" s="3" t="s">
        <v>564</v>
      </c>
      <c r="C12234" s="22" t="n">
        <f aca="false">IF(C12113=0,1,C12223/C12113)</f>
        <v>1</v>
      </c>
    </row>
    <row r="12235" customFormat="false" ht="15" hidden="false" customHeight="false" outlineLevel="0" collapsed="false">
      <c r="A12235" s="3" t="s">
        <v>565</v>
      </c>
      <c r="C12235" s="22" t="n">
        <f aca="false">IF(C12114=0,1,C12224/C12114)</f>
        <v>1</v>
      </c>
    </row>
    <row r="12236" customFormat="false" ht="15" hidden="false" customHeight="false" outlineLevel="0" collapsed="false">
      <c r="A12236" s="24" t="s">
        <v>577</v>
      </c>
      <c r="B12236" s="25"/>
      <c r="C12236" s="25"/>
      <c r="D12236" s="25"/>
      <c r="E12236" s="25"/>
      <c r="F12236" s="25"/>
      <c r="G12236" s="25"/>
      <c r="H12236" s="25"/>
      <c r="I12236" s="25"/>
      <c r="J12236" s="25"/>
      <c r="K12236" s="25"/>
    </row>
    <row r="12237" customFormat="false" ht="15" hidden="false" customHeight="false" outlineLevel="0" collapsed="false">
      <c r="A12237" s="3" t="s">
        <v>556</v>
      </c>
      <c r="C12237" s="16" t="n">
        <f aca="false">C12105-C12215</f>
        <v>0</v>
      </c>
    </row>
    <row r="12238" customFormat="false" ht="15" hidden="false" customHeight="false" outlineLevel="0" collapsed="false">
      <c r="A12238" s="3" t="s">
        <v>557</v>
      </c>
      <c r="C12238" s="16" t="n">
        <f aca="false">C12106-C12216</f>
        <v>0</v>
      </c>
    </row>
    <row r="12239" customFormat="false" ht="15" hidden="false" customHeight="false" outlineLevel="0" collapsed="false">
      <c r="A12239" s="3" t="s">
        <v>558</v>
      </c>
      <c r="C12239" s="16" t="n">
        <f aca="false">C12107-C12217</f>
        <v>0</v>
      </c>
    </row>
    <row r="12240" customFormat="false" ht="15" hidden="false" customHeight="false" outlineLevel="0" collapsed="false">
      <c r="A12240" s="3" t="s">
        <v>559</v>
      </c>
      <c r="C12240" s="16" t="n">
        <f aca="false">C12108-C12218</f>
        <v>0</v>
      </c>
    </row>
    <row r="12241" customFormat="false" ht="15" hidden="false" customHeight="false" outlineLevel="0" collapsed="false">
      <c r="A12241" s="3" t="s">
        <v>560</v>
      </c>
      <c r="C12241" s="16" t="n">
        <f aca="false">C12109-C12219</f>
        <v>0</v>
      </c>
    </row>
    <row r="12242" customFormat="false" ht="15" hidden="false" customHeight="false" outlineLevel="0" collapsed="false">
      <c r="A12242" s="3" t="s">
        <v>561</v>
      </c>
      <c r="C12242" s="16" t="n">
        <f aca="false">C12110-C12220</f>
        <v>0</v>
      </c>
    </row>
    <row r="12243" customFormat="false" ht="15" hidden="false" customHeight="false" outlineLevel="0" collapsed="false">
      <c r="A12243" s="3" t="s">
        <v>562</v>
      </c>
      <c r="C12243" s="16" t="n">
        <f aca="false">C12111-C12221</f>
        <v>0</v>
      </c>
    </row>
    <row r="12244" customFormat="false" ht="15" hidden="false" customHeight="false" outlineLevel="0" collapsed="false">
      <c r="A12244" s="3" t="s">
        <v>563</v>
      </c>
      <c r="C12244" s="16" t="n">
        <f aca="false">C12112-C12222</f>
        <v>0</v>
      </c>
    </row>
    <row r="12245" customFormat="false" ht="15" hidden="false" customHeight="false" outlineLevel="0" collapsed="false">
      <c r="A12245" s="3" t="s">
        <v>564</v>
      </c>
      <c r="C12245" s="16" t="n">
        <f aca="false">C12113-C12223</f>
        <v>0</v>
      </c>
    </row>
    <row r="12246" customFormat="false" ht="15" hidden="false" customHeight="false" outlineLevel="0" collapsed="false">
      <c r="A12246" s="3" t="s">
        <v>565</v>
      </c>
      <c r="C12246" s="16" t="n">
        <f aca="false">C12114-C12224</f>
        <v>0</v>
      </c>
    </row>
    <row r="12247" customFormat="false" ht="15" hidden="false" customHeight="false" outlineLevel="0" collapsed="false">
      <c r="A12247" s="24" t="s">
        <v>578</v>
      </c>
      <c r="B12247" s="25"/>
      <c r="C12247" s="25"/>
      <c r="D12247" s="25"/>
      <c r="E12247" s="25"/>
      <c r="F12247" s="25"/>
      <c r="G12247" s="25"/>
      <c r="H12247" s="25"/>
      <c r="I12247" s="25"/>
      <c r="J12247" s="25"/>
      <c r="K12247" s="25"/>
    </row>
    <row r="12248" customFormat="false" ht="15" hidden="false" customHeight="false" outlineLevel="0" collapsed="false">
      <c r="A12248" s="3" t="s">
        <v>556</v>
      </c>
      <c r="C12248" s="22" t="n">
        <f aca="false">IF(C12105=0,0,C12237/C12105)</f>
        <v>0</v>
      </c>
    </row>
    <row r="12249" customFormat="false" ht="15" hidden="false" customHeight="false" outlineLevel="0" collapsed="false">
      <c r="A12249" s="3" t="s">
        <v>557</v>
      </c>
      <c r="C12249" s="22" t="n">
        <f aca="false">IF(C12106=0,0,C12238/C12106)</f>
        <v>0</v>
      </c>
    </row>
    <row r="12250" customFormat="false" ht="15" hidden="false" customHeight="false" outlineLevel="0" collapsed="false">
      <c r="A12250" s="3" t="s">
        <v>558</v>
      </c>
      <c r="C12250" s="22" t="n">
        <f aca="false">IF(C12107=0,0,C12239/C12107)</f>
        <v>0</v>
      </c>
    </row>
    <row r="12251" customFormat="false" ht="15" hidden="false" customHeight="false" outlineLevel="0" collapsed="false">
      <c r="A12251" s="3" t="s">
        <v>559</v>
      </c>
      <c r="C12251" s="22" t="n">
        <f aca="false">IF(C12108=0,0,C12240/C12108)</f>
        <v>0</v>
      </c>
    </row>
    <row r="12252" customFormat="false" ht="15" hidden="false" customHeight="false" outlineLevel="0" collapsed="false">
      <c r="A12252" s="3" t="s">
        <v>560</v>
      </c>
      <c r="C12252" s="22" t="n">
        <f aca="false">IF(C12109=0,0,C12241/C12109)</f>
        <v>0</v>
      </c>
    </row>
    <row r="12253" customFormat="false" ht="15" hidden="false" customHeight="false" outlineLevel="0" collapsed="false">
      <c r="A12253" s="3" t="s">
        <v>561</v>
      </c>
      <c r="C12253" s="22" t="n">
        <f aca="false">IF(C12110=0,0,C12242/C12110)</f>
        <v>0</v>
      </c>
    </row>
    <row r="12254" customFormat="false" ht="15" hidden="false" customHeight="false" outlineLevel="0" collapsed="false">
      <c r="A12254" s="3" t="s">
        <v>562</v>
      </c>
      <c r="C12254" s="22" t="n">
        <f aca="false">IF(C12111=0,0,C12243/C12111)</f>
        <v>0</v>
      </c>
    </row>
    <row r="12255" customFormat="false" ht="15" hidden="false" customHeight="false" outlineLevel="0" collapsed="false">
      <c r="A12255" s="3" t="s">
        <v>563</v>
      </c>
      <c r="C12255" s="22" t="n">
        <f aca="false">IF(C12112=0,0,C12244/C12112)</f>
        <v>0</v>
      </c>
    </row>
    <row r="12256" customFormat="false" ht="15" hidden="false" customHeight="false" outlineLevel="0" collapsed="false">
      <c r="A12256" s="3" t="s">
        <v>564</v>
      </c>
      <c r="C12256" s="22" t="n">
        <f aca="false">IF(C12113=0,0,C12245/C12113)</f>
        <v>0</v>
      </c>
    </row>
    <row r="12257" customFormat="false" ht="15" hidden="false" customHeight="false" outlineLevel="0" collapsed="false">
      <c r="A12257" s="3" t="s">
        <v>565</v>
      </c>
      <c r="C12257" s="22" t="n">
        <f aca="false">IF(C12114=0,0,C12246/C12114)</f>
        <v>0</v>
      </c>
    </row>
    <row r="12258" customFormat="false" ht="15" hidden="false" customHeight="false" outlineLevel="0" collapsed="false">
      <c r="A12258" s="2" t="s">
        <v>579</v>
      </c>
      <c r="C12258" s="17" t="n">
        <f aca="false">MAX(0,$C$12103-SUM($C$12138:$C$12147)-SUM($C$12160:$C$12169))</f>
        <v>1062.38806594526</v>
      </c>
    </row>
    <row r="12259" customFormat="false" ht="15" hidden="false" customHeight="false" outlineLevel="0" collapsed="false">
      <c r="A12259" s="3" t="s">
        <v>580</v>
      </c>
      <c r="C12259" s="16" t="n">
        <f aca="false">SUM($C$12215:$C$12224)+C12258+C12102-C12101</f>
        <v>0</v>
      </c>
    </row>
    <row r="12261" customFormat="false" ht="15" hidden="false" customHeight="false" outlineLevel="0" collapsed="false">
      <c r="A12261" s="24" t="s">
        <v>583</v>
      </c>
      <c r="B12261" s="25"/>
      <c r="C12261" s="25"/>
      <c r="D12261" s="25"/>
      <c r="E12261" s="25"/>
      <c r="F12261" s="25"/>
      <c r="G12261" s="25"/>
      <c r="H12261" s="25"/>
      <c r="I12261" s="25"/>
      <c r="J12261" s="25"/>
      <c r="K12261" s="25"/>
    </row>
    <row r="12262" customFormat="false" ht="15" hidden="false" customHeight="false" outlineLevel="0" collapsed="false">
      <c r="A12262" s="3" t="s">
        <v>584</v>
      </c>
      <c r="C12262" s="27" t="n">
        <f aca="false">Assumptions!$C$34</f>
        <v>1</v>
      </c>
    </row>
    <row r="12263" customFormat="false" ht="15" hidden="false" customHeight="false" outlineLevel="0" collapsed="false">
      <c r="A12263" s="3" t="s">
        <v>585</v>
      </c>
      <c r="C12263" s="29" t="n">
        <f aca="false">Assumptions!$C$35</f>
        <v>100</v>
      </c>
    </row>
    <row r="12264" customFormat="false" ht="15" hidden="false" customHeight="false" outlineLevel="0" collapsed="false">
      <c r="A12264" s="3" t="s">
        <v>586</v>
      </c>
      <c r="C12264" s="40" t="n">
        <f aca="false">Assumptions!$C$36</f>
        <v>98</v>
      </c>
    </row>
    <row r="12265" customFormat="false" ht="15" hidden="false" customHeight="false" outlineLevel="0" collapsed="false">
      <c r="A12265" s="3" t="s">
        <v>587</v>
      </c>
      <c r="C12265" s="16" t="n">
        <f aca="false">C12263*C12264/100*(1+Assumptions!$C$37)</f>
        <v>98.49</v>
      </c>
    </row>
    <row r="12266" customFormat="false" ht="15" hidden="false" customHeight="false" outlineLevel="0" collapsed="false">
      <c r="A12266" s="3" t="s">
        <v>588</v>
      </c>
      <c r="C12266" s="27" t="n">
        <f aca="false">Assumptions!$C$38</f>
        <v>3</v>
      </c>
    </row>
    <row r="12267" customFormat="false" ht="15" hidden="false" customHeight="false" outlineLevel="0" collapsed="false">
      <c r="A12267" s="3" t="s">
        <v>589</v>
      </c>
      <c r="C12267" s="21" t="n">
        <f aca="false">IF(C12094=1,SUMPRODUCT($G$12030:$K$12030,$G$11804:$K$11804),0)</f>
        <v>2</v>
      </c>
    </row>
    <row r="12268" customFormat="false" ht="15" hidden="false" customHeight="false" outlineLevel="0" collapsed="false">
      <c r="A12268" s="3" t="s">
        <v>590</v>
      </c>
      <c r="C12268" s="22" t="n">
        <f aca="false">IFERROR(C12263/CHOOSE(C12262,SUMPRODUCT($G$12093:$K$12093,$G$11850:$K$11850),SUMPRODUCT($G$12093:$K$12093,$G$11863:$K$11863),SUMPRODUCT($G$12093:$K$12093,$G$11876:$K$11876),SUMPRODUCT($G$12093:$K$12093,$G$11889:$K$11889),SUMPRODUCT($G$12093:$K$12093,$G$11902:$K$11902),SUMPRODUCT($G$12093:$K$12093,$G$11915:$K$11915),SUMPRODUCT($G$12093:$K$12093,$G$11928:$K$11928),SUMPRODUCT($G$12093:$K$12093,$G$11941:$K$11941),SUMPRODUCT($G$12093:$K$12093,$G$11954:$K$11954),SUMPRODUCT($G$12093:$K$12093,$G$11967:$K$11967)),0)</f>
        <v>0.255102040816327</v>
      </c>
    </row>
    <row r="12269" customFormat="false" ht="15" hidden="false" customHeight="false" outlineLevel="0" collapsed="false">
      <c r="A12269" s="3" t="s">
        <v>591</v>
      </c>
      <c r="C12269" s="16" t="n">
        <f aca="false">CHOOSE(C12262,C12215,C12216,C12217,C12218,C12219,C12220,C12221,C12222,C12223,C12224)*C12268</f>
        <v>102.25</v>
      </c>
    </row>
    <row r="12270" customFormat="false" ht="15" hidden="false" customHeight="false" outlineLevel="0" collapsed="false">
      <c r="A12270" s="3" t="s">
        <v>592</v>
      </c>
      <c r="C12270" s="22" t="n">
        <f aca="false">CHOOSE(C12262,C12226,C12227,C12228,C12229,C12230,C12231,C12232,C12233,C12234,C12235)</f>
        <v>1</v>
      </c>
    </row>
    <row r="12271" customFormat="false" ht="15" hidden="false" customHeight="false" outlineLevel="0" collapsed="false">
      <c r="A12271" s="3" t="s">
        <v>593</v>
      </c>
      <c r="C12271" s="21" t="n">
        <f aca="false">IF(C12094=1,C12267,C12266)</f>
        <v>2</v>
      </c>
    </row>
    <row r="12272" customFormat="false" ht="15" hidden="false" customHeight="false" outlineLevel="0" collapsed="false">
      <c r="A12272" s="3" t="s">
        <v>594</v>
      </c>
      <c r="C12272" s="35" t="n">
        <f aca="false">CHOOSE($C$11796,Assumptions!$C$91,Assumptions!$C$110,Assumptions!$C$129)</f>
        <v>100</v>
      </c>
    </row>
    <row r="12273" customFormat="false" ht="15" hidden="false" customHeight="false" outlineLevel="0" collapsed="false">
      <c r="A12273" s="3" t="s">
        <v>595</v>
      </c>
      <c r="C12273" s="16" t="n">
        <f aca="false">INDEX($G$11813:$K$11813,C12266)*CHOOSE($C$11796,Assumptions!$C$90,Assumptions!$C$109,Assumptions!$C$128)+MAX(0,INDEX($G$12027:$K$12027,C12266))</f>
        <v>2458.4011654896</v>
      </c>
    </row>
    <row r="12274" customFormat="false" ht="15" hidden="false" customHeight="false" outlineLevel="0" collapsed="false">
      <c r="A12274" s="24" t="s">
        <v>596</v>
      </c>
      <c r="B12274" s="25"/>
      <c r="C12274" s="25"/>
      <c r="D12274" s="25"/>
      <c r="E12274" s="25"/>
      <c r="F12274" s="25"/>
      <c r="G12274" s="25"/>
      <c r="H12274" s="25"/>
      <c r="I12274" s="25"/>
      <c r="J12274" s="25"/>
      <c r="K12274" s="25"/>
    </row>
    <row r="12275" customFormat="false" ht="15" hidden="false" customHeight="false" outlineLevel="0" collapsed="false">
      <c r="A12275" s="3" t="s">
        <v>556</v>
      </c>
      <c r="C12275" s="16" t="n">
        <f aca="false">INDEX($G$11850:$K$11850,C12266)</f>
        <v>388</v>
      </c>
    </row>
    <row r="12276" customFormat="false" ht="15" hidden="false" customHeight="false" outlineLevel="0" collapsed="false">
      <c r="A12276" s="3" t="s">
        <v>557</v>
      </c>
      <c r="C12276" s="16" t="n">
        <f aca="false">INDEX($G$11863:$K$11863,C12266)</f>
        <v>90</v>
      </c>
    </row>
    <row r="12277" customFormat="false" ht="15" hidden="false" customHeight="false" outlineLevel="0" collapsed="false">
      <c r="A12277" s="3" t="s">
        <v>558</v>
      </c>
      <c r="C12277" s="16" t="n">
        <f aca="false">INDEX($G$11876:$K$11876,C12266)</f>
        <v>57.324</v>
      </c>
    </row>
    <row r="12278" customFormat="false" ht="15" hidden="false" customHeight="false" outlineLevel="0" collapsed="false">
      <c r="A12278" s="3" t="s">
        <v>559</v>
      </c>
      <c r="C12278" s="16" t="n">
        <f aca="false">INDEX($G$11889:$K$11889,C12266)</f>
        <v>0</v>
      </c>
    </row>
    <row r="12279" customFormat="false" ht="15" hidden="false" customHeight="false" outlineLevel="0" collapsed="false">
      <c r="A12279" s="3" t="s">
        <v>560</v>
      </c>
      <c r="C12279" s="16" t="n">
        <f aca="false">INDEX($G$11902:$K$11902,C12266)</f>
        <v>411.8059021708</v>
      </c>
    </row>
    <row r="12280" customFormat="false" ht="15" hidden="false" customHeight="false" outlineLevel="0" collapsed="false">
      <c r="A12280" s="3" t="s">
        <v>561</v>
      </c>
      <c r="C12280" s="16" t="n">
        <f aca="false">INDEX($G$11915:$K$11915,C12266)</f>
        <v>350</v>
      </c>
    </row>
    <row r="12281" customFormat="false" ht="15" hidden="false" customHeight="false" outlineLevel="0" collapsed="false">
      <c r="A12281" s="3" t="s">
        <v>562</v>
      </c>
      <c r="C12281" s="16" t="n">
        <f aca="false">INDEX($G$11928:$K$11928,C12266)</f>
        <v>550</v>
      </c>
    </row>
    <row r="12282" customFormat="false" ht="15" hidden="false" customHeight="false" outlineLevel="0" collapsed="false">
      <c r="A12282" s="3" t="s">
        <v>563</v>
      </c>
      <c r="C12282" s="16" t="n">
        <f aca="false">INDEX($G$11941:$K$11941,C12266)</f>
        <v>350</v>
      </c>
    </row>
    <row r="12283" customFormat="false" ht="15" hidden="false" customHeight="false" outlineLevel="0" collapsed="false">
      <c r="A12283" s="3" t="s">
        <v>564</v>
      </c>
      <c r="C12283" s="16" t="n">
        <f aca="false">INDEX($G$11954:$K$11954,C12266)</f>
        <v>300</v>
      </c>
    </row>
    <row r="12284" customFormat="false" ht="15" hidden="false" customHeight="false" outlineLevel="0" collapsed="false">
      <c r="A12284" s="3" t="s">
        <v>565</v>
      </c>
      <c r="C12284" s="16" t="n">
        <f aca="false">INDEX($G$11967:$K$11967,C12266)</f>
        <v>78.61</v>
      </c>
    </row>
    <row r="12285" customFormat="false" ht="15" hidden="false" customHeight="false" outlineLevel="0" collapsed="false">
      <c r="A12285" s="24" t="s">
        <v>566</v>
      </c>
      <c r="B12285" s="25"/>
      <c r="C12285" s="25"/>
      <c r="D12285" s="25"/>
      <c r="E12285" s="25"/>
      <c r="F12285" s="25"/>
      <c r="G12285" s="25"/>
      <c r="H12285" s="25"/>
      <c r="I12285" s="25"/>
      <c r="J12285" s="25"/>
      <c r="K12285" s="25"/>
    </row>
    <row r="12286" customFormat="false" ht="15" hidden="false" customHeight="false" outlineLevel="0" collapsed="false">
      <c r="A12286" s="3" t="s">
        <v>556</v>
      </c>
      <c r="C12286" s="27" t="n">
        <f aca="false">Assumptions!$M$57</f>
        <v>1</v>
      </c>
    </row>
    <row r="12287" customFormat="false" ht="15" hidden="false" customHeight="false" outlineLevel="0" collapsed="false">
      <c r="A12287" s="3" t="s">
        <v>557</v>
      </c>
      <c r="C12287" s="27" t="n">
        <f aca="false">Assumptions!$M$58</f>
        <v>1</v>
      </c>
    </row>
    <row r="12288" customFormat="false" ht="15" hidden="false" customHeight="false" outlineLevel="0" collapsed="false">
      <c r="A12288" s="3" t="s">
        <v>558</v>
      </c>
      <c r="C12288" s="27" t="n">
        <f aca="false">Assumptions!$M$59</f>
        <v>1</v>
      </c>
    </row>
    <row r="12289" customFormat="false" ht="15" hidden="false" customHeight="false" outlineLevel="0" collapsed="false">
      <c r="A12289" s="3" t="s">
        <v>559</v>
      </c>
      <c r="C12289" s="27" t="n">
        <f aca="false">Assumptions!$M$60</f>
        <v>2</v>
      </c>
    </row>
    <row r="12290" customFormat="false" ht="15" hidden="false" customHeight="false" outlineLevel="0" collapsed="false">
      <c r="A12290" s="3" t="s">
        <v>560</v>
      </c>
      <c r="C12290" s="27" t="n">
        <f aca="false">Assumptions!$M$61</f>
        <v>2</v>
      </c>
    </row>
    <row r="12291" customFormat="false" ht="15" hidden="false" customHeight="false" outlineLevel="0" collapsed="false">
      <c r="A12291" s="3" t="s">
        <v>561</v>
      </c>
      <c r="C12291" s="27" t="n">
        <f aca="false">Assumptions!$M$62</f>
        <v>2</v>
      </c>
    </row>
    <row r="12292" customFormat="false" ht="15" hidden="false" customHeight="false" outlineLevel="0" collapsed="false">
      <c r="A12292" s="3" t="s">
        <v>562</v>
      </c>
      <c r="C12292" s="27" t="n">
        <f aca="false">Assumptions!$M$63</f>
        <v>2</v>
      </c>
    </row>
    <row r="12293" customFormat="false" ht="15" hidden="false" customHeight="false" outlineLevel="0" collapsed="false">
      <c r="A12293" s="3" t="s">
        <v>563</v>
      </c>
      <c r="C12293" s="27" t="n">
        <f aca="false">Assumptions!$M$64</f>
        <v>2</v>
      </c>
    </row>
    <row r="12294" customFormat="false" ht="15" hidden="false" customHeight="false" outlineLevel="0" collapsed="false">
      <c r="A12294" s="3" t="s">
        <v>564</v>
      </c>
      <c r="C12294" s="27" t="n">
        <f aca="false">Assumptions!$M$65</f>
        <v>2</v>
      </c>
    </row>
    <row r="12295" customFormat="false" ht="15" hidden="false" customHeight="false" outlineLevel="0" collapsed="false">
      <c r="A12295" s="3" t="s">
        <v>565</v>
      </c>
      <c r="C12295" s="27" t="n">
        <f aca="false">Assumptions!$M$66</f>
        <v>3</v>
      </c>
    </row>
    <row r="12296" customFormat="false" ht="15" hidden="false" customHeight="false" outlineLevel="0" collapsed="false">
      <c r="A12296" s="24" t="s">
        <v>567</v>
      </c>
      <c r="B12296" s="25"/>
      <c r="C12296" s="25"/>
      <c r="D12296" s="25"/>
      <c r="E12296" s="25"/>
      <c r="F12296" s="25"/>
      <c r="G12296" s="25"/>
      <c r="H12296" s="25"/>
      <c r="I12296" s="25"/>
      <c r="J12296" s="25"/>
      <c r="K12296" s="25"/>
    </row>
    <row r="12297" customFormat="false" ht="15" hidden="false" customHeight="false" outlineLevel="0" collapsed="false">
      <c r="A12297" s="3" t="s">
        <v>556</v>
      </c>
      <c r="C12297" s="33" t="n">
        <f aca="false">Assumptions!$Q$57</f>
        <v>0.3</v>
      </c>
    </row>
    <row r="12298" customFormat="false" ht="15" hidden="false" customHeight="false" outlineLevel="0" collapsed="false">
      <c r="A12298" s="3" t="s">
        <v>557</v>
      </c>
      <c r="C12298" s="33" t="n">
        <f aca="false">Assumptions!$Q$58</f>
        <v>0.033</v>
      </c>
    </row>
    <row r="12299" customFormat="false" ht="15" hidden="false" customHeight="false" outlineLevel="0" collapsed="false">
      <c r="A12299" s="3" t="s">
        <v>558</v>
      </c>
      <c r="C12299" s="33" t="n">
        <f aca="false">Assumptions!$Q$59</f>
        <v>0.021</v>
      </c>
    </row>
    <row r="12300" customFormat="false" ht="15" hidden="false" customHeight="false" outlineLevel="0" collapsed="false">
      <c r="A12300" s="3" t="s">
        <v>559</v>
      </c>
      <c r="C12300" s="33" t="n">
        <f aca="false">Assumptions!$Q$60</f>
        <v>0</v>
      </c>
    </row>
    <row r="12301" customFormat="false" ht="15" hidden="false" customHeight="false" outlineLevel="0" collapsed="false">
      <c r="A12301" s="3" t="s">
        <v>560</v>
      </c>
      <c r="C12301" s="33" t="n">
        <f aca="false">Assumptions!$Q$61</f>
        <v>0</v>
      </c>
    </row>
    <row r="12302" customFormat="false" ht="15" hidden="false" customHeight="false" outlineLevel="0" collapsed="false">
      <c r="A12302" s="3" t="s">
        <v>561</v>
      </c>
      <c r="C12302" s="33" t="n">
        <f aca="false">Assumptions!$Q$62</f>
        <v>0</v>
      </c>
    </row>
    <row r="12303" customFormat="false" ht="15" hidden="false" customHeight="false" outlineLevel="0" collapsed="false">
      <c r="A12303" s="3" t="s">
        <v>562</v>
      </c>
      <c r="C12303" s="33" t="n">
        <f aca="false">Assumptions!$Q$63</f>
        <v>0</v>
      </c>
    </row>
    <row r="12304" customFormat="false" ht="15" hidden="false" customHeight="false" outlineLevel="0" collapsed="false">
      <c r="A12304" s="3" t="s">
        <v>563</v>
      </c>
      <c r="C12304" s="33" t="n">
        <f aca="false">Assumptions!$Q$64</f>
        <v>0</v>
      </c>
    </row>
    <row r="12305" customFormat="false" ht="15" hidden="false" customHeight="false" outlineLevel="0" collapsed="false">
      <c r="A12305" s="3" t="s">
        <v>564</v>
      </c>
      <c r="C12305" s="33" t="n">
        <f aca="false">Assumptions!$Q$65</f>
        <v>0</v>
      </c>
    </row>
    <row r="12306" customFormat="false" ht="15" hidden="false" customHeight="false" outlineLevel="0" collapsed="false">
      <c r="A12306" s="3" t="s">
        <v>565</v>
      </c>
      <c r="C12306" s="33" t="n">
        <f aca="false">Assumptions!$Q$66</f>
        <v>0</v>
      </c>
    </row>
    <row r="12307" customFormat="false" ht="15" hidden="false" customHeight="false" outlineLevel="0" collapsed="false">
      <c r="A12307" s="24" t="s">
        <v>568</v>
      </c>
      <c r="B12307" s="25"/>
      <c r="C12307" s="25"/>
      <c r="D12307" s="25"/>
      <c r="E12307" s="25"/>
      <c r="F12307" s="25"/>
      <c r="G12307" s="25"/>
      <c r="H12307" s="25"/>
      <c r="I12307" s="25"/>
      <c r="J12307" s="25"/>
      <c r="K12307" s="25"/>
    </row>
    <row r="12308" customFormat="false" ht="15" hidden="false" customHeight="false" outlineLevel="0" collapsed="false">
      <c r="A12308" s="3" t="s">
        <v>556</v>
      </c>
      <c r="C12308" s="16" t="n">
        <f aca="false">IF(C12297&gt;0,MIN(C12275,C12297*$C$12273),0)</f>
        <v>388</v>
      </c>
    </row>
    <row r="12309" customFormat="false" ht="15" hidden="false" customHeight="false" outlineLevel="0" collapsed="false">
      <c r="A12309" s="3" t="s">
        <v>557</v>
      </c>
      <c r="C12309" s="16" t="n">
        <f aca="false">IF(C12298&gt;0,MIN(C12276,C12298*$C$12273),0)</f>
        <v>81.1272384611568</v>
      </c>
    </row>
    <row r="12310" customFormat="false" ht="15" hidden="false" customHeight="false" outlineLevel="0" collapsed="false">
      <c r="A12310" s="3" t="s">
        <v>558</v>
      </c>
      <c r="C12310" s="16" t="n">
        <f aca="false">IF(C12299&gt;0,MIN(C12277,C12299*$C$12273),0)</f>
        <v>51.6264244752816</v>
      </c>
    </row>
    <row r="12311" customFormat="false" ht="15" hidden="false" customHeight="false" outlineLevel="0" collapsed="false">
      <c r="A12311" s="3" t="s">
        <v>559</v>
      </c>
      <c r="C12311" s="16" t="n">
        <f aca="false">IF(C12300&gt;0,MIN(C12278,C12300*$C$12273),0)</f>
        <v>0</v>
      </c>
    </row>
    <row r="12312" customFormat="false" ht="15" hidden="false" customHeight="false" outlineLevel="0" collapsed="false">
      <c r="A12312" s="3" t="s">
        <v>560</v>
      </c>
      <c r="C12312" s="16" t="n">
        <f aca="false">IF(C12301&gt;0,MIN(C12279,C12301*$C$12273),0)</f>
        <v>0</v>
      </c>
    </row>
    <row r="12313" customFormat="false" ht="15" hidden="false" customHeight="false" outlineLevel="0" collapsed="false">
      <c r="A12313" s="3" t="s">
        <v>561</v>
      </c>
      <c r="C12313" s="16" t="n">
        <f aca="false">IF(C12302&gt;0,MIN(C12280,C12302*$C$12273),0)</f>
        <v>0</v>
      </c>
    </row>
    <row r="12314" customFormat="false" ht="15" hidden="false" customHeight="false" outlineLevel="0" collapsed="false">
      <c r="A12314" s="3" t="s">
        <v>562</v>
      </c>
      <c r="C12314" s="16" t="n">
        <f aca="false">IF(C12303&gt;0,MIN(C12281,C12303*$C$12273),0)</f>
        <v>0</v>
      </c>
    </row>
    <row r="12315" customFormat="false" ht="15" hidden="false" customHeight="false" outlineLevel="0" collapsed="false">
      <c r="A12315" s="3" t="s">
        <v>563</v>
      </c>
      <c r="C12315" s="16" t="n">
        <f aca="false">IF(C12304&gt;0,MIN(C12282,C12304*$C$12273),0)</f>
        <v>0</v>
      </c>
    </row>
    <row r="12316" customFormat="false" ht="15" hidden="false" customHeight="false" outlineLevel="0" collapsed="false">
      <c r="A12316" s="3" t="s">
        <v>564</v>
      </c>
      <c r="C12316" s="16" t="n">
        <f aca="false">IF(C12305&gt;0,MIN(C12283,C12305*$C$12273),0)</f>
        <v>0</v>
      </c>
    </row>
    <row r="12317" customFormat="false" ht="15" hidden="false" customHeight="false" outlineLevel="0" collapsed="false">
      <c r="A12317" s="3" t="s">
        <v>565</v>
      </c>
      <c r="C12317" s="16" t="n">
        <f aca="false">IF(C12306&gt;0,MIN(C12284,C12306*$C$12273),0)</f>
        <v>0</v>
      </c>
    </row>
    <row r="12318" customFormat="false" ht="15" hidden="false" customHeight="false" outlineLevel="0" collapsed="false">
      <c r="A12318" s="24" t="s">
        <v>569</v>
      </c>
      <c r="B12318" s="25"/>
      <c r="C12318" s="25"/>
      <c r="D12318" s="25"/>
      <c r="E12318" s="25"/>
      <c r="F12318" s="25"/>
      <c r="G12318" s="25"/>
      <c r="H12318" s="25"/>
      <c r="I12318" s="25"/>
      <c r="J12318" s="25"/>
      <c r="K12318" s="25"/>
    </row>
    <row r="12319" customFormat="false" ht="15" hidden="false" customHeight="false" outlineLevel="0" collapsed="false">
      <c r="A12319" s="3" t="s">
        <v>556</v>
      </c>
      <c r="C12319" s="16" t="n">
        <f aca="false">IF(C12297&gt;0,C12275-C12308,0)</f>
        <v>0</v>
      </c>
    </row>
    <row r="12320" customFormat="false" ht="15" hidden="false" customHeight="false" outlineLevel="0" collapsed="false">
      <c r="A12320" s="3" t="s">
        <v>557</v>
      </c>
      <c r="C12320" s="16" t="n">
        <f aca="false">IF(C12298&gt;0,C12276-C12309,0)</f>
        <v>8.87276153884316</v>
      </c>
    </row>
    <row r="12321" customFormat="false" ht="15" hidden="false" customHeight="false" outlineLevel="0" collapsed="false">
      <c r="A12321" s="3" t="s">
        <v>558</v>
      </c>
      <c r="C12321" s="16" t="n">
        <f aca="false">IF(C12299&gt;0,C12277-C12310,0)</f>
        <v>5.69757552471838</v>
      </c>
    </row>
    <row r="12322" customFormat="false" ht="15" hidden="false" customHeight="false" outlineLevel="0" collapsed="false">
      <c r="A12322" s="3" t="s">
        <v>559</v>
      </c>
      <c r="C12322" s="16" t="n">
        <f aca="false">IF(C12300&gt;0,C12278-C12311,0)</f>
        <v>0</v>
      </c>
    </row>
    <row r="12323" customFormat="false" ht="15" hidden="false" customHeight="false" outlineLevel="0" collapsed="false">
      <c r="A12323" s="3" t="s">
        <v>560</v>
      </c>
      <c r="C12323" s="16" t="n">
        <f aca="false">IF(C12301&gt;0,C12279-C12312,0)</f>
        <v>0</v>
      </c>
    </row>
    <row r="12324" customFormat="false" ht="15" hidden="false" customHeight="false" outlineLevel="0" collapsed="false">
      <c r="A12324" s="3" t="s">
        <v>561</v>
      </c>
      <c r="C12324" s="16" t="n">
        <f aca="false">IF(C12302&gt;0,C12280-C12313,0)</f>
        <v>0</v>
      </c>
    </row>
    <row r="12325" customFormat="false" ht="15" hidden="false" customHeight="false" outlineLevel="0" collapsed="false">
      <c r="A12325" s="3" t="s">
        <v>562</v>
      </c>
      <c r="C12325" s="16" t="n">
        <f aca="false">IF(C12303&gt;0,C12281-C12314,0)</f>
        <v>0</v>
      </c>
    </row>
    <row r="12326" customFormat="false" ht="15" hidden="false" customHeight="false" outlineLevel="0" collapsed="false">
      <c r="A12326" s="3" t="s">
        <v>563</v>
      </c>
      <c r="C12326" s="16" t="n">
        <f aca="false">IF(C12304&gt;0,C12282-C12315,0)</f>
        <v>0</v>
      </c>
    </row>
    <row r="12327" customFormat="false" ht="15" hidden="false" customHeight="false" outlineLevel="0" collapsed="false">
      <c r="A12327" s="3" t="s">
        <v>564</v>
      </c>
      <c r="C12327" s="16" t="n">
        <f aca="false">IF(C12305&gt;0,C12283-C12316,0)</f>
        <v>0</v>
      </c>
    </row>
    <row r="12328" customFormat="false" ht="15" hidden="false" customHeight="false" outlineLevel="0" collapsed="false">
      <c r="A12328" s="3" t="s">
        <v>565</v>
      </c>
      <c r="C12328" s="16" t="n">
        <f aca="false">IF(C12306&gt;0,C12284-C12317,0)</f>
        <v>0</v>
      </c>
    </row>
    <row r="12329" customFormat="false" ht="15" hidden="false" customHeight="false" outlineLevel="0" collapsed="false">
      <c r="A12329" s="24" t="s">
        <v>570</v>
      </c>
      <c r="B12329" s="25"/>
      <c r="C12329" s="25"/>
      <c r="D12329" s="25"/>
      <c r="E12329" s="25"/>
      <c r="F12329" s="25"/>
      <c r="G12329" s="25"/>
      <c r="H12329" s="25"/>
      <c r="I12329" s="25"/>
      <c r="J12329" s="25"/>
      <c r="K12329" s="25"/>
    </row>
    <row r="12330" customFormat="false" ht="15" hidden="false" customHeight="false" outlineLevel="0" collapsed="false">
      <c r="A12330" s="3" t="s">
        <v>556</v>
      </c>
      <c r="C12330" s="16" t="n">
        <f aca="false">IF(C12297&gt;0,C12319,C12275)</f>
        <v>0</v>
      </c>
    </row>
    <row r="12331" customFormat="false" ht="15" hidden="false" customHeight="false" outlineLevel="0" collapsed="false">
      <c r="A12331" s="3" t="s">
        <v>557</v>
      </c>
      <c r="C12331" s="16" t="n">
        <f aca="false">IF(C12298&gt;0,C12320,C12276)</f>
        <v>8.87276153884316</v>
      </c>
    </row>
    <row r="12332" customFormat="false" ht="15" hidden="false" customHeight="false" outlineLevel="0" collapsed="false">
      <c r="A12332" s="3" t="s">
        <v>558</v>
      </c>
      <c r="C12332" s="16" t="n">
        <f aca="false">IF(C12299&gt;0,C12321,C12277)</f>
        <v>5.69757552471838</v>
      </c>
    </row>
    <row r="12333" customFormat="false" ht="15" hidden="false" customHeight="false" outlineLevel="0" collapsed="false">
      <c r="A12333" s="3" t="s">
        <v>559</v>
      </c>
      <c r="C12333" s="16" t="n">
        <f aca="false">IF(C12300&gt;0,C12322,C12278)</f>
        <v>0</v>
      </c>
    </row>
    <row r="12334" customFormat="false" ht="15" hidden="false" customHeight="false" outlineLevel="0" collapsed="false">
      <c r="A12334" s="3" t="s">
        <v>560</v>
      </c>
      <c r="C12334" s="16" t="n">
        <f aca="false">IF(C12301&gt;0,C12323,C12279)</f>
        <v>411.8059021708</v>
      </c>
    </row>
    <row r="12335" customFormat="false" ht="15" hidden="false" customHeight="false" outlineLevel="0" collapsed="false">
      <c r="A12335" s="3" t="s">
        <v>561</v>
      </c>
      <c r="C12335" s="16" t="n">
        <f aca="false">IF(C12302&gt;0,C12324,C12280)</f>
        <v>350</v>
      </c>
    </row>
    <row r="12336" customFormat="false" ht="15" hidden="false" customHeight="false" outlineLevel="0" collapsed="false">
      <c r="A12336" s="3" t="s">
        <v>562</v>
      </c>
      <c r="C12336" s="16" t="n">
        <f aca="false">IF(C12303&gt;0,C12325,C12281)</f>
        <v>550</v>
      </c>
    </row>
    <row r="12337" customFormat="false" ht="15" hidden="false" customHeight="false" outlineLevel="0" collapsed="false">
      <c r="A12337" s="3" t="s">
        <v>563</v>
      </c>
      <c r="C12337" s="16" t="n">
        <f aca="false">IF(C12304&gt;0,C12326,C12282)</f>
        <v>350</v>
      </c>
    </row>
    <row r="12338" customFormat="false" ht="15" hidden="false" customHeight="false" outlineLevel="0" collapsed="false">
      <c r="A12338" s="3" t="s">
        <v>564</v>
      </c>
      <c r="C12338" s="16" t="n">
        <f aca="false">IF(C12305&gt;0,C12327,C12283)</f>
        <v>300</v>
      </c>
    </row>
    <row r="12339" customFormat="false" ht="15" hidden="false" customHeight="false" outlineLevel="0" collapsed="false">
      <c r="A12339" s="3" t="s">
        <v>565</v>
      </c>
      <c r="C12339" s="16" t="n">
        <f aca="false">IF(C12306&gt;0,C12328,C12284)</f>
        <v>78.61</v>
      </c>
    </row>
    <row r="12340" customFormat="false" ht="15" hidden="false" customHeight="false" outlineLevel="0" collapsed="false">
      <c r="A12340" s="24" t="s">
        <v>571</v>
      </c>
      <c r="B12340" s="25"/>
      <c r="C12340" s="25"/>
      <c r="D12340" s="25"/>
      <c r="E12340" s="25"/>
      <c r="F12340" s="25"/>
      <c r="G12340" s="25"/>
      <c r="H12340" s="25"/>
      <c r="I12340" s="25"/>
      <c r="J12340" s="25"/>
      <c r="K12340" s="25"/>
    </row>
    <row r="12341" customFormat="false" ht="15" hidden="false" customHeight="false" outlineLevel="0" collapsed="false">
      <c r="A12341" s="3" t="s">
        <v>556</v>
      </c>
      <c r="C12341" s="21" t="n">
        <f aca="false">IF(C12297&gt;0,Assumptions!$C$17,C12286)</f>
        <v>99</v>
      </c>
    </row>
    <row r="12342" customFormat="false" ht="15" hidden="false" customHeight="false" outlineLevel="0" collapsed="false">
      <c r="A12342" s="3" t="s">
        <v>557</v>
      </c>
      <c r="C12342" s="21" t="n">
        <f aca="false">IF(C12298&gt;0,Assumptions!$C$17,C12287)</f>
        <v>99</v>
      </c>
    </row>
    <row r="12343" customFormat="false" ht="15" hidden="false" customHeight="false" outlineLevel="0" collapsed="false">
      <c r="A12343" s="3" t="s">
        <v>558</v>
      </c>
      <c r="C12343" s="21" t="n">
        <f aca="false">IF(C12299&gt;0,Assumptions!$C$17,C12288)</f>
        <v>99</v>
      </c>
    </row>
    <row r="12344" customFormat="false" ht="15" hidden="false" customHeight="false" outlineLevel="0" collapsed="false">
      <c r="A12344" s="3" t="s">
        <v>559</v>
      </c>
      <c r="C12344" s="21" t="n">
        <f aca="false">IF(C12300&gt;0,Assumptions!$C$17,C12289)</f>
        <v>2</v>
      </c>
    </row>
    <row r="12345" customFormat="false" ht="15" hidden="false" customHeight="false" outlineLevel="0" collapsed="false">
      <c r="A12345" s="3" t="s">
        <v>560</v>
      </c>
      <c r="C12345" s="21" t="n">
        <f aca="false">IF(C12301&gt;0,Assumptions!$C$17,C12290)</f>
        <v>2</v>
      </c>
    </row>
    <row r="12346" customFormat="false" ht="15" hidden="false" customHeight="false" outlineLevel="0" collapsed="false">
      <c r="A12346" s="3" t="s">
        <v>561</v>
      </c>
      <c r="C12346" s="21" t="n">
        <f aca="false">IF(C12302&gt;0,Assumptions!$C$17,C12291)</f>
        <v>2</v>
      </c>
    </row>
    <row r="12347" customFormat="false" ht="15" hidden="false" customHeight="false" outlineLevel="0" collapsed="false">
      <c r="A12347" s="3" t="s">
        <v>562</v>
      </c>
      <c r="C12347" s="21" t="n">
        <f aca="false">IF(C12303&gt;0,Assumptions!$C$17,C12292)</f>
        <v>2</v>
      </c>
    </row>
    <row r="12348" customFormat="false" ht="15" hidden="false" customHeight="false" outlineLevel="0" collapsed="false">
      <c r="A12348" s="3" t="s">
        <v>563</v>
      </c>
      <c r="C12348" s="21" t="n">
        <f aca="false">IF(C12304&gt;0,Assumptions!$C$17,C12293)</f>
        <v>2</v>
      </c>
    </row>
    <row r="12349" customFormat="false" ht="15" hidden="false" customHeight="false" outlineLevel="0" collapsed="false">
      <c r="A12349" s="3" t="s">
        <v>564</v>
      </c>
      <c r="C12349" s="21" t="n">
        <f aca="false">IF(C12305&gt;0,Assumptions!$C$17,C12294)</f>
        <v>2</v>
      </c>
    </row>
    <row r="12350" customFormat="false" ht="15" hidden="false" customHeight="false" outlineLevel="0" collapsed="false">
      <c r="A12350" s="3" t="s">
        <v>565</v>
      </c>
      <c r="C12350" s="21" t="n">
        <f aca="false">IF(C12306&gt;0,Assumptions!$C$17,C12295)</f>
        <v>3</v>
      </c>
    </row>
    <row r="12351" customFormat="false" ht="15" hidden="false" customHeight="false" outlineLevel="0" collapsed="false">
      <c r="A12351" s="24" t="s">
        <v>572</v>
      </c>
      <c r="B12351" s="25"/>
      <c r="C12351" s="25"/>
      <c r="D12351" s="25"/>
      <c r="E12351" s="25"/>
      <c r="F12351" s="25"/>
      <c r="G12351" s="25"/>
      <c r="H12351" s="25"/>
      <c r="I12351" s="25"/>
      <c r="J12351" s="25"/>
      <c r="K12351" s="25"/>
    </row>
    <row r="12352" customFormat="false" ht="15" hidden="false" customHeight="false" outlineLevel="0" collapsed="false">
      <c r="A12352" s="3" t="s">
        <v>556</v>
      </c>
      <c r="C12352" s="16" t="n">
        <f aca="false">SUMPRODUCT(($C$12341:$C$12350&lt;C12341)*$C$12330:$C$12339)</f>
        <v>2040.4159021708</v>
      </c>
    </row>
    <row r="12353" customFormat="false" ht="15" hidden="false" customHeight="false" outlineLevel="0" collapsed="false">
      <c r="A12353" s="3" t="s">
        <v>557</v>
      </c>
      <c r="C12353" s="16" t="n">
        <f aca="false">SUMPRODUCT(($C$12341:$C$12350&lt;C12342)*$C$12330:$C$12339)</f>
        <v>2040.4159021708</v>
      </c>
    </row>
    <row r="12354" customFormat="false" ht="15" hidden="false" customHeight="false" outlineLevel="0" collapsed="false">
      <c r="A12354" s="3" t="s">
        <v>558</v>
      </c>
      <c r="C12354" s="16" t="n">
        <f aca="false">SUMPRODUCT(($C$12341:$C$12350&lt;C12343)*$C$12330:$C$12339)</f>
        <v>2040.4159021708</v>
      </c>
    </row>
    <row r="12355" customFormat="false" ht="15" hidden="false" customHeight="false" outlineLevel="0" collapsed="false">
      <c r="A12355" s="3" t="s">
        <v>559</v>
      </c>
      <c r="C12355" s="16" t="n">
        <f aca="false">SUMPRODUCT(($C$12341:$C$12350&lt;C12344)*$C$12330:$C$12339)</f>
        <v>0</v>
      </c>
    </row>
    <row r="12356" customFormat="false" ht="15" hidden="false" customHeight="false" outlineLevel="0" collapsed="false">
      <c r="A12356" s="3" t="s">
        <v>560</v>
      </c>
      <c r="C12356" s="16" t="n">
        <f aca="false">SUMPRODUCT(($C$12341:$C$12350&lt;C12345)*$C$12330:$C$12339)</f>
        <v>0</v>
      </c>
    </row>
    <row r="12357" customFormat="false" ht="15" hidden="false" customHeight="false" outlineLevel="0" collapsed="false">
      <c r="A12357" s="3" t="s">
        <v>561</v>
      </c>
      <c r="C12357" s="16" t="n">
        <f aca="false">SUMPRODUCT(($C$12341:$C$12350&lt;C12346)*$C$12330:$C$12339)</f>
        <v>0</v>
      </c>
    </row>
    <row r="12358" customFormat="false" ht="15" hidden="false" customHeight="false" outlineLevel="0" collapsed="false">
      <c r="A12358" s="3" t="s">
        <v>562</v>
      </c>
      <c r="C12358" s="16" t="n">
        <f aca="false">SUMPRODUCT(($C$12341:$C$12350&lt;C12347)*$C$12330:$C$12339)</f>
        <v>0</v>
      </c>
    </row>
    <row r="12359" customFormat="false" ht="15" hidden="false" customHeight="false" outlineLevel="0" collapsed="false">
      <c r="A12359" s="3" t="s">
        <v>563</v>
      </c>
      <c r="C12359" s="16" t="n">
        <f aca="false">SUMPRODUCT(($C$12341:$C$12350&lt;C12348)*$C$12330:$C$12339)</f>
        <v>0</v>
      </c>
    </row>
    <row r="12360" customFormat="false" ht="15" hidden="false" customHeight="false" outlineLevel="0" collapsed="false">
      <c r="A12360" s="3" t="s">
        <v>564</v>
      </c>
      <c r="C12360" s="16" t="n">
        <f aca="false">SUMPRODUCT(($C$12341:$C$12350&lt;C12349)*$C$12330:$C$12339)</f>
        <v>0</v>
      </c>
    </row>
    <row r="12361" customFormat="false" ht="15" hidden="false" customHeight="false" outlineLevel="0" collapsed="false">
      <c r="A12361" s="3" t="s">
        <v>565</v>
      </c>
      <c r="C12361" s="16" t="n">
        <f aca="false">SUMPRODUCT(($C$12341:$C$12350&lt;C12350)*$C$12330:$C$12339)</f>
        <v>1961.8059021708</v>
      </c>
    </row>
    <row r="12362" customFormat="false" ht="15" hidden="false" customHeight="false" outlineLevel="0" collapsed="false">
      <c r="A12362" s="24" t="s">
        <v>573</v>
      </c>
      <c r="B12362" s="25"/>
      <c r="C12362" s="25"/>
      <c r="D12362" s="25"/>
      <c r="E12362" s="25"/>
      <c r="F12362" s="25"/>
      <c r="G12362" s="25"/>
      <c r="H12362" s="25"/>
      <c r="I12362" s="25"/>
      <c r="J12362" s="25"/>
      <c r="K12362" s="25"/>
    </row>
    <row r="12363" customFormat="false" ht="15" hidden="false" customHeight="false" outlineLevel="0" collapsed="false">
      <c r="A12363" s="3" t="s">
        <v>556</v>
      </c>
      <c r="C12363" s="16" t="n">
        <f aca="false">SUMPRODUCT(($C$12341:$C$12350=C12341)*$C$12330:$C$12339)</f>
        <v>14.5703370635615</v>
      </c>
    </row>
    <row r="12364" customFormat="false" ht="15" hidden="false" customHeight="false" outlineLevel="0" collapsed="false">
      <c r="A12364" s="3" t="s">
        <v>557</v>
      </c>
      <c r="C12364" s="16" t="n">
        <f aca="false">SUMPRODUCT(($C$12341:$C$12350=C12342)*$C$12330:$C$12339)</f>
        <v>14.5703370635615</v>
      </c>
    </row>
    <row r="12365" customFormat="false" ht="15" hidden="false" customHeight="false" outlineLevel="0" collapsed="false">
      <c r="A12365" s="3" t="s">
        <v>558</v>
      </c>
      <c r="C12365" s="16" t="n">
        <f aca="false">SUMPRODUCT(($C$12341:$C$12350=C12343)*$C$12330:$C$12339)</f>
        <v>14.5703370635615</v>
      </c>
    </row>
    <row r="12366" customFormat="false" ht="15" hidden="false" customHeight="false" outlineLevel="0" collapsed="false">
      <c r="A12366" s="3" t="s">
        <v>559</v>
      </c>
      <c r="C12366" s="16" t="n">
        <f aca="false">SUMPRODUCT(($C$12341:$C$12350=C12344)*$C$12330:$C$12339)</f>
        <v>1961.8059021708</v>
      </c>
    </row>
    <row r="12367" customFormat="false" ht="15" hidden="false" customHeight="false" outlineLevel="0" collapsed="false">
      <c r="A12367" s="3" t="s">
        <v>560</v>
      </c>
      <c r="C12367" s="16" t="n">
        <f aca="false">SUMPRODUCT(($C$12341:$C$12350=C12345)*$C$12330:$C$12339)</f>
        <v>1961.8059021708</v>
      </c>
    </row>
    <row r="12368" customFormat="false" ht="15" hidden="false" customHeight="false" outlineLevel="0" collapsed="false">
      <c r="A12368" s="3" t="s">
        <v>561</v>
      </c>
      <c r="C12368" s="16" t="n">
        <f aca="false">SUMPRODUCT(($C$12341:$C$12350=C12346)*$C$12330:$C$12339)</f>
        <v>1961.8059021708</v>
      </c>
    </row>
    <row r="12369" customFormat="false" ht="15" hidden="false" customHeight="false" outlineLevel="0" collapsed="false">
      <c r="A12369" s="3" t="s">
        <v>562</v>
      </c>
      <c r="C12369" s="16" t="n">
        <f aca="false">SUMPRODUCT(($C$12341:$C$12350=C12347)*$C$12330:$C$12339)</f>
        <v>1961.8059021708</v>
      </c>
    </row>
    <row r="12370" customFormat="false" ht="15" hidden="false" customHeight="false" outlineLevel="0" collapsed="false">
      <c r="A12370" s="3" t="s">
        <v>563</v>
      </c>
      <c r="C12370" s="16" t="n">
        <f aca="false">SUMPRODUCT(($C$12341:$C$12350=C12348)*$C$12330:$C$12339)</f>
        <v>1961.8059021708</v>
      </c>
    </row>
    <row r="12371" customFormat="false" ht="15" hidden="false" customHeight="false" outlineLevel="0" collapsed="false">
      <c r="A12371" s="3" t="s">
        <v>564</v>
      </c>
      <c r="C12371" s="16" t="n">
        <f aca="false">SUMPRODUCT(($C$12341:$C$12350=C12349)*$C$12330:$C$12339)</f>
        <v>1961.8059021708</v>
      </c>
    </row>
    <row r="12372" customFormat="false" ht="15" hidden="false" customHeight="false" outlineLevel="0" collapsed="false">
      <c r="A12372" s="3" t="s">
        <v>565</v>
      </c>
      <c r="C12372" s="16" t="n">
        <f aca="false">SUMPRODUCT(($C$12341:$C$12350=C12350)*$C$12330:$C$12339)</f>
        <v>78.61</v>
      </c>
    </row>
    <row r="12373" customFormat="false" ht="15" hidden="false" customHeight="false" outlineLevel="0" collapsed="false">
      <c r="A12373" s="24" t="s">
        <v>574</v>
      </c>
      <c r="B12373" s="25"/>
      <c r="C12373" s="25"/>
      <c r="D12373" s="25"/>
      <c r="E12373" s="25"/>
      <c r="F12373" s="25"/>
      <c r="G12373" s="25"/>
      <c r="H12373" s="25"/>
      <c r="I12373" s="25"/>
      <c r="J12373" s="25"/>
      <c r="K12373" s="25"/>
    </row>
    <row r="12374" customFormat="false" ht="15" hidden="false" customHeight="false" outlineLevel="0" collapsed="false">
      <c r="A12374" s="3" t="s">
        <v>556</v>
      </c>
      <c r="C12374" s="16" t="n">
        <f aca="false">IF(C12363=0,0,C12330/C12363*MAX(0,MIN(C12363,$C$12273-SUM($C$12308:$C$12317)-C12352)))</f>
        <v>0</v>
      </c>
    </row>
    <row r="12375" customFormat="false" ht="15" hidden="false" customHeight="false" outlineLevel="0" collapsed="false">
      <c r="A12375" s="3" t="s">
        <v>557</v>
      </c>
      <c r="C12375" s="16" t="n">
        <f aca="false">IF(C12364=0,0,C12331/C12364*MAX(0,MIN(C12364,$C$12273-SUM($C$12308:$C$12317)-C12353)))</f>
        <v>0</v>
      </c>
    </row>
    <row r="12376" customFormat="false" ht="15" hidden="false" customHeight="false" outlineLevel="0" collapsed="false">
      <c r="A12376" s="3" t="s">
        <v>558</v>
      </c>
      <c r="C12376" s="16" t="n">
        <f aca="false">IF(C12365=0,0,C12332/C12365*MAX(0,MIN(C12365,$C$12273-SUM($C$12308:$C$12317)-C12354)))</f>
        <v>0</v>
      </c>
    </row>
    <row r="12377" customFormat="false" ht="15" hidden="false" customHeight="false" outlineLevel="0" collapsed="false">
      <c r="A12377" s="3" t="s">
        <v>559</v>
      </c>
      <c r="C12377" s="16" t="n">
        <f aca="false">IF(C12366=0,0,C12333/C12366*MAX(0,MIN(C12366,$C$12273-SUM($C$12308:$C$12317)-C12355)))</f>
        <v>0</v>
      </c>
    </row>
    <row r="12378" customFormat="false" ht="15" hidden="false" customHeight="false" outlineLevel="0" collapsed="false">
      <c r="A12378" s="3" t="s">
        <v>560</v>
      </c>
      <c r="C12378" s="16" t="n">
        <f aca="false">IF(C12367=0,0,C12334/C12367*MAX(0,MIN(C12367,$C$12273-SUM($C$12308:$C$12317)-C12356)))</f>
        <v>406.734772790194</v>
      </c>
    </row>
    <row r="12379" customFormat="false" ht="15" hidden="false" customHeight="false" outlineLevel="0" collapsed="false">
      <c r="A12379" s="3" t="s">
        <v>561</v>
      </c>
      <c r="C12379" s="16" t="n">
        <f aca="false">IF(C12368=0,0,C12335/C12368*MAX(0,MIN(C12368,$C$12273-SUM($C$12308:$C$12317)-C12357)))</f>
        <v>345.689971236799</v>
      </c>
    </row>
    <row r="12380" customFormat="false" ht="15" hidden="false" customHeight="false" outlineLevel="0" collapsed="false">
      <c r="A12380" s="3" t="s">
        <v>562</v>
      </c>
      <c r="C12380" s="16" t="n">
        <f aca="false">IF(C12369=0,0,C12336/C12369*MAX(0,MIN(C12369,$C$12273-SUM($C$12308:$C$12317)-C12358)))</f>
        <v>543.227097657827</v>
      </c>
    </row>
    <row r="12381" customFormat="false" ht="15" hidden="false" customHeight="false" outlineLevel="0" collapsed="false">
      <c r="A12381" s="3" t="s">
        <v>563</v>
      </c>
      <c r="C12381" s="16" t="n">
        <f aca="false">IF(C12370=0,0,C12337/C12370*MAX(0,MIN(C12370,$C$12273-SUM($C$12308:$C$12317)-C12359)))</f>
        <v>345.689971236799</v>
      </c>
    </row>
    <row r="12382" customFormat="false" ht="15" hidden="false" customHeight="false" outlineLevel="0" collapsed="false">
      <c r="A12382" s="3" t="s">
        <v>564</v>
      </c>
      <c r="C12382" s="16" t="n">
        <f aca="false">IF(C12371=0,0,C12338/C12371*MAX(0,MIN(C12371,$C$12273-SUM($C$12308:$C$12317)-C12360)))</f>
        <v>296.305689631542</v>
      </c>
    </row>
    <row r="12383" customFormat="false" ht="15" hidden="false" customHeight="false" outlineLevel="0" collapsed="false">
      <c r="A12383" s="3" t="s">
        <v>565</v>
      </c>
      <c r="C12383" s="16" t="n">
        <f aca="false">IF(C12372=0,0,C12339/C12372*MAX(0,MIN(C12372,$C$12273-SUM($C$12308:$C$12317)-C12361)))</f>
        <v>0</v>
      </c>
    </row>
    <row r="12384" customFormat="false" ht="15" hidden="false" customHeight="false" outlineLevel="0" collapsed="false">
      <c r="A12384" s="24" t="s">
        <v>575</v>
      </c>
      <c r="B12384" s="25"/>
      <c r="C12384" s="25"/>
      <c r="D12384" s="25"/>
      <c r="E12384" s="25"/>
      <c r="F12384" s="25"/>
      <c r="G12384" s="25"/>
      <c r="H12384" s="25"/>
      <c r="I12384" s="25"/>
      <c r="J12384" s="25"/>
      <c r="K12384" s="25"/>
    </row>
    <row r="12385" customFormat="false" ht="15" hidden="false" customHeight="false" outlineLevel="0" collapsed="false">
      <c r="A12385" s="2" t="s">
        <v>556</v>
      </c>
      <c r="C12385" s="17" t="n">
        <f aca="false">C12308+C12374</f>
        <v>388</v>
      </c>
    </row>
    <row r="12386" customFormat="false" ht="15" hidden="false" customHeight="false" outlineLevel="0" collapsed="false">
      <c r="A12386" s="2" t="s">
        <v>557</v>
      </c>
      <c r="C12386" s="17" t="n">
        <f aca="false">C12309+C12375</f>
        <v>81.1272384611568</v>
      </c>
    </row>
    <row r="12387" customFormat="false" ht="15" hidden="false" customHeight="false" outlineLevel="0" collapsed="false">
      <c r="A12387" s="2" t="s">
        <v>558</v>
      </c>
      <c r="C12387" s="17" t="n">
        <f aca="false">C12310+C12376</f>
        <v>51.6264244752816</v>
      </c>
    </row>
    <row r="12388" customFormat="false" ht="15" hidden="false" customHeight="false" outlineLevel="0" collapsed="false">
      <c r="A12388" s="2" t="s">
        <v>559</v>
      </c>
      <c r="C12388" s="17" t="n">
        <f aca="false">C12311+C12377</f>
        <v>0</v>
      </c>
    </row>
    <row r="12389" customFormat="false" ht="15" hidden="false" customHeight="false" outlineLevel="0" collapsed="false">
      <c r="A12389" s="2" t="s">
        <v>560</v>
      </c>
      <c r="C12389" s="17" t="n">
        <f aca="false">C12312+C12378</f>
        <v>406.734772790194</v>
      </c>
    </row>
    <row r="12390" customFormat="false" ht="15" hidden="false" customHeight="false" outlineLevel="0" collapsed="false">
      <c r="A12390" s="2" t="s">
        <v>561</v>
      </c>
      <c r="C12390" s="17" t="n">
        <f aca="false">C12313+C12379</f>
        <v>345.689971236799</v>
      </c>
    </row>
    <row r="12391" customFormat="false" ht="15" hidden="false" customHeight="false" outlineLevel="0" collapsed="false">
      <c r="A12391" s="2" t="s">
        <v>562</v>
      </c>
      <c r="C12391" s="17" t="n">
        <f aca="false">C12314+C12380</f>
        <v>543.227097657827</v>
      </c>
    </row>
    <row r="12392" customFormat="false" ht="15" hidden="false" customHeight="false" outlineLevel="0" collapsed="false">
      <c r="A12392" s="2" t="s">
        <v>563</v>
      </c>
      <c r="C12392" s="17" t="n">
        <f aca="false">C12315+C12381</f>
        <v>345.689971236799</v>
      </c>
    </row>
    <row r="12393" customFormat="false" ht="15" hidden="false" customHeight="false" outlineLevel="0" collapsed="false">
      <c r="A12393" s="2" t="s">
        <v>564</v>
      </c>
      <c r="C12393" s="17" t="n">
        <f aca="false">C12316+C12382</f>
        <v>296.305689631542</v>
      </c>
    </row>
    <row r="12394" customFormat="false" ht="15" hidden="false" customHeight="false" outlineLevel="0" collapsed="false">
      <c r="A12394" s="2" t="s">
        <v>565</v>
      </c>
      <c r="C12394" s="17" t="n">
        <f aca="false">C12317+C12383</f>
        <v>0</v>
      </c>
    </row>
    <row r="12395" customFormat="false" ht="15" hidden="false" customHeight="false" outlineLevel="0" collapsed="false">
      <c r="A12395" s="24" t="s">
        <v>576</v>
      </c>
      <c r="B12395" s="25"/>
      <c r="C12395" s="25"/>
      <c r="D12395" s="25"/>
      <c r="E12395" s="25"/>
      <c r="F12395" s="25"/>
      <c r="G12395" s="25"/>
      <c r="H12395" s="25"/>
      <c r="I12395" s="25"/>
      <c r="J12395" s="25"/>
      <c r="K12395" s="25"/>
    </row>
    <row r="12396" customFormat="false" ht="15" hidden="false" customHeight="false" outlineLevel="0" collapsed="false">
      <c r="A12396" s="3" t="s">
        <v>556</v>
      </c>
      <c r="C12396" s="22" t="n">
        <f aca="false">IF(C12275=0,1,C12385/C12275)</f>
        <v>1</v>
      </c>
    </row>
    <row r="12397" customFormat="false" ht="15" hidden="false" customHeight="false" outlineLevel="0" collapsed="false">
      <c r="A12397" s="3" t="s">
        <v>557</v>
      </c>
      <c r="C12397" s="22" t="n">
        <f aca="false">IF(C12276=0,1,C12386/C12276)</f>
        <v>0.90141376067952</v>
      </c>
    </row>
    <row r="12398" customFormat="false" ht="15" hidden="false" customHeight="false" outlineLevel="0" collapsed="false">
      <c r="A12398" s="3" t="s">
        <v>558</v>
      </c>
      <c r="C12398" s="22" t="n">
        <f aca="false">IF(C12277=0,1,C12387/C12277)</f>
        <v>0.900607502534394</v>
      </c>
    </row>
    <row r="12399" customFormat="false" ht="15" hidden="false" customHeight="false" outlineLevel="0" collapsed="false">
      <c r="A12399" s="3" t="s">
        <v>559</v>
      </c>
      <c r="C12399" s="22" t="n">
        <f aca="false">IF(C12278=0,1,C12388/C12278)</f>
        <v>1</v>
      </c>
    </row>
    <row r="12400" customFormat="false" ht="15" hidden="false" customHeight="false" outlineLevel="0" collapsed="false">
      <c r="A12400" s="3" t="s">
        <v>560</v>
      </c>
      <c r="C12400" s="22" t="n">
        <f aca="false">IF(C12279=0,1,C12389/C12279)</f>
        <v>0.987685632105141</v>
      </c>
    </row>
    <row r="12401" customFormat="false" ht="15" hidden="false" customHeight="false" outlineLevel="0" collapsed="false">
      <c r="A12401" s="3" t="s">
        <v>561</v>
      </c>
      <c r="C12401" s="22" t="n">
        <f aca="false">IF(C12280=0,1,C12390/C12280)</f>
        <v>0.987685632105141</v>
      </c>
    </row>
    <row r="12402" customFormat="false" ht="15" hidden="false" customHeight="false" outlineLevel="0" collapsed="false">
      <c r="A12402" s="3" t="s">
        <v>562</v>
      </c>
      <c r="C12402" s="22" t="n">
        <f aca="false">IF(C12281=0,1,C12391/C12281)</f>
        <v>0.987685632105141</v>
      </c>
    </row>
    <row r="12403" customFormat="false" ht="15" hidden="false" customHeight="false" outlineLevel="0" collapsed="false">
      <c r="A12403" s="3" t="s">
        <v>563</v>
      </c>
      <c r="C12403" s="22" t="n">
        <f aca="false">IF(C12282=0,1,C12392/C12282)</f>
        <v>0.987685632105141</v>
      </c>
    </row>
    <row r="12404" customFormat="false" ht="15" hidden="false" customHeight="false" outlineLevel="0" collapsed="false">
      <c r="A12404" s="3" t="s">
        <v>564</v>
      </c>
      <c r="C12404" s="22" t="n">
        <f aca="false">IF(C12283=0,1,C12393/C12283)</f>
        <v>0.987685632105141</v>
      </c>
    </row>
    <row r="12405" customFormat="false" ht="15" hidden="false" customHeight="false" outlineLevel="0" collapsed="false">
      <c r="A12405" s="3" t="s">
        <v>565</v>
      </c>
      <c r="C12405" s="22" t="n">
        <f aca="false">IF(C12284=0,1,C12394/C12284)</f>
        <v>0</v>
      </c>
    </row>
    <row r="12406" customFormat="false" ht="15" hidden="false" customHeight="false" outlineLevel="0" collapsed="false">
      <c r="A12406" s="24" t="s">
        <v>577</v>
      </c>
      <c r="B12406" s="25"/>
      <c r="C12406" s="25"/>
      <c r="D12406" s="25"/>
      <c r="E12406" s="25"/>
      <c r="F12406" s="25"/>
      <c r="G12406" s="25"/>
      <c r="H12406" s="25"/>
      <c r="I12406" s="25"/>
      <c r="J12406" s="25"/>
      <c r="K12406" s="25"/>
    </row>
    <row r="12407" customFormat="false" ht="15" hidden="false" customHeight="false" outlineLevel="0" collapsed="false">
      <c r="A12407" s="3" t="s">
        <v>556</v>
      </c>
      <c r="C12407" s="16" t="n">
        <f aca="false">C12275-C12385</f>
        <v>0</v>
      </c>
    </row>
    <row r="12408" customFormat="false" ht="15" hidden="false" customHeight="false" outlineLevel="0" collapsed="false">
      <c r="A12408" s="3" t="s">
        <v>557</v>
      </c>
      <c r="C12408" s="16" t="n">
        <f aca="false">C12276-C12386</f>
        <v>8.87276153884316</v>
      </c>
    </row>
    <row r="12409" customFormat="false" ht="15" hidden="false" customHeight="false" outlineLevel="0" collapsed="false">
      <c r="A12409" s="3" t="s">
        <v>558</v>
      </c>
      <c r="C12409" s="16" t="n">
        <f aca="false">C12277-C12387</f>
        <v>5.69757552471838</v>
      </c>
    </row>
    <row r="12410" customFormat="false" ht="15" hidden="false" customHeight="false" outlineLevel="0" collapsed="false">
      <c r="A12410" s="3" t="s">
        <v>559</v>
      </c>
      <c r="C12410" s="16" t="n">
        <f aca="false">C12278-C12388</f>
        <v>0</v>
      </c>
    </row>
    <row r="12411" customFormat="false" ht="15" hidden="false" customHeight="false" outlineLevel="0" collapsed="false">
      <c r="A12411" s="3" t="s">
        <v>560</v>
      </c>
      <c r="C12411" s="16" t="n">
        <f aca="false">C12279-C12389</f>
        <v>5.07112938060573</v>
      </c>
    </row>
    <row r="12412" customFormat="false" ht="15" hidden="false" customHeight="false" outlineLevel="0" collapsed="false">
      <c r="A12412" s="3" t="s">
        <v>561</v>
      </c>
      <c r="C12412" s="16" t="n">
        <f aca="false">C12280-C12390</f>
        <v>4.31002876320082</v>
      </c>
    </row>
    <row r="12413" customFormat="false" ht="15" hidden="false" customHeight="false" outlineLevel="0" collapsed="false">
      <c r="A12413" s="3" t="s">
        <v>562</v>
      </c>
      <c r="C12413" s="16" t="n">
        <f aca="false">C12281-C12391</f>
        <v>6.77290234217264</v>
      </c>
    </row>
    <row r="12414" customFormat="false" ht="15" hidden="false" customHeight="false" outlineLevel="0" collapsed="false">
      <c r="A12414" s="3" t="s">
        <v>563</v>
      </c>
      <c r="C12414" s="16" t="n">
        <f aca="false">C12282-C12392</f>
        <v>4.31002876320082</v>
      </c>
    </row>
    <row r="12415" customFormat="false" ht="15" hidden="false" customHeight="false" outlineLevel="0" collapsed="false">
      <c r="A12415" s="3" t="s">
        <v>564</v>
      </c>
      <c r="C12415" s="16" t="n">
        <f aca="false">C12283-C12393</f>
        <v>3.69431036845782</v>
      </c>
    </row>
    <row r="12416" customFormat="false" ht="15" hidden="false" customHeight="false" outlineLevel="0" collapsed="false">
      <c r="A12416" s="3" t="s">
        <v>565</v>
      </c>
      <c r="C12416" s="16" t="n">
        <f aca="false">C12284-C12394</f>
        <v>78.61</v>
      </c>
    </row>
    <row r="12417" customFormat="false" ht="15" hidden="false" customHeight="false" outlineLevel="0" collapsed="false">
      <c r="A12417" s="24" t="s">
        <v>578</v>
      </c>
      <c r="B12417" s="25"/>
      <c r="C12417" s="25"/>
      <c r="D12417" s="25"/>
      <c r="E12417" s="25"/>
      <c r="F12417" s="25"/>
      <c r="G12417" s="25"/>
      <c r="H12417" s="25"/>
      <c r="I12417" s="25"/>
      <c r="J12417" s="25"/>
      <c r="K12417" s="25"/>
    </row>
    <row r="12418" customFormat="false" ht="15" hidden="false" customHeight="false" outlineLevel="0" collapsed="false">
      <c r="A12418" s="3" t="s">
        <v>556</v>
      </c>
      <c r="C12418" s="22" t="n">
        <f aca="false">IF(C12275=0,0,C12407/C12275)</f>
        <v>0</v>
      </c>
    </row>
    <row r="12419" customFormat="false" ht="15" hidden="false" customHeight="false" outlineLevel="0" collapsed="false">
      <c r="A12419" s="3" t="s">
        <v>557</v>
      </c>
      <c r="C12419" s="22" t="n">
        <f aca="false">IF(C12276=0,0,C12408/C12276)</f>
        <v>0.0985862393204796</v>
      </c>
    </row>
    <row r="12420" customFormat="false" ht="15" hidden="false" customHeight="false" outlineLevel="0" collapsed="false">
      <c r="A12420" s="3" t="s">
        <v>558</v>
      </c>
      <c r="C12420" s="22" t="n">
        <f aca="false">IF(C12277=0,0,C12409/C12277)</f>
        <v>0.0993924974656057</v>
      </c>
    </row>
    <row r="12421" customFormat="false" ht="15" hidden="false" customHeight="false" outlineLevel="0" collapsed="false">
      <c r="A12421" s="3" t="s">
        <v>559</v>
      </c>
      <c r="C12421" s="22" t="n">
        <f aca="false">IF(C12278=0,0,C12410/C12278)</f>
        <v>0</v>
      </c>
    </row>
    <row r="12422" customFormat="false" ht="15" hidden="false" customHeight="false" outlineLevel="0" collapsed="false">
      <c r="A12422" s="3" t="s">
        <v>560</v>
      </c>
      <c r="C12422" s="22" t="n">
        <f aca="false">IF(C12279=0,0,C12411/C12279)</f>
        <v>0.0123143678948594</v>
      </c>
    </row>
    <row r="12423" customFormat="false" ht="15" hidden="false" customHeight="false" outlineLevel="0" collapsed="false">
      <c r="A12423" s="3" t="s">
        <v>561</v>
      </c>
      <c r="C12423" s="22" t="n">
        <f aca="false">IF(C12280=0,0,C12412/C12280)</f>
        <v>0.0123143678948595</v>
      </c>
    </row>
    <row r="12424" customFormat="false" ht="15" hidden="false" customHeight="false" outlineLevel="0" collapsed="false">
      <c r="A12424" s="3" t="s">
        <v>562</v>
      </c>
      <c r="C12424" s="22" t="n">
        <f aca="false">IF(C12281=0,0,C12413/C12281)</f>
        <v>0.0123143678948594</v>
      </c>
    </row>
    <row r="12425" customFormat="false" ht="15" hidden="false" customHeight="false" outlineLevel="0" collapsed="false">
      <c r="A12425" s="3" t="s">
        <v>563</v>
      </c>
      <c r="C12425" s="22" t="n">
        <f aca="false">IF(C12282=0,0,C12414/C12282)</f>
        <v>0.0123143678948595</v>
      </c>
    </row>
    <row r="12426" customFormat="false" ht="15" hidden="false" customHeight="false" outlineLevel="0" collapsed="false">
      <c r="A12426" s="3" t="s">
        <v>564</v>
      </c>
      <c r="C12426" s="22" t="n">
        <f aca="false">IF(C12283=0,0,C12415/C12283)</f>
        <v>0.0123143678948594</v>
      </c>
    </row>
    <row r="12427" customFormat="false" ht="15" hidden="false" customHeight="false" outlineLevel="0" collapsed="false">
      <c r="A12427" s="3" t="s">
        <v>565</v>
      </c>
      <c r="C12427" s="22" t="n">
        <f aca="false">IF(C12284=0,0,C12416/C12284)</f>
        <v>1</v>
      </c>
    </row>
    <row r="12428" customFormat="false" ht="15" hidden="false" customHeight="false" outlineLevel="0" collapsed="false">
      <c r="A12428" s="2" t="s">
        <v>579</v>
      </c>
      <c r="C12428" s="17" t="n">
        <f aca="false">MAX(0,$C$12273-SUM($C$12308:$C$12317)-SUM($C$12330:$C$12339))</f>
        <v>0</v>
      </c>
    </row>
    <row r="12429" customFormat="false" ht="15" hidden="false" customHeight="false" outlineLevel="0" collapsed="false">
      <c r="A12429" s="3" t="s">
        <v>597</v>
      </c>
      <c r="C12429" s="35" t="n">
        <f aca="false">MIN(C12272,100*CHOOSE(C12262,C12396,C12397,C12398,C12399,C12400,C12401,C12402,C12403,C12404,C12405))</f>
        <v>100</v>
      </c>
    </row>
    <row r="12430" customFormat="false" ht="15" hidden="false" customHeight="false" outlineLevel="0" collapsed="false">
      <c r="A12430" s="3" t="s">
        <v>598</v>
      </c>
      <c r="C12430" s="21" t="n">
        <f aca="false">IF(C12094=1,C12267+Assumptions!$C$40,C12266)</f>
        <v>3</v>
      </c>
    </row>
    <row r="12431" customFormat="false" ht="15" hidden="false" customHeight="false" outlineLevel="0" collapsed="false">
      <c r="A12431" s="24" t="s">
        <v>599</v>
      </c>
      <c r="B12431" s="25"/>
      <c r="C12431" s="25"/>
      <c r="D12431" s="25"/>
      <c r="E12431" s="25"/>
      <c r="F12431" s="25"/>
      <c r="G12431" s="25"/>
      <c r="H12431" s="25"/>
      <c r="I12431" s="25"/>
      <c r="J12431" s="25"/>
      <c r="K12431" s="25"/>
    </row>
    <row r="12432" customFormat="false" ht="15" hidden="false" customHeight="false" outlineLevel="0" collapsed="false">
      <c r="A12432" s="3" t="s">
        <v>600</v>
      </c>
      <c r="C12432" s="21" t="n">
        <f aca="false">COLUMN()-COLUMN($C$1)</f>
        <v>0</v>
      </c>
      <c r="D12432" s="21" t="n">
        <f aca="false">COLUMN()-COLUMN($C$1)</f>
        <v>1</v>
      </c>
      <c r="E12432" s="21" t="n">
        <f aca="false">COLUMN()-COLUMN($C$1)</f>
        <v>2</v>
      </c>
      <c r="F12432" s="21" t="n">
        <f aca="false">COLUMN()-COLUMN($C$1)</f>
        <v>3</v>
      </c>
      <c r="G12432" s="21" t="n">
        <f aca="false">COLUMN()-COLUMN($C$1)</f>
        <v>4</v>
      </c>
      <c r="H12432" s="21" t="n">
        <f aca="false">COLUMN()-COLUMN($C$1)</f>
        <v>5</v>
      </c>
      <c r="I12432" s="21" t="n">
        <f aca="false">COLUMN()-COLUMN($C$1)</f>
        <v>6</v>
      </c>
    </row>
    <row r="12433" customFormat="false" ht="15" hidden="false" customHeight="false" outlineLevel="0" collapsed="false">
      <c r="A12433" s="3" t="s">
        <v>601</v>
      </c>
      <c r="D12433" s="31" t="n">
        <f aca="false">CHOOSE($C$12262,G11842,G11855,G11868,G11881,G11894,G11907,G11920,G11933,G11946,G11959)</f>
        <v>0.0915</v>
      </c>
      <c r="E12433" s="31" t="n">
        <f aca="false">CHOOSE($C$12262,H11842,H11855,H11868,H11881,H11894,H11907,H11920,H11933,H11946,H11959)</f>
        <v>0.09</v>
      </c>
      <c r="F12433" s="31" t="n">
        <f aca="false">CHOOSE($C$12262,I11842,I11855,I11868,I11881,I11894,I11907,I11920,I11933,I11946,I11959)</f>
        <v>0.0875</v>
      </c>
      <c r="G12433" s="31" t="n">
        <f aca="false">CHOOSE($C$12262,J11842,J11855,J11868,J11881,J11894,J11907,J11920,J11933,J11946,J11959)</f>
        <v>0.0875</v>
      </c>
      <c r="H12433" s="31" t="n">
        <f aca="false">CHOOSE($C$12262,K11842,K11855,K11868,K11881,K11894,K11907,K11920,K11933,K11946,K11959)</f>
        <v>0.0875</v>
      </c>
    </row>
    <row r="12434" customFormat="false" ht="15" hidden="false" customHeight="false" outlineLevel="0" collapsed="false">
      <c r="A12434" s="3" t="s">
        <v>602</v>
      </c>
      <c r="D12434" s="16" t="n">
        <f aca="false">IF(D12432&lt;=$C$12271,$C$12263*D12433,0)</f>
        <v>9.15</v>
      </c>
      <c r="E12434" s="16" t="n">
        <f aca="false">IF(E12432&lt;=$C$12271,$C$12263*E12433,0)</f>
        <v>9</v>
      </c>
      <c r="F12434" s="16" t="n">
        <f aca="false">IF(F12432&lt;=$C$12271,$C$12263*F12433,0)</f>
        <v>0</v>
      </c>
      <c r="G12434" s="16" t="n">
        <f aca="false">IF(G12432&lt;=$C$12271,$C$12263*G12433,0)</f>
        <v>0</v>
      </c>
      <c r="H12434" s="16" t="n">
        <f aca="false">IF(H12432&lt;=$C$12271,$C$12263*H12433,0)</f>
        <v>0</v>
      </c>
    </row>
    <row r="12435" customFormat="false" ht="15" hidden="false" customHeight="false" outlineLevel="0" collapsed="false">
      <c r="A12435" s="3" t="s">
        <v>603</v>
      </c>
      <c r="D12435" s="16" t="n">
        <f aca="false">IF(AND($C$12094=0,D12432=$C$12266),$C$12263*$C$12429/100,0)+IF(AND($C$12094=1,D12432=$C$12430),$C$12269,0)</f>
        <v>0</v>
      </c>
      <c r="E12435" s="16" t="n">
        <f aca="false">IF(AND($C$12094=0,E12432=$C$12266),$C$12263*$C$12429/100,0)+IF(AND($C$12094=1,E12432=$C$12430),$C$12269,0)</f>
        <v>0</v>
      </c>
      <c r="F12435" s="16" t="n">
        <f aca="false">IF(AND($C$12094=0,F12432=$C$12266),$C$12263*$C$12429/100,0)+IF(AND($C$12094=1,F12432=$C$12430),$C$12269,0)</f>
        <v>102.25</v>
      </c>
      <c r="G12435" s="16" t="n">
        <f aca="false">IF(AND($C$12094=0,G12432=$C$12266),$C$12263*$C$12429/100,0)+IF(AND($C$12094=1,G12432=$C$12430),$C$12269,0)</f>
        <v>0</v>
      </c>
      <c r="H12435" s="16" t="n">
        <f aca="false">IF(AND($C$12094=0,H12432=$C$12266),$C$12263*$C$12429/100,0)+IF(AND($C$12094=1,H12432=$C$12430),$C$12269,0)</f>
        <v>0</v>
      </c>
      <c r="I12435" s="16" t="n">
        <f aca="false">IF(AND($C$12094=0,I12432=$C$12266),$C$12263*$C$12429/100,0)+IF(AND($C$12094=1,I12432=$C$12430),$C$12269,0)</f>
        <v>0</v>
      </c>
    </row>
    <row r="12436" customFormat="false" ht="15" hidden="false" customHeight="false" outlineLevel="0" collapsed="false">
      <c r="A12436" s="2" t="s">
        <v>604</v>
      </c>
      <c r="C12436" s="17" t="n">
        <f aca="false">-$C$12265</f>
        <v>-98.49</v>
      </c>
      <c r="D12436" s="17" t="n">
        <f aca="false">D12434+D12435</f>
        <v>9.15</v>
      </c>
      <c r="E12436" s="17" t="n">
        <f aca="false">E12434+E12435</f>
        <v>9</v>
      </c>
      <c r="F12436" s="17" t="n">
        <f aca="false">F12434+F12435</f>
        <v>102.25</v>
      </c>
      <c r="G12436" s="17" t="n">
        <f aca="false">G12434+G12435</f>
        <v>0</v>
      </c>
      <c r="H12436" s="17" t="n">
        <f aca="false">H12434+H12435</f>
        <v>0</v>
      </c>
      <c r="I12436" s="17" t="n">
        <f aca="false">I12434+I12435</f>
        <v>0</v>
      </c>
    </row>
    <row r="12437" customFormat="false" ht="15" hidden="false" customHeight="false" outlineLevel="0" collapsed="false">
      <c r="A12437" s="3" t="s">
        <v>605</v>
      </c>
      <c r="C12437" s="16" t="n">
        <f aca="false">SUM($C$12434:$I$12434)</f>
        <v>18.15</v>
      </c>
    </row>
    <row r="12438" customFormat="false" ht="15" hidden="false" customHeight="false" outlineLevel="0" collapsed="false">
      <c r="A12438" s="3" t="s">
        <v>606</v>
      </c>
      <c r="C12438" s="16" t="n">
        <f aca="false">SUM($C$12435:$I$12435)</f>
        <v>102.25</v>
      </c>
    </row>
    <row r="12439" customFormat="false" ht="15" hidden="false" customHeight="false" outlineLevel="0" collapsed="false">
      <c r="A12439" s="3" t="s">
        <v>607</v>
      </c>
      <c r="C12439" s="16" t="n">
        <f aca="false">C12437+C12438</f>
        <v>120.4</v>
      </c>
    </row>
    <row r="12440" customFormat="false" ht="15" hidden="false" customHeight="false" outlineLevel="0" collapsed="false">
      <c r="A12440" s="3" t="s">
        <v>608</v>
      </c>
      <c r="C12440" s="16" t="n">
        <f aca="false">C12438-C12263*C12264/100</f>
        <v>4.25</v>
      </c>
    </row>
    <row r="12441" customFormat="false" ht="15" hidden="false" customHeight="false" outlineLevel="0" collapsed="false">
      <c r="A12441" s="3" t="s">
        <v>609</v>
      </c>
      <c r="C12441" s="16" t="n">
        <f aca="false">C12439-C12265</f>
        <v>21.91</v>
      </c>
    </row>
    <row r="12442" customFormat="false" ht="15" hidden="false" customHeight="false" outlineLevel="0" collapsed="false">
      <c r="A12442" s="2" t="s">
        <v>484</v>
      </c>
      <c r="C12442" s="44" t="n">
        <f aca="false">C12439/C12265</f>
        <v>1.22245913290689</v>
      </c>
    </row>
    <row r="12443" customFormat="false" ht="15" hidden="false" customHeight="false" outlineLevel="0" collapsed="false">
      <c r="A12443" s="2" t="s">
        <v>483</v>
      </c>
      <c r="C12443" s="42" t="n">
        <f aca="false">IF(C12439&lt;=0,-1,IFERROR(IRR($C$12436:$I$12436,MAX(-0.9,C12442^(1/C12430)-1)),IRR($C$12436:$I$12436,0.1)))</f>
        <v>0.0754638504410984</v>
      </c>
    </row>
    <row r="12444" customFormat="false" ht="15" hidden="false" customHeight="false" outlineLevel="0" collapsed="false">
      <c r="A12444" s="3" t="s">
        <v>610</v>
      </c>
      <c r="C12444" s="32" t="n">
        <f aca="false">MAX($G$12038:$K$12038)</f>
        <v>17.267942276047</v>
      </c>
    </row>
    <row r="12445" customFormat="false" ht="15" hidden="false" customHeight="false" outlineLevel="0" collapsed="false">
      <c r="A12445" s="3" t="s">
        <v>611</v>
      </c>
      <c r="C12445" s="32" t="n">
        <f aca="false">MIN($G$12039:$K$12039)</f>
        <v>0.956204997269343</v>
      </c>
    </row>
    <row r="12446" customFormat="false" ht="15" hidden="false" customHeight="false" outlineLevel="0" collapsed="false">
      <c r="A12446" s="3" t="s">
        <v>612</v>
      </c>
      <c r="C12446" s="16" t="n">
        <f aca="false">SUM($G$11826:$K$11826)</f>
        <v>-507.865287945543</v>
      </c>
    </row>
    <row r="12450" customFormat="false" ht="15" hidden="false" customHeight="false" outlineLevel="0" collapsed="false">
      <c r="A12450" s="9" t="s">
        <v>1149</v>
      </c>
      <c r="B12450" s="10"/>
      <c r="C12450" s="10"/>
      <c r="D12450" s="10"/>
      <c r="E12450" s="10"/>
      <c r="F12450" s="10"/>
      <c r="G12450" s="10"/>
      <c r="H12450" s="10"/>
      <c r="I12450" s="10"/>
      <c r="J12450" s="10"/>
      <c r="K12450" s="10"/>
    </row>
    <row r="12451" customFormat="false" ht="15" hidden="false" customHeight="false" outlineLevel="0" collapsed="false">
      <c r="A12451" s="3" t="s">
        <v>1126</v>
      </c>
      <c r="C12451" s="11" t="n">
        <v>1</v>
      </c>
    </row>
    <row r="12452" customFormat="false" ht="15" hidden="false" customHeight="false" outlineLevel="0" collapsed="false">
      <c r="A12452" s="3" t="s">
        <v>1127</v>
      </c>
      <c r="C12452" s="30" t="n">
        <f aca="false">Sensitivities!$A$41</f>
        <v>-0.05</v>
      </c>
    </row>
    <row r="12453" customFormat="false" ht="15" hidden="false" customHeight="false" outlineLevel="0" collapsed="false">
      <c r="A12453" s="3" t="s">
        <v>1128</v>
      </c>
      <c r="C12453" s="19" t="n">
        <v>0</v>
      </c>
    </row>
    <row r="12454" customFormat="false" ht="15" hidden="false" customHeight="false" outlineLevel="0" collapsed="false">
      <c r="A12454" s="3" t="s">
        <v>1129</v>
      </c>
      <c r="C12454" s="19" t="n">
        <v>0</v>
      </c>
    </row>
    <row r="12455" customFormat="false" ht="15" hidden="false" customHeight="false" outlineLevel="0" collapsed="false">
      <c r="A12455" s="3" t="s">
        <v>1130</v>
      </c>
      <c r="C12455" s="15" t="n">
        <v>0</v>
      </c>
    </row>
    <row r="12457" customFormat="false" ht="15" hidden="false" customHeight="false" outlineLevel="0" collapsed="false">
      <c r="A12457" s="24" t="s">
        <v>301</v>
      </c>
      <c r="B12457" s="25"/>
      <c r="C12457" s="25"/>
      <c r="D12457" s="25"/>
      <c r="E12457" s="25"/>
      <c r="F12457" s="25"/>
      <c r="G12457" s="25"/>
      <c r="H12457" s="25"/>
      <c r="I12457" s="25"/>
      <c r="J12457" s="25"/>
      <c r="K12457" s="25"/>
    </row>
    <row r="12458" customFormat="false" ht="15" hidden="false" customHeight="false" outlineLevel="0" collapsed="false">
      <c r="A12458" s="3" t="s">
        <v>302</v>
      </c>
      <c r="F12458" s="27" t="n">
        <f aca="false">Assumptions!$C$6</f>
        <v>2026</v>
      </c>
      <c r="G12458" s="21" t="n">
        <f aca="false">F12458+1</f>
        <v>2027</v>
      </c>
      <c r="H12458" s="21" t="n">
        <f aca="false">G12458+1</f>
        <v>2028</v>
      </c>
      <c r="I12458" s="21" t="n">
        <f aca="false">H12458+1</f>
        <v>2029</v>
      </c>
      <c r="J12458" s="21" t="n">
        <f aca="false">I12458+1</f>
        <v>2030</v>
      </c>
      <c r="K12458" s="21" t="n">
        <f aca="false">J12458+1</f>
        <v>2031</v>
      </c>
    </row>
    <row r="12459" customFormat="false" ht="15" hidden="false" customHeight="false" outlineLevel="0" collapsed="false">
      <c r="A12459" s="3" t="s">
        <v>303</v>
      </c>
      <c r="G12459" s="21" t="n">
        <f aca="false">G12458-Assumptions!$C$6</f>
        <v>1</v>
      </c>
      <c r="H12459" s="21" t="n">
        <f aca="false">H12458-Assumptions!$C$6</f>
        <v>2</v>
      </c>
      <c r="I12459" s="21" t="n">
        <f aca="false">I12458-Assumptions!$C$6</f>
        <v>3</v>
      </c>
      <c r="J12459" s="21" t="n">
        <f aca="false">J12458-Assumptions!$C$6</f>
        <v>4</v>
      </c>
      <c r="K12459" s="21" t="n">
        <f aca="false">K12458-Assumptions!$C$6</f>
        <v>5</v>
      </c>
    </row>
    <row r="12460" customFormat="false" ht="15" hidden="false" customHeight="false" outlineLevel="0" collapsed="false">
      <c r="A12460" s="3" t="s">
        <v>180</v>
      </c>
      <c r="G12460" s="22" t="n">
        <f aca="false">CHOOSE($C$12451,Assumptions!$G$79,Assumptions!$G$98,Assumptions!$G$117)+$C$12452</f>
        <v>-0.08</v>
      </c>
      <c r="H12460" s="22" t="n">
        <f aca="false">CHOOSE($C$12451,Assumptions!$H$79,Assumptions!$H$98,Assumptions!$H$117)+$C$12452</f>
        <v>-0.03</v>
      </c>
      <c r="I12460" s="22" t="n">
        <f aca="false">CHOOSE($C$12451,Assumptions!$I$79,Assumptions!$I$98,Assumptions!$I$117)+$C$12452</f>
        <v>-0.03</v>
      </c>
      <c r="J12460" s="22" t="n">
        <f aca="false">CHOOSE($C$12451,Assumptions!$J$79,Assumptions!$J$98,Assumptions!$J$117)+$C$12452</f>
        <v>-0.03</v>
      </c>
      <c r="K12460" s="22" t="n">
        <f aca="false">CHOOSE($C$12451,Assumptions!$K$79,Assumptions!$K$98,Assumptions!$K$117)+$C$12452</f>
        <v>-0.03</v>
      </c>
    </row>
    <row r="12461" customFormat="false" ht="15" hidden="false" customHeight="false" outlineLevel="0" collapsed="false">
      <c r="A12461" s="3" t="s">
        <v>181</v>
      </c>
      <c r="G12461" s="22" t="n">
        <f aca="false">CHOOSE($C$12451,Assumptions!$G$80,Assumptions!$G$99,Assumptions!$G$118)</f>
        <v>0.603920660818678</v>
      </c>
      <c r="H12461" s="22" t="n">
        <f aca="false">CHOOSE($C$12451,Assumptions!$H$80,Assumptions!$H$99,Assumptions!$H$118)</f>
        <v>0.606920660818678</v>
      </c>
      <c r="I12461" s="22" t="n">
        <f aca="false">CHOOSE($C$12451,Assumptions!$I$80,Assumptions!$I$99,Assumptions!$I$118)</f>
        <v>0.609920660818678</v>
      </c>
      <c r="J12461" s="22" t="n">
        <f aca="false">CHOOSE($C$12451,Assumptions!$J$80,Assumptions!$J$99,Assumptions!$J$118)</f>
        <v>0.611920660818678</v>
      </c>
      <c r="K12461" s="22" t="n">
        <f aca="false">CHOOSE($C$12451,Assumptions!$K$80,Assumptions!$K$99,Assumptions!$K$118)</f>
        <v>0.613920660818678</v>
      </c>
    </row>
    <row r="12462" customFormat="false" ht="15" hidden="false" customHeight="false" outlineLevel="0" collapsed="false">
      <c r="A12462" s="3" t="s">
        <v>182</v>
      </c>
      <c r="G12462" s="22" t="n">
        <f aca="false">CHOOSE($C$12451,Assumptions!$G$81,Assumptions!$G$100,Assumptions!$G$119)+$C$12453</f>
        <v>0.53</v>
      </c>
      <c r="H12462" s="22" t="n">
        <f aca="false">CHOOSE($C$12451,Assumptions!$H$81,Assumptions!$H$100,Assumptions!$H$119)+$C$12453</f>
        <v>0.533</v>
      </c>
      <c r="I12462" s="22" t="n">
        <f aca="false">CHOOSE($C$12451,Assumptions!$I$81,Assumptions!$I$100,Assumptions!$I$119)+$C$12453</f>
        <v>0.536</v>
      </c>
      <c r="J12462" s="22" t="n">
        <f aca="false">CHOOSE($C$12451,Assumptions!$J$81,Assumptions!$J$100,Assumptions!$J$119)+$C$12453</f>
        <v>0.538</v>
      </c>
      <c r="K12462" s="22" t="n">
        <f aca="false">CHOOSE($C$12451,Assumptions!$K$81,Assumptions!$K$100,Assumptions!$K$119)+$C$12453</f>
        <v>0.54</v>
      </c>
    </row>
    <row r="12463" customFormat="false" ht="15" hidden="false" customHeight="false" outlineLevel="0" collapsed="false">
      <c r="A12463" s="24" t="s">
        <v>304</v>
      </c>
      <c r="B12463" s="25"/>
      <c r="C12463" s="25"/>
      <c r="D12463" s="25"/>
      <c r="E12463" s="25"/>
      <c r="F12463" s="25"/>
      <c r="G12463" s="25"/>
      <c r="H12463" s="25"/>
      <c r="I12463" s="25"/>
      <c r="J12463" s="25"/>
      <c r="K12463" s="25"/>
    </row>
    <row r="12464" customFormat="false" ht="15" hidden="false" customHeight="false" outlineLevel="0" collapsed="false">
      <c r="A12464" s="2" t="s">
        <v>275</v>
      </c>
      <c r="F12464" s="28" t="n">
        <f aca="false">'Historical Financials'!G25</f>
        <v>498.291</v>
      </c>
      <c r="G12464" s="17" t="n">
        <f aca="false">F12464*(1+G12460)</f>
        <v>458.42772</v>
      </c>
      <c r="H12464" s="17" t="n">
        <f aca="false">G12464*(1+H12460)</f>
        <v>444.6748884</v>
      </c>
      <c r="I12464" s="17" t="n">
        <f aca="false">H12464*(1+I12460)</f>
        <v>431.334641748</v>
      </c>
      <c r="J12464" s="17" t="n">
        <f aca="false">I12464*(1+J12460)</f>
        <v>418.39460249556</v>
      </c>
      <c r="K12464" s="17" t="n">
        <f aca="false">J12464*(1+K12460)</f>
        <v>405.842764420693</v>
      </c>
    </row>
    <row r="12465" customFormat="false" ht="15" hidden="false" customHeight="false" outlineLevel="0" collapsed="false">
      <c r="A12465" s="3" t="s">
        <v>276</v>
      </c>
      <c r="G12465" s="16" t="n">
        <f aca="false">G12464*(1-G12461)</f>
        <v>181.5737484</v>
      </c>
      <c r="H12465" s="16" t="n">
        <f aca="false">H12464*(1-H12461)</f>
        <v>174.7925112828</v>
      </c>
      <c r="I12465" s="16" t="n">
        <f aca="false">I12464*(1-I12461)</f>
        <v>168.254732019072</v>
      </c>
      <c r="J12465" s="16" t="n">
        <f aca="false">J12464*(1-J12461)</f>
        <v>162.370300853509</v>
      </c>
      <c r="K12465" s="16" t="n">
        <f aca="false">K12464*(1-K12461)</f>
        <v>156.687506299062</v>
      </c>
    </row>
    <row r="12466" customFormat="false" ht="15" hidden="false" customHeight="false" outlineLevel="0" collapsed="false">
      <c r="A12466" s="2" t="s">
        <v>277</v>
      </c>
      <c r="G12466" s="17" t="n">
        <f aca="false">G12464-G12465</f>
        <v>276.8539716</v>
      </c>
      <c r="H12466" s="17" t="n">
        <f aca="false">H12464-H12465</f>
        <v>269.8823771172</v>
      </c>
      <c r="I12466" s="17" t="n">
        <f aca="false">I12464-I12465</f>
        <v>263.079909728928</v>
      </c>
      <c r="J12466" s="17" t="n">
        <f aca="false">J12464-J12465</f>
        <v>256.024301642051</v>
      </c>
      <c r="K12466" s="17" t="n">
        <f aca="false">K12464-K12465</f>
        <v>249.155258121631</v>
      </c>
    </row>
    <row r="12467" customFormat="false" ht="15" hidden="false" customHeight="false" outlineLevel="0" collapsed="false">
      <c r="A12467" s="3" t="s">
        <v>305</v>
      </c>
      <c r="G12467" s="16" t="n">
        <f aca="false">G12466-G12468</f>
        <v>33.88728</v>
      </c>
      <c r="H12467" s="16" t="n">
        <f aca="false">H12466-H12468</f>
        <v>32.8706616</v>
      </c>
      <c r="I12467" s="16" t="n">
        <f aca="false">I12466-I12468</f>
        <v>31.884541752</v>
      </c>
      <c r="J12467" s="16" t="n">
        <f aca="false">J12466-J12468</f>
        <v>30.92800549944</v>
      </c>
      <c r="K12467" s="16" t="n">
        <f aca="false">K12466-K12468</f>
        <v>30.0001653344568</v>
      </c>
    </row>
    <row r="12468" customFormat="false" ht="15" hidden="false" customHeight="false" outlineLevel="0" collapsed="false">
      <c r="A12468" s="2" t="s">
        <v>306</v>
      </c>
      <c r="G12468" s="17" t="n">
        <f aca="false">G12464*G12462</f>
        <v>242.9666916</v>
      </c>
      <c r="H12468" s="17" t="n">
        <f aca="false">H12464*H12462</f>
        <v>237.0117155172</v>
      </c>
      <c r="I12468" s="17" t="n">
        <f aca="false">I12464*I12462</f>
        <v>231.195367976928</v>
      </c>
      <c r="J12468" s="17" t="n">
        <f aca="false">J12464*J12462</f>
        <v>225.096296142611</v>
      </c>
      <c r="K12468" s="17" t="n">
        <f aca="false">K12464*K12462</f>
        <v>219.155092787174</v>
      </c>
    </row>
    <row r="12469" customFormat="false" ht="15" hidden="false" customHeight="false" outlineLevel="0" collapsed="false">
      <c r="A12469" s="3" t="s">
        <v>307</v>
      </c>
      <c r="G12469" s="16" t="n">
        <f aca="false">G12464*'Historical Financials'!G30/'Historical Financials'!G25</f>
        <v>170.46956</v>
      </c>
      <c r="H12469" s="16" t="n">
        <f aca="false">H12464*'Historical Financials'!G30/'Historical Financials'!G25</f>
        <v>165.3554732</v>
      </c>
      <c r="I12469" s="16" t="n">
        <f aca="false">I12464*'Historical Financials'!G30/'Historical Financials'!G25</f>
        <v>160.394809004</v>
      </c>
      <c r="J12469" s="16" t="n">
        <f aca="false">J12464*'Historical Financials'!G30/'Historical Financials'!G25</f>
        <v>155.58296473388</v>
      </c>
      <c r="K12469" s="16" t="n">
        <f aca="false">K12464*'Historical Financials'!G30/'Historical Financials'!G25</f>
        <v>150.915475791864</v>
      </c>
    </row>
    <row r="12470" customFormat="false" ht="15" hidden="false" customHeight="false" outlineLevel="0" collapsed="false">
      <c r="A12470" s="3" t="s">
        <v>308</v>
      </c>
      <c r="G12470" s="16" t="n">
        <f aca="false">G12464*'Historical Financials'!G31/'Historical Financials'!G25</f>
        <v>0</v>
      </c>
      <c r="H12470" s="16" t="n">
        <f aca="false">H12464*'Historical Financials'!G31/'Historical Financials'!G25</f>
        <v>0</v>
      </c>
      <c r="I12470" s="16" t="n">
        <f aca="false">I12464*'Historical Financials'!G31/'Historical Financials'!G25</f>
        <v>0</v>
      </c>
      <c r="J12470" s="16" t="n">
        <f aca="false">J12464*'Historical Financials'!G31/'Historical Financials'!G25</f>
        <v>0</v>
      </c>
      <c r="K12470" s="16" t="n">
        <f aca="false">K12464*'Historical Financials'!G31/'Historical Financials'!G25</f>
        <v>0</v>
      </c>
    </row>
    <row r="12471" customFormat="false" ht="15" hidden="false" customHeight="false" outlineLevel="0" collapsed="false">
      <c r="A12471" s="2" t="s">
        <v>309</v>
      </c>
      <c r="G12471" s="17" t="n">
        <f aca="false">G12468-G12469-G12470</f>
        <v>72.4971316000001</v>
      </c>
      <c r="H12471" s="17" t="n">
        <f aca="false">H12468-H12469-H12470</f>
        <v>71.6562423172</v>
      </c>
      <c r="I12471" s="17" t="n">
        <f aca="false">I12468-I12469-I12470</f>
        <v>70.800558972928</v>
      </c>
      <c r="J12471" s="17" t="n">
        <f aca="false">J12468-J12469-J12470</f>
        <v>69.5133314087313</v>
      </c>
      <c r="K12471" s="17" t="n">
        <f aca="false">K12468-K12469-K12470</f>
        <v>68.2396169953108</v>
      </c>
    </row>
    <row r="12472" customFormat="false" ht="15" hidden="false" customHeight="false" outlineLevel="0" collapsed="false">
      <c r="A12472" s="3" t="s">
        <v>310</v>
      </c>
      <c r="G12472" s="16" t="n">
        <f aca="false">G12498+G12511+G12524+G12537+G12550+G12563+G12576+G12589+G12602+G12615</f>
        <v>180.2096854</v>
      </c>
      <c r="H12472" s="16" t="n">
        <f aca="false">H12498+H12511+H12524+H12537+H12550+H12563+H12576+H12589+H12602+H12615</f>
        <v>179.1317704</v>
      </c>
      <c r="I12472" s="16" t="n">
        <f aca="false">I12498+I12511+I12524+I12537+I12550+I12563+I12576+I12589+I12602+I12615</f>
        <v>192.571598156384</v>
      </c>
      <c r="J12472" s="16" t="n">
        <f aca="false">J12498+J12511+J12524+J12537+J12550+J12563+J12576+J12589+J12602+J12615</f>
        <v>198.838931112888</v>
      </c>
      <c r="K12472" s="16" t="n">
        <f aca="false">K12498+K12511+K12524+K12537+K12550+K12563+K12576+K12589+K12602+K12615</f>
        <v>207.753959416393</v>
      </c>
    </row>
    <row r="12473" customFormat="false" ht="15" hidden="false" customHeight="false" outlineLevel="0" collapsed="false">
      <c r="A12473" s="3" t="s">
        <v>311</v>
      </c>
      <c r="G12473" s="16" t="n">
        <f aca="false">G12499+G12512+G12525+G12538+G12551+G12564+G12577+G12590+G12603+G12616</f>
        <v>0</v>
      </c>
      <c r="H12473" s="16" t="n">
        <f aca="false">H12499+H12512+H12525+H12538+H12551+H12564+H12577+H12590+H12603+H12616</f>
        <v>0</v>
      </c>
      <c r="I12473" s="16" t="n">
        <f aca="false">I12499+I12512+I12525+I12538+I12551+I12564+I12577+I12590+I12603+I12616</f>
        <v>0</v>
      </c>
      <c r="J12473" s="16" t="n">
        <f aca="false">J12499+J12512+J12525+J12538+J12551+J12564+J12577+J12590+J12603+J12616</f>
        <v>0</v>
      </c>
      <c r="K12473" s="16" t="n">
        <f aca="false">K12499+K12512+K12525+K12538+K12551+K12564+K12577+K12590+K12603+K12616</f>
        <v>0</v>
      </c>
    </row>
    <row r="12474" customFormat="false" ht="15" hidden="false" customHeight="false" outlineLevel="0" collapsed="false">
      <c r="A12474" s="3" t="s">
        <v>283</v>
      </c>
      <c r="G12474" s="16" t="n">
        <f aca="false">G12472+G12473</f>
        <v>180.2096854</v>
      </c>
      <c r="H12474" s="16" t="n">
        <f aca="false">H12472+H12473</f>
        <v>179.1317704</v>
      </c>
      <c r="I12474" s="16" t="n">
        <f aca="false">I12472+I12473</f>
        <v>192.571598156384</v>
      </c>
      <c r="J12474" s="16" t="n">
        <f aca="false">J12472+J12473</f>
        <v>198.838931112888</v>
      </c>
      <c r="K12474" s="16" t="n">
        <f aca="false">K12472+K12473</f>
        <v>207.753959416393</v>
      </c>
    </row>
    <row r="12475" customFormat="false" ht="15" hidden="false" customHeight="false" outlineLevel="0" collapsed="false">
      <c r="A12475" s="2" t="s">
        <v>284</v>
      </c>
      <c r="G12475" s="17" t="n">
        <f aca="false">G12471-G12474</f>
        <v>-107.7125538</v>
      </c>
      <c r="H12475" s="17" t="n">
        <f aca="false">H12471-H12474</f>
        <v>-107.4755280828</v>
      </c>
      <c r="I12475" s="17" t="n">
        <f aca="false">I12471-I12474</f>
        <v>-121.771039183456</v>
      </c>
      <c r="J12475" s="17" t="n">
        <f aca="false">J12471-J12474</f>
        <v>-129.325599704156</v>
      </c>
      <c r="K12475" s="17" t="n">
        <f aca="false">K12471-K12474</f>
        <v>-139.514342421082</v>
      </c>
    </row>
    <row r="12476" customFormat="false" ht="15" hidden="false" customHeight="false" outlineLevel="0" collapsed="false">
      <c r="A12476" s="3" t="s">
        <v>312</v>
      </c>
      <c r="G12476" s="16" t="n">
        <f aca="false">MAX(0,G12475)*Assumptions!$C$9</f>
        <v>0</v>
      </c>
      <c r="H12476" s="16" t="n">
        <f aca="false">MAX(0,H12475)*Assumptions!$C$9</f>
        <v>0</v>
      </c>
      <c r="I12476" s="16" t="n">
        <f aca="false">MAX(0,I12475)*Assumptions!$C$9</f>
        <v>0</v>
      </c>
      <c r="J12476" s="16" t="n">
        <f aca="false">MAX(0,J12475)*Assumptions!$C$9</f>
        <v>0</v>
      </c>
      <c r="K12476" s="16" t="n">
        <f aca="false">MAX(0,K12475)*Assumptions!$C$9</f>
        <v>0</v>
      </c>
    </row>
    <row r="12477" customFormat="false" ht="15" hidden="false" customHeight="false" outlineLevel="0" collapsed="false">
      <c r="A12477" s="2" t="s">
        <v>313</v>
      </c>
      <c r="G12477" s="17" t="n">
        <f aca="false">G12475-G12476</f>
        <v>-107.7125538</v>
      </c>
      <c r="H12477" s="17" t="n">
        <f aca="false">H12475-H12476</f>
        <v>-107.4755280828</v>
      </c>
      <c r="I12477" s="17" t="n">
        <f aca="false">I12475-I12476</f>
        <v>-121.771039183456</v>
      </c>
      <c r="J12477" s="17" t="n">
        <f aca="false">J12475-J12476</f>
        <v>-129.325599704156</v>
      </c>
      <c r="K12477" s="17" t="n">
        <f aca="false">K12475-K12476</f>
        <v>-139.514342421082</v>
      </c>
    </row>
    <row r="12478" customFormat="false" ht="15" hidden="false" customHeight="false" outlineLevel="0" collapsed="false">
      <c r="A12478" s="24" t="s">
        <v>314</v>
      </c>
      <c r="B12478" s="25"/>
      <c r="C12478" s="25"/>
      <c r="D12478" s="25"/>
      <c r="E12478" s="25"/>
      <c r="F12478" s="25"/>
      <c r="G12478" s="25"/>
      <c r="H12478" s="25"/>
      <c r="I12478" s="25"/>
      <c r="J12478" s="25"/>
      <c r="K12478" s="25"/>
    </row>
    <row r="12479" customFormat="false" ht="15" hidden="false" customHeight="false" outlineLevel="0" collapsed="false">
      <c r="A12479" s="3" t="s">
        <v>184</v>
      </c>
      <c r="G12479" s="16" t="n">
        <f aca="false">G12464*CHOOSE($C$12451,Assumptions!$C$83,Assumptions!$C$102,Assumptions!$C$121)</f>
        <v>100.8540984</v>
      </c>
      <c r="H12479" s="16" t="n">
        <f aca="false">H12464*CHOOSE($C$12451,Assumptions!$C$83,Assumptions!$C$102,Assumptions!$C$121)</f>
        <v>97.828475448</v>
      </c>
      <c r="I12479" s="16" t="n">
        <f aca="false">I12464*CHOOSE($C$12451,Assumptions!$C$83,Assumptions!$C$102,Assumptions!$C$121)</f>
        <v>94.89362118456</v>
      </c>
      <c r="J12479" s="16" t="n">
        <f aca="false">J12464*CHOOSE($C$12451,Assumptions!$C$83,Assumptions!$C$102,Assumptions!$C$121)</f>
        <v>92.0468125490232</v>
      </c>
      <c r="K12479" s="16" t="n">
        <f aca="false">K12464*CHOOSE($C$12451,Assumptions!$C$83,Assumptions!$C$102,Assumptions!$C$121)</f>
        <v>89.2854081725525</v>
      </c>
    </row>
    <row r="12480" customFormat="false" ht="15" hidden="false" customHeight="false" outlineLevel="0" collapsed="false">
      <c r="A12480" s="3" t="s">
        <v>315</v>
      </c>
      <c r="G12480" s="16" t="n">
        <f aca="false">CHOOSE($C$12451,Assumptions!$C$84,Assumptions!$C$103,Assumptions!$C$122)*(G12464-F12464)+CHOOSE($C$12451,Assumptions!$C$85,Assumptions!$C$104,Assumptions!$C$123)*G12464</f>
        <v>50.4270492</v>
      </c>
      <c r="H12480" s="16" t="n">
        <f aca="false">CHOOSE($C$12451,Assumptions!$C$84,Assumptions!$C$103,Assumptions!$C$122)*(H12464-G12464)+CHOOSE($C$12451,Assumptions!$C$85,Assumptions!$C$104,Assumptions!$C$123)*H12464</f>
        <v>48.914237724</v>
      </c>
      <c r="I12480" s="16" t="n">
        <f aca="false">CHOOSE($C$12451,Assumptions!$C$84,Assumptions!$C$103,Assumptions!$C$122)*(I12464-H12464)+CHOOSE($C$12451,Assumptions!$C$85,Assumptions!$C$104,Assumptions!$C$123)*I12464</f>
        <v>47.44681059228</v>
      </c>
      <c r="J12480" s="16" t="n">
        <f aca="false">CHOOSE($C$12451,Assumptions!$C$84,Assumptions!$C$103,Assumptions!$C$122)*(J12464-I12464)+CHOOSE($C$12451,Assumptions!$C$85,Assumptions!$C$104,Assumptions!$C$123)*J12464</f>
        <v>46.0234062745116</v>
      </c>
      <c r="K12480" s="16" t="n">
        <f aca="false">CHOOSE($C$12451,Assumptions!$C$84,Assumptions!$C$103,Assumptions!$C$122)*(K12464-J12464)+CHOOSE($C$12451,Assumptions!$C$85,Assumptions!$C$104,Assumptions!$C$123)*K12464</f>
        <v>44.6427040862763</v>
      </c>
    </row>
    <row r="12481" customFormat="false" ht="15" hidden="false" customHeight="false" outlineLevel="0" collapsed="false">
      <c r="A12481" s="2" t="s">
        <v>316</v>
      </c>
      <c r="G12481" s="17" t="n">
        <f aca="false">G12477+G12469+G12470+G12473-G12479-G12480</f>
        <v>-88.5241414</v>
      </c>
      <c r="H12481" s="17" t="n">
        <f aca="false">H12477+H12469+H12470+H12473-H12479-H12480</f>
        <v>-88.8627680548</v>
      </c>
      <c r="I12481" s="17" t="n">
        <f aca="false">I12477+I12469+I12470+I12473-I12479-I12480</f>
        <v>-103.716661956296</v>
      </c>
      <c r="J12481" s="17" t="n">
        <f aca="false">J12477+J12469+J12470+J12473-J12479-J12480</f>
        <v>-111.812853793811</v>
      </c>
      <c r="K12481" s="17" t="n">
        <f aca="false">K12477+K12469+K12470+K12473-K12479-K12480</f>
        <v>-122.526978888047</v>
      </c>
    </row>
    <row r="12483" customFormat="false" ht="15" hidden="false" customHeight="false" outlineLevel="0" collapsed="false">
      <c r="A12483" s="24" t="s">
        <v>318</v>
      </c>
      <c r="B12483" s="25"/>
      <c r="C12483" s="25"/>
      <c r="D12483" s="25"/>
      <c r="E12483" s="25"/>
      <c r="F12483" s="25"/>
      <c r="G12483" s="25"/>
      <c r="H12483" s="25"/>
      <c r="I12483" s="25"/>
      <c r="J12483" s="25"/>
      <c r="K12483" s="25"/>
    </row>
    <row r="12484" customFormat="false" ht="15" hidden="false" customHeight="false" outlineLevel="0" collapsed="false">
      <c r="A12484" s="3" t="s">
        <v>319</v>
      </c>
      <c r="G12484" s="30" t="n">
        <f aca="false">Assumptions!$G$53</f>
        <v>0.039</v>
      </c>
      <c r="H12484" s="30" t="n">
        <f aca="false">Assumptions!$H$53</f>
        <v>0.0375</v>
      </c>
      <c r="I12484" s="30" t="n">
        <f aca="false">Assumptions!$I$53</f>
        <v>0.035</v>
      </c>
      <c r="J12484" s="30" t="n">
        <f aca="false">Assumptions!$J$53</f>
        <v>0.035</v>
      </c>
      <c r="K12484" s="30" t="n">
        <f aca="false">Assumptions!$K$53</f>
        <v>0.035</v>
      </c>
    </row>
    <row r="12485" customFormat="false" ht="15" hidden="false" customHeight="false" outlineLevel="0" collapsed="false">
      <c r="A12485" s="3" t="s">
        <v>320</v>
      </c>
      <c r="C12485" s="31" t="n">
        <f aca="false">CHOOSE($C$12451,Assumptions!$C$86,Assumptions!$C$105,Assumptions!$C$124)+$C$12454</f>
        <v>0</v>
      </c>
    </row>
    <row r="12486" customFormat="false" ht="15" hidden="false" customHeight="false" outlineLevel="0" collapsed="false">
      <c r="A12486" s="3" t="s">
        <v>321</v>
      </c>
      <c r="C12486" s="31" t="n">
        <f aca="false">CHOOSE($C$12451,Assumptions!$C$87,Assumptions!$C$106,Assumptions!$C$125)</f>
        <v>0.08</v>
      </c>
    </row>
    <row r="12487" customFormat="false" ht="15" hidden="false" customHeight="false" outlineLevel="0" collapsed="false">
      <c r="A12487" s="3" t="s">
        <v>322</v>
      </c>
      <c r="C12487" s="32" t="n">
        <f aca="false">CHOOSE($C$12451,Assumptions!$C$88,Assumptions!$C$107,Assumptions!$C$126)</f>
        <v>11</v>
      </c>
    </row>
    <row r="12488" customFormat="false" ht="15" hidden="false" customHeight="false" outlineLevel="0" collapsed="false">
      <c r="A12488" s="3" t="s">
        <v>323</v>
      </c>
      <c r="C12488" s="32" t="n">
        <f aca="false">CHOOSE($C$12451,Assumptions!$C$89,Assumptions!$C$108,Assumptions!$C$127)</f>
        <v>1.2</v>
      </c>
    </row>
    <row r="12489" customFormat="false" ht="15" hidden="false" customHeight="false" outlineLevel="0" collapsed="false">
      <c r="A12489" s="3" t="s">
        <v>324</v>
      </c>
      <c r="G12489" s="16" t="n">
        <f aca="false">G12494+G12507+G12520+G12533+G12546+G12559+G12572+G12585+G12598+G12611</f>
        <v>2625.934</v>
      </c>
      <c r="H12489" s="16" t="n">
        <f aca="false">H12494+H12507+H12520+H12533+H12546+H12559+H12572+H12585+H12598+H12611</f>
        <v>2621.934</v>
      </c>
      <c r="I12489" s="16" t="n">
        <f aca="false">I12494+I12507+I12520+I12533+I12546+I12559+I12572+I12585+I12598+I12611</f>
        <v>2590.4509094548</v>
      </c>
      <c r="J12489" s="16" t="n">
        <f aca="false">J12494+J12507+J12520+J12533+J12546+J12559+J12572+J12585+J12598+J12611</f>
        <v>2669.1675714111</v>
      </c>
      <c r="K12489" s="16" t="n">
        <f aca="false">K12494+K12507+K12520+K12533+K12546+K12559+K12572+K12585+K12598+K12611</f>
        <v>2780.98042520491</v>
      </c>
    </row>
    <row r="12490" customFormat="false" ht="15" hidden="false" customHeight="false" outlineLevel="0" collapsed="false">
      <c r="A12490" s="3" t="s">
        <v>325</v>
      </c>
      <c r="G12490" s="16" t="n">
        <f aca="false">F12682</f>
        <v>37.87</v>
      </c>
      <c r="H12490" s="16" t="n">
        <f aca="false">G12682</f>
        <v>145.3458586</v>
      </c>
      <c r="I12490" s="16" t="n">
        <f aca="false">H12682</f>
        <v>25</v>
      </c>
      <c r="J12490" s="16" t="n">
        <f aca="false">I12682</f>
        <v>0</v>
      </c>
      <c r="K12490" s="16" t="n">
        <f aca="false">J12682</f>
        <v>0</v>
      </c>
    </row>
    <row r="12491" customFormat="false" ht="15" hidden="false" customHeight="false" outlineLevel="0" collapsed="false">
      <c r="A12491" s="3" t="s">
        <v>326</v>
      </c>
      <c r="G12491" s="16" t="n">
        <f aca="false">G12494*IF(G12495=1,$C$12486,IF(Assumptions!$I$57=1,MAX(G12484,Assumptions!$G$57)+Assumptions!$F$57+$C$12485,Assumptions!$E$57))+G12507*IF(G12508=1,$C$12486,IF(Assumptions!$I$58=1,MAX(G12484,Assumptions!$G$58)+Assumptions!$F$58+$C$12485,Assumptions!$E$58))+G12520*IF(G12521=1,$C$12486,IF(Assumptions!$I$59=1,MAX(G12484,Assumptions!$G$59)+Assumptions!$F$59+$C$12485,Assumptions!$E$59))+G12533*IF(G12534=1,$C$12486,IF(Assumptions!$I$60=1,MAX(G12484,Assumptions!$G$60)+Assumptions!$F$60+$C$12485,Assumptions!$E$60))+G12546*IF(G12547=1,$C$12486,IF(Assumptions!$I$61=1,MAX(G12484,Assumptions!$G$61)+Assumptions!$F$61+$C$12485,Assumptions!$E$61))+G12559*IF(G12560=1,$C$12486,IF(Assumptions!$I$62=1,MAX(G12484,Assumptions!$G$62)+Assumptions!$F$62+$C$12485,Assumptions!$E$62))+G12572*IF(G12573=1,$C$12486,IF(Assumptions!$I$63=1,MAX(G12484,Assumptions!$G$63)+Assumptions!$F$63+$C$12485,Assumptions!$E$63))+G12585*IF(G12586=1,$C$12486,IF(Assumptions!$I$64=1,MAX(G12484,Assumptions!$G$64)+Assumptions!$F$64+$C$12485,Assumptions!$E$64))+G12598*IF(G12599=1,$C$12486,IF(Assumptions!$I$65=1,MAX(G12484,Assumptions!$G$65)+Assumptions!$F$65+$C$12485,Assumptions!$E$65))+G12611*IF(G12612=1,$C$12486,IF(Assumptions!$I$66=1,MAX(G12484,Assumptions!$G$66)+Assumptions!$F$66+$C$12485,Assumptions!$E$66))</f>
        <v>180.2096854</v>
      </c>
      <c r="H12491" s="16" t="n">
        <f aca="false">H12494*IF(OR(H12495=1,G12804=1),$C$12486,IF(Assumptions!$I$57=1,MAX(H12484,Assumptions!$G$57)+Assumptions!$F$57+$C$12485,Assumptions!$E$57))+H12507*IF(OR(H12508=1,G12805=1),$C$12486,IF(Assumptions!$I$58=1,MAX(H12484,Assumptions!$G$58)+Assumptions!$F$58+$C$12485,Assumptions!$E$58))+H12520*IF(OR(H12521=1,G12806=1),$C$12486,IF(Assumptions!$I$59=1,MAX(H12484,Assumptions!$G$59)+Assumptions!$F$59+$C$12485,Assumptions!$E$59))+H12533*IF(OR(H12534=1,G12807=1),$C$12486,IF(Assumptions!$I$60=1,MAX(H12484,Assumptions!$G$60)+Assumptions!$F$60+$C$12485,Assumptions!$E$60))+H12546*IF(OR(H12547=1,G12808=1),$C$12486,IF(Assumptions!$I$61=1,MAX(H12484,Assumptions!$G$61)+Assumptions!$F$61+$C$12485,Assumptions!$E$61))+H12559*IF(OR(H12560=1,G12809=1),$C$12486,IF(Assumptions!$I$62=1,MAX(H12484,Assumptions!$G$62)+Assumptions!$F$62+$C$12485,Assumptions!$E$62))+H12572*IF(OR(H12573=1,G12810=1),$C$12486,IF(Assumptions!$I$63=1,MAX(H12484,Assumptions!$G$63)+Assumptions!$F$63+$C$12485,Assumptions!$E$63))+H12585*IF(OR(H12586=1,G12811=1),$C$12486,IF(Assumptions!$I$64=1,MAX(H12484,Assumptions!$G$64)+Assumptions!$F$64+$C$12485,Assumptions!$E$64))+H12598*IF(OR(H12599=1,G12812=1),$C$12486,IF(Assumptions!$I$65=1,MAX(H12484,Assumptions!$G$65)+Assumptions!$F$65+$C$12485,Assumptions!$E$65))+H12611*IF(OR(H12612=1,G12813=1),$C$12486,IF(Assumptions!$I$66=1,MAX(H12484,Assumptions!$G$66)+Assumptions!$F$66+$C$12485,Assumptions!$E$66))</f>
        <v>196.3067704</v>
      </c>
      <c r="I12491" s="16" t="n">
        <f aca="false">I12494*IF(OR(I12495=1,H12804=1),$C$12486,IF(Assumptions!$I$57=1,MAX(I12484,Assumptions!$G$57)+Assumptions!$F$57+$C$12485,Assumptions!$E$57))+I12507*IF(OR(I12508=1,H12805=1),$C$12486,IF(Assumptions!$I$58=1,MAX(I12484,Assumptions!$G$58)+Assumptions!$F$58+$C$12485,Assumptions!$E$58))+I12520*IF(OR(I12521=1,H12806=1),$C$12486,IF(Assumptions!$I$59=1,MAX(I12484,Assumptions!$G$59)+Assumptions!$F$59+$C$12485,Assumptions!$E$59))+I12533*IF(OR(I12534=1,H12807=1),$C$12486,IF(Assumptions!$I$60=1,MAX(I12484,Assumptions!$G$60)+Assumptions!$F$60+$C$12485,Assumptions!$E$60))+I12546*IF(OR(I12547=1,H12808=1),$C$12486,IF(Assumptions!$I$61=1,MAX(I12484,Assumptions!$G$61)+Assumptions!$F$61+$C$12485,Assumptions!$E$61))+I12559*IF(OR(I12560=1,H12809=1),$C$12486,IF(Assumptions!$I$62=1,MAX(I12484,Assumptions!$G$62)+Assumptions!$F$62+$C$12485,Assumptions!$E$62))+I12572*IF(OR(I12573=1,H12810=1),$C$12486,IF(Assumptions!$I$63=1,MAX(I12484,Assumptions!$G$63)+Assumptions!$F$63+$C$12485,Assumptions!$E$63))+I12585*IF(OR(I12586=1,H12811=1),$C$12486,IF(Assumptions!$I$64=1,MAX(I12484,Assumptions!$G$64)+Assumptions!$F$64+$C$12485,Assumptions!$E$64))+I12598*IF(OR(I12599=1,H12812=1),$C$12486,IF(Assumptions!$I$65=1,MAX(I12484,Assumptions!$G$65)+Assumptions!$F$65+$C$12485,Assumptions!$E$65))+I12611*IF(OR(I12612=1,H12813=1),$C$12486,IF(Assumptions!$I$66=1,MAX(I12484,Assumptions!$G$66)+Assumptions!$F$66+$C$12485,Assumptions!$E$66))</f>
        <v>187.759098156384</v>
      </c>
      <c r="J12491" s="16" t="n">
        <f aca="false">J12494*IF(OR(J12495=1,I12804=1),$C$12486,IF(Assumptions!$I$57=1,MAX(J12484,Assumptions!$G$57)+Assumptions!$F$57+$C$12485,Assumptions!$E$57))+J12507*IF(OR(J12508=1,I12805=1),$C$12486,IF(Assumptions!$I$58=1,MAX(J12484,Assumptions!$G$58)+Assumptions!$F$58+$C$12485,Assumptions!$E$58))+J12520*IF(OR(J12521=1,I12806=1),$C$12486,IF(Assumptions!$I$59=1,MAX(J12484,Assumptions!$G$59)+Assumptions!$F$59+$C$12485,Assumptions!$E$59))+J12533*IF(OR(J12534=1,I12807=1),$C$12486,IF(Assumptions!$I$60=1,MAX(J12484,Assumptions!$G$60)+Assumptions!$F$60+$C$12485,Assumptions!$E$60))+J12546*IF(OR(J12547=1,I12808=1),$C$12486,IF(Assumptions!$I$61=1,MAX(J12484,Assumptions!$G$61)+Assumptions!$F$61+$C$12485,Assumptions!$E$61))+J12559*IF(OR(J12560=1,I12809=1),$C$12486,IF(Assumptions!$I$62=1,MAX(J12484,Assumptions!$G$62)+Assumptions!$F$62+$C$12485,Assumptions!$E$62))+J12572*IF(OR(J12573=1,I12810=1),$C$12486,IF(Assumptions!$I$63=1,MAX(J12484,Assumptions!$G$63)+Assumptions!$F$63+$C$12485,Assumptions!$E$63))+J12585*IF(OR(J12586=1,I12811=1),$C$12486,IF(Assumptions!$I$64=1,MAX(J12484,Assumptions!$G$64)+Assumptions!$F$64+$C$12485,Assumptions!$E$64))+J12598*IF(OR(J12599=1,I12812=1),$C$12486,IF(Assumptions!$I$65=1,MAX(J12484,Assumptions!$G$65)+Assumptions!$F$65+$C$12485,Assumptions!$E$65))+J12611*IF(OR(J12612=1,I12813=1),$C$12486,IF(Assumptions!$I$66=1,MAX(J12484,Assumptions!$G$66)+Assumptions!$F$66+$C$12485,Assumptions!$E$66))</f>
        <v>210.913931112888</v>
      </c>
      <c r="K12491" s="16" t="n">
        <f aca="false">K12494*IF(OR(K12495=1,J12804=1),$C$12486,IF(Assumptions!$I$57=1,MAX(K12484,Assumptions!$G$57)+Assumptions!$F$57+$C$12485,Assumptions!$E$57))+K12507*IF(OR(K12508=1,J12805=1),$C$12486,IF(Assumptions!$I$58=1,MAX(K12484,Assumptions!$G$58)+Assumptions!$F$58+$C$12485,Assumptions!$E$58))+K12520*IF(OR(K12521=1,J12806=1),$C$12486,IF(Assumptions!$I$59=1,MAX(K12484,Assumptions!$G$59)+Assumptions!$F$59+$C$12485,Assumptions!$E$59))+K12533*IF(OR(K12534=1,J12807=1),$C$12486,IF(Assumptions!$I$60=1,MAX(K12484,Assumptions!$G$60)+Assumptions!$F$60+$C$12485,Assumptions!$E$60))+K12546*IF(OR(K12547=1,J12808=1),$C$12486,IF(Assumptions!$I$61=1,MAX(K12484,Assumptions!$G$61)+Assumptions!$F$61+$C$12485,Assumptions!$E$61))+K12559*IF(OR(K12560=1,J12809=1),$C$12486,IF(Assumptions!$I$62=1,MAX(K12484,Assumptions!$G$62)+Assumptions!$F$62+$C$12485,Assumptions!$E$62))+K12572*IF(OR(K12573=1,J12810=1),$C$12486,IF(Assumptions!$I$63=1,MAX(K12484,Assumptions!$G$63)+Assumptions!$F$63+$C$12485,Assumptions!$E$63))+K12585*IF(OR(K12586=1,J12811=1),$C$12486,IF(Assumptions!$I$64=1,MAX(K12484,Assumptions!$G$64)+Assumptions!$F$64+$C$12485,Assumptions!$E$64))+K12598*IF(OR(K12599=1,J12812=1),$C$12486,IF(Assumptions!$I$65=1,MAX(K12484,Assumptions!$G$65)+Assumptions!$F$65+$C$12485,Assumptions!$E$65))+K12611*IF(OR(K12612=1,J12813=1),$C$12486,IF(Assumptions!$I$66=1,MAX(K12484,Assumptions!$G$66)+Assumptions!$F$66+$C$12485,Assumptions!$E$66))</f>
        <v>210.498959416393</v>
      </c>
    </row>
    <row r="12492" customFormat="false" ht="15" hidden="false" customHeight="false" outlineLevel="0" collapsed="false">
      <c r="A12492" s="3" t="s">
        <v>327</v>
      </c>
      <c r="G12492" s="21" t="n">
        <f aca="false">IF(G12468&lt;=0,0,IF(AND((G12489-G12490)/G12468&lt;=$C$12487,G12468/G12491&gt;=$C$12488),1,0))</f>
        <v>1</v>
      </c>
      <c r="H12492" s="21" t="n">
        <f aca="false">IF(H12468&lt;=0,0,IF(AND((H12489-H12490)/H12468&lt;=$C$12487,H12468/H12491&gt;=$C$12488),1,0))</f>
        <v>1</v>
      </c>
      <c r="I12492" s="21" t="n">
        <f aca="false">IF(I12468&lt;=0,0,IF(AND((I12489-I12490)/I12468&lt;=$C$12487,I12468/I12491&gt;=$C$12488),1,0))</f>
        <v>0</v>
      </c>
      <c r="J12492" s="21" t="n">
        <f aca="false">IF(J12468&lt;=0,0,IF(AND((J12489-J12490)/J12468&lt;=$C$12487,J12468/J12491&gt;=$C$12488),1,0))</f>
        <v>0</v>
      </c>
      <c r="K12492" s="21" t="n">
        <f aca="false">IF(K12468&lt;=0,0,IF(AND((K12489-K12490)/K12468&lt;=$C$12487,K12468/K12491&gt;=$C$12488),1,0))</f>
        <v>0</v>
      </c>
    </row>
    <row r="12493" customFormat="false" ht="15" hidden="false" customHeight="false" outlineLevel="0" collapsed="false">
      <c r="A12493" s="24" t="s">
        <v>328</v>
      </c>
      <c r="B12493" s="25"/>
      <c r="C12493" s="25"/>
      <c r="D12493" s="25"/>
      <c r="E12493" s="25"/>
      <c r="F12493" s="25"/>
      <c r="G12493" s="25"/>
      <c r="H12493" s="25"/>
      <c r="I12493" s="25"/>
      <c r="J12493" s="25"/>
      <c r="K12493" s="25"/>
    </row>
    <row r="12494" customFormat="false" ht="15" hidden="false" customHeight="false" outlineLevel="0" collapsed="false">
      <c r="A12494" s="3" t="s">
        <v>329</v>
      </c>
      <c r="G12494" s="16" t="n">
        <f aca="false">F12505</f>
        <v>400</v>
      </c>
      <c r="H12494" s="16" t="n">
        <f aca="false">G12505</f>
        <v>396</v>
      </c>
      <c r="I12494" s="16" t="n">
        <f aca="false">H12505</f>
        <v>392</v>
      </c>
      <c r="J12494" s="16" t="n">
        <f aca="false">I12505</f>
        <v>388</v>
      </c>
      <c r="K12494" s="16" t="n">
        <f aca="false">J12505</f>
        <v>384</v>
      </c>
    </row>
    <row r="12495" customFormat="false" ht="15" hidden="false" customHeight="false" outlineLevel="0" collapsed="false">
      <c r="A12495" s="3" t="s">
        <v>330</v>
      </c>
      <c r="G12495" s="21" t="n">
        <f aca="false">IF(G12458=Assumptions!$K$57,1,0)</f>
        <v>0</v>
      </c>
      <c r="H12495" s="21" t="n">
        <f aca="false">IF(H12458=Assumptions!$K$57,1,0)</f>
        <v>0</v>
      </c>
      <c r="I12495" s="21" t="n">
        <f aca="false">IF(I12458=Assumptions!$K$57,1,0)</f>
        <v>0</v>
      </c>
      <c r="J12495" s="21" t="n">
        <f aca="false">IF(J12458=Assumptions!$K$57,1,0)</f>
        <v>0</v>
      </c>
      <c r="K12495" s="21" t="n">
        <f aca="false">IF(K12458=Assumptions!$K$57,1,0)</f>
        <v>1</v>
      </c>
    </row>
    <row r="12497" customFormat="false" ht="15" hidden="false" customHeight="false" outlineLevel="0" collapsed="false">
      <c r="A12497" s="3" t="s">
        <v>331</v>
      </c>
      <c r="G12497" s="31" t="n">
        <f aca="false">IF(Assumptions!$I$57=1,MAX(G12484,Assumptions!$G$57)+Assumptions!$F$57+$C$12485,Assumptions!$E$57)</f>
        <v>0.0915</v>
      </c>
      <c r="H12497" s="31" t="n">
        <f aca="false">IF(G12804=1,$C$12486,IF(Assumptions!$I$57=1,MAX(H12484,Assumptions!$G$57)+Assumptions!$F$57+$C$12485,Assumptions!$E$57))</f>
        <v>0.09</v>
      </c>
      <c r="I12497" s="31" t="n">
        <f aca="false">IF(H12804=1,$C$12486,IF(Assumptions!$I$57=1,MAX(I12484,Assumptions!$G$57)+Assumptions!$F$57+$C$12485,Assumptions!$E$57))</f>
        <v>0.0875</v>
      </c>
      <c r="J12497" s="31" t="n">
        <f aca="false">IF(I12804=1,$C$12486,IF(Assumptions!$I$57=1,MAX(J12484,Assumptions!$G$57)+Assumptions!$F$57+$C$12485,Assumptions!$E$57))</f>
        <v>0.0875</v>
      </c>
      <c r="K12497" s="31" t="n">
        <f aca="false">IF(J12804=1,$C$12486,IF(Assumptions!$I$57=1,MAX(K12484,Assumptions!$G$57)+Assumptions!$F$57+$C$12485,Assumptions!$E$57))</f>
        <v>0.0875</v>
      </c>
    </row>
    <row r="12498" customFormat="false" ht="15" hidden="false" customHeight="false" outlineLevel="0" collapsed="false">
      <c r="A12498" s="3" t="s">
        <v>332</v>
      </c>
      <c r="G12498" s="16" t="n">
        <f aca="false">G12494*G12497</f>
        <v>36.6</v>
      </c>
      <c r="H12498" s="16" t="n">
        <f aca="false">H12494*H12497</f>
        <v>35.64</v>
      </c>
      <c r="I12498" s="16" t="n">
        <f aca="false">I12494*I12497</f>
        <v>34.3</v>
      </c>
      <c r="J12498" s="16" t="n">
        <f aca="false">J12494*J12497</f>
        <v>33.95</v>
      </c>
      <c r="K12498" s="16" t="n">
        <f aca="false">K12494*K12497</f>
        <v>33.6</v>
      </c>
    </row>
    <row r="12499" customFormat="false" ht="15" hidden="false" customHeight="false" outlineLevel="0" collapsed="false">
      <c r="A12499" s="3" t="s">
        <v>333</v>
      </c>
      <c r="G12499" s="16" t="n">
        <f aca="false">G12494*Assumptions!$H$57</f>
        <v>0</v>
      </c>
      <c r="H12499" s="16" t="n">
        <f aca="false">H12494*Assumptions!$H$57</f>
        <v>0</v>
      </c>
      <c r="I12499" s="16" t="n">
        <f aca="false">I12494*Assumptions!$H$57</f>
        <v>0</v>
      </c>
      <c r="J12499" s="16" t="n">
        <f aca="false">J12494*Assumptions!$H$57</f>
        <v>0</v>
      </c>
      <c r="K12499" s="16" t="n">
        <f aca="false">K12494*Assumptions!$H$57</f>
        <v>0</v>
      </c>
    </row>
    <row r="12500" customFormat="false" ht="15" hidden="false" customHeight="false" outlineLevel="0" collapsed="false">
      <c r="A12500" s="3" t="s">
        <v>334</v>
      </c>
      <c r="G12500" s="16" t="n">
        <f aca="false">MIN(G12494,Assumptions!$L$57*Assumptions!$C$57)</f>
        <v>4</v>
      </c>
      <c r="H12500" s="16" t="n">
        <f aca="false">MIN(H12494,Assumptions!$L$57*Assumptions!$C$57)</f>
        <v>4</v>
      </c>
      <c r="I12500" s="16" t="n">
        <f aca="false">MIN(I12494,Assumptions!$L$57*Assumptions!$C$57)</f>
        <v>4</v>
      </c>
      <c r="J12500" s="16" t="n">
        <f aca="false">MIN(J12494,Assumptions!$L$57*Assumptions!$C$57)</f>
        <v>4</v>
      </c>
      <c r="K12500" s="16" t="n">
        <f aca="false">MIN(K12494,Assumptions!$L$57*Assumptions!$C$57)</f>
        <v>4</v>
      </c>
    </row>
    <row r="12501" customFormat="false" ht="15" hidden="false" customHeight="false" outlineLevel="0" collapsed="false">
      <c r="A12501" s="3" t="s">
        <v>335</v>
      </c>
      <c r="G12501" s="16" t="n">
        <f aca="false">IF(AND(Assumptions!$P$57=1,G12458&lt;Assumptions!$K$57),MIN(MAX(0,-G12674),MAX(0,Assumptions!$D$57-G12494)),0)</f>
        <v>0</v>
      </c>
      <c r="H12501" s="16" t="n">
        <f aca="false">IF(AND(Assumptions!$P$57=1,OR(H12458&lt;Assumptions!$K$57,G12804=1)),MIN(MAX(0,-H12674),MAX(0,Assumptions!$D$57-H12494)),0)</f>
        <v>0</v>
      </c>
      <c r="I12501" s="16" t="n">
        <f aca="false">IF(AND(Assumptions!$P$57=1,OR(I12458&lt;Assumptions!$K$57,H12804=1)),MIN(MAX(0,-I12674),MAX(0,Assumptions!$D$57-I12494)),0)</f>
        <v>0</v>
      </c>
      <c r="J12501" s="16" t="n">
        <f aca="false">IF(AND(Assumptions!$P$57=1,OR(J12458&lt;Assumptions!$K$57,I12804=1)),MIN(MAX(0,-J12674),MAX(0,Assumptions!$D$57-J12494)),0)</f>
        <v>0</v>
      </c>
      <c r="K12501" s="16" t="n">
        <f aca="false">IF(AND(Assumptions!$P$57=1,OR(K12458&lt;Assumptions!$K$57,J12804=1)),MIN(MAX(0,-K12674),MAX(0,Assumptions!$D$57-K12494)),0)</f>
        <v>0</v>
      </c>
    </row>
    <row r="12502" customFormat="false" ht="15" hidden="false" customHeight="false" outlineLevel="0" collapsed="false">
      <c r="A12502" s="3" t="s">
        <v>336</v>
      </c>
      <c r="G12502" s="16" t="n">
        <f aca="false">G12495*MIN(G12494-G12500+G12499,MAX(0,G12676-Assumptions!$C$12*G12492))</f>
        <v>0</v>
      </c>
      <c r="H12502" s="16" t="n">
        <f aca="false">H12495*MIN(H12494-H12500+H12499,MAX(0,H12676-Assumptions!$C$12*H12492))</f>
        <v>0</v>
      </c>
      <c r="I12502" s="16" t="n">
        <f aca="false">I12495*MIN(I12494-I12500+I12499,MAX(0,I12676-Assumptions!$C$12*I12492))</f>
        <v>0</v>
      </c>
      <c r="J12502" s="16" t="n">
        <f aca="false">J12495*MIN(J12494-J12500+J12499,MAX(0,J12676-Assumptions!$C$12*J12492))</f>
        <v>0</v>
      </c>
      <c r="K12502" s="16" t="n">
        <f aca="false">K12495*MIN(K12494-K12500+K12499,MAX(0,K12676-Assumptions!$C$12*K12492))</f>
        <v>0</v>
      </c>
    </row>
    <row r="12503" customFormat="false" ht="15" hidden="false" customHeight="false" outlineLevel="0" collapsed="false">
      <c r="A12503" s="3" t="s">
        <v>337</v>
      </c>
      <c r="G12503" s="16" t="n">
        <f aca="false">Assumptions!$N$57*MIN(G12494+G12501+G12499-G12500-G12502,MAX(0,G12680))</f>
        <v>0</v>
      </c>
      <c r="H12503" s="16" t="n">
        <f aca="false">Assumptions!$N$57*MIN(H12494+H12501+H12499-H12500-H12502,MAX(0,H12680))</f>
        <v>0</v>
      </c>
      <c r="I12503" s="16" t="n">
        <f aca="false">Assumptions!$N$57*MIN(I12494+I12501+I12499-I12500-I12502,MAX(0,I12680))</f>
        <v>0</v>
      </c>
      <c r="J12503" s="16" t="n">
        <f aca="false">Assumptions!$N$57*MIN(J12494+J12501+J12499-J12500-J12502,MAX(0,J12680))</f>
        <v>0</v>
      </c>
      <c r="K12503" s="16" t="n">
        <f aca="false">Assumptions!$N$57*MIN(K12494+K12501+K12499-K12500-K12502,MAX(0,K12680))</f>
        <v>0</v>
      </c>
    </row>
    <row r="12504" customFormat="false" ht="15" hidden="false" customHeight="false" outlineLevel="0" collapsed="false">
      <c r="A12504" s="3" t="s">
        <v>338</v>
      </c>
      <c r="G12504" s="16" t="n">
        <f aca="false">G12495*(1-G12492)*(G12494-G12500+G12499-G12502)</f>
        <v>0</v>
      </c>
      <c r="H12504" s="16" t="n">
        <f aca="false">H12495*(1-H12492)*(H12494-H12500+H12499-H12502)</f>
        <v>0</v>
      </c>
      <c r="I12504" s="16" t="n">
        <f aca="false">I12495*(1-I12492)*(I12494-I12500+I12499-I12502)</f>
        <v>0</v>
      </c>
      <c r="J12504" s="16" t="n">
        <f aca="false">J12495*(1-J12492)*(J12494-J12500+J12499-J12502)</f>
        <v>0</v>
      </c>
      <c r="K12504" s="16" t="n">
        <f aca="false">K12495*(1-K12492)*(K12494-K12500+K12499-K12502)</f>
        <v>380</v>
      </c>
    </row>
    <row r="12505" customFormat="false" ht="15" hidden="false" customHeight="false" outlineLevel="0" collapsed="false">
      <c r="A12505" s="2" t="s">
        <v>339</v>
      </c>
      <c r="F12505" s="28" t="n">
        <f aca="false">Assumptions!$C$57</f>
        <v>400</v>
      </c>
      <c r="G12505" s="17" t="n">
        <f aca="false">G12494+G12501+G12499-G12500-G12502-G12503</f>
        <v>396</v>
      </c>
      <c r="H12505" s="17" t="n">
        <f aca="false">H12494+H12501+H12499-H12500-H12502-H12503</f>
        <v>392</v>
      </c>
      <c r="I12505" s="17" t="n">
        <f aca="false">I12494+I12501+I12499-I12500-I12502-I12503</f>
        <v>388</v>
      </c>
      <c r="J12505" s="17" t="n">
        <f aca="false">J12494+J12501+J12499-J12500-J12502-J12503</f>
        <v>384</v>
      </c>
      <c r="K12505" s="17" t="n">
        <f aca="false">K12494+K12501+K12499-K12500-K12502-K12503</f>
        <v>380</v>
      </c>
    </row>
    <row r="12506" customFormat="false" ht="15" hidden="false" customHeight="false" outlineLevel="0" collapsed="false">
      <c r="A12506" s="24" t="s">
        <v>340</v>
      </c>
      <c r="B12506" s="25"/>
      <c r="C12506" s="25"/>
      <c r="D12506" s="25"/>
      <c r="E12506" s="25"/>
      <c r="F12506" s="25"/>
      <c r="G12506" s="25"/>
      <c r="H12506" s="25"/>
      <c r="I12506" s="25"/>
      <c r="J12506" s="25"/>
      <c r="K12506" s="25"/>
    </row>
    <row r="12507" customFormat="false" ht="15" hidden="false" customHeight="false" outlineLevel="0" collapsed="false">
      <c r="A12507" s="3" t="s">
        <v>329</v>
      </c>
      <c r="G12507" s="16" t="n">
        <f aca="false">F12518</f>
        <v>90</v>
      </c>
      <c r="H12507" s="16" t="n">
        <f aca="false">G12518</f>
        <v>90</v>
      </c>
      <c r="I12507" s="16" t="n">
        <f aca="false">H12518</f>
        <v>90</v>
      </c>
      <c r="J12507" s="16" t="n">
        <f aca="false">I12518</f>
        <v>90</v>
      </c>
      <c r="K12507" s="16" t="n">
        <f aca="false">J12518</f>
        <v>90</v>
      </c>
    </row>
    <row r="12508" customFormat="false" ht="15" hidden="false" customHeight="false" outlineLevel="0" collapsed="false">
      <c r="A12508" s="3" t="s">
        <v>330</v>
      </c>
      <c r="G12508" s="21" t="n">
        <f aca="false">IF(G12458=Assumptions!$K$58,1,0)</f>
        <v>0</v>
      </c>
      <c r="H12508" s="21" t="n">
        <f aca="false">IF(H12458=Assumptions!$K$58,1,0)</f>
        <v>0</v>
      </c>
      <c r="I12508" s="21" t="n">
        <f aca="false">IF(I12458=Assumptions!$K$58,1,0)</f>
        <v>0</v>
      </c>
      <c r="J12508" s="21" t="n">
        <f aca="false">IF(J12458=Assumptions!$K$58,1,0)</f>
        <v>0</v>
      </c>
      <c r="K12508" s="21" t="n">
        <f aca="false">IF(K12458=Assumptions!$K$58,1,0)</f>
        <v>0</v>
      </c>
    </row>
    <row r="12510" customFormat="false" ht="15" hidden="false" customHeight="false" outlineLevel="0" collapsed="false">
      <c r="A12510" s="3" t="s">
        <v>331</v>
      </c>
      <c r="G12510" s="31" t="n">
        <f aca="false">IF(Assumptions!$I$58=1,MAX(G12484,Assumptions!$G$58)+Assumptions!$F$58+$C$12485,Assumptions!$E$58)</f>
        <v>0.0581</v>
      </c>
      <c r="H12510" s="31" t="n">
        <f aca="false">IF(G12805=1,$C$12486,IF(Assumptions!$I$58=1,MAX(H12484,Assumptions!$G$58)+Assumptions!$F$58+$C$12485,Assumptions!$E$58))</f>
        <v>0.0581</v>
      </c>
      <c r="I12510" s="31" t="n">
        <f aca="false">IF(H12805=1,$C$12486,IF(Assumptions!$I$58=1,MAX(I12484,Assumptions!$G$58)+Assumptions!$F$58+$C$12485,Assumptions!$E$58))</f>
        <v>0.0581</v>
      </c>
      <c r="J12510" s="31" t="n">
        <f aca="false">IF(I12805=1,$C$12486,IF(Assumptions!$I$58=1,MAX(J12484,Assumptions!$G$58)+Assumptions!$F$58+$C$12485,Assumptions!$E$58))</f>
        <v>0.0581</v>
      </c>
      <c r="K12510" s="31" t="n">
        <f aca="false">IF(J12805=1,$C$12486,IF(Assumptions!$I$58=1,MAX(K12484,Assumptions!$G$58)+Assumptions!$F$58+$C$12485,Assumptions!$E$58))</f>
        <v>0.0581</v>
      </c>
    </row>
    <row r="12511" customFormat="false" ht="15" hidden="false" customHeight="false" outlineLevel="0" collapsed="false">
      <c r="A12511" s="3" t="s">
        <v>332</v>
      </c>
      <c r="G12511" s="16" t="n">
        <f aca="false">G12507*G12510</f>
        <v>5.229</v>
      </c>
      <c r="H12511" s="16" t="n">
        <f aca="false">H12507*H12510</f>
        <v>5.229</v>
      </c>
      <c r="I12511" s="16" t="n">
        <f aca="false">I12507*I12510</f>
        <v>5.229</v>
      </c>
      <c r="J12511" s="16" t="n">
        <f aca="false">J12507*J12510</f>
        <v>5.229</v>
      </c>
      <c r="K12511" s="16" t="n">
        <f aca="false">K12507*K12510</f>
        <v>5.229</v>
      </c>
    </row>
    <row r="12512" customFormat="false" ht="15" hidden="false" customHeight="false" outlineLevel="0" collapsed="false">
      <c r="A12512" s="3" t="s">
        <v>333</v>
      </c>
      <c r="G12512" s="16" t="n">
        <f aca="false">G12507*Assumptions!$H$58</f>
        <v>0</v>
      </c>
      <c r="H12512" s="16" t="n">
        <f aca="false">H12507*Assumptions!$H$58</f>
        <v>0</v>
      </c>
      <c r="I12512" s="16" t="n">
        <f aca="false">I12507*Assumptions!$H$58</f>
        <v>0</v>
      </c>
      <c r="J12512" s="16" t="n">
        <f aca="false">J12507*Assumptions!$H$58</f>
        <v>0</v>
      </c>
      <c r="K12512" s="16" t="n">
        <f aca="false">K12507*Assumptions!$H$58</f>
        <v>0</v>
      </c>
    </row>
    <row r="12513" customFormat="false" ht="15" hidden="false" customHeight="false" outlineLevel="0" collapsed="false">
      <c r="A12513" s="3" t="s">
        <v>334</v>
      </c>
      <c r="G12513" s="16" t="n">
        <f aca="false">MIN(G12507,Assumptions!$L$58*Assumptions!$C$58)</f>
        <v>0</v>
      </c>
      <c r="H12513" s="16" t="n">
        <f aca="false">MIN(H12507,Assumptions!$L$58*Assumptions!$C$58)</f>
        <v>0</v>
      </c>
      <c r="I12513" s="16" t="n">
        <f aca="false">MIN(I12507,Assumptions!$L$58*Assumptions!$C$58)</f>
        <v>0</v>
      </c>
      <c r="J12513" s="16" t="n">
        <f aca="false">MIN(J12507,Assumptions!$L$58*Assumptions!$C$58)</f>
        <v>0</v>
      </c>
      <c r="K12513" s="16" t="n">
        <f aca="false">MIN(K12507,Assumptions!$L$58*Assumptions!$C$58)</f>
        <v>0</v>
      </c>
    </row>
    <row r="12514" customFormat="false" ht="15" hidden="false" customHeight="false" outlineLevel="0" collapsed="false">
      <c r="A12514" s="3" t="s">
        <v>335</v>
      </c>
      <c r="G12514" s="16" t="n">
        <f aca="false">IF(AND(Assumptions!$P$58=1,G12458&lt;Assumptions!$K$58),MIN(MAX(0,-G12674),MAX(0,Assumptions!$D$58-G12507)),0)</f>
        <v>0</v>
      </c>
      <c r="H12514" s="16" t="n">
        <f aca="false">IF(AND(Assumptions!$P$58=1,OR(H12458&lt;Assumptions!$K$58,G12805=1)),MIN(MAX(0,-H12674),MAX(0,Assumptions!$D$58-H12507)),0)</f>
        <v>0</v>
      </c>
      <c r="I12514" s="16" t="n">
        <f aca="false">IF(AND(Assumptions!$P$58=1,OR(I12458&lt;Assumptions!$K$58,H12805=1)),MIN(MAX(0,-I12674),MAX(0,Assumptions!$D$58-I12507)),0)</f>
        <v>0</v>
      </c>
      <c r="J12514" s="16" t="n">
        <f aca="false">IF(AND(Assumptions!$P$58=1,OR(J12458&lt;Assumptions!$K$58,I12805=1)),MIN(MAX(0,-J12674),MAX(0,Assumptions!$D$58-J12507)),0)</f>
        <v>0</v>
      </c>
      <c r="K12514" s="16" t="n">
        <f aca="false">IF(AND(Assumptions!$P$58=1,OR(K12458&lt;Assumptions!$K$58,J12805=1)),MIN(MAX(0,-K12674),MAX(0,Assumptions!$D$58-K12507)),0)</f>
        <v>0</v>
      </c>
    </row>
    <row r="12515" customFormat="false" ht="15" hidden="false" customHeight="false" outlineLevel="0" collapsed="false">
      <c r="A12515" s="3" t="s">
        <v>336</v>
      </c>
      <c r="G12515" s="16" t="n">
        <f aca="false">G12508*MIN(G12507-G12513+G12512,MAX(0,G12676-Assumptions!$C$12*G12492-G12502))</f>
        <v>0</v>
      </c>
      <c r="H12515" s="16" t="n">
        <f aca="false">H12508*MIN(H12507-H12513+H12512,MAX(0,H12676-Assumptions!$C$12*H12492-H12502))</f>
        <v>0</v>
      </c>
      <c r="I12515" s="16" t="n">
        <f aca="false">I12508*MIN(I12507-I12513+I12512,MAX(0,I12676-Assumptions!$C$12*I12492-I12502))</f>
        <v>0</v>
      </c>
      <c r="J12515" s="16" t="n">
        <f aca="false">J12508*MIN(J12507-J12513+J12512,MAX(0,J12676-Assumptions!$C$12*J12492-J12502))</f>
        <v>0</v>
      </c>
      <c r="K12515" s="16" t="n">
        <f aca="false">K12508*MIN(K12507-K12513+K12512,MAX(0,K12676-Assumptions!$C$12*K12492-K12502))</f>
        <v>0</v>
      </c>
    </row>
    <row r="12516" customFormat="false" ht="15" hidden="false" customHeight="false" outlineLevel="0" collapsed="false">
      <c r="A12516" s="3" t="s">
        <v>337</v>
      </c>
      <c r="G12516" s="16" t="n">
        <f aca="false">Assumptions!$N$58*MIN(G12507+G12514+G12512-G12513-G12515,MAX(0,G12680-G12503))</f>
        <v>0</v>
      </c>
      <c r="H12516" s="16" t="n">
        <f aca="false">Assumptions!$N$58*MIN(H12507+H12514+H12512-H12513-H12515,MAX(0,H12680-H12503))</f>
        <v>0</v>
      </c>
      <c r="I12516" s="16" t="n">
        <f aca="false">Assumptions!$N$58*MIN(I12507+I12514+I12512-I12513-I12515,MAX(0,I12680-I12503))</f>
        <v>0</v>
      </c>
      <c r="J12516" s="16" t="n">
        <f aca="false">Assumptions!$N$58*MIN(J12507+J12514+J12512-J12513-J12515,MAX(0,J12680-J12503))</f>
        <v>0</v>
      </c>
      <c r="K12516" s="16" t="n">
        <f aca="false">Assumptions!$N$58*MIN(K12507+K12514+K12512-K12513-K12515,MAX(0,K12680-K12503))</f>
        <v>0</v>
      </c>
    </row>
    <row r="12517" customFormat="false" ht="15" hidden="false" customHeight="false" outlineLevel="0" collapsed="false">
      <c r="A12517" s="3" t="s">
        <v>338</v>
      </c>
      <c r="G12517" s="16" t="n">
        <f aca="false">G12508*(1-G12492)*(G12507-G12513+G12512-G12515)</f>
        <v>0</v>
      </c>
      <c r="H12517" s="16" t="n">
        <f aca="false">H12508*(1-H12492)*(H12507-H12513+H12512-H12515)</f>
        <v>0</v>
      </c>
      <c r="I12517" s="16" t="n">
        <f aca="false">I12508*(1-I12492)*(I12507-I12513+I12512-I12515)</f>
        <v>0</v>
      </c>
      <c r="J12517" s="16" t="n">
        <f aca="false">J12508*(1-J12492)*(J12507-J12513+J12512-J12515)</f>
        <v>0</v>
      </c>
      <c r="K12517" s="16" t="n">
        <f aca="false">K12508*(1-K12492)*(K12507-K12513+K12512-K12515)</f>
        <v>0</v>
      </c>
    </row>
    <row r="12518" customFormat="false" ht="15" hidden="false" customHeight="false" outlineLevel="0" collapsed="false">
      <c r="A12518" s="2" t="s">
        <v>339</v>
      </c>
      <c r="F12518" s="28" t="n">
        <f aca="false">Assumptions!$C$58</f>
        <v>90</v>
      </c>
      <c r="G12518" s="17" t="n">
        <f aca="false">G12507+G12514+G12512-G12513-G12515-G12516</f>
        <v>90</v>
      </c>
      <c r="H12518" s="17" t="n">
        <f aca="false">H12507+H12514+H12512-H12513-H12515-H12516</f>
        <v>90</v>
      </c>
      <c r="I12518" s="17" t="n">
        <f aca="false">I12507+I12514+I12512-I12513-I12515-I12516</f>
        <v>90</v>
      </c>
      <c r="J12518" s="17" t="n">
        <f aca="false">J12507+J12514+J12512-J12513-J12515-J12516</f>
        <v>90</v>
      </c>
      <c r="K12518" s="17" t="n">
        <f aca="false">K12507+K12514+K12512-K12513-K12515-K12516</f>
        <v>90</v>
      </c>
    </row>
    <row r="12519" customFormat="false" ht="15" hidden="false" customHeight="false" outlineLevel="0" collapsed="false">
      <c r="A12519" s="24" t="s">
        <v>341</v>
      </c>
      <c r="B12519" s="25"/>
      <c r="C12519" s="25"/>
      <c r="D12519" s="25"/>
      <c r="E12519" s="25"/>
      <c r="F12519" s="25"/>
      <c r="G12519" s="25"/>
      <c r="H12519" s="25"/>
      <c r="I12519" s="25"/>
      <c r="J12519" s="25"/>
      <c r="K12519" s="25"/>
    </row>
    <row r="12520" customFormat="false" ht="15" hidden="false" customHeight="false" outlineLevel="0" collapsed="false">
      <c r="A12520" s="3" t="s">
        <v>329</v>
      </c>
      <c r="G12520" s="16" t="n">
        <f aca="false">F12531</f>
        <v>57.324</v>
      </c>
      <c r="H12520" s="16" t="n">
        <f aca="false">G12531</f>
        <v>57.324</v>
      </c>
      <c r="I12520" s="16" t="n">
        <f aca="false">H12531</f>
        <v>57.324</v>
      </c>
      <c r="J12520" s="16" t="n">
        <f aca="false">I12531</f>
        <v>57.324</v>
      </c>
      <c r="K12520" s="16" t="n">
        <f aca="false">J12531</f>
        <v>57.324</v>
      </c>
    </row>
    <row r="12521" customFormat="false" ht="15" hidden="false" customHeight="false" outlineLevel="0" collapsed="false">
      <c r="A12521" s="3" t="s">
        <v>330</v>
      </c>
      <c r="G12521" s="21" t="n">
        <f aca="false">IF(G12458=Assumptions!$K$59,1,0)</f>
        <v>0</v>
      </c>
      <c r="H12521" s="21" t="n">
        <f aca="false">IF(H12458=Assumptions!$K$59,1,0)</f>
        <v>0</v>
      </c>
      <c r="I12521" s="21" t="n">
        <f aca="false">IF(I12458=Assumptions!$K$59,1,0)</f>
        <v>0</v>
      </c>
      <c r="J12521" s="21" t="n">
        <f aca="false">IF(J12458=Assumptions!$K$59,1,0)</f>
        <v>0</v>
      </c>
      <c r="K12521" s="21" t="n">
        <f aca="false">IF(K12458=Assumptions!$K$59,1,0)</f>
        <v>0</v>
      </c>
    </row>
    <row r="12523" customFormat="false" ht="15" hidden="false" customHeight="false" outlineLevel="0" collapsed="false">
      <c r="A12523" s="3" t="s">
        <v>331</v>
      </c>
      <c r="G12523" s="31" t="n">
        <f aca="false">IF(Assumptions!$I$59=1,MAX(G12484,Assumptions!$G$59)+Assumptions!$F$59+$C$12485,Assumptions!$E$59)</f>
        <v>0.0731</v>
      </c>
      <c r="H12523" s="31" t="n">
        <f aca="false">IF(G12806=1,$C$12486,IF(Assumptions!$I$59=1,MAX(H12484,Assumptions!$G$59)+Assumptions!$F$59+$C$12485,Assumptions!$E$59))</f>
        <v>0.0731</v>
      </c>
      <c r="I12523" s="31" t="n">
        <f aca="false">IF(H12806=1,$C$12486,IF(Assumptions!$I$59=1,MAX(I12484,Assumptions!$G$59)+Assumptions!$F$59+$C$12485,Assumptions!$E$59))</f>
        <v>0.0731</v>
      </c>
      <c r="J12523" s="31" t="n">
        <f aca="false">IF(I12806=1,$C$12486,IF(Assumptions!$I$59=1,MAX(J12484,Assumptions!$G$59)+Assumptions!$F$59+$C$12485,Assumptions!$E$59))</f>
        <v>0.0731</v>
      </c>
      <c r="K12523" s="31" t="n">
        <f aca="false">IF(J12806=1,$C$12486,IF(Assumptions!$I$59=1,MAX(K12484,Assumptions!$G$59)+Assumptions!$F$59+$C$12485,Assumptions!$E$59))</f>
        <v>0.0731</v>
      </c>
    </row>
    <row r="12524" customFormat="false" ht="15" hidden="false" customHeight="false" outlineLevel="0" collapsed="false">
      <c r="A12524" s="3" t="s">
        <v>332</v>
      </c>
      <c r="G12524" s="16" t="n">
        <f aca="false">G12520*G12523</f>
        <v>4.1903844</v>
      </c>
      <c r="H12524" s="16" t="n">
        <f aca="false">H12520*H12523</f>
        <v>4.1903844</v>
      </c>
      <c r="I12524" s="16" t="n">
        <f aca="false">I12520*I12523</f>
        <v>4.1903844</v>
      </c>
      <c r="J12524" s="16" t="n">
        <f aca="false">J12520*J12523</f>
        <v>4.1903844</v>
      </c>
      <c r="K12524" s="16" t="n">
        <f aca="false">K12520*K12523</f>
        <v>4.1903844</v>
      </c>
    </row>
    <row r="12525" customFormat="false" ht="15" hidden="false" customHeight="false" outlineLevel="0" collapsed="false">
      <c r="A12525" s="3" t="s">
        <v>333</v>
      </c>
      <c r="G12525" s="16" t="n">
        <f aca="false">G12520*Assumptions!$H$59</f>
        <v>0</v>
      </c>
      <c r="H12525" s="16" t="n">
        <f aca="false">H12520*Assumptions!$H$59</f>
        <v>0</v>
      </c>
      <c r="I12525" s="16" t="n">
        <f aca="false">I12520*Assumptions!$H$59</f>
        <v>0</v>
      </c>
      <c r="J12525" s="16" t="n">
        <f aca="false">J12520*Assumptions!$H$59</f>
        <v>0</v>
      </c>
      <c r="K12525" s="16" t="n">
        <f aca="false">K12520*Assumptions!$H$59</f>
        <v>0</v>
      </c>
    </row>
    <row r="12526" customFormat="false" ht="15" hidden="false" customHeight="false" outlineLevel="0" collapsed="false">
      <c r="A12526" s="3" t="s">
        <v>334</v>
      </c>
      <c r="G12526" s="16" t="n">
        <f aca="false">MIN(G12520,Assumptions!$L$59*Assumptions!$C$59)</f>
        <v>0</v>
      </c>
      <c r="H12526" s="16" t="n">
        <f aca="false">MIN(H12520,Assumptions!$L$59*Assumptions!$C$59)</f>
        <v>0</v>
      </c>
      <c r="I12526" s="16" t="n">
        <f aca="false">MIN(I12520,Assumptions!$L$59*Assumptions!$C$59)</f>
        <v>0</v>
      </c>
      <c r="J12526" s="16" t="n">
        <f aca="false">MIN(J12520,Assumptions!$L$59*Assumptions!$C$59)</f>
        <v>0</v>
      </c>
      <c r="K12526" s="16" t="n">
        <f aca="false">MIN(K12520,Assumptions!$L$59*Assumptions!$C$59)</f>
        <v>0</v>
      </c>
    </row>
    <row r="12527" customFormat="false" ht="15" hidden="false" customHeight="false" outlineLevel="0" collapsed="false">
      <c r="A12527" s="3" t="s">
        <v>335</v>
      </c>
      <c r="G12527" s="16" t="n">
        <f aca="false">IF(AND(Assumptions!$P$59=1,G12458&lt;Assumptions!$K$59),MIN(MAX(0,-G12674),MAX(0,Assumptions!$D$59-G12520)),0)</f>
        <v>0</v>
      </c>
      <c r="H12527" s="16" t="n">
        <f aca="false">IF(AND(Assumptions!$P$59=1,OR(H12458&lt;Assumptions!$K$59,G12806=1)),MIN(MAX(0,-H12674),MAX(0,Assumptions!$D$59-H12520)),0)</f>
        <v>0</v>
      </c>
      <c r="I12527" s="16" t="n">
        <f aca="false">IF(AND(Assumptions!$P$59=1,OR(I12458&lt;Assumptions!$K$59,H12806=1)),MIN(MAX(0,-I12674),MAX(0,Assumptions!$D$59-I12520)),0)</f>
        <v>0</v>
      </c>
      <c r="J12527" s="16" t="n">
        <f aca="false">IF(AND(Assumptions!$P$59=1,OR(J12458&lt;Assumptions!$K$59,I12806=1)),MIN(MAX(0,-J12674),MAX(0,Assumptions!$D$59-J12520)),0)</f>
        <v>0</v>
      </c>
      <c r="K12527" s="16" t="n">
        <f aca="false">IF(AND(Assumptions!$P$59=1,OR(K12458&lt;Assumptions!$K$59,J12806=1)),MIN(MAX(0,-K12674),MAX(0,Assumptions!$D$59-K12520)),0)</f>
        <v>0</v>
      </c>
    </row>
    <row r="12528" customFormat="false" ht="15" hidden="false" customHeight="false" outlineLevel="0" collapsed="false">
      <c r="A12528" s="3" t="s">
        <v>336</v>
      </c>
      <c r="G12528" s="16" t="n">
        <f aca="false">G12521*MIN(G12520-G12526+G12525,MAX(0,G12676-Assumptions!$C$12*G12492-G12502-G12515))</f>
        <v>0</v>
      </c>
      <c r="H12528" s="16" t="n">
        <f aca="false">H12521*MIN(H12520-H12526+H12525,MAX(0,H12676-Assumptions!$C$12*H12492-H12502-H12515))</f>
        <v>0</v>
      </c>
      <c r="I12528" s="16" t="n">
        <f aca="false">I12521*MIN(I12520-I12526+I12525,MAX(0,I12676-Assumptions!$C$12*I12492-I12502-I12515))</f>
        <v>0</v>
      </c>
      <c r="J12528" s="16" t="n">
        <f aca="false">J12521*MIN(J12520-J12526+J12525,MAX(0,J12676-Assumptions!$C$12*J12492-J12502-J12515))</f>
        <v>0</v>
      </c>
      <c r="K12528" s="16" t="n">
        <f aca="false">K12521*MIN(K12520-K12526+K12525,MAX(0,K12676-Assumptions!$C$12*K12492-K12502-K12515))</f>
        <v>0</v>
      </c>
    </row>
    <row r="12529" customFormat="false" ht="15" hidden="false" customHeight="false" outlineLevel="0" collapsed="false">
      <c r="A12529" s="3" t="s">
        <v>337</v>
      </c>
      <c r="G12529" s="16" t="n">
        <f aca="false">Assumptions!$N$59*MIN(G12520+G12527+G12525-G12526-G12528,MAX(0,G12680-G12503-G12516))</f>
        <v>0</v>
      </c>
      <c r="H12529" s="16" t="n">
        <f aca="false">Assumptions!$N$59*MIN(H12520+H12527+H12525-H12526-H12528,MAX(0,H12680-H12503-H12516))</f>
        <v>0</v>
      </c>
      <c r="I12529" s="16" t="n">
        <f aca="false">Assumptions!$N$59*MIN(I12520+I12527+I12525-I12526-I12528,MAX(0,I12680-I12503-I12516))</f>
        <v>0</v>
      </c>
      <c r="J12529" s="16" t="n">
        <f aca="false">Assumptions!$N$59*MIN(J12520+J12527+J12525-J12526-J12528,MAX(0,J12680-J12503-J12516))</f>
        <v>0</v>
      </c>
      <c r="K12529" s="16" t="n">
        <f aca="false">Assumptions!$N$59*MIN(K12520+K12527+K12525-K12526-K12528,MAX(0,K12680-K12503-K12516))</f>
        <v>0</v>
      </c>
    </row>
    <row r="12530" customFormat="false" ht="15" hidden="false" customHeight="false" outlineLevel="0" collapsed="false">
      <c r="A12530" s="3" t="s">
        <v>338</v>
      </c>
      <c r="G12530" s="16" t="n">
        <f aca="false">G12521*(1-G12492)*(G12520-G12526+G12525-G12528)</f>
        <v>0</v>
      </c>
      <c r="H12530" s="16" t="n">
        <f aca="false">H12521*(1-H12492)*(H12520-H12526+H12525-H12528)</f>
        <v>0</v>
      </c>
      <c r="I12530" s="16" t="n">
        <f aca="false">I12521*(1-I12492)*(I12520-I12526+I12525-I12528)</f>
        <v>0</v>
      </c>
      <c r="J12530" s="16" t="n">
        <f aca="false">J12521*(1-J12492)*(J12520-J12526+J12525-J12528)</f>
        <v>0</v>
      </c>
      <c r="K12530" s="16" t="n">
        <f aca="false">K12521*(1-K12492)*(K12520-K12526+K12525-K12528)</f>
        <v>0</v>
      </c>
    </row>
    <row r="12531" customFormat="false" ht="15" hidden="false" customHeight="false" outlineLevel="0" collapsed="false">
      <c r="A12531" s="2" t="s">
        <v>339</v>
      </c>
      <c r="F12531" s="28" t="n">
        <f aca="false">Assumptions!$C$59</f>
        <v>57.324</v>
      </c>
      <c r="G12531" s="17" t="n">
        <f aca="false">G12520+G12527+G12525-G12526-G12528-G12529</f>
        <v>57.324</v>
      </c>
      <c r="H12531" s="17" t="n">
        <f aca="false">H12520+H12527+H12525-H12526-H12528-H12529</f>
        <v>57.324</v>
      </c>
      <c r="I12531" s="17" t="n">
        <f aca="false">I12520+I12527+I12525-I12526-I12528-I12529</f>
        <v>57.324</v>
      </c>
      <c r="J12531" s="17" t="n">
        <f aca="false">J12520+J12527+J12525-J12526-J12528-J12529</f>
        <v>57.324</v>
      </c>
      <c r="K12531" s="17" t="n">
        <f aca="false">K12520+K12527+K12525-K12526-K12528-K12529</f>
        <v>57.324</v>
      </c>
    </row>
    <row r="12532" customFormat="false" ht="15" hidden="false" customHeight="false" outlineLevel="0" collapsed="false">
      <c r="A12532" s="24" t="s">
        <v>342</v>
      </c>
      <c r="B12532" s="25"/>
      <c r="C12532" s="25"/>
      <c r="D12532" s="25"/>
      <c r="E12532" s="25"/>
      <c r="F12532" s="25"/>
      <c r="G12532" s="25"/>
      <c r="H12532" s="25"/>
      <c r="I12532" s="25"/>
      <c r="J12532" s="25"/>
      <c r="K12532" s="25"/>
    </row>
    <row r="12533" customFormat="false" ht="15" hidden="false" customHeight="false" outlineLevel="0" collapsed="false">
      <c r="A12533" s="3" t="s">
        <v>329</v>
      </c>
      <c r="G12533" s="16" t="n">
        <f aca="false">F12544</f>
        <v>0</v>
      </c>
      <c r="H12533" s="16" t="n">
        <f aca="false">G12544</f>
        <v>0</v>
      </c>
      <c r="I12533" s="16" t="n">
        <f aca="false">H12544</f>
        <v>0</v>
      </c>
      <c r="J12533" s="16" t="n">
        <f aca="false">I12544</f>
        <v>82.716661956296</v>
      </c>
      <c r="K12533" s="16" t="n">
        <f aca="false">J12544</f>
        <v>198.529515750107</v>
      </c>
    </row>
    <row r="12534" customFormat="false" ht="15" hidden="false" customHeight="false" outlineLevel="0" collapsed="false">
      <c r="A12534" s="3" t="s">
        <v>330</v>
      </c>
      <c r="G12534" s="21" t="n">
        <f aca="false">IF(G12458=Assumptions!$K$60,1,0)</f>
        <v>1</v>
      </c>
      <c r="H12534" s="21" t="n">
        <f aca="false">IF(H12458=Assumptions!$K$60,1,0)</f>
        <v>0</v>
      </c>
      <c r="I12534" s="21" t="n">
        <f aca="false">IF(I12458=Assumptions!$K$60,1,0)</f>
        <v>0</v>
      </c>
      <c r="J12534" s="21" t="n">
        <f aca="false">IF(J12458=Assumptions!$K$60,1,0)</f>
        <v>0</v>
      </c>
      <c r="K12534" s="21" t="n">
        <f aca="false">IF(K12458=Assumptions!$K$60,1,0)</f>
        <v>0</v>
      </c>
    </row>
    <row r="12536" customFormat="false" ht="15" hidden="false" customHeight="false" outlineLevel="0" collapsed="false">
      <c r="A12536" s="3" t="s">
        <v>331</v>
      </c>
      <c r="G12536" s="31" t="n">
        <f aca="false">IF(Assumptions!$I$60=1,MAX(G12484,Assumptions!$G$60)+Assumptions!$F$60+$C$12485,Assumptions!$E$60)</f>
        <v>0.054</v>
      </c>
      <c r="H12536" s="31" t="n">
        <f aca="false">IF(G12807=1,$C$12486,IF(Assumptions!$I$60=1,MAX(H12484,Assumptions!$G$60)+Assumptions!$F$60+$C$12485,Assumptions!$E$60))</f>
        <v>0.08</v>
      </c>
      <c r="I12536" s="31" t="n">
        <f aca="false">IF(H12807=1,$C$12486,IF(Assumptions!$I$60=1,MAX(I12484,Assumptions!$G$60)+Assumptions!$F$60+$C$12485,Assumptions!$E$60))</f>
        <v>0.08</v>
      </c>
      <c r="J12536" s="31" t="n">
        <f aca="false">IF(I12807=1,$C$12486,IF(Assumptions!$I$60=1,MAX(J12484,Assumptions!$G$60)+Assumptions!$F$60+$C$12485,Assumptions!$E$60))</f>
        <v>0.08</v>
      </c>
      <c r="K12536" s="31" t="n">
        <f aca="false">IF(J12807=1,$C$12486,IF(Assumptions!$I$60=1,MAX(K12484,Assumptions!$G$60)+Assumptions!$F$60+$C$12485,Assumptions!$E$60))</f>
        <v>0.08</v>
      </c>
    </row>
    <row r="12537" customFormat="false" ht="15" hidden="false" customHeight="false" outlineLevel="0" collapsed="false">
      <c r="A12537" s="3" t="s">
        <v>332</v>
      </c>
      <c r="G12537" s="16" t="n">
        <f aca="false">G12533*G12536</f>
        <v>0</v>
      </c>
      <c r="H12537" s="16" t="n">
        <f aca="false">H12533*H12536</f>
        <v>0</v>
      </c>
      <c r="I12537" s="16" t="n">
        <f aca="false">I12533*I12536</f>
        <v>0</v>
      </c>
      <c r="J12537" s="16" t="n">
        <f aca="false">J12533*J12536</f>
        <v>6.61733295650368</v>
      </c>
      <c r="K12537" s="16" t="n">
        <f aca="false">K12533*K12536</f>
        <v>15.8823612600086</v>
      </c>
    </row>
    <row r="12538" customFormat="false" ht="15" hidden="false" customHeight="false" outlineLevel="0" collapsed="false">
      <c r="A12538" s="3" t="s">
        <v>333</v>
      </c>
      <c r="G12538" s="16" t="n">
        <f aca="false">G12533*Assumptions!$H$60</f>
        <v>0</v>
      </c>
      <c r="H12538" s="16" t="n">
        <f aca="false">H12533*Assumptions!$H$60</f>
        <v>0</v>
      </c>
      <c r="I12538" s="16" t="n">
        <f aca="false">I12533*Assumptions!$H$60</f>
        <v>0</v>
      </c>
      <c r="J12538" s="16" t="n">
        <f aca="false">J12533*Assumptions!$H$60</f>
        <v>0</v>
      </c>
      <c r="K12538" s="16" t="n">
        <f aca="false">K12533*Assumptions!$H$60</f>
        <v>0</v>
      </c>
    </row>
    <row r="12539" customFormat="false" ht="15" hidden="false" customHeight="false" outlineLevel="0" collapsed="false">
      <c r="A12539" s="3" t="s">
        <v>334</v>
      </c>
      <c r="G12539" s="16" t="n">
        <f aca="false">MIN(G12533,Assumptions!$L$60*Assumptions!$C$60)</f>
        <v>0</v>
      </c>
      <c r="H12539" s="16" t="n">
        <f aca="false">MIN(H12533,Assumptions!$L$60*Assumptions!$C$60)</f>
        <v>0</v>
      </c>
      <c r="I12539" s="16" t="n">
        <f aca="false">MIN(I12533,Assumptions!$L$60*Assumptions!$C$60)</f>
        <v>0</v>
      </c>
      <c r="J12539" s="16" t="n">
        <f aca="false">MIN(J12533,Assumptions!$L$60*Assumptions!$C$60)</f>
        <v>0</v>
      </c>
      <c r="K12539" s="16" t="n">
        <f aca="false">MIN(K12533,Assumptions!$L$60*Assumptions!$C$60)</f>
        <v>0</v>
      </c>
    </row>
    <row r="12540" customFormat="false" ht="15" hidden="false" customHeight="false" outlineLevel="0" collapsed="false">
      <c r="A12540" s="3" t="s">
        <v>335</v>
      </c>
      <c r="G12540" s="16" t="n">
        <f aca="false">IF(AND(Assumptions!$P$60=1,G12458&lt;Assumptions!$K$60),MIN(MAX(0,-G12674),MAX(0,Assumptions!$D$60-G12533)),0)</f>
        <v>0</v>
      </c>
      <c r="H12540" s="16" t="n">
        <f aca="false">IF(AND(Assumptions!$P$60=1,OR(H12458&lt;Assumptions!$K$60,G12807=1)),MIN(MAX(0,-H12674),MAX(0,Assumptions!$D$60-H12533)),0)</f>
        <v>0</v>
      </c>
      <c r="I12540" s="16" t="n">
        <f aca="false">IF(AND(Assumptions!$P$60=1,OR(I12458&lt;Assumptions!$K$60,H12807=1)),MIN(MAX(0,-I12674),MAX(0,Assumptions!$D$60-I12533)),0)</f>
        <v>82.716661956296</v>
      </c>
      <c r="J12540" s="16" t="n">
        <f aca="false">IF(AND(Assumptions!$P$60=1,OR(J12458&lt;Assumptions!$K$60,I12807=1)),MIN(MAX(0,-J12674),MAX(0,Assumptions!$D$60-J12533)),0)</f>
        <v>115.812853793811</v>
      </c>
      <c r="K12540" s="16" t="n">
        <f aca="false">IF(AND(Assumptions!$P$60=1,OR(K12458&lt;Assumptions!$K$60,J12807=1)),MIN(MAX(0,-K12674),MAX(0,Assumptions!$D$60-K12533)),0)</f>
        <v>126.526978888047</v>
      </c>
    </row>
    <row r="12541" customFormat="false" ht="15" hidden="false" customHeight="false" outlineLevel="0" collapsed="false">
      <c r="A12541" s="3" t="s">
        <v>336</v>
      </c>
      <c r="G12541" s="16" t="n">
        <f aca="false">G12534*MIN(G12533-G12539+G12538,MAX(0,G12676-Assumptions!$C$12*G12492-G12502-G12515-G12528))</f>
        <v>0</v>
      </c>
      <c r="H12541" s="16" t="n">
        <f aca="false">H12534*MIN(H12533-H12539+H12538,MAX(0,H12676-Assumptions!$C$12*H12492-H12502-H12515-H12528))</f>
        <v>0</v>
      </c>
      <c r="I12541" s="16" t="n">
        <f aca="false">I12534*MIN(I12533-I12539+I12538,MAX(0,I12676-Assumptions!$C$12*I12492-I12502-I12515-I12528))</f>
        <v>0</v>
      </c>
      <c r="J12541" s="16" t="n">
        <f aca="false">J12534*MIN(J12533-J12539+J12538,MAX(0,J12676-Assumptions!$C$12*J12492-J12502-J12515-J12528))</f>
        <v>0</v>
      </c>
      <c r="K12541" s="16" t="n">
        <f aca="false">K12534*MIN(K12533-K12539+K12538,MAX(0,K12676-Assumptions!$C$12*K12492-K12502-K12515-K12528))</f>
        <v>0</v>
      </c>
    </row>
    <row r="12542" customFormat="false" ht="15" hidden="false" customHeight="false" outlineLevel="0" collapsed="false">
      <c r="A12542" s="3" t="s">
        <v>337</v>
      </c>
      <c r="G12542" s="16" t="n">
        <f aca="false">Assumptions!$N$60*MIN(G12533+G12540+G12538-G12539-G12541,MAX(0,G12680-G12503-G12516-G12529))</f>
        <v>0</v>
      </c>
      <c r="H12542" s="16" t="n">
        <f aca="false">Assumptions!$N$60*MIN(H12533+H12540+H12538-H12539-H12541,MAX(0,H12680-H12503-H12516-H12529))</f>
        <v>0</v>
      </c>
      <c r="I12542" s="16" t="n">
        <f aca="false">Assumptions!$N$60*MIN(I12533+I12540+I12538-I12539-I12541,MAX(0,I12680-I12503-I12516-I12529))</f>
        <v>0</v>
      </c>
      <c r="J12542" s="16" t="n">
        <f aca="false">Assumptions!$N$60*MIN(J12533+J12540+J12538-J12539-J12541,MAX(0,J12680-J12503-J12516-J12529))</f>
        <v>0</v>
      </c>
      <c r="K12542" s="16" t="n">
        <f aca="false">Assumptions!$N$60*MIN(K12533+K12540+K12538-K12539-K12541,MAX(0,K12680-K12503-K12516-K12529))</f>
        <v>0</v>
      </c>
    </row>
    <row r="12543" customFormat="false" ht="15" hidden="false" customHeight="false" outlineLevel="0" collapsed="false">
      <c r="A12543" s="3" t="s">
        <v>338</v>
      </c>
      <c r="G12543" s="16" t="n">
        <f aca="false">G12534*(1-G12492)*(G12533-G12539+G12538-G12541)</f>
        <v>0</v>
      </c>
      <c r="H12543" s="16" t="n">
        <f aca="false">H12534*(1-H12492)*(H12533-H12539+H12538-H12541)</f>
        <v>0</v>
      </c>
      <c r="I12543" s="16" t="n">
        <f aca="false">I12534*(1-I12492)*(I12533-I12539+I12538-I12541)</f>
        <v>0</v>
      </c>
      <c r="J12543" s="16" t="n">
        <f aca="false">J12534*(1-J12492)*(J12533-J12539+J12538-J12541)</f>
        <v>0</v>
      </c>
      <c r="K12543" s="16" t="n">
        <f aca="false">K12534*(1-K12492)*(K12533-K12539+K12538-K12541)</f>
        <v>0</v>
      </c>
    </row>
    <row r="12544" customFormat="false" ht="15" hidden="false" customHeight="false" outlineLevel="0" collapsed="false">
      <c r="A12544" s="2" t="s">
        <v>339</v>
      </c>
      <c r="F12544" s="28" t="n">
        <f aca="false">Assumptions!$C$60</f>
        <v>0</v>
      </c>
      <c r="G12544" s="17" t="n">
        <f aca="false">G12533+G12540+G12538-G12539-G12541-G12542</f>
        <v>0</v>
      </c>
      <c r="H12544" s="17" t="n">
        <f aca="false">H12533+H12540+H12538-H12539-H12541-H12542</f>
        <v>0</v>
      </c>
      <c r="I12544" s="17" t="n">
        <f aca="false">I12533+I12540+I12538-I12539-I12541-I12542</f>
        <v>82.716661956296</v>
      </c>
      <c r="J12544" s="17" t="n">
        <f aca="false">J12533+J12540+J12538-J12539-J12541-J12542</f>
        <v>198.529515750107</v>
      </c>
      <c r="K12544" s="17" t="n">
        <f aca="false">K12533+K12540+K12538-K12539-K12541-K12542</f>
        <v>325.056494638154</v>
      </c>
    </row>
    <row r="12545" customFormat="false" ht="15" hidden="false" customHeight="false" outlineLevel="0" collapsed="false">
      <c r="A12545" s="24" t="s">
        <v>343</v>
      </c>
      <c r="B12545" s="25"/>
      <c r="C12545" s="25"/>
      <c r="D12545" s="25"/>
      <c r="E12545" s="25"/>
      <c r="F12545" s="25"/>
      <c r="G12545" s="25"/>
      <c r="H12545" s="25"/>
      <c r="I12545" s="25"/>
      <c r="J12545" s="25"/>
      <c r="K12545" s="25"/>
    </row>
    <row r="12546" customFormat="false" ht="15" hidden="false" customHeight="false" outlineLevel="0" collapsed="false">
      <c r="A12546" s="3" t="s">
        <v>329</v>
      </c>
      <c r="G12546" s="16" t="n">
        <f aca="false">F12557</f>
        <v>450</v>
      </c>
      <c r="H12546" s="16" t="n">
        <f aca="false">G12557</f>
        <v>450</v>
      </c>
      <c r="I12546" s="16" t="n">
        <f aca="false">H12557</f>
        <v>422.5169094548</v>
      </c>
      <c r="J12546" s="16" t="n">
        <f aca="false">I12557</f>
        <v>422.5169094548</v>
      </c>
      <c r="K12546" s="16" t="n">
        <f aca="false">J12557</f>
        <v>422.5169094548</v>
      </c>
    </row>
    <row r="12547" customFormat="false" ht="15" hidden="false" customHeight="false" outlineLevel="0" collapsed="false">
      <c r="A12547" s="3" t="s">
        <v>330</v>
      </c>
      <c r="G12547" s="21" t="n">
        <f aca="false">IF(G12458=Assumptions!$K$61,1,0)</f>
        <v>0</v>
      </c>
      <c r="H12547" s="21" t="n">
        <f aca="false">IF(H12458=Assumptions!$K$61,1,0)</f>
        <v>1</v>
      </c>
      <c r="I12547" s="21" t="n">
        <f aca="false">IF(I12458=Assumptions!$K$61,1,0)</f>
        <v>0</v>
      </c>
      <c r="J12547" s="21" t="n">
        <f aca="false">IF(J12458=Assumptions!$K$61,1,0)</f>
        <v>0</v>
      </c>
      <c r="K12547" s="21" t="n">
        <f aca="false">IF(K12458=Assumptions!$K$61,1,0)</f>
        <v>0</v>
      </c>
    </row>
    <row r="12549" customFormat="false" ht="15" hidden="false" customHeight="false" outlineLevel="0" collapsed="false">
      <c r="A12549" s="3" t="s">
        <v>331</v>
      </c>
      <c r="G12549" s="31" t="n">
        <f aca="false">IF(Assumptions!$I$61=1,MAX(G12484,Assumptions!$G$61)+Assumptions!$F$61+$C$12485,Assumptions!$E$61)</f>
        <v>0.0395</v>
      </c>
      <c r="H12549" s="31" t="n">
        <f aca="false">IF(G12808=1,$C$12486,IF(Assumptions!$I$61=1,MAX(H12484,Assumptions!$G$61)+Assumptions!$F$61+$C$12485,Assumptions!$E$61))</f>
        <v>0.0395</v>
      </c>
      <c r="I12549" s="31" t="n">
        <f aca="false">IF(H12808=1,$C$12486,IF(Assumptions!$I$61=1,MAX(I12484,Assumptions!$G$61)+Assumptions!$F$61+$C$12485,Assumptions!$E$61))</f>
        <v>0.08</v>
      </c>
      <c r="J12549" s="31" t="n">
        <f aca="false">IF(I12808=1,$C$12486,IF(Assumptions!$I$61=1,MAX(J12484,Assumptions!$G$61)+Assumptions!$F$61+$C$12485,Assumptions!$E$61))</f>
        <v>0.08</v>
      </c>
      <c r="K12549" s="31" t="n">
        <f aca="false">IF(J12808=1,$C$12486,IF(Assumptions!$I$61=1,MAX(K12484,Assumptions!$G$61)+Assumptions!$F$61+$C$12485,Assumptions!$E$61))</f>
        <v>0.08</v>
      </c>
    </row>
    <row r="12550" customFormat="false" ht="15" hidden="false" customHeight="false" outlineLevel="0" collapsed="false">
      <c r="A12550" s="3" t="s">
        <v>332</v>
      </c>
      <c r="G12550" s="16" t="n">
        <f aca="false">G12546*G12549</f>
        <v>17.775</v>
      </c>
      <c r="H12550" s="16" t="n">
        <f aca="false">H12546*H12549</f>
        <v>17.775</v>
      </c>
      <c r="I12550" s="16" t="n">
        <f aca="false">I12546*I12549</f>
        <v>33.801352756384</v>
      </c>
      <c r="J12550" s="16" t="n">
        <f aca="false">J12546*J12549</f>
        <v>33.801352756384</v>
      </c>
      <c r="K12550" s="16" t="n">
        <f aca="false">K12546*K12549</f>
        <v>33.801352756384</v>
      </c>
    </row>
    <row r="12551" customFormat="false" ht="15" hidden="false" customHeight="false" outlineLevel="0" collapsed="false">
      <c r="A12551" s="3" t="s">
        <v>333</v>
      </c>
      <c r="G12551" s="16" t="n">
        <f aca="false">G12546*Assumptions!$H$61</f>
        <v>0</v>
      </c>
      <c r="H12551" s="16" t="n">
        <f aca="false">H12546*Assumptions!$H$61</f>
        <v>0</v>
      </c>
      <c r="I12551" s="16" t="n">
        <f aca="false">I12546*Assumptions!$H$61</f>
        <v>0</v>
      </c>
      <c r="J12551" s="16" t="n">
        <f aca="false">J12546*Assumptions!$H$61</f>
        <v>0</v>
      </c>
      <c r="K12551" s="16" t="n">
        <f aca="false">K12546*Assumptions!$H$61</f>
        <v>0</v>
      </c>
    </row>
    <row r="12552" customFormat="false" ht="15" hidden="false" customHeight="false" outlineLevel="0" collapsed="false">
      <c r="A12552" s="3" t="s">
        <v>334</v>
      </c>
      <c r="G12552" s="16" t="n">
        <f aca="false">MIN(G12546,Assumptions!$L$61*Assumptions!$C$61)</f>
        <v>0</v>
      </c>
      <c r="H12552" s="16" t="n">
        <f aca="false">MIN(H12546,Assumptions!$L$61*Assumptions!$C$61)</f>
        <v>0</v>
      </c>
      <c r="I12552" s="16" t="n">
        <f aca="false">MIN(I12546,Assumptions!$L$61*Assumptions!$C$61)</f>
        <v>0</v>
      </c>
      <c r="J12552" s="16" t="n">
        <f aca="false">MIN(J12546,Assumptions!$L$61*Assumptions!$C$61)</f>
        <v>0</v>
      </c>
      <c r="K12552" s="16" t="n">
        <f aca="false">MIN(K12546,Assumptions!$L$61*Assumptions!$C$61)</f>
        <v>0</v>
      </c>
    </row>
    <row r="12553" customFormat="false" ht="15" hidden="false" customHeight="false" outlineLevel="0" collapsed="false">
      <c r="A12553" s="3" t="s">
        <v>335</v>
      </c>
      <c r="G12553" s="16" t="n">
        <f aca="false">IF(AND(Assumptions!$P$61=1,G12458&lt;Assumptions!$K$61),MIN(MAX(0,-G12674),MAX(0,Assumptions!$D$61-G12546)),0)</f>
        <v>0</v>
      </c>
      <c r="H12553" s="16" t="n">
        <f aca="false">IF(AND(Assumptions!$P$61=1,OR(H12458&lt;Assumptions!$K$61,G12808=1)),MIN(MAX(0,-H12674),MAX(0,Assumptions!$D$61-H12546)),0)</f>
        <v>0</v>
      </c>
      <c r="I12553" s="16" t="n">
        <f aca="false">IF(AND(Assumptions!$P$61=1,OR(I12458&lt;Assumptions!$K$61,H12808=1)),MIN(MAX(0,-I12674),MAX(0,Assumptions!$D$61-I12546)),0)</f>
        <v>0</v>
      </c>
      <c r="J12553" s="16" t="n">
        <f aca="false">IF(AND(Assumptions!$P$61=1,OR(J12458&lt;Assumptions!$K$61,I12808=1)),MIN(MAX(0,-J12674),MAX(0,Assumptions!$D$61-J12546)),0)</f>
        <v>0</v>
      </c>
      <c r="K12553" s="16" t="n">
        <f aca="false">IF(AND(Assumptions!$P$61=1,OR(K12458&lt;Assumptions!$K$61,J12808=1)),MIN(MAX(0,-K12674),MAX(0,Assumptions!$D$61-K12546)),0)</f>
        <v>0</v>
      </c>
    </row>
    <row r="12554" customFormat="false" ht="15" hidden="false" customHeight="false" outlineLevel="0" collapsed="false">
      <c r="A12554" s="3" t="s">
        <v>336</v>
      </c>
      <c r="G12554" s="16" t="n">
        <f aca="false">G12547*MIN(G12546-G12552+G12551,MAX(0,G12676-Assumptions!$C$12*G12492-G12502-G12515-G12528-G12541))</f>
        <v>0</v>
      </c>
      <c r="H12554" s="16" t="n">
        <f aca="false">H12547*MIN(H12546-H12552+H12551,MAX(0,H12676-Assumptions!$C$12*H12492-H12502-H12515-H12528-H12541))</f>
        <v>27.4830905452</v>
      </c>
      <c r="I12554" s="16" t="n">
        <f aca="false">I12547*MIN(I12546-I12552+I12551,MAX(0,I12676-Assumptions!$C$12*I12492-I12502-I12515-I12528-I12541))</f>
        <v>0</v>
      </c>
      <c r="J12554" s="16" t="n">
        <f aca="false">J12547*MIN(J12546-J12552+J12551,MAX(0,J12676-Assumptions!$C$12*J12492-J12502-J12515-J12528-J12541))</f>
        <v>0</v>
      </c>
      <c r="K12554" s="16" t="n">
        <f aca="false">K12547*MIN(K12546-K12552+K12551,MAX(0,K12676-Assumptions!$C$12*K12492-K12502-K12515-K12528-K12541))</f>
        <v>0</v>
      </c>
    </row>
    <row r="12555" customFormat="false" ht="15" hidden="false" customHeight="false" outlineLevel="0" collapsed="false">
      <c r="A12555" s="3" t="s">
        <v>337</v>
      </c>
      <c r="G12555" s="16" t="n">
        <f aca="false">Assumptions!$N$61*MIN(G12546+G12553+G12551-G12552-G12554,MAX(0,G12680-G12503-G12516-G12529-G12542))</f>
        <v>0</v>
      </c>
      <c r="H12555" s="16" t="n">
        <f aca="false">Assumptions!$N$61*MIN(H12546+H12553+H12551-H12552-H12554,MAX(0,H12680-H12503-H12516-H12529-H12542))</f>
        <v>0</v>
      </c>
      <c r="I12555" s="16" t="n">
        <f aca="false">Assumptions!$N$61*MIN(I12546+I12553+I12551-I12552-I12554,MAX(0,I12680-I12503-I12516-I12529-I12542))</f>
        <v>0</v>
      </c>
      <c r="J12555" s="16" t="n">
        <f aca="false">Assumptions!$N$61*MIN(J12546+J12553+J12551-J12552-J12554,MAX(0,J12680-J12503-J12516-J12529-J12542))</f>
        <v>0</v>
      </c>
      <c r="K12555" s="16" t="n">
        <f aca="false">Assumptions!$N$61*MIN(K12546+K12553+K12551-K12552-K12554,MAX(0,K12680-K12503-K12516-K12529-K12542))</f>
        <v>0</v>
      </c>
    </row>
    <row r="12556" customFormat="false" ht="15" hidden="false" customHeight="false" outlineLevel="0" collapsed="false">
      <c r="A12556" s="3" t="s">
        <v>338</v>
      </c>
      <c r="G12556" s="16" t="n">
        <f aca="false">G12547*(1-G12492)*(G12546-G12552+G12551-G12554)</f>
        <v>0</v>
      </c>
      <c r="H12556" s="16" t="n">
        <f aca="false">H12547*(1-H12492)*(H12546-H12552+H12551-H12554)</f>
        <v>0</v>
      </c>
      <c r="I12556" s="16" t="n">
        <f aca="false">I12547*(1-I12492)*(I12546-I12552+I12551-I12554)</f>
        <v>0</v>
      </c>
      <c r="J12556" s="16" t="n">
        <f aca="false">J12547*(1-J12492)*(J12546-J12552+J12551-J12554)</f>
        <v>0</v>
      </c>
      <c r="K12556" s="16" t="n">
        <f aca="false">K12547*(1-K12492)*(K12546-K12552+K12551-K12554)</f>
        <v>0</v>
      </c>
    </row>
    <row r="12557" customFormat="false" ht="15" hidden="false" customHeight="false" outlineLevel="0" collapsed="false">
      <c r="A12557" s="2" t="s">
        <v>339</v>
      </c>
      <c r="F12557" s="28" t="n">
        <f aca="false">Assumptions!$C$61</f>
        <v>450</v>
      </c>
      <c r="G12557" s="17" t="n">
        <f aca="false">G12546+G12553+G12551-G12552-G12554-G12555</f>
        <v>450</v>
      </c>
      <c r="H12557" s="17" t="n">
        <f aca="false">H12546+H12553+H12551-H12552-H12554-H12555</f>
        <v>422.5169094548</v>
      </c>
      <c r="I12557" s="17" t="n">
        <f aca="false">I12546+I12553+I12551-I12552-I12554-I12555</f>
        <v>422.5169094548</v>
      </c>
      <c r="J12557" s="17" t="n">
        <f aca="false">J12546+J12553+J12551-J12552-J12554-J12555</f>
        <v>422.5169094548</v>
      </c>
      <c r="K12557" s="17" t="n">
        <f aca="false">K12546+K12553+K12551-K12552-K12554-K12555</f>
        <v>422.5169094548</v>
      </c>
    </row>
    <row r="12558" customFormat="false" ht="15" hidden="false" customHeight="false" outlineLevel="0" collapsed="false">
      <c r="A12558" s="24" t="s">
        <v>344</v>
      </c>
      <c r="B12558" s="25"/>
      <c r="C12558" s="25"/>
      <c r="D12558" s="25"/>
      <c r="E12558" s="25"/>
      <c r="F12558" s="25"/>
      <c r="G12558" s="25"/>
      <c r="H12558" s="25"/>
      <c r="I12558" s="25"/>
      <c r="J12558" s="25"/>
      <c r="K12558" s="25"/>
    </row>
    <row r="12559" customFormat="false" ht="15" hidden="false" customHeight="false" outlineLevel="0" collapsed="false">
      <c r="A12559" s="3" t="s">
        <v>329</v>
      </c>
      <c r="G12559" s="16" t="n">
        <f aca="false">F12570</f>
        <v>350</v>
      </c>
      <c r="H12559" s="16" t="n">
        <f aca="false">G12570</f>
        <v>350</v>
      </c>
      <c r="I12559" s="16" t="n">
        <f aca="false">H12570</f>
        <v>350</v>
      </c>
      <c r="J12559" s="16" t="n">
        <f aca="false">I12570</f>
        <v>350</v>
      </c>
      <c r="K12559" s="16" t="n">
        <f aca="false">J12570</f>
        <v>350</v>
      </c>
    </row>
    <row r="12560" customFormat="false" ht="15" hidden="false" customHeight="false" outlineLevel="0" collapsed="false">
      <c r="A12560" s="3" t="s">
        <v>330</v>
      </c>
      <c r="G12560" s="21" t="n">
        <f aca="false">IF(G12458=Assumptions!$K$62,1,0)</f>
        <v>0</v>
      </c>
      <c r="H12560" s="21" t="n">
        <f aca="false">IF(H12458=Assumptions!$K$62,1,0)</f>
        <v>1</v>
      </c>
      <c r="I12560" s="21" t="n">
        <f aca="false">IF(I12458=Assumptions!$K$62,1,0)</f>
        <v>0</v>
      </c>
      <c r="J12560" s="21" t="n">
        <f aca="false">IF(J12458=Assumptions!$K$62,1,0)</f>
        <v>0</v>
      </c>
      <c r="K12560" s="21" t="n">
        <f aca="false">IF(K12458=Assumptions!$K$62,1,0)</f>
        <v>0</v>
      </c>
    </row>
    <row r="12562" customFormat="false" ht="15" hidden="false" customHeight="false" outlineLevel="0" collapsed="false">
      <c r="A12562" s="3" t="s">
        <v>331</v>
      </c>
      <c r="G12562" s="31" t="n">
        <f aca="false">IF(Assumptions!$I$62=1,MAX(G12484,Assumptions!$G$62)+Assumptions!$F$62+$C$12485,Assumptions!$E$62)</f>
        <v>0.083</v>
      </c>
      <c r="H12562" s="31" t="n">
        <f aca="false">IF(G12809=1,$C$12486,IF(Assumptions!$I$62=1,MAX(H12484,Assumptions!$G$62)+Assumptions!$F$62+$C$12485,Assumptions!$E$62))</f>
        <v>0.083</v>
      </c>
      <c r="I12562" s="31" t="n">
        <f aca="false">IF(H12809=1,$C$12486,IF(Assumptions!$I$62=1,MAX(I12484,Assumptions!$G$62)+Assumptions!$F$62+$C$12485,Assumptions!$E$62))</f>
        <v>0.08</v>
      </c>
      <c r="J12562" s="31" t="n">
        <f aca="false">IF(I12809=1,$C$12486,IF(Assumptions!$I$62=1,MAX(J12484,Assumptions!$G$62)+Assumptions!$F$62+$C$12485,Assumptions!$E$62))</f>
        <v>0.08</v>
      </c>
      <c r="K12562" s="31" t="n">
        <f aca="false">IF(J12809=1,$C$12486,IF(Assumptions!$I$62=1,MAX(K12484,Assumptions!$G$62)+Assumptions!$F$62+$C$12485,Assumptions!$E$62))</f>
        <v>0.08</v>
      </c>
    </row>
    <row r="12563" customFormat="false" ht="15" hidden="false" customHeight="false" outlineLevel="0" collapsed="false">
      <c r="A12563" s="3" t="s">
        <v>332</v>
      </c>
      <c r="G12563" s="16" t="n">
        <f aca="false">G12559*G12562</f>
        <v>29.05</v>
      </c>
      <c r="H12563" s="16" t="n">
        <f aca="false">H12559*H12562</f>
        <v>29.05</v>
      </c>
      <c r="I12563" s="16" t="n">
        <f aca="false">I12559*I12562</f>
        <v>28</v>
      </c>
      <c r="J12563" s="16" t="n">
        <f aca="false">J12559*J12562</f>
        <v>28</v>
      </c>
      <c r="K12563" s="16" t="n">
        <f aca="false">K12559*K12562</f>
        <v>28</v>
      </c>
    </row>
    <row r="12564" customFormat="false" ht="15" hidden="false" customHeight="false" outlineLevel="0" collapsed="false">
      <c r="A12564" s="3" t="s">
        <v>333</v>
      </c>
      <c r="G12564" s="16" t="n">
        <f aca="false">G12559*Assumptions!$H$62</f>
        <v>0</v>
      </c>
      <c r="H12564" s="16" t="n">
        <f aca="false">H12559*Assumptions!$H$62</f>
        <v>0</v>
      </c>
      <c r="I12564" s="16" t="n">
        <f aca="false">I12559*Assumptions!$H$62</f>
        <v>0</v>
      </c>
      <c r="J12564" s="16" t="n">
        <f aca="false">J12559*Assumptions!$H$62</f>
        <v>0</v>
      </c>
      <c r="K12564" s="16" t="n">
        <f aca="false">K12559*Assumptions!$H$62</f>
        <v>0</v>
      </c>
    </row>
    <row r="12565" customFormat="false" ht="15" hidden="false" customHeight="false" outlineLevel="0" collapsed="false">
      <c r="A12565" s="3" t="s">
        <v>334</v>
      </c>
      <c r="G12565" s="16" t="n">
        <f aca="false">MIN(G12559,Assumptions!$L$62*Assumptions!$C$62)</f>
        <v>0</v>
      </c>
      <c r="H12565" s="16" t="n">
        <f aca="false">MIN(H12559,Assumptions!$L$62*Assumptions!$C$62)</f>
        <v>0</v>
      </c>
      <c r="I12565" s="16" t="n">
        <f aca="false">MIN(I12559,Assumptions!$L$62*Assumptions!$C$62)</f>
        <v>0</v>
      </c>
      <c r="J12565" s="16" t="n">
        <f aca="false">MIN(J12559,Assumptions!$L$62*Assumptions!$C$62)</f>
        <v>0</v>
      </c>
      <c r="K12565" s="16" t="n">
        <f aca="false">MIN(K12559,Assumptions!$L$62*Assumptions!$C$62)</f>
        <v>0</v>
      </c>
    </row>
    <row r="12566" customFormat="false" ht="15" hidden="false" customHeight="false" outlineLevel="0" collapsed="false">
      <c r="A12566" s="3" t="s">
        <v>335</v>
      </c>
      <c r="G12566" s="16" t="n">
        <f aca="false">IF(AND(Assumptions!$P$62=1,G12458&lt;Assumptions!$K$62),MIN(MAX(0,-G12674),MAX(0,Assumptions!$D$62-G12559)),0)</f>
        <v>0</v>
      </c>
      <c r="H12566" s="16" t="n">
        <f aca="false">IF(AND(Assumptions!$P$62=1,OR(H12458&lt;Assumptions!$K$62,G12809=1)),MIN(MAX(0,-H12674),MAX(0,Assumptions!$D$62-H12559)),0)</f>
        <v>0</v>
      </c>
      <c r="I12566" s="16" t="n">
        <f aca="false">IF(AND(Assumptions!$P$62=1,OR(I12458&lt;Assumptions!$K$62,H12809=1)),MIN(MAX(0,-I12674),MAX(0,Assumptions!$D$62-I12559)),0)</f>
        <v>0</v>
      </c>
      <c r="J12566" s="16" t="n">
        <f aca="false">IF(AND(Assumptions!$P$62=1,OR(J12458&lt;Assumptions!$K$62,I12809=1)),MIN(MAX(0,-J12674),MAX(0,Assumptions!$D$62-J12559)),0)</f>
        <v>0</v>
      </c>
      <c r="K12566" s="16" t="n">
        <f aca="false">IF(AND(Assumptions!$P$62=1,OR(K12458&lt;Assumptions!$K$62,J12809=1)),MIN(MAX(0,-K12674),MAX(0,Assumptions!$D$62-K12559)),0)</f>
        <v>0</v>
      </c>
    </row>
    <row r="12567" customFormat="false" ht="15" hidden="false" customHeight="false" outlineLevel="0" collapsed="false">
      <c r="A12567" s="3" t="s">
        <v>336</v>
      </c>
      <c r="G12567" s="16" t="n">
        <f aca="false">G12560*MIN(G12559-G12565+G12564,MAX(0,G12676-Assumptions!$C$12*G12492-G12502-G12515-G12528-G12541-G12554))</f>
        <v>0</v>
      </c>
      <c r="H12567" s="16" t="n">
        <f aca="false">H12560*MIN(H12559-H12565+H12564,MAX(0,H12676-Assumptions!$C$12*H12492-H12502-H12515-H12528-H12541-H12554))</f>
        <v>0</v>
      </c>
      <c r="I12567" s="16" t="n">
        <f aca="false">I12560*MIN(I12559-I12565+I12564,MAX(0,I12676-Assumptions!$C$12*I12492-I12502-I12515-I12528-I12541-I12554))</f>
        <v>0</v>
      </c>
      <c r="J12567" s="16" t="n">
        <f aca="false">J12560*MIN(J12559-J12565+J12564,MAX(0,J12676-Assumptions!$C$12*J12492-J12502-J12515-J12528-J12541-J12554))</f>
        <v>0</v>
      </c>
      <c r="K12567" s="16" t="n">
        <f aca="false">K12560*MIN(K12559-K12565+K12564,MAX(0,K12676-Assumptions!$C$12*K12492-K12502-K12515-K12528-K12541-K12554))</f>
        <v>0</v>
      </c>
    </row>
    <row r="12568" customFormat="false" ht="15" hidden="false" customHeight="false" outlineLevel="0" collapsed="false">
      <c r="A12568" s="3" t="s">
        <v>337</v>
      </c>
      <c r="G12568" s="16" t="n">
        <f aca="false">Assumptions!$N$62*MIN(G12559+G12566+G12564-G12565-G12567,MAX(0,G12680-G12503-G12516-G12529-G12542-G12555))</f>
        <v>0</v>
      </c>
      <c r="H12568" s="16" t="n">
        <f aca="false">Assumptions!$N$62*MIN(H12559+H12566+H12564-H12565-H12567,MAX(0,H12680-H12503-H12516-H12529-H12542-H12555))</f>
        <v>0</v>
      </c>
      <c r="I12568" s="16" t="n">
        <f aca="false">Assumptions!$N$62*MIN(I12559+I12566+I12564-I12565-I12567,MAX(0,I12680-I12503-I12516-I12529-I12542-I12555))</f>
        <v>0</v>
      </c>
      <c r="J12568" s="16" t="n">
        <f aca="false">Assumptions!$N$62*MIN(J12559+J12566+J12564-J12565-J12567,MAX(0,J12680-J12503-J12516-J12529-J12542-J12555))</f>
        <v>0</v>
      </c>
      <c r="K12568" s="16" t="n">
        <f aca="false">Assumptions!$N$62*MIN(K12559+K12566+K12564-K12565-K12567,MAX(0,K12680-K12503-K12516-K12529-K12542-K12555))</f>
        <v>0</v>
      </c>
    </row>
    <row r="12569" customFormat="false" ht="15" hidden="false" customHeight="false" outlineLevel="0" collapsed="false">
      <c r="A12569" s="3" t="s">
        <v>338</v>
      </c>
      <c r="G12569" s="16" t="n">
        <f aca="false">G12560*(1-G12492)*(G12559-G12565+G12564-G12567)</f>
        <v>0</v>
      </c>
      <c r="H12569" s="16" t="n">
        <f aca="false">H12560*(1-H12492)*(H12559-H12565+H12564-H12567)</f>
        <v>0</v>
      </c>
      <c r="I12569" s="16" t="n">
        <f aca="false">I12560*(1-I12492)*(I12559-I12565+I12564-I12567)</f>
        <v>0</v>
      </c>
      <c r="J12569" s="16" t="n">
        <f aca="false">J12560*(1-J12492)*(J12559-J12565+J12564-J12567)</f>
        <v>0</v>
      </c>
      <c r="K12569" s="16" t="n">
        <f aca="false">K12560*(1-K12492)*(K12559-K12565+K12564-K12567)</f>
        <v>0</v>
      </c>
    </row>
    <row r="12570" customFormat="false" ht="15" hidden="false" customHeight="false" outlineLevel="0" collapsed="false">
      <c r="A12570" s="2" t="s">
        <v>339</v>
      </c>
      <c r="F12570" s="28" t="n">
        <f aca="false">Assumptions!$C$62</f>
        <v>350</v>
      </c>
      <c r="G12570" s="17" t="n">
        <f aca="false">G12559+G12566+G12564-G12565-G12567-G12568</f>
        <v>350</v>
      </c>
      <c r="H12570" s="17" t="n">
        <f aca="false">H12559+H12566+H12564-H12565-H12567-H12568</f>
        <v>350</v>
      </c>
      <c r="I12570" s="17" t="n">
        <f aca="false">I12559+I12566+I12564-I12565-I12567-I12568</f>
        <v>350</v>
      </c>
      <c r="J12570" s="17" t="n">
        <f aca="false">J12559+J12566+J12564-J12565-J12567-J12568</f>
        <v>350</v>
      </c>
      <c r="K12570" s="17" t="n">
        <f aca="false">K12559+K12566+K12564-K12565-K12567-K12568</f>
        <v>350</v>
      </c>
    </row>
    <row r="12571" customFormat="false" ht="15" hidden="false" customHeight="false" outlineLevel="0" collapsed="false">
      <c r="A12571" s="24" t="s">
        <v>345</v>
      </c>
      <c r="B12571" s="25"/>
      <c r="C12571" s="25"/>
      <c r="D12571" s="25"/>
      <c r="E12571" s="25"/>
      <c r="F12571" s="25"/>
      <c r="G12571" s="25"/>
      <c r="H12571" s="25"/>
      <c r="I12571" s="25"/>
      <c r="J12571" s="25"/>
      <c r="K12571" s="25"/>
    </row>
    <row r="12572" customFormat="false" ht="15" hidden="false" customHeight="false" outlineLevel="0" collapsed="false">
      <c r="A12572" s="3" t="s">
        <v>329</v>
      </c>
      <c r="G12572" s="16" t="n">
        <f aca="false">F12583</f>
        <v>550</v>
      </c>
      <c r="H12572" s="16" t="n">
        <f aca="false">G12583</f>
        <v>550</v>
      </c>
      <c r="I12572" s="16" t="n">
        <f aca="false">H12583</f>
        <v>550</v>
      </c>
      <c r="J12572" s="16" t="n">
        <f aca="false">I12583</f>
        <v>550</v>
      </c>
      <c r="K12572" s="16" t="n">
        <f aca="false">J12583</f>
        <v>550</v>
      </c>
    </row>
    <row r="12573" customFormat="false" ht="15" hidden="false" customHeight="false" outlineLevel="0" collapsed="false">
      <c r="A12573" s="3" t="s">
        <v>330</v>
      </c>
      <c r="G12573" s="21" t="n">
        <f aca="false">IF(G12458=Assumptions!$K$63,1,0)</f>
        <v>0</v>
      </c>
      <c r="H12573" s="21" t="n">
        <f aca="false">IF(H12458=Assumptions!$K$63,1,0)</f>
        <v>0</v>
      </c>
      <c r="I12573" s="21" t="n">
        <f aca="false">IF(I12458=Assumptions!$K$63,1,0)</f>
        <v>1</v>
      </c>
      <c r="J12573" s="21" t="n">
        <f aca="false">IF(J12458=Assumptions!$K$63,1,0)</f>
        <v>0</v>
      </c>
      <c r="K12573" s="21" t="n">
        <f aca="false">IF(K12458=Assumptions!$K$63,1,0)</f>
        <v>0</v>
      </c>
    </row>
    <row r="12575" customFormat="false" ht="15" hidden="false" customHeight="false" outlineLevel="0" collapsed="false">
      <c r="A12575" s="3" t="s">
        <v>331</v>
      </c>
      <c r="G12575" s="31" t="n">
        <f aca="false">IF(Assumptions!$I$63=1,MAX(G12484,Assumptions!$G$63)+Assumptions!$F$63+$C$12485,Assumptions!$E$63)</f>
        <v>0.08875</v>
      </c>
      <c r="H12575" s="31" t="n">
        <f aca="false">IF(G12810=1,$C$12486,IF(Assumptions!$I$63=1,MAX(H12484,Assumptions!$G$63)+Assumptions!$F$63+$C$12485,Assumptions!$E$63))</f>
        <v>0.08875</v>
      </c>
      <c r="I12575" s="31" t="n">
        <f aca="false">IF(H12810=1,$C$12486,IF(Assumptions!$I$63=1,MAX(I12484,Assumptions!$G$63)+Assumptions!$F$63+$C$12485,Assumptions!$E$63))</f>
        <v>0.08875</v>
      </c>
      <c r="J12575" s="31" t="n">
        <f aca="false">IF(I12810=1,$C$12486,IF(Assumptions!$I$63=1,MAX(J12484,Assumptions!$G$63)+Assumptions!$F$63+$C$12485,Assumptions!$E$63))</f>
        <v>0.08875</v>
      </c>
      <c r="K12575" s="31" t="n">
        <f aca="false">IF(J12810=1,$C$12486,IF(Assumptions!$I$63=1,MAX(K12484,Assumptions!$G$63)+Assumptions!$F$63+$C$12485,Assumptions!$E$63))</f>
        <v>0.08875</v>
      </c>
    </row>
    <row r="12576" customFormat="false" ht="15" hidden="false" customHeight="false" outlineLevel="0" collapsed="false">
      <c r="A12576" s="3" t="s">
        <v>332</v>
      </c>
      <c r="G12576" s="16" t="n">
        <f aca="false">G12572*G12575</f>
        <v>48.8125</v>
      </c>
      <c r="H12576" s="16" t="n">
        <f aca="false">H12572*H12575</f>
        <v>48.8125</v>
      </c>
      <c r="I12576" s="16" t="n">
        <f aca="false">I12572*I12575</f>
        <v>48.8125</v>
      </c>
      <c r="J12576" s="16" t="n">
        <f aca="false">J12572*J12575</f>
        <v>48.8125</v>
      </c>
      <c r="K12576" s="16" t="n">
        <f aca="false">K12572*K12575</f>
        <v>48.8125</v>
      </c>
    </row>
    <row r="12577" customFormat="false" ht="15" hidden="false" customHeight="false" outlineLevel="0" collapsed="false">
      <c r="A12577" s="3" t="s">
        <v>333</v>
      </c>
      <c r="G12577" s="16" t="n">
        <f aca="false">G12572*Assumptions!$H$63</f>
        <v>0</v>
      </c>
      <c r="H12577" s="16" t="n">
        <f aca="false">H12572*Assumptions!$H$63</f>
        <v>0</v>
      </c>
      <c r="I12577" s="16" t="n">
        <f aca="false">I12572*Assumptions!$H$63</f>
        <v>0</v>
      </c>
      <c r="J12577" s="16" t="n">
        <f aca="false">J12572*Assumptions!$H$63</f>
        <v>0</v>
      </c>
      <c r="K12577" s="16" t="n">
        <f aca="false">K12572*Assumptions!$H$63</f>
        <v>0</v>
      </c>
    </row>
    <row r="12578" customFormat="false" ht="15" hidden="false" customHeight="false" outlineLevel="0" collapsed="false">
      <c r="A12578" s="3" t="s">
        <v>334</v>
      </c>
      <c r="G12578" s="16" t="n">
        <f aca="false">MIN(G12572,Assumptions!$L$63*Assumptions!$C$63)</f>
        <v>0</v>
      </c>
      <c r="H12578" s="16" t="n">
        <f aca="false">MIN(H12572,Assumptions!$L$63*Assumptions!$C$63)</f>
        <v>0</v>
      </c>
      <c r="I12578" s="16" t="n">
        <f aca="false">MIN(I12572,Assumptions!$L$63*Assumptions!$C$63)</f>
        <v>0</v>
      </c>
      <c r="J12578" s="16" t="n">
        <f aca="false">MIN(J12572,Assumptions!$L$63*Assumptions!$C$63)</f>
        <v>0</v>
      </c>
      <c r="K12578" s="16" t="n">
        <f aca="false">MIN(K12572,Assumptions!$L$63*Assumptions!$C$63)</f>
        <v>0</v>
      </c>
    </row>
    <row r="12579" customFormat="false" ht="15" hidden="false" customHeight="false" outlineLevel="0" collapsed="false">
      <c r="A12579" s="3" t="s">
        <v>335</v>
      </c>
      <c r="G12579" s="16" t="n">
        <f aca="false">IF(AND(Assumptions!$P$63=1,G12458&lt;Assumptions!$K$63),MIN(MAX(0,-G12674),MAX(0,Assumptions!$D$63-G12572)),0)</f>
        <v>0</v>
      </c>
      <c r="H12579" s="16" t="n">
        <f aca="false">IF(AND(Assumptions!$P$63=1,OR(H12458&lt;Assumptions!$K$63,G12810=1)),MIN(MAX(0,-H12674),MAX(0,Assumptions!$D$63-H12572)),0)</f>
        <v>0</v>
      </c>
      <c r="I12579" s="16" t="n">
        <f aca="false">IF(AND(Assumptions!$P$63=1,OR(I12458&lt;Assumptions!$K$63,H12810=1)),MIN(MAX(0,-I12674),MAX(0,Assumptions!$D$63-I12572)),0)</f>
        <v>0</v>
      </c>
      <c r="J12579" s="16" t="n">
        <f aca="false">IF(AND(Assumptions!$P$63=1,OR(J12458&lt;Assumptions!$K$63,I12810=1)),MIN(MAX(0,-J12674),MAX(0,Assumptions!$D$63-J12572)),0)</f>
        <v>0</v>
      </c>
      <c r="K12579" s="16" t="n">
        <f aca="false">IF(AND(Assumptions!$P$63=1,OR(K12458&lt;Assumptions!$K$63,J12810=1)),MIN(MAX(0,-K12674),MAX(0,Assumptions!$D$63-K12572)),0)</f>
        <v>0</v>
      </c>
    </row>
    <row r="12580" customFormat="false" ht="15" hidden="false" customHeight="false" outlineLevel="0" collapsed="false">
      <c r="A12580" s="3" t="s">
        <v>336</v>
      </c>
      <c r="G12580" s="16" t="n">
        <f aca="false">G12573*MIN(G12572-G12578+G12577,MAX(0,G12676-Assumptions!$C$12*G12492-G12502-G12515-G12528-G12541-G12554-G12567))</f>
        <v>0</v>
      </c>
      <c r="H12580" s="16" t="n">
        <f aca="false">H12573*MIN(H12572-H12578+H12577,MAX(0,H12676-Assumptions!$C$12*H12492-H12502-H12515-H12528-H12541-H12554-H12567))</f>
        <v>0</v>
      </c>
      <c r="I12580" s="16" t="n">
        <f aca="false">I12573*MIN(I12572-I12578+I12577,MAX(0,I12676-Assumptions!$C$12*I12492-I12502-I12515-I12528-I12541-I12554-I12567))</f>
        <v>0</v>
      </c>
      <c r="J12580" s="16" t="n">
        <f aca="false">J12573*MIN(J12572-J12578+J12577,MAX(0,J12676-Assumptions!$C$12*J12492-J12502-J12515-J12528-J12541-J12554-J12567))</f>
        <v>0</v>
      </c>
      <c r="K12580" s="16" t="n">
        <f aca="false">K12573*MIN(K12572-K12578+K12577,MAX(0,K12676-Assumptions!$C$12*K12492-K12502-K12515-K12528-K12541-K12554-K12567))</f>
        <v>0</v>
      </c>
    </row>
    <row r="12581" customFormat="false" ht="15" hidden="false" customHeight="false" outlineLevel="0" collapsed="false">
      <c r="A12581" s="3" t="s">
        <v>337</v>
      </c>
      <c r="G12581" s="16" t="n">
        <f aca="false">Assumptions!$N$63*MIN(G12572+G12579+G12577-G12578-G12580,MAX(0,G12680-G12503-G12516-G12529-G12542-G12555-G12568))</f>
        <v>0</v>
      </c>
      <c r="H12581" s="16" t="n">
        <f aca="false">Assumptions!$N$63*MIN(H12572+H12579+H12577-H12578-H12580,MAX(0,H12680-H12503-H12516-H12529-H12542-H12555-H12568))</f>
        <v>0</v>
      </c>
      <c r="I12581" s="16" t="n">
        <f aca="false">Assumptions!$N$63*MIN(I12572+I12579+I12577-I12578-I12580,MAX(0,I12680-I12503-I12516-I12529-I12542-I12555-I12568))</f>
        <v>0</v>
      </c>
      <c r="J12581" s="16" t="n">
        <f aca="false">Assumptions!$N$63*MIN(J12572+J12579+J12577-J12578-J12580,MAX(0,J12680-J12503-J12516-J12529-J12542-J12555-J12568))</f>
        <v>0</v>
      </c>
      <c r="K12581" s="16" t="n">
        <f aca="false">Assumptions!$N$63*MIN(K12572+K12579+K12577-K12578-K12580,MAX(0,K12680-K12503-K12516-K12529-K12542-K12555-K12568))</f>
        <v>0</v>
      </c>
    </row>
    <row r="12582" customFormat="false" ht="15" hidden="false" customHeight="false" outlineLevel="0" collapsed="false">
      <c r="A12582" s="3" t="s">
        <v>338</v>
      </c>
      <c r="G12582" s="16" t="n">
        <f aca="false">G12573*(1-G12492)*(G12572-G12578+G12577-G12580)</f>
        <v>0</v>
      </c>
      <c r="H12582" s="16" t="n">
        <f aca="false">H12573*(1-H12492)*(H12572-H12578+H12577-H12580)</f>
        <v>0</v>
      </c>
      <c r="I12582" s="16" t="n">
        <f aca="false">I12573*(1-I12492)*(I12572-I12578+I12577-I12580)</f>
        <v>550</v>
      </c>
      <c r="J12582" s="16" t="n">
        <f aca="false">J12573*(1-J12492)*(J12572-J12578+J12577-J12580)</f>
        <v>0</v>
      </c>
      <c r="K12582" s="16" t="n">
        <f aca="false">K12573*(1-K12492)*(K12572-K12578+K12577-K12580)</f>
        <v>0</v>
      </c>
    </row>
    <row r="12583" customFormat="false" ht="15" hidden="false" customHeight="false" outlineLevel="0" collapsed="false">
      <c r="A12583" s="2" t="s">
        <v>339</v>
      </c>
      <c r="F12583" s="28" t="n">
        <f aca="false">Assumptions!$C$63</f>
        <v>550</v>
      </c>
      <c r="G12583" s="17" t="n">
        <f aca="false">G12572+G12579+G12577-G12578-G12580-G12581</f>
        <v>550</v>
      </c>
      <c r="H12583" s="17" t="n">
        <f aca="false">H12572+H12579+H12577-H12578-H12580-H12581</f>
        <v>550</v>
      </c>
      <c r="I12583" s="17" t="n">
        <f aca="false">I12572+I12579+I12577-I12578-I12580-I12581</f>
        <v>550</v>
      </c>
      <c r="J12583" s="17" t="n">
        <f aca="false">J12572+J12579+J12577-J12578-J12580-J12581</f>
        <v>550</v>
      </c>
      <c r="K12583" s="17" t="n">
        <f aca="false">K12572+K12579+K12577-K12578-K12580-K12581</f>
        <v>550</v>
      </c>
    </row>
    <row r="12584" customFormat="false" ht="15" hidden="false" customHeight="false" outlineLevel="0" collapsed="false">
      <c r="A12584" s="24" t="s">
        <v>346</v>
      </c>
      <c r="B12584" s="25"/>
      <c r="C12584" s="25"/>
      <c r="D12584" s="25"/>
      <c r="E12584" s="25"/>
      <c r="F12584" s="25"/>
      <c r="G12584" s="25"/>
      <c r="H12584" s="25"/>
      <c r="I12584" s="25"/>
      <c r="J12584" s="25"/>
      <c r="K12584" s="25"/>
    </row>
    <row r="12585" customFormat="false" ht="15" hidden="false" customHeight="false" outlineLevel="0" collapsed="false">
      <c r="A12585" s="3" t="s">
        <v>329</v>
      </c>
      <c r="G12585" s="16" t="n">
        <f aca="false">F12596</f>
        <v>350</v>
      </c>
      <c r="H12585" s="16" t="n">
        <f aca="false">G12596</f>
        <v>350</v>
      </c>
      <c r="I12585" s="16" t="n">
        <f aca="false">H12596</f>
        <v>350</v>
      </c>
      <c r="J12585" s="16" t="n">
        <f aca="false">I12596</f>
        <v>350</v>
      </c>
      <c r="K12585" s="16" t="n">
        <f aca="false">J12596</f>
        <v>350</v>
      </c>
    </row>
    <row r="12586" customFormat="false" ht="15" hidden="false" customHeight="false" outlineLevel="0" collapsed="false">
      <c r="A12586" s="3" t="s">
        <v>330</v>
      </c>
      <c r="G12586" s="21" t="n">
        <f aca="false">IF(G12458=Assumptions!$K$64,1,0)</f>
        <v>0</v>
      </c>
      <c r="H12586" s="21" t="n">
        <f aca="false">IF(H12458=Assumptions!$K$64,1,0)</f>
        <v>0</v>
      </c>
      <c r="I12586" s="21" t="n">
        <f aca="false">IF(I12458=Assumptions!$K$64,1,0)</f>
        <v>0</v>
      </c>
      <c r="J12586" s="21" t="n">
        <f aca="false">IF(J12458=Assumptions!$K$64,1,0)</f>
        <v>1</v>
      </c>
      <c r="K12586" s="21" t="n">
        <f aca="false">IF(K12458=Assumptions!$K$64,1,0)</f>
        <v>0</v>
      </c>
    </row>
    <row r="12588" customFormat="false" ht="15" hidden="false" customHeight="false" outlineLevel="0" collapsed="false">
      <c r="A12588" s="3" t="s">
        <v>331</v>
      </c>
      <c r="G12588" s="31" t="n">
        <f aca="false">IF(Assumptions!$I$64=1,MAX(G12484,Assumptions!$G$64)+Assumptions!$F$64+$C$12485,Assumptions!$E$64)</f>
        <v>0.0455</v>
      </c>
      <c r="H12588" s="31" t="n">
        <f aca="false">IF(G12811=1,$C$12486,IF(Assumptions!$I$64=1,MAX(H12484,Assumptions!$G$64)+Assumptions!$F$64+$C$12485,Assumptions!$E$64))</f>
        <v>0.0455</v>
      </c>
      <c r="I12588" s="31" t="n">
        <f aca="false">IF(H12811=1,$C$12486,IF(Assumptions!$I$64=1,MAX(I12484,Assumptions!$G$64)+Assumptions!$F$64+$C$12485,Assumptions!$E$64))</f>
        <v>0.0455</v>
      </c>
      <c r="J12588" s="31" t="n">
        <f aca="false">IF(I12811=1,$C$12486,IF(Assumptions!$I$64=1,MAX(J12484,Assumptions!$G$64)+Assumptions!$F$64+$C$12485,Assumptions!$E$64))</f>
        <v>0.0455</v>
      </c>
      <c r="K12588" s="31" t="n">
        <f aca="false">IF(J12811=1,$C$12486,IF(Assumptions!$I$64=1,MAX(K12484,Assumptions!$G$64)+Assumptions!$F$64+$C$12485,Assumptions!$E$64))</f>
        <v>0.0455</v>
      </c>
    </row>
    <row r="12589" customFormat="false" ht="15" hidden="false" customHeight="false" outlineLevel="0" collapsed="false">
      <c r="A12589" s="3" t="s">
        <v>332</v>
      </c>
      <c r="G12589" s="16" t="n">
        <f aca="false">G12585*G12588</f>
        <v>15.925</v>
      </c>
      <c r="H12589" s="16" t="n">
        <f aca="false">H12585*H12588</f>
        <v>15.925</v>
      </c>
      <c r="I12589" s="16" t="n">
        <f aca="false">I12585*I12588</f>
        <v>15.925</v>
      </c>
      <c r="J12589" s="16" t="n">
        <f aca="false">J12585*J12588</f>
        <v>15.925</v>
      </c>
      <c r="K12589" s="16" t="n">
        <f aca="false">K12585*K12588</f>
        <v>15.925</v>
      </c>
    </row>
    <row r="12590" customFormat="false" ht="15" hidden="false" customHeight="false" outlineLevel="0" collapsed="false">
      <c r="A12590" s="3" t="s">
        <v>333</v>
      </c>
      <c r="G12590" s="16" t="n">
        <f aca="false">G12585*Assumptions!$H$64</f>
        <v>0</v>
      </c>
      <c r="H12590" s="16" t="n">
        <f aca="false">H12585*Assumptions!$H$64</f>
        <v>0</v>
      </c>
      <c r="I12590" s="16" t="n">
        <f aca="false">I12585*Assumptions!$H$64</f>
        <v>0</v>
      </c>
      <c r="J12590" s="16" t="n">
        <f aca="false">J12585*Assumptions!$H$64</f>
        <v>0</v>
      </c>
      <c r="K12590" s="16" t="n">
        <f aca="false">K12585*Assumptions!$H$64</f>
        <v>0</v>
      </c>
    </row>
    <row r="12591" customFormat="false" ht="15" hidden="false" customHeight="false" outlineLevel="0" collapsed="false">
      <c r="A12591" s="3" t="s">
        <v>334</v>
      </c>
      <c r="G12591" s="16" t="n">
        <f aca="false">MIN(G12585,Assumptions!$L$64*Assumptions!$C$64)</f>
        <v>0</v>
      </c>
      <c r="H12591" s="16" t="n">
        <f aca="false">MIN(H12585,Assumptions!$L$64*Assumptions!$C$64)</f>
        <v>0</v>
      </c>
      <c r="I12591" s="16" t="n">
        <f aca="false">MIN(I12585,Assumptions!$L$64*Assumptions!$C$64)</f>
        <v>0</v>
      </c>
      <c r="J12591" s="16" t="n">
        <f aca="false">MIN(J12585,Assumptions!$L$64*Assumptions!$C$64)</f>
        <v>0</v>
      </c>
      <c r="K12591" s="16" t="n">
        <f aca="false">MIN(K12585,Assumptions!$L$64*Assumptions!$C$64)</f>
        <v>0</v>
      </c>
    </row>
    <row r="12592" customFormat="false" ht="15" hidden="false" customHeight="false" outlineLevel="0" collapsed="false">
      <c r="A12592" s="3" t="s">
        <v>335</v>
      </c>
      <c r="G12592" s="16" t="n">
        <f aca="false">IF(AND(Assumptions!$P$64=1,G12458&lt;Assumptions!$K$64),MIN(MAX(0,-G12674),MAX(0,Assumptions!$D$64-G12585)),0)</f>
        <v>0</v>
      </c>
      <c r="H12592" s="16" t="n">
        <f aca="false">IF(AND(Assumptions!$P$64=1,OR(H12458&lt;Assumptions!$K$64,G12811=1)),MIN(MAX(0,-H12674),MAX(0,Assumptions!$D$64-H12585)),0)</f>
        <v>0</v>
      </c>
      <c r="I12592" s="16" t="n">
        <f aca="false">IF(AND(Assumptions!$P$64=1,OR(I12458&lt;Assumptions!$K$64,H12811=1)),MIN(MAX(0,-I12674),MAX(0,Assumptions!$D$64-I12585)),0)</f>
        <v>0</v>
      </c>
      <c r="J12592" s="16" t="n">
        <f aca="false">IF(AND(Assumptions!$P$64=1,OR(J12458&lt;Assumptions!$K$64,I12811=1)),MIN(MAX(0,-J12674),MAX(0,Assumptions!$D$64-J12585)),0)</f>
        <v>0</v>
      </c>
      <c r="K12592" s="16" t="n">
        <f aca="false">IF(AND(Assumptions!$P$64=1,OR(K12458&lt;Assumptions!$K$64,J12811=1)),MIN(MAX(0,-K12674),MAX(0,Assumptions!$D$64-K12585)),0)</f>
        <v>0</v>
      </c>
    </row>
    <row r="12593" customFormat="false" ht="15" hidden="false" customHeight="false" outlineLevel="0" collapsed="false">
      <c r="A12593" s="3" t="s">
        <v>336</v>
      </c>
      <c r="G12593" s="16" t="n">
        <f aca="false">G12586*MIN(G12585-G12591+G12590,MAX(0,G12676-Assumptions!$C$12*G12492-G12502-G12515-G12528-G12541-G12554-G12567-G12580))</f>
        <v>0</v>
      </c>
      <c r="H12593" s="16" t="n">
        <f aca="false">H12586*MIN(H12585-H12591+H12590,MAX(0,H12676-Assumptions!$C$12*H12492-H12502-H12515-H12528-H12541-H12554-H12567-H12580))</f>
        <v>0</v>
      </c>
      <c r="I12593" s="16" t="n">
        <f aca="false">I12586*MIN(I12585-I12591+I12590,MAX(0,I12676-Assumptions!$C$12*I12492-I12502-I12515-I12528-I12541-I12554-I12567-I12580))</f>
        <v>0</v>
      </c>
      <c r="J12593" s="16" t="n">
        <f aca="false">J12586*MIN(J12585-J12591+J12590,MAX(0,J12676-Assumptions!$C$12*J12492-J12502-J12515-J12528-J12541-J12554-J12567-J12580))</f>
        <v>0</v>
      </c>
      <c r="K12593" s="16" t="n">
        <f aca="false">K12586*MIN(K12585-K12591+K12590,MAX(0,K12676-Assumptions!$C$12*K12492-K12502-K12515-K12528-K12541-K12554-K12567-K12580))</f>
        <v>0</v>
      </c>
    </row>
    <row r="12594" customFormat="false" ht="15" hidden="false" customHeight="false" outlineLevel="0" collapsed="false">
      <c r="A12594" s="3" t="s">
        <v>337</v>
      </c>
      <c r="G12594" s="16" t="n">
        <f aca="false">Assumptions!$N$64*MIN(G12585+G12592+G12590-G12591-G12593,MAX(0,G12680-G12503-G12516-G12529-G12542-G12555-G12568-G12581))</f>
        <v>0</v>
      </c>
      <c r="H12594" s="16" t="n">
        <f aca="false">Assumptions!$N$64*MIN(H12585+H12592+H12590-H12591-H12593,MAX(0,H12680-H12503-H12516-H12529-H12542-H12555-H12568-H12581))</f>
        <v>0</v>
      </c>
      <c r="I12594" s="16" t="n">
        <f aca="false">Assumptions!$N$64*MIN(I12585+I12592+I12590-I12591-I12593,MAX(0,I12680-I12503-I12516-I12529-I12542-I12555-I12568-I12581))</f>
        <v>0</v>
      </c>
      <c r="J12594" s="16" t="n">
        <f aca="false">Assumptions!$N$64*MIN(J12585+J12592+J12590-J12591-J12593,MAX(0,J12680-J12503-J12516-J12529-J12542-J12555-J12568-J12581))</f>
        <v>0</v>
      </c>
      <c r="K12594" s="16" t="n">
        <f aca="false">Assumptions!$N$64*MIN(K12585+K12592+K12590-K12591-K12593,MAX(0,K12680-K12503-K12516-K12529-K12542-K12555-K12568-K12581))</f>
        <v>0</v>
      </c>
    </row>
    <row r="12595" customFormat="false" ht="15" hidden="false" customHeight="false" outlineLevel="0" collapsed="false">
      <c r="A12595" s="3" t="s">
        <v>338</v>
      </c>
      <c r="G12595" s="16" t="n">
        <f aca="false">G12586*(1-G12492)*(G12585-G12591+G12590-G12593)</f>
        <v>0</v>
      </c>
      <c r="H12595" s="16" t="n">
        <f aca="false">H12586*(1-H12492)*(H12585-H12591+H12590-H12593)</f>
        <v>0</v>
      </c>
      <c r="I12595" s="16" t="n">
        <f aca="false">I12586*(1-I12492)*(I12585-I12591+I12590-I12593)</f>
        <v>0</v>
      </c>
      <c r="J12595" s="16" t="n">
        <f aca="false">J12586*(1-J12492)*(J12585-J12591+J12590-J12593)</f>
        <v>350</v>
      </c>
      <c r="K12595" s="16" t="n">
        <f aca="false">K12586*(1-K12492)*(K12585-K12591+K12590-K12593)</f>
        <v>0</v>
      </c>
    </row>
    <row r="12596" customFormat="false" ht="15" hidden="false" customHeight="false" outlineLevel="0" collapsed="false">
      <c r="A12596" s="2" t="s">
        <v>339</v>
      </c>
      <c r="F12596" s="28" t="n">
        <f aca="false">Assumptions!$C$64</f>
        <v>350</v>
      </c>
      <c r="G12596" s="17" t="n">
        <f aca="false">G12585+G12592+G12590-G12591-G12593-G12594</f>
        <v>350</v>
      </c>
      <c r="H12596" s="17" t="n">
        <f aca="false">H12585+H12592+H12590-H12591-H12593-H12594</f>
        <v>350</v>
      </c>
      <c r="I12596" s="17" t="n">
        <f aca="false">I12585+I12592+I12590-I12591-I12593-I12594</f>
        <v>350</v>
      </c>
      <c r="J12596" s="17" t="n">
        <f aca="false">J12585+J12592+J12590-J12591-J12593-J12594</f>
        <v>350</v>
      </c>
      <c r="K12596" s="17" t="n">
        <f aca="false">K12585+K12592+K12590-K12591-K12593-K12594</f>
        <v>350</v>
      </c>
    </row>
    <row r="12597" customFormat="false" ht="15" hidden="false" customHeight="false" outlineLevel="0" collapsed="false">
      <c r="A12597" s="24" t="s">
        <v>347</v>
      </c>
      <c r="B12597" s="25"/>
      <c r="C12597" s="25"/>
      <c r="D12597" s="25"/>
      <c r="E12597" s="25"/>
      <c r="F12597" s="25"/>
      <c r="G12597" s="25"/>
      <c r="H12597" s="25"/>
      <c r="I12597" s="25"/>
      <c r="J12597" s="25"/>
      <c r="K12597" s="25"/>
    </row>
    <row r="12598" customFormat="false" ht="15" hidden="false" customHeight="false" outlineLevel="0" collapsed="false">
      <c r="A12598" s="3" t="s">
        <v>329</v>
      </c>
      <c r="G12598" s="16" t="n">
        <f aca="false">F12609</f>
        <v>300</v>
      </c>
      <c r="H12598" s="16" t="n">
        <f aca="false">G12609</f>
        <v>300</v>
      </c>
      <c r="I12598" s="16" t="n">
        <f aca="false">H12609</f>
        <v>300</v>
      </c>
      <c r="J12598" s="16" t="n">
        <f aca="false">I12609</f>
        <v>300</v>
      </c>
      <c r="K12598" s="16" t="n">
        <f aca="false">J12609</f>
        <v>300</v>
      </c>
    </row>
    <row r="12599" customFormat="false" ht="15" hidden="false" customHeight="false" outlineLevel="0" collapsed="false">
      <c r="A12599" s="3" t="s">
        <v>330</v>
      </c>
      <c r="G12599" s="21" t="n">
        <f aca="false">IF(G12458=Assumptions!$K$65,1,0)</f>
        <v>0</v>
      </c>
      <c r="H12599" s="21" t="n">
        <f aca="false">IF(H12458=Assumptions!$K$65,1,0)</f>
        <v>0</v>
      </c>
      <c r="I12599" s="21" t="n">
        <f aca="false">IF(I12458=Assumptions!$K$65,1,0)</f>
        <v>0</v>
      </c>
      <c r="J12599" s="21" t="n">
        <f aca="false">IF(J12458=Assumptions!$K$65,1,0)</f>
        <v>0</v>
      </c>
      <c r="K12599" s="21" t="n">
        <f aca="false">IF(K12458=Assumptions!$K$65,1,0)</f>
        <v>1</v>
      </c>
    </row>
    <row r="12601" customFormat="false" ht="15" hidden="false" customHeight="false" outlineLevel="0" collapsed="false">
      <c r="A12601" s="3" t="s">
        <v>331</v>
      </c>
      <c r="G12601" s="31" t="n">
        <f aca="false">IF(Assumptions!$I$65=1,MAX(G12484,Assumptions!$G$65)+Assumptions!$F$65+$C$12485,Assumptions!$E$65)</f>
        <v>0.06125</v>
      </c>
      <c r="H12601" s="31" t="n">
        <f aca="false">IF(G12812=1,$C$12486,IF(Assumptions!$I$65=1,MAX(H12484,Assumptions!$G$65)+Assumptions!$F$65+$C$12485,Assumptions!$E$65))</f>
        <v>0.06125</v>
      </c>
      <c r="I12601" s="31" t="n">
        <f aca="false">IF(H12812=1,$C$12486,IF(Assumptions!$I$65=1,MAX(I12484,Assumptions!$G$65)+Assumptions!$F$65+$C$12485,Assumptions!$E$65))</f>
        <v>0.06125</v>
      </c>
      <c r="J12601" s="31" t="n">
        <f aca="false">IF(I12812=1,$C$12486,IF(Assumptions!$I$65=1,MAX(J12484,Assumptions!$G$65)+Assumptions!$F$65+$C$12485,Assumptions!$E$65))</f>
        <v>0.06125</v>
      </c>
      <c r="K12601" s="31" t="n">
        <f aca="false">IF(J12812=1,$C$12486,IF(Assumptions!$I$65=1,MAX(K12484,Assumptions!$G$65)+Assumptions!$F$65+$C$12485,Assumptions!$E$65))</f>
        <v>0.06125</v>
      </c>
    </row>
    <row r="12602" customFormat="false" ht="15" hidden="false" customHeight="false" outlineLevel="0" collapsed="false">
      <c r="A12602" s="3" t="s">
        <v>332</v>
      </c>
      <c r="G12602" s="16" t="n">
        <f aca="false">G12598*G12601</f>
        <v>18.375</v>
      </c>
      <c r="H12602" s="16" t="n">
        <f aca="false">H12598*H12601</f>
        <v>18.375</v>
      </c>
      <c r="I12602" s="16" t="n">
        <f aca="false">I12598*I12601</f>
        <v>18.375</v>
      </c>
      <c r="J12602" s="16" t="n">
        <f aca="false">J12598*J12601</f>
        <v>18.375</v>
      </c>
      <c r="K12602" s="16" t="n">
        <f aca="false">K12598*K12601</f>
        <v>18.375</v>
      </c>
    </row>
    <row r="12603" customFormat="false" ht="15" hidden="false" customHeight="false" outlineLevel="0" collapsed="false">
      <c r="A12603" s="3" t="s">
        <v>333</v>
      </c>
      <c r="G12603" s="16" t="n">
        <f aca="false">G12598*Assumptions!$H$65</f>
        <v>0</v>
      </c>
      <c r="H12603" s="16" t="n">
        <f aca="false">H12598*Assumptions!$H$65</f>
        <v>0</v>
      </c>
      <c r="I12603" s="16" t="n">
        <f aca="false">I12598*Assumptions!$H$65</f>
        <v>0</v>
      </c>
      <c r="J12603" s="16" t="n">
        <f aca="false">J12598*Assumptions!$H$65</f>
        <v>0</v>
      </c>
      <c r="K12603" s="16" t="n">
        <f aca="false">K12598*Assumptions!$H$65</f>
        <v>0</v>
      </c>
    </row>
    <row r="12604" customFormat="false" ht="15" hidden="false" customHeight="false" outlineLevel="0" collapsed="false">
      <c r="A12604" s="3" t="s">
        <v>334</v>
      </c>
      <c r="G12604" s="16" t="n">
        <f aca="false">MIN(G12598,Assumptions!$L$65*Assumptions!$C$65)</f>
        <v>0</v>
      </c>
      <c r="H12604" s="16" t="n">
        <f aca="false">MIN(H12598,Assumptions!$L$65*Assumptions!$C$65)</f>
        <v>0</v>
      </c>
      <c r="I12604" s="16" t="n">
        <f aca="false">MIN(I12598,Assumptions!$L$65*Assumptions!$C$65)</f>
        <v>0</v>
      </c>
      <c r="J12604" s="16" t="n">
        <f aca="false">MIN(J12598,Assumptions!$L$65*Assumptions!$C$65)</f>
        <v>0</v>
      </c>
      <c r="K12604" s="16" t="n">
        <f aca="false">MIN(K12598,Assumptions!$L$65*Assumptions!$C$65)</f>
        <v>0</v>
      </c>
    </row>
    <row r="12605" customFormat="false" ht="15" hidden="false" customHeight="false" outlineLevel="0" collapsed="false">
      <c r="A12605" s="3" t="s">
        <v>335</v>
      </c>
      <c r="G12605" s="16" t="n">
        <f aca="false">IF(AND(Assumptions!$P$65=1,G12458&lt;Assumptions!$K$65),MIN(MAX(0,-G12674),MAX(0,Assumptions!$D$65-G12598)),0)</f>
        <v>0</v>
      </c>
      <c r="H12605" s="16" t="n">
        <f aca="false">IF(AND(Assumptions!$P$65=1,OR(H12458&lt;Assumptions!$K$65,G12812=1)),MIN(MAX(0,-H12674),MAX(0,Assumptions!$D$65-H12598)),0)</f>
        <v>0</v>
      </c>
      <c r="I12605" s="16" t="n">
        <f aca="false">IF(AND(Assumptions!$P$65=1,OR(I12458&lt;Assumptions!$K$65,H12812=1)),MIN(MAX(0,-I12674),MAX(0,Assumptions!$D$65-I12598)),0)</f>
        <v>0</v>
      </c>
      <c r="J12605" s="16" t="n">
        <f aca="false">IF(AND(Assumptions!$P$65=1,OR(J12458&lt;Assumptions!$K$65,I12812=1)),MIN(MAX(0,-J12674),MAX(0,Assumptions!$D$65-J12598)),0)</f>
        <v>0</v>
      </c>
      <c r="K12605" s="16" t="n">
        <f aca="false">IF(AND(Assumptions!$P$65=1,OR(K12458&lt;Assumptions!$K$65,J12812=1)),MIN(MAX(0,-K12674),MAX(0,Assumptions!$D$65-K12598)),0)</f>
        <v>0</v>
      </c>
    </row>
    <row r="12606" customFormat="false" ht="15" hidden="false" customHeight="false" outlineLevel="0" collapsed="false">
      <c r="A12606" s="3" t="s">
        <v>336</v>
      </c>
      <c r="G12606" s="16" t="n">
        <f aca="false">G12599*MIN(G12598-G12604+G12603,MAX(0,G12676-Assumptions!$C$12*G12492-G12502-G12515-G12528-G12541-G12554-G12567-G12580-G12593))</f>
        <v>0</v>
      </c>
      <c r="H12606" s="16" t="n">
        <f aca="false">H12599*MIN(H12598-H12604+H12603,MAX(0,H12676-Assumptions!$C$12*H12492-H12502-H12515-H12528-H12541-H12554-H12567-H12580-H12593))</f>
        <v>0</v>
      </c>
      <c r="I12606" s="16" t="n">
        <f aca="false">I12599*MIN(I12598-I12604+I12603,MAX(0,I12676-Assumptions!$C$12*I12492-I12502-I12515-I12528-I12541-I12554-I12567-I12580-I12593))</f>
        <v>0</v>
      </c>
      <c r="J12606" s="16" t="n">
        <f aca="false">J12599*MIN(J12598-J12604+J12603,MAX(0,J12676-Assumptions!$C$12*J12492-J12502-J12515-J12528-J12541-J12554-J12567-J12580-J12593))</f>
        <v>0</v>
      </c>
      <c r="K12606" s="16" t="n">
        <f aca="false">K12599*MIN(K12598-K12604+K12603,MAX(0,K12676-Assumptions!$C$12*K12492-K12502-K12515-K12528-K12541-K12554-K12567-K12580-K12593))</f>
        <v>0</v>
      </c>
    </row>
    <row r="12607" customFormat="false" ht="15" hidden="false" customHeight="false" outlineLevel="0" collapsed="false">
      <c r="A12607" s="3" t="s">
        <v>337</v>
      </c>
      <c r="G12607" s="16" t="n">
        <f aca="false">Assumptions!$N$65*MIN(G12598+G12605+G12603-G12604-G12606,MAX(0,G12680-G12503-G12516-G12529-G12542-G12555-G12568-G12581-G12594))</f>
        <v>0</v>
      </c>
      <c r="H12607" s="16" t="n">
        <f aca="false">Assumptions!$N$65*MIN(H12598+H12605+H12603-H12604-H12606,MAX(0,H12680-H12503-H12516-H12529-H12542-H12555-H12568-H12581-H12594))</f>
        <v>0</v>
      </c>
      <c r="I12607" s="16" t="n">
        <f aca="false">Assumptions!$N$65*MIN(I12598+I12605+I12603-I12604-I12606,MAX(0,I12680-I12503-I12516-I12529-I12542-I12555-I12568-I12581-I12594))</f>
        <v>0</v>
      </c>
      <c r="J12607" s="16" t="n">
        <f aca="false">Assumptions!$N$65*MIN(J12598+J12605+J12603-J12604-J12606,MAX(0,J12680-J12503-J12516-J12529-J12542-J12555-J12568-J12581-J12594))</f>
        <v>0</v>
      </c>
      <c r="K12607" s="16" t="n">
        <f aca="false">Assumptions!$N$65*MIN(K12598+K12605+K12603-K12604-K12606,MAX(0,K12680-K12503-K12516-K12529-K12542-K12555-K12568-K12581-K12594))</f>
        <v>0</v>
      </c>
    </row>
    <row r="12608" customFormat="false" ht="15" hidden="false" customHeight="false" outlineLevel="0" collapsed="false">
      <c r="A12608" s="3" t="s">
        <v>338</v>
      </c>
      <c r="G12608" s="16" t="n">
        <f aca="false">G12599*(1-G12492)*(G12598-G12604+G12603-G12606)</f>
        <v>0</v>
      </c>
      <c r="H12608" s="16" t="n">
        <f aca="false">H12599*(1-H12492)*(H12598-H12604+H12603-H12606)</f>
        <v>0</v>
      </c>
      <c r="I12608" s="16" t="n">
        <f aca="false">I12599*(1-I12492)*(I12598-I12604+I12603-I12606)</f>
        <v>0</v>
      </c>
      <c r="J12608" s="16" t="n">
        <f aca="false">J12599*(1-J12492)*(J12598-J12604+J12603-J12606)</f>
        <v>0</v>
      </c>
      <c r="K12608" s="16" t="n">
        <f aca="false">K12599*(1-K12492)*(K12598-K12604+K12603-K12606)</f>
        <v>300</v>
      </c>
    </row>
    <row r="12609" customFormat="false" ht="15" hidden="false" customHeight="false" outlineLevel="0" collapsed="false">
      <c r="A12609" s="2" t="s">
        <v>339</v>
      </c>
      <c r="F12609" s="28" t="n">
        <f aca="false">Assumptions!$C$65</f>
        <v>300</v>
      </c>
      <c r="G12609" s="17" t="n">
        <f aca="false">G12598+G12605+G12603-G12604-G12606-G12607</f>
        <v>300</v>
      </c>
      <c r="H12609" s="17" t="n">
        <f aca="false">H12598+H12605+H12603-H12604-H12606-H12607</f>
        <v>300</v>
      </c>
      <c r="I12609" s="17" t="n">
        <f aca="false">I12598+I12605+I12603-I12604-I12606-I12607</f>
        <v>300</v>
      </c>
      <c r="J12609" s="17" t="n">
        <f aca="false">J12598+J12605+J12603-J12604-J12606-J12607</f>
        <v>300</v>
      </c>
      <c r="K12609" s="17" t="n">
        <f aca="false">K12598+K12605+K12603-K12604-K12606-K12607</f>
        <v>300</v>
      </c>
    </row>
    <row r="12610" customFormat="false" ht="15" hidden="false" customHeight="false" outlineLevel="0" collapsed="false">
      <c r="A12610" s="24" t="s">
        <v>348</v>
      </c>
      <c r="B12610" s="25"/>
      <c r="C12610" s="25"/>
      <c r="D12610" s="25"/>
      <c r="E12610" s="25"/>
      <c r="F12610" s="25"/>
      <c r="G12610" s="25"/>
      <c r="H12610" s="25"/>
      <c r="I12610" s="25"/>
      <c r="J12610" s="25"/>
      <c r="K12610" s="25"/>
    </row>
    <row r="12611" customFormat="false" ht="15" hidden="false" customHeight="false" outlineLevel="0" collapsed="false">
      <c r="A12611" s="3" t="s">
        <v>329</v>
      </c>
      <c r="G12611" s="16" t="n">
        <f aca="false">F12622</f>
        <v>78.61</v>
      </c>
      <c r="H12611" s="16" t="n">
        <f aca="false">G12622</f>
        <v>78.61</v>
      </c>
      <c r="I12611" s="16" t="n">
        <f aca="false">H12622</f>
        <v>78.61</v>
      </c>
      <c r="J12611" s="16" t="n">
        <f aca="false">I12622</f>
        <v>78.61</v>
      </c>
      <c r="K12611" s="16" t="n">
        <f aca="false">J12622</f>
        <v>78.61</v>
      </c>
    </row>
    <row r="12612" customFormat="false" ht="15" hidden="false" customHeight="false" outlineLevel="0" collapsed="false">
      <c r="A12612" s="3" t="s">
        <v>330</v>
      </c>
      <c r="G12612" s="21" t="n">
        <f aca="false">IF(G12458=Assumptions!$K$66,1,0)</f>
        <v>0</v>
      </c>
      <c r="H12612" s="21" t="n">
        <f aca="false">IF(H12458=Assumptions!$K$66,1,0)</f>
        <v>0</v>
      </c>
      <c r="I12612" s="21" t="n">
        <f aca="false">IF(I12458=Assumptions!$K$66,1,0)</f>
        <v>0</v>
      </c>
      <c r="J12612" s="21" t="n">
        <f aca="false">IF(J12458=Assumptions!$K$66,1,0)</f>
        <v>0</v>
      </c>
      <c r="K12612" s="21" t="n">
        <f aca="false">IF(K12458=Assumptions!$K$66,1,0)</f>
        <v>0</v>
      </c>
    </row>
    <row r="12614" customFormat="false" ht="15" hidden="false" customHeight="false" outlineLevel="0" collapsed="false">
      <c r="A12614" s="3" t="s">
        <v>331</v>
      </c>
      <c r="G12614" s="31" t="n">
        <f aca="false">IF(Assumptions!$I$66=1,MAX(G12484,Assumptions!$G$66)+Assumptions!$F$66+$C$12485,Assumptions!$E$66)</f>
        <v>0.0541</v>
      </c>
      <c r="H12614" s="31" t="n">
        <f aca="false">IF(G12813=1,$C$12486,IF(Assumptions!$I$66=1,MAX(H12484,Assumptions!$G$66)+Assumptions!$F$66+$C$12485,Assumptions!$E$66))</f>
        <v>0.0526</v>
      </c>
      <c r="I12614" s="31" t="n">
        <f aca="false">IF(H12813=1,$C$12486,IF(Assumptions!$I$66=1,MAX(I12484,Assumptions!$G$66)+Assumptions!$F$66+$C$12485,Assumptions!$E$66))</f>
        <v>0.0501</v>
      </c>
      <c r="J12614" s="31" t="n">
        <f aca="false">IF(I12813=1,$C$12486,IF(Assumptions!$I$66=1,MAX(J12484,Assumptions!$G$66)+Assumptions!$F$66+$C$12485,Assumptions!$E$66))</f>
        <v>0.0501</v>
      </c>
      <c r="K12614" s="31" t="n">
        <f aca="false">IF(J12813=1,$C$12486,IF(Assumptions!$I$66=1,MAX(K12484,Assumptions!$G$66)+Assumptions!$F$66+$C$12485,Assumptions!$E$66))</f>
        <v>0.0501</v>
      </c>
    </row>
    <row r="12615" customFormat="false" ht="15" hidden="false" customHeight="false" outlineLevel="0" collapsed="false">
      <c r="A12615" s="3" t="s">
        <v>332</v>
      </c>
      <c r="G12615" s="16" t="n">
        <f aca="false">G12611*G12614</f>
        <v>4.252801</v>
      </c>
      <c r="H12615" s="16" t="n">
        <f aca="false">H12611*H12614</f>
        <v>4.134886</v>
      </c>
      <c r="I12615" s="16" t="n">
        <f aca="false">I12611*I12614</f>
        <v>3.938361</v>
      </c>
      <c r="J12615" s="16" t="n">
        <f aca="false">J12611*J12614</f>
        <v>3.938361</v>
      </c>
      <c r="K12615" s="16" t="n">
        <f aca="false">K12611*K12614</f>
        <v>3.938361</v>
      </c>
    </row>
    <row r="12616" customFormat="false" ht="15" hidden="false" customHeight="false" outlineLevel="0" collapsed="false">
      <c r="A12616" s="3" t="s">
        <v>333</v>
      </c>
      <c r="G12616" s="16" t="n">
        <f aca="false">G12611*Assumptions!$H$66</f>
        <v>0</v>
      </c>
      <c r="H12616" s="16" t="n">
        <f aca="false">H12611*Assumptions!$H$66</f>
        <v>0</v>
      </c>
      <c r="I12616" s="16" t="n">
        <f aca="false">I12611*Assumptions!$H$66</f>
        <v>0</v>
      </c>
      <c r="J12616" s="16" t="n">
        <f aca="false">J12611*Assumptions!$H$66</f>
        <v>0</v>
      </c>
      <c r="K12616" s="16" t="n">
        <f aca="false">K12611*Assumptions!$H$66</f>
        <v>0</v>
      </c>
    </row>
    <row r="12617" customFormat="false" ht="15" hidden="false" customHeight="false" outlineLevel="0" collapsed="false">
      <c r="A12617" s="3" t="s">
        <v>334</v>
      </c>
      <c r="G12617" s="16" t="n">
        <f aca="false">MIN(G12611,Assumptions!$L$66*Assumptions!$C$66)</f>
        <v>0</v>
      </c>
      <c r="H12617" s="16" t="n">
        <f aca="false">MIN(H12611,Assumptions!$L$66*Assumptions!$C$66)</f>
        <v>0</v>
      </c>
      <c r="I12617" s="16" t="n">
        <f aca="false">MIN(I12611,Assumptions!$L$66*Assumptions!$C$66)</f>
        <v>0</v>
      </c>
      <c r="J12617" s="16" t="n">
        <f aca="false">MIN(J12611,Assumptions!$L$66*Assumptions!$C$66)</f>
        <v>0</v>
      </c>
      <c r="K12617" s="16" t="n">
        <f aca="false">MIN(K12611,Assumptions!$L$66*Assumptions!$C$66)</f>
        <v>0</v>
      </c>
    </row>
    <row r="12618" customFormat="false" ht="15" hidden="false" customHeight="false" outlineLevel="0" collapsed="false">
      <c r="A12618" s="3" t="s">
        <v>335</v>
      </c>
      <c r="G12618" s="16" t="n">
        <f aca="false">IF(AND(Assumptions!$P$66=1,G12458&lt;Assumptions!$K$66),MIN(MAX(0,-G12674),MAX(0,Assumptions!$D$66-G12611)),0)</f>
        <v>0</v>
      </c>
      <c r="H12618" s="16" t="n">
        <f aca="false">IF(AND(Assumptions!$P$66=1,OR(H12458&lt;Assumptions!$K$66,G12813=1)),MIN(MAX(0,-H12674),MAX(0,Assumptions!$D$66-H12611)),0)</f>
        <v>0</v>
      </c>
      <c r="I12618" s="16" t="n">
        <f aca="false">IF(AND(Assumptions!$P$66=1,OR(I12458&lt;Assumptions!$K$66,H12813=1)),MIN(MAX(0,-I12674),MAX(0,Assumptions!$D$66-I12611)),0)</f>
        <v>0</v>
      </c>
      <c r="J12618" s="16" t="n">
        <f aca="false">IF(AND(Assumptions!$P$66=1,OR(J12458&lt;Assumptions!$K$66,I12813=1)),MIN(MAX(0,-J12674),MAX(0,Assumptions!$D$66-J12611)),0)</f>
        <v>0</v>
      </c>
      <c r="K12618" s="16" t="n">
        <f aca="false">IF(AND(Assumptions!$P$66=1,OR(K12458&lt;Assumptions!$K$66,J12813=1)),MIN(MAX(0,-K12674),MAX(0,Assumptions!$D$66-K12611)),0)</f>
        <v>0</v>
      </c>
    </row>
    <row r="12619" customFormat="false" ht="15" hidden="false" customHeight="false" outlineLevel="0" collapsed="false">
      <c r="A12619" s="3" t="s">
        <v>336</v>
      </c>
      <c r="G12619" s="16" t="n">
        <f aca="false">G12612*MIN(G12611-G12617+G12616,MAX(0,G12676-Assumptions!$C$12*G12492-G12502-G12515-G12528-G12541-G12554-G12567-G12580-G12593-G12606))</f>
        <v>0</v>
      </c>
      <c r="H12619" s="16" t="n">
        <f aca="false">H12612*MIN(H12611-H12617+H12616,MAX(0,H12676-Assumptions!$C$12*H12492-H12502-H12515-H12528-H12541-H12554-H12567-H12580-H12593-H12606))</f>
        <v>0</v>
      </c>
      <c r="I12619" s="16" t="n">
        <f aca="false">I12612*MIN(I12611-I12617+I12616,MAX(0,I12676-Assumptions!$C$12*I12492-I12502-I12515-I12528-I12541-I12554-I12567-I12580-I12593-I12606))</f>
        <v>0</v>
      </c>
      <c r="J12619" s="16" t="n">
        <f aca="false">J12612*MIN(J12611-J12617+J12616,MAX(0,J12676-Assumptions!$C$12*J12492-J12502-J12515-J12528-J12541-J12554-J12567-J12580-J12593-J12606))</f>
        <v>0</v>
      </c>
      <c r="K12619" s="16" t="n">
        <f aca="false">K12612*MIN(K12611-K12617+K12616,MAX(0,K12676-Assumptions!$C$12*K12492-K12502-K12515-K12528-K12541-K12554-K12567-K12580-K12593-K12606))</f>
        <v>0</v>
      </c>
    </row>
    <row r="12620" customFormat="false" ht="15" hidden="false" customHeight="false" outlineLevel="0" collapsed="false">
      <c r="A12620" s="3" t="s">
        <v>337</v>
      </c>
      <c r="G12620" s="16" t="n">
        <f aca="false">Assumptions!$N$66*MIN(G12611+G12618+G12616-G12617-G12619,MAX(0,G12680-G12503-G12516-G12529-G12542-G12555-G12568-G12581-G12594-G12607))</f>
        <v>0</v>
      </c>
      <c r="H12620" s="16" t="n">
        <f aca="false">Assumptions!$N$66*MIN(H12611+H12618+H12616-H12617-H12619,MAX(0,H12680-H12503-H12516-H12529-H12542-H12555-H12568-H12581-H12594-H12607))</f>
        <v>0</v>
      </c>
      <c r="I12620" s="16" t="n">
        <f aca="false">Assumptions!$N$66*MIN(I12611+I12618+I12616-I12617-I12619,MAX(0,I12680-I12503-I12516-I12529-I12542-I12555-I12568-I12581-I12594-I12607))</f>
        <v>0</v>
      </c>
      <c r="J12620" s="16" t="n">
        <f aca="false">Assumptions!$N$66*MIN(J12611+J12618+J12616-J12617-J12619,MAX(0,J12680-J12503-J12516-J12529-J12542-J12555-J12568-J12581-J12594-J12607))</f>
        <v>0</v>
      </c>
      <c r="K12620" s="16" t="n">
        <f aca="false">Assumptions!$N$66*MIN(K12611+K12618+K12616-K12617-K12619,MAX(0,K12680-K12503-K12516-K12529-K12542-K12555-K12568-K12581-K12594-K12607))</f>
        <v>0</v>
      </c>
    </row>
    <row r="12621" customFormat="false" ht="15" hidden="false" customHeight="false" outlineLevel="0" collapsed="false">
      <c r="A12621" s="3" t="s">
        <v>338</v>
      </c>
      <c r="G12621" s="16" t="n">
        <f aca="false">G12612*(1-G12492)*(G12611-G12617+G12616-G12619)</f>
        <v>0</v>
      </c>
      <c r="H12621" s="16" t="n">
        <f aca="false">H12612*(1-H12492)*(H12611-H12617+H12616-H12619)</f>
        <v>0</v>
      </c>
      <c r="I12621" s="16" t="n">
        <f aca="false">I12612*(1-I12492)*(I12611-I12617+I12616-I12619)</f>
        <v>0</v>
      </c>
      <c r="J12621" s="16" t="n">
        <f aca="false">J12612*(1-J12492)*(J12611-J12617+J12616-J12619)</f>
        <v>0</v>
      </c>
      <c r="K12621" s="16" t="n">
        <f aca="false">K12612*(1-K12492)*(K12611-K12617+K12616-K12619)</f>
        <v>0</v>
      </c>
    </row>
    <row r="12622" customFormat="false" ht="15" hidden="false" customHeight="false" outlineLevel="0" collapsed="false">
      <c r="A12622" s="2" t="s">
        <v>339</v>
      </c>
      <c r="F12622" s="28" t="n">
        <f aca="false">Assumptions!$C$66</f>
        <v>78.61</v>
      </c>
      <c r="G12622" s="17" t="n">
        <f aca="false">G12611+G12618+G12616-G12617-G12619-G12620</f>
        <v>78.61</v>
      </c>
      <c r="H12622" s="17" t="n">
        <f aca="false">H12611+H12618+H12616-H12617-H12619-H12620</f>
        <v>78.61</v>
      </c>
      <c r="I12622" s="17" t="n">
        <f aca="false">I12611+I12618+I12616-I12617-I12619-I12620</f>
        <v>78.61</v>
      </c>
      <c r="J12622" s="17" t="n">
        <f aca="false">J12611+J12618+J12616-J12617-J12619-J12620</f>
        <v>78.61</v>
      </c>
      <c r="K12622" s="17" t="n">
        <f aca="false">K12611+K12618+K12616-K12617-K12619-K12620</f>
        <v>78.61</v>
      </c>
    </row>
    <row r="12623" customFormat="false" ht="15" hidden="false" customHeight="false" outlineLevel="0" collapsed="false">
      <c r="A12623" s="24" t="s">
        <v>349</v>
      </c>
      <c r="B12623" s="25"/>
      <c r="C12623" s="25"/>
      <c r="D12623" s="25"/>
      <c r="E12623" s="25"/>
      <c r="F12623" s="25"/>
      <c r="G12623" s="25"/>
      <c r="H12623" s="25"/>
      <c r="I12623" s="25"/>
      <c r="J12623" s="25"/>
      <c r="K12623" s="25"/>
    </row>
    <row r="12624" customFormat="false" ht="15" hidden="false" customHeight="false" outlineLevel="0" collapsed="false">
      <c r="A12624" s="2" t="s">
        <v>350</v>
      </c>
      <c r="F12624" s="17" t="n">
        <f aca="false">F12505+F12518+F12531+F12544+F12557+F12570+F12583+F12596+F12609+F12622</f>
        <v>2625.934</v>
      </c>
      <c r="G12624" s="17" t="n">
        <f aca="false">G12505+G12518+G12531+G12544+G12557+G12570+G12583+G12596+G12609+G12622</f>
        <v>2621.934</v>
      </c>
      <c r="H12624" s="17" t="n">
        <f aca="false">H12505+H12518+H12531+H12544+H12557+H12570+H12583+H12596+H12609+H12622</f>
        <v>2590.4509094548</v>
      </c>
      <c r="I12624" s="17" t="n">
        <f aca="false">I12505+I12518+I12531+I12544+I12557+I12570+I12583+I12596+I12609+I12622</f>
        <v>2669.1675714111</v>
      </c>
      <c r="J12624" s="17" t="n">
        <f aca="false">J12505+J12518+J12531+J12544+J12557+J12570+J12583+J12596+J12609+J12622</f>
        <v>2780.98042520491</v>
      </c>
      <c r="K12624" s="17" t="n">
        <f aca="false">K12505+K12518+K12531+K12544+K12557+K12570+K12583+K12596+K12609+K12622</f>
        <v>2903.50740409295</v>
      </c>
    </row>
    <row r="12625" customFormat="false" ht="15" hidden="false" customHeight="false" outlineLevel="0" collapsed="false">
      <c r="A12625" s="3" t="s">
        <v>351</v>
      </c>
      <c r="G12625" s="16" t="n">
        <f aca="false">G12495*Assumptions!$C$57+G12508*Assumptions!$C$58+G12521*Assumptions!$C$59+G12534*Assumptions!$C$60+G12547*Assumptions!$C$61+G12560*Assumptions!$C$62+G12573*Assumptions!$C$63+G12586*Assumptions!$C$64+G12599*Assumptions!$C$65+G12612*Assumptions!$C$66</f>
        <v>0</v>
      </c>
      <c r="H12625" s="16" t="n">
        <f aca="false">H12495*Assumptions!$C$57+H12508*Assumptions!$C$58+H12521*Assumptions!$C$59+H12534*Assumptions!$C$60+H12547*Assumptions!$C$61+H12560*Assumptions!$C$62+H12573*Assumptions!$C$63+H12586*Assumptions!$C$64+H12599*Assumptions!$C$65+H12612*Assumptions!$C$66</f>
        <v>800</v>
      </c>
      <c r="I12625" s="16" t="n">
        <f aca="false">I12495*Assumptions!$C$57+I12508*Assumptions!$C$58+I12521*Assumptions!$C$59+I12534*Assumptions!$C$60+I12547*Assumptions!$C$61+I12560*Assumptions!$C$62+I12573*Assumptions!$C$63+I12586*Assumptions!$C$64+I12599*Assumptions!$C$65+I12612*Assumptions!$C$66</f>
        <v>550</v>
      </c>
      <c r="J12625" s="16" t="n">
        <f aca="false">J12495*Assumptions!$C$57+J12508*Assumptions!$C$58+J12521*Assumptions!$C$59+J12534*Assumptions!$C$60+J12547*Assumptions!$C$61+J12560*Assumptions!$C$62+J12573*Assumptions!$C$63+J12586*Assumptions!$C$64+J12599*Assumptions!$C$65+J12612*Assumptions!$C$66</f>
        <v>350</v>
      </c>
      <c r="K12625" s="16" t="n">
        <f aca="false">K12495*Assumptions!$C$57+K12508*Assumptions!$C$58+K12521*Assumptions!$C$59+K12534*Assumptions!$C$60+K12547*Assumptions!$C$61+K12560*Assumptions!$C$62+K12573*Assumptions!$C$63+K12586*Assumptions!$C$64+K12599*Assumptions!$C$65+K12612*Assumptions!$C$66</f>
        <v>700</v>
      </c>
    </row>
    <row r="12626" customFormat="false" ht="15" hidden="false" customHeight="false" outlineLevel="0" collapsed="false">
      <c r="A12626" s="24" t="s">
        <v>352</v>
      </c>
      <c r="B12626" s="25"/>
      <c r="C12626" s="25"/>
      <c r="D12626" s="25"/>
      <c r="E12626" s="25"/>
      <c r="F12626" s="25"/>
      <c r="G12626" s="25"/>
      <c r="H12626" s="25"/>
      <c r="I12626" s="25"/>
      <c r="J12626" s="25"/>
      <c r="K12626" s="25"/>
    </row>
    <row r="12627" customFormat="false" ht="15" hidden="false" customHeight="false" outlineLevel="0" collapsed="false">
      <c r="A12627" s="3" t="s">
        <v>353</v>
      </c>
      <c r="C12627" s="16" t="n">
        <f aca="false">SUMPRODUCT($G$12495:$K$12495,$G$12494:$K$12494-$G$12500:$K$12500+$G$12499:$K$12499)</f>
        <v>380</v>
      </c>
    </row>
    <row r="12628" customFormat="false" ht="15" hidden="false" customHeight="false" outlineLevel="0" collapsed="false">
      <c r="A12628" s="3" t="s">
        <v>354</v>
      </c>
      <c r="C12628" s="16" t="n">
        <f aca="false">SUMPRODUCT($G$12495:$K$12495,$G$12502:$K$12502)</f>
        <v>0</v>
      </c>
    </row>
    <row r="12629" customFormat="false" ht="15" hidden="false" customHeight="false" outlineLevel="0" collapsed="false">
      <c r="A12629" s="3" t="s">
        <v>355</v>
      </c>
      <c r="C12629" s="3" t="str">
        <f aca="false">IF(SUM($G$12495:$K$12495)=0,"n/a (beyond horizon)",IF(SUMPRODUCT($G$12495:$K$12495,$G$12492:$K$12492)&gt;0,"REFINANCING PASS","REFINANCING FAILURE"))</f>
        <v>REFINANCING FAILURE</v>
      </c>
    </row>
    <row r="12630" customFormat="false" ht="15" hidden="false" customHeight="false" outlineLevel="0" collapsed="false">
      <c r="A12630" s="3" t="s">
        <v>356</v>
      </c>
      <c r="C12630" s="3" t="str">
        <f aca="false">IF(SUM($G$12495:$K$12495)=0,"n/a",IF(C12628&gt;=C12627-0.001,"Repaid from cash",IF(SUMPRODUCT($G$12495:$K$12495,$G$12492:$K$12492)&gt;0,IF(C12628&gt;0,"Partly repaid; remainder refinanced","Refinanced"),IF(SUM($G$12504:$K$12504)&gt;0.001,IF(C12628&gt;0,"Partial repayment; PAYMENT DEFAULT","PAYMENT DEFAULT"),"Repaid from cash"))))</f>
        <v>PAYMENT DEFAULT</v>
      </c>
    </row>
    <row r="12631" customFormat="false" ht="15" hidden="false" customHeight="false" outlineLevel="0" collapsed="false">
      <c r="A12631" s="3" t="s">
        <v>357</v>
      </c>
      <c r="C12631" s="16" t="n">
        <f aca="false">SUMPRODUCT($G$12508:$K$12508,$G$12507:$K$12507-$G$12513:$K$12513+$G$12512:$K$12512)</f>
        <v>0</v>
      </c>
    </row>
    <row r="12632" customFormat="false" ht="15" hidden="false" customHeight="false" outlineLevel="0" collapsed="false">
      <c r="A12632" s="3" t="s">
        <v>358</v>
      </c>
      <c r="C12632" s="16" t="n">
        <f aca="false">SUMPRODUCT($G$12508:$K$12508,$G$12515:$K$12515)</f>
        <v>0</v>
      </c>
    </row>
    <row r="12633" customFormat="false" ht="15" hidden="false" customHeight="false" outlineLevel="0" collapsed="false">
      <c r="A12633" s="3" t="s">
        <v>359</v>
      </c>
      <c r="C12633" s="3" t="str">
        <f aca="false">IF(SUM($G$12508:$K$12508)=0,"n/a (beyond horizon)",IF(SUMPRODUCT($G$12508:$K$12508,$G$12492:$K$12492)&gt;0,"REFINANCING PASS","REFINANCING FAILURE"))</f>
        <v>n/a (beyond horizon)</v>
      </c>
    </row>
    <row r="12634" customFormat="false" ht="15" hidden="false" customHeight="false" outlineLevel="0" collapsed="false">
      <c r="A12634" s="3" t="s">
        <v>360</v>
      </c>
      <c r="C12634" s="3" t="str">
        <f aca="false">IF(SUM($G$12508:$K$12508)=0,"n/a",IF(C12632&gt;=C12631-0.001,"Repaid from cash",IF(SUMPRODUCT($G$12508:$K$12508,$G$12492:$K$12492)&gt;0,IF(C12632&gt;0,"Partly repaid; remainder refinanced","Refinanced"),IF(SUM($G$12517:$K$12517)&gt;0.001,IF(C12632&gt;0,"Partial repayment; PAYMENT DEFAULT","PAYMENT DEFAULT"),"Repaid from cash"))))</f>
        <v>n/a</v>
      </c>
    </row>
    <row r="12635" customFormat="false" ht="15" hidden="false" customHeight="false" outlineLevel="0" collapsed="false">
      <c r="A12635" s="3" t="s">
        <v>361</v>
      </c>
      <c r="C12635" s="16" t="n">
        <f aca="false">SUMPRODUCT($G$12521:$K$12521,$G$12520:$K$12520-$G$12526:$K$12526+$G$12525:$K$12525)</f>
        <v>0</v>
      </c>
    </row>
    <row r="12636" customFormat="false" ht="15" hidden="false" customHeight="false" outlineLevel="0" collapsed="false">
      <c r="A12636" s="3" t="s">
        <v>362</v>
      </c>
      <c r="C12636" s="16" t="n">
        <f aca="false">SUMPRODUCT($G$12521:$K$12521,$G$12528:$K$12528)</f>
        <v>0</v>
      </c>
    </row>
    <row r="12637" customFormat="false" ht="15" hidden="false" customHeight="false" outlineLevel="0" collapsed="false">
      <c r="A12637" s="3" t="s">
        <v>363</v>
      </c>
      <c r="C12637" s="3" t="str">
        <f aca="false">IF(SUM($G$12521:$K$12521)=0,"n/a (beyond horizon)",IF(SUMPRODUCT($G$12521:$K$12521,$G$12492:$K$12492)&gt;0,"REFINANCING PASS","REFINANCING FAILURE"))</f>
        <v>n/a (beyond horizon)</v>
      </c>
    </row>
    <row r="12638" customFormat="false" ht="15" hidden="false" customHeight="false" outlineLevel="0" collapsed="false">
      <c r="A12638" s="3" t="s">
        <v>364</v>
      </c>
      <c r="C12638" s="3" t="str">
        <f aca="false">IF(SUM($G$12521:$K$12521)=0,"n/a",IF(C12636&gt;=C12635-0.001,"Repaid from cash",IF(SUMPRODUCT($G$12521:$K$12521,$G$12492:$K$12492)&gt;0,IF(C12636&gt;0,"Partly repaid; remainder refinanced","Refinanced"),IF(SUM($G$12530:$K$12530)&gt;0.001,IF(C12636&gt;0,"Partial repayment; PAYMENT DEFAULT","PAYMENT DEFAULT"),"Repaid from cash"))))</f>
        <v>n/a</v>
      </c>
    </row>
    <row r="12639" customFormat="false" ht="15" hidden="false" customHeight="false" outlineLevel="0" collapsed="false">
      <c r="A12639" s="3" t="s">
        <v>365</v>
      </c>
      <c r="C12639" s="16" t="n">
        <f aca="false">SUMPRODUCT($G$12534:$K$12534,$G$12533:$K$12533-$G$12539:$K$12539+$G$12538:$K$12538)</f>
        <v>0</v>
      </c>
    </row>
    <row r="12640" customFormat="false" ht="15" hidden="false" customHeight="false" outlineLevel="0" collapsed="false">
      <c r="A12640" s="3" t="s">
        <v>366</v>
      </c>
      <c r="C12640" s="16" t="n">
        <f aca="false">SUMPRODUCT($G$12534:$K$12534,$G$12541:$K$12541)</f>
        <v>0</v>
      </c>
    </row>
    <row r="12641" customFormat="false" ht="15" hidden="false" customHeight="false" outlineLevel="0" collapsed="false">
      <c r="A12641" s="3" t="s">
        <v>367</v>
      </c>
      <c r="C12641" s="3" t="str">
        <f aca="false">IF(SUM($G$12534:$K$12534)=0,"n/a (beyond horizon)",IF(SUMPRODUCT($G$12534:$K$12534,$G$12492:$K$12492)&gt;0,"REFINANCING PASS","REFINANCING FAILURE"))</f>
        <v>REFINANCING PASS</v>
      </c>
    </row>
    <row r="12642" customFormat="false" ht="15" hidden="false" customHeight="false" outlineLevel="0" collapsed="false">
      <c r="A12642" s="3" t="s">
        <v>368</v>
      </c>
      <c r="C12642" s="3" t="str">
        <f aca="false">IF(SUM($G$12534:$K$12534)=0,"n/a",IF(C12640&gt;=C12639-0.001,"Repaid from cash",IF(SUMPRODUCT($G$12534:$K$12534,$G$12492:$K$12492)&gt;0,IF(C12640&gt;0,"Partly repaid; remainder refinanced","Refinanced"),IF(SUM($G$12543:$K$12543)&gt;0.001,IF(C12640&gt;0,"Partial repayment; PAYMENT DEFAULT","PAYMENT DEFAULT"),"Repaid from cash"))))</f>
        <v>Repaid from cash</v>
      </c>
    </row>
    <row r="12643" customFormat="false" ht="15" hidden="false" customHeight="false" outlineLevel="0" collapsed="false">
      <c r="A12643" s="3" t="s">
        <v>369</v>
      </c>
      <c r="C12643" s="16" t="n">
        <f aca="false">SUMPRODUCT($G$12547:$K$12547,$G$12546:$K$12546-$G$12552:$K$12552+$G$12551:$K$12551)</f>
        <v>450</v>
      </c>
    </row>
    <row r="12644" customFormat="false" ht="15" hidden="false" customHeight="false" outlineLevel="0" collapsed="false">
      <c r="A12644" s="3" t="s">
        <v>370</v>
      </c>
      <c r="C12644" s="16" t="n">
        <f aca="false">SUMPRODUCT($G$12547:$K$12547,$G$12554:$K$12554)</f>
        <v>27.4830905452</v>
      </c>
    </row>
    <row r="12645" customFormat="false" ht="15" hidden="false" customHeight="false" outlineLevel="0" collapsed="false">
      <c r="A12645" s="3" t="s">
        <v>371</v>
      </c>
      <c r="C12645" s="3" t="str">
        <f aca="false">IF(SUM($G$12547:$K$12547)=0,"n/a (beyond horizon)",IF(SUMPRODUCT($G$12547:$K$12547,$G$12492:$K$12492)&gt;0,"REFINANCING PASS","REFINANCING FAILURE"))</f>
        <v>REFINANCING PASS</v>
      </c>
    </row>
    <row r="12646" customFormat="false" ht="15" hidden="false" customHeight="false" outlineLevel="0" collapsed="false">
      <c r="A12646" s="3" t="s">
        <v>372</v>
      </c>
      <c r="C12646" s="3" t="str">
        <f aca="false">IF(SUM($G$12547:$K$12547)=0,"n/a",IF(C12644&gt;=C12643-0.001,"Repaid from cash",IF(SUMPRODUCT($G$12547:$K$12547,$G$12492:$K$12492)&gt;0,IF(C12644&gt;0,"Partly repaid; remainder refinanced","Refinanced"),IF(SUM($G$12556:$K$12556)&gt;0.001,IF(C12644&gt;0,"Partial repayment; PAYMENT DEFAULT","PAYMENT DEFAULT"),"Repaid from cash"))))</f>
        <v>Partly repaid; remainder refinanced</v>
      </c>
    </row>
    <row r="12647" customFormat="false" ht="15" hidden="false" customHeight="false" outlineLevel="0" collapsed="false">
      <c r="A12647" s="3" t="s">
        <v>373</v>
      </c>
      <c r="C12647" s="16" t="n">
        <f aca="false">SUMPRODUCT($G$12560:$K$12560,$G$12559:$K$12559-$G$12565:$K$12565+$G$12564:$K$12564)</f>
        <v>350</v>
      </c>
    </row>
    <row r="12648" customFormat="false" ht="15" hidden="false" customHeight="false" outlineLevel="0" collapsed="false">
      <c r="A12648" s="3" t="s">
        <v>374</v>
      </c>
      <c r="C12648" s="16" t="n">
        <f aca="false">SUMPRODUCT($G$12560:$K$12560,$G$12567:$K$12567)</f>
        <v>0</v>
      </c>
    </row>
    <row r="12649" customFormat="false" ht="15" hidden="false" customHeight="false" outlineLevel="0" collapsed="false">
      <c r="A12649" s="3" t="s">
        <v>375</v>
      </c>
      <c r="C12649" s="3" t="str">
        <f aca="false">IF(SUM($G$12560:$K$12560)=0,"n/a (beyond horizon)",IF(SUMPRODUCT($G$12560:$K$12560,$G$12492:$K$12492)&gt;0,"REFINANCING PASS","REFINANCING FAILURE"))</f>
        <v>REFINANCING PASS</v>
      </c>
    </row>
    <row r="12650" customFormat="false" ht="15" hidden="false" customHeight="false" outlineLevel="0" collapsed="false">
      <c r="A12650" s="3" t="s">
        <v>376</v>
      </c>
      <c r="C12650" s="3" t="str">
        <f aca="false">IF(SUM($G$12560:$K$12560)=0,"n/a",IF(C12648&gt;=C12647-0.001,"Repaid from cash",IF(SUMPRODUCT($G$12560:$K$12560,$G$12492:$K$12492)&gt;0,IF(C12648&gt;0,"Partly repaid; remainder refinanced","Refinanced"),IF(SUM($G$12569:$K$12569)&gt;0.001,IF(C12648&gt;0,"Partial repayment; PAYMENT DEFAULT","PAYMENT DEFAULT"),"Repaid from cash"))))</f>
        <v>Refinanced</v>
      </c>
    </row>
    <row r="12651" customFormat="false" ht="15" hidden="false" customHeight="false" outlineLevel="0" collapsed="false">
      <c r="A12651" s="3" t="s">
        <v>377</v>
      </c>
      <c r="C12651" s="16" t="n">
        <f aca="false">SUMPRODUCT($G$12573:$K$12573,$G$12572:$K$12572-$G$12578:$K$12578+$G$12577:$K$12577)</f>
        <v>550</v>
      </c>
    </row>
    <row r="12652" customFormat="false" ht="15" hidden="false" customHeight="false" outlineLevel="0" collapsed="false">
      <c r="A12652" s="3" t="s">
        <v>378</v>
      </c>
      <c r="C12652" s="16" t="n">
        <f aca="false">SUMPRODUCT($G$12573:$K$12573,$G$12580:$K$12580)</f>
        <v>0</v>
      </c>
    </row>
    <row r="12653" customFormat="false" ht="15" hidden="false" customHeight="false" outlineLevel="0" collapsed="false">
      <c r="A12653" s="3" t="s">
        <v>379</v>
      </c>
      <c r="C12653" s="3" t="str">
        <f aca="false">IF(SUM($G$12573:$K$12573)=0,"n/a (beyond horizon)",IF(SUMPRODUCT($G$12573:$K$12573,$G$12492:$K$12492)&gt;0,"REFINANCING PASS","REFINANCING FAILURE"))</f>
        <v>REFINANCING FAILURE</v>
      </c>
    </row>
    <row r="12654" customFormat="false" ht="15" hidden="false" customHeight="false" outlineLevel="0" collapsed="false">
      <c r="A12654" s="3" t="s">
        <v>380</v>
      </c>
      <c r="C12654" s="3" t="str">
        <f aca="false">IF(SUM($G$12573:$K$12573)=0,"n/a",IF(C12652&gt;=C12651-0.001,"Repaid from cash",IF(SUMPRODUCT($G$12573:$K$12573,$G$12492:$K$12492)&gt;0,IF(C12652&gt;0,"Partly repaid; remainder refinanced","Refinanced"),IF(SUM($G$12582:$K$12582)&gt;0.001,IF(C12652&gt;0,"Partial repayment; PAYMENT DEFAULT","PAYMENT DEFAULT"),"Repaid from cash"))))</f>
        <v>PAYMENT DEFAULT</v>
      </c>
    </row>
    <row r="12655" customFormat="false" ht="15" hidden="false" customHeight="false" outlineLevel="0" collapsed="false">
      <c r="A12655" s="3" t="s">
        <v>381</v>
      </c>
      <c r="C12655" s="16" t="n">
        <f aca="false">SUMPRODUCT($G$12586:$K$12586,$G$12585:$K$12585-$G$12591:$K$12591+$G$12590:$K$12590)</f>
        <v>350</v>
      </c>
    </row>
    <row r="12656" customFormat="false" ht="15" hidden="false" customHeight="false" outlineLevel="0" collapsed="false">
      <c r="A12656" s="3" t="s">
        <v>382</v>
      </c>
      <c r="C12656" s="16" t="n">
        <f aca="false">SUMPRODUCT($G$12586:$K$12586,$G$12593:$K$12593)</f>
        <v>0</v>
      </c>
    </row>
    <row r="12657" customFormat="false" ht="15" hidden="false" customHeight="false" outlineLevel="0" collapsed="false">
      <c r="A12657" s="3" t="s">
        <v>383</v>
      </c>
      <c r="C12657" s="3" t="str">
        <f aca="false">IF(SUM($G$12586:$K$12586)=0,"n/a (beyond horizon)",IF(SUMPRODUCT($G$12586:$K$12586,$G$12492:$K$12492)&gt;0,"REFINANCING PASS","REFINANCING FAILURE"))</f>
        <v>REFINANCING FAILURE</v>
      </c>
    </row>
    <row r="12658" customFormat="false" ht="15" hidden="false" customHeight="false" outlineLevel="0" collapsed="false">
      <c r="A12658" s="3" t="s">
        <v>384</v>
      </c>
      <c r="C12658" s="3" t="str">
        <f aca="false">IF(SUM($G$12586:$K$12586)=0,"n/a",IF(C12656&gt;=C12655-0.001,"Repaid from cash",IF(SUMPRODUCT($G$12586:$K$12586,$G$12492:$K$12492)&gt;0,IF(C12656&gt;0,"Partly repaid; remainder refinanced","Refinanced"),IF(SUM($G$12595:$K$12595)&gt;0.001,IF(C12656&gt;0,"Partial repayment; PAYMENT DEFAULT","PAYMENT DEFAULT"),"Repaid from cash"))))</f>
        <v>PAYMENT DEFAULT</v>
      </c>
    </row>
    <row r="12659" customFormat="false" ht="15" hidden="false" customHeight="false" outlineLevel="0" collapsed="false">
      <c r="A12659" s="3" t="s">
        <v>385</v>
      </c>
      <c r="C12659" s="16" t="n">
        <f aca="false">SUMPRODUCT($G$12599:$K$12599,$G$12598:$K$12598-$G$12604:$K$12604+$G$12603:$K$12603)</f>
        <v>300</v>
      </c>
    </row>
    <row r="12660" customFormat="false" ht="15" hidden="false" customHeight="false" outlineLevel="0" collapsed="false">
      <c r="A12660" s="3" t="s">
        <v>386</v>
      </c>
      <c r="C12660" s="16" t="n">
        <f aca="false">SUMPRODUCT($G$12599:$K$12599,$G$12606:$K$12606)</f>
        <v>0</v>
      </c>
    </row>
    <row r="12661" customFormat="false" ht="15" hidden="false" customHeight="false" outlineLevel="0" collapsed="false">
      <c r="A12661" s="3" t="s">
        <v>387</v>
      </c>
      <c r="C12661" s="3" t="str">
        <f aca="false">IF(SUM($G$12599:$K$12599)=0,"n/a (beyond horizon)",IF(SUMPRODUCT($G$12599:$K$12599,$G$12492:$K$12492)&gt;0,"REFINANCING PASS","REFINANCING FAILURE"))</f>
        <v>REFINANCING FAILURE</v>
      </c>
    </row>
    <row r="12662" customFormat="false" ht="15" hidden="false" customHeight="false" outlineLevel="0" collapsed="false">
      <c r="A12662" s="3" t="s">
        <v>388</v>
      </c>
      <c r="C12662" s="3" t="str">
        <f aca="false">IF(SUM($G$12599:$K$12599)=0,"n/a",IF(C12660&gt;=C12659-0.001,"Repaid from cash",IF(SUMPRODUCT($G$12599:$K$12599,$G$12492:$K$12492)&gt;0,IF(C12660&gt;0,"Partly repaid; remainder refinanced","Refinanced"),IF(SUM($G$12608:$K$12608)&gt;0.001,IF(C12660&gt;0,"Partial repayment; PAYMENT DEFAULT","PAYMENT DEFAULT"),"Repaid from cash"))))</f>
        <v>PAYMENT DEFAULT</v>
      </c>
    </row>
    <row r="12663" customFormat="false" ht="15" hidden="false" customHeight="false" outlineLevel="0" collapsed="false">
      <c r="A12663" s="3" t="s">
        <v>389</v>
      </c>
      <c r="C12663" s="16" t="n">
        <f aca="false">SUMPRODUCT($G$12612:$K$12612,$G$12611:$K$12611-$G$12617:$K$12617+$G$12616:$K$12616)</f>
        <v>0</v>
      </c>
    </row>
    <row r="12664" customFormat="false" ht="15" hidden="false" customHeight="false" outlineLevel="0" collapsed="false">
      <c r="A12664" s="3" t="s">
        <v>390</v>
      </c>
      <c r="C12664" s="16" t="n">
        <f aca="false">SUMPRODUCT($G$12612:$K$12612,$G$12619:$K$12619)</f>
        <v>0</v>
      </c>
    </row>
    <row r="12665" customFormat="false" ht="15" hidden="false" customHeight="false" outlineLevel="0" collapsed="false">
      <c r="A12665" s="3" t="s">
        <v>391</v>
      </c>
      <c r="C12665" s="3" t="str">
        <f aca="false">IF(SUM($G$12612:$K$12612)=0,"n/a (beyond horizon)",IF(SUMPRODUCT($G$12612:$K$12612,$G$12492:$K$12492)&gt;0,"REFINANCING PASS","REFINANCING FAILURE"))</f>
        <v>n/a (beyond horizon)</v>
      </c>
    </row>
    <row r="12666" customFormat="false" ht="15" hidden="false" customHeight="false" outlineLevel="0" collapsed="false">
      <c r="A12666" s="3" t="s">
        <v>392</v>
      </c>
      <c r="C12666" s="3" t="str">
        <f aca="false">IF(SUM($G$12612:$K$12612)=0,"n/a",IF(C12664&gt;=C12663-0.001,"Repaid from cash",IF(SUMPRODUCT($G$12612:$K$12612,$G$12492:$K$12492)&gt;0,IF(C12664&gt;0,"Partly repaid; remainder refinanced","Refinanced"),IF(SUM($G$12621:$K$12621)&gt;0.001,IF(C12664&gt;0,"Partial repayment; PAYMENT DEFAULT","PAYMENT DEFAULT"),"Repaid from cash"))))</f>
        <v>n/a</v>
      </c>
    </row>
    <row r="12667" customFormat="false" ht="15" hidden="false" customHeight="false" outlineLevel="0" collapsed="false">
      <c r="A12667" s="3" t="s">
        <v>393</v>
      </c>
      <c r="C12667" s="21" t="n">
        <f aca="false">IF(C12629="REFINANCING FAILURE",1,0)+IF(C12633="REFINANCING FAILURE",1,0)+IF(C12637="REFINANCING FAILURE",1,0)+IF(C12641="REFINANCING FAILURE",1,0)+IF(C12645="REFINANCING FAILURE",1,0)+IF(C12649="REFINANCING FAILURE",1,0)+IF(C12653="REFINANCING FAILURE",1,0)+IF(C12657="REFINANCING FAILURE",1,0)+IF(C12661="REFINANCING FAILURE",1,0)+IF(C12665="REFINANCING FAILURE",1,0)</f>
        <v>4</v>
      </c>
    </row>
    <row r="12669" customFormat="false" ht="15" hidden="false" customHeight="false" outlineLevel="0" collapsed="false">
      <c r="A12669" s="24" t="s">
        <v>395</v>
      </c>
      <c r="B12669" s="25"/>
      <c r="C12669" s="25"/>
      <c r="D12669" s="25"/>
      <c r="E12669" s="25"/>
      <c r="F12669" s="25"/>
      <c r="G12669" s="25"/>
      <c r="H12669" s="25"/>
      <c r="I12669" s="25"/>
      <c r="J12669" s="25"/>
      <c r="K12669" s="25"/>
    </row>
    <row r="12670" customFormat="false" ht="15" hidden="false" customHeight="false" outlineLevel="0" collapsed="false">
      <c r="A12670" s="3" t="s">
        <v>325</v>
      </c>
      <c r="G12670" s="16" t="n">
        <f aca="false">F12682</f>
        <v>37.87</v>
      </c>
      <c r="H12670" s="16" t="n">
        <f aca="false">G12682</f>
        <v>145.3458586</v>
      </c>
      <c r="I12670" s="16" t="n">
        <f aca="false">H12682</f>
        <v>25</v>
      </c>
      <c r="J12670" s="16" t="n">
        <f aca="false">I12682</f>
        <v>0</v>
      </c>
      <c r="K12670" s="16" t="n">
        <f aca="false">J12682</f>
        <v>0</v>
      </c>
    </row>
    <row r="12671" customFormat="false" ht="15" hidden="false" customHeight="false" outlineLevel="0" collapsed="false">
      <c r="A12671" s="3" t="s">
        <v>396</v>
      </c>
      <c r="G12671" s="16" t="n">
        <f aca="false">G12481</f>
        <v>-88.5241414</v>
      </c>
      <c r="H12671" s="16" t="n">
        <f aca="false">H12481</f>
        <v>-88.8627680548</v>
      </c>
      <c r="I12671" s="16" t="n">
        <f aca="false">I12481</f>
        <v>-103.716661956296</v>
      </c>
      <c r="J12671" s="16" t="n">
        <f aca="false">J12481</f>
        <v>-111.812853793811</v>
      </c>
      <c r="K12671" s="16" t="n">
        <f aca="false">K12481</f>
        <v>-122.526978888047</v>
      </c>
    </row>
    <row r="12672" customFormat="false" ht="15" hidden="false" customHeight="false" outlineLevel="0" collapsed="false">
      <c r="A12672" s="3" t="s">
        <v>397</v>
      </c>
      <c r="G12672" s="16" t="n">
        <f aca="false">CHOOSE($C$12451,Assumptions!$G$82,Assumptions!$G$101,Assumptions!$G$120)</f>
        <v>200</v>
      </c>
      <c r="H12672" s="16" t="n">
        <f aca="false">CHOOSE($C$12451,Assumptions!$H$82,Assumptions!$H$101,Assumptions!$H$120)</f>
        <v>0</v>
      </c>
      <c r="I12672" s="16" t="n">
        <f aca="false">CHOOSE($C$12451,Assumptions!$I$82,Assumptions!$I$101,Assumptions!$I$120)</f>
        <v>0</v>
      </c>
      <c r="J12672" s="16" t="n">
        <f aca="false">CHOOSE($C$12451,Assumptions!$J$82,Assumptions!$J$101,Assumptions!$J$120)</f>
        <v>0</v>
      </c>
      <c r="K12672" s="16" t="n">
        <f aca="false">CHOOSE($C$12451,Assumptions!$K$82,Assumptions!$K$101,Assumptions!$K$120)</f>
        <v>0</v>
      </c>
    </row>
    <row r="12673" customFormat="false" ht="15" hidden="false" customHeight="false" outlineLevel="0" collapsed="false">
      <c r="A12673" s="3" t="s">
        <v>398</v>
      </c>
      <c r="G12673" s="16" t="n">
        <f aca="false">G12500+G12513+G12526+G12539+G12552+G12565+G12578+G12591+G12604+G12617</f>
        <v>4</v>
      </c>
      <c r="H12673" s="16" t="n">
        <f aca="false">H12500+H12513+H12526+H12539+H12552+H12565+H12578+H12591+H12604+H12617</f>
        <v>4</v>
      </c>
      <c r="I12673" s="16" t="n">
        <f aca="false">I12500+I12513+I12526+I12539+I12552+I12565+I12578+I12591+I12604+I12617</f>
        <v>4</v>
      </c>
      <c r="J12673" s="16" t="n">
        <f aca="false">J12500+J12513+J12526+J12539+J12552+J12565+J12578+J12591+J12604+J12617</f>
        <v>4</v>
      </c>
      <c r="K12673" s="16" t="n">
        <f aca="false">K12500+K12513+K12526+K12539+K12552+K12565+K12578+K12591+K12604+K12617</f>
        <v>4</v>
      </c>
    </row>
    <row r="12674" customFormat="false" ht="15" hidden="false" customHeight="false" outlineLevel="0" collapsed="false">
      <c r="A12674" s="2" t="s">
        <v>399</v>
      </c>
      <c r="G12674" s="17" t="n">
        <f aca="false">G12670+G12671+G12672-G12673</f>
        <v>145.3458586</v>
      </c>
      <c r="H12674" s="17" t="n">
        <f aca="false">H12670+H12671+H12672-H12673</f>
        <v>52.4830905452</v>
      </c>
      <c r="I12674" s="17" t="n">
        <f aca="false">I12670+I12671+I12672-I12673</f>
        <v>-82.716661956296</v>
      </c>
      <c r="J12674" s="17" t="n">
        <f aca="false">J12670+J12671+J12672-J12673</f>
        <v>-115.812853793811</v>
      </c>
      <c r="K12674" s="17" t="n">
        <f aca="false">K12670+K12671+K12672-K12673</f>
        <v>-126.526978888047</v>
      </c>
    </row>
    <row r="12675" customFormat="false" ht="15" hidden="false" customHeight="false" outlineLevel="0" collapsed="false">
      <c r="A12675" s="3" t="s">
        <v>400</v>
      </c>
      <c r="G12675" s="16" t="n">
        <f aca="false">G12501+G12514+G12527+G12540+G12553+G12566+G12579+G12592+G12605+G12618</f>
        <v>0</v>
      </c>
      <c r="H12675" s="16" t="n">
        <f aca="false">H12501+H12514+H12527+H12540+H12553+H12566+H12579+H12592+H12605+H12618</f>
        <v>0</v>
      </c>
      <c r="I12675" s="16" t="n">
        <f aca="false">I12501+I12514+I12527+I12540+I12553+I12566+I12579+I12592+I12605+I12618</f>
        <v>82.716661956296</v>
      </c>
      <c r="J12675" s="16" t="n">
        <f aca="false">J12501+J12514+J12527+J12540+J12553+J12566+J12579+J12592+J12605+J12618</f>
        <v>115.812853793811</v>
      </c>
      <c r="K12675" s="16" t="n">
        <f aca="false">K12501+K12514+K12527+K12540+K12553+K12566+K12579+K12592+K12605+K12618</f>
        <v>126.526978888047</v>
      </c>
    </row>
    <row r="12676" customFormat="false" ht="15" hidden="false" customHeight="false" outlineLevel="0" collapsed="false">
      <c r="A12676" s="2" t="s">
        <v>401</v>
      </c>
      <c r="G12676" s="17" t="n">
        <f aca="false">G12674+G12675</f>
        <v>145.3458586</v>
      </c>
      <c r="H12676" s="17" t="n">
        <f aca="false">H12674+H12675</f>
        <v>52.4830905452</v>
      </c>
      <c r="I12676" s="17" t="n">
        <f aca="false">I12674+I12675</f>
        <v>0</v>
      </c>
      <c r="J12676" s="17" t="n">
        <f aca="false">J12674+J12675</f>
        <v>0</v>
      </c>
      <c r="K12676" s="17" t="n">
        <f aca="false">K12674+K12675</f>
        <v>0</v>
      </c>
    </row>
    <row r="12677" customFormat="false" ht="15" hidden="false" customHeight="false" outlineLevel="0" collapsed="false">
      <c r="A12677" s="3" t="s">
        <v>402</v>
      </c>
      <c r="G12677" s="16" t="n">
        <f aca="false">G12502+G12515+G12528+G12541+G12554+G12567+G12580+G12593+G12606+G12619</f>
        <v>0</v>
      </c>
      <c r="H12677" s="16" t="n">
        <f aca="false">H12502+H12515+H12528+H12541+H12554+H12567+H12580+H12593+H12606+H12619</f>
        <v>27.4830905452</v>
      </c>
      <c r="I12677" s="16" t="n">
        <f aca="false">I12502+I12515+I12528+I12541+I12554+I12567+I12580+I12593+I12606+I12619</f>
        <v>0</v>
      </c>
      <c r="J12677" s="16" t="n">
        <f aca="false">J12502+J12515+J12528+J12541+J12554+J12567+J12580+J12593+J12606+J12619</f>
        <v>0</v>
      </c>
      <c r="K12677" s="16" t="n">
        <f aca="false">K12502+K12515+K12528+K12541+K12554+K12567+K12580+K12593+K12606+K12619</f>
        <v>0</v>
      </c>
    </row>
    <row r="12678" customFormat="false" ht="15" hidden="false" customHeight="false" outlineLevel="0" collapsed="false">
      <c r="A12678" s="2" t="s">
        <v>403</v>
      </c>
      <c r="G12678" s="17" t="n">
        <f aca="false">G12676-G12677</f>
        <v>145.3458586</v>
      </c>
      <c r="H12678" s="17" t="n">
        <f aca="false">H12676-H12677</f>
        <v>25</v>
      </c>
      <c r="I12678" s="17" t="n">
        <f aca="false">I12676-I12677</f>
        <v>0</v>
      </c>
      <c r="J12678" s="17" t="n">
        <f aca="false">J12676-J12677</f>
        <v>0</v>
      </c>
      <c r="K12678" s="17" t="n">
        <f aca="false">K12676-K12677</f>
        <v>0</v>
      </c>
    </row>
    <row r="12679" customFormat="false" ht="15" hidden="false" customHeight="false" outlineLevel="0" collapsed="false">
      <c r="A12679" s="3" t="s">
        <v>404</v>
      </c>
      <c r="G12679" s="16" t="n">
        <f aca="false">MAX(0,-G12678)</f>
        <v>0</v>
      </c>
      <c r="H12679" s="16" t="n">
        <f aca="false">MAX(0,-H12678)</f>
        <v>0</v>
      </c>
      <c r="I12679" s="16" t="n">
        <f aca="false">MAX(0,-I12678)</f>
        <v>-0</v>
      </c>
      <c r="J12679" s="16" t="n">
        <f aca="false">MAX(0,-J12678)</f>
        <v>-0</v>
      </c>
      <c r="K12679" s="16" t="n">
        <f aca="false">MAX(0,-K12678)</f>
        <v>-0</v>
      </c>
    </row>
    <row r="12680" customFormat="false" ht="15" hidden="false" customHeight="false" outlineLevel="0" collapsed="false">
      <c r="A12680" s="3" t="s">
        <v>405</v>
      </c>
      <c r="G12680" s="16" t="n">
        <f aca="false">MAX(0,G12678-Assumptions!$C$12)*Assumptions!$C$13</f>
        <v>0</v>
      </c>
      <c r="H12680" s="16" t="n">
        <f aca="false">MAX(0,H12678-Assumptions!$C$12)*Assumptions!$C$13</f>
        <v>0</v>
      </c>
      <c r="I12680" s="16" t="n">
        <f aca="false">MAX(0,I12678-Assumptions!$C$12)*Assumptions!$C$13</f>
        <v>0</v>
      </c>
      <c r="J12680" s="16" t="n">
        <f aca="false">MAX(0,J12678-Assumptions!$C$12)*Assumptions!$C$13</f>
        <v>0</v>
      </c>
      <c r="K12680" s="16" t="n">
        <f aca="false">MAX(0,K12678-Assumptions!$C$12)*Assumptions!$C$13</f>
        <v>0</v>
      </c>
    </row>
    <row r="12681" customFormat="false" ht="15" hidden="false" customHeight="false" outlineLevel="0" collapsed="false">
      <c r="A12681" s="3" t="s">
        <v>406</v>
      </c>
      <c r="G12681" s="16" t="n">
        <f aca="false">G12503+G12516+G12529+G12542+G12555+G12568+G12581+G12594+G12607+G12620</f>
        <v>0</v>
      </c>
      <c r="H12681" s="16" t="n">
        <f aca="false">H12503+H12516+H12529+H12542+H12555+H12568+H12581+H12594+H12607+H12620</f>
        <v>0</v>
      </c>
      <c r="I12681" s="16" t="n">
        <f aca="false">I12503+I12516+I12529+I12542+I12555+I12568+I12581+I12594+I12607+I12620</f>
        <v>0</v>
      </c>
      <c r="J12681" s="16" t="n">
        <f aca="false">J12503+J12516+J12529+J12542+J12555+J12568+J12581+J12594+J12607+J12620</f>
        <v>0</v>
      </c>
      <c r="K12681" s="16" t="n">
        <f aca="false">K12503+K12516+K12529+K12542+K12555+K12568+K12581+K12594+K12607+K12620</f>
        <v>0</v>
      </c>
    </row>
    <row r="12682" customFormat="false" ht="15" hidden="false" customHeight="false" outlineLevel="0" collapsed="false">
      <c r="A12682" s="2" t="s">
        <v>407</v>
      </c>
      <c r="F12682" s="28" t="n">
        <f aca="false">Assumptions!$C$11</f>
        <v>37.87</v>
      </c>
      <c r="G12682" s="17" t="n">
        <f aca="false">G12678-G12681</f>
        <v>145.3458586</v>
      </c>
      <c r="H12682" s="17" t="n">
        <f aca="false">H12678-H12681</f>
        <v>25</v>
      </c>
      <c r="I12682" s="17" t="n">
        <f aca="false">I12678-I12681</f>
        <v>0</v>
      </c>
      <c r="J12682" s="17" t="n">
        <f aca="false">J12678-J12681</f>
        <v>0</v>
      </c>
      <c r="K12682" s="17" t="n">
        <f aca="false">K12678-K12681</f>
        <v>0</v>
      </c>
    </row>
    <row r="12683" customFormat="false" ht="15" hidden="false" customHeight="false" outlineLevel="0" collapsed="false">
      <c r="A12683" s="3" t="s">
        <v>408</v>
      </c>
      <c r="G12683" s="16" t="n">
        <f aca="false">G12504+G12517+G12530+G12543+G12556+G12569+G12582+G12595+G12608+G12621</f>
        <v>0</v>
      </c>
      <c r="H12683" s="16" t="n">
        <f aca="false">H12504+H12517+H12530+H12543+H12556+H12569+H12582+H12595+H12608+H12621</f>
        <v>0</v>
      </c>
      <c r="I12683" s="16" t="n">
        <f aca="false">I12504+I12517+I12530+I12543+I12556+I12569+I12582+I12595+I12608+I12621</f>
        <v>550</v>
      </c>
      <c r="J12683" s="16" t="n">
        <f aca="false">J12504+J12517+J12530+J12543+J12556+J12569+J12582+J12595+J12608+J12621</f>
        <v>350</v>
      </c>
      <c r="K12683" s="16" t="n">
        <f aca="false">K12504+K12517+K12530+K12543+K12556+K12569+K12582+K12595+K12608+K12621</f>
        <v>680</v>
      </c>
    </row>
    <row r="12684" customFormat="false" ht="15" hidden="false" customHeight="false" outlineLevel="0" collapsed="false">
      <c r="A12684" s="3" t="s">
        <v>409</v>
      </c>
      <c r="G12684" s="21" t="n">
        <f aca="false">IF(OR(G12679&gt;0.001,G12683&gt;0.001),1,0)</f>
        <v>0</v>
      </c>
      <c r="H12684" s="21" t="n">
        <f aca="false">IF(OR(H12679&gt;0.001,H12683&gt;0.001),1,0)</f>
        <v>0</v>
      </c>
      <c r="I12684" s="21" t="n">
        <f aca="false">IF(OR(I12679&gt;0.001,I12683&gt;0.001),1,0)</f>
        <v>1</v>
      </c>
      <c r="J12684" s="21" t="n">
        <f aca="false">IF(OR(J12679&gt;0.001,J12683&gt;0.001),1,0)</f>
        <v>1</v>
      </c>
      <c r="K12684" s="21" t="n">
        <f aca="false">IF(OR(K12679&gt;0.001,K12683&gt;0.001),1,0)</f>
        <v>1</v>
      </c>
    </row>
    <row r="12685" customFormat="false" ht="15" hidden="false" customHeight="false" outlineLevel="0" collapsed="false">
      <c r="A12685" s="3" t="s">
        <v>410</v>
      </c>
      <c r="G12685" s="21" t="n">
        <f aca="false">IF(G12684=1,1,0)</f>
        <v>0</v>
      </c>
      <c r="H12685" s="21" t="n">
        <f aca="false">IF(AND(H12684=1,SUM($G$12684:G12684)=0),1,0)</f>
        <v>0</v>
      </c>
      <c r="I12685" s="21" t="n">
        <f aca="false">IF(AND(I12684=1,SUM($G$12684:H12684)=0),1,0)</f>
        <v>1</v>
      </c>
      <c r="J12685" s="21" t="n">
        <f aca="false">IF(AND(J12684=1,SUM($G$12684:I12684)=0),1,0)</f>
        <v>0</v>
      </c>
      <c r="K12685" s="21" t="n">
        <f aca="false">IF(AND(K12684=1,SUM($G$12684:J12684)=0),1,0)</f>
        <v>0</v>
      </c>
    </row>
    <row r="12686" customFormat="false" ht="15" hidden="false" customHeight="false" outlineLevel="0" collapsed="false">
      <c r="A12686" s="3" t="s">
        <v>411</v>
      </c>
      <c r="G12686" s="16" t="n">
        <f aca="false">(G12624-F12624)-(G12675+G12473-G12673-G12677-G12681)</f>
        <v>0</v>
      </c>
      <c r="H12686" s="16" t="n">
        <f aca="false">(H12624-G12624)-(H12675+H12473-H12673-H12677-H12681)</f>
        <v>-3.69482222595252E-013</v>
      </c>
      <c r="I12686" s="16" t="n">
        <f aca="false">(I12624-H12624)-(I12675+I12473-I12673-I12677-I12681)</f>
        <v>3.69482222595252E-013</v>
      </c>
      <c r="J12686" s="16" t="n">
        <f aca="false">(J12624-I12624)-(J12675+J12473-J12673-J12677-J12681)</f>
        <v>0</v>
      </c>
      <c r="K12686" s="16" t="n">
        <f aca="false">(K12624-J12624)-(K12675+K12473-K12673-K12677-K12681)</f>
        <v>0</v>
      </c>
    </row>
    <row r="12688" customFormat="false" ht="15" hidden="false" customHeight="false" outlineLevel="0" collapsed="false">
      <c r="A12688" s="24" t="s">
        <v>413</v>
      </c>
      <c r="B12688" s="25"/>
      <c r="C12688" s="25"/>
      <c r="D12688" s="25"/>
      <c r="E12688" s="25"/>
      <c r="F12688" s="25"/>
      <c r="G12688" s="25"/>
      <c r="H12688" s="25"/>
      <c r="I12688" s="25"/>
      <c r="J12688" s="25"/>
      <c r="K12688" s="25"/>
    </row>
    <row r="12689" customFormat="false" ht="15" hidden="false" customHeight="false" outlineLevel="0" collapsed="false">
      <c r="A12689" s="3" t="s">
        <v>414</v>
      </c>
      <c r="G12689" s="16" t="n">
        <f aca="false">G12624</f>
        <v>2621.934</v>
      </c>
      <c r="H12689" s="16" t="n">
        <f aca="false">H12624</f>
        <v>2590.4509094548</v>
      </c>
      <c r="I12689" s="16" t="n">
        <f aca="false">I12624</f>
        <v>2669.1675714111</v>
      </c>
      <c r="J12689" s="16" t="n">
        <f aca="false">J12624</f>
        <v>2780.98042520491</v>
      </c>
      <c r="K12689" s="16" t="n">
        <f aca="false">K12624</f>
        <v>2903.50740409295</v>
      </c>
    </row>
    <row r="12690" customFormat="false" ht="15" hidden="false" customHeight="false" outlineLevel="0" collapsed="false">
      <c r="A12690" s="3" t="s">
        <v>415</v>
      </c>
      <c r="G12690" s="16" t="n">
        <f aca="false">Assumptions!$O$57*G12505+Assumptions!$O$58*G12518+Assumptions!$O$59*G12531+Assumptions!$O$60*G12544+Assumptions!$O$61*G12557+Assumptions!$O$62*G12570+Assumptions!$O$63*G12583+Assumptions!$O$64*G12596+Assumptions!$O$65*G12609+Assumptions!$O$66*G12622</f>
        <v>543.324</v>
      </c>
      <c r="H12690" s="16" t="n">
        <f aca="false">Assumptions!$O$57*H12505+Assumptions!$O$58*H12518+Assumptions!$O$59*H12531+Assumptions!$O$60*H12544+Assumptions!$O$61*H12557+Assumptions!$O$62*H12570+Assumptions!$O$63*H12583+Assumptions!$O$64*H12596+Assumptions!$O$65*H12609+Assumptions!$O$66*H12622</f>
        <v>539.324</v>
      </c>
      <c r="I12690" s="16" t="n">
        <f aca="false">Assumptions!$O$57*I12505+Assumptions!$O$58*I12518+Assumptions!$O$59*I12531+Assumptions!$O$60*I12544+Assumptions!$O$61*I12557+Assumptions!$O$62*I12570+Assumptions!$O$63*I12583+Assumptions!$O$64*I12596+Assumptions!$O$65*I12609+Assumptions!$O$66*I12622</f>
        <v>535.324</v>
      </c>
      <c r="J12690" s="16" t="n">
        <f aca="false">Assumptions!$O$57*J12505+Assumptions!$O$58*J12518+Assumptions!$O$59*J12531+Assumptions!$O$60*J12544+Assumptions!$O$61*J12557+Assumptions!$O$62*J12570+Assumptions!$O$63*J12583+Assumptions!$O$64*J12596+Assumptions!$O$65*J12609+Assumptions!$O$66*J12622</f>
        <v>531.324</v>
      </c>
      <c r="K12690" s="16" t="n">
        <f aca="false">Assumptions!$O$57*K12505+Assumptions!$O$58*K12518+Assumptions!$O$59*K12531+Assumptions!$O$60*K12544+Assumptions!$O$61*K12557+Assumptions!$O$62*K12570+Assumptions!$O$63*K12583+Assumptions!$O$64*K12596+Assumptions!$O$65*K12609+Assumptions!$O$66*K12622</f>
        <v>527.324</v>
      </c>
    </row>
    <row r="12691" customFormat="false" ht="15" hidden="false" customHeight="false" outlineLevel="0" collapsed="false">
      <c r="A12691" s="3" t="s">
        <v>416</v>
      </c>
      <c r="G12691" s="16" t="n">
        <f aca="false">G12689-G12682</f>
        <v>2476.5881414</v>
      </c>
      <c r="H12691" s="16" t="n">
        <f aca="false">H12689-H12682</f>
        <v>2565.4509094548</v>
      </c>
      <c r="I12691" s="16" t="n">
        <f aca="false">I12689-I12682</f>
        <v>2669.1675714111</v>
      </c>
      <c r="J12691" s="16" t="n">
        <f aca="false">J12689-J12682</f>
        <v>2780.98042520491</v>
      </c>
      <c r="K12691" s="16" t="n">
        <f aca="false">K12689-K12682</f>
        <v>2903.50740409295</v>
      </c>
    </row>
    <row r="12692" customFormat="false" ht="15" hidden="false" customHeight="false" outlineLevel="0" collapsed="false">
      <c r="A12692" s="3" t="s">
        <v>417</v>
      </c>
      <c r="G12692" s="32" t="n">
        <f aca="false">IF(G12468&gt;0,G12689/G12468,0)</f>
        <v>10.7913310369165</v>
      </c>
      <c r="H12692" s="32" t="n">
        <f aca="false">IF(H12468&gt;0,H12689/H12468,0)</f>
        <v>10.9296323340051</v>
      </c>
      <c r="I12692" s="32" t="n">
        <f aca="false">IF(I12468&gt;0,I12689/I12468,0)</f>
        <v>11.5450737390096</v>
      </c>
      <c r="J12692" s="32" t="n">
        <f aca="false">IF(J12468&gt;0,J12689/J12468,0)</f>
        <v>12.3546254330324</v>
      </c>
      <c r="K12692" s="32" t="n">
        <f aca="false">IF(K12468&gt;0,K12689/K12468,0)</f>
        <v>13.2486421701028</v>
      </c>
    </row>
    <row r="12693" customFormat="false" ht="15" hidden="false" customHeight="false" outlineLevel="0" collapsed="false">
      <c r="A12693" s="3" t="s">
        <v>418</v>
      </c>
      <c r="G12693" s="32" t="n">
        <f aca="false">IF(G12468&gt;0,G12691/G12468,0)</f>
        <v>10.1931179335365</v>
      </c>
      <c r="H12693" s="32" t="n">
        <f aca="false">IF(H12468&gt;0,H12691/H12468,0)</f>
        <v>10.8241523160851</v>
      </c>
      <c r="I12693" s="32" t="n">
        <f aca="false">IF(I12468&gt;0,I12691/I12468,0)</f>
        <v>11.5450737390096</v>
      </c>
      <c r="J12693" s="32" t="n">
        <f aca="false">IF(J12468&gt;0,J12691/J12468,0)</f>
        <v>12.3546254330324</v>
      </c>
      <c r="K12693" s="32" t="n">
        <f aca="false">IF(K12468&gt;0,K12691/K12468,0)</f>
        <v>13.2486421701028</v>
      </c>
    </row>
    <row r="12694" customFormat="false" ht="15" hidden="false" customHeight="false" outlineLevel="0" collapsed="false">
      <c r="A12694" s="3" t="s">
        <v>419</v>
      </c>
      <c r="G12694" s="32" t="n">
        <f aca="false">IF(G12472&gt;0,G12468/G12472,0)</f>
        <v>1.34824435801385</v>
      </c>
      <c r="H12694" s="32" t="n">
        <f aca="false">IF(H12472&gt;0,H12468/H12472,0)</f>
        <v>1.32311378929575</v>
      </c>
      <c r="I12694" s="32" t="n">
        <f aca="false">IF(I12472&gt;0,I12468/I12472,0)</f>
        <v>1.20056836101645</v>
      </c>
      <c r="J12694" s="32" t="n">
        <f aca="false">IF(J12472&gt;0,J12468/J12472,0)</f>
        <v>1.13205344085669</v>
      </c>
      <c r="K12694" s="32" t="n">
        <f aca="false">IF(K12472&gt;0,K12468/K12472,0)</f>
        <v>1.05487805576755</v>
      </c>
    </row>
    <row r="12695" customFormat="false" ht="15" hidden="false" customHeight="false" outlineLevel="0" collapsed="false">
      <c r="A12695" s="3" t="s">
        <v>420</v>
      </c>
      <c r="G12695" s="32" t="n">
        <f aca="false">IF(G12472&gt;0,G12471/G12472,0)</f>
        <v>0.402293203270861</v>
      </c>
      <c r="H12695" s="32" t="n">
        <f aca="false">IF(H12472&gt;0,H12471/H12472,0)</f>
        <v>0.400019729371245</v>
      </c>
      <c r="I12695" s="32" t="n">
        <f aca="false">IF(I12472&gt;0,I12471/I12472,0)</f>
        <v>0.367658365256086</v>
      </c>
      <c r="J12695" s="32" t="n">
        <f aca="false">IF(J12472&gt;0,J12471/J12472,0)</f>
        <v>0.349596183301077</v>
      </c>
      <c r="K12695" s="32" t="n">
        <f aca="false">IF(K12472&gt;0,K12471/K12472,0)</f>
        <v>0.328463617189317</v>
      </c>
    </row>
    <row r="12696" customFormat="false" ht="15" hidden="false" customHeight="false" outlineLevel="0" collapsed="false">
      <c r="A12696" s="3" t="s">
        <v>213</v>
      </c>
      <c r="G12696" s="22" t="n">
        <f aca="false">IF(G12689&gt;0,G12481/G12689,0)</f>
        <v>-0.0337629175257653</v>
      </c>
      <c r="H12696" s="22" t="n">
        <f aca="false">IF(H12689&gt;0,H12481/H12689,0)</f>
        <v>-0.0343039768599601</v>
      </c>
      <c r="I12696" s="22" t="n">
        <f aca="false">IF(I12689&gt;0,I12481/I12689,0)</f>
        <v>-0.0388573063254566</v>
      </c>
      <c r="J12696" s="22" t="n">
        <f aca="false">IF(J12689&gt;0,J12481/J12689,0)</f>
        <v>-0.0402062714215519</v>
      </c>
      <c r="K12696" s="22" t="n">
        <f aca="false">IF(K12689&gt;0,K12481/K12689,0)</f>
        <v>-0.0421996440289168</v>
      </c>
    </row>
    <row r="12697" customFormat="false" ht="15" hidden="false" customHeight="false" outlineLevel="0" collapsed="false">
      <c r="A12697" s="3" t="s">
        <v>421</v>
      </c>
      <c r="G12697" s="32" t="n">
        <f aca="false">IF(G12472+G12673&gt;0,(G12468-G12479-G12476)/(G12472+G12673),0)</f>
        <v>0.771471884832827</v>
      </c>
      <c r="H12697" s="32" t="n">
        <f aca="false">IF(H12472+H12673&gt;0,(H12468-H12479-H12476)/(H12472+H12673),0)</f>
        <v>0.760016898024812</v>
      </c>
      <c r="I12697" s="32" t="n">
        <f aca="false">IF(I12472+I12673&gt;0,(I12468-I12479-I12476)/(I12472+I12673),0)</f>
        <v>0.693394916003746</v>
      </c>
      <c r="J12697" s="32" t="n">
        <f aca="false">IF(J12472+J12673&gt;0,(J12468-J12479-J12476)/(J12472+J12673),0)</f>
        <v>0.655936623524904</v>
      </c>
      <c r="K12697" s="32" t="n">
        <f aca="false">IF(K12472+K12673&gt;0,(K12468-K12479-K12476)/(K12472+K12673),0)</f>
        <v>0.613304634173316</v>
      </c>
    </row>
    <row r="12698" customFormat="false" ht="15" hidden="false" customHeight="false" outlineLevel="0" collapsed="false">
      <c r="A12698" s="3" t="s">
        <v>422</v>
      </c>
      <c r="G12698" s="16" t="n">
        <f aca="false">MAX(0,G12682)+Assumptions!$P$57*MAX(0,Assumptions!$D$57-G12505)+Assumptions!$P$58*MAX(0,Assumptions!$D$58-G12518)+Assumptions!$P$59*MAX(0,Assumptions!$D$59-G12531)+Assumptions!$P$60*MAX(0,Assumptions!$D$60-G12544)+Assumptions!$P$61*MAX(0,Assumptions!$D$61-G12557)+Assumptions!$P$62*MAX(0,Assumptions!$D$62-G12570)+Assumptions!$P$63*MAX(0,Assumptions!$D$63-G12583)+Assumptions!$P$64*MAX(0,Assumptions!$D$64-G12596)+Assumptions!$P$65*MAX(0,Assumptions!$D$65-G12609)+Assumptions!$P$66*MAX(0,Assumptions!$D$66-G12622)</f>
        <v>719.8458586</v>
      </c>
      <c r="H12698" s="16" t="n">
        <f aca="false">MAX(0,H12682)+Assumptions!$P$57*MAX(0,Assumptions!$D$57-H12505)+Assumptions!$P$58*MAX(0,Assumptions!$D$58-H12518)+Assumptions!$P$59*MAX(0,Assumptions!$D$59-H12531)+Assumptions!$P$60*MAX(0,Assumptions!$D$60-H12544)+Assumptions!$P$61*MAX(0,Assumptions!$D$61-H12557)+Assumptions!$P$62*MAX(0,Assumptions!$D$62-H12570)+Assumptions!$P$63*MAX(0,Assumptions!$D$63-H12583)+Assumptions!$P$64*MAX(0,Assumptions!$D$64-H12596)+Assumptions!$P$65*MAX(0,Assumptions!$D$65-H12609)+Assumptions!$P$66*MAX(0,Assumptions!$D$66-H12622)</f>
        <v>599.5</v>
      </c>
      <c r="I12698" s="16" t="n">
        <f aca="false">MAX(0,I12682)+Assumptions!$P$57*MAX(0,Assumptions!$D$57-I12505)+Assumptions!$P$58*MAX(0,Assumptions!$D$58-I12518)+Assumptions!$P$59*MAX(0,Assumptions!$D$59-I12531)+Assumptions!$P$60*MAX(0,Assumptions!$D$60-I12544)+Assumptions!$P$61*MAX(0,Assumptions!$D$61-I12557)+Assumptions!$P$62*MAX(0,Assumptions!$D$62-I12570)+Assumptions!$P$63*MAX(0,Assumptions!$D$63-I12583)+Assumptions!$P$64*MAX(0,Assumptions!$D$64-I12596)+Assumptions!$P$65*MAX(0,Assumptions!$D$65-I12609)+Assumptions!$P$66*MAX(0,Assumptions!$D$66-I12622)</f>
        <v>491.783338043704</v>
      </c>
      <c r="J12698" s="16" t="n">
        <f aca="false">MAX(0,J12682)+Assumptions!$P$57*MAX(0,Assumptions!$D$57-J12505)+Assumptions!$P$58*MAX(0,Assumptions!$D$58-J12518)+Assumptions!$P$59*MAX(0,Assumptions!$D$59-J12531)+Assumptions!$P$60*MAX(0,Assumptions!$D$60-J12544)+Assumptions!$P$61*MAX(0,Assumptions!$D$61-J12557)+Assumptions!$P$62*MAX(0,Assumptions!$D$62-J12570)+Assumptions!$P$63*MAX(0,Assumptions!$D$63-J12583)+Assumptions!$P$64*MAX(0,Assumptions!$D$64-J12596)+Assumptions!$P$65*MAX(0,Assumptions!$D$65-J12609)+Assumptions!$P$66*MAX(0,Assumptions!$D$66-J12622)</f>
        <v>375.970484249893</v>
      </c>
      <c r="K12698" s="16" t="n">
        <f aca="false">MAX(0,K12682)+Assumptions!$P$57*MAX(0,Assumptions!$D$57-K12505)+Assumptions!$P$58*MAX(0,Assumptions!$D$58-K12518)+Assumptions!$P$59*MAX(0,Assumptions!$D$59-K12531)+Assumptions!$P$60*MAX(0,Assumptions!$D$60-K12544)+Assumptions!$P$61*MAX(0,Assumptions!$D$61-K12557)+Assumptions!$P$62*MAX(0,Assumptions!$D$62-K12570)+Assumptions!$P$63*MAX(0,Assumptions!$D$63-K12583)+Assumptions!$P$64*MAX(0,Assumptions!$D$64-K12596)+Assumptions!$P$65*MAX(0,Assumptions!$D$65-K12609)+Assumptions!$P$66*MAX(0,Assumptions!$D$66-K12622)</f>
        <v>249.443505361846</v>
      </c>
    </row>
    <row r="12699" customFormat="false" ht="15" hidden="false" customHeight="false" outlineLevel="0" collapsed="false">
      <c r="A12699" s="3" t="s">
        <v>423</v>
      </c>
      <c r="G12699" s="22" t="n">
        <f aca="false">IF(G12689&gt;0,G12689/(G12689+MAX(0,G12468*CHOOSE($C$12451,Assumptions!$C$90,Assumptions!$C$109,Assumptions!$C$128)-G12691)),0)</f>
        <v>0.823878108543815</v>
      </c>
      <c r="H12699" s="22" t="n">
        <f aca="false">IF(H12689&gt;0,H12689/(H12689+MAX(0,H12468*CHOOSE($C$12451,Assumptions!$C$90,Assumptions!$C$109,Assumptions!$C$128)-H12691)),0)</f>
        <v>0.867054036694158</v>
      </c>
      <c r="I12699" s="22" t="n">
        <f aca="false">IF(I12689&gt;0,I12689/(I12689+MAX(0,I12468*CHOOSE($C$12451,Assumptions!$C$90,Assumptions!$C$109,Assumptions!$C$128)-I12691)),0)</f>
        <v>0.923605899120769</v>
      </c>
      <c r="J12699" s="22" t="n">
        <f aca="false">IF(J12689&gt;0,J12689/(J12689+MAX(0,J12468*CHOOSE($C$12451,Assumptions!$C$90,Assumptions!$C$109,Assumptions!$C$128)-J12691)),0)</f>
        <v>0.988370034642595</v>
      </c>
      <c r="K12699" s="22" t="n">
        <f aca="false">IF(K12689&gt;0,K12689/(K12689+MAX(0,K12468*CHOOSE($C$12451,Assumptions!$C$90,Assumptions!$C$109,Assumptions!$C$128)-K12691)),0)</f>
        <v>1</v>
      </c>
    </row>
    <row r="12700" customFormat="false" ht="15" hidden="false" customHeight="false" outlineLevel="0" collapsed="false">
      <c r="A12700" s="3" t="s">
        <v>424</v>
      </c>
      <c r="G12700" s="22" t="n">
        <f aca="false">IF(G12689&gt;0,MAX(0,G12682)/G12689,0)</f>
        <v>0.0554345985062934</v>
      </c>
      <c r="H12700" s="22" t="n">
        <f aca="false">IF(H12689&gt;0,MAX(0,H12682)/H12689,0)</f>
        <v>0.00965082947866464</v>
      </c>
      <c r="I12700" s="22" t="n">
        <f aca="false">IF(I12689&gt;0,MAX(0,I12682)/I12689,0)</f>
        <v>0</v>
      </c>
      <c r="J12700" s="22" t="n">
        <f aca="false">IF(J12689&gt;0,MAX(0,J12682)/J12689,0)</f>
        <v>0</v>
      </c>
      <c r="K12700" s="22" t="n">
        <f aca="false">IF(K12689&gt;0,MAX(0,K12682)/K12689,0)</f>
        <v>0</v>
      </c>
    </row>
    <row r="12701" customFormat="false" ht="15" hidden="false" customHeight="false" outlineLevel="0" collapsed="false">
      <c r="A12701" s="3" t="s">
        <v>425</v>
      </c>
      <c r="G12701" s="16" t="n">
        <f aca="false">Assumptions!$C$31*(1-CHOOSE($C$12451,Assumptions!$C$93,Assumptions!$C$112,Assumptions!$C$131))</f>
        <v>4517.70066666667</v>
      </c>
      <c r="H12701" s="16" t="n">
        <f aca="false">Assumptions!$C$31*(1-CHOOSE($C$12451,Assumptions!$C$93,Assumptions!$C$112,Assumptions!$C$131))</f>
        <v>4517.70066666667</v>
      </c>
      <c r="I12701" s="16" t="n">
        <f aca="false">Assumptions!$C$31*(1-CHOOSE($C$12451,Assumptions!$C$93,Assumptions!$C$112,Assumptions!$C$131))</f>
        <v>4517.70066666667</v>
      </c>
      <c r="J12701" s="16" t="n">
        <f aca="false">Assumptions!$C$31*(1-CHOOSE($C$12451,Assumptions!$C$93,Assumptions!$C$112,Assumptions!$C$131))</f>
        <v>4517.70066666667</v>
      </c>
      <c r="K12701" s="16" t="n">
        <f aca="false">Assumptions!$C$31*(1-CHOOSE($C$12451,Assumptions!$C$93,Assumptions!$C$112,Assumptions!$C$131))</f>
        <v>4517.70066666667</v>
      </c>
    </row>
    <row r="12702" customFormat="false" ht="15" hidden="false" customHeight="false" outlineLevel="0" collapsed="false">
      <c r="A12702" s="24" t="s">
        <v>426</v>
      </c>
      <c r="B12702" s="25"/>
      <c r="C12702" s="25"/>
      <c r="D12702" s="25"/>
      <c r="E12702" s="25"/>
      <c r="F12702" s="25"/>
      <c r="G12702" s="25"/>
      <c r="H12702" s="25"/>
      <c r="I12702" s="25"/>
      <c r="J12702" s="25"/>
      <c r="K12702" s="25"/>
    </row>
    <row r="12703" customFormat="false" ht="15" hidden="false" customHeight="false" outlineLevel="0" collapsed="false">
      <c r="A12703" s="24" t="s">
        <v>427</v>
      </c>
      <c r="B12703" s="25"/>
      <c r="C12703" s="25"/>
      <c r="D12703" s="25"/>
      <c r="E12703" s="25"/>
      <c r="F12703" s="25"/>
      <c r="G12703" s="25"/>
      <c r="H12703" s="25"/>
      <c r="I12703" s="25"/>
      <c r="J12703" s="25"/>
      <c r="K12703" s="25"/>
    </row>
    <row r="12704" customFormat="false" ht="15" hidden="false" customHeight="false" outlineLevel="0" collapsed="false">
      <c r="A12704" s="3" t="s">
        <v>428</v>
      </c>
      <c r="G12704" s="22" t="n">
        <f aca="false">IF(G12701&gt;0,G12689/G12701,99)</f>
        <v>0.580369128779522</v>
      </c>
      <c r="H12704" s="22" t="n">
        <f aca="false">IF(H12701&gt;0,H12689/H12701,99)</f>
        <v>0.573400298202168</v>
      </c>
      <c r="I12704" s="22" t="n">
        <f aca="false">IF(I12701&gt;0,I12689/I12701,99)</f>
        <v>0.590824352552891</v>
      </c>
      <c r="J12704" s="22" t="n">
        <f aca="false">IF(J12701&gt;0,J12689/J12701,99)</f>
        <v>0.61557429993626</v>
      </c>
      <c r="K12704" s="22" t="n">
        <f aca="false">IF(K12701&gt;0,K12689/K12701,99)</f>
        <v>0.642695835409404</v>
      </c>
    </row>
    <row r="12705" customFormat="false" ht="15" hidden="false" customHeight="false" outlineLevel="0" collapsed="false">
      <c r="A12705" s="3" t="s">
        <v>429</v>
      </c>
      <c r="G12705" s="33" t="n">
        <f aca="false">Assumptions!$G$71</f>
        <v>0.6</v>
      </c>
      <c r="H12705" s="33" t="n">
        <f aca="false">Assumptions!$H$71</f>
        <v>0.6</v>
      </c>
      <c r="I12705" s="33" t="n">
        <f aca="false">Assumptions!$I$71</f>
        <v>0.6</v>
      </c>
      <c r="J12705" s="33" t="n">
        <f aca="false">Assumptions!$J$71</f>
        <v>0.6</v>
      </c>
      <c r="K12705" s="33" t="n">
        <f aca="false">Assumptions!$K$71</f>
        <v>0.6</v>
      </c>
    </row>
    <row r="12706" customFormat="false" ht="15" hidden="false" customHeight="false" outlineLevel="0" collapsed="false">
      <c r="A12706" s="3" t="s">
        <v>430</v>
      </c>
      <c r="G12706" s="22" t="n">
        <f aca="false">G12705-G12704</f>
        <v>0.0196308712204777</v>
      </c>
      <c r="H12706" s="22" t="n">
        <f aca="false">H12705-H12704</f>
        <v>0.026599701797832</v>
      </c>
      <c r="I12706" s="22" t="n">
        <f aca="false">I12705-I12704</f>
        <v>0.0091756474471093</v>
      </c>
      <c r="J12706" s="22" t="n">
        <f aca="false">J12705-J12704</f>
        <v>-0.0155742999362597</v>
      </c>
      <c r="K12706" s="22" t="n">
        <f aca="false">K12705-K12704</f>
        <v>-0.0426958354094038</v>
      </c>
    </row>
    <row r="12707" customFormat="false" ht="15" hidden="false" customHeight="false" outlineLevel="0" collapsed="false">
      <c r="A12707" s="3" t="s">
        <v>431</v>
      </c>
      <c r="G12707" s="22" t="n">
        <f aca="false">IF(G12705=0,0,G12706/ABS(G12705))</f>
        <v>0.0327181187007962</v>
      </c>
      <c r="H12707" s="22" t="n">
        <f aca="false">IF(H12705=0,0,H12706/ABS(H12705))</f>
        <v>0.04433283632972</v>
      </c>
      <c r="I12707" s="22" t="n">
        <f aca="false">IF(I12705=0,0,I12706/ABS(I12705))</f>
        <v>0.0152927457451822</v>
      </c>
      <c r="J12707" s="22" t="n">
        <f aca="false">IF(J12705=0,0,J12706/ABS(J12705))</f>
        <v>-0.0259571665604328</v>
      </c>
      <c r="K12707" s="22" t="n">
        <f aca="false">IF(K12705=0,0,K12706/ABS(K12705))</f>
        <v>-0.0711597256823397</v>
      </c>
    </row>
    <row r="12708" customFormat="false" ht="15" hidden="false" customHeight="false" outlineLevel="0" collapsed="false">
      <c r="A12708" s="3" t="s">
        <v>432</v>
      </c>
      <c r="G12708" s="21" t="n">
        <f aca="false">IF(G12706&lt;0,1,0)</f>
        <v>0</v>
      </c>
      <c r="H12708" s="21" t="n">
        <f aca="false">IF(H12706&lt;0,1,0)</f>
        <v>0</v>
      </c>
      <c r="I12708" s="21" t="n">
        <f aca="false">IF(I12706&lt;0,1,0)</f>
        <v>0</v>
      </c>
      <c r="J12708" s="21" t="n">
        <f aca="false">IF(J12706&lt;0,1,0)</f>
        <v>1</v>
      </c>
      <c r="K12708" s="21" t="n">
        <f aca="false">IF(K12706&lt;0,1,0)</f>
        <v>1</v>
      </c>
    </row>
    <row r="12709" customFormat="false" ht="15" hidden="false" customHeight="false" outlineLevel="0" collapsed="false">
      <c r="A12709" s="3" t="s">
        <v>433</v>
      </c>
      <c r="C12709" s="21" t="n">
        <f aca="false">IFERROR(INDEX($G$12458:$K$12458,MATCH(1,$G$12708:$K$12708,0)),0)</f>
        <v>2030</v>
      </c>
    </row>
    <row r="12710" customFormat="false" ht="15" hidden="false" customHeight="false" outlineLevel="0" collapsed="false">
      <c r="A12710" s="3" t="s">
        <v>434</v>
      </c>
      <c r="C12710" s="22" t="n">
        <f aca="false">MIN($G$12707:$K$12707)</f>
        <v>-0.0711597256823397</v>
      </c>
    </row>
    <row r="12711" customFormat="false" ht="15" hidden="false" customHeight="false" outlineLevel="0" collapsed="false">
      <c r="A12711" s="24" t="s">
        <v>435</v>
      </c>
      <c r="B12711" s="25"/>
      <c r="C12711" s="25"/>
      <c r="D12711" s="25"/>
      <c r="E12711" s="25"/>
      <c r="F12711" s="25"/>
      <c r="G12711" s="25"/>
      <c r="H12711" s="25"/>
      <c r="I12711" s="25"/>
      <c r="J12711" s="25"/>
      <c r="K12711" s="25"/>
    </row>
    <row r="12712" customFormat="false" ht="15" hidden="false" customHeight="false" outlineLevel="0" collapsed="false">
      <c r="A12712" s="3" t="s">
        <v>428</v>
      </c>
      <c r="G12712" s="32" t="n">
        <f aca="false">IF(G12472&gt;0,G12468/G12472,99)</f>
        <v>1.34824435801385</v>
      </c>
      <c r="H12712" s="32" t="n">
        <f aca="false">IF(H12472&gt;0,H12468/H12472,99)</f>
        <v>1.32311378929575</v>
      </c>
      <c r="I12712" s="32" t="n">
        <f aca="false">IF(I12472&gt;0,I12468/I12472,99)</f>
        <v>1.20056836101645</v>
      </c>
      <c r="J12712" s="32" t="n">
        <f aca="false">IF(J12472&gt;0,J12468/J12472,99)</f>
        <v>1.13205344085669</v>
      </c>
      <c r="K12712" s="32" t="n">
        <f aca="false">IF(K12472&gt;0,K12468/K12472,99)</f>
        <v>1.05487805576755</v>
      </c>
    </row>
    <row r="12713" customFormat="false" ht="15" hidden="false" customHeight="false" outlineLevel="0" collapsed="false">
      <c r="A12713" s="3" t="s">
        <v>429</v>
      </c>
      <c r="G12713" s="34" t="n">
        <f aca="false">Assumptions!$G$72</f>
        <v>1.5</v>
      </c>
      <c r="H12713" s="34" t="n">
        <f aca="false">Assumptions!$H$72</f>
        <v>1.5</v>
      </c>
      <c r="I12713" s="34" t="n">
        <f aca="false">Assumptions!$I$72</f>
        <v>1.5</v>
      </c>
      <c r="J12713" s="34" t="n">
        <f aca="false">Assumptions!$J$72</f>
        <v>1.5</v>
      </c>
      <c r="K12713" s="34" t="n">
        <f aca="false">Assumptions!$K$72</f>
        <v>1.5</v>
      </c>
    </row>
    <row r="12714" customFormat="false" ht="15" hidden="false" customHeight="false" outlineLevel="0" collapsed="false">
      <c r="A12714" s="3" t="s">
        <v>430</v>
      </c>
      <c r="G12714" s="32" t="n">
        <f aca="false">G12712-G12713</f>
        <v>-0.151755641986155</v>
      </c>
      <c r="H12714" s="32" t="n">
        <f aca="false">H12712-H12713</f>
        <v>-0.176886210704251</v>
      </c>
      <c r="I12714" s="32" t="n">
        <f aca="false">I12712-I12713</f>
        <v>-0.299431638983552</v>
      </c>
      <c r="J12714" s="32" t="n">
        <f aca="false">J12712-J12713</f>
        <v>-0.367946559143308</v>
      </c>
      <c r="K12714" s="32" t="n">
        <f aca="false">K12712-K12713</f>
        <v>-0.445121944232451</v>
      </c>
    </row>
    <row r="12715" customFormat="false" ht="15" hidden="false" customHeight="false" outlineLevel="0" collapsed="false">
      <c r="A12715" s="3" t="s">
        <v>431</v>
      </c>
      <c r="G12715" s="22" t="n">
        <f aca="false">IF(G12713=0,0,G12714/ABS(G12713))</f>
        <v>-0.10117042799077</v>
      </c>
      <c r="H12715" s="22" t="n">
        <f aca="false">IF(H12713=0,0,H12714/ABS(H12713))</f>
        <v>-0.117924140469501</v>
      </c>
      <c r="I12715" s="22" t="n">
        <f aca="false">IF(I12713=0,0,I12714/ABS(I12713))</f>
        <v>-0.199621092655701</v>
      </c>
      <c r="J12715" s="22" t="n">
        <f aca="false">IF(J12713=0,0,J12714/ABS(J12713))</f>
        <v>-0.245297706095538</v>
      </c>
      <c r="K12715" s="22" t="n">
        <f aca="false">IF(K12713=0,0,K12714/ABS(K12713))</f>
        <v>-0.296747962821634</v>
      </c>
    </row>
    <row r="12716" customFormat="false" ht="15" hidden="false" customHeight="false" outlineLevel="0" collapsed="false">
      <c r="A12716" s="3" t="s">
        <v>432</v>
      </c>
      <c r="G12716" s="21" t="n">
        <f aca="false">IF(G12714&lt;0,1,0)</f>
        <v>1</v>
      </c>
      <c r="H12716" s="21" t="n">
        <f aca="false">IF(H12714&lt;0,1,0)</f>
        <v>1</v>
      </c>
      <c r="I12716" s="21" t="n">
        <f aca="false">IF(I12714&lt;0,1,0)</f>
        <v>1</v>
      </c>
      <c r="J12716" s="21" t="n">
        <f aca="false">IF(J12714&lt;0,1,0)</f>
        <v>1</v>
      </c>
      <c r="K12716" s="21" t="n">
        <f aca="false">IF(K12714&lt;0,1,0)</f>
        <v>1</v>
      </c>
    </row>
    <row r="12717" customFormat="false" ht="15" hidden="false" customHeight="false" outlineLevel="0" collapsed="false">
      <c r="A12717" s="3" t="s">
        <v>433</v>
      </c>
      <c r="C12717" s="21" t="n">
        <f aca="false">IFERROR(INDEX($G$12458:$K$12458,MATCH(1,$G$12716:$K$12716,0)),0)</f>
        <v>2027</v>
      </c>
    </row>
    <row r="12718" customFormat="false" ht="15" hidden="false" customHeight="false" outlineLevel="0" collapsed="false">
      <c r="A12718" s="3" t="s">
        <v>434</v>
      </c>
      <c r="C12718" s="22" t="n">
        <f aca="false">MIN($G$12715:$K$12715)</f>
        <v>-0.296747962821634</v>
      </c>
    </row>
    <row r="12719" customFormat="false" ht="15" hidden="false" customHeight="false" outlineLevel="0" collapsed="false">
      <c r="A12719" s="24" t="s">
        <v>436</v>
      </c>
      <c r="B12719" s="25"/>
      <c r="C12719" s="25"/>
      <c r="D12719" s="25"/>
      <c r="E12719" s="25"/>
      <c r="F12719" s="25"/>
      <c r="G12719" s="25"/>
      <c r="H12719" s="25"/>
      <c r="I12719" s="25"/>
      <c r="J12719" s="25"/>
      <c r="K12719" s="25"/>
    </row>
    <row r="12720" customFormat="false" ht="15" hidden="false" customHeight="false" outlineLevel="0" collapsed="false">
      <c r="A12720" s="3" t="s">
        <v>428</v>
      </c>
      <c r="G12720" s="22" t="n">
        <f aca="false">IF(G12701&gt;0,G12690/G12701,99)</f>
        <v>0.120265604139923</v>
      </c>
      <c r="H12720" s="22" t="n">
        <f aca="false">IF(H12701&gt;0,H12690/H12701,99)</f>
        <v>0.119380197979769</v>
      </c>
      <c r="I12720" s="22" t="n">
        <f aca="false">IF(I12701&gt;0,I12690/I12701,99)</f>
        <v>0.118494791819614</v>
      </c>
      <c r="J12720" s="22" t="n">
        <f aca="false">IF(J12701&gt;0,J12690/J12701,99)</f>
        <v>0.11760938565946</v>
      </c>
      <c r="K12720" s="22" t="n">
        <f aca="false">IF(K12701&gt;0,K12690/K12701,99)</f>
        <v>0.116723979499306</v>
      </c>
    </row>
    <row r="12721" customFormat="false" ht="15" hidden="false" customHeight="false" outlineLevel="0" collapsed="false">
      <c r="A12721" s="3" t="s">
        <v>429</v>
      </c>
      <c r="G12721" s="33" t="n">
        <f aca="false">Assumptions!$G$73</f>
        <v>0.4</v>
      </c>
      <c r="H12721" s="33" t="n">
        <f aca="false">Assumptions!$H$73</f>
        <v>0.4</v>
      </c>
      <c r="I12721" s="33" t="n">
        <f aca="false">Assumptions!$I$73</f>
        <v>0.4</v>
      </c>
      <c r="J12721" s="33" t="n">
        <f aca="false">Assumptions!$J$73</f>
        <v>0.4</v>
      </c>
      <c r="K12721" s="33" t="n">
        <f aca="false">Assumptions!$K$73</f>
        <v>0.4</v>
      </c>
    </row>
    <row r="12722" customFormat="false" ht="15" hidden="false" customHeight="false" outlineLevel="0" collapsed="false">
      <c r="A12722" s="3" t="s">
        <v>430</v>
      </c>
      <c r="G12722" s="22" t="n">
        <f aca="false">G12721-G12720</f>
        <v>0.279734395860077</v>
      </c>
      <c r="H12722" s="22" t="n">
        <f aca="false">H12721-H12720</f>
        <v>0.280619802020231</v>
      </c>
      <c r="I12722" s="22" t="n">
        <f aca="false">I12721-I12720</f>
        <v>0.281505208180386</v>
      </c>
      <c r="J12722" s="22" t="n">
        <f aca="false">J12721-J12720</f>
        <v>0.28239061434054</v>
      </c>
      <c r="K12722" s="22" t="n">
        <f aca="false">K12721-K12720</f>
        <v>0.283276020500694</v>
      </c>
    </row>
    <row r="12723" customFormat="false" ht="15" hidden="false" customHeight="false" outlineLevel="0" collapsed="false">
      <c r="A12723" s="3" t="s">
        <v>431</v>
      </c>
      <c r="G12723" s="22" t="n">
        <f aca="false">IF(G12721=0,0,G12722/ABS(G12721))</f>
        <v>0.699335989650192</v>
      </c>
      <c r="H12723" s="22" t="n">
        <f aca="false">IF(H12721=0,0,H12722/ABS(H12721))</f>
        <v>0.701549505050578</v>
      </c>
      <c r="I12723" s="22" t="n">
        <f aca="false">IF(I12721=0,0,I12722/ABS(I12721))</f>
        <v>0.703763020450964</v>
      </c>
      <c r="J12723" s="22" t="n">
        <f aca="false">IF(J12721=0,0,J12722/ABS(J12721))</f>
        <v>0.70597653585135</v>
      </c>
      <c r="K12723" s="22" t="n">
        <f aca="false">IF(K12721=0,0,K12722/ABS(K12721))</f>
        <v>0.708190051251736</v>
      </c>
    </row>
    <row r="12724" customFormat="false" ht="15" hidden="false" customHeight="false" outlineLevel="0" collapsed="false">
      <c r="A12724" s="3" t="s">
        <v>432</v>
      </c>
      <c r="G12724" s="21" t="n">
        <f aca="false">IF(G12722&lt;0,1,0)</f>
        <v>0</v>
      </c>
      <c r="H12724" s="21" t="n">
        <f aca="false">IF(H12722&lt;0,1,0)</f>
        <v>0</v>
      </c>
      <c r="I12724" s="21" t="n">
        <f aca="false">IF(I12722&lt;0,1,0)</f>
        <v>0</v>
      </c>
      <c r="J12724" s="21" t="n">
        <f aca="false">IF(J12722&lt;0,1,0)</f>
        <v>0</v>
      </c>
      <c r="K12724" s="21" t="n">
        <f aca="false">IF(K12722&lt;0,1,0)</f>
        <v>0</v>
      </c>
    </row>
    <row r="12725" customFormat="false" ht="15" hidden="false" customHeight="false" outlineLevel="0" collapsed="false">
      <c r="A12725" s="3" t="s">
        <v>433</v>
      </c>
      <c r="C12725" s="21" t="n">
        <f aca="false">IFERROR(INDEX($G$12458:$K$12458,MATCH(1,$G$12724:$K$12724,0)),0)</f>
        <v>0</v>
      </c>
    </row>
    <row r="12726" customFormat="false" ht="15" hidden="false" customHeight="false" outlineLevel="0" collapsed="false">
      <c r="A12726" s="3" t="s">
        <v>434</v>
      </c>
      <c r="C12726" s="22" t="n">
        <f aca="false">MIN($G$12723:$K$12723)</f>
        <v>0.699335989650192</v>
      </c>
    </row>
    <row r="12727" customFormat="false" ht="15" hidden="false" customHeight="false" outlineLevel="0" collapsed="false">
      <c r="A12727" s="24" t="s">
        <v>437</v>
      </c>
      <c r="B12727" s="25"/>
      <c r="C12727" s="25"/>
      <c r="D12727" s="25"/>
      <c r="E12727" s="25"/>
      <c r="F12727" s="25"/>
      <c r="G12727" s="25"/>
      <c r="H12727" s="25"/>
      <c r="I12727" s="25"/>
      <c r="J12727" s="25"/>
      <c r="K12727" s="25"/>
    </row>
    <row r="12728" customFormat="false" ht="15" hidden="false" customHeight="false" outlineLevel="0" collapsed="false">
      <c r="A12728" s="3" t="s">
        <v>428</v>
      </c>
      <c r="G12728" s="16" t="n">
        <f aca="false">G12698</f>
        <v>719.8458586</v>
      </c>
      <c r="H12728" s="16" t="n">
        <f aca="false">H12698</f>
        <v>599.5</v>
      </c>
      <c r="I12728" s="16" t="n">
        <f aca="false">I12698</f>
        <v>491.783338043704</v>
      </c>
      <c r="J12728" s="16" t="n">
        <f aca="false">J12698</f>
        <v>375.970484249893</v>
      </c>
      <c r="K12728" s="16" t="n">
        <f aca="false">K12698</f>
        <v>249.443505361846</v>
      </c>
    </row>
    <row r="12729" customFormat="false" ht="15" hidden="false" customHeight="false" outlineLevel="0" collapsed="false">
      <c r="A12729" s="3" t="s">
        <v>429</v>
      </c>
      <c r="G12729" s="29" t="n">
        <f aca="false">Assumptions!$G$74</f>
        <v>100</v>
      </c>
      <c r="H12729" s="29" t="n">
        <f aca="false">Assumptions!$H$74</f>
        <v>100</v>
      </c>
      <c r="I12729" s="29" t="n">
        <f aca="false">Assumptions!$I$74</f>
        <v>100</v>
      </c>
      <c r="J12729" s="29" t="n">
        <f aca="false">Assumptions!$J$74</f>
        <v>100</v>
      </c>
      <c r="K12729" s="29" t="n">
        <f aca="false">Assumptions!$K$74</f>
        <v>100</v>
      </c>
    </row>
    <row r="12730" customFormat="false" ht="15" hidden="false" customHeight="false" outlineLevel="0" collapsed="false">
      <c r="A12730" s="3" t="s">
        <v>430</v>
      </c>
      <c r="G12730" s="16" t="n">
        <f aca="false">G12728-G12729</f>
        <v>619.8458586</v>
      </c>
      <c r="H12730" s="16" t="n">
        <f aca="false">H12728-H12729</f>
        <v>499.5</v>
      </c>
      <c r="I12730" s="16" t="n">
        <f aca="false">I12728-I12729</f>
        <v>391.783338043704</v>
      </c>
      <c r="J12730" s="16" t="n">
        <f aca="false">J12728-J12729</f>
        <v>275.970484249893</v>
      </c>
      <c r="K12730" s="16" t="n">
        <f aca="false">K12728-K12729</f>
        <v>149.443505361846</v>
      </c>
    </row>
    <row r="12731" customFormat="false" ht="15" hidden="false" customHeight="false" outlineLevel="0" collapsed="false">
      <c r="A12731" s="3" t="s">
        <v>431</v>
      </c>
      <c r="G12731" s="22" t="n">
        <f aca="false">IF(G12729=0,0,G12730/ABS(G12729))</f>
        <v>6.198458586</v>
      </c>
      <c r="H12731" s="22" t="n">
        <f aca="false">IF(H12729=0,0,H12730/ABS(H12729))</f>
        <v>4.995</v>
      </c>
      <c r="I12731" s="22" t="n">
        <f aca="false">IF(I12729=0,0,I12730/ABS(I12729))</f>
        <v>3.91783338043704</v>
      </c>
      <c r="J12731" s="22" t="n">
        <f aca="false">IF(J12729=0,0,J12730/ABS(J12729))</f>
        <v>2.75970484249893</v>
      </c>
      <c r="K12731" s="22" t="n">
        <f aca="false">IF(K12729=0,0,K12730/ABS(K12729))</f>
        <v>1.49443505361846</v>
      </c>
    </row>
    <row r="12732" customFormat="false" ht="15" hidden="false" customHeight="false" outlineLevel="0" collapsed="false">
      <c r="A12732" s="3" t="s">
        <v>432</v>
      </c>
      <c r="G12732" s="21" t="n">
        <f aca="false">IF(G12730&lt;0,1,0)</f>
        <v>0</v>
      </c>
      <c r="H12732" s="21" t="n">
        <f aca="false">IF(H12730&lt;0,1,0)</f>
        <v>0</v>
      </c>
      <c r="I12732" s="21" t="n">
        <f aca="false">IF(I12730&lt;0,1,0)</f>
        <v>0</v>
      </c>
      <c r="J12732" s="21" t="n">
        <f aca="false">IF(J12730&lt;0,1,0)</f>
        <v>0</v>
      </c>
      <c r="K12732" s="21" t="n">
        <f aca="false">IF(K12730&lt;0,1,0)</f>
        <v>0</v>
      </c>
    </row>
    <row r="12733" customFormat="false" ht="15" hidden="false" customHeight="false" outlineLevel="0" collapsed="false">
      <c r="A12733" s="3" t="s">
        <v>433</v>
      </c>
      <c r="C12733" s="21" t="n">
        <f aca="false">IFERROR(INDEX($G$12458:$K$12458,MATCH(1,$G$12732:$K$12732,0)),0)</f>
        <v>0</v>
      </c>
    </row>
    <row r="12734" customFormat="false" ht="15" hidden="false" customHeight="false" outlineLevel="0" collapsed="false">
      <c r="A12734" s="3" t="s">
        <v>434</v>
      </c>
      <c r="C12734" s="22" t="n">
        <f aca="false">MIN($G$12731:$K$12731)</f>
        <v>1.49443505361846</v>
      </c>
    </row>
    <row r="12735" customFormat="false" ht="15" hidden="false" customHeight="false" outlineLevel="0" collapsed="false">
      <c r="A12735" s="24" t="s">
        <v>438</v>
      </c>
      <c r="B12735" s="25"/>
      <c r="C12735" s="25"/>
      <c r="D12735" s="25"/>
      <c r="E12735" s="25"/>
      <c r="F12735" s="25"/>
      <c r="G12735" s="25"/>
      <c r="H12735" s="25"/>
      <c r="I12735" s="25"/>
      <c r="J12735" s="25"/>
      <c r="K12735" s="25"/>
    </row>
    <row r="12736" customFormat="false" ht="15" hidden="false" customHeight="false" outlineLevel="0" collapsed="false">
      <c r="A12736" s="3" t="s">
        <v>428</v>
      </c>
      <c r="G12736" s="32" t="n">
        <f aca="false">IF(G12468&gt;0,G12691/G12468,99)</f>
        <v>10.1931179335365</v>
      </c>
      <c r="H12736" s="32" t="n">
        <f aca="false">IF(H12468&gt;0,H12691/H12468,99)</f>
        <v>10.8241523160851</v>
      </c>
      <c r="I12736" s="32" t="n">
        <f aca="false">IF(I12468&gt;0,I12691/I12468,99)</f>
        <v>11.5450737390096</v>
      </c>
      <c r="J12736" s="32" t="n">
        <f aca="false">IF(J12468&gt;0,J12691/J12468,99)</f>
        <v>12.3546254330324</v>
      </c>
      <c r="K12736" s="32" t="n">
        <f aca="false">IF(K12468&gt;0,K12691/K12468,99)</f>
        <v>13.2486421701028</v>
      </c>
    </row>
    <row r="12737" customFormat="false" ht="15" hidden="false" customHeight="false" outlineLevel="0" collapsed="false">
      <c r="A12737" s="3" t="s">
        <v>429</v>
      </c>
      <c r="G12737" s="34" t="n">
        <f aca="false">Assumptions!$G$75</f>
        <v>10.5</v>
      </c>
      <c r="H12737" s="34" t="n">
        <f aca="false">Assumptions!$H$75</f>
        <v>10.5</v>
      </c>
      <c r="I12737" s="34" t="n">
        <f aca="false">Assumptions!$I$75</f>
        <v>10</v>
      </c>
      <c r="J12737" s="34" t="n">
        <f aca="false">Assumptions!$J$75</f>
        <v>10</v>
      </c>
      <c r="K12737" s="34" t="n">
        <f aca="false">Assumptions!$K$75</f>
        <v>9.5</v>
      </c>
    </row>
    <row r="12738" customFormat="false" ht="15" hidden="false" customHeight="false" outlineLevel="0" collapsed="false">
      <c r="A12738" s="3" t="s">
        <v>430</v>
      </c>
      <c r="G12738" s="32" t="n">
        <f aca="false">G12737-G12736</f>
        <v>0.306882066463469</v>
      </c>
      <c r="H12738" s="32" t="n">
        <f aca="false">H12737-H12736</f>
        <v>-0.324152316085085</v>
      </c>
      <c r="I12738" s="32" t="n">
        <f aca="false">I12737-I12736</f>
        <v>-1.54507373900961</v>
      </c>
      <c r="J12738" s="32" t="n">
        <f aca="false">J12737-J12736</f>
        <v>-2.35462543303244</v>
      </c>
      <c r="K12738" s="32" t="n">
        <f aca="false">K12737-K12736</f>
        <v>-3.74864217010282</v>
      </c>
    </row>
    <row r="12739" customFormat="false" ht="15" hidden="false" customHeight="false" outlineLevel="0" collapsed="false">
      <c r="A12739" s="3" t="s">
        <v>431</v>
      </c>
      <c r="G12739" s="22" t="n">
        <f aca="false">IF(G12737=0,0,G12738/ABS(G12737))</f>
        <v>0.0292268634727114</v>
      </c>
      <c r="H12739" s="22" t="n">
        <f aca="false">IF(H12737=0,0,H12738/ABS(H12737))</f>
        <v>-0.0308716491509605</v>
      </c>
      <c r="I12739" s="22" t="n">
        <f aca="false">IF(I12737=0,0,I12738/ABS(I12737))</f>
        <v>-0.154507373900961</v>
      </c>
      <c r="J12739" s="22" t="n">
        <f aca="false">IF(J12737=0,0,J12738/ABS(J12737))</f>
        <v>-0.235462543303244</v>
      </c>
      <c r="K12739" s="22" t="n">
        <f aca="false">IF(K12737=0,0,K12738/ABS(K12737))</f>
        <v>-0.394593912642402</v>
      </c>
    </row>
    <row r="12740" customFormat="false" ht="15" hidden="false" customHeight="false" outlineLevel="0" collapsed="false">
      <c r="A12740" s="3" t="s">
        <v>432</v>
      </c>
      <c r="G12740" s="21" t="n">
        <f aca="false">IF(G12738&lt;0,1,0)</f>
        <v>0</v>
      </c>
      <c r="H12740" s="21" t="n">
        <f aca="false">IF(H12738&lt;0,1,0)</f>
        <v>1</v>
      </c>
      <c r="I12740" s="21" t="n">
        <f aca="false">IF(I12738&lt;0,1,0)</f>
        <v>1</v>
      </c>
      <c r="J12740" s="21" t="n">
        <f aca="false">IF(J12738&lt;0,1,0)</f>
        <v>1</v>
      </c>
      <c r="K12740" s="21" t="n">
        <f aca="false">IF(K12738&lt;0,1,0)</f>
        <v>1</v>
      </c>
    </row>
    <row r="12741" customFormat="false" ht="15" hidden="false" customHeight="false" outlineLevel="0" collapsed="false">
      <c r="A12741" s="3" t="s">
        <v>433</v>
      </c>
      <c r="C12741" s="21" t="n">
        <f aca="false">IFERROR(INDEX($G$12458:$K$12458,MATCH(1,$G$12740:$K$12740,0)),0)</f>
        <v>2028</v>
      </c>
    </row>
    <row r="12742" customFormat="false" ht="15" hidden="false" customHeight="false" outlineLevel="0" collapsed="false">
      <c r="A12742" s="3" t="s">
        <v>434</v>
      </c>
      <c r="C12742" s="22" t="n">
        <f aca="false">MIN($G$12739:$K$12739)</f>
        <v>-0.394593912642402</v>
      </c>
    </row>
    <row r="12743" customFormat="false" ht="15" hidden="false" customHeight="false" outlineLevel="0" collapsed="false">
      <c r="A12743" s="3" t="s">
        <v>439</v>
      </c>
      <c r="G12743" s="21" t="n">
        <f aca="false">G12708+G12716+G12724+G12732+G12740</f>
        <v>1</v>
      </c>
      <c r="H12743" s="21" t="n">
        <f aca="false">H12708+H12716+H12724+H12732+H12740</f>
        <v>2</v>
      </c>
      <c r="I12743" s="21" t="n">
        <f aca="false">I12708+I12716+I12724+I12732+I12740</f>
        <v>2</v>
      </c>
      <c r="J12743" s="21" t="n">
        <f aca="false">J12708+J12716+J12724+J12732+J12740</f>
        <v>3</v>
      </c>
      <c r="K12743" s="21" t="n">
        <f aca="false">K12708+K12716+K12724+K12732+K12740</f>
        <v>3</v>
      </c>
    </row>
    <row r="12744" customFormat="false" ht="15" hidden="false" customHeight="false" outlineLevel="0" collapsed="false">
      <c r="A12744" s="3" t="s">
        <v>440</v>
      </c>
      <c r="C12744" s="21" t="n">
        <f aca="false">SUM($G$12743:$K$12743)</f>
        <v>11</v>
      </c>
    </row>
    <row r="12745" customFormat="false" ht="15" hidden="false" customHeight="false" outlineLevel="0" collapsed="false">
      <c r="A12745" s="3" t="s">
        <v>441</v>
      </c>
      <c r="C12745" s="22" t="n">
        <f aca="false">MIN(C12710,C12718,C12726,C12734,C12742)</f>
        <v>-0.394593912642402</v>
      </c>
    </row>
    <row r="12747" customFormat="false" ht="15" hidden="false" customHeight="false" outlineLevel="0" collapsed="false">
      <c r="A12747" s="24" t="s">
        <v>543</v>
      </c>
      <c r="B12747" s="25"/>
      <c r="C12747" s="25"/>
      <c r="D12747" s="25"/>
      <c r="E12747" s="25"/>
      <c r="F12747" s="25"/>
      <c r="G12747" s="25"/>
      <c r="H12747" s="25"/>
      <c r="I12747" s="25"/>
      <c r="J12747" s="25"/>
      <c r="K12747" s="25"/>
    </row>
    <row r="12748" customFormat="false" ht="15" hidden="false" customHeight="false" outlineLevel="0" collapsed="false">
      <c r="A12748" s="3" t="s">
        <v>544</v>
      </c>
      <c r="G12748" s="21" t="n">
        <f aca="false">IF($C$12749=1,G12685,IF(G12468=MIN($G$12468:$K$12468),1,0))</f>
        <v>0</v>
      </c>
      <c r="H12748" s="21" t="n">
        <f aca="false">IF($C$12749=1,H12685,IF(AND(H12468=MIN($G$12468:$K$12468),SUM($G$12748:G12748)=0),1,0))</f>
        <v>0</v>
      </c>
      <c r="I12748" s="21" t="n">
        <f aca="false">IF($C$12749=1,I12685,IF(AND(I12468=MIN($G$12468:$K$12468),SUM($G$12748:H12748)=0),1,0))</f>
        <v>1</v>
      </c>
      <c r="J12748" s="21" t="n">
        <f aca="false">IF($C$12749=1,J12685,IF(AND(J12468=MIN($G$12468:$K$12468),SUM($G$12748:I12748)=0),1,0))</f>
        <v>0</v>
      </c>
      <c r="K12748" s="21" t="n">
        <f aca="false">IF($C$12749=1,K12685,IF(AND(K12468=MIN($G$12468:$K$12468),SUM($G$12748:J12748)=0),1,0))</f>
        <v>0</v>
      </c>
    </row>
    <row r="12749" customFormat="false" ht="15" hidden="false" customHeight="false" outlineLevel="0" collapsed="false">
      <c r="A12749" s="3" t="s">
        <v>545</v>
      </c>
      <c r="C12749" s="21" t="n">
        <f aca="false">IF(SUM($G$12685:$K$12685)&gt;0,1,0)</f>
        <v>1</v>
      </c>
    </row>
    <row r="12750" customFormat="false" ht="15" hidden="false" customHeight="false" outlineLevel="0" collapsed="false">
      <c r="A12750" s="3" t="s">
        <v>546</v>
      </c>
      <c r="C12750" s="21" t="n">
        <f aca="false">SUMPRODUCT($G$12748:$K$12748,$G$12458:$K$12458)</f>
        <v>2029</v>
      </c>
    </row>
    <row r="12751" customFormat="false" ht="15" hidden="false" customHeight="false" outlineLevel="0" collapsed="false">
      <c r="A12751" s="3" t="s">
        <v>547</v>
      </c>
      <c r="C12751" s="16" t="n">
        <f aca="false">SUMPRODUCT($G$12748:$K$12748,$G$12468:$K$12468)</f>
        <v>231.195367976928</v>
      </c>
    </row>
    <row r="12752" customFormat="false" ht="15" hidden="false" customHeight="false" outlineLevel="0" collapsed="false">
      <c r="A12752" s="3" t="s">
        <v>548</v>
      </c>
      <c r="C12752" s="16" t="n">
        <f aca="false">MAX(0,SUMPRODUCT($G$12748:$K$12748,$G$12682:$K$12682))</f>
        <v>0</v>
      </c>
    </row>
    <row r="12753" customFormat="false" ht="15" hidden="false" customHeight="false" outlineLevel="0" collapsed="false">
      <c r="A12753" s="3" t="s">
        <v>549</v>
      </c>
      <c r="C12753" s="16" t="n">
        <f aca="false">(CHOOSE($C$12451,Assumptions!$C$92,Assumptions!$C$111,Assumptions!$C$130)+$C$12455)*C12751</f>
        <v>2311.95367976928</v>
      </c>
    </row>
    <row r="12754" customFormat="false" ht="15" hidden="false" customHeight="false" outlineLevel="0" collapsed="false">
      <c r="A12754" s="3" t="s">
        <v>550</v>
      </c>
      <c r="C12754" s="16" t="n">
        <f aca="false">Assumptions!$C$31*(1-CHOOSE($C$12451,Assumptions!$C$93,Assumptions!$C$112,Assumptions!$C$131))*CHOOSE($C$12451,Assumptions!$C$94,Assumptions!$C$113,Assumptions!$C$132)</f>
        <v>3840.04556666667</v>
      </c>
    </row>
    <row r="12755" customFormat="false" ht="15" hidden="false" customHeight="false" outlineLevel="0" collapsed="false">
      <c r="A12755" s="3" t="s">
        <v>551</v>
      </c>
      <c r="C12755" s="16" t="n">
        <f aca="false">MAX(C12753,C12754)+C12752</f>
        <v>3840.04556666667</v>
      </c>
    </row>
    <row r="12756" customFormat="false" ht="15" hidden="false" customHeight="false" outlineLevel="0" collapsed="false">
      <c r="A12756" s="2" t="s">
        <v>552</v>
      </c>
      <c r="C12756" s="17" t="n">
        <f aca="false">IF(ISNUMBER(Assumptions!$C$14),Assumptions!$C$14,C12755)</f>
        <v>3840.04556666667</v>
      </c>
    </row>
    <row r="12757" customFormat="false" ht="15" hidden="false" customHeight="false" outlineLevel="0" collapsed="false">
      <c r="A12757" s="3" t="s">
        <v>553</v>
      </c>
      <c r="C12757" s="16" t="n">
        <f aca="false">C12756*Assumptions!$C$15</f>
        <v>153.601822666667</v>
      </c>
    </row>
    <row r="12758" customFormat="false" ht="15" hidden="false" customHeight="false" outlineLevel="0" collapsed="false">
      <c r="A12758" s="2" t="s">
        <v>554</v>
      </c>
      <c r="C12758" s="17" t="n">
        <f aca="false">C12756-C12757</f>
        <v>3686.443744</v>
      </c>
    </row>
    <row r="12759" customFormat="false" ht="15" hidden="false" customHeight="false" outlineLevel="0" collapsed="false">
      <c r="A12759" s="24" t="s">
        <v>555</v>
      </c>
      <c r="B12759" s="25"/>
      <c r="C12759" s="25"/>
      <c r="D12759" s="25"/>
      <c r="E12759" s="25"/>
      <c r="F12759" s="25"/>
      <c r="G12759" s="25"/>
      <c r="H12759" s="25"/>
      <c r="I12759" s="25"/>
      <c r="J12759" s="25"/>
      <c r="K12759" s="25"/>
    </row>
    <row r="12760" customFormat="false" ht="15" hidden="false" customHeight="false" outlineLevel="0" collapsed="false">
      <c r="A12760" s="3" t="s">
        <v>556</v>
      </c>
      <c r="C12760" s="16" t="n">
        <f aca="false">SUMPRODUCT($G$12748:$K$12748,$G$12505:$K$12505)*(1+SUMPRODUCT($G$12748:$K$12748,$G$12497:$K$12497)*Assumptions!$C$16/12)</f>
        <v>396.4875</v>
      </c>
    </row>
    <row r="12761" customFormat="false" ht="15" hidden="false" customHeight="false" outlineLevel="0" collapsed="false">
      <c r="A12761" s="3" t="s">
        <v>557</v>
      </c>
      <c r="C12761" s="16" t="n">
        <f aca="false">SUMPRODUCT($G$12748:$K$12748,$G$12518:$K$12518)*(1+SUMPRODUCT($G$12748:$K$12748,$G$12510:$K$12510)*Assumptions!$C$16/12)</f>
        <v>91.30725</v>
      </c>
    </row>
    <row r="12762" customFormat="false" ht="15" hidden="false" customHeight="false" outlineLevel="0" collapsed="false">
      <c r="A12762" s="3" t="s">
        <v>558</v>
      </c>
      <c r="C12762" s="16" t="n">
        <f aca="false">SUMPRODUCT($G$12748:$K$12748,$G$12531:$K$12531)*(1+SUMPRODUCT($G$12748:$K$12748,$G$12523:$K$12523)*Assumptions!$C$16/12)</f>
        <v>58.3715961</v>
      </c>
    </row>
    <row r="12763" customFormat="false" ht="15" hidden="false" customHeight="false" outlineLevel="0" collapsed="false">
      <c r="A12763" s="3" t="s">
        <v>559</v>
      </c>
      <c r="C12763" s="16" t="n">
        <f aca="false">SUMPRODUCT($G$12748:$K$12748,$G$12544:$K$12544)*(1+SUMPRODUCT($G$12748:$K$12748,$G$12536:$K$12536)*Assumptions!$C$16/12)</f>
        <v>84.3709951954219</v>
      </c>
    </row>
    <row r="12764" customFormat="false" ht="15" hidden="false" customHeight="false" outlineLevel="0" collapsed="false">
      <c r="A12764" s="3" t="s">
        <v>560</v>
      </c>
      <c r="C12764" s="16" t="n">
        <f aca="false">SUMPRODUCT($G$12748:$K$12748,$G$12557:$K$12557)*(1+SUMPRODUCT($G$12748:$K$12748,$G$12549:$K$12549)*Assumptions!$C$16/12)</f>
        <v>430.967247643896</v>
      </c>
    </row>
    <row r="12765" customFormat="false" ht="15" hidden="false" customHeight="false" outlineLevel="0" collapsed="false">
      <c r="A12765" s="3" t="s">
        <v>561</v>
      </c>
      <c r="C12765" s="16" t="n">
        <f aca="false">SUMPRODUCT($G$12748:$K$12748,$G$12570:$K$12570)*(1+SUMPRODUCT($G$12748:$K$12748,$G$12562:$K$12562)*Assumptions!$C$16/12)</f>
        <v>357</v>
      </c>
    </row>
    <row r="12766" customFormat="false" ht="15" hidden="false" customHeight="false" outlineLevel="0" collapsed="false">
      <c r="A12766" s="3" t="s">
        <v>562</v>
      </c>
      <c r="C12766" s="16" t="n">
        <f aca="false">SUMPRODUCT($G$12748:$K$12748,$G$12583:$K$12583)*(1+SUMPRODUCT($G$12748:$K$12748,$G$12575:$K$12575)*Assumptions!$C$16/12)</f>
        <v>562.203125</v>
      </c>
    </row>
    <row r="12767" customFormat="false" ht="15" hidden="false" customHeight="false" outlineLevel="0" collapsed="false">
      <c r="A12767" s="3" t="s">
        <v>563</v>
      </c>
      <c r="C12767" s="16" t="n">
        <f aca="false">SUMPRODUCT($G$12748:$K$12748,$G$12596:$K$12596)*(1+SUMPRODUCT($G$12748:$K$12748,$G$12588:$K$12588)*Assumptions!$C$16/12)</f>
        <v>353.98125</v>
      </c>
    </row>
    <row r="12768" customFormat="false" ht="15" hidden="false" customHeight="false" outlineLevel="0" collapsed="false">
      <c r="A12768" s="3" t="s">
        <v>564</v>
      </c>
      <c r="C12768" s="16" t="n">
        <f aca="false">SUMPRODUCT($G$12748:$K$12748,$G$12609:$K$12609)*(1+SUMPRODUCT($G$12748:$K$12748,$G$12601:$K$12601)*Assumptions!$C$16/12)</f>
        <v>304.59375</v>
      </c>
    </row>
    <row r="12769" customFormat="false" ht="15" hidden="false" customHeight="false" outlineLevel="0" collapsed="false">
      <c r="A12769" s="3" t="s">
        <v>565</v>
      </c>
      <c r="C12769" s="16" t="n">
        <f aca="false">SUMPRODUCT($G$12748:$K$12748,$G$12622:$K$12622)*(1+SUMPRODUCT($G$12748:$K$12748,$G$12614:$K$12614)*Assumptions!$C$16/12)</f>
        <v>79.59459025</v>
      </c>
    </row>
    <row r="12770" customFormat="false" ht="15" hidden="false" customHeight="false" outlineLevel="0" collapsed="false">
      <c r="A12770" s="24" t="s">
        <v>566</v>
      </c>
      <c r="B12770" s="25"/>
      <c r="C12770" s="25"/>
      <c r="D12770" s="25"/>
      <c r="E12770" s="25"/>
      <c r="F12770" s="25"/>
      <c r="G12770" s="25"/>
      <c r="H12770" s="25"/>
      <c r="I12770" s="25"/>
      <c r="J12770" s="25"/>
      <c r="K12770" s="25"/>
    </row>
    <row r="12771" customFormat="false" ht="15" hidden="false" customHeight="false" outlineLevel="0" collapsed="false">
      <c r="A12771" s="3" t="s">
        <v>556</v>
      </c>
      <c r="C12771" s="27" t="n">
        <f aca="false">Assumptions!$M$57</f>
        <v>1</v>
      </c>
    </row>
    <row r="12772" customFormat="false" ht="15" hidden="false" customHeight="false" outlineLevel="0" collapsed="false">
      <c r="A12772" s="3" t="s">
        <v>557</v>
      </c>
      <c r="C12772" s="27" t="n">
        <f aca="false">Assumptions!$M$58</f>
        <v>1</v>
      </c>
    </row>
    <row r="12773" customFormat="false" ht="15" hidden="false" customHeight="false" outlineLevel="0" collapsed="false">
      <c r="A12773" s="3" t="s">
        <v>558</v>
      </c>
      <c r="C12773" s="27" t="n">
        <f aca="false">Assumptions!$M$59</f>
        <v>1</v>
      </c>
    </row>
    <row r="12774" customFormat="false" ht="15" hidden="false" customHeight="false" outlineLevel="0" collapsed="false">
      <c r="A12774" s="3" t="s">
        <v>559</v>
      </c>
      <c r="C12774" s="27" t="n">
        <f aca="false">Assumptions!$M$60</f>
        <v>2</v>
      </c>
    </row>
    <row r="12775" customFormat="false" ht="15" hidden="false" customHeight="false" outlineLevel="0" collapsed="false">
      <c r="A12775" s="3" t="s">
        <v>560</v>
      </c>
      <c r="C12775" s="27" t="n">
        <f aca="false">Assumptions!$M$61</f>
        <v>2</v>
      </c>
    </row>
    <row r="12776" customFormat="false" ht="15" hidden="false" customHeight="false" outlineLevel="0" collapsed="false">
      <c r="A12776" s="3" t="s">
        <v>561</v>
      </c>
      <c r="C12776" s="27" t="n">
        <f aca="false">Assumptions!$M$62</f>
        <v>2</v>
      </c>
    </row>
    <row r="12777" customFormat="false" ht="15" hidden="false" customHeight="false" outlineLevel="0" collapsed="false">
      <c r="A12777" s="3" t="s">
        <v>562</v>
      </c>
      <c r="C12777" s="27" t="n">
        <f aca="false">Assumptions!$M$63</f>
        <v>2</v>
      </c>
    </row>
    <row r="12778" customFormat="false" ht="15" hidden="false" customHeight="false" outlineLevel="0" collapsed="false">
      <c r="A12778" s="3" t="s">
        <v>563</v>
      </c>
      <c r="C12778" s="27" t="n">
        <f aca="false">Assumptions!$M$64</f>
        <v>2</v>
      </c>
    </row>
    <row r="12779" customFormat="false" ht="15" hidden="false" customHeight="false" outlineLevel="0" collapsed="false">
      <c r="A12779" s="3" t="s">
        <v>564</v>
      </c>
      <c r="C12779" s="27" t="n">
        <f aca="false">Assumptions!$M$65</f>
        <v>2</v>
      </c>
    </row>
    <row r="12780" customFormat="false" ht="15" hidden="false" customHeight="false" outlineLevel="0" collapsed="false">
      <c r="A12780" s="3" t="s">
        <v>565</v>
      </c>
      <c r="C12780" s="27" t="n">
        <f aca="false">Assumptions!$M$66</f>
        <v>3</v>
      </c>
    </row>
    <row r="12781" customFormat="false" ht="15" hidden="false" customHeight="false" outlineLevel="0" collapsed="false">
      <c r="A12781" s="24" t="s">
        <v>567</v>
      </c>
      <c r="B12781" s="25"/>
      <c r="C12781" s="25"/>
      <c r="D12781" s="25"/>
      <c r="E12781" s="25"/>
      <c r="F12781" s="25"/>
      <c r="G12781" s="25"/>
      <c r="H12781" s="25"/>
      <c r="I12781" s="25"/>
      <c r="J12781" s="25"/>
      <c r="K12781" s="25"/>
    </row>
    <row r="12782" customFormat="false" ht="15" hidden="false" customHeight="false" outlineLevel="0" collapsed="false">
      <c r="A12782" s="3" t="s">
        <v>556</v>
      </c>
      <c r="C12782" s="33" t="n">
        <f aca="false">Assumptions!$Q$57</f>
        <v>0.3</v>
      </c>
    </row>
    <row r="12783" customFormat="false" ht="15" hidden="false" customHeight="false" outlineLevel="0" collapsed="false">
      <c r="A12783" s="3" t="s">
        <v>557</v>
      </c>
      <c r="C12783" s="33" t="n">
        <f aca="false">Assumptions!$Q$58</f>
        <v>0.033</v>
      </c>
    </row>
    <row r="12784" customFormat="false" ht="15" hidden="false" customHeight="false" outlineLevel="0" collapsed="false">
      <c r="A12784" s="3" t="s">
        <v>558</v>
      </c>
      <c r="C12784" s="33" t="n">
        <f aca="false">Assumptions!$Q$59</f>
        <v>0.021</v>
      </c>
    </row>
    <row r="12785" customFormat="false" ht="15" hidden="false" customHeight="false" outlineLevel="0" collapsed="false">
      <c r="A12785" s="3" t="s">
        <v>559</v>
      </c>
      <c r="C12785" s="33" t="n">
        <f aca="false">Assumptions!$Q$60</f>
        <v>0</v>
      </c>
    </row>
    <row r="12786" customFormat="false" ht="15" hidden="false" customHeight="false" outlineLevel="0" collapsed="false">
      <c r="A12786" s="3" t="s">
        <v>560</v>
      </c>
      <c r="C12786" s="33" t="n">
        <f aca="false">Assumptions!$Q$61</f>
        <v>0</v>
      </c>
    </row>
    <row r="12787" customFormat="false" ht="15" hidden="false" customHeight="false" outlineLevel="0" collapsed="false">
      <c r="A12787" s="3" t="s">
        <v>561</v>
      </c>
      <c r="C12787" s="33" t="n">
        <f aca="false">Assumptions!$Q$62</f>
        <v>0</v>
      </c>
    </row>
    <row r="12788" customFormat="false" ht="15" hidden="false" customHeight="false" outlineLevel="0" collapsed="false">
      <c r="A12788" s="3" t="s">
        <v>562</v>
      </c>
      <c r="C12788" s="33" t="n">
        <f aca="false">Assumptions!$Q$63</f>
        <v>0</v>
      </c>
    </row>
    <row r="12789" customFormat="false" ht="15" hidden="false" customHeight="false" outlineLevel="0" collapsed="false">
      <c r="A12789" s="3" t="s">
        <v>563</v>
      </c>
      <c r="C12789" s="33" t="n">
        <f aca="false">Assumptions!$Q$64</f>
        <v>0</v>
      </c>
    </row>
    <row r="12790" customFormat="false" ht="15" hidden="false" customHeight="false" outlineLevel="0" collapsed="false">
      <c r="A12790" s="3" t="s">
        <v>564</v>
      </c>
      <c r="C12790" s="33" t="n">
        <f aca="false">Assumptions!$Q$65</f>
        <v>0</v>
      </c>
    </row>
    <row r="12791" customFormat="false" ht="15" hidden="false" customHeight="false" outlineLevel="0" collapsed="false">
      <c r="A12791" s="3" t="s">
        <v>565</v>
      </c>
      <c r="C12791" s="33" t="n">
        <f aca="false">Assumptions!$Q$66</f>
        <v>0</v>
      </c>
    </row>
    <row r="12792" customFormat="false" ht="15" hidden="false" customHeight="false" outlineLevel="0" collapsed="false">
      <c r="A12792" s="24" t="s">
        <v>568</v>
      </c>
      <c r="B12792" s="25"/>
      <c r="C12792" s="25"/>
      <c r="D12792" s="25"/>
      <c r="E12792" s="25"/>
      <c r="F12792" s="25"/>
      <c r="G12792" s="25"/>
      <c r="H12792" s="25"/>
      <c r="I12792" s="25"/>
      <c r="J12792" s="25"/>
      <c r="K12792" s="25"/>
    </row>
    <row r="12793" customFormat="false" ht="15" hidden="false" customHeight="false" outlineLevel="0" collapsed="false">
      <c r="A12793" s="3" t="s">
        <v>556</v>
      </c>
      <c r="C12793" s="16" t="n">
        <f aca="false">IF(C12782&gt;0,MIN(C12760,C12782*$C$12758),0)</f>
        <v>396.4875</v>
      </c>
    </row>
    <row r="12794" customFormat="false" ht="15" hidden="false" customHeight="false" outlineLevel="0" collapsed="false">
      <c r="A12794" s="3" t="s">
        <v>557</v>
      </c>
      <c r="C12794" s="16" t="n">
        <f aca="false">IF(C12783&gt;0,MIN(C12761,C12783*$C$12758),0)</f>
        <v>91.30725</v>
      </c>
    </row>
    <row r="12795" customFormat="false" ht="15" hidden="false" customHeight="false" outlineLevel="0" collapsed="false">
      <c r="A12795" s="3" t="s">
        <v>558</v>
      </c>
      <c r="C12795" s="16" t="n">
        <f aca="false">IF(C12784&gt;0,MIN(C12762,C12784*$C$12758),0)</f>
        <v>58.3715961</v>
      </c>
    </row>
    <row r="12796" customFormat="false" ht="15" hidden="false" customHeight="false" outlineLevel="0" collapsed="false">
      <c r="A12796" s="3" t="s">
        <v>559</v>
      </c>
      <c r="C12796" s="16" t="n">
        <f aca="false">IF(C12785&gt;0,MIN(C12763,C12785*$C$12758),0)</f>
        <v>0</v>
      </c>
    </row>
    <row r="12797" customFormat="false" ht="15" hidden="false" customHeight="false" outlineLevel="0" collapsed="false">
      <c r="A12797" s="3" t="s">
        <v>560</v>
      </c>
      <c r="C12797" s="16" t="n">
        <f aca="false">IF(C12786&gt;0,MIN(C12764,C12786*$C$12758),0)</f>
        <v>0</v>
      </c>
    </row>
    <row r="12798" customFormat="false" ht="15" hidden="false" customHeight="false" outlineLevel="0" collapsed="false">
      <c r="A12798" s="3" t="s">
        <v>561</v>
      </c>
      <c r="C12798" s="16" t="n">
        <f aca="false">IF(C12787&gt;0,MIN(C12765,C12787*$C$12758),0)</f>
        <v>0</v>
      </c>
    </row>
    <row r="12799" customFormat="false" ht="15" hidden="false" customHeight="false" outlineLevel="0" collapsed="false">
      <c r="A12799" s="3" t="s">
        <v>562</v>
      </c>
      <c r="C12799" s="16" t="n">
        <f aca="false">IF(C12788&gt;0,MIN(C12766,C12788*$C$12758),0)</f>
        <v>0</v>
      </c>
    </row>
    <row r="12800" customFormat="false" ht="15" hidden="false" customHeight="false" outlineLevel="0" collapsed="false">
      <c r="A12800" s="3" t="s">
        <v>563</v>
      </c>
      <c r="C12800" s="16" t="n">
        <f aca="false">IF(C12789&gt;0,MIN(C12767,C12789*$C$12758),0)</f>
        <v>0</v>
      </c>
    </row>
    <row r="12801" customFormat="false" ht="15" hidden="false" customHeight="false" outlineLevel="0" collapsed="false">
      <c r="A12801" s="3" t="s">
        <v>564</v>
      </c>
      <c r="C12801" s="16" t="n">
        <f aca="false">IF(C12790&gt;0,MIN(C12768,C12790*$C$12758),0)</f>
        <v>0</v>
      </c>
    </row>
    <row r="12802" customFormat="false" ht="15" hidden="false" customHeight="false" outlineLevel="0" collapsed="false">
      <c r="A12802" s="3" t="s">
        <v>565</v>
      </c>
      <c r="C12802" s="16" t="n">
        <f aca="false">IF(C12791&gt;0,MIN(C12769,C12791*$C$12758),0)</f>
        <v>0</v>
      </c>
    </row>
    <row r="12803" customFormat="false" ht="15" hidden="false" customHeight="false" outlineLevel="0" collapsed="false">
      <c r="A12803" s="24" t="s">
        <v>569</v>
      </c>
      <c r="B12803" s="25"/>
      <c r="C12803" s="25"/>
      <c r="D12803" s="25"/>
      <c r="E12803" s="25"/>
      <c r="F12803" s="25"/>
      <c r="G12803" s="25"/>
      <c r="H12803" s="25"/>
      <c r="I12803" s="25"/>
      <c r="J12803" s="25"/>
      <c r="K12803" s="25"/>
    </row>
    <row r="12804" customFormat="false" ht="15" hidden="false" customHeight="false" outlineLevel="0" collapsed="false">
      <c r="A12804" s="3" t="s">
        <v>556</v>
      </c>
      <c r="C12804" s="16" t="n">
        <f aca="false">IF(C12782&gt;0,C12760-C12793,0)</f>
        <v>0</v>
      </c>
      <c r="G12804" s="21" t="n">
        <f aca="false">IF(AND(G12495=1,G12492=1),1,0)</f>
        <v>0</v>
      </c>
      <c r="H12804" s="21" t="n">
        <f aca="false">IF(G12804=1,1,IF(AND(H12495=1,H12492=1),1,0))</f>
        <v>0</v>
      </c>
      <c r="I12804" s="21" t="n">
        <f aca="false">IF(H12804=1,1,IF(AND(I12495=1,I12492=1),1,0))</f>
        <v>0</v>
      </c>
      <c r="J12804" s="21" t="n">
        <f aca="false">IF(I12804=1,1,IF(AND(J12495=1,J12492=1),1,0))</f>
        <v>0</v>
      </c>
      <c r="K12804" s="21" t="n">
        <f aca="false">IF(J12804=1,1,IF(AND(K12495=1,K12492=1),1,0))</f>
        <v>0</v>
      </c>
    </row>
    <row r="12805" customFormat="false" ht="15" hidden="false" customHeight="false" outlineLevel="0" collapsed="false">
      <c r="A12805" s="3" t="s">
        <v>557</v>
      </c>
      <c r="C12805" s="16" t="n">
        <f aca="false">IF(C12783&gt;0,C12761-C12794,0)</f>
        <v>0</v>
      </c>
      <c r="G12805" s="21" t="n">
        <f aca="false">IF(AND(G12508=1,G12492=1),1,0)</f>
        <v>0</v>
      </c>
      <c r="H12805" s="21" t="n">
        <f aca="false">IF(G12805=1,1,IF(AND(H12508=1,H12492=1),1,0))</f>
        <v>0</v>
      </c>
      <c r="I12805" s="21" t="n">
        <f aca="false">IF(H12805=1,1,IF(AND(I12508=1,I12492=1),1,0))</f>
        <v>0</v>
      </c>
      <c r="J12805" s="21" t="n">
        <f aca="false">IF(I12805=1,1,IF(AND(J12508=1,J12492=1),1,0))</f>
        <v>0</v>
      </c>
      <c r="K12805" s="21" t="n">
        <f aca="false">IF(J12805=1,1,IF(AND(K12508=1,K12492=1),1,0))</f>
        <v>0</v>
      </c>
    </row>
    <row r="12806" customFormat="false" ht="15" hidden="false" customHeight="false" outlineLevel="0" collapsed="false">
      <c r="A12806" s="3" t="s">
        <v>558</v>
      </c>
      <c r="C12806" s="16" t="n">
        <f aca="false">IF(C12784&gt;0,C12762-C12795,0)</f>
        <v>0</v>
      </c>
      <c r="G12806" s="21" t="n">
        <f aca="false">IF(AND(G12521=1,G12492=1),1,0)</f>
        <v>0</v>
      </c>
      <c r="H12806" s="21" t="n">
        <f aca="false">IF(G12806=1,1,IF(AND(H12521=1,H12492=1),1,0))</f>
        <v>0</v>
      </c>
      <c r="I12806" s="21" t="n">
        <f aca="false">IF(H12806=1,1,IF(AND(I12521=1,I12492=1),1,0))</f>
        <v>0</v>
      </c>
      <c r="J12806" s="21" t="n">
        <f aca="false">IF(I12806=1,1,IF(AND(J12521=1,J12492=1),1,0))</f>
        <v>0</v>
      </c>
      <c r="K12806" s="21" t="n">
        <f aca="false">IF(J12806=1,1,IF(AND(K12521=1,K12492=1),1,0))</f>
        <v>0</v>
      </c>
    </row>
    <row r="12807" customFormat="false" ht="15" hidden="false" customHeight="false" outlineLevel="0" collapsed="false">
      <c r="A12807" s="3" t="s">
        <v>559</v>
      </c>
      <c r="C12807" s="16" t="n">
        <f aca="false">IF(C12785&gt;0,C12763-C12796,0)</f>
        <v>0</v>
      </c>
      <c r="G12807" s="21" t="n">
        <f aca="false">IF(AND(G12534=1,G12492=1),1,0)</f>
        <v>1</v>
      </c>
      <c r="H12807" s="21" t="n">
        <f aca="false">IF(G12807=1,1,IF(AND(H12534=1,H12492=1),1,0))</f>
        <v>1</v>
      </c>
      <c r="I12807" s="21" t="n">
        <f aca="false">IF(H12807=1,1,IF(AND(I12534=1,I12492=1),1,0))</f>
        <v>1</v>
      </c>
      <c r="J12807" s="21" t="n">
        <f aca="false">IF(I12807=1,1,IF(AND(J12534=1,J12492=1),1,0))</f>
        <v>1</v>
      </c>
      <c r="K12807" s="21" t="n">
        <f aca="false">IF(J12807=1,1,IF(AND(K12534=1,K12492=1),1,0))</f>
        <v>1</v>
      </c>
    </row>
    <row r="12808" customFormat="false" ht="15" hidden="false" customHeight="false" outlineLevel="0" collapsed="false">
      <c r="A12808" s="3" t="s">
        <v>560</v>
      </c>
      <c r="C12808" s="16" t="n">
        <f aca="false">IF(C12786&gt;0,C12764-C12797,0)</f>
        <v>0</v>
      </c>
      <c r="G12808" s="21" t="n">
        <f aca="false">IF(AND(G12547=1,G12492=1),1,0)</f>
        <v>0</v>
      </c>
      <c r="H12808" s="21" t="n">
        <f aca="false">IF(G12808=1,1,IF(AND(H12547=1,H12492=1),1,0))</f>
        <v>1</v>
      </c>
      <c r="I12808" s="21" t="n">
        <f aca="false">IF(H12808=1,1,IF(AND(I12547=1,I12492=1),1,0))</f>
        <v>1</v>
      </c>
      <c r="J12808" s="21" t="n">
        <f aca="false">IF(I12808=1,1,IF(AND(J12547=1,J12492=1),1,0))</f>
        <v>1</v>
      </c>
      <c r="K12808" s="21" t="n">
        <f aca="false">IF(J12808=1,1,IF(AND(K12547=1,K12492=1),1,0))</f>
        <v>1</v>
      </c>
    </row>
    <row r="12809" customFormat="false" ht="15" hidden="false" customHeight="false" outlineLevel="0" collapsed="false">
      <c r="A12809" s="3" t="s">
        <v>561</v>
      </c>
      <c r="C12809" s="16" t="n">
        <f aca="false">IF(C12787&gt;0,C12765-C12798,0)</f>
        <v>0</v>
      </c>
      <c r="G12809" s="21" t="n">
        <f aca="false">IF(AND(G12560=1,G12492=1),1,0)</f>
        <v>0</v>
      </c>
      <c r="H12809" s="21" t="n">
        <f aca="false">IF(G12809=1,1,IF(AND(H12560=1,H12492=1),1,0))</f>
        <v>1</v>
      </c>
      <c r="I12809" s="21" t="n">
        <f aca="false">IF(H12809=1,1,IF(AND(I12560=1,I12492=1),1,0))</f>
        <v>1</v>
      </c>
      <c r="J12809" s="21" t="n">
        <f aca="false">IF(I12809=1,1,IF(AND(J12560=1,J12492=1),1,0))</f>
        <v>1</v>
      </c>
      <c r="K12809" s="21" t="n">
        <f aca="false">IF(J12809=1,1,IF(AND(K12560=1,K12492=1),1,0))</f>
        <v>1</v>
      </c>
    </row>
    <row r="12810" customFormat="false" ht="15" hidden="false" customHeight="false" outlineLevel="0" collapsed="false">
      <c r="A12810" s="3" t="s">
        <v>562</v>
      </c>
      <c r="C12810" s="16" t="n">
        <f aca="false">IF(C12788&gt;0,C12766-C12799,0)</f>
        <v>0</v>
      </c>
      <c r="G12810" s="21" t="n">
        <f aca="false">IF(AND(G12573=1,G12492=1),1,0)</f>
        <v>0</v>
      </c>
      <c r="H12810" s="21" t="n">
        <f aca="false">IF(G12810=1,1,IF(AND(H12573=1,H12492=1),1,0))</f>
        <v>0</v>
      </c>
      <c r="I12810" s="21" t="n">
        <f aca="false">IF(H12810=1,1,IF(AND(I12573=1,I12492=1),1,0))</f>
        <v>0</v>
      </c>
      <c r="J12810" s="21" t="n">
        <f aca="false">IF(I12810=1,1,IF(AND(J12573=1,J12492=1),1,0))</f>
        <v>0</v>
      </c>
      <c r="K12810" s="21" t="n">
        <f aca="false">IF(J12810=1,1,IF(AND(K12573=1,K12492=1),1,0))</f>
        <v>0</v>
      </c>
    </row>
    <row r="12811" customFormat="false" ht="15" hidden="false" customHeight="false" outlineLevel="0" collapsed="false">
      <c r="A12811" s="3" t="s">
        <v>563</v>
      </c>
      <c r="C12811" s="16" t="n">
        <f aca="false">IF(C12789&gt;0,C12767-C12800,0)</f>
        <v>0</v>
      </c>
      <c r="G12811" s="21" t="n">
        <f aca="false">IF(AND(G12586=1,G12492=1),1,0)</f>
        <v>0</v>
      </c>
      <c r="H12811" s="21" t="n">
        <f aca="false">IF(G12811=1,1,IF(AND(H12586=1,H12492=1),1,0))</f>
        <v>0</v>
      </c>
      <c r="I12811" s="21" t="n">
        <f aca="false">IF(H12811=1,1,IF(AND(I12586=1,I12492=1),1,0))</f>
        <v>0</v>
      </c>
      <c r="J12811" s="21" t="n">
        <f aca="false">IF(I12811=1,1,IF(AND(J12586=1,J12492=1),1,0))</f>
        <v>0</v>
      </c>
      <c r="K12811" s="21" t="n">
        <f aca="false">IF(J12811=1,1,IF(AND(K12586=1,K12492=1),1,0))</f>
        <v>0</v>
      </c>
    </row>
    <row r="12812" customFormat="false" ht="15" hidden="false" customHeight="false" outlineLevel="0" collapsed="false">
      <c r="A12812" s="3" t="s">
        <v>564</v>
      </c>
      <c r="C12812" s="16" t="n">
        <f aca="false">IF(C12790&gt;0,C12768-C12801,0)</f>
        <v>0</v>
      </c>
      <c r="G12812" s="21" t="n">
        <f aca="false">IF(AND(G12599=1,G12492=1),1,0)</f>
        <v>0</v>
      </c>
      <c r="H12812" s="21" t="n">
        <f aca="false">IF(G12812=1,1,IF(AND(H12599=1,H12492=1),1,0))</f>
        <v>0</v>
      </c>
      <c r="I12812" s="21" t="n">
        <f aca="false">IF(H12812=1,1,IF(AND(I12599=1,I12492=1),1,0))</f>
        <v>0</v>
      </c>
      <c r="J12812" s="21" t="n">
        <f aca="false">IF(I12812=1,1,IF(AND(J12599=1,J12492=1),1,0))</f>
        <v>0</v>
      </c>
      <c r="K12812" s="21" t="n">
        <f aca="false">IF(J12812=1,1,IF(AND(K12599=1,K12492=1),1,0))</f>
        <v>0</v>
      </c>
    </row>
    <row r="12813" customFormat="false" ht="15" hidden="false" customHeight="false" outlineLevel="0" collapsed="false">
      <c r="A12813" s="3" t="s">
        <v>565</v>
      </c>
      <c r="C12813" s="16" t="n">
        <f aca="false">IF(C12791&gt;0,C12769-C12802,0)</f>
        <v>0</v>
      </c>
      <c r="G12813" s="21" t="n">
        <f aca="false">IF(AND(G12612=1,G12492=1),1,0)</f>
        <v>0</v>
      </c>
      <c r="H12813" s="21" t="n">
        <f aca="false">IF(G12813=1,1,IF(AND(H12612=1,H12492=1),1,0))</f>
        <v>0</v>
      </c>
      <c r="I12813" s="21" t="n">
        <f aca="false">IF(H12813=1,1,IF(AND(I12612=1,I12492=1),1,0))</f>
        <v>0</v>
      </c>
      <c r="J12813" s="21" t="n">
        <f aca="false">IF(I12813=1,1,IF(AND(J12612=1,J12492=1),1,0))</f>
        <v>0</v>
      </c>
      <c r="K12813" s="21" t="n">
        <f aca="false">IF(J12813=1,1,IF(AND(K12612=1,K12492=1),1,0))</f>
        <v>0</v>
      </c>
    </row>
    <row r="12814" customFormat="false" ht="15" hidden="false" customHeight="false" outlineLevel="0" collapsed="false">
      <c r="A12814" s="24" t="s">
        <v>570</v>
      </c>
      <c r="B12814" s="25"/>
      <c r="C12814" s="25"/>
      <c r="D12814" s="25"/>
      <c r="E12814" s="25"/>
      <c r="F12814" s="25"/>
      <c r="G12814" s="25"/>
      <c r="H12814" s="25"/>
      <c r="I12814" s="25"/>
      <c r="J12814" s="25"/>
      <c r="K12814" s="25"/>
    </row>
    <row r="12815" customFormat="false" ht="15" hidden="false" customHeight="false" outlineLevel="0" collapsed="false">
      <c r="A12815" s="3" t="s">
        <v>556</v>
      </c>
      <c r="C12815" s="16" t="n">
        <f aca="false">IF(C12782&gt;0,C12804,C12760)</f>
        <v>0</v>
      </c>
    </row>
    <row r="12816" customFormat="false" ht="15" hidden="false" customHeight="false" outlineLevel="0" collapsed="false">
      <c r="A12816" s="3" t="s">
        <v>557</v>
      </c>
      <c r="C12816" s="16" t="n">
        <f aca="false">IF(C12783&gt;0,C12805,C12761)</f>
        <v>0</v>
      </c>
    </row>
    <row r="12817" customFormat="false" ht="15" hidden="false" customHeight="false" outlineLevel="0" collapsed="false">
      <c r="A12817" s="3" t="s">
        <v>558</v>
      </c>
      <c r="C12817" s="16" t="n">
        <f aca="false">IF(C12784&gt;0,C12806,C12762)</f>
        <v>0</v>
      </c>
    </row>
    <row r="12818" customFormat="false" ht="15" hidden="false" customHeight="false" outlineLevel="0" collapsed="false">
      <c r="A12818" s="3" t="s">
        <v>559</v>
      </c>
      <c r="C12818" s="16" t="n">
        <f aca="false">IF(C12785&gt;0,C12807,C12763)</f>
        <v>84.3709951954219</v>
      </c>
    </row>
    <row r="12819" customFormat="false" ht="15" hidden="false" customHeight="false" outlineLevel="0" collapsed="false">
      <c r="A12819" s="3" t="s">
        <v>560</v>
      </c>
      <c r="C12819" s="16" t="n">
        <f aca="false">IF(C12786&gt;0,C12808,C12764)</f>
        <v>430.967247643896</v>
      </c>
    </row>
    <row r="12820" customFormat="false" ht="15" hidden="false" customHeight="false" outlineLevel="0" collapsed="false">
      <c r="A12820" s="3" t="s">
        <v>561</v>
      </c>
      <c r="C12820" s="16" t="n">
        <f aca="false">IF(C12787&gt;0,C12809,C12765)</f>
        <v>357</v>
      </c>
    </row>
    <row r="12821" customFormat="false" ht="15" hidden="false" customHeight="false" outlineLevel="0" collapsed="false">
      <c r="A12821" s="3" t="s">
        <v>562</v>
      </c>
      <c r="C12821" s="16" t="n">
        <f aca="false">IF(C12788&gt;0,C12810,C12766)</f>
        <v>562.203125</v>
      </c>
    </row>
    <row r="12822" customFormat="false" ht="15" hidden="false" customHeight="false" outlineLevel="0" collapsed="false">
      <c r="A12822" s="3" t="s">
        <v>563</v>
      </c>
      <c r="C12822" s="16" t="n">
        <f aca="false">IF(C12789&gt;0,C12811,C12767)</f>
        <v>353.98125</v>
      </c>
    </row>
    <row r="12823" customFormat="false" ht="15" hidden="false" customHeight="false" outlineLevel="0" collapsed="false">
      <c r="A12823" s="3" t="s">
        <v>564</v>
      </c>
      <c r="C12823" s="16" t="n">
        <f aca="false">IF(C12790&gt;0,C12812,C12768)</f>
        <v>304.59375</v>
      </c>
    </row>
    <row r="12824" customFormat="false" ht="15" hidden="false" customHeight="false" outlineLevel="0" collapsed="false">
      <c r="A12824" s="3" t="s">
        <v>565</v>
      </c>
      <c r="C12824" s="16" t="n">
        <f aca="false">IF(C12791&gt;0,C12813,C12769)</f>
        <v>79.59459025</v>
      </c>
    </row>
    <row r="12825" customFormat="false" ht="15" hidden="false" customHeight="false" outlineLevel="0" collapsed="false">
      <c r="A12825" s="24" t="s">
        <v>571</v>
      </c>
      <c r="B12825" s="25"/>
      <c r="C12825" s="25"/>
      <c r="D12825" s="25"/>
      <c r="E12825" s="25"/>
      <c r="F12825" s="25"/>
      <c r="G12825" s="25"/>
      <c r="H12825" s="25"/>
      <c r="I12825" s="25"/>
      <c r="J12825" s="25"/>
      <c r="K12825" s="25"/>
    </row>
    <row r="12826" customFormat="false" ht="15" hidden="false" customHeight="false" outlineLevel="0" collapsed="false">
      <c r="A12826" s="3" t="s">
        <v>556</v>
      </c>
      <c r="C12826" s="21" t="n">
        <f aca="false">IF(C12782&gt;0,Assumptions!$C$17,C12771)</f>
        <v>99</v>
      </c>
    </row>
    <row r="12827" customFormat="false" ht="15" hidden="false" customHeight="false" outlineLevel="0" collapsed="false">
      <c r="A12827" s="3" t="s">
        <v>557</v>
      </c>
      <c r="C12827" s="21" t="n">
        <f aca="false">IF(C12783&gt;0,Assumptions!$C$17,C12772)</f>
        <v>99</v>
      </c>
    </row>
    <row r="12828" customFormat="false" ht="15" hidden="false" customHeight="false" outlineLevel="0" collapsed="false">
      <c r="A12828" s="3" t="s">
        <v>558</v>
      </c>
      <c r="C12828" s="21" t="n">
        <f aca="false">IF(C12784&gt;0,Assumptions!$C$17,C12773)</f>
        <v>99</v>
      </c>
    </row>
    <row r="12829" customFormat="false" ht="15" hidden="false" customHeight="false" outlineLevel="0" collapsed="false">
      <c r="A12829" s="3" t="s">
        <v>559</v>
      </c>
      <c r="C12829" s="21" t="n">
        <f aca="false">IF(C12785&gt;0,Assumptions!$C$17,C12774)</f>
        <v>2</v>
      </c>
    </row>
    <row r="12830" customFormat="false" ht="15" hidden="false" customHeight="false" outlineLevel="0" collapsed="false">
      <c r="A12830" s="3" t="s">
        <v>560</v>
      </c>
      <c r="C12830" s="21" t="n">
        <f aca="false">IF(C12786&gt;0,Assumptions!$C$17,C12775)</f>
        <v>2</v>
      </c>
    </row>
    <row r="12831" customFormat="false" ht="15" hidden="false" customHeight="false" outlineLevel="0" collapsed="false">
      <c r="A12831" s="3" t="s">
        <v>561</v>
      </c>
      <c r="C12831" s="21" t="n">
        <f aca="false">IF(C12787&gt;0,Assumptions!$C$17,C12776)</f>
        <v>2</v>
      </c>
    </row>
    <row r="12832" customFormat="false" ht="15" hidden="false" customHeight="false" outlineLevel="0" collapsed="false">
      <c r="A12832" s="3" t="s">
        <v>562</v>
      </c>
      <c r="C12832" s="21" t="n">
        <f aca="false">IF(C12788&gt;0,Assumptions!$C$17,C12777)</f>
        <v>2</v>
      </c>
    </row>
    <row r="12833" customFormat="false" ht="15" hidden="false" customHeight="false" outlineLevel="0" collapsed="false">
      <c r="A12833" s="3" t="s">
        <v>563</v>
      </c>
      <c r="C12833" s="21" t="n">
        <f aca="false">IF(C12789&gt;0,Assumptions!$C$17,C12778)</f>
        <v>2</v>
      </c>
    </row>
    <row r="12834" customFormat="false" ht="15" hidden="false" customHeight="false" outlineLevel="0" collapsed="false">
      <c r="A12834" s="3" t="s">
        <v>564</v>
      </c>
      <c r="C12834" s="21" t="n">
        <f aca="false">IF(C12790&gt;0,Assumptions!$C$17,C12779)</f>
        <v>2</v>
      </c>
    </row>
    <row r="12835" customFormat="false" ht="15" hidden="false" customHeight="false" outlineLevel="0" collapsed="false">
      <c r="A12835" s="3" t="s">
        <v>565</v>
      </c>
      <c r="C12835" s="21" t="n">
        <f aca="false">IF(C12791&gt;0,Assumptions!$C$17,C12780)</f>
        <v>3</v>
      </c>
    </row>
    <row r="12836" customFormat="false" ht="15" hidden="false" customHeight="false" outlineLevel="0" collapsed="false">
      <c r="A12836" s="24" t="s">
        <v>572</v>
      </c>
      <c r="B12836" s="25"/>
      <c r="C12836" s="25"/>
      <c r="D12836" s="25"/>
      <c r="E12836" s="25"/>
      <c r="F12836" s="25"/>
      <c r="G12836" s="25"/>
      <c r="H12836" s="25"/>
      <c r="I12836" s="25"/>
      <c r="J12836" s="25"/>
      <c r="K12836" s="25"/>
    </row>
    <row r="12837" customFormat="false" ht="15" hidden="false" customHeight="false" outlineLevel="0" collapsed="false">
      <c r="A12837" s="3" t="s">
        <v>556</v>
      </c>
      <c r="C12837" s="16" t="n">
        <f aca="false">SUMPRODUCT(($C$12826:$C$12835&lt;C12826)*$C$12815:$C$12824)</f>
        <v>2172.71095808932</v>
      </c>
    </row>
    <row r="12838" customFormat="false" ht="15" hidden="false" customHeight="false" outlineLevel="0" collapsed="false">
      <c r="A12838" s="3" t="s">
        <v>557</v>
      </c>
      <c r="C12838" s="16" t="n">
        <f aca="false">SUMPRODUCT(($C$12826:$C$12835&lt;C12827)*$C$12815:$C$12824)</f>
        <v>2172.71095808932</v>
      </c>
    </row>
    <row r="12839" customFormat="false" ht="15" hidden="false" customHeight="false" outlineLevel="0" collapsed="false">
      <c r="A12839" s="3" t="s">
        <v>558</v>
      </c>
      <c r="C12839" s="16" t="n">
        <f aca="false">SUMPRODUCT(($C$12826:$C$12835&lt;C12828)*$C$12815:$C$12824)</f>
        <v>2172.71095808932</v>
      </c>
    </row>
    <row r="12840" customFormat="false" ht="15" hidden="false" customHeight="false" outlineLevel="0" collapsed="false">
      <c r="A12840" s="3" t="s">
        <v>559</v>
      </c>
      <c r="C12840" s="16" t="n">
        <f aca="false">SUMPRODUCT(($C$12826:$C$12835&lt;C12829)*$C$12815:$C$12824)</f>
        <v>0</v>
      </c>
    </row>
    <row r="12841" customFormat="false" ht="15" hidden="false" customHeight="false" outlineLevel="0" collapsed="false">
      <c r="A12841" s="3" t="s">
        <v>560</v>
      </c>
      <c r="C12841" s="16" t="n">
        <f aca="false">SUMPRODUCT(($C$12826:$C$12835&lt;C12830)*$C$12815:$C$12824)</f>
        <v>0</v>
      </c>
    </row>
    <row r="12842" customFormat="false" ht="15" hidden="false" customHeight="false" outlineLevel="0" collapsed="false">
      <c r="A12842" s="3" t="s">
        <v>561</v>
      </c>
      <c r="C12842" s="16" t="n">
        <f aca="false">SUMPRODUCT(($C$12826:$C$12835&lt;C12831)*$C$12815:$C$12824)</f>
        <v>0</v>
      </c>
    </row>
    <row r="12843" customFormat="false" ht="15" hidden="false" customHeight="false" outlineLevel="0" collapsed="false">
      <c r="A12843" s="3" t="s">
        <v>562</v>
      </c>
      <c r="C12843" s="16" t="n">
        <f aca="false">SUMPRODUCT(($C$12826:$C$12835&lt;C12832)*$C$12815:$C$12824)</f>
        <v>0</v>
      </c>
    </row>
    <row r="12844" customFormat="false" ht="15" hidden="false" customHeight="false" outlineLevel="0" collapsed="false">
      <c r="A12844" s="3" t="s">
        <v>563</v>
      </c>
      <c r="C12844" s="16" t="n">
        <f aca="false">SUMPRODUCT(($C$12826:$C$12835&lt;C12833)*$C$12815:$C$12824)</f>
        <v>0</v>
      </c>
    </row>
    <row r="12845" customFormat="false" ht="15" hidden="false" customHeight="false" outlineLevel="0" collapsed="false">
      <c r="A12845" s="3" t="s">
        <v>564</v>
      </c>
      <c r="C12845" s="16" t="n">
        <f aca="false">SUMPRODUCT(($C$12826:$C$12835&lt;C12834)*$C$12815:$C$12824)</f>
        <v>0</v>
      </c>
    </row>
    <row r="12846" customFormat="false" ht="15" hidden="false" customHeight="false" outlineLevel="0" collapsed="false">
      <c r="A12846" s="3" t="s">
        <v>565</v>
      </c>
      <c r="C12846" s="16" t="n">
        <f aca="false">SUMPRODUCT(($C$12826:$C$12835&lt;C12835)*$C$12815:$C$12824)</f>
        <v>2093.11636783932</v>
      </c>
    </row>
    <row r="12847" customFormat="false" ht="15" hidden="false" customHeight="false" outlineLevel="0" collapsed="false">
      <c r="A12847" s="24" t="s">
        <v>573</v>
      </c>
      <c r="B12847" s="25"/>
      <c r="C12847" s="25"/>
      <c r="D12847" s="25"/>
      <c r="E12847" s="25"/>
      <c r="F12847" s="25"/>
      <c r="G12847" s="25"/>
      <c r="H12847" s="25"/>
      <c r="I12847" s="25"/>
      <c r="J12847" s="25"/>
      <c r="K12847" s="25"/>
    </row>
    <row r="12848" customFormat="false" ht="15" hidden="false" customHeight="false" outlineLevel="0" collapsed="false">
      <c r="A12848" s="3" t="s">
        <v>556</v>
      </c>
      <c r="C12848" s="16" t="n">
        <f aca="false">SUMPRODUCT(($C$12826:$C$12835=C12826)*$C$12815:$C$12824)</f>
        <v>0</v>
      </c>
    </row>
    <row r="12849" customFormat="false" ht="15" hidden="false" customHeight="false" outlineLevel="0" collapsed="false">
      <c r="A12849" s="3" t="s">
        <v>557</v>
      </c>
      <c r="C12849" s="16" t="n">
        <f aca="false">SUMPRODUCT(($C$12826:$C$12835=C12827)*$C$12815:$C$12824)</f>
        <v>0</v>
      </c>
    </row>
    <row r="12850" customFormat="false" ht="15" hidden="false" customHeight="false" outlineLevel="0" collapsed="false">
      <c r="A12850" s="3" t="s">
        <v>558</v>
      </c>
      <c r="C12850" s="16" t="n">
        <f aca="false">SUMPRODUCT(($C$12826:$C$12835=C12828)*$C$12815:$C$12824)</f>
        <v>0</v>
      </c>
    </row>
    <row r="12851" customFormat="false" ht="15" hidden="false" customHeight="false" outlineLevel="0" collapsed="false">
      <c r="A12851" s="3" t="s">
        <v>559</v>
      </c>
      <c r="C12851" s="16" t="n">
        <f aca="false">SUMPRODUCT(($C$12826:$C$12835=C12829)*$C$12815:$C$12824)</f>
        <v>2093.11636783932</v>
      </c>
    </row>
    <row r="12852" customFormat="false" ht="15" hidden="false" customHeight="false" outlineLevel="0" collapsed="false">
      <c r="A12852" s="3" t="s">
        <v>560</v>
      </c>
      <c r="C12852" s="16" t="n">
        <f aca="false">SUMPRODUCT(($C$12826:$C$12835=C12830)*$C$12815:$C$12824)</f>
        <v>2093.11636783932</v>
      </c>
    </row>
    <row r="12853" customFormat="false" ht="15" hidden="false" customHeight="false" outlineLevel="0" collapsed="false">
      <c r="A12853" s="3" t="s">
        <v>561</v>
      </c>
      <c r="C12853" s="16" t="n">
        <f aca="false">SUMPRODUCT(($C$12826:$C$12835=C12831)*$C$12815:$C$12824)</f>
        <v>2093.11636783932</v>
      </c>
    </row>
    <row r="12854" customFormat="false" ht="15" hidden="false" customHeight="false" outlineLevel="0" collapsed="false">
      <c r="A12854" s="3" t="s">
        <v>562</v>
      </c>
      <c r="C12854" s="16" t="n">
        <f aca="false">SUMPRODUCT(($C$12826:$C$12835=C12832)*$C$12815:$C$12824)</f>
        <v>2093.11636783932</v>
      </c>
    </row>
    <row r="12855" customFormat="false" ht="15" hidden="false" customHeight="false" outlineLevel="0" collapsed="false">
      <c r="A12855" s="3" t="s">
        <v>563</v>
      </c>
      <c r="C12855" s="16" t="n">
        <f aca="false">SUMPRODUCT(($C$12826:$C$12835=C12833)*$C$12815:$C$12824)</f>
        <v>2093.11636783932</v>
      </c>
    </row>
    <row r="12856" customFormat="false" ht="15" hidden="false" customHeight="false" outlineLevel="0" collapsed="false">
      <c r="A12856" s="3" t="s">
        <v>564</v>
      </c>
      <c r="C12856" s="16" t="n">
        <f aca="false">SUMPRODUCT(($C$12826:$C$12835=C12834)*$C$12815:$C$12824)</f>
        <v>2093.11636783932</v>
      </c>
    </row>
    <row r="12857" customFormat="false" ht="15" hidden="false" customHeight="false" outlineLevel="0" collapsed="false">
      <c r="A12857" s="3" t="s">
        <v>565</v>
      </c>
      <c r="C12857" s="16" t="n">
        <f aca="false">SUMPRODUCT(($C$12826:$C$12835=C12835)*$C$12815:$C$12824)</f>
        <v>79.59459025</v>
      </c>
    </row>
    <row r="12858" customFormat="false" ht="15" hidden="false" customHeight="false" outlineLevel="0" collapsed="false">
      <c r="A12858" s="24" t="s">
        <v>574</v>
      </c>
      <c r="B12858" s="25"/>
      <c r="C12858" s="25"/>
      <c r="D12858" s="25"/>
      <c r="E12858" s="25"/>
      <c r="F12858" s="25"/>
      <c r="G12858" s="25"/>
      <c r="H12858" s="25"/>
      <c r="I12858" s="25"/>
      <c r="J12858" s="25"/>
      <c r="K12858" s="25"/>
    </row>
    <row r="12859" customFormat="false" ht="15" hidden="false" customHeight="false" outlineLevel="0" collapsed="false">
      <c r="A12859" s="3" t="s">
        <v>556</v>
      </c>
      <c r="C12859" s="16" t="n">
        <f aca="false">IF(C12848=0,0,C12815/C12848*MAX(0,MIN(C12848,$C$12758-SUM($C$12793:$C$12802)-C12837)))</f>
        <v>0</v>
      </c>
    </row>
    <row r="12860" customFormat="false" ht="15" hidden="false" customHeight="false" outlineLevel="0" collapsed="false">
      <c r="A12860" s="3" t="s">
        <v>557</v>
      </c>
      <c r="C12860" s="16" t="n">
        <f aca="false">IF(C12849=0,0,C12816/C12849*MAX(0,MIN(C12849,$C$12758-SUM($C$12793:$C$12802)-C12838)))</f>
        <v>0</v>
      </c>
    </row>
    <row r="12861" customFormat="false" ht="15" hidden="false" customHeight="false" outlineLevel="0" collapsed="false">
      <c r="A12861" s="3" t="s">
        <v>558</v>
      </c>
      <c r="C12861" s="16" t="n">
        <f aca="false">IF(C12850=0,0,C12817/C12850*MAX(0,MIN(C12850,$C$12758-SUM($C$12793:$C$12802)-C12839)))</f>
        <v>0</v>
      </c>
    </row>
    <row r="12862" customFormat="false" ht="15" hidden="false" customHeight="false" outlineLevel="0" collapsed="false">
      <c r="A12862" s="3" t="s">
        <v>559</v>
      </c>
      <c r="C12862" s="16" t="n">
        <f aca="false">IF(C12851=0,0,C12818/C12851*MAX(0,MIN(C12851,$C$12758-SUM($C$12793:$C$12802)-C12840)))</f>
        <v>84.3709951954219</v>
      </c>
    </row>
    <row r="12863" customFormat="false" ht="15" hidden="false" customHeight="false" outlineLevel="0" collapsed="false">
      <c r="A12863" s="3" t="s">
        <v>560</v>
      </c>
      <c r="C12863" s="16" t="n">
        <f aca="false">IF(C12852=0,0,C12819/C12852*MAX(0,MIN(C12852,$C$12758-SUM($C$12793:$C$12802)-C12841)))</f>
        <v>430.967247643896</v>
      </c>
    </row>
    <row r="12864" customFormat="false" ht="15" hidden="false" customHeight="false" outlineLevel="0" collapsed="false">
      <c r="A12864" s="3" t="s">
        <v>561</v>
      </c>
      <c r="C12864" s="16" t="n">
        <f aca="false">IF(C12853=0,0,C12820/C12853*MAX(0,MIN(C12853,$C$12758-SUM($C$12793:$C$12802)-C12842)))</f>
        <v>357</v>
      </c>
    </row>
    <row r="12865" customFormat="false" ht="15" hidden="false" customHeight="false" outlineLevel="0" collapsed="false">
      <c r="A12865" s="3" t="s">
        <v>562</v>
      </c>
      <c r="C12865" s="16" t="n">
        <f aca="false">IF(C12854=0,0,C12821/C12854*MAX(0,MIN(C12854,$C$12758-SUM($C$12793:$C$12802)-C12843)))</f>
        <v>562.203125</v>
      </c>
    </row>
    <row r="12866" customFormat="false" ht="15" hidden="false" customHeight="false" outlineLevel="0" collapsed="false">
      <c r="A12866" s="3" t="s">
        <v>563</v>
      </c>
      <c r="C12866" s="16" t="n">
        <f aca="false">IF(C12855=0,0,C12822/C12855*MAX(0,MIN(C12855,$C$12758-SUM($C$12793:$C$12802)-C12844)))</f>
        <v>353.98125</v>
      </c>
    </row>
    <row r="12867" customFormat="false" ht="15" hidden="false" customHeight="false" outlineLevel="0" collapsed="false">
      <c r="A12867" s="3" t="s">
        <v>564</v>
      </c>
      <c r="C12867" s="16" t="n">
        <f aca="false">IF(C12856=0,0,C12823/C12856*MAX(0,MIN(C12856,$C$12758-SUM($C$12793:$C$12802)-C12845)))</f>
        <v>304.59375</v>
      </c>
    </row>
    <row r="12868" customFormat="false" ht="15" hidden="false" customHeight="false" outlineLevel="0" collapsed="false">
      <c r="A12868" s="3" t="s">
        <v>565</v>
      </c>
      <c r="C12868" s="16" t="n">
        <f aca="false">IF(C12857=0,0,C12824/C12857*MAX(0,MIN(C12857,$C$12758-SUM($C$12793:$C$12802)-C12846)))</f>
        <v>79.59459025</v>
      </c>
    </row>
    <row r="12869" customFormat="false" ht="15" hidden="false" customHeight="false" outlineLevel="0" collapsed="false">
      <c r="A12869" s="24" t="s">
        <v>575</v>
      </c>
      <c r="B12869" s="25"/>
      <c r="C12869" s="25"/>
      <c r="D12869" s="25"/>
      <c r="E12869" s="25"/>
      <c r="F12869" s="25"/>
      <c r="G12869" s="25"/>
      <c r="H12869" s="25"/>
      <c r="I12869" s="25"/>
      <c r="J12869" s="25"/>
      <c r="K12869" s="25"/>
    </row>
    <row r="12870" customFormat="false" ht="15" hidden="false" customHeight="false" outlineLevel="0" collapsed="false">
      <c r="A12870" s="2" t="s">
        <v>556</v>
      </c>
      <c r="C12870" s="17" t="n">
        <f aca="false">C12793+C12859</f>
        <v>396.4875</v>
      </c>
    </row>
    <row r="12871" customFormat="false" ht="15" hidden="false" customHeight="false" outlineLevel="0" collapsed="false">
      <c r="A12871" s="2" t="s">
        <v>557</v>
      </c>
      <c r="C12871" s="17" t="n">
        <f aca="false">C12794+C12860</f>
        <v>91.30725</v>
      </c>
    </row>
    <row r="12872" customFormat="false" ht="15" hidden="false" customHeight="false" outlineLevel="0" collapsed="false">
      <c r="A12872" s="2" t="s">
        <v>558</v>
      </c>
      <c r="C12872" s="17" t="n">
        <f aca="false">C12795+C12861</f>
        <v>58.3715961</v>
      </c>
    </row>
    <row r="12873" customFormat="false" ht="15" hidden="false" customHeight="false" outlineLevel="0" collapsed="false">
      <c r="A12873" s="2" t="s">
        <v>559</v>
      </c>
      <c r="C12873" s="17" t="n">
        <f aca="false">C12796+C12862</f>
        <v>84.3709951954219</v>
      </c>
    </row>
    <row r="12874" customFormat="false" ht="15" hidden="false" customHeight="false" outlineLevel="0" collapsed="false">
      <c r="A12874" s="2" t="s">
        <v>560</v>
      </c>
      <c r="C12874" s="17" t="n">
        <f aca="false">C12797+C12863</f>
        <v>430.967247643896</v>
      </c>
    </row>
    <row r="12875" customFormat="false" ht="15" hidden="false" customHeight="false" outlineLevel="0" collapsed="false">
      <c r="A12875" s="2" t="s">
        <v>561</v>
      </c>
      <c r="C12875" s="17" t="n">
        <f aca="false">C12798+C12864</f>
        <v>357</v>
      </c>
    </row>
    <row r="12876" customFormat="false" ht="15" hidden="false" customHeight="false" outlineLevel="0" collapsed="false">
      <c r="A12876" s="2" t="s">
        <v>562</v>
      </c>
      <c r="C12876" s="17" t="n">
        <f aca="false">C12799+C12865</f>
        <v>562.203125</v>
      </c>
    </row>
    <row r="12877" customFormat="false" ht="15" hidden="false" customHeight="false" outlineLevel="0" collapsed="false">
      <c r="A12877" s="2" t="s">
        <v>563</v>
      </c>
      <c r="C12877" s="17" t="n">
        <f aca="false">C12800+C12866</f>
        <v>353.98125</v>
      </c>
    </row>
    <row r="12878" customFormat="false" ht="15" hidden="false" customHeight="false" outlineLevel="0" collapsed="false">
      <c r="A12878" s="2" t="s">
        <v>564</v>
      </c>
      <c r="C12878" s="17" t="n">
        <f aca="false">C12801+C12867</f>
        <v>304.59375</v>
      </c>
    </row>
    <row r="12879" customFormat="false" ht="15" hidden="false" customHeight="false" outlineLevel="0" collapsed="false">
      <c r="A12879" s="2" t="s">
        <v>565</v>
      </c>
      <c r="C12879" s="17" t="n">
        <f aca="false">C12802+C12868</f>
        <v>79.59459025</v>
      </c>
    </row>
    <row r="12880" customFormat="false" ht="15" hidden="false" customHeight="false" outlineLevel="0" collapsed="false">
      <c r="A12880" s="24" t="s">
        <v>576</v>
      </c>
      <c r="B12880" s="25"/>
      <c r="C12880" s="25"/>
      <c r="D12880" s="25"/>
      <c r="E12880" s="25"/>
      <c r="F12880" s="25"/>
      <c r="G12880" s="25"/>
      <c r="H12880" s="25"/>
      <c r="I12880" s="25"/>
      <c r="J12880" s="25"/>
      <c r="K12880" s="25"/>
    </row>
    <row r="12881" customFormat="false" ht="15" hidden="false" customHeight="false" outlineLevel="0" collapsed="false">
      <c r="A12881" s="3" t="s">
        <v>556</v>
      </c>
      <c r="C12881" s="22" t="n">
        <f aca="false">IF(C12760=0,1,C12870/C12760)</f>
        <v>1</v>
      </c>
    </row>
    <row r="12882" customFormat="false" ht="15" hidden="false" customHeight="false" outlineLevel="0" collapsed="false">
      <c r="A12882" s="3" t="s">
        <v>557</v>
      </c>
      <c r="C12882" s="22" t="n">
        <f aca="false">IF(C12761=0,1,C12871/C12761)</f>
        <v>1</v>
      </c>
    </row>
    <row r="12883" customFormat="false" ht="15" hidden="false" customHeight="false" outlineLevel="0" collapsed="false">
      <c r="A12883" s="3" t="s">
        <v>558</v>
      </c>
      <c r="C12883" s="22" t="n">
        <f aca="false">IF(C12762=0,1,C12872/C12762)</f>
        <v>1</v>
      </c>
    </row>
    <row r="12884" customFormat="false" ht="15" hidden="false" customHeight="false" outlineLevel="0" collapsed="false">
      <c r="A12884" s="3" t="s">
        <v>559</v>
      </c>
      <c r="C12884" s="22" t="n">
        <f aca="false">IF(C12763=0,1,C12873/C12763)</f>
        <v>1</v>
      </c>
    </row>
    <row r="12885" customFormat="false" ht="15" hidden="false" customHeight="false" outlineLevel="0" collapsed="false">
      <c r="A12885" s="3" t="s">
        <v>560</v>
      </c>
      <c r="C12885" s="22" t="n">
        <f aca="false">IF(C12764=0,1,C12874/C12764)</f>
        <v>1</v>
      </c>
    </row>
    <row r="12886" customFormat="false" ht="15" hidden="false" customHeight="false" outlineLevel="0" collapsed="false">
      <c r="A12886" s="3" t="s">
        <v>561</v>
      </c>
      <c r="C12886" s="22" t="n">
        <f aca="false">IF(C12765=0,1,C12875/C12765)</f>
        <v>1</v>
      </c>
    </row>
    <row r="12887" customFormat="false" ht="15" hidden="false" customHeight="false" outlineLevel="0" collapsed="false">
      <c r="A12887" s="3" t="s">
        <v>562</v>
      </c>
      <c r="C12887" s="22" t="n">
        <f aca="false">IF(C12766=0,1,C12876/C12766)</f>
        <v>1</v>
      </c>
    </row>
    <row r="12888" customFormat="false" ht="15" hidden="false" customHeight="false" outlineLevel="0" collapsed="false">
      <c r="A12888" s="3" t="s">
        <v>563</v>
      </c>
      <c r="C12888" s="22" t="n">
        <f aca="false">IF(C12767=0,1,C12877/C12767)</f>
        <v>1</v>
      </c>
    </row>
    <row r="12889" customFormat="false" ht="15" hidden="false" customHeight="false" outlineLevel="0" collapsed="false">
      <c r="A12889" s="3" t="s">
        <v>564</v>
      </c>
      <c r="C12889" s="22" t="n">
        <f aca="false">IF(C12768=0,1,C12878/C12768)</f>
        <v>1</v>
      </c>
    </row>
    <row r="12890" customFormat="false" ht="15" hidden="false" customHeight="false" outlineLevel="0" collapsed="false">
      <c r="A12890" s="3" t="s">
        <v>565</v>
      </c>
      <c r="C12890" s="22" t="n">
        <f aca="false">IF(C12769=0,1,C12879/C12769)</f>
        <v>1</v>
      </c>
    </row>
    <row r="12891" customFormat="false" ht="15" hidden="false" customHeight="false" outlineLevel="0" collapsed="false">
      <c r="A12891" s="24" t="s">
        <v>577</v>
      </c>
      <c r="B12891" s="25"/>
      <c r="C12891" s="25"/>
      <c r="D12891" s="25"/>
      <c r="E12891" s="25"/>
      <c r="F12891" s="25"/>
      <c r="G12891" s="25"/>
      <c r="H12891" s="25"/>
      <c r="I12891" s="25"/>
      <c r="J12891" s="25"/>
      <c r="K12891" s="25"/>
    </row>
    <row r="12892" customFormat="false" ht="15" hidden="false" customHeight="false" outlineLevel="0" collapsed="false">
      <c r="A12892" s="3" t="s">
        <v>556</v>
      </c>
      <c r="C12892" s="16" t="n">
        <f aca="false">C12760-C12870</f>
        <v>0</v>
      </c>
    </row>
    <row r="12893" customFormat="false" ht="15" hidden="false" customHeight="false" outlineLevel="0" collapsed="false">
      <c r="A12893" s="3" t="s">
        <v>557</v>
      </c>
      <c r="C12893" s="16" t="n">
        <f aca="false">C12761-C12871</f>
        <v>0</v>
      </c>
    </row>
    <row r="12894" customFormat="false" ht="15" hidden="false" customHeight="false" outlineLevel="0" collapsed="false">
      <c r="A12894" s="3" t="s">
        <v>558</v>
      </c>
      <c r="C12894" s="16" t="n">
        <f aca="false">C12762-C12872</f>
        <v>0</v>
      </c>
    </row>
    <row r="12895" customFormat="false" ht="15" hidden="false" customHeight="false" outlineLevel="0" collapsed="false">
      <c r="A12895" s="3" t="s">
        <v>559</v>
      </c>
      <c r="C12895" s="16" t="n">
        <f aca="false">C12763-C12873</f>
        <v>0</v>
      </c>
    </row>
    <row r="12896" customFormat="false" ht="15" hidden="false" customHeight="false" outlineLevel="0" collapsed="false">
      <c r="A12896" s="3" t="s">
        <v>560</v>
      </c>
      <c r="C12896" s="16" t="n">
        <f aca="false">C12764-C12874</f>
        <v>0</v>
      </c>
    </row>
    <row r="12897" customFormat="false" ht="15" hidden="false" customHeight="false" outlineLevel="0" collapsed="false">
      <c r="A12897" s="3" t="s">
        <v>561</v>
      </c>
      <c r="C12897" s="16" t="n">
        <f aca="false">C12765-C12875</f>
        <v>0</v>
      </c>
    </row>
    <row r="12898" customFormat="false" ht="15" hidden="false" customHeight="false" outlineLevel="0" collapsed="false">
      <c r="A12898" s="3" t="s">
        <v>562</v>
      </c>
      <c r="C12898" s="16" t="n">
        <f aca="false">C12766-C12876</f>
        <v>0</v>
      </c>
    </row>
    <row r="12899" customFormat="false" ht="15" hidden="false" customHeight="false" outlineLevel="0" collapsed="false">
      <c r="A12899" s="3" t="s">
        <v>563</v>
      </c>
      <c r="C12899" s="16" t="n">
        <f aca="false">C12767-C12877</f>
        <v>0</v>
      </c>
    </row>
    <row r="12900" customFormat="false" ht="15" hidden="false" customHeight="false" outlineLevel="0" collapsed="false">
      <c r="A12900" s="3" t="s">
        <v>564</v>
      </c>
      <c r="C12900" s="16" t="n">
        <f aca="false">C12768-C12878</f>
        <v>0</v>
      </c>
    </row>
    <row r="12901" customFormat="false" ht="15" hidden="false" customHeight="false" outlineLevel="0" collapsed="false">
      <c r="A12901" s="3" t="s">
        <v>565</v>
      </c>
      <c r="C12901" s="16" t="n">
        <f aca="false">C12769-C12879</f>
        <v>0</v>
      </c>
    </row>
    <row r="12902" customFormat="false" ht="15" hidden="false" customHeight="false" outlineLevel="0" collapsed="false">
      <c r="A12902" s="24" t="s">
        <v>578</v>
      </c>
      <c r="B12902" s="25"/>
      <c r="C12902" s="25"/>
      <c r="D12902" s="25"/>
      <c r="E12902" s="25"/>
      <c r="F12902" s="25"/>
      <c r="G12902" s="25"/>
      <c r="H12902" s="25"/>
      <c r="I12902" s="25"/>
      <c r="J12902" s="25"/>
      <c r="K12902" s="25"/>
    </row>
    <row r="12903" customFormat="false" ht="15" hidden="false" customHeight="false" outlineLevel="0" collapsed="false">
      <c r="A12903" s="3" t="s">
        <v>556</v>
      </c>
      <c r="C12903" s="22" t="n">
        <f aca="false">IF(C12760=0,0,C12892/C12760)</f>
        <v>0</v>
      </c>
    </row>
    <row r="12904" customFormat="false" ht="15" hidden="false" customHeight="false" outlineLevel="0" collapsed="false">
      <c r="A12904" s="3" t="s">
        <v>557</v>
      </c>
      <c r="C12904" s="22" t="n">
        <f aca="false">IF(C12761=0,0,C12893/C12761)</f>
        <v>0</v>
      </c>
    </row>
    <row r="12905" customFormat="false" ht="15" hidden="false" customHeight="false" outlineLevel="0" collapsed="false">
      <c r="A12905" s="3" t="s">
        <v>558</v>
      </c>
      <c r="C12905" s="22" t="n">
        <f aca="false">IF(C12762=0,0,C12894/C12762)</f>
        <v>0</v>
      </c>
    </row>
    <row r="12906" customFormat="false" ht="15" hidden="false" customHeight="false" outlineLevel="0" collapsed="false">
      <c r="A12906" s="3" t="s">
        <v>559</v>
      </c>
      <c r="C12906" s="22" t="n">
        <f aca="false">IF(C12763=0,0,C12895/C12763)</f>
        <v>0</v>
      </c>
    </row>
    <row r="12907" customFormat="false" ht="15" hidden="false" customHeight="false" outlineLevel="0" collapsed="false">
      <c r="A12907" s="3" t="s">
        <v>560</v>
      </c>
      <c r="C12907" s="22" t="n">
        <f aca="false">IF(C12764=0,0,C12896/C12764)</f>
        <v>0</v>
      </c>
    </row>
    <row r="12908" customFormat="false" ht="15" hidden="false" customHeight="false" outlineLevel="0" collapsed="false">
      <c r="A12908" s="3" t="s">
        <v>561</v>
      </c>
      <c r="C12908" s="22" t="n">
        <f aca="false">IF(C12765=0,0,C12897/C12765)</f>
        <v>0</v>
      </c>
    </row>
    <row r="12909" customFormat="false" ht="15" hidden="false" customHeight="false" outlineLevel="0" collapsed="false">
      <c r="A12909" s="3" t="s">
        <v>562</v>
      </c>
      <c r="C12909" s="22" t="n">
        <f aca="false">IF(C12766=0,0,C12898/C12766)</f>
        <v>0</v>
      </c>
    </row>
    <row r="12910" customFormat="false" ht="15" hidden="false" customHeight="false" outlineLevel="0" collapsed="false">
      <c r="A12910" s="3" t="s">
        <v>563</v>
      </c>
      <c r="C12910" s="22" t="n">
        <f aca="false">IF(C12767=0,0,C12899/C12767)</f>
        <v>0</v>
      </c>
    </row>
    <row r="12911" customFormat="false" ht="15" hidden="false" customHeight="false" outlineLevel="0" collapsed="false">
      <c r="A12911" s="3" t="s">
        <v>564</v>
      </c>
      <c r="C12911" s="22" t="n">
        <f aca="false">IF(C12768=0,0,C12900/C12768)</f>
        <v>0</v>
      </c>
    </row>
    <row r="12912" customFormat="false" ht="15" hidden="false" customHeight="false" outlineLevel="0" collapsed="false">
      <c r="A12912" s="3" t="s">
        <v>565</v>
      </c>
      <c r="C12912" s="22" t="n">
        <f aca="false">IF(C12769=0,0,C12901/C12769)</f>
        <v>0</v>
      </c>
    </row>
    <row r="12913" customFormat="false" ht="15" hidden="false" customHeight="false" outlineLevel="0" collapsed="false">
      <c r="A12913" s="2" t="s">
        <v>579</v>
      </c>
      <c r="C12913" s="17" t="n">
        <f aca="false">MAX(0,$C$12758-SUM($C$12793:$C$12802)-SUM($C$12815:$C$12824))</f>
        <v>967.566439810682</v>
      </c>
    </row>
    <row r="12914" customFormat="false" ht="15" hidden="false" customHeight="false" outlineLevel="0" collapsed="false">
      <c r="A12914" s="3" t="s">
        <v>580</v>
      </c>
      <c r="C12914" s="16" t="n">
        <f aca="false">SUM($C$12870:$C$12879)+C12913+C12757-C12756</f>
        <v>0</v>
      </c>
    </row>
    <row r="12916" customFormat="false" ht="15" hidden="false" customHeight="false" outlineLevel="0" collapsed="false">
      <c r="A12916" s="24" t="s">
        <v>583</v>
      </c>
      <c r="B12916" s="25"/>
      <c r="C12916" s="25"/>
      <c r="D12916" s="25"/>
      <c r="E12916" s="25"/>
      <c r="F12916" s="25"/>
      <c r="G12916" s="25"/>
      <c r="H12916" s="25"/>
      <c r="I12916" s="25"/>
      <c r="J12916" s="25"/>
      <c r="K12916" s="25"/>
    </row>
    <row r="12917" customFormat="false" ht="15" hidden="false" customHeight="false" outlineLevel="0" collapsed="false">
      <c r="A12917" s="3" t="s">
        <v>584</v>
      </c>
      <c r="C12917" s="27" t="n">
        <f aca="false">Assumptions!$C$34</f>
        <v>1</v>
      </c>
    </row>
    <row r="12918" customFormat="false" ht="15" hidden="false" customHeight="false" outlineLevel="0" collapsed="false">
      <c r="A12918" s="3" t="s">
        <v>585</v>
      </c>
      <c r="C12918" s="29" t="n">
        <f aca="false">Assumptions!$C$35</f>
        <v>100</v>
      </c>
    </row>
    <row r="12919" customFormat="false" ht="15" hidden="false" customHeight="false" outlineLevel="0" collapsed="false">
      <c r="A12919" s="3" t="s">
        <v>586</v>
      </c>
      <c r="C12919" s="40" t="n">
        <f aca="false">Assumptions!$C$36</f>
        <v>98</v>
      </c>
    </row>
    <row r="12920" customFormat="false" ht="15" hidden="false" customHeight="false" outlineLevel="0" collapsed="false">
      <c r="A12920" s="3" t="s">
        <v>587</v>
      </c>
      <c r="C12920" s="16" t="n">
        <f aca="false">C12918*C12919/100*(1+Assumptions!$C$37)</f>
        <v>98.49</v>
      </c>
    </row>
    <row r="12921" customFormat="false" ht="15" hidden="false" customHeight="false" outlineLevel="0" collapsed="false">
      <c r="A12921" s="3" t="s">
        <v>588</v>
      </c>
      <c r="C12921" s="27" t="n">
        <f aca="false">Assumptions!$C$38</f>
        <v>3</v>
      </c>
    </row>
    <row r="12922" customFormat="false" ht="15" hidden="false" customHeight="false" outlineLevel="0" collapsed="false">
      <c r="A12922" s="3" t="s">
        <v>589</v>
      </c>
      <c r="C12922" s="21" t="n">
        <f aca="false">IF(C12749=1,SUMPRODUCT($G$12685:$K$12685,$G$12459:$K$12459),0)</f>
        <v>3</v>
      </c>
    </row>
    <row r="12923" customFormat="false" ht="15" hidden="false" customHeight="false" outlineLevel="0" collapsed="false">
      <c r="A12923" s="3" t="s">
        <v>590</v>
      </c>
      <c r="C12923" s="22" t="n">
        <f aca="false">IFERROR(C12918/CHOOSE(C12917,SUMPRODUCT($G$12748:$K$12748,$G$12505:$K$12505),SUMPRODUCT($G$12748:$K$12748,$G$12518:$K$12518),SUMPRODUCT($G$12748:$K$12748,$G$12531:$K$12531),SUMPRODUCT($G$12748:$K$12748,$G$12544:$K$12544),SUMPRODUCT($G$12748:$K$12748,$G$12557:$K$12557),SUMPRODUCT($G$12748:$K$12748,$G$12570:$K$12570),SUMPRODUCT($G$12748:$K$12748,$G$12583:$K$12583),SUMPRODUCT($G$12748:$K$12748,$G$12596:$K$12596),SUMPRODUCT($G$12748:$K$12748,$G$12609:$K$12609),SUMPRODUCT($G$12748:$K$12748,$G$12622:$K$12622)),0)</f>
        <v>0.257731958762887</v>
      </c>
    </row>
    <row r="12924" customFormat="false" ht="15" hidden="false" customHeight="false" outlineLevel="0" collapsed="false">
      <c r="A12924" s="3" t="s">
        <v>591</v>
      </c>
      <c r="C12924" s="16" t="n">
        <f aca="false">CHOOSE(C12917,C12870,C12871,C12872,C12873,C12874,C12875,C12876,C12877,C12878,C12879)*C12923</f>
        <v>102.1875</v>
      </c>
    </row>
    <row r="12925" customFormat="false" ht="15" hidden="false" customHeight="false" outlineLevel="0" collapsed="false">
      <c r="A12925" s="3" t="s">
        <v>592</v>
      </c>
      <c r="C12925" s="22" t="n">
        <f aca="false">CHOOSE(C12917,C12881,C12882,C12883,C12884,C12885,C12886,C12887,C12888,C12889,C12890)</f>
        <v>1</v>
      </c>
    </row>
    <row r="12926" customFormat="false" ht="15" hidden="false" customHeight="false" outlineLevel="0" collapsed="false">
      <c r="A12926" s="3" t="s">
        <v>593</v>
      </c>
      <c r="C12926" s="21" t="n">
        <f aca="false">IF(C12749=1,C12922,C12921)</f>
        <v>3</v>
      </c>
    </row>
    <row r="12927" customFormat="false" ht="15" hidden="false" customHeight="false" outlineLevel="0" collapsed="false">
      <c r="A12927" s="3" t="s">
        <v>594</v>
      </c>
      <c r="C12927" s="35" t="n">
        <f aca="false">CHOOSE($C$12451,Assumptions!$C$91,Assumptions!$C$110,Assumptions!$C$129)</f>
        <v>100</v>
      </c>
    </row>
    <row r="12928" customFormat="false" ht="15" hidden="false" customHeight="false" outlineLevel="0" collapsed="false">
      <c r="A12928" s="3" t="s">
        <v>595</v>
      </c>
      <c r="C12928" s="16" t="n">
        <f aca="false">INDEX($G$12468:$K$12468,C12921)*CHOOSE($C$12451,Assumptions!$C$90,Assumptions!$C$109,Assumptions!$C$128)+MAX(0,INDEX($G$12682:$K$12682,C12921))</f>
        <v>2889.9420997116</v>
      </c>
    </row>
    <row r="12929" customFormat="false" ht="15" hidden="false" customHeight="false" outlineLevel="0" collapsed="false">
      <c r="A12929" s="24" t="s">
        <v>596</v>
      </c>
      <c r="B12929" s="25"/>
      <c r="C12929" s="25"/>
      <c r="D12929" s="25"/>
      <c r="E12929" s="25"/>
      <c r="F12929" s="25"/>
      <c r="G12929" s="25"/>
      <c r="H12929" s="25"/>
      <c r="I12929" s="25"/>
      <c r="J12929" s="25"/>
      <c r="K12929" s="25"/>
    </row>
    <row r="12930" customFormat="false" ht="15" hidden="false" customHeight="false" outlineLevel="0" collapsed="false">
      <c r="A12930" s="3" t="s">
        <v>556</v>
      </c>
      <c r="C12930" s="16" t="n">
        <f aca="false">INDEX($G$12505:$K$12505,C12921)</f>
        <v>388</v>
      </c>
    </row>
    <row r="12931" customFormat="false" ht="15" hidden="false" customHeight="false" outlineLevel="0" collapsed="false">
      <c r="A12931" s="3" t="s">
        <v>557</v>
      </c>
      <c r="C12931" s="16" t="n">
        <f aca="false">INDEX($G$12518:$K$12518,C12921)</f>
        <v>90</v>
      </c>
    </row>
    <row r="12932" customFormat="false" ht="15" hidden="false" customHeight="false" outlineLevel="0" collapsed="false">
      <c r="A12932" s="3" t="s">
        <v>558</v>
      </c>
      <c r="C12932" s="16" t="n">
        <f aca="false">INDEX($G$12531:$K$12531,C12921)</f>
        <v>57.324</v>
      </c>
    </row>
    <row r="12933" customFormat="false" ht="15" hidden="false" customHeight="false" outlineLevel="0" collapsed="false">
      <c r="A12933" s="3" t="s">
        <v>559</v>
      </c>
      <c r="C12933" s="16" t="n">
        <f aca="false">INDEX($G$12544:$K$12544,C12921)</f>
        <v>82.716661956296</v>
      </c>
    </row>
    <row r="12934" customFormat="false" ht="15" hidden="false" customHeight="false" outlineLevel="0" collapsed="false">
      <c r="A12934" s="3" t="s">
        <v>560</v>
      </c>
      <c r="C12934" s="16" t="n">
        <f aca="false">INDEX($G$12557:$K$12557,C12921)</f>
        <v>422.5169094548</v>
      </c>
    </row>
    <row r="12935" customFormat="false" ht="15" hidden="false" customHeight="false" outlineLevel="0" collapsed="false">
      <c r="A12935" s="3" t="s">
        <v>561</v>
      </c>
      <c r="C12935" s="16" t="n">
        <f aca="false">INDEX($G$12570:$K$12570,C12921)</f>
        <v>350</v>
      </c>
    </row>
    <row r="12936" customFormat="false" ht="15" hidden="false" customHeight="false" outlineLevel="0" collapsed="false">
      <c r="A12936" s="3" t="s">
        <v>562</v>
      </c>
      <c r="C12936" s="16" t="n">
        <f aca="false">INDEX($G$12583:$K$12583,C12921)</f>
        <v>550</v>
      </c>
    </row>
    <row r="12937" customFormat="false" ht="15" hidden="false" customHeight="false" outlineLevel="0" collapsed="false">
      <c r="A12937" s="3" t="s">
        <v>563</v>
      </c>
      <c r="C12937" s="16" t="n">
        <f aca="false">INDEX($G$12596:$K$12596,C12921)</f>
        <v>350</v>
      </c>
    </row>
    <row r="12938" customFormat="false" ht="15" hidden="false" customHeight="false" outlineLevel="0" collapsed="false">
      <c r="A12938" s="3" t="s">
        <v>564</v>
      </c>
      <c r="C12938" s="16" t="n">
        <f aca="false">INDEX($G$12609:$K$12609,C12921)</f>
        <v>300</v>
      </c>
    </row>
    <row r="12939" customFormat="false" ht="15" hidden="false" customHeight="false" outlineLevel="0" collapsed="false">
      <c r="A12939" s="3" t="s">
        <v>565</v>
      </c>
      <c r="C12939" s="16" t="n">
        <f aca="false">INDEX($G$12622:$K$12622,C12921)</f>
        <v>78.61</v>
      </c>
    </row>
    <row r="12940" customFormat="false" ht="15" hidden="false" customHeight="false" outlineLevel="0" collapsed="false">
      <c r="A12940" s="24" t="s">
        <v>566</v>
      </c>
      <c r="B12940" s="25"/>
      <c r="C12940" s="25"/>
      <c r="D12940" s="25"/>
      <c r="E12940" s="25"/>
      <c r="F12940" s="25"/>
      <c r="G12940" s="25"/>
      <c r="H12940" s="25"/>
      <c r="I12940" s="25"/>
      <c r="J12940" s="25"/>
      <c r="K12940" s="25"/>
    </row>
    <row r="12941" customFormat="false" ht="15" hidden="false" customHeight="false" outlineLevel="0" collapsed="false">
      <c r="A12941" s="3" t="s">
        <v>556</v>
      </c>
      <c r="C12941" s="27" t="n">
        <f aca="false">Assumptions!$M$57</f>
        <v>1</v>
      </c>
    </row>
    <row r="12942" customFormat="false" ht="15" hidden="false" customHeight="false" outlineLevel="0" collapsed="false">
      <c r="A12942" s="3" t="s">
        <v>557</v>
      </c>
      <c r="C12942" s="27" t="n">
        <f aca="false">Assumptions!$M$58</f>
        <v>1</v>
      </c>
    </row>
    <row r="12943" customFormat="false" ht="15" hidden="false" customHeight="false" outlineLevel="0" collapsed="false">
      <c r="A12943" s="3" t="s">
        <v>558</v>
      </c>
      <c r="C12943" s="27" t="n">
        <f aca="false">Assumptions!$M$59</f>
        <v>1</v>
      </c>
    </row>
    <row r="12944" customFormat="false" ht="15" hidden="false" customHeight="false" outlineLevel="0" collapsed="false">
      <c r="A12944" s="3" t="s">
        <v>559</v>
      </c>
      <c r="C12944" s="27" t="n">
        <f aca="false">Assumptions!$M$60</f>
        <v>2</v>
      </c>
    </row>
    <row r="12945" customFormat="false" ht="15" hidden="false" customHeight="false" outlineLevel="0" collapsed="false">
      <c r="A12945" s="3" t="s">
        <v>560</v>
      </c>
      <c r="C12945" s="27" t="n">
        <f aca="false">Assumptions!$M$61</f>
        <v>2</v>
      </c>
    </row>
    <row r="12946" customFormat="false" ht="15" hidden="false" customHeight="false" outlineLevel="0" collapsed="false">
      <c r="A12946" s="3" t="s">
        <v>561</v>
      </c>
      <c r="C12946" s="27" t="n">
        <f aca="false">Assumptions!$M$62</f>
        <v>2</v>
      </c>
    </row>
    <row r="12947" customFormat="false" ht="15" hidden="false" customHeight="false" outlineLevel="0" collapsed="false">
      <c r="A12947" s="3" t="s">
        <v>562</v>
      </c>
      <c r="C12947" s="27" t="n">
        <f aca="false">Assumptions!$M$63</f>
        <v>2</v>
      </c>
    </row>
    <row r="12948" customFormat="false" ht="15" hidden="false" customHeight="false" outlineLevel="0" collapsed="false">
      <c r="A12948" s="3" t="s">
        <v>563</v>
      </c>
      <c r="C12948" s="27" t="n">
        <f aca="false">Assumptions!$M$64</f>
        <v>2</v>
      </c>
    </row>
    <row r="12949" customFormat="false" ht="15" hidden="false" customHeight="false" outlineLevel="0" collapsed="false">
      <c r="A12949" s="3" t="s">
        <v>564</v>
      </c>
      <c r="C12949" s="27" t="n">
        <f aca="false">Assumptions!$M$65</f>
        <v>2</v>
      </c>
    </row>
    <row r="12950" customFormat="false" ht="15" hidden="false" customHeight="false" outlineLevel="0" collapsed="false">
      <c r="A12950" s="3" t="s">
        <v>565</v>
      </c>
      <c r="C12950" s="27" t="n">
        <f aca="false">Assumptions!$M$66</f>
        <v>3</v>
      </c>
    </row>
    <row r="12951" customFormat="false" ht="15" hidden="false" customHeight="false" outlineLevel="0" collapsed="false">
      <c r="A12951" s="24" t="s">
        <v>567</v>
      </c>
      <c r="B12951" s="25"/>
      <c r="C12951" s="25"/>
      <c r="D12951" s="25"/>
      <c r="E12951" s="25"/>
      <c r="F12951" s="25"/>
      <c r="G12951" s="25"/>
      <c r="H12951" s="25"/>
      <c r="I12951" s="25"/>
      <c r="J12951" s="25"/>
      <c r="K12951" s="25"/>
    </row>
    <row r="12952" customFormat="false" ht="15" hidden="false" customHeight="false" outlineLevel="0" collapsed="false">
      <c r="A12952" s="3" t="s">
        <v>556</v>
      </c>
      <c r="C12952" s="33" t="n">
        <f aca="false">Assumptions!$Q$57</f>
        <v>0.3</v>
      </c>
    </row>
    <row r="12953" customFormat="false" ht="15" hidden="false" customHeight="false" outlineLevel="0" collapsed="false">
      <c r="A12953" s="3" t="s">
        <v>557</v>
      </c>
      <c r="C12953" s="33" t="n">
        <f aca="false">Assumptions!$Q$58</f>
        <v>0.033</v>
      </c>
    </row>
    <row r="12954" customFormat="false" ht="15" hidden="false" customHeight="false" outlineLevel="0" collapsed="false">
      <c r="A12954" s="3" t="s">
        <v>558</v>
      </c>
      <c r="C12954" s="33" t="n">
        <f aca="false">Assumptions!$Q$59</f>
        <v>0.021</v>
      </c>
    </row>
    <row r="12955" customFormat="false" ht="15" hidden="false" customHeight="false" outlineLevel="0" collapsed="false">
      <c r="A12955" s="3" t="s">
        <v>559</v>
      </c>
      <c r="C12955" s="33" t="n">
        <f aca="false">Assumptions!$Q$60</f>
        <v>0</v>
      </c>
    </row>
    <row r="12956" customFormat="false" ht="15" hidden="false" customHeight="false" outlineLevel="0" collapsed="false">
      <c r="A12956" s="3" t="s">
        <v>560</v>
      </c>
      <c r="C12956" s="33" t="n">
        <f aca="false">Assumptions!$Q$61</f>
        <v>0</v>
      </c>
    </row>
    <row r="12957" customFormat="false" ht="15" hidden="false" customHeight="false" outlineLevel="0" collapsed="false">
      <c r="A12957" s="3" t="s">
        <v>561</v>
      </c>
      <c r="C12957" s="33" t="n">
        <f aca="false">Assumptions!$Q$62</f>
        <v>0</v>
      </c>
    </row>
    <row r="12958" customFormat="false" ht="15" hidden="false" customHeight="false" outlineLevel="0" collapsed="false">
      <c r="A12958" s="3" t="s">
        <v>562</v>
      </c>
      <c r="C12958" s="33" t="n">
        <f aca="false">Assumptions!$Q$63</f>
        <v>0</v>
      </c>
    </row>
    <row r="12959" customFormat="false" ht="15" hidden="false" customHeight="false" outlineLevel="0" collapsed="false">
      <c r="A12959" s="3" t="s">
        <v>563</v>
      </c>
      <c r="C12959" s="33" t="n">
        <f aca="false">Assumptions!$Q$64</f>
        <v>0</v>
      </c>
    </row>
    <row r="12960" customFormat="false" ht="15" hidden="false" customHeight="false" outlineLevel="0" collapsed="false">
      <c r="A12960" s="3" t="s">
        <v>564</v>
      </c>
      <c r="C12960" s="33" t="n">
        <f aca="false">Assumptions!$Q$65</f>
        <v>0</v>
      </c>
    </row>
    <row r="12961" customFormat="false" ht="15" hidden="false" customHeight="false" outlineLevel="0" collapsed="false">
      <c r="A12961" s="3" t="s">
        <v>565</v>
      </c>
      <c r="C12961" s="33" t="n">
        <f aca="false">Assumptions!$Q$66</f>
        <v>0</v>
      </c>
    </row>
    <row r="12962" customFormat="false" ht="15" hidden="false" customHeight="false" outlineLevel="0" collapsed="false">
      <c r="A12962" s="24" t="s">
        <v>568</v>
      </c>
      <c r="B12962" s="25"/>
      <c r="C12962" s="25"/>
      <c r="D12962" s="25"/>
      <c r="E12962" s="25"/>
      <c r="F12962" s="25"/>
      <c r="G12962" s="25"/>
      <c r="H12962" s="25"/>
      <c r="I12962" s="25"/>
      <c r="J12962" s="25"/>
      <c r="K12962" s="25"/>
    </row>
    <row r="12963" customFormat="false" ht="15" hidden="false" customHeight="false" outlineLevel="0" collapsed="false">
      <c r="A12963" s="3" t="s">
        <v>556</v>
      </c>
      <c r="C12963" s="16" t="n">
        <f aca="false">IF(C12952&gt;0,MIN(C12930,C12952*$C$12928),0)</f>
        <v>388</v>
      </c>
    </row>
    <row r="12964" customFormat="false" ht="15" hidden="false" customHeight="false" outlineLevel="0" collapsed="false">
      <c r="A12964" s="3" t="s">
        <v>557</v>
      </c>
      <c r="C12964" s="16" t="n">
        <f aca="false">IF(C12953&gt;0,MIN(C12931,C12953*$C$12928),0)</f>
        <v>90</v>
      </c>
    </row>
    <row r="12965" customFormat="false" ht="15" hidden="false" customHeight="false" outlineLevel="0" collapsed="false">
      <c r="A12965" s="3" t="s">
        <v>558</v>
      </c>
      <c r="C12965" s="16" t="n">
        <f aca="false">IF(C12954&gt;0,MIN(C12932,C12954*$C$12928),0)</f>
        <v>57.324</v>
      </c>
    </row>
    <row r="12966" customFormat="false" ht="15" hidden="false" customHeight="false" outlineLevel="0" collapsed="false">
      <c r="A12966" s="3" t="s">
        <v>559</v>
      </c>
      <c r="C12966" s="16" t="n">
        <f aca="false">IF(C12955&gt;0,MIN(C12933,C12955*$C$12928),0)</f>
        <v>0</v>
      </c>
    </row>
    <row r="12967" customFormat="false" ht="15" hidden="false" customHeight="false" outlineLevel="0" collapsed="false">
      <c r="A12967" s="3" t="s">
        <v>560</v>
      </c>
      <c r="C12967" s="16" t="n">
        <f aca="false">IF(C12956&gt;0,MIN(C12934,C12956*$C$12928),0)</f>
        <v>0</v>
      </c>
    </row>
    <row r="12968" customFormat="false" ht="15" hidden="false" customHeight="false" outlineLevel="0" collapsed="false">
      <c r="A12968" s="3" t="s">
        <v>561</v>
      </c>
      <c r="C12968" s="16" t="n">
        <f aca="false">IF(C12957&gt;0,MIN(C12935,C12957*$C$12928),0)</f>
        <v>0</v>
      </c>
    </row>
    <row r="12969" customFormat="false" ht="15" hidden="false" customHeight="false" outlineLevel="0" collapsed="false">
      <c r="A12969" s="3" t="s">
        <v>562</v>
      </c>
      <c r="C12969" s="16" t="n">
        <f aca="false">IF(C12958&gt;0,MIN(C12936,C12958*$C$12928),0)</f>
        <v>0</v>
      </c>
    </row>
    <row r="12970" customFormat="false" ht="15" hidden="false" customHeight="false" outlineLevel="0" collapsed="false">
      <c r="A12970" s="3" t="s">
        <v>563</v>
      </c>
      <c r="C12970" s="16" t="n">
        <f aca="false">IF(C12959&gt;0,MIN(C12937,C12959*$C$12928),0)</f>
        <v>0</v>
      </c>
    </row>
    <row r="12971" customFormat="false" ht="15" hidden="false" customHeight="false" outlineLevel="0" collapsed="false">
      <c r="A12971" s="3" t="s">
        <v>564</v>
      </c>
      <c r="C12971" s="16" t="n">
        <f aca="false">IF(C12960&gt;0,MIN(C12938,C12960*$C$12928),0)</f>
        <v>0</v>
      </c>
    </row>
    <row r="12972" customFormat="false" ht="15" hidden="false" customHeight="false" outlineLevel="0" collapsed="false">
      <c r="A12972" s="3" t="s">
        <v>565</v>
      </c>
      <c r="C12972" s="16" t="n">
        <f aca="false">IF(C12961&gt;0,MIN(C12939,C12961*$C$12928),0)</f>
        <v>0</v>
      </c>
    </row>
    <row r="12973" customFormat="false" ht="15" hidden="false" customHeight="false" outlineLevel="0" collapsed="false">
      <c r="A12973" s="24" t="s">
        <v>569</v>
      </c>
      <c r="B12973" s="25"/>
      <c r="C12973" s="25"/>
      <c r="D12973" s="25"/>
      <c r="E12973" s="25"/>
      <c r="F12973" s="25"/>
      <c r="G12973" s="25"/>
      <c r="H12973" s="25"/>
      <c r="I12973" s="25"/>
      <c r="J12973" s="25"/>
      <c r="K12973" s="25"/>
    </row>
    <row r="12974" customFormat="false" ht="15" hidden="false" customHeight="false" outlineLevel="0" collapsed="false">
      <c r="A12974" s="3" t="s">
        <v>556</v>
      </c>
      <c r="C12974" s="16" t="n">
        <f aca="false">IF(C12952&gt;0,C12930-C12963,0)</f>
        <v>0</v>
      </c>
    </row>
    <row r="12975" customFormat="false" ht="15" hidden="false" customHeight="false" outlineLevel="0" collapsed="false">
      <c r="A12975" s="3" t="s">
        <v>557</v>
      </c>
      <c r="C12975" s="16" t="n">
        <f aca="false">IF(C12953&gt;0,C12931-C12964,0)</f>
        <v>0</v>
      </c>
    </row>
    <row r="12976" customFormat="false" ht="15" hidden="false" customHeight="false" outlineLevel="0" collapsed="false">
      <c r="A12976" s="3" t="s">
        <v>558</v>
      </c>
      <c r="C12976" s="16" t="n">
        <f aca="false">IF(C12954&gt;0,C12932-C12965,0)</f>
        <v>0</v>
      </c>
    </row>
    <row r="12977" customFormat="false" ht="15" hidden="false" customHeight="false" outlineLevel="0" collapsed="false">
      <c r="A12977" s="3" t="s">
        <v>559</v>
      </c>
      <c r="C12977" s="16" t="n">
        <f aca="false">IF(C12955&gt;0,C12933-C12966,0)</f>
        <v>0</v>
      </c>
    </row>
    <row r="12978" customFormat="false" ht="15" hidden="false" customHeight="false" outlineLevel="0" collapsed="false">
      <c r="A12978" s="3" t="s">
        <v>560</v>
      </c>
      <c r="C12978" s="16" t="n">
        <f aca="false">IF(C12956&gt;0,C12934-C12967,0)</f>
        <v>0</v>
      </c>
    </row>
    <row r="12979" customFormat="false" ht="15" hidden="false" customHeight="false" outlineLevel="0" collapsed="false">
      <c r="A12979" s="3" t="s">
        <v>561</v>
      </c>
      <c r="C12979" s="16" t="n">
        <f aca="false">IF(C12957&gt;0,C12935-C12968,0)</f>
        <v>0</v>
      </c>
    </row>
    <row r="12980" customFormat="false" ht="15" hidden="false" customHeight="false" outlineLevel="0" collapsed="false">
      <c r="A12980" s="3" t="s">
        <v>562</v>
      </c>
      <c r="C12980" s="16" t="n">
        <f aca="false">IF(C12958&gt;0,C12936-C12969,0)</f>
        <v>0</v>
      </c>
    </row>
    <row r="12981" customFormat="false" ht="15" hidden="false" customHeight="false" outlineLevel="0" collapsed="false">
      <c r="A12981" s="3" t="s">
        <v>563</v>
      </c>
      <c r="C12981" s="16" t="n">
        <f aca="false">IF(C12959&gt;0,C12937-C12970,0)</f>
        <v>0</v>
      </c>
    </row>
    <row r="12982" customFormat="false" ht="15" hidden="false" customHeight="false" outlineLevel="0" collapsed="false">
      <c r="A12982" s="3" t="s">
        <v>564</v>
      </c>
      <c r="C12982" s="16" t="n">
        <f aca="false">IF(C12960&gt;0,C12938-C12971,0)</f>
        <v>0</v>
      </c>
    </row>
    <row r="12983" customFormat="false" ht="15" hidden="false" customHeight="false" outlineLevel="0" collapsed="false">
      <c r="A12983" s="3" t="s">
        <v>565</v>
      </c>
      <c r="C12983" s="16" t="n">
        <f aca="false">IF(C12961&gt;0,C12939-C12972,0)</f>
        <v>0</v>
      </c>
    </row>
    <row r="12984" customFormat="false" ht="15" hidden="false" customHeight="false" outlineLevel="0" collapsed="false">
      <c r="A12984" s="24" t="s">
        <v>570</v>
      </c>
      <c r="B12984" s="25"/>
      <c r="C12984" s="25"/>
      <c r="D12984" s="25"/>
      <c r="E12984" s="25"/>
      <c r="F12984" s="25"/>
      <c r="G12984" s="25"/>
      <c r="H12984" s="25"/>
      <c r="I12984" s="25"/>
      <c r="J12984" s="25"/>
      <c r="K12984" s="25"/>
    </row>
    <row r="12985" customFormat="false" ht="15" hidden="false" customHeight="false" outlineLevel="0" collapsed="false">
      <c r="A12985" s="3" t="s">
        <v>556</v>
      </c>
      <c r="C12985" s="16" t="n">
        <f aca="false">IF(C12952&gt;0,C12974,C12930)</f>
        <v>0</v>
      </c>
    </row>
    <row r="12986" customFormat="false" ht="15" hidden="false" customHeight="false" outlineLevel="0" collapsed="false">
      <c r="A12986" s="3" t="s">
        <v>557</v>
      </c>
      <c r="C12986" s="16" t="n">
        <f aca="false">IF(C12953&gt;0,C12975,C12931)</f>
        <v>0</v>
      </c>
    </row>
    <row r="12987" customFormat="false" ht="15" hidden="false" customHeight="false" outlineLevel="0" collapsed="false">
      <c r="A12987" s="3" t="s">
        <v>558</v>
      </c>
      <c r="C12987" s="16" t="n">
        <f aca="false">IF(C12954&gt;0,C12976,C12932)</f>
        <v>0</v>
      </c>
    </row>
    <row r="12988" customFormat="false" ht="15" hidden="false" customHeight="false" outlineLevel="0" collapsed="false">
      <c r="A12988" s="3" t="s">
        <v>559</v>
      </c>
      <c r="C12988" s="16" t="n">
        <f aca="false">IF(C12955&gt;0,C12977,C12933)</f>
        <v>82.716661956296</v>
      </c>
    </row>
    <row r="12989" customFormat="false" ht="15" hidden="false" customHeight="false" outlineLevel="0" collapsed="false">
      <c r="A12989" s="3" t="s">
        <v>560</v>
      </c>
      <c r="C12989" s="16" t="n">
        <f aca="false">IF(C12956&gt;0,C12978,C12934)</f>
        <v>422.5169094548</v>
      </c>
    </row>
    <row r="12990" customFormat="false" ht="15" hidden="false" customHeight="false" outlineLevel="0" collapsed="false">
      <c r="A12990" s="3" t="s">
        <v>561</v>
      </c>
      <c r="C12990" s="16" t="n">
        <f aca="false">IF(C12957&gt;0,C12979,C12935)</f>
        <v>350</v>
      </c>
    </row>
    <row r="12991" customFormat="false" ht="15" hidden="false" customHeight="false" outlineLevel="0" collapsed="false">
      <c r="A12991" s="3" t="s">
        <v>562</v>
      </c>
      <c r="C12991" s="16" t="n">
        <f aca="false">IF(C12958&gt;0,C12980,C12936)</f>
        <v>550</v>
      </c>
    </row>
    <row r="12992" customFormat="false" ht="15" hidden="false" customHeight="false" outlineLevel="0" collapsed="false">
      <c r="A12992" s="3" t="s">
        <v>563</v>
      </c>
      <c r="C12992" s="16" t="n">
        <f aca="false">IF(C12959&gt;0,C12981,C12937)</f>
        <v>350</v>
      </c>
    </row>
    <row r="12993" customFormat="false" ht="15" hidden="false" customHeight="false" outlineLevel="0" collapsed="false">
      <c r="A12993" s="3" t="s">
        <v>564</v>
      </c>
      <c r="C12993" s="16" t="n">
        <f aca="false">IF(C12960&gt;0,C12982,C12938)</f>
        <v>300</v>
      </c>
    </row>
    <row r="12994" customFormat="false" ht="15" hidden="false" customHeight="false" outlineLevel="0" collapsed="false">
      <c r="A12994" s="3" t="s">
        <v>565</v>
      </c>
      <c r="C12994" s="16" t="n">
        <f aca="false">IF(C12961&gt;0,C12983,C12939)</f>
        <v>78.61</v>
      </c>
    </row>
    <row r="12995" customFormat="false" ht="15" hidden="false" customHeight="false" outlineLevel="0" collapsed="false">
      <c r="A12995" s="24" t="s">
        <v>571</v>
      </c>
      <c r="B12995" s="25"/>
      <c r="C12995" s="25"/>
      <c r="D12995" s="25"/>
      <c r="E12995" s="25"/>
      <c r="F12995" s="25"/>
      <c r="G12995" s="25"/>
      <c r="H12995" s="25"/>
      <c r="I12995" s="25"/>
      <c r="J12995" s="25"/>
      <c r="K12995" s="25"/>
    </row>
    <row r="12996" customFormat="false" ht="15" hidden="false" customHeight="false" outlineLevel="0" collapsed="false">
      <c r="A12996" s="3" t="s">
        <v>556</v>
      </c>
      <c r="C12996" s="21" t="n">
        <f aca="false">IF(C12952&gt;0,Assumptions!$C$17,C12941)</f>
        <v>99</v>
      </c>
    </row>
    <row r="12997" customFormat="false" ht="15" hidden="false" customHeight="false" outlineLevel="0" collapsed="false">
      <c r="A12997" s="3" t="s">
        <v>557</v>
      </c>
      <c r="C12997" s="21" t="n">
        <f aca="false">IF(C12953&gt;0,Assumptions!$C$17,C12942)</f>
        <v>99</v>
      </c>
    </row>
    <row r="12998" customFormat="false" ht="15" hidden="false" customHeight="false" outlineLevel="0" collapsed="false">
      <c r="A12998" s="3" t="s">
        <v>558</v>
      </c>
      <c r="C12998" s="21" t="n">
        <f aca="false">IF(C12954&gt;0,Assumptions!$C$17,C12943)</f>
        <v>99</v>
      </c>
    </row>
    <row r="12999" customFormat="false" ht="15" hidden="false" customHeight="false" outlineLevel="0" collapsed="false">
      <c r="A12999" s="3" t="s">
        <v>559</v>
      </c>
      <c r="C12999" s="21" t="n">
        <f aca="false">IF(C12955&gt;0,Assumptions!$C$17,C12944)</f>
        <v>2</v>
      </c>
    </row>
    <row r="13000" customFormat="false" ht="15" hidden="false" customHeight="false" outlineLevel="0" collapsed="false">
      <c r="A13000" s="3" t="s">
        <v>560</v>
      </c>
      <c r="C13000" s="21" t="n">
        <f aca="false">IF(C12956&gt;0,Assumptions!$C$17,C12945)</f>
        <v>2</v>
      </c>
    </row>
    <row r="13001" customFormat="false" ht="15" hidden="false" customHeight="false" outlineLevel="0" collapsed="false">
      <c r="A13001" s="3" t="s">
        <v>561</v>
      </c>
      <c r="C13001" s="21" t="n">
        <f aca="false">IF(C12957&gt;0,Assumptions!$C$17,C12946)</f>
        <v>2</v>
      </c>
    </row>
    <row r="13002" customFormat="false" ht="15" hidden="false" customHeight="false" outlineLevel="0" collapsed="false">
      <c r="A13002" s="3" t="s">
        <v>562</v>
      </c>
      <c r="C13002" s="21" t="n">
        <f aca="false">IF(C12958&gt;0,Assumptions!$C$17,C12947)</f>
        <v>2</v>
      </c>
    </row>
    <row r="13003" customFormat="false" ht="15" hidden="false" customHeight="false" outlineLevel="0" collapsed="false">
      <c r="A13003" s="3" t="s">
        <v>563</v>
      </c>
      <c r="C13003" s="21" t="n">
        <f aca="false">IF(C12959&gt;0,Assumptions!$C$17,C12948)</f>
        <v>2</v>
      </c>
    </row>
    <row r="13004" customFormat="false" ht="15" hidden="false" customHeight="false" outlineLevel="0" collapsed="false">
      <c r="A13004" s="3" t="s">
        <v>564</v>
      </c>
      <c r="C13004" s="21" t="n">
        <f aca="false">IF(C12960&gt;0,Assumptions!$C$17,C12949)</f>
        <v>2</v>
      </c>
    </row>
    <row r="13005" customFormat="false" ht="15" hidden="false" customHeight="false" outlineLevel="0" collapsed="false">
      <c r="A13005" s="3" t="s">
        <v>565</v>
      </c>
      <c r="C13005" s="21" t="n">
        <f aca="false">IF(C12961&gt;0,Assumptions!$C$17,C12950)</f>
        <v>3</v>
      </c>
    </row>
    <row r="13006" customFormat="false" ht="15" hidden="false" customHeight="false" outlineLevel="0" collapsed="false">
      <c r="A13006" s="24" t="s">
        <v>572</v>
      </c>
      <c r="B13006" s="25"/>
      <c r="C13006" s="25"/>
      <c r="D13006" s="25"/>
      <c r="E13006" s="25"/>
      <c r="F13006" s="25"/>
      <c r="G13006" s="25"/>
      <c r="H13006" s="25"/>
      <c r="I13006" s="25"/>
      <c r="J13006" s="25"/>
      <c r="K13006" s="25"/>
    </row>
    <row r="13007" customFormat="false" ht="15" hidden="false" customHeight="false" outlineLevel="0" collapsed="false">
      <c r="A13007" s="3" t="s">
        <v>556</v>
      </c>
      <c r="C13007" s="16" t="n">
        <f aca="false">SUMPRODUCT(($C$12996:$C$13005&lt;C12996)*$C$12985:$C$12994)</f>
        <v>2133.8435714111</v>
      </c>
    </row>
    <row r="13008" customFormat="false" ht="15" hidden="false" customHeight="false" outlineLevel="0" collapsed="false">
      <c r="A13008" s="3" t="s">
        <v>557</v>
      </c>
      <c r="C13008" s="16" t="n">
        <f aca="false">SUMPRODUCT(($C$12996:$C$13005&lt;C12997)*$C$12985:$C$12994)</f>
        <v>2133.8435714111</v>
      </c>
    </row>
    <row r="13009" customFormat="false" ht="15" hidden="false" customHeight="false" outlineLevel="0" collapsed="false">
      <c r="A13009" s="3" t="s">
        <v>558</v>
      </c>
      <c r="C13009" s="16" t="n">
        <f aca="false">SUMPRODUCT(($C$12996:$C$13005&lt;C12998)*$C$12985:$C$12994)</f>
        <v>2133.8435714111</v>
      </c>
    </row>
    <row r="13010" customFormat="false" ht="15" hidden="false" customHeight="false" outlineLevel="0" collapsed="false">
      <c r="A13010" s="3" t="s">
        <v>559</v>
      </c>
      <c r="C13010" s="16" t="n">
        <f aca="false">SUMPRODUCT(($C$12996:$C$13005&lt;C12999)*$C$12985:$C$12994)</f>
        <v>0</v>
      </c>
    </row>
    <row r="13011" customFormat="false" ht="15" hidden="false" customHeight="false" outlineLevel="0" collapsed="false">
      <c r="A13011" s="3" t="s">
        <v>560</v>
      </c>
      <c r="C13011" s="16" t="n">
        <f aca="false">SUMPRODUCT(($C$12996:$C$13005&lt;C13000)*$C$12985:$C$12994)</f>
        <v>0</v>
      </c>
    </row>
    <row r="13012" customFormat="false" ht="15" hidden="false" customHeight="false" outlineLevel="0" collapsed="false">
      <c r="A13012" s="3" t="s">
        <v>561</v>
      </c>
      <c r="C13012" s="16" t="n">
        <f aca="false">SUMPRODUCT(($C$12996:$C$13005&lt;C13001)*$C$12985:$C$12994)</f>
        <v>0</v>
      </c>
    </row>
    <row r="13013" customFormat="false" ht="15" hidden="false" customHeight="false" outlineLevel="0" collapsed="false">
      <c r="A13013" s="3" t="s">
        <v>562</v>
      </c>
      <c r="C13013" s="16" t="n">
        <f aca="false">SUMPRODUCT(($C$12996:$C$13005&lt;C13002)*$C$12985:$C$12994)</f>
        <v>0</v>
      </c>
    </row>
    <row r="13014" customFormat="false" ht="15" hidden="false" customHeight="false" outlineLevel="0" collapsed="false">
      <c r="A13014" s="3" t="s">
        <v>563</v>
      </c>
      <c r="C13014" s="16" t="n">
        <f aca="false">SUMPRODUCT(($C$12996:$C$13005&lt;C13003)*$C$12985:$C$12994)</f>
        <v>0</v>
      </c>
    </row>
    <row r="13015" customFormat="false" ht="15" hidden="false" customHeight="false" outlineLevel="0" collapsed="false">
      <c r="A13015" s="3" t="s">
        <v>564</v>
      </c>
      <c r="C13015" s="16" t="n">
        <f aca="false">SUMPRODUCT(($C$12996:$C$13005&lt;C13004)*$C$12985:$C$12994)</f>
        <v>0</v>
      </c>
    </row>
    <row r="13016" customFormat="false" ht="15" hidden="false" customHeight="false" outlineLevel="0" collapsed="false">
      <c r="A13016" s="3" t="s">
        <v>565</v>
      </c>
      <c r="C13016" s="16" t="n">
        <f aca="false">SUMPRODUCT(($C$12996:$C$13005&lt;C13005)*$C$12985:$C$12994)</f>
        <v>2055.2335714111</v>
      </c>
    </row>
    <row r="13017" customFormat="false" ht="15" hidden="false" customHeight="false" outlineLevel="0" collapsed="false">
      <c r="A13017" s="24" t="s">
        <v>573</v>
      </c>
      <c r="B13017" s="25"/>
      <c r="C13017" s="25"/>
      <c r="D13017" s="25"/>
      <c r="E13017" s="25"/>
      <c r="F13017" s="25"/>
      <c r="G13017" s="25"/>
      <c r="H13017" s="25"/>
      <c r="I13017" s="25"/>
      <c r="J13017" s="25"/>
      <c r="K13017" s="25"/>
    </row>
    <row r="13018" customFormat="false" ht="15" hidden="false" customHeight="false" outlineLevel="0" collapsed="false">
      <c r="A13018" s="3" t="s">
        <v>556</v>
      </c>
      <c r="C13018" s="16" t="n">
        <f aca="false">SUMPRODUCT(($C$12996:$C$13005=C12996)*$C$12985:$C$12994)</f>
        <v>0</v>
      </c>
    </row>
    <row r="13019" customFormat="false" ht="15" hidden="false" customHeight="false" outlineLevel="0" collapsed="false">
      <c r="A13019" s="3" t="s">
        <v>557</v>
      </c>
      <c r="C13019" s="16" t="n">
        <f aca="false">SUMPRODUCT(($C$12996:$C$13005=C12997)*$C$12985:$C$12994)</f>
        <v>0</v>
      </c>
    </row>
    <row r="13020" customFormat="false" ht="15" hidden="false" customHeight="false" outlineLevel="0" collapsed="false">
      <c r="A13020" s="3" t="s">
        <v>558</v>
      </c>
      <c r="C13020" s="16" t="n">
        <f aca="false">SUMPRODUCT(($C$12996:$C$13005=C12998)*$C$12985:$C$12994)</f>
        <v>0</v>
      </c>
    </row>
    <row r="13021" customFormat="false" ht="15" hidden="false" customHeight="false" outlineLevel="0" collapsed="false">
      <c r="A13021" s="3" t="s">
        <v>559</v>
      </c>
      <c r="C13021" s="16" t="n">
        <f aca="false">SUMPRODUCT(($C$12996:$C$13005=C12999)*$C$12985:$C$12994)</f>
        <v>2055.2335714111</v>
      </c>
    </row>
    <row r="13022" customFormat="false" ht="15" hidden="false" customHeight="false" outlineLevel="0" collapsed="false">
      <c r="A13022" s="3" t="s">
        <v>560</v>
      </c>
      <c r="C13022" s="16" t="n">
        <f aca="false">SUMPRODUCT(($C$12996:$C$13005=C13000)*$C$12985:$C$12994)</f>
        <v>2055.2335714111</v>
      </c>
    </row>
    <row r="13023" customFormat="false" ht="15" hidden="false" customHeight="false" outlineLevel="0" collapsed="false">
      <c r="A13023" s="3" t="s">
        <v>561</v>
      </c>
      <c r="C13023" s="16" t="n">
        <f aca="false">SUMPRODUCT(($C$12996:$C$13005=C13001)*$C$12985:$C$12994)</f>
        <v>2055.2335714111</v>
      </c>
    </row>
    <row r="13024" customFormat="false" ht="15" hidden="false" customHeight="false" outlineLevel="0" collapsed="false">
      <c r="A13024" s="3" t="s">
        <v>562</v>
      </c>
      <c r="C13024" s="16" t="n">
        <f aca="false">SUMPRODUCT(($C$12996:$C$13005=C13002)*$C$12985:$C$12994)</f>
        <v>2055.2335714111</v>
      </c>
    </row>
    <row r="13025" customFormat="false" ht="15" hidden="false" customHeight="false" outlineLevel="0" collapsed="false">
      <c r="A13025" s="3" t="s">
        <v>563</v>
      </c>
      <c r="C13025" s="16" t="n">
        <f aca="false">SUMPRODUCT(($C$12996:$C$13005=C13003)*$C$12985:$C$12994)</f>
        <v>2055.2335714111</v>
      </c>
    </row>
    <row r="13026" customFormat="false" ht="15" hidden="false" customHeight="false" outlineLevel="0" collapsed="false">
      <c r="A13026" s="3" t="s">
        <v>564</v>
      </c>
      <c r="C13026" s="16" t="n">
        <f aca="false">SUMPRODUCT(($C$12996:$C$13005=C13004)*$C$12985:$C$12994)</f>
        <v>2055.2335714111</v>
      </c>
    </row>
    <row r="13027" customFormat="false" ht="15" hidden="false" customHeight="false" outlineLevel="0" collapsed="false">
      <c r="A13027" s="3" t="s">
        <v>565</v>
      </c>
      <c r="C13027" s="16" t="n">
        <f aca="false">SUMPRODUCT(($C$12996:$C$13005=C13005)*$C$12985:$C$12994)</f>
        <v>78.61</v>
      </c>
    </row>
    <row r="13028" customFormat="false" ht="15" hidden="false" customHeight="false" outlineLevel="0" collapsed="false">
      <c r="A13028" s="24" t="s">
        <v>574</v>
      </c>
      <c r="B13028" s="25"/>
      <c r="C13028" s="25"/>
      <c r="D13028" s="25"/>
      <c r="E13028" s="25"/>
      <c r="F13028" s="25"/>
      <c r="G13028" s="25"/>
      <c r="H13028" s="25"/>
      <c r="I13028" s="25"/>
      <c r="J13028" s="25"/>
      <c r="K13028" s="25"/>
    </row>
    <row r="13029" customFormat="false" ht="15" hidden="false" customHeight="false" outlineLevel="0" collapsed="false">
      <c r="A13029" s="3" t="s">
        <v>556</v>
      </c>
      <c r="C13029" s="16" t="n">
        <f aca="false">IF(C13018=0,0,C12985/C13018*MAX(0,MIN(C13018,$C$12928-SUM($C$12963:$C$12972)-C13007)))</f>
        <v>0</v>
      </c>
    </row>
    <row r="13030" customFormat="false" ht="15" hidden="false" customHeight="false" outlineLevel="0" collapsed="false">
      <c r="A13030" s="3" t="s">
        <v>557</v>
      </c>
      <c r="C13030" s="16" t="n">
        <f aca="false">IF(C13019=0,0,C12986/C13019*MAX(0,MIN(C13019,$C$12928-SUM($C$12963:$C$12972)-C13008)))</f>
        <v>0</v>
      </c>
    </row>
    <row r="13031" customFormat="false" ht="15" hidden="false" customHeight="false" outlineLevel="0" collapsed="false">
      <c r="A13031" s="3" t="s">
        <v>558</v>
      </c>
      <c r="C13031" s="16" t="n">
        <f aca="false">IF(C13020=0,0,C12987/C13020*MAX(0,MIN(C13020,$C$12928-SUM($C$12963:$C$12972)-C13009)))</f>
        <v>0</v>
      </c>
    </row>
    <row r="13032" customFormat="false" ht="15" hidden="false" customHeight="false" outlineLevel="0" collapsed="false">
      <c r="A13032" s="3" t="s">
        <v>559</v>
      </c>
      <c r="C13032" s="16" t="n">
        <f aca="false">IF(C13021=0,0,C12988/C13021*MAX(0,MIN(C13021,$C$12928-SUM($C$12963:$C$12972)-C13010)))</f>
        <v>82.716661956296</v>
      </c>
    </row>
    <row r="13033" customFormat="false" ht="15" hidden="false" customHeight="false" outlineLevel="0" collapsed="false">
      <c r="A13033" s="3" t="s">
        <v>560</v>
      </c>
      <c r="C13033" s="16" t="n">
        <f aca="false">IF(C13022=0,0,C12989/C13022*MAX(0,MIN(C13022,$C$12928-SUM($C$12963:$C$12972)-C13011)))</f>
        <v>422.5169094548</v>
      </c>
    </row>
    <row r="13034" customFormat="false" ht="15" hidden="false" customHeight="false" outlineLevel="0" collapsed="false">
      <c r="A13034" s="3" t="s">
        <v>561</v>
      </c>
      <c r="C13034" s="16" t="n">
        <f aca="false">IF(C13023=0,0,C12990/C13023*MAX(0,MIN(C13023,$C$12928-SUM($C$12963:$C$12972)-C13012)))</f>
        <v>350</v>
      </c>
    </row>
    <row r="13035" customFormat="false" ht="15" hidden="false" customHeight="false" outlineLevel="0" collapsed="false">
      <c r="A13035" s="3" t="s">
        <v>562</v>
      </c>
      <c r="C13035" s="16" t="n">
        <f aca="false">IF(C13024=0,0,C12991/C13024*MAX(0,MIN(C13024,$C$12928-SUM($C$12963:$C$12972)-C13013)))</f>
        <v>550</v>
      </c>
    </row>
    <row r="13036" customFormat="false" ht="15" hidden="false" customHeight="false" outlineLevel="0" collapsed="false">
      <c r="A13036" s="3" t="s">
        <v>563</v>
      </c>
      <c r="C13036" s="16" t="n">
        <f aca="false">IF(C13025=0,0,C12992/C13025*MAX(0,MIN(C13025,$C$12928-SUM($C$12963:$C$12972)-C13014)))</f>
        <v>350</v>
      </c>
    </row>
    <row r="13037" customFormat="false" ht="15" hidden="false" customHeight="false" outlineLevel="0" collapsed="false">
      <c r="A13037" s="3" t="s">
        <v>564</v>
      </c>
      <c r="C13037" s="16" t="n">
        <f aca="false">IF(C13026=0,0,C12993/C13026*MAX(0,MIN(C13026,$C$12928-SUM($C$12963:$C$12972)-C13015)))</f>
        <v>300</v>
      </c>
    </row>
    <row r="13038" customFormat="false" ht="15" hidden="false" customHeight="false" outlineLevel="0" collapsed="false">
      <c r="A13038" s="3" t="s">
        <v>565</v>
      </c>
      <c r="C13038" s="16" t="n">
        <f aca="false">IF(C13027=0,0,C12994/C13027*MAX(0,MIN(C13027,$C$12928-SUM($C$12963:$C$12972)-C13016)))</f>
        <v>78.61</v>
      </c>
    </row>
    <row r="13039" customFormat="false" ht="15" hidden="false" customHeight="false" outlineLevel="0" collapsed="false">
      <c r="A13039" s="24" t="s">
        <v>575</v>
      </c>
      <c r="B13039" s="25"/>
      <c r="C13039" s="25"/>
      <c r="D13039" s="25"/>
      <c r="E13039" s="25"/>
      <c r="F13039" s="25"/>
      <c r="G13039" s="25"/>
      <c r="H13039" s="25"/>
      <c r="I13039" s="25"/>
      <c r="J13039" s="25"/>
      <c r="K13039" s="25"/>
    </row>
    <row r="13040" customFormat="false" ht="15" hidden="false" customHeight="false" outlineLevel="0" collapsed="false">
      <c r="A13040" s="2" t="s">
        <v>556</v>
      </c>
      <c r="C13040" s="17" t="n">
        <f aca="false">C12963+C13029</f>
        <v>388</v>
      </c>
    </row>
    <row r="13041" customFormat="false" ht="15" hidden="false" customHeight="false" outlineLevel="0" collapsed="false">
      <c r="A13041" s="2" t="s">
        <v>557</v>
      </c>
      <c r="C13041" s="17" t="n">
        <f aca="false">C12964+C13030</f>
        <v>90</v>
      </c>
    </row>
    <row r="13042" customFormat="false" ht="15" hidden="false" customHeight="false" outlineLevel="0" collapsed="false">
      <c r="A13042" s="2" t="s">
        <v>558</v>
      </c>
      <c r="C13042" s="17" t="n">
        <f aca="false">C12965+C13031</f>
        <v>57.324</v>
      </c>
    </row>
    <row r="13043" customFormat="false" ht="15" hidden="false" customHeight="false" outlineLevel="0" collapsed="false">
      <c r="A13043" s="2" t="s">
        <v>559</v>
      </c>
      <c r="C13043" s="17" t="n">
        <f aca="false">C12966+C13032</f>
        <v>82.716661956296</v>
      </c>
    </row>
    <row r="13044" customFormat="false" ht="15" hidden="false" customHeight="false" outlineLevel="0" collapsed="false">
      <c r="A13044" s="2" t="s">
        <v>560</v>
      </c>
      <c r="C13044" s="17" t="n">
        <f aca="false">C12967+C13033</f>
        <v>422.5169094548</v>
      </c>
    </row>
    <row r="13045" customFormat="false" ht="15" hidden="false" customHeight="false" outlineLevel="0" collapsed="false">
      <c r="A13045" s="2" t="s">
        <v>561</v>
      </c>
      <c r="C13045" s="17" t="n">
        <f aca="false">C12968+C13034</f>
        <v>350</v>
      </c>
    </row>
    <row r="13046" customFormat="false" ht="15" hidden="false" customHeight="false" outlineLevel="0" collapsed="false">
      <c r="A13046" s="2" t="s">
        <v>562</v>
      </c>
      <c r="C13046" s="17" t="n">
        <f aca="false">C12969+C13035</f>
        <v>550</v>
      </c>
    </row>
    <row r="13047" customFormat="false" ht="15" hidden="false" customHeight="false" outlineLevel="0" collapsed="false">
      <c r="A13047" s="2" t="s">
        <v>563</v>
      </c>
      <c r="C13047" s="17" t="n">
        <f aca="false">C12970+C13036</f>
        <v>350</v>
      </c>
    </row>
    <row r="13048" customFormat="false" ht="15" hidden="false" customHeight="false" outlineLevel="0" collapsed="false">
      <c r="A13048" s="2" t="s">
        <v>564</v>
      </c>
      <c r="C13048" s="17" t="n">
        <f aca="false">C12971+C13037</f>
        <v>300</v>
      </c>
    </row>
    <row r="13049" customFormat="false" ht="15" hidden="false" customHeight="false" outlineLevel="0" collapsed="false">
      <c r="A13049" s="2" t="s">
        <v>565</v>
      </c>
      <c r="C13049" s="17" t="n">
        <f aca="false">C12972+C13038</f>
        <v>78.61</v>
      </c>
    </row>
    <row r="13050" customFormat="false" ht="15" hidden="false" customHeight="false" outlineLevel="0" collapsed="false">
      <c r="A13050" s="24" t="s">
        <v>576</v>
      </c>
      <c r="B13050" s="25"/>
      <c r="C13050" s="25"/>
      <c r="D13050" s="25"/>
      <c r="E13050" s="25"/>
      <c r="F13050" s="25"/>
      <c r="G13050" s="25"/>
      <c r="H13050" s="25"/>
      <c r="I13050" s="25"/>
      <c r="J13050" s="25"/>
      <c r="K13050" s="25"/>
    </row>
    <row r="13051" customFormat="false" ht="15" hidden="false" customHeight="false" outlineLevel="0" collapsed="false">
      <c r="A13051" s="3" t="s">
        <v>556</v>
      </c>
      <c r="C13051" s="22" t="n">
        <f aca="false">IF(C12930=0,1,C13040/C12930)</f>
        <v>1</v>
      </c>
    </row>
    <row r="13052" customFormat="false" ht="15" hidden="false" customHeight="false" outlineLevel="0" collapsed="false">
      <c r="A13052" s="3" t="s">
        <v>557</v>
      </c>
      <c r="C13052" s="22" t="n">
        <f aca="false">IF(C12931=0,1,C13041/C12931)</f>
        <v>1</v>
      </c>
    </row>
    <row r="13053" customFormat="false" ht="15" hidden="false" customHeight="false" outlineLevel="0" collapsed="false">
      <c r="A13053" s="3" t="s">
        <v>558</v>
      </c>
      <c r="C13053" s="22" t="n">
        <f aca="false">IF(C12932=0,1,C13042/C12932)</f>
        <v>1</v>
      </c>
    </row>
    <row r="13054" customFormat="false" ht="15" hidden="false" customHeight="false" outlineLevel="0" collapsed="false">
      <c r="A13054" s="3" t="s">
        <v>559</v>
      </c>
      <c r="C13054" s="22" t="n">
        <f aca="false">IF(C12933=0,1,C13043/C12933)</f>
        <v>1</v>
      </c>
    </row>
    <row r="13055" customFormat="false" ht="15" hidden="false" customHeight="false" outlineLevel="0" collapsed="false">
      <c r="A13055" s="3" t="s">
        <v>560</v>
      </c>
      <c r="C13055" s="22" t="n">
        <f aca="false">IF(C12934=0,1,C13044/C12934)</f>
        <v>1</v>
      </c>
    </row>
    <row r="13056" customFormat="false" ht="15" hidden="false" customHeight="false" outlineLevel="0" collapsed="false">
      <c r="A13056" s="3" t="s">
        <v>561</v>
      </c>
      <c r="C13056" s="22" t="n">
        <f aca="false">IF(C12935=0,1,C13045/C12935)</f>
        <v>1</v>
      </c>
    </row>
    <row r="13057" customFormat="false" ht="15" hidden="false" customHeight="false" outlineLevel="0" collapsed="false">
      <c r="A13057" s="3" t="s">
        <v>562</v>
      </c>
      <c r="C13057" s="22" t="n">
        <f aca="false">IF(C12936=0,1,C13046/C12936)</f>
        <v>1</v>
      </c>
    </row>
    <row r="13058" customFormat="false" ht="15" hidden="false" customHeight="false" outlineLevel="0" collapsed="false">
      <c r="A13058" s="3" t="s">
        <v>563</v>
      </c>
      <c r="C13058" s="22" t="n">
        <f aca="false">IF(C12937=0,1,C13047/C12937)</f>
        <v>1</v>
      </c>
    </row>
    <row r="13059" customFormat="false" ht="15" hidden="false" customHeight="false" outlineLevel="0" collapsed="false">
      <c r="A13059" s="3" t="s">
        <v>564</v>
      </c>
      <c r="C13059" s="22" t="n">
        <f aca="false">IF(C12938=0,1,C13048/C12938)</f>
        <v>1</v>
      </c>
    </row>
    <row r="13060" customFormat="false" ht="15" hidden="false" customHeight="false" outlineLevel="0" collapsed="false">
      <c r="A13060" s="3" t="s">
        <v>565</v>
      </c>
      <c r="C13060" s="22" t="n">
        <f aca="false">IF(C12939=0,1,C13049/C12939)</f>
        <v>1</v>
      </c>
    </row>
    <row r="13061" customFormat="false" ht="15" hidden="false" customHeight="false" outlineLevel="0" collapsed="false">
      <c r="A13061" s="24" t="s">
        <v>577</v>
      </c>
      <c r="B13061" s="25"/>
      <c r="C13061" s="25"/>
      <c r="D13061" s="25"/>
      <c r="E13061" s="25"/>
      <c r="F13061" s="25"/>
      <c r="G13061" s="25"/>
      <c r="H13061" s="25"/>
      <c r="I13061" s="25"/>
      <c r="J13061" s="25"/>
      <c r="K13061" s="25"/>
    </row>
    <row r="13062" customFormat="false" ht="15" hidden="false" customHeight="false" outlineLevel="0" collapsed="false">
      <c r="A13062" s="3" t="s">
        <v>556</v>
      </c>
      <c r="C13062" s="16" t="n">
        <f aca="false">C12930-C13040</f>
        <v>0</v>
      </c>
    </row>
    <row r="13063" customFormat="false" ht="15" hidden="false" customHeight="false" outlineLevel="0" collapsed="false">
      <c r="A13063" s="3" t="s">
        <v>557</v>
      </c>
      <c r="C13063" s="16" t="n">
        <f aca="false">C12931-C13041</f>
        <v>0</v>
      </c>
    </row>
    <row r="13064" customFormat="false" ht="15" hidden="false" customHeight="false" outlineLevel="0" collapsed="false">
      <c r="A13064" s="3" t="s">
        <v>558</v>
      </c>
      <c r="C13064" s="16" t="n">
        <f aca="false">C12932-C13042</f>
        <v>0</v>
      </c>
    </row>
    <row r="13065" customFormat="false" ht="15" hidden="false" customHeight="false" outlineLevel="0" collapsed="false">
      <c r="A13065" s="3" t="s">
        <v>559</v>
      </c>
      <c r="C13065" s="16" t="n">
        <f aca="false">C12933-C13043</f>
        <v>0</v>
      </c>
    </row>
    <row r="13066" customFormat="false" ht="15" hidden="false" customHeight="false" outlineLevel="0" collapsed="false">
      <c r="A13066" s="3" t="s">
        <v>560</v>
      </c>
      <c r="C13066" s="16" t="n">
        <f aca="false">C12934-C13044</f>
        <v>0</v>
      </c>
    </row>
    <row r="13067" customFormat="false" ht="15" hidden="false" customHeight="false" outlineLevel="0" collapsed="false">
      <c r="A13067" s="3" t="s">
        <v>561</v>
      </c>
      <c r="C13067" s="16" t="n">
        <f aca="false">C12935-C13045</f>
        <v>0</v>
      </c>
    </row>
    <row r="13068" customFormat="false" ht="15" hidden="false" customHeight="false" outlineLevel="0" collapsed="false">
      <c r="A13068" s="3" t="s">
        <v>562</v>
      </c>
      <c r="C13068" s="16" t="n">
        <f aca="false">C12936-C13046</f>
        <v>0</v>
      </c>
    </row>
    <row r="13069" customFormat="false" ht="15" hidden="false" customHeight="false" outlineLevel="0" collapsed="false">
      <c r="A13069" s="3" t="s">
        <v>563</v>
      </c>
      <c r="C13069" s="16" t="n">
        <f aca="false">C12937-C13047</f>
        <v>0</v>
      </c>
    </row>
    <row r="13070" customFormat="false" ht="15" hidden="false" customHeight="false" outlineLevel="0" collapsed="false">
      <c r="A13070" s="3" t="s">
        <v>564</v>
      </c>
      <c r="C13070" s="16" t="n">
        <f aca="false">C12938-C13048</f>
        <v>0</v>
      </c>
    </row>
    <row r="13071" customFormat="false" ht="15" hidden="false" customHeight="false" outlineLevel="0" collapsed="false">
      <c r="A13071" s="3" t="s">
        <v>565</v>
      </c>
      <c r="C13071" s="16" t="n">
        <f aca="false">C12939-C13049</f>
        <v>0</v>
      </c>
    </row>
    <row r="13072" customFormat="false" ht="15" hidden="false" customHeight="false" outlineLevel="0" collapsed="false">
      <c r="A13072" s="24" t="s">
        <v>578</v>
      </c>
      <c r="B13072" s="25"/>
      <c r="C13072" s="25"/>
      <c r="D13072" s="25"/>
      <c r="E13072" s="25"/>
      <c r="F13072" s="25"/>
      <c r="G13072" s="25"/>
      <c r="H13072" s="25"/>
      <c r="I13072" s="25"/>
      <c r="J13072" s="25"/>
      <c r="K13072" s="25"/>
    </row>
    <row r="13073" customFormat="false" ht="15" hidden="false" customHeight="false" outlineLevel="0" collapsed="false">
      <c r="A13073" s="3" t="s">
        <v>556</v>
      </c>
      <c r="C13073" s="22" t="n">
        <f aca="false">IF(C12930=0,0,C13062/C12930)</f>
        <v>0</v>
      </c>
    </row>
    <row r="13074" customFormat="false" ht="15" hidden="false" customHeight="false" outlineLevel="0" collapsed="false">
      <c r="A13074" s="3" t="s">
        <v>557</v>
      </c>
      <c r="C13074" s="22" t="n">
        <f aca="false">IF(C12931=0,0,C13063/C12931)</f>
        <v>0</v>
      </c>
    </row>
    <row r="13075" customFormat="false" ht="15" hidden="false" customHeight="false" outlineLevel="0" collapsed="false">
      <c r="A13075" s="3" t="s">
        <v>558</v>
      </c>
      <c r="C13075" s="22" t="n">
        <f aca="false">IF(C12932=0,0,C13064/C12932)</f>
        <v>0</v>
      </c>
    </row>
    <row r="13076" customFormat="false" ht="15" hidden="false" customHeight="false" outlineLevel="0" collapsed="false">
      <c r="A13076" s="3" t="s">
        <v>559</v>
      </c>
      <c r="C13076" s="22" t="n">
        <f aca="false">IF(C12933=0,0,C13065/C12933)</f>
        <v>0</v>
      </c>
    </row>
    <row r="13077" customFormat="false" ht="15" hidden="false" customHeight="false" outlineLevel="0" collapsed="false">
      <c r="A13077" s="3" t="s">
        <v>560</v>
      </c>
      <c r="C13077" s="22" t="n">
        <f aca="false">IF(C12934=0,0,C13066/C12934)</f>
        <v>0</v>
      </c>
    </row>
    <row r="13078" customFormat="false" ht="15" hidden="false" customHeight="false" outlineLevel="0" collapsed="false">
      <c r="A13078" s="3" t="s">
        <v>561</v>
      </c>
      <c r="C13078" s="22" t="n">
        <f aca="false">IF(C12935=0,0,C13067/C12935)</f>
        <v>0</v>
      </c>
    </row>
    <row r="13079" customFormat="false" ht="15" hidden="false" customHeight="false" outlineLevel="0" collapsed="false">
      <c r="A13079" s="3" t="s">
        <v>562</v>
      </c>
      <c r="C13079" s="22" t="n">
        <f aca="false">IF(C12936=0,0,C13068/C12936)</f>
        <v>0</v>
      </c>
    </row>
    <row r="13080" customFormat="false" ht="15" hidden="false" customHeight="false" outlineLevel="0" collapsed="false">
      <c r="A13080" s="3" t="s">
        <v>563</v>
      </c>
      <c r="C13080" s="22" t="n">
        <f aca="false">IF(C12937=0,0,C13069/C12937)</f>
        <v>0</v>
      </c>
    </row>
    <row r="13081" customFormat="false" ht="15" hidden="false" customHeight="false" outlineLevel="0" collapsed="false">
      <c r="A13081" s="3" t="s">
        <v>564</v>
      </c>
      <c r="C13081" s="22" t="n">
        <f aca="false">IF(C12938=0,0,C13070/C12938)</f>
        <v>0</v>
      </c>
    </row>
    <row r="13082" customFormat="false" ht="15" hidden="false" customHeight="false" outlineLevel="0" collapsed="false">
      <c r="A13082" s="3" t="s">
        <v>565</v>
      </c>
      <c r="C13082" s="22" t="n">
        <f aca="false">IF(C12939=0,0,C13071/C12939)</f>
        <v>0</v>
      </c>
    </row>
    <row r="13083" customFormat="false" ht="15" hidden="false" customHeight="false" outlineLevel="0" collapsed="false">
      <c r="A13083" s="2" t="s">
        <v>579</v>
      </c>
      <c r="C13083" s="17" t="n">
        <f aca="false">MAX(0,$C$12928-SUM($C$12963:$C$12972)-SUM($C$12985:$C$12994))</f>
        <v>220.774528300504</v>
      </c>
    </row>
    <row r="13084" customFormat="false" ht="15" hidden="false" customHeight="false" outlineLevel="0" collapsed="false">
      <c r="A13084" s="3" t="s">
        <v>597</v>
      </c>
      <c r="C13084" s="35" t="n">
        <f aca="false">MIN(C12927,100*CHOOSE(C12917,C13051,C13052,C13053,C13054,C13055,C13056,C13057,C13058,C13059,C13060))</f>
        <v>100</v>
      </c>
    </row>
    <row r="13085" customFormat="false" ht="15" hidden="false" customHeight="false" outlineLevel="0" collapsed="false">
      <c r="A13085" s="3" t="s">
        <v>598</v>
      </c>
      <c r="C13085" s="21" t="n">
        <f aca="false">IF(C12749=1,C12922+Assumptions!$C$40,C12921)</f>
        <v>4</v>
      </c>
    </row>
    <row r="13086" customFormat="false" ht="15" hidden="false" customHeight="false" outlineLevel="0" collapsed="false">
      <c r="A13086" s="24" t="s">
        <v>599</v>
      </c>
      <c r="B13086" s="25"/>
      <c r="C13086" s="25"/>
      <c r="D13086" s="25"/>
      <c r="E13086" s="25"/>
      <c r="F13086" s="25"/>
      <c r="G13086" s="25"/>
      <c r="H13086" s="25"/>
      <c r="I13086" s="25"/>
      <c r="J13086" s="25"/>
      <c r="K13086" s="25"/>
    </row>
    <row r="13087" customFormat="false" ht="15" hidden="false" customHeight="false" outlineLevel="0" collapsed="false">
      <c r="A13087" s="3" t="s">
        <v>600</v>
      </c>
      <c r="C13087" s="21" t="n">
        <f aca="false">COLUMN()-COLUMN($C$1)</f>
        <v>0</v>
      </c>
      <c r="D13087" s="21" t="n">
        <f aca="false">COLUMN()-COLUMN($C$1)</f>
        <v>1</v>
      </c>
      <c r="E13087" s="21" t="n">
        <f aca="false">COLUMN()-COLUMN($C$1)</f>
        <v>2</v>
      </c>
      <c r="F13087" s="21" t="n">
        <f aca="false">COLUMN()-COLUMN($C$1)</f>
        <v>3</v>
      </c>
      <c r="G13087" s="21" t="n">
        <f aca="false">COLUMN()-COLUMN($C$1)</f>
        <v>4</v>
      </c>
      <c r="H13087" s="21" t="n">
        <f aca="false">COLUMN()-COLUMN($C$1)</f>
        <v>5</v>
      </c>
      <c r="I13087" s="21" t="n">
        <f aca="false">COLUMN()-COLUMN($C$1)</f>
        <v>6</v>
      </c>
    </row>
    <row r="13088" customFormat="false" ht="15" hidden="false" customHeight="false" outlineLevel="0" collapsed="false">
      <c r="A13088" s="3" t="s">
        <v>601</v>
      </c>
      <c r="D13088" s="31" t="n">
        <f aca="false">CHOOSE($C$12917,G12497,G12510,G12523,G12536,G12549,G12562,G12575,G12588,G12601,G12614)</f>
        <v>0.0915</v>
      </c>
      <c r="E13088" s="31" t="n">
        <f aca="false">CHOOSE($C$12917,H12497,H12510,H12523,H12536,H12549,H12562,H12575,H12588,H12601,H12614)</f>
        <v>0.09</v>
      </c>
      <c r="F13088" s="31" t="n">
        <f aca="false">CHOOSE($C$12917,I12497,I12510,I12523,I12536,I12549,I12562,I12575,I12588,I12601,I12614)</f>
        <v>0.0875</v>
      </c>
      <c r="G13088" s="31" t="n">
        <f aca="false">CHOOSE($C$12917,J12497,J12510,J12523,J12536,J12549,J12562,J12575,J12588,J12601,J12614)</f>
        <v>0.0875</v>
      </c>
      <c r="H13088" s="31" t="n">
        <f aca="false">CHOOSE($C$12917,K12497,K12510,K12523,K12536,K12549,K12562,K12575,K12588,K12601,K12614)</f>
        <v>0.0875</v>
      </c>
    </row>
    <row r="13089" customFormat="false" ht="15" hidden="false" customHeight="false" outlineLevel="0" collapsed="false">
      <c r="A13089" s="3" t="s">
        <v>602</v>
      </c>
      <c r="D13089" s="16" t="n">
        <f aca="false">IF(D13087&lt;=$C$12926,$C$12918*D13088,0)</f>
        <v>9.15</v>
      </c>
      <c r="E13089" s="16" t="n">
        <f aca="false">IF(E13087&lt;=$C$12926,$C$12918*E13088,0)</f>
        <v>9</v>
      </c>
      <c r="F13089" s="16" t="n">
        <f aca="false">IF(F13087&lt;=$C$12926,$C$12918*F13088,0)</f>
        <v>8.75</v>
      </c>
      <c r="G13089" s="16" t="n">
        <f aca="false">IF(G13087&lt;=$C$12926,$C$12918*G13088,0)</f>
        <v>0</v>
      </c>
      <c r="H13089" s="16" t="n">
        <f aca="false">IF(H13087&lt;=$C$12926,$C$12918*H13088,0)</f>
        <v>0</v>
      </c>
    </row>
    <row r="13090" customFormat="false" ht="15" hidden="false" customHeight="false" outlineLevel="0" collapsed="false">
      <c r="A13090" s="3" t="s">
        <v>603</v>
      </c>
      <c r="D13090" s="16" t="n">
        <f aca="false">IF(AND($C$12749=0,D13087=$C$12921),$C$12918*$C$13084/100,0)+IF(AND($C$12749=1,D13087=$C$13085),$C$12924,0)</f>
        <v>0</v>
      </c>
      <c r="E13090" s="16" t="n">
        <f aca="false">IF(AND($C$12749=0,E13087=$C$12921),$C$12918*$C$13084/100,0)+IF(AND($C$12749=1,E13087=$C$13085),$C$12924,0)</f>
        <v>0</v>
      </c>
      <c r="F13090" s="16" t="n">
        <f aca="false">IF(AND($C$12749=0,F13087=$C$12921),$C$12918*$C$13084/100,0)+IF(AND($C$12749=1,F13087=$C$13085),$C$12924,0)</f>
        <v>0</v>
      </c>
      <c r="G13090" s="16" t="n">
        <f aca="false">IF(AND($C$12749=0,G13087=$C$12921),$C$12918*$C$13084/100,0)+IF(AND($C$12749=1,G13087=$C$13085),$C$12924,0)</f>
        <v>102.1875</v>
      </c>
      <c r="H13090" s="16" t="n">
        <f aca="false">IF(AND($C$12749=0,H13087=$C$12921),$C$12918*$C$13084/100,0)+IF(AND($C$12749=1,H13087=$C$13085),$C$12924,0)</f>
        <v>0</v>
      </c>
      <c r="I13090" s="16" t="n">
        <f aca="false">IF(AND($C$12749=0,I13087=$C$12921),$C$12918*$C$13084/100,0)+IF(AND($C$12749=1,I13087=$C$13085),$C$12924,0)</f>
        <v>0</v>
      </c>
    </row>
    <row r="13091" customFormat="false" ht="15" hidden="false" customHeight="false" outlineLevel="0" collapsed="false">
      <c r="A13091" s="2" t="s">
        <v>604</v>
      </c>
      <c r="C13091" s="17" t="n">
        <f aca="false">-$C$12920</f>
        <v>-98.49</v>
      </c>
      <c r="D13091" s="17" t="n">
        <f aca="false">D13089+D13090</f>
        <v>9.15</v>
      </c>
      <c r="E13091" s="17" t="n">
        <f aca="false">E13089+E13090</f>
        <v>9</v>
      </c>
      <c r="F13091" s="17" t="n">
        <f aca="false">F13089+F13090</f>
        <v>8.75</v>
      </c>
      <c r="G13091" s="17" t="n">
        <f aca="false">G13089+G13090</f>
        <v>102.1875</v>
      </c>
      <c r="H13091" s="17" t="n">
        <f aca="false">H13089+H13090</f>
        <v>0</v>
      </c>
      <c r="I13091" s="17" t="n">
        <f aca="false">I13089+I13090</f>
        <v>0</v>
      </c>
    </row>
    <row r="13092" customFormat="false" ht="15" hidden="false" customHeight="false" outlineLevel="0" collapsed="false">
      <c r="A13092" s="3" t="s">
        <v>605</v>
      </c>
      <c r="C13092" s="16" t="n">
        <f aca="false">SUM($C$13089:$I$13089)</f>
        <v>26.9</v>
      </c>
    </row>
    <row r="13093" customFormat="false" ht="15" hidden="false" customHeight="false" outlineLevel="0" collapsed="false">
      <c r="A13093" s="3" t="s">
        <v>606</v>
      </c>
      <c r="C13093" s="16" t="n">
        <f aca="false">SUM($C$13090:$I$13090)</f>
        <v>102.1875</v>
      </c>
    </row>
    <row r="13094" customFormat="false" ht="15" hidden="false" customHeight="false" outlineLevel="0" collapsed="false">
      <c r="A13094" s="3" t="s">
        <v>607</v>
      </c>
      <c r="C13094" s="16" t="n">
        <f aca="false">C13092+C13093</f>
        <v>129.0875</v>
      </c>
    </row>
    <row r="13095" customFormat="false" ht="15" hidden="false" customHeight="false" outlineLevel="0" collapsed="false">
      <c r="A13095" s="3" t="s">
        <v>608</v>
      </c>
      <c r="C13095" s="16" t="n">
        <f aca="false">C13093-C12918*C12919/100</f>
        <v>4.18749999999999</v>
      </c>
    </row>
    <row r="13096" customFormat="false" ht="15" hidden="false" customHeight="false" outlineLevel="0" collapsed="false">
      <c r="A13096" s="3" t="s">
        <v>609</v>
      </c>
      <c r="C13096" s="16" t="n">
        <f aca="false">C13094-C12920</f>
        <v>30.5975</v>
      </c>
    </row>
    <row r="13097" customFormat="false" ht="15" hidden="false" customHeight="false" outlineLevel="0" collapsed="false">
      <c r="A13097" s="2" t="s">
        <v>484</v>
      </c>
      <c r="C13097" s="44" t="n">
        <f aca="false">C13094/C12920</f>
        <v>1.31066605746776</v>
      </c>
    </row>
    <row r="13098" customFormat="false" ht="15" hidden="false" customHeight="false" outlineLevel="0" collapsed="false">
      <c r="A13098" s="2" t="s">
        <v>483</v>
      </c>
      <c r="C13098" s="42" t="n">
        <f aca="false">IF(C13094&lt;=0,-1,IFERROR(IRR($C$13091:$I$13091,MAX(-0.9,C13097^(1/C13085)-1)),IRR($C$13091:$I$13091,0.1)))</f>
        <v>0.0792352733435274</v>
      </c>
    </row>
    <row r="13099" customFormat="false" ht="15" hidden="false" customHeight="false" outlineLevel="0" collapsed="false">
      <c r="A13099" s="3" t="s">
        <v>610</v>
      </c>
      <c r="C13099" s="32" t="n">
        <f aca="false">MAX($G$12693:$K$12693)</f>
        <v>13.2486421701028</v>
      </c>
    </row>
    <row r="13100" customFormat="false" ht="15" hidden="false" customHeight="false" outlineLevel="0" collapsed="false">
      <c r="A13100" s="3" t="s">
        <v>611</v>
      </c>
      <c r="C13100" s="32" t="n">
        <f aca="false">MIN($G$12694:$K$12694)</f>
        <v>1.05487805576755</v>
      </c>
    </row>
    <row r="13101" customFormat="false" ht="15" hidden="false" customHeight="false" outlineLevel="0" collapsed="false">
      <c r="A13101" s="3" t="s">
        <v>612</v>
      </c>
      <c r="C13101" s="16" t="n">
        <f aca="false">SUM($G$12481:$K$12481)</f>
        <v>-515.443404092954</v>
      </c>
    </row>
    <row r="13105" customFormat="false" ht="15" hidden="false" customHeight="false" outlineLevel="0" collapsed="false">
      <c r="A13105" s="9" t="s">
        <v>1150</v>
      </c>
      <c r="B13105" s="10"/>
      <c r="C13105" s="10"/>
      <c r="D13105" s="10"/>
      <c r="E13105" s="10"/>
      <c r="F13105" s="10"/>
      <c r="G13105" s="10"/>
      <c r="H13105" s="10"/>
      <c r="I13105" s="10"/>
      <c r="J13105" s="10"/>
      <c r="K13105" s="10"/>
    </row>
    <row r="13106" customFormat="false" ht="15" hidden="false" customHeight="false" outlineLevel="0" collapsed="false">
      <c r="A13106" s="3" t="s">
        <v>1126</v>
      </c>
      <c r="C13106" s="11" t="n">
        <v>1</v>
      </c>
    </row>
    <row r="13107" customFormat="false" ht="15" hidden="false" customHeight="false" outlineLevel="0" collapsed="false">
      <c r="A13107" s="3" t="s">
        <v>1127</v>
      </c>
      <c r="C13107" s="30" t="n">
        <f aca="false">Sensitivities!$A$42</f>
        <v>0</v>
      </c>
    </row>
    <row r="13108" customFormat="false" ht="15" hidden="false" customHeight="false" outlineLevel="0" collapsed="false">
      <c r="A13108" s="3" t="s">
        <v>1128</v>
      </c>
      <c r="C13108" s="19" t="n">
        <v>0</v>
      </c>
    </row>
    <row r="13109" customFormat="false" ht="15" hidden="false" customHeight="false" outlineLevel="0" collapsed="false">
      <c r="A13109" s="3" t="s">
        <v>1129</v>
      </c>
      <c r="C13109" s="19" t="n">
        <v>0</v>
      </c>
    </row>
    <row r="13110" customFormat="false" ht="15" hidden="false" customHeight="false" outlineLevel="0" collapsed="false">
      <c r="A13110" s="3" t="s">
        <v>1130</v>
      </c>
      <c r="C13110" s="15" t="n">
        <v>0</v>
      </c>
    </row>
    <row r="13112" customFormat="false" ht="15" hidden="false" customHeight="false" outlineLevel="0" collapsed="false">
      <c r="A13112" s="24" t="s">
        <v>301</v>
      </c>
      <c r="B13112" s="25"/>
      <c r="C13112" s="25"/>
      <c r="D13112" s="25"/>
      <c r="E13112" s="25"/>
      <c r="F13112" s="25"/>
      <c r="G13112" s="25"/>
      <c r="H13112" s="25"/>
      <c r="I13112" s="25"/>
      <c r="J13112" s="25"/>
      <c r="K13112" s="25"/>
    </row>
    <row r="13113" customFormat="false" ht="15" hidden="false" customHeight="false" outlineLevel="0" collapsed="false">
      <c r="A13113" s="3" t="s">
        <v>302</v>
      </c>
      <c r="F13113" s="27" t="n">
        <f aca="false">Assumptions!$C$6</f>
        <v>2026</v>
      </c>
      <c r="G13113" s="21" t="n">
        <f aca="false">F13113+1</f>
        <v>2027</v>
      </c>
      <c r="H13113" s="21" t="n">
        <f aca="false">G13113+1</f>
        <v>2028</v>
      </c>
      <c r="I13113" s="21" t="n">
        <f aca="false">H13113+1</f>
        <v>2029</v>
      </c>
      <c r="J13113" s="21" t="n">
        <f aca="false">I13113+1</f>
        <v>2030</v>
      </c>
      <c r="K13113" s="21" t="n">
        <f aca="false">J13113+1</f>
        <v>2031</v>
      </c>
    </row>
    <row r="13114" customFormat="false" ht="15" hidden="false" customHeight="false" outlineLevel="0" collapsed="false">
      <c r="A13114" s="3" t="s">
        <v>303</v>
      </c>
      <c r="G13114" s="21" t="n">
        <f aca="false">G13113-Assumptions!$C$6</f>
        <v>1</v>
      </c>
      <c r="H13114" s="21" t="n">
        <f aca="false">H13113-Assumptions!$C$6</f>
        <v>2</v>
      </c>
      <c r="I13114" s="21" t="n">
        <f aca="false">I13113-Assumptions!$C$6</f>
        <v>3</v>
      </c>
      <c r="J13114" s="21" t="n">
        <f aca="false">J13113-Assumptions!$C$6</f>
        <v>4</v>
      </c>
      <c r="K13114" s="21" t="n">
        <f aca="false">K13113-Assumptions!$C$6</f>
        <v>5</v>
      </c>
    </row>
    <row r="13115" customFormat="false" ht="15" hidden="false" customHeight="false" outlineLevel="0" collapsed="false">
      <c r="A13115" s="3" t="s">
        <v>180</v>
      </c>
      <c r="G13115" s="22" t="n">
        <f aca="false">CHOOSE($C$13106,Assumptions!$G$79,Assumptions!$G$98,Assumptions!$G$117)+$C$13107</f>
        <v>-0.03</v>
      </c>
      <c r="H13115" s="22" t="n">
        <f aca="false">CHOOSE($C$13106,Assumptions!$H$79,Assumptions!$H$98,Assumptions!$H$117)+$C$13107</f>
        <v>0.02</v>
      </c>
      <c r="I13115" s="22" t="n">
        <f aca="false">CHOOSE($C$13106,Assumptions!$I$79,Assumptions!$I$98,Assumptions!$I$117)+$C$13107</f>
        <v>0.02</v>
      </c>
      <c r="J13115" s="22" t="n">
        <f aca="false">CHOOSE($C$13106,Assumptions!$J$79,Assumptions!$J$98,Assumptions!$J$117)+$C$13107</f>
        <v>0.02</v>
      </c>
      <c r="K13115" s="22" t="n">
        <f aca="false">CHOOSE($C$13106,Assumptions!$K$79,Assumptions!$K$98,Assumptions!$K$117)+$C$13107</f>
        <v>0.02</v>
      </c>
    </row>
    <row r="13116" customFormat="false" ht="15" hidden="false" customHeight="false" outlineLevel="0" collapsed="false">
      <c r="A13116" s="3" t="s">
        <v>181</v>
      </c>
      <c r="G13116" s="22" t="n">
        <f aca="false">CHOOSE($C$13106,Assumptions!$G$80,Assumptions!$G$99,Assumptions!$G$118)</f>
        <v>0.603920660818678</v>
      </c>
      <c r="H13116" s="22" t="n">
        <f aca="false">CHOOSE($C$13106,Assumptions!$H$80,Assumptions!$H$99,Assumptions!$H$118)</f>
        <v>0.606920660818678</v>
      </c>
      <c r="I13116" s="22" t="n">
        <f aca="false">CHOOSE($C$13106,Assumptions!$I$80,Assumptions!$I$99,Assumptions!$I$118)</f>
        <v>0.609920660818678</v>
      </c>
      <c r="J13116" s="22" t="n">
        <f aca="false">CHOOSE($C$13106,Assumptions!$J$80,Assumptions!$J$99,Assumptions!$J$118)</f>
        <v>0.611920660818678</v>
      </c>
      <c r="K13116" s="22" t="n">
        <f aca="false">CHOOSE($C$13106,Assumptions!$K$80,Assumptions!$K$99,Assumptions!$K$118)</f>
        <v>0.613920660818678</v>
      </c>
    </row>
    <row r="13117" customFormat="false" ht="15" hidden="false" customHeight="false" outlineLevel="0" collapsed="false">
      <c r="A13117" s="3" t="s">
        <v>182</v>
      </c>
      <c r="G13117" s="22" t="n">
        <f aca="false">CHOOSE($C$13106,Assumptions!$G$81,Assumptions!$G$100,Assumptions!$G$119)+$C$13108</f>
        <v>0.53</v>
      </c>
      <c r="H13117" s="22" t="n">
        <f aca="false">CHOOSE($C$13106,Assumptions!$H$81,Assumptions!$H$100,Assumptions!$H$119)+$C$13108</f>
        <v>0.533</v>
      </c>
      <c r="I13117" s="22" t="n">
        <f aca="false">CHOOSE($C$13106,Assumptions!$I$81,Assumptions!$I$100,Assumptions!$I$119)+$C$13108</f>
        <v>0.536</v>
      </c>
      <c r="J13117" s="22" t="n">
        <f aca="false">CHOOSE($C$13106,Assumptions!$J$81,Assumptions!$J$100,Assumptions!$J$119)+$C$13108</f>
        <v>0.538</v>
      </c>
      <c r="K13117" s="22" t="n">
        <f aca="false">CHOOSE($C$13106,Assumptions!$K$81,Assumptions!$K$100,Assumptions!$K$119)+$C$13108</f>
        <v>0.54</v>
      </c>
    </row>
    <row r="13118" customFormat="false" ht="15" hidden="false" customHeight="false" outlineLevel="0" collapsed="false">
      <c r="A13118" s="24" t="s">
        <v>304</v>
      </c>
      <c r="B13118" s="25"/>
      <c r="C13118" s="25"/>
      <c r="D13118" s="25"/>
      <c r="E13118" s="25"/>
      <c r="F13118" s="25"/>
      <c r="G13118" s="25"/>
      <c r="H13118" s="25"/>
      <c r="I13118" s="25"/>
      <c r="J13118" s="25"/>
      <c r="K13118" s="25"/>
    </row>
    <row r="13119" customFormat="false" ht="15" hidden="false" customHeight="false" outlineLevel="0" collapsed="false">
      <c r="A13119" s="2" t="s">
        <v>275</v>
      </c>
      <c r="F13119" s="28" t="n">
        <f aca="false">'Historical Financials'!G25</f>
        <v>498.291</v>
      </c>
      <c r="G13119" s="17" t="n">
        <f aca="false">F13119*(1+G13115)</f>
        <v>483.34227</v>
      </c>
      <c r="H13119" s="17" t="n">
        <f aca="false">G13119*(1+H13115)</f>
        <v>493.0091154</v>
      </c>
      <c r="I13119" s="17" t="n">
        <f aca="false">H13119*(1+I13115)</f>
        <v>502.869297708</v>
      </c>
      <c r="J13119" s="17" t="n">
        <f aca="false">I13119*(1+J13115)</f>
        <v>512.92668366216</v>
      </c>
      <c r="K13119" s="17" t="n">
        <f aca="false">J13119*(1+K13115)</f>
        <v>523.185217335403</v>
      </c>
    </row>
    <row r="13120" customFormat="false" ht="15" hidden="false" customHeight="false" outlineLevel="0" collapsed="false">
      <c r="A13120" s="3" t="s">
        <v>276</v>
      </c>
      <c r="G13120" s="16" t="n">
        <f aca="false">G13119*(1-G13116)</f>
        <v>191.4418869</v>
      </c>
      <c r="H13120" s="16" t="n">
        <f aca="false">H13119*(1-H13116)</f>
        <v>193.7916972918</v>
      </c>
      <c r="I13120" s="16" t="n">
        <f aca="false">I13119*(1-I13116)</f>
        <v>196.158923344512</v>
      </c>
      <c r="J13120" s="16" t="n">
        <f aca="false">J13119*(1-J13116)</f>
        <v>199.056248444078</v>
      </c>
      <c r="K13120" s="16" t="n">
        <f aca="false">K13119*(1-K13116)</f>
        <v>201.991002978289</v>
      </c>
    </row>
    <row r="13121" customFormat="false" ht="15" hidden="false" customHeight="false" outlineLevel="0" collapsed="false">
      <c r="A13121" s="2" t="s">
        <v>277</v>
      </c>
      <c r="G13121" s="17" t="n">
        <f aca="false">G13119-G13120</f>
        <v>291.9003831</v>
      </c>
      <c r="H13121" s="17" t="n">
        <f aca="false">H13119-H13120</f>
        <v>299.2174181082</v>
      </c>
      <c r="I13121" s="17" t="n">
        <f aca="false">I13119-I13120</f>
        <v>306.710374363488</v>
      </c>
      <c r="J13121" s="17" t="n">
        <f aca="false">J13119-J13120</f>
        <v>313.870435218082</v>
      </c>
      <c r="K13121" s="17" t="n">
        <f aca="false">K13119-K13120</f>
        <v>321.194214357115</v>
      </c>
    </row>
    <row r="13122" customFormat="false" ht="15" hidden="false" customHeight="false" outlineLevel="0" collapsed="false">
      <c r="A13122" s="3" t="s">
        <v>305</v>
      </c>
      <c r="G13122" s="16" t="n">
        <f aca="false">G13121-G13123</f>
        <v>35.72898</v>
      </c>
      <c r="H13122" s="16" t="n">
        <f aca="false">H13121-H13123</f>
        <v>36.4435596</v>
      </c>
      <c r="I13122" s="16" t="n">
        <f aca="false">I13121-I13123</f>
        <v>37.172430792</v>
      </c>
      <c r="J13122" s="16" t="n">
        <f aca="false">J13121-J13123</f>
        <v>37.91587940784</v>
      </c>
      <c r="K13122" s="16" t="n">
        <f aca="false">K13121-K13123</f>
        <v>38.6741969959968</v>
      </c>
    </row>
    <row r="13123" customFormat="false" ht="15" hidden="false" customHeight="false" outlineLevel="0" collapsed="false">
      <c r="A13123" s="2" t="s">
        <v>306</v>
      </c>
      <c r="G13123" s="17" t="n">
        <f aca="false">G13119*G13117</f>
        <v>256.1714031</v>
      </c>
      <c r="H13123" s="17" t="n">
        <f aca="false">H13119*H13117</f>
        <v>262.7738585082</v>
      </c>
      <c r="I13123" s="17" t="n">
        <f aca="false">I13119*I13117</f>
        <v>269.537943571488</v>
      </c>
      <c r="J13123" s="17" t="n">
        <f aca="false">J13119*J13117</f>
        <v>275.954555810242</v>
      </c>
      <c r="K13123" s="17" t="n">
        <f aca="false">K13119*K13117</f>
        <v>282.520017361118</v>
      </c>
    </row>
    <row r="13124" customFormat="false" ht="15" hidden="false" customHeight="false" outlineLevel="0" collapsed="false">
      <c r="A13124" s="3" t="s">
        <v>307</v>
      </c>
      <c r="G13124" s="16" t="n">
        <f aca="false">G13119*'Historical Financials'!G30/'Historical Financials'!G25</f>
        <v>179.73421</v>
      </c>
      <c r="H13124" s="16" t="n">
        <f aca="false">H13119*'Historical Financials'!G30/'Historical Financials'!G25</f>
        <v>183.3288942</v>
      </c>
      <c r="I13124" s="16" t="n">
        <f aca="false">I13119*'Historical Financials'!G30/'Historical Financials'!G25</f>
        <v>186.995472084</v>
      </c>
      <c r="J13124" s="16" t="n">
        <f aca="false">J13119*'Historical Financials'!G30/'Historical Financials'!G25</f>
        <v>190.73538152568</v>
      </c>
      <c r="K13124" s="16" t="n">
        <f aca="false">K13119*'Historical Financials'!G30/'Historical Financials'!G25</f>
        <v>194.550089156194</v>
      </c>
    </row>
    <row r="13125" customFormat="false" ht="15" hidden="false" customHeight="false" outlineLevel="0" collapsed="false">
      <c r="A13125" s="3" t="s">
        <v>308</v>
      </c>
      <c r="G13125" s="16" t="n">
        <f aca="false">G13119*'Historical Financials'!G31/'Historical Financials'!G25</f>
        <v>0</v>
      </c>
      <c r="H13125" s="16" t="n">
        <f aca="false">H13119*'Historical Financials'!G31/'Historical Financials'!G25</f>
        <v>0</v>
      </c>
      <c r="I13125" s="16" t="n">
        <f aca="false">I13119*'Historical Financials'!G31/'Historical Financials'!G25</f>
        <v>0</v>
      </c>
      <c r="J13125" s="16" t="n">
        <f aca="false">J13119*'Historical Financials'!G31/'Historical Financials'!G25</f>
        <v>0</v>
      </c>
      <c r="K13125" s="16" t="n">
        <f aca="false">K13119*'Historical Financials'!G31/'Historical Financials'!G25</f>
        <v>0</v>
      </c>
    </row>
    <row r="13126" customFormat="false" ht="15" hidden="false" customHeight="false" outlineLevel="0" collapsed="false">
      <c r="A13126" s="2" t="s">
        <v>309</v>
      </c>
      <c r="G13126" s="17" t="n">
        <f aca="false">G13123-G13124-G13125</f>
        <v>76.4371931</v>
      </c>
      <c r="H13126" s="17" t="n">
        <f aca="false">H13123-H13124-H13125</f>
        <v>79.4449643082</v>
      </c>
      <c r="I13126" s="17" t="n">
        <f aca="false">I13123-I13124-I13125</f>
        <v>82.542471487488</v>
      </c>
      <c r="J13126" s="17" t="n">
        <f aca="false">J13123-J13124-J13125</f>
        <v>85.2191742845621</v>
      </c>
      <c r="K13126" s="17" t="n">
        <f aca="false">K13123-K13124-K13125</f>
        <v>87.9699282049242</v>
      </c>
    </row>
    <row r="13127" customFormat="false" ht="15" hidden="false" customHeight="false" outlineLevel="0" collapsed="false">
      <c r="A13127" s="3" t="s">
        <v>310</v>
      </c>
      <c r="G13127" s="16" t="n">
        <f aca="false">G13153+G13166+G13179+G13192+G13205+G13218+G13231+G13244+G13257+G13270</f>
        <v>180.2096854</v>
      </c>
      <c r="H13127" s="16" t="n">
        <f aca="false">H13153+H13166+H13179+H13192+H13205+H13218+H13231+H13244+H13257+H13270</f>
        <v>179.1317704</v>
      </c>
      <c r="I13127" s="16" t="n">
        <f aca="false">I13153+I13166+I13179+I13192+I13205+I13218+I13231+I13244+I13257+I13270</f>
        <v>191.388017509904</v>
      </c>
      <c r="J13127" s="16" t="n">
        <f aca="false">J13153+J13166+J13179+J13192+J13205+J13218+J13231+J13244+J13257+J13270</f>
        <v>191.569272884469</v>
      </c>
      <c r="K13127" s="16" t="n">
        <f aca="false">K13153+K13166+K13179+K13192+K13205+K13218+K13231+K13244+K13257+K13270</f>
        <v>210.404714699088</v>
      </c>
    </row>
    <row r="13128" customFormat="false" ht="15" hidden="false" customHeight="false" outlineLevel="0" collapsed="false">
      <c r="A13128" s="3" t="s">
        <v>311</v>
      </c>
      <c r="G13128" s="16" t="n">
        <f aca="false">G13154+G13167+G13180+G13193+G13206+G13219+G13232+G13245+G13258+G13271</f>
        <v>0</v>
      </c>
      <c r="H13128" s="16" t="n">
        <f aca="false">H13154+H13167+H13180+H13193+H13206+H13219+H13232+H13245+H13258+H13271</f>
        <v>0</v>
      </c>
      <c r="I13128" s="16" t="n">
        <f aca="false">I13154+I13167+I13180+I13193+I13206+I13219+I13232+I13245+I13258+I13271</f>
        <v>0</v>
      </c>
      <c r="J13128" s="16" t="n">
        <f aca="false">J13154+J13167+J13180+J13193+J13206+J13219+J13232+J13245+J13258+J13271</f>
        <v>0</v>
      </c>
      <c r="K13128" s="16" t="n">
        <f aca="false">K13154+K13167+K13180+K13193+K13206+K13219+K13232+K13245+K13258+K13271</f>
        <v>0</v>
      </c>
    </row>
    <row r="13129" customFormat="false" ht="15" hidden="false" customHeight="false" outlineLevel="0" collapsed="false">
      <c r="A13129" s="3" t="s">
        <v>283</v>
      </c>
      <c r="G13129" s="16" t="n">
        <f aca="false">G13127+G13128</f>
        <v>180.2096854</v>
      </c>
      <c r="H13129" s="16" t="n">
        <f aca="false">H13127+H13128</f>
        <v>179.1317704</v>
      </c>
      <c r="I13129" s="16" t="n">
        <f aca="false">I13127+I13128</f>
        <v>191.388017509904</v>
      </c>
      <c r="J13129" s="16" t="n">
        <f aca="false">J13127+J13128</f>
        <v>191.569272884469</v>
      </c>
      <c r="K13129" s="16" t="n">
        <f aca="false">K13127+K13128</f>
        <v>210.404714699088</v>
      </c>
    </row>
    <row r="13130" customFormat="false" ht="15" hidden="false" customHeight="false" outlineLevel="0" collapsed="false">
      <c r="A13130" s="2" t="s">
        <v>284</v>
      </c>
      <c r="G13130" s="17" t="n">
        <f aca="false">G13126-G13129</f>
        <v>-103.7724923</v>
      </c>
      <c r="H13130" s="17" t="n">
        <f aca="false">H13126-H13129</f>
        <v>-99.6868060918</v>
      </c>
      <c r="I13130" s="17" t="n">
        <f aca="false">I13126-I13129</f>
        <v>-108.845546022416</v>
      </c>
      <c r="J13130" s="17" t="n">
        <f aca="false">J13126-J13129</f>
        <v>-106.350098599906</v>
      </c>
      <c r="K13130" s="17" t="n">
        <f aca="false">K13126-K13129</f>
        <v>-122.434786494163</v>
      </c>
    </row>
    <row r="13131" customFormat="false" ht="15" hidden="false" customHeight="false" outlineLevel="0" collapsed="false">
      <c r="A13131" s="3" t="s">
        <v>312</v>
      </c>
      <c r="G13131" s="16" t="n">
        <f aca="false">MAX(0,G13130)*Assumptions!$C$9</f>
        <v>0</v>
      </c>
      <c r="H13131" s="16" t="n">
        <f aca="false">MAX(0,H13130)*Assumptions!$C$9</f>
        <v>0</v>
      </c>
      <c r="I13131" s="16" t="n">
        <f aca="false">MAX(0,I13130)*Assumptions!$C$9</f>
        <v>0</v>
      </c>
      <c r="J13131" s="16" t="n">
        <f aca="false">MAX(0,J13130)*Assumptions!$C$9</f>
        <v>0</v>
      </c>
      <c r="K13131" s="16" t="n">
        <f aca="false">MAX(0,K13130)*Assumptions!$C$9</f>
        <v>0</v>
      </c>
    </row>
    <row r="13132" customFormat="false" ht="15" hidden="false" customHeight="false" outlineLevel="0" collapsed="false">
      <c r="A13132" s="2" t="s">
        <v>313</v>
      </c>
      <c r="G13132" s="17" t="n">
        <f aca="false">G13130-G13131</f>
        <v>-103.7724923</v>
      </c>
      <c r="H13132" s="17" t="n">
        <f aca="false">H13130-H13131</f>
        <v>-99.6868060918</v>
      </c>
      <c r="I13132" s="17" t="n">
        <f aca="false">I13130-I13131</f>
        <v>-108.845546022416</v>
      </c>
      <c r="J13132" s="17" t="n">
        <f aca="false">J13130-J13131</f>
        <v>-106.350098599906</v>
      </c>
      <c r="K13132" s="17" t="n">
        <f aca="false">K13130-K13131</f>
        <v>-122.434786494163</v>
      </c>
    </row>
    <row r="13133" customFormat="false" ht="15" hidden="false" customHeight="false" outlineLevel="0" collapsed="false">
      <c r="A13133" s="24" t="s">
        <v>314</v>
      </c>
      <c r="B13133" s="25"/>
      <c r="C13133" s="25"/>
      <c r="D13133" s="25"/>
      <c r="E13133" s="25"/>
      <c r="F13133" s="25"/>
      <c r="G13133" s="25"/>
      <c r="H13133" s="25"/>
      <c r="I13133" s="25"/>
      <c r="J13133" s="25"/>
      <c r="K13133" s="25"/>
    </row>
    <row r="13134" customFormat="false" ht="15" hidden="false" customHeight="false" outlineLevel="0" collapsed="false">
      <c r="A13134" s="3" t="s">
        <v>184</v>
      </c>
      <c r="G13134" s="16" t="n">
        <f aca="false">G13119*CHOOSE($C$13106,Assumptions!$C$83,Assumptions!$C$102,Assumptions!$C$121)</f>
        <v>106.3352994</v>
      </c>
      <c r="H13134" s="16" t="n">
        <f aca="false">H13119*CHOOSE($C$13106,Assumptions!$C$83,Assumptions!$C$102,Assumptions!$C$121)</f>
        <v>108.462005388</v>
      </c>
      <c r="I13134" s="16" t="n">
        <f aca="false">I13119*CHOOSE($C$13106,Assumptions!$C$83,Assumptions!$C$102,Assumptions!$C$121)</f>
        <v>110.63124549576</v>
      </c>
      <c r="J13134" s="16" t="n">
        <f aca="false">J13119*CHOOSE($C$13106,Assumptions!$C$83,Assumptions!$C$102,Assumptions!$C$121)</f>
        <v>112.843870405675</v>
      </c>
      <c r="K13134" s="16" t="n">
        <f aca="false">K13119*CHOOSE($C$13106,Assumptions!$C$83,Assumptions!$C$102,Assumptions!$C$121)</f>
        <v>115.100747813789</v>
      </c>
    </row>
    <row r="13135" customFormat="false" ht="15" hidden="false" customHeight="false" outlineLevel="0" collapsed="false">
      <c r="A13135" s="3" t="s">
        <v>315</v>
      </c>
      <c r="G13135" s="16" t="n">
        <f aca="false">CHOOSE($C$13106,Assumptions!$C$84,Assumptions!$C$103,Assumptions!$C$122)*(G13119-F13119)+CHOOSE($C$13106,Assumptions!$C$85,Assumptions!$C$104,Assumptions!$C$123)*G13119</f>
        <v>53.1676497</v>
      </c>
      <c r="H13135" s="16" t="n">
        <f aca="false">CHOOSE($C$13106,Assumptions!$C$84,Assumptions!$C$103,Assumptions!$C$122)*(H13119-G13119)+CHOOSE($C$13106,Assumptions!$C$85,Assumptions!$C$104,Assumptions!$C$123)*H13119</f>
        <v>54.231002694</v>
      </c>
      <c r="I13135" s="16" t="n">
        <f aca="false">CHOOSE($C$13106,Assumptions!$C$84,Assumptions!$C$103,Assumptions!$C$122)*(I13119-H13119)+CHOOSE($C$13106,Assumptions!$C$85,Assumptions!$C$104,Assumptions!$C$123)*I13119</f>
        <v>55.31562274788</v>
      </c>
      <c r="J13135" s="16" t="n">
        <f aca="false">CHOOSE($C$13106,Assumptions!$C$84,Assumptions!$C$103,Assumptions!$C$122)*(J13119-I13119)+CHOOSE($C$13106,Assumptions!$C$85,Assumptions!$C$104,Assumptions!$C$123)*J13119</f>
        <v>56.4219352028376</v>
      </c>
      <c r="K13135" s="16" t="n">
        <f aca="false">CHOOSE($C$13106,Assumptions!$C$84,Assumptions!$C$103,Assumptions!$C$122)*(K13119-J13119)+CHOOSE($C$13106,Assumptions!$C$85,Assumptions!$C$104,Assumptions!$C$123)*K13119</f>
        <v>57.5503739068944</v>
      </c>
    </row>
    <row r="13136" customFormat="false" ht="15" hidden="false" customHeight="false" outlineLevel="0" collapsed="false">
      <c r="A13136" s="2" t="s">
        <v>316</v>
      </c>
      <c r="G13136" s="17" t="n">
        <f aca="false">G13132+G13124+G13125+G13128-G13134-G13135</f>
        <v>-83.5412314</v>
      </c>
      <c r="H13136" s="17" t="n">
        <f aca="false">H13132+H13124+H13125+H13128-H13134-H13135</f>
        <v>-79.0509199738</v>
      </c>
      <c r="I13136" s="17" t="n">
        <f aca="false">I13132+I13124+I13125+I13128-I13134-I13135</f>
        <v>-87.796942182056</v>
      </c>
      <c r="J13136" s="17" t="n">
        <f aca="false">J13132+J13124+J13125+J13128-J13134-J13135</f>
        <v>-84.8805226827392</v>
      </c>
      <c r="K13136" s="17" t="n">
        <f aca="false">K13132+K13124+K13125+K13128-K13134-K13135</f>
        <v>-100.535819058653</v>
      </c>
    </row>
    <row r="13138" customFormat="false" ht="15" hidden="false" customHeight="false" outlineLevel="0" collapsed="false">
      <c r="A13138" s="24" t="s">
        <v>318</v>
      </c>
      <c r="B13138" s="25"/>
      <c r="C13138" s="25"/>
      <c r="D13138" s="25"/>
      <c r="E13138" s="25"/>
      <c r="F13138" s="25"/>
      <c r="G13138" s="25"/>
      <c r="H13138" s="25"/>
      <c r="I13138" s="25"/>
      <c r="J13138" s="25"/>
      <c r="K13138" s="25"/>
    </row>
    <row r="13139" customFormat="false" ht="15" hidden="false" customHeight="false" outlineLevel="0" collapsed="false">
      <c r="A13139" s="3" t="s">
        <v>319</v>
      </c>
      <c r="G13139" s="30" t="n">
        <f aca="false">Assumptions!$G$53</f>
        <v>0.039</v>
      </c>
      <c r="H13139" s="30" t="n">
        <f aca="false">Assumptions!$H$53</f>
        <v>0.0375</v>
      </c>
      <c r="I13139" s="30" t="n">
        <f aca="false">Assumptions!$I$53</f>
        <v>0.035</v>
      </c>
      <c r="J13139" s="30" t="n">
        <f aca="false">Assumptions!$J$53</f>
        <v>0.035</v>
      </c>
      <c r="K13139" s="30" t="n">
        <f aca="false">Assumptions!$K$53</f>
        <v>0.035</v>
      </c>
    </row>
    <row r="13140" customFormat="false" ht="15" hidden="false" customHeight="false" outlineLevel="0" collapsed="false">
      <c r="A13140" s="3" t="s">
        <v>320</v>
      </c>
      <c r="C13140" s="31" t="n">
        <f aca="false">CHOOSE($C$13106,Assumptions!$C$86,Assumptions!$C$105,Assumptions!$C$124)+$C$13109</f>
        <v>0</v>
      </c>
    </row>
    <row r="13141" customFormat="false" ht="15" hidden="false" customHeight="false" outlineLevel="0" collapsed="false">
      <c r="A13141" s="3" t="s">
        <v>321</v>
      </c>
      <c r="C13141" s="31" t="n">
        <f aca="false">CHOOSE($C$13106,Assumptions!$C$87,Assumptions!$C$106,Assumptions!$C$125)</f>
        <v>0.08</v>
      </c>
    </row>
    <row r="13142" customFormat="false" ht="15" hidden="false" customHeight="false" outlineLevel="0" collapsed="false">
      <c r="A13142" s="3" t="s">
        <v>322</v>
      </c>
      <c r="C13142" s="32" t="n">
        <f aca="false">CHOOSE($C$13106,Assumptions!$C$88,Assumptions!$C$107,Assumptions!$C$126)</f>
        <v>11</v>
      </c>
    </row>
    <row r="13143" customFormat="false" ht="15" hidden="false" customHeight="false" outlineLevel="0" collapsed="false">
      <c r="A13143" s="3" t="s">
        <v>323</v>
      </c>
      <c r="C13143" s="32" t="n">
        <f aca="false">CHOOSE($C$13106,Assumptions!$C$89,Assumptions!$C$108,Assumptions!$C$127)</f>
        <v>1.2</v>
      </c>
    </row>
    <row r="13144" customFormat="false" ht="15" hidden="false" customHeight="false" outlineLevel="0" collapsed="false">
      <c r="A13144" s="3" t="s">
        <v>324</v>
      </c>
      <c r="G13144" s="16" t="n">
        <f aca="false">G13149+G13162+G13175+G13188+G13201+G13214+G13227+G13240+G13253+G13266</f>
        <v>2625.934</v>
      </c>
      <c r="H13144" s="16" t="n">
        <f aca="false">H13149+H13162+H13175+H13188+H13201+H13214+H13227+H13240+H13253+H13266</f>
        <v>2621.934</v>
      </c>
      <c r="I13144" s="16" t="n">
        <f aca="false">I13149+I13162+I13175+I13188+I13201+I13214+I13227+I13240+I13253+I13266</f>
        <v>2575.6561513738</v>
      </c>
      <c r="J13144" s="16" t="n">
        <f aca="false">J13149+J13162+J13175+J13188+J13201+J13214+J13227+J13240+J13253+J13266</f>
        <v>2638.45309355586</v>
      </c>
      <c r="K13144" s="16" t="n">
        <f aca="false">K13149+K13162+K13175+K13188+K13201+K13214+K13227+K13240+K13253+K13266</f>
        <v>2723.3336162386</v>
      </c>
    </row>
    <row r="13145" customFormat="false" ht="15" hidden="false" customHeight="false" outlineLevel="0" collapsed="false">
      <c r="A13145" s="3" t="s">
        <v>325</v>
      </c>
      <c r="G13145" s="16" t="n">
        <f aca="false">F13337</f>
        <v>37.87</v>
      </c>
      <c r="H13145" s="16" t="n">
        <f aca="false">G13337</f>
        <v>150.3287686</v>
      </c>
      <c r="I13145" s="16" t="n">
        <f aca="false">H13337</f>
        <v>25</v>
      </c>
      <c r="J13145" s="16" t="n">
        <f aca="false">I13337</f>
        <v>0</v>
      </c>
      <c r="K13145" s="16" t="n">
        <f aca="false">J13337</f>
        <v>0</v>
      </c>
    </row>
    <row r="13146" customFormat="false" ht="15" hidden="false" customHeight="false" outlineLevel="0" collapsed="false">
      <c r="A13146" s="3" t="s">
        <v>326</v>
      </c>
      <c r="G13146" s="16" t="n">
        <f aca="false">G13149*IF(G13150=1,$C$13141,IF(Assumptions!$I$57=1,MAX(G13139,Assumptions!$G$57)+Assumptions!$F$57+$C$13140,Assumptions!$E$57))+G13162*IF(G13163=1,$C$13141,IF(Assumptions!$I$58=1,MAX(G13139,Assumptions!$G$58)+Assumptions!$F$58+$C$13140,Assumptions!$E$58))+G13175*IF(G13176=1,$C$13141,IF(Assumptions!$I$59=1,MAX(G13139,Assumptions!$G$59)+Assumptions!$F$59+$C$13140,Assumptions!$E$59))+G13188*IF(G13189=1,$C$13141,IF(Assumptions!$I$60=1,MAX(G13139,Assumptions!$G$60)+Assumptions!$F$60+$C$13140,Assumptions!$E$60))+G13201*IF(G13202=1,$C$13141,IF(Assumptions!$I$61=1,MAX(G13139,Assumptions!$G$61)+Assumptions!$F$61+$C$13140,Assumptions!$E$61))+G13214*IF(G13215=1,$C$13141,IF(Assumptions!$I$62=1,MAX(G13139,Assumptions!$G$62)+Assumptions!$F$62+$C$13140,Assumptions!$E$62))+G13227*IF(G13228=1,$C$13141,IF(Assumptions!$I$63=1,MAX(G13139,Assumptions!$G$63)+Assumptions!$F$63+$C$13140,Assumptions!$E$63))+G13240*IF(G13241=1,$C$13141,IF(Assumptions!$I$64=1,MAX(G13139,Assumptions!$G$64)+Assumptions!$F$64+$C$13140,Assumptions!$E$64))+G13253*IF(G13254=1,$C$13141,IF(Assumptions!$I$65=1,MAX(G13139,Assumptions!$G$65)+Assumptions!$F$65+$C$13140,Assumptions!$E$65))+G13266*IF(G13267=1,$C$13141,IF(Assumptions!$I$66=1,MAX(G13139,Assumptions!$G$66)+Assumptions!$F$66+$C$13140,Assumptions!$E$66))</f>
        <v>180.2096854</v>
      </c>
      <c r="H13146" s="16" t="n">
        <f aca="false">H13149*IF(OR(H13150=1,G13459=1),$C$13141,IF(Assumptions!$I$57=1,MAX(H13139,Assumptions!$G$57)+Assumptions!$F$57+$C$13140,Assumptions!$E$57))+H13162*IF(OR(H13163=1,G13460=1),$C$13141,IF(Assumptions!$I$58=1,MAX(H13139,Assumptions!$G$58)+Assumptions!$F$58+$C$13140,Assumptions!$E$58))+H13175*IF(OR(H13176=1,G13461=1),$C$13141,IF(Assumptions!$I$59=1,MAX(H13139,Assumptions!$G$59)+Assumptions!$F$59+$C$13140,Assumptions!$E$59))+H13188*IF(OR(H13189=1,G13462=1),$C$13141,IF(Assumptions!$I$60=1,MAX(H13139,Assumptions!$G$60)+Assumptions!$F$60+$C$13140,Assumptions!$E$60))+H13201*IF(OR(H13202=1,G13463=1),$C$13141,IF(Assumptions!$I$61=1,MAX(H13139,Assumptions!$G$61)+Assumptions!$F$61+$C$13140,Assumptions!$E$61))+H13214*IF(OR(H13215=1,G13464=1),$C$13141,IF(Assumptions!$I$62=1,MAX(H13139,Assumptions!$G$62)+Assumptions!$F$62+$C$13140,Assumptions!$E$62))+H13227*IF(OR(H13228=1,G13465=1),$C$13141,IF(Assumptions!$I$63=1,MAX(H13139,Assumptions!$G$63)+Assumptions!$F$63+$C$13140,Assumptions!$E$63))+H13240*IF(OR(H13241=1,G13466=1),$C$13141,IF(Assumptions!$I$64=1,MAX(H13139,Assumptions!$G$64)+Assumptions!$F$64+$C$13140,Assumptions!$E$64))+H13253*IF(OR(H13254=1,G13467=1),$C$13141,IF(Assumptions!$I$65=1,MAX(H13139,Assumptions!$G$65)+Assumptions!$F$65+$C$13140,Assumptions!$E$65))+H13266*IF(OR(H13267=1,G13468=1),$C$13141,IF(Assumptions!$I$66=1,MAX(H13139,Assumptions!$G$66)+Assumptions!$F$66+$C$13140,Assumptions!$E$66))</f>
        <v>196.3067704</v>
      </c>
      <c r="I13146" s="16" t="n">
        <f aca="false">I13149*IF(OR(I13150=1,H13459=1),$C$13141,IF(Assumptions!$I$57=1,MAX(I13139,Assumptions!$G$57)+Assumptions!$F$57+$C$13140,Assumptions!$E$57))+I13162*IF(OR(I13163=1,H13460=1),$C$13141,IF(Assumptions!$I$58=1,MAX(I13139,Assumptions!$G$58)+Assumptions!$F$58+$C$13140,Assumptions!$E$58))+I13175*IF(OR(I13176=1,H13461=1),$C$13141,IF(Assumptions!$I$59=1,MAX(I13139,Assumptions!$G$59)+Assumptions!$F$59+$C$13140,Assumptions!$E$59))+I13188*IF(OR(I13189=1,H13462=1),$C$13141,IF(Assumptions!$I$60=1,MAX(I13139,Assumptions!$G$60)+Assumptions!$F$60+$C$13140,Assumptions!$E$60))+I13201*IF(OR(I13202=1,H13463=1),$C$13141,IF(Assumptions!$I$61=1,MAX(I13139,Assumptions!$G$61)+Assumptions!$F$61+$C$13140,Assumptions!$E$61))+I13214*IF(OR(I13215=1,H13464=1),$C$13141,IF(Assumptions!$I$62=1,MAX(I13139,Assumptions!$G$62)+Assumptions!$F$62+$C$13140,Assumptions!$E$62))+I13227*IF(OR(I13228=1,H13465=1),$C$13141,IF(Assumptions!$I$63=1,MAX(I13139,Assumptions!$G$63)+Assumptions!$F$63+$C$13140,Assumptions!$E$63))+I13240*IF(OR(I13241=1,H13466=1),$C$13141,IF(Assumptions!$I$64=1,MAX(I13139,Assumptions!$G$64)+Assumptions!$F$64+$C$13140,Assumptions!$E$64))+I13253*IF(OR(I13254=1,H13467=1),$C$13141,IF(Assumptions!$I$65=1,MAX(I13139,Assumptions!$G$65)+Assumptions!$F$65+$C$13140,Assumptions!$E$65))+I13266*IF(OR(I13267=1,H13468=1),$C$13141,IF(Assumptions!$I$66=1,MAX(I13139,Assumptions!$G$66)+Assumptions!$F$66+$C$13140,Assumptions!$E$66))</f>
        <v>186.575517509904</v>
      </c>
      <c r="J13146" s="16" t="n">
        <f aca="false">J13149*IF(OR(J13150=1,I13459=1),$C$13141,IF(Assumptions!$I$57=1,MAX(J13139,Assumptions!$G$57)+Assumptions!$F$57+$C$13140,Assumptions!$E$57))+J13162*IF(OR(J13163=1,I13460=1),$C$13141,IF(Assumptions!$I$58=1,MAX(J13139,Assumptions!$G$58)+Assumptions!$F$58+$C$13140,Assumptions!$E$58))+J13175*IF(OR(J13176=1,I13461=1),$C$13141,IF(Assumptions!$I$59=1,MAX(J13139,Assumptions!$G$59)+Assumptions!$F$59+$C$13140,Assumptions!$E$59))+J13188*IF(OR(J13189=1,I13462=1),$C$13141,IF(Assumptions!$I$60=1,MAX(J13139,Assumptions!$G$60)+Assumptions!$F$60+$C$13140,Assumptions!$E$60))+J13201*IF(OR(J13202=1,I13463=1),$C$13141,IF(Assumptions!$I$61=1,MAX(J13139,Assumptions!$G$61)+Assumptions!$F$61+$C$13140,Assumptions!$E$61))+J13214*IF(OR(J13215=1,I13464=1),$C$13141,IF(Assumptions!$I$62=1,MAX(J13139,Assumptions!$G$62)+Assumptions!$F$62+$C$13140,Assumptions!$E$62))+J13227*IF(OR(J13228=1,I13465=1),$C$13141,IF(Assumptions!$I$63=1,MAX(J13139,Assumptions!$G$63)+Assumptions!$F$63+$C$13140,Assumptions!$E$63))+J13240*IF(OR(J13241=1,I13466=1),$C$13141,IF(Assumptions!$I$64=1,MAX(J13139,Assumptions!$G$64)+Assumptions!$F$64+$C$13140,Assumptions!$E$64))+J13253*IF(OR(J13254=1,I13467=1),$C$13141,IF(Assumptions!$I$65=1,MAX(J13139,Assumptions!$G$65)+Assumptions!$F$65+$C$13140,Assumptions!$E$65))+J13266*IF(OR(J13267=1,I13468=1),$C$13141,IF(Assumptions!$I$66=1,MAX(J13139,Assumptions!$G$66)+Assumptions!$F$66+$C$13140,Assumptions!$E$66))</f>
        <v>203.644272884468</v>
      </c>
      <c r="K13146" s="16" t="n">
        <f aca="false">K13149*IF(OR(K13150=1,J13459=1),$C$13141,IF(Assumptions!$I$57=1,MAX(K13139,Assumptions!$G$57)+Assumptions!$F$57+$C$13140,Assumptions!$E$57))+K13162*IF(OR(K13163=1,J13460=1),$C$13141,IF(Assumptions!$I$58=1,MAX(K13139,Assumptions!$G$58)+Assumptions!$F$58+$C$13140,Assumptions!$E$58))+K13175*IF(OR(K13176=1,J13461=1),$C$13141,IF(Assumptions!$I$59=1,MAX(K13139,Assumptions!$G$59)+Assumptions!$F$59+$C$13140,Assumptions!$E$59))+K13188*IF(OR(K13189=1,J13462=1),$C$13141,IF(Assumptions!$I$60=1,MAX(K13139,Assumptions!$G$60)+Assumptions!$F$60+$C$13140,Assumptions!$E$60))+K13201*IF(OR(K13202=1,J13463=1),$C$13141,IF(Assumptions!$I$61=1,MAX(K13139,Assumptions!$G$61)+Assumptions!$F$61+$C$13140,Assumptions!$E$61))+K13214*IF(OR(K13215=1,J13464=1),$C$13141,IF(Assumptions!$I$62=1,MAX(K13139,Assumptions!$G$62)+Assumptions!$F$62+$C$13140,Assumptions!$E$62))+K13227*IF(OR(K13228=1,J13465=1),$C$13141,IF(Assumptions!$I$63=1,MAX(K13139,Assumptions!$G$63)+Assumptions!$F$63+$C$13140,Assumptions!$E$63))+K13240*IF(OR(K13241=1,J13466=1),$C$13141,IF(Assumptions!$I$64=1,MAX(K13139,Assumptions!$G$64)+Assumptions!$F$64+$C$13140,Assumptions!$E$64))+K13253*IF(OR(K13254=1,J13467=1),$C$13141,IF(Assumptions!$I$65=1,MAX(K13139,Assumptions!$G$65)+Assumptions!$F$65+$C$13140,Assumptions!$E$65))+K13266*IF(OR(K13267=1,J13468=1),$C$13141,IF(Assumptions!$I$66=1,MAX(K13139,Assumptions!$G$66)+Assumptions!$F$66+$C$13140,Assumptions!$E$66))</f>
        <v>213.149714699088</v>
      </c>
    </row>
    <row r="13147" customFormat="false" ht="15" hidden="false" customHeight="false" outlineLevel="0" collapsed="false">
      <c r="A13147" s="3" t="s">
        <v>327</v>
      </c>
      <c r="G13147" s="21" t="n">
        <f aca="false">IF(G13123&lt;=0,0,IF(AND((G13144-G13145)/G13123&lt;=$C$13142,G13123/G13146&gt;=$C$13143),1,0))</f>
        <v>1</v>
      </c>
      <c r="H13147" s="21" t="n">
        <f aca="false">IF(H13123&lt;=0,0,IF(AND((H13144-H13145)/H13123&lt;=$C$13142,H13123/H13146&gt;=$C$13143),1,0))</f>
        <v>1</v>
      </c>
      <c r="I13147" s="21" t="n">
        <f aca="false">IF(I13123&lt;=0,0,IF(AND((I13144-I13145)/I13123&lt;=$C$13142,I13123/I13146&gt;=$C$13143),1,0))</f>
        <v>1</v>
      </c>
      <c r="J13147" s="21" t="n">
        <f aca="false">IF(J13123&lt;=0,0,IF(AND((J13144-J13145)/J13123&lt;=$C$13142,J13123/J13146&gt;=$C$13143),1,0))</f>
        <v>1</v>
      </c>
      <c r="K13147" s="21" t="n">
        <f aca="false">IF(K13123&lt;=0,0,IF(AND((K13144-K13145)/K13123&lt;=$C$13142,K13123/K13146&gt;=$C$13143),1,0))</f>
        <v>1</v>
      </c>
    </row>
    <row r="13148" customFormat="false" ht="15" hidden="false" customHeight="false" outlineLevel="0" collapsed="false">
      <c r="A13148" s="24" t="s">
        <v>328</v>
      </c>
      <c r="B13148" s="25"/>
      <c r="C13148" s="25"/>
      <c r="D13148" s="25"/>
      <c r="E13148" s="25"/>
      <c r="F13148" s="25"/>
      <c r="G13148" s="25"/>
      <c r="H13148" s="25"/>
      <c r="I13148" s="25"/>
      <c r="J13148" s="25"/>
      <c r="K13148" s="25"/>
    </row>
    <row r="13149" customFormat="false" ht="15" hidden="false" customHeight="false" outlineLevel="0" collapsed="false">
      <c r="A13149" s="3" t="s">
        <v>329</v>
      </c>
      <c r="G13149" s="16" t="n">
        <f aca="false">F13160</f>
        <v>400</v>
      </c>
      <c r="H13149" s="16" t="n">
        <f aca="false">G13160</f>
        <v>396</v>
      </c>
      <c r="I13149" s="16" t="n">
        <f aca="false">H13160</f>
        <v>392</v>
      </c>
      <c r="J13149" s="16" t="n">
        <f aca="false">I13160</f>
        <v>388</v>
      </c>
      <c r="K13149" s="16" t="n">
        <f aca="false">J13160</f>
        <v>384</v>
      </c>
    </row>
    <row r="13150" customFormat="false" ht="15" hidden="false" customHeight="false" outlineLevel="0" collapsed="false">
      <c r="A13150" s="3" t="s">
        <v>330</v>
      </c>
      <c r="G13150" s="21" t="n">
        <f aca="false">IF(G13113=Assumptions!$K$57,1,0)</f>
        <v>0</v>
      </c>
      <c r="H13150" s="21" t="n">
        <f aca="false">IF(H13113=Assumptions!$K$57,1,0)</f>
        <v>0</v>
      </c>
      <c r="I13150" s="21" t="n">
        <f aca="false">IF(I13113=Assumptions!$K$57,1,0)</f>
        <v>0</v>
      </c>
      <c r="J13150" s="21" t="n">
        <f aca="false">IF(J13113=Assumptions!$K$57,1,0)</f>
        <v>0</v>
      </c>
      <c r="K13150" s="21" t="n">
        <f aca="false">IF(K13113=Assumptions!$K$57,1,0)</f>
        <v>1</v>
      </c>
    </row>
    <row r="13152" customFormat="false" ht="15" hidden="false" customHeight="false" outlineLevel="0" collapsed="false">
      <c r="A13152" s="3" t="s">
        <v>331</v>
      </c>
      <c r="G13152" s="31" t="n">
        <f aca="false">IF(Assumptions!$I$57=1,MAX(G13139,Assumptions!$G$57)+Assumptions!$F$57+$C$13140,Assumptions!$E$57)</f>
        <v>0.0915</v>
      </c>
      <c r="H13152" s="31" t="n">
        <f aca="false">IF(G13459=1,$C$13141,IF(Assumptions!$I$57=1,MAX(H13139,Assumptions!$G$57)+Assumptions!$F$57+$C$13140,Assumptions!$E$57))</f>
        <v>0.09</v>
      </c>
      <c r="I13152" s="31" t="n">
        <f aca="false">IF(H13459=1,$C$13141,IF(Assumptions!$I$57=1,MAX(I13139,Assumptions!$G$57)+Assumptions!$F$57+$C$13140,Assumptions!$E$57))</f>
        <v>0.0875</v>
      </c>
      <c r="J13152" s="31" t="n">
        <f aca="false">IF(I13459=1,$C$13141,IF(Assumptions!$I$57=1,MAX(J13139,Assumptions!$G$57)+Assumptions!$F$57+$C$13140,Assumptions!$E$57))</f>
        <v>0.0875</v>
      </c>
      <c r="K13152" s="31" t="n">
        <f aca="false">IF(J13459=1,$C$13141,IF(Assumptions!$I$57=1,MAX(K13139,Assumptions!$G$57)+Assumptions!$F$57+$C$13140,Assumptions!$E$57))</f>
        <v>0.0875</v>
      </c>
    </row>
    <row r="13153" customFormat="false" ht="15" hidden="false" customHeight="false" outlineLevel="0" collapsed="false">
      <c r="A13153" s="3" t="s">
        <v>332</v>
      </c>
      <c r="G13153" s="16" t="n">
        <f aca="false">G13149*G13152</f>
        <v>36.6</v>
      </c>
      <c r="H13153" s="16" t="n">
        <f aca="false">H13149*H13152</f>
        <v>35.64</v>
      </c>
      <c r="I13153" s="16" t="n">
        <f aca="false">I13149*I13152</f>
        <v>34.3</v>
      </c>
      <c r="J13153" s="16" t="n">
        <f aca="false">J13149*J13152</f>
        <v>33.95</v>
      </c>
      <c r="K13153" s="16" t="n">
        <f aca="false">K13149*K13152</f>
        <v>33.6</v>
      </c>
    </row>
    <row r="13154" customFormat="false" ht="15" hidden="false" customHeight="false" outlineLevel="0" collapsed="false">
      <c r="A13154" s="3" t="s">
        <v>333</v>
      </c>
      <c r="G13154" s="16" t="n">
        <f aca="false">G13149*Assumptions!$H$57</f>
        <v>0</v>
      </c>
      <c r="H13154" s="16" t="n">
        <f aca="false">H13149*Assumptions!$H$57</f>
        <v>0</v>
      </c>
      <c r="I13154" s="16" t="n">
        <f aca="false">I13149*Assumptions!$H$57</f>
        <v>0</v>
      </c>
      <c r="J13154" s="16" t="n">
        <f aca="false">J13149*Assumptions!$H$57</f>
        <v>0</v>
      </c>
      <c r="K13154" s="16" t="n">
        <f aca="false">K13149*Assumptions!$H$57</f>
        <v>0</v>
      </c>
    </row>
    <row r="13155" customFormat="false" ht="15" hidden="false" customHeight="false" outlineLevel="0" collapsed="false">
      <c r="A13155" s="3" t="s">
        <v>334</v>
      </c>
      <c r="G13155" s="16" t="n">
        <f aca="false">MIN(G13149,Assumptions!$L$57*Assumptions!$C$57)</f>
        <v>4</v>
      </c>
      <c r="H13155" s="16" t="n">
        <f aca="false">MIN(H13149,Assumptions!$L$57*Assumptions!$C$57)</f>
        <v>4</v>
      </c>
      <c r="I13155" s="16" t="n">
        <f aca="false">MIN(I13149,Assumptions!$L$57*Assumptions!$C$57)</f>
        <v>4</v>
      </c>
      <c r="J13155" s="16" t="n">
        <f aca="false">MIN(J13149,Assumptions!$L$57*Assumptions!$C$57)</f>
        <v>4</v>
      </c>
      <c r="K13155" s="16" t="n">
        <f aca="false">MIN(K13149,Assumptions!$L$57*Assumptions!$C$57)</f>
        <v>4</v>
      </c>
    </row>
    <row r="13156" customFormat="false" ht="15" hidden="false" customHeight="false" outlineLevel="0" collapsed="false">
      <c r="A13156" s="3" t="s">
        <v>335</v>
      </c>
      <c r="G13156" s="16" t="n">
        <f aca="false">IF(AND(Assumptions!$P$57=1,G13113&lt;Assumptions!$K$57),MIN(MAX(0,-G13329),MAX(0,Assumptions!$D$57-G13149)),0)</f>
        <v>0</v>
      </c>
      <c r="H13156" s="16" t="n">
        <f aca="false">IF(AND(Assumptions!$P$57=1,OR(H13113&lt;Assumptions!$K$57,G13459=1)),MIN(MAX(0,-H13329),MAX(0,Assumptions!$D$57-H13149)),0)</f>
        <v>0</v>
      </c>
      <c r="I13156" s="16" t="n">
        <f aca="false">IF(AND(Assumptions!$P$57=1,OR(I13113&lt;Assumptions!$K$57,H13459=1)),MIN(MAX(0,-I13329),MAX(0,Assumptions!$D$57-I13149)),0)</f>
        <v>0</v>
      </c>
      <c r="J13156" s="16" t="n">
        <f aca="false">IF(AND(Assumptions!$P$57=1,OR(J13113&lt;Assumptions!$K$57,I13459=1)),MIN(MAX(0,-J13329),MAX(0,Assumptions!$D$57-J13149)),0)</f>
        <v>0</v>
      </c>
      <c r="K13156" s="16" t="n">
        <f aca="false">IF(AND(Assumptions!$P$57=1,OR(K13113&lt;Assumptions!$K$57,J13459=1)),MIN(MAX(0,-K13329),MAX(0,Assumptions!$D$57-K13149)),0)</f>
        <v>0</v>
      </c>
    </row>
    <row r="13157" customFormat="false" ht="15" hidden="false" customHeight="false" outlineLevel="0" collapsed="false">
      <c r="A13157" s="3" t="s">
        <v>336</v>
      </c>
      <c r="G13157" s="16" t="n">
        <f aca="false">G13150*MIN(G13149-G13155+G13154,MAX(0,G13331-Assumptions!$C$12*G13147))</f>
        <v>0</v>
      </c>
      <c r="H13157" s="16" t="n">
        <f aca="false">H13150*MIN(H13149-H13155+H13154,MAX(0,H13331-Assumptions!$C$12*H13147))</f>
        <v>0</v>
      </c>
      <c r="I13157" s="16" t="n">
        <f aca="false">I13150*MIN(I13149-I13155+I13154,MAX(0,I13331-Assumptions!$C$12*I13147))</f>
        <v>0</v>
      </c>
      <c r="J13157" s="16" t="n">
        <f aca="false">J13150*MIN(J13149-J13155+J13154,MAX(0,J13331-Assumptions!$C$12*J13147))</f>
        <v>0</v>
      </c>
      <c r="K13157" s="16" t="n">
        <f aca="false">K13150*MIN(K13149-K13155+K13154,MAX(0,K13331-Assumptions!$C$12*K13147))</f>
        <v>0</v>
      </c>
    </row>
    <row r="13158" customFormat="false" ht="15" hidden="false" customHeight="false" outlineLevel="0" collapsed="false">
      <c r="A13158" s="3" t="s">
        <v>337</v>
      </c>
      <c r="G13158" s="16" t="n">
        <f aca="false">Assumptions!$N$57*MIN(G13149+G13156+G13154-G13155-G13157,MAX(0,G13335))</f>
        <v>0</v>
      </c>
      <c r="H13158" s="16" t="n">
        <f aca="false">Assumptions!$N$57*MIN(H13149+H13156+H13154-H13155-H13157,MAX(0,H13335))</f>
        <v>0</v>
      </c>
      <c r="I13158" s="16" t="n">
        <f aca="false">Assumptions!$N$57*MIN(I13149+I13156+I13154-I13155-I13157,MAX(0,I13335))</f>
        <v>0</v>
      </c>
      <c r="J13158" s="16" t="n">
        <f aca="false">Assumptions!$N$57*MIN(J13149+J13156+J13154-J13155-J13157,MAX(0,J13335))</f>
        <v>0</v>
      </c>
      <c r="K13158" s="16" t="n">
        <f aca="false">Assumptions!$N$57*MIN(K13149+K13156+K13154-K13155-K13157,MAX(0,K13335))</f>
        <v>0</v>
      </c>
    </row>
    <row r="13159" customFormat="false" ht="15" hidden="false" customHeight="false" outlineLevel="0" collapsed="false">
      <c r="A13159" s="3" t="s">
        <v>338</v>
      </c>
      <c r="G13159" s="16" t="n">
        <f aca="false">G13150*(1-G13147)*(G13149-G13155+G13154-G13157)</f>
        <v>0</v>
      </c>
      <c r="H13159" s="16" t="n">
        <f aca="false">H13150*(1-H13147)*(H13149-H13155+H13154-H13157)</f>
        <v>0</v>
      </c>
      <c r="I13159" s="16" t="n">
        <f aca="false">I13150*(1-I13147)*(I13149-I13155+I13154-I13157)</f>
        <v>0</v>
      </c>
      <c r="J13159" s="16" t="n">
        <f aca="false">J13150*(1-J13147)*(J13149-J13155+J13154-J13157)</f>
        <v>0</v>
      </c>
      <c r="K13159" s="16" t="n">
        <f aca="false">K13150*(1-K13147)*(K13149-K13155+K13154-K13157)</f>
        <v>0</v>
      </c>
    </row>
    <row r="13160" customFormat="false" ht="15" hidden="false" customHeight="false" outlineLevel="0" collapsed="false">
      <c r="A13160" s="2" t="s">
        <v>339</v>
      </c>
      <c r="F13160" s="28" t="n">
        <f aca="false">Assumptions!$C$57</f>
        <v>400</v>
      </c>
      <c r="G13160" s="17" t="n">
        <f aca="false">G13149+G13156+G13154-G13155-G13157-G13158</f>
        <v>396</v>
      </c>
      <c r="H13160" s="17" t="n">
        <f aca="false">H13149+H13156+H13154-H13155-H13157-H13158</f>
        <v>392</v>
      </c>
      <c r="I13160" s="17" t="n">
        <f aca="false">I13149+I13156+I13154-I13155-I13157-I13158</f>
        <v>388</v>
      </c>
      <c r="J13160" s="17" t="n">
        <f aca="false">J13149+J13156+J13154-J13155-J13157-J13158</f>
        <v>384</v>
      </c>
      <c r="K13160" s="17" t="n">
        <f aca="false">K13149+K13156+K13154-K13155-K13157-K13158</f>
        <v>380</v>
      </c>
    </row>
    <row r="13161" customFormat="false" ht="15" hidden="false" customHeight="false" outlineLevel="0" collapsed="false">
      <c r="A13161" s="24" t="s">
        <v>340</v>
      </c>
      <c r="B13161" s="25"/>
      <c r="C13161" s="25"/>
      <c r="D13161" s="25"/>
      <c r="E13161" s="25"/>
      <c r="F13161" s="25"/>
      <c r="G13161" s="25"/>
      <c r="H13161" s="25"/>
      <c r="I13161" s="25"/>
      <c r="J13161" s="25"/>
      <c r="K13161" s="25"/>
    </row>
    <row r="13162" customFormat="false" ht="15" hidden="false" customHeight="false" outlineLevel="0" collapsed="false">
      <c r="A13162" s="3" t="s">
        <v>329</v>
      </c>
      <c r="G13162" s="16" t="n">
        <f aca="false">F13173</f>
        <v>90</v>
      </c>
      <c r="H13162" s="16" t="n">
        <f aca="false">G13173</f>
        <v>90</v>
      </c>
      <c r="I13162" s="16" t="n">
        <f aca="false">H13173</f>
        <v>90</v>
      </c>
      <c r="J13162" s="16" t="n">
        <f aca="false">I13173</f>
        <v>90</v>
      </c>
      <c r="K13162" s="16" t="n">
        <f aca="false">J13173</f>
        <v>90</v>
      </c>
    </row>
    <row r="13163" customFormat="false" ht="15" hidden="false" customHeight="false" outlineLevel="0" collapsed="false">
      <c r="A13163" s="3" t="s">
        <v>330</v>
      </c>
      <c r="G13163" s="21" t="n">
        <f aca="false">IF(G13113=Assumptions!$K$58,1,0)</f>
        <v>0</v>
      </c>
      <c r="H13163" s="21" t="n">
        <f aca="false">IF(H13113=Assumptions!$K$58,1,0)</f>
        <v>0</v>
      </c>
      <c r="I13163" s="21" t="n">
        <f aca="false">IF(I13113=Assumptions!$K$58,1,0)</f>
        <v>0</v>
      </c>
      <c r="J13163" s="21" t="n">
        <f aca="false">IF(J13113=Assumptions!$K$58,1,0)</f>
        <v>0</v>
      </c>
      <c r="K13163" s="21" t="n">
        <f aca="false">IF(K13113=Assumptions!$K$58,1,0)</f>
        <v>0</v>
      </c>
    </row>
    <row r="13165" customFormat="false" ht="15" hidden="false" customHeight="false" outlineLevel="0" collapsed="false">
      <c r="A13165" s="3" t="s">
        <v>331</v>
      </c>
      <c r="G13165" s="31" t="n">
        <f aca="false">IF(Assumptions!$I$58=1,MAX(G13139,Assumptions!$G$58)+Assumptions!$F$58+$C$13140,Assumptions!$E$58)</f>
        <v>0.0581</v>
      </c>
      <c r="H13165" s="31" t="n">
        <f aca="false">IF(G13460=1,$C$13141,IF(Assumptions!$I$58=1,MAX(H13139,Assumptions!$G$58)+Assumptions!$F$58+$C$13140,Assumptions!$E$58))</f>
        <v>0.0581</v>
      </c>
      <c r="I13165" s="31" t="n">
        <f aca="false">IF(H13460=1,$C$13141,IF(Assumptions!$I$58=1,MAX(I13139,Assumptions!$G$58)+Assumptions!$F$58+$C$13140,Assumptions!$E$58))</f>
        <v>0.0581</v>
      </c>
      <c r="J13165" s="31" t="n">
        <f aca="false">IF(I13460=1,$C$13141,IF(Assumptions!$I$58=1,MAX(J13139,Assumptions!$G$58)+Assumptions!$F$58+$C$13140,Assumptions!$E$58))</f>
        <v>0.0581</v>
      </c>
      <c r="K13165" s="31" t="n">
        <f aca="false">IF(J13460=1,$C$13141,IF(Assumptions!$I$58=1,MAX(K13139,Assumptions!$G$58)+Assumptions!$F$58+$C$13140,Assumptions!$E$58))</f>
        <v>0.0581</v>
      </c>
    </row>
    <row r="13166" customFormat="false" ht="15" hidden="false" customHeight="false" outlineLevel="0" collapsed="false">
      <c r="A13166" s="3" t="s">
        <v>332</v>
      </c>
      <c r="G13166" s="16" t="n">
        <f aca="false">G13162*G13165</f>
        <v>5.229</v>
      </c>
      <c r="H13166" s="16" t="n">
        <f aca="false">H13162*H13165</f>
        <v>5.229</v>
      </c>
      <c r="I13166" s="16" t="n">
        <f aca="false">I13162*I13165</f>
        <v>5.229</v>
      </c>
      <c r="J13166" s="16" t="n">
        <f aca="false">J13162*J13165</f>
        <v>5.229</v>
      </c>
      <c r="K13166" s="16" t="n">
        <f aca="false">K13162*K13165</f>
        <v>5.229</v>
      </c>
    </row>
    <row r="13167" customFormat="false" ht="15" hidden="false" customHeight="false" outlineLevel="0" collapsed="false">
      <c r="A13167" s="3" t="s">
        <v>333</v>
      </c>
      <c r="G13167" s="16" t="n">
        <f aca="false">G13162*Assumptions!$H$58</f>
        <v>0</v>
      </c>
      <c r="H13167" s="16" t="n">
        <f aca="false">H13162*Assumptions!$H$58</f>
        <v>0</v>
      </c>
      <c r="I13167" s="16" t="n">
        <f aca="false">I13162*Assumptions!$H$58</f>
        <v>0</v>
      </c>
      <c r="J13167" s="16" t="n">
        <f aca="false">J13162*Assumptions!$H$58</f>
        <v>0</v>
      </c>
      <c r="K13167" s="16" t="n">
        <f aca="false">K13162*Assumptions!$H$58</f>
        <v>0</v>
      </c>
    </row>
    <row r="13168" customFormat="false" ht="15" hidden="false" customHeight="false" outlineLevel="0" collapsed="false">
      <c r="A13168" s="3" t="s">
        <v>334</v>
      </c>
      <c r="G13168" s="16" t="n">
        <f aca="false">MIN(G13162,Assumptions!$L$58*Assumptions!$C$58)</f>
        <v>0</v>
      </c>
      <c r="H13168" s="16" t="n">
        <f aca="false">MIN(H13162,Assumptions!$L$58*Assumptions!$C$58)</f>
        <v>0</v>
      </c>
      <c r="I13168" s="16" t="n">
        <f aca="false">MIN(I13162,Assumptions!$L$58*Assumptions!$C$58)</f>
        <v>0</v>
      </c>
      <c r="J13168" s="16" t="n">
        <f aca="false">MIN(J13162,Assumptions!$L$58*Assumptions!$C$58)</f>
        <v>0</v>
      </c>
      <c r="K13168" s="16" t="n">
        <f aca="false">MIN(K13162,Assumptions!$L$58*Assumptions!$C$58)</f>
        <v>0</v>
      </c>
    </row>
    <row r="13169" customFormat="false" ht="15" hidden="false" customHeight="false" outlineLevel="0" collapsed="false">
      <c r="A13169" s="3" t="s">
        <v>335</v>
      </c>
      <c r="G13169" s="16" t="n">
        <f aca="false">IF(AND(Assumptions!$P$58=1,G13113&lt;Assumptions!$K$58),MIN(MAX(0,-G13329),MAX(0,Assumptions!$D$58-G13162)),0)</f>
        <v>0</v>
      </c>
      <c r="H13169" s="16" t="n">
        <f aca="false">IF(AND(Assumptions!$P$58=1,OR(H13113&lt;Assumptions!$K$58,G13460=1)),MIN(MAX(0,-H13329),MAX(0,Assumptions!$D$58-H13162)),0)</f>
        <v>0</v>
      </c>
      <c r="I13169" s="16" t="n">
        <f aca="false">IF(AND(Assumptions!$P$58=1,OR(I13113&lt;Assumptions!$K$58,H13460=1)),MIN(MAX(0,-I13329),MAX(0,Assumptions!$D$58-I13162)),0)</f>
        <v>0</v>
      </c>
      <c r="J13169" s="16" t="n">
        <f aca="false">IF(AND(Assumptions!$P$58=1,OR(J13113&lt;Assumptions!$K$58,I13460=1)),MIN(MAX(0,-J13329),MAX(0,Assumptions!$D$58-J13162)),0)</f>
        <v>0</v>
      </c>
      <c r="K13169" s="16" t="n">
        <f aca="false">IF(AND(Assumptions!$P$58=1,OR(K13113&lt;Assumptions!$K$58,J13460=1)),MIN(MAX(0,-K13329),MAX(0,Assumptions!$D$58-K13162)),0)</f>
        <v>0</v>
      </c>
    </row>
    <row r="13170" customFormat="false" ht="15" hidden="false" customHeight="false" outlineLevel="0" collapsed="false">
      <c r="A13170" s="3" t="s">
        <v>336</v>
      </c>
      <c r="G13170" s="16" t="n">
        <f aca="false">G13163*MIN(G13162-G13168+G13167,MAX(0,G13331-Assumptions!$C$12*G13147-G13157))</f>
        <v>0</v>
      </c>
      <c r="H13170" s="16" t="n">
        <f aca="false">H13163*MIN(H13162-H13168+H13167,MAX(0,H13331-Assumptions!$C$12*H13147-H13157))</f>
        <v>0</v>
      </c>
      <c r="I13170" s="16" t="n">
        <f aca="false">I13163*MIN(I13162-I13168+I13167,MAX(0,I13331-Assumptions!$C$12*I13147-I13157))</f>
        <v>0</v>
      </c>
      <c r="J13170" s="16" t="n">
        <f aca="false">J13163*MIN(J13162-J13168+J13167,MAX(0,J13331-Assumptions!$C$12*J13147-J13157))</f>
        <v>0</v>
      </c>
      <c r="K13170" s="16" t="n">
        <f aca="false">K13163*MIN(K13162-K13168+K13167,MAX(0,K13331-Assumptions!$C$12*K13147-K13157))</f>
        <v>0</v>
      </c>
    </row>
    <row r="13171" customFormat="false" ht="15" hidden="false" customHeight="false" outlineLevel="0" collapsed="false">
      <c r="A13171" s="3" t="s">
        <v>337</v>
      </c>
      <c r="G13171" s="16" t="n">
        <f aca="false">Assumptions!$N$58*MIN(G13162+G13169+G13167-G13168-G13170,MAX(0,G13335-G13158))</f>
        <v>0</v>
      </c>
      <c r="H13171" s="16" t="n">
        <f aca="false">Assumptions!$N$58*MIN(H13162+H13169+H13167-H13168-H13170,MAX(0,H13335-H13158))</f>
        <v>0</v>
      </c>
      <c r="I13171" s="16" t="n">
        <f aca="false">Assumptions!$N$58*MIN(I13162+I13169+I13167-I13168-I13170,MAX(0,I13335-I13158))</f>
        <v>0</v>
      </c>
      <c r="J13171" s="16" t="n">
        <f aca="false">Assumptions!$N$58*MIN(J13162+J13169+J13167-J13168-J13170,MAX(0,J13335-J13158))</f>
        <v>0</v>
      </c>
      <c r="K13171" s="16" t="n">
        <f aca="false">Assumptions!$N$58*MIN(K13162+K13169+K13167-K13168-K13170,MAX(0,K13335-K13158))</f>
        <v>0</v>
      </c>
    </row>
    <row r="13172" customFormat="false" ht="15" hidden="false" customHeight="false" outlineLevel="0" collapsed="false">
      <c r="A13172" s="3" t="s">
        <v>338</v>
      </c>
      <c r="G13172" s="16" t="n">
        <f aca="false">G13163*(1-G13147)*(G13162-G13168+G13167-G13170)</f>
        <v>0</v>
      </c>
      <c r="H13172" s="16" t="n">
        <f aca="false">H13163*(1-H13147)*(H13162-H13168+H13167-H13170)</f>
        <v>0</v>
      </c>
      <c r="I13172" s="16" t="n">
        <f aca="false">I13163*(1-I13147)*(I13162-I13168+I13167-I13170)</f>
        <v>0</v>
      </c>
      <c r="J13172" s="16" t="n">
        <f aca="false">J13163*(1-J13147)*(J13162-J13168+J13167-J13170)</f>
        <v>0</v>
      </c>
      <c r="K13172" s="16" t="n">
        <f aca="false">K13163*(1-K13147)*(K13162-K13168+K13167-K13170)</f>
        <v>0</v>
      </c>
    </row>
    <row r="13173" customFormat="false" ht="15" hidden="false" customHeight="false" outlineLevel="0" collapsed="false">
      <c r="A13173" s="2" t="s">
        <v>339</v>
      </c>
      <c r="F13173" s="28" t="n">
        <f aca="false">Assumptions!$C$58</f>
        <v>90</v>
      </c>
      <c r="G13173" s="17" t="n">
        <f aca="false">G13162+G13169+G13167-G13168-G13170-G13171</f>
        <v>90</v>
      </c>
      <c r="H13173" s="17" t="n">
        <f aca="false">H13162+H13169+H13167-H13168-H13170-H13171</f>
        <v>90</v>
      </c>
      <c r="I13173" s="17" t="n">
        <f aca="false">I13162+I13169+I13167-I13168-I13170-I13171</f>
        <v>90</v>
      </c>
      <c r="J13173" s="17" t="n">
        <f aca="false">J13162+J13169+J13167-J13168-J13170-J13171</f>
        <v>90</v>
      </c>
      <c r="K13173" s="17" t="n">
        <f aca="false">K13162+K13169+K13167-K13168-K13170-K13171</f>
        <v>90</v>
      </c>
    </row>
    <row r="13174" customFormat="false" ht="15" hidden="false" customHeight="false" outlineLevel="0" collapsed="false">
      <c r="A13174" s="24" t="s">
        <v>341</v>
      </c>
      <c r="B13174" s="25"/>
      <c r="C13174" s="25"/>
      <c r="D13174" s="25"/>
      <c r="E13174" s="25"/>
      <c r="F13174" s="25"/>
      <c r="G13174" s="25"/>
      <c r="H13174" s="25"/>
      <c r="I13174" s="25"/>
      <c r="J13174" s="25"/>
      <c r="K13174" s="25"/>
    </row>
    <row r="13175" customFormat="false" ht="15" hidden="false" customHeight="false" outlineLevel="0" collapsed="false">
      <c r="A13175" s="3" t="s">
        <v>329</v>
      </c>
      <c r="G13175" s="16" t="n">
        <f aca="false">F13186</f>
        <v>57.324</v>
      </c>
      <c r="H13175" s="16" t="n">
        <f aca="false">G13186</f>
        <v>57.324</v>
      </c>
      <c r="I13175" s="16" t="n">
        <f aca="false">H13186</f>
        <v>57.324</v>
      </c>
      <c r="J13175" s="16" t="n">
        <f aca="false">I13186</f>
        <v>57.324</v>
      </c>
      <c r="K13175" s="16" t="n">
        <f aca="false">J13186</f>
        <v>57.324</v>
      </c>
    </row>
    <row r="13176" customFormat="false" ht="15" hidden="false" customHeight="false" outlineLevel="0" collapsed="false">
      <c r="A13176" s="3" t="s">
        <v>330</v>
      </c>
      <c r="G13176" s="21" t="n">
        <f aca="false">IF(G13113=Assumptions!$K$59,1,0)</f>
        <v>0</v>
      </c>
      <c r="H13176" s="21" t="n">
        <f aca="false">IF(H13113=Assumptions!$K$59,1,0)</f>
        <v>0</v>
      </c>
      <c r="I13176" s="21" t="n">
        <f aca="false">IF(I13113=Assumptions!$K$59,1,0)</f>
        <v>0</v>
      </c>
      <c r="J13176" s="21" t="n">
        <f aca="false">IF(J13113=Assumptions!$K$59,1,0)</f>
        <v>0</v>
      </c>
      <c r="K13176" s="21" t="n">
        <f aca="false">IF(K13113=Assumptions!$K$59,1,0)</f>
        <v>0</v>
      </c>
    </row>
    <row r="13178" customFormat="false" ht="15" hidden="false" customHeight="false" outlineLevel="0" collapsed="false">
      <c r="A13178" s="3" t="s">
        <v>331</v>
      </c>
      <c r="G13178" s="31" t="n">
        <f aca="false">IF(Assumptions!$I$59=1,MAX(G13139,Assumptions!$G$59)+Assumptions!$F$59+$C$13140,Assumptions!$E$59)</f>
        <v>0.0731</v>
      </c>
      <c r="H13178" s="31" t="n">
        <f aca="false">IF(G13461=1,$C$13141,IF(Assumptions!$I$59=1,MAX(H13139,Assumptions!$G$59)+Assumptions!$F$59+$C$13140,Assumptions!$E$59))</f>
        <v>0.0731</v>
      </c>
      <c r="I13178" s="31" t="n">
        <f aca="false">IF(H13461=1,$C$13141,IF(Assumptions!$I$59=1,MAX(I13139,Assumptions!$G$59)+Assumptions!$F$59+$C$13140,Assumptions!$E$59))</f>
        <v>0.0731</v>
      </c>
      <c r="J13178" s="31" t="n">
        <f aca="false">IF(I13461=1,$C$13141,IF(Assumptions!$I$59=1,MAX(J13139,Assumptions!$G$59)+Assumptions!$F$59+$C$13140,Assumptions!$E$59))</f>
        <v>0.0731</v>
      </c>
      <c r="K13178" s="31" t="n">
        <f aca="false">IF(J13461=1,$C$13141,IF(Assumptions!$I$59=1,MAX(K13139,Assumptions!$G$59)+Assumptions!$F$59+$C$13140,Assumptions!$E$59))</f>
        <v>0.0731</v>
      </c>
    </row>
    <row r="13179" customFormat="false" ht="15" hidden="false" customHeight="false" outlineLevel="0" collapsed="false">
      <c r="A13179" s="3" t="s">
        <v>332</v>
      </c>
      <c r="G13179" s="16" t="n">
        <f aca="false">G13175*G13178</f>
        <v>4.1903844</v>
      </c>
      <c r="H13179" s="16" t="n">
        <f aca="false">H13175*H13178</f>
        <v>4.1903844</v>
      </c>
      <c r="I13179" s="16" t="n">
        <f aca="false">I13175*I13178</f>
        <v>4.1903844</v>
      </c>
      <c r="J13179" s="16" t="n">
        <f aca="false">J13175*J13178</f>
        <v>4.1903844</v>
      </c>
      <c r="K13179" s="16" t="n">
        <f aca="false">K13175*K13178</f>
        <v>4.1903844</v>
      </c>
    </row>
    <row r="13180" customFormat="false" ht="15" hidden="false" customHeight="false" outlineLevel="0" collapsed="false">
      <c r="A13180" s="3" t="s">
        <v>333</v>
      </c>
      <c r="G13180" s="16" t="n">
        <f aca="false">G13175*Assumptions!$H$59</f>
        <v>0</v>
      </c>
      <c r="H13180" s="16" t="n">
        <f aca="false">H13175*Assumptions!$H$59</f>
        <v>0</v>
      </c>
      <c r="I13180" s="16" t="n">
        <f aca="false">I13175*Assumptions!$H$59</f>
        <v>0</v>
      </c>
      <c r="J13180" s="16" t="n">
        <f aca="false">J13175*Assumptions!$H$59</f>
        <v>0</v>
      </c>
      <c r="K13180" s="16" t="n">
        <f aca="false">K13175*Assumptions!$H$59</f>
        <v>0</v>
      </c>
    </row>
    <row r="13181" customFormat="false" ht="15" hidden="false" customHeight="false" outlineLevel="0" collapsed="false">
      <c r="A13181" s="3" t="s">
        <v>334</v>
      </c>
      <c r="G13181" s="16" t="n">
        <f aca="false">MIN(G13175,Assumptions!$L$59*Assumptions!$C$59)</f>
        <v>0</v>
      </c>
      <c r="H13181" s="16" t="n">
        <f aca="false">MIN(H13175,Assumptions!$L$59*Assumptions!$C$59)</f>
        <v>0</v>
      </c>
      <c r="I13181" s="16" t="n">
        <f aca="false">MIN(I13175,Assumptions!$L$59*Assumptions!$C$59)</f>
        <v>0</v>
      </c>
      <c r="J13181" s="16" t="n">
        <f aca="false">MIN(J13175,Assumptions!$L$59*Assumptions!$C$59)</f>
        <v>0</v>
      </c>
      <c r="K13181" s="16" t="n">
        <f aca="false">MIN(K13175,Assumptions!$L$59*Assumptions!$C$59)</f>
        <v>0</v>
      </c>
    </row>
    <row r="13182" customFormat="false" ht="15" hidden="false" customHeight="false" outlineLevel="0" collapsed="false">
      <c r="A13182" s="3" t="s">
        <v>335</v>
      </c>
      <c r="G13182" s="16" t="n">
        <f aca="false">IF(AND(Assumptions!$P$59=1,G13113&lt;Assumptions!$K$59),MIN(MAX(0,-G13329),MAX(0,Assumptions!$D$59-G13175)),0)</f>
        <v>0</v>
      </c>
      <c r="H13182" s="16" t="n">
        <f aca="false">IF(AND(Assumptions!$P$59=1,OR(H13113&lt;Assumptions!$K$59,G13461=1)),MIN(MAX(0,-H13329),MAX(0,Assumptions!$D$59-H13175)),0)</f>
        <v>0</v>
      </c>
      <c r="I13182" s="16" t="n">
        <f aca="false">IF(AND(Assumptions!$P$59=1,OR(I13113&lt;Assumptions!$K$59,H13461=1)),MIN(MAX(0,-I13329),MAX(0,Assumptions!$D$59-I13175)),0)</f>
        <v>0</v>
      </c>
      <c r="J13182" s="16" t="n">
        <f aca="false">IF(AND(Assumptions!$P$59=1,OR(J13113&lt;Assumptions!$K$59,I13461=1)),MIN(MAX(0,-J13329),MAX(0,Assumptions!$D$59-J13175)),0)</f>
        <v>0</v>
      </c>
      <c r="K13182" s="16" t="n">
        <f aca="false">IF(AND(Assumptions!$P$59=1,OR(K13113&lt;Assumptions!$K$59,J13461=1)),MIN(MAX(0,-K13329),MAX(0,Assumptions!$D$59-K13175)),0)</f>
        <v>0</v>
      </c>
    </row>
    <row r="13183" customFormat="false" ht="15" hidden="false" customHeight="false" outlineLevel="0" collapsed="false">
      <c r="A13183" s="3" t="s">
        <v>336</v>
      </c>
      <c r="G13183" s="16" t="n">
        <f aca="false">G13176*MIN(G13175-G13181+G13180,MAX(0,G13331-Assumptions!$C$12*G13147-G13157-G13170))</f>
        <v>0</v>
      </c>
      <c r="H13183" s="16" t="n">
        <f aca="false">H13176*MIN(H13175-H13181+H13180,MAX(0,H13331-Assumptions!$C$12*H13147-H13157-H13170))</f>
        <v>0</v>
      </c>
      <c r="I13183" s="16" t="n">
        <f aca="false">I13176*MIN(I13175-I13181+I13180,MAX(0,I13331-Assumptions!$C$12*I13147-I13157-I13170))</f>
        <v>0</v>
      </c>
      <c r="J13183" s="16" t="n">
        <f aca="false">J13176*MIN(J13175-J13181+J13180,MAX(0,J13331-Assumptions!$C$12*J13147-J13157-J13170))</f>
        <v>0</v>
      </c>
      <c r="K13183" s="16" t="n">
        <f aca="false">K13176*MIN(K13175-K13181+K13180,MAX(0,K13331-Assumptions!$C$12*K13147-K13157-K13170))</f>
        <v>0</v>
      </c>
    </row>
    <row r="13184" customFormat="false" ht="15" hidden="false" customHeight="false" outlineLevel="0" collapsed="false">
      <c r="A13184" s="3" t="s">
        <v>337</v>
      </c>
      <c r="G13184" s="16" t="n">
        <f aca="false">Assumptions!$N$59*MIN(G13175+G13182+G13180-G13181-G13183,MAX(0,G13335-G13158-G13171))</f>
        <v>0</v>
      </c>
      <c r="H13184" s="16" t="n">
        <f aca="false">Assumptions!$N$59*MIN(H13175+H13182+H13180-H13181-H13183,MAX(0,H13335-H13158-H13171))</f>
        <v>0</v>
      </c>
      <c r="I13184" s="16" t="n">
        <f aca="false">Assumptions!$N$59*MIN(I13175+I13182+I13180-I13181-I13183,MAX(0,I13335-I13158-I13171))</f>
        <v>0</v>
      </c>
      <c r="J13184" s="16" t="n">
        <f aca="false">Assumptions!$N$59*MIN(J13175+J13182+J13180-J13181-J13183,MAX(0,J13335-J13158-J13171))</f>
        <v>0</v>
      </c>
      <c r="K13184" s="16" t="n">
        <f aca="false">Assumptions!$N$59*MIN(K13175+K13182+K13180-K13181-K13183,MAX(0,K13335-K13158-K13171))</f>
        <v>0</v>
      </c>
    </row>
    <row r="13185" customFormat="false" ht="15" hidden="false" customHeight="false" outlineLevel="0" collapsed="false">
      <c r="A13185" s="3" t="s">
        <v>338</v>
      </c>
      <c r="G13185" s="16" t="n">
        <f aca="false">G13176*(1-G13147)*(G13175-G13181+G13180-G13183)</f>
        <v>0</v>
      </c>
      <c r="H13185" s="16" t="n">
        <f aca="false">H13176*(1-H13147)*(H13175-H13181+H13180-H13183)</f>
        <v>0</v>
      </c>
      <c r="I13185" s="16" t="n">
        <f aca="false">I13176*(1-I13147)*(I13175-I13181+I13180-I13183)</f>
        <v>0</v>
      </c>
      <c r="J13185" s="16" t="n">
        <f aca="false">J13176*(1-J13147)*(J13175-J13181+J13180-J13183)</f>
        <v>0</v>
      </c>
      <c r="K13185" s="16" t="n">
        <f aca="false">K13176*(1-K13147)*(K13175-K13181+K13180-K13183)</f>
        <v>0</v>
      </c>
    </row>
    <row r="13186" customFormat="false" ht="15" hidden="false" customHeight="false" outlineLevel="0" collapsed="false">
      <c r="A13186" s="2" t="s">
        <v>339</v>
      </c>
      <c r="F13186" s="28" t="n">
        <f aca="false">Assumptions!$C$59</f>
        <v>57.324</v>
      </c>
      <c r="G13186" s="17" t="n">
        <f aca="false">G13175+G13182+G13180-G13181-G13183-G13184</f>
        <v>57.324</v>
      </c>
      <c r="H13186" s="17" t="n">
        <f aca="false">H13175+H13182+H13180-H13181-H13183-H13184</f>
        <v>57.324</v>
      </c>
      <c r="I13186" s="17" t="n">
        <f aca="false">I13175+I13182+I13180-I13181-I13183-I13184</f>
        <v>57.324</v>
      </c>
      <c r="J13186" s="17" t="n">
        <f aca="false">J13175+J13182+J13180-J13181-J13183-J13184</f>
        <v>57.324</v>
      </c>
      <c r="K13186" s="17" t="n">
        <f aca="false">K13175+K13182+K13180-K13181-K13183-K13184</f>
        <v>57.324</v>
      </c>
    </row>
    <row r="13187" customFormat="false" ht="15" hidden="false" customHeight="false" outlineLevel="0" collapsed="false">
      <c r="A13187" s="24" t="s">
        <v>342</v>
      </c>
      <c r="B13187" s="25"/>
      <c r="C13187" s="25"/>
      <c r="D13187" s="25"/>
      <c r="E13187" s="25"/>
      <c r="F13187" s="25"/>
      <c r="G13187" s="25"/>
      <c r="H13187" s="25"/>
      <c r="I13187" s="25"/>
      <c r="J13187" s="25"/>
      <c r="K13187" s="25"/>
    </row>
    <row r="13188" customFormat="false" ht="15" hidden="false" customHeight="false" outlineLevel="0" collapsed="false">
      <c r="A13188" s="3" t="s">
        <v>329</v>
      </c>
      <c r="G13188" s="16" t="n">
        <f aca="false">F13199</f>
        <v>0</v>
      </c>
      <c r="H13188" s="16" t="n">
        <f aca="false">G13199</f>
        <v>0</v>
      </c>
      <c r="I13188" s="16" t="n">
        <f aca="false">H13199</f>
        <v>0</v>
      </c>
      <c r="J13188" s="16" t="n">
        <f aca="false">I13199</f>
        <v>66.796942182056</v>
      </c>
      <c r="K13188" s="16" t="n">
        <f aca="false">J13199</f>
        <v>155.677464864795</v>
      </c>
    </row>
    <row r="13189" customFormat="false" ht="15" hidden="false" customHeight="false" outlineLevel="0" collapsed="false">
      <c r="A13189" s="3" t="s">
        <v>330</v>
      </c>
      <c r="G13189" s="21" t="n">
        <f aca="false">IF(G13113=Assumptions!$K$60,1,0)</f>
        <v>1</v>
      </c>
      <c r="H13189" s="21" t="n">
        <f aca="false">IF(H13113=Assumptions!$K$60,1,0)</f>
        <v>0</v>
      </c>
      <c r="I13189" s="21" t="n">
        <f aca="false">IF(I13113=Assumptions!$K$60,1,0)</f>
        <v>0</v>
      </c>
      <c r="J13189" s="21" t="n">
        <f aca="false">IF(J13113=Assumptions!$K$60,1,0)</f>
        <v>0</v>
      </c>
      <c r="K13189" s="21" t="n">
        <f aca="false">IF(K13113=Assumptions!$K$60,1,0)</f>
        <v>0</v>
      </c>
    </row>
    <row r="13191" customFormat="false" ht="15" hidden="false" customHeight="false" outlineLevel="0" collapsed="false">
      <c r="A13191" s="3" t="s">
        <v>331</v>
      </c>
      <c r="G13191" s="31" t="n">
        <f aca="false">IF(Assumptions!$I$60=1,MAX(G13139,Assumptions!$G$60)+Assumptions!$F$60+$C$13140,Assumptions!$E$60)</f>
        <v>0.054</v>
      </c>
      <c r="H13191" s="31" t="n">
        <f aca="false">IF(G13462=1,$C$13141,IF(Assumptions!$I$60=1,MAX(H13139,Assumptions!$G$60)+Assumptions!$F$60+$C$13140,Assumptions!$E$60))</f>
        <v>0.08</v>
      </c>
      <c r="I13191" s="31" t="n">
        <f aca="false">IF(H13462=1,$C$13141,IF(Assumptions!$I$60=1,MAX(I13139,Assumptions!$G$60)+Assumptions!$F$60+$C$13140,Assumptions!$E$60))</f>
        <v>0.08</v>
      </c>
      <c r="J13191" s="31" t="n">
        <f aca="false">IF(I13462=1,$C$13141,IF(Assumptions!$I$60=1,MAX(J13139,Assumptions!$G$60)+Assumptions!$F$60+$C$13140,Assumptions!$E$60))</f>
        <v>0.08</v>
      </c>
      <c r="K13191" s="31" t="n">
        <f aca="false">IF(J13462=1,$C$13141,IF(Assumptions!$I$60=1,MAX(K13139,Assumptions!$G$60)+Assumptions!$F$60+$C$13140,Assumptions!$E$60))</f>
        <v>0.08</v>
      </c>
    </row>
    <row r="13192" customFormat="false" ht="15" hidden="false" customHeight="false" outlineLevel="0" collapsed="false">
      <c r="A13192" s="3" t="s">
        <v>332</v>
      </c>
      <c r="G13192" s="16" t="n">
        <f aca="false">G13188*G13191</f>
        <v>0</v>
      </c>
      <c r="H13192" s="16" t="n">
        <f aca="false">H13188*H13191</f>
        <v>0</v>
      </c>
      <c r="I13192" s="16" t="n">
        <f aca="false">I13188*I13191</f>
        <v>0</v>
      </c>
      <c r="J13192" s="16" t="n">
        <f aca="false">J13188*J13191</f>
        <v>5.34375537456448</v>
      </c>
      <c r="K13192" s="16" t="n">
        <f aca="false">K13188*K13191</f>
        <v>12.4541971891836</v>
      </c>
    </row>
    <row r="13193" customFormat="false" ht="15" hidden="false" customHeight="false" outlineLevel="0" collapsed="false">
      <c r="A13193" s="3" t="s">
        <v>333</v>
      </c>
      <c r="G13193" s="16" t="n">
        <f aca="false">G13188*Assumptions!$H$60</f>
        <v>0</v>
      </c>
      <c r="H13193" s="16" t="n">
        <f aca="false">H13188*Assumptions!$H$60</f>
        <v>0</v>
      </c>
      <c r="I13193" s="16" t="n">
        <f aca="false">I13188*Assumptions!$H$60</f>
        <v>0</v>
      </c>
      <c r="J13193" s="16" t="n">
        <f aca="false">J13188*Assumptions!$H$60</f>
        <v>0</v>
      </c>
      <c r="K13193" s="16" t="n">
        <f aca="false">K13188*Assumptions!$H$60</f>
        <v>0</v>
      </c>
    </row>
    <row r="13194" customFormat="false" ht="15" hidden="false" customHeight="false" outlineLevel="0" collapsed="false">
      <c r="A13194" s="3" t="s">
        <v>334</v>
      </c>
      <c r="G13194" s="16" t="n">
        <f aca="false">MIN(G13188,Assumptions!$L$60*Assumptions!$C$60)</f>
        <v>0</v>
      </c>
      <c r="H13194" s="16" t="n">
        <f aca="false">MIN(H13188,Assumptions!$L$60*Assumptions!$C$60)</f>
        <v>0</v>
      </c>
      <c r="I13194" s="16" t="n">
        <f aca="false">MIN(I13188,Assumptions!$L$60*Assumptions!$C$60)</f>
        <v>0</v>
      </c>
      <c r="J13194" s="16" t="n">
        <f aca="false">MIN(J13188,Assumptions!$L$60*Assumptions!$C$60)</f>
        <v>0</v>
      </c>
      <c r="K13194" s="16" t="n">
        <f aca="false">MIN(K13188,Assumptions!$L$60*Assumptions!$C$60)</f>
        <v>0</v>
      </c>
    </row>
    <row r="13195" customFormat="false" ht="15" hidden="false" customHeight="false" outlineLevel="0" collapsed="false">
      <c r="A13195" s="3" t="s">
        <v>335</v>
      </c>
      <c r="G13195" s="16" t="n">
        <f aca="false">IF(AND(Assumptions!$P$60=1,G13113&lt;Assumptions!$K$60),MIN(MAX(0,-G13329),MAX(0,Assumptions!$D$60-G13188)),0)</f>
        <v>0</v>
      </c>
      <c r="H13195" s="16" t="n">
        <f aca="false">IF(AND(Assumptions!$P$60=1,OR(H13113&lt;Assumptions!$K$60,G13462=1)),MIN(MAX(0,-H13329),MAX(0,Assumptions!$D$60-H13188)),0)</f>
        <v>0</v>
      </c>
      <c r="I13195" s="16" t="n">
        <f aca="false">IF(AND(Assumptions!$P$60=1,OR(I13113&lt;Assumptions!$K$60,H13462=1)),MIN(MAX(0,-I13329),MAX(0,Assumptions!$D$60-I13188)),0)</f>
        <v>66.796942182056</v>
      </c>
      <c r="J13195" s="16" t="n">
        <f aca="false">IF(AND(Assumptions!$P$60=1,OR(J13113&lt;Assumptions!$K$60,I13462=1)),MIN(MAX(0,-J13329),MAX(0,Assumptions!$D$60-J13188)),0)</f>
        <v>88.8805226827392</v>
      </c>
      <c r="K13195" s="16" t="n">
        <f aca="false">IF(AND(Assumptions!$P$60=1,OR(K13113&lt;Assumptions!$K$60,J13462=1)),MIN(MAX(0,-K13329),MAX(0,Assumptions!$D$60-K13188)),0)</f>
        <v>104.535819058653</v>
      </c>
    </row>
    <row r="13196" customFormat="false" ht="15" hidden="false" customHeight="false" outlineLevel="0" collapsed="false">
      <c r="A13196" s="3" t="s">
        <v>336</v>
      </c>
      <c r="G13196" s="16" t="n">
        <f aca="false">G13189*MIN(G13188-G13194+G13193,MAX(0,G13331-Assumptions!$C$12*G13147-G13157-G13170-G13183))</f>
        <v>0</v>
      </c>
      <c r="H13196" s="16" t="n">
        <f aca="false">H13189*MIN(H13188-H13194+H13193,MAX(0,H13331-Assumptions!$C$12*H13147-H13157-H13170-H13183))</f>
        <v>0</v>
      </c>
      <c r="I13196" s="16" t="n">
        <f aca="false">I13189*MIN(I13188-I13194+I13193,MAX(0,I13331-Assumptions!$C$12*I13147-I13157-I13170-I13183))</f>
        <v>0</v>
      </c>
      <c r="J13196" s="16" t="n">
        <f aca="false">J13189*MIN(J13188-J13194+J13193,MAX(0,J13331-Assumptions!$C$12*J13147-J13157-J13170-J13183))</f>
        <v>0</v>
      </c>
      <c r="K13196" s="16" t="n">
        <f aca="false">K13189*MIN(K13188-K13194+K13193,MAX(0,K13331-Assumptions!$C$12*K13147-K13157-K13170-K13183))</f>
        <v>0</v>
      </c>
    </row>
    <row r="13197" customFormat="false" ht="15" hidden="false" customHeight="false" outlineLevel="0" collapsed="false">
      <c r="A13197" s="3" t="s">
        <v>337</v>
      </c>
      <c r="G13197" s="16" t="n">
        <f aca="false">Assumptions!$N$60*MIN(G13188+G13195+G13193-G13194-G13196,MAX(0,G13335-G13158-G13171-G13184))</f>
        <v>0</v>
      </c>
      <c r="H13197" s="16" t="n">
        <f aca="false">Assumptions!$N$60*MIN(H13188+H13195+H13193-H13194-H13196,MAX(0,H13335-H13158-H13171-H13184))</f>
        <v>0</v>
      </c>
      <c r="I13197" s="16" t="n">
        <f aca="false">Assumptions!$N$60*MIN(I13188+I13195+I13193-I13194-I13196,MAX(0,I13335-I13158-I13171-I13184))</f>
        <v>0</v>
      </c>
      <c r="J13197" s="16" t="n">
        <f aca="false">Assumptions!$N$60*MIN(J13188+J13195+J13193-J13194-J13196,MAX(0,J13335-J13158-J13171-J13184))</f>
        <v>0</v>
      </c>
      <c r="K13197" s="16" t="n">
        <f aca="false">Assumptions!$N$60*MIN(K13188+K13195+K13193-K13194-K13196,MAX(0,K13335-K13158-K13171-K13184))</f>
        <v>0</v>
      </c>
    </row>
    <row r="13198" customFormat="false" ht="15" hidden="false" customHeight="false" outlineLevel="0" collapsed="false">
      <c r="A13198" s="3" t="s">
        <v>338</v>
      </c>
      <c r="G13198" s="16" t="n">
        <f aca="false">G13189*(1-G13147)*(G13188-G13194+G13193-G13196)</f>
        <v>0</v>
      </c>
      <c r="H13198" s="16" t="n">
        <f aca="false">H13189*(1-H13147)*(H13188-H13194+H13193-H13196)</f>
        <v>0</v>
      </c>
      <c r="I13198" s="16" t="n">
        <f aca="false">I13189*(1-I13147)*(I13188-I13194+I13193-I13196)</f>
        <v>0</v>
      </c>
      <c r="J13198" s="16" t="n">
        <f aca="false">J13189*(1-J13147)*(J13188-J13194+J13193-J13196)</f>
        <v>0</v>
      </c>
      <c r="K13198" s="16" t="n">
        <f aca="false">K13189*(1-K13147)*(K13188-K13194+K13193-K13196)</f>
        <v>0</v>
      </c>
    </row>
    <row r="13199" customFormat="false" ht="15" hidden="false" customHeight="false" outlineLevel="0" collapsed="false">
      <c r="A13199" s="2" t="s">
        <v>339</v>
      </c>
      <c r="F13199" s="28" t="n">
        <f aca="false">Assumptions!$C$60</f>
        <v>0</v>
      </c>
      <c r="G13199" s="17" t="n">
        <f aca="false">G13188+G13195+G13193-G13194-G13196-G13197</f>
        <v>0</v>
      </c>
      <c r="H13199" s="17" t="n">
        <f aca="false">H13188+H13195+H13193-H13194-H13196-H13197</f>
        <v>0</v>
      </c>
      <c r="I13199" s="17" t="n">
        <f aca="false">I13188+I13195+I13193-I13194-I13196-I13197</f>
        <v>66.796942182056</v>
      </c>
      <c r="J13199" s="17" t="n">
        <f aca="false">J13188+J13195+J13193-J13194-J13196-J13197</f>
        <v>155.677464864795</v>
      </c>
      <c r="K13199" s="17" t="n">
        <f aca="false">K13188+K13195+K13193-K13194-K13196-K13197</f>
        <v>260.213283923448</v>
      </c>
    </row>
    <row r="13200" customFormat="false" ht="15" hidden="false" customHeight="false" outlineLevel="0" collapsed="false">
      <c r="A13200" s="24" t="s">
        <v>343</v>
      </c>
      <c r="B13200" s="25"/>
      <c r="C13200" s="25"/>
      <c r="D13200" s="25"/>
      <c r="E13200" s="25"/>
      <c r="F13200" s="25"/>
      <c r="G13200" s="25"/>
      <c r="H13200" s="25"/>
      <c r="I13200" s="25"/>
      <c r="J13200" s="25"/>
      <c r="K13200" s="25"/>
    </row>
    <row r="13201" customFormat="false" ht="15" hidden="false" customHeight="false" outlineLevel="0" collapsed="false">
      <c r="A13201" s="3" t="s">
        <v>329</v>
      </c>
      <c r="G13201" s="16" t="n">
        <f aca="false">F13212</f>
        <v>450</v>
      </c>
      <c r="H13201" s="16" t="n">
        <f aca="false">G13212</f>
        <v>450</v>
      </c>
      <c r="I13201" s="16" t="n">
        <f aca="false">H13212</f>
        <v>407.7221513738</v>
      </c>
      <c r="J13201" s="16" t="n">
        <f aca="false">I13212</f>
        <v>407.7221513738</v>
      </c>
      <c r="K13201" s="16" t="n">
        <f aca="false">J13212</f>
        <v>407.7221513738</v>
      </c>
    </row>
    <row r="13202" customFormat="false" ht="15" hidden="false" customHeight="false" outlineLevel="0" collapsed="false">
      <c r="A13202" s="3" t="s">
        <v>330</v>
      </c>
      <c r="G13202" s="21" t="n">
        <f aca="false">IF(G13113=Assumptions!$K$61,1,0)</f>
        <v>0</v>
      </c>
      <c r="H13202" s="21" t="n">
        <f aca="false">IF(H13113=Assumptions!$K$61,1,0)</f>
        <v>1</v>
      </c>
      <c r="I13202" s="21" t="n">
        <f aca="false">IF(I13113=Assumptions!$K$61,1,0)</f>
        <v>0</v>
      </c>
      <c r="J13202" s="21" t="n">
        <f aca="false">IF(J13113=Assumptions!$K$61,1,0)</f>
        <v>0</v>
      </c>
      <c r="K13202" s="21" t="n">
        <f aca="false">IF(K13113=Assumptions!$K$61,1,0)</f>
        <v>0</v>
      </c>
    </row>
    <row r="13204" customFormat="false" ht="15" hidden="false" customHeight="false" outlineLevel="0" collapsed="false">
      <c r="A13204" s="3" t="s">
        <v>331</v>
      </c>
      <c r="G13204" s="31" t="n">
        <f aca="false">IF(Assumptions!$I$61=1,MAX(G13139,Assumptions!$G$61)+Assumptions!$F$61+$C$13140,Assumptions!$E$61)</f>
        <v>0.0395</v>
      </c>
      <c r="H13204" s="31" t="n">
        <f aca="false">IF(G13463=1,$C$13141,IF(Assumptions!$I$61=1,MAX(H13139,Assumptions!$G$61)+Assumptions!$F$61+$C$13140,Assumptions!$E$61))</f>
        <v>0.0395</v>
      </c>
      <c r="I13204" s="31" t="n">
        <f aca="false">IF(H13463=1,$C$13141,IF(Assumptions!$I$61=1,MAX(I13139,Assumptions!$G$61)+Assumptions!$F$61+$C$13140,Assumptions!$E$61))</f>
        <v>0.08</v>
      </c>
      <c r="J13204" s="31" t="n">
        <f aca="false">IF(I13463=1,$C$13141,IF(Assumptions!$I$61=1,MAX(J13139,Assumptions!$G$61)+Assumptions!$F$61+$C$13140,Assumptions!$E$61))</f>
        <v>0.08</v>
      </c>
      <c r="K13204" s="31" t="n">
        <f aca="false">IF(J13463=1,$C$13141,IF(Assumptions!$I$61=1,MAX(K13139,Assumptions!$G$61)+Assumptions!$F$61+$C$13140,Assumptions!$E$61))</f>
        <v>0.08</v>
      </c>
    </row>
    <row r="13205" customFormat="false" ht="15" hidden="false" customHeight="false" outlineLevel="0" collapsed="false">
      <c r="A13205" s="3" t="s">
        <v>332</v>
      </c>
      <c r="G13205" s="16" t="n">
        <f aca="false">G13201*G13204</f>
        <v>17.775</v>
      </c>
      <c r="H13205" s="16" t="n">
        <f aca="false">H13201*H13204</f>
        <v>17.775</v>
      </c>
      <c r="I13205" s="16" t="n">
        <f aca="false">I13201*I13204</f>
        <v>32.617772109904</v>
      </c>
      <c r="J13205" s="16" t="n">
        <f aca="false">J13201*J13204</f>
        <v>32.617772109904</v>
      </c>
      <c r="K13205" s="16" t="n">
        <f aca="false">K13201*K13204</f>
        <v>32.617772109904</v>
      </c>
    </row>
    <row r="13206" customFormat="false" ht="15" hidden="false" customHeight="false" outlineLevel="0" collapsed="false">
      <c r="A13206" s="3" t="s">
        <v>333</v>
      </c>
      <c r="G13206" s="16" t="n">
        <f aca="false">G13201*Assumptions!$H$61</f>
        <v>0</v>
      </c>
      <c r="H13206" s="16" t="n">
        <f aca="false">H13201*Assumptions!$H$61</f>
        <v>0</v>
      </c>
      <c r="I13206" s="16" t="n">
        <f aca="false">I13201*Assumptions!$H$61</f>
        <v>0</v>
      </c>
      <c r="J13206" s="16" t="n">
        <f aca="false">J13201*Assumptions!$H$61</f>
        <v>0</v>
      </c>
      <c r="K13206" s="16" t="n">
        <f aca="false">K13201*Assumptions!$H$61</f>
        <v>0</v>
      </c>
    </row>
    <row r="13207" customFormat="false" ht="15" hidden="false" customHeight="false" outlineLevel="0" collapsed="false">
      <c r="A13207" s="3" t="s">
        <v>334</v>
      </c>
      <c r="G13207" s="16" t="n">
        <f aca="false">MIN(G13201,Assumptions!$L$61*Assumptions!$C$61)</f>
        <v>0</v>
      </c>
      <c r="H13207" s="16" t="n">
        <f aca="false">MIN(H13201,Assumptions!$L$61*Assumptions!$C$61)</f>
        <v>0</v>
      </c>
      <c r="I13207" s="16" t="n">
        <f aca="false">MIN(I13201,Assumptions!$L$61*Assumptions!$C$61)</f>
        <v>0</v>
      </c>
      <c r="J13207" s="16" t="n">
        <f aca="false">MIN(J13201,Assumptions!$L$61*Assumptions!$C$61)</f>
        <v>0</v>
      </c>
      <c r="K13207" s="16" t="n">
        <f aca="false">MIN(K13201,Assumptions!$L$61*Assumptions!$C$61)</f>
        <v>0</v>
      </c>
    </row>
    <row r="13208" customFormat="false" ht="15" hidden="false" customHeight="false" outlineLevel="0" collapsed="false">
      <c r="A13208" s="3" t="s">
        <v>335</v>
      </c>
      <c r="G13208" s="16" t="n">
        <f aca="false">IF(AND(Assumptions!$P$61=1,G13113&lt;Assumptions!$K$61),MIN(MAX(0,-G13329),MAX(0,Assumptions!$D$61-G13201)),0)</f>
        <v>0</v>
      </c>
      <c r="H13208" s="16" t="n">
        <f aca="false">IF(AND(Assumptions!$P$61=1,OR(H13113&lt;Assumptions!$K$61,G13463=1)),MIN(MAX(0,-H13329),MAX(0,Assumptions!$D$61-H13201)),0)</f>
        <v>0</v>
      </c>
      <c r="I13208" s="16" t="n">
        <f aca="false">IF(AND(Assumptions!$P$61=1,OR(I13113&lt;Assumptions!$K$61,H13463=1)),MIN(MAX(0,-I13329),MAX(0,Assumptions!$D$61-I13201)),0)</f>
        <v>0</v>
      </c>
      <c r="J13208" s="16" t="n">
        <f aca="false">IF(AND(Assumptions!$P$61=1,OR(J13113&lt;Assumptions!$K$61,I13463=1)),MIN(MAX(0,-J13329),MAX(0,Assumptions!$D$61-J13201)),0)</f>
        <v>0</v>
      </c>
      <c r="K13208" s="16" t="n">
        <f aca="false">IF(AND(Assumptions!$P$61=1,OR(K13113&lt;Assumptions!$K$61,J13463=1)),MIN(MAX(0,-K13329),MAX(0,Assumptions!$D$61-K13201)),0)</f>
        <v>0</v>
      </c>
    </row>
    <row r="13209" customFormat="false" ht="15" hidden="false" customHeight="false" outlineLevel="0" collapsed="false">
      <c r="A13209" s="3" t="s">
        <v>336</v>
      </c>
      <c r="G13209" s="16" t="n">
        <f aca="false">G13202*MIN(G13201-G13207+G13206,MAX(0,G13331-Assumptions!$C$12*G13147-G13157-G13170-G13183-G13196))</f>
        <v>0</v>
      </c>
      <c r="H13209" s="16" t="n">
        <f aca="false">H13202*MIN(H13201-H13207+H13206,MAX(0,H13331-Assumptions!$C$12*H13147-H13157-H13170-H13183-H13196))</f>
        <v>42.2778486262</v>
      </c>
      <c r="I13209" s="16" t="n">
        <f aca="false">I13202*MIN(I13201-I13207+I13206,MAX(0,I13331-Assumptions!$C$12*I13147-I13157-I13170-I13183-I13196))</f>
        <v>0</v>
      </c>
      <c r="J13209" s="16" t="n">
        <f aca="false">J13202*MIN(J13201-J13207+J13206,MAX(0,J13331-Assumptions!$C$12*J13147-J13157-J13170-J13183-J13196))</f>
        <v>0</v>
      </c>
      <c r="K13209" s="16" t="n">
        <f aca="false">K13202*MIN(K13201-K13207+K13206,MAX(0,K13331-Assumptions!$C$12*K13147-K13157-K13170-K13183-K13196))</f>
        <v>0</v>
      </c>
    </row>
    <row r="13210" customFormat="false" ht="15" hidden="false" customHeight="false" outlineLevel="0" collapsed="false">
      <c r="A13210" s="3" t="s">
        <v>337</v>
      </c>
      <c r="G13210" s="16" t="n">
        <f aca="false">Assumptions!$N$61*MIN(G13201+G13208+G13206-G13207-G13209,MAX(0,G13335-G13158-G13171-G13184-G13197))</f>
        <v>0</v>
      </c>
      <c r="H13210" s="16" t="n">
        <f aca="false">Assumptions!$N$61*MIN(H13201+H13208+H13206-H13207-H13209,MAX(0,H13335-H13158-H13171-H13184-H13197))</f>
        <v>0</v>
      </c>
      <c r="I13210" s="16" t="n">
        <f aca="false">Assumptions!$N$61*MIN(I13201+I13208+I13206-I13207-I13209,MAX(0,I13335-I13158-I13171-I13184-I13197))</f>
        <v>0</v>
      </c>
      <c r="J13210" s="16" t="n">
        <f aca="false">Assumptions!$N$61*MIN(J13201+J13208+J13206-J13207-J13209,MAX(0,J13335-J13158-J13171-J13184-J13197))</f>
        <v>0</v>
      </c>
      <c r="K13210" s="16" t="n">
        <f aca="false">Assumptions!$N$61*MIN(K13201+K13208+K13206-K13207-K13209,MAX(0,K13335-K13158-K13171-K13184-K13197))</f>
        <v>0</v>
      </c>
    </row>
    <row r="13211" customFormat="false" ht="15" hidden="false" customHeight="false" outlineLevel="0" collapsed="false">
      <c r="A13211" s="3" t="s">
        <v>338</v>
      </c>
      <c r="G13211" s="16" t="n">
        <f aca="false">G13202*(1-G13147)*(G13201-G13207+G13206-G13209)</f>
        <v>0</v>
      </c>
      <c r="H13211" s="16" t="n">
        <f aca="false">H13202*(1-H13147)*(H13201-H13207+H13206-H13209)</f>
        <v>0</v>
      </c>
      <c r="I13211" s="16" t="n">
        <f aca="false">I13202*(1-I13147)*(I13201-I13207+I13206-I13209)</f>
        <v>0</v>
      </c>
      <c r="J13211" s="16" t="n">
        <f aca="false">J13202*(1-J13147)*(J13201-J13207+J13206-J13209)</f>
        <v>0</v>
      </c>
      <c r="K13211" s="16" t="n">
        <f aca="false">K13202*(1-K13147)*(K13201-K13207+K13206-K13209)</f>
        <v>0</v>
      </c>
    </row>
    <row r="13212" customFormat="false" ht="15" hidden="false" customHeight="false" outlineLevel="0" collapsed="false">
      <c r="A13212" s="2" t="s">
        <v>339</v>
      </c>
      <c r="F13212" s="28" t="n">
        <f aca="false">Assumptions!$C$61</f>
        <v>450</v>
      </c>
      <c r="G13212" s="17" t="n">
        <f aca="false">G13201+G13208+G13206-G13207-G13209-G13210</f>
        <v>450</v>
      </c>
      <c r="H13212" s="17" t="n">
        <f aca="false">H13201+H13208+H13206-H13207-H13209-H13210</f>
        <v>407.7221513738</v>
      </c>
      <c r="I13212" s="17" t="n">
        <f aca="false">I13201+I13208+I13206-I13207-I13209-I13210</f>
        <v>407.7221513738</v>
      </c>
      <c r="J13212" s="17" t="n">
        <f aca="false">J13201+J13208+J13206-J13207-J13209-J13210</f>
        <v>407.7221513738</v>
      </c>
      <c r="K13212" s="17" t="n">
        <f aca="false">K13201+K13208+K13206-K13207-K13209-K13210</f>
        <v>407.7221513738</v>
      </c>
    </row>
    <row r="13213" customFormat="false" ht="15" hidden="false" customHeight="false" outlineLevel="0" collapsed="false">
      <c r="A13213" s="24" t="s">
        <v>344</v>
      </c>
      <c r="B13213" s="25"/>
      <c r="C13213" s="25"/>
      <c r="D13213" s="25"/>
      <c r="E13213" s="25"/>
      <c r="F13213" s="25"/>
      <c r="G13213" s="25"/>
      <c r="H13213" s="25"/>
      <c r="I13213" s="25"/>
      <c r="J13213" s="25"/>
      <c r="K13213" s="25"/>
    </row>
    <row r="13214" customFormat="false" ht="15" hidden="false" customHeight="false" outlineLevel="0" collapsed="false">
      <c r="A13214" s="3" t="s">
        <v>329</v>
      </c>
      <c r="G13214" s="16" t="n">
        <f aca="false">F13225</f>
        <v>350</v>
      </c>
      <c r="H13214" s="16" t="n">
        <f aca="false">G13225</f>
        <v>350</v>
      </c>
      <c r="I13214" s="16" t="n">
        <f aca="false">H13225</f>
        <v>350</v>
      </c>
      <c r="J13214" s="16" t="n">
        <f aca="false">I13225</f>
        <v>350</v>
      </c>
      <c r="K13214" s="16" t="n">
        <f aca="false">J13225</f>
        <v>350</v>
      </c>
    </row>
    <row r="13215" customFormat="false" ht="15" hidden="false" customHeight="false" outlineLevel="0" collapsed="false">
      <c r="A13215" s="3" t="s">
        <v>330</v>
      </c>
      <c r="G13215" s="21" t="n">
        <f aca="false">IF(G13113=Assumptions!$K$62,1,0)</f>
        <v>0</v>
      </c>
      <c r="H13215" s="21" t="n">
        <f aca="false">IF(H13113=Assumptions!$K$62,1,0)</f>
        <v>1</v>
      </c>
      <c r="I13215" s="21" t="n">
        <f aca="false">IF(I13113=Assumptions!$K$62,1,0)</f>
        <v>0</v>
      </c>
      <c r="J13215" s="21" t="n">
        <f aca="false">IF(J13113=Assumptions!$K$62,1,0)</f>
        <v>0</v>
      </c>
      <c r="K13215" s="21" t="n">
        <f aca="false">IF(K13113=Assumptions!$K$62,1,0)</f>
        <v>0</v>
      </c>
    </row>
    <row r="13217" customFormat="false" ht="15" hidden="false" customHeight="false" outlineLevel="0" collapsed="false">
      <c r="A13217" s="3" t="s">
        <v>331</v>
      </c>
      <c r="G13217" s="31" t="n">
        <f aca="false">IF(Assumptions!$I$62=1,MAX(G13139,Assumptions!$G$62)+Assumptions!$F$62+$C$13140,Assumptions!$E$62)</f>
        <v>0.083</v>
      </c>
      <c r="H13217" s="31" t="n">
        <f aca="false">IF(G13464=1,$C$13141,IF(Assumptions!$I$62=1,MAX(H13139,Assumptions!$G$62)+Assumptions!$F$62+$C$13140,Assumptions!$E$62))</f>
        <v>0.083</v>
      </c>
      <c r="I13217" s="31" t="n">
        <f aca="false">IF(H13464=1,$C$13141,IF(Assumptions!$I$62=1,MAX(I13139,Assumptions!$G$62)+Assumptions!$F$62+$C$13140,Assumptions!$E$62))</f>
        <v>0.08</v>
      </c>
      <c r="J13217" s="31" t="n">
        <f aca="false">IF(I13464=1,$C$13141,IF(Assumptions!$I$62=1,MAX(J13139,Assumptions!$G$62)+Assumptions!$F$62+$C$13140,Assumptions!$E$62))</f>
        <v>0.08</v>
      </c>
      <c r="K13217" s="31" t="n">
        <f aca="false">IF(J13464=1,$C$13141,IF(Assumptions!$I$62=1,MAX(K13139,Assumptions!$G$62)+Assumptions!$F$62+$C$13140,Assumptions!$E$62))</f>
        <v>0.08</v>
      </c>
    </row>
    <row r="13218" customFormat="false" ht="15" hidden="false" customHeight="false" outlineLevel="0" collapsed="false">
      <c r="A13218" s="3" t="s">
        <v>332</v>
      </c>
      <c r="G13218" s="16" t="n">
        <f aca="false">G13214*G13217</f>
        <v>29.05</v>
      </c>
      <c r="H13218" s="16" t="n">
        <f aca="false">H13214*H13217</f>
        <v>29.05</v>
      </c>
      <c r="I13218" s="16" t="n">
        <f aca="false">I13214*I13217</f>
        <v>28</v>
      </c>
      <c r="J13218" s="16" t="n">
        <f aca="false">J13214*J13217</f>
        <v>28</v>
      </c>
      <c r="K13218" s="16" t="n">
        <f aca="false">K13214*K13217</f>
        <v>28</v>
      </c>
    </row>
    <row r="13219" customFormat="false" ht="15" hidden="false" customHeight="false" outlineLevel="0" collapsed="false">
      <c r="A13219" s="3" t="s">
        <v>333</v>
      </c>
      <c r="G13219" s="16" t="n">
        <f aca="false">G13214*Assumptions!$H$62</f>
        <v>0</v>
      </c>
      <c r="H13219" s="16" t="n">
        <f aca="false">H13214*Assumptions!$H$62</f>
        <v>0</v>
      </c>
      <c r="I13219" s="16" t="n">
        <f aca="false">I13214*Assumptions!$H$62</f>
        <v>0</v>
      </c>
      <c r="J13219" s="16" t="n">
        <f aca="false">J13214*Assumptions!$H$62</f>
        <v>0</v>
      </c>
      <c r="K13219" s="16" t="n">
        <f aca="false">K13214*Assumptions!$H$62</f>
        <v>0</v>
      </c>
    </row>
    <row r="13220" customFormat="false" ht="15" hidden="false" customHeight="false" outlineLevel="0" collapsed="false">
      <c r="A13220" s="3" t="s">
        <v>334</v>
      </c>
      <c r="G13220" s="16" t="n">
        <f aca="false">MIN(G13214,Assumptions!$L$62*Assumptions!$C$62)</f>
        <v>0</v>
      </c>
      <c r="H13220" s="16" t="n">
        <f aca="false">MIN(H13214,Assumptions!$L$62*Assumptions!$C$62)</f>
        <v>0</v>
      </c>
      <c r="I13220" s="16" t="n">
        <f aca="false">MIN(I13214,Assumptions!$L$62*Assumptions!$C$62)</f>
        <v>0</v>
      </c>
      <c r="J13220" s="16" t="n">
        <f aca="false">MIN(J13214,Assumptions!$L$62*Assumptions!$C$62)</f>
        <v>0</v>
      </c>
      <c r="K13220" s="16" t="n">
        <f aca="false">MIN(K13214,Assumptions!$L$62*Assumptions!$C$62)</f>
        <v>0</v>
      </c>
    </row>
    <row r="13221" customFormat="false" ht="15" hidden="false" customHeight="false" outlineLevel="0" collapsed="false">
      <c r="A13221" s="3" t="s">
        <v>335</v>
      </c>
      <c r="G13221" s="16" t="n">
        <f aca="false">IF(AND(Assumptions!$P$62=1,G13113&lt;Assumptions!$K$62),MIN(MAX(0,-G13329),MAX(0,Assumptions!$D$62-G13214)),0)</f>
        <v>0</v>
      </c>
      <c r="H13221" s="16" t="n">
        <f aca="false">IF(AND(Assumptions!$P$62=1,OR(H13113&lt;Assumptions!$K$62,G13464=1)),MIN(MAX(0,-H13329),MAX(0,Assumptions!$D$62-H13214)),0)</f>
        <v>0</v>
      </c>
      <c r="I13221" s="16" t="n">
        <f aca="false">IF(AND(Assumptions!$P$62=1,OR(I13113&lt;Assumptions!$K$62,H13464=1)),MIN(MAX(0,-I13329),MAX(0,Assumptions!$D$62-I13214)),0)</f>
        <v>0</v>
      </c>
      <c r="J13221" s="16" t="n">
        <f aca="false">IF(AND(Assumptions!$P$62=1,OR(J13113&lt;Assumptions!$K$62,I13464=1)),MIN(MAX(0,-J13329),MAX(0,Assumptions!$D$62-J13214)),0)</f>
        <v>0</v>
      </c>
      <c r="K13221" s="16" t="n">
        <f aca="false">IF(AND(Assumptions!$P$62=1,OR(K13113&lt;Assumptions!$K$62,J13464=1)),MIN(MAX(0,-K13329),MAX(0,Assumptions!$D$62-K13214)),0)</f>
        <v>0</v>
      </c>
    </row>
    <row r="13222" customFormat="false" ht="15" hidden="false" customHeight="false" outlineLevel="0" collapsed="false">
      <c r="A13222" s="3" t="s">
        <v>336</v>
      </c>
      <c r="G13222" s="16" t="n">
        <f aca="false">G13215*MIN(G13214-G13220+G13219,MAX(0,G13331-Assumptions!$C$12*G13147-G13157-G13170-G13183-G13196-G13209))</f>
        <v>0</v>
      </c>
      <c r="H13222" s="16" t="n">
        <f aca="false">H13215*MIN(H13214-H13220+H13219,MAX(0,H13331-Assumptions!$C$12*H13147-H13157-H13170-H13183-H13196-H13209))</f>
        <v>0</v>
      </c>
      <c r="I13222" s="16" t="n">
        <f aca="false">I13215*MIN(I13214-I13220+I13219,MAX(0,I13331-Assumptions!$C$12*I13147-I13157-I13170-I13183-I13196-I13209))</f>
        <v>0</v>
      </c>
      <c r="J13222" s="16" t="n">
        <f aca="false">J13215*MIN(J13214-J13220+J13219,MAX(0,J13331-Assumptions!$C$12*J13147-J13157-J13170-J13183-J13196-J13209))</f>
        <v>0</v>
      </c>
      <c r="K13222" s="16" t="n">
        <f aca="false">K13215*MIN(K13214-K13220+K13219,MAX(0,K13331-Assumptions!$C$12*K13147-K13157-K13170-K13183-K13196-K13209))</f>
        <v>0</v>
      </c>
    </row>
    <row r="13223" customFormat="false" ht="15" hidden="false" customHeight="false" outlineLevel="0" collapsed="false">
      <c r="A13223" s="3" t="s">
        <v>337</v>
      </c>
      <c r="G13223" s="16" t="n">
        <f aca="false">Assumptions!$N$62*MIN(G13214+G13221+G13219-G13220-G13222,MAX(0,G13335-G13158-G13171-G13184-G13197-G13210))</f>
        <v>0</v>
      </c>
      <c r="H13223" s="16" t="n">
        <f aca="false">Assumptions!$N$62*MIN(H13214+H13221+H13219-H13220-H13222,MAX(0,H13335-H13158-H13171-H13184-H13197-H13210))</f>
        <v>0</v>
      </c>
      <c r="I13223" s="16" t="n">
        <f aca="false">Assumptions!$N$62*MIN(I13214+I13221+I13219-I13220-I13222,MAX(0,I13335-I13158-I13171-I13184-I13197-I13210))</f>
        <v>0</v>
      </c>
      <c r="J13223" s="16" t="n">
        <f aca="false">Assumptions!$N$62*MIN(J13214+J13221+J13219-J13220-J13222,MAX(0,J13335-J13158-J13171-J13184-J13197-J13210))</f>
        <v>0</v>
      </c>
      <c r="K13223" s="16" t="n">
        <f aca="false">Assumptions!$N$62*MIN(K13214+K13221+K13219-K13220-K13222,MAX(0,K13335-K13158-K13171-K13184-K13197-K13210))</f>
        <v>0</v>
      </c>
    </row>
    <row r="13224" customFormat="false" ht="15" hidden="false" customHeight="false" outlineLevel="0" collapsed="false">
      <c r="A13224" s="3" t="s">
        <v>338</v>
      </c>
      <c r="G13224" s="16" t="n">
        <f aca="false">G13215*(1-G13147)*(G13214-G13220+G13219-G13222)</f>
        <v>0</v>
      </c>
      <c r="H13224" s="16" t="n">
        <f aca="false">H13215*(1-H13147)*(H13214-H13220+H13219-H13222)</f>
        <v>0</v>
      </c>
      <c r="I13224" s="16" t="n">
        <f aca="false">I13215*(1-I13147)*(I13214-I13220+I13219-I13222)</f>
        <v>0</v>
      </c>
      <c r="J13224" s="16" t="n">
        <f aca="false">J13215*(1-J13147)*(J13214-J13220+J13219-J13222)</f>
        <v>0</v>
      </c>
      <c r="K13224" s="16" t="n">
        <f aca="false">K13215*(1-K13147)*(K13214-K13220+K13219-K13222)</f>
        <v>0</v>
      </c>
    </row>
    <row r="13225" customFormat="false" ht="15" hidden="false" customHeight="false" outlineLevel="0" collapsed="false">
      <c r="A13225" s="2" t="s">
        <v>339</v>
      </c>
      <c r="F13225" s="28" t="n">
        <f aca="false">Assumptions!$C$62</f>
        <v>350</v>
      </c>
      <c r="G13225" s="17" t="n">
        <f aca="false">G13214+G13221+G13219-G13220-G13222-G13223</f>
        <v>350</v>
      </c>
      <c r="H13225" s="17" t="n">
        <f aca="false">H13214+H13221+H13219-H13220-H13222-H13223</f>
        <v>350</v>
      </c>
      <c r="I13225" s="17" t="n">
        <f aca="false">I13214+I13221+I13219-I13220-I13222-I13223</f>
        <v>350</v>
      </c>
      <c r="J13225" s="17" t="n">
        <f aca="false">J13214+J13221+J13219-J13220-J13222-J13223</f>
        <v>350</v>
      </c>
      <c r="K13225" s="17" t="n">
        <f aca="false">K13214+K13221+K13219-K13220-K13222-K13223</f>
        <v>350</v>
      </c>
    </row>
    <row r="13226" customFormat="false" ht="15" hidden="false" customHeight="false" outlineLevel="0" collapsed="false">
      <c r="A13226" s="24" t="s">
        <v>345</v>
      </c>
      <c r="B13226" s="25"/>
      <c r="C13226" s="25"/>
      <c r="D13226" s="25"/>
      <c r="E13226" s="25"/>
      <c r="F13226" s="25"/>
      <c r="G13226" s="25"/>
      <c r="H13226" s="25"/>
      <c r="I13226" s="25"/>
      <c r="J13226" s="25"/>
      <c r="K13226" s="25"/>
    </row>
    <row r="13227" customFormat="false" ht="15" hidden="false" customHeight="false" outlineLevel="0" collapsed="false">
      <c r="A13227" s="3" t="s">
        <v>329</v>
      </c>
      <c r="G13227" s="16" t="n">
        <f aca="false">F13238</f>
        <v>550</v>
      </c>
      <c r="H13227" s="16" t="n">
        <f aca="false">G13238</f>
        <v>550</v>
      </c>
      <c r="I13227" s="16" t="n">
        <f aca="false">H13238</f>
        <v>550</v>
      </c>
      <c r="J13227" s="16" t="n">
        <f aca="false">I13238</f>
        <v>550</v>
      </c>
      <c r="K13227" s="16" t="n">
        <f aca="false">J13238</f>
        <v>550</v>
      </c>
    </row>
    <row r="13228" customFormat="false" ht="15" hidden="false" customHeight="false" outlineLevel="0" collapsed="false">
      <c r="A13228" s="3" t="s">
        <v>330</v>
      </c>
      <c r="G13228" s="21" t="n">
        <f aca="false">IF(G13113=Assumptions!$K$63,1,0)</f>
        <v>0</v>
      </c>
      <c r="H13228" s="21" t="n">
        <f aca="false">IF(H13113=Assumptions!$K$63,1,0)</f>
        <v>0</v>
      </c>
      <c r="I13228" s="21" t="n">
        <f aca="false">IF(I13113=Assumptions!$K$63,1,0)</f>
        <v>1</v>
      </c>
      <c r="J13228" s="21" t="n">
        <f aca="false">IF(J13113=Assumptions!$K$63,1,0)</f>
        <v>0</v>
      </c>
      <c r="K13228" s="21" t="n">
        <f aca="false">IF(K13113=Assumptions!$K$63,1,0)</f>
        <v>0</v>
      </c>
    </row>
    <row r="13230" customFormat="false" ht="15" hidden="false" customHeight="false" outlineLevel="0" collapsed="false">
      <c r="A13230" s="3" t="s">
        <v>331</v>
      </c>
      <c r="G13230" s="31" t="n">
        <f aca="false">IF(Assumptions!$I$63=1,MAX(G13139,Assumptions!$G$63)+Assumptions!$F$63+$C$13140,Assumptions!$E$63)</f>
        <v>0.08875</v>
      </c>
      <c r="H13230" s="31" t="n">
        <f aca="false">IF(G13465=1,$C$13141,IF(Assumptions!$I$63=1,MAX(H13139,Assumptions!$G$63)+Assumptions!$F$63+$C$13140,Assumptions!$E$63))</f>
        <v>0.08875</v>
      </c>
      <c r="I13230" s="31" t="n">
        <f aca="false">IF(H13465=1,$C$13141,IF(Assumptions!$I$63=1,MAX(I13139,Assumptions!$G$63)+Assumptions!$F$63+$C$13140,Assumptions!$E$63))</f>
        <v>0.08875</v>
      </c>
      <c r="J13230" s="31" t="n">
        <f aca="false">IF(I13465=1,$C$13141,IF(Assumptions!$I$63=1,MAX(J13139,Assumptions!$G$63)+Assumptions!$F$63+$C$13140,Assumptions!$E$63))</f>
        <v>0.08</v>
      </c>
      <c r="K13230" s="31" t="n">
        <f aca="false">IF(J13465=1,$C$13141,IF(Assumptions!$I$63=1,MAX(K13139,Assumptions!$G$63)+Assumptions!$F$63+$C$13140,Assumptions!$E$63))</f>
        <v>0.08</v>
      </c>
    </row>
    <row r="13231" customFormat="false" ht="15" hidden="false" customHeight="false" outlineLevel="0" collapsed="false">
      <c r="A13231" s="3" t="s">
        <v>332</v>
      </c>
      <c r="G13231" s="16" t="n">
        <f aca="false">G13227*G13230</f>
        <v>48.8125</v>
      </c>
      <c r="H13231" s="16" t="n">
        <f aca="false">H13227*H13230</f>
        <v>48.8125</v>
      </c>
      <c r="I13231" s="16" t="n">
        <f aca="false">I13227*I13230</f>
        <v>48.8125</v>
      </c>
      <c r="J13231" s="16" t="n">
        <f aca="false">J13227*J13230</f>
        <v>44</v>
      </c>
      <c r="K13231" s="16" t="n">
        <f aca="false">K13227*K13230</f>
        <v>44</v>
      </c>
    </row>
    <row r="13232" customFormat="false" ht="15" hidden="false" customHeight="false" outlineLevel="0" collapsed="false">
      <c r="A13232" s="3" t="s">
        <v>333</v>
      </c>
      <c r="G13232" s="16" t="n">
        <f aca="false">G13227*Assumptions!$H$63</f>
        <v>0</v>
      </c>
      <c r="H13232" s="16" t="n">
        <f aca="false">H13227*Assumptions!$H$63</f>
        <v>0</v>
      </c>
      <c r="I13232" s="16" t="n">
        <f aca="false">I13227*Assumptions!$H$63</f>
        <v>0</v>
      </c>
      <c r="J13232" s="16" t="n">
        <f aca="false">J13227*Assumptions!$H$63</f>
        <v>0</v>
      </c>
      <c r="K13232" s="16" t="n">
        <f aca="false">K13227*Assumptions!$H$63</f>
        <v>0</v>
      </c>
    </row>
    <row r="13233" customFormat="false" ht="15" hidden="false" customHeight="false" outlineLevel="0" collapsed="false">
      <c r="A13233" s="3" t="s">
        <v>334</v>
      </c>
      <c r="G13233" s="16" t="n">
        <f aca="false">MIN(G13227,Assumptions!$L$63*Assumptions!$C$63)</f>
        <v>0</v>
      </c>
      <c r="H13233" s="16" t="n">
        <f aca="false">MIN(H13227,Assumptions!$L$63*Assumptions!$C$63)</f>
        <v>0</v>
      </c>
      <c r="I13233" s="16" t="n">
        <f aca="false">MIN(I13227,Assumptions!$L$63*Assumptions!$C$63)</f>
        <v>0</v>
      </c>
      <c r="J13233" s="16" t="n">
        <f aca="false">MIN(J13227,Assumptions!$L$63*Assumptions!$C$63)</f>
        <v>0</v>
      </c>
      <c r="K13233" s="16" t="n">
        <f aca="false">MIN(K13227,Assumptions!$L$63*Assumptions!$C$63)</f>
        <v>0</v>
      </c>
    </row>
    <row r="13234" customFormat="false" ht="15" hidden="false" customHeight="false" outlineLevel="0" collapsed="false">
      <c r="A13234" s="3" t="s">
        <v>335</v>
      </c>
      <c r="G13234" s="16" t="n">
        <f aca="false">IF(AND(Assumptions!$P$63=1,G13113&lt;Assumptions!$K$63),MIN(MAX(0,-G13329),MAX(0,Assumptions!$D$63-G13227)),0)</f>
        <v>0</v>
      </c>
      <c r="H13234" s="16" t="n">
        <f aca="false">IF(AND(Assumptions!$P$63=1,OR(H13113&lt;Assumptions!$K$63,G13465=1)),MIN(MAX(0,-H13329),MAX(0,Assumptions!$D$63-H13227)),0)</f>
        <v>0</v>
      </c>
      <c r="I13234" s="16" t="n">
        <f aca="false">IF(AND(Assumptions!$P$63=1,OR(I13113&lt;Assumptions!$K$63,H13465=1)),MIN(MAX(0,-I13329),MAX(0,Assumptions!$D$63-I13227)),0)</f>
        <v>0</v>
      </c>
      <c r="J13234" s="16" t="n">
        <f aca="false">IF(AND(Assumptions!$P$63=1,OR(J13113&lt;Assumptions!$K$63,I13465=1)),MIN(MAX(0,-J13329),MAX(0,Assumptions!$D$63-J13227)),0)</f>
        <v>0</v>
      </c>
      <c r="K13234" s="16" t="n">
        <f aca="false">IF(AND(Assumptions!$P$63=1,OR(K13113&lt;Assumptions!$K$63,J13465=1)),MIN(MAX(0,-K13329),MAX(0,Assumptions!$D$63-K13227)),0)</f>
        <v>0</v>
      </c>
    </row>
    <row r="13235" customFormat="false" ht="15" hidden="false" customHeight="false" outlineLevel="0" collapsed="false">
      <c r="A13235" s="3" t="s">
        <v>336</v>
      </c>
      <c r="G13235" s="16" t="n">
        <f aca="false">G13228*MIN(G13227-G13233+G13232,MAX(0,G13331-Assumptions!$C$12*G13147-G13157-G13170-G13183-G13196-G13209-G13222))</f>
        <v>0</v>
      </c>
      <c r="H13235" s="16" t="n">
        <f aca="false">H13228*MIN(H13227-H13233+H13232,MAX(0,H13331-Assumptions!$C$12*H13147-H13157-H13170-H13183-H13196-H13209-H13222))</f>
        <v>0</v>
      </c>
      <c r="I13235" s="16" t="n">
        <f aca="false">I13228*MIN(I13227-I13233+I13232,MAX(0,I13331-Assumptions!$C$12*I13147-I13157-I13170-I13183-I13196-I13209-I13222))</f>
        <v>0</v>
      </c>
      <c r="J13235" s="16" t="n">
        <f aca="false">J13228*MIN(J13227-J13233+J13232,MAX(0,J13331-Assumptions!$C$12*J13147-J13157-J13170-J13183-J13196-J13209-J13222))</f>
        <v>0</v>
      </c>
      <c r="K13235" s="16" t="n">
        <f aca="false">K13228*MIN(K13227-K13233+K13232,MAX(0,K13331-Assumptions!$C$12*K13147-K13157-K13170-K13183-K13196-K13209-K13222))</f>
        <v>0</v>
      </c>
    </row>
    <row r="13236" customFormat="false" ht="15" hidden="false" customHeight="false" outlineLevel="0" collapsed="false">
      <c r="A13236" s="3" t="s">
        <v>337</v>
      </c>
      <c r="G13236" s="16" t="n">
        <f aca="false">Assumptions!$N$63*MIN(G13227+G13234+G13232-G13233-G13235,MAX(0,G13335-G13158-G13171-G13184-G13197-G13210-G13223))</f>
        <v>0</v>
      </c>
      <c r="H13236" s="16" t="n">
        <f aca="false">Assumptions!$N$63*MIN(H13227+H13234+H13232-H13233-H13235,MAX(0,H13335-H13158-H13171-H13184-H13197-H13210-H13223))</f>
        <v>0</v>
      </c>
      <c r="I13236" s="16" t="n">
        <f aca="false">Assumptions!$N$63*MIN(I13227+I13234+I13232-I13233-I13235,MAX(0,I13335-I13158-I13171-I13184-I13197-I13210-I13223))</f>
        <v>0</v>
      </c>
      <c r="J13236" s="16" t="n">
        <f aca="false">Assumptions!$N$63*MIN(J13227+J13234+J13232-J13233-J13235,MAX(0,J13335-J13158-J13171-J13184-J13197-J13210-J13223))</f>
        <v>0</v>
      </c>
      <c r="K13236" s="16" t="n">
        <f aca="false">Assumptions!$N$63*MIN(K13227+K13234+K13232-K13233-K13235,MAX(0,K13335-K13158-K13171-K13184-K13197-K13210-K13223))</f>
        <v>0</v>
      </c>
    </row>
    <row r="13237" customFormat="false" ht="15" hidden="false" customHeight="false" outlineLevel="0" collapsed="false">
      <c r="A13237" s="3" t="s">
        <v>338</v>
      </c>
      <c r="G13237" s="16" t="n">
        <f aca="false">G13228*(1-G13147)*(G13227-G13233+G13232-G13235)</f>
        <v>0</v>
      </c>
      <c r="H13237" s="16" t="n">
        <f aca="false">H13228*(1-H13147)*(H13227-H13233+H13232-H13235)</f>
        <v>0</v>
      </c>
      <c r="I13237" s="16" t="n">
        <f aca="false">I13228*(1-I13147)*(I13227-I13233+I13232-I13235)</f>
        <v>0</v>
      </c>
      <c r="J13237" s="16" t="n">
        <f aca="false">J13228*(1-J13147)*(J13227-J13233+J13232-J13235)</f>
        <v>0</v>
      </c>
      <c r="K13237" s="16" t="n">
        <f aca="false">K13228*(1-K13147)*(K13227-K13233+K13232-K13235)</f>
        <v>0</v>
      </c>
    </row>
    <row r="13238" customFormat="false" ht="15" hidden="false" customHeight="false" outlineLevel="0" collapsed="false">
      <c r="A13238" s="2" t="s">
        <v>339</v>
      </c>
      <c r="F13238" s="28" t="n">
        <f aca="false">Assumptions!$C$63</f>
        <v>550</v>
      </c>
      <c r="G13238" s="17" t="n">
        <f aca="false">G13227+G13234+G13232-G13233-G13235-G13236</f>
        <v>550</v>
      </c>
      <c r="H13238" s="17" t="n">
        <f aca="false">H13227+H13234+H13232-H13233-H13235-H13236</f>
        <v>550</v>
      </c>
      <c r="I13238" s="17" t="n">
        <f aca="false">I13227+I13234+I13232-I13233-I13235-I13236</f>
        <v>550</v>
      </c>
      <c r="J13238" s="17" t="n">
        <f aca="false">J13227+J13234+J13232-J13233-J13235-J13236</f>
        <v>550</v>
      </c>
      <c r="K13238" s="17" t="n">
        <f aca="false">K13227+K13234+K13232-K13233-K13235-K13236</f>
        <v>550</v>
      </c>
    </row>
    <row r="13239" customFormat="false" ht="15" hidden="false" customHeight="false" outlineLevel="0" collapsed="false">
      <c r="A13239" s="24" t="s">
        <v>346</v>
      </c>
      <c r="B13239" s="25"/>
      <c r="C13239" s="25"/>
      <c r="D13239" s="25"/>
      <c r="E13239" s="25"/>
      <c r="F13239" s="25"/>
      <c r="G13239" s="25"/>
      <c r="H13239" s="25"/>
      <c r="I13239" s="25"/>
      <c r="J13239" s="25"/>
      <c r="K13239" s="25"/>
    </row>
    <row r="13240" customFormat="false" ht="15" hidden="false" customHeight="false" outlineLevel="0" collapsed="false">
      <c r="A13240" s="3" t="s">
        <v>329</v>
      </c>
      <c r="G13240" s="16" t="n">
        <f aca="false">F13251</f>
        <v>350</v>
      </c>
      <c r="H13240" s="16" t="n">
        <f aca="false">G13251</f>
        <v>350</v>
      </c>
      <c r="I13240" s="16" t="n">
        <f aca="false">H13251</f>
        <v>350</v>
      </c>
      <c r="J13240" s="16" t="n">
        <f aca="false">I13251</f>
        <v>350</v>
      </c>
      <c r="K13240" s="16" t="n">
        <f aca="false">J13251</f>
        <v>350</v>
      </c>
    </row>
    <row r="13241" customFormat="false" ht="15" hidden="false" customHeight="false" outlineLevel="0" collapsed="false">
      <c r="A13241" s="3" t="s">
        <v>330</v>
      </c>
      <c r="G13241" s="21" t="n">
        <f aca="false">IF(G13113=Assumptions!$K$64,1,0)</f>
        <v>0</v>
      </c>
      <c r="H13241" s="21" t="n">
        <f aca="false">IF(H13113=Assumptions!$K$64,1,0)</f>
        <v>0</v>
      </c>
      <c r="I13241" s="21" t="n">
        <f aca="false">IF(I13113=Assumptions!$K$64,1,0)</f>
        <v>0</v>
      </c>
      <c r="J13241" s="21" t="n">
        <f aca="false">IF(J13113=Assumptions!$K$64,1,0)</f>
        <v>1</v>
      </c>
      <c r="K13241" s="21" t="n">
        <f aca="false">IF(K13113=Assumptions!$K$64,1,0)</f>
        <v>0</v>
      </c>
    </row>
    <row r="13243" customFormat="false" ht="15" hidden="false" customHeight="false" outlineLevel="0" collapsed="false">
      <c r="A13243" s="3" t="s">
        <v>331</v>
      </c>
      <c r="G13243" s="31" t="n">
        <f aca="false">IF(Assumptions!$I$64=1,MAX(G13139,Assumptions!$G$64)+Assumptions!$F$64+$C$13140,Assumptions!$E$64)</f>
        <v>0.0455</v>
      </c>
      <c r="H13243" s="31" t="n">
        <f aca="false">IF(G13466=1,$C$13141,IF(Assumptions!$I$64=1,MAX(H13139,Assumptions!$G$64)+Assumptions!$F$64+$C$13140,Assumptions!$E$64))</f>
        <v>0.0455</v>
      </c>
      <c r="I13243" s="31" t="n">
        <f aca="false">IF(H13466=1,$C$13141,IF(Assumptions!$I$64=1,MAX(I13139,Assumptions!$G$64)+Assumptions!$F$64+$C$13140,Assumptions!$E$64))</f>
        <v>0.0455</v>
      </c>
      <c r="J13243" s="31" t="n">
        <f aca="false">IF(I13466=1,$C$13141,IF(Assumptions!$I$64=1,MAX(J13139,Assumptions!$G$64)+Assumptions!$F$64+$C$13140,Assumptions!$E$64))</f>
        <v>0.0455</v>
      </c>
      <c r="K13243" s="31" t="n">
        <f aca="false">IF(J13466=1,$C$13141,IF(Assumptions!$I$64=1,MAX(K13139,Assumptions!$G$64)+Assumptions!$F$64+$C$13140,Assumptions!$E$64))</f>
        <v>0.08</v>
      </c>
    </row>
    <row r="13244" customFormat="false" ht="15" hidden="false" customHeight="false" outlineLevel="0" collapsed="false">
      <c r="A13244" s="3" t="s">
        <v>332</v>
      </c>
      <c r="G13244" s="16" t="n">
        <f aca="false">G13240*G13243</f>
        <v>15.925</v>
      </c>
      <c r="H13244" s="16" t="n">
        <f aca="false">H13240*H13243</f>
        <v>15.925</v>
      </c>
      <c r="I13244" s="16" t="n">
        <f aca="false">I13240*I13243</f>
        <v>15.925</v>
      </c>
      <c r="J13244" s="16" t="n">
        <f aca="false">J13240*J13243</f>
        <v>15.925</v>
      </c>
      <c r="K13244" s="16" t="n">
        <f aca="false">K13240*K13243</f>
        <v>28</v>
      </c>
    </row>
    <row r="13245" customFormat="false" ht="15" hidden="false" customHeight="false" outlineLevel="0" collapsed="false">
      <c r="A13245" s="3" t="s">
        <v>333</v>
      </c>
      <c r="G13245" s="16" t="n">
        <f aca="false">G13240*Assumptions!$H$64</f>
        <v>0</v>
      </c>
      <c r="H13245" s="16" t="n">
        <f aca="false">H13240*Assumptions!$H$64</f>
        <v>0</v>
      </c>
      <c r="I13245" s="16" t="n">
        <f aca="false">I13240*Assumptions!$H$64</f>
        <v>0</v>
      </c>
      <c r="J13245" s="16" t="n">
        <f aca="false">J13240*Assumptions!$H$64</f>
        <v>0</v>
      </c>
      <c r="K13245" s="16" t="n">
        <f aca="false">K13240*Assumptions!$H$64</f>
        <v>0</v>
      </c>
    </row>
    <row r="13246" customFormat="false" ht="15" hidden="false" customHeight="false" outlineLevel="0" collapsed="false">
      <c r="A13246" s="3" t="s">
        <v>334</v>
      </c>
      <c r="G13246" s="16" t="n">
        <f aca="false">MIN(G13240,Assumptions!$L$64*Assumptions!$C$64)</f>
        <v>0</v>
      </c>
      <c r="H13246" s="16" t="n">
        <f aca="false">MIN(H13240,Assumptions!$L$64*Assumptions!$C$64)</f>
        <v>0</v>
      </c>
      <c r="I13246" s="16" t="n">
        <f aca="false">MIN(I13240,Assumptions!$L$64*Assumptions!$C$64)</f>
        <v>0</v>
      </c>
      <c r="J13246" s="16" t="n">
        <f aca="false">MIN(J13240,Assumptions!$L$64*Assumptions!$C$64)</f>
        <v>0</v>
      </c>
      <c r="K13246" s="16" t="n">
        <f aca="false">MIN(K13240,Assumptions!$L$64*Assumptions!$C$64)</f>
        <v>0</v>
      </c>
    </row>
    <row r="13247" customFormat="false" ht="15" hidden="false" customHeight="false" outlineLevel="0" collapsed="false">
      <c r="A13247" s="3" t="s">
        <v>335</v>
      </c>
      <c r="G13247" s="16" t="n">
        <f aca="false">IF(AND(Assumptions!$P$64=1,G13113&lt;Assumptions!$K$64),MIN(MAX(0,-G13329),MAX(0,Assumptions!$D$64-G13240)),0)</f>
        <v>0</v>
      </c>
      <c r="H13247" s="16" t="n">
        <f aca="false">IF(AND(Assumptions!$P$64=1,OR(H13113&lt;Assumptions!$K$64,G13466=1)),MIN(MAX(0,-H13329),MAX(0,Assumptions!$D$64-H13240)),0)</f>
        <v>0</v>
      </c>
      <c r="I13247" s="16" t="n">
        <f aca="false">IF(AND(Assumptions!$P$64=1,OR(I13113&lt;Assumptions!$K$64,H13466=1)),MIN(MAX(0,-I13329),MAX(0,Assumptions!$D$64-I13240)),0)</f>
        <v>0</v>
      </c>
      <c r="J13247" s="16" t="n">
        <f aca="false">IF(AND(Assumptions!$P$64=1,OR(J13113&lt;Assumptions!$K$64,I13466=1)),MIN(MAX(0,-J13329),MAX(0,Assumptions!$D$64-J13240)),0)</f>
        <v>0</v>
      </c>
      <c r="K13247" s="16" t="n">
        <f aca="false">IF(AND(Assumptions!$P$64=1,OR(K13113&lt;Assumptions!$K$64,J13466=1)),MIN(MAX(0,-K13329),MAX(0,Assumptions!$D$64-K13240)),0)</f>
        <v>0</v>
      </c>
    </row>
    <row r="13248" customFormat="false" ht="15" hidden="false" customHeight="false" outlineLevel="0" collapsed="false">
      <c r="A13248" s="3" t="s">
        <v>336</v>
      </c>
      <c r="G13248" s="16" t="n">
        <f aca="false">G13241*MIN(G13240-G13246+G13245,MAX(0,G13331-Assumptions!$C$12*G13147-G13157-G13170-G13183-G13196-G13209-G13222-G13235))</f>
        <v>0</v>
      </c>
      <c r="H13248" s="16" t="n">
        <f aca="false">H13241*MIN(H13240-H13246+H13245,MAX(0,H13331-Assumptions!$C$12*H13147-H13157-H13170-H13183-H13196-H13209-H13222-H13235))</f>
        <v>0</v>
      </c>
      <c r="I13248" s="16" t="n">
        <f aca="false">I13241*MIN(I13240-I13246+I13245,MAX(0,I13331-Assumptions!$C$12*I13147-I13157-I13170-I13183-I13196-I13209-I13222-I13235))</f>
        <v>0</v>
      </c>
      <c r="J13248" s="16" t="n">
        <f aca="false">J13241*MIN(J13240-J13246+J13245,MAX(0,J13331-Assumptions!$C$12*J13147-J13157-J13170-J13183-J13196-J13209-J13222-J13235))</f>
        <v>0</v>
      </c>
      <c r="K13248" s="16" t="n">
        <f aca="false">K13241*MIN(K13240-K13246+K13245,MAX(0,K13331-Assumptions!$C$12*K13147-K13157-K13170-K13183-K13196-K13209-K13222-K13235))</f>
        <v>0</v>
      </c>
    </row>
    <row r="13249" customFormat="false" ht="15" hidden="false" customHeight="false" outlineLevel="0" collapsed="false">
      <c r="A13249" s="3" t="s">
        <v>337</v>
      </c>
      <c r="G13249" s="16" t="n">
        <f aca="false">Assumptions!$N$64*MIN(G13240+G13247+G13245-G13246-G13248,MAX(0,G13335-G13158-G13171-G13184-G13197-G13210-G13223-G13236))</f>
        <v>0</v>
      </c>
      <c r="H13249" s="16" t="n">
        <f aca="false">Assumptions!$N$64*MIN(H13240+H13247+H13245-H13246-H13248,MAX(0,H13335-H13158-H13171-H13184-H13197-H13210-H13223-H13236))</f>
        <v>0</v>
      </c>
      <c r="I13249" s="16" t="n">
        <f aca="false">Assumptions!$N$64*MIN(I13240+I13247+I13245-I13246-I13248,MAX(0,I13335-I13158-I13171-I13184-I13197-I13210-I13223-I13236))</f>
        <v>0</v>
      </c>
      <c r="J13249" s="16" t="n">
        <f aca="false">Assumptions!$N$64*MIN(J13240+J13247+J13245-J13246-J13248,MAX(0,J13335-J13158-J13171-J13184-J13197-J13210-J13223-J13236))</f>
        <v>0</v>
      </c>
      <c r="K13249" s="16" t="n">
        <f aca="false">Assumptions!$N$64*MIN(K13240+K13247+K13245-K13246-K13248,MAX(0,K13335-K13158-K13171-K13184-K13197-K13210-K13223-K13236))</f>
        <v>0</v>
      </c>
    </row>
    <row r="13250" customFormat="false" ht="15" hidden="false" customHeight="false" outlineLevel="0" collapsed="false">
      <c r="A13250" s="3" t="s">
        <v>338</v>
      </c>
      <c r="G13250" s="16" t="n">
        <f aca="false">G13241*(1-G13147)*(G13240-G13246+G13245-G13248)</f>
        <v>0</v>
      </c>
      <c r="H13250" s="16" t="n">
        <f aca="false">H13241*(1-H13147)*(H13240-H13246+H13245-H13248)</f>
        <v>0</v>
      </c>
      <c r="I13250" s="16" t="n">
        <f aca="false">I13241*(1-I13147)*(I13240-I13246+I13245-I13248)</f>
        <v>0</v>
      </c>
      <c r="J13250" s="16" t="n">
        <f aca="false">J13241*(1-J13147)*(J13240-J13246+J13245-J13248)</f>
        <v>0</v>
      </c>
      <c r="K13250" s="16" t="n">
        <f aca="false">K13241*(1-K13147)*(K13240-K13246+K13245-K13248)</f>
        <v>0</v>
      </c>
    </row>
    <row r="13251" customFormat="false" ht="15" hidden="false" customHeight="false" outlineLevel="0" collapsed="false">
      <c r="A13251" s="2" t="s">
        <v>339</v>
      </c>
      <c r="F13251" s="28" t="n">
        <f aca="false">Assumptions!$C$64</f>
        <v>350</v>
      </c>
      <c r="G13251" s="17" t="n">
        <f aca="false">G13240+G13247+G13245-G13246-G13248-G13249</f>
        <v>350</v>
      </c>
      <c r="H13251" s="17" t="n">
        <f aca="false">H13240+H13247+H13245-H13246-H13248-H13249</f>
        <v>350</v>
      </c>
      <c r="I13251" s="17" t="n">
        <f aca="false">I13240+I13247+I13245-I13246-I13248-I13249</f>
        <v>350</v>
      </c>
      <c r="J13251" s="17" t="n">
        <f aca="false">J13240+J13247+J13245-J13246-J13248-J13249</f>
        <v>350</v>
      </c>
      <c r="K13251" s="17" t="n">
        <f aca="false">K13240+K13247+K13245-K13246-K13248-K13249</f>
        <v>350</v>
      </c>
    </row>
    <row r="13252" customFormat="false" ht="15" hidden="false" customHeight="false" outlineLevel="0" collapsed="false">
      <c r="A13252" s="24" t="s">
        <v>347</v>
      </c>
      <c r="B13252" s="25"/>
      <c r="C13252" s="25"/>
      <c r="D13252" s="25"/>
      <c r="E13252" s="25"/>
      <c r="F13252" s="25"/>
      <c r="G13252" s="25"/>
      <c r="H13252" s="25"/>
      <c r="I13252" s="25"/>
      <c r="J13252" s="25"/>
      <c r="K13252" s="25"/>
    </row>
    <row r="13253" customFormat="false" ht="15" hidden="false" customHeight="false" outlineLevel="0" collapsed="false">
      <c r="A13253" s="3" t="s">
        <v>329</v>
      </c>
      <c r="G13253" s="16" t="n">
        <f aca="false">F13264</f>
        <v>300</v>
      </c>
      <c r="H13253" s="16" t="n">
        <f aca="false">G13264</f>
        <v>300</v>
      </c>
      <c r="I13253" s="16" t="n">
        <f aca="false">H13264</f>
        <v>300</v>
      </c>
      <c r="J13253" s="16" t="n">
        <f aca="false">I13264</f>
        <v>300</v>
      </c>
      <c r="K13253" s="16" t="n">
        <f aca="false">J13264</f>
        <v>300</v>
      </c>
    </row>
    <row r="13254" customFormat="false" ht="15" hidden="false" customHeight="false" outlineLevel="0" collapsed="false">
      <c r="A13254" s="3" t="s">
        <v>330</v>
      </c>
      <c r="G13254" s="21" t="n">
        <f aca="false">IF(G13113=Assumptions!$K$65,1,0)</f>
        <v>0</v>
      </c>
      <c r="H13254" s="21" t="n">
        <f aca="false">IF(H13113=Assumptions!$K$65,1,0)</f>
        <v>0</v>
      </c>
      <c r="I13254" s="21" t="n">
        <f aca="false">IF(I13113=Assumptions!$K$65,1,0)</f>
        <v>0</v>
      </c>
      <c r="J13254" s="21" t="n">
        <f aca="false">IF(J13113=Assumptions!$K$65,1,0)</f>
        <v>0</v>
      </c>
      <c r="K13254" s="21" t="n">
        <f aca="false">IF(K13113=Assumptions!$K$65,1,0)</f>
        <v>1</v>
      </c>
    </row>
    <row r="13256" customFormat="false" ht="15" hidden="false" customHeight="false" outlineLevel="0" collapsed="false">
      <c r="A13256" s="3" t="s">
        <v>331</v>
      </c>
      <c r="G13256" s="31" t="n">
        <f aca="false">IF(Assumptions!$I$65=1,MAX(G13139,Assumptions!$G$65)+Assumptions!$F$65+$C$13140,Assumptions!$E$65)</f>
        <v>0.06125</v>
      </c>
      <c r="H13256" s="31" t="n">
        <f aca="false">IF(G13467=1,$C$13141,IF(Assumptions!$I$65=1,MAX(H13139,Assumptions!$G$65)+Assumptions!$F$65+$C$13140,Assumptions!$E$65))</f>
        <v>0.06125</v>
      </c>
      <c r="I13256" s="31" t="n">
        <f aca="false">IF(H13467=1,$C$13141,IF(Assumptions!$I$65=1,MAX(I13139,Assumptions!$G$65)+Assumptions!$F$65+$C$13140,Assumptions!$E$65))</f>
        <v>0.06125</v>
      </c>
      <c r="J13256" s="31" t="n">
        <f aca="false">IF(I13467=1,$C$13141,IF(Assumptions!$I$65=1,MAX(J13139,Assumptions!$G$65)+Assumptions!$F$65+$C$13140,Assumptions!$E$65))</f>
        <v>0.06125</v>
      </c>
      <c r="K13256" s="31" t="n">
        <f aca="false">IF(J13467=1,$C$13141,IF(Assumptions!$I$65=1,MAX(K13139,Assumptions!$G$65)+Assumptions!$F$65+$C$13140,Assumptions!$E$65))</f>
        <v>0.06125</v>
      </c>
    </row>
    <row r="13257" customFormat="false" ht="15" hidden="false" customHeight="false" outlineLevel="0" collapsed="false">
      <c r="A13257" s="3" t="s">
        <v>332</v>
      </c>
      <c r="G13257" s="16" t="n">
        <f aca="false">G13253*G13256</f>
        <v>18.375</v>
      </c>
      <c r="H13257" s="16" t="n">
        <f aca="false">H13253*H13256</f>
        <v>18.375</v>
      </c>
      <c r="I13257" s="16" t="n">
        <f aca="false">I13253*I13256</f>
        <v>18.375</v>
      </c>
      <c r="J13257" s="16" t="n">
        <f aca="false">J13253*J13256</f>
        <v>18.375</v>
      </c>
      <c r="K13257" s="16" t="n">
        <f aca="false">K13253*K13256</f>
        <v>18.375</v>
      </c>
    </row>
    <row r="13258" customFormat="false" ht="15" hidden="false" customHeight="false" outlineLevel="0" collapsed="false">
      <c r="A13258" s="3" t="s">
        <v>333</v>
      </c>
      <c r="G13258" s="16" t="n">
        <f aca="false">G13253*Assumptions!$H$65</f>
        <v>0</v>
      </c>
      <c r="H13258" s="16" t="n">
        <f aca="false">H13253*Assumptions!$H$65</f>
        <v>0</v>
      </c>
      <c r="I13258" s="16" t="n">
        <f aca="false">I13253*Assumptions!$H$65</f>
        <v>0</v>
      </c>
      <c r="J13258" s="16" t="n">
        <f aca="false">J13253*Assumptions!$H$65</f>
        <v>0</v>
      </c>
      <c r="K13258" s="16" t="n">
        <f aca="false">K13253*Assumptions!$H$65</f>
        <v>0</v>
      </c>
    </row>
    <row r="13259" customFormat="false" ht="15" hidden="false" customHeight="false" outlineLevel="0" collapsed="false">
      <c r="A13259" s="3" t="s">
        <v>334</v>
      </c>
      <c r="G13259" s="16" t="n">
        <f aca="false">MIN(G13253,Assumptions!$L$65*Assumptions!$C$65)</f>
        <v>0</v>
      </c>
      <c r="H13259" s="16" t="n">
        <f aca="false">MIN(H13253,Assumptions!$L$65*Assumptions!$C$65)</f>
        <v>0</v>
      </c>
      <c r="I13259" s="16" t="n">
        <f aca="false">MIN(I13253,Assumptions!$L$65*Assumptions!$C$65)</f>
        <v>0</v>
      </c>
      <c r="J13259" s="16" t="n">
        <f aca="false">MIN(J13253,Assumptions!$L$65*Assumptions!$C$65)</f>
        <v>0</v>
      </c>
      <c r="K13259" s="16" t="n">
        <f aca="false">MIN(K13253,Assumptions!$L$65*Assumptions!$C$65)</f>
        <v>0</v>
      </c>
    </row>
    <row r="13260" customFormat="false" ht="15" hidden="false" customHeight="false" outlineLevel="0" collapsed="false">
      <c r="A13260" s="3" t="s">
        <v>335</v>
      </c>
      <c r="G13260" s="16" t="n">
        <f aca="false">IF(AND(Assumptions!$P$65=1,G13113&lt;Assumptions!$K$65),MIN(MAX(0,-G13329),MAX(0,Assumptions!$D$65-G13253)),0)</f>
        <v>0</v>
      </c>
      <c r="H13260" s="16" t="n">
        <f aca="false">IF(AND(Assumptions!$P$65=1,OR(H13113&lt;Assumptions!$K$65,G13467=1)),MIN(MAX(0,-H13329),MAX(0,Assumptions!$D$65-H13253)),0)</f>
        <v>0</v>
      </c>
      <c r="I13260" s="16" t="n">
        <f aca="false">IF(AND(Assumptions!$P$65=1,OR(I13113&lt;Assumptions!$K$65,H13467=1)),MIN(MAX(0,-I13329),MAX(0,Assumptions!$D$65-I13253)),0)</f>
        <v>0</v>
      </c>
      <c r="J13260" s="16" t="n">
        <f aca="false">IF(AND(Assumptions!$P$65=1,OR(J13113&lt;Assumptions!$K$65,I13467=1)),MIN(MAX(0,-J13329),MAX(0,Assumptions!$D$65-J13253)),0)</f>
        <v>0</v>
      </c>
      <c r="K13260" s="16" t="n">
        <f aca="false">IF(AND(Assumptions!$P$65=1,OR(K13113&lt;Assumptions!$K$65,J13467=1)),MIN(MAX(0,-K13329),MAX(0,Assumptions!$D$65-K13253)),0)</f>
        <v>0</v>
      </c>
    </row>
    <row r="13261" customFormat="false" ht="15" hidden="false" customHeight="false" outlineLevel="0" collapsed="false">
      <c r="A13261" s="3" t="s">
        <v>336</v>
      </c>
      <c r="G13261" s="16" t="n">
        <f aca="false">G13254*MIN(G13253-G13259+G13258,MAX(0,G13331-Assumptions!$C$12*G13147-G13157-G13170-G13183-G13196-G13209-G13222-G13235-G13248))</f>
        <v>0</v>
      </c>
      <c r="H13261" s="16" t="n">
        <f aca="false">H13254*MIN(H13253-H13259+H13258,MAX(0,H13331-Assumptions!$C$12*H13147-H13157-H13170-H13183-H13196-H13209-H13222-H13235-H13248))</f>
        <v>0</v>
      </c>
      <c r="I13261" s="16" t="n">
        <f aca="false">I13254*MIN(I13253-I13259+I13258,MAX(0,I13331-Assumptions!$C$12*I13147-I13157-I13170-I13183-I13196-I13209-I13222-I13235-I13248))</f>
        <v>0</v>
      </c>
      <c r="J13261" s="16" t="n">
        <f aca="false">J13254*MIN(J13253-J13259+J13258,MAX(0,J13331-Assumptions!$C$12*J13147-J13157-J13170-J13183-J13196-J13209-J13222-J13235-J13248))</f>
        <v>0</v>
      </c>
      <c r="K13261" s="16" t="n">
        <f aca="false">K13254*MIN(K13253-K13259+K13258,MAX(0,K13331-Assumptions!$C$12*K13147-K13157-K13170-K13183-K13196-K13209-K13222-K13235-K13248))</f>
        <v>0</v>
      </c>
    </row>
    <row r="13262" customFormat="false" ht="15" hidden="false" customHeight="false" outlineLevel="0" collapsed="false">
      <c r="A13262" s="3" t="s">
        <v>337</v>
      </c>
      <c r="G13262" s="16" t="n">
        <f aca="false">Assumptions!$N$65*MIN(G13253+G13260+G13258-G13259-G13261,MAX(0,G13335-G13158-G13171-G13184-G13197-G13210-G13223-G13236-G13249))</f>
        <v>0</v>
      </c>
      <c r="H13262" s="16" t="n">
        <f aca="false">Assumptions!$N$65*MIN(H13253+H13260+H13258-H13259-H13261,MAX(0,H13335-H13158-H13171-H13184-H13197-H13210-H13223-H13236-H13249))</f>
        <v>0</v>
      </c>
      <c r="I13262" s="16" t="n">
        <f aca="false">Assumptions!$N$65*MIN(I13253+I13260+I13258-I13259-I13261,MAX(0,I13335-I13158-I13171-I13184-I13197-I13210-I13223-I13236-I13249))</f>
        <v>0</v>
      </c>
      <c r="J13262" s="16" t="n">
        <f aca="false">Assumptions!$N$65*MIN(J13253+J13260+J13258-J13259-J13261,MAX(0,J13335-J13158-J13171-J13184-J13197-J13210-J13223-J13236-J13249))</f>
        <v>0</v>
      </c>
      <c r="K13262" s="16" t="n">
        <f aca="false">Assumptions!$N$65*MIN(K13253+K13260+K13258-K13259-K13261,MAX(0,K13335-K13158-K13171-K13184-K13197-K13210-K13223-K13236-K13249))</f>
        <v>0</v>
      </c>
    </row>
    <row r="13263" customFormat="false" ht="15" hidden="false" customHeight="false" outlineLevel="0" collapsed="false">
      <c r="A13263" s="3" t="s">
        <v>338</v>
      </c>
      <c r="G13263" s="16" t="n">
        <f aca="false">G13254*(1-G13147)*(G13253-G13259+G13258-G13261)</f>
        <v>0</v>
      </c>
      <c r="H13263" s="16" t="n">
        <f aca="false">H13254*(1-H13147)*(H13253-H13259+H13258-H13261)</f>
        <v>0</v>
      </c>
      <c r="I13263" s="16" t="n">
        <f aca="false">I13254*(1-I13147)*(I13253-I13259+I13258-I13261)</f>
        <v>0</v>
      </c>
      <c r="J13263" s="16" t="n">
        <f aca="false">J13254*(1-J13147)*(J13253-J13259+J13258-J13261)</f>
        <v>0</v>
      </c>
      <c r="K13263" s="16" t="n">
        <f aca="false">K13254*(1-K13147)*(K13253-K13259+K13258-K13261)</f>
        <v>0</v>
      </c>
    </row>
    <row r="13264" customFormat="false" ht="15" hidden="false" customHeight="false" outlineLevel="0" collapsed="false">
      <c r="A13264" s="2" t="s">
        <v>339</v>
      </c>
      <c r="F13264" s="28" t="n">
        <f aca="false">Assumptions!$C$65</f>
        <v>300</v>
      </c>
      <c r="G13264" s="17" t="n">
        <f aca="false">G13253+G13260+G13258-G13259-G13261-G13262</f>
        <v>300</v>
      </c>
      <c r="H13264" s="17" t="n">
        <f aca="false">H13253+H13260+H13258-H13259-H13261-H13262</f>
        <v>300</v>
      </c>
      <c r="I13264" s="17" t="n">
        <f aca="false">I13253+I13260+I13258-I13259-I13261-I13262</f>
        <v>300</v>
      </c>
      <c r="J13264" s="17" t="n">
        <f aca="false">J13253+J13260+J13258-J13259-J13261-J13262</f>
        <v>300</v>
      </c>
      <c r="K13264" s="17" t="n">
        <f aca="false">K13253+K13260+K13258-K13259-K13261-K13262</f>
        <v>300</v>
      </c>
    </row>
    <row r="13265" customFormat="false" ht="15" hidden="false" customHeight="false" outlineLevel="0" collapsed="false">
      <c r="A13265" s="24" t="s">
        <v>348</v>
      </c>
      <c r="B13265" s="25"/>
      <c r="C13265" s="25"/>
      <c r="D13265" s="25"/>
      <c r="E13265" s="25"/>
      <c r="F13265" s="25"/>
      <c r="G13265" s="25"/>
      <c r="H13265" s="25"/>
      <c r="I13265" s="25"/>
      <c r="J13265" s="25"/>
      <c r="K13265" s="25"/>
    </row>
    <row r="13266" customFormat="false" ht="15" hidden="false" customHeight="false" outlineLevel="0" collapsed="false">
      <c r="A13266" s="3" t="s">
        <v>329</v>
      </c>
      <c r="G13266" s="16" t="n">
        <f aca="false">F13277</f>
        <v>78.61</v>
      </c>
      <c r="H13266" s="16" t="n">
        <f aca="false">G13277</f>
        <v>78.61</v>
      </c>
      <c r="I13266" s="16" t="n">
        <f aca="false">H13277</f>
        <v>78.61</v>
      </c>
      <c r="J13266" s="16" t="n">
        <f aca="false">I13277</f>
        <v>78.61</v>
      </c>
      <c r="K13266" s="16" t="n">
        <f aca="false">J13277</f>
        <v>78.61</v>
      </c>
    </row>
    <row r="13267" customFormat="false" ht="15" hidden="false" customHeight="false" outlineLevel="0" collapsed="false">
      <c r="A13267" s="3" t="s">
        <v>330</v>
      </c>
      <c r="G13267" s="21" t="n">
        <f aca="false">IF(G13113=Assumptions!$K$66,1,0)</f>
        <v>0</v>
      </c>
      <c r="H13267" s="21" t="n">
        <f aca="false">IF(H13113=Assumptions!$K$66,1,0)</f>
        <v>0</v>
      </c>
      <c r="I13267" s="21" t="n">
        <f aca="false">IF(I13113=Assumptions!$K$66,1,0)</f>
        <v>0</v>
      </c>
      <c r="J13267" s="21" t="n">
        <f aca="false">IF(J13113=Assumptions!$K$66,1,0)</f>
        <v>0</v>
      </c>
      <c r="K13267" s="21" t="n">
        <f aca="false">IF(K13113=Assumptions!$K$66,1,0)</f>
        <v>0</v>
      </c>
    </row>
    <row r="13269" customFormat="false" ht="15" hidden="false" customHeight="false" outlineLevel="0" collapsed="false">
      <c r="A13269" s="3" t="s">
        <v>331</v>
      </c>
      <c r="G13269" s="31" t="n">
        <f aca="false">IF(Assumptions!$I$66=1,MAX(G13139,Assumptions!$G$66)+Assumptions!$F$66+$C$13140,Assumptions!$E$66)</f>
        <v>0.0541</v>
      </c>
      <c r="H13269" s="31" t="n">
        <f aca="false">IF(G13468=1,$C$13141,IF(Assumptions!$I$66=1,MAX(H13139,Assumptions!$G$66)+Assumptions!$F$66+$C$13140,Assumptions!$E$66))</f>
        <v>0.0526</v>
      </c>
      <c r="I13269" s="31" t="n">
        <f aca="false">IF(H13468=1,$C$13141,IF(Assumptions!$I$66=1,MAX(I13139,Assumptions!$G$66)+Assumptions!$F$66+$C$13140,Assumptions!$E$66))</f>
        <v>0.0501</v>
      </c>
      <c r="J13269" s="31" t="n">
        <f aca="false">IF(I13468=1,$C$13141,IF(Assumptions!$I$66=1,MAX(J13139,Assumptions!$G$66)+Assumptions!$F$66+$C$13140,Assumptions!$E$66))</f>
        <v>0.0501</v>
      </c>
      <c r="K13269" s="31" t="n">
        <f aca="false">IF(J13468=1,$C$13141,IF(Assumptions!$I$66=1,MAX(K13139,Assumptions!$G$66)+Assumptions!$F$66+$C$13140,Assumptions!$E$66))</f>
        <v>0.0501</v>
      </c>
    </row>
    <row r="13270" customFormat="false" ht="15" hidden="false" customHeight="false" outlineLevel="0" collapsed="false">
      <c r="A13270" s="3" t="s">
        <v>332</v>
      </c>
      <c r="G13270" s="16" t="n">
        <f aca="false">G13266*G13269</f>
        <v>4.252801</v>
      </c>
      <c r="H13270" s="16" t="n">
        <f aca="false">H13266*H13269</f>
        <v>4.134886</v>
      </c>
      <c r="I13270" s="16" t="n">
        <f aca="false">I13266*I13269</f>
        <v>3.938361</v>
      </c>
      <c r="J13270" s="16" t="n">
        <f aca="false">J13266*J13269</f>
        <v>3.938361</v>
      </c>
      <c r="K13270" s="16" t="n">
        <f aca="false">K13266*K13269</f>
        <v>3.938361</v>
      </c>
    </row>
    <row r="13271" customFormat="false" ht="15" hidden="false" customHeight="false" outlineLevel="0" collapsed="false">
      <c r="A13271" s="3" t="s">
        <v>333</v>
      </c>
      <c r="G13271" s="16" t="n">
        <f aca="false">G13266*Assumptions!$H$66</f>
        <v>0</v>
      </c>
      <c r="H13271" s="16" t="n">
        <f aca="false">H13266*Assumptions!$H$66</f>
        <v>0</v>
      </c>
      <c r="I13271" s="16" t="n">
        <f aca="false">I13266*Assumptions!$H$66</f>
        <v>0</v>
      </c>
      <c r="J13271" s="16" t="n">
        <f aca="false">J13266*Assumptions!$H$66</f>
        <v>0</v>
      </c>
      <c r="K13271" s="16" t="n">
        <f aca="false">K13266*Assumptions!$H$66</f>
        <v>0</v>
      </c>
    </row>
    <row r="13272" customFormat="false" ht="15" hidden="false" customHeight="false" outlineLevel="0" collapsed="false">
      <c r="A13272" s="3" t="s">
        <v>334</v>
      </c>
      <c r="G13272" s="16" t="n">
        <f aca="false">MIN(G13266,Assumptions!$L$66*Assumptions!$C$66)</f>
        <v>0</v>
      </c>
      <c r="H13272" s="16" t="n">
        <f aca="false">MIN(H13266,Assumptions!$L$66*Assumptions!$C$66)</f>
        <v>0</v>
      </c>
      <c r="I13272" s="16" t="n">
        <f aca="false">MIN(I13266,Assumptions!$L$66*Assumptions!$C$66)</f>
        <v>0</v>
      </c>
      <c r="J13272" s="16" t="n">
        <f aca="false">MIN(J13266,Assumptions!$L$66*Assumptions!$C$66)</f>
        <v>0</v>
      </c>
      <c r="K13272" s="16" t="n">
        <f aca="false">MIN(K13266,Assumptions!$L$66*Assumptions!$C$66)</f>
        <v>0</v>
      </c>
    </row>
    <row r="13273" customFormat="false" ht="15" hidden="false" customHeight="false" outlineLevel="0" collapsed="false">
      <c r="A13273" s="3" t="s">
        <v>335</v>
      </c>
      <c r="G13273" s="16" t="n">
        <f aca="false">IF(AND(Assumptions!$P$66=1,G13113&lt;Assumptions!$K$66),MIN(MAX(0,-G13329),MAX(0,Assumptions!$D$66-G13266)),0)</f>
        <v>0</v>
      </c>
      <c r="H13273" s="16" t="n">
        <f aca="false">IF(AND(Assumptions!$P$66=1,OR(H13113&lt;Assumptions!$K$66,G13468=1)),MIN(MAX(0,-H13329),MAX(0,Assumptions!$D$66-H13266)),0)</f>
        <v>0</v>
      </c>
      <c r="I13273" s="16" t="n">
        <f aca="false">IF(AND(Assumptions!$P$66=1,OR(I13113&lt;Assumptions!$K$66,H13468=1)),MIN(MAX(0,-I13329),MAX(0,Assumptions!$D$66-I13266)),0)</f>
        <v>0</v>
      </c>
      <c r="J13273" s="16" t="n">
        <f aca="false">IF(AND(Assumptions!$P$66=1,OR(J13113&lt;Assumptions!$K$66,I13468=1)),MIN(MAX(0,-J13329),MAX(0,Assumptions!$D$66-J13266)),0)</f>
        <v>0</v>
      </c>
      <c r="K13273" s="16" t="n">
        <f aca="false">IF(AND(Assumptions!$P$66=1,OR(K13113&lt;Assumptions!$K$66,J13468=1)),MIN(MAX(0,-K13329),MAX(0,Assumptions!$D$66-K13266)),0)</f>
        <v>0</v>
      </c>
    </row>
    <row r="13274" customFormat="false" ht="15" hidden="false" customHeight="false" outlineLevel="0" collapsed="false">
      <c r="A13274" s="3" t="s">
        <v>336</v>
      </c>
      <c r="G13274" s="16" t="n">
        <f aca="false">G13267*MIN(G13266-G13272+G13271,MAX(0,G13331-Assumptions!$C$12*G13147-G13157-G13170-G13183-G13196-G13209-G13222-G13235-G13248-G13261))</f>
        <v>0</v>
      </c>
      <c r="H13274" s="16" t="n">
        <f aca="false">H13267*MIN(H13266-H13272+H13271,MAX(0,H13331-Assumptions!$C$12*H13147-H13157-H13170-H13183-H13196-H13209-H13222-H13235-H13248-H13261))</f>
        <v>0</v>
      </c>
      <c r="I13274" s="16" t="n">
        <f aca="false">I13267*MIN(I13266-I13272+I13271,MAX(0,I13331-Assumptions!$C$12*I13147-I13157-I13170-I13183-I13196-I13209-I13222-I13235-I13248-I13261))</f>
        <v>0</v>
      </c>
      <c r="J13274" s="16" t="n">
        <f aca="false">J13267*MIN(J13266-J13272+J13271,MAX(0,J13331-Assumptions!$C$12*J13147-J13157-J13170-J13183-J13196-J13209-J13222-J13235-J13248-J13261))</f>
        <v>0</v>
      </c>
      <c r="K13274" s="16" t="n">
        <f aca="false">K13267*MIN(K13266-K13272+K13271,MAX(0,K13331-Assumptions!$C$12*K13147-K13157-K13170-K13183-K13196-K13209-K13222-K13235-K13248-K13261))</f>
        <v>0</v>
      </c>
    </row>
    <row r="13275" customFormat="false" ht="15" hidden="false" customHeight="false" outlineLevel="0" collapsed="false">
      <c r="A13275" s="3" t="s">
        <v>337</v>
      </c>
      <c r="G13275" s="16" t="n">
        <f aca="false">Assumptions!$N$66*MIN(G13266+G13273+G13271-G13272-G13274,MAX(0,G13335-G13158-G13171-G13184-G13197-G13210-G13223-G13236-G13249-G13262))</f>
        <v>0</v>
      </c>
      <c r="H13275" s="16" t="n">
        <f aca="false">Assumptions!$N$66*MIN(H13266+H13273+H13271-H13272-H13274,MAX(0,H13335-H13158-H13171-H13184-H13197-H13210-H13223-H13236-H13249-H13262))</f>
        <v>0</v>
      </c>
      <c r="I13275" s="16" t="n">
        <f aca="false">Assumptions!$N$66*MIN(I13266+I13273+I13271-I13272-I13274,MAX(0,I13335-I13158-I13171-I13184-I13197-I13210-I13223-I13236-I13249-I13262))</f>
        <v>0</v>
      </c>
      <c r="J13275" s="16" t="n">
        <f aca="false">Assumptions!$N$66*MIN(J13266+J13273+J13271-J13272-J13274,MAX(0,J13335-J13158-J13171-J13184-J13197-J13210-J13223-J13236-J13249-J13262))</f>
        <v>0</v>
      </c>
      <c r="K13275" s="16" t="n">
        <f aca="false">Assumptions!$N$66*MIN(K13266+K13273+K13271-K13272-K13274,MAX(0,K13335-K13158-K13171-K13184-K13197-K13210-K13223-K13236-K13249-K13262))</f>
        <v>0</v>
      </c>
    </row>
    <row r="13276" customFormat="false" ht="15" hidden="false" customHeight="false" outlineLevel="0" collapsed="false">
      <c r="A13276" s="3" t="s">
        <v>338</v>
      </c>
      <c r="G13276" s="16" t="n">
        <f aca="false">G13267*(1-G13147)*(G13266-G13272+G13271-G13274)</f>
        <v>0</v>
      </c>
      <c r="H13276" s="16" t="n">
        <f aca="false">H13267*(1-H13147)*(H13266-H13272+H13271-H13274)</f>
        <v>0</v>
      </c>
      <c r="I13276" s="16" t="n">
        <f aca="false">I13267*(1-I13147)*(I13266-I13272+I13271-I13274)</f>
        <v>0</v>
      </c>
      <c r="J13276" s="16" t="n">
        <f aca="false">J13267*(1-J13147)*(J13266-J13272+J13271-J13274)</f>
        <v>0</v>
      </c>
      <c r="K13276" s="16" t="n">
        <f aca="false">K13267*(1-K13147)*(K13266-K13272+K13271-K13274)</f>
        <v>0</v>
      </c>
    </row>
    <row r="13277" customFormat="false" ht="15" hidden="false" customHeight="false" outlineLevel="0" collapsed="false">
      <c r="A13277" s="2" t="s">
        <v>339</v>
      </c>
      <c r="F13277" s="28" t="n">
        <f aca="false">Assumptions!$C$66</f>
        <v>78.61</v>
      </c>
      <c r="G13277" s="17" t="n">
        <f aca="false">G13266+G13273+G13271-G13272-G13274-G13275</f>
        <v>78.61</v>
      </c>
      <c r="H13277" s="17" t="n">
        <f aca="false">H13266+H13273+H13271-H13272-H13274-H13275</f>
        <v>78.61</v>
      </c>
      <c r="I13277" s="17" t="n">
        <f aca="false">I13266+I13273+I13271-I13272-I13274-I13275</f>
        <v>78.61</v>
      </c>
      <c r="J13277" s="17" t="n">
        <f aca="false">J13266+J13273+J13271-J13272-J13274-J13275</f>
        <v>78.61</v>
      </c>
      <c r="K13277" s="17" t="n">
        <f aca="false">K13266+K13273+K13271-K13272-K13274-K13275</f>
        <v>78.61</v>
      </c>
    </row>
    <row r="13278" customFormat="false" ht="15" hidden="false" customHeight="false" outlineLevel="0" collapsed="false">
      <c r="A13278" s="24" t="s">
        <v>349</v>
      </c>
      <c r="B13278" s="25"/>
      <c r="C13278" s="25"/>
      <c r="D13278" s="25"/>
      <c r="E13278" s="25"/>
      <c r="F13278" s="25"/>
      <c r="G13278" s="25"/>
      <c r="H13278" s="25"/>
      <c r="I13278" s="25"/>
      <c r="J13278" s="25"/>
      <c r="K13278" s="25"/>
    </row>
    <row r="13279" customFormat="false" ht="15" hidden="false" customHeight="false" outlineLevel="0" collapsed="false">
      <c r="A13279" s="2" t="s">
        <v>350</v>
      </c>
      <c r="F13279" s="17" t="n">
        <f aca="false">F13160+F13173+F13186+F13199+F13212+F13225+F13238+F13251+F13264+F13277</f>
        <v>2625.934</v>
      </c>
      <c r="G13279" s="17" t="n">
        <f aca="false">G13160+G13173+G13186+G13199+G13212+G13225+G13238+G13251+G13264+G13277</f>
        <v>2621.934</v>
      </c>
      <c r="H13279" s="17" t="n">
        <f aca="false">H13160+H13173+H13186+H13199+H13212+H13225+H13238+H13251+H13264+H13277</f>
        <v>2575.6561513738</v>
      </c>
      <c r="I13279" s="17" t="n">
        <f aca="false">I13160+I13173+I13186+I13199+I13212+I13225+I13238+I13251+I13264+I13277</f>
        <v>2638.45309355586</v>
      </c>
      <c r="J13279" s="17" t="n">
        <f aca="false">J13160+J13173+J13186+J13199+J13212+J13225+J13238+J13251+J13264+J13277</f>
        <v>2723.3336162386</v>
      </c>
      <c r="K13279" s="17" t="n">
        <f aca="false">K13160+K13173+K13186+K13199+K13212+K13225+K13238+K13251+K13264+K13277</f>
        <v>2823.86943529725</v>
      </c>
    </row>
    <row r="13280" customFormat="false" ht="15" hidden="false" customHeight="false" outlineLevel="0" collapsed="false">
      <c r="A13280" s="3" t="s">
        <v>351</v>
      </c>
      <c r="G13280" s="16" t="n">
        <f aca="false">G13150*Assumptions!$C$57+G13163*Assumptions!$C$58+G13176*Assumptions!$C$59+G13189*Assumptions!$C$60+G13202*Assumptions!$C$61+G13215*Assumptions!$C$62+G13228*Assumptions!$C$63+G13241*Assumptions!$C$64+G13254*Assumptions!$C$65+G13267*Assumptions!$C$66</f>
        <v>0</v>
      </c>
      <c r="H13280" s="16" t="n">
        <f aca="false">H13150*Assumptions!$C$57+H13163*Assumptions!$C$58+H13176*Assumptions!$C$59+H13189*Assumptions!$C$60+H13202*Assumptions!$C$61+H13215*Assumptions!$C$62+H13228*Assumptions!$C$63+H13241*Assumptions!$C$64+H13254*Assumptions!$C$65+H13267*Assumptions!$C$66</f>
        <v>800</v>
      </c>
      <c r="I13280" s="16" t="n">
        <f aca="false">I13150*Assumptions!$C$57+I13163*Assumptions!$C$58+I13176*Assumptions!$C$59+I13189*Assumptions!$C$60+I13202*Assumptions!$C$61+I13215*Assumptions!$C$62+I13228*Assumptions!$C$63+I13241*Assumptions!$C$64+I13254*Assumptions!$C$65+I13267*Assumptions!$C$66</f>
        <v>550</v>
      </c>
      <c r="J13280" s="16" t="n">
        <f aca="false">J13150*Assumptions!$C$57+J13163*Assumptions!$C$58+J13176*Assumptions!$C$59+J13189*Assumptions!$C$60+J13202*Assumptions!$C$61+J13215*Assumptions!$C$62+J13228*Assumptions!$C$63+J13241*Assumptions!$C$64+J13254*Assumptions!$C$65+J13267*Assumptions!$C$66</f>
        <v>350</v>
      </c>
      <c r="K13280" s="16" t="n">
        <f aca="false">K13150*Assumptions!$C$57+K13163*Assumptions!$C$58+K13176*Assumptions!$C$59+K13189*Assumptions!$C$60+K13202*Assumptions!$C$61+K13215*Assumptions!$C$62+K13228*Assumptions!$C$63+K13241*Assumptions!$C$64+K13254*Assumptions!$C$65+K13267*Assumptions!$C$66</f>
        <v>700</v>
      </c>
    </row>
    <row r="13281" customFormat="false" ht="15" hidden="false" customHeight="false" outlineLevel="0" collapsed="false">
      <c r="A13281" s="24" t="s">
        <v>352</v>
      </c>
      <c r="B13281" s="25"/>
      <c r="C13281" s="25"/>
      <c r="D13281" s="25"/>
      <c r="E13281" s="25"/>
      <c r="F13281" s="25"/>
      <c r="G13281" s="25"/>
      <c r="H13281" s="25"/>
      <c r="I13281" s="25"/>
      <c r="J13281" s="25"/>
      <c r="K13281" s="25"/>
    </row>
    <row r="13282" customFormat="false" ht="15" hidden="false" customHeight="false" outlineLevel="0" collapsed="false">
      <c r="A13282" s="3" t="s">
        <v>353</v>
      </c>
      <c r="C13282" s="16" t="n">
        <f aca="false">SUMPRODUCT($G$13150:$K$13150,$G$13149:$K$13149-$G$13155:$K$13155+$G$13154:$K$13154)</f>
        <v>380</v>
      </c>
    </row>
    <row r="13283" customFormat="false" ht="15" hidden="false" customHeight="false" outlineLevel="0" collapsed="false">
      <c r="A13283" s="3" t="s">
        <v>354</v>
      </c>
      <c r="C13283" s="16" t="n">
        <f aca="false">SUMPRODUCT($G$13150:$K$13150,$G$13157:$K$13157)</f>
        <v>0</v>
      </c>
    </row>
    <row r="13284" customFormat="false" ht="15" hidden="false" customHeight="false" outlineLevel="0" collapsed="false">
      <c r="A13284" s="3" t="s">
        <v>355</v>
      </c>
      <c r="C13284" s="3" t="str">
        <f aca="false">IF(SUM($G$13150:$K$13150)=0,"n/a (beyond horizon)",IF(SUMPRODUCT($G$13150:$K$13150,$G$13147:$K$13147)&gt;0,"REFINANCING PASS","REFINANCING FAILURE"))</f>
        <v>REFINANCING PASS</v>
      </c>
    </row>
    <row r="13285" customFormat="false" ht="15" hidden="false" customHeight="false" outlineLevel="0" collapsed="false">
      <c r="A13285" s="3" t="s">
        <v>356</v>
      </c>
      <c r="C13285" s="3" t="str">
        <f aca="false">IF(SUM($G$13150:$K$13150)=0,"n/a",IF(C13283&gt;=C13282-0.001,"Repaid from cash",IF(SUMPRODUCT($G$13150:$K$13150,$G$13147:$K$13147)&gt;0,IF(C13283&gt;0,"Partly repaid; remainder refinanced","Refinanced"),IF(SUM($G$13159:$K$13159)&gt;0.001,IF(C13283&gt;0,"Partial repayment; PAYMENT DEFAULT","PAYMENT DEFAULT"),"Repaid from cash"))))</f>
        <v>Refinanced</v>
      </c>
    </row>
    <row r="13286" customFormat="false" ht="15" hidden="false" customHeight="false" outlineLevel="0" collapsed="false">
      <c r="A13286" s="3" t="s">
        <v>357</v>
      </c>
      <c r="C13286" s="16" t="n">
        <f aca="false">SUMPRODUCT($G$13163:$K$13163,$G$13162:$K$13162-$G$13168:$K$13168+$G$13167:$K$13167)</f>
        <v>0</v>
      </c>
    </row>
    <row r="13287" customFormat="false" ht="15" hidden="false" customHeight="false" outlineLevel="0" collapsed="false">
      <c r="A13287" s="3" t="s">
        <v>358</v>
      </c>
      <c r="C13287" s="16" t="n">
        <f aca="false">SUMPRODUCT($G$13163:$K$13163,$G$13170:$K$13170)</f>
        <v>0</v>
      </c>
    </row>
    <row r="13288" customFormat="false" ht="15" hidden="false" customHeight="false" outlineLevel="0" collapsed="false">
      <c r="A13288" s="3" t="s">
        <v>359</v>
      </c>
      <c r="C13288" s="3" t="str">
        <f aca="false">IF(SUM($G$13163:$K$13163)=0,"n/a (beyond horizon)",IF(SUMPRODUCT($G$13163:$K$13163,$G$13147:$K$13147)&gt;0,"REFINANCING PASS","REFINANCING FAILURE"))</f>
        <v>n/a (beyond horizon)</v>
      </c>
    </row>
    <row r="13289" customFormat="false" ht="15" hidden="false" customHeight="false" outlineLevel="0" collapsed="false">
      <c r="A13289" s="3" t="s">
        <v>360</v>
      </c>
      <c r="C13289" s="3" t="str">
        <f aca="false">IF(SUM($G$13163:$K$13163)=0,"n/a",IF(C13287&gt;=C13286-0.001,"Repaid from cash",IF(SUMPRODUCT($G$13163:$K$13163,$G$13147:$K$13147)&gt;0,IF(C13287&gt;0,"Partly repaid; remainder refinanced","Refinanced"),IF(SUM($G$13172:$K$13172)&gt;0.001,IF(C13287&gt;0,"Partial repayment; PAYMENT DEFAULT","PAYMENT DEFAULT"),"Repaid from cash"))))</f>
        <v>n/a</v>
      </c>
    </row>
    <row r="13290" customFormat="false" ht="15" hidden="false" customHeight="false" outlineLevel="0" collapsed="false">
      <c r="A13290" s="3" t="s">
        <v>361</v>
      </c>
      <c r="C13290" s="16" t="n">
        <f aca="false">SUMPRODUCT($G$13176:$K$13176,$G$13175:$K$13175-$G$13181:$K$13181+$G$13180:$K$13180)</f>
        <v>0</v>
      </c>
    </row>
    <row r="13291" customFormat="false" ht="15" hidden="false" customHeight="false" outlineLevel="0" collapsed="false">
      <c r="A13291" s="3" t="s">
        <v>362</v>
      </c>
      <c r="C13291" s="16" t="n">
        <f aca="false">SUMPRODUCT($G$13176:$K$13176,$G$13183:$K$13183)</f>
        <v>0</v>
      </c>
    </row>
    <row r="13292" customFormat="false" ht="15" hidden="false" customHeight="false" outlineLevel="0" collapsed="false">
      <c r="A13292" s="3" t="s">
        <v>363</v>
      </c>
      <c r="C13292" s="3" t="str">
        <f aca="false">IF(SUM($G$13176:$K$13176)=0,"n/a (beyond horizon)",IF(SUMPRODUCT($G$13176:$K$13176,$G$13147:$K$13147)&gt;0,"REFINANCING PASS","REFINANCING FAILURE"))</f>
        <v>n/a (beyond horizon)</v>
      </c>
    </row>
    <row r="13293" customFormat="false" ht="15" hidden="false" customHeight="false" outlineLevel="0" collapsed="false">
      <c r="A13293" s="3" t="s">
        <v>364</v>
      </c>
      <c r="C13293" s="3" t="str">
        <f aca="false">IF(SUM($G$13176:$K$13176)=0,"n/a",IF(C13291&gt;=C13290-0.001,"Repaid from cash",IF(SUMPRODUCT($G$13176:$K$13176,$G$13147:$K$13147)&gt;0,IF(C13291&gt;0,"Partly repaid; remainder refinanced","Refinanced"),IF(SUM($G$13185:$K$13185)&gt;0.001,IF(C13291&gt;0,"Partial repayment; PAYMENT DEFAULT","PAYMENT DEFAULT"),"Repaid from cash"))))</f>
        <v>n/a</v>
      </c>
    </row>
    <row r="13294" customFormat="false" ht="15" hidden="false" customHeight="false" outlineLevel="0" collapsed="false">
      <c r="A13294" s="3" t="s">
        <v>365</v>
      </c>
      <c r="C13294" s="16" t="n">
        <f aca="false">SUMPRODUCT($G$13189:$K$13189,$G$13188:$K$13188-$G$13194:$K$13194+$G$13193:$K$13193)</f>
        <v>0</v>
      </c>
    </row>
    <row r="13295" customFormat="false" ht="15" hidden="false" customHeight="false" outlineLevel="0" collapsed="false">
      <c r="A13295" s="3" t="s">
        <v>366</v>
      </c>
      <c r="C13295" s="16" t="n">
        <f aca="false">SUMPRODUCT($G$13189:$K$13189,$G$13196:$K$13196)</f>
        <v>0</v>
      </c>
    </row>
    <row r="13296" customFormat="false" ht="15" hidden="false" customHeight="false" outlineLevel="0" collapsed="false">
      <c r="A13296" s="3" t="s">
        <v>367</v>
      </c>
      <c r="C13296" s="3" t="str">
        <f aca="false">IF(SUM($G$13189:$K$13189)=0,"n/a (beyond horizon)",IF(SUMPRODUCT($G$13189:$K$13189,$G$13147:$K$13147)&gt;0,"REFINANCING PASS","REFINANCING FAILURE"))</f>
        <v>REFINANCING PASS</v>
      </c>
    </row>
    <row r="13297" customFormat="false" ht="15" hidden="false" customHeight="false" outlineLevel="0" collapsed="false">
      <c r="A13297" s="3" t="s">
        <v>368</v>
      </c>
      <c r="C13297" s="3" t="str">
        <f aca="false">IF(SUM($G$13189:$K$13189)=0,"n/a",IF(C13295&gt;=C13294-0.001,"Repaid from cash",IF(SUMPRODUCT($G$13189:$K$13189,$G$13147:$K$13147)&gt;0,IF(C13295&gt;0,"Partly repaid; remainder refinanced","Refinanced"),IF(SUM($G$13198:$K$13198)&gt;0.001,IF(C13295&gt;0,"Partial repayment; PAYMENT DEFAULT","PAYMENT DEFAULT"),"Repaid from cash"))))</f>
        <v>Repaid from cash</v>
      </c>
    </row>
    <row r="13298" customFormat="false" ht="15" hidden="false" customHeight="false" outlineLevel="0" collapsed="false">
      <c r="A13298" s="3" t="s">
        <v>369</v>
      </c>
      <c r="C13298" s="16" t="n">
        <f aca="false">SUMPRODUCT($G$13202:$K$13202,$G$13201:$K$13201-$G$13207:$K$13207+$G$13206:$K$13206)</f>
        <v>450</v>
      </c>
    </row>
    <row r="13299" customFormat="false" ht="15" hidden="false" customHeight="false" outlineLevel="0" collapsed="false">
      <c r="A13299" s="3" t="s">
        <v>370</v>
      </c>
      <c r="C13299" s="16" t="n">
        <f aca="false">SUMPRODUCT($G$13202:$K$13202,$G$13209:$K$13209)</f>
        <v>42.2778486262</v>
      </c>
    </row>
    <row r="13300" customFormat="false" ht="15" hidden="false" customHeight="false" outlineLevel="0" collapsed="false">
      <c r="A13300" s="3" t="s">
        <v>371</v>
      </c>
      <c r="C13300" s="3" t="str">
        <f aca="false">IF(SUM($G$13202:$K$13202)=0,"n/a (beyond horizon)",IF(SUMPRODUCT($G$13202:$K$13202,$G$13147:$K$13147)&gt;0,"REFINANCING PASS","REFINANCING FAILURE"))</f>
        <v>REFINANCING PASS</v>
      </c>
    </row>
    <row r="13301" customFormat="false" ht="15" hidden="false" customHeight="false" outlineLevel="0" collapsed="false">
      <c r="A13301" s="3" t="s">
        <v>372</v>
      </c>
      <c r="C13301" s="3" t="str">
        <f aca="false">IF(SUM($G$13202:$K$13202)=0,"n/a",IF(C13299&gt;=C13298-0.001,"Repaid from cash",IF(SUMPRODUCT($G$13202:$K$13202,$G$13147:$K$13147)&gt;0,IF(C13299&gt;0,"Partly repaid; remainder refinanced","Refinanced"),IF(SUM($G$13211:$K$13211)&gt;0.001,IF(C13299&gt;0,"Partial repayment; PAYMENT DEFAULT","PAYMENT DEFAULT"),"Repaid from cash"))))</f>
        <v>Partly repaid; remainder refinanced</v>
      </c>
    </row>
    <row r="13302" customFormat="false" ht="15" hidden="false" customHeight="false" outlineLevel="0" collapsed="false">
      <c r="A13302" s="3" t="s">
        <v>373</v>
      </c>
      <c r="C13302" s="16" t="n">
        <f aca="false">SUMPRODUCT($G$13215:$K$13215,$G$13214:$K$13214-$G$13220:$K$13220+$G$13219:$K$13219)</f>
        <v>350</v>
      </c>
    </row>
    <row r="13303" customFormat="false" ht="15" hidden="false" customHeight="false" outlineLevel="0" collapsed="false">
      <c r="A13303" s="3" t="s">
        <v>374</v>
      </c>
      <c r="C13303" s="16" t="n">
        <f aca="false">SUMPRODUCT($G$13215:$K$13215,$G$13222:$K$13222)</f>
        <v>0</v>
      </c>
    </row>
    <row r="13304" customFormat="false" ht="15" hidden="false" customHeight="false" outlineLevel="0" collapsed="false">
      <c r="A13304" s="3" t="s">
        <v>375</v>
      </c>
      <c r="C13304" s="3" t="str">
        <f aca="false">IF(SUM($G$13215:$K$13215)=0,"n/a (beyond horizon)",IF(SUMPRODUCT($G$13215:$K$13215,$G$13147:$K$13147)&gt;0,"REFINANCING PASS","REFINANCING FAILURE"))</f>
        <v>REFINANCING PASS</v>
      </c>
    </row>
    <row r="13305" customFormat="false" ht="15" hidden="false" customHeight="false" outlineLevel="0" collapsed="false">
      <c r="A13305" s="3" t="s">
        <v>376</v>
      </c>
      <c r="C13305" s="3" t="str">
        <f aca="false">IF(SUM($G$13215:$K$13215)=0,"n/a",IF(C13303&gt;=C13302-0.001,"Repaid from cash",IF(SUMPRODUCT($G$13215:$K$13215,$G$13147:$K$13147)&gt;0,IF(C13303&gt;0,"Partly repaid; remainder refinanced","Refinanced"),IF(SUM($G$13224:$K$13224)&gt;0.001,IF(C13303&gt;0,"Partial repayment; PAYMENT DEFAULT","PAYMENT DEFAULT"),"Repaid from cash"))))</f>
        <v>Refinanced</v>
      </c>
    </row>
    <row r="13306" customFormat="false" ht="15" hidden="false" customHeight="false" outlineLevel="0" collapsed="false">
      <c r="A13306" s="3" t="s">
        <v>377</v>
      </c>
      <c r="C13306" s="16" t="n">
        <f aca="false">SUMPRODUCT($G$13228:$K$13228,$G$13227:$K$13227-$G$13233:$K$13233+$G$13232:$K$13232)</f>
        <v>550</v>
      </c>
    </row>
    <row r="13307" customFormat="false" ht="15" hidden="false" customHeight="false" outlineLevel="0" collapsed="false">
      <c r="A13307" s="3" t="s">
        <v>378</v>
      </c>
      <c r="C13307" s="16" t="n">
        <f aca="false">SUMPRODUCT($G$13228:$K$13228,$G$13235:$K$13235)</f>
        <v>0</v>
      </c>
    </row>
    <row r="13308" customFormat="false" ht="15" hidden="false" customHeight="false" outlineLevel="0" collapsed="false">
      <c r="A13308" s="3" t="s">
        <v>379</v>
      </c>
      <c r="C13308" s="3" t="str">
        <f aca="false">IF(SUM($G$13228:$K$13228)=0,"n/a (beyond horizon)",IF(SUMPRODUCT($G$13228:$K$13228,$G$13147:$K$13147)&gt;0,"REFINANCING PASS","REFINANCING FAILURE"))</f>
        <v>REFINANCING PASS</v>
      </c>
    </row>
    <row r="13309" customFormat="false" ht="15" hidden="false" customHeight="false" outlineLevel="0" collapsed="false">
      <c r="A13309" s="3" t="s">
        <v>380</v>
      </c>
      <c r="C13309" s="3" t="str">
        <f aca="false">IF(SUM($G$13228:$K$13228)=0,"n/a",IF(C13307&gt;=C13306-0.001,"Repaid from cash",IF(SUMPRODUCT($G$13228:$K$13228,$G$13147:$K$13147)&gt;0,IF(C13307&gt;0,"Partly repaid; remainder refinanced","Refinanced"),IF(SUM($G$13237:$K$13237)&gt;0.001,IF(C13307&gt;0,"Partial repayment; PAYMENT DEFAULT","PAYMENT DEFAULT"),"Repaid from cash"))))</f>
        <v>Refinanced</v>
      </c>
    </row>
    <row r="13310" customFormat="false" ht="15" hidden="false" customHeight="false" outlineLevel="0" collapsed="false">
      <c r="A13310" s="3" t="s">
        <v>381</v>
      </c>
      <c r="C13310" s="16" t="n">
        <f aca="false">SUMPRODUCT($G$13241:$K$13241,$G$13240:$K$13240-$G$13246:$K$13246+$G$13245:$K$13245)</f>
        <v>350</v>
      </c>
    </row>
    <row r="13311" customFormat="false" ht="15" hidden="false" customHeight="false" outlineLevel="0" collapsed="false">
      <c r="A13311" s="3" t="s">
        <v>382</v>
      </c>
      <c r="C13311" s="16" t="n">
        <f aca="false">SUMPRODUCT($G$13241:$K$13241,$G$13248:$K$13248)</f>
        <v>0</v>
      </c>
    </row>
    <row r="13312" customFormat="false" ht="15" hidden="false" customHeight="false" outlineLevel="0" collapsed="false">
      <c r="A13312" s="3" t="s">
        <v>383</v>
      </c>
      <c r="C13312" s="3" t="str">
        <f aca="false">IF(SUM($G$13241:$K$13241)=0,"n/a (beyond horizon)",IF(SUMPRODUCT($G$13241:$K$13241,$G$13147:$K$13147)&gt;0,"REFINANCING PASS","REFINANCING FAILURE"))</f>
        <v>REFINANCING PASS</v>
      </c>
    </row>
    <row r="13313" customFormat="false" ht="15" hidden="false" customHeight="false" outlineLevel="0" collapsed="false">
      <c r="A13313" s="3" t="s">
        <v>384</v>
      </c>
      <c r="C13313" s="3" t="str">
        <f aca="false">IF(SUM($G$13241:$K$13241)=0,"n/a",IF(C13311&gt;=C13310-0.001,"Repaid from cash",IF(SUMPRODUCT($G$13241:$K$13241,$G$13147:$K$13147)&gt;0,IF(C13311&gt;0,"Partly repaid; remainder refinanced","Refinanced"),IF(SUM($G$13250:$K$13250)&gt;0.001,IF(C13311&gt;0,"Partial repayment; PAYMENT DEFAULT","PAYMENT DEFAULT"),"Repaid from cash"))))</f>
        <v>Refinanced</v>
      </c>
    </row>
    <row r="13314" customFormat="false" ht="15" hidden="false" customHeight="false" outlineLevel="0" collapsed="false">
      <c r="A13314" s="3" t="s">
        <v>385</v>
      </c>
      <c r="C13314" s="16" t="n">
        <f aca="false">SUMPRODUCT($G$13254:$K$13254,$G$13253:$K$13253-$G$13259:$K$13259+$G$13258:$K$13258)</f>
        <v>300</v>
      </c>
    </row>
    <row r="13315" customFormat="false" ht="15" hidden="false" customHeight="false" outlineLevel="0" collapsed="false">
      <c r="A13315" s="3" t="s">
        <v>386</v>
      </c>
      <c r="C13315" s="16" t="n">
        <f aca="false">SUMPRODUCT($G$13254:$K$13254,$G$13261:$K$13261)</f>
        <v>0</v>
      </c>
    </row>
    <row r="13316" customFormat="false" ht="15" hidden="false" customHeight="false" outlineLevel="0" collapsed="false">
      <c r="A13316" s="3" t="s">
        <v>387</v>
      </c>
      <c r="C13316" s="3" t="str">
        <f aca="false">IF(SUM($G$13254:$K$13254)=0,"n/a (beyond horizon)",IF(SUMPRODUCT($G$13254:$K$13254,$G$13147:$K$13147)&gt;0,"REFINANCING PASS","REFINANCING FAILURE"))</f>
        <v>REFINANCING PASS</v>
      </c>
    </row>
    <row r="13317" customFormat="false" ht="15" hidden="false" customHeight="false" outlineLevel="0" collapsed="false">
      <c r="A13317" s="3" t="s">
        <v>388</v>
      </c>
      <c r="C13317" s="3" t="str">
        <f aca="false">IF(SUM($G$13254:$K$13254)=0,"n/a",IF(C13315&gt;=C13314-0.001,"Repaid from cash",IF(SUMPRODUCT($G$13254:$K$13254,$G$13147:$K$13147)&gt;0,IF(C13315&gt;0,"Partly repaid; remainder refinanced","Refinanced"),IF(SUM($G$13263:$K$13263)&gt;0.001,IF(C13315&gt;0,"Partial repayment; PAYMENT DEFAULT","PAYMENT DEFAULT"),"Repaid from cash"))))</f>
        <v>Refinanced</v>
      </c>
    </row>
    <row r="13318" customFormat="false" ht="15" hidden="false" customHeight="false" outlineLevel="0" collapsed="false">
      <c r="A13318" s="3" t="s">
        <v>389</v>
      </c>
      <c r="C13318" s="16" t="n">
        <f aca="false">SUMPRODUCT($G$13267:$K$13267,$G$13266:$K$13266-$G$13272:$K$13272+$G$13271:$K$13271)</f>
        <v>0</v>
      </c>
    </row>
    <row r="13319" customFormat="false" ht="15" hidden="false" customHeight="false" outlineLevel="0" collapsed="false">
      <c r="A13319" s="3" t="s">
        <v>390</v>
      </c>
      <c r="C13319" s="16" t="n">
        <f aca="false">SUMPRODUCT($G$13267:$K$13267,$G$13274:$K$13274)</f>
        <v>0</v>
      </c>
    </row>
    <row r="13320" customFormat="false" ht="15" hidden="false" customHeight="false" outlineLevel="0" collapsed="false">
      <c r="A13320" s="3" t="s">
        <v>391</v>
      </c>
      <c r="C13320" s="3" t="str">
        <f aca="false">IF(SUM($G$13267:$K$13267)=0,"n/a (beyond horizon)",IF(SUMPRODUCT($G$13267:$K$13267,$G$13147:$K$13147)&gt;0,"REFINANCING PASS","REFINANCING FAILURE"))</f>
        <v>n/a (beyond horizon)</v>
      </c>
    </row>
    <row r="13321" customFormat="false" ht="15" hidden="false" customHeight="false" outlineLevel="0" collapsed="false">
      <c r="A13321" s="3" t="s">
        <v>392</v>
      </c>
      <c r="C13321" s="3" t="str">
        <f aca="false">IF(SUM($G$13267:$K$13267)=0,"n/a",IF(C13319&gt;=C13318-0.001,"Repaid from cash",IF(SUMPRODUCT($G$13267:$K$13267,$G$13147:$K$13147)&gt;0,IF(C13319&gt;0,"Partly repaid; remainder refinanced","Refinanced"),IF(SUM($G$13276:$K$13276)&gt;0.001,IF(C13319&gt;0,"Partial repayment; PAYMENT DEFAULT","PAYMENT DEFAULT"),"Repaid from cash"))))</f>
        <v>n/a</v>
      </c>
    </row>
    <row r="13322" customFormat="false" ht="15" hidden="false" customHeight="false" outlineLevel="0" collapsed="false">
      <c r="A13322" s="3" t="s">
        <v>393</v>
      </c>
      <c r="C13322" s="21" t="n">
        <f aca="false">IF(C13284="REFINANCING FAILURE",1,0)+IF(C13288="REFINANCING FAILURE",1,0)+IF(C13292="REFINANCING FAILURE",1,0)+IF(C13296="REFINANCING FAILURE",1,0)+IF(C13300="REFINANCING FAILURE",1,0)+IF(C13304="REFINANCING FAILURE",1,0)+IF(C13308="REFINANCING FAILURE",1,0)+IF(C13312="REFINANCING FAILURE",1,0)+IF(C13316="REFINANCING FAILURE",1,0)+IF(C13320="REFINANCING FAILURE",1,0)</f>
        <v>0</v>
      </c>
    </row>
    <row r="13324" customFormat="false" ht="15" hidden="false" customHeight="false" outlineLevel="0" collapsed="false">
      <c r="A13324" s="24" t="s">
        <v>395</v>
      </c>
      <c r="B13324" s="25"/>
      <c r="C13324" s="25"/>
      <c r="D13324" s="25"/>
      <c r="E13324" s="25"/>
      <c r="F13324" s="25"/>
      <c r="G13324" s="25"/>
      <c r="H13324" s="25"/>
      <c r="I13324" s="25"/>
      <c r="J13324" s="25"/>
      <c r="K13324" s="25"/>
    </row>
    <row r="13325" customFormat="false" ht="15" hidden="false" customHeight="false" outlineLevel="0" collapsed="false">
      <c r="A13325" s="3" t="s">
        <v>325</v>
      </c>
      <c r="G13325" s="16" t="n">
        <f aca="false">F13337</f>
        <v>37.87</v>
      </c>
      <c r="H13325" s="16" t="n">
        <f aca="false">G13337</f>
        <v>150.3287686</v>
      </c>
      <c r="I13325" s="16" t="n">
        <f aca="false">H13337</f>
        <v>25</v>
      </c>
      <c r="J13325" s="16" t="n">
        <f aca="false">I13337</f>
        <v>0</v>
      </c>
      <c r="K13325" s="16" t="n">
        <f aca="false">J13337</f>
        <v>0</v>
      </c>
    </row>
    <row r="13326" customFormat="false" ht="15" hidden="false" customHeight="false" outlineLevel="0" collapsed="false">
      <c r="A13326" s="3" t="s">
        <v>396</v>
      </c>
      <c r="G13326" s="16" t="n">
        <f aca="false">G13136</f>
        <v>-83.5412314</v>
      </c>
      <c r="H13326" s="16" t="n">
        <f aca="false">H13136</f>
        <v>-79.0509199738</v>
      </c>
      <c r="I13326" s="16" t="n">
        <f aca="false">I13136</f>
        <v>-87.796942182056</v>
      </c>
      <c r="J13326" s="16" t="n">
        <f aca="false">J13136</f>
        <v>-84.8805226827392</v>
      </c>
      <c r="K13326" s="16" t="n">
        <f aca="false">K13136</f>
        <v>-100.535819058653</v>
      </c>
    </row>
    <row r="13327" customFormat="false" ht="15" hidden="false" customHeight="false" outlineLevel="0" collapsed="false">
      <c r="A13327" s="3" t="s">
        <v>397</v>
      </c>
      <c r="G13327" s="16" t="n">
        <f aca="false">CHOOSE($C$13106,Assumptions!$G$82,Assumptions!$G$101,Assumptions!$G$120)</f>
        <v>200</v>
      </c>
      <c r="H13327" s="16" t="n">
        <f aca="false">CHOOSE($C$13106,Assumptions!$H$82,Assumptions!$H$101,Assumptions!$H$120)</f>
        <v>0</v>
      </c>
      <c r="I13327" s="16" t="n">
        <f aca="false">CHOOSE($C$13106,Assumptions!$I$82,Assumptions!$I$101,Assumptions!$I$120)</f>
        <v>0</v>
      </c>
      <c r="J13327" s="16" t="n">
        <f aca="false">CHOOSE($C$13106,Assumptions!$J$82,Assumptions!$J$101,Assumptions!$J$120)</f>
        <v>0</v>
      </c>
      <c r="K13327" s="16" t="n">
        <f aca="false">CHOOSE($C$13106,Assumptions!$K$82,Assumptions!$K$101,Assumptions!$K$120)</f>
        <v>0</v>
      </c>
    </row>
    <row r="13328" customFormat="false" ht="15" hidden="false" customHeight="false" outlineLevel="0" collapsed="false">
      <c r="A13328" s="3" t="s">
        <v>398</v>
      </c>
      <c r="G13328" s="16" t="n">
        <f aca="false">G13155+G13168+G13181+G13194+G13207+G13220+G13233+G13246+G13259+G13272</f>
        <v>4</v>
      </c>
      <c r="H13328" s="16" t="n">
        <f aca="false">H13155+H13168+H13181+H13194+H13207+H13220+H13233+H13246+H13259+H13272</f>
        <v>4</v>
      </c>
      <c r="I13328" s="16" t="n">
        <f aca="false">I13155+I13168+I13181+I13194+I13207+I13220+I13233+I13246+I13259+I13272</f>
        <v>4</v>
      </c>
      <c r="J13328" s="16" t="n">
        <f aca="false">J13155+J13168+J13181+J13194+J13207+J13220+J13233+J13246+J13259+J13272</f>
        <v>4</v>
      </c>
      <c r="K13328" s="16" t="n">
        <f aca="false">K13155+K13168+K13181+K13194+K13207+K13220+K13233+K13246+K13259+K13272</f>
        <v>4</v>
      </c>
    </row>
    <row r="13329" customFormat="false" ht="15" hidden="false" customHeight="false" outlineLevel="0" collapsed="false">
      <c r="A13329" s="2" t="s">
        <v>399</v>
      </c>
      <c r="G13329" s="17" t="n">
        <f aca="false">G13325+G13326+G13327-G13328</f>
        <v>150.3287686</v>
      </c>
      <c r="H13329" s="17" t="n">
        <f aca="false">H13325+H13326+H13327-H13328</f>
        <v>67.2778486262</v>
      </c>
      <c r="I13329" s="17" t="n">
        <f aca="false">I13325+I13326+I13327-I13328</f>
        <v>-66.796942182056</v>
      </c>
      <c r="J13329" s="17" t="n">
        <f aca="false">J13325+J13326+J13327-J13328</f>
        <v>-88.8805226827392</v>
      </c>
      <c r="K13329" s="17" t="n">
        <f aca="false">K13325+K13326+K13327-K13328</f>
        <v>-104.535819058653</v>
      </c>
    </row>
    <row r="13330" customFormat="false" ht="15" hidden="false" customHeight="false" outlineLevel="0" collapsed="false">
      <c r="A13330" s="3" t="s">
        <v>400</v>
      </c>
      <c r="G13330" s="16" t="n">
        <f aca="false">G13156+G13169+G13182+G13195+G13208+G13221+G13234+G13247+G13260+G13273</f>
        <v>0</v>
      </c>
      <c r="H13330" s="16" t="n">
        <f aca="false">H13156+H13169+H13182+H13195+H13208+H13221+H13234+H13247+H13260+H13273</f>
        <v>0</v>
      </c>
      <c r="I13330" s="16" t="n">
        <f aca="false">I13156+I13169+I13182+I13195+I13208+I13221+I13234+I13247+I13260+I13273</f>
        <v>66.796942182056</v>
      </c>
      <c r="J13330" s="16" t="n">
        <f aca="false">J13156+J13169+J13182+J13195+J13208+J13221+J13234+J13247+J13260+J13273</f>
        <v>88.8805226827392</v>
      </c>
      <c r="K13330" s="16" t="n">
        <f aca="false">K13156+K13169+K13182+K13195+K13208+K13221+K13234+K13247+K13260+K13273</f>
        <v>104.535819058653</v>
      </c>
    </row>
    <row r="13331" customFormat="false" ht="15" hidden="false" customHeight="false" outlineLevel="0" collapsed="false">
      <c r="A13331" s="2" t="s">
        <v>401</v>
      </c>
      <c r="G13331" s="17" t="n">
        <f aca="false">G13329+G13330</f>
        <v>150.3287686</v>
      </c>
      <c r="H13331" s="17" t="n">
        <f aca="false">H13329+H13330</f>
        <v>67.2778486262</v>
      </c>
      <c r="I13331" s="17" t="n">
        <f aca="false">I13329+I13330</f>
        <v>0</v>
      </c>
      <c r="J13331" s="17" t="n">
        <f aca="false">J13329+J13330</f>
        <v>0</v>
      </c>
      <c r="K13331" s="17" t="n">
        <f aca="false">K13329+K13330</f>
        <v>0</v>
      </c>
    </row>
    <row r="13332" customFormat="false" ht="15" hidden="false" customHeight="false" outlineLevel="0" collapsed="false">
      <c r="A13332" s="3" t="s">
        <v>402</v>
      </c>
      <c r="G13332" s="16" t="n">
        <f aca="false">G13157+G13170+G13183+G13196+G13209+G13222+G13235+G13248+G13261+G13274</f>
        <v>0</v>
      </c>
      <c r="H13332" s="16" t="n">
        <f aca="false">H13157+H13170+H13183+H13196+H13209+H13222+H13235+H13248+H13261+H13274</f>
        <v>42.2778486262</v>
      </c>
      <c r="I13332" s="16" t="n">
        <f aca="false">I13157+I13170+I13183+I13196+I13209+I13222+I13235+I13248+I13261+I13274</f>
        <v>0</v>
      </c>
      <c r="J13332" s="16" t="n">
        <f aca="false">J13157+J13170+J13183+J13196+J13209+J13222+J13235+J13248+J13261+J13274</f>
        <v>0</v>
      </c>
      <c r="K13332" s="16" t="n">
        <f aca="false">K13157+K13170+K13183+K13196+K13209+K13222+K13235+K13248+K13261+K13274</f>
        <v>0</v>
      </c>
    </row>
    <row r="13333" customFormat="false" ht="15" hidden="false" customHeight="false" outlineLevel="0" collapsed="false">
      <c r="A13333" s="2" t="s">
        <v>403</v>
      </c>
      <c r="G13333" s="17" t="n">
        <f aca="false">G13331-G13332</f>
        <v>150.3287686</v>
      </c>
      <c r="H13333" s="17" t="n">
        <f aca="false">H13331-H13332</f>
        <v>25</v>
      </c>
      <c r="I13333" s="17" t="n">
        <f aca="false">I13331-I13332</f>
        <v>0</v>
      </c>
      <c r="J13333" s="17" t="n">
        <f aca="false">J13331-J13332</f>
        <v>0</v>
      </c>
      <c r="K13333" s="17" t="n">
        <f aca="false">K13331-K13332</f>
        <v>0</v>
      </c>
    </row>
    <row r="13334" customFormat="false" ht="15" hidden="false" customHeight="false" outlineLevel="0" collapsed="false">
      <c r="A13334" s="3" t="s">
        <v>404</v>
      </c>
      <c r="G13334" s="16" t="n">
        <f aca="false">MAX(0,-G13333)</f>
        <v>0</v>
      </c>
      <c r="H13334" s="16" t="n">
        <f aca="false">MAX(0,-H13333)</f>
        <v>0</v>
      </c>
      <c r="I13334" s="16" t="n">
        <f aca="false">MAX(0,-I13333)</f>
        <v>-0</v>
      </c>
      <c r="J13334" s="16" t="n">
        <f aca="false">MAX(0,-J13333)</f>
        <v>-0</v>
      </c>
      <c r="K13334" s="16" t="n">
        <f aca="false">MAX(0,-K13333)</f>
        <v>-0</v>
      </c>
    </row>
    <row r="13335" customFormat="false" ht="15" hidden="false" customHeight="false" outlineLevel="0" collapsed="false">
      <c r="A13335" s="3" t="s">
        <v>405</v>
      </c>
      <c r="G13335" s="16" t="n">
        <f aca="false">MAX(0,G13333-Assumptions!$C$12)*Assumptions!$C$13</f>
        <v>0</v>
      </c>
      <c r="H13335" s="16" t="n">
        <f aca="false">MAX(0,H13333-Assumptions!$C$12)*Assumptions!$C$13</f>
        <v>0</v>
      </c>
      <c r="I13335" s="16" t="n">
        <f aca="false">MAX(0,I13333-Assumptions!$C$12)*Assumptions!$C$13</f>
        <v>0</v>
      </c>
      <c r="J13335" s="16" t="n">
        <f aca="false">MAX(0,J13333-Assumptions!$C$12)*Assumptions!$C$13</f>
        <v>0</v>
      </c>
      <c r="K13335" s="16" t="n">
        <f aca="false">MAX(0,K13333-Assumptions!$C$12)*Assumptions!$C$13</f>
        <v>0</v>
      </c>
    </row>
    <row r="13336" customFormat="false" ht="15" hidden="false" customHeight="false" outlineLevel="0" collapsed="false">
      <c r="A13336" s="3" t="s">
        <v>406</v>
      </c>
      <c r="G13336" s="16" t="n">
        <f aca="false">G13158+G13171+G13184+G13197+G13210+G13223+G13236+G13249+G13262+G13275</f>
        <v>0</v>
      </c>
      <c r="H13336" s="16" t="n">
        <f aca="false">H13158+H13171+H13184+H13197+H13210+H13223+H13236+H13249+H13262+H13275</f>
        <v>0</v>
      </c>
      <c r="I13336" s="16" t="n">
        <f aca="false">I13158+I13171+I13184+I13197+I13210+I13223+I13236+I13249+I13262+I13275</f>
        <v>0</v>
      </c>
      <c r="J13336" s="16" t="n">
        <f aca="false">J13158+J13171+J13184+J13197+J13210+J13223+J13236+J13249+J13262+J13275</f>
        <v>0</v>
      </c>
      <c r="K13336" s="16" t="n">
        <f aca="false">K13158+K13171+K13184+K13197+K13210+K13223+K13236+K13249+K13262+K13275</f>
        <v>0</v>
      </c>
    </row>
    <row r="13337" customFormat="false" ht="15" hidden="false" customHeight="false" outlineLevel="0" collapsed="false">
      <c r="A13337" s="2" t="s">
        <v>407</v>
      </c>
      <c r="F13337" s="28" t="n">
        <f aca="false">Assumptions!$C$11</f>
        <v>37.87</v>
      </c>
      <c r="G13337" s="17" t="n">
        <f aca="false">G13333-G13336</f>
        <v>150.3287686</v>
      </c>
      <c r="H13337" s="17" t="n">
        <f aca="false">H13333-H13336</f>
        <v>25</v>
      </c>
      <c r="I13337" s="17" t="n">
        <f aca="false">I13333-I13336</f>
        <v>0</v>
      </c>
      <c r="J13337" s="17" t="n">
        <f aca="false">J13333-J13336</f>
        <v>0</v>
      </c>
      <c r="K13337" s="17" t="n">
        <f aca="false">K13333-K13336</f>
        <v>0</v>
      </c>
    </row>
    <row r="13338" customFormat="false" ht="15" hidden="false" customHeight="false" outlineLevel="0" collapsed="false">
      <c r="A13338" s="3" t="s">
        <v>408</v>
      </c>
      <c r="G13338" s="16" t="n">
        <f aca="false">G13159+G13172+G13185+G13198+G13211+G13224+G13237+G13250+G13263+G13276</f>
        <v>0</v>
      </c>
      <c r="H13338" s="16" t="n">
        <f aca="false">H13159+H13172+H13185+H13198+H13211+H13224+H13237+H13250+H13263+H13276</f>
        <v>0</v>
      </c>
      <c r="I13338" s="16" t="n">
        <f aca="false">I13159+I13172+I13185+I13198+I13211+I13224+I13237+I13250+I13263+I13276</f>
        <v>0</v>
      </c>
      <c r="J13338" s="16" t="n">
        <f aca="false">J13159+J13172+J13185+J13198+J13211+J13224+J13237+J13250+J13263+J13276</f>
        <v>0</v>
      </c>
      <c r="K13338" s="16" t="n">
        <f aca="false">K13159+K13172+K13185+K13198+K13211+K13224+K13237+K13250+K13263+K13276</f>
        <v>0</v>
      </c>
    </row>
    <row r="13339" customFormat="false" ht="15" hidden="false" customHeight="false" outlineLevel="0" collapsed="false">
      <c r="A13339" s="3" t="s">
        <v>409</v>
      </c>
      <c r="G13339" s="21" t="n">
        <f aca="false">IF(OR(G13334&gt;0.001,G13338&gt;0.001),1,0)</f>
        <v>0</v>
      </c>
      <c r="H13339" s="21" t="n">
        <f aca="false">IF(OR(H13334&gt;0.001,H13338&gt;0.001),1,0)</f>
        <v>0</v>
      </c>
      <c r="I13339" s="21" t="n">
        <f aca="false">IF(OR(I13334&gt;0.001,I13338&gt;0.001),1,0)</f>
        <v>0</v>
      </c>
      <c r="J13339" s="21" t="n">
        <f aca="false">IF(OR(J13334&gt;0.001,J13338&gt;0.001),1,0)</f>
        <v>0</v>
      </c>
      <c r="K13339" s="21" t="n">
        <f aca="false">IF(OR(K13334&gt;0.001,K13338&gt;0.001),1,0)</f>
        <v>0</v>
      </c>
    </row>
    <row r="13340" customFormat="false" ht="15" hidden="false" customHeight="false" outlineLevel="0" collapsed="false">
      <c r="A13340" s="3" t="s">
        <v>410</v>
      </c>
      <c r="G13340" s="21" t="n">
        <f aca="false">IF(G13339=1,1,0)</f>
        <v>0</v>
      </c>
      <c r="H13340" s="21" t="n">
        <f aca="false">IF(AND(H13339=1,SUM($G$13339:G13339)=0),1,0)</f>
        <v>0</v>
      </c>
      <c r="I13340" s="21" t="n">
        <f aca="false">IF(AND(I13339=1,SUM($G$13339:H13339)=0),1,0)</f>
        <v>0</v>
      </c>
      <c r="J13340" s="21" t="n">
        <f aca="false">IF(AND(J13339=1,SUM($G$13339:I13339)=0),1,0)</f>
        <v>0</v>
      </c>
      <c r="K13340" s="21" t="n">
        <f aca="false">IF(AND(K13339=1,SUM($G$13339:J13339)=0),1,0)</f>
        <v>0</v>
      </c>
    </row>
    <row r="13341" customFormat="false" ht="15" hidden="false" customHeight="false" outlineLevel="0" collapsed="false">
      <c r="A13341" s="3" t="s">
        <v>411</v>
      </c>
      <c r="G13341" s="16" t="n">
        <f aca="false">(G13279-F13279)-(G13330+G13128-G13328-G13332-G13336)</f>
        <v>0</v>
      </c>
      <c r="H13341" s="16" t="n">
        <f aca="false">(H13279-G13279)-(H13330+H13128-H13328-H13332-H13336)</f>
        <v>0</v>
      </c>
      <c r="I13341" s="16" t="n">
        <f aca="false">(I13279-H13279)-(I13330+I13128-I13328-I13332-I13336)</f>
        <v>0</v>
      </c>
      <c r="J13341" s="16" t="n">
        <f aca="false">(J13279-I13279)-(J13330+J13128-J13328-J13332-J13336)</f>
        <v>0</v>
      </c>
      <c r="K13341" s="16" t="n">
        <f aca="false">(K13279-J13279)-(K13330+K13128-K13328-K13332-K13336)</f>
        <v>0</v>
      </c>
    </row>
    <row r="13343" customFormat="false" ht="15" hidden="false" customHeight="false" outlineLevel="0" collapsed="false">
      <c r="A13343" s="24" t="s">
        <v>413</v>
      </c>
      <c r="B13343" s="25"/>
      <c r="C13343" s="25"/>
      <c r="D13343" s="25"/>
      <c r="E13343" s="25"/>
      <c r="F13343" s="25"/>
      <c r="G13343" s="25"/>
      <c r="H13343" s="25"/>
      <c r="I13343" s="25"/>
      <c r="J13343" s="25"/>
      <c r="K13343" s="25"/>
    </row>
    <row r="13344" customFormat="false" ht="15" hidden="false" customHeight="false" outlineLevel="0" collapsed="false">
      <c r="A13344" s="3" t="s">
        <v>414</v>
      </c>
      <c r="G13344" s="16" t="n">
        <f aca="false">G13279</f>
        <v>2621.934</v>
      </c>
      <c r="H13344" s="16" t="n">
        <f aca="false">H13279</f>
        <v>2575.6561513738</v>
      </c>
      <c r="I13344" s="16" t="n">
        <f aca="false">I13279</f>
        <v>2638.45309355586</v>
      </c>
      <c r="J13344" s="16" t="n">
        <f aca="false">J13279</f>
        <v>2723.3336162386</v>
      </c>
      <c r="K13344" s="16" t="n">
        <f aca="false">K13279</f>
        <v>2823.86943529725</v>
      </c>
    </row>
    <row r="13345" customFormat="false" ht="15" hidden="false" customHeight="false" outlineLevel="0" collapsed="false">
      <c r="A13345" s="3" t="s">
        <v>415</v>
      </c>
      <c r="G13345" s="16" t="n">
        <f aca="false">Assumptions!$O$57*G13160+Assumptions!$O$58*G13173+Assumptions!$O$59*G13186+Assumptions!$O$60*G13199+Assumptions!$O$61*G13212+Assumptions!$O$62*G13225+Assumptions!$O$63*G13238+Assumptions!$O$64*G13251+Assumptions!$O$65*G13264+Assumptions!$O$66*G13277</f>
        <v>543.324</v>
      </c>
      <c r="H13345" s="16" t="n">
        <f aca="false">Assumptions!$O$57*H13160+Assumptions!$O$58*H13173+Assumptions!$O$59*H13186+Assumptions!$O$60*H13199+Assumptions!$O$61*H13212+Assumptions!$O$62*H13225+Assumptions!$O$63*H13238+Assumptions!$O$64*H13251+Assumptions!$O$65*H13264+Assumptions!$O$66*H13277</f>
        <v>539.324</v>
      </c>
      <c r="I13345" s="16" t="n">
        <f aca="false">Assumptions!$O$57*I13160+Assumptions!$O$58*I13173+Assumptions!$O$59*I13186+Assumptions!$O$60*I13199+Assumptions!$O$61*I13212+Assumptions!$O$62*I13225+Assumptions!$O$63*I13238+Assumptions!$O$64*I13251+Assumptions!$O$65*I13264+Assumptions!$O$66*I13277</f>
        <v>535.324</v>
      </c>
      <c r="J13345" s="16" t="n">
        <f aca="false">Assumptions!$O$57*J13160+Assumptions!$O$58*J13173+Assumptions!$O$59*J13186+Assumptions!$O$60*J13199+Assumptions!$O$61*J13212+Assumptions!$O$62*J13225+Assumptions!$O$63*J13238+Assumptions!$O$64*J13251+Assumptions!$O$65*J13264+Assumptions!$O$66*J13277</f>
        <v>531.324</v>
      </c>
      <c r="K13345" s="16" t="n">
        <f aca="false">Assumptions!$O$57*K13160+Assumptions!$O$58*K13173+Assumptions!$O$59*K13186+Assumptions!$O$60*K13199+Assumptions!$O$61*K13212+Assumptions!$O$62*K13225+Assumptions!$O$63*K13238+Assumptions!$O$64*K13251+Assumptions!$O$65*K13264+Assumptions!$O$66*K13277</f>
        <v>527.324</v>
      </c>
    </row>
    <row r="13346" customFormat="false" ht="15" hidden="false" customHeight="false" outlineLevel="0" collapsed="false">
      <c r="A13346" s="3" t="s">
        <v>416</v>
      </c>
      <c r="G13346" s="16" t="n">
        <f aca="false">G13344-G13337</f>
        <v>2471.6052314</v>
      </c>
      <c r="H13346" s="16" t="n">
        <f aca="false">H13344-H13337</f>
        <v>2550.6561513738</v>
      </c>
      <c r="I13346" s="16" t="n">
        <f aca="false">I13344-I13337</f>
        <v>2638.45309355586</v>
      </c>
      <c r="J13346" s="16" t="n">
        <f aca="false">J13344-J13337</f>
        <v>2723.3336162386</v>
      </c>
      <c r="K13346" s="16" t="n">
        <f aca="false">K13344-K13337</f>
        <v>2823.86943529725</v>
      </c>
    </row>
    <row r="13347" customFormat="false" ht="15" hidden="false" customHeight="false" outlineLevel="0" collapsed="false">
      <c r="A13347" s="3" t="s">
        <v>417</v>
      </c>
      <c r="G13347" s="32" t="n">
        <f aca="false">IF(G13123&gt;0,G13344/G13123,0)</f>
        <v>10.2350768597559</v>
      </c>
      <c r="H13347" s="32" t="n">
        <f aca="false">IF(H13123&gt;0,H13344/H13123,0)</f>
        <v>9.80179750754554</v>
      </c>
      <c r="I13347" s="32" t="n">
        <f aca="false">IF(I13123&gt;0,I13344/I13123,0)</f>
        <v>9.78880026535512</v>
      </c>
      <c r="J13347" s="32" t="n">
        <f aca="false">IF(J13123&gt;0,J13344/J13123,0)</f>
        <v>9.86877570563203</v>
      </c>
      <c r="K13347" s="32" t="n">
        <f aca="false">IF(K13123&gt;0,K13344/K13123,0)</f>
        <v>9.99528975565569</v>
      </c>
    </row>
    <row r="13348" customFormat="false" ht="15" hidden="false" customHeight="false" outlineLevel="0" collapsed="false">
      <c r="A13348" s="3" t="s">
        <v>418</v>
      </c>
      <c r="G13348" s="32" t="n">
        <f aca="false">IF(G13123&gt;0,G13346/G13123,0)</f>
        <v>9.64824801476836</v>
      </c>
      <c r="H13348" s="32" t="n">
        <f aca="false">IF(H13123&gt;0,H13346/H13123,0)</f>
        <v>9.70665866785301</v>
      </c>
      <c r="I13348" s="32" t="n">
        <f aca="false">IF(I13123&gt;0,I13346/I13123,0)</f>
        <v>9.78880026535512</v>
      </c>
      <c r="J13348" s="32" t="n">
        <f aca="false">IF(J13123&gt;0,J13346/J13123,0)</f>
        <v>9.86877570563203</v>
      </c>
      <c r="K13348" s="32" t="n">
        <f aca="false">IF(K13123&gt;0,K13346/K13123,0)</f>
        <v>9.99528975565569</v>
      </c>
    </row>
    <row r="13349" customFormat="false" ht="15" hidden="false" customHeight="false" outlineLevel="0" collapsed="false">
      <c r="A13349" s="3" t="s">
        <v>419</v>
      </c>
      <c r="G13349" s="32" t="n">
        <f aca="false">IF(G13127&gt;0,G13123/G13127,0)</f>
        <v>1.4215185079059</v>
      </c>
      <c r="H13349" s="32" t="n">
        <f aca="false">IF(H13127&gt;0,H13123/H13127,0)</f>
        <v>1.46693050552355</v>
      </c>
      <c r="I13349" s="32" t="n">
        <f aca="false">IF(I13127&gt;0,I13123/I13127,0)</f>
        <v>1.40833238714926</v>
      </c>
      <c r="J13349" s="32" t="n">
        <f aca="false">IF(J13127&gt;0,J13123/J13127,0)</f>
        <v>1.44049487506624</v>
      </c>
      <c r="K13349" s="32" t="n">
        <f aca="false">IF(K13127&gt;0,K13123/K13127,0)</f>
        <v>1.34274565931266</v>
      </c>
    </row>
    <row r="13350" customFormat="false" ht="15" hidden="false" customHeight="false" outlineLevel="0" collapsed="false">
      <c r="A13350" s="3" t="s">
        <v>420</v>
      </c>
      <c r="G13350" s="32" t="n">
        <f aca="false">IF(G13127&gt;0,G13126/G13127,0)</f>
        <v>0.42415696431819</v>
      </c>
      <c r="H13350" s="32" t="n">
        <f aca="false">IF(H13127&gt;0,H13126/H13127,0)</f>
        <v>0.443500134737685</v>
      </c>
      <c r="I13350" s="32" t="n">
        <f aca="false">IF(I13127&gt;0,I13126/I13127,0)</f>
        <v>0.431283382112554</v>
      </c>
      <c r="J13350" s="32" t="n">
        <f aca="false">IF(J13127&gt;0,J13126/J13127,0)</f>
        <v>0.444847824504487</v>
      </c>
      <c r="K13350" s="32" t="n">
        <f aca="false">IF(K13127&gt;0,K13126/K13127,0)</f>
        <v>0.418098654921945</v>
      </c>
    </row>
    <row r="13351" customFormat="false" ht="15" hidden="false" customHeight="false" outlineLevel="0" collapsed="false">
      <c r="A13351" s="3" t="s">
        <v>213</v>
      </c>
      <c r="G13351" s="22" t="n">
        <f aca="false">IF(G13344&gt;0,G13136/G13344,0)</f>
        <v>-0.0318624463468569</v>
      </c>
      <c r="H13351" s="22" t="n">
        <f aca="false">IF(H13344&gt;0,H13136/H13344,0)</f>
        <v>-0.0306915656935169</v>
      </c>
      <c r="I13351" s="22" t="n">
        <f aca="false">IF(I13344&gt;0,I13136/I13344,0)</f>
        <v>-0.0332759154962773</v>
      </c>
      <c r="J13351" s="22" t="n">
        <f aca="false">IF(J13344&gt;0,J13136/J13344,0)</f>
        <v>-0.0311678753482925</v>
      </c>
      <c r="K13351" s="22" t="n">
        <f aca="false">IF(K13344&gt;0,K13136/K13344,0)</f>
        <v>-0.0356021485278303</v>
      </c>
    </row>
    <row r="13352" customFormat="false" ht="15" hidden="false" customHeight="false" outlineLevel="0" collapsed="false">
      <c r="A13352" s="3" t="s">
        <v>421</v>
      </c>
      <c r="G13352" s="32" t="n">
        <f aca="false">IF(G13127+G13328&gt;0,(G13123-G13134-G13131)/(G13127+G13328),0)</f>
        <v>0.813399704660698</v>
      </c>
      <c r="H13352" s="32" t="n">
        <f aca="false">IF(H13127+H13328&gt;0,(H13123-H13134-H13131)/(H13127+H13328),0)</f>
        <v>0.842627430418813</v>
      </c>
      <c r="I13352" s="32" t="n">
        <f aca="false">IF(I13127+I13328&gt;0,(I13123-I13134-I13131)/(I13127+I13328),0)</f>
        <v>0.813287836689746</v>
      </c>
      <c r="J13352" s="32" t="n">
        <f aca="false">IF(J13127+J13328&gt;0,(J13123-J13134-J13131)/(J13127+J13328),0)</f>
        <v>0.834030228771795</v>
      </c>
      <c r="K13352" s="32" t="n">
        <f aca="false">IF(K13127+K13328&gt;0,(K13123-K13134-K13131)/(K13127+K13328),0)</f>
        <v>0.780856287522867</v>
      </c>
    </row>
    <row r="13353" customFormat="false" ht="15" hidden="false" customHeight="false" outlineLevel="0" collapsed="false">
      <c r="A13353" s="3" t="s">
        <v>422</v>
      </c>
      <c r="G13353" s="16" t="n">
        <f aca="false">MAX(0,G13337)+Assumptions!$P$57*MAX(0,Assumptions!$D$57-G13160)+Assumptions!$P$58*MAX(0,Assumptions!$D$58-G13173)+Assumptions!$P$59*MAX(0,Assumptions!$D$59-G13186)+Assumptions!$P$60*MAX(0,Assumptions!$D$60-G13199)+Assumptions!$P$61*MAX(0,Assumptions!$D$61-G13212)+Assumptions!$P$62*MAX(0,Assumptions!$D$62-G13225)+Assumptions!$P$63*MAX(0,Assumptions!$D$63-G13238)+Assumptions!$P$64*MAX(0,Assumptions!$D$64-G13251)+Assumptions!$P$65*MAX(0,Assumptions!$D$65-G13264)+Assumptions!$P$66*MAX(0,Assumptions!$D$66-G13277)</f>
        <v>724.8287686</v>
      </c>
      <c r="H13353" s="16" t="n">
        <f aca="false">MAX(0,H13337)+Assumptions!$P$57*MAX(0,Assumptions!$D$57-H13160)+Assumptions!$P$58*MAX(0,Assumptions!$D$58-H13173)+Assumptions!$P$59*MAX(0,Assumptions!$D$59-H13186)+Assumptions!$P$60*MAX(0,Assumptions!$D$60-H13199)+Assumptions!$P$61*MAX(0,Assumptions!$D$61-H13212)+Assumptions!$P$62*MAX(0,Assumptions!$D$62-H13225)+Assumptions!$P$63*MAX(0,Assumptions!$D$63-H13238)+Assumptions!$P$64*MAX(0,Assumptions!$D$64-H13251)+Assumptions!$P$65*MAX(0,Assumptions!$D$65-H13264)+Assumptions!$P$66*MAX(0,Assumptions!$D$66-H13277)</f>
        <v>599.5</v>
      </c>
      <c r="I13353" s="16" t="n">
        <f aca="false">MAX(0,I13337)+Assumptions!$P$57*MAX(0,Assumptions!$D$57-I13160)+Assumptions!$P$58*MAX(0,Assumptions!$D$58-I13173)+Assumptions!$P$59*MAX(0,Assumptions!$D$59-I13186)+Assumptions!$P$60*MAX(0,Assumptions!$D$60-I13199)+Assumptions!$P$61*MAX(0,Assumptions!$D$61-I13212)+Assumptions!$P$62*MAX(0,Assumptions!$D$62-I13225)+Assumptions!$P$63*MAX(0,Assumptions!$D$63-I13238)+Assumptions!$P$64*MAX(0,Assumptions!$D$64-I13251)+Assumptions!$P$65*MAX(0,Assumptions!$D$65-I13264)+Assumptions!$P$66*MAX(0,Assumptions!$D$66-I13277)</f>
        <v>507.703057817944</v>
      </c>
      <c r="J13353" s="16" t="n">
        <f aca="false">MAX(0,J13337)+Assumptions!$P$57*MAX(0,Assumptions!$D$57-J13160)+Assumptions!$P$58*MAX(0,Assumptions!$D$58-J13173)+Assumptions!$P$59*MAX(0,Assumptions!$D$59-J13186)+Assumptions!$P$60*MAX(0,Assumptions!$D$60-J13199)+Assumptions!$P$61*MAX(0,Assumptions!$D$61-J13212)+Assumptions!$P$62*MAX(0,Assumptions!$D$62-J13225)+Assumptions!$P$63*MAX(0,Assumptions!$D$63-J13238)+Assumptions!$P$64*MAX(0,Assumptions!$D$64-J13251)+Assumptions!$P$65*MAX(0,Assumptions!$D$65-J13264)+Assumptions!$P$66*MAX(0,Assumptions!$D$66-J13277)</f>
        <v>418.822535135205</v>
      </c>
      <c r="K13353" s="16" t="n">
        <f aca="false">MAX(0,K13337)+Assumptions!$P$57*MAX(0,Assumptions!$D$57-K13160)+Assumptions!$P$58*MAX(0,Assumptions!$D$58-K13173)+Assumptions!$P$59*MAX(0,Assumptions!$D$59-K13186)+Assumptions!$P$60*MAX(0,Assumptions!$D$60-K13199)+Assumptions!$P$61*MAX(0,Assumptions!$D$61-K13212)+Assumptions!$P$62*MAX(0,Assumptions!$D$62-K13225)+Assumptions!$P$63*MAX(0,Assumptions!$D$63-K13238)+Assumptions!$P$64*MAX(0,Assumptions!$D$64-K13251)+Assumptions!$P$65*MAX(0,Assumptions!$D$65-K13264)+Assumptions!$P$66*MAX(0,Assumptions!$D$66-K13277)</f>
        <v>314.286716076552</v>
      </c>
    </row>
    <row r="13354" customFormat="false" ht="15" hidden="false" customHeight="false" outlineLevel="0" collapsed="false">
      <c r="A13354" s="3" t="s">
        <v>423</v>
      </c>
      <c r="G13354" s="22" t="n">
        <f aca="false">IF(G13344&gt;0,G13344/(G13344+MAX(0,G13123*CHOOSE($C$13106,Assumptions!$C$90,Assumptions!$C$109,Assumptions!$C$128)-G13346)),0)</f>
        <v>0.782089915058077</v>
      </c>
      <c r="H13354" s="22" t="n">
        <f aca="false">IF(H13344&gt;0,H13344/(H13344+MAX(0,H13123*CHOOSE($C$13106,Assumptions!$C$90,Assumptions!$C$109,Assumptions!$C$128)-H13346)),0)</f>
        <v>0.778220679605055</v>
      </c>
      <c r="I13354" s="22" t="n">
        <f aca="false">IF(I13344&gt;0,I13344/(I13344+MAX(0,I13123*CHOOSE($C$13106,Assumptions!$C$90,Assumptions!$C$109,Assumptions!$C$128)-I13346)),0)</f>
        <v>0.78310402122841</v>
      </c>
      <c r="J13354" s="22" t="n">
        <f aca="false">IF(J13344&gt;0,J13344/(J13344+MAX(0,J13123*CHOOSE($C$13106,Assumptions!$C$90,Assumptions!$C$109,Assumptions!$C$128)-J13346)),0)</f>
        <v>0.789502056450562</v>
      </c>
      <c r="K13354" s="22" t="n">
        <f aca="false">IF(K13344&gt;0,K13344/(K13344+MAX(0,K13123*CHOOSE($C$13106,Assumptions!$C$90,Assumptions!$C$109,Assumptions!$C$128)-K13346)),0)</f>
        <v>0.799623180452455</v>
      </c>
    </row>
    <row r="13355" customFormat="false" ht="15" hidden="false" customHeight="false" outlineLevel="0" collapsed="false">
      <c r="A13355" s="3" t="s">
        <v>424</v>
      </c>
      <c r="G13355" s="22" t="n">
        <f aca="false">IF(G13344&gt;0,MAX(0,G13337)/G13344,0)</f>
        <v>0.0573350696852018</v>
      </c>
      <c r="H13355" s="22" t="n">
        <f aca="false">IF(H13344&gt;0,MAX(0,H13337)/H13344,0)</f>
        <v>0.00970626455191448</v>
      </c>
      <c r="I13355" s="22" t="n">
        <f aca="false">IF(I13344&gt;0,MAX(0,I13337)/I13344,0)</f>
        <v>0</v>
      </c>
      <c r="J13355" s="22" t="n">
        <f aca="false">IF(J13344&gt;0,MAX(0,J13337)/J13344,0)</f>
        <v>0</v>
      </c>
      <c r="K13355" s="22" t="n">
        <f aca="false">IF(K13344&gt;0,MAX(0,K13337)/K13344,0)</f>
        <v>0</v>
      </c>
    </row>
    <row r="13356" customFormat="false" ht="15" hidden="false" customHeight="false" outlineLevel="0" collapsed="false">
      <c r="A13356" s="3" t="s">
        <v>425</v>
      </c>
      <c r="G13356" s="16" t="n">
        <f aca="false">Assumptions!$C$31*(1-CHOOSE($C$13106,Assumptions!$C$93,Assumptions!$C$112,Assumptions!$C$131))</f>
        <v>4517.70066666667</v>
      </c>
      <c r="H13356" s="16" t="n">
        <f aca="false">Assumptions!$C$31*(1-CHOOSE($C$13106,Assumptions!$C$93,Assumptions!$C$112,Assumptions!$C$131))</f>
        <v>4517.70066666667</v>
      </c>
      <c r="I13356" s="16" t="n">
        <f aca="false">Assumptions!$C$31*(1-CHOOSE($C$13106,Assumptions!$C$93,Assumptions!$C$112,Assumptions!$C$131))</f>
        <v>4517.70066666667</v>
      </c>
      <c r="J13356" s="16" t="n">
        <f aca="false">Assumptions!$C$31*(1-CHOOSE($C$13106,Assumptions!$C$93,Assumptions!$C$112,Assumptions!$C$131))</f>
        <v>4517.70066666667</v>
      </c>
      <c r="K13356" s="16" t="n">
        <f aca="false">Assumptions!$C$31*(1-CHOOSE($C$13106,Assumptions!$C$93,Assumptions!$C$112,Assumptions!$C$131))</f>
        <v>4517.70066666667</v>
      </c>
    </row>
    <row r="13357" customFormat="false" ht="15" hidden="false" customHeight="false" outlineLevel="0" collapsed="false">
      <c r="A13357" s="24" t="s">
        <v>426</v>
      </c>
      <c r="B13357" s="25"/>
      <c r="C13357" s="25"/>
      <c r="D13357" s="25"/>
      <c r="E13357" s="25"/>
      <c r="F13357" s="25"/>
      <c r="G13357" s="25"/>
      <c r="H13357" s="25"/>
      <c r="I13357" s="25"/>
      <c r="J13357" s="25"/>
      <c r="K13357" s="25"/>
    </row>
    <row r="13358" customFormat="false" ht="15" hidden="false" customHeight="false" outlineLevel="0" collapsed="false">
      <c r="A13358" s="24" t="s">
        <v>427</v>
      </c>
      <c r="B13358" s="25"/>
      <c r="C13358" s="25"/>
      <c r="D13358" s="25"/>
      <c r="E13358" s="25"/>
      <c r="F13358" s="25"/>
      <c r="G13358" s="25"/>
      <c r="H13358" s="25"/>
      <c r="I13358" s="25"/>
      <c r="J13358" s="25"/>
      <c r="K13358" s="25"/>
    </row>
    <row r="13359" customFormat="false" ht="15" hidden="false" customHeight="false" outlineLevel="0" collapsed="false">
      <c r="A13359" s="3" t="s">
        <v>428</v>
      </c>
      <c r="G13359" s="22" t="n">
        <f aca="false">IF(G13356&gt;0,G13344/G13356,99)</f>
        <v>0.580369128779522</v>
      </c>
      <c r="H13359" s="22" t="n">
        <f aca="false">IF(H13356&gt;0,H13344/H13356,99)</f>
        <v>0.570125455716441</v>
      </c>
      <c r="I13359" s="22" t="n">
        <f aca="false">IF(I13356&gt;0,I13344/I13356,99)</f>
        <v>0.584025655578152</v>
      </c>
      <c r="J13359" s="22" t="n">
        <f aca="false">IF(J13356&gt;0,J13344/J13356,99)</f>
        <v>0.602814089993257</v>
      </c>
      <c r="K13359" s="22" t="n">
        <f aca="false">IF(K13356&gt;0,K13344/K13356,99)</f>
        <v>0.62506784837093</v>
      </c>
    </row>
    <row r="13360" customFormat="false" ht="15" hidden="false" customHeight="false" outlineLevel="0" collapsed="false">
      <c r="A13360" s="3" t="s">
        <v>429</v>
      </c>
      <c r="G13360" s="33" t="n">
        <f aca="false">Assumptions!$G$71</f>
        <v>0.6</v>
      </c>
      <c r="H13360" s="33" t="n">
        <f aca="false">Assumptions!$H$71</f>
        <v>0.6</v>
      </c>
      <c r="I13360" s="33" t="n">
        <f aca="false">Assumptions!$I$71</f>
        <v>0.6</v>
      </c>
      <c r="J13360" s="33" t="n">
        <f aca="false">Assumptions!$J$71</f>
        <v>0.6</v>
      </c>
      <c r="K13360" s="33" t="n">
        <f aca="false">Assumptions!$K$71</f>
        <v>0.6</v>
      </c>
    </row>
    <row r="13361" customFormat="false" ht="15" hidden="false" customHeight="false" outlineLevel="0" collapsed="false">
      <c r="A13361" s="3" t="s">
        <v>430</v>
      </c>
      <c r="G13361" s="22" t="n">
        <f aca="false">G13360-G13359</f>
        <v>0.0196308712204777</v>
      </c>
      <c r="H13361" s="22" t="n">
        <f aca="false">H13360-H13359</f>
        <v>0.0298745442835595</v>
      </c>
      <c r="I13361" s="22" t="n">
        <f aca="false">I13360-I13359</f>
        <v>0.0159743444218476</v>
      </c>
      <c r="J13361" s="22" t="n">
        <f aca="false">J13360-J13359</f>
        <v>-0.00281408999325661</v>
      </c>
      <c r="K13361" s="22" t="n">
        <f aca="false">K13360-K13359</f>
        <v>-0.0250678483709297</v>
      </c>
    </row>
    <row r="13362" customFormat="false" ht="15" hidden="false" customHeight="false" outlineLevel="0" collapsed="false">
      <c r="A13362" s="3" t="s">
        <v>431</v>
      </c>
      <c r="G13362" s="22" t="n">
        <f aca="false">IF(G13360=0,0,G13361/ABS(G13360))</f>
        <v>0.0327181187007962</v>
      </c>
      <c r="H13362" s="22" t="n">
        <f aca="false">IF(H13360=0,0,H13361/ABS(H13360))</f>
        <v>0.0497909071392659</v>
      </c>
      <c r="I13362" s="22" t="n">
        <f aca="false">IF(I13360=0,0,I13361/ABS(I13360))</f>
        <v>0.0266239073697461</v>
      </c>
      <c r="J13362" s="22" t="n">
        <f aca="false">IF(J13360=0,0,J13361/ABS(J13360))</f>
        <v>-0.00469014998876101</v>
      </c>
      <c r="K13362" s="22" t="n">
        <f aca="false">IF(K13360=0,0,K13361/ABS(K13360))</f>
        <v>-0.0417797472848828</v>
      </c>
    </row>
    <row r="13363" customFormat="false" ht="15" hidden="false" customHeight="false" outlineLevel="0" collapsed="false">
      <c r="A13363" s="3" t="s">
        <v>432</v>
      </c>
      <c r="G13363" s="21" t="n">
        <f aca="false">IF(G13361&lt;0,1,0)</f>
        <v>0</v>
      </c>
      <c r="H13363" s="21" t="n">
        <f aca="false">IF(H13361&lt;0,1,0)</f>
        <v>0</v>
      </c>
      <c r="I13363" s="21" t="n">
        <f aca="false">IF(I13361&lt;0,1,0)</f>
        <v>0</v>
      </c>
      <c r="J13363" s="21" t="n">
        <f aca="false">IF(J13361&lt;0,1,0)</f>
        <v>1</v>
      </c>
      <c r="K13363" s="21" t="n">
        <f aca="false">IF(K13361&lt;0,1,0)</f>
        <v>1</v>
      </c>
    </row>
    <row r="13364" customFormat="false" ht="15" hidden="false" customHeight="false" outlineLevel="0" collapsed="false">
      <c r="A13364" s="3" t="s">
        <v>433</v>
      </c>
      <c r="C13364" s="21" t="n">
        <f aca="false">IFERROR(INDEX($G$13113:$K$13113,MATCH(1,$G$13363:$K$13363,0)),0)</f>
        <v>2030</v>
      </c>
    </row>
    <row r="13365" customFormat="false" ht="15" hidden="false" customHeight="false" outlineLevel="0" collapsed="false">
      <c r="A13365" s="3" t="s">
        <v>434</v>
      </c>
      <c r="C13365" s="22" t="n">
        <f aca="false">MIN($G$13362:$K$13362)</f>
        <v>-0.0417797472848828</v>
      </c>
    </row>
    <row r="13366" customFormat="false" ht="15" hidden="false" customHeight="false" outlineLevel="0" collapsed="false">
      <c r="A13366" s="24" t="s">
        <v>435</v>
      </c>
      <c r="B13366" s="25"/>
      <c r="C13366" s="25"/>
      <c r="D13366" s="25"/>
      <c r="E13366" s="25"/>
      <c r="F13366" s="25"/>
      <c r="G13366" s="25"/>
      <c r="H13366" s="25"/>
      <c r="I13366" s="25"/>
      <c r="J13366" s="25"/>
      <c r="K13366" s="25"/>
    </row>
    <row r="13367" customFormat="false" ht="15" hidden="false" customHeight="false" outlineLevel="0" collapsed="false">
      <c r="A13367" s="3" t="s">
        <v>428</v>
      </c>
      <c r="G13367" s="32" t="n">
        <f aca="false">IF(G13127&gt;0,G13123/G13127,99)</f>
        <v>1.4215185079059</v>
      </c>
      <c r="H13367" s="32" t="n">
        <f aca="false">IF(H13127&gt;0,H13123/H13127,99)</f>
        <v>1.46693050552355</v>
      </c>
      <c r="I13367" s="32" t="n">
        <f aca="false">IF(I13127&gt;0,I13123/I13127,99)</f>
        <v>1.40833238714926</v>
      </c>
      <c r="J13367" s="32" t="n">
        <f aca="false">IF(J13127&gt;0,J13123/J13127,99)</f>
        <v>1.44049487506624</v>
      </c>
      <c r="K13367" s="32" t="n">
        <f aca="false">IF(K13127&gt;0,K13123/K13127,99)</f>
        <v>1.34274565931266</v>
      </c>
    </row>
    <row r="13368" customFormat="false" ht="15" hidden="false" customHeight="false" outlineLevel="0" collapsed="false">
      <c r="A13368" s="3" t="s">
        <v>429</v>
      </c>
      <c r="G13368" s="34" t="n">
        <f aca="false">Assumptions!$G$72</f>
        <v>1.5</v>
      </c>
      <c r="H13368" s="34" t="n">
        <f aca="false">Assumptions!$H$72</f>
        <v>1.5</v>
      </c>
      <c r="I13368" s="34" t="n">
        <f aca="false">Assumptions!$I$72</f>
        <v>1.5</v>
      </c>
      <c r="J13368" s="34" t="n">
        <f aca="false">Assumptions!$J$72</f>
        <v>1.5</v>
      </c>
      <c r="K13368" s="34" t="n">
        <f aca="false">Assumptions!$K$72</f>
        <v>1.5</v>
      </c>
    </row>
    <row r="13369" customFormat="false" ht="15" hidden="false" customHeight="false" outlineLevel="0" collapsed="false">
      <c r="A13369" s="3" t="s">
        <v>430</v>
      </c>
      <c r="G13369" s="32" t="n">
        <f aca="false">G13367-G13368</f>
        <v>-0.0784814920940982</v>
      </c>
      <c r="H13369" s="32" t="n">
        <f aca="false">H13367-H13368</f>
        <v>-0.0330694944764525</v>
      </c>
      <c r="I13369" s="32" t="n">
        <f aca="false">I13367-I13368</f>
        <v>-0.091667612850737</v>
      </c>
      <c r="J13369" s="32" t="n">
        <f aca="false">J13367-J13368</f>
        <v>-0.0595051249337639</v>
      </c>
      <c r="K13369" s="32" t="n">
        <f aca="false">K13367-K13368</f>
        <v>-0.157254340687343</v>
      </c>
    </row>
    <row r="13370" customFormat="false" ht="15" hidden="false" customHeight="false" outlineLevel="0" collapsed="false">
      <c r="A13370" s="3" t="s">
        <v>431</v>
      </c>
      <c r="G13370" s="22" t="n">
        <f aca="false">IF(G13368=0,0,G13369/ABS(G13368))</f>
        <v>-0.0523209947293988</v>
      </c>
      <c r="H13370" s="22" t="n">
        <f aca="false">IF(H13368=0,0,H13369/ABS(H13368))</f>
        <v>-0.0220463296509683</v>
      </c>
      <c r="I13370" s="22" t="n">
        <f aca="false">IF(I13368=0,0,I13369/ABS(I13368))</f>
        <v>-0.0611117419004913</v>
      </c>
      <c r="J13370" s="22" t="n">
        <f aca="false">IF(J13368=0,0,J13369/ABS(J13368))</f>
        <v>-0.039670083289176</v>
      </c>
      <c r="K13370" s="22" t="n">
        <f aca="false">IF(K13368=0,0,K13369/ABS(K13368))</f>
        <v>-0.104836227124896</v>
      </c>
    </row>
    <row r="13371" customFormat="false" ht="15" hidden="false" customHeight="false" outlineLevel="0" collapsed="false">
      <c r="A13371" s="3" t="s">
        <v>432</v>
      </c>
      <c r="G13371" s="21" t="n">
        <f aca="false">IF(G13369&lt;0,1,0)</f>
        <v>1</v>
      </c>
      <c r="H13371" s="21" t="n">
        <f aca="false">IF(H13369&lt;0,1,0)</f>
        <v>1</v>
      </c>
      <c r="I13371" s="21" t="n">
        <f aca="false">IF(I13369&lt;0,1,0)</f>
        <v>1</v>
      </c>
      <c r="J13371" s="21" t="n">
        <f aca="false">IF(J13369&lt;0,1,0)</f>
        <v>1</v>
      </c>
      <c r="K13371" s="21" t="n">
        <f aca="false">IF(K13369&lt;0,1,0)</f>
        <v>1</v>
      </c>
    </row>
    <row r="13372" customFormat="false" ht="15" hidden="false" customHeight="false" outlineLevel="0" collapsed="false">
      <c r="A13372" s="3" t="s">
        <v>433</v>
      </c>
      <c r="C13372" s="21" t="n">
        <f aca="false">IFERROR(INDEX($G$13113:$K$13113,MATCH(1,$G$13371:$K$13371,0)),0)</f>
        <v>2027</v>
      </c>
    </row>
    <row r="13373" customFormat="false" ht="15" hidden="false" customHeight="false" outlineLevel="0" collapsed="false">
      <c r="A13373" s="3" t="s">
        <v>434</v>
      </c>
      <c r="C13373" s="22" t="n">
        <f aca="false">MIN($G$13370:$K$13370)</f>
        <v>-0.104836227124896</v>
      </c>
    </row>
    <row r="13374" customFormat="false" ht="15" hidden="false" customHeight="false" outlineLevel="0" collapsed="false">
      <c r="A13374" s="24" t="s">
        <v>436</v>
      </c>
      <c r="B13374" s="25"/>
      <c r="C13374" s="25"/>
      <c r="D13374" s="25"/>
      <c r="E13374" s="25"/>
      <c r="F13374" s="25"/>
      <c r="G13374" s="25"/>
      <c r="H13374" s="25"/>
      <c r="I13374" s="25"/>
      <c r="J13374" s="25"/>
      <c r="K13374" s="25"/>
    </row>
    <row r="13375" customFormat="false" ht="15" hidden="false" customHeight="false" outlineLevel="0" collapsed="false">
      <c r="A13375" s="3" t="s">
        <v>428</v>
      </c>
      <c r="G13375" s="22" t="n">
        <f aca="false">IF(G13356&gt;0,G13345/G13356,99)</f>
        <v>0.120265604139923</v>
      </c>
      <c r="H13375" s="22" t="n">
        <f aca="false">IF(H13356&gt;0,H13345/H13356,99)</f>
        <v>0.119380197979769</v>
      </c>
      <c r="I13375" s="22" t="n">
        <f aca="false">IF(I13356&gt;0,I13345/I13356,99)</f>
        <v>0.118494791819614</v>
      </c>
      <c r="J13375" s="22" t="n">
        <f aca="false">IF(J13356&gt;0,J13345/J13356,99)</f>
        <v>0.11760938565946</v>
      </c>
      <c r="K13375" s="22" t="n">
        <f aca="false">IF(K13356&gt;0,K13345/K13356,99)</f>
        <v>0.116723979499306</v>
      </c>
    </row>
    <row r="13376" customFormat="false" ht="15" hidden="false" customHeight="false" outlineLevel="0" collapsed="false">
      <c r="A13376" s="3" t="s">
        <v>429</v>
      </c>
      <c r="G13376" s="33" t="n">
        <f aca="false">Assumptions!$G$73</f>
        <v>0.4</v>
      </c>
      <c r="H13376" s="33" t="n">
        <f aca="false">Assumptions!$H$73</f>
        <v>0.4</v>
      </c>
      <c r="I13376" s="33" t="n">
        <f aca="false">Assumptions!$I$73</f>
        <v>0.4</v>
      </c>
      <c r="J13376" s="33" t="n">
        <f aca="false">Assumptions!$J$73</f>
        <v>0.4</v>
      </c>
      <c r="K13376" s="33" t="n">
        <f aca="false">Assumptions!$K$73</f>
        <v>0.4</v>
      </c>
    </row>
    <row r="13377" customFormat="false" ht="15" hidden="false" customHeight="false" outlineLevel="0" collapsed="false">
      <c r="A13377" s="3" t="s">
        <v>430</v>
      </c>
      <c r="G13377" s="22" t="n">
        <f aca="false">G13376-G13375</f>
        <v>0.279734395860077</v>
      </c>
      <c r="H13377" s="22" t="n">
        <f aca="false">H13376-H13375</f>
        <v>0.280619802020231</v>
      </c>
      <c r="I13377" s="22" t="n">
        <f aca="false">I13376-I13375</f>
        <v>0.281505208180386</v>
      </c>
      <c r="J13377" s="22" t="n">
        <f aca="false">J13376-J13375</f>
        <v>0.28239061434054</v>
      </c>
      <c r="K13377" s="22" t="n">
        <f aca="false">K13376-K13375</f>
        <v>0.283276020500694</v>
      </c>
    </row>
    <row r="13378" customFormat="false" ht="15" hidden="false" customHeight="false" outlineLevel="0" collapsed="false">
      <c r="A13378" s="3" t="s">
        <v>431</v>
      </c>
      <c r="G13378" s="22" t="n">
        <f aca="false">IF(G13376=0,0,G13377/ABS(G13376))</f>
        <v>0.699335989650192</v>
      </c>
      <c r="H13378" s="22" t="n">
        <f aca="false">IF(H13376=0,0,H13377/ABS(H13376))</f>
        <v>0.701549505050578</v>
      </c>
      <c r="I13378" s="22" t="n">
        <f aca="false">IF(I13376=0,0,I13377/ABS(I13376))</f>
        <v>0.703763020450964</v>
      </c>
      <c r="J13378" s="22" t="n">
        <f aca="false">IF(J13376=0,0,J13377/ABS(J13376))</f>
        <v>0.70597653585135</v>
      </c>
      <c r="K13378" s="22" t="n">
        <f aca="false">IF(K13376=0,0,K13377/ABS(K13376))</f>
        <v>0.708190051251736</v>
      </c>
    </row>
    <row r="13379" customFormat="false" ht="15" hidden="false" customHeight="false" outlineLevel="0" collapsed="false">
      <c r="A13379" s="3" t="s">
        <v>432</v>
      </c>
      <c r="G13379" s="21" t="n">
        <f aca="false">IF(G13377&lt;0,1,0)</f>
        <v>0</v>
      </c>
      <c r="H13379" s="21" t="n">
        <f aca="false">IF(H13377&lt;0,1,0)</f>
        <v>0</v>
      </c>
      <c r="I13379" s="21" t="n">
        <f aca="false">IF(I13377&lt;0,1,0)</f>
        <v>0</v>
      </c>
      <c r="J13379" s="21" t="n">
        <f aca="false">IF(J13377&lt;0,1,0)</f>
        <v>0</v>
      </c>
      <c r="K13379" s="21" t="n">
        <f aca="false">IF(K13377&lt;0,1,0)</f>
        <v>0</v>
      </c>
    </row>
    <row r="13380" customFormat="false" ht="15" hidden="false" customHeight="false" outlineLevel="0" collapsed="false">
      <c r="A13380" s="3" t="s">
        <v>433</v>
      </c>
      <c r="C13380" s="21" t="n">
        <f aca="false">IFERROR(INDEX($G$13113:$K$13113,MATCH(1,$G$13379:$K$13379,0)),0)</f>
        <v>0</v>
      </c>
    </row>
    <row r="13381" customFormat="false" ht="15" hidden="false" customHeight="false" outlineLevel="0" collapsed="false">
      <c r="A13381" s="3" t="s">
        <v>434</v>
      </c>
      <c r="C13381" s="22" t="n">
        <f aca="false">MIN($G$13378:$K$13378)</f>
        <v>0.699335989650192</v>
      </c>
    </row>
    <row r="13382" customFormat="false" ht="15" hidden="false" customHeight="false" outlineLevel="0" collapsed="false">
      <c r="A13382" s="24" t="s">
        <v>437</v>
      </c>
      <c r="B13382" s="25"/>
      <c r="C13382" s="25"/>
      <c r="D13382" s="25"/>
      <c r="E13382" s="25"/>
      <c r="F13382" s="25"/>
      <c r="G13382" s="25"/>
      <c r="H13382" s="25"/>
      <c r="I13382" s="25"/>
      <c r="J13382" s="25"/>
      <c r="K13382" s="25"/>
    </row>
    <row r="13383" customFormat="false" ht="15" hidden="false" customHeight="false" outlineLevel="0" collapsed="false">
      <c r="A13383" s="3" t="s">
        <v>428</v>
      </c>
      <c r="G13383" s="16" t="n">
        <f aca="false">G13353</f>
        <v>724.8287686</v>
      </c>
      <c r="H13383" s="16" t="n">
        <f aca="false">H13353</f>
        <v>599.5</v>
      </c>
      <c r="I13383" s="16" t="n">
        <f aca="false">I13353</f>
        <v>507.703057817944</v>
      </c>
      <c r="J13383" s="16" t="n">
        <f aca="false">J13353</f>
        <v>418.822535135205</v>
      </c>
      <c r="K13383" s="16" t="n">
        <f aca="false">K13353</f>
        <v>314.286716076552</v>
      </c>
    </row>
    <row r="13384" customFormat="false" ht="15" hidden="false" customHeight="false" outlineLevel="0" collapsed="false">
      <c r="A13384" s="3" t="s">
        <v>429</v>
      </c>
      <c r="G13384" s="29" t="n">
        <f aca="false">Assumptions!$G$74</f>
        <v>100</v>
      </c>
      <c r="H13384" s="29" t="n">
        <f aca="false">Assumptions!$H$74</f>
        <v>100</v>
      </c>
      <c r="I13384" s="29" t="n">
        <f aca="false">Assumptions!$I$74</f>
        <v>100</v>
      </c>
      <c r="J13384" s="29" t="n">
        <f aca="false">Assumptions!$J$74</f>
        <v>100</v>
      </c>
      <c r="K13384" s="29" t="n">
        <f aca="false">Assumptions!$K$74</f>
        <v>100</v>
      </c>
    </row>
    <row r="13385" customFormat="false" ht="15" hidden="false" customHeight="false" outlineLevel="0" collapsed="false">
      <c r="A13385" s="3" t="s">
        <v>430</v>
      </c>
      <c r="G13385" s="16" t="n">
        <f aca="false">G13383-G13384</f>
        <v>624.8287686</v>
      </c>
      <c r="H13385" s="16" t="n">
        <f aca="false">H13383-H13384</f>
        <v>499.5</v>
      </c>
      <c r="I13385" s="16" t="n">
        <f aca="false">I13383-I13384</f>
        <v>407.703057817944</v>
      </c>
      <c r="J13385" s="16" t="n">
        <f aca="false">J13383-J13384</f>
        <v>318.822535135205</v>
      </c>
      <c r="K13385" s="16" t="n">
        <f aca="false">K13383-K13384</f>
        <v>214.286716076552</v>
      </c>
    </row>
    <row r="13386" customFormat="false" ht="15" hidden="false" customHeight="false" outlineLevel="0" collapsed="false">
      <c r="A13386" s="3" t="s">
        <v>431</v>
      </c>
      <c r="G13386" s="22" t="n">
        <f aca="false">IF(G13384=0,0,G13385/ABS(G13384))</f>
        <v>6.248287686</v>
      </c>
      <c r="H13386" s="22" t="n">
        <f aca="false">IF(H13384=0,0,H13385/ABS(H13384))</f>
        <v>4.995</v>
      </c>
      <c r="I13386" s="22" t="n">
        <f aca="false">IF(I13384=0,0,I13385/ABS(I13384))</f>
        <v>4.07703057817944</v>
      </c>
      <c r="J13386" s="22" t="n">
        <f aca="false">IF(J13384=0,0,J13385/ABS(J13384))</f>
        <v>3.18822535135205</v>
      </c>
      <c r="K13386" s="22" t="n">
        <f aca="false">IF(K13384=0,0,K13385/ABS(K13384))</f>
        <v>2.14286716076552</v>
      </c>
    </row>
    <row r="13387" customFormat="false" ht="15" hidden="false" customHeight="false" outlineLevel="0" collapsed="false">
      <c r="A13387" s="3" t="s">
        <v>432</v>
      </c>
      <c r="G13387" s="21" t="n">
        <f aca="false">IF(G13385&lt;0,1,0)</f>
        <v>0</v>
      </c>
      <c r="H13387" s="21" t="n">
        <f aca="false">IF(H13385&lt;0,1,0)</f>
        <v>0</v>
      </c>
      <c r="I13387" s="21" t="n">
        <f aca="false">IF(I13385&lt;0,1,0)</f>
        <v>0</v>
      </c>
      <c r="J13387" s="21" t="n">
        <f aca="false">IF(J13385&lt;0,1,0)</f>
        <v>0</v>
      </c>
      <c r="K13387" s="21" t="n">
        <f aca="false">IF(K13385&lt;0,1,0)</f>
        <v>0</v>
      </c>
    </row>
    <row r="13388" customFormat="false" ht="15" hidden="false" customHeight="false" outlineLevel="0" collapsed="false">
      <c r="A13388" s="3" t="s">
        <v>433</v>
      </c>
      <c r="C13388" s="21" t="n">
        <f aca="false">IFERROR(INDEX($G$13113:$K$13113,MATCH(1,$G$13387:$K$13387,0)),0)</f>
        <v>0</v>
      </c>
    </row>
    <row r="13389" customFormat="false" ht="15" hidden="false" customHeight="false" outlineLevel="0" collapsed="false">
      <c r="A13389" s="3" t="s">
        <v>434</v>
      </c>
      <c r="C13389" s="22" t="n">
        <f aca="false">MIN($G$13386:$K$13386)</f>
        <v>2.14286716076552</v>
      </c>
    </row>
    <row r="13390" customFormat="false" ht="15" hidden="false" customHeight="false" outlineLevel="0" collapsed="false">
      <c r="A13390" s="24" t="s">
        <v>438</v>
      </c>
      <c r="B13390" s="25"/>
      <c r="C13390" s="25"/>
      <c r="D13390" s="25"/>
      <c r="E13390" s="25"/>
      <c r="F13390" s="25"/>
      <c r="G13390" s="25"/>
      <c r="H13390" s="25"/>
      <c r="I13390" s="25"/>
      <c r="J13390" s="25"/>
      <c r="K13390" s="25"/>
    </row>
    <row r="13391" customFormat="false" ht="15" hidden="false" customHeight="false" outlineLevel="0" collapsed="false">
      <c r="A13391" s="3" t="s">
        <v>428</v>
      </c>
      <c r="G13391" s="32" t="n">
        <f aca="false">IF(G13123&gt;0,G13346/G13123,99)</f>
        <v>9.64824801476836</v>
      </c>
      <c r="H13391" s="32" t="n">
        <f aca="false">IF(H13123&gt;0,H13346/H13123,99)</f>
        <v>9.70665866785301</v>
      </c>
      <c r="I13391" s="32" t="n">
        <f aca="false">IF(I13123&gt;0,I13346/I13123,99)</f>
        <v>9.78880026535512</v>
      </c>
      <c r="J13391" s="32" t="n">
        <f aca="false">IF(J13123&gt;0,J13346/J13123,99)</f>
        <v>9.86877570563203</v>
      </c>
      <c r="K13391" s="32" t="n">
        <f aca="false">IF(K13123&gt;0,K13346/K13123,99)</f>
        <v>9.99528975565569</v>
      </c>
    </row>
    <row r="13392" customFormat="false" ht="15" hidden="false" customHeight="false" outlineLevel="0" collapsed="false">
      <c r="A13392" s="3" t="s">
        <v>429</v>
      </c>
      <c r="G13392" s="34" t="n">
        <f aca="false">Assumptions!$G$75</f>
        <v>10.5</v>
      </c>
      <c r="H13392" s="34" t="n">
        <f aca="false">Assumptions!$H$75</f>
        <v>10.5</v>
      </c>
      <c r="I13392" s="34" t="n">
        <f aca="false">Assumptions!$I$75</f>
        <v>10</v>
      </c>
      <c r="J13392" s="34" t="n">
        <f aca="false">Assumptions!$J$75</f>
        <v>10</v>
      </c>
      <c r="K13392" s="34" t="n">
        <f aca="false">Assumptions!$K$75</f>
        <v>9.5</v>
      </c>
    </row>
    <row r="13393" customFormat="false" ht="15" hidden="false" customHeight="false" outlineLevel="0" collapsed="false">
      <c r="A13393" s="3" t="s">
        <v>430</v>
      </c>
      <c r="G13393" s="32" t="n">
        <f aca="false">G13392-G13391</f>
        <v>0.85175198523164</v>
      </c>
      <c r="H13393" s="32" t="n">
        <f aca="false">H13392-H13391</f>
        <v>0.793341332146991</v>
      </c>
      <c r="I13393" s="32" t="n">
        <f aca="false">I13392-I13391</f>
        <v>0.211199734644877</v>
      </c>
      <c r="J13393" s="32" t="n">
        <f aca="false">J13392-J13391</f>
        <v>0.131224294367971</v>
      </c>
      <c r="K13393" s="32" t="n">
        <f aca="false">K13392-K13391</f>
        <v>-0.495289755655689</v>
      </c>
    </row>
    <row r="13394" customFormat="false" ht="15" hidden="false" customHeight="false" outlineLevel="0" collapsed="false">
      <c r="A13394" s="3" t="s">
        <v>431</v>
      </c>
      <c r="G13394" s="22" t="n">
        <f aca="false">IF(G13392=0,0,G13393/ABS(G13392))</f>
        <v>0.0811192366887277</v>
      </c>
      <c r="H13394" s="22" t="n">
        <f aca="false">IF(H13392=0,0,H13393/ABS(H13392))</f>
        <v>0.0755563173473324</v>
      </c>
      <c r="I13394" s="22" t="n">
        <f aca="false">IF(I13392=0,0,I13393/ABS(I13392))</f>
        <v>0.0211199734644877</v>
      </c>
      <c r="J13394" s="22" t="n">
        <f aca="false">IF(J13392=0,0,J13393/ABS(J13392))</f>
        <v>0.0131224294367971</v>
      </c>
      <c r="K13394" s="22" t="n">
        <f aca="false">IF(K13392=0,0,K13393/ABS(K13392))</f>
        <v>-0.0521357637532304</v>
      </c>
    </row>
    <row r="13395" customFormat="false" ht="15" hidden="false" customHeight="false" outlineLevel="0" collapsed="false">
      <c r="A13395" s="3" t="s">
        <v>432</v>
      </c>
      <c r="G13395" s="21" t="n">
        <f aca="false">IF(G13393&lt;0,1,0)</f>
        <v>0</v>
      </c>
      <c r="H13395" s="21" t="n">
        <f aca="false">IF(H13393&lt;0,1,0)</f>
        <v>0</v>
      </c>
      <c r="I13395" s="21" t="n">
        <f aca="false">IF(I13393&lt;0,1,0)</f>
        <v>0</v>
      </c>
      <c r="J13395" s="21" t="n">
        <f aca="false">IF(J13393&lt;0,1,0)</f>
        <v>0</v>
      </c>
      <c r="K13395" s="21" t="n">
        <f aca="false">IF(K13393&lt;0,1,0)</f>
        <v>1</v>
      </c>
    </row>
    <row r="13396" customFormat="false" ht="15" hidden="false" customHeight="false" outlineLevel="0" collapsed="false">
      <c r="A13396" s="3" t="s">
        <v>433</v>
      </c>
      <c r="C13396" s="21" t="n">
        <f aca="false">IFERROR(INDEX($G$13113:$K$13113,MATCH(1,$G$13395:$K$13395,0)),0)</f>
        <v>2031</v>
      </c>
    </row>
    <row r="13397" customFormat="false" ht="15" hidden="false" customHeight="false" outlineLevel="0" collapsed="false">
      <c r="A13397" s="3" t="s">
        <v>434</v>
      </c>
      <c r="C13397" s="22" t="n">
        <f aca="false">MIN($G$13394:$K$13394)</f>
        <v>-0.0521357637532304</v>
      </c>
    </row>
    <row r="13398" customFormat="false" ht="15" hidden="false" customHeight="false" outlineLevel="0" collapsed="false">
      <c r="A13398" s="3" t="s">
        <v>439</v>
      </c>
      <c r="G13398" s="21" t="n">
        <f aca="false">G13363+G13371+G13379+G13387+G13395</f>
        <v>1</v>
      </c>
      <c r="H13398" s="21" t="n">
        <f aca="false">H13363+H13371+H13379+H13387+H13395</f>
        <v>1</v>
      </c>
      <c r="I13398" s="21" t="n">
        <f aca="false">I13363+I13371+I13379+I13387+I13395</f>
        <v>1</v>
      </c>
      <c r="J13398" s="21" t="n">
        <f aca="false">J13363+J13371+J13379+J13387+J13395</f>
        <v>2</v>
      </c>
      <c r="K13398" s="21" t="n">
        <f aca="false">K13363+K13371+K13379+K13387+K13395</f>
        <v>3</v>
      </c>
    </row>
    <row r="13399" customFormat="false" ht="15" hidden="false" customHeight="false" outlineLevel="0" collapsed="false">
      <c r="A13399" s="3" t="s">
        <v>440</v>
      </c>
      <c r="C13399" s="21" t="n">
        <f aca="false">SUM($G$13398:$K$13398)</f>
        <v>8</v>
      </c>
    </row>
    <row r="13400" customFormat="false" ht="15" hidden="false" customHeight="false" outlineLevel="0" collapsed="false">
      <c r="A13400" s="3" t="s">
        <v>441</v>
      </c>
      <c r="C13400" s="22" t="n">
        <f aca="false">MIN(C13365,C13373,C13381,C13389,C13397)</f>
        <v>-0.104836227124896</v>
      </c>
    </row>
    <row r="13402" customFormat="false" ht="15" hidden="false" customHeight="false" outlineLevel="0" collapsed="false">
      <c r="A13402" s="24" t="s">
        <v>543</v>
      </c>
      <c r="B13402" s="25"/>
      <c r="C13402" s="25"/>
      <c r="D13402" s="25"/>
      <c r="E13402" s="25"/>
      <c r="F13402" s="25"/>
      <c r="G13402" s="25"/>
      <c r="H13402" s="25"/>
      <c r="I13402" s="25"/>
      <c r="J13402" s="25"/>
      <c r="K13402" s="25"/>
    </row>
    <row r="13403" customFormat="false" ht="15" hidden="false" customHeight="false" outlineLevel="0" collapsed="false">
      <c r="A13403" s="3" t="s">
        <v>544</v>
      </c>
      <c r="G13403" s="21" t="n">
        <f aca="false">IF($C$13404=1,G13340,IF(G13123=MIN($G$13123:$K$13123),1,0))</f>
        <v>1</v>
      </c>
      <c r="H13403" s="21" t="n">
        <f aca="false">IF($C$13404=1,H13340,IF(AND(H13123=MIN($G$13123:$K$13123),SUM($G$13403:G13403)=0),1,0))</f>
        <v>0</v>
      </c>
      <c r="I13403" s="21" t="n">
        <f aca="false">IF($C$13404=1,I13340,IF(AND(I13123=MIN($G$13123:$K$13123),SUM($G$13403:H13403)=0),1,0))</f>
        <v>0</v>
      </c>
      <c r="J13403" s="21" t="n">
        <f aca="false">IF($C$13404=1,J13340,IF(AND(J13123=MIN($G$13123:$K$13123),SUM($G$13403:I13403)=0),1,0))</f>
        <v>0</v>
      </c>
      <c r="K13403" s="21" t="n">
        <f aca="false">IF($C$13404=1,K13340,IF(AND(K13123=MIN($G$13123:$K$13123),SUM($G$13403:J13403)=0),1,0))</f>
        <v>0</v>
      </c>
    </row>
    <row r="13404" customFormat="false" ht="15" hidden="false" customHeight="false" outlineLevel="0" collapsed="false">
      <c r="A13404" s="3" t="s">
        <v>545</v>
      </c>
      <c r="C13404" s="21" t="n">
        <f aca="false">IF(SUM($G$13340:$K$13340)&gt;0,1,0)</f>
        <v>0</v>
      </c>
    </row>
    <row r="13405" customFormat="false" ht="15" hidden="false" customHeight="false" outlineLevel="0" collapsed="false">
      <c r="A13405" s="3" t="s">
        <v>546</v>
      </c>
      <c r="C13405" s="21" t="n">
        <f aca="false">SUMPRODUCT($G$13403:$K$13403,$G$13113:$K$13113)</f>
        <v>2027</v>
      </c>
    </row>
    <row r="13406" customFormat="false" ht="15" hidden="false" customHeight="false" outlineLevel="0" collapsed="false">
      <c r="A13406" s="3" t="s">
        <v>547</v>
      </c>
      <c r="C13406" s="16" t="n">
        <f aca="false">SUMPRODUCT($G$13403:$K$13403,$G$13123:$K$13123)</f>
        <v>256.1714031</v>
      </c>
    </row>
    <row r="13407" customFormat="false" ht="15" hidden="false" customHeight="false" outlineLevel="0" collapsed="false">
      <c r="A13407" s="3" t="s">
        <v>548</v>
      </c>
      <c r="C13407" s="16" t="n">
        <f aca="false">MAX(0,SUMPRODUCT($G$13403:$K$13403,$G$13337:$K$13337))</f>
        <v>150.3287686</v>
      </c>
    </row>
    <row r="13408" customFormat="false" ht="15" hidden="false" customHeight="false" outlineLevel="0" collapsed="false">
      <c r="A13408" s="3" t="s">
        <v>549</v>
      </c>
      <c r="C13408" s="16" t="n">
        <f aca="false">(CHOOSE($C$13106,Assumptions!$C$92,Assumptions!$C$111,Assumptions!$C$130)+$C$13110)*C13406</f>
        <v>2561.714031</v>
      </c>
    </row>
    <row r="13409" customFormat="false" ht="15" hidden="false" customHeight="false" outlineLevel="0" collapsed="false">
      <c r="A13409" s="3" t="s">
        <v>550</v>
      </c>
      <c r="C13409" s="16" t="n">
        <f aca="false">Assumptions!$C$31*(1-CHOOSE($C$13106,Assumptions!$C$93,Assumptions!$C$112,Assumptions!$C$131))*CHOOSE($C$13106,Assumptions!$C$94,Assumptions!$C$113,Assumptions!$C$132)</f>
        <v>3840.04556666667</v>
      </c>
    </row>
    <row r="13410" customFormat="false" ht="15" hidden="false" customHeight="false" outlineLevel="0" collapsed="false">
      <c r="A13410" s="3" t="s">
        <v>551</v>
      </c>
      <c r="C13410" s="16" t="n">
        <f aca="false">MAX(C13408,C13409)+C13407</f>
        <v>3990.37433526667</v>
      </c>
    </row>
    <row r="13411" customFormat="false" ht="15" hidden="false" customHeight="false" outlineLevel="0" collapsed="false">
      <c r="A13411" s="2" t="s">
        <v>552</v>
      </c>
      <c r="C13411" s="17" t="n">
        <f aca="false">IF(ISNUMBER(Assumptions!$C$14),Assumptions!$C$14,C13410)</f>
        <v>3990.37433526667</v>
      </c>
    </row>
    <row r="13412" customFormat="false" ht="15" hidden="false" customHeight="false" outlineLevel="0" collapsed="false">
      <c r="A13412" s="3" t="s">
        <v>553</v>
      </c>
      <c r="C13412" s="16" t="n">
        <f aca="false">C13411*Assumptions!$C$15</f>
        <v>159.614973410667</v>
      </c>
    </row>
    <row r="13413" customFormat="false" ht="15" hidden="false" customHeight="false" outlineLevel="0" collapsed="false">
      <c r="A13413" s="2" t="s">
        <v>554</v>
      </c>
      <c r="C13413" s="17" t="n">
        <f aca="false">C13411-C13412</f>
        <v>3830.759361856</v>
      </c>
    </row>
    <row r="13414" customFormat="false" ht="15" hidden="false" customHeight="false" outlineLevel="0" collapsed="false">
      <c r="A13414" s="24" t="s">
        <v>555</v>
      </c>
      <c r="B13414" s="25"/>
      <c r="C13414" s="25"/>
      <c r="D13414" s="25"/>
      <c r="E13414" s="25"/>
      <c r="F13414" s="25"/>
      <c r="G13414" s="25"/>
      <c r="H13414" s="25"/>
      <c r="I13414" s="25"/>
      <c r="J13414" s="25"/>
      <c r="K13414" s="25"/>
    </row>
    <row r="13415" customFormat="false" ht="15" hidden="false" customHeight="false" outlineLevel="0" collapsed="false">
      <c r="A13415" s="3" t="s">
        <v>556</v>
      </c>
      <c r="C13415" s="16" t="n">
        <f aca="false">SUMPRODUCT($G$13403:$K$13403,$G$13160:$K$13160)*(1+SUMPRODUCT($G$13403:$K$13403,$G$13152:$K$13152)*Assumptions!$C$16/12)</f>
        <v>405.0585</v>
      </c>
    </row>
    <row r="13416" customFormat="false" ht="15" hidden="false" customHeight="false" outlineLevel="0" collapsed="false">
      <c r="A13416" s="3" t="s">
        <v>557</v>
      </c>
      <c r="C13416" s="16" t="n">
        <f aca="false">SUMPRODUCT($G$13403:$K$13403,$G$13173:$K$13173)*(1+SUMPRODUCT($G$13403:$K$13403,$G$13165:$K$13165)*Assumptions!$C$16/12)</f>
        <v>91.30725</v>
      </c>
    </row>
    <row r="13417" customFormat="false" ht="15" hidden="false" customHeight="false" outlineLevel="0" collapsed="false">
      <c r="A13417" s="3" t="s">
        <v>558</v>
      </c>
      <c r="C13417" s="16" t="n">
        <f aca="false">SUMPRODUCT($G$13403:$K$13403,$G$13186:$K$13186)*(1+SUMPRODUCT($G$13403:$K$13403,$G$13178:$K$13178)*Assumptions!$C$16/12)</f>
        <v>58.3715961</v>
      </c>
    </row>
    <row r="13418" customFormat="false" ht="15" hidden="false" customHeight="false" outlineLevel="0" collapsed="false">
      <c r="A13418" s="3" t="s">
        <v>559</v>
      </c>
      <c r="C13418" s="16" t="n">
        <f aca="false">SUMPRODUCT($G$13403:$K$13403,$G$13199:$K$13199)*(1+SUMPRODUCT($G$13403:$K$13403,$G$13191:$K$13191)*Assumptions!$C$16/12)</f>
        <v>0</v>
      </c>
    </row>
    <row r="13419" customFormat="false" ht="15" hidden="false" customHeight="false" outlineLevel="0" collapsed="false">
      <c r="A13419" s="3" t="s">
        <v>560</v>
      </c>
      <c r="C13419" s="16" t="n">
        <f aca="false">SUMPRODUCT($G$13403:$K$13403,$G$13212:$K$13212)*(1+SUMPRODUCT($G$13403:$K$13403,$G$13204:$K$13204)*Assumptions!$C$16/12)</f>
        <v>454.44375</v>
      </c>
    </row>
    <row r="13420" customFormat="false" ht="15" hidden="false" customHeight="false" outlineLevel="0" collapsed="false">
      <c r="A13420" s="3" t="s">
        <v>561</v>
      </c>
      <c r="C13420" s="16" t="n">
        <f aca="false">SUMPRODUCT($G$13403:$K$13403,$G$13225:$K$13225)*(1+SUMPRODUCT($G$13403:$K$13403,$G$13217:$K$13217)*Assumptions!$C$16/12)</f>
        <v>357.2625</v>
      </c>
    </row>
    <row r="13421" customFormat="false" ht="15" hidden="false" customHeight="false" outlineLevel="0" collapsed="false">
      <c r="A13421" s="3" t="s">
        <v>562</v>
      </c>
      <c r="C13421" s="16" t="n">
        <f aca="false">SUMPRODUCT($G$13403:$K$13403,$G$13238:$K$13238)*(1+SUMPRODUCT($G$13403:$K$13403,$G$13230:$K$13230)*Assumptions!$C$16/12)</f>
        <v>562.203125</v>
      </c>
    </row>
    <row r="13422" customFormat="false" ht="15" hidden="false" customHeight="false" outlineLevel="0" collapsed="false">
      <c r="A13422" s="3" t="s">
        <v>563</v>
      </c>
      <c r="C13422" s="16" t="n">
        <f aca="false">SUMPRODUCT($G$13403:$K$13403,$G$13251:$K$13251)*(1+SUMPRODUCT($G$13403:$K$13403,$G$13243:$K$13243)*Assumptions!$C$16/12)</f>
        <v>353.98125</v>
      </c>
    </row>
    <row r="13423" customFormat="false" ht="15" hidden="false" customHeight="false" outlineLevel="0" collapsed="false">
      <c r="A13423" s="3" t="s">
        <v>564</v>
      </c>
      <c r="C13423" s="16" t="n">
        <f aca="false">SUMPRODUCT($G$13403:$K$13403,$G$13264:$K$13264)*(1+SUMPRODUCT($G$13403:$K$13403,$G$13256:$K$13256)*Assumptions!$C$16/12)</f>
        <v>304.59375</v>
      </c>
    </row>
    <row r="13424" customFormat="false" ht="15" hidden="false" customHeight="false" outlineLevel="0" collapsed="false">
      <c r="A13424" s="3" t="s">
        <v>565</v>
      </c>
      <c r="C13424" s="16" t="n">
        <f aca="false">SUMPRODUCT($G$13403:$K$13403,$G$13277:$K$13277)*(1+SUMPRODUCT($G$13403:$K$13403,$G$13269:$K$13269)*Assumptions!$C$16/12)</f>
        <v>79.67320025</v>
      </c>
    </row>
    <row r="13425" customFormat="false" ht="15" hidden="false" customHeight="false" outlineLevel="0" collapsed="false">
      <c r="A13425" s="24" t="s">
        <v>566</v>
      </c>
      <c r="B13425" s="25"/>
      <c r="C13425" s="25"/>
      <c r="D13425" s="25"/>
      <c r="E13425" s="25"/>
      <c r="F13425" s="25"/>
      <c r="G13425" s="25"/>
      <c r="H13425" s="25"/>
      <c r="I13425" s="25"/>
      <c r="J13425" s="25"/>
      <c r="K13425" s="25"/>
    </row>
    <row r="13426" customFormat="false" ht="15" hidden="false" customHeight="false" outlineLevel="0" collapsed="false">
      <c r="A13426" s="3" t="s">
        <v>556</v>
      </c>
      <c r="C13426" s="27" t="n">
        <f aca="false">Assumptions!$M$57</f>
        <v>1</v>
      </c>
    </row>
    <row r="13427" customFormat="false" ht="15" hidden="false" customHeight="false" outlineLevel="0" collapsed="false">
      <c r="A13427" s="3" t="s">
        <v>557</v>
      </c>
      <c r="C13427" s="27" t="n">
        <f aca="false">Assumptions!$M$58</f>
        <v>1</v>
      </c>
    </row>
    <row r="13428" customFormat="false" ht="15" hidden="false" customHeight="false" outlineLevel="0" collapsed="false">
      <c r="A13428" s="3" t="s">
        <v>558</v>
      </c>
      <c r="C13428" s="27" t="n">
        <f aca="false">Assumptions!$M$59</f>
        <v>1</v>
      </c>
    </row>
    <row r="13429" customFormat="false" ht="15" hidden="false" customHeight="false" outlineLevel="0" collapsed="false">
      <c r="A13429" s="3" t="s">
        <v>559</v>
      </c>
      <c r="C13429" s="27" t="n">
        <f aca="false">Assumptions!$M$60</f>
        <v>2</v>
      </c>
    </row>
    <row r="13430" customFormat="false" ht="15" hidden="false" customHeight="false" outlineLevel="0" collapsed="false">
      <c r="A13430" s="3" t="s">
        <v>560</v>
      </c>
      <c r="C13430" s="27" t="n">
        <f aca="false">Assumptions!$M$61</f>
        <v>2</v>
      </c>
    </row>
    <row r="13431" customFormat="false" ht="15" hidden="false" customHeight="false" outlineLevel="0" collapsed="false">
      <c r="A13431" s="3" t="s">
        <v>561</v>
      </c>
      <c r="C13431" s="27" t="n">
        <f aca="false">Assumptions!$M$62</f>
        <v>2</v>
      </c>
    </row>
    <row r="13432" customFormat="false" ht="15" hidden="false" customHeight="false" outlineLevel="0" collapsed="false">
      <c r="A13432" s="3" t="s">
        <v>562</v>
      </c>
      <c r="C13432" s="27" t="n">
        <f aca="false">Assumptions!$M$63</f>
        <v>2</v>
      </c>
    </row>
    <row r="13433" customFormat="false" ht="15" hidden="false" customHeight="false" outlineLevel="0" collapsed="false">
      <c r="A13433" s="3" t="s">
        <v>563</v>
      </c>
      <c r="C13433" s="27" t="n">
        <f aca="false">Assumptions!$M$64</f>
        <v>2</v>
      </c>
    </row>
    <row r="13434" customFormat="false" ht="15" hidden="false" customHeight="false" outlineLevel="0" collapsed="false">
      <c r="A13434" s="3" t="s">
        <v>564</v>
      </c>
      <c r="C13434" s="27" t="n">
        <f aca="false">Assumptions!$M$65</f>
        <v>2</v>
      </c>
    </row>
    <row r="13435" customFormat="false" ht="15" hidden="false" customHeight="false" outlineLevel="0" collapsed="false">
      <c r="A13435" s="3" t="s">
        <v>565</v>
      </c>
      <c r="C13435" s="27" t="n">
        <f aca="false">Assumptions!$M$66</f>
        <v>3</v>
      </c>
    </row>
    <row r="13436" customFormat="false" ht="15" hidden="false" customHeight="false" outlineLevel="0" collapsed="false">
      <c r="A13436" s="24" t="s">
        <v>567</v>
      </c>
      <c r="B13436" s="25"/>
      <c r="C13436" s="25"/>
      <c r="D13436" s="25"/>
      <c r="E13436" s="25"/>
      <c r="F13436" s="25"/>
      <c r="G13436" s="25"/>
      <c r="H13436" s="25"/>
      <c r="I13436" s="25"/>
      <c r="J13436" s="25"/>
      <c r="K13436" s="25"/>
    </row>
    <row r="13437" customFormat="false" ht="15" hidden="false" customHeight="false" outlineLevel="0" collapsed="false">
      <c r="A13437" s="3" t="s">
        <v>556</v>
      </c>
      <c r="C13437" s="33" t="n">
        <f aca="false">Assumptions!$Q$57</f>
        <v>0.3</v>
      </c>
    </row>
    <row r="13438" customFormat="false" ht="15" hidden="false" customHeight="false" outlineLevel="0" collapsed="false">
      <c r="A13438" s="3" t="s">
        <v>557</v>
      </c>
      <c r="C13438" s="33" t="n">
        <f aca="false">Assumptions!$Q$58</f>
        <v>0.033</v>
      </c>
    </row>
    <row r="13439" customFormat="false" ht="15" hidden="false" customHeight="false" outlineLevel="0" collapsed="false">
      <c r="A13439" s="3" t="s">
        <v>558</v>
      </c>
      <c r="C13439" s="33" t="n">
        <f aca="false">Assumptions!$Q$59</f>
        <v>0.021</v>
      </c>
    </row>
    <row r="13440" customFormat="false" ht="15" hidden="false" customHeight="false" outlineLevel="0" collapsed="false">
      <c r="A13440" s="3" t="s">
        <v>559</v>
      </c>
      <c r="C13440" s="33" t="n">
        <f aca="false">Assumptions!$Q$60</f>
        <v>0</v>
      </c>
    </row>
    <row r="13441" customFormat="false" ht="15" hidden="false" customHeight="false" outlineLevel="0" collapsed="false">
      <c r="A13441" s="3" t="s">
        <v>560</v>
      </c>
      <c r="C13441" s="33" t="n">
        <f aca="false">Assumptions!$Q$61</f>
        <v>0</v>
      </c>
    </row>
    <row r="13442" customFormat="false" ht="15" hidden="false" customHeight="false" outlineLevel="0" collapsed="false">
      <c r="A13442" s="3" t="s">
        <v>561</v>
      </c>
      <c r="C13442" s="33" t="n">
        <f aca="false">Assumptions!$Q$62</f>
        <v>0</v>
      </c>
    </row>
    <row r="13443" customFormat="false" ht="15" hidden="false" customHeight="false" outlineLevel="0" collapsed="false">
      <c r="A13443" s="3" t="s">
        <v>562</v>
      </c>
      <c r="C13443" s="33" t="n">
        <f aca="false">Assumptions!$Q$63</f>
        <v>0</v>
      </c>
    </row>
    <row r="13444" customFormat="false" ht="15" hidden="false" customHeight="false" outlineLevel="0" collapsed="false">
      <c r="A13444" s="3" t="s">
        <v>563</v>
      </c>
      <c r="C13444" s="33" t="n">
        <f aca="false">Assumptions!$Q$64</f>
        <v>0</v>
      </c>
    </row>
    <row r="13445" customFormat="false" ht="15" hidden="false" customHeight="false" outlineLevel="0" collapsed="false">
      <c r="A13445" s="3" t="s">
        <v>564</v>
      </c>
      <c r="C13445" s="33" t="n">
        <f aca="false">Assumptions!$Q$65</f>
        <v>0</v>
      </c>
    </row>
    <row r="13446" customFormat="false" ht="15" hidden="false" customHeight="false" outlineLevel="0" collapsed="false">
      <c r="A13446" s="3" t="s">
        <v>565</v>
      </c>
      <c r="C13446" s="33" t="n">
        <f aca="false">Assumptions!$Q$66</f>
        <v>0</v>
      </c>
    </row>
    <row r="13447" customFormat="false" ht="15" hidden="false" customHeight="false" outlineLevel="0" collapsed="false">
      <c r="A13447" s="24" t="s">
        <v>568</v>
      </c>
      <c r="B13447" s="25"/>
      <c r="C13447" s="25"/>
      <c r="D13447" s="25"/>
      <c r="E13447" s="25"/>
      <c r="F13447" s="25"/>
      <c r="G13447" s="25"/>
      <c r="H13447" s="25"/>
      <c r="I13447" s="25"/>
      <c r="J13447" s="25"/>
      <c r="K13447" s="25"/>
    </row>
    <row r="13448" customFormat="false" ht="15" hidden="false" customHeight="false" outlineLevel="0" collapsed="false">
      <c r="A13448" s="3" t="s">
        <v>556</v>
      </c>
      <c r="C13448" s="16" t="n">
        <f aca="false">IF(C13437&gt;0,MIN(C13415,C13437*$C$13413),0)</f>
        <v>405.0585</v>
      </c>
    </row>
    <row r="13449" customFormat="false" ht="15" hidden="false" customHeight="false" outlineLevel="0" collapsed="false">
      <c r="A13449" s="3" t="s">
        <v>557</v>
      </c>
      <c r="C13449" s="16" t="n">
        <f aca="false">IF(C13438&gt;0,MIN(C13416,C13438*$C$13413),0)</f>
        <v>91.30725</v>
      </c>
    </row>
    <row r="13450" customFormat="false" ht="15" hidden="false" customHeight="false" outlineLevel="0" collapsed="false">
      <c r="A13450" s="3" t="s">
        <v>558</v>
      </c>
      <c r="C13450" s="16" t="n">
        <f aca="false">IF(C13439&gt;0,MIN(C13417,C13439*$C$13413),0)</f>
        <v>58.3715961</v>
      </c>
    </row>
    <row r="13451" customFormat="false" ht="15" hidden="false" customHeight="false" outlineLevel="0" collapsed="false">
      <c r="A13451" s="3" t="s">
        <v>559</v>
      </c>
      <c r="C13451" s="16" t="n">
        <f aca="false">IF(C13440&gt;0,MIN(C13418,C13440*$C$13413),0)</f>
        <v>0</v>
      </c>
    </row>
    <row r="13452" customFormat="false" ht="15" hidden="false" customHeight="false" outlineLevel="0" collapsed="false">
      <c r="A13452" s="3" t="s">
        <v>560</v>
      </c>
      <c r="C13452" s="16" t="n">
        <f aca="false">IF(C13441&gt;0,MIN(C13419,C13441*$C$13413),0)</f>
        <v>0</v>
      </c>
    </row>
    <row r="13453" customFormat="false" ht="15" hidden="false" customHeight="false" outlineLevel="0" collapsed="false">
      <c r="A13453" s="3" t="s">
        <v>561</v>
      </c>
      <c r="C13453" s="16" t="n">
        <f aca="false">IF(C13442&gt;0,MIN(C13420,C13442*$C$13413),0)</f>
        <v>0</v>
      </c>
    </row>
    <row r="13454" customFormat="false" ht="15" hidden="false" customHeight="false" outlineLevel="0" collapsed="false">
      <c r="A13454" s="3" t="s">
        <v>562</v>
      </c>
      <c r="C13454" s="16" t="n">
        <f aca="false">IF(C13443&gt;0,MIN(C13421,C13443*$C$13413),0)</f>
        <v>0</v>
      </c>
    </row>
    <row r="13455" customFormat="false" ht="15" hidden="false" customHeight="false" outlineLevel="0" collapsed="false">
      <c r="A13455" s="3" t="s">
        <v>563</v>
      </c>
      <c r="C13455" s="16" t="n">
        <f aca="false">IF(C13444&gt;0,MIN(C13422,C13444*$C$13413),0)</f>
        <v>0</v>
      </c>
    </row>
    <row r="13456" customFormat="false" ht="15" hidden="false" customHeight="false" outlineLevel="0" collapsed="false">
      <c r="A13456" s="3" t="s">
        <v>564</v>
      </c>
      <c r="C13456" s="16" t="n">
        <f aca="false">IF(C13445&gt;0,MIN(C13423,C13445*$C$13413),0)</f>
        <v>0</v>
      </c>
    </row>
    <row r="13457" customFormat="false" ht="15" hidden="false" customHeight="false" outlineLevel="0" collapsed="false">
      <c r="A13457" s="3" t="s">
        <v>565</v>
      </c>
      <c r="C13457" s="16" t="n">
        <f aca="false">IF(C13446&gt;0,MIN(C13424,C13446*$C$13413),0)</f>
        <v>0</v>
      </c>
    </row>
    <row r="13458" customFormat="false" ht="15" hidden="false" customHeight="false" outlineLevel="0" collapsed="false">
      <c r="A13458" s="24" t="s">
        <v>569</v>
      </c>
      <c r="B13458" s="25"/>
      <c r="C13458" s="25"/>
      <c r="D13458" s="25"/>
      <c r="E13458" s="25"/>
      <c r="F13458" s="25"/>
      <c r="G13458" s="25"/>
      <c r="H13458" s="25"/>
      <c r="I13458" s="25"/>
      <c r="J13458" s="25"/>
      <c r="K13458" s="25"/>
    </row>
    <row r="13459" customFormat="false" ht="15" hidden="false" customHeight="false" outlineLevel="0" collapsed="false">
      <c r="A13459" s="3" t="s">
        <v>556</v>
      </c>
      <c r="C13459" s="16" t="n">
        <f aca="false">IF(C13437&gt;0,C13415-C13448,0)</f>
        <v>0</v>
      </c>
      <c r="G13459" s="21" t="n">
        <f aca="false">IF(AND(G13150=1,G13147=1),1,0)</f>
        <v>0</v>
      </c>
      <c r="H13459" s="21" t="n">
        <f aca="false">IF(G13459=1,1,IF(AND(H13150=1,H13147=1),1,0))</f>
        <v>0</v>
      </c>
      <c r="I13459" s="21" t="n">
        <f aca="false">IF(H13459=1,1,IF(AND(I13150=1,I13147=1),1,0))</f>
        <v>0</v>
      </c>
      <c r="J13459" s="21" t="n">
        <f aca="false">IF(I13459=1,1,IF(AND(J13150=1,J13147=1),1,0))</f>
        <v>0</v>
      </c>
      <c r="K13459" s="21" t="n">
        <f aca="false">IF(J13459=1,1,IF(AND(K13150=1,K13147=1),1,0))</f>
        <v>1</v>
      </c>
    </row>
    <row r="13460" customFormat="false" ht="15" hidden="false" customHeight="false" outlineLevel="0" collapsed="false">
      <c r="A13460" s="3" t="s">
        <v>557</v>
      </c>
      <c r="C13460" s="16" t="n">
        <f aca="false">IF(C13438&gt;0,C13416-C13449,0)</f>
        <v>0</v>
      </c>
      <c r="G13460" s="21" t="n">
        <f aca="false">IF(AND(G13163=1,G13147=1),1,0)</f>
        <v>0</v>
      </c>
      <c r="H13460" s="21" t="n">
        <f aca="false">IF(G13460=1,1,IF(AND(H13163=1,H13147=1),1,0))</f>
        <v>0</v>
      </c>
      <c r="I13460" s="21" t="n">
        <f aca="false">IF(H13460=1,1,IF(AND(I13163=1,I13147=1),1,0))</f>
        <v>0</v>
      </c>
      <c r="J13460" s="21" t="n">
        <f aca="false">IF(I13460=1,1,IF(AND(J13163=1,J13147=1),1,0))</f>
        <v>0</v>
      </c>
      <c r="K13460" s="21" t="n">
        <f aca="false">IF(J13460=1,1,IF(AND(K13163=1,K13147=1),1,0))</f>
        <v>0</v>
      </c>
    </row>
    <row r="13461" customFormat="false" ht="15" hidden="false" customHeight="false" outlineLevel="0" collapsed="false">
      <c r="A13461" s="3" t="s">
        <v>558</v>
      </c>
      <c r="C13461" s="16" t="n">
        <f aca="false">IF(C13439&gt;0,C13417-C13450,0)</f>
        <v>0</v>
      </c>
      <c r="G13461" s="21" t="n">
        <f aca="false">IF(AND(G13176=1,G13147=1),1,0)</f>
        <v>0</v>
      </c>
      <c r="H13461" s="21" t="n">
        <f aca="false">IF(G13461=1,1,IF(AND(H13176=1,H13147=1),1,0))</f>
        <v>0</v>
      </c>
      <c r="I13461" s="21" t="n">
        <f aca="false">IF(H13461=1,1,IF(AND(I13176=1,I13147=1),1,0))</f>
        <v>0</v>
      </c>
      <c r="J13461" s="21" t="n">
        <f aca="false">IF(I13461=1,1,IF(AND(J13176=1,J13147=1),1,0))</f>
        <v>0</v>
      </c>
      <c r="K13461" s="21" t="n">
        <f aca="false">IF(J13461=1,1,IF(AND(K13176=1,K13147=1),1,0))</f>
        <v>0</v>
      </c>
    </row>
    <row r="13462" customFormat="false" ht="15" hidden="false" customHeight="false" outlineLevel="0" collapsed="false">
      <c r="A13462" s="3" t="s">
        <v>559</v>
      </c>
      <c r="C13462" s="16" t="n">
        <f aca="false">IF(C13440&gt;0,C13418-C13451,0)</f>
        <v>0</v>
      </c>
      <c r="G13462" s="21" t="n">
        <f aca="false">IF(AND(G13189=1,G13147=1),1,0)</f>
        <v>1</v>
      </c>
      <c r="H13462" s="21" t="n">
        <f aca="false">IF(G13462=1,1,IF(AND(H13189=1,H13147=1),1,0))</f>
        <v>1</v>
      </c>
      <c r="I13462" s="21" t="n">
        <f aca="false">IF(H13462=1,1,IF(AND(I13189=1,I13147=1),1,0))</f>
        <v>1</v>
      </c>
      <c r="J13462" s="21" t="n">
        <f aca="false">IF(I13462=1,1,IF(AND(J13189=1,J13147=1),1,0))</f>
        <v>1</v>
      </c>
      <c r="K13462" s="21" t="n">
        <f aca="false">IF(J13462=1,1,IF(AND(K13189=1,K13147=1),1,0))</f>
        <v>1</v>
      </c>
    </row>
    <row r="13463" customFormat="false" ht="15" hidden="false" customHeight="false" outlineLevel="0" collapsed="false">
      <c r="A13463" s="3" t="s">
        <v>560</v>
      </c>
      <c r="C13463" s="16" t="n">
        <f aca="false">IF(C13441&gt;0,C13419-C13452,0)</f>
        <v>0</v>
      </c>
      <c r="G13463" s="21" t="n">
        <f aca="false">IF(AND(G13202=1,G13147=1),1,0)</f>
        <v>0</v>
      </c>
      <c r="H13463" s="21" t="n">
        <f aca="false">IF(G13463=1,1,IF(AND(H13202=1,H13147=1),1,0))</f>
        <v>1</v>
      </c>
      <c r="I13463" s="21" t="n">
        <f aca="false">IF(H13463=1,1,IF(AND(I13202=1,I13147=1),1,0))</f>
        <v>1</v>
      </c>
      <c r="J13463" s="21" t="n">
        <f aca="false">IF(I13463=1,1,IF(AND(J13202=1,J13147=1),1,0))</f>
        <v>1</v>
      </c>
      <c r="K13463" s="21" t="n">
        <f aca="false">IF(J13463=1,1,IF(AND(K13202=1,K13147=1),1,0))</f>
        <v>1</v>
      </c>
    </row>
    <row r="13464" customFormat="false" ht="15" hidden="false" customHeight="false" outlineLevel="0" collapsed="false">
      <c r="A13464" s="3" t="s">
        <v>561</v>
      </c>
      <c r="C13464" s="16" t="n">
        <f aca="false">IF(C13442&gt;0,C13420-C13453,0)</f>
        <v>0</v>
      </c>
      <c r="G13464" s="21" t="n">
        <f aca="false">IF(AND(G13215=1,G13147=1),1,0)</f>
        <v>0</v>
      </c>
      <c r="H13464" s="21" t="n">
        <f aca="false">IF(G13464=1,1,IF(AND(H13215=1,H13147=1),1,0))</f>
        <v>1</v>
      </c>
      <c r="I13464" s="21" t="n">
        <f aca="false">IF(H13464=1,1,IF(AND(I13215=1,I13147=1),1,0))</f>
        <v>1</v>
      </c>
      <c r="J13464" s="21" t="n">
        <f aca="false">IF(I13464=1,1,IF(AND(J13215=1,J13147=1),1,0))</f>
        <v>1</v>
      </c>
      <c r="K13464" s="21" t="n">
        <f aca="false">IF(J13464=1,1,IF(AND(K13215=1,K13147=1),1,0))</f>
        <v>1</v>
      </c>
    </row>
    <row r="13465" customFormat="false" ht="15" hidden="false" customHeight="false" outlineLevel="0" collapsed="false">
      <c r="A13465" s="3" t="s">
        <v>562</v>
      </c>
      <c r="C13465" s="16" t="n">
        <f aca="false">IF(C13443&gt;0,C13421-C13454,0)</f>
        <v>0</v>
      </c>
      <c r="G13465" s="21" t="n">
        <f aca="false">IF(AND(G13228=1,G13147=1),1,0)</f>
        <v>0</v>
      </c>
      <c r="H13465" s="21" t="n">
        <f aca="false">IF(G13465=1,1,IF(AND(H13228=1,H13147=1),1,0))</f>
        <v>0</v>
      </c>
      <c r="I13465" s="21" t="n">
        <f aca="false">IF(H13465=1,1,IF(AND(I13228=1,I13147=1),1,0))</f>
        <v>1</v>
      </c>
      <c r="J13465" s="21" t="n">
        <f aca="false">IF(I13465=1,1,IF(AND(J13228=1,J13147=1),1,0))</f>
        <v>1</v>
      </c>
      <c r="K13465" s="21" t="n">
        <f aca="false">IF(J13465=1,1,IF(AND(K13228=1,K13147=1),1,0))</f>
        <v>1</v>
      </c>
    </row>
    <row r="13466" customFormat="false" ht="15" hidden="false" customHeight="false" outlineLevel="0" collapsed="false">
      <c r="A13466" s="3" t="s">
        <v>563</v>
      </c>
      <c r="C13466" s="16" t="n">
        <f aca="false">IF(C13444&gt;0,C13422-C13455,0)</f>
        <v>0</v>
      </c>
      <c r="G13466" s="21" t="n">
        <f aca="false">IF(AND(G13241=1,G13147=1),1,0)</f>
        <v>0</v>
      </c>
      <c r="H13466" s="21" t="n">
        <f aca="false">IF(G13466=1,1,IF(AND(H13241=1,H13147=1),1,0))</f>
        <v>0</v>
      </c>
      <c r="I13466" s="21" t="n">
        <f aca="false">IF(H13466=1,1,IF(AND(I13241=1,I13147=1),1,0))</f>
        <v>0</v>
      </c>
      <c r="J13466" s="21" t="n">
        <f aca="false">IF(I13466=1,1,IF(AND(J13241=1,J13147=1),1,0))</f>
        <v>1</v>
      </c>
      <c r="K13466" s="21" t="n">
        <f aca="false">IF(J13466=1,1,IF(AND(K13241=1,K13147=1),1,0))</f>
        <v>1</v>
      </c>
    </row>
    <row r="13467" customFormat="false" ht="15" hidden="false" customHeight="false" outlineLevel="0" collapsed="false">
      <c r="A13467" s="3" t="s">
        <v>564</v>
      </c>
      <c r="C13467" s="16" t="n">
        <f aca="false">IF(C13445&gt;0,C13423-C13456,0)</f>
        <v>0</v>
      </c>
      <c r="G13467" s="21" t="n">
        <f aca="false">IF(AND(G13254=1,G13147=1),1,0)</f>
        <v>0</v>
      </c>
      <c r="H13467" s="21" t="n">
        <f aca="false">IF(G13467=1,1,IF(AND(H13254=1,H13147=1),1,0))</f>
        <v>0</v>
      </c>
      <c r="I13467" s="21" t="n">
        <f aca="false">IF(H13467=1,1,IF(AND(I13254=1,I13147=1),1,0))</f>
        <v>0</v>
      </c>
      <c r="J13467" s="21" t="n">
        <f aca="false">IF(I13467=1,1,IF(AND(J13254=1,J13147=1),1,0))</f>
        <v>0</v>
      </c>
      <c r="K13467" s="21" t="n">
        <f aca="false">IF(J13467=1,1,IF(AND(K13254=1,K13147=1),1,0))</f>
        <v>1</v>
      </c>
    </row>
    <row r="13468" customFormat="false" ht="15" hidden="false" customHeight="false" outlineLevel="0" collapsed="false">
      <c r="A13468" s="3" t="s">
        <v>565</v>
      </c>
      <c r="C13468" s="16" t="n">
        <f aca="false">IF(C13446&gt;0,C13424-C13457,0)</f>
        <v>0</v>
      </c>
      <c r="G13468" s="21" t="n">
        <f aca="false">IF(AND(G13267=1,G13147=1),1,0)</f>
        <v>0</v>
      </c>
      <c r="H13468" s="21" t="n">
        <f aca="false">IF(G13468=1,1,IF(AND(H13267=1,H13147=1),1,0))</f>
        <v>0</v>
      </c>
      <c r="I13468" s="21" t="n">
        <f aca="false">IF(H13468=1,1,IF(AND(I13267=1,I13147=1),1,0))</f>
        <v>0</v>
      </c>
      <c r="J13468" s="21" t="n">
        <f aca="false">IF(I13468=1,1,IF(AND(J13267=1,J13147=1),1,0))</f>
        <v>0</v>
      </c>
      <c r="K13468" s="21" t="n">
        <f aca="false">IF(J13468=1,1,IF(AND(K13267=1,K13147=1),1,0))</f>
        <v>0</v>
      </c>
    </row>
    <row r="13469" customFormat="false" ht="15" hidden="false" customHeight="false" outlineLevel="0" collapsed="false">
      <c r="A13469" s="24" t="s">
        <v>570</v>
      </c>
      <c r="B13469" s="25"/>
      <c r="C13469" s="25"/>
      <c r="D13469" s="25"/>
      <c r="E13469" s="25"/>
      <c r="F13469" s="25"/>
      <c r="G13469" s="25"/>
      <c r="H13469" s="25"/>
      <c r="I13469" s="25"/>
      <c r="J13469" s="25"/>
      <c r="K13469" s="25"/>
    </row>
    <row r="13470" customFormat="false" ht="15" hidden="false" customHeight="false" outlineLevel="0" collapsed="false">
      <c r="A13470" s="3" t="s">
        <v>556</v>
      </c>
      <c r="C13470" s="16" t="n">
        <f aca="false">IF(C13437&gt;0,C13459,C13415)</f>
        <v>0</v>
      </c>
    </row>
    <row r="13471" customFormat="false" ht="15" hidden="false" customHeight="false" outlineLevel="0" collapsed="false">
      <c r="A13471" s="3" t="s">
        <v>557</v>
      </c>
      <c r="C13471" s="16" t="n">
        <f aca="false">IF(C13438&gt;0,C13460,C13416)</f>
        <v>0</v>
      </c>
    </row>
    <row r="13472" customFormat="false" ht="15" hidden="false" customHeight="false" outlineLevel="0" collapsed="false">
      <c r="A13472" s="3" t="s">
        <v>558</v>
      </c>
      <c r="C13472" s="16" t="n">
        <f aca="false">IF(C13439&gt;0,C13461,C13417)</f>
        <v>0</v>
      </c>
    </row>
    <row r="13473" customFormat="false" ht="15" hidden="false" customHeight="false" outlineLevel="0" collapsed="false">
      <c r="A13473" s="3" t="s">
        <v>559</v>
      </c>
      <c r="C13473" s="16" t="n">
        <f aca="false">IF(C13440&gt;0,C13462,C13418)</f>
        <v>0</v>
      </c>
    </row>
    <row r="13474" customFormat="false" ht="15" hidden="false" customHeight="false" outlineLevel="0" collapsed="false">
      <c r="A13474" s="3" t="s">
        <v>560</v>
      </c>
      <c r="C13474" s="16" t="n">
        <f aca="false">IF(C13441&gt;0,C13463,C13419)</f>
        <v>454.44375</v>
      </c>
    </row>
    <row r="13475" customFormat="false" ht="15" hidden="false" customHeight="false" outlineLevel="0" collapsed="false">
      <c r="A13475" s="3" t="s">
        <v>561</v>
      </c>
      <c r="C13475" s="16" t="n">
        <f aca="false">IF(C13442&gt;0,C13464,C13420)</f>
        <v>357.2625</v>
      </c>
    </row>
    <row r="13476" customFormat="false" ht="15" hidden="false" customHeight="false" outlineLevel="0" collapsed="false">
      <c r="A13476" s="3" t="s">
        <v>562</v>
      </c>
      <c r="C13476" s="16" t="n">
        <f aca="false">IF(C13443&gt;0,C13465,C13421)</f>
        <v>562.203125</v>
      </c>
    </row>
    <row r="13477" customFormat="false" ht="15" hidden="false" customHeight="false" outlineLevel="0" collapsed="false">
      <c r="A13477" s="3" t="s">
        <v>563</v>
      </c>
      <c r="C13477" s="16" t="n">
        <f aca="false">IF(C13444&gt;0,C13466,C13422)</f>
        <v>353.98125</v>
      </c>
    </row>
    <row r="13478" customFormat="false" ht="15" hidden="false" customHeight="false" outlineLevel="0" collapsed="false">
      <c r="A13478" s="3" t="s">
        <v>564</v>
      </c>
      <c r="C13478" s="16" t="n">
        <f aca="false">IF(C13445&gt;0,C13467,C13423)</f>
        <v>304.59375</v>
      </c>
    </row>
    <row r="13479" customFormat="false" ht="15" hidden="false" customHeight="false" outlineLevel="0" collapsed="false">
      <c r="A13479" s="3" t="s">
        <v>565</v>
      </c>
      <c r="C13479" s="16" t="n">
        <f aca="false">IF(C13446&gt;0,C13468,C13424)</f>
        <v>79.67320025</v>
      </c>
    </row>
    <row r="13480" customFormat="false" ht="15" hidden="false" customHeight="false" outlineLevel="0" collapsed="false">
      <c r="A13480" s="24" t="s">
        <v>571</v>
      </c>
      <c r="B13480" s="25"/>
      <c r="C13480" s="25"/>
      <c r="D13480" s="25"/>
      <c r="E13480" s="25"/>
      <c r="F13480" s="25"/>
      <c r="G13480" s="25"/>
      <c r="H13480" s="25"/>
      <c r="I13480" s="25"/>
      <c r="J13480" s="25"/>
      <c r="K13480" s="25"/>
    </row>
    <row r="13481" customFormat="false" ht="15" hidden="false" customHeight="false" outlineLevel="0" collapsed="false">
      <c r="A13481" s="3" t="s">
        <v>556</v>
      </c>
      <c r="C13481" s="21" t="n">
        <f aca="false">IF(C13437&gt;0,Assumptions!$C$17,C13426)</f>
        <v>99</v>
      </c>
    </row>
    <row r="13482" customFormat="false" ht="15" hidden="false" customHeight="false" outlineLevel="0" collapsed="false">
      <c r="A13482" s="3" t="s">
        <v>557</v>
      </c>
      <c r="C13482" s="21" t="n">
        <f aca="false">IF(C13438&gt;0,Assumptions!$C$17,C13427)</f>
        <v>99</v>
      </c>
    </row>
    <row r="13483" customFormat="false" ht="15" hidden="false" customHeight="false" outlineLevel="0" collapsed="false">
      <c r="A13483" s="3" t="s">
        <v>558</v>
      </c>
      <c r="C13483" s="21" t="n">
        <f aca="false">IF(C13439&gt;0,Assumptions!$C$17,C13428)</f>
        <v>99</v>
      </c>
    </row>
    <row r="13484" customFormat="false" ht="15" hidden="false" customHeight="false" outlineLevel="0" collapsed="false">
      <c r="A13484" s="3" t="s">
        <v>559</v>
      </c>
      <c r="C13484" s="21" t="n">
        <f aca="false">IF(C13440&gt;0,Assumptions!$C$17,C13429)</f>
        <v>2</v>
      </c>
    </row>
    <row r="13485" customFormat="false" ht="15" hidden="false" customHeight="false" outlineLevel="0" collapsed="false">
      <c r="A13485" s="3" t="s">
        <v>560</v>
      </c>
      <c r="C13485" s="21" t="n">
        <f aca="false">IF(C13441&gt;0,Assumptions!$C$17,C13430)</f>
        <v>2</v>
      </c>
    </row>
    <row r="13486" customFormat="false" ht="15" hidden="false" customHeight="false" outlineLevel="0" collapsed="false">
      <c r="A13486" s="3" t="s">
        <v>561</v>
      </c>
      <c r="C13486" s="21" t="n">
        <f aca="false">IF(C13442&gt;0,Assumptions!$C$17,C13431)</f>
        <v>2</v>
      </c>
    </row>
    <row r="13487" customFormat="false" ht="15" hidden="false" customHeight="false" outlineLevel="0" collapsed="false">
      <c r="A13487" s="3" t="s">
        <v>562</v>
      </c>
      <c r="C13487" s="21" t="n">
        <f aca="false">IF(C13443&gt;0,Assumptions!$C$17,C13432)</f>
        <v>2</v>
      </c>
    </row>
    <row r="13488" customFormat="false" ht="15" hidden="false" customHeight="false" outlineLevel="0" collapsed="false">
      <c r="A13488" s="3" t="s">
        <v>563</v>
      </c>
      <c r="C13488" s="21" t="n">
        <f aca="false">IF(C13444&gt;0,Assumptions!$C$17,C13433)</f>
        <v>2</v>
      </c>
    </row>
    <row r="13489" customFormat="false" ht="15" hidden="false" customHeight="false" outlineLevel="0" collapsed="false">
      <c r="A13489" s="3" t="s">
        <v>564</v>
      </c>
      <c r="C13489" s="21" t="n">
        <f aca="false">IF(C13445&gt;0,Assumptions!$C$17,C13434)</f>
        <v>2</v>
      </c>
    </row>
    <row r="13490" customFormat="false" ht="15" hidden="false" customHeight="false" outlineLevel="0" collapsed="false">
      <c r="A13490" s="3" t="s">
        <v>565</v>
      </c>
      <c r="C13490" s="21" t="n">
        <f aca="false">IF(C13446&gt;0,Assumptions!$C$17,C13435)</f>
        <v>3</v>
      </c>
    </row>
    <row r="13491" customFormat="false" ht="15" hidden="false" customHeight="false" outlineLevel="0" collapsed="false">
      <c r="A13491" s="24" t="s">
        <v>572</v>
      </c>
      <c r="B13491" s="25"/>
      <c r="C13491" s="25"/>
      <c r="D13491" s="25"/>
      <c r="E13491" s="25"/>
      <c r="F13491" s="25"/>
      <c r="G13491" s="25"/>
      <c r="H13491" s="25"/>
      <c r="I13491" s="25"/>
      <c r="J13491" s="25"/>
      <c r="K13491" s="25"/>
    </row>
    <row r="13492" customFormat="false" ht="15" hidden="false" customHeight="false" outlineLevel="0" collapsed="false">
      <c r="A13492" s="3" t="s">
        <v>556</v>
      </c>
      <c r="C13492" s="16" t="n">
        <f aca="false">SUMPRODUCT(($C$13481:$C$13490&lt;C13481)*$C$13470:$C$13479)</f>
        <v>2112.15757525</v>
      </c>
    </row>
    <row r="13493" customFormat="false" ht="15" hidden="false" customHeight="false" outlineLevel="0" collapsed="false">
      <c r="A13493" s="3" t="s">
        <v>557</v>
      </c>
      <c r="C13493" s="16" t="n">
        <f aca="false">SUMPRODUCT(($C$13481:$C$13490&lt;C13482)*$C$13470:$C$13479)</f>
        <v>2112.15757525</v>
      </c>
    </row>
    <row r="13494" customFormat="false" ht="15" hidden="false" customHeight="false" outlineLevel="0" collapsed="false">
      <c r="A13494" s="3" t="s">
        <v>558</v>
      </c>
      <c r="C13494" s="16" t="n">
        <f aca="false">SUMPRODUCT(($C$13481:$C$13490&lt;C13483)*$C$13470:$C$13479)</f>
        <v>2112.15757525</v>
      </c>
    </row>
    <row r="13495" customFormat="false" ht="15" hidden="false" customHeight="false" outlineLevel="0" collapsed="false">
      <c r="A13495" s="3" t="s">
        <v>559</v>
      </c>
      <c r="C13495" s="16" t="n">
        <f aca="false">SUMPRODUCT(($C$13481:$C$13490&lt;C13484)*$C$13470:$C$13479)</f>
        <v>0</v>
      </c>
    </row>
    <row r="13496" customFormat="false" ht="15" hidden="false" customHeight="false" outlineLevel="0" collapsed="false">
      <c r="A13496" s="3" t="s">
        <v>560</v>
      </c>
      <c r="C13496" s="16" t="n">
        <f aca="false">SUMPRODUCT(($C$13481:$C$13490&lt;C13485)*$C$13470:$C$13479)</f>
        <v>0</v>
      </c>
    </row>
    <row r="13497" customFormat="false" ht="15" hidden="false" customHeight="false" outlineLevel="0" collapsed="false">
      <c r="A13497" s="3" t="s">
        <v>561</v>
      </c>
      <c r="C13497" s="16" t="n">
        <f aca="false">SUMPRODUCT(($C$13481:$C$13490&lt;C13486)*$C$13470:$C$13479)</f>
        <v>0</v>
      </c>
    </row>
    <row r="13498" customFormat="false" ht="15" hidden="false" customHeight="false" outlineLevel="0" collapsed="false">
      <c r="A13498" s="3" t="s">
        <v>562</v>
      </c>
      <c r="C13498" s="16" t="n">
        <f aca="false">SUMPRODUCT(($C$13481:$C$13490&lt;C13487)*$C$13470:$C$13479)</f>
        <v>0</v>
      </c>
    </row>
    <row r="13499" customFormat="false" ht="15" hidden="false" customHeight="false" outlineLevel="0" collapsed="false">
      <c r="A13499" s="3" t="s">
        <v>563</v>
      </c>
      <c r="C13499" s="16" t="n">
        <f aca="false">SUMPRODUCT(($C$13481:$C$13490&lt;C13488)*$C$13470:$C$13479)</f>
        <v>0</v>
      </c>
    </row>
    <row r="13500" customFormat="false" ht="15" hidden="false" customHeight="false" outlineLevel="0" collapsed="false">
      <c r="A13500" s="3" t="s">
        <v>564</v>
      </c>
      <c r="C13500" s="16" t="n">
        <f aca="false">SUMPRODUCT(($C$13481:$C$13490&lt;C13489)*$C$13470:$C$13479)</f>
        <v>0</v>
      </c>
    </row>
    <row r="13501" customFormat="false" ht="15" hidden="false" customHeight="false" outlineLevel="0" collapsed="false">
      <c r="A13501" s="3" t="s">
        <v>565</v>
      </c>
      <c r="C13501" s="16" t="n">
        <f aca="false">SUMPRODUCT(($C$13481:$C$13490&lt;C13490)*$C$13470:$C$13479)</f>
        <v>2032.484375</v>
      </c>
    </row>
    <row r="13502" customFormat="false" ht="15" hidden="false" customHeight="false" outlineLevel="0" collapsed="false">
      <c r="A13502" s="24" t="s">
        <v>573</v>
      </c>
      <c r="B13502" s="25"/>
      <c r="C13502" s="25"/>
      <c r="D13502" s="25"/>
      <c r="E13502" s="25"/>
      <c r="F13502" s="25"/>
      <c r="G13502" s="25"/>
      <c r="H13502" s="25"/>
      <c r="I13502" s="25"/>
      <c r="J13502" s="25"/>
      <c r="K13502" s="25"/>
    </row>
    <row r="13503" customFormat="false" ht="15" hidden="false" customHeight="false" outlineLevel="0" collapsed="false">
      <c r="A13503" s="3" t="s">
        <v>556</v>
      </c>
      <c r="C13503" s="16" t="n">
        <f aca="false">SUMPRODUCT(($C$13481:$C$13490=C13481)*$C$13470:$C$13479)</f>
        <v>0</v>
      </c>
    </row>
    <row r="13504" customFormat="false" ht="15" hidden="false" customHeight="false" outlineLevel="0" collapsed="false">
      <c r="A13504" s="3" t="s">
        <v>557</v>
      </c>
      <c r="C13504" s="16" t="n">
        <f aca="false">SUMPRODUCT(($C$13481:$C$13490=C13482)*$C$13470:$C$13479)</f>
        <v>0</v>
      </c>
    </row>
    <row r="13505" customFormat="false" ht="15" hidden="false" customHeight="false" outlineLevel="0" collapsed="false">
      <c r="A13505" s="3" t="s">
        <v>558</v>
      </c>
      <c r="C13505" s="16" t="n">
        <f aca="false">SUMPRODUCT(($C$13481:$C$13490=C13483)*$C$13470:$C$13479)</f>
        <v>0</v>
      </c>
    </row>
    <row r="13506" customFormat="false" ht="15" hidden="false" customHeight="false" outlineLevel="0" collapsed="false">
      <c r="A13506" s="3" t="s">
        <v>559</v>
      </c>
      <c r="C13506" s="16" t="n">
        <f aca="false">SUMPRODUCT(($C$13481:$C$13490=C13484)*$C$13470:$C$13479)</f>
        <v>2032.484375</v>
      </c>
    </row>
    <row r="13507" customFormat="false" ht="15" hidden="false" customHeight="false" outlineLevel="0" collapsed="false">
      <c r="A13507" s="3" t="s">
        <v>560</v>
      </c>
      <c r="C13507" s="16" t="n">
        <f aca="false">SUMPRODUCT(($C$13481:$C$13490=C13485)*$C$13470:$C$13479)</f>
        <v>2032.484375</v>
      </c>
    </row>
    <row r="13508" customFormat="false" ht="15" hidden="false" customHeight="false" outlineLevel="0" collapsed="false">
      <c r="A13508" s="3" t="s">
        <v>561</v>
      </c>
      <c r="C13508" s="16" t="n">
        <f aca="false">SUMPRODUCT(($C$13481:$C$13490=C13486)*$C$13470:$C$13479)</f>
        <v>2032.484375</v>
      </c>
    </row>
    <row r="13509" customFormat="false" ht="15" hidden="false" customHeight="false" outlineLevel="0" collapsed="false">
      <c r="A13509" s="3" t="s">
        <v>562</v>
      </c>
      <c r="C13509" s="16" t="n">
        <f aca="false">SUMPRODUCT(($C$13481:$C$13490=C13487)*$C$13470:$C$13479)</f>
        <v>2032.484375</v>
      </c>
    </row>
    <row r="13510" customFormat="false" ht="15" hidden="false" customHeight="false" outlineLevel="0" collapsed="false">
      <c r="A13510" s="3" t="s">
        <v>563</v>
      </c>
      <c r="C13510" s="16" t="n">
        <f aca="false">SUMPRODUCT(($C$13481:$C$13490=C13488)*$C$13470:$C$13479)</f>
        <v>2032.484375</v>
      </c>
    </row>
    <row r="13511" customFormat="false" ht="15" hidden="false" customHeight="false" outlineLevel="0" collapsed="false">
      <c r="A13511" s="3" t="s">
        <v>564</v>
      </c>
      <c r="C13511" s="16" t="n">
        <f aca="false">SUMPRODUCT(($C$13481:$C$13490=C13489)*$C$13470:$C$13479)</f>
        <v>2032.484375</v>
      </c>
    </row>
    <row r="13512" customFormat="false" ht="15" hidden="false" customHeight="false" outlineLevel="0" collapsed="false">
      <c r="A13512" s="3" t="s">
        <v>565</v>
      </c>
      <c r="C13512" s="16" t="n">
        <f aca="false">SUMPRODUCT(($C$13481:$C$13490=C13490)*$C$13470:$C$13479)</f>
        <v>79.67320025</v>
      </c>
    </row>
    <row r="13513" customFormat="false" ht="15" hidden="false" customHeight="false" outlineLevel="0" collapsed="false">
      <c r="A13513" s="24" t="s">
        <v>574</v>
      </c>
      <c r="B13513" s="25"/>
      <c r="C13513" s="25"/>
      <c r="D13513" s="25"/>
      <c r="E13513" s="25"/>
      <c r="F13513" s="25"/>
      <c r="G13513" s="25"/>
      <c r="H13513" s="25"/>
      <c r="I13513" s="25"/>
      <c r="J13513" s="25"/>
      <c r="K13513" s="25"/>
    </row>
    <row r="13514" customFormat="false" ht="15" hidden="false" customHeight="false" outlineLevel="0" collapsed="false">
      <c r="A13514" s="3" t="s">
        <v>556</v>
      </c>
      <c r="C13514" s="16" t="n">
        <f aca="false">IF(C13503=0,0,C13470/C13503*MAX(0,MIN(C13503,$C$13413-SUM($C$13448:$C$13457)-C13492)))</f>
        <v>0</v>
      </c>
    </row>
    <row r="13515" customFormat="false" ht="15" hidden="false" customHeight="false" outlineLevel="0" collapsed="false">
      <c r="A13515" s="3" t="s">
        <v>557</v>
      </c>
      <c r="C13515" s="16" t="n">
        <f aca="false">IF(C13504=0,0,C13471/C13504*MAX(0,MIN(C13504,$C$13413-SUM($C$13448:$C$13457)-C13493)))</f>
        <v>0</v>
      </c>
    </row>
    <row r="13516" customFormat="false" ht="15" hidden="false" customHeight="false" outlineLevel="0" collapsed="false">
      <c r="A13516" s="3" t="s">
        <v>558</v>
      </c>
      <c r="C13516" s="16" t="n">
        <f aca="false">IF(C13505=0,0,C13472/C13505*MAX(0,MIN(C13505,$C$13413-SUM($C$13448:$C$13457)-C13494)))</f>
        <v>0</v>
      </c>
    </row>
    <row r="13517" customFormat="false" ht="15" hidden="false" customHeight="false" outlineLevel="0" collapsed="false">
      <c r="A13517" s="3" t="s">
        <v>559</v>
      </c>
      <c r="C13517" s="16" t="n">
        <f aca="false">IF(C13506=0,0,C13473/C13506*MAX(0,MIN(C13506,$C$13413-SUM($C$13448:$C$13457)-C13495)))</f>
        <v>0</v>
      </c>
    </row>
    <row r="13518" customFormat="false" ht="15" hidden="false" customHeight="false" outlineLevel="0" collapsed="false">
      <c r="A13518" s="3" t="s">
        <v>560</v>
      </c>
      <c r="C13518" s="16" t="n">
        <f aca="false">IF(C13507=0,0,C13474/C13507*MAX(0,MIN(C13507,$C$13413-SUM($C$13448:$C$13457)-C13496)))</f>
        <v>454.44375</v>
      </c>
    </row>
    <row r="13519" customFormat="false" ht="15" hidden="false" customHeight="false" outlineLevel="0" collapsed="false">
      <c r="A13519" s="3" t="s">
        <v>561</v>
      </c>
      <c r="C13519" s="16" t="n">
        <f aca="false">IF(C13508=0,0,C13475/C13508*MAX(0,MIN(C13508,$C$13413-SUM($C$13448:$C$13457)-C13497)))</f>
        <v>357.2625</v>
      </c>
    </row>
    <row r="13520" customFormat="false" ht="15" hidden="false" customHeight="false" outlineLevel="0" collapsed="false">
      <c r="A13520" s="3" t="s">
        <v>562</v>
      </c>
      <c r="C13520" s="16" t="n">
        <f aca="false">IF(C13509=0,0,C13476/C13509*MAX(0,MIN(C13509,$C$13413-SUM($C$13448:$C$13457)-C13498)))</f>
        <v>562.203125</v>
      </c>
    </row>
    <row r="13521" customFormat="false" ht="15" hidden="false" customHeight="false" outlineLevel="0" collapsed="false">
      <c r="A13521" s="3" t="s">
        <v>563</v>
      </c>
      <c r="C13521" s="16" t="n">
        <f aca="false">IF(C13510=0,0,C13477/C13510*MAX(0,MIN(C13510,$C$13413-SUM($C$13448:$C$13457)-C13499)))</f>
        <v>353.98125</v>
      </c>
    </row>
    <row r="13522" customFormat="false" ht="15" hidden="false" customHeight="false" outlineLevel="0" collapsed="false">
      <c r="A13522" s="3" t="s">
        <v>564</v>
      </c>
      <c r="C13522" s="16" t="n">
        <f aca="false">IF(C13511=0,0,C13478/C13511*MAX(0,MIN(C13511,$C$13413-SUM($C$13448:$C$13457)-C13500)))</f>
        <v>304.59375</v>
      </c>
    </row>
    <row r="13523" customFormat="false" ht="15" hidden="false" customHeight="false" outlineLevel="0" collapsed="false">
      <c r="A13523" s="3" t="s">
        <v>565</v>
      </c>
      <c r="C13523" s="16" t="n">
        <f aca="false">IF(C13512=0,0,C13479/C13512*MAX(0,MIN(C13512,$C$13413-SUM($C$13448:$C$13457)-C13501)))</f>
        <v>79.67320025</v>
      </c>
    </row>
    <row r="13524" customFormat="false" ht="15" hidden="false" customHeight="false" outlineLevel="0" collapsed="false">
      <c r="A13524" s="24" t="s">
        <v>575</v>
      </c>
      <c r="B13524" s="25"/>
      <c r="C13524" s="25"/>
      <c r="D13524" s="25"/>
      <c r="E13524" s="25"/>
      <c r="F13524" s="25"/>
      <c r="G13524" s="25"/>
      <c r="H13524" s="25"/>
      <c r="I13524" s="25"/>
      <c r="J13524" s="25"/>
      <c r="K13524" s="25"/>
    </row>
    <row r="13525" customFormat="false" ht="15" hidden="false" customHeight="false" outlineLevel="0" collapsed="false">
      <c r="A13525" s="2" t="s">
        <v>556</v>
      </c>
      <c r="C13525" s="17" t="n">
        <f aca="false">C13448+C13514</f>
        <v>405.0585</v>
      </c>
    </row>
    <row r="13526" customFormat="false" ht="15" hidden="false" customHeight="false" outlineLevel="0" collapsed="false">
      <c r="A13526" s="2" t="s">
        <v>557</v>
      </c>
      <c r="C13526" s="17" t="n">
        <f aca="false">C13449+C13515</f>
        <v>91.30725</v>
      </c>
    </row>
    <row r="13527" customFormat="false" ht="15" hidden="false" customHeight="false" outlineLevel="0" collapsed="false">
      <c r="A13527" s="2" t="s">
        <v>558</v>
      </c>
      <c r="C13527" s="17" t="n">
        <f aca="false">C13450+C13516</f>
        <v>58.3715961</v>
      </c>
    </row>
    <row r="13528" customFormat="false" ht="15" hidden="false" customHeight="false" outlineLevel="0" collapsed="false">
      <c r="A13528" s="2" t="s">
        <v>559</v>
      </c>
      <c r="C13528" s="17" t="n">
        <f aca="false">C13451+C13517</f>
        <v>0</v>
      </c>
    </row>
    <row r="13529" customFormat="false" ht="15" hidden="false" customHeight="false" outlineLevel="0" collapsed="false">
      <c r="A13529" s="2" t="s">
        <v>560</v>
      </c>
      <c r="C13529" s="17" t="n">
        <f aca="false">C13452+C13518</f>
        <v>454.44375</v>
      </c>
    </row>
    <row r="13530" customFormat="false" ht="15" hidden="false" customHeight="false" outlineLevel="0" collapsed="false">
      <c r="A13530" s="2" t="s">
        <v>561</v>
      </c>
      <c r="C13530" s="17" t="n">
        <f aca="false">C13453+C13519</f>
        <v>357.2625</v>
      </c>
    </row>
    <row r="13531" customFormat="false" ht="15" hidden="false" customHeight="false" outlineLevel="0" collapsed="false">
      <c r="A13531" s="2" t="s">
        <v>562</v>
      </c>
      <c r="C13531" s="17" t="n">
        <f aca="false">C13454+C13520</f>
        <v>562.203125</v>
      </c>
    </row>
    <row r="13532" customFormat="false" ht="15" hidden="false" customHeight="false" outlineLevel="0" collapsed="false">
      <c r="A13532" s="2" t="s">
        <v>563</v>
      </c>
      <c r="C13532" s="17" t="n">
        <f aca="false">C13455+C13521</f>
        <v>353.98125</v>
      </c>
    </row>
    <row r="13533" customFormat="false" ht="15" hidden="false" customHeight="false" outlineLevel="0" collapsed="false">
      <c r="A13533" s="2" t="s">
        <v>564</v>
      </c>
      <c r="C13533" s="17" t="n">
        <f aca="false">C13456+C13522</f>
        <v>304.59375</v>
      </c>
    </row>
    <row r="13534" customFormat="false" ht="15" hidden="false" customHeight="false" outlineLevel="0" collapsed="false">
      <c r="A13534" s="2" t="s">
        <v>565</v>
      </c>
      <c r="C13534" s="17" t="n">
        <f aca="false">C13457+C13523</f>
        <v>79.67320025</v>
      </c>
    </row>
    <row r="13535" customFormat="false" ht="15" hidden="false" customHeight="false" outlineLevel="0" collapsed="false">
      <c r="A13535" s="24" t="s">
        <v>576</v>
      </c>
      <c r="B13535" s="25"/>
      <c r="C13535" s="25"/>
      <c r="D13535" s="25"/>
      <c r="E13535" s="25"/>
      <c r="F13535" s="25"/>
      <c r="G13535" s="25"/>
      <c r="H13535" s="25"/>
      <c r="I13535" s="25"/>
      <c r="J13535" s="25"/>
      <c r="K13535" s="25"/>
    </row>
    <row r="13536" customFormat="false" ht="15" hidden="false" customHeight="false" outlineLevel="0" collapsed="false">
      <c r="A13536" s="3" t="s">
        <v>556</v>
      </c>
      <c r="C13536" s="22" t="n">
        <f aca="false">IF(C13415=0,1,C13525/C13415)</f>
        <v>1</v>
      </c>
    </row>
    <row r="13537" customFormat="false" ht="15" hidden="false" customHeight="false" outlineLevel="0" collapsed="false">
      <c r="A13537" s="3" t="s">
        <v>557</v>
      </c>
      <c r="C13537" s="22" t="n">
        <f aca="false">IF(C13416=0,1,C13526/C13416)</f>
        <v>1</v>
      </c>
    </row>
    <row r="13538" customFormat="false" ht="15" hidden="false" customHeight="false" outlineLevel="0" collapsed="false">
      <c r="A13538" s="3" t="s">
        <v>558</v>
      </c>
      <c r="C13538" s="22" t="n">
        <f aca="false">IF(C13417=0,1,C13527/C13417)</f>
        <v>1</v>
      </c>
    </row>
    <row r="13539" customFormat="false" ht="15" hidden="false" customHeight="false" outlineLevel="0" collapsed="false">
      <c r="A13539" s="3" t="s">
        <v>559</v>
      </c>
      <c r="C13539" s="22" t="n">
        <f aca="false">IF(C13418=0,1,C13528/C13418)</f>
        <v>1</v>
      </c>
    </row>
    <row r="13540" customFormat="false" ht="15" hidden="false" customHeight="false" outlineLevel="0" collapsed="false">
      <c r="A13540" s="3" t="s">
        <v>560</v>
      </c>
      <c r="C13540" s="22" t="n">
        <f aca="false">IF(C13419=0,1,C13529/C13419)</f>
        <v>1</v>
      </c>
    </row>
    <row r="13541" customFormat="false" ht="15" hidden="false" customHeight="false" outlineLevel="0" collapsed="false">
      <c r="A13541" s="3" t="s">
        <v>561</v>
      </c>
      <c r="C13541" s="22" t="n">
        <f aca="false">IF(C13420=0,1,C13530/C13420)</f>
        <v>1</v>
      </c>
    </row>
    <row r="13542" customFormat="false" ht="15" hidden="false" customHeight="false" outlineLevel="0" collapsed="false">
      <c r="A13542" s="3" t="s">
        <v>562</v>
      </c>
      <c r="C13542" s="22" t="n">
        <f aca="false">IF(C13421=0,1,C13531/C13421)</f>
        <v>1</v>
      </c>
    </row>
    <row r="13543" customFormat="false" ht="15" hidden="false" customHeight="false" outlineLevel="0" collapsed="false">
      <c r="A13543" s="3" t="s">
        <v>563</v>
      </c>
      <c r="C13543" s="22" t="n">
        <f aca="false">IF(C13422=0,1,C13532/C13422)</f>
        <v>1</v>
      </c>
    </row>
    <row r="13544" customFormat="false" ht="15" hidden="false" customHeight="false" outlineLevel="0" collapsed="false">
      <c r="A13544" s="3" t="s">
        <v>564</v>
      </c>
      <c r="C13544" s="22" t="n">
        <f aca="false">IF(C13423=0,1,C13533/C13423)</f>
        <v>1</v>
      </c>
    </row>
    <row r="13545" customFormat="false" ht="15" hidden="false" customHeight="false" outlineLevel="0" collapsed="false">
      <c r="A13545" s="3" t="s">
        <v>565</v>
      </c>
      <c r="C13545" s="22" t="n">
        <f aca="false">IF(C13424=0,1,C13534/C13424)</f>
        <v>1</v>
      </c>
    </row>
    <row r="13546" customFormat="false" ht="15" hidden="false" customHeight="false" outlineLevel="0" collapsed="false">
      <c r="A13546" s="24" t="s">
        <v>577</v>
      </c>
      <c r="B13546" s="25"/>
      <c r="C13546" s="25"/>
      <c r="D13546" s="25"/>
      <c r="E13546" s="25"/>
      <c r="F13546" s="25"/>
      <c r="G13546" s="25"/>
      <c r="H13546" s="25"/>
      <c r="I13546" s="25"/>
      <c r="J13546" s="25"/>
      <c r="K13546" s="25"/>
    </row>
    <row r="13547" customFormat="false" ht="15" hidden="false" customHeight="false" outlineLevel="0" collapsed="false">
      <c r="A13547" s="3" t="s">
        <v>556</v>
      </c>
      <c r="C13547" s="16" t="n">
        <f aca="false">C13415-C13525</f>
        <v>0</v>
      </c>
    </row>
    <row r="13548" customFormat="false" ht="15" hidden="false" customHeight="false" outlineLevel="0" collapsed="false">
      <c r="A13548" s="3" t="s">
        <v>557</v>
      </c>
      <c r="C13548" s="16" t="n">
        <f aca="false">C13416-C13526</f>
        <v>0</v>
      </c>
    </row>
    <row r="13549" customFormat="false" ht="15" hidden="false" customHeight="false" outlineLevel="0" collapsed="false">
      <c r="A13549" s="3" t="s">
        <v>558</v>
      </c>
      <c r="C13549" s="16" t="n">
        <f aca="false">C13417-C13527</f>
        <v>0</v>
      </c>
    </row>
    <row r="13550" customFormat="false" ht="15" hidden="false" customHeight="false" outlineLevel="0" collapsed="false">
      <c r="A13550" s="3" t="s">
        <v>559</v>
      </c>
      <c r="C13550" s="16" t="n">
        <f aca="false">C13418-C13528</f>
        <v>0</v>
      </c>
    </row>
    <row r="13551" customFormat="false" ht="15" hidden="false" customHeight="false" outlineLevel="0" collapsed="false">
      <c r="A13551" s="3" t="s">
        <v>560</v>
      </c>
      <c r="C13551" s="16" t="n">
        <f aca="false">C13419-C13529</f>
        <v>0</v>
      </c>
    </row>
    <row r="13552" customFormat="false" ht="15" hidden="false" customHeight="false" outlineLevel="0" collapsed="false">
      <c r="A13552" s="3" t="s">
        <v>561</v>
      </c>
      <c r="C13552" s="16" t="n">
        <f aca="false">C13420-C13530</f>
        <v>0</v>
      </c>
    </row>
    <row r="13553" customFormat="false" ht="15" hidden="false" customHeight="false" outlineLevel="0" collapsed="false">
      <c r="A13553" s="3" t="s">
        <v>562</v>
      </c>
      <c r="C13553" s="16" t="n">
        <f aca="false">C13421-C13531</f>
        <v>0</v>
      </c>
    </row>
    <row r="13554" customFormat="false" ht="15" hidden="false" customHeight="false" outlineLevel="0" collapsed="false">
      <c r="A13554" s="3" t="s">
        <v>563</v>
      </c>
      <c r="C13554" s="16" t="n">
        <f aca="false">C13422-C13532</f>
        <v>0</v>
      </c>
    </row>
    <row r="13555" customFormat="false" ht="15" hidden="false" customHeight="false" outlineLevel="0" collapsed="false">
      <c r="A13555" s="3" t="s">
        <v>564</v>
      </c>
      <c r="C13555" s="16" t="n">
        <f aca="false">C13423-C13533</f>
        <v>0</v>
      </c>
    </row>
    <row r="13556" customFormat="false" ht="15" hidden="false" customHeight="false" outlineLevel="0" collapsed="false">
      <c r="A13556" s="3" t="s">
        <v>565</v>
      </c>
      <c r="C13556" s="16" t="n">
        <f aca="false">C13424-C13534</f>
        <v>0</v>
      </c>
    </row>
    <row r="13557" customFormat="false" ht="15" hidden="false" customHeight="false" outlineLevel="0" collapsed="false">
      <c r="A13557" s="24" t="s">
        <v>578</v>
      </c>
      <c r="B13557" s="25"/>
      <c r="C13557" s="25"/>
      <c r="D13557" s="25"/>
      <c r="E13557" s="25"/>
      <c r="F13557" s="25"/>
      <c r="G13557" s="25"/>
      <c r="H13557" s="25"/>
      <c r="I13557" s="25"/>
      <c r="J13557" s="25"/>
      <c r="K13557" s="25"/>
    </row>
    <row r="13558" customFormat="false" ht="15" hidden="false" customHeight="false" outlineLevel="0" collapsed="false">
      <c r="A13558" s="3" t="s">
        <v>556</v>
      </c>
      <c r="C13558" s="22" t="n">
        <f aca="false">IF(C13415=0,0,C13547/C13415)</f>
        <v>0</v>
      </c>
    </row>
    <row r="13559" customFormat="false" ht="15" hidden="false" customHeight="false" outlineLevel="0" collapsed="false">
      <c r="A13559" s="3" t="s">
        <v>557</v>
      </c>
      <c r="C13559" s="22" t="n">
        <f aca="false">IF(C13416=0,0,C13548/C13416)</f>
        <v>0</v>
      </c>
    </row>
    <row r="13560" customFormat="false" ht="15" hidden="false" customHeight="false" outlineLevel="0" collapsed="false">
      <c r="A13560" s="3" t="s">
        <v>558</v>
      </c>
      <c r="C13560" s="22" t="n">
        <f aca="false">IF(C13417=0,0,C13549/C13417)</f>
        <v>0</v>
      </c>
    </row>
    <row r="13561" customFormat="false" ht="15" hidden="false" customHeight="false" outlineLevel="0" collapsed="false">
      <c r="A13561" s="3" t="s">
        <v>559</v>
      </c>
      <c r="C13561" s="22" t="n">
        <f aca="false">IF(C13418=0,0,C13550/C13418)</f>
        <v>0</v>
      </c>
    </row>
    <row r="13562" customFormat="false" ht="15" hidden="false" customHeight="false" outlineLevel="0" collapsed="false">
      <c r="A13562" s="3" t="s">
        <v>560</v>
      </c>
      <c r="C13562" s="22" t="n">
        <f aca="false">IF(C13419=0,0,C13551/C13419)</f>
        <v>0</v>
      </c>
    </row>
    <row r="13563" customFormat="false" ht="15" hidden="false" customHeight="false" outlineLevel="0" collapsed="false">
      <c r="A13563" s="3" t="s">
        <v>561</v>
      </c>
      <c r="C13563" s="22" t="n">
        <f aca="false">IF(C13420=0,0,C13552/C13420)</f>
        <v>0</v>
      </c>
    </row>
    <row r="13564" customFormat="false" ht="15" hidden="false" customHeight="false" outlineLevel="0" collapsed="false">
      <c r="A13564" s="3" t="s">
        <v>562</v>
      </c>
      <c r="C13564" s="22" t="n">
        <f aca="false">IF(C13421=0,0,C13553/C13421)</f>
        <v>0</v>
      </c>
    </row>
    <row r="13565" customFormat="false" ht="15" hidden="false" customHeight="false" outlineLevel="0" collapsed="false">
      <c r="A13565" s="3" t="s">
        <v>563</v>
      </c>
      <c r="C13565" s="22" t="n">
        <f aca="false">IF(C13422=0,0,C13554/C13422)</f>
        <v>0</v>
      </c>
    </row>
    <row r="13566" customFormat="false" ht="15" hidden="false" customHeight="false" outlineLevel="0" collapsed="false">
      <c r="A13566" s="3" t="s">
        <v>564</v>
      </c>
      <c r="C13566" s="22" t="n">
        <f aca="false">IF(C13423=0,0,C13555/C13423)</f>
        <v>0</v>
      </c>
    </row>
    <row r="13567" customFormat="false" ht="15" hidden="false" customHeight="false" outlineLevel="0" collapsed="false">
      <c r="A13567" s="3" t="s">
        <v>565</v>
      </c>
      <c r="C13567" s="22" t="n">
        <f aca="false">IF(C13424=0,0,C13556/C13424)</f>
        <v>0</v>
      </c>
    </row>
    <row r="13568" customFormat="false" ht="15" hidden="false" customHeight="false" outlineLevel="0" collapsed="false">
      <c r="A13568" s="2" t="s">
        <v>579</v>
      </c>
      <c r="C13568" s="17" t="n">
        <f aca="false">MAX(0,$C$13413-SUM($C$13448:$C$13457)-SUM($C$13470:$C$13479))</f>
        <v>1163.864440506</v>
      </c>
    </row>
    <row r="13569" customFormat="false" ht="15" hidden="false" customHeight="false" outlineLevel="0" collapsed="false">
      <c r="A13569" s="3" t="s">
        <v>580</v>
      </c>
      <c r="C13569" s="16" t="n">
        <f aca="false">SUM($C$13525:$C$13534)+C13568+C13412-C13411</f>
        <v>0</v>
      </c>
    </row>
    <row r="13571" customFormat="false" ht="15" hidden="false" customHeight="false" outlineLevel="0" collapsed="false">
      <c r="A13571" s="24" t="s">
        <v>583</v>
      </c>
      <c r="B13571" s="25"/>
      <c r="C13571" s="25"/>
      <c r="D13571" s="25"/>
      <c r="E13571" s="25"/>
      <c r="F13571" s="25"/>
      <c r="G13571" s="25"/>
      <c r="H13571" s="25"/>
      <c r="I13571" s="25"/>
      <c r="J13571" s="25"/>
      <c r="K13571" s="25"/>
    </row>
    <row r="13572" customFormat="false" ht="15" hidden="false" customHeight="false" outlineLevel="0" collapsed="false">
      <c r="A13572" s="3" t="s">
        <v>584</v>
      </c>
      <c r="C13572" s="27" t="n">
        <f aca="false">Assumptions!$C$34</f>
        <v>1</v>
      </c>
    </row>
    <row r="13573" customFormat="false" ht="15" hidden="false" customHeight="false" outlineLevel="0" collapsed="false">
      <c r="A13573" s="3" t="s">
        <v>585</v>
      </c>
      <c r="C13573" s="29" t="n">
        <f aca="false">Assumptions!$C$35</f>
        <v>100</v>
      </c>
    </row>
    <row r="13574" customFormat="false" ht="15" hidden="false" customHeight="false" outlineLevel="0" collapsed="false">
      <c r="A13574" s="3" t="s">
        <v>586</v>
      </c>
      <c r="C13574" s="40" t="n">
        <f aca="false">Assumptions!$C$36</f>
        <v>98</v>
      </c>
    </row>
    <row r="13575" customFormat="false" ht="15" hidden="false" customHeight="false" outlineLevel="0" collapsed="false">
      <c r="A13575" s="3" t="s">
        <v>587</v>
      </c>
      <c r="C13575" s="16" t="n">
        <f aca="false">C13573*C13574/100*(1+Assumptions!$C$37)</f>
        <v>98.49</v>
      </c>
    </row>
    <row r="13576" customFormat="false" ht="15" hidden="false" customHeight="false" outlineLevel="0" collapsed="false">
      <c r="A13576" s="3" t="s">
        <v>588</v>
      </c>
      <c r="C13576" s="27" t="n">
        <f aca="false">Assumptions!$C$38</f>
        <v>3</v>
      </c>
    </row>
    <row r="13577" customFormat="false" ht="15" hidden="false" customHeight="false" outlineLevel="0" collapsed="false">
      <c r="A13577" s="3" t="s">
        <v>589</v>
      </c>
      <c r="C13577" s="21" t="n">
        <f aca="false">IF(C13404=1,SUMPRODUCT($G$13340:$K$13340,$G$13114:$K$13114),0)</f>
        <v>0</v>
      </c>
    </row>
    <row r="13578" customFormat="false" ht="15" hidden="false" customHeight="false" outlineLevel="0" collapsed="false">
      <c r="A13578" s="3" t="s">
        <v>590</v>
      </c>
      <c r="C13578" s="22" t="n">
        <f aca="false">IFERROR(C13573/CHOOSE(C13572,SUMPRODUCT($G$13403:$K$13403,$G$13160:$K$13160),SUMPRODUCT($G$13403:$K$13403,$G$13173:$K$13173),SUMPRODUCT($G$13403:$K$13403,$G$13186:$K$13186),SUMPRODUCT($G$13403:$K$13403,$G$13199:$K$13199),SUMPRODUCT($G$13403:$K$13403,$G$13212:$K$13212),SUMPRODUCT($G$13403:$K$13403,$G$13225:$K$13225),SUMPRODUCT($G$13403:$K$13403,$G$13238:$K$13238),SUMPRODUCT($G$13403:$K$13403,$G$13251:$K$13251),SUMPRODUCT($G$13403:$K$13403,$G$13264:$K$13264),SUMPRODUCT($G$13403:$K$13403,$G$13277:$K$13277)),0)</f>
        <v>0.252525252525253</v>
      </c>
    </row>
    <row r="13579" customFormat="false" ht="15" hidden="false" customHeight="false" outlineLevel="0" collapsed="false">
      <c r="A13579" s="3" t="s">
        <v>591</v>
      </c>
      <c r="C13579" s="16" t="n">
        <f aca="false">CHOOSE(C13572,C13525,C13526,C13527,C13528,C13529,C13530,C13531,C13532,C13533,C13534)*C13578</f>
        <v>102.2875</v>
      </c>
    </row>
    <row r="13580" customFormat="false" ht="15" hidden="false" customHeight="false" outlineLevel="0" collapsed="false">
      <c r="A13580" s="3" t="s">
        <v>592</v>
      </c>
      <c r="C13580" s="22" t="n">
        <f aca="false">CHOOSE(C13572,C13536,C13537,C13538,C13539,C13540,C13541,C13542,C13543,C13544,C13545)</f>
        <v>1</v>
      </c>
    </row>
    <row r="13581" customFormat="false" ht="15" hidden="false" customHeight="false" outlineLevel="0" collapsed="false">
      <c r="A13581" s="3" t="s">
        <v>593</v>
      </c>
      <c r="C13581" s="21" t="n">
        <f aca="false">IF(C13404=1,C13577,C13576)</f>
        <v>3</v>
      </c>
    </row>
    <row r="13582" customFormat="false" ht="15" hidden="false" customHeight="false" outlineLevel="0" collapsed="false">
      <c r="A13582" s="3" t="s">
        <v>594</v>
      </c>
      <c r="C13582" s="35" t="n">
        <f aca="false">CHOOSE($C$13106,Assumptions!$C$91,Assumptions!$C$110,Assumptions!$C$129)</f>
        <v>100</v>
      </c>
    </row>
    <row r="13583" customFormat="false" ht="15" hidden="false" customHeight="false" outlineLevel="0" collapsed="false">
      <c r="A13583" s="3" t="s">
        <v>595</v>
      </c>
      <c r="C13583" s="16" t="n">
        <f aca="false">INDEX($G$13123:$K$13123,C13576)*CHOOSE($C$13106,Assumptions!$C$90,Assumptions!$C$109,Assumptions!$C$128)+MAX(0,INDEX($G$13337:$K$13337,C13576))</f>
        <v>3369.2242946436</v>
      </c>
    </row>
    <row r="13584" customFormat="false" ht="15" hidden="false" customHeight="false" outlineLevel="0" collapsed="false">
      <c r="A13584" s="24" t="s">
        <v>596</v>
      </c>
      <c r="B13584" s="25"/>
      <c r="C13584" s="25"/>
      <c r="D13584" s="25"/>
      <c r="E13584" s="25"/>
      <c r="F13584" s="25"/>
      <c r="G13584" s="25"/>
      <c r="H13584" s="25"/>
      <c r="I13584" s="25"/>
      <c r="J13584" s="25"/>
      <c r="K13584" s="25"/>
    </row>
    <row r="13585" customFormat="false" ht="15" hidden="false" customHeight="false" outlineLevel="0" collapsed="false">
      <c r="A13585" s="3" t="s">
        <v>556</v>
      </c>
      <c r="C13585" s="16" t="n">
        <f aca="false">INDEX($G$13160:$K$13160,C13576)</f>
        <v>388</v>
      </c>
    </row>
    <row r="13586" customFormat="false" ht="15" hidden="false" customHeight="false" outlineLevel="0" collapsed="false">
      <c r="A13586" s="3" t="s">
        <v>557</v>
      </c>
      <c r="C13586" s="16" t="n">
        <f aca="false">INDEX($G$13173:$K$13173,C13576)</f>
        <v>90</v>
      </c>
    </row>
    <row r="13587" customFormat="false" ht="15" hidden="false" customHeight="false" outlineLevel="0" collapsed="false">
      <c r="A13587" s="3" t="s">
        <v>558</v>
      </c>
      <c r="C13587" s="16" t="n">
        <f aca="false">INDEX($G$13186:$K$13186,C13576)</f>
        <v>57.324</v>
      </c>
    </row>
    <row r="13588" customFormat="false" ht="15" hidden="false" customHeight="false" outlineLevel="0" collapsed="false">
      <c r="A13588" s="3" t="s">
        <v>559</v>
      </c>
      <c r="C13588" s="16" t="n">
        <f aca="false">INDEX($G$13199:$K$13199,C13576)</f>
        <v>66.796942182056</v>
      </c>
    </row>
    <row r="13589" customFormat="false" ht="15" hidden="false" customHeight="false" outlineLevel="0" collapsed="false">
      <c r="A13589" s="3" t="s">
        <v>560</v>
      </c>
      <c r="C13589" s="16" t="n">
        <f aca="false">INDEX($G$13212:$K$13212,C13576)</f>
        <v>407.7221513738</v>
      </c>
    </row>
    <row r="13590" customFormat="false" ht="15" hidden="false" customHeight="false" outlineLevel="0" collapsed="false">
      <c r="A13590" s="3" t="s">
        <v>561</v>
      </c>
      <c r="C13590" s="16" t="n">
        <f aca="false">INDEX($G$13225:$K$13225,C13576)</f>
        <v>350</v>
      </c>
    </row>
    <row r="13591" customFormat="false" ht="15" hidden="false" customHeight="false" outlineLevel="0" collapsed="false">
      <c r="A13591" s="3" t="s">
        <v>562</v>
      </c>
      <c r="C13591" s="16" t="n">
        <f aca="false">INDEX($G$13238:$K$13238,C13576)</f>
        <v>550</v>
      </c>
    </row>
    <row r="13592" customFormat="false" ht="15" hidden="false" customHeight="false" outlineLevel="0" collapsed="false">
      <c r="A13592" s="3" t="s">
        <v>563</v>
      </c>
      <c r="C13592" s="16" t="n">
        <f aca="false">INDEX($G$13251:$K$13251,C13576)</f>
        <v>350</v>
      </c>
    </row>
    <row r="13593" customFormat="false" ht="15" hidden="false" customHeight="false" outlineLevel="0" collapsed="false">
      <c r="A13593" s="3" t="s">
        <v>564</v>
      </c>
      <c r="C13593" s="16" t="n">
        <f aca="false">INDEX($G$13264:$K$13264,C13576)</f>
        <v>300</v>
      </c>
    </row>
    <row r="13594" customFormat="false" ht="15" hidden="false" customHeight="false" outlineLevel="0" collapsed="false">
      <c r="A13594" s="3" t="s">
        <v>565</v>
      </c>
      <c r="C13594" s="16" t="n">
        <f aca="false">INDEX($G$13277:$K$13277,C13576)</f>
        <v>78.61</v>
      </c>
    </row>
    <row r="13595" customFormat="false" ht="15" hidden="false" customHeight="false" outlineLevel="0" collapsed="false">
      <c r="A13595" s="24" t="s">
        <v>566</v>
      </c>
      <c r="B13595" s="25"/>
      <c r="C13595" s="25"/>
      <c r="D13595" s="25"/>
      <c r="E13595" s="25"/>
      <c r="F13595" s="25"/>
      <c r="G13595" s="25"/>
      <c r="H13595" s="25"/>
      <c r="I13595" s="25"/>
      <c r="J13595" s="25"/>
      <c r="K13595" s="25"/>
    </row>
    <row r="13596" customFormat="false" ht="15" hidden="false" customHeight="false" outlineLevel="0" collapsed="false">
      <c r="A13596" s="3" t="s">
        <v>556</v>
      </c>
      <c r="C13596" s="27" t="n">
        <f aca="false">Assumptions!$M$57</f>
        <v>1</v>
      </c>
    </row>
    <row r="13597" customFormat="false" ht="15" hidden="false" customHeight="false" outlineLevel="0" collapsed="false">
      <c r="A13597" s="3" t="s">
        <v>557</v>
      </c>
      <c r="C13597" s="27" t="n">
        <f aca="false">Assumptions!$M$58</f>
        <v>1</v>
      </c>
    </row>
    <row r="13598" customFormat="false" ht="15" hidden="false" customHeight="false" outlineLevel="0" collapsed="false">
      <c r="A13598" s="3" t="s">
        <v>558</v>
      </c>
      <c r="C13598" s="27" t="n">
        <f aca="false">Assumptions!$M$59</f>
        <v>1</v>
      </c>
    </row>
    <row r="13599" customFormat="false" ht="15" hidden="false" customHeight="false" outlineLevel="0" collapsed="false">
      <c r="A13599" s="3" t="s">
        <v>559</v>
      </c>
      <c r="C13599" s="27" t="n">
        <f aca="false">Assumptions!$M$60</f>
        <v>2</v>
      </c>
    </row>
    <row r="13600" customFormat="false" ht="15" hidden="false" customHeight="false" outlineLevel="0" collapsed="false">
      <c r="A13600" s="3" t="s">
        <v>560</v>
      </c>
      <c r="C13600" s="27" t="n">
        <f aca="false">Assumptions!$M$61</f>
        <v>2</v>
      </c>
    </row>
    <row r="13601" customFormat="false" ht="15" hidden="false" customHeight="false" outlineLevel="0" collapsed="false">
      <c r="A13601" s="3" t="s">
        <v>561</v>
      </c>
      <c r="C13601" s="27" t="n">
        <f aca="false">Assumptions!$M$62</f>
        <v>2</v>
      </c>
    </row>
    <row r="13602" customFormat="false" ht="15" hidden="false" customHeight="false" outlineLevel="0" collapsed="false">
      <c r="A13602" s="3" t="s">
        <v>562</v>
      </c>
      <c r="C13602" s="27" t="n">
        <f aca="false">Assumptions!$M$63</f>
        <v>2</v>
      </c>
    </row>
    <row r="13603" customFormat="false" ht="15" hidden="false" customHeight="false" outlineLevel="0" collapsed="false">
      <c r="A13603" s="3" t="s">
        <v>563</v>
      </c>
      <c r="C13603" s="27" t="n">
        <f aca="false">Assumptions!$M$64</f>
        <v>2</v>
      </c>
    </row>
    <row r="13604" customFormat="false" ht="15" hidden="false" customHeight="false" outlineLevel="0" collapsed="false">
      <c r="A13604" s="3" t="s">
        <v>564</v>
      </c>
      <c r="C13604" s="27" t="n">
        <f aca="false">Assumptions!$M$65</f>
        <v>2</v>
      </c>
    </row>
    <row r="13605" customFormat="false" ht="15" hidden="false" customHeight="false" outlineLevel="0" collapsed="false">
      <c r="A13605" s="3" t="s">
        <v>565</v>
      </c>
      <c r="C13605" s="27" t="n">
        <f aca="false">Assumptions!$M$66</f>
        <v>3</v>
      </c>
    </row>
    <row r="13606" customFormat="false" ht="15" hidden="false" customHeight="false" outlineLevel="0" collapsed="false">
      <c r="A13606" s="24" t="s">
        <v>567</v>
      </c>
      <c r="B13606" s="25"/>
      <c r="C13606" s="25"/>
      <c r="D13606" s="25"/>
      <c r="E13606" s="25"/>
      <c r="F13606" s="25"/>
      <c r="G13606" s="25"/>
      <c r="H13606" s="25"/>
      <c r="I13606" s="25"/>
      <c r="J13606" s="25"/>
      <c r="K13606" s="25"/>
    </row>
    <row r="13607" customFormat="false" ht="15" hidden="false" customHeight="false" outlineLevel="0" collapsed="false">
      <c r="A13607" s="3" t="s">
        <v>556</v>
      </c>
      <c r="C13607" s="33" t="n">
        <f aca="false">Assumptions!$Q$57</f>
        <v>0.3</v>
      </c>
    </row>
    <row r="13608" customFormat="false" ht="15" hidden="false" customHeight="false" outlineLevel="0" collapsed="false">
      <c r="A13608" s="3" t="s">
        <v>557</v>
      </c>
      <c r="C13608" s="33" t="n">
        <f aca="false">Assumptions!$Q$58</f>
        <v>0.033</v>
      </c>
    </row>
    <row r="13609" customFormat="false" ht="15" hidden="false" customHeight="false" outlineLevel="0" collapsed="false">
      <c r="A13609" s="3" t="s">
        <v>558</v>
      </c>
      <c r="C13609" s="33" t="n">
        <f aca="false">Assumptions!$Q$59</f>
        <v>0.021</v>
      </c>
    </row>
    <row r="13610" customFormat="false" ht="15" hidden="false" customHeight="false" outlineLevel="0" collapsed="false">
      <c r="A13610" s="3" t="s">
        <v>559</v>
      </c>
      <c r="C13610" s="33" t="n">
        <f aca="false">Assumptions!$Q$60</f>
        <v>0</v>
      </c>
    </row>
    <row r="13611" customFormat="false" ht="15" hidden="false" customHeight="false" outlineLevel="0" collapsed="false">
      <c r="A13611" s="3" t="s">
        <v>560</v>
      </c>
      <c r="C13611" s="33" t="n">
        <f aca="false">Assumptions!$Q$61</f>
        <v>0</v>
      </c>
    </row>
    <row r="13612" customFormat="false" ht="15" hidden="false" customHeight="false" outlineLevel="0" collapsed="false">
      <c r="A13612" s="3" t="s">
        <v>561</v>
      </c>
      <c r="C13612" s="33" t="n">
        <f aca="false">Assumptions!$Q$62</f>
        <v>0</v>
      </c>
    </row>
    <row r="13613" customFormat="false" ht="15" hidden="false" customHeight="false" outlineLevel="0" collapsed="false">
      <c r="A13613" s="3" t="s">
        <v>562</v>
      </c>
      <c r="C13613" s="33" t="n">
        <f aca="false">Assumptions!$Q$63</f>
        <v>0</v>
      </c>
    </row>
    <row r="13614" customFormat="false" ht="15" hidden="false" customHeight="false" outlineLevel="0" collapsed="false">
      <c r="A13614" s="3" t="s">
        <v>563</v>
      </c>
      <c r="C13614" s="33" t="n">
        <f aca="false">Assumptions!$Q$64</f>
        <v>0</v>
      </c>
    </row>
    <row r="13615" customFormat="false" ht="15" hidden="false" customHeight="false" outlineLevel="0" collapsed="false">
      <c r="A13615" s="3" t="s">
        <v>564</v>
      </c>
      <c r="C13615" s="33" t="n">
        <f aca="false">Assumptions!$Q$65</f>
        <v>0</v>
      </c>
    </row>
    <row r="13616" customFormat="false" ht="15" hidden="false" customHeight="false" outlineLevel="0" collapsed="false">
      <c r="A13616" s="3" t="s">
        <v>565</v>
      </c>
      <c r="C13616" s="33" t="n">
        <f aca="false">Assumptions!$Q$66</f>
        <v>0</v>
      </c>
    </row>
    <row r="13617" customFormat="false" ht="15" hidden="false" customHeight="false" outlineLevel="0" collapsed="false">
      <c r="A13617" s="24" t="s">
        <v>568</v>
      </c>
      <c r="B13617" s="25"/>
      <c r="C13617" s="25"/>
      <c r="D13617" s="25"/>
      <c r="E13617" s="25"/>
      <c r="F13617" s="25"/>
      <c r="G13617" s="25"/>
      <c r="H13617" s="25"/>
      <c r="I13617" s="25"/>
      <c r="J13617" s="25"/>
      <c r="K13617" s="25"/>
    </row>
    <row r="13618" customFormat="false" ht="15" hidden="false" customHeight="false" outlineLevel="0" collapsed="false">
      <c r="A13618" s="3" t="s">
        <v>556</v>
      </c>
      <c r="C13618" s="16" t="n">
        <f aca="false">IF(C13607&gt;0,MIN(C13585,C13607*$C$13583),0)</f>
        <v>388</v>
      </c>
    </row>
    <row r="13619" customFormat="false" ht="15" hidden="false" customHeight="false" outlineLevel="0" collapsed="false">
      <c r="A13619" s="3" t="s">
        <v>557</v>
      </c>
      <c r="C13619" s="16" t="n">
        <f aca="false">IF(C13608&gt;0,MIN(C13586,C13608*$C$13583),0)</f>
        <v>90</v>
      </c>
    </row>
    <row r="13620" customFormat="false" ht="15" hidden="false" customHeight="false" outlineLevel="0" collapsed="false">
      <c r="A13620" s="3" t="s">
        <v>558</v>
      </c>
      <c r="C13620" s="16" t="n">
        <f aca="false">IF(C13609&gt;0,MIN(C13587,C13609*$C$13583),0)</f>
        <v>57.324</v>
      </c>
    </row>
    <row r="13621" customFormat="false" ht="15" hidden="false" customHeight="false" outlineLevel="0" collapsed="false">
      <c r="A13621" s="3" t="s">
        <v>559</v>
      </c>
      <c r="C13621" s="16" t="n">
        <f aca="false">IF(C13610&gt;0,MIN(C13588,C13610*$C$13583),0)</f>
        <v>0</v>
      </c>
    </row>
    <row r="13622" customFormat="false" ht="15" hidden="false" customHeight="false" outlineLevel="0" collapsed="false">
      <c r="A13622" s="3" t="s">
        <v>560</v>
      </c>
      <c r="C13622" s="16" t="n">
        <f aca="false">IF(C13611&gt;0,MIN(C13589,C13611*$C$13583),0)</f>
        <v>0</v>
      </c>
    </row>
    <row r="13623" customFormat="false" ht="15" hidden="false" customHeight="false" outlineLevel="0" collapsed="false">
      <c r="A13623" s="3" t="s">
        <v>561</v>
      </c>
      <c r="C13623" s="16" t="n">
        <f aca="false">IF(C13612&gt;0,MIN(C13590,C13612*$C$13583),0)</f>
        <v>0</v>
      </c>
    </row>
    <row r="13624" customFormat="false" ht="15" hidden="false" customHeight="false" outlineLevel="0" collapsed="false">
      <c r="A13624" s="3" t="s">
        <v>562</v>
      </c>
      <c r="C13624" s="16" t="n">
        <f aca="false">IF(C13613&gt;0,MIN(C13591,C13613*$C$13583),0)</f>
        <v>0</v>
      </c>
    </row>
    <row r="13625" customFormat="false" ht="15" hidden="false" customHeight="false" outlineLevel="0" collapsed="false">
      <c r="A13625" s="3" t="s">
        <v>563</v>
      </c>
      <c r="C13625" s="16" t="n">
        <f aca="false">IF(C13614&gt;0,MIN(C13592,C13614*$C$13583),0)</f>
        <v>0</v>
      </c>
    </row>
    <row r="13626" customFormat="false" ht="15" hidden="false" customHeight="false" outlineLevel="0" collapsed="false">
      <c r="A13626" s="3" t="s">
        <v>564</v>
      </c>
      <c r="C13626" s="16" t="n">
        <f aca="false">IF(C13615&gt;0,MIN(C13593,C13615*$C$13583),0)</f>
        <v>0</v>
      </c>
    </row>
    <row r="13627" customFormat="false" ht="15" hidden="false" customHeight="false" outlineLevel="0" collapsed="false">
      <c r="A13627" s="3" t="s">
        <v>565</v>
      </c>
      <c r="C13627" s="16" t="n">
        <f aca="false">IF(C13616&gt;0,MIN(C13594,C13616*$C$13583),0)</f>
        <v>0</v>
      </c>
    </row>
    <row r="13628" customFormat="false" ht="15" hidden="false" customHeight="false" outlineLevel="0" collapsed="false">
      <c r="A13628" s="24" t="s">
        <v>569</v>
      </c>
      <c r="B13628" s="25"/>
      <c r="C13628" s="25"/>
      <c r="D13628" s="25"/>
      <c r="E13628" s="25"/>
      <c r="F13628" s="25"/>
      <c r="G13628" s="25"/>
      <c r="H13628" s="25"/>
      <c r="I13628" s="25"/>
      <c r="J13628" s="25"/>
      <c r="K13628" s="25"/>
    </row>
    <row r="13629" customFormat="false" ht="15" hidden="false" customHeight="false" outlineLevel="0" collapsed="false">
      <c r="A13629" s="3" t="s">
        <v>556</v>
      </c>
      <c r="C13629" s="16" t="n">
        <f aca="false">IF(C13607&gt;0,C13585-C13618,0)</f>
        <v>0</v>
      </c>
    </row>
    <row r="13630" customFormat="false" ht="15" hidden="false" customHeight="false" outlineLevel="0" collapsed="false">
      <c r="A13630" s="3" t="s">
        <v>557</v>
      </c>
      <c r="C13630" s="16" t="n">
        <f aca="false">IF(C13608&gt;0,C13586-C13619,0)</f>
        <v>0</v>
      </c>
    </row>
    <row r="13631" customFormat="false" ht="15" hidden="false" customHeight="false" outlineLevel="0" collapsed="false">
      <c r="A13631" s="3" t="s">
        <v>558</v>
      </c>
      <c r="C13631" s="16" t="n">
        <f aca="false">IF(C13609&gt;0,C13587-C13620,0)</f>
        <v>0</v>
      </c>
    </row>
    <row r="13632" customFormat="false" ht="15" hidden="false" customHeight="false" outlineLevel="0" collapsed="false">
      <c r="A13632" s="3" t="s">
        <v>559</v>
      </c>
      <c r="C13632" s="16" t="n">
        <f aca="false">IF(C13610&gt;0,C13588-C13621,0)</f>
        <v>0</v>
      </c>
    </row>
    <row r="13633" customFormat="false" ht="15" hidden="false" customHeight="false" outlineLevel="0" collapsed="false">
      <c r="A13633" s="3" t="s">
        <v>560</v>
      </c>
      <c r="C13633" s="16" t="n">
        <f aca="false">IF(C13611&gt;0,C13589-C13622,0)</f>
        <v>0</v>
      </c>
    </row>
    <row r="13634" customFormat="false" ht="15" hidden="false" customHeight="false" outlineLevel="0" collapsed="false">
      <c r="A13634" s="3" t="s">
        <v>561</v>
      </c>
      <c r="C13634" s="16" t="n">
        <f aca="false">IF(C13612&gt;0,C13590-C13623,0)</f>
        <v>0</v>
      </c>
    </row>
    <row r="13635" customFormat="false" ht="15" hidden="false" customHeight="false" outlineLevel="0" collapsed="false">
      <c r="A13635" s="3" t="s">
        <v>562</v>
      </c>
      <c r="C13635" s="16" t="n">
        <f aca="false">IF(C13613&gt;0,C13591-C13624,0)</f>
        <v>0</v>
      </c>
    </row>
    <row r="13636" customFormat="false" ht="15" hidden="false" customHeight="false" outlineLevel="0" collapsed="false">
      <c r="A13636" s="3" t="s">
        <v>563</v>
      </c>
      <c r="C13636" s="16" t="n">
        <f aca="false">IF(C13614&gt;0,C13592-C13625,0)</f>
        <v>0</v>
      </c>
    </row>
    <row r="13637" customFormat="false" ht="15" hidden="false" customHeight="false" outlineLevel="0" collapsed="false">
      <c r="A13637" s="3" t="s">
        <v>564</v>
      </c>
      <c r="C13637" s="16" t="n">
        <f aca="false">IF(C13615&gt;0,C13593-C13626,0)</f>
        <v>0</v>
      </c>
    </row>
    <row r="13638" customFormat="false" ht="15" hidden="false" customHeight="false" outlineLevel="0" collapsed="false">
      <c r="A13638" s="3" t="s">
        <v>565</v>
      </c>
      <c r="C13638" s="16" t="n">
        <f aca="false">IF(C13616&gt;0,C13594-C13627,0)</f>
        <v>0</v>
      </c>
    </row>
    <row r="13639" customFormat="false" ht="15" hidden="false" customHeight="false" outlineLevel="0" collapsed="false">
      <c r="A13639" s="24" t="s">
        <v>570</v>
      </c>
      <c r="B13639" s="25"/>
      <c r="C13639" s="25"/>
      <c r="D13639" s="25"/>
      <c r="E13639" s="25"/>
      <c r="F13639" s="25"/>
      <c r="G13639" s="25"/>
      <c r="H13639" s="25"/>
      <c r="I13639" s="25"/>
      <c r="J13639" s="25"/>
      <c r="K13639" s="25"/>
    </row>
    <row r="13640" customFormat="false" ht="15" hidden="false" customHeight="false" outlineLevel="0" collapsed="false">
      <c r="A13640" s="3" t="s">
        <v>556</v>
      </c>
      <c r="C13640" s="16" t="n">
        <f aca="false">IF(C13607&gt;0,C13629,C13585)</f>
        <v>0</v>
      </c>
    </row>
    <row r="13641" customFormat="false" ht="15" hidden="false" customHeight="false" outlineLevel="0" collapsed="false">
      <c r="A13641" s="3" t="s">
        <v>557</v>
      </c>
      <c r="C13641" s="16" t="n">
        <f aca="false">IF(C13608&gt;0,C13630,C13586)</f>
        <v>0</v>
      </c>
    </row>
    <row r="13642" customFormat="false" ht="15" hidden="false" customHeight="false" outlineLevel="0" collapsed="false">
      <c r="A13642" s="3" t="s">
        <v>558</v>
      </c>
      <c r="C13642" s="16" t="n">
        <f aca="false">IF(C13609&gt;0,C13631,C13587)</f>
        <v>0</v>
      </c>
    </row>
    <row r="13643" customFormat="false" ht="15" hidden="false" customHeight="false" outlineLevel="0" collapsed="false">
      <c r="A13643" s="3" t="s">
        <v>559</v>
      </c>
      <c r="C13643" s="16" t="n">
        <f aca="false">IF(C13610&gt;0,C13632,C13588)</f>
        <v>66.796942182056</v>
      </c>
    </row>
    <row r="13644" customFormat="false" ht="15" hidden="false" customHeight="false" outlineLevel="0" collapsed="false">
      <c r="A13644" s="3" t="s">
        <v>560</v>
      </c>
      <c r="C13644" s="16" t="n">
        <f aca="false">IF(C13611&gt;0,C13633,C13589)</f>
        <v>407.7221513738</v>
      </c>
    </row>
    <row r="13645" customFormat="false" ht="15" hidden="false" customHeight="false" outlineLevel="0" collapsed="false">
      <c r="A13645" s="3" t="s">
        <v>561</v>
      </c>
      <c r="C13645" s="16" t="n">
        <f aca="false">IF(C13612&gt;0,C13634,C13590)</f>
        <v>350</v>
      </c>
    </row>
    <row r="13646" customFormat="false" ht="15" hidden="false" customHeight="false" outlineLevel="0" collapsed="false">
      <c r="A13646" s="3" t="s">
        <v>562</v>
      </c>
      <c r="C13646" s="16" t="n">
        <f aca="false">IF(C13613&gt;0,C13635,C13591)</f>
        <v>550</v>
      </c>
    </row>
    <row r="13647" customFormat="false" ht="15" hidden="false" customHeight="false" outlineLevel="0" collapsed="false">
      <c r="A13647" s="3" t="s">
        <v>563</v>
      </c>
      <c r="C13647" s="16" t="n">
        <f aca="false">IF(C13614&gt;0,C13636,C13592)</f>
        <v>350</v>
      </c>
    </row>
    <row r="13648" customFormat="false" ht="15" hidden="false" customHeight="false" outlineLevel="0" collapsed="false">
      <c r="A13648" s="3" t="s">
        <v>564</v>
      </c>
      <c r="C13648" s="16" t="n">
        <f aca="false">IF(C13615&gt;0,C13637,C13593)</f>
        <v>300</v>
      </c>
    </row>
    <row r="13649" customFormat="false" ht="15" hidden="false" customHeight="false" outlineLevel="0" collapsed="false">
      <c r="A13649" s="3" t="s">
        <v>565</v>
      </c>
      <c r="C13649" s="16" t="n">
        <f aca="false">IF(C13616&gt;0,C13638,C13594)</f>
        <v>78.61</v>
      </c>
    </row>
    <row r="13650" customFormat="false" ht="15" hidden="false" customHeight="false" outlineLevel="0" collapsed="false">
      <c r="A13650" s="24" t="s">
        <v>571</v>
      </c>
      <c r="B13650" s="25"/>
      <c r="C13650" s="25"/>
      <c r="D13650" s="25"/>
      <c r="E13650" s="25"/>
      <c r="F13650" s="25"/>
      <c r="G13650" s="25"/>
      <c r="H13650" s="25"/>
      <c r="I13650" s="25"/>
      <c r="J13650" s="25"/>
      <c r="K13650" s="25"/>
    </row>
    <row r="13651" customFormat="false" ht="15" hidden="false" customHeight="false" outlineLevel="0" collapsed="false">
      <c r="A13651" s="3" t="s">
        <v>556</v>
      </c>
      <c r="C13651" s="21" t="n">
        <f aca="false">IF(C13607&gt;0,Assumptions!$C$17,C13596)</f>
        <v>99</v>
      </c>
    </row>
    <row r="13652" customFormat="false" ht="15" hidden="false" customHeight="false" outlineLevel="0" collapsed="false">
      <c r="A13652" s="3" t="s">
        <v>557</v>
      </c>
      <c r="C13652" s="21" t="n">
        <f aca="false">IF(C13608&gt;0,Assumptions!$C$17,C13597)</f>
        <v>99</v>
      </c>
    </row>
    <row r="13653" customFormat="false" ht="15" hidden="false" customHeight="false" outlineLevel="0" collapsed="false">
      <c r="A13653" s="3" t="s">
        <v>558</v>
      </c>
      <c r="C13653" s="21" t="n">
        <f aca="false">IF(C13609&gt;0,Assumptions!$C$17,C13598)</f>
        <v>99</v>
      </c>
    </row>
    <row r="13654" customFormat="false" ht="15" hidden="false" customHeight="false" outlineLevel="0" collapsed="false">
      <c r="A13654" s="3" t="s">
        <v>559</v>
      </c>
      <c r="C13654" s="21" t="n">
        <f aca="false">IF(C13610&gt;0,Assumptions!$C$17,C13599)</f>
        <v>2</v>
      </c>
    </row>
    <row r="13655" customFormat="false" ht="15" hidden="false" customHeight="false" outlineLevel="0" collapsed="false">
      <c r="A13655" s="3" t="s">
        <v>560</v>
      </c>
      <c r="C13655" s="21" t="n">
        <f aca="false">IF(C13611&gt;0,Assumptions!$C$17,C13600)</f>
        <v>2</v>
      </c>
    </row>
    <row r="13656" customFormat="false" ht="15" hidden="false" customHeight="false" outlineLevel="0" collapsed="false">
      <c r="A13656" s="3" t="s">
        <v>561</v>
      </c>
      <c r="C13656" s="21" t="n">
        <f aca="false">IF(C13612&gt;0,Assumptions!$C$17,C13601)</f>
        <v>2</v>
      </c>
    </row>
    <row r="13657" customFormat="false" ht="15" hidden="false" customHeight="false" outlineLevel="0" collapsed="false">
      <c r="A13657" s="3" t="s">
        <v>562</v>
      </c>
      <c r="C13657" s="21" t="n">
        <f aca="false">IF(C13613&gt;0,Assumptions!$C$17,C13602)</f>
        <v>2</v>
      </c>
    </row>
    <row r="13658" customFormat="false" ht="15" hidden="false" customHeight="false" outlineLevel="0" collapsed="false">
      <c r="A13658" s="3" t="s">
        <v>563</v>
      </c>
      <c r="C13658" s="21" t="n">
        <f aca="false">IF(C13614&gt;0,Assumptions!$C$17,C13603)</f>
        <v>2</v>
      </c>
    </row>
    <row r="13659" customFormat="false" ht="15" hidden="false" customHeight="false" outlineLevel="0" collapsed="false">
      <c r="A13659" s="3" t="s">
        <v>564</v>
      </c>
      <c r="C13659" s="21" t="n">
        <f aca="false">IF(C13615&gt;0,Assumptions!$C$17,C13604)</f>
        <v>2</v>
      </c>
    </row>
    <row r="13660" customFormat="false" ht="15" hidden="false" customHeight="false" outlineLevel="0" collapsed="false">
      <c r="A13660" s="3" t="s">
        <v>565</v>
      </c>
      <c r="C13660" s="21" t="n">
        <f aca="false">IF(C13616&gt;0,Assumptions!$C$17,C13605)</f>
        <v>3</v>
      </c>
    </row>
    <row r="13661" customFormat="false" ht="15" hidden="false" customHeight="false" outlineLevel="0" collapsed="false">
      <c r="A13661" s="24" t="s">
        <v>572</v>
      </c>
      <c r="B13661" s="25"/>
      <c r="C13661" s="25"/>
      <c r="D13661" s="25"/>
      <c r="E13661" s="25"/>
      <c r="F13661" s="25"/>
      <c r="G13661" s="25"/>
      <c r="H13661" s="25"/>
      <c r="I13661" s="25"/>
      <c r="J13661" s="25"/>
      <c r="K13661" s="25"/>
    </row>
    <row r="13662" customFormat="false" ht="15" hidden="false" customHeight="false" outlineLevel="0" collapsed="false">
      <c r="A13662" s="3" t="s">
        <v>556</v>
      </c>
      <c r="C13662" s="16" t="n">
        <f aca="false">SUMPRODUCT(($C$13651:$C$13660&lt;C13651)*$C$13640:$C$13649)</f>
        <v>2103.12909355586</v>
      </c>
    </row>
    <row r="13663" customFormat="false" ht="15" hidden="false" customHeight="false" outlineLevel="0" collapsed="false">
      <c r="A13663" s="3" t="s">
        <v>557</v>
      </c>
      <c r="C13663" s="16" t="n">
        <f aca="false">SUMPRODUCT(($C$13651:$C$13660&lt;C13652)*$C$13640:$C$13649)</f>
        <v>2103.12909355586</v>
      </c>
    </row>
    <row r="13664" customFormat="false" ht="15" hidden="false" customHeight="false" outlineLevel="0" collapsed="false">
      <c r="A13664" s="3" t="s">
        <v>558</v>
      </c>
      <c r="C13664" s="16" t="n">
        <f aca="false">SUMPRODUCT(($C$13651:$C$13660&lt;C13653)*$C$13640:$C$13649)</f>
        <v>2103.12909355586</v>
      </c>
    </row>
    <row r="13665" customFormat="false" ht="15" hidden="false" customHeight="false" outlineLevel="0" collapsed="false">
      <c r="A13665" s="3" t="s">
        <v>559</v>
      </c>
      <c r="C13665" s="16" t="n">
        <f aca="false">SUMPRODUCT(($C$13651:$C$13660&lt;C13654)*$C$13640:$C$13649)</f>
        <v>0</v>
      </c>
    </row>
    <row r="13666" customFormat="false" ht="15" hidden="false" customHeight="false" outlineLevel="0" collapsed="false">
      <c r="A13666" s="3" t="s">
        <v>560</v>
      </c>
      <c r="C13666" s="16" t="n">
        <f aca="false">SUMPRODUCT(($C$13651:$C$13660&lt;C13655)*$C$13640:$C$13649)</f>
        <v>0</v>
      </c>
    </row>
    <row r="13667" customFormat="false" ht="15" hidden="false" customHeight="false" outlineLevel="0" collapsed="false">
      <c r="A13667" s="3" t="s">
        <v>561</v>
      </c>
      <c r="C13667" s="16" t="n">
        <f aca="false">SUMPRODUCT(($C$13651:$C$13660&lt;C13656)*$C$13640:$C$13649)</f>
        <v>0</v>
      </c>
    </row>
    <row r="13668" customFormat="false" ht="15" hidden="false" customHeight="false" outlineLevel="0" collapsed="false">
      <c r="A13668" s="3" t="s">
        <v>562</v>
      </c>
      <c r="C13668" s="16" t="n">
        <f aca="false">SUMPRODUCT(($C$13651:$C$13660&lt;C13657)*$C$13640:$C$13649)</f>
        <v>0</v>
      </c>
    </row>
    <row r="13669" customFormat="false" ht="15" hidden="false" customHeight="false" outlineLevel="0" collapsed="false">
      <c r="A13669" s="3" t="s">
        <v>563</v>
      </c>
      <c r="C13669" s="16" t="n">
        <f aca="false">SUMPRODUCT(($C$13651:$C$13660&lt;C13658)*$C$13640:$C$13649)</f>
        <v>0</v>
      </c>
    </row>
    <row r="13670" customFormat="false" ht="15" hidden="false" customHeight="false" outlineLevel="0" collapsed="false">
      <c r="A13670" s="3" t="s">
        <v>564</v>
      </c>
      <c r="C13670" s="16" t="n">
        <f aca="false">SUMPRODUCT(($C$13651:$C$13660&lt;C13659)*$C$13640:$C$13649)</f>
        <v>0</v>
      </c>
    </row>
    <row r="13671" customFormat="false" ht="15" hidden="false" customHeight="false" outlineLevel="0" collapsed="false">
      <c r="A13671" s="3" t="s">
        <v>565</v>
      </c>
      <c r="C13671" s="16" t="n">
        <f aca="false">SUMPRODUCT(($C$13651:$C$13660&lt;C13660)*$C$13640:$C$13649)</f>
        <v>2024.51909355586</v>
      </c>
    </row>
    <row r="13672" customFormat="false" ht="15" hidden="false" customHeight="false" outlineLevel="0" collapsed="false">
      <c r="A13672" s="24" t="s">
        <v>573</v>
      </c>
      <c r="B13672" s="25"/>
      <c r="C13672" s="25"/>
      <c r="D13672" s="25"/>
      <c r="E13672" s="25"/>
      <c r="F13672" s="25"/>
      <c r="G13672" s="25"/>
      <c r="H13672" s="25"/>
      <c r="I13672" s="25"/>
      <c r="J13672" s="25"/>
      <c r="K13672" s="25"/>
    </row>
    <row r="13673" customFormat="false" ht="15" hidden="false" customHeight="false" outlineLevel="0" collapsed="false">
      <c r="A13673" s="3" t="s">
        <v>556</v>
      </c>
      <c r="C13673" s="16" t="n">
        <f aca="false">SUMPRODUCT(($C$13651:$C$13660=C13651)*$C$13640:$C$13649)</f>
        <v>0</v>
      </c>
    </row>
    <row r="13674" customFormat="false" ht="15" hidden="false" customHeight="false" outlineLevel="0" collapsed="false">
      <c r="A13674" s="3" t="s">
        <v>557</v>
      </c>
      <c r="C13674" s="16" t="n">
        <f aca="false">SUMPRODUCT(($C$13651:$C$13660=C13652)*$C$13640:$C$13649)</f>
        <v>0</v>
      </c>
    </row>
    <row r="13675" customFormat="false" ht="15" hidden="false" customHeight="false" outlineLevel="0" collapsed="false">
      <c r="A13675" s="3" t="s">
        <v>558</v>
      </c>
      <c r="C13675" s="16" t="n">
        <f aca="false">SUMPRODUCT(($C$13651:$C$13660=C13653)*$C$13640:$C$13649)</f>
        <v>0</v>
      </c>
    </row>
    <row r="13676" customFormat="false" ht="15" hidden="false" customHeight="false" outlineLevel="0" collapsed="false">
      <c r="A13676" s="3" t="s">
        <v>559</v>
      </c>
      <c r="C13676" s="16" t="n">
        <f aca="false">SUMPRODUCT(($C$13651:$C$13660=C13654)*$C$13640:$C$13649)</f>
        <v>2024.51909355586</v>
      </c>
    </row>
    <row r="13677" customFormat="false" ht="15" hidden="false" customHeight="false" outlineLevel="0" collapsed="false">
      <c r="A13677" s="3" t="s">
        <v>560</v>
      </c>
      <c r="C13677" s="16" t="n">
        <f aca="false">SUMPRODUCT(($C$13651:$C$13660=C13655)*$C$13640:$C$13649)</f>
        <v>2024.51909355586</v>
      </c>
    </row>
    <row r="13678" customFormat="false" ht="15" hidden="false" customHeight="false" outlineLevel="0" collapsed="false">
      <c r="A13678" s="3" t="s">
        <v>561</v>
      </c>
      <c r="C13678" s="16" t="n">
        <f aca="false">SUMPRODUCT(($C$13651:$C$13660=C13656)*$C$13640:$C$13649)</f>
        <v>2024.51909355586</v>
      </c>
    </row>
    <row r="13679" customFormat="false" ht="15" hidden="false" customHeight="false" outlineLevel="0" collapsed="false">
      <c r="A13679" s="3" t="s">
        <v>562</v>
      </c>
      <c r="C13679" s="16" t="n">
        <f aca="false">SUMPRODUCT(($C$13651:$C$13660=C13657)*$C$13640:$C$13649)</f>
        <v>2024.51909355586</v>
      </c>
    </row>
    <row r="13680" customFormat="false" ht="15" hidden="false" customHeight="false" outlineLevel="0" collapsed="false">
      <c r="A13680" s="3" t="s">
        <v>563</v>
      </c>
      <c r="C13680" s="16" t="n">
        <f aca="false">SUMPRODUCT(($C$13651:$C$13660=C13658)*$C$13640:$C$13649)</f>
        <v>2024.51909355586</v>
      </c>
    </row>
    <row r="13681" customFormat="false" ht="15" hidden="false" customHeight="false" outlineLevel="0" collapsed="false">
      <c r="A13681" s="3" t="s">
        <v>564</v>
      </c>
      <c r="C13681" s="16" t="n">
        <f aca="false">SUMPRODUCT(($C$13651:$C$13660=C13659)*$C$13640:$C$13649)</f>
        <v>2024.51909355586</v>
      </c>
    </row>
    <row r="13682" customFormat="false" ht="15" hidden="false" customHeight="false" outlineLevel="0" collapsed="false">
      <c r="A13682" s="3" t="s">
        <v>565</v>
      </c>
      <c r="C13682" s="16" t="n">
        <f aca="false">SUMPRODUCT(($C$13651:$C$13660=C13660)*$C$13640:$C$13649)</f>
        <v>78.61</v>
      </c>
    </row>
    <row r="13683" customFormat="false" ht="15" hidden="false" customHeight="false" outlineLevel="0" collapsed="false">
      <c r="A13683" s="24" t="s">
        <v>574</v>
      </c>
      <c r="B13683" s="25"/>
      <c r="C13683" s="25"/>
      <c r="D13683" s="25"/>
      <c r="E13683" s="25"/>
      <c r="F13683" s="25"/>
      <c r="G13683" s="25"/>
      <c r="H13683" s="25"/>
      <c r="I13683" s="25"/>
      <c r="J13683" s="25"/>
      <c r="K13683" s="25"/>
    </row>
    <row r="13684" customFormat="false" ht="15" hidden="false" customHeight="false" outlineLevel="0" collapsed="false">
      <c r="A13684" s="3" t="s">
        <v>556</v>
      </c>
      <c r="C13684" s="16" t="n">
        <f aca="false">IF(C13673=0,0,C13640/C13673*MAX(0,MIN(C13673,$C$13583-SUM($C$13618:$C$13627)-C13662)))</f>
        <v>0</v>
      </c>
    </row>
    <row r="13685" customFormat="false" ht="15" hidden="false" customHeight="false" outlineLevel="0" collapsed="false">
      <c r="A13685" s="3" t="s">
        <v>557</v>
      </c>
      <c r="C13685" s="16" t="n">
        <f aca="false">IF(C13674=0,0,C13641/C13674*MAX(0,MIN(C13674,$C$13583-SUM($C$13618:$C$13627)-C13663)))</f>
        <v>0</v>
      </c>
    </row>
    <row r="13686" customFormat="false" ht="15" hidden="false" customHeight="false" outlineLevel="0" collapsed="false">
      <c r="A13686" s="3" t="s">
        <v>558</v>
      </c>
      <c r="C13686" s="16" t="n">
        <f aca="false">IF(C13675=0,0,C13642/C13675*MAX(0,MIN(C13675,$C$13583-SUM($C$13618:$C$13627)-C13664)))</f>
        <v>0</v>
      </c>
    </row>
    <row r="13687" customFormat="false" ht="15" hidden="false" customHeight="false" outlineLevel="0" collapsed="false">
      <c r="A13687" s="3" t="s">
        <v>559</v>
      </c>
      <c r="C13687" s="16" t="n">
        <f aca="false">IF(C13676=0,0,C13643/C13676*MAX(0,MIN(C13676,$C$13583-SUM($C$13618:$C$13627)-C13665)))</f>
        <v>66.796942182056</v>
      </c>
    </row>
    <row r="13688" customFormat="false" ht="15" hidden="false" customHeight="false" outlineLevel="0" collapsed="false">
      <c r="A13688" s="3" t="s">
        <v>560</v>
      </c>
      <c r="C13688" s="16" t="n">
        <f aca="false">IF(C13677=0,0,C13644/C13677*MAX(0,MIN(C13677,$C$13583-SUM($C$13618:$C$13627)-C13666)))</f>
        <v>407.7221513738</v>
      </c>
    </row>
    <row r="13689" customFormat="false" ht="15" hidden="false" customHeight="false" outlineLevel="0" collapsed="false">
      <c r="A13689" s="3" t="s">
        <v>561</v>
      </c>
      <c r="C13689" s="16" t="n">
        <f aca="false">IF(C13678=0,0,C13645/C13678*MAX(0,MIN(C13678,$C$13583-SUM($C$13618:$C$13627)-C13667)))</f>
        <v>350</v>
      </c>
    </row>
    <row r="13690" customFormat="false" ht="15" hidden="false" customHeight="false" outlineLevel="0" collapsed="false">
      <c r="A13690" s="3" t="s">
        <v>562</v>
      </c>
      <c r="C13690" s="16" t="n">
        <f aca="false">IF(C13679=0,0,C13646/C13679*MAX(0,MIN(C13679,$C$13583-SUM($C$13618:$C$13627)-C13668)))</f>
        <v>550</v>
      </c>
    </row>
    <row r="13691" customFormat="false" ht="15" hidden="false" customHeight="false" outlineLevel="0" collapsed="false">
      <c r="A13691" s="3" t="s">
        <v>563</v>
      </c>
      <c r="C13691" s="16" t="n">
        <f aca="false">IF(C13680=0,0,C13647/C13680*MAX(0,MIN(C13680,$C$13583-SUM($C$13618:$C$13627)-C13669)))</f>
        <v>350</v>
      </c>
    </row>
    <row r="13692" customFormat="false" ht="15" hidden="false" customHeight="false" outlineLevel="0" collapsed="false">
      <c r="A13692" s="3" t="s">
        <v>564</v>
      </c>
      <c r="C13692" s="16" t="n">
        <f aca="false">IF(C13681=0,0,C13648/C13681*MAX(0,MIN(C13681,$C$13583-SUM($C$13618:$C$13627)-C13670)))</f>
        <v>300</v>
      </c>
    </row>
    <row r="13693" customFormat="false" ht="15" hidden="false" customHeight="false" outlineLevel="0" collapsed="false">
      <c r="A13693" s="3" t="s">
        <v>565</v>
      </c>
      <c r="C13693" s="16" t="n">
        <f aca="false">IF(C13682=0,0,C13649/C13682*MAX(0,MIN(C13682,$C$13583-SUM($C$13618:$C$13627)-C13671)))</f>
        <v>78.61</v>
      </c>
    </row>
    <row r="13694" customFormat="false" ht="15" hidden="false" customHeight="false" outlineLevel="0" collapsed="false">
      <c r="A13694" s="24" t="s">
        <v>575</v>
      </c>
      <c r="B13694" s="25"/>
      <c r="C13694" s="25"/>
      <c r="D13694" s="25"/>
      <c r="E13694" s="25"/>
      <c r="F13694" s="25"/>
      <c r="G13694" s="25"/>
      <c r="H13694" s="25"/>
      <c r="I13694" s="25"/>
      <c r="J13694" s="25"/>
      <c r="K13694" s="25"/>
    </row>
    <row r="13695" customFormat="false" ht="15" hidden="false" customHeight="false" outlineLevel="0" collapsed="false">
      <c r="A13695" s="2" t="s">
        <v>556</v>
      </c>
      <c r="C13695" s="17" t="n">
        <f aca="false">C13618+C13684</f>
        <v>388</v>
      </c>
    </row>
    <row r="13696" customFormat="false" ht="15" hidden="false" customHeight="false" outlineLevel="0" collapsed="false">
      <c r="A13696" s="2" t="s">
        <v>557</v>
      </c>
      <c r="C13696" s="17" t="n">
        <f aca="false">C13619+C13685</f>
        <v>90</v>
      </c>
    </row>
    <row r="13697" customFormat="false" ht="15" hidden="false" customHeight="false" outlineLevel="0" collapsed="false">
      <c r="A13697" s="2" t="s">
        <v>558</v>
      </c>
      <c r="C13697" s="17" t="n">
        <f aca="false">C13620+C13686</f>
        <v>57.324</v>
      </c>
    </row>
    <row r="13698" customFormat="false" ht="15" hidden="false" customHeight="false" outlineLevel="0" collapsed="false">
      <c r="A13698" s="2" t="s">
        <v>559</v>
      </c>
      <c r="C13698" s="17" t="n">
        <f aca="false">C13621+C13687</f>
        <v>66.796942182056</v>
      </c>
    </row>
    <row r="13699" customFormat="false" ht="15" hidden="false" customHeight="false" outlineLevel="0" collapsed="false">
      <c r="A13699" s="2" t="s">
        <v>560</v>
      </c>
      <c r="C13699" s="17" t="n">
        <f aca="false">C13622+C13688</f>
        <v>407.7221513738</v>
      </c>
    </row>
    <row r="13700" customFormat="false" ht="15" hidden="false" customHeight="false" outlineLevel="0" collapsed="false">
      <c r="A13700" s="2" t="s">
        <v>561</v>
      </c>
      <c r="C13700" s="17" t="n">
        <f aca="false">C13623+C13689</f>
        <v>350</v>
      </c>
    </row>
    <row r="13701" customFormat="false" ht="15" hidden="false" customHeight="false" outlineLevel="0" collapsed="false">
      <c r="A13701" s="2" t="s">
        <v>562</v>
      </c>
      <c r="C13701" s="17" t="n">
        <f aca="false">C13624+C13690</f>
        <v>550</v>
      </c>
    </row>
    <row r="13702" customFormat="false" ht="15" hidden="false" customHeight="false" outlineLevel="0" collapsed="false">
      <c r="A13702" s="2" t="s">
        <v>563</v>
      </c>
      <c r="C13702" s="17" t="n">
        <f aca="false">C13625+C13691</f>
        <v>350</v>
      </c>
    </row>
    <row r="13703" customFormat="false" ht="15" hidden="false" customHeight="false" outlineLevel="0" collapsed="false">
      <c r="A13703" s="2" t="s">
        <v>564</v>
      </c>
      <c r="C13703" s="17" t="n">
        <f aca="false">C13626+C13692</f>
        <v>300</v>
      </c>
    </row>
    <row r="13704" customFormat="false" ht="15" hidden="false" customHeight="false" outlineLevel="0" collapsed="false">
      <c r="A13704" s="2" t="s">
        <v>565</v>
      </c>
      <c r="C13704" s="17" t="n">
        <f aca="false">C13627+C13693</f>
        <v>78.61</v>
      </c>
    </row>
    <row r="13705" customFormat="false" ht="15" hidden="false" customHeight="false" outlineLevel="0" collapsed="false">
      <c r="A13705" s="24" t="s">
        <v>576</v>
      </c>
      <c r="B13705" s="25"/>
      <c r="C13705" s="25"/>
      <c r="D13705" s="25"/>
      <c r="E13705" s="25"/>
      <c r="F13705" s="25"/>
      <c r="G13705" s="25"/>
      <c r="H13705" s="25"/>
      <c r="I13705" s="25"/>
      <c r="J13705" s="25"/>
      <c r="K13705" s="25"/>
    </row>
    <row r="13706" customFormat="false" ht="15" hidden="false" customHeight="false" outlineLevel="0" collapsed="false">
      <c r="A13706" s="3" t="s">
        <v>556</v>
      </c>
      <c r="C13706" s="22" t="n">
        <f aca="false">IF(C13585=0,1,C13695/C13585)</f>
        <v>1</v>
      </c>
    </row>
    <row r="13707" customFormat="false" ht="15" hidden="false" customHeight="false" outlineLevel="0" collapsed="false">
      <c r="A13707" s="3" t="s">
        <v>557</v>
      </c>
      <c r="C13707" s="22" t="n">
        <f aca="false">IF(C13586=0,1,C13696/C13586)</f>
        <v>1</v>
      </c>
    </row>
    <row r="13708" customFormat="false" ht="15" hidden="false" customHeight="false" outlineLevel="0" collapsed="false">
      <c r="A13708" s="3" t="s">
        <v>558</v>
      </c>
      <c r="C13708" s="22" t="n">
        <f aca="false">IF(C13587=0,1,C13697/C13587)</f>
        <v>1</v>
      </c>
    </row>
    <row r="13709" customFormat="false" ht="15" hidden="false" customHeight="false" outlineLevel="0" collapsed="false">
      <c r="A13709" s="3" t="s">
        <v>559</v>
      </c>
      <c r="C13709" s="22" t="n">
        <f aca="false">IF(C13588=0,1,C13698/C13588)</f>
        <v>1</v>
      </c>
    </row>
    <row r="13710" customFormat="false" ht="15" hidden="false" customHeight="false" outlineLevel="0" collapsed="false">
      <c r="A13710" s="3" t="s">
        <v>560</v>
      </c>
      <c r="C13710" s="22" t="n">
        <f aca="false">IF(C13589=0,1,C13699/C13589)</f>
        <v>1</v>
      </c>
    </row>
    <row r="13711" customFormat="false" ht="15" hidden="false" customHeight="false" outlineLevel="0" collapsed="false">
      <c r="A13711" s="3" t="s">
        <v>561</v>
      </c>
      <c r="C13711" s="22" t="n">
        <f aca="false">IF(C13590=0,1,C13700/C13590)</f>
        <v>1</v>
      </c>
    </row>
    <row r="13712" customFormat="false" ht="15" hidden="false" customHeight="false" outlineLevel="0" collapsed="false">
      <c r="A13712" s="3" t="s">
        <v>562</v>
      </c>
      <c r="C13712" s="22" t="n">
        <f aca="false">IF(C13591=0,1,C13701/C13591)</f>
        <v>1</v>
      </c>
    </row>
    <row r="13713" customFormat="false" ht="15" hidden="false" customHeight="false" outlineLevel="0" collapsed="false">
      <c r="A13713" s="3" t="s">
        <v>563</v>
      </c>
      <c r="C13713" s="22" t="n">
        <f aca="false">IF(C13592=0,1,C13702/C13592)</f>
        <v>1</v>
      </c>
    </row>
    <row r="13714" customFormat="false" ht="15" hidden="false" customHeight="false" outlineLevel="0" collapsed="false">
      <c r="A13714" s="3" t="s">
        <v>564</v>
      </c>
      <c r="C13714" s="22" t="n">
        <f aca="false">IF(C13593=0,1,C13703/C13593)</f>
        <v>1</v>
      </c>
    </row>
    <row r="13715" customFormat="false" ht="15" hidden="false" customHeight="false" outlineLevel="0" collapsed="false">
      <c r="A13715" s="3" t="s">
        <v>565</v>
      </c>
      <c r="C13715" s="22" t="n">
        <f aca="false">IF(C13594=0,1,C13704/C13594)</f>
        <v>1</v>
      </c>
    </row>
    <row r="13716" customFormat="false" ht="15" hidden="false" customHeight="false" outlineLevel="0" collapsed="false">
      <c r="A13716" s="24" t="s">
        <v>577</v>
      </c>
      <c r="B13716" s="25"/>
      <c r="C13716" s="25"/>
      <c r="D13716" s="25"/>
      <c r="E13716" s="25"/>
      <c r="F13716" s="25"/>
      <c r="G13716" s="25"/>
      <c r="H13716" s="25"/>
      <c r="I13716" s="25"/>
      <c r="J13716" s="25"/>
      <c r="K13716" s="25"/>
    </row>
    <row r="13717" customFormat="false" ht="15" hidden="false" customHeight="false" outlineLevel="0" collapsed="false">
      <c r="A13717" s="3" t="s">
        <v>556</v>
      </c>
      <c r="C13717" s="16" t="n">
        <f aca="false">C13585-C13695</f>
        <v>0</v>
      </c>
    </row>
    <row r="13718" customFormat="false" ht="15" hidden="false" customHeight="false" outlineLevel="0" collapsed="false">
      <c r="A13718" s="3" t="s">
        <v>557</v>
      </c>
      <c r="C13718" s="16" t="n">
        <f aca="false">C13586-C13696</f>
        <v>0</v>
      </c>
    </row>
    <row r="13719" customFormat="false" ht="15" hidden="false" customHeight="false" outlineLevel="0" collapsed="false">
      <c r="A13719" s="3" t="s">
        <v>558</v>
      </c>
      <c r="C13719" s="16" t="n">
        <f aca="false">C13587-C13697</f>
        <v>0</v>
      </c>
    </row>
    <row r="13720" customFormat="false" ht="15" hidden="false" customHeight="false" outlineLevel="0" collapsed="false">
      <c r="A13720" s="3" t="s">
        <v>559</v>
      </c>
      <c r="C13720" s="16" t="n">
        <f aca="false">C13588-C13698</f>
        <v>0</v>
      </c>
    </row>
    <row r="13721" customFormat="false" ht="15" hidden="false" customHeight="false" outlineLevel="0" collapsed="false">
      <c r="A13721" s="3" t="s">
        <v>560</v>
      </c>
      <c r="C13721" s="16" t="n">
        <f aca="false">C13589-C13699</f>
        <v>0</v>
      </c>
    </row>
    <row r="13722" customFormat="false" ht="15" hidden="false" customHeight="false" outlineLevel="0" collapsed="false">
      <c r="A13722" s="3" t="s">
        <v>561</v>
      </c>
      <c r="C13722" s="16" t="n">
        <f aca="false">C13590-C13700</f>
        <v>0</v>
      </c>
    </row>
    <row r="13723" customFormat="false" ht="15" hidden="false" customHeight="false" outlineLevel="0" collapsed="false">
      <c r="A13723" s="3" t="s">
        <v>562</v>
      </c>
      <c r="C13723" s="16" t="n">
        <f aca="false">C13591-C13701</f>
        <v>0</v>
      </c>
    </row>
    <row r="13724" customFormat="false" ht="15" hidden="false" customHeight="false" outlineLevel="0" collapsed="false">
      <c r="A13724" s="3" t="s">
        <v>563</v>
      </c>
      <c r="C13724" s="16" t="n">
        <f aca="false">C13592-C13702</f>
        <v>0</v>
      </c>
    </row>
    <row r="13725" customFormat="false" ht="15" hidden="false" customHeight="false" outlineLevel="0" collapsed="false">
      <c r="A13725" s="3" t="s">
        <v>564</v>
      </c>
      <c r="C13725" s="16" t="n">
        <f aca="false">C13593-C13703</f>
        <v>0</v>
      </c>
    </row>
    <row r="13726" customFormat="false" ht="15" hidden="false" customHeight="false" outlineLevel="0" collapsed="false">
      <c r="A13726" s="3" t="s">
        <v>565</v>
      </c>
      <c r="C13726" s="16" t="n">
        <f aca="false">C13594-C13704</f>
        <v>0</v>
      </c>
    </row>
    <row r="13727" customFormat="false" ht="15" hidden="false" customHeight="false" outlineLevel="0" collapsed="false">
      <c r="A13727" s="24" t="s">
        <v>578</v>
      </c>
      <c r="B13727" s="25"/>
      <c r="C13727" s="25"/>
      <c r="D13727" s="25"/>
      <c r="E13727" s="25"/>
      <c r="F13727" s="25"/>
      <c r="G13727" s="25"/>
      <c r="H13727" s="25"/>
      <c r="I13727" s="25"/>
      <c r="J13727" s="25"/>
      <c r="K13727" s="25"/>
    </row>
    <row r="13728" customFormat="false" ht="15" hidden="false" customHeight="false" outlineLevel="0" collapsed="false">
      <c r="A13728" s="3" t="s">
        <v>556</v>
      </c>
      <c r="C13728" s="22" t="n">
        <f aca="false">IF(C13585=0,0,C13717/C13585)</f>
        <v>0</v>
      </c>
    </row>
    <row r="13729" customFormat="false" ht="15" hidden="false" customHeight="false" outlineLevel="0" collapsed="false">
      <c r="A13729" s="3" t="s">
        <v>557</v>
      </c>
      <c r="C13729" s="22" t="n">
        <f aca="false">IF(C13586=0,0,C13718/C13586)</f>
        <v>0</v>
      </c>
    </row>
    <row r="13730" customFormat="false" ht="15" hidden="false" customHeight="false" outlineLevel="0" collapsed="false">
      <c r="A13730" s="3" t="s">
        <v>558</v>
      </c>
      <c r="C13730" s="22" t="n">
        <f aca="false">IF(C13587=0,0,C13719/C13587)</f>
        <v>0</v>
      </c>
    </row>
    <row r="13731" customFormat="false" ht="15" hidden="false" customHeight="false" outlineLevel="0" collapsed="false">
      <c r="A13731" s="3" t="s">
        <v>559</v>
      </c>
      <c r="C13731" s="22" t="n">
        <f aca="false">IF(C13588=0,0,C13720/C13588)</f>
        <v>0</v>
      </c>
    </row>
    <row r="13732" customFormat="false" ht="15" hidden="false" customHeight="false" outlineLevel="0" collapsed="false">
      <c r="A13732" s="3" t="s">
        <v>560</v>
      </c>
      <c r="C13732" s="22" t="n">
        <f aca="false">IF(C13589=0,0,C13721/C13589)</f>
        <v>0</v>
      </c>
    </row>
    <row r="13733" customFormat="false" ht="15" hidden="false" customHeight="false" outlineLevel="0" collapsed="false">
      <c r="A13733" s="3" t="s">
        <v>561</v>
      </c>
      <c r="C13733" s="22" t="n">
        <f aca="false">IF(C13590=0,0,C13722/C13590)</f>
        <v>0</v>
      </c>
    </row>
    <row r="13734" customFormat="false" ht="15" hidden="false" customHeight="false" outlineLevel="0" collapsed="false">
      <c r="A13734" s="3" t="s">
        <v>562</v>
      </c>
      <c r="C13734" s="22" t="n">
        <f aca="false">IF(C13591=0,0,C13723/C13591)</f>
        <v>0</v>
      </c>
    </row>
    <row r="13735" customFormat="false" ht="15" hidden="false" customHeight="false" outlineLevel="0" collapsed="false">
      <c r="A13735" s="3" t="s">
        <v>563</v>
      </c>
      <c r="C13735" s="22" t="n">
        <f aca="false">IF(C13592=0,0,C13724/C13592)</f>
        <v>0</v>
      </c>
    </row>
    <row r="13736" customFormat="false" ht="15" hidden="false" customHeight="false" outlineLevel="0" collapsed="false">
      <c r="A13736" s="3" t="s">
        <v>564</v>
      </c>
      <c r="C13736" s="22" t="n">
        <f aca="false">IF(C13593=0,0,C13725/C13593)</f>
        <v>0</v>
      </c>
    </row>
    <row r="13737" customFormat="false" ht="15" hidden="false" customHeight="false" outlineLevel="0" collapsed="false">
      <c r="A13737" s="3" t="s">
        <v>565</v>
      </c>
      <c r="C13737" s="22" t="n">
        <f aca="false">IF(C13594=0,0,C13726/C13594)</f>
        <v>0</v>
      </c>
    </row>
    <row r="13738" customFormat="false" ht="15" hidden="false" customHeight="false" outlineLevel="0" collapsed="false">
      <c r="A13738" s="2" t="s">
        <v>579</v>
      </c>
      <c r="C13738" s="17" t="n">
        <f aca="false">MAX(0,$C$13583-SUM($C$13618:$C$13627)-SUM($C$13640:$C$13649))</f>
        <v>730.771201087744</v>
      </c>
    </row>
    <row r="13739" customFormat="false" ht="15" hidden="false" customHeight="false" outlineLevel="0" collapsed="false">
      <c r="A13739" s="3" t="s">
        <v>597</v>
      </c>
      <c r="C13739" s="35" t="n">
        <f aca="false">MIN(C13582,100*CHOOSE(C13572,C13706,C13707,C13708,C13709,C13710,C13711,C13712,C13713,C13714,C13715))</f>
        <v>100</v>
      </c>
    </row>
    <row r="13740" customFormat="false" ht="15" hidden="false" customHeight="false" outlineLevel="0" collapsed="false">
      <c r="A13740" s="3" t="s">
        <v>598</v>
      </c>
      <c r="C13740" s="21" t="n">
        <f aca="false">IF(C13404=1,C13577+Assumptions!$C$40,C13576)</f>
        <v>3</v>
      </c>
    </row>
    <row r="13741" customFormat="false" ht="15" hidden="false" customHeight="false" outlineLevel="0" collapsed="false">
      <c r="A13741" s="24" t="s">
        <v>599</v>
      </c>
      <c r="B13741" s="25"/>
      <c r="C13741" s="25"/>
      <c r="D13741" s="25"/>
      <c r="E13741" s="25"/>
      <c r="F13741" s="25"/>
      <c r="G13741" s="25"/>
      <c r="H13741" s="25"/>
      <c r="I13741" s="25"/>
      <c r="J13741" s="25"/>
      <c r="K13741" s="25"/>
    </row>
    <row r="13742" customFormat="false" ht="15" hidden="false" customHeight="false" outlineLevel="0" collapsed="false">
      <c r="A13742" s="3" t="s">
        <v>600</v>
      </c>
      <c r="C13742" s="21" t="n">
        <f aca="false">COLUMN()-COLUMN($C$1)</f>
        <v>0</v>
      </c>
      <c r="D13742" s="21" t="n">
        <f aca="false">COLUMN()-COLUMN($C$1)</f>
        <v>1</v>
      </c>
      <c r="E13742" s="21" t="n">
        <f aca="false">COLUMN()-COLUMN($C$1)</f>
        <v>2</v>
      </c>
      <c r="F13742" s="21" t="n">
        <f aca="false">COLUMN()-COLUMN($C$1)</f>
        <v>3</v>
      </c>
      <c r="G13742" s="21" t="n">
        <f aca="false">COLUMN()-COLUMN($C$1)</f>
        <v>4</v>
      </c>
      <c r="H13742" s="21" t="n">
        <f aca="false">COLUMN()-COLUMN($C$1)</f>
        <v>5</v>
      </c>
      <c r="I13742" s="21" t="n">
        <f aca="false">COLUMN()-COLUMN($C$1)</f>
        <v>6</v>
      </c>
    </row>
    <row r="13743" customFormat="false" ht="15" hidden="false" customHeight="false" outlineLevel="0" collapsed="false">
      <c r="A13743" s="3" t="s">
        <v>601</v>
      </c>
      <c r="D13743" s="31" t="n">
        <f aca="false">CHOOSE($C$13572,G13152,G13165,G13178,G13191,G13204,G13217,G13230,G13243,G13256,G13269)</f>
        <v>0.0915</v>
      </c>
      <c r="E13743" s="31" t="n">
        <f aca="false">CHOOSE($C$13572,H13152,H13165,H13178,H13191,H13204,H13217,H13230,H13243,H13256,H13269)</f>
        <v>0.09</v>
      </c>
      <c r="F13743" s="31" t="n">
        <f aca="false">CHOOSE($C$13572,I13152,I13165,I13178,I13191,I13204,I13217,I13230,I13243,I13256,I13269)</f>
        <v>0.0875</v>
      </c>
      <c r="G13743" s="31" t="n">
        <f aca="false">CHOOSE($C$13572,J13152,J13165,J13178,J13191,J13204,J13217,J13230,J13243,J13256,J13269)</f>
        <v>0.0875</v>
      </c>
      <c r="H13743" s="31" t="n">
        <f aca="false">CHOOSE($C$13572,K13152,K13165,K13178,K13191,K13204,K13217,K13230,K13243,K13256,K13269)</f>
        <v>0.0875</v>
      </c>
    </row>
    <row r="13744" customFormat="false" ht="15" hidden="false" customHeight="false" outlineLevel="0" collapsed="false">
      <c r="A13744" s="3" t="s">
        <v>602</v>
      </c>
      <c r="D13744" s="16" t="n">
        <f aca="false">IF(D13742&lt;=$C$13581,$C$13573*D13743,0)</f>
        <v>9.15</v>
      </c>
      <c r="E13744" s="16" t="n">
        <f aca="false">IF(E13742&lt;=$C$13581,$C$13573*E13743,0)</f>
        <v>9</v>
      </c>
      <c r="F13744" s="16" t="n">
        <f aca="false">IF(F13742&lt;=$C$13581,$C$13573*F13743,0)</f>
        <v>8.75</v>
      </c>
      <c r="G13744" s="16" t="n">
        <f aca="false">IF(G13742&lt;=$C$13581,$C$13573*G13743,0)</f>
        <v>0</v>
      </c>
      <c r="H13744" s="16" t="n">
        <f aca="false">IF(H13742&lt;=$C$13581,$C$13573*H13743,0)</f>
        <v>0</v>
      </c>
    </row>
    <row r="13745" customFormat="false" ht="15" hidden="false" customHeight="false" outlineLevel="0" collapsed="false">
      <c r="A13745" s="3" t="s">
        <v>603</v>
      </c>
      <c r="D13745" s="16" t="n">
        <f aca="false">IF(AND($C$13404=0,D13742=$C$13576),$C$13573*$C$13739/100,0)+IF(AND($C$13404=1,D13742=$C$13740),$C$13579,0)</f>
        <v>0</v>
      </c>
      <c r="E13745" s="16" t="n">
        <f aca="false">IF(AND($C$13404=0,E13742=$C$13576),$C$13573*$C$13739/100,0)+IF(AND($C$13404=1,E13742=$C$13740),$C$13579,0)</f>
        <v>0</v>
      </c>
      <c r="F13745" s="16" t="n">
        <f aca="false">IF(AND($C$13404=0,F13742=$C$13576),$C$13573*$C$13739/100,0)+IF(AND($C$13404=1,F13742=$C$13740),$C$13579,0)</f>
        <v>100</v>
      </c>
      <c r="G13745" s="16" t="n">
        <f aca="false">IF(AND($C$13404=0,G13742=$C$13576),$C$13573*$C$13739/100,0)+IF(AND($C$13404=1,G13742=$C$13740),$C$13579,0)</f>
        <v>0</v>
      </c>
      <c r="H13745" s="16" t="n">
        <f aca="false">IF(AND($C$13404=0,H13742=$C$13576),$C$13573*$C$13739/100,0)+IF(AND($C$13404=1,H13742=$C$13740),$C$13579,0)</f>
        <v>0</v>
      </c>
      <c r="I13745" s="16" t="n">
        <f aca="false">IF(AND($C$13404=0,I13742=$C$13576),$C$13573*$C$13739/100,0)+IF(AND($C$13404=1,I13742=$C$13740),$C$13579,0)</f>
        <v>0</v>
      </c>
    </row>
    <row r="13746" customFormat="false" ht="15" hidden="false" customHeight="false" outlineLevel="0" collapsed="false">
      <c r="A13746" s="2" t="s">
        <v>604</v>
      </c>
      <c r="C13746" s="17" t="n">
        <f aca="false">-$C$13575</f>
        <v>-98.49</v>
      </c>
      <c r="D13746" s="17" t="n">
        <f aca="false">D13744+D13745</f>
        <v>9.15</v>
      </c>
      <c r="E13746" s="17" t="n">
        <f aca="false">E13744+E13745</f>
        <v>9</v>
      </c>
      <c r="F13746" s="17" t="n">
        <f aca="false">F13744+F13745</f>
        <v>108.75</v>
      </c>
      <c r="G13746" s="17" t="n">
        <f aca="false">G13744+G13745</f>
        <v>0</v>
      </c>
      <c r="H13746" s="17" t="n">
        <f aca="false">H13744+H13745</f>
        <v>0</v>
      </c>
      <c r="I13746" s="17" t="n">
        <f aca="false">I13744+I13745</f>
        <v>0</v>
      </c>
    </row>
    <row r="13747" customFormat="false" ht="15" hidden="false" customHeight="false" outlineLevel="0" collapsed="false">
      <c r="A13747" s="3" t="s">
        <v>605</v>
      </c>
      <c r="C13747" s="16" t="n">
        <f aca="false">SUM($C$13744:$I$13744)</f>
        <v>26.9</v>
      </c>
    </row>
    <row r="13748" customFormat="false" ht="15" hidden="false" customHeight="false" outlineLevel="0" collapsed="false">
      <c r="A13748" s="3" t="s">
        <v>606</v>
      </c>
      <c r="C13748" s="16" t="n">
        <f aca="false">SUM($C$13745:$I$13745)</f>
        <v>100</v>
      </c>
    </row>
    <row r="13749" customFormat="false" ht="15" hidden="false" customHeight="false" outlineLevel="0" collapsed="false">
      <c r="A13749" s="3" t="s">
        <v>607</v>
      </c>
      <c r="C13749" s="16" t="n">
        <f aca="false">C13747+C13748</f>
        <v>126.9</v>
      </c>
    </row>
    <row r="13750" customFormat="false" ht="15" hidden="false" customHeight="false" outlineLevel="0" collapsed="false">
      <c r="A13750" s="3" t="s">
        <v>608</v>
      </c>
      <c r="C13750" s="16" t="n">
        <f aca="false">C13748-C13573*C13574/100</f>
        <v>2</v>
      </c>
    </row>
    <row r="13751" customFormat="false" ht="15" hidden="false" customHeight="false" outlineLevel="0" collapsed="false">
      <c r="A13751" s="3" t="s">
        <v>609</v>
      </c>
      <c r="C13751" s="16" t="n">
        <f aca="false">C13749-C13575</f>
        <v>28.41</v>
      </c>
    </row>
    <row r="13752" customFormat="false" ht="15" hidden="false" customHeight="false" outlineLevel="0" collapsed="false">
      <c r="A13752" s="2" t="s">
        <v>484</v>
      </c>
      <c r="C13752" s="44" t="n">
        <f aca="false">C13749/C13575</f>
        <v>1.28845568077977</v>
      </c>
    </row>
    <row r="13753" customFormat="false" ht="15" hidden="false" customHeight="false" outlineLevel="0" collapsed="false">
      <c r="A13753" s="2" t="s">
        <v>483</v>
      </c>
      <c r="C13753" s="42" t="n">
        <f aca="false">IF(C13749&lt;=0,-1,IFERROR(IRR($C$13746:$I$13746,MAX(-0.9,C13752^(1/C13740)-1)),IRR($C$13746:$I$13746,0.1)))</f>
        <v>0.0958152816969216</v>
      </c>
    </row>
    <row r="13754" customFormat="false" ht="15" hidden="false" customHeight="false" outlineLevel="0" collapsed="false">
      <c r="A13754" s="3" t="s">
        <v>610</v>
      </c>
      <c r="C13754" s="32" t="n">
        <f aca="false">MAX($G$13348:$K$13348)</f>
        <v>9.99528975565569</v>
      </c>
    </row>
    <row r="13755" customFormat="false" ht="15" hidden="false" customHeight="false" outlineLevel="0" collapsed="false">
      <c r="A13755" s="3" t="s">
        <v>611</v>
      </c>
      <c r="C13755" s="32" t="n">
        <f aca="false">MIN($G$13349:$K$13349)</f>
        <v>1.34274565931266</v>
      </c>
    </row>
    <row r="13756" customFormat="false" ht="15" hidden="false" customHeight="false" outlineLevel="0" collapsed="false">
      <c r="A13756" s="3" t="s">
        <v>612</v>
      </c>
      <c r="C13756" s="16" t="n">
        <f aca="false">SUM($G$13136:$K$13136)</f>
        <v>-435.805435297248</v>
      </c>
    </row>
    <row r="13760" customFormat="false" ht="15" hidden="false" customHeight="false" outlineLevel="0" collapsed="false">
      <c r="A13760" s="9" t="s">
        <v>1151</v>
      </c>
      <c r="B13760" s="10"/>
      <c r="C13760" s="10"/>
      <c r="D13760" s="10"/>
      <c r="E13760" s="10"/>
      <c r="F13760" s="10"/>
      <c r="G13760" s="10"/>
      <c r="H13760" s="10"/>
      <c r="I13760" s="10"/>
      <c r="J13760" s="10"/>
      <c r="K13760" s="10"/>
    </row>
    <row r="13761" customFormat="false" ht="15" hidden="false" customHeight="false" outlineLevel="0" collapsed="false">
      <c r="A13761" s="3" t="s">
        <v>1126</v>
      </c>
      <c r="C13761" s="11" t="n">
        <v>1</v>
      </c>
    </row>
    <row r="13762" customFormat="false" ht="15" hidden="false" customHeight="false" outlineLevel="0" collapsed="false">
      <c r="A13762" s="3" t="s">
        <v>1127</v>
      </c>
      <c r="C13762" s="30" t="n">
        <f aca="false">Sensitivities!$A$43</f>
        <v>0.05</v>
      </c>
    </row>
    <row r="13763" customFormat="false" ht="15" hidden="false" customHeight="false" outlineLevel="0" collapsed="false">
      <c r="A13763" s="3" t="s">
        <v>1128</v>
      </c>
      <c r="C13763" s="19" t="n">
        <v>0</v>
      </c>
    </row>
    <row r="13764" customFormat="false" ht="15" hidden="false" customHeight="false" outlineLevel="0" collapsed="false">
      <c r="A13764" s="3" t="s">
        <v>1129</v>
      </c>
      <c r="C13764" s="19" t="n">
        <v>0</v>
      </c>
    </row>
    <row r="13765" customFormat="false" ht="15" hidden="false" customHeight="false" outlineLevel="0" collapsed="false">
      <c r="A13765" s="3" t="s">
        <v>1130</v>
      </c>
      <c r="C13765" s="15" t="n">
        <v>0</v>
      </c>
    </row>
    <row r="13767" customFormat="false" ht="15" hidden="false" customHeight="false" outlineLevel="0" collapsed="false">
      <c r="A13767" s="24" t="s">
        <v>301</v>
      </c>
      <c r="B13767" s="25"/>
      <c r="C13767" s="25"/>
      <c r="D13767" s="25"/>
      <c r="E13767" s="25"/>
      <c r="F13767" s="25"/>
      <c r="G13767" s="25"/>
      <c r="H13767" s="25"/>
      <c r="I13767" s="25"/>
      <c r="J13767" s="25"/>
      <c r="K13767" s="25"/>
    </row>
    <row r="13768" customFormat="false" ht="15" hidden="false" customHeight="false" outlineLevel="0" collapsed="false">
      <c r="A13768" s="3" t="s">
        <v>302</v>
      </c>
      <c r="F13768" s="27" t="n">
        <f aca="false">Assumptions!$C$6</f>
        <v>2026</v>
      </c>
      <c r="G13768" s="21" t="n">
        <f aca="false">F13768+1</f>
        <v>2027</v>
      </c>
      <c r="H13768" s="21" t="n">
        <f aca="false">G13768+1</f>
        <v>2028</v>
      </c>
      <c r="I13768" s="21" t="n">
        <f aca="false">H13768+1</f>
        <v>2029</v>
      </c>
      <c r="J13768" s="21" t="n">
        <f aca="false">I13768+1</f>
        <v>2030</v>
      </c>
      <c r="K13768" s="21" t="n">
        <f aca="false">J13768+1</f>
        <v>2031</v>
      </c>
    </row>
    <row r="13769" customFormat="false" ht="15" hidden="false" customHeight="false" outlineLevel="0" collapsed="false">
      <c r="A13769" s="3" t="s">
        <v>303</v>
      </c>
      <c r="G13769" s="21" t="n">
        <f aca="false">G13768-Assumptions!$C$6</f>
        <v>1</v>
      </c>
      <c r="H13769" s="21" t="n">
        <f aca="false">H13768-Assumptions!$C$6</f>
        <v>2</v>
      </c>
      <c r="I13769" s="21" t="n">
        <f aca="false">I13768-Assumptions!$C$6</f>
        <v>3</v>
      </c>
      <c r="J13769" s="21" t="n">
        <f aca="false">J13768-Assumptions!$C$6</f>
        <v>4</v>
      </c>
      <c r="K13769" s="21" t="n">
        <f aca="false">K13768-Assumptions!$C$6</f>
        <v>5</v>
      </c>
    </row>
    <row r="13770" customFormat="false" ht="15" hidden="false" customHeight="false" outlineLevel="0" collapsed="false">
      <c r="A13770" s="3" t="s">
        <v>180</v>
      </c>
      <c r="G13770" s="22" t="n">
        <f aca="false">CHOOSE($C$13761,Assumptions!$G$79,Assumptions!$G$98,Assumptions!$G$117)+$C$13762</f>
        <v>0.02</v>
      </c>
      <c r="H13770" s="22" t="n">
        <f aca="false">CHOOSE($C$13761,Assumptions!$H$79,Assumptions!$H$98,Assumptions!$H$117)+$C$13762</f>
        <v>0.07</v>
      </c>
      <c r="I13770" s="22" t="n">
        <f aca="false">CHOOSE($C$13761,Assumptions!$I$79,Assumptions!$I$98,Assumptions!$I$117)+$C$13762</f>
        <v>0.07</v>
      </c>
      <c r="J13770" s="22" t="n">
        <f aca="false">CHOOSE($C$13761,Assumptions!$J$79,Assumptions!$J$98,Assumptions!$J$117)+$C$13762</f>
        <v>0.07</v>
      </c>
      <c r="K13770" s="22" t="n">
        <f aca="false">CHOOSE($C$13761,Assumptions!$K$79,Assumptions!$K$98,Assumptions!$K$117)+$C$13762</f>
        <v>0.07</v>
      </c>
    </row>
    <row r="13771" customFormat="false" ht="15" hidden="false" customHeight="false" outlineLevel="0" collapsed="false">
      <c r="A13771" s="3" t="s">
        <v>181</v>
      </c>
      <c r="G13771" s="22" t="n">
        <f aca="false">CHOOSE($C$13761,Assumptions!$G$80,Assumptions!$G$99,Assumptions!$G$118)</f>
        <v>0.603920660818678</v>
      </c>
      <c r="H13771" s="22" t="n">
        <f aca="false">CHOOSE($C$13761,Assumptions!$H$80,Assumptions!$H$99,Assumptions!$H$118)</f>
        <v>0.606920660818678</v>
      </c>
      <c r="I13771" s="22" t="n">
        <f aca="false">CHOOSE($C$13761,Assumptions!$I$80,Assumptions!$I$99,Assumptions!$I$118)</f>
        <v>0.609920660818678</v>
      </c>
      <c r="J13771" s="22" t="n">
        <f aca="false">CHOOSE($C$13761,Assumptions!$J$80,Assumptions!$J$99,Assumptions!$J$118)</f>
        <v>0.611920660818678</v>
      </c>
      <c r="K13771" s="22" t="n">
        <f aca="false">CHOOSE($C$13761,Assumptions!$K$80,Assumptions!$K$99,Assumptions!$K$118)</f>
        <v>0.613920660818678</v>
      </c>
    </row>
    <row r="13772" customFormat="false" ht="15" hidden="false" customHeight="false" outlineLevel="0" collapsed="false">
      <c r="A13772" s="3" t="s">
        <v>182</v>
      </c>
      <c r="G13772" s="22" t="n">
        <f aca="false">CHOOSE($C$13761,Assumptions!$G$81,Assumptions!$G$100,Assumptions!$G$119)+$C$13763</f>
        <v>0.53</v>
      </c>
      <c r="H13772" s="22" t="n">
        <f aca="false">CHOOSE($C$13761,Assumptions!$H$81,Assumptions!$H$100,Assumptions!$H$119)+$C$13763</f>
        <v>0.533</v>
      </c>
      <c r="I13772" s="22" t="n">
        <f aca="false">CHOOSE($C$13761,Assumptions!$I$81,Assumptions!$I$100,Assumptions!$I$119)+$C$13763</f>
        <v>0.536</v>
      </c>
      <c r="J13772" s="22" t="n">
        <f aca="false">CHOOSE($C$13761,Assumptions!$J$81,Assumptions!$J$100,Assumptions!$J$119)+$C$13763</f>
        <v>0.538</v>
      </c>
      <c r="K13772" s="22" t="n">
        <f aca="false">CHOOSE($C$13761,Assumptions!$K$81,Assumptions!$K$100,Assumptions!$K$119)+$C$13763</f>
        <v>0.54</v>
      </c>
    </row>
    <row r="13773" customFormat="false" ht="15" hidden="false" customHeight="false" outlineLevel="0" collapsed="false">
      <c r="A13773" s="24" t="s">
        <v>304</v>
      </c>
      <c r="B13773" s="25"/>
      <c r="C13773" s="25"/>
      <c r="D13773" s="25"/>
      <c r="E13773" s="25"/>
      <c r="F13773" s="25"/>
      <c r="G13773" s="25"/>
      <c r="H13773" s="25"/>
      <c r="I13773" s="25"/>
      <c r="J13773" s="25"/>
      <c r="K13773" s="25"/>
    </row>
    <row r="13774" customFormat="false" ht="15" hidden="false" customHeight="false" outlineLevel="0" collapsed="false">
      <c r="A13774" s="2" t="s">
        <v>275</v>
      </c>
      <c r="F13774" s="28" t="n">
        <f aca="false">'Historical Financials'!G25</f>
        <v>498.291</v>
      </c>
      <c r="G13774" s="17" t="n">
        <f aca="false">F13774*(1+G13770)</f>
        <v>508.25682</v>
      </c>
      <c r="H13774" s="17" t="n">
        <f aca="false">G13774*(1+H13770)</f>
        <v>543.8347974</v>
      </c>
      <c r="I13774" s="17" t="n">
        <f aca="false">H13774*(1+I13770)</f>
        <v>581.903233218</v>
      </c>
      <c r="J13774" s="17" t="n">
        <f aca="false">I13774*(1+J13770)</f>
        <v>622.63645954326</v>
      </c>
      <c r="K13774" s="17" t="n">
        <f aca="false">J13774*(1+K13770)</f>
        <v>666.221011711288</v>
      </c>
    </row>
    <row r="13775" customFormat="false" ht="15" hidden="false" customHeight="false" outlineLevel="0" collapsed="false">
      <c r="A13775" s="3" t="s">
        <v>276</v>
      </c>
      <c r="G13775" s="16" t="n">
        <f aca="false">G13774*(1-G13771)</f>
        <v>201.3100254</v>
      </c>
      <c r="H13775" s="16" t="n">
        <f aca="false">H13774*(1-H13771)</f>
        <v>213.7702227858</v>
      </c>
      <c r="I13775" s="16" t="n">
        <f aca="false">I13774*(1-I13771)</f>
        <v>226.988428681152</v>
      </c>
      <c r="J13775" s="16" t="n">
        <f aca="false">J13774*(1-J13771)</f>
        <v>241.632345769746</v>
      </c>
      <c r="K13775" s="16" t="n">
        <f aca="false">K13774*(1-K13771)</f>
        <v>257.214167950206</v>
      </c>
    </row>
    <row r="13776" customFormat="false" ht="15" hidden="false" customHeight="false" outlineLevel="0" collapsed="false">
      <c r="A13776" s="2" t="s">
        <v>277</v>
      </c>
      <c r="G13776" s="17" t="n">
        <f aca="false">G13774-G13775</f>
        <v>306.9467946</v>
      </c>
      <c r="H13776" s="17" t="n">
        <f aca="false">H13774-H13775</f>
        <v>330.0645746142</v>
      </c>
      <c r="I13776" s="17" t="n">
        <f aca="false">I13774-I13775</f>
        <v>354.914804536848</v>
      </c>
      <c r="J13776" s="17" t="n">
        <f aca="false">J13774-J13775</f>
        <v>381.004113773514</v>
      </c>
      <c r="K13776" s="17" t="n">
        <f aca="false">K13774-K13775</f>
        <v>409.006843761083</v>
      </c>
    </row>
    <row r="13777" customFormat="false" ht="15" hidden="false" customHeight="false" outlineLevel="0" collapsed="false">
      <c r="A13777" s="3" t="s">
        <v>305</v>
      </c>
      <c r="G13777" s="16" t="n">
        <f aca="false">G13776-G13778</f>
        <v>37.57068</v>
      </c>
      <c r="H13777" s="16" t="n">
        <f aca="false">H13776-H13778</f>
        <v>40.2006276</v>
      </c>
      <c r="I13777" s="16" t="n">
        <f aca="false">I13776-I13778</f>
        <v>43.014671532</v>
      </c>
      <c r="J13777" s="16" t="n">
        <f aca="false">J13776-J13778</f>
        <v>46.02569853924</v>
      </c>
      <c r="K13777" s="16" t="n">
        <f aca="false">K13776-K13778</f>
        <v>49.2474974369868</v>
      </c>
    </row>
    <row r="13778" customFormat="false" ht="15" hidden="false" customHeight="false" outlineLevel="0" collapsed="false">
      <c r="A13778" s="2" t="s">
        <v>306</v>
      </c>
      <c r="G13778" s="17" t="n">
        <f aca="false">G13774*G13772</f>
        <v>269.3761146</v>
      </c>
      <c r="H13778" s="17" t="n">
        <f aca="false">H13774*H13772</f>
        <v>289.8639470142</v>
      </c>
      <c r="I13778" s="17" t="n">
        <f aca="false">I13774*I13772</f>
        <v>311.900133004848</v>
      </c>
      <c r="J13778" s="17" t="n">
        <f aca="false">J13774*J13772</f>
        <v>334.978415234274</v>
      </c>
      <c r="K13778" s="17" t="n">
        <f aca="false">K13774*K13772</f>
        <v>359.759346324096</v>
      </c>
    </row>
    <row r="13779" customFormat="false" ht="15" hidden="false" customHeight="false" outlineLevel="0" collapsed="false">
      <c r="A13779" s="3" t="s">
        <v>307</v>
      </c>
      <c r="G13779" s="16" t="n">
        <f aca="false">G13774*'Historical Financials'!G30/'Historical Financials'!G25</f>
        <v>188.99886</v>
      </c>
      <c r="H13779" s="16" t="n">
        <f aca="false">H13774*'Historical Financials'!G30/'Historical Financials'!G25</f>
        <v>202.2287802</v>
      </c>
      <c r="I13779" s="16" t="n">
        <f aca="false">I13774*'Historical Financials'!G30/'Historical Financials'!G25</f>
        <v>216.384794814</v>
      </c>
      <c r="J13779" s="16" t="n">
        <f aca="false">J13774*'Historical Financials'!G30/'Historical Financials'!G25</f>
        <v>231.53173045098</v>
      </c>
      <c r="K13779" s="16" t="n">
        <f aca="false">K13774*'Historical Financials'!G30/'Historical Financials'!G25</f>
        <v>247.738951582549</v>
      </c>
    </row>
    <row r="13780" customFormat="false" ht="15" hidden="false" customHeight="false" outlineLevel="0" collapsed="false">
      <c r="A13780" s="3" t="s">
        <v>308</v>
      </c>
      <c r="G13780" s="16" t="n">
        <f aca="false">G13774*'Historical Financials'!G31/'Historical Financials'!G25</f>
        <v>0</v>
      </c>
      <c r="H13780" s="16" t="n">
        <f aca="false">H13774*'Historical Financials'!G31/'Historical Financials'!G25</f>
        <v>0</v>
      </c>
      <c r="I13780" s="16" t="n">
        <f aca="false">I13774*'Historical Financials'!G31/'Historical Financials'!G25</f>
        <v>0</v>
      </c>
      <c r="J13780" s="16" t="n">
        <f aca="false">J13774*'Historical Financials'!G31/'Historical Financials'!G25</f>
        <v>0</v>
      </c>
      <c r="K13780" s="16" t="n">
        <f aca="false">K13774*'Historical Financials'!G31/'Historical Financials'!G25</f>
        <v>0</v>
      </c>
    </row>
    <row r="13781" customFormat="false" ht="15" hidden="false" customHeight="false" outlineLevel="0" collapsed="false">
      <c r="A13781" s="2" t="s">
        <v>309</v>
      </c>
      <c r="G13781" s="17" t="n">
        <f aca="false">G13778-G13779-G13780</f>
        <v>80.3772546</v>
      </c>
      <c r="H13781" s="17" t="n">
        <f aca="false">H13778-H13779-H13780</f>
        <v>87.6351668142</v>
      </c>
      <c r="I13781" s="17" t="n">
        <f aca="false">I13778-I13779-I13780</f>
        <v>95.515338190848</v>
      </c>
      <c r="J13781" s="17" t="n">
        <f aca="false">J13778-J13779-J13780</f>
        <v>103.446684783294</v>
      </c>
      <c r="K13781" s="17" t="n">
        <f aca="false">K13778-K13779-K13780</f>
        <v>112.020394741547</v>
      </c>
    </row>
    <row r="13782" customFormat="false" ht="15" hidden="false" customHeight="false" outlineLevel="0" collapsed="false">
      <c r="A13782" s="3" t="s">
        <v>310</v>
      </c>
      <c r="G13782" s="16" t="n">
        <f aca="false">G13808+G13821+G13834+G13847+G13860+G13873+G13886+G13899+G13912+G13925</f>
        <v>180.2096854</v>
      </c>
      <c r="H13782" s="16" t="n">
        <f aca="false">H13808+H13821+H13834+H13847+H13860+H13873+H13886+H13899+H13912+H13925</f>
        <v>179.1317704</v>
      </c>
      <c r="I13782" s="16" t="n">
        <f aca="false">I13808+I13821+I13834+I13847+I13860+I13873+I13886+I13899+I13912+I13925</f>
        <v>190.163975634224</v>
      </c>
      <c r="J13782" s="16" t="n">
        <f aca="false">J13808+J13821+J13834+J13847+J13860+J13873+J13886+J13899+J13912+J13925</f>
        <v>188.944828401529</v>
      </c>
      <c r="K13782" s="16" t="n">
        <f aca="false">K13808+K13821+K13834+K13847+K13860+K13873+K13886+K13899+K13912+K13925</f>
        <v>205.744743986852</v>
      </c>
    </row>
    <row r="13783" customFormat="false" ht="15" hidden="false" customHeight="false" outlineLevel="0" collapsed="false">
      <c r="A13783" s="3" t="s">
        <v>311</v>
      </c>
      <c r="G13783" s="16" t="n">
        <f aca="false">G13809+G13822+G13835+G13848+G13861+G13874+G13887+G13900+G13913+G13926</f>
        <v>0</v>
      </c>
      <c r="H13783" s="16" t="n">
        <f aca="false">H13809+H13822+H13835+H13848+H13861+H13874+H13887+H13900+H13913+H13926</f>
        <v>0</v>
      </c>
      <c r="I13783" s="16" t="n">
        <f aca="false">I13809+I13822+I13835+I13848+I13861+I13874+I13887+I13900+I13913+I13926</f>
        <v>0</v>
      </c>
      <c r="J13783" s="16" t="n">
        <f aca="false">J13809+J13822+J13835+J13848+J13861+J13874+J13887+J13900+J13913+J13926</f>
        <v>0</v>
      </c>
      <c r="K13783" s="16" t="n">
        <f aca="false">K13809+K13822+K13835+K13848+K13861+K13874+K13887+K13900+K13913+K13926</f>
        <v>0</v>
      </c>
    </row>
    <row r="13784" customFormat="false" ht="15" hidden="false" customHeight="false" outlineLevel="0" collapsed="false">
      <c r="A13784" s="3" t="s">
        <v>283</v>
      </c>
      <c r="G13784" s="16" t="n">
        <f aca="false">G13782+G13783</f>
        <v>180.2096854</v>
      </c>
      <c r="H13784" s="16" t="n">
        <f aca="false">H13782+H13783</f>
        <v>179.1317704</v>
      </c>
      <c r="I13784" s="16" t="n">
        <f aca="false">I13782+I13783</f>
        <v>190.163975634224</v>
      </c>
      <c r="J13784" s="16" t="n">
        <f aca="false">J13782+J13783</f>
        <v>188.944828401529</v>
      </c>
      <c r="K13784" s="16" t="n">
        <f aca="false">K13782+K13783</f>
        <v>205.744743986852</v>
      </c>
    </row>
    <row r="13785" customFormat="false" ht="15" hidden="false" customHeight="false" outlineLevel="0" collapsed="false">
      <c r="A13785" s="2" t="s">
        <v>284</v>
      </c>
      <c r="G13785" s="17" t="n">
        <f aca="false">G13781-G13784</f>
        <v>-99.8324308</v>
      </c>
      <c r="H13785" s="17" t="n">
        <f aca="false">H13781-H13784</f>
        <v>-91.4966035858</v>
      </c>
      <c r="I13785" s="17" t="n">
        <f aca="false">I13781-I13784</f>
        <v>-94.648637443376</v>
      </c>
      <c r="J13785" s="17" t="n">
        <f aca="false">J13781-J13784</f>
        <v>-85.4981436182354</v>
      </c>
      <c r="K13785" s="17" t="n">
        <f aca="false">K13781-K13784</f>
        <v>-93.7243492453046</v>
      </c>
    </row>
    <row r="13786" customFormat="false" ht="15" hidden="false" customHeight="false" outlineLevel="0" collapsed="false">
      <c r="A13786" s="3" t="s">
        <v>312</v>
      </c>
      <c r="G13786" s="16" t="n">
        <f aca="false">MAX(0,G13785)*Assumptions!$C$9</f>
        <v>0</v>
      </c>
      <c r="H13786" s="16" t="n">
        <f aca="false">MAX(0,H13785)*Assumptions!$C$9</f>
        <v>0</v>
      </c>
      <c r="I13786" s="16" t="n">
        <f aca="false">MAX(0,I13785)*Assumptions!$C$9</f>
        <v>0</v>
      </c>
      <c r="J13786" s="16" t="n">
        <f aca="false">MAX(0,J13785)*Assumptions!$C$9</f>
        <v>0</v>
      </c>
      <c r="K13786" s="16" t="n">
        <f aca="false">MAX(0,K13785)*Assumptions!$C$9</f>
        <v>0</v>
      </c>
    </row>
    <row r="13787" customFormat="false" ht="15" hidden="false" customHeight="false" outlineLevel="0" collapsed="false">
      <c r="A13787" s="2" t="s">
        <v>313</v>
      </c>
      <c r="G13787" s="17" t="n">
        <f aca="false">G13785-G13786</f>
        <v>-99.8324308</v>
      </c>
      <c r="H13787" s="17" t="n">
        <f aca="false">H13785-H13786</f>
        <v>-91.4966035858</v>
      </c>
      <c r="I13787" s="17" t="n">
        <f aca="false">I13785-I13786</f>
        <v>-94.648637443376</v>
      </c>
      <c r="J13787" s="17" t="n">
        <f aca="false">J13785-J13786</f>
        <v>-85.4981436182354</v>
      </c>
      <c r="K13787" s="17" t="n">
        <f aca="false">K13785-K13786</f>
        <v>-93.7243492453046</v>
      </c>
    </row>
    <row r="13788" customFormat="false" ht="15" hidden="false" customHeight="false" outlineLevel="0" collapsed="false">
      <c r="A13788" s="24" t="s">
        <v>314</v>
      </c>
      <c r="B13788" s="25"/>
      <c r="C13788" s="25"/>
      <c r="D13788" s="25"/>
      <c r="E13788" s="25"/>
      <c r="F13788" s="25"/>
      <c r="G13788" s="25"/>
      <c r="H13788" s="25"/>
      <c r="I13788" s="25"/>
      <c r="J13788" s="25"/>
      <c r="K13788" s="25"/>
    </row>
    <row r="13789" customFormat="false" ht="15" hidden="false" customHeight="false" outlineLevel="0" collapsed="false">
      <c r="A13789" s="3" t="s">
        <v>184</v>
      </c>
      <c r="G13789" s="16" t="n">
        <f aca="false">G13774*CHOOSE($C$13761,Assumptions!$C$83,Assumptions!$C$102,Assumptions!$C$121)</f>
        <v>111.8165004</v>
      </c>
      <c r="H13789" s="16" t="n">
        <f aca="false">H13774*CHOOSE($C$13761,Assumptions!$C$83,Assumptions!$C$102,Assumptions!$C$121)</f>
        <v>119.643655428</v>
      </c>
      <c r="I13789" s="16" t="n">
        <f aca="false">I13774*CHOOSE($C$13761,Assumptions!$C$83,Assumptions!$C$102,Assumptions!$C$121)</f>
        <v>128.01871130796</v>
      </c>
      <c r="J13789" s="16" t="n">
        <f aca="false">J13774*CHOOSE($C$13761,Assumptions!$C$83,Assumptions!$C$102,Assumptions!$C$121)</f>
        <v>136.980021099517</v>
      </c>
      <c r="K13789" s="16" t="n">
        <f aca="false">K13774*CHOOSE($C$13761,Assumptions!$C$83,Assumptions!$C$102,Assumptions!$C$121)</f>
        <v>146.568622576483</v>
      </c>
    </row>
    <row r="13790" customFormat="false" ht="15" hidden="false" customHeight="false" outlineLevel="0" collapsed="false">
      <c r="A13790" s="3" t="s">
        <v>315</v>
      </c>
      <c r="G13790" s="16" t="n">
        <f aca="false">CHOOSE($C$13761,Assumptions!$C$84,Assumptions!$C$103,Assumptions!$C$122)*(G13774-F13774)+CHOOSE($C$13761,Assumptions!$C$85,Assumptions!$C$104,Assumptions!$C$123)*G13774</f>
        <v>55.9082502</v>
      </c>
      <c r="H13790" s="16" t="n">
        <f aca="false">CHOOSE($C$13761,Assumptions!$C$84,Assumptions!$C$103,Assumptions!$C$122)*(H13774-G13774)+CHOOSE($C$13761,Assumptions!$C$85,Assumptions!$C$104,Assumptions!$C$123)*H13774</f>
        <v>59.821827714</v>
      </c>
      <c r="I13790" s="16" t="n">
        <f aca="false">CHOOSE($C$13761,Assumptions!$C$84,Assumptions!$C$103,Assumptions!$C$122)*(I13774-H13774)+CHOOSE($C$13761,Assumptions!$C$85,Assumptions!$C$104,Assumptions!$C$123)*I13774</f>
        <v>64.00935565398</v>
      </c>
      <c r="J13790" s="16" t="n">
        <f aca="false">CHOOSE($C$13761,Assumptions!$C$84,Assumptions!$C$103,Assumptions!$C$122)*(J13774-I13774)+CHOOSE($C$13761,Assumptions!$C$85,Assumptions!$C$104,Assumptions!$C$123)*J13774</f>
        <v>68.4900105497586</v>
      </c>
      <c r="K13790" s="16" t="n">
        <f aca="false">CHOOSE($C$13761,Assumptions!$C$84,Assumptions!$C$103,Assumptions!$C$122)*(K13774-J13774)+CHOOSE($C$13761,Assumptions!$C$85,Assumptions!$C$104,Assumptions!$C$123)*K13774</f>
        <v>73.2843112882417</v>
      </c>
    </row>
    <row r="13791" customFormat="false" ht="15" hidden="false" customHeight="false" outlineLevel="0" collapsed="false">
      <c r="A13791" s="2" t="s">
        <v>316</v>
      </c>
      <c r="G13791" s="17" t="n">
        <f aca="false">G13787+G13779+G13780+G13783-G13789-G13790</f>
        <v>-78.5583214</v>
      </c>
      <c r="H13791" s="17" t="n">
        <f aca="false">H13787+H13779+H13780+H13783-H13789-H13790</f>
        <v>-68.7333065278</v>
      </c>
      <c r="I13791" s="17" t="n">
        <f aca="false">I13787+I13779+I13780+I13783-I13789-I13790</f>
        <v>-70.291909591316</v>
      </c>
      <c r="J13791" s="17" t="n">
        <f aca="false">J13787+J13779+J13780+J13783-J13789-J13790</f>
        <v>-59.4364448165312</v>
      </c>
      <c r="K13791" s="17" t="n">
        <f aca="false">K13787+K13779+K13780+K13783-K13789-K13790</f>
        <v>-65.8383315274812</v>
      </c>
    </row>
    <row r="13793" customFormat="false" ht="15" hidden="false" customHeight="false" outlineLevel="0" collapsed="false">
      <c r="A13793" s="24" t="s">
        <v>318</v>
      </c>
      <c r="B13793" s="25"/>
      <c r="C13793" s="25"/>
      <c r="D13793" s="25"/>
      <c r="E13793" s="25"/>
      <c r="F13793" s="25"/>
      <c r="G13793" s="25"/>
      <c r="H13793" s="25"/>
      <c r="I13793" s="25"/>
      <c r="J13793" s="25"/>
      <c r="K13793" s="25"/>
    </row>
    <row r="13794" customFormat="false" ht="15" hidden="false" customHeight="false" outlineLevel="0" collapsed="false">
      <c r="A13794" s="3" t="s">
        <v>319</v>
      </c>
      <c r="G13794" s="30" t="n">
        <f aca="false">Assumptions!$G$53</f>
        <v>0.039</v>
      </c>
      <c r="H13794" s="30" t="n">
        <f aca="false">Assumptions!$H$53</f>
        <v>0.0375</v>
      </c>
      <c r="I13794" s="30" t="n">
        <f aca="false">Assumptions!$I$53</f>
        <v>0.035</v>
      </c>
      <c r="J13794" s="30" t="n">
        <f aca="false">Assumptions!$J$53</f>
        <v>0.035</v>
      </c>
      <c r="K13794" s="30" t="n">
        <f aca="false">Assumptions!$K$53</f>
        <v>0.035</v>
      </c>
    </row>
    <row r="13795" customFormat="false" ht="15" hidden="false" customHeight="false" outlineLevel="0" collapsed="false">
      <c r="A13795" s="3" t="s">
        <v>320</v>
      </c>
      <c r="C13795" s="31" t="n">
        <f aca="false">CHOOSE($C$13761,Assumptions!$C$86,Assumptions!$C$105,Assumptions!$C$124)+$C$13764</f>
        <v>0</v>
      </c>
    </row>
    <row r="13796" customFormat="false" ht="15" hidden="false" customHeight="false" outlineLevel="0" collapsed="false">
      <c r="A13796" s="3" t="s">
        <v>321</v>
      </c>
      <c r="C13796" s="31" t="n">
        <f aca="false">CHOOSE($C$13761,Assumptions!$C$87,Assumptions!$C$106,Assumptions!$C$125)</f>
        <v>0.08</v>
      </c>
    </row>
    <row r="13797" customFormat="false" ht="15" hidden="false" customHeight="false" outlineLevel="0" collapsed="false">
      <c r="A13797" s="3" t="s">
        <v>322</v>
      </c>
      <c r="C13797" s="32" t="n">
        <f aca="false">CHOOSE($C$13761,Assumptions!$C$88,Assumptions!$C$107,Assumptions!$C$126)</f>
        <v>11</v>
      </c>
    </row>
    <row r="13798" customFormat="false" ht="15" hidden="false" customHeight="false" outlineLevel="0" collapsed="false">
      <c r="A13798" s="3" t="s">
        <v>323</v>
      </c>
      <c r="C13798" s="32" t="n">
        <f aca="false">CHOOSE($C$13761,Assumptions!$C$89,Assumptions!$C$108,Assumptions!$C$127)</f>
        <v>1.2</v>
      </c>
    </row>
    <row r="13799" customFormat="false" ht="15" hidden="false" customHeight="false" outlineLevel="0" collapsed="false">
      <c r="A13799" s="3" t="s">
        <v>324</v>
      </c>
      <c r="G13799" s="16" t="n">
        <f aca="false">G13804+G13817+G13830+G13843+G13856+G13869+G13882+G13895+G13908+G13921</f>
        <v>2625.934</v>
      </c>
      <c r="H13799" s="16" t="n">
        <f aca="false">H13804+H13817+H13830+H13843+H13856+H13869+H13882+H13895+H13908+H13921</f>
        <v>2621.934</v>
      </c>
      <c r="I13799" s="16" t="n">
        <f aca="false">I13804+I13817+I13830+I13843+I13856+I13869+I13882+I13895+I13908+I13921</f>
        <v>2560.3556279278</v>
      </c>
      <c r="J13799" s="16" t="n">
        <f aca="false">J13804+J13817+J13830+J13843+J13856+J13869+J13882+J13895+J13908+J13921</f>
        <v>2605.64753751912</v>
      </c>
      <c r="K13799" s="16" t="n">
        <f aca="false">K13804+K13817+K13830+K13843+K13856+K13869+K13882+K13895+K13908+K13921</f>
        <v>2665.08398233565</v>
      </c>
    </row>
    <row r="13800" customFormat="false" ht="15" hidden="false" customHeight="false" outlineLevel="0" collapsed="false">
      <c r="A13800" s="3" t="s">
        <v>325</v>
      </c>
      <c r="G13800" s="16" t="n">
        <f aca="false">F13992</f>
        <v>37.87</v>
      </c>
      <c r="H13800" s="16" t="n">
        <f aca="false">G13992</f>
        <v>155.3116786</v>
      </c>
      <c r="I13800" s="16" t="n">
        <f aca="false">H13992</f>
        <v>25</v>
      </c>
      <c r="J13800" s="16" t="n">
        <f aca="false">I13992</f>
        <v>0</v>
      </c>
      <c r="K13800" s="16" t="n">
        <f aca="false">J13992</f>
        <v>0</v>
      </c>
    </row>
    <row r="13801" customFormat="false" ht="15" hidden="false" customHeight="false" outlineLevel="0" collapsed="false">
      <c r="A13801" s="3" t="s">
        <v>326</v>
      </c>
      <c r="G13801" s="16" t="n">
        <f aca="false">G13804*IF(G13805=1,$C$13796,IF(Assumptions!$I$57=1,MAX(G13794,Assumptions!$G$57)+Assumptions!$F$57+$C$13795,Assumptions!$E$57))+G13817*IF(G13818=1,$C$13796,IF(Assumptions!$I$58=1,MAX(G13794,Assumptions!$G$58)+Assumptions!$F$58+$C$13795,Assumptions!$E$58))+G13830*IF(G13831=1,$C$13796,IF(Assumptions!$I$59=1,MAX(G13794,Assumptions!$G$59)+Assumptions!$F$59+$C$13795,Assumptions!$E$59))+G13843*IF(G13844=1,$C$13796,IF(Assumptions!$I$60=1,MAX(G13794,Assumptions!$G$60)+Assumptions!$F$60+$C$13795,Assumptions!$E$60))+G13856*IF(G13857=1,$C$13796,IF(Assumptions!$I$61=1,MAX(G13794,Assumptions!$G$61)+Assumptions!$F$61+$C$13795,Assumptions!$E$61))+G13869*IF(G13870=1,$C$13796,IF(Assumptions!$I$62=1,MAX(G13794,Assumptions!$G$62)+Assumptions!$F$62+$C$13795,Assumptions!$E$62))+G13882*IF(G13883=1,$C$13796,IF(Assumptions!$I$63=1,MAX(G13794,Assumptions!$G$63)+Assumptions!$F$63+$C$13795,Assumptions!$E$63))+G13895*IF(G13896=1,$C$13796,IF(Assumptions!$I$64=1,MAX(G13794,Assumptions!$G$64)+Assumptions!$F$64+$C$13795,Assumptions!$E$64))+G13908*IF(G13909=1,$C$13796,IF(Assumptions!$I$65=1,MAX(G13794,Assumptions!$G$65)+Assumptions!$F$65+$C$13795,Assumptions!$E$65))+G13921*IF(G13922=1,$C$13796,IF(Assumptions!$I$66=1,MAX(G13794,Assumptions!$G$66)+Assumptions!$F$66+$C$13795,Assumptions!$E$66))</f>
        <v>180.2096854</v>
      </c>
      <c r="H13801" s="16" t="n">
        <f aca="false">H13804*IF(OR(H13805=1,G14114=1),$C$13796,IF(Assumptions!$I$57=1,MAX(H13794,Assumptions!$G$57)+Assumptions!$F$57+$C$13795,Assumptions!$E$57))+H13817*IF(OR(H13818=1,G14115=1),$C$13796,IF(Assumptions!$I$58=1,MAX(H13794,Assumptions!$G$58)+Assumptions!$F$58+$C$13795,Assumptions!$E$58))+H13830*IF(OR(H13831=1,G14116=1),$C$13796,IF(Assumptions!$I$59=1,MAX(H13794,Assumptions!$G$59)+Assumptions!$F$59+$C$13795,Assumptions!$E$59))+H13843*IF(OR(H13844=1,G14117=1),$C$13796,IF(Assumptions!$I$60=1,MAX(H13794,Assumptions!$G$60)+Assumptions!$F$60+$C$13795,Assumptions!$E$60))+H13856*IF(OR(H13857=1,G14118=1),$C$13796,IF(Assumptions!$I$61=1,MAX(H13794,Assumptions!$G$61)+Assumptions!$F$61+$C$13795,Assumptions!$E$61))+H13869*IF(OR(H13870=1,G14119=1),$C$13796,IF(Assumptions!$I$62=1,MAX(H13794,Assumptions!$G$62)+Assumptions!$F$62+$C$13795,Assumptions!$E$62))+H13882*IF(OR(H13883=1,G14120=1),$C$13796,IF(Assumptions!$I$63=1,MAX(H13794,Assumptions!$G$63)+Assumptions!$F$63+$C$13795,Assumptions!$E$63))+H13895*IF(OR(H13896=1,G14121=1),$C$13796,IF(Assumptions!$I$64=1,MAX(H13794,Assumptions!$G$64)+Assumptions!$F$64+$C$13795,Assumptions!$E$64))+H13908*IF(OR(H13909=1,G14122=1),$C$13796,IF(Assumptions!$I$65=1,MAX(H13794,Assumptions!$G$65)+Assumptions!$F$65+$C$13795,Assumptions!$E$65))+H13921*IF(OR(H13922=1,G14123=1),$C$13796,IF(Assumptions!$I$66=1,MAX(H13794,Assumptions!$G$66)+Assumptions!$F$66+$C$13795,Assumptions!$E$66))</f>
        <v>196.3067704</v>
      </c>
      <c r="I13801" s="16" t="n">
        <f aca="false">I13804*IF(OR(I13805=1,H14114=1),$C$13796,IF(Assumptions!$I$57=1,MAX(I13794,Assumptions!$G$57)+Assumptions!$F$57+$C$13795,Assumptions!$E$57))+I13817*IF(OR(I13818=1,H14115=1),$C$13796,IF(Assumptions!$I$58=1,MAX(I13794,Assumptions!$G$58)+Assumptions!$F$58+$C$13795,Assumptions!$E$58))+I13830*IF(OR(I13831=1,H14116=1),$C$13796,IF(Assumptions!$I$59=1,MAX(I13794,Assumptions!$G$59)+Assumptions!$F$59+$C$13795,Assumptions!$E$59))+I13843*IF(OR(I13844=1,H14117=1),$C$13796,IF(Assumptions!$I$60=1,MAX(I13794,Assumptions!$G$60)+Assumptions!$F$60+$C$13795,Assumptions!$E$60))+I13856*IF(OR(I13857=1,H14118=1),$C$13796,IF(Assumptions!$I$61=1,MAX(I13794,Assumptions!$G$61)+Assumptions!$F$61+$C$13795,Assumptions!$E$61))+I13869*IF(OR(I13870=1,H14119=1),$C$13796,IF(Assumptions!$I$62=1,MAX(I13794,Assumptions!$G$62)+Assumptions!$F$62+$C$13795,Assumptions!$E$62))+I13882*IF(OR(I13883=1,H14120=1),$C$13796,IF(Assumptions!$I$63=1,MAX(I13794,Assumptions!$G$63)+Assumptions!$F$63+$C$13795,Assumptions!$E$63))+I13895*IF(OR(I13896=1,H14121=1),$C$13796,IF(Assumptions!$I$64=1,MAX(I13794,Assumptions!$G$64)+Assumptions!$F$64+$C$13795,Assumptions!$E$64))+I13908*IF(OR(I13909=1,H14122=1),$C$13796,IF(Assumptions!$I$65=1,MAX(I13794,Assumptions!$G$65)+Assumptions!$F$65+$C$13795,Assumptions!$E$65))+I13921*IF(OR(I13922=1,H14123=1),$C$13796,IF(Assumptions!$I$66=1,MAX(I13794,Assumptions!$G$66)+Assumptions!$F$66+$C$13795,Assumptions!$E$66))</f>
        <v>185.351475634224</v>
      </c>
      <c r="J13801" s="16" t="n">
        <f aca="false">J13804*IF(OR(J13805=1,I14114=1),$C$13796,IF(Assumptions!$I$57=1,MAX(J13794,Assumptions!$G$57)+Assumptions!$F$57+$C$13795,Assumptions!$E$57))+J13817*IF(OR(J13818=1,I14115=1),$C$13796,IF(Assumptions!$I$58=1,MAX(J13794,Assumptions!$G$58)+Assumptions!$F$58+$C$13795,Assumptions!$E$58))+J13830*IF(OR(J13831=1,I14116=1),$C$13796,IF(Assumptions!$I$59=1,MAX(J13794,Assumptions!$G$59)+Assumptions!$F$59+$C$13795,Assumptions!$E$59))+J13843*IF(OR(J13844=1,I14117=1),$C$13796,IF(Assumptions!$I$60=1,MAX(J13794,Assumptions!$G$60)+Assumptions!$F$60+$C$13795,Assumptions!$E$60))+J13856*IF(OR(J13857=1,I14118=1),$C$13796,IF(Assumptions!$I$61=1,MAX(J13794,Assumptions!$G$61)+Assumptions!$F$61+$C$13795,Assumptions!$E$61))+J13869*IF(OR(J13870=1,I14119=1),$C$13796,IF(Assumptions!$I$62=1,MAX(J13794,Assumptions!$G$62)+Assumptions!$F$62+$C$13795,Assumptions!$E$62))+J13882*IF(OR(J13883=1,I14120=1),$C$13796,IF(Assumptions!$I$63=1,MAX(J13794,Assumptions!$G$63)+Assumptions!$F$63+$C$13795,Assumptions!$E$63))+J13895*IF(OR(J13896=1,I14121=1),$C$13796,IF(Assumptions!$I$64=1,MAX(J13794,Assumptions!$G$64)+Assumptions!$F$64+$C$13795,Assumptions!$E$64))+J13908*IF(OR(J13909=1,I14122=1),$C$13796,IF(Assumptions!$I$65=1,MAX(J13794,Assumptions!$G$65)+Assumptions!$F$65+$C$13795,Assumptions!$E$65))+J13921*IF(OR(J13922=1,I14123=1),$C$13796,IF(Assumptions!$I$66=1,MAX(J13794,Assumptions!$G$66)+Assumptions!$F$66+$C$13795,Assumptions!$E$66))</f>
        <v>201.019828401529</v>
      </c>
      <c r="K13801" s="16" t="n">
        <f aca="false">K13804*IF(OR(K13805=1,J14114=1),$C$13796,IF(Assumptions!$I$57=1,MAX(K13794,Assumptions!$G$57)+Assumptions!$F$57+$C$13795,Assumptions!$E$57))+K13817*IF(OR(K13818=1,J14115=1),$C$13796,IF(Assumptions!$I$58=1,MAX(K13794,Assumptions!$G$58)+Assumptions!$F$58+$C$13795,Assumptions!$E$58))+K13830*IF(OR(K13831=1,J14116=1),$C$13796,IF(Assumptions!$I$59=1,MAX(K13794,Assumptions!$G$59)+Assumptions!$F$59+$C$13795,Assumptions!$E$59))+K13843*IF(OR(K13844=1,J14117=1),$C$13796,IF(Assumptions!$I$60=1,MAX(K13794,Assumptions!$G$60)+Assumptions!$F$60+$C$13795,Assumptions!$E$60))+K13856*IF(OR(K13857=1,J14118=1),$C$13796,IF(Assumptions!$I$61=1,MAX(K13794,Assumptions!$G$61)+Assumptions!$F$61+$C$13795,Assumptions!$E$61))+K13869*IF(OR(K13870=1,J14119=1),$C$13796,IF(Assumptions!$I$62=1,MAX(K13794,Assumptions!$G$62)+Assumptions!$F$62+$C$13795,Assumptions!$E$62))+K13882*IF(OR(K13883=1,J14120=1),$C$13796,IF(Assumptions!$I$63=1,MAX(K13794,Assumptions!$G$63)+Assumptions!$F$63+$C$13795,Assumptions!$E$63))+K13895*IF(OR(K13896=1,J14121=1),$C$13796,IF(Assumptions!$I$64=1,MAX(K13794,Assumptions!$G$64)+Assumptions!$F$64+$C$13795,Assumptions!$E$64))+K13908*IF(OR(K13909=1,J14122=1),$C$13796,IF(Assumptions!$I$65=1,MAX(K13794,Assumptions!$G$65)+Assumptions!$F$65+$C$13795,Assumptions!$E$65))+K13921*IF(OR(K13922=1,J14123=1),$C$13796,IF(Assumptions!$I$66=1,MAX(K13794,Assumptions!$G$66)+Assumptions!$F$66+$C$13795,Assumptions!$E$66))</f>
        <v>208.489743986852</v>
      </c>
    </row>
    <row r="13802" customFormat="false" ht="15" hidden="false" customHeight="false" outlineLevel="0" collapsed="false">
      <c r="A13802" s="3" t="s">
        <v>327</v>
      </c>
      <c r="G13802" s="21" t="n">
        <f aca="false">IF(G13778&lt;=0,0,IF(AND((G13799-G13800)/G13778&lt;=$C$13797,G13778/G13801&gt;=$C$13798),1,0))</f>
        <v>1</v>
      </c>
      <c r="H13802" s="21" t="n">
        <f aca="false">IF(H13778&lt;=0,0,IF(AND((H13799-H13800)/H13778&lt;=$C$13797,H13778/H13801&gt;=$C$13798),1,0))</f>
        <v>1</v>
      </c>
      <c r="I13802" s="21" t="n">
        <f aca="false">IF(I13778&lt;=0,0,IF(AND((I13799-I13800)/I13778&lt;=$C$13797,I13778/I13801&gt;=$C$13798),1,0))</f>
        <v>1</v>
      </c>
      <c r="J13802" s="21" t="n">
        <f aca="false">IF(J13778&lt;=0,0,IF(AND((J13799-J13800)/J13778&lt;=$C$13797,J13778/J13801&gt;=$C$13798),1,0))</f>
        <v>1</v>
      </c>
      <c r="K13802" s="21" t="n">
        <f aca="false">IF(K13778&lt;=0,0,IF(AND((K13799-K13800)/K13778&lt;=$C$13797,K13778/K13801&gt;=$C$13798),1,0))</f>
        <v>1</v>
      </c>
    </row>
    <row r="13803" customFormat="false" ht="15" hidden="false" customHeight="false" outlineLevel="0" collapsed="false">
      <c r="A13803" s="24" t="s">
        <v>328</v>
      </c>
      <c r="B13803" s="25"/>
      <c r="C13803" s="25"/>
      <c r="D13803" s="25"/>
      <c r="E13803" s="25"/>
      <c r="F13803" s="25"/>
      <c r="G13803" s="25"/>
      <c r="H13803" s="25"/>
      <c r="I13803" s="25"/>
      <c r="J13803" s="25"/>
      <c r="K13803" s="25"/>
    </row>
    <row r="13804" customFormat="false" ht="15" hidden="false" customHeight="false" outlineLevel="0" collapsed="false">
      <c r="A13804" s="3" t="s">
        <v>329</v>
      </c>
      <c r="G13804" s="16" t="n">
        <f aca="false">F13815</f>
        <v>400</v>
      </c>
      <c r="H13804" s="16" t="n">
        <f aca="false">G13815</f>
        <v>396</v>
      </c>
      <c r="I13804" s="16" t="n">
        <f aca="false">H13815</f>
        <v>392</v>
      </c>
      <c r="J13804" s="16" t="n">
        <f aca="false">I13815</f>
        <v>388</v>
      </c>
      <c r="K13804" s="16" t="n">
        <f aca="false">J13815</f>
        <v>384</v>
      </c>
    </row>
    <row r="13805" customFormat="false" ht="15" hidden="false" customHeight="false" outlineLevel="0" collapsed="false">
      <c r="A13805" s="3" t="s">
        <v>330</v>
      </c>
      <c r="G13805" s="21" t="n">
        <f aca="false">IF(G13768=Assumptions!$K$57,1,0)</f>
        <v>0</v>
      </c>
      <c r="H13805" s="21" t="n">
        <f aca="false">IF(H13768=Assumptions!$K$57,1,0)</f>
        <v>0</v>
      </c>
      <c r="I13805" s="21" t="n">
        <f aca="false">IF(I13768=Assumptions!$K$57,1,0)</f>
        <v>0</v>
      </c>
      <c r="J13805" s="21" t="n">
        <f aca="false">IF(J13768=Assumptions!$K$57,1,0)</f>
        <v>0</v>
      </c>
      <c r="K13805" s="21" t="n">
        <f aca="false">IF(K13768=Assumptions!$K$57,1,0)</f>
        <v>1</v>
      </c>
    </row>
    <row r="13807" customFormat="false" ht="15" hidden="false" customHeight="false" outlineLevel="0" collapsed="false">
      <c r="A13807" s="3" t="s">
        <v>331</v>
      </c>
      <c r="G13807" s="31" t="n">
        <f aca="false">IF(Assumptions!$I$57=1,MAX(G13794,Assumptions!$G$57)+Assumptions!$F$57+$C$13795,Assumptions!$E$57)</f>
        <v>0.0915</v>
      </c>
      <c r="H13807" s="31" t="n">
        <f aca="false">IF(G14114=1,$C$13796,IF(Assumptions!$I$57=1,MAX(H13794,Assumptions!$G$57)+Assumptions!$F$57+$C$13795,Assumptions!$E$57))</f>
        <v>0.09</v>
      </c>
      <c r="I13807" s="31" t="n">
        <f aca="false">IF(H14114=1,$C$13796,IF(Assumptions!$I$57=1,MAX(I13794,Assumptions!$G$57)+Assumptions!$F$57+$C$13795,Assumptions!$E$57))</f>
        <v>0.0875</v>
      </c>
      <c r="J13807" s="31" t="n">
        <f aca="false">IF(I14114=1,$C$13796,IF(Assumptions!$I$57=1,MAX(J13794,Assumptions!$G$57)+Assumptions!$F$57+$C$13795,Assumptions!$E$57))</f>
        <v>0.0875</v>
      </c>
      <c r="K13807" s="31" t="n">
        <f aca="false">IF(J14114=1,$C$13796,IF(Assumptions!$I$57=1,MAX(K13794,Assumptions!$G$57)+Assumptions!$F$57+$C$13795,Assumptions!$E$57))</f>
        <v>0.0875</v>
      </c>
    </row>
    <row r="13808" customFormat="false" ht="15" hidden="false" customHeight="false" outlineLevel="0" collapsed="false">
      <c r="A13808" s="3" t="s">
        <v>332</v>
      </c>
      <c r="G13808" s="16" t="n">
        <f aca="false">G13804*G13807</f>
        <v>36.6</v>
      </c>
      <c r="H13808" s="16" t="n">
        <f aca="false">H13804*H13807</f>
        <v>35.64</v>
      </c>
      <c r="I13808" s="16" t="n">
        <f aca="false">I13804*I13807</f>
        <v>34.3</v>
      </c>
      <c r="J13808" s="16" t="n">
        <f aca="false">J13804*J13807</f>
        <v>33.95</v>
      </c>
      <c r="K13808" s="16" t="n">
        <f aca="false">K13804*K13807</f>
        <v>33.6</v>
      </c>
    </row>
    <row r="13809" customFormat="false" ht="15" hidden="false" customHeight="false" outlineLevel="0" collapsed="false">
      <c r="A13809" s="3" t="s">
        <v>333</v>
      </c>
      <c r="G13809" s="16" t="n">
        <f aca="false">G13804*Assumptions!$H$57</f>
        <v>0</v>
      </c>
      <c r="H13809" s="16" t="n">
        <f aca="false">H13804*Assumptions!$H$57</f>
        <v>0</v>
      </c>
      <c r="I13809" s="16" t="n">
        <f aca="false">I13804*Assumptions!$H$57</f>
        <v>0</v>
      </c>
      <c r="J13809" s="16" t="n">
        <f aca="false">J13804*Assumptions!$H$57</f>
        <v>0</v>
      </c>
      <c r="K13809" s="16" t="n">
        <f aca="false">K13804*Assumptions!$H$57</f>
        <v>0</v>
      </c>
    </row>
    <row r="13810" customFormat="false" ht="15" hidden="false" customHeight="false" outlineLevel="0" collapsed="false">
      <c r="A13810" s="3" t="s">
        <v>334</v>
      </c>
      <c r="G13810" s="16" t="n">
        <f aca="false">MIN(G13804,Assumptions!$L$57*Assumptions!$C$57)</f>
        <v>4</v>
      </c>
      <c r="H13810" s="16" t="n">
        <f aca="false">MIN(H13804,Assumptions!$L$57*Assumptions!$C$57)</f>
        <v>4</v>
      </c>
      <c r="I13810" s="16" t="n">
        <f aca="false">MIN(I13804,Assumptions!$L$57*Assumptions!$C$57)</f>
        <v>4</v>
      </c>
      <c r="J13810" s="16" t="n">
        <f aca="false">MIN(J13804,Assumptions!$L$57*Assumptions!$C$57)</f>
        <v>4</v>
      </c>
      <c r="K13810" s="16" t="n">
        <f aca="false">MIN(K13804,Assumptions!$L$57*Assumptions!$C$57)</f>
        <v>4</v>
      </c>
    </row>
    <row r="13811" customFormat="false" ht="15" hidden="false" customHeight="false" outlineLevel="0" collapsed="false">
      <c r="A13811" s="3" t="s">
        <v>335</v>
      </c>
      <c r="G13811" s="16" t="n">
        <f aca="false">IF(AND(Assumptions!$P$57=1,G13768&lt;Assumptions!$K$57),MIN(MAX(0,-G13984),MAX(0,Assumptions!$D$57-G13804)),0)</f>
        <v>0</v>
      </c>
      <c r="H13811" s="16" t="n">
        <f aca="false">IF(AND(Assumptions!$P$57=1,OR(H13768&lt;Assumptions!$K$57,G14114=1)),MIN(MAX(0,-H13984),MAX(0,Assumptions!$D$57-H13804)),0)</f>
        <v>0</v>
      </c>
      <c r="I13811" s="16" t="n">
        <f aca="false">IF(AND(Assumptions!$P$57=1,OR(I13768&lt;Assumptions!$K$57,H14114=1)),MIN(MAX(0,-I13984),MAX(0,Assumptions!$D$57-I13804)),0)</f>
        <v>0</v>
      </c>
      <c r="J13811" s="16" t="n">
        <f aca="false">IF(AND(Assumptions!$P$57=1,OR(J13768&lt;Assumptions!$K$57,I14114=1)),MIN(MAX(0,-J13984),MAX(0,Assumptions!$D$57-J13804)),0)</f>
        <v>0</v>
      </c>
      <c r="K13811" s="16" t="n">
        <f aca="false">IF(AND(Assumptions!$P$57=1,OR(K13768&lt;Assumptions!$K$57,J14114=1)),MIN(MAX(0,-K13984),MAX(0,Assumptions!$D$57-K13804)),0)</f>
        <v>0</v>
      </c>
    </row>
    <row r="13812" customFormat="false" ht="15" hidden="false" customHeight="false" outlineLevel="0" collapsed="false">
      <c r="A13812" s="3" t="s">
        <v>336</v>
      </c>
      <c r="G13812" s="16" t="n">
        <f aca="false">G13805*MIN(G13804-G13810+G13809,MAX(0,G13986-Assumptions!$C$12*G13802))</f>
        <v>0</v>
      </c>
      <c r="H13812" s="16" t="n">
        <f aca="false">H13805*MIN(H13804-H13810+H13809,MAX(0,H13986-Assumptions!$C$12*H13802))</f>
        <v>0</v>
      </c>
      <c r="I13812" s="16" t="n">
        <f aca="false">I13805*MIN(I13804-I13810+I13809,MAX(0,I13986-Assumptions!$C$12*I13802))</f>
        <v>0</v>
      </c>
      <c r="J13812" s="16" t="n">
        <f aca="false">J13805*MIN(J13804-J13810+J13809,MAX(0,J13986-Assumptions!$C$12*J13802))</f>
        <v>0</v>
      </c>
      <c r="K13812" s="16" t="n">
        <f aca="false">K13805*MIN(K13804-K13810+K13809,MAX(0,K13986-Assumptions!$C$12*K13802))</f>
        <v>0</v>
      </c>
    </row>
    <row r="13813" customFormat="false" ht="15" hidden="false" customHeight="false" outlineLevel="0" collapsed="false">
      <c r="A13813" s="3" t="s">
        <v>337</v>
      </c>
      <c r="G13813" s="16" t="n">
        <f aca="false">Assumptions!$N$57*MIN(G13804+G13811+G13809-G13810-G13812,MAX(0,G13990))</f>
        <v>0</v>
      </c>
      <c r="H13813" s="16" t="n">
        <f aca="false">Assumptions!$N$57*MIN(H13804+H13811+H13809-H13810-H13812,MAX(0,H13990))</f>
        <v>0</v>
      </c>
      <c r="I13813" s="16" t="n">
        <f aca="false">Assumptions!$N$57*MIN(I13804+I13811+I13809-I13810-I13812,MAX(0,I13990))</f>
        <v>0</v>
      </c>
      <c r="J13813" s="16" t="n">
        <f aca="false">Assumptions!$N$57*MIN(J13804+J13811+J13809-J13810-J13812,MAX(0,J13990))</f>
        <v>0</v>
      </c>
      <c r="K13813" s="16" t="n">
        <f aca="false">Assumptions!$N$57*MIN(K13804+K13811+K13809-K13810-K13812,MAX(0,K13990))</f>
        <v>0</v>
      </c>
    </row>
    <row r="13814" customFormat="false" ht="15" hidden="false" customHeight="false" outlineLevel="0" collapsed="false">
      <c r="A13814" s="3" t="s">
        <v>338</v>
      </c>
      <c r="G13814" s="16" t="n">
        <f aca="false">G13805*(1-G13802)*(G13804-G13810+G13809-G13812)</f>
        <v>0</v>
      </c>
      <c r="H13814" s="16" t="n">
        <f aca="false">H13805*(1-H13802)*(H13804-H13810+H13809-H13812)</f>
        <v>0</v>
      </c>
      <c r="I13814" s="16" t="n">
        <f aca="false">I13805*(1-I13802)*(I13804-I13810+I13809-I13812)</f>
        <v>0</v>
      </c>
      <c r="J13814" s="16" t="n">
        <f aca="false">J13805*(1-J13802)*(J13804-J13810+J13809-J13812)</f>
        <v>0</v>
      </c>
      <c r="K13814" s="16" t="n">
        <f aca="false">K13805*(1-K13802)*(K13804-K13810+K13809-K13812)</f>
        <v>0</v>
      </c>
    </row>
    <row r="13815" customFormat="false" ht="15" hidden="false" customHeight="false" outlineLevel="0" collapsed="false">
      <c r="A13815" s="2" t="s">
        <v>339</v>
      </c>
      <c r="F13815" s="28" t="n">
        <f aca="false">Assumptions!$C$57</f>
        <v>400</v>
      </c>
      <c r="G13815" s="17" t="n">
        <f aca="false">G13804+G13811+G13809-G13810-G13812-G13813</f>
        <v>396</v>
      </c>
      <c r="H13815" s="17" t="n">
        <f aca="false">H13804+H13811+H13809-H13810-H13812-H13813</f>
        <v>392</v>
      </c>
      <c r="I13815" s="17" t="n">
        <f aca="false">I13804+I13811+I13809-I13810-I13812-I13813</f>
        <v>388</v>
      </c>
      <c r="J13815" s="17" t="n">
        <f aca="false">J13804+J13811+J13809-J13810-J13812-J13813</f>
        <v>384</v>
      </c>
      <c r="K13815" s="17" t="n">
        <f aca="false">K13804+K13811+K13809-K13810-K13812-K13813</f>
        <v>380</v>
      </c>
    </row>
    <row r="13816" customFormat="false" ht="15" hidden="false" customHeight="false" outlineLevel="0" collapsed="false">
      <c r="A13816" s="24" t="s">
        <v>340</v>
      </c>
      <c r="B13816" s="25"/>
      <c r="C13816" s="25"/>
      <c r="D13816" s="25"/>
      <c r="E13816" s="25"/>
      <c r="F13816" s="25"/>
      <c r="G13816" s="25"/>
      <c r="H13816" s="25"/>
      <c r="I13816" s="25"/>
      <c r="J13816" s="25"/>
      <c r="K13816" s="25"/>
    </row>
    <row r="13817" customFormat="false" ht="15" hidden="false" customHeight="false" outlineLevel="0" collapsed="false">
      <c r="A13817" s="3" t="s">
        <v>329</v>
      </c>
      <c r="G13817" s="16" t="n">
        <f aca="false">F13828</f>
        <v>90</v>
      </c>
      <c r="H13817" s="16" t="n">
        <f aca="false">G13828</f>
        <v>90</v>
      </c>
      <c r="I13817" s="16" t="n">
        <f aca="false">H13828</f>
        <v>90</v>
      </c>
      <c r="J13817" s="16" t="n">
        <f aca="false">I13828</f>
        <v>90</v>
      </c>
      <c r="K13817" s="16" t="n">
        <f aca="false">J13828</f>
        <v>90</v>
      </c>
    </row>
    <row r="13818" customFormat="false" ht="15" hidden="false" customHeight="false" outlineLevel="0" collapsed="false">
      <c r="A13818" s="3" t="s">
        <v>330</v>
      </c>
      <c r="G13818" s="21" t="n">
        <f aca="false">IF(G13768=Assumptions!$K$58,1,0)</f>
        <v>0</v>
      </c>
      <c r="H13818" s="21" t="n">
        <f aca="false">IF(H13768=Assumptions!$K$58,1,0)</f>
        <v>0</v>
      </c>
      <c r="I13818" s="21" t="n">
        <f aca="false">IF(I13768=Assumptions!$K$58,1,0)</f>
        <v>0</v>
      </c>
      <c r="J13818" s="21" t="n">
        <f aca="false">IF(J13768=Assumptions!$K$58,1,0)</f>
        <v>0</v>
      </c>
      <c r="K13818" s="21" t="n">
        <f aca="false">IF(K13768=Assumptions!$K$58,1,0)</f>
        <v>0</v>
      </c>
    </row>
    <row r="13820" customFormat="false" ht="15" hidden="false" customHeight="false" outlineLevel="0" collapsed="false">
      <c r="A13820" s="3" t="s">
        <v>331</v>
      </c>
      <c r="G13820" s="31" t="n">
        <f aca="false">IF(Assumptions!$I$58=1,MAX(G13794,Assumptions!$G$58)+Assumptions!$F$58+$C$13795,Assumptions!$E$58)</f>
        <v>0.0581</v>
      </c>
      <c r="H13820" s="31" t="n">
        <f aca="false">IF(G14115=1,$C$13796,IF(Assumptions!$I$58=1,MAX(H13794,Assumptions!$G$58)+Assumptions!$F$58+$C$13795,Assumptions!$E$58))</f>
        <v>0.0581</v>
      </c>
      <c r="I13820" s="31" t="n">
        <f aca="false">IF(H14115=1,$C$13796,IF(Assumptions!$I$58=1,MAX(I13794,Assumptions!$G$58)+Assumptions!$F$58+$C$13795,Assumptions!$E$58))</f>
        <v>0.0581</v>
      </c>
      <c r="J13820" s="31" t="n">
        <f aca="false">IF(I14115=1,$C$13796,IF(Assumptions!$I$58=1,MAX(J13794,Assumptions!$G$58)+Assumptions!$F$58+$C$13795,Assumptions!$E$58))</f>
        <v>0.0581</v>
      </c>
      <c r="K13820" s="31" t="n">
        <f aca="false">IF(J14115=1,$C$13796,IF(Assumptions!$I$58=1,MAX(K13794,Assumptions!$G$58)+Assumptions!$F$58+$C$13795,Assumptions!$E$58))</f>
        <v>0.0581</v>
      </c>
    </row>
    <row r="13821" customFormat="false" ht="15" hidden="false" customHeight="false" outlineLevel="0" collapsed="false">
      <c r="A13821" s="3" t="s">
        <v>332</v>
      </c>
      <c r="G13821" s="16" t="n">
        <f aca="false">G13817*G13820</f>
        <v>5.229</v>
      </c>
      <c r="H13821" s="16" t="n">
        <f aca="false">H13817*H13820</f>
        <v>5.229</v>
      </c>
      <c r="I13821" s="16" t="n">
        <f aca="false">I13817*I13820</f>
        <v>5.229</v>
      </c>
      <c r="J13821" s="16" t="n">
        <f aca="false">J13817*J13820</f>
        <v>5.229</v>
      </c>
      <c r="K13821" s="16" t="n">
        <f aca="false">K13817*K13820</f>
        <v>5.229</v>
      </c>
    </row>
    <row r="13822" customFormat="false" ht="15" hidden="false" customHeight="false" outlineLevel="0" collapsed="false">
      <c r="A13822" s="3" t="s">
        <v>333</v>
      </c>
      <c r="G13822" s="16" t="n">
        <f aca="false">G13817*Assumptions!$H$58</f>
        <v>0</v>
      </c>
      <c r="H13822" s="16" t="n">
        <f aca="false">H13817*Assumptions!$H$58</f>
        <v>0</v>
      </c>
      <c r="I13822" s="16" t="n">
        <f aca="false">I13817*Assumptions!$H$58</f>
        <v>0</v>
      </c>
      <c r="J13822" s="16" t="n">
        <f aca="false">J13817*Assumptions!$H$58</f>
        <v>0</v>
      </c>
      <c r="K13822" s="16" t="n">
        <f aca="false">K13817*Assumptions!$H$58</f>
        <v>0</v>
      </c>
    </row>
    <row r="13823" customFormat="false" ht="15" hidden="false" customHeight="false" outlineLevel="0" collapsed="false">
      <c r="A13823" s="3" t="s">
        <v>334</v>
      </c>
      <c r="G13823" s="16" t="n">
        <f aca="false">MIN(G13817,Assumptions!$L$58*Assumptions!$C$58)</f>
        <v>0</v>
      </c>
      <c r="H13823" s="16" t="n">
        <f aca="false">MIN(H13817,Assumptions!$L$58*Assumptions!$C$58)</f>
        <v>0</v>
      </c>
      <c r="I13823" s="16" t="n">
        <f aca="false">MIN(I13817,Assumptions!$L$58*Assumptions!$C$58)</f>
        <v>0</v>
      </c>
      <c r="J13823" s="16" t="n">
        <f aca="false">MIN(J13817,Assumptions!$L$58*Assumptions!$C$58)</f>
        <v>0</v>
      </c>
      <c r="K13823" s="16" t="n">
        <f aca="false">MIN(K13817,Assumptions!$L$58*Assumptions!$C$58)</f>
        <v>0</v>
      </c>
    </row>
    <row r="13824" customFormat="false" ht="15" hidden="false" customHeight="false" outlineLevel="0" collapsed="false">
      <c r="A13824" s="3" t="s">
        <v>335</v>
      </c>
      <c r="G13824" s="16" t="n">
        <f aca="false">IF(AND(Assumptions!$P$58=1,G13768&lt;Assumptions!$K$58),MIN(MAX(0,-G13984),MAX(0,Assumptions!$D$58-G13817)),0)</f>
        <v>0</v>
      </c>
      <c r="H13824" s="16" t="n">
        <f aca="false">IF(AND(Assumptions!$P$58=1,OR(H13768&lt;Assumptions!$K$58,G14115=1)),MIN(MAX(0,-H13984),MAX(0,Assumptions!$D$58-H13817)),0)</f>
        <v>0</v>
      </c>
      <c r="I13824" s="16" t="n">
        <f aca="false">IF(AND(Assumptions!$P$58=1,OR(I13768&lt;Assumptions!$K$58,H14115=1)),MIN(MAX(0,-I13984),MAX(0,Assumptions!$D$58-I13817)),0)</f>
        <v>0</v>
      </c>
      <c r="J13824" s="16" t="n">
        <f aca="false">IF(AND(Assumptions!$P$58=1,OR(J13768&lt;Assumptions!$K$58,I14115=1)),MIN(MAX(0,-J13984),MAX(0,Assumptions!$D$58-J13817)),0)</f>
        <v>0</v>
      </c>
      <c r="K13824" s="16" t="n">
        <f aca="false">IF(AND(Assumptions!$P$58=1,OR(K13768&lt;Assumptions!$K$58,J14115=1)),MIN(MAX(0,-K13984),MAX(0,Assumptions!$D$58-K13817)),0)</f>
        <v>0</v>
      </c>
    </row>
    <row r="13825" customFormat="false" ht="15" hidden="false" customHeight="false" outlineLevel="0" collapsed="false">
      <c r="A13825" s="3" t="s">
        <v>336</v>
      </c>
      <c r="G13825" s="16" t="n">
        <f aca="false">G13818*MIN(G13817-G13823+G13822,MAX(0,G13986-Assumptions!$C$12*G13802-G13812))</f>
        <v>0</v>
      </c>
      <c r="H13825" s="16" t="n">
        <f aca="false">H13818*MIN(H13817-H13823+H13822,MAX(0,H13986-Assumptions!$C$12*H13802-H13812))</f>
        <v>0</v>
      </c>
      <c r="I13825" s="16" t="n">
        <f aca="false">I13818*MIN(I13817-I13823+I13822,MAX(0,I13986-Assumptions!$C$12*I13802-I13812))</f>
        <v>0</v>
      </c>
      <c r="J13825" s="16" t="n">
        <f aca="false">J13818*MIN(J13817-J13823+J13822,MAX(0,J13986-Assumptions!$C$12*J13802-J13812))</f>
        <v>0</v>
      </c>
      <c r="K13825" s="16" t="n">
        <f aca="false">K13818*MIN(K13817-K13823+K13822,MAX(0,K13986-Assumptions!$C$12*K13802-K13812))</f>
        <v>0</v>
      </c>
    </row>
    <row r="13826" customFormat="false" ht="15" hidden="false" customHeight="false" outlineLevel="0" collapsed="false">
      <c r="A13826" s="3" t="s">
        <v>337</v>
      </c>
      <c r="G13826" s="16" t="n">
        <f aca="false">Assumptions!$N$58*MIN(G13817+G13824+G13822-G13823-G13825,MAX(0,G13990-G13813))</f>
        <v>0</v>
      </c>
      <c r="H13826" s="16" t="n">
        <f aca="false">Assumptions!$N$58*MIN(H13817+H13824+H13822-H13823-H13825,MAX(0,H13990-H13813))</f>
        <v>0</v>
      </c>
      <c r="I13826" s="16" t="n">
        <f aca="false">Assumptions!$N$58*MIN(I13817+I13824+I13822-I13823-I13825,MAX(0,I13990-I13813))</f>
        <v>0</v>
      </c>
      <c r="J13826" s="16" t="n">
        <f aca="false">Assumptions!$N$58*MIN(J13817+J13824+J13822-J13823-J13825,MAX(0,J13990-J13813))</f>
        <v>0</v>
      </c>
      <c r="K13826" s="16" t="n">
        <f aca="false">Assumptions!$N$58*MIN(K13817+K13824+K13822-K13823-K13825,MAX(0,K13990-K13813))</f>
        <v>0</v>
      </c>
    </row>
    <row r="13827" customFormat="false" ht="15" hidden="false" customHeight="false" outlineLevel="0" collapsed="false">
      <c r="A13827" s="3" t="s">
        <v>338</v>
      </c>
      <c r="G13827" s="16" t="n">
        <f aca="false">G13818*(1-G13802)*(G13817-G13823+G13822-G13825)</f>
        <v>0</v>
      </c>
      <c r="H13827" s="16" t="n">
        <f aca="false">H13818*(1-H13802)*(H13817-H13823+H13822-H13825)</f>
        <v>0</v>
      </c>
      <c r="I13827" s="16" t="n">
        <f aca="false">I13818*(1-I13802)*(I13817-I13823+I13822-I13825)</f>
        <v>0</v>
      </c>
      <c r="J13827" s="16" t="n">
        <f aca="false">J13818*(1-J13802)*(J13817-J13823+J13822-J13825)</f>
        <v>0</v>
      </c>
      <c r="K13827" s="16" t="n">
        <f aca="false">K13818*(1-K13802)*(K13817-K13823+K13822-K13825)</f>
        <v>0</v>
      </c>
    </row>
    <row r="13828" customFormat="false" ht="15" hidden="false" customHeight="false" outlineLevel="0" collapsed="false">
      <c r="A13828" s="2" t="s">
        <v>339</v>
      </c>
      <c r="F13828" s="28" t="n">
        <f aca="false">Assumptions!$C$58</f>
        <v>90</v>
      </c>
      <c r="G13828" s="17" t="n">
        <f aca="false">G13817+G13824+G13822-G13823-G13825-G13826</f>
        <v>90</v>
      </c>
      <c r="H13828" s="17" t="n">
        <f aca="false">H13817+H13824+H13822-H13823-H13825-H13826</f>
        <v>90</v>
      </c>
      <c r="I13828" s="17" t="n">
        <f aca="false">I13817+I13824+I13822-I13823-I13825-I13826</f>
        <v>90</v>
      </c>
      <c r="J13828" s="17" t="n">
        <f aca="false">J13817+J13824+J13822-J13823-J13825-J13826</f>
        <v>90</v>
      </c>
      <c r="K13828" s="17" t="n">
        <f aca="false">K13817+K13824+K13822-K13823-K13825-K13826</f>
        <v>90</v>
      </c>
    </row>
    <row r="13829" customFormat="false" ht="15" hidden="false" customHeight="false" outlineLevel="0" collapsed="false">
      <c r="A13829" s="24" t="s">
        <v>341</v>
      </c>
      <c r="B13829" s="25"/>
      <c r="C13829" s="25"/>
      <c r="D13829" s="25"/>
      <c r="E13829" s="25"/>
      <c r="F13829" s="25"/>
      <c r="G13829" s="25"/>
      <c r="H13829" s="25"/>
      <c r="I13829" s="25"/>
      <c r="J13829" s="25"/>
      <c r="K13829" s="25"/>
    </row>
    <row r="13830" customFormat="false" ht="15" hidden="false" customHeight="false" outlineLevel="0" collapsed="false">
      <c r="A13830" s="3" t="s">
        <v>329</v>
      </c>
      <c r="G13830" s="16" t="n">
        <f aca="false">F13841</f>
        <v>57.324</v>
      </c>
      <c r="H13830" s="16" t="n">
        <f aca="false">G13841</f>
        <v>57.324</v>
      </c>
      <c r="I13830" s="16" t="n">
        <f aca="false">H13841</f>
        <v>57.324</v>
      </c>
      <c r="J13830" s="16" t="n">
        <f aca="false">I13841</f>
        <v>57.324</v>
      </c>
      <c r="K13830" s="16" t="n">
        <f aca="false">J13841</f>
        <v>57.324</v>
      </c>
    </row>
    <row r="13831" customFormat="false" ht="15" hidden="false" customHeight="false" outlineLevel="0" collapsed="false">
      <c r="A13831" s="3" t="s">
        <v>330</v>
      </c>
      <c r="G13831" s="21" t="n">
        <f aca="false">IF(G13768=Assumptions!$K$59,1,0)</f>
        <v>0</v>
      </c>
      <c r="H13831" s="21" t="n">
        <f aca="false">IF(H13768=Assumptions!$K$59,1,0)</f>
        <v>0</v>
      </c>
      <c r="I13831" s="21" t="n">
        <f aca="false">IF(I13768=Assumptions!$K$59,1,0)</f>
        <v>0</v>
      </c>
      <c r="J13831" s="21" t="n">
        <f aca="false">IF(J13768=Assumptions!$K$59,1,0)</f>
        <v>0</v>
      </c>
      <c r="K13831" s="21" t="n">
        <f aca="false">IF(K13768=Assumptions!$K$59,1,0)</f>
        <v>0</v>
      </c>
    </row>
    <row r="13833" customFormat="false" ht="15" hidden="false" customHeight="false" outlineLevel="0" collapsed="false">
      <c r="A13833" s="3" t="s">
        <v>331</v>
      </c>
      <c r="G13833" s="31" t="n">
        <f aca="false">IF(Assumptions!$I$59=1,MAX(G13794,Assumptions!$G$59)+Assumptions!$F$59+$C$13795,Assumptions!$E$59)</f>
        <v>0.0731</v>
      </c>
      <c r="H13833" s="31" t="n">
        <f aca="false">IF(G14116=1,$C$13796,IF(Assumptions!$I$59=1,MAX(H13794,Assumptions!$G$59)+Assumptions!$F$59+$C$13795,Assumptions!$E$59))</f>
        <v>0.0731</v>
      </c>
      <c r="I13833" s="31" t="n">
        <f aca="false">IF(H14116=1,$C$13796,IF(Assumptions!$I$59=1,MAX(I13794,Assumptions!$G$59)+Assumptions!$F$59+$C$13795,Assumptions!$E$59))</f>
        <v>0.0731</v>
      </c>
      <c r="J13833" s="31" t="n">
        <f aca="false">IF(I14116=1,$C$13796,IF(Assumptions!$I$59=1,MAX(J13794,Assumptions!$G$59)+Assumptions!$F$59+$C$13795,Assumptions!$E$59))</f>
        <v>0.0731</v>
      </c>
      <c r="K13833" s="31" t="n">
        <f aca="false">IF(J14116=1,$C$13796,IF(Assumptions!$I$59=1,MAX(K13794,Assumptions!$G$59)+Assumptions!$F$59+$C$13795,Assumptions!$E$59))</f>
        <v>0.0731</v>
      </c>
    </row>
    <row r="13834" customFormat="false" ht="15" hidden="false" customHeight="false" outlineLevel="0" collapsed="false">
      <c r="A13834" s="3" t="s">
        <v>332</v>
      </c>
      <c r="G13834" s="16" t="n">
        <f aca="false">G13830*G13833</f>
        <v>4.1903844</v>
      </c>
      <c r="H13834" s="16" t="n">
        <f aca="false">H13830*H13833</f>
        <v>4.1903844</v>
      </c>
      <c r="I13834" s="16" t="n">
        <f aca="false">I13830*I13833</f>
        <v>4.1903844</v>
      </c>
      <c r="J13834" s="16" t="n">
        <f aca="false">J13830*J13833</f>
        <v>4.1903844</v>
      </c>
      <c r="K13834" s="16" t="n">
        <f aca="false">K13830*K13833</f>
        <v>4.1903844</v>
      </c>
    </row>
    <row r="13835" customFormat="false" ht="15" hidden="false" customHeight="false" outlineLevel="0" collapsed="false">
      <c r="A13835" s="3" t="s">
        <v>333</v>
      </c>
      <c r="G13835" s="16" t="n">
        <f aca="false">G13830*Assumptions!$H$59</f>
        <v>0</v>
      </c>
      <c r="H13835" s="16" t="n">
        <f aca="false">H13830*Assumptions!$H$59</f>
        <v>0</v>
      </c>
      <c r="I13835" s="16" t="n">
        <f aca="false">I13830*Assumptions!$H$59</f>
        <v>0</v>
      </c>
      <c r="J13835" s="16" t="n">
        <f aca="false">J13830*Assumptions!$H$59</f>
        <v>0</v>
      </c>
      <c r="K13835" s="16" t="n">
        <f aca="false">K13830*Assumptions!$H$59</f>
        <v>0</v>
      </c>
    </row>
    <row r="13836" customFormat="false" ht="15" hidden="false" customHeight="false" outlineLevel="0" collapsed="false">
      <c r="A13836" s="3" t="s">
        <v>334</v>
      </c>
      <c r="G13836" s="16" t="n">
        <f aca="false">MIN(G13830,Assumptions!$L$59*Assumptions!$C$59)</f>
        <v>0</v>
      </c>
      <c r="H13836" s="16" t="n">
        <f aca="false">MIN(H13830,Assumptions!$L$59*Assumptions!$C$59)</f>
        <v>0</v>
      </c>
      <c r="I13836" s="16" t="n">
        <f aca="false">MIN(I13830,Assumptions!$L$59*Assumptions!$C$59)</f>
        <v>0</v>
      </c>
      <c r="J13836" s="16" t="n">
        <f aca="false">MIN(J13830,Assumptions!$L$59*Assumptions!$C$59)</f>
        <v>0</v>
      </c>
      <c r="K13836" s="16" t="n">
        <f aca="false">MIN(K13830,Assumptions!$L$59*Assumptions!$C$59)</f>
        <v>0</v>
      </c>
    </row>
    <row r="13837" customFormat="false" ht="15" hidden="false" customHeight="false" outlineLevel="0" collapsed="false">
      <c r="A13837" s="3" t="s">
        <v>335</v>
      </c>
      <c r="G13837" s="16" t="n">
        <f aca="false">IF(AND(Assumptions!$P$59=1,G13768&lt;Assumptions!$K$59),MIN(MAX(0,-G13984),MAX(0,Assumptions!$D$59-G13830)),0)</f>
        <v>0</v>
      </c>
      <c r="H13837" s="16" t="n">
        <f aca="false">IF(AND(Assumptions!$P$59=1,OR(H13768&lt;Assumptions!$K$59,G14116=1)),MIN(MAX(0,-H13984),MAX(0,Assumptions!$D$59-H13830)),0)</f>
        <v>0</v>
      </c>
      <c r="I13837" s="16" t="n">
        <f aca="false">IF(AND(Assumptions!$P$59=1,OR(I13768&lt;Assumptions!$K$59,H14116=1)),MIN(MAX(0,-I13984),MAX(0,Assumptions!$D$59-I13830)),0)</f>
        <v>0</v>
      </c>
      <c r="J13837" s="16" t="n">
        <f aca="false">IF(AND(Assumptions!$P$59=1,OR(J13768&lt;Assumptions!$K$59,I14116=1)),MIN(MAX(0,-J13984),MAX(0,Assumptions!$D$59-J13830)),0)</f>
        <v>0</v>
      </c>
      <c r="K13837" s="16" t="n">
        <f aca="false">IF(AND(Assumptions!$P$59=1,OR(K13768&lt;Assumptions!$K$59,J14116=1)),MIN(MAX(0,-K13984),MAX(0,Assumptions!$D$59-K13830)),0)</f>
        <v>0</v>
      </c>
    </row>
    <row r="13838" customFormat="false" ht="15" hidden="false" customHeight="false" outlineLevel="0" collapsed="false">
      <c r="A13838" s="3" t="s">
        <v>336</v>
      </c>
      <c r="G13838" s="16" t="n">
        <f aca="false">G13831*MIN(G13830-G13836+G13835,MAX(0,G13986-Assumptions!$C$12*G13802-G13812-G13825))</f>
        <v>0</v>
      </c>
      <c r="H13838" s="16" t="n">
        <f aca="false">H13831*MIN(H13830-H13836+H13835,MAX(0,H13986-Assumptions!$C$12*H13802-H13812-H13825))</f>
        <v>0</v>
      </c>
      <c r="I13838" s="16" t="n">
        <f aca="false">I13831*MIN(I13830-I13836+I13835,MAX(0,I13986-Assumptions!$C$12*I13802-I13812-I13825))</f>
        <v>0</v>
      </c>
      <c r="J13838" s="16" t="n">
        <f aca="false">J13831*MIN(J13830-J13836+J13835,MAX(0,J13986-Assumptions!$C$12*J13802-J13812-J13825))</f>
        <v>0</v>
      </c>
      <c r="K13838" s="16" t="n">
        <f aca="false">K13831*MIN(K13830-K13836+K13835,MAX(0,K13986-Assumptions!$C$12*K13802-K13812-K13825))</f>
        <v>0</v>
      </c>
    </row>
    <row r="13839" customFormat="false" ht="15" hidden="false" customHeight="false" outlineLevel="0" collapsed="false">
      <c r="A13839" s="3" t="s">
        <v>337</v>
      </c>
      <c r="G13839" s="16" t="n">
        <f aca="false">Assumptions!$N$59*MIN(G13830+G13837+G13835-G13836-G13838,MAX(0,G13990-G13813-G13826))</f>
        <v>0</v>
      </c>
      <c r="H13839" s="16" t="n">
        <f aca="false">Assumptions!$N$59*MIN(H13830+H13837+H13835-H13836-H13838,MAX(0,H13990-H13813-H13826))</f>
        <v>0</v>
      </c>
      <c r="I13839" s="16" t="n">
        <f aca="false">Assumptions!$N$59*MIN(I13830+I13837+I13835-I13836-I13838,MAX(0,I13990-I13813-I13826))</f>
        <v>0</v>
      </c>
      <c r="J13839" s="16" t="n">
        <f aca="false">Assumptions!$N$59*MIN(J13830+J13837+J13835-J13836-J13838,MAX(0,J13990-J13813-J13826))</f>
        <v>0</v>
      </c>
      <c r="K13839" s="16" t="n">
        <f aca="false">Assumptions!$N$59*MIN(K13830+K13837+K13835-K13836-K13838,MAX(0,K13990-K13813-K13826))</f>
        <v>0</v>
      </c>
    </row>
    <row r="13840" customFormat="false" ht="15" hidden="false" customHeight="false" outlineLevel="0" collapsed="false">
      <c r="A13840" s="3" t="s">
        <v>338</v>
      </c>
      <c r="G13840" s="16" t="n">
        <f aca="false">G13831*(1-G13802)*(G13830-G13836+G13835-G13838)</f>
        <v>0</v>
      </c>
      <c r="H13840" s="16" t="n">
        <f aca="false">H13831*(1-H13802)*(H13830-H13836+H13835-H13838)</f>
        <v>0</v>
      </c>
      <c r="I13840" s="16" t="n">
        <f aca="false">I13831*(1-I13802)*(I13830-I13836+I13835-I13838)</f>
        <v>0</v>
      </c>
      <c r="J13840" s="16" t="n">
        <f aca="false">J13831*(1-J13802)*(J13830-J13836+J13835-J13838)</f>
        <v>0</v>
      </c>
      <c r="K13840" s="16" t="n">
        <f aca="false">K13831*(1-K13802)*(K13830-K13836+K13835-K13838)</f>
        <v>0</v>
      </c>
    </row>
    <row r="13841" customFormat="false" ht="15" hidden="false" customHeight="false" outlineLevel="0" collapsed="false">
      <c r="A13841" s="2" t="s">
        <v>339</v>
      </c>
      <c r="F13841" s="28" t="n">
        <f aca="false">Assumptions!$C$59</f>
        <v>57.324</v>
      </c>
      <c r="G13841" s="17" t="n">
        <f aca="false">G13830+G13837+G13835-G13836-G13838-G13839</f>
        <v>57.324</v>
      </c>
      <c r="H13841" s="17" t="n">
        <f aca="false">H13830+H13837+H13835-H13836-H13838-H13839</f>
        <v>57.324</v>
      </c>
      <c r="I13841" s="17" t="n">
        <f aca="false">I13830+I13837+I13835-I13836-I13838-I13839</f>
        <v>57.324</v>
      </c>
      <c r="J13841" s="17" t="n">
        <f aca="false">J13830+J13837+J13835-J13836-J13838-J13839</f>
        <v>57.324</v>
      </c>
      <c r="K13841" s="17" t="n">
        <f aca="false">K13830+K13837+K13835-K13836-K13838-K13839</f>
        <v>57.324</v>
      </c>
    </row>
    <row r="13842" customFormat="false" ht="15" hidden="false" customHeight="false" outlineLevel="0" collapsed="false">
      <c r="A13842" s="24" t="s">
        <v>342</v>
      </c>
      <c r="B13842" s="25"/>
      <c r="C13842" s="25"/>
      <c r="D13842" s="25"/>
      <c r="E13842" s="25"/>
      <c r="F13842" s="25"/>
      <c r="G13842" s="25"/>
      <c r="H13842" s="25"/>
      <c r="I13842" s="25"/>
      <c r="J13842" s="25"/>
      <c r="K13842" s="25"/>
    </row>
    <row r="13843" customFormat="false" ht="15" hidden="false" customHeight="false" outlineLevel="0" collapsed="false">
      <c r="A13843" s="3" t="s">
        <v>329</v>
      </c>
      <c r="G13843" s="16" t="n">
        <f aca="false">F13854</f>
        <v>0</v>
      </c>
      <c r="H13843" s="16" t="n">
        <f aca="false">G13854</f>
        <v>0</v>
      </c>
      <c r="I13843" s="16" t="n">
        <f aca="false">H13854</f>
        <v>0</v>
      </c>
      <c r="J13843" s="16" t="n">
        <f aca="false">I13854</f>
        <v>49.291909591316</v>
      </c>
      <c r="K13843" s="16" t="n">
        <f aca="false">J13854</f>
        <v>112.728354407847</v>
      </c>
    </row>
    <row r="13844" customFormat="false" ht="15" hidden="false" customHeight="false" outlineLevel="0" collapsed="false">
      <c r="A13844" s="3" t="s">
        <v>330</v>
      </c>
      <c r="G13844" s="21" t="n">
        <f aca="false">IF(G13768=Assumptions!$K$60,1,0)</f>
        <v>1</v>
      </c>
      <c r="H13844" s="21" t="n">
        <f aca="false">IF(H13768=Assumptions!$K$60,1,0)</f>
        <v>0</v>
      </c>
      <c r="I13844" s="21" t="n">
        <f aca="false">IF(I13768=Assumptions!$K$60,1,0)</f>
        <v>0</v>
      </c>
      <c r="J13844" s="21" t="n">
        <f aca="false">IF(J13768=Assumptions!$K$60,1,0)</f>
        <v>0</v>
      </c>
      <c r="K13844" s="21" t="n">
        <f aca="false">IF(K13768=Assumptions!$K$60,1,0)</f>
        <v>0</v>
      </c>
    </row>
    <row r="13846" customFormat="false" ht="15" hidden="false" customHeight="false" outlineLevel="0" collapsed="false">
      <c r="A13846" s="3" t="s">
        <v>331</v>
      </c>
      <c r="G13846" s="31" t="n">
        <f aca="false">IF(Assumptions!$I$60=1,MAX(G13794,Assumptions!$G$60)+Assumptions!$F$60+$C$13795,Assumptions!$E$60)</f>
        <v>0.054</v>
      </c>
      <c r="H13846" s="31" t="n">
        <f aca="false">IF(G14117=1,$C$13796,IF(Assumptions!$I$60=1,MAX(H13794,Assumptions!$G$60)+Assumptions!$F$60+$C$13795,Assumptions!$E$60))</f>
        <v>0.08</v>
      </c>
      <c r="I13846" s="31" t="n">
        <f aca="false">IF(H14117=1,$C$13796,IF(Assumptions!$I$60=1,MAX(I13794,Assumptions!$G$60)+Assumptions!$F$60+$C$13795,Assumptions!$E$60))</f>
        <v>0.08</v>
      </c>
      <c r="J13846" s="31" t="n">
        <f aca="false">IF(I14117=1,$C$13796,IF(Assumptions!$I$60=1,MAX(J13794,Assumptions!$G$60)+Assumptions!$F$60+$C$13795,Assumptions!$E$60))</f>
        <v>0.08</v>
      </c>
      <c r="K13846" s="31" t="n">
        <f aca="false">IF(J14117=1,$C$13796,IF(Assumptions!$I$60=1,MAX(K13794,Assumptions!$G$60)+Assumptions!$F$60+$C$13795,Assumptions!$E$60))</f>
        <v>0.08</v>
      </c>
    </row>
    <row r="13847" customFormat="false" ht="15" hidden="false" customHeight="false" outlineLevel="0" collapsed="false">
      <c r="A13847" s="3" t="s">
        <v>332</v>
      </c>
      <c r="G13847" s="16" t="n">
        <f aca="false">G13843*G13846</f>
        <v>0</v>
      </c>
      <c r="H13847" s="16" t="n">
        <f aca="false">H13843*H13846</f>
        <v>0</v>
      </c>
      <c r="I13847" s="16" t="n">
        <f aca="false">I13843*I13846</f>
        <v>0</v>
      </c>
      <c r="J13847" s="16" t="n">
        <f aca="false">J13843*J13846</f>
        <v>3.94335276730528</v>
      </c>
      <c r="K13847" s="16" t="n">
        <f aca="false">K13843*K13846</f>
        <v>9.01826835262777</v>
      </c>
    </row>
    <row r="13848" customFormat="false" ht="15" hidden="false" customHeight="false" outlineLevel="0" collapsed="false">
      <c r="A13848" s="3" t="s">
        <v>333</v>
      </c>
      <c r="G13848" s="16" t="n">
        <f aca="false">G13843*Assumptions!$H$60</f>
        <v>0</v>
      </c>
      <c r="H13848" s="16" t="n">
        <f aca="false">H13843*Assumptions!$H$60</f>
        <v>0</v>
      </c>
      <c r="I13848" s="16" t="n">
        <f aca="false">I13843*Assumptions!$H$60</f>
        <v>0</v>
      </c>
      <c r="J13848" s="16" t="n">
        <f aca="false">J13843*Assumptions!$H$60</f>
        <v>0</v>
      </c>
      <c r="K13848" s="16" t="n">
        <f aca="false">K13843*Assumptions!$H$60</f>
        <v>0</v>
      </c>
    </row>
    <row r="13849" customFormat="false" ht="15" hidden="false" customHeight="false" outlineLevel="0" collapsed="false">
      <c r="A13849" s="3" t="s">
        <v>334</v>
      </c>
      <c r="G13849" s="16" t="n">
        <f aca="false">MIN(G13843,Assumptions!$L$60*Assumptions!$C$60)</f>
        <v>0</v>
      </c>
      <c r="H13849" s="16" t="n">
        <f aca="false">MIN(H13843,Assumptions!$L$60*Assumptions!$C$60)</f>
        <v>0</v>
      </c>
      <c r="I13849" s="16" t="n">
        <f aca="false">MIN(I13843,Assumptions!$L$60*Assumptions!$C$60)</f>
        <v>0</v>
      </c>
      <c r="J13849" s="16" t="n">
        <f aca="false">MIN(J13843,Assumptions!$L$60*Assumptions!$C$60)</f>
        <v>0</v>
      </c>
      <c r="K13849" s="16" t="n">
        <f aca="false">MIN(K13843,Assumptions!$L$60*Assumptions!$C$60)</f>
        <v>0</v>
      </c>
    </row>
    <row r="13850" customFormat="false" ht="15" hidden="false" customHeight="false" outlineLevel="0" collapsed="false">
      <c r="A13850" s="3" t="s">
        <v>335</v>
      </c>
      <c r="G13850" s="16" t="n">
        <f aca="false">IF(AND(Assumptions!$P$60=1,G13768&lt;Assumptions!$K$60),MIN(MAX(0,-G13984),MAX(0,Assumptions!$D$60-G13843)),0)</f>
        <v>0</v>
      </c>
      <c r="H13850" s="16" t="n">
        <f aca="false">IF(AND(Assumptions!$P$60=1,OR(H13768&lt;Assumptions!$K$60,G14117=1)),MIN(MAX(0,-H13984),MAX(0,Assumptions!$D$60-H13843)),0)</f>
        <v>0</v>
      </c>
      <c r="I13850" s="16" t="n">
        <f aca="false">IF(AND(Assumptions!$P$60=1,OR(I13768&lt;Assumptions!$K$60,H14117=1)),MIN(MAX(0,-I13984),MAX(0,Assumptions!$D$60-I13843)),0)</f>
        <v>49.291909591316</v>
      </c>
      <c r="J13850" s="16" t="n">
        <f aca="false">IF(AND(Assumptions!$P$60=1,OR(J13768&lt;Assumptions!$K$60,I14117=1)),MIN(MAX(0,-J13984),MAX(0,Assumptions!$D$60-J13843)),0)</f>
        <v>63.4364448165312</v>
      </c>
      <c r="K13850" s="16" t="n">
        <f aca="false">IF(AND(Assumptions!$P$60=1,OR(K13768&lt;Assumptions!$K$60,J14117=1)),MIN(MAX(0,-K13984),MAX(0,Assumptions!$D$60-K13843)),0)</f>
        <v>69.8383315274812</v>
      </c>
    </row>
    <row r="13851" customFormat="false" ht="15" hidden="false" customHeight="false" outlineLevel="0" collapsed="false">
      <c r="A13851" s="3" t="s">
        <v>336</v>
      </c>
      <c r="G13851" s="16" t="n">
        <f aca="false">G13844*MIN(G13843-G13849+G13848,MAX(0,G13986-Assumptions!$C$12*G13802-G13812-G13825-G13838))</f>
        <v>0</v>
      </c>
      <c r="H13851" s="16" t="n">
        <f aca="false">H13844*MIN(H13843-H13849+H13848,MAX(0,H13986-Assumptions!$C$12*H13802-H13812-H13825-H13838))</f>
        <v>0</v>
      </c>
      <c r="I13851" s="16" t="n">
        <f aca="false">I13844*MIN(I13843-I13849+I13848,MAX(0,I13986-Assumptions!$C$12*I13802-I13812-I13825-I13838))</f>
        <v>0</v>
      </c>
      <c r="J13851" s="16" t="n">
        <f aca="false">J13844*MIN(J13843-J13849+J13848,MAX(0,J13986-Assumptions!$C$12*J13802-J13812-J13825-J13838))</f>
        <v>0</v>
      </c>
      <c r="K13851" s="16" t="n">
        <f aca="false">K13844*MIN(K13843-K13849+K13848,MAX(0,K13986-Assumptions!$C$12*K13802-K13812-K13825-K13838))</f>
        <v>0</v>
      </c>
    </row>
    <row r="13852" customFormat="false" ht="15" hidden="false" customHeight="false" outlineLevel="0" collapsed="false">
      <c r="A13852" s="3" t="s">
        <v>337</v>
      </c>
      <c r="G13852" s="16" t="n">
        <f aca="false">Assumptions!$N$60*MIN(G13843+G13850+G13848-G13849-G13851,MAX(0,G13990-G13813-G13826-G13839))</f>
        <v>0</v>
      </c>
      <c r="H13852" s="16" t="n">
        <f aca="false">Assumptions!$N$60*MIN(H13843+H13850+H13848-H13849-H13851,MAX(0,H13990-H13813-H13826-H13839))</f>
        <v>0</v>
      </c>
      <c r="I13852" s="16" t="n">
        <f aca="false">Assumptions!$N$60*MIN(I13843+I13850+I13848-I13849-I13851,MAX(0,I13990-I13813-I13826-I13839))</f>
        <v>0</v>
      </c>
      <c r="J13852" s="16" t="n">
        <f aca="false">Assumptions!$N$60*MIN(J13843+J13850+J13848-J13849-J13851,MAX(0,J13990-J13813-J13826-J13839))</f>
        <v>0</v>
      </c>
      <c r="K13852" s="16" t="n">
        <f aca="false">Assumptions!$N$60*MIN(K13843+K13850+K13848-K13849-K13851,MAX(0,K13990-K13813-K13826-K13839))</f>
        <v>0</v>
      </c>
    </row>
    <row r="13853" customFormat="false" ht="15" hidden="false" customHeight="false" outlineLevel="0" collapsed="false">
      <c r="A13853" s="3" t="s">
        <v>338</v>
      </c>
      <c r="G13853" s="16" t="n">
        <f aca="false">G13844*(1-G13802)*(G13843-G13849+G13848-G13851)</f>
        <v>0</v>
      </c>
      <c r="H13853" s="16" t="n">
        <f aca="false">H13844*(1-H13802)*(H13843-H13849+H13848-H13851)</f>
        <v>0</v>
      </c>
      <c r="I13853" s="16" t="n">
        <f aca="false">I13844*(1-I13802)*(I13843-I13849+I13848-I13851)</f>
        <v>0</v>
      </c>
      <c r="J13853" s="16" t="n">
        <f aca="false">J13844*(1-J13802)*(J13843-J13849+J13848-J13851)</f>
        <v>0</v>
      </c>
      <c r="K13853" s="16" t="n">
        <f aca="false">K13844*(1-K13802)*(K13843-K13849+K13848-K13851)</f>
        <v>0</v>
      </c>
    </row>
    <row r="13854" customFormat="false" ht="15" hidden="false" customHeight="false" outlineLevel="0" collapsed="false">
      <c r="A13854" s="2" t="s">
        <v>339</v>
      </c>
      <c r="F13854" s="28" t="n">
        <f aca="false">Assumptions!$C$60</f>
        <v>0</v>
      </c>
      <c r="G13854" s="17" t="n">
        <f aca="false">G13843+G13850+G13848-G13849-G13851-G13852</f>
        <v>0</v>
      </c>
      <c r="H13854" s="17" t="n">
        <f aca="false">H13843+H13850+H13848-H13849-H13851-H13852</f>
        <v>0</v>
      </c>
      <c r="I13854" s="17" t="n">
        <f aca="false">I13843+I13850+I13848-I13849-I13851-I13852</f>
        <v>49.291909591316</v>
      </c>
      <c r="J13854" s="17" t="n">
        <f aca="false">J13843+J13850+J13848-J13849-J13851-J13852</f>
        <v>112.728354407847</v>
      </c>
      <c r="K13854" s="17" t="n">
        <f aca="false">K13843+K13850+K13848-K13849-K13851-K13852</f>
        <v>182.566685935328</v>
      </c>
    </row>
    <row r="13855" customFormat="false" ht="15" hidden="false" customHeight="false" outlineLevel="0" collapsed="false">
      <c r="A13855" s="24" t="s">
        <v>343</v>
      </c>
      <c r="B13855" s="25"/>
      <c r="C13855" s="25"/>
      <c r="D13855" s="25"/>
      <c r="E13855" s="25"/>
      <c r="F13855" s="25"/>
      <c r="G13855" s="25"/>
      <c r="H13855" s="25"/>
      <c r="I13855" s="25"/>
      <c r="J13855" s="25"/>
      <c r="K13855" s="25"/>
    </row>
    <row r="13856" customFormat="false" ht="15" hidden="false" customHeight="false" outlineLevel="0" collapsed="false">
      <c r="A13856" s="3" t="s">
        <v>329</v>
      </c>
      <c r="G13856" s="16" t="n">
        <f aca="false">F13867</f>
        <v>450</v>
      </c>
      <c r="H13856" s="16" t="n">
        <f aca="false">G13867</f>
        <v>450</v>
      </c>
      <c r="I13856" s="16" t="n">
        <f aca="false">H13867</f>
        <v>392.4216279278</v>
      </c>
      <c r="J13856" s="16" t="n">
        <f aca="false">I13867</f>
        <v>392.4216279278</v>
      </c>
      <c r="K13856" s="16" t="n">
        <f aca="false">J13867</f>
        <v>392.4216279278</v>
      </c>
    </row>
    <row r="13857" customFormat="false" ht="15" hidden="false" customHeight="false" outlineLevel="0" collapsed="false">
      <c r="A13857" s="3" t="s">
        <v>330</v>
      </c>
      <c r="G13857" s="21" t="n">
        <f aca="false">IF(G13768=Assumptions!$K$61,1,0)</f>
        <v>0</v>
      </c>
      <c r="H13857" s="21" t="n">
        <f aca="false">IF(H13768=Assumptions!$K$61,1,0)</f>
        <v>1</v>
      </c>
      <c r="I13857" s="21" t="n">
        <f aca="false">IF(I13768=Assumptions!$K$61,1,0)</f>
        <v>0</v>
      </c>
      <c r="J13857" s="21" t="n">
        <f aca="false">IF(J13768=Assumptions!$K$61,1,0)</f>
        <v>0</v>
      </c>
      <c r="K13857" s="21" t="n">
        <f aca="false">IF(K13768=Assumptions!$K$61,1,0)</f>
        <v>0</v>
      </c>
    </row>
    <row r="13859" customFormat="false" ht="15" hidden="false" customHeight="false" outlineLevel="0" collapsed="false">
      <c r="A13859" s="3" t="s">
        <v>331</v>
      </c>
      <c r="G13859" s="31" t="n">
        <f aca="false">IF(Assumptions!$I$61=1,MAX(G13794,Assumptions!$G$61)+Assumptions!$F$61+$C$13795,Assumptions!$E$61)</f>
        <v>0.0395</v>
      </c>
      <c r="H13859" s="31" t="n">
        <f aca="false">IF(G14118=1,$C$13796,IF(Assumptions!$I$61=1,MAX(H13794,Assumptions!$G$61)+Assumptions!$F$61+$C$13795,Assumptions!$E$61))</f>
        <v>0.0395</v>
      </c>
      <c r="I13859" s="31" t="n">
        <f aca="false">IF(H14118=1,$C$13796,IF(Assumptions!$I$61=1,MAX(I13794,Assumptions!$G$61)+Assumptions!$F$61+$C$13795,Assumptions!$E$61))</f>
        <v>0.08</v>
      </c>
      <c r="J13859" s="31" t="n">
        <f aca="false">IF(I14118=1,$C$13796,IF(Assumptions!$I$61=1,MAX(J13794,Assumptions!$G$61)+Assumptions!$F$61+$C$13795,Assumptions!$E$61))</f>
        <v>0.08</v>
      </c>
      <c r="K13859" s="31" t="n">
        <f aca="false">IF(J14118=1,$C$13796,IF(Assumptions!$I$61=1,MAX(K13794,Assumptions!$G$61)+Assumptions!$F$61+$C$13795,Assumptions!$E$61))</f>
        <v>0.08</v>
      </c>
    </row>
    <row r="13860" customFormat="false" ht="15" hidden="false" customHeight="false" outlineLevel="0" collapsed="false">
      <c r="A13860" s="3" t="s">
        <v>332</v>
      </c>
      <c r="G13860" s="16" t="n">
        <f aca="false">G13856*G13859</f>
        <v>17.775</v>
      </c>
      <c r="H13860" s="16" t="n">
        <f aca="false">H13856*H13859</f>
        <v>17.775</v>
      </c>
      <c r="I13860" s="16" t="n">
        <f aca="false">I13856*I13859</f>
        <v>31.393730234224</v>
      </c>
      <c r="J13860" s="16" t="n">
        <f aca="false">J13856*J13859</f>
        <v>31.393730234224</v>
      </c>
      <c r="K13860" s="16" t="n">
        <f aca="false">K13856*K13859</f>
        <v>31.393730234224</v>
      </c>
    </row>
    <row r="13861" customFormat="false" ht="15" hidden="false" customHeight="false" outlineLevel="0" collapsed="false">
      <c r="A13861" s="3" t="s">
        <v>333</v>
      </c>
      <c r="G13861" s="16" t="n">
        <f aca="false">G13856*Assumptions!$H$61</f>
        <v>0</v>
      </c>
      <c r="H13861" s="16" t="n">
        <f aca="false">H13856*Assumptions!$H$61</f>
        <v>0</v>
      </c>
      <c r="I13861" s="16" t="n">
        <f aca="false">I13856*Assumptions!$H$61</f>
        <v>0</v>
      </c>
      <c r="J13861" s="16" t="n">
        <f aca="false">J13856*Assumptions!$H$61</f>
        <v>0</v>
      </c>
      <c r="K13861" s="16" t="n">
        <f aca="false">K13856*Assumptions!$H$61</f>
        <v>0</v>
      </c>
    </row>
    <row r="13862" customFormat="false" ht="15" hidden="false" customHeight="false" outlineLevel="0" collapsed="false">
      <c r="A13862" s="3" t="s">
        <v>334</v>
      </c>
      <c r="G13862" s="16" t="n">
        <f aca="false">MIN(G13856,Assumptions!$L$61*Assumptions!$C$61)</f>
        <v>0</v>
      </c>
      <c r="H13862" s="16" t="n">
        <f aca="false">MIN(H13856,Assumptions!$L$61*Assumptions!$C$61)</f>
        <v>0</v>
      </c>
      <c r="I13862" s="16" t="n">
        <f aca="false">MIN(I13856,Assumptions!$L$61*Assumptions!$C$61)</f>
        <v>0</v>
      </c>
      <c r="J13862" s="16" t="n">
        <f aca="false">MIN(J13856,Assumptions!$L$61*Assumptions!$C$61)</f>
        <v>0</v>
      </c>
      <c r="K13862" s="16" t="n">
        <f aca="false">MIN(K13856,Assumptions!$L$61*Assumptions!$C$61)</f>
        <v>0</v>
      </c>
    </row>
    <row r="13863" customFormat="false" ht="15" hidden="false" customHeight="false" outlineLevel="0" collapsed="false">
      <c r="A13863" s="3" t="s">
        <v>335</v>
      </c>
      <c r="G13863" s="16" t="n">
        <f aca="false">IF(AND(Assumptions!$P$61=1,G13768&lt;Assumptions!$K$61),MIN(MAX(0,-G13984),MAX(0,Assumptions!$D$61-G13856)),0)</f>
        <v>0</v>
      </c>
      <c r="H13863" s="16" t="n">
        <f aca="false">IF(AND(Assumptions!$P$61=1,OR(H13768&lt;Assumptions!$K$61,G14118=1)),MIN(MAX(0,-H13984),MAX(0,Assumptions!$D$61-H13856)),0)</f>
        <v>0</v>
      </c>
      <c r="I13863" s="16" t="n">
        <f aca="false">IF(AND(Assumptions!$P$61=1,OR(I13768&lt;Assumptions!$K$61,H14118=1)),MIN(MAX(0,-I13984),MAX(0,Assumptions!$D$61-I13856)),0)</f>
        <v>0</v>
      </c>
      <c r="J13863" s="16" t="n">
        <f aca="false">IF(AND(Assumptions!$P$61=1,OR(J13768&lt;Assumptions!$K$61,I14118=1)),MIN(MAX(0,-J13984),MAX(0,Assumptions!$D$61-J13856)),0)</f>
        <v>0</v>
      </c>
      <c r="K13863" s="16" t="n">
        <f aca="false">IF(AND(Assumptions!$P$61=1,OR(K13768&lt;Assumptions!$K$61,J14118=1)),MIN(MAX(0,-K13984),MAX(0,Assumptions!$D$61-K13856)),0)</f>
        <v>0</v>
      </c>
    </row>
    <row r="13864" customFormat="false" ht="15" hidden="false" customHeight="false" outlineLevel="0" collapsed="false">
      <c r="A13864" s="3" t="s">
        <v>336</v>
      </c>
      <c r="G13864" s="16" t="n">
        <f aca="false">G13857*MIN(G13856-G13862+G13861,MAX(0,G13986-Assumptions!$C$12*G13802-G13812-G13825-G13838-G13851))</f>
        <v>0</v>
      </c>
      <c r="H13864" s="16" t="n">
        <f aca="false">H13857*MIN(H13856-H13862+H13861,MAX(0,H13986-Assumptions!$C$12*H13802-H13812-H13825-H13838-H13851))</f>
        <v>57.5783720722001</v>
      </c>
      <c r="I13864" s="16" t="n">
        <f aca="false">I13857*MIN(I13856-I13862+I13861,MAX(0,I13986-Assumptions!$C$12*I13802-I13812-I13825-I13838-I13851))</f>
        <v>0</v>
      </c>
      <c r="J13864" s="16" t="n">
        <f aca="false">J13857*MIN(J13856-J13862+J13861,MAX(0,J13986-Assumptions!$C$12*J13802-J13812-J13825-J13838-J13851))</f>
        <v>0</v>
      </c>
      <c r="K13864" s="16" t="n">
        <f aca="false">K13857*MIN(K13856-K13862+K13861,MAX(0,K13986-Assumptions!$C$12*K13802-K13812-K13825-K13838-K13851))</f>
        <v>0</v>
      </c>
    </row>
    <row r="13865" customFormat="false" ht="15" hidden="false" customHeight="false" outlineLevel="0" collapsed="false">
      <c r="A13865" s="3" t="s">
        <v>337</v>
      </c>
      <c r="G13865" s="16" t="n">
        <f aca="false">Assumptions!$N$61*MIN(G13856+G13863+G13861-G13862-G13864,MAX(0,G13990-G13813-G13826-G13839-G13852))</f>
        <v>0</v>
      </c>
      <c r="H13865" s="16" t="n">
        <f aca="false">Assumptions!$N$61*MIN(H13856+H13863+H13861-H13862-H13864,MAX(0,H13990-H13813-H13826-H13839-H13852))</f>
        <v>0</v>
      </c>
      <c r="I13865" s="16" t="n">
        <f aca="false">Assumptions!$N$61*MIN(I13856+I13863+I13861-I13862-I13864,MAX(0,I13990-I13813-I13826-I13839-I13852))</f>
        <v>0</v>
      </c>
      <c r="J13865" s="16" t="n">
        <f aca="false">Assumptions!$N$61*MIN(J13856+J13863+J13861-J13862-J13864,MAX(0,J13990-J13813-J13826-J13839-J13852))</f>
        <v>0</v>
      </c>
      <c r="K13865" s="16" t="n">
        <f aca="false">Assumptions!$N$61*MIN(K13856+K13863+K13861-K13862-K13864,MAX(0,K13990-K13813-K13826-K13839-K13852))</f>
        <v>0</v>
      </c>
    </row>
    <row r="13866" customFormat="false" ht="15" hidden="false" customHeight="false" outlineLevel="0" collapsed="false">
      <c r="A13866" s="3" t="s">
        <v>338</v>
      </c>
      <c r="G13866" s="16" t="n">
        <f aca="false">G13857*(1-G13802)*(G13856-G13862+G13861-G13864)</f>
        <v>0</v>
      </c>
      <c r="H13866" s="16" t="n">
        <f aca="false">H13857*(1-H13802)*(H13856-H13862+H13861-H13864)</f>
        <v>0</v>
      </c>
      <c r="I13866" s="16" t="n">
        <f aca="false">I13857*(1-I13802)*(I13856-I13862+I13861-I13864)</f>
        <v>0</v>
      </c>
      <c r="J13866" s="16" t="n">
        <f aca="false">J13857*(1-J13802)*(J13856-J13862+J13861-J13864)</f>
        <v>0</v>
      </c>
      <c r="K13866" s="16" t="n">
        <f aca="false">K13857*(1-K13802)*(K13856-K13862+K13861-K13864)</f>
        <v>0</v>
      </c>
    </row>
    <row r="13867" customFormat="false" ht="15" hidden="false" customHeight="false" outlineLevel="0" collapsed="false">
      <c r="A13867" s="2" t="s">
        <v>339</v>
      </c>
      <c r="F13867" s="28" t="n">
        <f aca="false">Assumptions!$C$61</f>
        <v>450</v>
      </c>
      <c r="G13867" s="17" t="n">
        <f aca="false">G13856+G13863+G13861-G13862-G13864-G13865</f>
        <v>450</v>
      </c>
      <c r="H13867" s="17" t="n">
        <f aca="false">H13856+H13863+H13861-H13862-H13864-H13865</f>
        <v>392.4216279278</v>
      </c>
      <c r="I13867" s="17" t="n">
        <f aca="false">I13856+I13863+I13861-I13862-I13864-I13865</f>
        <v>392.4216279278</v>
      </c>
      <c r="J13867" s="17" t="n">
        <f aca="false">J13856+J13863+J13861-J13862-J13864-J13865</f>
        <v>392.4216279278</v>
      </c>
      <c r="K13867" s="17" t="n">
        <f aca="false">K13856+K13863+K13861-K13862-K13864-K13865</f>
        <v>392.4216279278</v>
      </c>
    </row>
    <row r="13868" customFormat="false" ht="15" hidden="false" customHeight="false" outlineLevel="0" collapsed="false">
      <c r="A13868" s="24" t="s">
        <v>344</v>
      </c>
      <c r="B13868" s="25"/>
      <c r="C13868" s="25"/>
      <c r="D13868" s="25"/>
      <c r="E13868" s="25"/>
      <c r="F13868" s="25"/>
      <c r="G13868" s="25"/>
      <c r="H13868" s="25"/>
      <c r="I13868" s="25"/>
      <c r="J13868" s="25"/>
      <c r="K13868" s="25"/>
    </row>
    <row r="13869" customFormat="false" ht="15" hidden="false" customHeight="false" outlineLevel="0" collapsed="false">
      <c r="A13869" s="3" t="s">
        <v>329</v>
      </c>
      <c r="G13869" s="16" t="n">
        <f aca="false">F13880</f>
        <v>350</v>
      </c>
      <c r="H13869" s="16" t="n">
        <f aca="false">G13880</f>
        <v>350</v>
      </c>
      <c r="I13869" s="16" t="n">
        <f aca="false">H13880</f>
        <v>350</v>
      </c>
      <c r="J13869" s="16" t="n">
        <f aca="false">I13880</f>
        <v>350</v>
      </c>
      <c r="K13869" s="16" t="n">
        <f aca="false">J13880</f>
        <v>350</v>
      </c>
    </row>
    <row r="13870" customFormat="false" ht="15" hidden="false" customHeight="false" outlineLevel="0" collapsed="false">
      <c r="A13870" s="3" t="s">
        <v>330</v>
      </c>
      <c r="G13870" s="21" t="n">
        <f aca="false">IF(G13768=Assumptions!$K$62,1,0)</f>
        <v>0</v>
      </c>
      <c r="H13870" s="21" t="n">
        <f aca="false">IF(H13768=Assumptions!$K$62,1,0)</f>
        <v>1</v>
      </c>
      <c r="I13870" s="21" t="n">
        <f aca="false">IF(I13768=Assumptions!$K$62,1,0)</f>
        <v>0</v>
      </c>
      <c r="J13870" s="21" t="n">
        <f aca="false">IF(J13768=Assumptions!$K$62,1,0)</f>
        <v>0</v>
      </c>
      <c r="K13870" s="21" t="n">
        <f aca="false">IF(K13768=Assumptions!$K$62,1,0)</f>
        <v>0</v>
      </c>
    </row>
    <row r="13872" customFormat="false" ht="15" hidden="false" customHeight="false" outlineLevel="0" collapsed="false">
      <c r="A13872" s="3" t="s">
        <v>331</v>
      </c>
      <c r="G13872" s="31" t="n">
        <f aca="false">IF(Assumptions!$I$62=1,MAX(G13794,Assumptions!$G$62)+Assumptions!$F$62+$C$13795,Assumptions!$E$62)</f>
        <v>0.083</v>
      </c>
      <c r="H13872" s="31" t="n">
        <f aca="false">IF(G14119=1,$C$13796,IF(Assumptions!$I$62=1,MAX(H13794,Assumptions!$G$62)+Assumptions!$F$62+$C$13795,Assumptions!$E$62))</f>
        <v>0.083</v>
      </c>
      <c r="I13872" s="31" t="n">
        <f aca="false">IF(H14119=1,$C$13796,IF(Assumptions!$I$62=1,MAX(I13794,Assumptions!$G$62)+Assumptions!$F$62+$C$13795,Assumptions!$E$62))</f>
        <v>0.08</v>
      </c>
      <c r="J13872" s="31" t="n">
        <f aca="false">IF(I14119=1,$C$13796,IF(Assumptions!$I$62=1,MAX(J13794,Assumptions!$G$62)+Assumptions!$F$62+$C$13795,Assumptions!$E$62))</f>
        <v>0.08</v>
      </c>
      <c r="K13872" s="31" t="n">
        <f aca="false">IF(J14119=1,$C$13796,IF(Assumptions!$I$62=1,MAX(K13794,Assumptions!$G$62)+Assumptions!$F$62+$C$13795,Assumptions!$E$62))</f>
        <v>0.08</v>
      </c>
    </row>
    <row r="13873" customFormat="false" ht="15" hidden="false" customHeight="false" outlineLevel="0" collapsed="false">
      <c r="A13873" s="3" t="s">
        <v>332</v>
      </c>
      <c r="G13873" s="16" t="n">
        <f aca="false">G13869*G13872</f>
        <v>29.05</v>
      </c>
      <c r="H13873" s="16" t="n">
        <f aca="false">H13869*H13872</f>
        <v>29.05</v>
      </c>
      <c r="I13873" s="16" t="n">
        <f aca="false">I13869*I13872</f>
        <v>28</v>
      </c>
      <c r="J13873" s="16" t="n">
        <f aca="false">J13869*J13872</f>
        <v>28</v>
      </c>
      <c r="K13873" s="16" t="n">
        <f aca="false">K13869*K13872</f>
        <v>28</v>
      </c>
    </row>
    <row r="13874" customFormat="false" ht="15" hidden="false" customHeight="false" outlineLevel="0" collapsed="false">
      <c r="A13874" s="3" t="s">
        <v>333</v>
      </c>
      <c r="G13874" s="16" t="n">
        <f aca="false">G13869*Assumptions!$H$62</f>
        <v>0</v>
      </c>
      <c r="H13874" s="16" t="n">
        <f aca="false">H13869*Assumptions!$H$62</f>
        <v>0</v>
      </c>
      <c r="I13874" s="16" t="n">
        <f aca="false">I13869*Assumptions!$H$62</f>
        <v>0</v>
      </c>
      <c r="J13874" s="16" t="n">
        <f aca="false">J13869*Assumptions!$H$62</f>
        <v>0</v>
      </c>
      <c r="K13874" s="16" t="n">
        <f aca="false">K13869*Assumptions!$H$62</f>
        <v>0</v>
      </c>
    </row>
    <row r="13875" customFormat="false" ht="15" hidden="false" customHeight="false" outlineLevel="0" collapsed="false">
      <c r="A13875" s="3" t="s">
        <v>334</v>
      </c>
      <c r="G13875" s="16" t="n">
        <f aca="false">MIN(G13869,Assumptions!$L$62*Assumptions!$C$62)</f>
        <v>0</v>
      </c>
      <c r="H13875" s="16" t="n">
        <f aca="false">MIN(H13869,Assumptions!$L$62*Assumptions!$C$62)</f>
        <v>0</v>
      </c>
      <c r="I13875" s="16" t="n">
        <f aca="false">MIN(I13869,Assumptions!$L$62*Assumptions!$C$62)</f>
        <v>0</v>
      </c>
      <c r="J13875" s="16" t="n">
        <f aca="false">MIN(J13869,Assumptions!$L$62*Assumptions!$C$62)</f>
        <v>0</v>
      </c>
      <c r="K13875" s="16" t="n">
        <f aca="false">MIN(K13869,Assumptions!$L$62*Assumptions!$C$62)</f>
        <v>0</v>
      </c>
    </row>
    <row r="13876" customFormat="false" ht="15" hidden="false" customHeight="false" outlineLevel="0" collapsed="false">
      <c r="A13876" s="3" t="s">
        <v>335</v>
      </c>
      <c r="G13876" s="16" t="n">
        <f aca="false">IF(AND(Assumptions!$P$62=1,G13768&lt;Assumptions!$K$62),MIN(MAX(0,-G13984),MAX(0,Assumptions!$D$62-G13869)),0)</f>
        <v>0</v>
      </c>
      <c r="H13876" s="16" t="n">
        <f aca="false">IF(AND(Assumptions!$P$62=1,OR(H13768&lt;Assumptions!$K$62,G14119=1)),MIN(MAX(0,-H13984),MAX(0,Assumptions!$D$62-H13869)),0)</f>
        <v>0</v>
      </c>
      <c r="I13876" s="16" t="n">
        <f aca="false">IF(AND(Assumptions!$P$62=1,OR(I13768&lt;Assumptions!$K$62,H14119=1)),MIN(MAX(0,-I13984),MAX(0,Assumptions!$D$62-I13869)),0)</f>
        <v>0</v>
      </c>
      <c r="J13876" s="16" t="n">
        <f aca="false">IF(AND(Assumptions!$P$62=1,OR(J13768&lt;Assumptions!$K$62,I14119=1)),MIN(MAX(0,-J13984),MAX(0,Assumptions!$D$62-J13869)),0)</f>
        <v>0</v>
      </c>
      <c r="K13876" s="16" t="n">
        <f aca="false">IF(AND(Assumptions!$P$62=1,OR(K13768&lt;Assumptions!$K$62,J14119=1)),MIN(MAX(0,-K13984),MAX(0,Assumptions!$D$62-K13869)),0)</f>
        <v>0</v>
      </c>
    </row>
    <row r="13877" customFormat="false" ht="15" hidden="false" customHeight="false" outlineLevel="0" collapsed="false">
      <c r="A13877" s="3" t="s">
        <v>336</v>
      </c>
      <c r="G13877" s="16" t="n">
        <f aca="false">G13870*MIN(G13869-G13875+G13874,MAX(0,G13986-Assumptions!$C$12*G13802-G13812-G13825-G13838-G13851-G13864))</f>
        <v>0</v>
      </c>
      <c r="H13877" s="16" t="n">
        <f aca="false">H13870*MIN(H13869-H13875+H13874,MAX(0,H13986-Assumptions!$C$12*H13802-H13812-H13825-H13838-H13851-H13864))</f>
        <v>0</v>
      </c>
      <c r="I13877" s="16" t="n">
        <f aca="false">I13870*MIN(I13869-I13875+I13874,MAX(0,I13986-Assumptions!$C$12*I13802-I13812-I13825-I13838-I13851-I13864))</f>
        <v>0</v>
      </c>
      <c r="J13877" s="16" t="n">
        <f aca="false">J13870*MIN(J13869-J13875+J13874,MAX(0,J13986-Assumptions!$C$12*J13802-J13812-J13825-J13838-J13851-J13864))</f>
        <v>0</v>
      </c>
      <c r="K13877" s="16" t="n">
        <f aca="false">K13870*MIN(K13869-K13875+K13874,MAX(0,K13986-Assumptions!$C$12*K13802-K13812-K13825-K13838-K13851-K13864))</f>
        <v>0</v>
      </c>
    </row>
    <row r="13878" customFormat="false" ht="15" hidden="false" customHeight="false" outlineLevel="0" collapsed="false">
      <c r="A13878" s="3" t="s">
        <v>337</v>
      </c>
      <c r="G13878" s="16" t="n">
        <f aca="false">Assumptions!$N$62*MIN(G13869+G13876+G13874-G13875-G13877,MAX(0,G13990-G13813-G13826-G13839-G13852-G13865))</f>
        <v>0</v>
      </c>
      <c r="H13878" s="16" t="n">
        <f aca="false">Assumptions!$N$62*MIN(H13869+H13876+H13874-H13875-H13877,MAX(0,H13990-H13813-H13826-H13839-H13852-H13865))</f>
        <v>0</v>
      </c>
      <c r="I13878" s="16" t="n">
        <f aca="false">Assumptions!$N$62*MIN(I13869+I13876+I13874-I13875-I13877,MAX(0,I13990-I13813-I13826-I13839-I13852-I13865))</f>
        <v>0</v>
      </c>
      <c r="J13878" s="16" t="n">
        <f aca="false">Assumptions!$N$62*MIN(J13869+J13876+J13874-J13875-J13877,MAX(0,J13990-J13813-J13826-J13839-J13852-J13865))</f>
        <v>0</v>
      </c>
      <c r="K13878" s="16" t="n">
        <f aca="false">Assumptions!$N$62*MIN(K13869+K13876+K13874-K13875-K13877,MAX(0,K13990-K13813-K13826-K13839-K13852-K13865))</f>
        <v>0</v>
      </c>
    </row>
    <row r="13879" customFormat="false" ht="15" hidden="false" customHeight="false" outlineLevel="0" collapsed="false">
      <c r="A13879" s="3" t="s">
        <v>338</v>
      </c>
      <c r="G13879" s="16" t="n">
        <f aca="false">G13870*(1-G13802)*(G13869-G13875+G13874-G13877)</f>
        <v>0</v>
      </c>
      <c r="H13879" s="16" t="n">
        <f aca="false">H13870*(1-H13802)*(H13869-H13875+H13874-H13877)</f>
        <v>0</v>
      </c>
      <c r="I13879" s="16" t="n">
        <f aca="false">I13870*(1-I13802)*(I13869-I13875+I13874-I13877)</f>
        <v>0</v>
      </c>
      <c r="J13879" s="16" t="n">
        <f aca="false">J13870*(1-J13802)*(J13869-J13875+J13874-J13877)</f>
        <v>0</v>
      </c>
      <c r="K13879" s="16" t="n">
        <f aca="false">K13870*(1-K13802)*(K13869-K13875+K13874-K13877)</f>
        <v>0</v>
      </c>
    </row>
    <row r="13880" customFormat="false" ht="15" hidden="false" customHeight="false" outlineLevel="0" collapsed="false">
      <c r="A13880" s="2" t="s">
        <v>339</v>
      </c>
      <c r="F13880" s="28" t="n">
        <f aca="false">Assumptions!$C$62</f>
        <v>350</v>
      </c>
      <c r="G13880" s="17" t="n">
        <f aca="false">G13869+G13876+G13874-G13875-G13877-G13878</f>
        <v>350</v>
      </c>
      <c r="H13880" s="17" t="n">
        <f aca="false">H13869+H13876+H13874-H13875-H13877-H13878</f>
        <v>350</v>
      </c>
      <c r="I13880" s="17" t="n">
        <f aca="false">I13869+I13876+I13874-I13875-I13877-I13878</f>
        <v>350</v>
      </c>
      <c r="J13880" s="17" t="n">
        <f aca="false">J13869+J13876+J13874-J13875-J13877-J13878</f>
        <v>350</v>
      </c>
      <c r="K13880" s="17" t="n">
        <f aca="false">K13869+K13876+K13874-K13875-K13877-K13878</f>
        <v>350</v>
      </c>
    </row>
    <row r="13881" customFormat="false" ht="15" hidden="false" customHeight="false" outlineLevel="0" collapsed="false">
      <c r="A13881" s="24" t="s">
        <v>345</v>
      </c>
      <c r="B13881" s="25"/>
      <c r="C13881" s="25"/>
      <c r="D13881" s="25"/>
      <c r="E13881" s="25"/>
      <c r="F13881" s="25"/>
      <c r="G13881" s="25"/>
      <c r="H13881" s="25"/>
      <c r="I13881" s="25"/>
      <c r="J13881" s="25"/>
      <c r="K13881" s="25"/>
    </row>
    <row r="13882" customFormat="false" ht="15" hidden="false" customHeight="false" outlineLevel="0" collapsed="false">
      <c r="A13882" s="3" t="s">
        <v>329</v>
      </c>
      <c r="G13882" s="16" t="n">
        <f aca="false">F13893</f>
        <v>550</v>
      </c>
      <c r="H13882" s="16" t="n">
        <f aca="false">G13893</f>
        <v>550</v>
      </c>
      <c r="I13882" s="16" t="n">
        <f aca="false">H13893</f>
        <v>550</v>
      </c>
      <c r="J13882" s="16" t="n">
        <f aca="false">I13893</f>
        <v>550</v>
      </c>
      <c r="K13882" s="16" t="n">
        <f aca="false">J13893</f>
        <v>550</v>
      </c>
    </row>
    <row r="13883" customFormat="false" ht="15" hidden="false" customHeight="false" outlineLevel="0" collapsed="false">
      <c r="A13883" s="3" t="s">
        <v>330</v>
      </c>
      <c r="G13883" s="21" t="n">
        <f aca="false">IF(G13768=Assumptions!$K$63,1,0)</f>
        <v>0</v>
      </c>
      <c r="H13883" s="21" t="n">
        <f aca="false">IF(H13768=Assumptions!$K$63,1,0)</f>
        <v>0</v>
      </c>
      <c r="I13883" s="21" t="n">
        <f aca="false">IF(I13768=Assumptions!$K$63,1,0)</f>
        <v>1</v>
      </c>
      <c r="J13883" s="21" t="n">
        <f aca="false">IF(J13768=Assumptions!$K$63,1,0)</f>
        <v>0</v>
      </c>
      <c r="K13883" s="21" t="n">
        <f aca="false">IF(K13768=Assumptions!$K$63,1,0)</f>
        <v>0</v>
      </c>
    </row>
    <row r="13885" customFormat="false" ht="15" hidden="false" customHeight="false" outlineLevel="0" collapsed="false">
      <c r="A13885" s="3" t="s">
        <v>331</v>
      </c>
      <c r="G13885" s="31" t="n">
        <f aca="false">IF(Assumptions!$I$63=1,MAX(G13794,Assumptions!$G$63)+Assumptions!$F$63+$C$13795,Assumptions!$E$63)</f>
        <v>0.08875</v>
      </c>
      <c r="H13885" s="31" t="n">
        <f aca="false">IF(G14120=1,$C$13796,IF(Assumptions!$I$63=1,MAX(H13794,Assumptions!$G$63)+Assumptions!$F$63+$C$13795,Assumptions!$E$63))</f>
        <v>0.08875</v>
      </c>
      <c r="I13885" s="31" t="n">
        <f aca="false">IF(H14120=1,$C$13796,IF(Assumptions!$I$63=1,MAX(I13794,Assumptions!$G$63)+Assumptions!$F$63+$C$13795,Assumptions!$E$63))</f>
        <v>0.08875</v>
      </c>
      <c r="J13885" s="31" t="n">
        <f aca="false">IF(I14120=1,$C$13796,IF(Assumptions!$I$63=1,MAX(J13794,Assumptions!$G$63)+Assumptions!$F$63+$C$13795,Assumptions!$E$63))</f>
        <v>0.08</v>
      </c>
      <c r="K13885" s="31" t="n">
        <f aca="false">IF(J14120=1,$C$13796,IF(Assumptions!$I$63=1,MAX(K13794,Assumptions!$G$63)+Assumptions!$F$63+$C$13795,Assumptions!$E$63))</f>
        <v>0.08</v>
      </c>
    </row>
    <row r="13886" customFormat="false" ht="15" hidden="false" customHeight="false" outlineLevel="0" collapsed="false">
      <c r="A13886" s="3" t="s">
        <v>332</v>
      </c>
      <c r="G13886" s="16" t="n">
        <f aca="false">G13882*G13885</f>
        <v>48.8125</v>
      </c>
      <c r="H13886" s="16" t="n">
        <f aca="false">H13882*H13885</f>
        <v>48.8125</v>
      </c>
      <c r="I13886" s="16" t="n">
        <f aca="false">I13882*I13885</f>
        <v>48.8125</v>
      </c>
      <c r="J13886" s="16" t="n">
        <f aca="false">J13882*J13885</f>
        <v>44</v>
      </c>
      <c r="K13886" s="16" t="n">
        <f aca="false">K13882*K13885</f>
        <v>44</v>
      </c>
    </row>
    <row r="13887" customFormat="false" ht="15" hidden="false" customHeight="false" outlineLevel="0" collapsed="false">
      <c r="A13887" s="3" t="s">
        <v>333</v>
      </c>
      <c r="G13887" s="16" t="n">
        <f aca="false">G13882*Assumptions!$H$63</f>
        <v>0</v>
      </c>
      <c r="H13887" s="16" t="n">
        <f aca="false">H13882*Assumptions!$H$63</f>
        <v>0</v>
      </c>
      <c r="I13887" s="16" t="n">
        <f aca="false">I13882*Assumptions!$H$63</f>
        <v>0</v>
      </c>
      <c r="J13887" s="16" t="n">
        <f aca="false">J13882*Assumptions!$H$63</f>
        <v>0</v>
      </c>
      <c r="K13887" s="16" t="n">
        <f aca="false">K13882*Assumptions!$H$63</f>
        <v>0</v>
      </c>
    </row>
    <row r="13888" customFormat="false" ht="15" hidden="false" customHeight="false" outlineLevel="0" collapsed="false">
      <c r="A13888" s="3" t="s">
        <v>334</v>
      </c>
      <c r="G13888" s="16" t="n">
        <f aca="false">MIN(G13882,Assumptions!$L$63*Assumptions!$C$63)</f>
        <v>0</v>
      </c>
      <c r="H13888" s="16" t="n">
        <f aca="false">MIN(H13882,Assumptions!$L$63*Assumptions!$C$63)</f>
        <v>0</v>
      </c>
      <c r="I13888" s="16" t="n">
        <f aca="false">MIN(I13882,Assumptions!$L$63*Assumptions!$C$63)</f>
        <v>0</v>
      </c>
      <c r="J13888" s="16" t="n">
        <f aca="false">MIN(J13882,Assumptions!$L$63*Assumptions!$C$63)</f>
        <v>0</v>
      </c>
      <c r="K13888" s="16" t="n">
        <f aca="false">MIN(K13882,Assumptions!$L$63*Assumptions!$C$63)</f>
        <v>0</v>
      </c>
    </row>
    <row r="13889" customFormat="false" ht="15" hidden="false" customHeight="false" outlineLevel="0" collapsed="false">
      <c r="A13889" s="3" t="s">
        <v>335</v>
      </c>
      <c r="G13889" s="16" t="n">
        <f aca="false">IF(AND(Assumptions!$P$63=1,G13768&lt;Assumptions!$K$63),MIN(MAX(0,-G13984),MAX(0,Assumptions!$D$63-G13882)),0)</f>
        <v>0</v>
      </c>
      <c r="H13889" s="16" t="n">
        <f aca="false">IF(AND(Assumptions!$P$63=1,OR(H13768&lt;Assumptions!$K$63,G14120=1)),MIN(MAX(0,-H13984),MAX(0,Assumptions!$D$63-H13882)),0)</f>
        <v>0</v>
      </c>
      <c r="I13889" s="16" t="n">
        <f aca="false">IF(AND(Assumptions!$P$63=1,OR(I13768&lt;Assumptions!$K$63,H14120=1)),MIN(MAX(0,-I13984),MAX(0,Assumptions!$D$63-I13882)),0)</f>
        <v>0</v>
      </c>
      <c r="J13889" s="16" t="n">
        <f aca="false">IF(AND(Assumptions!$P$63=1,OR(J13768&lt;Assumptions!$K$63,I14120=1)),MIN(MAX(0,-J13984),MAX(0,Assumptions!$D$63-J13882)),0)</f>
        <v>0</v>
      </c>
      <c r="K13889" s="16" t="n">
        <f aca="false">IF(AND(Assumptions!$P$63=1,OR(K13768&lt;Assumptions!$K$63,J14120=1)),MIN(MAX(0,-K13984),MAX(0,Assumptions!$D$63-K13882)),0)</f>
        <v>0</v>
      </c>
    </row>
    <row r="13890" customFormat="false" ht="15" hidden="false" customHeight="false" outlineLevel="0" collapsed="false">
      <c r="A13890" s="3" t="s">
        <v>336</v>
      </c>
      <c r="G13890" s="16" t="n">
        <f aca="false">G13883*MIN(G13882-G13888+G13887,MAX(0,G13986-Assumptions!$C$12*G13802-G13812-G13825-G13838-G13851-G13864-G13877))</f>
        <v>0</v>
      </c>
      <c r="H13890" s="16" t="n">
        <f aca="false">H13883*MIN(H13882-H13888+H13887,MAX(0,H13986-Assumptions!$C$12*H13802-H13812-H13825-H13838-H13851-H13864-H13877))</f>
        <v>0</v>
      </c>
      <c r="I13890" s="16" t="n">
        <f aca="false">I13883*MIN(I13882-I13888+I13887,MAX(0,I13986-Assumptions!$C$12*I13802-I13812-I13825-I13838-I13851-I13864-I13877))</f>
        <v>0</v>
      </c>
      <c r="J13890" s="16" t="n">
        <f aca="false">J13883*MIN(J13882-J13888+J13887,MAX(0,J13986-Assumptions!$C$12*J13802-J13812-J13825-J13838-J13851-J13864-J13877))</f>
        <v>0</v>
      </c>
      <c r="K13890" s="16" t="n">
        <f aca="false">K13883*MIN(K13882-K13888+K13887,MAX(0,K13986-Assumptions!$C$12*K13802-K13812-K13825-K13838-K13851-K13864-K13877))</f>
        <v>0</v>
      </c>
    </row>
    <row r="13891" customFormat="false" ht="15" hidden="false" customHeight="false" outlineLevel="0" collapsed="false">
      <c r="A13891" s="3" t="s">
        <v>337</v>
      </c>
      <c r="G13891" s="16" t="n">
        <f aca="false">Assumptions!$N$63*MIN(G13882+G13889+G13887-G13888-G13890,MAX(0,G13990-G13813-G13826-G13839-G13852-G13865-G13878))</f>
        <v>0</v>
      </c>
      <c r="H13891" s="16" t="n">
        <f aca="false">Assumptions!$N$63*MIN(H13882+H13889+H13887-H13888-H13890,MAX(0,H13990-H13813-H13826-H13839-H13852-H13865-H13878))</f>
        <v>0</v>
      </c>
      <c r="I13891" s="16" t="n">
        <f aca="false">Assumptions!$N$63*MIN(I13882+I13889+I13887-I13888-I13890,MAX(0,I13990-I13813-I13826-I13839-I13852-I13865-I13878))</f>
        <v>0</v>
      </c>
      <c r="J13891" s="16" t="n">
        <f aca="false">Assumptions!$N$63*MIN(J13882+J13889+J13887-J13888-J13890,MAX(0,J13990-J13813-J13826-J13839-J13852-J13865-J13878))</f>
        <v>0</v>
      </c>
      <c r="K13891" s="16" t="n">
        <f aca="false">Assumptions!$N$63*MIN(K13882+K13889+K13887-K13888-K13890,MAX(0,K13990-K13813-K13826-K13839-K13852-K13865-K13878))</f>
        <v>0</v>
      </c>
    </row>
    <row r="13892" customFormat="false" ht="15" hidden="false" customHeight="false" outlineLevel="0" collapsed="false">
      <c r="A13892" s="3" t="s">
        <v>338</v>
      </c>
      <c r="G13892" s="16" t="n">
        <f aca="false">G13883*(1-G13802)*(G13882-G13888+G13887-G13890)</f>
        <v>0</v>
      </c>
      <c r="H13892" s="16" t="n">
        <f aca="false">H13883*(1-H13802)*(H13882-H13888+H13887-H13890)</f>
        <v>0</v>
      </c>
      <c r="I13892" s="16" t="n">
        <f aca="false">I13883*(1-I13802)*(I13882-I13888+I13887-I13890)</f>
        <v>0</v>
      </c>
      <c r="J13892" s="16" t="n">
        <f aca="false">J13883*(1-J13802)*(J13882-J13888+J13887-J13890)</f>
        <v>0</v>
      </c>
      <c r="K13892" s="16" t="n">
        <f aca="false">K13883*(1-K13802)*(K13882-K13888+K13887-K13890)</f>
        <v>0</v>
      </c>
    </row>
    <row r="13893" customFormat="false" ht="15" hidden="false" customHeight="false" outlineLevel="0" collapsed="false">
      <c r="A13893" s="2" t="s">
        <v>339</v>
      </c>
      <c r="F13893" s="28" t="n">
        <f aca="false">Assumptions!$C$63</f>
        <v>550</v>
      </c>
      <c r="G13893" s="17" t="n">
        <f aca="false">G13882+G13889+G13887-G13888-G13890-G13891</f>
        <v>550</v>
      </c>
      <c r="H13893" s="17" t="n">
        <f aca="false">H13882+H13889+H13887-H13888-H13890-H13891</f>
        <v>550</v>
      </c>
      <c r="I13893" s="17" t="n">
        <f aca="false">I13882+I13889+I13887-I13888-I13890-I13891</f>
        <v>550</v>
      </c>
      <c r="J13893" s="17" t="n">
        <f aca="false">J13882+J13889+J13887-J13888-J13890-J13891</f>
        <v>550</v>
      </c>
      <c r="K13893" s="17" t="n">
        <f aca="false">K13882+K13889+K13887-K13888-K13890-K13891</f>
        <v>550</v>
      </c>
    </row>
    <row r="13894" customFormat="false" ht="15" hidden="false" customHeight="false" outlineLevel="0" collapsed="false">
      <c r="A13894" s="24" t="s">
        <v>346</v>
      </c>
      <c r="B13894" s="25"/>
      <c r="C13894" s="25"/>
      <c r="D13894" s="25"/>
      <c r="E13894" s="25"/>
      <c r="F13894" s="25"/>
      <c r="G13894" s="25"/>
      <c r="H13894" s="25"/>
      <c r="I13894" s="25"/>
      <c r="J13894" s="25"/>
      <c r="K13894" s="25"/>
    </row>
    <row r="13895" customFormat="false" ht="15" hidden="false" customHeight="false" outlineLevel="0" collapsed="false">
      <c r="A13895" s="3" t="s">
        <v>329</v>
      </c>
      <c r="G13895" s="16" t="n">
        <f aca="false">F13906</f>
        <v>350</v>
      </c>
      <c r="H13895" s="16" t="n">
        <f aca="false">G13906</f>
        <v>350</v>
      </c>
      <c r="I13895" s="16" t="n">
        <f aca="false">H13906</f>
        <v>350</v>
      </c>
      <c r="J13895" s="16" t="n">
        <f aca="false">I13906</f>
        <v>350</v>
      </c>
      <c r="K13895" s="16" t="n">
        <f aca="false">J13906</f>
        <v>350</v>
      </c>
    </row>
    <row r="13896" customFormat="false" ht="15" hidden="false" customHeight="false" outlineLevel="0" collapsed="false">
      <c r="A13896" s="3" t="s">
        <v>330</v>
      </c>
      <c r="G13896" s="21" t="n">
        <f aca="false">IF(G13768=Assumptions!$K$64,1,0)</f>
        <v>0</v>
      </c>
      <c r="H13896" s="21" t="n">
        <f aca="false">IF(H13768=Assumptions!$K$64,1,0)</f>
        <v>0</v>
      </c>
      <c r="I13896" s="21" t="n">
        <f aca="false">IF(I13768=Assumptions!$K$64,1,0)</f>
        <v>0</v>
      </c>
      <c r="J13896" s="21" t="n">
        <f aca="false">IF(J13768=Assumptions!$K$64,1,0)</f>
        <v>1</v>
      </c>
      <c r="K13896" s="21" t="n">
        <f aca="false">IF(K13768=Assumptions!$K$64,1,0)</f>
        <v>0</v>
      </c>
    </row>
    <row r="13898" customFormat="false" ht="15" hidden="false" customHeight="false" outlineLevel="0" collapsed="false">
      <c r="A13898" s="3" t="s">
        <v>331</v>
      </c>
      <c r="G13898" s="31" t="n">
        <f aca="false">IF(Assumptions!$I$64=1,MAX(G13794,Assumptions!$G$64)+Assumptions!$F$64+$C$13795,Assumptions!$E$64)</f>
        <v>0.0455</v>
      </c>
      <c r="H13898" s="31" t="n">
        <f aca="false">IF(G14121=1,$C$13796,IF(Assumptions!$I$64=1,MAX(H13794,Assumptions!$G$64)+Assumptions!$F$64+$C$13795,Assumptions!$E$64))</f>
        <v>0.0455</v>
      </c>
      <c r="I13898" s="31" t="n">
        <f aca="false">IF(H14121=1,$C$13796,IF(Assumptions!$I$64=1,MAX(I13794,Assumptions!$G$64)+Assumptions!$F$64+$C$13795,Assumptions!$E$64))</f>
        <v>0.0455</v>
      </c>
      <c r="J13898" s="31" t="n">
        <f aca="false">IF(I14121=1,$C$13796,IF(Assumptions!$I$64=1,MAX(J13794,Assumptions!$G$64)+Assumptions!$F$64+$C$13795,Assumptions!$E$64))</f>
        <v>0.0455</v>
      </c>
      <c r="K13898" s="31" t="n">
        <f aca="false">IF(J14121=1,$C$13796,IF(Assumptions!$I$64=1,MAX(K13794,Assumptions!$G$64)+Assumptions!$F$64+$C$13795,Assumptions!$E$64))</f>
        <v>0.08</v>
      </c>
    </row>
    <row r="13899" customFormat="false" ht="15" hidden="false" customHeight="false" outlineLevel="0" collapsed="false">
      <c r="A13899" s="3" t="s">
        <v>332</v>
      </c>
      <c r="G13899" s="16" t="n">
        <f aca="false">G13895*G13898</f>
        <v>15.925</v>
      </c>
      <c r="H13899" s="16" t="n">
        <f aca="false">H13895*H13898</f>
        <v>15.925</v>
      </c>
      <c r="I13899" s="16" t="n">
        <f aca="false">I13895*I13898</f>
        <v>15.925</v>
      </c>
      <c r="J13899" s="16" t="n">
        <f aca="false">J13895*J13898</f>
        <v>15.925</v>
      </c>
      <c r="K13899" s="16" t="n">
        <f aca="false">K13895*K13898</f>
        <v>28</v>
      </c>
    </row>
    <row r="13900" customFormat="false" ht="15" hidden="false" customHeight="false" outlineLevel="0" collapsed="false">
      <c r="A13900" s="3" t="s">
        <v>333</v>
      </c>
      <c r="G13900" s="16" t="n">
        <f aca="false">G13895*Assumptions!$H$64</f>
        <v>0</v>
      </c>
      <c r="H13900" s="16" t="n">
        <f aca="false">H13895*Assumptions!$H$64</f>
        <v>0</v>
      </c>
      <c r="I13900" s="16" t="n">
        <f aca="false">I13895*Assumptions!$H$64</f>
        <v>0</v>
      </c>
      <c r="J13900" s="16" t="n">
        <f aca="false">J13895*Assumptions!$H$64</f>
        <v>0</v>
      </c>
      <c r="K13900" s="16" t="n">
        <f aca="false">K13895*Assumptions!$H$64</f>
        <v>0</v>
      </c>
    </row>
    <row r="13901" customFormat="false" ht="15" hidden="false" customHeight="false" outlineLevel="0" collapsed="false">
      <c r="A13901" s="3" t="s">
        <v>334</v>
      </c>
      <c r="G13901" s="16" t="n">
        <f aca="false">MIN(G13895,Assumptions!$L$64*Assumptions!$C$64)</f>
        <v>0</v>
      </c>
      <c r="H13901" s="16" t="n">
        <f aca="false">MIN(H13895,Assumptions!$L$64*Assumptions!$C$64)</f>
        <v>0</v>
      </c>
      <c r="I13901" s="16" t="n">
        <f aca="false">MIN(I13895,Assumptions!$L$64*Assumptions!$C$64)</f>
        <v>0</v>
      </c>
      <c r="J13901" s="16" t="n">
        <f aca="false">MIN(J13895,Assumptions!$L$64*Assumptions!$C$64)</f>
        <v>0</v>
      </c>
      <c r="K13901" s="16" t="n">
        <f aca="false">MIN(K13895,Assumptions!$L$64*Assumptions!$C$64)</f>
        <v>0</v>
      </c>
    </row>
    <row r="13902" customFormat="false" ht="15" hidden="false" customHeight="false" outlineLevel="0" collapsed="false">
      <c r="A13902" s="3" t="s">
        <v>335</v>
      </c>
      <c r="G13902" s="16" t="n">
        <f aca="false">IF(AND(Assumptions!$P$64=1,G13768&lt;Assumptions!$K$64),MIN(MAX(0,-G13984),MAX(0,Assumptions!$D$64-G13895)),0)</f>
        <v>0</v>
      </c>
      <c r="H13902" s="16" t="n">
        <f aca="false">IF(AND(Assumptions!$P$64=1,OR(H13768&lt;Assumptions!$K$64,G14121=1)),MIN(MAX(0,-H13984),MAX(0,Assumptions!$D$64-H13895)),0)</f>
        <v>0</v>
      </c>
      <c r="I13902" s="16" t="n">
        <f aca="false">IF(AND(Assumptions!$P$64=1,OR(I13768&lt;Assumptions!$K$64,H14121=1)),MIN(MAX(0,-I13984),MAX(0,Assumptions!$D$64-I13895)),0)</f>
        <v>0</v>
      </c>
      <c r="J13902" s="16" t="n">
        <f aca="false">IF(AND(Assumptions!$P$64=1,OR(J13768&lt;Assumptions!$K$64,I14121=1)),MIN(MAX(0,-J13984),MAX(0,Assumptions!$D$64-J13895)),0)</f>
        <v>0</v>
      </c>
      <c r="K13902" s="16" t="n">
        <f aca="false">IF(AND(Assumptions!$P$64=1,OR(K13768&lt;Assumptions!$K$64,J14121=1)),MIN(MAX(0,-K13984),MAX(0,Assumptions!$D$64-K13895)),0)</f>
        <v>0</v>
      </c>
    </row>
    <row r="13903" customFormat="false" ht="15" hidden="false" customHeight="false" outlineLevel="0" collapsed="false">
      <c r="A13903" s="3" t="s">
        <v>336</v>
      </c>
      <c r="G13903" s="16" t="n">
        <f aca="false">G13896*MIN(G13895-G13901+G13900,MAX(0,G13986-Assumptions!$C$12*G13802-G13812-G13825-G13838-G13851-G13864-G13877-G13890))</f>
        <v>0</v>
      </c>
      <c r="H13903" s="16" t="n">
        <f aca="false">H13896*MIN(H13895-H13901+H13900,MAX(0,H13986-Assumptions!$C$12*H13802-H13812-H13825-H13838-H13851-H13864-H13877-H13890))</f>
        <v>0</v>
      </c>
      <c r="I13903" s="16" t="n">
        <f aca="false">I13896*MIN(I13895-I13901+I13900,MAX(0,I13986-Assumptions!$C$12*I13802-I13812-I13825-I13838-I13851-I13864-I13877-I13890))</f>
        <v>0</v>
      </c>
      <c r="J13903" s="16" t="n">
        <f aca="false">J13896*MIN(J13895-J13901+J13900,MAX(0,J13986-Assumptions!$C$12*J13802-J13812-J13825-J13838-J13851-J13864-J13877-J13890))</f>
        <v>0</v>
      </c>
      <c r="K13903" s="16" t="n">
        <f aca="false">K13896*MIN(K13895-K13901+K13900,MAX(0,K13986-Assumptions!$C$12*K13802-K13812-K13825-K13838-K13851-K13864-K13877-K13890))</f>
        <v>0</v>
      </c>
    </row>
    <row r="13904" customFormat="false" ht="15" hidden="false" customHeight="false" outlineLevel="0" collapsed="false">
      <c r="A13904" s="3" t="s">
        <v>337</v>
      </c>
      <c r="G13904" s="16" t="n">
        <f aca="false">Assumptions!$N$64*MIN(G13895+G13902+G13900-G13901-G13903,MAX(0,G13990-G13813-G13826-G13839-G13852-G13865-G13878-G13891))</f>
        <v>0</v>
      </c>
      <c r="H13904" s="16" t="n">
        <f aca="false">Assumptions!$N$64*MIN(H13895+H13902+H13900-H13901-H13903,MAX(0,H13990-H13813-H13826-H13839-H13852-H13865-H13878-H13891))</f>
        <v>0</v>
      </c>
      <c r="I13904" s="16" t="n">
        <f aca="false">Assumptions!$N$64*MIN(I13895+I13902+I13900-I13901-I13903,MAX(0,I13990-I13813-I13826-I13839-I13852-I13865-I13878-I13891))</f>
        <v>0</v>
      </c>
      <c r="J13904" s="16" t="n">
        <f aca="false">Assumptions!$N$64*MIN(J13895+J13902+J13900-J13901-J13903,MAX(0,J13990-J13813-J13826-J13839-J13852-J13865-J13878-J13891))</f>
        <v>0</v>
      </c>
      <c r="K13904" s="16" t="n">
        <f aca="false">Assumptions!$N$64*MIN(K13895+K13902+K13900-K13901-K13903,MAX(0,K13990-K13813-K13826-K13839-K13852-K13865-K13878-K13891))</f>
        <v>0</v>
      </c>
    </row>
    <row r="13905" customFormat="false" ht="15" hidden="false" customHeight="false" outlineLevel="0" collapsed="false">
      <c r="A13905" s="3" t="s">
        <v>338</v>
      </c>
      <c r="G13905" s="16" t="n">
        <f aca="false">G13896*(1-G13802)*(G13895-G13901+G13900-G13903)</f>
        <v>0</v>
      </c>
      <c r="H13905" s="16" t="n">
        <f aca="false">H13896*(1-H13802)*(H13895-H13901+H13900-H13903)</f>
        <v>0</v>
      </c>
      <c r="I13905" s="16" t="n">
        <f aca="false">I13896*(1-I13802)*(I13895-I13901+I13900-I13903)</f>
        <v>0</v>
      </c>
      <c r="J13905" s="16" t="n">
        <f aca="false">J13896*(1-J13802)*(J13895-J13901+J13900-J13903)</f>
        <v>0</v>
      </c>
      <c r="K13905" s="16" t="n">
        <f aca="false">K13896*(1-K13802)*(K13895-K13901+K13900-K13903)</f>
        <v>0</v>
      </c>
    </row>
    <row r="13906" customFormat="false" ht="15" hidden="false" customHeight="false" outlineLevel="0" collapsed="false">
      <c r="A13906" s="2" t="s">
        <v>339</v>
      </c>
      <c r="F13906" s="28" t="n">
        <f aca="false">Assumptions!$C$64</f>
        <v>350</v>
      </c>
      <c r="G13906" s="17" t="n">
        <f aca="false">G13895+G13902+G13900-G13901-G13903-G13904</f>
        <v>350</v>
      </c>
      <c r="H13906" s="17" t="n">
        <f aca="false">H13895+H13902+H13900-H13901-H13903-H13904</f>
        <v>350</v>
      </c>
      <c r="I13906" s="17" t="n">
        <f aca="false">I13895+I13902+I13900-I13901-I13903-I13904</f>
        <v>350</v>
      </c>
      <c r="J13906" s="17" t="n">
        <f aca="false">J13895+J13902+J13900-J13901-J13903-J13904</f>
        <v>350</v>
      </c>
      <c r="K13906" s="17" t="n">
        <f aca="false">K13895+K13902+K13900-K13901-K13903-K13904</f>
        <v>350</v>
      </c>
    </row>
    <row r="13907" customFormat="false" ht="15" hidden="false" customHeight="false" outlineLevel="0" collapsed="false">
      <c r="A13907" s="24" t="s">
        <v>347</v>
      </c>
      <c r="B13907" s="25"/>
      <c r="C13907" s="25"/>
      <c r="D13907" s="25"/>
      <c r="E13907" s="25"/>
      <c r="F13907" s="25"/>
      <c r="G13907" s="25"/>
      <c r="H13907" s="25"/>
      <c r="I13907" s="25"/>
      <c r="J13907" s="25"/>
      <c r="K13907" s="25"/>
    </row>
    <row r="13908" customFormat="false" ht="15" hidden="false" customHeight="false" outlineLevel="0" collapsed="false">
      <c r="A13908" s="3" t="s">
        <v>329</v>
      </c>
      <c r="G13908" s="16" t="n">
        <f aca="false">F13919</f>
        <v>300</v>
      </c>
      <c r="H13908" s="16" t="n">
        <f aca="false">G13919</f>
        <v>300</v>
      </c>
      <c r="I13908" s="16" t="n">
        <f aca="false">H13919</f>
        <v>300</v>
      </c>
      <c r="J13908" s="16" t="n">
        <f aca="false">I13919</f>
        <v>300</v>
      </c>
      <c r="K13908" s="16" t="n">
        <f aca="false">J13919</f>
        <v>300</v>
      </c>
    </row>
    <row r="13909" customFormat="false" ht="15" hidden="false" customHeight="false" outlineLevel="0" collapsed="false">
      <c r="A13909" s="3" t="s">
        <v>330</v>
      </c>
      <c r="G13909" s="21" t="n">
        <f aca="false">IF(G13768=Assumptions!$K$65,1,0)</f>
        <v>0</v>
      </c>
      <c r="H13909" s="21" t="n">
        <f aca="false">IF(H13768=Assumptions!$K$65,1,0)</f>
        <v>0</v>
      </c>
      <c r="I13909" s="21" t="n">
        <f aca="false">IF(I13768=Assumptions!$K$65,1,0)</f>
        <v>0</v>
      </c>
      <c r="J13909" s="21" t="n">
        <f aca="false">IF(J13768=Assumptions!$K$65,1,0)</f>
        <v>0</v>
      </c>
      <c r="K13909" s="21" t="n">
        <f aca="false">IF(K13768=Assumptions!$K$65,1,0)</f>
        <v>1</v>
      </c>
    </row>
    <row r="13911" customFormat="false" ht="15" hidden="false" customHeight="false" outlineLevel="0" collapsed="false">
      <c r="A13911" s="3" t="s">
        <v>331</v>
      </c>
      <c r="G13911" s="31" t="n">
        <f aca="false">IF(Assumptions!$I$65=1,MAX(G13794,Assumptions!$G$65)+Assumptions!$F$65+$C$13795,Assumptions!$E$65)</f>
        <v>0.06125</v>
      </c>
      <c r="H13911" s="31" t="n">
        <f aca="false">IF(G14122=1,$C$13796,IF(Assumptions!$I$65=1,MAX(H13794,Assumptions!$G$65)+Assumptions!$F$65+$C$13795,Assumptions!$E$65))</f>
        <v>0.06125</v>
      </c>
      <c r="I13911" s="31" t="n">
        <f aca="false">IF(H14122=1,$C$13796,IF(Assumptions!$I$65=1,MAX(I13794,Assumptions!$G$65)+Assumptions!$F$65+$C$13795,Assumptions!$E$65))</f>
        <v>0.06125</v>
      </c>
      <c r="J13911" s="31" t="n">
        <f aca="false">IF(I14122=1,$C$13796,IF(Assumptions!$I$65=1,MAX(J13794,Assumptions!$G$65)+Assumptions!$F$65+$C$13795,Assumptions!$E$65))</f>
        <v>0.06125</v>
      </c>
      <c r="K13911" s="31" t="n">
        <f aca="false">IF(J14122=1,$C$13796,IF(Assumptions!$I$65=1,MAX(K13794,Assumptions!$G$65)+Assumptions!$F$65+$C$13795,Assumptions!$E$65))</f>
        <v>0.06125</v>
      </c>
    </row>
    <row r="13912" customFormat="false" ht="15" hidden="false" customHeight="false" outlineLevel="0" collapsed="false">
      <c r="A13912" s="3" t="s">
        <v>332</v>
      </c>
      <c r="G13912" s="16" t="n">
        <f aca="false">G13908*G13911</f>
        <v>18.375</v>
      </c>
      <c r="H13912" s="16" t="n">
        <f aca="false">H13908*H13911</f>
        <v>18.375</v>
      </c>
      <c r="I13912" s="16" t="n">
        <f aca="false">I13908*I13911</f>
        <v>18.375</v>
      </c>
      <c r="J13912" s="16" t="n">
        <f aca="false">J13908*J13911</f>
        <v>18.375</v>
      </c>
      <c r="K13912" s="16" t="n">
        <f aca="false">K13908*K13911</f>
        <v>18.375</v>
      </c>
    </row>
    <row r="13913" customFormat="false" ht="15" hidden="false" customHeight="false" outlineLevel="0" collapsed="false">
      <c r="A13913" s="3" t="s">
        <v>333</v>
      </c>
      <c r="G13913" s="16" t="n">
        <f aca="false">G13908*Assumptions!$H$65</f>
        <v>0</v>
      </c>
      <c r="H13913" s="16" t="n">
        <f aca="false">H13908*Assumptions!$H$65</f>
        <v>0</v>
      </c>
      <c r="I13913" s="16" t="n">
        <f aca="false">I13908*Assumptions!$H$65</f>
        <v>0</v>
      </c>
      <c r="J13913" s="16" t="n">
        <f aca="false">J13908*Assumptions!$H$65</f>
        <v>0</v>
      </c>
      <c r="K13913" s="16" t="n">
        <f aca="false">K13908*Assumptions!$H$65</f>
        <v>0</v>
      </c>
    </row>
    <row r="13914" customFormat="false" ht="15" hidden="false" customHeight="false" outlineLevel="0" collapsed="false">
      <c r="A13914" s="3" t="s">
        <v>334</v>
      </c>
      <c r="G13914" s="16" t="n">
        <f aca="false">MIN(G13908,Assumptions!$L$65*Assumptions!$C$65)</f>
        <v>0</v>
      </c>
      <c r="H13914" s="16" t="n">
        <f aca="false">MIN(H13908,Assumptions!$L$65*Assumptions!$C$65)</f>
        <v>0</v>
      </c>
      <c r="I13914" s="16" t="n">
        <f aca="false">MIN(I13908,Assumptions!$L$65*Assumptions!$C$65)</f>
        <v>0</v>
      </c>
      <c r="J13914" s="16" t="n">
        <f aca="false">MIN(J13908,Assumptions!$L$65*Assumptions!$C$65)</f>
        <v>0</v>
      </c>
      <c r="K13914" s="16" t="n">
        <f aca="false">MIN(K13908,Assumptions!$L$65*Assumptions!$C$65)</f>
        <v>0</v>
      </c>
    </row>
    <row r="13915" customFormat="false" ht="15" hidden="false" customHeight="false" outlineLevel="0" collapsed="false">
      <c r="A13915" s="3" t="s">
        <v>335</v>
      </c>
      <c r="G13915" s="16" t="n">
        <f aca="false">IF(AND(Assumptions!$P$65=1,G13768&lt;Assumptions!$K$65),MIN(MAX(0,-G13984),MAX(0,Assumptions!$D$65-G13908)),0)</f>
        <v>0</v>
      </c>
      <c r="H13915" s="16" t="n">
        <f aca="false">IF(AND(Assumptions!$P$65=1,OR(H13768&lt;Assumptions!$K$65,G14122=1)),MIN(MAX(0,-H13984),MAX(0,Assumptions!$D$65-H13908)),0)</f>
        <v>0</v>
      </c>
      <c r="I13915" s="16" t="n">
        <f aca="false">IF(AND(Assumptions!$P$65=1,OR(I13768&lt;Assumptions!$K$65,H14122=1)),MIN(MAX(0,-I13984),MAX(0,Assumptions!$D$65-I13908)),0)</f>
        <v>0</v>
      </c>
      <c r="J13915" s="16" t="n">
        <f aca="false">IF(AND(Assumptions!$P$65=1,OR(J13768&lt;Assumptions!$K$65,I14122=1)),MIN(MAX(0,-J13984),MAX(0,Assumptions!$D$65-J13908)),0)</f>
        <v>0</v>
      </c>
      <c r="K13915" s="16" t="n">
        <f aca="false">IF(AND(Assumptions!$P$65=1,OR(K13768&lt;Assumptions!$K$65,J14122=1)),MIN(MAX(0,-K13984),MAX(0,Assumptions!$D$65-K13908)),0)</f>
        <v>0</v>
      </c>
    </row>
    <row r="13916" customFormat="false" ht="15" hidden="false" customHeight="false" outlineLevel="0" collapsed="false">
      <c r="A13916" s="3" t="s">
        <v>336</v>
      </c>
      <c r="G13916" s="16" t="n">
        <f aca="false">G13909*MIN(G13908-G13914+G13913,MAX(0,G13986-Assumptions!$C$12*G13802-G13812-G13825-G13838-G13851-G13864-G13877-G13890-G13903))</f>
        <v>0</v>
      </c>
      <c r="H13916" s="16" t="n">
        <f aca="false">H13909*MIN(H13908-H13914+H13913,MAX(0,H13986-Assumptions!$C$12*H13802-H13812-H13825-H13838-H13851-H13864-H13877-H13890-H13903))</f>
        <v>0</v>
      </c>
      <c r="I13916" s="16" t="n">
        <f aca="false">I13909*MIN(I13908-I13914+I13913,MAX(0,I13986-Assumptions!$C$12*I13802-I13812-I13825-I13838-I13851-I13864-I13877-I13890-I13903))</f>
        <v>0</v>
      </c>
      <c r="J13916" s="16" t="n">
        <f aca="false">J13909*MIN(J13908-J13914+J13913,MAX(0,J13986-Assumptions!$C$12*J13802-J13812-J13825-J13838-J13851-J13864-J13877-J13890-J13903))</f>
        <v>0</v>
      </c>
      <c r="K13916" s="16" t="n">
        <f aca="false">K13909*MIN(K13908-K13914+K13913,MAX(0,K13986-Assumptions!$C$12*K13802-K13812-K13825-K13838-K13851-K13864-K13877-K13890-K13903))</f>
        <v>0</v>
      </c>
    </row>
    <row r="13917" customFormat="false" ht="15" hidden="false" customHeight="false" outlineLevel="0" collapsed="false">
      <c r="A13917" s="3" t="s">
        <v>337</v>
      </c>
      <c r="G13917" s="16" t="n">
        <f aca="false">Assumptions!$N$65*MIN(G13908+G13915+G13913-G13914-G13916,MAX(0,G13990-G13813-G13826-G13839-G13852-G13865-G13878-G13891-G13904))</f>
        <v>0</v>
      </c>
      <c r="H13917" s="16" t="n">
        <f aca="false">Assumptions!$N$65*MIN(H13908+H13915+H13913-H13914-H13916,MAX(0,H13990-H13813-H13826-H13839-H13852-H13865-H13878-H13891-H13904))</f>
        <v>0</v>
      </c>
      <c r="I13917" s="16" t="n">
        <f aca="false">Assumptions!$N$65*MIN(I13908+I13915+I13913-I13914-I13916,MAX(0,I13990-I13813-I13826-I13839-I13852-I13865-I13878-I13891-I13904))</f>
        <v>0</v>
      </c>
      <c r="J13917" s="16" t="n">
        <f aca="false">Assumptions!$N$65*MIN(J13908+J13915+J13913-J13914-J13916,MAX(0,J13990-J13813-J13826-J13839-J13852-J13865-J13878-J13891-J13904))</f>
        <v>0</v>
      </c>
      <c r="K13917" s="16" t="n">
        <f aca="false">Assumptions!$N$65*MIN(K13908+K13915+K13913-K13914-K13916,MAX(0,K13990-K13813-K13826-K13839-K13852-K13865-K13878-K13891-K13904))</f>
        <v>0</v>
      </c>
    </row>
    <row r="13918" customFormat="false" ht="15" hidden="false" customHeight="false" outlineLevel="0" collapsed="false">
      <c r="A13918" s="3" t="s">
        <v>338</v>
      </c>
      <c r="G13918" s="16" t="n">
        <f aca="false">G13909*(1-G13802)*(G13908-G13914+G13913-G13916)</f>
        <v>0</v>
      </c>
      <c r="H13918" s="16" t="n">
        <f aca="false">H13909*(1-H13802)*(H13908-H13914+H13913-H13916)</f>
        <v>0</v>
      </c>
      <c r="I13918" s="16" t="n">
        <f aca="false">I13909*(1-I13802)*(I13908-I13914+I13913-I13916)</f>
        <v>0</v>
      </c>
      <c r="J13918" s="16" t="n">
        <f aca="false">J13909*(1-J13802)*(J13908-J13914+J13913-J13916)</f>
        <v>0</v>
      </c>
      <c r="K13918" s="16" t="n">
        <f aca="false">K13909*(1-K13802)*(K13908-K13914+K13913-K13916)</f>
        <v>0</v>
      </c>
    </row>
    <row r="13919" customFormat="false" ht="15" hidden="false" customHeight="false" outlineLevel="0" collapsed="false">
      <c r="A13919" s="2" t="s">
        <v>339</v>
      </c>
      <c r="F13919" s="28" t="n">
        <f aca="false">Assumptions!$C$65</f>
        <v>300</v>
      </c>
      <c r="G13919" s="17" t="n">
        <f aca="false">G13908+G13915+G13913-G13914-G13916-G13917</f>
        <v>300</v>
      </c>
      <c r="H13919" s="17" t="n">
        <f aca="false">H13908+H13915+H13913-H13914-H13916-H13917</f>
        <v>300</v>
      </c>
      <c r="I13919" s="17" t="n">
        <f aca="false">I13908+I13915+I13913-I13914-I13916-I13917</f>
        <v>300</v>
      </c>
      <c r="J13919" s="17" t="n">
        <f aca="false">J13908+J13915+J13913-J13914-J13916-J13917</f>
        <v>300</v>
      </c>
      <c r="K13919" s="17" t="n">
        <f aca="false">K13908+K13915+K13913-K13914-K13916-K13917</f>
        <v>300</v>
      </c>
    </row>
    <row r="13920" customFormat="false" ht="15" hidden="false" customHeight="false" outlineLevel="0" collapsed="false">
      <c r="A13920" s="24" t="s">
        <v>348</v>
      </c>
      <c r="B13920" s="25"/>
      <c r="C13920" s="25"/>
      <c r="D13920" s="25"/>
      <c r="E13920" s="25"/>
      <c r="F13920" s="25"/>
      <c r="G13920" s="25"/>
      <c r="H13920" s="25"/>
      <c r="I13920" s="25"/>
      <c r="J13920" s="25"/>
      <c r="K13920" s="25"/>
    </row>
    <row r="13921" customFormat="false" ht="15" hidden="false" customHeight="false" outlineLevel="0" collapsed="false">
      <c r="A13921" s="3" t="s">
        <v>329</v>
      </c>
      <c r="G13921" s="16" t="n">
        <f aca="false">F13932</f>
        <v>78.61</v>
      </c>
      <c r="H13921" s="16" t="n">
        <f aca="false">G13932</f>
        <v>78.61</v>
      </c>
      <c r="I13921" s="16" t="n">
        <f aca="false">H13932</f>
        <v>78.61</v>
      </c>
      <c r="J13921" s="16" t="n">
        <f aca="false">I13932</f>
        <v>78.61</v>
      </c>
      <c r="K13921" s="16" t="n">
        <f aca="false">J13932</f>
        <v>78.61</v>
      </c>
    </row>
    <row r="13922" customFormat="false" ht="15" hidden="false" customHeight="false" outlineLevel="0" collapsed="false">
      <c r="A13922" s="3" t="s">
        <v>330</v>
      </c>
      <c r="G13922" s="21" t="n">
        <f aca="false">IF(G13768=Assumptions!$K$66,1,0)</f>
        <v>0</v>
      </c>
      <c r="H13922" s="21" t="n">
        <f aca="false">IF(H13768=Assumptions!$K$66,1,0)</f>
        <v>0</v>
      </c>
      <c r="I13922" s="21" t="n">
        <f aca="false">IF(I13768=Assumptions!$K$66,1,0)</f>
        <v>0</v>
      </c>
      <c r="J13922" s="21" t="n">
        <f aca="false">IF(J13768=Assumptions!$K$66,1,0)</f>
        <v>0</v>
      </c>
      <c r="K13922" s="21" t="n">
        <f aca="false">IF(K13768=Assumptions!$K$66,1,0)</f>
        <v>0</v>
      </c>
    </row>
    <row r="13924" customFormat="false" ht="15" hidden="false" customHeight="false" outlineLevel="0" collapsed="false">
      <c r="A13924" s="3" t="s">
        <v>331</v>
      </c>
      <c r="G13924" s="31" t="n">
        <f aca="false">IF(Assumptions!$I$66=1,MAX(G13794,Assumptions!$G$66)+Assumptions!$F$66+$C$13795,Assumptions!$E$66)</f>
        <v>0.0541</v>
      </c>
      <c r="H13924" s="31" t="n">
        <f aca="false">IF(G14123=1,$C$13796,IF(Assumptions!$I$66=1,MAX(H13794,Assumptions!$G$66)+Assumptions!$F$66+$C$13795,Assumptions!$E$66))</f>
        <v>0.0526</v>
      </c>
      <c r="I13924" s="31" t="n">
        <f aca="false">IF(H14123=1,$C$13796,IF(Assumptions!$I$66=1,MAX(I13794,Assumptions!$G$66)+Assumptions!$F$66+$C$13795,Assumptions!$E$66))</f>
        <v>0.0501</v>
      </c>
      <c r="J13924" s="31" t="n">
        <f aca="false">IF(I14123=1,$C$13796,IF(Assumptions!$I$66=1,MAX(J13794,Assumptions!$G$66)+Assumptions!$F$66+$C$13795,Assumptions!$E$66))</f>
        <v>0.0501</v>
      </c>
      <c r="K13924" s="31" t="n">
        <f aca="false">IF(J14123=1,$C$13796,IF(Assumptions!$I$66=1,MAX(K13794,Assumptions!$G$66)+Assumptions!$F$66+$C$13795,Assumptions!$E$66))</f>
        <v>0.0501</v>
      </c>
    </row>
    <row r="13925" customFormat="false" ht="15" hidden="false" customHeight="false" outlineLevel="0" collapsed="false">
      <c r="A13925" s="3" t="s">
        <v>332</v>
      </c>
      <c r="G13925" s="16" t="n">
        <f aca="false">G13921*G13924</f>
        <v>4.252801</v>
      </c>
      <c r="H13925" s="16" t="n">
        <f aca="false">H13921*H13924</f>
        <v>4.134886</v>
      </c>
      <c r="I13925" s="16" t="n">
        <f aca="false">I13921*I13924</f>
        <v>3.938361</v>
      </c>
      <c r="J13925" s="16" t="n">
        <f aca="false">J13921*J13924</f>
        <v>3.938361</v>
      </c>
      <c r="K13925" s="16" t="n">
        <f aca="false">K13921*K13924</f>
        <v>3.938361</v>
      </c>
    </row>
    <row r="13926" customFormat="false" ht="15" hidden="false" customHeight="false" outlineLevel="0" collapsed="false">
      <c r="A13926" s="3" t="s">
        <v>333</v>
      </c>
      <c r="G13926" s="16" t="n">
        <f aca="false">G13921*Assumptions!$H$66</f>
        <v>0</v>
      </c>
      <c r="H13926" s="16" t="n">
        <f aca="false">H13921*Assumptions!$H$66</f>
        <v>0</v>
      </c>
      <c r="I13926" s="16" t="n">
        <f aca="false">I13921*Assumptions!$H$66</f>
        <v>0</v>
      </c>
      <c r="J13926" s="16" t="n">
        <f aca="false">J13921*Assumptions!$H$66</f>
        <v>0</v>
      </c>
      <c r="K13926" s="16" t="n">
        <f aca="false">K13921*Assumptions!$H$66</f>
        <v>0</v>
      </c>
    </row>
    <row r="13927" customFormat="false" ht="15" hidden="false" customHeight="false" outlineLevel="0" collapsed="false">
      <c r="A13927" s="3" t="s">
        <v>334</v>
      </c>
      <c r="G13927" s="16" t="n">
        <f aca="false">MIN(G13921,Assumptions!$L$66*Assumptions!$C$66)</f>
        <v>0</v>
      </c>
      <c r="H13927" s="16" t="n">
        <f aca="false">MIN(H13921,Assumptions!$L$66*Assumptions!$C$66)</f>
        <v>0</v>
      </c>
      <c r="I13927" s="16" t="n">
        <f aca="false">MIN(I13921,Assumptions!$L$66*Assumptions!$C$66)</f>
        <v>0</v>
      </c>
      <c r="J13927" s="16" t="n">
        <f aca="false">MIN(J13921,Assumptions!$L$66*Assumptions!$C$66)</f>
        <v>0</v>
      </c>
      <c r="K13927" s="16" t="n">
        <f aca="false">MIN(K13921,Assumptions!$L$66*Assumptions!$C$66)</f>
        <v>0</v>
      </c>
    </row>
    <row r="13928" customFormat="false" ht="15" hidden="false" customHeight="false" outlineLevel="0" collapsed="false">
      <c r="A13928" s="3" t="s">
        <v>335</v>
      </c>
      <c r="G13928" s="16" t="n">
        <f aca="false">IF(AND(Assumptions!$P$66=1,G13768&lt;Assumptions!$K$66),MIN(MAX(0,-G13984),MAX(0,Assumptions!$D$66-G13921)),0)</f>
        <v>0</v>
      </c>
      <c r="H13928" s="16" t="n">
        <f aca="false">IF(AND(Assumptions!$P$66=1,OR(H13768&lt;Assumptions!$K$66,G14123=1)),MIN(MAX(0,-H13984),MAX(0,Assumptions!$D$66-H13921)),0)</f>
        <v>0</v>
      </c>
      <c r="I13928" s="16" t="n">
        <f aca="false">IF(AND(Assumptions!$P$66=1,OR(I13768&lt;Assumptions!$K$66,H14123=1)),MIN(MAX(0,-I13984),MAX(0,Assumptions!$D$66-I13921)),0)</f>
        <v>0</v>
      </c>
      <c r="J13928" s="16" t="n">
        <f aca="false">IF(AND(Assumptions!$P$66=1,OR(J13768&lt;Assumptions!$K$66,I14123=1)),MIN(MAX(0,-J13984),MAX(0,Assumptions!$D$66-J13921)),0)</f>
        <v>0</v>
      </c>
      <c r="K13928" s="16" t="n">
        <f aca="false">IF(AND(Assumptions!$P$66=1,OR(K13768&lt;Assumptions!$K$66,J14123=1)),MIN(MAX(0,-K13984),MAX(0,Assumptions!$D$66-K13921)),0)</f>
        <v>0</v>
      </c>
    </row>
    <row r="13929" customFormat="false" ht="15" hidden="false" customHeight="false" outlineLevel="0" collapsed="false">
      <c r="A13929" s="3" t="s">
        <v>336</v>
      </c>
      <c r="G13929" s="16" t="n">
        <f aca="false">G13922*MIN(G13921-G13927+G13926,MAX(0,G13986-Assumptions!$C$12*G13802-G13812-G13825-G13838-G13851-G13864-G13877-G13890-G13903-G13916))</f>
        <v>0</v>
      </c>
      <c r="H13929" s="16" t="n">
        <f aca="false">H13922*MIN(H13921-H13927+H13926,MAX(0,H13986-Assumptions!$C$12*H13802-H13812-H13825-H13838-H13851-H13864-H13877-H13890-H13903-H13916))</f>
        <v>0</v>
      </c>
      <c r="I13929" s="16" t="n">
        <f aca="false">I13922*MIN(I13921-I13927+I13926,MAX(0,I13986-Assumptions!$C$12*I13802-I13812-I13825-I13838-I13851-I13864-I13877-I13890-I13903-I13916))</f>
        <v>0</v>
      </c>
      <c r="J13929" s="16" t="n">
        <f aca="false">J13922*MIN(J13921-J13927+J13926,MAX(0,J13986-Assumptions!$C$12*J13802-J13812-J13825-J13838-J13851-J13864-J13877-J13890-J13903-J13916))</f>
        <v>0</v>
      </c>
      <c r="K13929" s="16" t="n">
        <f aca="false">K13922*MIN(K13921-K13927+K13926,MAX(0,K13986-Assumptions!$C$12*K13802-K13812-K13825-K13838-K13851-K13864-K13877-K13890-K13903-K13916))</f>
        <v>0</v>
      </c>
    </row>
    <row r="13930" customFormat="false" ht="15" hidden="false" customHeight="false" outlineLevel="0" collapsed="false">
      <c r="A13930" s="3" t="s">
        <v>337</v>
      </c>
      <c r="G13930" s="16" t="n">
        <f aca="false">Assumptions!$N$66*MIN(G13921+G13928+G13926-G13927-G13929,MAX(0,G13990-G13813-G13826-G13839-G13852-G13865-G13878-G13891-G13904-G13917))</f>
        <v>0</v>
      </c>
      <c r="H13930" s="16" t="n">
        <f aca="false">Assumptions!$N$66*MIN(H13921+H13928+H13926-H13927-H13929,MAX(0,H13990-H13813-H13826-H13839-H13852-H13865-H13878-H13891-H13904-H13917))</f>
        <v>0</v>
      </c>
      <c r="I13930" s="16" t="n">
        <f aca="false">Assumptions!$N$66*MIN(I13921+I13928+I13926-I13927-I13929,MAX(0,I13990-I13813-I13826-I13839-I13852-I13865-I13878-I13891-I13904-I13917))</f>
        <v>0</v>
      </c>
      <c r="J13930" s="16" t="n">
        <f aca="false">Assumptions!$N$66*MIN(J13921+J13928+J13926-J13927-J13929,MAX(0,J13990-J13813-J13826-J13839-J13852-J13865-J13878-J13891-J13904-J13917))</f>
        <v>0</v>
      </c>
      <c r="K13930" s="16" t="n">
        <f aca="false">Assumptions!$N$66*MIN(K13921+K13928+K13926-K13927-K13929,MAX(0,K13990-K13813-K13826-K13839-K13852-K13865-K13878-K13891-K13904-K13917))</f>
        <v>0</v>
      </c>
    </row>
    <row r="13931" customFormat="false" ht="15" hidden="false" customHeight="false" outlineLevel="0" collapsed="false">
      <c r="A13931" s="3" t="s">
        <v>338</v>
      </c>
      <c r="G13931" s="16" t="n">
        <f aca="false">G13922*(1-G13802)*(G13921-G13927+G13926-G13929)</f>
        <v>0</v>
      </c>
      <c r="H13931" s="16" t="n">
        <f aca="false">H13922*(1-H13802)*(H13921-H13927+H13926-H13929)</f>
        <v>0</v>
      </c>
      <c r="I13931" s="16" t="n">
        <f aca="false">I13922*(1-I13802)*(I13921-I13927+I13926-I13929)</f>
        <v>0</v>
      </c>
      <c r="J13931" s="16" t="n">
        <f aca="false">J13922*(1-J13802)*(J13921-J13927+J13926-J13929)</f>
        <v>0</v>
      </c>
      <c r="K13931" s="16" t="n">
        <f aca="false">K13922*(1-K13802)*(K13921-K13927+K13926-K13929)</f>
        <v>0</v>
      </c>
    </row>
    <row r="13932" customFormat="false" ht="15" hidden="false" customHeight="false" outlineLevel="0" collapsed="false">
      <c r="A13932" s="2" t="s">
        <v>339</v>
      </c>
      <c r="F13932" s="28" t="n">
        <f aca="false">Assumptions!$C$66</f>
        <v>78.61</v>
      </c>
      <c r="G13932" s="17" t="n">
        <f aca="false">G13921+G13928+G13926-G13927-G13929-G13930</f>
        <v>78.61</v>
      </c>
      <c r="H13932" s="17" t="n">
        <f aca="false">H13921+H13928+H13926-H13927-H13929-H13930</f>
        <v>78.61</v>
      </c>
      <c r="I13932" s="17" t="n">
        <f aca="false">I13921+I13928+I13926-I13927-I13929-I13930</f>
        <v>78.61</v>
      </c>
      <c r="J13932" s="17" t="n">
        <f aca="false">J13921+J13928+J13926-J13927-J13929-J13930</f>
        <v>78.61</v>
      </c>
      <c r="K13932" s="17" t="n">
        <f aca="false">K13921+K13928+K13926-K13927-K13929-K13930</f>
        <v>78.61</v>
      </c>
    </row>
    <row r="13933" customFormat="false" ht="15" hidden="false" customHeight="false" outlineLevel="0" collapsed="false">
      <c r="A13933" s="24" t="s">
        <v>349</v>
      </c>
      <c r="B13933" s="25"/>
      <c r="C13933" s="25"/>
      <c r="D13933" s="25"/>
      <c r="E13933" s="25"/>
      <c r="F13933" s="25"/>
      <c r="G13933" s="25"/>
      <c r="H13933" s="25"/>
      <c r="I13933" s="25"/>
      <c r="J13933" s="25"/>
      <c r="K13933" s="25"/>
    </row>
    <row r="13934" customFormat="false" ht="15" hidden="false" customHeight="false" outlineLevel="0" collapsed="false">
      <c r="A13934" s="2" t="s">
        <v>350</v>
      </c>
      <c r="F13934" s="17" t="n">
        <f aca="false">F13815+F13828+F13841+F13854+F13867+F13880+F13893+F13906+F13919+F13932</f>
        <v>2625.934</v>
      </c>
      <c r="G13934" s="17" t="n">
        <f aca="false">G13815+G13828+G13841+G13854+G13867+G13880+G13893+G13906+G13919+G13932</f>
        <v>2621.934</v>
      </c>
      <c r="H13934" s="17" t="n">
        <f aca="false">H13815+H13828+H13841+H13854+H13867+H13880+H13893+H13906+H13919+H13932</f>
        <v>2560.3556279278</v>
      </c>
      <c r="I13934" s="17" t="n">
        <f aca="false">I13815+I13828+I13841+I13854+I13867+I13880+I13893+I13906+I13919+I13932</f>
        <v>2605.64753751912</v>
      </c>
      <c r="J13934" s="17" t="n">
        <f aca="false">J13815+J13828+J13841+J13854+J13867+J13880+J13893+J13906+J13919+J13932</f>
        <v>2665.08398233565</v>
      </c>
      <c r="K13934" s="17" t="n">
        <f aca="false">K13815+K13828+K13841+K13854+K13867+K13880+K13893+K13906+K13919+K13932</f>
        <v>2730.92231386313</v>
      </c>
    </row>
    <row r="13935" customFormat="false" ht="15" hidden="false" customHeight="false" outlineLevel="0" collapsed="false">
      <c r="A13935" s="3" t="s">
        <v>351</v>
      </c>
      <c r="G13935" s="16" t="n">
        <f aca="false">G13805*Assumptions!$C$57+G13818*Assumptions!$C$58+G13831*Assumptions!$C$59+G13844*Assumptions!$C$60+G13857*Assumptions!$C$61+G13870*Assumptions!$C$62+G13883*Assumptions!$C$63+G13896*Assumptions!$C$64+G13909*Assumptions!$C$65+G13922*Assumptions!$C$66</f>
        <v>0</v>
      </c>
      <c r="H13935" s="16" t="n">
        <f aca="false">H13805*Assumptions!$C$57+H13818*Assumptions!$C$58+H13831*Assumptions!$C$59+H13844*Assumptions!$C$60+H13857*Assumptions!$C$61+H13870*Assumptions!$C$62+H13883*Assumptions!$C$63+H13896*Assumptions!$C$64+H13909*Assumptions!$C$65+H13922*Assumptions!$C$66</f>
        <v>800</v>
      </c>
      <c r="I13935" s="16" t="n">
        <f aca="false">I13805*Assumptions!$C$57+I13818*Assumptions!$C$58+I13831*Assumptions!$C$59+I13844*Assumptions!$C$60+I13857*Assumptions!$C$61+I13870*Assumptions!$C$62+I13883*Assumptions!$C$63+I13896*Assumptions!$C$64+I13909*Assumptions!$C$65+I13922*Assumptions!$C$66</f>
        <v>550</v>
      </c>
      <c r="J13935" s="16" t="n">
        <f aca="false">J13805*Assumptions!$C$57+J13818*Assumptions!$C$58+J13831*Assumptions!$C$59+J13844*Assumptions!$C$60+J13857*Assumptions!$C$61+J13870*Assumptions!$C$62+J13883*Assumptions!$C$63+J13896*Assumptions!$C$64+J13909*Assumptions!$C$65+J13922*Assumptions!$C$66</f>
        <v>350</v>
      </c>
      <c r="K13935" s="16" t="n">
        <f aca="false">K13805*Assumptions!$C$57+K13818*Assumptions!$C$58+K13831*Assumptions!$C$59+K13844*Assumptions!$C$60+K13857*Assumptions!$C$61+K13870*Assumptions!$C$62+K13883*Assumptions!$C$63+K13896*Assumptions!$C$64+K13909*Assumptions!$C$65+K13922*Assumptions!$C$66</f>
        <v>700</v>
      </c>
    </row>
    <row r="13936" customFormat="false" ht="15" hidden="false" customHeight="false" outlineLevel="0" collapsed="false">
      <c r="A13936" s="24" t="s">
        <v>352</v>
      </c>
      <c r="B13936" s="25"/>
      <c r="C13936" s="25"/>
      <c r="D13936" s="25"/>
      <c r="E13936" s="25"/>
      <c r="F13936" s="25"/>
      <c r="G13936" s="25"/>
      <c r="H13936" s="25"/>
      <c r="I13936" s="25"/>
      <c r="J13936" s="25"/>
      <c r="K13936" s="25"/>
    </row>
    <row r="13937" customFormat="false" ht="15" hidden="false" customHeight="false" outlineLevel="0" collapsed="false">
      <c r="A13937" s="3" t="s">
        <v>353</v>
      </c>
      <c r="C13937" s="16" t="n">
        <f aca="false">SUMPRODUCT($G$13805:$K$13805,$G$13804:$K$13804-$G$13810:$K$13810+$G$13809:$K$13809)</f>
        <v>380</v>
      </c>
    </row>
    <row r="13938" customFormat="false" ht="15" hidden="false" customHeight="false" outlineLevel="0" collapsed="false">
      <c r="A13938" s="3" t="s">
        <v>354</v>
      </c>
      <c r="C13938" s="16" t="n">
        <f aca="false">SUMPRODUCT($G$13805:$K$13805,$G$13812:$K$13812)</f>
        <v>0</v>
      </c>
    </row>
    <row r="13939" customFormat="false" ht="15" hidden="false" customHeight="false" outlineLevel="0" collapsed="false">
      <c r="A13939" s="3" t="s">
        <v>355</v>
      </c>
      <c r="C13939" s="3" t="str">
        <f aca="false">IF(SUM($G$13805:$K$13805)=0,"n/a (beyond horizon)",IF(SUMPRODUCT($G$13805:$K$13805,$G$13802:$K$13802)&gt;0,"REFINANCING PASS","REFINANCING FAILURE"))</f>
        <v>REFINANCING PASS</v>
      </c>
    </row>
    <row r="13940" customFormat="false" ht="15" hidden="false" customHeight="false" outlineLevel="0" collapsed="false">
      <c r="A13940" s="3" t="s">
        <v>356</v>
      </c>
      <c r="C13940" s="3" t="str">
        <f aca="false">IF(SUM($G$13805:$K$13805)=0,"n/a",IF(C13938&gt;=C13937-0.001,"Repaid from cash",IF(SUMPRODUCT($G$13805:$K$13805,$G$13802:$K$13802)&gt;0,IF(C13938&gt;0,"Partly repaid; remainder refinanced","Refinanced"),IF(SUM($G$13814:$K$13814)&gt;0.001,IF(C13938&gt;0,"Partial repayment; PAYMENT DEFAULT","PAYMENT DEFAULT"),"Repaid from cash"))))</f>
        <v>Refinanced</v>
      </c>
    </row>
    <row r="13941" customFormat="false" ht="15" hidden="false" customHeight="false" outlineLevel="0" collapsed="false">
      <c r="A13941" s="3" t="s">
        <v>357</v>
      </c>
      <c r="C13941" s="16" t="n">
        <f aca="false">SUMPRODUCT($G$13818:$K$13818,$G$13817:$K$13817-$G$13823:$K$13823+$G$13822:$K$13822)</f>
        <v>0</v>
      </c>
    </row>
    <row r="13942" customFormat="false" ht="15" hidden="false" customHeight="false" outlineLevel="0" collapsed="false">
      <c r="A13942" s="3" t="s">
        <v>358</v>
      </c>
      <c r="C13942" s="16" t="n">
        <f aca="false">SUMPRODUCT($G$13818:$K$13818,$G$13825:$K$13825)</f>
        <v>0</v>
      </c>
    </row>
    <row r="13943" customFormat="false" ht="15" hidden="false" customHeight="false" outlineLevel="0" collapsed="false">
      <c r="A13943" s="3" t="s">
        <v>359</v>
      </c>
      <c r="C13943" s="3" t="str">
        <f aca="false">IF(SUM($G$13818:$K$13818)=0,"n/a (beyond horizon)",IF(SUMPRODUCT($G$13818:$K$13818,$G$13802:$K$13802)&gt;0,"REFINANCING PASS","REFINANCING FAILURE"))</f>
        <v>n/a (beyond horizon)</v>
      </c>
    </row>
    <row r="13944" customFormat="false" ht="15" hidden="false" customHeight="false" outlineLevel="0" collapsed="false">
      <c r="A13944" s="3" t="s">
        <v>360</v>
      </c>
      <c r="C13944" s="3" t="str">
        <f aca="false">IF(SUM($G$13818:$K$13818)=0,"n/a",IF(C13942&gt;=C13941-0.001,"Repaid from cash",IF(SUMPRODUCT($G$13818:$K$13818,$G$13802:$K$13802)&gt;0,IF(C13942&gt;0,"Partly repaid; remainder refinanced","Refinanced"),IF(SUM($G$13827:$K$13827)&gt;0.001,IF(C13942&gt;0,"Partial repayment; PAYMENT DEFAULT","PAYMENT DEFAULT"),"Repaid from cash"))))</f>
        <v>n/a</v>
      </c>
    </row>
    <row r="13945" customFormat="false" ht="15" hidden="false" customHeight="false" outlineLevel="0" collapsed="false">
      <c r="A13945" s="3" t="s">
        <v>361</v>
      </c>
      <c r="C13945" s="16" t="n">
        <f aca="false">SUMPRODUCT($G$13831:$K$13831,$G$13830:$K$13830-$G$13836:$K$13836+$G$13835:$K$13835)</f>
        <v>0</v>
      </c>
    </row>
    <row r="13946" customFormat="false" ht="15" hidden="false" customHeight="false" outlineLevel="0" collapsed="false">
      <c r="A13946" s="3" t="s">
        <v>362</v>
      </c>
      <c r="C13946" s="16" t="n">
        <f aca="false">SUMPRODUCT($G$13831:$K$13831,$G$13838:$K$13838)</f>
        <v>0</v>
      </c>
    </row>
    <row r="13947" customFormat="false" ht="15" hidden="false" customHeight="false" outlineLevel="0" collapsed="false">
      <c r="A13947" s="3" t="s">
        <v>363</v>
      </c>
      <c r="C13947" s="3" t="str">
        <f aca="false">IF(SUM($G$13831:$K$13831)=0,"n/a (beyond horizon)",IF(SUMPRODUCT($G$13831:$K$13831,$G$13802:$K$13802)&gt;0,"REFINANCING PASS","REFINANCING FAILURE"))</f>
        <v>n/a (beyond horizon)</v>
      </c>
    </row>
    <row r="13948" customFormat="false" ht="15" hidden="false" customHeight="false" outlineLevel="0" collapsed="false">
      <c r="A13948" s="3" t="s">
        <v>364</v>
      </c>
      <c r="C13948" s="3" t="str">
        <f aca="false">IF(SUM($G$13831:$K$13831)=0,"n/a",IF(C13946&gt;=C13945-0.001,"Repaid from cash",IF(SUMPRODUCT($G$13831:$K$13831,$G$13802:$K$13802)&gt;0,IF(C13946&gt;0,"Partly repaid; remainder refinanced","Refinanced"),IF(SUM($G$13840:$K$13840)&gt;0.001,IF(C13946&gt;0,"Partial repayment; PAYMENT DEFAULT","PAYMENT DEFAULT"),"Repaid from cash"))))</f>
        <v>n/a</v>
      </c>
    </row>
    <row r="13949" customFormat="false" ht="15" hidden="false" customHeight="false" outlineLevel="0" collapsed="false">
      <c r="A13949" s="3" t="s">
        <v>365</v>
      </c>
      <c r="C13949" s="16" t="n">
        <f aca="false">SUMPRODUCT($G$13844:$K$13844,$G$13843:$K$13843-$G$13849:$K$13849+$G$13848:$K$13848)</f>
        <v>0</v>
      </c>
    </row>
    <row r="13950" customFormat="false" ht="15" hidden="false" customHeight="false" outlineLevel="0" collapsed="false">
      <c r="A13950" s="3" t="s">
        <v>366</v>
      </c>
      <c r="C13950" s="16" t="n">
        <f aca="false">SUMPRODUCT($G$13844:$K$13844,$G$13851:$K$13851)</f>
        <v>0</v>
      </c>
    </row>
    <row r="13951" customFormat="false" ht="15" hidden="false" customHeight="false" outlineLevel="0" collapsed="false">
      <c r="A13951" s="3" t="s">
        <v>367</v>
      </c>
      <c r="C13951" s="3" t="str">
        <f aca="false">IF(SUM($G$13844:$K$13844)=0,"n/a (beyond horizon)",IF(SUMPRODUCT($G$13844:$K$13844,$G$13802:$K$13802)&gt;0,"REFINANCING PASS","REFINANCING FAILURE"))</f>
        <v>REFINANCING PASS</v>
      </c>
    </row>
    <row r="13952" customFormat="false" ht="15" hidden="false" customHeight="false" outlineLevel="0" collapsed="false">
      <c r="A13952" s="3" t="s">
        <v>368</v>
      </c>
      <c r="C13952" s="3" t="str">
        <f aca="false">IF(SUM($G$13844:$K$13844)=0,"n/a",IF(C13950&gt;=C13949-0.001,"Repaid from cash",IF(SUMPRODUCT($G$13844:$K$13844,$G$13802:$K$13802)&gt;0,IF(C13950&gt;0,"Partly repaid; remainder refinanced","Refinanced"),IF(SUM($G$13853:$K$13853)&gt;0.001,IF(C13950&gt;0,"Partial repayment; PAYMENT DEFAULT","PAYMENT DEFAULT"),"Repaid from cash"))))</f>
        <v>Repaid from cash</v>
      </c>
    </row>
    <row r="13953" customFormat="false" ht="15" hidden="false" customHeight="false" outlineLevel="0" collapsed="false">
      <c r="A13953" s="3" t="s">
        <v>369</v>
      </c>
      <c r="C13953" s="16" t="n">
        <f aca="false">SUMPRODUCT($G$13857:$K$13857,$G$13856:$K$13856-$G$13862:$K$13862+$G$13861:$K$13861)</f>
        <v>450</v>
      </c>
    </row>
    <row r="13954" customFormat="false" ht="15" hidden="false" customHeight="false" outlineLevel="0" collapsed="false">
      <c r="A13954" s="3" t="s">
        <v>370</v>
      </c>
      <c r="C13954" s="16" t="n">
        <f aca="false">SUMPRODUCT($G$13857:$K$13857,$G$13864:$K$13864)</f>
        <v>57.5783720722001</v>
      </c>
    </row>
    <row r="13955" customFormat="false" ht="15" hidden="false" customHeight="false" outlineLevel="0" collapsed="false">
      <c r="A13955" s="3" t="s">
        <v>371</v>
      </c>
      <c r="C13955" s="3" t="str">
        <f aca="false">IF(SUM($G$13857:$K$13857)=0,"n/a (beyond horizon)",IF(SUMPRODUCT($G$13857:$K$13857,$G$13802:$K$13802)&gt;0,"REFINANCING PASS","REFINANCING FAILURE"))</f>
        <v>REFINANCING PASS</v>
      </c>
    </row>
    <row r="13956" customFormat="false" ht="15" hidden="false" customHeight="false" outlineLevel="0" collapsed="false">
      <c r="A13956" s="3" t="s">
        <v>372</v>
      </c>
      <c r="C13956" s="3" t="str">
        <f aca="false">IF(SUM($G$13857:$K$13857)=0,"n/a",IF(C13954&gt;=C13953-0.001,"Repaid from cash",IF(SUMPRODUCT($G$13857:$K$13857,$G$13802:$K$13802)&gt;0,IF(C13954&gt;0,"Partly repaid; remainder refinanced","Refinanced"),IF(SUM($G$13866:$K$13866)&gt;0.001,IF(C13954&gt;0,"Partial repayment; PAYMENT DEFAULT","PAYMENT DEFAULT"),"Repaid from cash"))))</f>
        <v>Partly repaid; remainder refinanced</v>
      </c>
    </row>
    <row r="13957" customFormat="false" ht="15" hidden="false" customHeight="false" outlineLevel="0" collapsed="false">
      <c r="A13957" s="3" t="s">
        <v>373</v>
      </c>
      <c r="C13957" s="16" t="n">
        <f aca="false">SUMPRODUCT($G$13870:$K$13870,$G$13869:$K$13869-$G$13875:$K$13875+$G$13874:$K$13874)</f>
        <v>350</v>
      </c>
    </row>
    <row r="13958" customFormat="false" ht="15" hidden="false" customHeight="false" outlineLevel="0" collapsed="false">
      <c r="A13958" s="3" t="s">
        <v>374</v>
      </c>
      <c r="C13958" s="16" t="n">
        <f aca="false">SUMPRODUCT($G$13870:$K$13870,$G$13877:$K$13877)</f>
        <v>0</v>
      </c>
    </row>
    <row r="13959" customFormat="false" ht="15" hidden="false" customHeight="false" outlineLevel="0" collapsed="false">
      <c r="A13959" s="3" t="s">
        <v>375</v>
      </c>
      <c r="C13959" s="3" t="str">
        <f aca="false">IF(SUM($G$13870:$K$13870)=0,"n/a (beyond horizon)",IF(SUMPRODUCT($G$13870:$K$13870,$G$13802:$K$13802)&gt;0,"REFINANCING PASS","REFINANCING FAILURE"))</f>
        <v>REFINANCING PASS</v>
      </c>
    </row>
    <row r="13960" customFormat="false" ht="15" hidden="false" customHeight="false" outlineLevel="0" collapsed="false">
      <c r="A13960" s="3" t="s">
        <v>376</v>
      </c>
      <c r="C13960" s="3" t="str">
        <f aca="false">IF(SUM($G$13870:$K$13870)=0,"n/a",IF(C13958&gt;=C13957-0.001,"Repaid from cash",IF(SUMPRODUCT($G$13870:$K$13870,$G$13802:$K$13802)&gt;0,IF(C13958&gt;0,"Partly repaid; remainder refinanced","Refinanced"),IF(SUM($G$13879:$K$13879)&gt;0.001,IF(C13958&gt;0,"Partial repayment; PAYMENT DEFAULT","PAYMENT DEFAULT"),"Repaid from cash"))))</f>
        <v>Refinanced</v>
      </c>
    </row>
    <row r="13961" customFormat="false" ht="15" hidden="false" customHeight="false" outlineLevel="0" collapsed="false">
      <c r="A13961" s="3" t="s">
        <v>377</v>
      </c>
      <c r="C13961" s="16" t="n">
        <f aca="false">SUMPRODUCT($G$13883:$K$13883,$G$13882:$K$13882-$G$13888:$K$13888+$G$13887:$K$13887)</f>
        <v>550</v>
      </c>
    </row>
    <row r="13962" customFormat="false" ht="15" hidden="false" customHeight="false" outlineLevel="0" collapsed="false">
      <c r="A13962" s="3" t="s">
        <v>378</v>
      </c>
      <c r="C13962" s="16" t="n">
        <f aca="false">SUMPRODUCT($G$13883:$K$13883,$G$13890:$K$13890)</f>
        <v>0</v>
      </c>
    </row>
    <row r="13963" customFormat="false" ht="15" hidden="false" customHeight="false" outlineLevel="0" collapsed="false">
      <c r="A13963" s="3" t="s">
        <v>379</v>
      </c>
      <c r="C13963" s="3" t="str">
        <f aca="false">IF(SUM($G$13883:$K$13883)=0,"n/a (beyond horizon)",IF(SUMPRODUCT($G$13883:$K$13883,$G$13802:$K$13802)&gt;0,"REFINANCING PASS","REFINANCING FAILURE"))</f>
        <v>REFINANCING PASS</v>
      </c>
    </row>
    <row r="13964" customFormat="false" ht="15" hidden="false" customHeight="false" outlineLevel="0" collapsed="false">
      <c r="A13964" s="3" t="s">
        <v>380</v>
      </c>
      <c r="C13964" s="3" t="str">
        <f aca="false">IF(SUM($G$13883:$K$13883)=0,"n/a",IF(C13962&gt;=C13961-0.001,"Repaid from cash",IF(SUMPRODUCT($G$13883:$K$13883,$G$13802:$K$13802)&gt;0,IF(C13962&gt;0,"Partly repaid; remainder refinanced","Refinanced"),IF(SUM($G$13892:$K$13892)&gt;0.001,IF(C13962&gt;0,"Partial repayment; PAYMENT DEFAULT","PAYMENT DEFAULT"),"Repaid from cash"))))</f>
        <v>Refinanced</v>
      </c>
    </row>
    <row r="13965" customFormat="false" ht="15" hidden="false" customHeight="false" outlineLevel="0" collapsed="false">
      <c r="A13965" s="3" t="s">
        <v>381</v>
      </c>
      <c r="C13965" s="16" t="n">
        <f aca="false">SUMPRODUCT($G$13896:$K$13896,$G$13895:$K$13895-$G$13901:$K$13901+$G$13900:$K$13900)</f>
        <v>350</v>
      </c>
    </row>
    <row r="13966" customFormat="false" ht="15" hidden="false" customHeight="false" outlineLevel="0" collapsed="false">
      <c r="A13966" s="3" t="s">
        <v>382</v>
      </c>
      <c r="C13966" s="16" t="n">
        <f aca="false">SUMPRODUCT($G$13896:$K$13896,$G$13903:$K$13903)</f>
        <v>0</v>
      </c>
    </row>
    <row r="13967" customFormat="false" ht="15" hidden="false" customHeight="false" outlineLevel="0" collapsed="false">
      <c r="A13967" s="3" t="s">
        <v>383</v>
      </c>
      <c r="C13967" s="3" t="str">
        <f aca="false">IF(SUM($G$13896:$K$13896)=0,"n/a (beyond horizon)",IF(SUMPRODUCT($G$13896:$K$13896,$G$13802:$K$13802)&gt;0,"REFINANCING PASS","REFINANCING FAILURE"))</f>
        <v>REFINANCING PASS</v>
      </c>
    </row>
    <row r="13968" customFormat="false" ht="15" hidden="false" customHeight="false" outlineLevel="0" collapsed="false">
      <c r="A13968" s="3" t="s">
        <v>384</v>
      </c>
      <c r="C13968" s="3" t="str">
        <f aca="false">IF(SUM($G$13896:$K$13896)=0,"n/a",IF(C13966&gt;=C13965-0.001,"Repaid from cash",IF(SUMPRODUCT($G$13896:$K$13896,$G$13802:$K$13802)&gt;0,IF(C13966&gt;0,"Partly repaid; remainder refinanced","Refinanced"),IF(SUM($G$13905:$K$13905)&gt;0.001,IF(C13966&gt;0,"Partial repayment; PAYMENT DEFAULT","PAYMENT DEFAULT"),"Repaid from cash"))))</f>
        <v>Refinanced</v>
      </c>
    </row>
    <row r="13969" customFormat="false" ht="15" hidden="false" customHeight="false" outlineLevel="0" collapsed="false">
      <c r="A13969" s="3" t="s">
        <v>385</v>
      </c>
      <c r="C13969" s="16" t="n">
        <f aca="false">SUMPRODUCT($G$13909:$K$13909,$G$13908:$K$13908-$G$13914:$K$13914+$G$13913:$K$13913)</f>
        <v>300</v>
      </c>
    </row>
    <row r="13970" customFormat="false" ht="15" hidden="false" customHeight="false" outlineLevel="0" collapsed="false">
      <c r="A13970" s="3" t="s">
        <v>386</v>
      </c>
      <c r="C13970" s="16" t="n">
        <f aca="false">SUMPRODUCT($G$13909:$K$13909,$G$13916:$K$13916)</f>
        <v>0</v>
      </c>
    </row>
    <row r="13971" customFormat="false" ht="15" hidden="false" customHeight="false" outlineLevel="0" collapsed="false">
      <c r="A13971" s="3" t="s">
        <v>387</v>
      </c>
      <c r="C13971" s="3" t="str">
        <f aca="false">IF(SUM($G$13909:$K$13909)=0,"n/a (beyond horizon)",IF(SUMPRODUCT($G$13909:$K$13909,$G$13802:$K$13802)&gt;0,"REFINANCING PASS","REFINANCING FAILURE"))</f>
        <v>REFINANCING PASS</v>
      </c>
    </row>
    <row r="13972" customFormat="false" ht="15" hidden="false" customHeight="false" outlineLevel="0" collapsed="false">
      <c r="A13972" s="3" t="s">
        <v>388</v>
      </c>
      <c r="C13972" s="3" t="str">
        <f aca="false">IF(SUM($G$13909:$K$13909)=0,"n/a",IF(C13970&gt;=C13969-0.001,"Repaid from cash",IF(SUMPRODUCT($G$13909:$K$13909,$G$13802:$K$13802)&gt;0,IF(C13970&gt;0,"Partly repaid; remainder refinanced","Refinanced"),IF(SUM($G$13918:$K$13918)&gt;0.001,IF(C13970&gt;0,"Partial repayment; PAYMENT DEFAULT","PAYMENT DEFAULT"),"Repaid from cash"))))</f>
        <v>Refinanced</v>
      </c>
    </row>
    <row r="13973" customFormat="false" ht="15" hidden="false" customHeight="false" outlineLevel="0" collapsed="false">
      <c r="A13973" s="3" t="s">
        <v>389</v>
      </c>
      <c r="C13973" s="16" t="n">
        <f aca="false">SUMPRODUCT($G$13922:$K$13922,$G$13921:$K$13921-$G$13927:$K$13927+$G$13926:$K$13926)</f>
        <v>0</v>
      </c>
    </row>
    <row r="13974" customFormat="false" ht="15" hidden="false" customHeight="false" outlineLevel="0" collapsed="false">
      <c r="A13974" s="3" t="s">
        <v>390</v>
      </c>
      <c r="C13974" s="16" t="n">
        <f aca="false">SUMPRODUCT($G$13922:$K$13922,$G$13929:$K$13929)</f>
        <v>0</v>
      </c>
    </row>
    <row r="13975" customFormat="false" ht="15" hidden="false" customHeight="false" outlineLevel="0" collapsed="false">
      <c r="A13975" s="3" t="s">
        <v>391</v>
      </c>
      <c r="C13975" s="3" t="str">
        <f aca="false">IF(SUM($G$13922:$K$13922)=0,"n/a (beyond horizon)",IF(SUMPRODUCT($G$13922:$K$13922,$G$13802:$K$13802)&gt;0,"REFINANCING PASS","REFINANCING FAILURE"))</f>
        <v>n/a (beyond horizon)</v>
      </c>
    </row>
    <row r="13976" customFormat="false" ht="15" hidden="false" customHeight="false" outlineLevel="0" collapsed="false">
      <c r="A13976" s="3" t="s">
        <v>392</v>
      </c>
      <c r="C13976" s="3" t="str">
        <f aca="false">IF(SUM($G$13922:$K$13922)=0,"n/a",IF(C13974&gt;=C13973-0.001,"Repaid from cash",IF(SUMPRODUCT($G$13922:$K$13922,$G$13802:$K$13802)&gt;0,IF(C13974&gt;0,"Partly repaid; remainder refinanced","Refinanced"),IF(SUM($G$13931:$K$13931)&gt;0.001,IF(C13974&gt;0,"Partial repayment; PAYMENT DEFAULT","PAYMENT DEFAULT"),"Repaid from cash"))))</f>
        <v>n/a</v>
      </c>
    </row>
    <row r="13977" customFormat="false" ht="15" hidden="false" customHeight="false" outlineLevel="0" collapsed="false">
      <c r="A13977" s="3" t="s">
        <v>393</v>
      </c>
      <c r="C13977" s="21" t="n">
        <f aca="false">IF(C13939="REFINANCING FAILURE",1,0)+IF(C13943="REFINANCING FAILURE",1,0)+IF(C13947="REFINANCING FAILURE",1,0)+IF(C13951="REFINANCING FAILURE",1,0)+IF(C13955="REFINANCING FAILURE",1,0)+IF(C13959="REFINANCING FAILURE",1,0)+IF(C13963="REFINANCING FAILURE",1,0)+IF(C13967="REFINANCING FAILURE",1,0)+IF(C13971="REFINANCING FAILURE",1,0)+IF(C13975="REFINANCING FAILURE",1,0)</f>
        <v>0</v>
      </c>
    </row>
    <row r="13979" customFormat="false" ht="15" hidden="false" customHeight="false" outlineLevel="0" collapsed="false">
      <c r="A13979" s="24" t="s">
        <v>395</v>
      </c>
      <c r="B13979" s="25"/>
      <c r="C13979" s="25"/>
      <c r="D13979" s="25"/>
      <c r="E13979" s="25"/>
      <c r="F13979" s="25"/>
      <c r="G13979" s="25"/>
      <c r="H13979" s="25"/>
      <c r="I13979" s="25"/>
      <c r="J13979" s="25"/>
      <c r="K13979" s="25"/>
    </row>
    <row r="13980" customFormat="false" ht="15" hidden="false" customHeight="false" outlineLevel="0" collapsed="false">
      <c r="A13980" s="3" t="s">
        <v>325</v>
      </c>
      <c r="G13980" s="16" t="n">
        <f aca="false">F13992</f>
        <v>37.87</v>
      </c>
      <c r="H13980" s="16" t="n">
        <f aca="false">G13992</f>
        <v>155.3116786</v>
      </c>
      <c r="I13980" s="16" t="n">
        <f aca="false">H13992</f>
        <v>25</v>
      </c>
      <c r="J13980" s="16" t="n">
        <f aca="false">I13992</f>
        <v>0</v>
      </c>
      <c r="K13980" s="16" t="n">
        <f aca="false">J13992</f>
        <v>0</v>
      </c>
    </row>
    <row r="13981" customFormat="false" ht="15" hidden="false" customHeight="false" outlineLevel="0" collapsed="false">
      <c r="A13981" s="3" t="s">
        <v>396</v>
      </c>
      <c r="G13981" s="16" t="n">
        <f aca="false">G13791</f>
        <v>-78.5583214</v>
      </c>
      <c r="H13981" s="16" t="n">
        <f aca="false">H13791</f>
        <v>-68.7333065278</v>
      </c>
      <c r="I13981" s="16" t="n">
        <f aca="false">I13791</f>
        <v>-70.291909591316</v>
      </c>
      <c r="J13981" s="16" t="n">
        <f aca="false">J13791</f>
        <v>-59.4364448165312</v>
      </c>
      <c r="K13981" s="16" t="n">
        <f aca="false">K13791</f>
        <v>-65.8383315274812</v>
      </c>
    </row>
    <row r="13982" customFormat="false" ht="15" hidden="false" customHeight="false" outlineLevel="0" collapsed="false">
      <c r="A13982" s="3" t="s">
        <v>397</v>
      </c>
      <c r="G13982" s="16" t="n">
        <f aca="false">CHOOSE($C$13761,Assumptions!$G$82,Assumptions!$G$101,Assumptions!$G$120)</f>
        <v>200</v>
      </c>
      <c r="H13982" s="16" t="n">
        <f aca="false">CHOOSE($C$13761,Assumptions!$H$82,Assumptions!$H$101,Assumptions!$H$120)</f>
        <v>0</v>
      </c>
      <c r="I13982" s="16" t="n">
        <f aca="false">CHOOSE($C$13761,Assumptions!$I$82,Assumptions!$I$101,Assumptions!$I$120)</f>
        <v>0</v>
      </c>
      <c r="J13982" s="16" t="n">
        <f aca="false">CHOOSE($C$13761,Assumptions!$J$82,Assumptions!$J$101,Assumptions!$J$120)</f>
        <v>0</v>
      </c>
      <c r="K13982" s="16" t="n">
        <f aca="false">CHOOSE($C$13761,Assumptions!$K$82,Assumptions!$K$101,Assumptions!$K$120)</f>
        <v>0</v>
      </c>
    </row>
    <row r="13983" customFormat="false" ht="15" hidden="false" customHeight="false" outlineLevel="0" collapsed="false">
      <c r="A13983" s="3" t="s">
        <v>398</v>
      </c>
      <c r="G13983" s="16" t="n">
        <f aca="false">G13810+G13823+G13836+G13849+G13862+G13875+G13888+G13901+G13914+G13927</f>
        <v>4</v>
      </c>
      <c r="H13983" s="16" t="n">
        <f aca="false">H13810+H13823+H13836+H13849+H13862+H13875+H13888+H13901+H13914+H13927</f>
        <v>4</v>
      </c>
      <c r="I13983" s="16" t="n">
        <f aca="false">I13810+I13823+I13836+I13849+I13862+I13875+I13888+I13901+I13914+I13927</f>
        <v>4</v>
      </c>
      <c r="J13983" s="16" t="n">
        <f aca="false">J13810+J13823+J13836+J13849+J13862+J13875+J13888+J13901+J13914+J13927</f>
        <v>4</v>
      </c>
      <c r="K13983" s="16" t="n">
        <f aca="false">K13810+K13823+K13836+K13849+K13862+K13875+K13888+K13901+K13914+K13927</f>
        <v>4</v>
      </c>
    </row>
    <row r="13984" customFormat="false" ht="15" hidden="false" customHeight="false" outlineLevel="0" collapsed="false">
      <c r="A13984" s="2" t="s">
        <v>399</v>
      </c>
      <c r="G13984" s="17" t="n">
        <f aca="false">G13980+G13981+G13982-G13983</f>
        <v>155.3116786</v>
      </c>
      <c r="H13984" s="17" t="n">
        <f aca="false">H13980+H13981+H13982-H13983</f>
        <v>82.5783720722001</v>
      </c>
      <c r="I13984" s="17" t="n">
        <f aca="false">I13980+I13981+I13982-I13983</f>
        <v>-49.291909591316</v>
      </c>
      <c r="J13984" s="17" t="n">
        <f aca="false">J13980+J13981+J13982-J13983</f>
        <v>-63.4364448165312</v>
      </c>
      <c r="K13984" s="17" t="n">
        <f aca="false">K13980+K13981+K13982-K13983</f>
        <v>-69.8383315274812</v>
      </c>
    </row>
    <row r="13985" customFormat="false" ht="15" hidden="false" customHeight="false" outlineLevel="0" collapsed="false">
      <c r="A13985" s="3" t="s">
        <v>400</v>
      </c>
      <c r="G13985" s="16" t="n">
        <f aca="false">G13811+G13824+G13837+G13850+G13863+G13876+G13889+G13902+G13915+G13928</f>
        <v>0</v>
      </c>
      <c r="H13985" s="16" t="n">
        <f aca="false">H13811+H13824+H13837+H13850+H13863+H13876+H13889+H13902+H13915+H13928</f>
        <v>0</v>
      </c>
      <c r="I13985" s="16" t="n">
        <f aca="false">I13811+I13824+I13837+I13850+I13863+I13876+I13889+I13902+I13915+I13928</f>
        <v>49.291909591316</v>
      </c>
      <c r="J13985" s="16" t="n">
        <f aca="false">J13811+J13824+J13837+J13850+J13863+J13876+J13889+J13902+J13915+J13928</f>
        <v>63.4364448165312</v>
      </c>
      <c r="K13985" s="16" t="n">
        <f aca="false">K13811+K13824+K13837+K13850+K13863+K13876+K13889+K13902+K13915+K13928</f>
        <v>69.8383315274812</v>
      </c>
    </row>
    <row r="13986" customFormat="false" ht="15" hidden="false" customHeight="false" outlineLevel="0" collapsed="false">
      <c r="A13986" s="2" t="s">
        <v>401</v>
      </c>
      <c r="G13986" s="17" t="n">
        <f aca="false">G13984+G13985</f>
        <v>155.3116786</v>
      </c>
      <c r="H13986" s="17" t="n">
        <f aca="false">H13984+H13985</f>
        <v>82.5783720722001</v>
      </c>
      <c r="I13986" s="17" t="n">
        <f aca="false">I13984+I13985</f>
        <v>0</v>
      </c>
      <c r="J13986" s="17" t="n">
        <f aca="false">J13984+J13985</f>
        <v>0</v>
      </c>
      <c r="K13986" s="17" t="n">
        <f aca="false">K13984+K13985</f>
        <v>0</v>
      </c>
    </row>
    <row r="13987" customFormat="false" ht="15" hidden="false" customHeight="false" outlineLevel="0" collapsed="false">
      <c r="A13987" s="3" t="s">
        <v>402</v>
      </c>
      <c r="G13987" s="16" t="n">
        <f aca="false">G13812+G13825+G13838+G13851+G13864+G13877+G13890+G13903+G13916+G13929</f>
        <v>0</v>
      </c>
      <c r="H13987" s="16" t="n">
        <f aca="false">H13812+H13825+H13838+H13851+H13864+H13877+H13890+H13903+H13916+H13929</f>
        <v>57.5783720722001</v>
      </c>
      <c r="I13987" s="16" t="n">
        <f aca="false">I13812+I13825+I13838+I13851+I13864+I13877+I13890+I13903+I13916+I13929</f>
        <v>0</v>
      </c>
      <c r="J13987" s="16" t="n">
        <f aca="false">J13812+J13825+J13838+J13851+J13864+J13877+J13890+J13903+J13916+J13929</f>
        <v>0</v>
      </c>
      <c r="K13987" s="16" t="n">
        <f aca="false">K13812+K13825+K13838+K13851+K13864+K13877+K13890+K13903+K13916+K13929</f>
        <v>0</v>
      </c>
    </row>
    <row r="13988" customFormat="false" ht="15" hidden="false" customHeight="false" outlineLevel="0" collapsed="false">
      <c r="A13988" s="2" t="s">
        <v>403</v>
      </c>
      <c r="G13988" s="17" t="n">
        <f aca="false">G13986-G13987</f>
        <v>155.3116786</v>
      </c>
      <c r="H13988" s="17" t="n">
        <f aca="false">H13986-H13987</f>
        <v>25</v>
      </c>
      <c r="I13988" s="17" t="n">
        <f aca="false">I13986-I13987</f>
        <v>0</v>
      </c>
      <c r="J13988" s="17" t="n">
        <f aca="false">J13986-J13987</f>
        <v>0</v>
      </c>
      <c r="K13988" s="17" t="n">
        <f aca="false">K13986-K13987</f>
        <v>0</v>
      </c>
    </row>
    <row r="13989" customFormat="false" ht="15" hidden="false" customHeight="false" outlineLevel="0" collapsed="false">
      <c r="A13989" s="3" t="s">
        <v>404</v>
      </c>
      <c r="G13989" s="16" t="n">
        <f aca="false">MAX(0,-G13988)</f>
        <v>0</v>
      </c>
      <c r="H13989" s="16" t="n">
        <f aca="false">MAX(0,-H13988)</f>
        <v>0</v>
      </c>
      <c r="I13989" s="16" t="n">
        <f aca="false">MAX(0,-I13988)</f>
        <v>-0</v>
      </c>
      <c r="J13989" s="16" t="n">
        <f aca="false">MAX(0,-J13988)</f>
        <v>-0</v>
      </c>
      <c r="K13989" s="16" t="n">
        <f aca="false">MAX(0,-K13988)</f>
        <v>-0</v>
      </c>
    </row>
    <row r="13990" customFormat="false" ht="15" hidden="false" customHeight="false" outlineLevel="0" collapsed="false">
      <c r="A13990" s="3" t="s">
        <v>405</v>
      </c>
      <c r="G13990" s="16" t="n">
        <f aca="false">MAX(0,G13988-Assumptions!$C$12)*Assumptions!$C$13</f>
        <v>0</v>
      </c>
      <c r="H13990" s="16" t="n">
        <f aca="false">MAX(0,H13988-Assumptions!$C$12)*Assumptions!$C$13</f>
        <v>0</v>
      </c>
      <c r="I13990" s="16" t="n">
        <f aca="false">MAX(0,I13988-Assumptions!$C$12)*Assumptions!$C$13</f>
        <v>0</v>
      </c>
      <c r="J13990" s="16" t="n">
        <f aca="false">MAX(0,J13988-Assumptions!$C$12)*Assumptions!$C$13</f>
        <v>0</v>
      </c>
      <c r="K13990" s="16" t="n">
        <f aca="false">MAX(0,K13988-Assumptions!$C$12)*Assumptions!$C$13</f>
        <v>0</v>
      </c>
    </row>
    <row r="13991" customFormat="false" ht="15" hidden="false" customHeight="false" outlineLevel="0" collapsed="false">
      <c r="A13991" s="3" t="s">
        <v>406</v>
      </c>
      <c r="G13991" s="16" t="n">
        <f aca="false">G13813+G13826+G13839+G13852+G13865+G13878+G13891+G13904+G13917+G13930</f>
        <v>0</v>
      </c>
      <c r="H13991" s="16" t="n">
        <f aca="false">H13813+H13826+H13839+H13852+H13865+H13878+H13891+H13904+H13917+H13930</f>
        <v>0</v>
      </c>
      <c r="I13991" s="16" t="n">
        <f aca="false">I13813+I13826+I13839+I13852+I13865+I13878+I13891+I13904+I13917+I13930</f>
        <v>0</v>
      </c>
      <c r="J13991" s="16" t="n">
        <f aca="false">J13813+J13826+J13839+J13852+J13865+J13878+J13891+J13904+J13917+J13930</f>
        <v>0</v>
      </c>
      <c r="K13991" s="16" t="n">
        <f aca="false">K13813+K13826+K13839+K13852+K13865+K13878+K13891+K13904+K13917+K13930</f>
        <v>0</v>
      </c>
    </row>
    <row r="13992" customFormat="false" ht="15" hidden="false" customHeight="false" outlineLevel="0" collapsed="false">
      <c r="A13992" s="2" t="s">
        <v>407</v>
      </c>
      <c r="F13992" s="28" t="n">
        <f aca="false">Assumptions!$C$11</f>
        <v>37.87</v>
      </c>
      <c r="G13992" s="17" t="n">
        <f aca="false">G13988-G13991</f>
        <v>155.3116786</v>
      </c>
      <c r="H13992" s="17" t="n">
        <f aca="false">H13988-H13991</f>
        <v>25</v>
      </c>
      <c r="I13992" s="17" t="n">
        <f aca="false">I13988-I13991</f>
        <v>0</v>
      </c>
      <c r="J13992" s="17" t="n">
        <f aca="false">J13988-J13991</f>
        <v>0</v>
      </c>
      <c r="K13992" s="17" t="n">
        <f aca="false">K13988-K13991</f>
        <v>0</v>
      </c>
    </row>
    <row r="13993" customFormat="false" ht="15" hidden="false" customHeight="false" outlineLevel="0" collapsed="false">
      <c r="A13993" s="3" t="s">
        <v>408</v>
      </c>
      <c r="G13993" s="16" t="n">
        <f aca="false">G13814+G13827+G13840+G13853+G13866+G13879+G13892+G13905+G13918+G13931</f>
        <v>0</v>
      </c>
      <c r="H13993" s="16" t="n">
        <f aca="false">H13814+H13827+H13840+H13853+H13866+H13879+H13892+H13905+H13918+H13931</f>
        <v>0</v>
      </c>
      <c r="I13993" s="16" t="n">
        <f aca="false">I13814+I13827+I13840+I13853+I13866+I13879+I13892+I13905+I13918+I13931</f>
        <v>0</v>
      </c>
      <c r="J13993" s="16" t="n">
        <f aca="false">J13814+J13827+J13840+J13853+J13866+J13879+J13892+J13905+J13918+J13931</f>
        <v>0</v>
      </c>
      <c r="K13993" s="16" t="n">
        <f aca="false">K13814+K13827+K13840+K13853+K13866+K13879+K13892+K13905+K13918+K13931</f>
        <v>0</v>
      </c>
    </row>
    <row r="13994" customFormat="false" ht="15" hidden="false" customHeight="false" outlineLevel="0" collapsed="false">
      <c r="A13994" s="3" t="s">
        <v>409</v>
      </c>
      <c r="G13994" s="21" t="n">
        <f aca="false">IF(OR(G13989&gt;0.001,G13993&gt;0.001),1,0)</f>
        <v>0</v>
      </c>
      <c r="H13994" s="21" t="n">
        <f aca="false">IF(OR(H13989&gt;0.001,H13993&gt;0.001),1,0)</f>
        <v>0</v>
      </c>
      <c r="I13994" s="21" t="n">
        <f aca="false">IF(OR(I13989&gt;0.001,I13993&gt;0.001),1,0)</f>
        <v>0</v>
      </c>
      <c r="J13994" s="21" t="n">
        <f aca="false">IF(OR(J13989&gt;0.001,J13993&gt;0.001),1,0)</f>
        <v>0</v>
      </c>
      <c r="K13994" s="21" t="n">
        <f aca="false">IF(OR(K13989&gt;0.001,K13993&gt;0.001),1,0)</f>
        <v>0</v>
      </c>
    </row>
    <row r="13995" customFormat="false" ht="15" hidden="false" customHeight="false" outlineLevel="0" collapsed="false">
      <c r="A13995" s="3" t="s">
        <v>410</v>
      </c>
      <c r="G13995" s="21" t="n">
        <f aca="false">IF(G13994=1,1,0)</f>
        <v>0</v>
      </c>
      <c r="H13995" s="21" t="n">
        <f aca="false">IF(AND(H13994=1,SUM($G$13994:G13994)=0),1,0)</f>
        <v>0</v>
      </c>
      <c r="I13995" s="21" t="n">
        <f aca="false">IF(AND(I13994=1,SUM($G$13994:H13994)=0),1,0)</f>
        <v>0</v>
      </c>
      <c r="J13995" s="21" t="n">
        <f aca="false">IF(AND(J13994=1,SUM($G$13994:I13994)=0),1,0)</f>
        <v>0</v>
      </c>
      <c r="K13995" s="21" t="n">
        <f aca="false">IF(AND(K13994=1,SUM($G$13994:J13994)=0),1,0)</f>
        <v>0</v>
      </c>
    </row>
    <row r="13996" customFormat="false" ht="15" hidden="false" customHeight="false" outlineLevel="0" collapsed="false">
      <c r="A13996" s="3" t="s">
        <v>411</v>
      </c>
      <c r="G13996" s="16" t="n">
        <f aca="false">(G13934-F13934)-(G13985+G13783-G13983-G13987-G13991)</f>
        <v>0</v>
      </c>
      <c r="H13996" s="16" t="n">
        <f aca="false">(H13934-G13934)-(H13985+H13783-H13983-H13987-H13991)</f>
        <v>0</v>
      </c>
      <c r="I13996" s="16" t="n">
        <f aca="false">(I13934-H13934)-(I13985+I13783-I13983-I13987-I13991)</f>
        <v>1.98951966012828E-013</v>
      </c>
      <c r="J13996" s="16" t="n">
        <f aca="false">(J13934-I13934)-(J13985+J13783-J13983-J13987-J13991)</f>
        <v>0</v>
      </c>
      <c r="K13996" s="16" t="n">
        <f aca="false">(K13934-J13934)-(K13985+K13783-K13983-K13987-K13991)</f>
        <v>0</v>
      </c>
    </row>
    <row r="13998" customFormat="false" ht="15" hidden="false" customHeight="false" outlineLevel="0" collapsed="false">
      <c r="A13998" s="24" t="s">
        <v>413</v>
      </c>
      <c r="B13998" s="25"/>
      <c r="C13998" s="25"/>
      <c r="D13998" s="25"/>
      <c r="E13998" s="25"/>
      <c r="F13998" s="25"/>
      <c r="G13998" s="25"/>
      <c r="H13998" s="25"/>
      <c r="I13998" s="25"/>
      <c r="J13998" s="25"/>
      <c r="K13998" s="25"/>
    </row>
    <row r="13999" customFormat="false" ht="15" hidden="false" customHeight="false" outlineLevel="0" collapsed="false">
      <c r="A13999" s="3" t="s">
        <v>414</v>
      </c>
      <c r="G13999" s="16" t="n">
        <f aca="false">G13934</f>
        <v>2621.934</v>
      </c>
      <c r="H13999" s="16" t="n">
        <f aca="false">H13934</f>
        <v>2560.3556279278</v>
      </c>
      <c r="I13999" s="16" t="n">
        <f aca="false">I13934</f>
        <v>2605.64753751912</v>
      </c>
      <c r="J13999" s="16" t="n">
        <f aca="false">J13934</f>
        <v>2665.08398233565</v>
      </c>
      <c r="K13999" s="16" t="n">
        <f aca="false">K13934</f>
        <v>2730.92231386313</v>
      </c>
    </row>
    <row r="14000" customFormat="false" ht="15" hidden="false" customHeight="false" outlineLevel="0" collapsed="false">
      <c r="A14000" s="3" t="s">
        <v>415</v>
      </c>
      <c r="G14000" s="16" t="n">
        <f aca="false">Assumptions!$O$57*G13815+Assumptions!$O$58*G13828+Assumptions!$O$59*G13841+Assumptions!$O$60*G13854+Assumptions!$O$61*G13867+Assumptions!$O$62*G13880+Assumptions!$O$63*G13893+Assumptions!$O$64*G13906+Assumptions!$O$65*G13919+Assumptions!$O$66*G13932</f>
        <v>543.324</v>
      </c>
      <c r="H14000" s="16" t="n">
        <f aca="false">Assumptions!$O$57*H13815+Assumptions!$O$58*H13828+Assumptions!$O$59*H13841+Assumptions!$O$60*H13854+Assumptions!$O$61*H13867+Assumptions!$O$62*H13880+Assumptions!$O$63*H13893+Assumptions!$O$64*H13906+Assumptions!$O$65*H13919+Assumptions!$O$66*H13932</f>
        <v>539.324</v>
      </c>
      <c r="I14000" s="16" t="n">
        <f aca="false">Assumptions!$O$57*I13815+Assumptions!$O$58*I13828+Assumptions!$O$59*I13841+Assumptions!$O$60*I13854+Assumptions!$O$61*I13867+Assumptions!$O$62*I13880+Assumptions!$O$63*I13893+Assumptions!$O$64*I13906+Assumptions!$O$65*I13919+Assumptions!$O$66*I13932</f>
        <v>535.324</v>
      </c>
      <c r="J14000" s="16" t="n">
        <f aca="false">Assumptions!$O$57*J13815+Assumptions!$O$58*J13828+Assumptions!$O$59*J13841+Assumptions!$O$60*J13854+Assumptions!$O$61*J13867+Assumptions!$O$62*J13880+Assumptions!$O$63*J13893+Assumptions!$O$64*J13906+Assumptions!$O$65*J13919+Assumptions!$O$66*J13932</f>
        <v>531.324</v>
      </c>
      <c r="K14000" s="16" t="n">
        <f aca="false">Assumptions!$O$57*K13815+Assumptions!$O$58*K13828+Assumptions!$O$59*K13841+Assumptions!$O$60*K13854+Assumptions!$O$61*K13867+Assumptions!$O$62*K13880+Assumptions!$O$63*K13893+Assumptions!$O$64*K13906+Assumptions!$O$65*K13919+Assumptions!$O$66*K13932</f>
        <v>527.324</v>
      </c>
    </row>
    <row r="14001" customFormat="false" ht="15" hidden="false" customHeight="false" outlineLevel="0" collapsed="false">
      <c r="A14001" s="3" t="s">
        <v>416</v>
      </c>
      <c r="G14001" s="16" t="n">
        <f aca="false">G13999-G13992</f>
        <v>2466.6223214</v>
      </c>
      <c r="H14001" s="16" t="n">
        <f aca="false">H13999-H13992</f>
        <v>2535.3556279278</v>
      </c>
      <c r="I14001" s="16" t="n">
        <f aca="false">I13999-I13992</f>
        <v>2605.64753751912</v>
      </c>
      <c r="J14001" s="16" t="n">
        <f aca="false">J13999-J13992</f>
        <v>2665.08398233565</v>
      </c>
      <c r="K14001" s="16" t="n">
        <f aca="false">K13999-K13992</f>
        <v>2730.92231386313</v>
      </c>
    </row>
    <row r="14002" customFormat="false" ht="15" hidden="false" customHeight="false" outlineLevel="0" collapsed="false">
      <c r="A14002" s="3" t="s">
        <v>417</v>
      </c>
      <c r="G14002" s="32" t="n">
        <f aca="false">IF(G13778&gt;0,G13999/G13778,0)</f>
        <v>9.73335740584626</v>
      </c>
      <c r="H14002" s="32" t="n">
        <f aca="false">IF(H13778&gt;0,H13999/H13778,0)</f>
        <v>8.83295647596481</v>
      </c>
      <c r="I14002" s="32" t="n">
        <f aca="false">IF(I13778&gt;0,I13999/I13778,0)</f>
        <v>8.3541084526521</v>
      </c>
      <c r="J14002" s="32" t="n">
        <f aca="false">IF(J13778&gt;0,J13999/J13778,0)</f>
        <v>7.95598719538919</v>
      </c>
      <c r="K14002" s="32" t="n">
        <f aca="false">IF(K13778&gt;0,K13999/K13778,0)</f>
        <v>7.59096974621176</v>
      </c>
    </row>
    <row r="14003" customFormat="false" ht="15" hidden="false" customHeight="false" outlineLevel="0" collapsed="false">
      <c r="A14003" s="3" t="s">
        <v>418</v>
      </c>
      <c r="G14003" s="32" t="n">
        <f aca="false">IF(G13778&gt;0,G14001/G13778,0)</f>
        <v>9.15679671548726</v>
      </c>
      <c r="H14003" s="32" t="n">
        <f aca="false">IF(H13778&gt;0,H14001/H13778,0)</f>
        <v>8.74670911661738</v>
      </c>
      <c r="I14003" s="32" t="n">
        <f aca="false">IF(I13778&gt;0,I14001/I13778,0)</f>
        <v>8.3541084526521</v>
      </c>
      <c r="J14003" s="32" t="n">
        <f aca="false">IF(J13778&gt;0,J14001/J13778,0)</f>
        <v>7.95598719538919</v>
      </c>
      <c r="K14003" s="32" t="n">
        <f aca="false">IF(K13778&gt;0,K14001/K13778,0)</f>
        <v>7.59096974621176</v>
      </c>
    </row>
    <row r="14004" customFormat="false" ht="15" hidden="false" customHeight="false" outlineLevel="0" collapsed="false">
      <c r="A14004" s="3" t="s">
        <v>419</v>
      </c>
      <c r="G14004" s="32" t="n">
        <f aca="false">IF(G13782&gt;0,G13778/G13782,0)</f>
        <v>1.49479265779796</v>
      </c>
      <c r="H14004" s="32" t="n">
        <f aca="false">IF(H13782&gt;0,H13778/H13782,0)</f>
        <v>1.61816045454659</v>
      </c>
      <c r="I14004" s="32" t="n">
        <f aca="false">IF(I13782&gt;0,I13778/I13782,0)</f>
        <v>1.6401641371065</v>
      </c>
      <c r="J14004" s="32" t="n">
        <f aca="false">IF(J13782&gt;0,J13778/J13782,0)</f>
        <v>1.77289009743313</v>
      </c>
      <c r="K14004" s="32" t="n">
        <f aca="false">IF(K13782&gt;0,K13778/K13782,0)</f>
        <v>1.74857126045021</v>
      </c>
    </row>
    <row r="14005" customFormat="false" ht="15" hidden="false" customHeight="false" outlineLevel="0" collapsed="false">
      <c r="A14005" s="3" t="s">
        <v>420</v>
      </c>
      <c r="G14005" s="32" t="n">
        <f aca="false">IF(G13782&gt;0,G13781/G13782,0)</f>
        <v>0.446020725365519</v>
      </c>
      <c r="H14005" s="32" t="n">
        <f aca="false">IF(H13782&gt;0,H13781/H13782,0)</f>
        <v>0.489221798112704</v>
      </c>
      <c r="I14005" s="32" t="n">
        <f aca="false">IF(I13782&gt;0,I13781/I13782,0)</f>
        <v>0.502278824747383</v>
      </c>
      <c r="J14005" s="32" t="n">
        <f aca="false">IF(J13782&gt;0,J13781/J13782,0)</f>
        <v>0.547496778072475</v>
      </c>
      <c r="K14005" s="32" t="n">
        <f aca="false">IF(K13782&gt;0,K13781/K13782,0)</f>
        <v>0.544462971791424</v>
      </c>
    </row>
    <row r="14006" customFormat="false" ht="15" hidden="false" customHeight="false" outlineLevel="0" collapsed="false">
      <c r="A14006" s="3" t="s">
        <v>213</v>
      </c>
      <c r="G14006" s="22" t="n">
        <f aca="false">IF(G13999&gt;0,G13791/G13999,0)</f>
        <v>-0.0299619751679485</v>
      </c>
      <c r="H14006" s="22" t="n">
        <f aca="false">IF(H13999&gt;0,H13791/H13999,0)</f>
        <v>-0.0268452186009131</v>
      </c>
      <c r="I14006" s="22" t="n">
        <f aca="false">IF(I13999&gt;0,I13791/I13999,0)</f>
        <v>-0.0269767528336707</v>
      </c>
      <c r="J14006" s="22" t="n">
        <f aca="false">IF(J13999&gt;0,J13791/J13999,0)</f>
        <v>-0.0223019031334396</v>
      </c>
      <c r="K14006" s="22" t="n">
        <f aca="false">IF(K13999&gt;0,K13791/K13999,0)</f>
        <v>-0.0241084600588096</v>
      </c>
    </row>
    <row r="14007" customFormat="false" ht="15" hidden="false" customHeight="false" outlineLevel="0" collapsed="false">
      <c r="A14007" s="3" t="s">
        <v>421</v>
      </c>
      <c r="G14007" s="32" t="n">
        <f aca="false">IF(G13782+G13983&gt;0,(G13778-G13789-G13786)/(G13782+G13983),0)</f>
        <v>0.855327524488569</v>
      </c>
      <c r="H14007" s="32" t="n">
        <f aca="false">IF(H13782+H13983&gt;0,(H13778-H13789-H13786)/(H13782+H13983),0)</f>
        <v>0.929496237678484</v>
      </c>
      <c r="I14007" s="32" t="n">
        <f aca="false">IF(I13782+I13983&gt;0,(I13778-I13789-I13786)/(I13782+I13983),0)</f>
        <v>0.947041906698971</v>
      </c>
      <c r="J14007" s="32" t="n">
        <f aca="false">IF(J13782+J13983&gt;0,(J13778-J13789-J13786)/(J13782+J13983),0)</f>
        <v>1.02619176567257</v>
      </c>
      <c r="K14007" s="32" t="n">
        <f aca="false">IF(K13782+K13983&gt;0,(K13778-K13789-K13786)/(K13782+K13983),0)</f>
        <v>1.01642939744405</v>
      </c>
    </row>
    <row r="14008" customFormat="false" ht="15" hidden="false" customHeight="false" outlineLevel="0" collapsed="false">
      <c r="A14008" s="3" t="s">
        <v>422</v>
      </c>
      <c r="G14008" s="16" t="n">
        <f aca="false">MAX(0,G13992)+Assumptions!$P$57*MAX(0,Assumptions!$D$57-G13815)+Assumptions!$P$58*MAX(0,Assumptions!$D$58-G13828)+Assumptions!$P$59*MAX(0,Assumptions!$D$59-G13841)+Assumptions!$P$60*MAX(0,Assumptions!$D$60-G13854)+Assumptions!$P$61*MAX(0,Assumptions!$D$61-G13867)+Assumptions!$P$62*MAX(0,Assumptions!$D$62-G13880)+Assumptions!$P$63*MAX(0,Assumptions!$D$63-G13893)+Assumptions!$P$64*MAX(0,Assumptions!$D$64-G13906)+Assumptions!$P$65*MAX(0,Assumptions!$D$65-G13919)+Assumptions!$P$66*MAX(0,Assumptions!$D$66-G13932)</f>
        <v>729.8116786</v>
      </c>
      <c r="H14008" s="16" t="n">
        <f aca="false">MAX(0,H13992)+Assumptions!$P$57*MAX(0,Assumptions!$D$57-H13815)+Assumptions!$P$58*MAX(0,Assumptions!$D$58-H13828)+Assumptions!$P$59*MAX(0,Assumptions!$D$59-H13841)+Assumptions!$P$60*MAX(0,Assumptions!$D$60-H13854)+Assumptions!$P$61*MAX(0,Assumptions!$D$61-H13867)+Assumptions!$P$62*MAX(0,Assumptions!$D$62-H13880)+Assumptions!$P$63*MAX(0,Assumptions!$D$63-H13893)+Assumptions!$P$64*MAX(0,Assumptions!$D$64-H13906)+Assumptions!$P$65*MAX(0,Assumptions!$D$65-H13919)+Assumptions!$P$66*MAX(0,Assumptions!$D$66-H13932)</f>
        <v>599.5</v>
      </c>
      <c r="I14008" s="16" t="n">
        <f aca="false">MAX(0,I13992)+Assumptions!$P$57*MAX(0,Assumptions!$D$57-I13815)+Assumptions!$P$58*MAX(0,Assumptions!$D$58-I13828)+Assumptions!$P$59*MAX(0,Assumptions!$D$59-I13841)+Assumptions!$P$60*MAX(0,Assumptions!$D$60-I13854)+Assumptions!$P$61*MAX(0,Assumptions!$D$61-I13867)+Assumptions!$P$62*MAX(0,Assumptions!$D$62-I13880)+Assumptions!$P$63*MAX(0,Assumptions!$D$63-I13893)+Assumptions!$P$64*MAX(0,Assumptions!$D$64-I13906)+Assumptions!$P$65*MAX(0,Assumptions!$D$65-I13919)+Assumptions!$P$66*MAX(0,Assumptions!$D$66-I13932)</f>
        <v>525.208090408684</v>
      </c>
      <c r="J14008" s="16" t="n">
        <f aca="false">MAX(0,J13992)+Assumptions!$P$57*MAX(0,Assumptions!$D$57-J13815)+Assumptions!$P$58*MAX(0,Assumptions!$D$58-J13828)+Assumptions!$P$59*MAX(0,Assumptions!$D$59-J13841)+Assumptions!$P$60*MAX(0,Assumptions!$D$60-J13854)+Assumptions!$P$61*MAX(0,Assumptions!$D$61-J13867)+Assumptions!$P$62*MAX(0,Assumptions!$D$62-J13880)+Assumptions!$P$63*MAX(0,Assumptions!$D$63-J13893)+Assumptions!$P$64*MAX(0,Assumptions!$D$64-J13906)+Assumptions!$P$65*MAX(0,Assumptions!$D$65-J13919)+Assumptions!$P$66*MAX(0,Assumptions!$D$66-J13932)</f>
        <v>461.771645592153</v>
      </c>
      <c r="K14008" s="16" t="n">
        <f aca="false">MAX(0,K13992)+Assumptions!$P$57*MAX(0,Assumptions!$D$57-K13815)+Assumptions!$P$58*MAX(0,Assumptions!$D$58-K13828)+Assumptions!$P$59*MAX(0,Assumptions!$D$59-K13841)+Assumptions!$P$60*MAX(0,Assumptions!$D$60-K13854)+Assumptions!$P$61*MAX(0,Assumptions!$D$61-K13867)+Assumptions!$P$62*MAX(0,Assumptions!$D$62-K13880)+Assumptions!$P$63*MAX(0,Assumptions!$D$63-K13893)+Assumptions!$P$64*MAX(0,Assumptions!$D$64-K13906)+Assumptions!$P$65*MAX(0,Assumptions!$D$65-K13919)+Assumptions!$P$66*MAX(0,Assumptions!$D$66-K13932)</f>
        <v>391.933314064672</v>
      </c>
    </row>
    <row r="14009" customFormat="false" ht="15" hidden="false" customHeight="false" outlineLevel="0" collapsed="false">
      <c r="A14009" s="3" t="s">
        <v>423</v>
      </c>
      <c r="G14009" s="22" t="n">
        <f aca="false">IF(G13999&gt;0,G13999/(G13999+MAX(0,G13778*CHOOSE($C$13761,Assumptions!$C$90,Assumptions!$C$109,Assumptions!$C$128)-G14001)),0)</f>
        <v>0.74433619330979</v>
      </c>
      <c r="H14009" s="22" t="n">
        <f aca="false">IF(H13999&gt;0,H13999/(H13999+MAX(0,H13778*CHOOSE($C$13761,Assumptions!$C$90,Assumptions!$C$109,Assumptions!$C$128)-H14001)),0)</f>
        <v>0.701794285761024</v>
      </c>
      <c r="I14009" s="22" t="n">
        <f aca="false">IF(I13999&gt;0,I13999/(I13999+MAX(0,I13778*CHOOSE($C$13761,Assumptions!$C$90,Assumptions!$C$109,Assumptions!$C$128)-I14001)),0)</f>
        <v>0.668328676212168</v>
      </c>
      <c r="J14009" s="22" t="n">
        <f aca="false">IF(J13999&gt;0,J13999/(J13999+MAX(0,J13778*CHOOSE($C$13761,Assumptions!$C$90,Assumptions!$C$109,Assumptions!$C$128)-J14001)),0)</f>
        <v>0.636478975631135</v>
      </c>
      <c r="K14009" s="22" t="n">
        <f aca="false">IF(K13999&gt;0,K13999/(K13999+MAX(0,K13778*CHOOSE($C$13761,Assumptions!$C$90,Assumptions!$C$109,Assumptions!$C$128)-K14001)),0)</f>
        <v>0.60727757969694</v>
      </c>
    </row>
    <row r="14010" customFormat="false" ht="15" hidden="false" customHeight="false" outlineLevel="0" collapsed="false">
      <c r="A14010" s="3" t="s">
        <v>424</v>
      </c>
      <c r="G14010" s="22" t="n">
        <f aca="false">IF(G13999&gt;0,MAX(0,G13992)/G13999,0)</f>
        <v>0.0592355408641102</v>
      </c>
      <c r="H14010" s="22" t="n">
        <f aca="false">IF(H13999&gt;0,MAX(0,H13992)/H13999,0)</f>
        <v>0.00976426857554687</v>
      </c>
      <c r="I14010" s="22" t="n">
        <f aca="false">IF(I13999&gt;0,MAX(0,I13992)/I13999,0)</f>
        <v>0</v>
      </c>
      <c r="J14010" s="22" t="n">
        <f aca="false">IF(J13999&gt;0,MAX(0,J13992)/J13999,0)</f>
        <v>0</v>
      </c>
      <c r="K14010" s="22" t="n">
        <f aca="false">IF(K13999&gt;0,MAX(0,K13992)/K13999,0)</f>
        <v>0</v>
      </c>
    </row>
    <row r="14011" customFormat="false" ht="15" hidden="false" customHeight="false" outlineLevel="0" collapsed="false">
      <c r="A14011" s="3" t="s">
        <v>425</v>
      </c>
      <c r="G14011" s="16" t="n">
        <f aca="false">Assumptions!$C$31*(1-CHOOSE($C$13761,Assumptions!$C$93,Assumptions!$C$112,Assumptions!$C$131))</f>
        <v>4517.70066666667</v>
      </c>
      <c r="H14011" s="16" t="n">
        <f aca="false">Assumptions!$C$31*(1-CHOOSE($C$13761,Assumptions!$C$93,Assumptions!$C$112,Assumptions!$C$131))</f>
        <v>4517.70066666667</v>
      </c>
      <c r="I14011" s="16" t="n">
        <f aca="false">Assumptions!$C$31*(1-CHOOSE($C$13761,Assumptions!$C$93,Assumptions!$C$112,Assumptions!$C$131))</f>
        <v>4517.70066666667</v>
      </c>
      <c r="J14011" s="16" t="n">
        <f aca="false">Assumptions!$C$31*(1-CHOOSE($C$13761,Assumptions!$C$93,Assumptions!$C$112,Assumptions!$C$131))</f>
        <v>4517.70066666667</v>
      </c>
      <c r="K14011" s="16" t="n">
        <f aca="false">Assumptions!$C$31*(1-CHOOSE($C$13761,Assumptions!$C$93,Assumptions!$C$112,Assumptions!$C$131))</f>
        <v>4517.70066666667</v>
      </c>
    </row>
    <row r="14012" customFormat="false" ht="15" hidden="false" customHeight="false" outlineLevel="0" collapsed="false">
      <c r="A14012" s="24" t="s">
        <v>426</v>
      </c>
      <c r="B14012" s="25"/>
      <c r="C14012" s="25"/>
      <c r="D14012" s="25"/>
      <c r="E14012" s="25"/>
      <c r="F14012" s="25"/>
      <c r="G14012" s="25"/>
      <c r="H14012" s="25"/>
      <c r="I14012" s="25"/>
      <c r="J14012" s="25"/>
      <c r="K14012" s="25"/>
    </row>
    <row r="14013" customFormat="false" ht="15" hidden="false" customHeight="false" outlineLevel="0" collapsed="false">
      <c r="A14013" s="24" t="s">
        <v>427</v>
      </c>
      <c r="B14013" s="25"/>
      <c r="C14013" s="25"/>
      <c r="D14013" s="25"/>
      <c r="E14013" s="25"/>
      <c r="F14013" s="25"/>
      <c r="G14013" s="25"/>
      <c r="H14013" s="25"/>
      <c r="I14013" s="25"/>
      <c r="J14013" s="25"/>
      <c r="K14013" s="25"/>
    </row>
    <row r="14014" customFormat="false" ht="15" hidden="false" customHeight="false" outlineLevel="0" collapsed="false">
      <c r="A14014" s="3" t="s">
        <v>428</v>
      </c>
      <c r="G14014" s="22" t="n">
        <f aca="false">IF(G14011&gt;0,G13999/G14011,99)</f>
        <v>0.580369128779522</v>
      </c>
      <c r="H14014" s="22" t="n">
        <f aca="false">IF(H14011&gt;0,H13999/H14011,99)</f>
        <v>0.566738661288272</v>
      </c>
      <c r="I14014" s="22" t="n">
        <f aca="false">IF(I14011&gt;0,I13999/I14011,99)</f>
        <v>0.576764095227598</v>
      </c>
      <c r="J14014" s="22" t="n">
        <f aca="false">IF(J14011&gt;0,J13999/J14011,99)</f>
        <v>0.589920443822155</v>
      </c>
      <c r="K14014" s="22" t="n">
        <f aca="false">IF(K14011&gt;0,K13999/K14011,99)</f>
        <v>0.604493859899334</v>
      </c>
    </row>
    <row r="14015" customFormat="false" ht="15" hidden="false" customHeight="false" outlineLevel="0" collapsed="false">
      <c r="A14015" s="3" t="s">
        <v>429</v>
      </c>
      <c r="G14015" s="33" t="n">
        <f aca="false">Assumptions!$G$71</f>
        <v>0.6</v>
      </c>
      <c r="H14015" s="33" t="n">
        <f aca="false">Assumptions!$H$71</f>
        <v>0.6</v>
      </c>
      <c r="I14015" s="33" t="n">
        <f aca="false">Assumptions!$I$71</f>
        <v>0.6</v>
      </c>
      <c r="J14015" s="33" t="n">
        <f aca="false">Assumptions!$J$71</f>
        <v>0.6</v>
      </c>
      <c r="K14015" s="33" t="n">
        <f aca="false">Assumptions!$K$71</f>
        <v>0.6</v>
      </c>
    </row>
    <row r="14016" customFormat="false" ht="15" hidden="false" customHeight="false" outlineLevel="0" collapsed="false">
      <c r="A14016" s="3" t="s">
        <v>430</v>
      </c>
      <c r="G14016" s="22" t="n">
        <f aca="false">G14015-G14014</f>
        <v>0.0196308712204777</v>
      </c>
      <c r="H14016" s="22" t="n">
        <f aca="false">H14015-H14014</f>
        <v>0.0332613387117281</v>
      </c>
      <c r="I14016" s="22" t="n">
        <f aca="false">I14015-I14014</f>
        <v>0.023235904772402</v>
      </c>
      <c r="J14016" s="22" t="n">
        <f aca="false">J14015-J14014</f>
        <v>0.0100795561778446</v>
      </c>
      <c r="K14016" s="22" t="n">
        <f aca="false">K14015-K14014</f>
        <v>-0.00449385989933415</v>
      </c>
    </row>
    <row r="14017" customFormat="false" ht="15" hidden="false" customHeight="false" outlineLevel="0" collapsed="false">
      <c r="A14017" s="3" t="s">
        <v>431</v>
      </c>
      <c r="G14017" s="22" t="n">
        <f aca="false">IF(G14015=0,0,G14016/ABS(G14015))</f>
        <v>0.0327181187007962</v>
      </c>
      <c r="H14017" s="22" t="n">
        <f aca="false">IF(H14015=0,0,H14016/ABS(H14015))</f>
        <v>0.0554355645195468</v>
      </c>
      <c r="I14017" s="22" t="n">
        <f aca="false">IF(I14015=0,0,I14016/ABS(I14015))</f>
        <v>0.0387265079540033</v>
      </c>
      <c r="J14017" s="22" t="n">
        <f aca="false">IF(J14015=0,0,J14016/ABS(J14015))</f>
        <v>0.0167992602964077</v>
      </c>
      <c r="K14017" s="22" t="n">
        <f aca="false">IF(K14015=0,0,K14016/ABS(K14015))</f>
        <v>-0.00748976649889025</v>
      </c>
    </row>
    <row r="14018" customFormat="false" ht="15" hidden="false" customHeight="false" outlineLevel="0" collapsed="false">
      <c r="A14018" s="3" t="s">
        <v>432</v>
      </c>
      <c r="G14018" s="21" t="n">
        <f aca="false">IF(G14016&lt;0,1,0)</f>
        <v>0</v>
      </c>
      <c r="H14018" s="21" t="n">
        <f aca="false">IF(H14016&lt;0,1,0)</f>
        <v>0</v>
      </c>
      <c r="I14018" s="21" t="n">
        <f aca="false">IF(I14016&lt;0,1,0)</f>
        <v>0</v>
      </c>
      <c r="J14018" s="21" t="n">
        <f aca="false">IF(J14016&lt;0,1,0)</f>
        <v>0</v>
      </c>
      <c r="K14018" s="21" t="n">
        <f aca="false">IF(K14016&lt;0,1,0)</f>
        <v>1</v>
      </c>
    </row>
    <row r="14019" customFormat="false" ht="15" hidden="false" customHeight="false" outlineLevel="0" collapsed="false">
      <c r="A14019" s="3" t="s">
        <v>433</v>
      </c>
      <c r="C14019" s="21" t="n">
        <f aca="false">IFERROR(INDEX($G$13768:$K$13768,MATCH(1,$G$14018:$K$14018,0)),0)</f>
        <v>2031</v>
      </c>
    </row>
    <row r="14020" customFormat="false" ht="15" hidden="false" customHeight="false" outlineLevel="0" collapsed="false">
      <c r="A14020" s="3" t="s">
        <v>434</v>
      </c>
      <c r="C14020" s="22" t="n">
        <f aca="false">MIN($G$14017:$K$14017)</f>
        <v>-0.00748976649889025</v>
      </c>
    </row>
    <row r="14021" customFormat="false" ht="15" hidden="false" customHeight="false" outlineLevel="0" collapsed="false">
      <c r="A14021" s="24" t="s">
        <v>435</v>
      </c>
      <c r="B14021" s="25"/>
      <c r="C14021" s="25"/>
      <c r="D14021" s="25"/>
      <c r="E14021" s="25"/>
      <c r="F14021" s="25"/>
      <c r="G14021" s="25"/>
      <c r="H14021" s="25"/>
      <c r="I14021" s="25"/>
      <c r="J14021" s="25"/>
      <c r="K14021" s="25"/>
    </row>
    <row r="14022" customFormat="false" ht="15" hidden="false" customHeight="false" outlineLevel="0" collapsed="false">
      <c r="A14022" s="3" t="s">
        <v>428</v>
      </c>
      <c r="G14022" s="32" t="n">
        <f aca="false">IF(G13782&gt;0,G13778/G13782,99)</f>
        <v>1.49479265779796</v>
      </c>
      <c r="H14022" s="32" t="n">
        <f aca="false">IF(H13782&gt;0,H13778/H13782,99)</f>
        <v>1.61816045454659</v>
      </c>
      <c r="I14022" s="32" t="n">
        <f aca="false">IF(I13782&gt;0,I13778/I13782,99)</f>
        <v>1.6401641371065</v>
      </c>
      <c r="J14022" s="32" t="n">
        <f aca="false">IF(J13782&gt;0,J13778/J13782,99)</f>
        <v>1.77289009743313</v>
      </c>
      <c r="K14022" s="32" t="n">
        <f aca="false">IF(K13782&gt;0,K13778/K13782,99)</f>
        <v>1.74857126045021</v>
      </c>
    </row>
    <row r="14023" customFormat="false" ht="15" hidden="false" customHeight="false" outlineLevel="0" collapsed="false">
      <c r="A14023" s="3" t="s">
        <v>429</v>
      </c>
      <c r="G14023" s="34" t="n">
        <f aca="false">Assumptions!$G$72</f>
        <v>1.5</v>
      </c>
      <c r="H14023" s="34" t="n">
        <f aca="false">Assumptions!$H$72</f>
        <v>1.5</v>
      </c>
      <c r="I14023" s="34" t="n">
        <f aca="false">Assumptions!$I$72</f>
        <v>1.5</v>
      </c>
      <c r="J14023" s="34" t="n">
        <f aca="false">Assumptions!$J$72</f>
        <v>1.5</v>
      </c>
      <c r="K14023" s="34" t="n">
        <f aca="false">Assumptions!$K$72</f>
        <v>1.5</v>
      </c>
    </row>
    <row r="14024" customFormat="false" ht="15" hidden="false" customHeight="false" outlineLevel="0" collapsed="false">
      <c r="A14024" s="3" t="s">
        <v>430</v>
      </c>
      <c r="G14024" s="32" t="n">
        <f aca="false">G14022-G14023</f>
        <v>-0.00520734220204111</v>
      </c>
      <c r="H14024" s="32" t="n">
        <f aca="false">H14022-H14023</f>
        <v>0.118160454546594</v>
      </c>
      <c r="I14024" s="32" t="n">
        <f aca="false">I14022-I14023</f>
        <v>0.140164137106497</v>
      </c>
      <c r="J14024" s="32" t="n">
        <f aca="false">J14022-J14023</f>
        <v>0.272890097433134</v>
      </c>
      <c r="K14024" s="32" t="n">
        <f aca="false">K14022-K14023</f>
        <v>0.248571260450213</v>
      </c>
    </row>
    <row r="14025" customFormat="false" ht="15" hidden="false" customHeight="false" outlineLevel="0" collapsed="false">
      <c r="A14025" s="3" t="s">
        <v>431</v>
      </c>
      <c r="G14025" s="22" t="n">
        <f aca="false">IF(G14023=0,0,G14024/ABS(G14023))</f>
        <v>-0.00347156146802741</v>
      </c>
      <c r="H14025" s="22" t="n">
        <f aca="false">IF(H14023=0,0,H14024/ABS(H14023))</f>
        <v>0.0787736363643958</v>
      </c>
      <c r="I14025" s="22" t="n">
        <f aca="false">IF(I14023=0,0,I14024/ABS(I14023))</f>
        <v>0.0934427580709983</v>
      </c>
      <c r="J14025" s="22" t="n">
        <f aca="false">IF(J14023=0,0,J14024/ABS(J14023))</f>
        <v>0.181926731622089</v>
      </c>
      <c r="K14025" s="22" t="n">
        <f aca="false">IF(K14023=0,0,K14024/ABS(K14023))</f>
        <v>0.165714173633475</v>
      </c>
    </row>
    <row r="14026" customFormat="false" ht="15" hidden="false" customHeight="false" outlineLevel="0" collapsed="false">
      <c r="A14026" s="3" t="s">
        <v>432</v>
      </c>
      <c r="G14026" s="21" t="n">
        <f aca="false">IF(G14024&lt;0,1,0)</f>
        <v>1</v>
      </c>
      <c r="H14026" s="21" t="n">
        <f aca="false">IF(H14024&lt;0,1,0)</f>
        <v>0</v>
      </c>
      <c r="I14026" s="21" t="n">
        <f aca="false">IF(I14024&lt;0,1,0)</f>
        <v>0</v>
      </c>
      <c r="J14026" s="21" t="n">
        <f aca="false">IF(J14024&lt;0,1,0)</f>
        <v>0</v>
      </c>
      <c r="K14026" s="21" t="n">
        <f aca="false">IF(K14024&lt;0,1,0)</f>
        <v>0</v>
      </c>
    </row>
    <row r="14027" customFormat="false" ht="15" hidden="false" customHeight="false" outlineLevel="0" collapsed="false">
      <c r="A14027" s="3" t="s">
        <v>433</v>
      </c>
      <c r="C14027" s="21" t="n">
        <f aca="false">IFERROR(INDEX($G$13768:$K$13768,MATCH(1,$G$14026:$K$14026,0)),0)</f>
        <v>2027</v>
      </c>
    </row>
    <row r="14028" customFormat="false" ht="15" hidden="false" customHeight="false" outlineLevel="0" collapsed="false">
      <c r="A14028" s="3" t="s">
        <v>434</v>
      </c>
      <c r="C14028" s="22" t="n">
        <f aca="false">MIN($G$14025:$K$14025)</f>
        <v>-0.00347156146802741</v>
      </c>
    </row>
    <row r="14029" customFormat="false" ht="15" hidden="false" customHeight="false" outlineLevel="0" collapsed="false">
      <c r="A14029" s="24" t="s">
        <v>436</v>
      </c>
      <c r="B14029" s="25"/>
      <c r="C14029" s="25"/>
      <c r="D14029" s="25"/>
      <c r="E14029" s="25"/>
      <c r="F14029" s="25"/>
      <c r="G14029" s="25"/>
      <c r="H14029" s="25"/>
      <c r="I14029" s="25"/>
      <c r="J14029" s="25"/>
      <c r="K14029" s="25"/>
    </row>
    <row r="14030" customFormat="false" ht="15" hidden="false" customHeight="false" outlineLevel="0" collapsed="false">
      <c r="A14030" s="3" t="s">
        <v>428</v>
      </c>
      <c r="G14030" s="22" t="n">
        <f aca="false">IF(G14011&gt;0,G14000/G14011,99)</f>
        <v>0.120265604139923</v>
      </c>
      <c r="H14030" s="22" t="n">
        <f aca="false">IF(H14011&gt;0,H14000/H14011,99)</f>
        <v>0.119380197979769</v>
      </c>
      <c r="I14030" s="22" t="n">
        <f aca="false">IF(I14011&gt;0,I14000/I14011,99)</f>
        <v>0.118494791819614</v>
      </c>
      <c r="J14030" s="22" t="n">
        <f aca="false">IF(J14011&gt;0,J14000/J14011,99)</f>
        <v>0.11760938565946</v>
      </c>
      <c r="K14030" s="22" t="n">
        <f aca="false">IF(K14011&gt;0,K14000/K14011,99)</f>
        <v>0.116723979499306</v>
      </c>
    </row>
    <row r="14031" customFormat="false" ht="15" hidden="false" customHeight="false" outlineLevel="0" collapsed="false">
      <c r="A14031" s="3" t="s">
        <v>429</v>
      </c>
      <c r="G14031" s="33" t="n">
        <f aca="false">Assumptions!$G$73</f>
        <v>0.4</v>
      </c>
      <c r="H14031" s="33" t="n">
        <f aca="false">Assumptions!$H$73</f>
        <v>0.4</v>
      </c>
      <c r="I14031" s="33" t="n">
        <f aca="false">Assumptions!$I$73</f>
        <v>0.4</v>
      </c>
      <c r="J14031" s="33" t="n">
        <f aca="false">Assumptions!$J$73</f>
        <v>0.4</v>
      </c>
      <c r="K14031" s="33" t="n">
        <f aca="false">Assumptions!$K$73</f>
        <v>0.4</v>
      </c>
    </row>
    <row r="14032" customFormat="false" ht="15" hidden="false" customHeight="false" outlineLevel="0" collapsed="false">
      <c r="A14032" s="3" t="s">
        <v>430</v>
      </c>
      <c r="G14032" s="22" t="n">
        <f aca="false">G14031-G14030</f>
        <v>0.279734395860077</v>
      </c>
      <c r="H14032" s="22" t="n">
        <f aca="false">H14031-H14030</f>
        <v>0.280619802020231</v>
      </c>
      <c r="I14032" s="22" t="n">
        <f aca="false">I14031-I14030</f>
        <v>0.281505208180386</v>
      </c>
      <c r="J14032" s="22" t="n">
        <f aca="false">J14031-J14030</f>
        <v>0.28239061434054</v>
      </c>
      <c r="K14032" s="22" t="n">
        <f aca="false">K14031-K14030</f>
        <v>0.283276020500694</v>
      </c>
    </row>
    <row r="14033" customFormat="false" ht="15" hidden="false" customHeight="false" outlineLevel="0" collapsed="false">
      <c r="A14033" s="3" t="s">
        <v>431</v>
      </c>
      <c r="G14033" s="22" t="n">
        <f aca="false">IF(G14031=0,0,G14032/ABS(G14031))</f>
        <v>0.699335989650192</v>
      </c>
      <c r="H14033" s="22" t="n">
        <f aca="false">IF(H14031=0,0,H14032/ABS(H14031))</f>
        <v>0.701549505050578</v>
      </c>
      <c r="I14033" s="22" t="n">
        <f aca="false">IF(I14031=0,0,I14032/ABS(I14031))</f>
        <v>0.703763020450964</v>
      </c>
      <c r="J14033" s="22" t="n">
        <f aca="false">IF(J14031=0,0,J14032/ABS(J14031))</f>
        <v>0.70597653585135</v>
      </c>
      <c r="K14033" s="22" t="n">
        <f aca="false">IF(K14031=0,0,K14032/ABS(K14031))</f>
        <v>0.708190051251736</v>
      </c>
    </row>
    <row r="14034" customFormat="false" ht="15" hidden="false" customHeight="false" outlineLevel="0" collapsed="false">
      <c r="A14034" s="3" t="s">
        <v>432</v>
      </c>
      <c r="G14034" s="21" t="n">
        <f aca="false">IF(G14032&lt;0,1,0)</f>
        <v>0</v>
      </c>
      <c r="H14034" s="21" t="n">
        <f aca="false">IF(H14032&lt;0,1,0)</f>
        <v>0</v>
      </c>
      <c r="I14034" s="21" t="n">
        <f aca="false">IF(I14032&lt;0,1,0)</f>
        <v>0</v>
      </c>
      <c r="J14034" s="21" t="n">
        <f aca="false">IF(J14032&lt;0,1,0)</f>
        <v>0</v>
      </c>
      <c r="K14034" s="21" t="n">
        <f aca="false">IF(K14032&lt;0,1,0)</f>
        <v>0</v>
      </c>
    </row>
    <row r="14035" customFormat="false" ht="15" hidden="false" customHeight="false" outlineLevel="0" collapsed="false">
      <c r="A14035" s="3" t="s">
        <v>433</v>
      </c>
      <c r="C14035" s="21" t="n">
        <f aca="false">IFERROR(INDEX($G$13768:$K$13768,MATCH(1,$G$14034:$K$14034,0)),0)</f>
        <v>0</v>
      </c>
    </row>
    <row r="14036" customFormat="false" ht="15" hidden="false" customHeight="false" outlineLevel="0" collapsed="false">
      <c r="A14036" s="3" t="s">
        <v>434</v>
      </c>
      <c r="C14036" s="22" t="n">
        <f aca="false">MIN($G$14033:$K$14033)</f>
        <v>0.699335989650192</v>
      </c>
    </row>
    <row r="14037" customFormat="false" ht="15" hidden="false" customHeight="false" outlineLevel="0" collapsed="false">
      <c r="A14037" s="24" t="s">
        <v>437</v>
      </c>
      <c r="B14037" s="25"/>
      <c r="C14037" s="25"/>
      <c r="D14037" s="25"/>
      <c r="E14037" s="25"/>
      <c r="F14037" s="25"/>
      <c r="G14037" s="25"/>
      <c r="H14037" s="25"/>
      <c r="I14037" s="25"/>
      <c r="J14037" s="25"/>
      <c r="K14037" s="25"/>
    </row>
    <row r="14038" customFormat="false" ht="15" hidden="false" customHeight="false" outlineLevel="0" collapsed="false">
      <c r="A14038" s="3" t="s">
        <v>428</v>
      </c>
      <c r="G14038" s="16" t="n">
        <f aca="false">G14008</f>
        <v>729.8116786</v>
      </c>
      <c r="H14038" s="16" t="n">
        <f aca="false">H14008</f>
        <v>599.5</v>
      </c>
      <c r="I14038" s="16" t="n">
        <f aca="false">I14008</f>
        <v>525.208090408684</v>
      </c>
      <c r="J14038" s="16" t="n">
        <f aca="false">J14008</f>
        <v>461.771645592153</v>
      </c>
      <c r="K14038" s="16" t="n">
        <f aca="false">K14008</f>
        <v>391.933314064672</v>
      </c>
    </row>
    <row r="14039" customFormat="false" ht="15" hidden="false" customHeight="false" outlineLevel="0" collapsed="false">
      <c r="A14039" s="3" t="s">
        <v>429</v>
      </c>
      <c r="G14039" s="29" t="n">
        <f aca="false">Assumptions!$G$74</f>
        <v>100</v>
      </c>
      <c r="H14039" s="29" t="n">
        <f aca="false">Assumptions!$H$74</f>
        <v>100</v>
      </c>
      <c r="I14039" s="29" t="n">
        <f aca="false">Assumptions!$I$74</f>
        <v>100</v>
      </c>
      <c r="J14039" s="29" t="n">
        <f aca="false">Assumptions!$J$74</f>
        <v>100</v>
      </c>
      <c r="K14039" s="29" t="n">
        <f aca="false">Assumptions!$K$74</f>
        <v>100</v>
      </c>
    </row>
    <row r="14040" customFormat="false" ht="15" hidden="false" customHeight="false" outlineLevel="0" collapsed="false">
      <c r="A14040" s="3" t="s">
        <v>430</v>
      </c>
      <c r="G14040" s="16" t="n">
        <f aca="false">G14038-G14039</f>
        <v>629.8116786</v>
      </c>
      <c r="H14040" s="16" t="n">
        <f aca="false">H14038-H14039</f>
        <v>499.5</v>
      </c>
      <c r="I14040" s="16" t="n">
        <f aca="false">I14038-I14039</f>
        <v>425.208090408684</v>
      </c>
      <c r="J14040" s="16" t="n">
        <f aca="false">J14038-J14039</f>
        <v>361.771645592153</v>
      </c>
      <c r="K14040" s="16" t="n">
        <f aca="false">K14038-K14039</f>
        <v>291.933314064672</v>
      </c>
    </row>
    <row r="14041" customFormat="false" ht="15" hidden="false" customHeight="false" outlineLevel="0" collapsed="false">
      <c r="A14041" s="3" t="s">
        <v>431</v>
      </c>
      <c r="G14041" s="22" t="n">
        <f aca="false">IF(G14039=0,0,G14040/ABS(G14039))</f>
        <v>6.298116786</v>
      </c>
      <c r="H14041" s="22" t="n">
        <f aca="false">IF(H14039=0,0,H14040/ABS(H14039))</f>
        <v>4.995</v>
      </c>
      <c r="I14041" s="22" t="n">
        <f aca="false">IF(I14039=0,0,I14040/ABS(I14039))</f>
        <v>4.25208090408684</v>
      </c>
      <c r="J14041" s="22" t="n">
        <f aca="false">IF(J14039=0,0,J14040/ABS(J14039))</f>
        <v>3.61771645592153</v>
      </c>
      <c r="K14041" s="22" t="n">
        <f aca="false">IF(K14039=0,0,K14040/ABS(K14039))</f>
        <v>2.91933314064672</v>
      </c>
    </row>
    <row r="14042" customFormat="false" ht="15" hidden="false" customHeight="false" outlineLevel="0" collapsed="false">
      <c r="A14042" s="3" t="s">
        <v>432</v>
      </c>
      <c r="G14042" s="21" t="n">
        <f aca="false">IF(G14040&lt;0,1,0)</f>
        <v>0</v>
      </c>
      <c r="H14042" s="21" t="n">
        <f aca="false">IF(H14040&lt;0,1,0)</f>
        <v>0</v>
      </c>
      <c r="I14042" s="21" t="n">
        <f aca="false">IF(I14040&lt;0,1,0)</f>
        <v>0</v>
      </c>
      <c r="J14042" s="21" t="n">
        <f aca="false">IF(J14040&lt;0,1,0)</f>
        <v>0</v>
      </c>
      <c r="K14042" s="21" t="n">
        <f aca="false">IF(K14040&lt;0,1,0)</f>
        <v>0</v>
      </c>
    </row>
    <row r="14043" customFormat="false" ht="15" hidden="false" customHeight="false" outlineLevel="0" collapsed="false">
      <c r="A14043" s="3" t="s">
        <v>433</v>
      </c>
      <c r="C14043" s="21" t="n">
        <f aca="false">IFERROR(INDEX($G$13768:$K$13768,MATCH(1,$G$14042:$K$14042,0)),0)</f>
        <v>0</v>
      </c>
    </row>
    <row r="14044" customFormat="false" ht="15" hidden="false" customHeight="false" outlineLevel="0" collapsed="false">
      <c r="A14044" s="3" t="s">
        <v>434</v>
      </c>
      <c r="C14044" s="22" t="n">
        <f aca="false">MIN($G$14041:$K$14041)</f>
        <v>2.91933314064672</v>
      </c>
    </row>
    <row r="14045" customFormat="false" ht="15" hidden="false" customHeight="false" outlineLevel="0" collapsed="false">
      <c r="A14045" s="24" t="s">
        <v>438</v>
      </c>
      <c r="B14045" s="25"/>
      <c r="C14045" s="25"/>
      <c r="D14045" s="25"/>
      <c r="E14045" s="25"/>
      <c r="F14045" s="25"/>
      <c r="G14045" s="25"/>
      <c r="H14045" s="25"/>
      <c r="I14045" s="25"/>
      <c r="J14045" s="25"/>
      <c r="K14045" s="25"/>
    </row>
    <row r="14046" customFormat="false" ht="15" hidden="false" customHeight="false" outlineLevel="0" collapsed="false">
      <c r="A14046" s="3" t="s">
        <v>428</v>
      </c>
      <c r="G14046" s="32" t="n">
        <f aca="false">IF(G13778&gt;0,G14001/G13778,99)</f>
        <v>9.15679671548726</v>
      </c>
      <c r="H14046" s="32" t="n">
        <f aca="false">IF(H13778&gt;0,H14001/H13778,99)</f>
        <v>8.74670911661738</v>
      </c>
      <c r="I14046" s="32" t="n">
        <f aca="false">IF(I13778&gt;0,I14001/I13778,99)</f>
        <v>8.3541084526521</v>
      </c>
      <c r="J14046" s="32" t="n">
        <f aca="false">IF(J13778&gt;0,J14001/J13778,99)</f>
        <v>7.95598719538919</v>
      </c>
      <c r="K14046" s="32" t="n">
        <f aca="false">IF(K13778&gt;0,K14001/K13778,99)</f>
        <v>7.59096974621176</v>
      </c>
    </row>
    <row r="14047" customFormat="false" ht="15" hidden="false" customHeight="false" outlineLevel="0" collapsed="false">
      <c r="A14047" s="3" t="s">
        <v>429</v>
      </c>
      <c r="G14047" s="34" t="n">
        <f aca="false">Assumptions!$G$75</f>
        <v>10.5</v>
      </c>
      <c r="H14047" s="34" t="n">
        <f aca="false">Assumptions!$H$75</f>
        <v>10.5</v>
      </c>
      <c r="I14047" s="34" t="n">
        <f aca="false">Assumptions!$I$75</f>
        <v>10</v>
      </c>
      <c r="J14047" s="34" t="n">
        <f aca="false">Assumptions!$J$75</f>
        <v>10</v>
      </c>
      <c r="K14047" s="34" t="n">
        <f aca="false">Assumptions!$K$75</f>
        <v>9.5</v>
      </c>
    </row>
    <row r="14048" customFormat="false" ht="15" hidden="false" customHeight="false" outlineLevel="0" collapsed="false">
      <c r="A14048" s="3" t="s">
        <v>430</v>
      </c>
      <c r="G14048" s="32" t="n">
        <f aca="false">G14047-G14046</f>
        <v>1.34320328451274</v>
      </c>
      <c r="H14048" s="32" t="n">
        <f aca="false">H14047-H14046</f>
        <v>1.75329088338262</v>
      </c>
      <c r="I14048" s="32" t="n">
        <f aca="false">I14047-I14046</f>
        <v>1.6458915473479</v>
      </c>
      <c r="J14048" s="32" t="n">
        <f aca="false">J14047-J14046</f>
        <v>2.04401280461081</v>
      </c>
      <c r="K14048" s="32" t="n">
        <f aca="false">K14047-K14046</f>
        <v>1.90903025378824</v>
      </c>
    </row>
    <row r="14049" customFormat="false" ht="15" hidden="false" customHeight="false" outlineLevel="0" collapsed="false">
      <c r="A14049" s="3" t="s">
        <v>431</v>
      </c>
      <c r="G14049" s="22" t="n">
        <f aca="false">IF(G14047=0,0,G14048/ABS(G14047))</f>
        <v>0.127924122334547</v>
      </c>
      <c r="H14049" s="22" t="n">
        <f aca="false">IF(H14047=0,0,H14048/ABS(H14047))</f>
        <v>0.166980084131678</v>
      </c>
      <c r="I14049" s="22" t="n">
        <f aca="false">IF(I14047=0,0,I14048/ABS(I14047))</f>
        <v>0.16458915473479</v>
      </c>
      <c r="J14049" s="22" t="n">
        <f aca="false">IF(J14047=0,0,J14048/ABS(J14047))</f>
        <v>0.204401280461081</v>
      </c>
      <c r="K14049" s="22" t="n">
        <f aca="false">IF(K14047=0,0,K14048/ABS(K14047))</f>
        <v>0.200950553030341</v>
      </c>
    </row>
    <row r="14050" customFormat="false" ht="15" hidden="false" customHeight="false" outlineLevel="0" collapsed="false">
      <c r="A14050" s="3" t="s">
        <v>432</v>
      </c>
      <c r="G14050" s="21" t="n">
        <f aca="false">IF(G14048&lt;0,1,0)</f>
        <v>0</v>
      </c>
      <c r="H14050" s="21" t="n">
        <f aca="false">IF(H14048&lt;0,1,0)</f>
        <v>0</v>
      </c>
      <c r="I14050" s="21" t="n">
        <f aca="false">IF(I14048&lt;0,1,0)</f>
        <v>0</v>
      </c>
      <c r="J14050" s="21" t="n">
        <f aca="false">IF(J14048&lt;0,1,0)</f>
        <v>0</v>
      </c>
      <c r="K14050" s="21" t="n">
        <f aca="false">IF(K14048&lt;0,1,0)</f>
        <v>0</v>
      </c>
    </row>
    <row r="14051" customFormat="false" ht="15" hidden="false" customHeight="false" outlineLevel="0" collapsed="false">
      <c r="A14051" s="3" t="s">
        <v>433</v>
      </c>
      <c r="C14051" s="21" t="n">
        <f aca="false">IFERROR(INDEX($G$13768:$K$13768,MATCH(1,$G$14050:$K$14050,0)),0)</f>
        <v>0</v>
      </c>
    </row>
    <row r="14052" customFormat="false" ht="15" hidden="false" customHeight="false" outlineLevel="0" collapsed="false">
      <c r="A14052" s="3" t="s">
        <v>434</v>
      </c>
      <c r="C14052" s="22" t="n">
        <f aca="false">MIN($G$14049:$K$14049)</f>
        <v>0.127924122334547</v>
      </c>
    </row>
    <row r="14053" customFormat="false" ht="15" hidden="false" customHeight="false" outlineLevel="0" collapsed="false">
      <c r="A14053" s="3" t="s">
        <v>439</v>
      </c>
      <c r="G14053" s="21" t="n">
        <f aca="false">G14018+G14026+G14034+G14042+G14050</f>
        <v>1</v>
      </c>
      <c r="H14053" s="21" t="n">
        <f aca="false">H14018+H14026+H14034+H14042+H14050</f>
        <v>0</v>
      </c>
      <c r="I14053" s="21" t="n">
        <f aca="false">I14018+I14026+I14034+I14042+I14050</f>
        <v>0</v>
      </c>
      <c r="J14053" s="21" t="n">
        <f aca="false">J14018+J14026+J14034+J14042+J14050</f>
        <v>0</v>
      </c>
      <c r="K14053" s="21" t="n">
        <f aca="false">K14018+K14026+K14034+K14042+K14050</f>
        <v>1</v>
      </c>
    </row>
    <row r="14054" customFormat="false" ht="15" hidden="false" customHeight="false" outlineLevel="0" collapsed="false">
      <c r="A14054" s="3" t="s">
        <v>440</v>
      </c>
      <c r="C14054" s="21" t="n">
        <f aca="false">SUM($G$14053:$K$14053)</f>
        <v>2</v>
      </c>
    </row>
    <row r="14055" customFormat="false" ht="15" hidden="false" customHeight="false" outlineLevel="0" collapsed="false">
      <c r="A14055" s="3" t="s">
        <v>441</v>
      </c>
      <c r="C14055" s="22" t="n">
        <f aca="false">MIN(C14020,C14028,C14036,C14044,C14052)</f>
        <v>-0.00748976649889025</v>
      </c>
    </row>
    <row r="14057" customFormat="false" ht="15" hidden="false" customHeight="false" outlineLevel="0" collapsed="false">
      <c r="A14057" s="24" t="s">
        <v>543</v>
      </c>
      <c r="B14057" s="25"/>
      <c r="C14057" s="25"/>
      <c r="D14057" s="25"/>
      <c r="E14057" s="25"/>
      <c r="F14057" s="25"/>
      <c r="G14057" s="25"/>
      <c r="H14057" s="25"/>
      <c r="I14057" s="25"/>
      <c r="J14057" s="25"/>
      <c r="K14057" s="25"/>
    </row>
    <row r="14058" customFormat="false" ht="15" hidden="false" customHeight="false" outlineLevel="0" collapsed="false">
      <c r="A14058" s="3" t="s">
        <v>544</v>
      </c>
      <c r="G14058" s="21" t="n">
        <f aca="false">IF($C$14059=1,G13995,IF(G13778=MIN($G$13778:$K$13778),1,0))</f>
        <v>1</v>
      </c>
      <c r="H14058" s="21" t="n">
        <f aca="false">IF($C$14059=1,H13995,IF(AND(H13778=MIN($G$13778:$K$13778),SUM($G$14058:G14058)=0),1,0))</f>
        <v>0</v>
      </c>
      <c r="I14058" s="21" t="n">
        <f aca="false">IF($C$14059=1,I13995,IF(AND(I13778=MIN($G$13778:$K$13778),SUM($G$14058:H14058)=0),1,0))</f>
        <v>0</v>
      </c>
      <c r="J14058" s="21" t="n">
        <f aca="false">IF($C$14059=1,J13995,IF(AND(J13778=MIN($G$13778:$K$13778),SUM($G$14058:I14058)=0),1,0))</f>
        <v>0</v>
      </c>
      <c r="K14058" s="21" t="n">
        <f aca="false">IF($C$14059=1,K13995,IF(AND(K13778=MIN($G$13778:$K$13778),SUM($G$14058:J14058)=0),1,0))</f>
        <v>0</v>
      </c>
    </row>
    <row r="14059" customFormat="false" ht="15" hidden="false" customHeight="false" outlineLevel="0" collapsed="false">
      <c r="A14059" s="3" t="s">
        <v>545</v>
      </c>
      <c r="C14059" s="21" t="n">
        <f aca="false">IF(SUM($G$13995:$K$13995)&gt;0,1,0)</f>
        <v>0</v>
      </c>
    </row>
    <row r="14060" customFormat="false" ht="15" hidden="false" customHeight="false" outlineLevel="0" collapsed="false">
      <c r="A14060" s="3" t="s">
        <v>546</v>
      </c>
      <c r="C14060" s="21" t="n">
        <f aca="false">SUMPRODUCT($G$14058:$K$14058,$G$13768:$K$13768)</f>
        <v>2027</v>
      </c>
    </row>
    <row r="14061" customFormat="false" ht="15" hidden="false" customHeight="false" outlineLevel="0" collapsed="false">
      <c r="A14061" s="3" t="s">
        <v>547</v>
      </c>
      <c r="C14061" s="16" t="n">
        <f aca="false">SUMPRODUCT($G$14058:$K$14058,$G$13778:$K$13778)</f>
        <v>269.3761146</v>
      </c>
    </row>
    <row r="14062" customFormat="false" ht="15" hidden="false" customHeight="false" outlineLevel="0" collapsed="false">
      <c r="A14062" s="3" t="s">
        <v>548</v>
      </c>
      <c r="C14062" s="16" t="n">
        <f aca="false">MAX(0,SUMPRODUCT($G$14058:$K$14058,$G$13992:$K$13992))</f>
        <v>155.3116786</v>
      </c>
    </row>
    <row r="14063" customFormat="false" ht="15" hidden="false" customHeight="false" outlineLevel="0" collapsed="false">
      <c r="A14063" s="3" t="s">
        <v>549</v>
      </c>
      <c r="C14063" s="16" t="n">
        <f aca="false">(CHOOSE($C$13761,Assumptions!$C$92,Assumptions!$C$111,Assumptions!$C$130)+$C$13765)*C14061</f>
        <v>2693.761146</v>
      </c>
    </row>
    <row r="14064" customFormat="false" ht="15" hidden="false" customHeight="false" outlineLevel="0" collapsed="false">
      <c r="A14064" s="3" t="s">
        <v>550</v>
      </c>
      <c r="C14064" s="16" t="n">
        <f aca="false">Assumptions!$C$31*(1-CHOOSE($C$13761,Assumptions!$C$93,Assumptions!$C$112,Assumptions!$C$131))*CHOOSE($C$13761,Assumptions!$C$94,Assumptions!$C$113,Assumptions!$C$132)</f>
        <v>3840.04556666667</v>
      </c>
    </row>
    <row r="14065" customFormat="false" ht="15" hidden="false" customHeight="false" outlineLevel="0" collapsed="false">
      <c r="A14065" s="3" t="s">
        <v>551</v>
      </c>
      <c r="C14065" s="16" t="n">
        <f aca="false">MAX(C14063,C14064)+C14062</f>
        <v>3995.35724526667</v>
      </c>
    </row>
    <row r="14066" customFormat="false" ht="15" hidden="false" customHeight="false" outlineLevel="0" collapsed="false">
      <c r="A14066" s="2" t="s">
        <v>552</v>
      </c>
      <c r="C14066" s="17" t="n">
        <f aca="false">IF(ISNUMBER(Assumptions!$C$14),Assumptions!$C$14,C14065)</f>
        <v>3995.35724526667</v>
      </c>
    </row>
    <row r="14067" customFormat="false" ht="15" hidden="false" customHeight="false" outlineLevel="0" collapsed="false">
      <c r="A14067" s="3" t="s">
        <v>553</v>
      </c>
      <c r="C14067" s="16" t="n">
        <f aca="false">C14066*Assumptions!$C$15</f>
        <v>159.814289810667</v>
      </c>
    </row>
    <row r="14068" customFormat="false" ht="15" hidden="false" customHeight="false" outlineLevel="0" collapsed="false">
      <c r="A14068" s="2" t="s">
        <v>554</v>
      </c>
      <c r="C14068" s="17" t="n">
        <f aca="false">C14066-C14067</f>
        <v>3835.542955456</v>
      </c>
    </row>
    <row r="14069" customFormat="false" ht="15" hidden="false" customHeight="false" outlineLevel="0" collapsed="false">
      <c r="A14069" s="24" t="s">
        <v>555</v>
      </c>
      <c r="B14069" s="25"/>
      <c r="C14069" s="25"/>
      <c r="D14069" s="25"/>
      <c r="E14069" s="25"/>
      <c r="F14069" s="25"/>
      <c r="G14069" s="25"/>
      <c r="H14069" s="25"/>
      <c r="I14069" s="25"/>
      <c r="J14069" s="25"/>
      <c r="K14069" s="25"/>
    </row>
    <row r="14070" customFormat="false" ht="15" hidden="false" customHeight="false" outlineLevel="0" collapsed="false">
      <c r="A14070" s="3" t="s">
        <v>556</v>
      </c>
      <c r="C14070" s="16" t="n">
        <f aca="false">SUMPRODUCT($G$14058:$K$14058,$G$13815:$K$13815)*(1+SUMPRODUCT($G$14058:$K$14058,$G$13807:$K$13807)*Assumptions!$C$16/12)</f>
        <v>405.0585</v>
      </c>
    </row>
    <row r="14071" customFormat="false" ht="15" hidden="false" customHeight="false" outlineLevel="0" collapsed="false">
      <c r="A14071" s="3" t="s">
        <v>557</v>
      </c>
      <c r="C14071" s="16" t="n">
        <f aca="false">SUMPRODUCT($G$14058:$K$14058,$G$13828:$K$13828)*(1+SUMPRODUCT($G$14058:$K$14058,$G$13820:$K$13820)*Assumptions!$C$16/12)</f>
        <v>91.30725</v>
      </c>
    </row>
    <row r="14072" customFormat="false" ht="15" hidden="false" customHeight="false" outlineLevel="0" collapsed="false">
      <c r="A14072" s="3" t="s">
        <v>558</v>
      </c>
      <c r="C14072" s="16" t="n">
        <f aca="false">SUMPRODUCT($G$14058:$K$14058,$G$13841:$K$13841)*(1+SUMPRODUCT($G$14058:$K$14058,$G$13833:$K$13833)*Assumptions!$C$16/12)</f>
        <v>58.3715961</v>
      </c>
    </row>
    <row r="14073" customFormat="false" ht="15" hidden="false" customHeight="false" outlineLevel="0" collapsed="false">
      <c r="A14073" s="3" t="s">
        <v>559</v>
      </c>
      <c r="C14073" s="16" t="n">
        <f aca="false">SUMPRODUCT($G$14058:$K$14058,$G$13854:$K$13854)*(1+SUMPRODUCT($G$14058:$K$14058,$G$13846:$K$13846)*Assumptions!$C$16/12)</f>
        <v>0</v>
      </c>
    </row>
    <row r="14074" customFormat="false" ht="15" hidden="false" customHeight="false" outlineLevel="0" collapsed="false">
      <c r="A14074" s="3" t="s">
        <v>560</v>
      </c>
      <c r="C14074" s="16" t="n">
        <f aca="false">SUMPRODUCT($G$14058:$K$14058,$G$13867:$K$13867)*(1+SUMPRODUCT($G$14058:$K$14058,$G$13859:$K$13859)*Assumptions!$C$16/12)</f>
        <v>454.44375</v>
      </c>
    </row>
    <row r="14075" customFormat="false" ht="15" hidden="false" customHeight="false" outlineLevel="0" collapsed="false">
      <c r="A14075" s="3" t="s">
        <v>561</v>
      </c>
      <c r="C14075" s="16" t="n">
        <f aca="false">SUMPRODUCT($G$14058:$K$14058,$G$13880:$K$13880)*(1+SUMPRODUCT($G$14058:$K$14058,$G$13872:$K$13872)*Assumptions!$C$16/12)</f>
        <v>357.2625</v>
      </c>
    </row>
    <row r="14076" customFormat="false" ht="15" hidden="false" customHeight="false" outlineLevel="0" collapsed="false">
      <c r="A14076" s="3" t="s">
        <v>562</v>
      </c>
      <c r="C14076" s="16" t="n">
        <f aca="false">SUMPRODUCT($G$14058:$K$14058,$G$13893:$K$13893)*(1+SUMPRODUCT($G$14058:$K$14058,$G$13885:$K$13885)*Assumptions!$C$16/12)</f>
        <v>562.203125</v>
      </c>
    </row>
    <row r="14077" customFormat="false" ht="15" hidden="false" customHeight="false" outlineLevel="0" collapsed="false">
      <c r="A14077" s="3" t="s">
        <v>563</v>
      </c>
      <c r="C14077" s="16" t="n">
        <f aca="false">SUMPRODUCT($G$14058:$K$14058,$G$13906:$K$13906)*(1+SUMPRODUCT($G$14058:$K$14058,$G$13898:$K$13898)*Assumptions!$C$16/12)</f>
        <v>353.98125</v>
      </c>
    </row>
    <row r="14078" customFormat="false" ht="15" hidden="false" customHeight="false" outlineLevel="0" collapsed="false">
      <c r="A14078" s="3" t="s">
        <v>564</v>
      </c>
      <c r="C14078" s="16" t="n">
        <f aca="false">SUMPRODUCT($G$14058:$K$14058,$G$13919:$K$13919)*(1+SUMPRODUCT($G$14058:$K$14058,$G$13911:$K$13911)*Assumptions!$C$16/12)</f>
        <v>304.59375</v>
      </c>
    </row>
    <row r="14079" customFormat="false" ht="15" hidden="false" customHeight="false" outlineLevel="0" collapsed="false">
      <c r="A14079" s="3" t="s">
        <v>565</v>
      </c>
      <c r="C14079" s="16" t="n">
        <f aca="false">SUMPRODUCT($G$14058:$K$14058,$G$13932:$K$13932)*(1+SUMPRODUCT($G$14058:$K$14058,$G$13924:$K$13924)*Assumptions!$C$16/12)</f>
        <v>79.67320025</v>
      </c>
    </row>
    <row r="14080" customFormat="false" ht="15" hidden="false" customHeight="false" outlineLevel="0" collapsed="false">
      <c r="A14080" s="24" t="s">
        <v>566</v>
      </c>
      <c r="B14080" s="25"/>
      <c r="C14080" s="25"/>
      <c r="D14080" s="25"/>
      <c r="E14080" s="25"/>
      <c r="F14080" s="25"/>
      <c r="G14080" s="25"/>
      <c r="H14080" s="25"/>
      <c r="I14080" s="25"/>
      <c r="J14080" s="25"/>
      <c r="K14080" s="25"/>
    </row>
    <row r="14081" customFormat="false" ht="15" hidden="false" customHeight="false" outlineLevel="0" collapsed="false">
      <c r="A14081" s="3" t="s">
        <v>556</v>
      </c>
      <c r="C14081" s="27" t="n">
        <f aca="false">Assumptions!$M$57</f>
        <v>1</v>
      </c>
    </row>
    <row r="14082" customFormat="false" ht="15" hidden="false" customHeight="false" outlineLevel="0" collapsed="false">
      <c r="A14082" s="3" t="s">
        <v>557</v>
      </c>
      <c r="C14082" s="27" t="n">
        <f aca="false">Assumptions!$M$58</f>
        <v>1</v>
      </c>
    </row>
    <row r="14083" customFormat="false" ht="15" hidden="false" customHeight="false" outlineLevel="0" collapsed="false">
      <c r="A14083" s="3" t="s">
        <v>558</v>
      </c>
      <c r="C14083" s="27" t="n">
        <f aca="false">Assumptions!$M$59</f>
        <v>1</v>
      </c>
    </row>
    <row r="14084" customFormat="false" ht="15" hidden="false" customHeight="false" outlineLevel="0" collapsed="false">
      <c r="A14084" s="3" t="s">
        <v>559</v>
      </c>
      <c r="C14084" s="27" t="n">
        <f aca="false">Assumptions!$M$60</f>
        <v>2</v>
      </c>
    </row>
    <row r="14085" customFormat="false" ht="15" hidden="false" customHeight="false" outlineLevel="0" collapsed="false">
      <c r="A14085" s="3" t="s">
        <v>560</v>
      </c>
      <c r="C14085" s="27" t="n">
        <f aca="false">Assumptions!$M$61</f>
        <v>2</v>
      </c>
    </row>
    <row r="14086" customFormat="false" ht="15" hidden="false" customHeight="false" outlineLevel="0" collapsed="false">
      <c r="A14086" s="3" t="s">
        <v>561</v>
      </c>
      <c r="C14086" s="27" t="n">
        <f aca="false">Assumptions!$M$62</f>
        <v>2</v>
      </c>
    </row>
    <row r="14087" customFormat="false" ht="15" hidden="false" customHeight="false" outlineLevel="0" collapsed="false">
      <c r="A14087" s="3" t="s">
        <v>562</v>
      </c>
      <c r="C14087" s="27" t="n">
        <f aca="false">Assumptions!$M$63</f>
        <v>2</v>
      </c>
    </row>
    <row r="14088" customFormat="false" ht="15" hidden="false" customHeight="false" outlineLevel="0" collapsed="false">
      <c r="A14088" s="3" t="s">
        <v>563</v>
      </c>
      <c r="C14088" s="27" t="n">
        <f aca="false">Assumptions!$M$64</f>
        <v>2</v>
      </c>
    </row>
    <row r="14089" customFormat="false" ht="15" hidden="false" customHeight="false" outlineLevel="0" collapsed="false">
      <c r="A14089" s="3" t="s">
        <v>564</v>
      </c>
      <c r="C14089" s="27" t="n">
        <f aca="false">Assumptions!$M$65</f>
        <v>2</v>
      </c>
    </row>
    <row r="14090" customFormat="false" ht="15" hidden="false" customHeight="false" outlineLevel="0" collapsed="false">
      <c r="A14090" s="3" t="s">
        <v>565</v>
      </c>
      <c r="C14090" s="27" t="n">
        <f aca="false">Assumptions!$M$66</f>
        <v>3</v>
      </c>
    </row>
    <row r="14091" customFormat="false" ht="15" hidden="false" customHeight="false" outlineLevel="0" collapsed="false">
      <c r="A14091" s="24" t="s">
        <v>567</v>
      </c>
      <c r="B14091" s="25"/>
      <c r="C14091" s="25"/>
      <c r="D14091" s="25"/>
      <c r="E14091" s="25"/>
      <c r="F14091" s="25"/>
      <c r="G14091" s="25"/>
      <c r="H14091" s="25"/>
      <c r="I14091" s="25"/>
      <c r="J14091" s="25"/>
      <c r="K14091" s="25"/>
    </row>
    <row r="14092" customFormat="false" ht="15" hidden="false" customHeight="false" outlineLevel="0" collapsed="false">
      <c r="A14092" s="3" t="s">
        <v>556</v>
      </c>
      <c r="C14092" s="33" t="n">
        <f aca="false">Assumptions!$Q$57</f>
        <v>0.3</v>
      </c>
    </row>
    <row r="14093" customFormat="false" ht="15" hidden="false" customHeight="false" outlineLevel="0" collapsed="false">
      <c r="A14093" s="3" t="s">
        <v>557</v>
      </c>
      <c r="C14093" s="33" t="n">
        <f aca="false">Assumptions!$Q$58</f>
        <v>0.033</v>
      </c>
    </row>
    <row r="14094" customFormat="false" ht="15" hidden="false" customHeight="false" outlineLevel="0" collapsed="false">
      <c r="A14094" s="3" t="s">
        <v>558</v>
      </c>
      <c r="C14094" s="33" t="n">
        <f aca="false">Assumptions!$Q$59</f>
        <v>0.021</v>
      </c>
    </row>
    <row r="14095" customFormat="false" ht="15" hidden="false" customHeight="false" outlineLevel="0" collapsed="false">
      <c r="A14095" s="3" t="s">
        <v>559</v>
      </c>
      <c r="C14095" s="33" t="n">
        <f aca="false">Assumptions!$Q$60</f>
        <v>0</v>
      </c>
    </row>
    <row r="14096" customFormat="false" ht="15" hidden="false" customHeight="false" outlineLevel="0" collapsed="false">
      <c r="A14096" s="3" t="s">
        <v>560</v>
      </c>
      <c r="C14096" s="33" t="n">
        <f aca="false">Assumptions!$Q$61</f>
        <v>0</v>
      </c>
    </row>
    <row r="14097" customFormat="false" ht="15" hidden="false" customHeight="false" outlineLevel="0" collapsed="false">
      <c r="A14097" s="3" t="s">
        <v>561</v>
      </c>
      <c r="C14097" s="33" t="n">
        <f aca="false">Assumptions!$Q$62</f>
        <v>0</v>
      </c>
    </row>
    <row r="14098" customFormat="false" ht="15" hidden="false" customHeight="false" outlineLevel="0" collapsed="false">
      <c r="A14098" s="3" t="s">
        <v>562</v>
      </c>
      <c r="C14098" s="33" t="n">
        <f aca="false">Assumptions!$Q$63</f>
        <v>0</v>
      </c>
    </row>
    <row r="14099" customFormat="false" ht="15" hidden="false" customHeight="false" outlineLevel="0" collapsed="false">
      <c r="A14099" s="3" t="s">
        <v>563</v>
      </c>
      <c r="C14099" s="33" t="n">
        <f aca="false">Assumptions!$Q$64</f>
        <v>0</v>
      </c>
    </row>
    <row r="14100" customFormat="false" ht="15" hidden="false" customHeight="false" outlineLevel="0" collapsed="false">
      <c r="A14100" s="3" t="s">
        <v>564</v>
      </c>
      <c r="C14100" s="33" t="n">
        <f aca="false">Assumptions!$Q$65</f>
        <v>0</v>
      </c>
    </row>
    <row r="14101" customFormat="false" ht="15" hidden="false" customHeight="false" outlineLevel="0" collapsed="false">
      <c r="A14101" s="3" t="s">
        <v>565</v>
      </c>
      <c r="C14101" s="33" t="n">
        <f aca="false">Assumptions!$Q$66</f>
        <v>0</v>
      </c>
    </row>
    <row r="14102" customFormat="false" ht="15" hidden="false" customHeight="false" outlineLevel="0" collapsed="false">
      <c r="A14102" s="24" t="s">
        <v>568</v>
      </c>
      <c r="B14102" s="25"/>
      <c r="C14102" s="25"/>
      <c r="D14102" s="25"/>
      <c r="E14102" s="25"/>
      <c r="F14102" s="25"/>
      <c r="G14102" s="25"/>
      <c r="H14102" s="25"/>
      <c r="I14102" s="25"/>
      <c r="J14102" s="25"/>
      <c r="K14102" s="25"/>
    </row>
    <row r="14103" customFormat="false" ht="15" hidden="false" customHeight="false" outlineLevel="0" collapsed="false">
      <c r="A14103" s="3" t="s">
        <v>556</v>
      </c>
      <c r="C14103" s="16" t="n">
        <f aca="false">IF(C14092&gt;0,MIN(C14070,C14092*$C$14068),0)</f>
        <v>405.0585</v>
      </c>
    </row>
    <row r="14104" customFormat="false" ht="15" hidden="false" customHeight="false" outlineLevel="0" collapsed="false">
      <c r="A14104" s="3" t="s">
        <v>557</v>
      </c>
      <c r="C14104" s="16" t="n">
        <f aca="false">IF(C14093&gt;0,MIN(C14071,C14093*$C$14068),0)</f>
        <v>91.30725</v>
      </c>
    </row>
    <row r="14105" customFormat="false" ht="15" hidden="false" customHeight="false" outlineLevel="0" collapsed="false">
      <c r="A14105" s="3" t="s">
        <v>558</v>
      </c>
      <c r="C14105" s="16" t="n">
        <f aca="false">IF(C14094&gt;0,MIN(C14072,C14094*$C$14068),0)</f>
        <v>58.3715961</v>
      </c>
    </row>
    <row r="14106" customFormat="false" ht="15" hidden="false" customHeight="false" outlineLevel="0" collapsed="false">
      <c r="A14106" s="3" t="s">
        <v>559</v>
      </c>
      <c r="C14106" s="16" t="n">
        <f aca="false">IF(C14095&gt;0,MIN(C14073,C14095*$C$14068),0)</f>
        <v>0</v>
      </c>
    </row>
    <row r="14107" customFormat="false" ht="15" hidden="false" customHeight="false" outlineLevel="0" collapsed="false">
      <c r="A14107" s="3" t="s">
        <v>560</v>
      </c>
      <c r="C14107" s="16" t="n">
        <f aca="false">IF(C14096&gt;0,MIN(C14074,C14096*$C$14068),0)</f>
        <v>0</v>
      </c>
    </row>
    <row r="14108" customFormat="false" ht="15" hidden="false" customHeight="false" outlineLevel="0" collapsed="false">
      <c r="A14108" s="3" t="s">
        <v>561</v>
      </c>
      <c r="C14108" s="16" t="n">
        <f aca="false">IF(C14097&gt;0,MIN(C14075,C14097*$C$14068),0)</f>
        <v>0</v>
      </c>
    </row>
    <row r="14109" customFormat="false" ht="15" hidden="false" customHeight="false" outlineLevel="0" collapsed="false">
      <c r="A14109" s="3" t="s">
        <v>562</v>
      </c>
      <c r="C14109" s="16" t="n">
        <f aca="false">IF(C14098&gt;0,MIN(C14076,C14098*$C$14068),0)</f>
        <v>0</v>
      </c>
    </row>
    <row r="14110" customFormat="false" ht="15" hidden="false" customHeight="false" outlineLevel="0" collapsed="false">
      <c r="A14110" s="3" t="s">
        <v>563</v>
      </c>
      <c r="C14110" s="16" t="n">
        <f aca="false">IF(C14099&gt;0,MIN(C14077,C14099*$C$14068),0)</f>
        <v>0</v>
      </c>
    </row>
    <row r="14111" customFormat="false" ht="15" hidden="false" customHeight="false" outlineLevel="0" collapsed="false">
      <c r="A14111" s="3" t="s">
        <v>564</v>
      </c>
      <c r="C14111" s="16" t="n">
        <f aca="false">IF(C14100&gt;0,MIN(C14078,C14100*$C$14068),0)</f>
        <v>0</v>
      </c>
    </row>
    <row r="14112" customFormat="false" ht="15" hidden="false" customHeight="false" outlineLevel="0" collapsed="false">
      <c r="A14112" s="3" t="s">
        <v>565</v>
      </c>
      <c r="C14112" s="16" t="n">
        <f aca="false">IF(C14101&gt;0,MIN(C14079,C14101*$C$14068),0)</f>
        <v>0</v>
      </c>
    </row>
    <row r="14113" customFormat="false" ht="15" hidden="false" customHeight="false" outlineLevel="0" collapsed="false">
      <c r="A14113" s="24" t="s">
        <v>569</v>
      </c>
      <c r="B14113" s="25"/>
      <c r="C14113" s="25"/>
      <c r="D14113" s="25"/>
      <c r="E14113" s="25"/>
      <c r="F14113" s="25"/>
      <c r="G14113" s="25"/>
      <c r="H14113" s="25"/>
      <c r="I14113" s="25"/>
      <c r="J14113" s="25"/>
      <c r="K14113" s="25"/>
    </row>
    <row r="14114" customFormat="false" ht="15" hidden="false" customHeight="false" outlineLevel="0" collapsed="false">
      <c r="A14114" s="3" t="s">
        <v>556</v>
      </c>
      <c r="C14114" s="16" t="n">
        <f aca="false">IF(C14092&gt;0,C14070-C14103,0)</f>
        <v>0</v>
      </c>
      <c r="G14114" s="21" t="n">
        <f aca="false">IF(AND(G13805=1,G13802=1),1,0)</f>
        <v>0</v>
      </c>
      <c r="H14114" s="21" t="n">
        <f aca="false">IF(G14114=1,1,IF(AND(H13805=1,H13802=1),1,0))</f>
        <v>0</v>
      </c>
      <c r="I14114" s="21" t="n">
        <f aca="false">IF(H14114=1,1,IF(AND(I13805=1,I13802=1),1,0))</f>
        <v>0</v>
      </c>
      <c r="J14114" s="21" t="n">
        <f aca="false">IF(I14114=1,1,IF(AND(J13805=1,J13802=1),1,0))</f>
        <v>0</v>
      </c>
      <c r="K14114" s="21" t="n">
        <f aca="false">IF(J14114=1,1,IF(AND(K13805=1,K13802=1),1,0))</f>
        <v>1</v>
      </c>
    </row>
    <row r="14115" customFormat="false" ht="15" hidden="false" customHeight="false" outlineLevel="0" collapsed="false">
      <c r="A14115" s="3" t="s">
        <v>557</v>
      </c>
      <c r="C14115" s="16" t="n">
        <f aca="false">IF(C14093&gt;0,C14071-C14104,0)</f>
        <v>0</v>
      </c>
      <c r="G14115" s="21" t="n">
        <f aca="false">IF(AND(G13818=1,G13802=1),1,0)</f>
        <v>0</v>
      </c>
      <c r="H14115" s="21" t="n">
        <f aca="false">IF(G14115=1,1,IF(AND(H13818=1,H13802=1),1,0))</f>
        <v>0</v>
      </c>
      <c r="I14115" s="21" t="n">
        <f aca="false">IF(H14115=1,1,IF(AND(I13818=1,I13802=1),1,0))</f>
        <v>0</v>
      </c>
      <c r="J14115" s="21" t="n">
        <f aca="false">IF(I14115=1,1,IF(AND(J13818=1,J13802=1),1,0))</f>
        <v>0</v>
      </c>
      <c r="K14115" s="21" t="n">
        <f aca="false">IF(J14115=1,1,IF(AND(K13818=1,K13802=1),1,0))</f>
        <v>0</v>
      </c>
    </row>
    <row r="14116" customFormat="false" ht="15" hidden="false" customHeight="false" outlineLevel="0" collapsed="false">
      <c r="A14116" s="3" t="s">
        <v>558</v>
      </c>
      <c r="C14116" s="16" t="n">
        <f aca="false">IF(C14094&gt;0,C14072-C14105,0)</f>
        <v>0</v>
      </c>
      <c r="G14116" s="21" t="n">
        <f aca="false">IF(AND(G13831=1,G13802=1),1,0)</f>
        <v>0</v>
      </c>
      <c r="H14116" s="21" t="n">
        <f aca="false">IF(G14116=1,1,IF(AND(H13831=1,H13802=1),1,0))</f>
        <v>0</v>
      </c>
      <c r="I14116" s="21" t="n">
        <f aca="false">IF(H14116=1,1,IF(AND(I13831=1,I13802=1),1,0))</f>
        <v>0</v>
      </c>
      <c r="J14116" s="21" t="n">
        <f aca="false">IF(I14116=1,1,IF(AND(J13831=1,J13802=1),1,0))</f>
        <v>0</v>
      </c>
      <c r="K14116" s="21" t="n">
        <f aca="false">IF(J14116=1,1,IF(AND(K13831=1,K13802=1),1,0))</f>
        <v>0</v>
      </c>
    </row>
    <row r="14117" customFormat="false" ht="15" hidden="false" customHeight="false" outlineLevel="0" collapsed="false">
      <c r="A14117" s="3" t="s">
        <v>559</v>
      </c>
      <c r="C14117" s="16" t="n">
        <f aca="false">IF(C14095&gt;0,C14073-C14106,0)</f>
        <v>0</v>
      </c>
      <c r="G14117" s="21" t="n">
        <f aca="false">IF(AND(G13844=1,G13802=1),1,0)</f>
        <v>1</v>
      </c>
      <c r="H14117" s="21" t="n">
        <f aca="false">IF(G14117=1,1,IF(AND(H13844=1,H13802=1),1,0))</f>
        <v>1</v>
      </c>
      <c r="I14117" s="21" t="n">
        <f aca="false">IF(H14117=1,1,IF(AND(I13844=1,I13802=1),1,0))</f>
        <v>1</v>
      </c>
      <c r="J14117" s="21" t="n">
        <f aca="false">IF(I14117=1,1,IF(AND(J13844=1,J13802=1),1,0))</f>
        <v>1</v>
      </c>
      <c r="K14117" s="21" t="n">
        <f aca="false">IF(J14117=1,1,IF(AND(K13844=1,K13802=1),1,0))</f>
        <v>1</v>
      </c>
    </row>
    <row r="14118" customFormat="false" ht="15" hidden="false" customHeight="false" outlineLevel="0" collapsed="false">
      <c r="A14118" s="3" t="s">
        <v>560</v>
      </c>
      <c r="C14118" s="16" t="n">
        <f aca="false">IF(C14096&gt;0,C14074-C14107,0)</f>
        <v>0</v>
      </c>
      <c r="G14118" s="21" t="n">
        <f aca="false">IF(AND(G13857=1,G13802=1),1,0)</f>
        <v>0</v>
      </c>
      <c r="H14118" s="21" t="n">
        <f aca="false">IF(G14118=1,1,IF(AND(H13857=1,H13802=1),1,0))</f>
        <v>1</v>
      </c>
      <c r="I14118" s="21" t="n">
        <f aca="false">IF(H14118=1,1,IF(AND(I13857=1,I13802=1),1,0))</f>
        <v>1</v>
      </c>
      <c r="J14118" s="21" t="n">
        <f aca="false">IF(I14118=1,1,IF(AND(J13857=1,J13802=1),1,0))</f>
        <v>1</v>
      </c>
      <c r="K14118" s="21" t="n">
        <f aca="false">IF(J14118=1,1,IF(AND(K13857=1,K13802=1),1,0))</f>
        <v>1</v>
      </c>
    </row>
    <row r="14119" customFormat="false" ht="15" hidden="false" customHeight="false" outlineLevel="0" collapsed="false">
      <c r="A14119" s="3" t="s">
        <v>561</v>
      </c>
      <c r="C14119" s="16" t="n">
        <f aca="false">IF(C14097&gt;0,C14075-C14108,0)</f>
        <v>0</v>
      </c>
      <c r="G14119" s="21" t="n">
        <f aca="false">IF(AND(G13870=1,G13802=1),1,0)</f>
        <v>0</v>
      </c>
      <c r="H14119" s="21" t="n">
        <f aca="false">IF(G14119=1,1,IF(AND(H13870=1,H13802=1),1,0))</f>
        <v>1</v>
      </c>
      <c r="I14119" s="21" t="n">
        <f aca="false">IF(H14119=1,1,IF(AND(I13870=1,I13802=1),1,0))</f>
        <v>1</v>
      </c>
      <c r="J14119" s="21" t="n">
        <f aca="false">IF(I14119=1,1,IF(AND(J13870=1,J13802=1),1,0))</f>
        <v>1</v>
      </c>
      <c r="K14119" s="21" t="n">
        <f aca="false">IF(J14119=1,1,IF(AND(K13870=1,K13802=1),1,0))</f>
        <v>1</v>
      </c>
    </row>
    <row r="14120" customFormat="false" ht="15" hidden="false" customHeight="false" outlineLevel="0" collapsed="false">
      <c r="A14120" s="3" t="s">
        <v>562</v>
      </c>
      <c r="C14120" s="16" t="n">
        <f aca="false">IF(C14098&gt;0,C14076-C14109,0)</f>
        <v>0</v>
      </c>
      <c r="G14120" s="21" t="n">
        <f aca="false">IF(AND(G13883=1,G13802=1),1,0)</f>
        <v>0</v>
      </c>
      <c r="H14120" s="21" t="n">
        <f aca="false">IF(G14120=1,1,IF(AND(H13883=1,H13802=1),1,0))</f>
        <v>0</v>
      </c>
      <c r="I14120" s="21" t="n">
        <f aca="false">IF(H14120=1,1,IF(AND(I13883=1,I13802=1),1,0))</f>
        <v>1</v>
      </c>
      <c r="J14120" s="21" t="n">
        <f aca="false">IF(I14120=1,1,IF(AND(J13883=1,J13802=1),1,0))</f>
        <v>1</v>
      </c>
      <c r="K14120" s="21" t="n">
        <f aca="false">IF(J14120=1,1,IF(AND(K13883=1,K13802=1),1,0))</f>
        <v>1</v>
      </c>
    </row>
    <row r="14121" customFormat="false" ht="15" hidden="false" customHeight="false" outlineLevel="0" collapsed="false">
      <c r="A14121" s="3" t="s">
        <v>563</v>
      </c>
      <c r="C14121" s="16" t="n">
        <f aca="false">IF(C14099&gt;0,C14077-C14110,0)</f>
        <v>0</v>
      </c>
      <c r="G14121" s="21" t="n">
        <f aca="false">IF(AND(G13896=1,G13802=1),1,0)</f>
        <v>0</v>
      </c>
      <c r="H14121" s="21" t="n">
        <f aca="false">IF(G14121=1,1,IF(AND(H13896=1,H13802=1),1,0))</f>
        <v>0</v>
      </c>
      <c r="I14121" s="21" t="n">
        <f aca="false">IF(H14121=1,1,IF(AND(I13896=1,I13802=1),1,0))</f>
        <v>0</v>
      </c>
      <c r="J14121" s="21" t="n">
        <f aca="false">IF(I14121=1,1,IF(AND(J13896=1,J13802=1),1,0))</f>
        <v>1</v>
      </c>
      <c r="K14121" s="21" t="n">
        <f aca="false">IF(J14121=1,1,IF(AND(K13896=1,K13802=1),1,0))</f>
        <v>1</v>
      </c>
    </row>
    <row r="14122" customFormat="false" ht="15" hidden="false" customHeight="false" outlineLevel="0" collapsed="false">
      <c r="A14122" s="3" t="s">
        <v>564</v>
      </c>
      <c r="C14122" s="16" t="n">
        <f aca="false">IF(C14100&gt;0,C14078-C14111,0)</f>
        <v>0</v>
      </c>
      <c r="G14122" s="21" t="n">
        <f aca="false">IF(AND(G13909=1,G13802=1),1,0)</f>
        <v>0</v>
      </c>
      <c r="H14122" s="21" t="n">
        <f aca="false">IF(G14122=1,1,IF(AND(H13909=1,H13802=1),1,0))</f>
        <v>0</v>
      </c>
      <c r="I14122" s="21" t="n">
        <f aca="false">IF(H14122=1,1,IF(AND(I13909=1,I13802=1),1,0))</f>
        <v>0</v>
      </c>
      <c r="J14122" s="21" t="n">
        <f aca="false">IF(I14122=1,1,IF(AND(J13909=1,J13802=1),1,0))</f>
        <v>0</v>
      </c>
      <c r="K14122" s="21" t="n">
        <f aca="false">IF(J14122=1,1,IF(AND(K13909=1,K13802=1),1,0))</f>
        <v>1</v>
      </c>
    </row>
    <row r="14123" customFormat="false" ht="15" hidden="false" customHeight="false" outlineLevel="0" collapsed="false">
      <c r="A14123" s="3" t="s">
        <v>565</v>
      </c>
      <c r="C14123" s="16" t="n">
        <f aca="false">IF(C14101&gt;0,C14079-C14112,0)</f>
        <v>0</v>
      </c>
      <c r="G14123" s="21" t="n">
        <f aca="false">IF(AND(G13922=1,G13802=1),1,0)</f>
        <v>0</v>
      </c>
      <c r="H14123" s="21" t="n">
        <f aca="false">IF(G14123=1,1,IF(AND(H13922=1,H13802=1),1,0))</f>
        <v>0</v>
      </c>
      <c r="I14123" s="21" t="n">
        <f aca="false">IF(H14123=1,1,IF(AND(I13922=1,I13802=1),1,0))</f>
        <v>0</v>
      </c>
      <c r="J14123" s="21" t="n">
        <f aca="false">IF(I14123=1,1,IF(AND(J13922=1,J13802=1),1,0))</f>
        <v>0</v>
      </c>
      <c r="K14123" s="21" t="n">
        <f aca="false">IF(J14123=1,1,IF(AND(K13922=1,K13802=1),1,0))</f>
        <v>0</v>
      </c>
    </row>
    <row r="14124" customFormat="false" ht="15" hidden="false" customHeight="false" outlineLevel="0" collapsed="false">
      <c r="A14124" s="24" t="s">
        <v>570</v>
      </c>
      <c r="B14124" s="25"/>
      <c r="C14124" s="25"/>
      <c r="D14124" s="25"/>
      <c r="E14124" s="25"/>
      <c r="F14124" s="25"/>
      <c r="G14124" s="25"/>
      <c r="H14124" s="25"/>
      <c r="I14124" s="25"/>
      <c r="J14124" s="25"/>
      <c r="K14124" s="25"/>
    </row>
    <row r="14125" customFormat="false" ht="15" hidden="false" customHeight="false" outlineLevel="0" collapsed="false">
      <c r="A14125" s="3" t="s">
        <v>556</v>
      </c>
      <c r="C14125" s="16" t="n">
        <f aca="false">IF(C14092&gt;0,C14114,C14070)</f>
        <v>0</v>
      </c>
    </row>
    <row r="14126" customFormat="false" ht="15" hidden="false" customHeight="false" outlineLevel="0" collapsed="false">
      <c r="A14126" s="3" t="s">
        <v>557</v>
      </c>
      <c r="C14126" s="16" t="n">
        <f aca="false">IF(C14093&gt;0,C14115,C14071)</f>
        <v>0</v>
      </c>
    </row>
    <row r="14127" customFormat="false" ht="15" hidden="false" customHeight="false" outlineLevel="0" collapsed="false">
      <c r="A14127" s="3" t="s">
        <v>558</v>
      </c>
      <c r="C14127" s="16" t="n">
        <f aca="false">IF(C14094&gt;0,C14116,C14072)</f>
        <v>0</v>
      </c>
    </row>
    <row r="14128" customFormat="false" ht="15" hidden="false" customHeight="false" outlineLevel="0" collapsed="false">
      <c r="A14128" s="3" t="s">
        <v>559</v>
      </c>
      <c r="C14128" s="16" t="n">
        <f aca="false">IF(C14095&gt;0,C14117,C14073)</f>
        <v>0</v>
      </c>
    </row>
    <row r="14129" customFormat="false" ht="15" hidden="false" customHeight="false" outlineLevel="0" collapsed="false">
      <c r="A14129" s="3" t="s">
        <v>560</v>
      </c>
      <c r="C14129" s="16" t="n">
        <f aca="false">IF(C14096&gt;0,C14118,C14074)</f>
        <v>454.44375</v>
      </c>
    </row>
    <row r="14130" customFormat="false" ht="15" hidden="false" customHeight="false" outlineLevel="0" collapsed="false">
      <c r="A14130" s="3" t="s">
        <v>561</v>
      </c>
      <c r="C14130" s="16" t="n">
        <f aca="false">IF(C14097&gt;0,C14119,C14075)</f>
        <v>357.2625</v>
      </c>
    </row>
    <row r="14131" customFormat="false" ht="15" hidden="false" customHeight="false" outlineLevel="0" collapsed="false">
      <c r="A14131" s="3" t="s">
        <v>562</v>
      </c>
      <c r="C14131" s="16" t="n">
        <f aca="false">IF(C14098&gt;0,C14120,C14076)</f>
        <v>562.203125</v>
      </c>
    </row>
    <row r="14132" customFormat="false" ht="15" hidden="false" customHeight="false" outlineLevel="0" collapsed="false">
      <c r="A14132" s="3" t="s">
        <v>563</v>
      </c>
      <c r="C14132" s="16" t="n">
        <f aca="false">IF(C14099&gt;0,C14121,C14077)</f>
        <v>353.98125</v>
      </c>
    </row>
    <row r="14133" customFormat="false" ht="15" hidden="false" customHeight="false" outlineLevel="0" collapsed="false">
      <c r="A14133" s="3" t="s">
        <v>564</v>
      </c>
      <c r="C14133" s="16" t="n">
        <f aca="false">IF(C14100&gt;0,C14122,C14078)</f>
        <v>304.59375</v>
      </c>
    </row>
    <row r="14134" customFormat="false" ht="15" hidden="false" customHeight="false" outlineLevel="0" collapsed="false">
      <c r="A14134" s="3" t="s">
        <v>565</v>
      </c>
      <c r="C14134" s="16" t="n">
        <f aca="false">IF(C14101&gt;0,C14123,C14079)</f>
        <v>79.67320025</v>
      </c>
    </row>
    <row r="14135" customFormat="false" ht="15" hidden="false" customHeight="false" outlineLevel="0" collapsed="false">
      <c r="A14135" s="24" t="s">
        <v>571</v>
      </c>
      <c r="B14135" s="25"/>
      <c r="C14135" s="25"/>
      <c r="D14135" s="25"/>
      <c r="E14135" s="25"/>
      <c r="F14135" s="25"/>
      <c r="G14135" s="25"/>
      <c r="H14135" s="25"/>
      <c r="I14135" s="25"/>
      <c r="J14135" s="25"/>
      <c r="K14135" s="25"/>
    </row>
    <row r="14136" customFormat="false" ht="15" hidden="false" customHeight="false" outlineLevel="0" collapsed="false">
      <c r="A14136" s="3" t="s">
        <v>556</v>
      </c>
      <c r="C14136" s="21" t="n">
        <f aca="false">IF(C14092&gt;0,Assumptions!$C$17,C14081)</f>
        <v>99</v>
      </c>
    </row>
    <row r="14137" customFormat="false" ht="15" hidden="false" customHeight="false" outlineLevel="0" collapsed="false">
      <c r="A14137" s="3" t="s">
        <v>557</v>
      </c>
      <c r="C14137" s="21" t="n">
        <f aca="false">IF(C14093&gt;0,Assumptions!$C$17,C14082)</f>
        <v>99</v>
      </c>
    </row>
    <row r="14138" customFormat="false" ht="15" hidden="false" customHeight="false" outlineLevel="0" collapsed="false">
      <c r="A14138" s="3" t="s">
        <v>558</v>
      </c>
      <c r="C14138" s="21" t="n">
        <f aca="false">IF(C14094&gt;0,Assumptions!$C$17,C14083)</f>
        <v>99</v>
      </c>
    </row>
    <row r="14139" customFormat="false" ht="15" hidden="false" customHeight="false" outlineLevel="0" collapsed="false">
      <c r="A14139" s="3" t="s">
        <v>559</v>
      </c>
      <c r="C14139" s="21" t="n">
        <f aca="false">IF(C14095&gt;0,Assumptions!$C$17,C14084)</f>
        <v>2</v>
      </c>
    </row>
    <row r="14140" customFormat="false" ht="15" hidden="false" customHeight="false" outlineLevel="0" collapsed="false">
      <c r="A14140" s="3" t="s">
        <v>560</v>
      </c>
      <c r="C14140" s="21" t="n">
        <f aca="false">IF(C14096&gt;0,Assumptions!$C$17,C14085)</f>
        <v>2</v>
      </c>
    </row>
    <row r="14141" customFormat="false" ht="15" hidden="false" customHeight="false" outlineLevel="0" collapsed="false">
      <c r="A14141" s="3" t="s">
        <v>561</v>
      </c>
      <c r="C14141" s="21" t="n">
        <f aca="false">IF(C14097&gt;0,Assumptions!$C$17,C14086)</f>
        <v>2</v>
      </c>
    </row>
    <row r="14142" customFormat="false" ht="15" hidden="false" customHeight="false" outlineLevel="0" collapsed="false">
      <c r="A14142" s="3" t="s">
        <v>562</v>
      </c>
      <c r="C14142" s="21" t="n">
        <f aca="false">IF(C14098&gt;0,Assumptions!$C$17,C14087)</f>
        <v>2</v>
      </c>
    </row>
    <row r="14143" customFormat="false" ht="15" hidden="false" customHeight="false" outlineLevel="0" collapsed="false">
      <c r="A14143" s="3" t="s">
        <v>563</v>
      </c>
      <c r="C14143" s="21" t="n">
        <f aca="false">IF(C14099&gt;0,Assumptions!$C$17,C14088)</f>
        <v>2</v>
      </c>
    </row>
    <row r="14144" customFormat="false" ht="15" hidden="false" customHeight="false" outlineLevel="0" collapsed="false">
      <c r="A14144" s="3" t="s">
        <v>564</v>
      </c>
      <c r="C14144" s="21" t="n">
        <f aca="false">IF(C14100&gt;0,Assumptions!$C$17,C14089)</f>
        <v>2</v>
      </c>
    </row>
    <row r="14145" customFormat="false" ht="15" hidden="false" customHeight="false" outlineLevel="0" collapsed="false">
      <c r="A14145" s="3" t="s">
        <v>565</v>
      </c>
      <c r="C14145" s="21" t="n">
        <f aca="false">IF(C14101&gt;0,Assumptions!$C$17,C14090)</f>
        <v>3</v>
      </c>
    </row>
    <row r="14146" customFormat="false" ht="15" hidden="false" customHeight="false" outlineLevel="0" collapsed="false">
      <c r="A14146" s="24" t="s">
        <v>572</v>
      </c>
      <c r="B14146" s="25"/>
      <c r="C14146" s="25"/>
      <c r="D14146" s="25"/>
      <c r="E14146" s="25"/>
      <c r="F14146" s="25"/>
      <c r="G14146" s="25"/>
      <c r="H14146" s="25"/>
      <c r="I14146" s="25"/>
      <c r="J14146" s="25"/>
      <c r="K14146" s="25"/>
    </row>
    <row r="14147" customFormat="false" ht="15" hidden="false" customHeight="false" outlineLevel="0" collapsed="false">
      <c r="A14147" s="3" t="s">
        <v>556</v>
      </c>
      <c r="C14147" s="16" t="n">
        <f aca="false">SUMPRODUCT(($C$14136:$C$14145&lt;C14136)*$C$14125:$C$14134)</f>
        <v>2112.15757525</v>
      </c>
    </row>
    <row r="14148" customFormat="false" ht="15" hidden="false" customHeight="false" outlineLevel="0" collapsed="false">
      <c r="A14148" s="3" t="s">
        <v>557</v>
      </c>
      <c r="C14148" s="16" t="n">
        <f aca="false">SUMPRODUCT(($C$14136:$C$14145&lt;C14137)*$C$14125:$C$14134)</f>
        <v>2112.15757525</v>
      </c>
    </row>
    <row r="14149" customFormat="false" ht="15" hidden="false" customHeight="false" outlineLevel="0" collapsed="false">
      <c r="A14149" s="3" t="s">
        <v>558</v>
      </c>
      <c r="C14149" s="16" t="n">
        <f aca="false">SUMPRODUCT(($C$14136:$C$14145&lt;C14138)*$C$14125:$C$14134)</f>
        <v>2112.15757525</v>
      </c>
    </row>
    <row r="14150" customFormat="false" ht="15" hidden="false" customHeight="false" outlineLevel="0" collapsed="false">
      <c r="A14150" s="3" t="s">
        <v>559</v>
      </c>
      <c r="C14150" s="16" t="n">
        <f aca="false">SUMPRODUCT(($C$14136:$C$14145&lt;C14139)*$C$14125:$C$14134)</f>
        <v>0</v>
      </c>
    </row>
    <row r="14151" customFormat="false" ht="15" hidden="false" customHeight="false" outlineLevel="0" collapsed="false">
      <c r="A14151" s="3" t="s">
        <v>560</v>
      </c>
      <c r="C14151" s="16" t="n">
        <f aca="false">SUMPRODUCT(($C$14136:$C$14145&lt;C14140)*$C$14125:$C$14134)</f>
        <v>0</v>
      </c>
    </row>
    <row r="14152" customFormat="false" ht="15" hidden="false" customHeight="false" outlineLevel="0" collapsed="false">
      <c r="A14152" s="3" t="s">
        <v>561</v>
      </c>
      <c r="C14152" s="16" t="n">
        <f aca="false">SUMPRODUCT(($C$14136:$C$14145&lt;C14141)*$C$14125:$C$14134)</f>
        <v>0</v>
      </c>
    </row>
    <row r="14153" customFormat="false" ht="15" hidden="false" customHeight="false" outlineLevel="0" collapsed="false">
      <c r="A14153" s="3" t="s">
        <v>562</v>
      </c>
      <c r="C14153" s="16" t="n">
        <f aca="false">SUMPRODUCT(($C$14136:$C$14145&lt;C14142)*$C$14125:$C$14134)</f>
        <v>0</v>
      </c>
    </row>
    <row r="14154" customFormat="false" ht="15" hidden="false" customHeight="false" outlineLevel="0" collapsed="false">
      <c r="A14154" s="3" t="s">
        <v>563</v>
      </c>
      <c r="C14154" s="16" t="n">
        <f aca="false">SUMPRODUCT(($C$14136:$C$14145&lt;C14143)*$C$14125:$C$14134)</f>
        <v>0</v>
      </c>
    </row>
    <row r="14155" customFormat="false" ht="15" hidden="false" customHeight="false" outlineLevel="0" collapsed="false">
      <c r="A14155" s="3" t="s">
        <v>564</v>
      </c>
      <c r="C14155" s="16" t="n">
        <f aca="false">SUMPRODUCT(($C$14136:$C$14145&lt;C14144)*$C$14125:$C$14134)</f>
        <v>0</v>
      </c>
    </row>
    <row r="14156" customFormat="false" ht="15" hidden="false" customHeight="false" outlineLevel="0" collapsed="false">
      <c r="A14156" s="3" t="s">
        <v>565</v>
      </c>
      <c r="C14156" s="16" t="n">
        <f aca="false">SUMPRODUCT(($C$14136:$C$14145&lt;C14145)*$C$14125:$C$14134)</f>
        <v>2032.484375</v>
      </c>
    </row>
    <row r="14157" customFormat="false" ht="15" hidden="false" customHeight="false" outlineLevel="0" collapsed="false">
      <c r="A14157" s="24" t="s">
        <v>573</v>
      </c>
      <c r="B14157" s="25"/>
      <c r="C14157" s="25"/>
      <c r="D14157" s="25"/>
      <c r="E14157" s="25"/>
      <c r="F14157" s="25"/>
      <c r="G14157" s="25"/>
      <c r="H14157" s="25"/>
      <c r="I14157" s="25"/>
      <c r="J14157" s="25"/>
      <c r="K14157" s="25"/>
    </row>
    <row r="14158" customFormat="false" ht="15" hidden="false" customHeight="false" outlineLevel="0" collapsed="false">
      <c r="A14158" s="3" t="s">
        <v>556</v>
      </c>
      <c r="C14158" s="16" t="n">
        <f aca="false">SUMPRODUCT(($C$14136:$C$14145=C14136)*$C$14125:$C$14134)</f>
        <v>0</v>
      </c>
    </row>
    <row r="14159" customFormat="false" ht="15" hidden="false" customHeight="false" outlineLevel="0" collapsed="false">
      <c r="A14159" s="3" t="s">
        <v>557</v>
      </c>
      <c r="C14159" s="16" t="n">
        <f aca="false">SUMPRODUCT(($C$14136:$C$14145=C14137)*$C$14125:$C$14134)</f>
        <v>0</v>
      </c>
    </row>
    <row r="14160" customFormat="false" ht="15" hidden="false" customHeight="false" outlineLevel="0" collapsed="false">
      <c r="A14160" s="3" t="s">
        <v>558</v>
      </c>
      <c r="C14160" s="16" t="n">
        <f aca="false">SUMPRODUCT(($C$14136:$C$14145=C14138)*$C$14125:$C$14134)</f>
        <v>0</v>
      </c>
    </row>
    <row r="14161" customFormat="false" ht="15" hidden="false" customHeight="false" outlineLevel="0" collapsed="false">
      <c r="A14161" s="3" t="s">
        <v>559</v>
      </c>
      <c r="C14161" s="16" t="n">
        <f aca="false">SUMPRODUCT(($C$14136:$C$14145=C14139)*$C$14125:$C$14134)</f>
        <v>2032.484375</v>
      </c>
    </row>
    <row r="14162" customFormat="false" ht="15" hidden="false" customHeight="false" outlineLevel="0" collapsed="false">
      <c r="A14162" s="3" t="s">
        <v>560</v>
      </c>
      <c r="C14162" s="16" t="n">
        <f aca="false">SUMPRODUCT(($C$14136:$C$14145=C14140)*$C$14125:$C$14134)</f>
        <v>2032.484375</v>
      </c>
    </row>
    <row r="14163" customFormat="false" ht="15" hidden="false" customHeight="false" outlineLevel="0" collapsed="false">
      <c r="A14163" s="3" t="s">
        <v>561</v>
      </c>
      <c r="C14163" s="16" t="n">
        <f aca="false">SUMPRODUCT(($C$14136:$C$14145=C14141)*$C$14125:$C$14134)</f>
        <v>2032.484375</v>
      </c>
    </row>
    <row r="14164" customFormat="false" ht="15" hidden="false" customHeight="false" outlineLevel="0" collapsed="false">
      <c r="A14164" s="3" t="s">
        <v>562</v>
      </c>
      <c r="C14164" s="16" t="n">
        <f aca="false">SUMPRODUCT(($C$14136:$C$14145=C14142)*$C$14125:$C$14134)</f>
        <v>2032.484375</v>
      </c>
    </row>
    <row r="14165" customFormat="false" ht="15" hidden="false" customHeight="false" outlineLevel="0" collapsed="false">
      <c r="A14165" s="3" t="s">
        <v>563</v>
      </c>
      <c r="C14165" s="16" t="n">
        <f aca="false">SUMPRODUCT(($C$14136:$C$14145=C14143)*$C$14125:$C$14134)</f>
        <v>2032.484375</v>
      </c>
    </row>
    <row r="14166" customFormat="false" ht="15" hidden="false" customHeight="false" outlineLevel="0" collapsed="false">
      <c r="A14166" s="3" t="s">
        <v>564</v>
      </c>
      <c r="C14166" s="16" t="n">
        <f aca="false">SUMPRODUCT(($C$14136:$C$14145=C14144)*$C$14125:$C$14134)</f>
        <v>2032.484375</v>
      </c>
    </row>
    <row r="14167" customFormat="false" ht="15" hidden="false" customHeight="false" outlineLevel="0" collapsed="false">
      <c r="A14167" s="3" t="s">
        <v>565</v>
      </c>
      <c r="C14167" s="16" t="n">
        <f aca="false">SUMPRODUCT(($C$14136:$C$14145=C14145)*$C$14125:$C$14134)</f>
        <v>79.67320025</v>
      </c>
    </row>
    <row r="14168" customFormat="false" ht="15" hidden="false" customHeight="false" outlineLevel="0" collapsed="false">
      <c r="A14168" s="24" t="s">
        <v>574</v>
      </c>
      <c r="B14168" s="25"/>
      <c r="C14168" s="25"/>
      <c r="D14168" s="25"/>
      <c r="E14168" s="25"/>
      <c r="F14168" s="25"/>
      <c r="G14168" s="25"/>
      <c r="H14168" s="25"/>
      <c r="I14168" s="25"/>
      <c r="J14168" s="25"/>
      <c r="K14168" s="25"/>
    </row>
    <row r="14169" customFormat="false" ht="15" hidden="false" customHeight="false" outlineLevel="0" collapsed="false">
      <c r="A14169" s="3" t="s">
        <v>556</v>
      </c>
      <c r="C14169" s="16" t="n">
        <f aca="false">IF(C14158=0,0,C14125/C14158*MAX(0,MIN(C14158,$C$14068-SUM($C$14103:$C$14112)-C14147)))</f>
        <v>0</v>
      </c>
    </row>
    <row r="14170" customFormat="false" ht="15" hidden="false" customHeight="false" outlineLevel="0" collapsed="false">
      <c r="A14170" s="3" t="s">
        <v>557</v>
      </c>
      <c r="C14170" s="16" t="n">
        <f aca="false">IF(C14159=0,0,C14126/C14159*MAX(0,MIN(C14159,$C$14068-SUM($C$14103:$C$14112)-C14148)))</f>
        <v>0</v>
      </c>
    </row>
    <row r="14171" customFormat="false" ht="15" hidden="false" customHeight="false" outlineLevel="0" collapsed="false">
      <c r="A14171" s="3" t="s">
        <v>558</v>
      </c>
      <c r="C14171" s="16" t="n">
        <f aca="false">IF(C14160=0,0,C14127/C14160*MAX(0,MIN(C14160,$C$14068-SUM($C$14103:$C$14112)-C14149)))</f>
        <v>0</v>
      </c>
    </row>
    <row r="14172" customFormat="false" ht="15" hidden="false" customHeight="false" outlineLevel="0" collapsed="false">
      <c r="A14172" s="3" t="s">
        <v>559</v>
      </c>
      <c r="C14172" s="16" t="n">
        <f aca="false">IF(C14161=0,0,C14128/C14161*MAX(0,MIN(C14161,$C$14068-SUM($C$14103:$C$14112)-C14150)))</f>
        <v>0</v>
      </c>
    </row>
    <row r="14173" customFormat="false" ht="15" hidden="false" customHeight="false" outlineLevel="0" collapsed="false">
      <c r="A14173" s="3" t="s">
        <v>560</v>
      </c>
      <c r="C14173" s="16" t="n">
        <f aca="false">IF(C14162=0,0,C14129/C14162*MAX(0,MIN(C14162,$C$14068-SUM($C$14103:$C$14112)-C14151)))</f>
        <v>454.44375</v>
      </c>
    </row>
    <row r="14174" customFormat="false" ht="15" hidden="false" customHeight="false" outlineLevel="0" collapsed="false">
      <c r="A14174" s="3" t="s">
        <v>561</v>
      </c>
      <c r="C14174" s="16" t="n">
        <f aca="false">IF(C14163=0,0,C14130/C14163*MAX(0,MIN(C14163,$C$14068-SUM($C$14103:$C$14112)-C14152)))</f>
        <v>357.2625</v>
      </c>
    </row>
    <row r="14175" customFormat="false" ht="15" hidden="false" customHeight="false" outlineLevel="0" collapsed="false">
      <c r="A14175" s="3" t="s">
        <v>562</v>
      </c>
      <c r="C14175" s="16" t="n">
        <f aca="false">IF(C14164=0,0,C14131/C14164*MAX(0,MIN(C14164,$C$14068-SUM($C$14103:$C$14112)-C14153)))</f>
        <v>562.203125</v>
      </c>
    </row>
    <row r="14176" customFormat="false" ht="15" hidden="false" customHeight="false" outlineLevel="0" collapsed="false">
      <c r="A14176" s="3" t="s">
        <v>563</v>
      </c>
      <c r="C14176" s="16" t="n">
        <f aca="false">IF(C14165=0,0,C14132/C14165*MAX(0,MIN(C14165,$C$14068-SUM($C$14103:$C$14112)-C14154)))</f>
        <v>353.98125</v>
      </c>
    </row>
    <row r="14177" customFormat="false" ht="15" hidden="false" customHeight="false" outlineLevel="0" collapsed="false">
      <c r="A14177" s="3" t="s">
        <v>564</v>
      </c>
      <c r="C14177" s="16" t="n">
        <f aca="false">IF(C14166=0,0,C14133/C14166*MAX(0,MIN(C14166,$C$14068-SUM($C$14103:$C$14112)-C14155)))</f>
        <v>304.59375</v>
      </c>
    </row>
    <row r="14178" customFormat="false" ht="15" hidden="false" customHeight="false" outlineLevel="0" collapsed="false">
      <c r="A14178" s="3" t="s">
        <v>565</v>
      </c>
      <c r="C14178" s="16" t="n">
        <f aca="false">IF(C14167=0,0,C14134/C14167*MAX(0,MIN(C14167,$C$14068-SUM($C$14103:$C$14112)-C14156)))</f>
        <v>79.67320025</v>
      </c>
    </row>
    <row r="14179" customFormat="false" ht="15" hidden="false" customHeight="false" outlineLevel="0" collapsed="false">
      <c r="A14179" s="24" t="s">
        <v>575</v>
      </c>
      <c r="B14179" s="25"/>
      <c r="C14179" s="25"/>
      <c r="D14179" s="25"/>
      <c r="E14179" s="25"/>
      <c r="F14179" s="25"/>
      <c r="G14179" s="25"/>
      <c r="H14179" s="25"/>
      <c r="I14179" s="25"/>
      <c r="J14179" s="25"/>
      <c r="K14179" s="25"/>
    </row>
    <row r="14180" customFormat="false" ht="15" hidden="false" customHeight="false" outlineLevel="0" collapsed="false">
      <c r="A14180" s="2" t="s">
        <v>556</v>
      </c>
      <c r="C14180" s="17" t="n">
        <f aca="false">C14103+C14169</f>
        <v>405.0585</v>
      </c>
    </row>
    <row r="14181" customFormat="false" ht="15" hidden="false" customHeight="false" outlineLevel="0" collapsed="false">
      <c r="A14181" s="2" t="s">
        <v>557</v>
      </c>
      <c r="C14181" s="17" t="n">
        <f aca="false">C14104+C14170</f>
        <v>91.30725</v>
      </c>
    </row>
    <row r="14182" customFormat="false" ht="15" hidden="false" customHeight="false" outlineLevel="0" collapsed="false">
      <c r="A14182" s="2" t="s">
        <v>558</v>
      </c>
      <c r="C14182" s="17" t="n">
        <f aca="false">C14105+C14171</f>
        <v>58.3715961</v>
      </c>
    </row>
    <row r="14183" customFormat="false" ht="15" hidden="false" customHeight="false" outlineLevel="0" collapsed="false">
      <c r="A14183" s="2" t="s">
        <v>559</v>
      </c>
      <c r="C14183" s="17" t="n">
        <f aca="false">C14106+C14172</f>
        <v>0</v>
      </c>
    </row>
    <row r="14184" customFormat="false" ht="15" hidden="false" customHeight="false" outlineLevel="0" collapsed="false">
      <c r="A14184" s="2" t="s">
        <v>560</v>
      </c>
      <c r="C14184" s="17" t="n">
        <f aca="false">C14107+C14173</f>
        <v>454.44375</v>
      </c>
    </row>
    <row r="14185" customFormat="false" ht="15" hidden="false" customHeight="false" outlineLevel="0" collapsed="false">
      <c r="A14185" s="2" t="s">
        <v>561</v>
      </c>
      <c r="C14185" s="17" t="n">
        <f aca="false">C14108+C14174</f>
        <v>357.2625</v>
      </c>
    </row>
    <row r="14186" customFormat="false" ht="15" hidden="false" customHeight="false" outlineLevel="0" collapsed="false">
      <c r="A14186" s="2" t="s">
        <v>562</v>
      </c>
      <c r="C14186" s="17" t="n">
        <f aca="false">C14109+C14175</f>
        <v>562.203125</v>
      </c>
    </row>
    <row r="14187" customFormat="false" ht="15" hidden="false" customHeight="false" outlineLevel="0" collapsed="false">
      <c r="A14187" s="2" t="s">
        <v>563</v>
      </c>
      <c r="C14187" s="17" t="n">
        <f aca="false">C14110+C14176</f>
        <v>353.98125</v>
      </c>
    </row>
    <row r="14188" customFormat="false" ht="15" hidden="false" customHeight="false" outlineLevel="0" collapsed="false">
      <c r="A14188" s="2" t="s">
        <v>564</v>
      </c>
      <c r="C14188" s="17" t="n">
        <f aca="false">C14111+C14177</f>
        <v>304.59375</v>
      </c>
    </row>
    <row r="14189" customFormat="false" ht="15" hidden="false" customHeight="false" outlineLevel="0" collapsed="false">
      <c r="A14189" s="2" t="s">
        <v>565</v>
      </c>
      <c r="C14189" s="17" t="n">
        <f aca="false">C14112+C14178</f>
        <v>79.67320025</v>
      </c>
    </row>
    <row r="14190" customFormat="false" ht="15" hidden="false" customHeight="false" outlineLevel="0" collapsed="false">
      <c r="A14190" s="24" t="s">
        <v>576</v>
      </c>
      <c r="B14190" s="25"/>
      <c r="C14190" s="25"/>
      <c r="D14190" s="25"/>
      <c r="E14190" s="25"/>
      <c r="F14190" s="25"/>
      <c r="G14190" s="25"/>
      <c r="H14190" s="25"/>
      <c r="I14190" s="25"/>
      <c r="J14190" s="25"/>
      <c r="K14190" s="25"/>
    </row>
    <row r="14191" customFormat="false" ht="15" hidden="false" customHeight="false" outlineLevel="0" collapsed="false">
      <c r="A14191" s="3" t="s">
        <v>556</v>
      </c>
      <c r="C14191" s="22" t="n">
        <f aca="false">IF(C14070=0,1,C14180/C14070)</f>
        <v>1</v>
      </c>
    </row>
    <row r="14192" customFormat="false" ht="15" hidden="false" customHeight="false" outlineLevel="0" collapsed="false">
      <c r="A14192" s="3" t="s">
        <v>557</v>
      </c>
      <c r="C14192" s="22" t="n">
        <f aca="false">IF(C14071=0,1,C14181/C14071)</f>
        <v>1</v>
      </c>
    </row>
    <row r="14193" customFormat="false" ht="15" hidden="false" customHeight="false" outlineLevel="0" collapsed="false">
      <c r="A14193" s="3" t="s">
        <v>558</v>
      </c>
      <c r="C14193" s="22" t="n">
        <f aca="false">IF(C14072=0,1,C14182/C14072)</f>
        <v>1</v>
      </c>
    </row>
    <row r="14194" customFormat="false" ht="15" hidden="false" customHeight="false" outlineLevel="0" collapsed="false">
      <c r="A14194" s="3" t="s">
        <v>559</v>
      </c>
      <c r="C14194" s="22" t="n">
        <f aca="false">IF(C14073=0,1,C14183/C14073)</f>
        <v>1</v>
      </c>
    </row>
    <row r="14195" customFormat="false" ht="15" hidden="false" customHeight="false" outlineLevel="0" collapsed="false">
      <c r="A14195" s="3" t="s">
        <v>560</v>
      </c>
      <c r="C14195" s="22" t="n">
        <f aca="false">IF(C14074=0,1,C14184/C14074)</f>
        <v>1</v>
      </c>
    </row>
    <row r="14196" customFormat="false" ht="15" hidden="false" customHeight="false" outlineLevel="0" collapsed="false">
      <c r="A14196" s="3" t="s">
        <v>561</v>
      </c>
      <c r="C14196" s="22" t="n">
        <f aca="false">IF(C14075=0,1,C14185/C14075)</f>
        <v>1</v>
      </c>
    </row>
    <row r="14197" customFormat="false" ht="15" hidden="false" customHeight="false" outlineLevel="0" collapsed="false">
      <c r="A14197" s="3" t="s">
        <v>562</v>
      </c>
      <c r="C14197" s="22" t="n">
        <f aca="false">IF(C14076=0,1,C14186/C14076)</f>
        <v>1</v>
      </c>
    </row>
    <row r="14198" customFormat="false" ht="15" hidden="false" customHeight="false" outlineLevel="0" collapsed="false">
      <c r="A14198" s="3" t="s">
        <v>563</v>
      </c>
      <c r="C14198" s="22" t="n">
        <f aca="false">IF(C14077=0,1,C14187/C14077)</f>
        <v>1</v>
      </c>
    </row>
    <row r="14199" customFormat="false" ht="15" hidden="false" customHeight="false" outlineLevel="0" collapsed="false">
      <c r="A14199" s="3" t="s">
        <v>564</v>
      </c>
      <c r="C14199" s="22" t="n">
        <f aca="false">IF(C14078=0,1,C14188/C14078)</f>
        <v>1</v>
      </c>
    </row>
    <row r="14200" customFormat="false" ht="15" hidden="false" customHeight="false" outlineLevel="0" collapsed="false">
      <c r="A14200" s="3" t="s">
        <v>565</v>
      </c>
      <c r="C14200" s="22" t="n">
        <f aca="false">IF(C14079=0,1,C14189/C14079)</f>
        <v>1</v>
      </c>
    </row>
    <row r="14201" customFormat="false" ht="15" hidden="false" customHeight="false" outlineLevel="0" collapsed="false">
      <c r="A14201" s="24" t="s">
        <v>577</v>
      </c>
      <c r="B14201" s="25"/>
      <c r="C14201" s="25"/>
      <c r="D14201" s="25"/>
      <c r="E14201" s="25"/>
      <c r="F14201" s="25"/>
      <c r="G14201" s="25"/>
      <c r="H14201" s="25"/>
      <c r="I14201" s="25"/>
      <c r="J14201" s="25"/>
      <c r="K14201" s="25"/>
    </row>
    <row r="14202" customFormat="false" ht="15" hidden="false" customHeight="false" outlineLevel="0" collapsed="false">
      <c r="A14202" s="3" t="s">
        <v>556</v>
      </c>
      <c r="C14202" s="16" t="n">
        <f aca="false">C14070-C14180</f>
        <v>0</v>
      </c>
    </row>
    <row r="14203" customFormat="false" ht="15" hidden="false" customHeight="false" outlineLevel="0" collapsed="false">
      <c r="A14203" s="3" t="s">
        <v>557</v>
      </c>
      <c r="C14203" s="16" t="n">
        <f aca="false">C14071-C14181</f>
        <v>0</v>
      </c>
    </row>
    <row r="14204" customFormat="false" ht="15" hidden="false" customHeight="false" outlineLevel="0" collapsed="false">
      <c r="A14204" s="3" t="s">
        <v>558</v>
      </c>
      <c r="C14204" s="16" t="n">
        <f aca="false">C14072-C14182</f>
        <v>0</v>
      </c>
    </row>
    <row r="14205" customFormat="false" ht="15" hidden="false" customHeight="false" outlineLevel="0" collapsed="false">
      <c r="A14205" s="3" t="s">
        <v>559</v>
      </c>
      <c r="C14205" s="16" t="n">
        <f aca="false">C14073-C14183</f>
        <v>0</v>
      </c>
    </row>
    <row r="14206" customFormat="false" ht="15" hidden="false" customHeight="false" outlineLevel="0" collapsed="false">
      <c r="A14206" s="3" t="s">
        <v>560</v>
      </c>
      <c r="C14206" s="16" t="n">
        <f aca="false">C14074-C14184</f>
        <v>0</v>
      </c>
    </row>
    <row r="14207" customFormat="false" ht="15" hidden="false" customHeight="false" outlineLevel="0" collapsed="false">
      <c r="A14207" s="3" t="s">
        <v>561</v>
      </c>
      <c r="C14207" s="16" t="n">
        <f aca="false">C14075-C14185</f>
        <v>0</v>
      </c>
    </row>
    <row r="14208" customFormat="false" ht="15" hidden="false" customHeight="false" outlineLevel="0" collapsed="false">
      <c r="A14208" s="3" t="s">
        <v>562</v>
      </c>
      <c r="C14208" s="16" t="n">
        <f aca="false">C14076-C14186</f>
        <v>0</v>
      </c>
    </row>
    <row r="14209" customFormat="false" ht="15" hidden="false" customHeight="false" outlineLevel="0" collapsed="false">
      <c r="A14209" s="3" t="s">
        <v>563</v>
      </c>
      <c r="C14209" s="16" t="n">
        <f aca="false">C14077-C14187</f>
        <v>0</v>
      </c>
    </row>
    <row r="14210" customFormat="false" ht="15" hidden="false" customHeight="false" outlineLevel="0" collapsed="false">
      <c r="A14210" s="3" t="s">
        <v>564</v>
      </c>
      <c r="C14210" s="16" t="n">
        <f aca="false">C14078-C14188</f>
        <v>0</v>
      </c>
    </row>
    <row r="14211" customFormat="false" ht="15" hidden="false" customHeight="false" outlineLevel="0" collapsed="false">
      <c r="A14211" s="3" t="s">
        <v>565</v>
      </c>
      <c r="C14211" s="16" t="n">
        <f aca="false">C14079-C14189</f>
        <v>0</v>
      </c>
    </row>
    <row r="14212" customFormat="false" ht="15" hidden="false" customHeight="false" outlineLevel="0" collapsed="false">
      <c r="A14212" s="24" t="s">
        <v>578</v>
      </c>
      <c r="B14212" s="25"/>
      <c r="C14212" s="25"/>
      <c r="D14212" s="25"/>
      <c r="E14212" s="25"/>
      <c r="F14212" s="25"/>
      <c r="G14212" s="25"/>
      <c r="H14212" s="25"/>
      <c r="I14212" s="25"/>
      <c r="J14212" s="25"/>
      <c r="K14212" s="25"/>
    </row>
    <row r="14213" customFormat="false" ht="15" hidden="false" customHeight="false" outlineLevel="0" collapsed="false">
      <c r="A14213" s="3" t="s">
        <v>556</v>
      </c>
      <c r="C14213" s="22" t="n">
        <f aca="false">IF(C14070=0,0,C14202/C14070)</f>
        <v>0</v>
      </c>
    </row>
    <row r="14214" customFormat="false" ht="15" hidden="false" customHeight="false" outlineLevel="0" collapsed="false">
      <c r="A14214" s="3" t="s">
        <v>557</v>
      </c>
      <c r="C14214" s="22" t="n">
        <f aca="false">IF(C14071=0,0,C14203/C14071)</f>
        <v>0</v>
      </c>
    </row>
    <row r="14215" customFormat="false" ht="15" hidden="false" customHeight="false" outlineLevel="0" collapsed="false">
      <c r="A14215" s="3" t="s">
        <v>558</v>
      </c>
      <c r="C14215" s="22" t="n">
        <f aca="false">IF(C14072=0,0,C14204/C14072)</f>
        <v>0</v>
      </c>
    </row>
    <row r="14216" customFormat="false" ht="15" hidden="false" customHeight="false" outlineLevel="0" collapsed="false">
      <c r="A14216" s="3" t="s">
        <v>559</v>
      </c>
      <c r="C14216" s="22" t="n">
        <f aca="false">IF(C14073=0,0,C14205/C14073)</f>
        <v>0</v>
      </c>
    </row>
    <row r="14217" customFormat="false" ht="15" hidden="false" customHeight="false" outlineLevel="0" collapsed="false">
      <c r="A14217" s="3" t="s">
        <v>560</v>
      </c>
      <c r="C14217" s="22" t="n">
        <f aca="false">IF(C14074=0,0,C14206/C14074)</f>
        <v>0</v>
      </c>
    </row>
    <row r="14218" customFormat="false" ht="15" hidden="false" customHeight="false" outlineLevel="0" collapsed="false">
      <c r="A14218" s="3" t="s">
        <v>561</v>
      </c>
      <c r="C14218" s="22" t="n">
        <f aca="false">IF(C14075=0,0,C14207/C14075)</f>
        <v>0</v>
      </c>
    </row>
    <row r="14219" customFormat="false" ht="15" hidden="false" customHeight="false" outlineLevel="0" collapsed="false">
      <c r="A14219" s="3" t="s">
        <v>562</v>
      </c>
      <c r="C14219" s="22" t="n">
        <f aca="false">IF(C14076=0,0,C14208/C14076)</f>
        <v>0</v>
      </c>
    </row>
    <row r="14220" customFormat="false" ht="15" hidden="false" customHeight="false" outlineLevel="0" collapsed="false">
      <c r="A14220" s="3" t="s">
        <v>563</v>
      </c>
      <c r="C14220" s="22" t="n">
        <f aca="false">IF(C14077=0,0,C14209/C14077)</f>
        <v>0</v>
      </c>
    </row>
    <row r="14221" customFormat="false" ht="15" hidden="false" customHeight="false" outlineLevel="0" collapsed="false">
      <c r="A14221" s="3" t="s">
        <v>564</v>
      </c>
      <c r="C14221" s="22" t="n">
        <f aca="false">IF(C14078=0,0,C14210/C14078)</f>
        <v>0</v>
      </c>
    </row>
    <row r="14222" customFormat="false" ht="15" hidden="false" customHeight="false" outlineLevel="0" collapsed="false">
      <c r="A14222" s="3" t="s">
        <v>565</v>
      </c>
      <c r="C14222" s="22" t="n">
        <f aca="false">IF(C14079=0,0,C14211/C14079)</f>
        <v>0</v>
      </c>
    </row>
    <row r="14223" customFormat="false" ht="15" hidden="false" customHeight="false" outlineLevel="0" collapsed="false">
      <c r="A14223" s="2" t="s">
        <v>579</v>
      </c>
      <c r="C14223" s="17" t="n">
        <f aca="false">MAX(0,$C$14068-SUM($C$14103:$C$14112)-SUM($C$14125:$C$14134))</f>
        <v>1168.648034106</v>
      </c>
    </row>
    <row r="14224" customFormat="false" ht="15" hidden="false" customHeight="false" outlineLevel="0" collapsed="false">
      <c r="A14224" s="3" t="s">
        <v>580</v>
      </c>
      <c r="C14224" s="16" t="n">
        <f aca="false">SUM($C$14180:$C$14189)+C14223+C14067-C14066</f>
        <v>0</v>
      </c>
    </row>
    <row r="14226" customFormat="false" ht="15" hidden="false" customHeight="false" outlineLevel="0" collapsed="false">
      <c r="A14226" s="24" t="s">
        <v>583</v>
      </c>
      <c r="B14226" s="25"/>
      <c r="C14226" s="25"/>
      <c r="D14226" s="25"/>
      <c r="E14226" s="25"/>
      <c r="F14226" s="25"/>
      <c r="G14226" s="25"/>
      <c r="H14226" s="25"/>
      <c r="I14226" s="25"/>
      <c r="J14226" s="25"/>
      <c r="K14226" s="25"/>
    </row>
    <row r="14227" customFormat="false" ht="15" hidden="false" customHeight="false" outlineLevel="0" collapsed="false">
      <c r="A14227" s="3" t="s">
        <v>584</v>
      </c>
      <c r="C14227" s="27" t="n">
        <f aca="false">Assumptions!$C$34</f>
        <v>1</v>
      </c>
    </row>
    <row r="14228" customFormat="false" ht="15" hidden="false" customHeight="false" outlineLevel="0" collapsed="false">
      <c r="A14228" s="3" t="s">
        <v>585</v>
      </c>
      <c r="C14228" s="29" t="n">
        <f aca="false">Assumptions!$C$35</f>
        <v>100</v>
      </c>
    </row>
    <row r="14229" customFormat="false" ht="15" hidden="false" customHeight="false" outlineLevel="0" collapsed="false">
      <c r="A14229" s="3" t="s">
        <v>586</v>
      </c>
      <c r="C14229" s="40" t="n">
        <f aca="false">Assumptions!$C$36</f>
        <v>98</v>
      </c>
    </row>
    <row r="14230" customFormat="false" ht="15" hidden="false" customHeight="false" outlineLevel="0" collapsed="false">
      <c r="A14230" s="3" t="s">
        <v>587</v>
      </c>
      <c r="C14230" s="16" t="n">
        <f aca="false">C14228*C14229/100*(1+Assumptions!$C$37)</f>
        <v>98.49</v>
      </c>
    </row>
    <row r="14231" customFormat="false" ht="15" hidden="false" customHeight="false" outlineLevel="0" collapsed="false">
      <c r="A14231" s="3" t="s">
        <v>588</v>
      </c>
      <c r="C14231" s="27" t="n">
        <f aca="false">Assumptions!$C$38</f>
        <v>3</v>
      </c>
    </row>
    <row r="14232" customFormat="false" ht="15" hidden="false" customHeight="false" outlineLevel="0" collapsed="false">
      <c r="A14232" s="3" t="s">
        <v>589</v>
      </c>
      <c r="C14232" s="21" t="n">
        <f aca="false">IF(C14059=1,SUMPRODUCT($G$13995:$K$13995,$G$13769:$K$13769),0)</f>
        <v>0</v>
      </c>
    </row>
    <row r="14233" customFormat="false" ht="15" hidden="false" customHeight="false" outlineLevel="0" collapsed="false">
      <c r="A14233" s="3" t="s">
        <v>590</v>
      </c>
      <c r="C14233" s="22" t="n">
        <f aca="false">IFERROR(C14228/CHOOSE(C14227,SUMPRODUCT($G$14058:$K$14058,$G$13815:$K$13815),SUMPRODUCT($G$14058:$K$14058,$G$13828:$K$13828),SUMPRODUCT($G$14058:$K$14058,$G$13841:$K$13841),SUMPRODUCT($G$14058:$K$14058,$G$13854:$K$13854),SUMPRODUCT($G$14058:$K$14058,$G$13867:$K$13867),SUMPRODUCT($G$14058:$K$14058,$G$13880:$K$13880),SUMPRODUCT($G$14058:$K$14058,$G$13893:$K$13893),SUMPRODUCT($G$14058:$K$14058,$G$13906:$K$13906),SUMPRODUCT($G$14058:$K$14058,$G$13919:$K$13919),SUMPRODUCT($G$14058:$K$14058,$G$13932:$K$13932)),0)</f>
        <v>0.252525252525253</v>
      </c>
    </row>
    <row r="14234" customFormat="false" ht="15" hidden="false" customHeight="false" outlineLevel="0" collapsed="false">
      <c r="A14234" s="3" t="s">
        <v>591</v>
      </c>
      <c r="C14234" s="16" t="n">
        <f aca="false">CHOOSE(C14227,C14180,C14181,C14182,C14183,C14184,C14185,C14186,C14187,C14188,C14189)*C14233</f>
        <v>102.2875</v>
      </c>
    </row>
    <row r="14235" customFormat="false" ht="15" hidden="false" customHeight="false" outlineLevel="0" collapsed="false">
      <c r="A14235" s="3" t="s">
        <v>592</v>
      </c>
      <c r="C14235" s="22" t="n">
        <f aca="false">CHOOSE(C14227,C14191,C14192,C14193,C14194,C14195,C14196,C14197,C14198,C14199,C14200)</f>
        <v>1</v>
      </c>
    </row>
    <row r="14236" customFormat="false" ht="15" hidden="false" customHeight="false" outlineLevel="0" collapsed="false">
      <c r="A14236" s="3" t="s">
        <v>593</v>
      </c>
      <c r="C14236" s="21" t="n">
        <f aca="false">IF(C14059=1,C14232,C14231)</f>
        <v>3</v>
      </c>
    </row>
    <row r="14237" customFormat="false" ht="15" hidden="false" customHeight="false" outlineLevel="0" collapsed="false">
      <c r="A14237" s="3" t="s">
        <v>594</v>
      </c>
      <c r="C14237" s="35" t="n">
        <f aca="false">CHOOSE($C$13761,Assumptions!$C$91,Assumptions!$C$110,Assumptions!$C$129)</f>
        <v>100</v>
      </c>
    </row>
    <row r="14238" customFormat="false" ht="15" hidden="false" customHeight="false" outlineLevel="0" collapsed="false">
      <c r="A14238" s="3" t="s">
        <v>595</v>
      </c>
      <c r="C14238" s="16" t="n">
        <f aca="false">INDEX($G$13778:$K$13778,C14231)*CHOOSE($C$13761,Assumptions!$C$90,Assumptions!$C$109,Assumptions!$C$128)+MAX(0,INDEX($G$13992:$K$13992,C14231))</f>
        <v>3898.7516625606</v>
      </c>
    </row>
    <row r="14239" customFormat="false" ht="15" hidden="false" customHeight="false" outlineLevel="0" collapsed="false">
      <c r="A14239" s="24" t="s">
        <v>596</v>
      </c>
      <c r="B14239" s="25"/>
      <c r="C14239" s="25"/>
      <c r="D14239" s="25"/>
      <c r="E14239" s="25"/>
      <c r="F14239" s="25"/>
      <c r="G14239" s="25"/>
      <c r="H14239" s="25"/>
      <c r="I14239" s="25"/>
      <c r="J14239" s="25"/>
      <c r="K14239" s="25"/>
    </row>
    <row r="14240" customFormat="false" ht="15" hidden="false" customHeight="false" outlineLevel="0" collapsed="false">
      <c r="A14240" s="3" t="s">
        <v>556</v>
      </c>
      <c r="C14240" s="16" t="n">
        <f aca="false">INDEX($G$13815:$K$13815,C14231)</f>
        <v>388</v>
      </c>
    </row>
    <row r="14241" customFormat="false" ht="15" hidden="false" customHeight="false" outlineLevel="0" collapsed="false">
      <c r="A14241" s="3" t="s">
        <v>557</v>
      </c>
      <c r="C14241" s="16" t="n">
        <f aca="false">INDEX($G$13828:$K$13828,C14231)</f>
        <v>90</v>
      </c>
    </row>
    <row r="14242" customFormat="false" ht="15" hidden="false" customHeight="false" outlineLevel="0" collapsed="false">
      <c r="A14242" s="3" t="s">
        <v>558</v>
      </c>
      <c r="C14242" s="16" t="n">
        <f aca="false">INDEX($G$13841:$K$13841,C14231)</f>
        <v>57.324</v>
      </c>
    </row>
    <row r="14243" customFormat="false" ht="15" hidden="false" customHeight="false" outlineLevel="0" collapsed="false">
      <c r="A14243" s="3" t="s">
        <v>559</v>
      </c>
      <c r="C14243" s="16" t="n">
        <f aca="false">INDEX($G$13854:$K$13854,C14231)</f>
        <v>49.291909591316</v>
      </c>
    </row>
    <row r="14244" customFormat="false" ht="15" hidden="false" customHeight="false" outlineLevel="0" collapsed="false">
      <c r="A14244" s="3" t="s">
        <v>560</v>
      </c>
      <c r="C14244" s="16" t="n">
        <f aca="false">INDEX($G$13867:$K$13867,C14231)</f>
        <v>392.4216279278</v>
      </c>
    </row>
    <row r="14245" customFormat="false" ht="15" hidden="false" customHeight="false" outlineLevel="0" collapsed="false">
      <c r="A14245" s="3" t="s">
        <v>561</v>
      </c>
      <c r="C14245" s="16" t="n">
        <f aca="false">INDEX($G$13880:$K$13880,C14231)</f>
        <v>350</v>
      </c>
    </row>
    <row r="14246" customFormat="false" ht="15" hidden="false" customHeight="false" outlineLevel="0" collapsed="false">
      <c r="A14246" s="3" t="s">
        <v>562</v>
      </c>
      <c r="C14246" s="16" t="n">
        <f aca="false">INDEX($G$13893:$K$13893,C14231)</f>
        <v>550</v>
      </c>
    </row>
    <row r="14247" customFormat="false" ht="15" hidden="false" customHeight="false" outlineLevel="0" collapsed="false">
      <c r="A14247" s="3" t="s">
        <v>563</v>
      </c>
      <c r="C14247" s="16" t="n">
        <f aca="false">INDEX($G$13906:$K$13906,C14231)</f>
        <v>350</v>
      </c>
    </row>
    <row r="14248" customFormat="false" ht="15" hidden="false" customHeight="false" outlineLevel="0" collapsed="false">
      <c r="A14248" s="3" t="s">
        <v>564</v>
      </c>
      <c r="C14248" s="16" t="n">
        <f aca="false">INDEX($G$13919:$K$13919,C14231)</f>
        <v>300</v>
      </c>
    </row>
    <row r="14249" customFormat="false" ht="15" hidden="false" customHeight="false" outlineLevel="0" collapsed="false">
      <c r="A14249" s="3" t="s">
        <v>565</v>
      </c>
      <c r="C14249" s="16" t="n">
        <f aca="false">INDEX($G$13932:$K$13932,C14231)</f>
        <v>78.61</v>
      </c>
    </row>
    <row r="14250" customFormat="false" ht="15" hidden="false" customHeight="false" outlineLevel="0" collapsed="false">
      <c r="A14250" s="24" t="s">
        <v>566</v>
      </c>
      <c r="B14250" s="25"/>
      <c r="C14250" s="25"/>
      <c r="D14250" s="25"/>
      <c r="E14250" s="25"/>
      <c r="F14250" s="25"/>
      <c r="G14250" s="25"/>
      <c r="H14250" s="25"/>
      <c r="I14250" s="25"/>
      <c r="J14250" s="25"/>
      <c r="K14250" s="25"/>
    </row>
    <row r="14251" customFormat="false" ht="15" hidden="false" customHeight="false" outlineLevel="0" collapsed="false">
      <c r="A14251" s="3" t="s">
        <v>556</v>
      </c>
      <c r="C14251" s="27" t="n">
        <f aca="false">Assumptions!$M$57</f>
        <v>1</v>
      </c>
    </row>
    <row r="14252" customFormat="false" ht="15" hidden="false" customHeight="false" outlineLevel="0" collapsed="false">
      <c r="A14252" s="3" t="s">
        <v>557</v>
      </c>
      <c r="C14252" s="27" t="n">
        <f aca="false">Assumptions!$M$58</f>
        <v>1</v>
      </c>
    </row>
    <row r="14253" customFormat="false" ht="15" hidden="false" customHeight="false" outlineLevel="0" collapsed="false">
      <c r="A14253" s="3" t="s">
        <v>558</v>
      </c>
      <c r="C14253" s="27" t="n">
        <f aca="false">Assumptions!$M$59</f>
        <v>1</v>
      </c>
    </row>
    <row r="14254" customFormat="false" ht="15" hidden="false" customHeight="false" outlineLevel="0" collapsed="false">
      <c r="A14254" s="3" t="s">
        <v>559</v>
      </c>
      <c r="C14254" s="27" t="n">
        <f aca="false">Assumptions!$M$60</f>
        <v>2</v>
      </c>
    </row>
    <row r="14255" customFormat="false" ht="15" hidden="false" customHeight="false" outlineLevel="0" collapsed="false">
      <c r="A14255" s="3" t="s">
        <v>560</v>
      </c>
      <c r="C14255" s="27" t="n">
        <f aca="false">Assumptions!$M$61</f>
        <v>2</v>
      </c>
    </row>
    <row r="14256" customFormat="false" ht="15" hidden="false" customHeight="false" outlineLevel="0" collapsed="false">
      <c r="A14256" s="3" t="s">
        <v>561</v>
      </c>
      <c r="C14256" s="27" t="n">
        <f aca="false">Assumptions!$M$62</f>
        <v>2</v>
      </c>
    </row>
    <row r="14257" customFormat="false" ht="15" hidden="false" customHeight="false" outlineLevel="0" collapsed="false">
      <c r="A14257" s="3" t="s">
        <v>562</v>
      </c>
      <c r="C14257" s="27" t="n">
        <f aca="false">Assumptions!$M$63</f>
        <v>2</v>
      </c>
    </row>
    <row r="14258" customFormat="false" ht="15" hidden="false" customHeight="false" outlineLevel="0" collapsed="false">
      <c r="A14258" s="3" t="s">
        <v>563</v>
      </c>
      <c r="C14258" s="27" t="n">
        <f aca="false">Assumptions!$M$64</f>
        <v>2</v>
      </c>
    </row>
    <row r="14259" customFormat="false" ht="15" hidden="false" customHeight="false" outlineLevel="0" collapsed="false">
      <c r="A14259" s="3" t="s">
        <v>564</v>
      </c>
      <c r="C14259" s="27" t="n">
        <f aca="false">Assumptions!$M$65</f>
        <v>2</v>
      </c>
    </row>
    <row r="14260" customFormat="false" ht="15" hidden="false" customHeight="false" outlineLevel="0" collapsed="false">
      <c r="A14260" s="3" t="s">
        <v>565</v>
      </c>
      <c r="C14260" s="27" t="n">
        <f aca="false">Assumptions!$M$66</f>
        <v>3</v>
      </c>
    </row>
    <row r="14261" customFormat="false" ht="15" hidden="false" customHeight="false" outlineLevel="0" collapsed="false">
      <c r="A14261" s="24" t="s">
        <v>567</v>
      </c>
      <c r="B14261" s="25"/>
      <c r="C14261" s="25"/>
      <c r="D14261" s="25"/>
      <c r="E14261" s="25"/>
      <c r="F14261" s="25"/>
      <c r="G14261" s="25"/>
      <c r="H14261" s="25"/>
      <c r="I14261" s="25"/>
      <c r="J14261" s="25"/>
      <c r="K14261" s="25"/>
    </row>
    <row r="14262" customFormat="false" ht="15" hidden="false" customHeight="false" outlineLevel="0" collapsed="false">
      <c r="A14262" s="3" t="s">
        <v>556</v>
      </c>
      <c r="C14262" s="33" t="n">
        <f aca="false">Assumptions!$Q$57</f>
        <v>0.3</v>
      </c>
    </row>
    <row r="14263" customFormat="false" ht="15" hidden="false" customHeight="false" outlineLevel="0" collapsed="false">
      <c r="A14263" s="3" t="s">
        <v>557</v>
      </c>
      <c r="C14263" s="33" t="n">
        <f aca="false">Assumptions!$Q$58</f>
        <v>0.033</v>
      </c>
    </row>
    <row r="14264" customFormat="false" ht="15" hidden="false" customHeight="false" outlineLevel="0" collapsed="false">
      <c r="A14264" s="3" t="s">
        <v>558</v>
      </c>
      <c r="C14264" s="33" t="n">
        <f aca="false">Assumptions!$Q$59</f>
        <v>0.021</v>
      </c>
    </row>
    <row r="14265" customFormat="false" ht="15" hidden="false" customHeight="false" outlineLevel="0" collapsed="false">
      <c r="A14265" s="3" t="s">
        <v>559</v>
      </c>
      <c r="C14265" s="33" t="n">
        <f aca="false">Assumptions!$Q$60</f>
        <v>0</v>
      </c>
    </row>
    <row r="14266" customFormat="false" ht="15" hidden="false" customHeight="false" outlineLevel="0" collapsed="false">
      <c r="A14266" s="3" t="s">
        <v>560</v>
      </c>
      <c r="C14266" s="33" t="n">
        <f aca="false">Assumptions!$Q$61</f>
        <v>0</v>
      </c>
    </row>
    <row r="14267" customFormat="false" ht="15" hidden="false" customHeight="false" outlineLevel="0" collapsed="false">
      <c r="A14267" s="3" t="s">
        <v>561</v>
      </c>
      <c r="C14267" s="33" t="n">
        <f aca="false">Assumptions!$Q$62</f>
        <v>0</v>
      </c>
    </row>
    <row r="14268" customFormat="false" ht="15" hidden="false" customHeight="false" outlineLevel="0" collapsed="false">
      <c r="A14268" s="3" t="s">
        <v>562</v>
      </c>
      <c r="C14268" s="33" t="n">
        <f aca="false">Assumptions!$Q$63</f>
        <v>0</v>
      </c>
    </row>
    <row r="14269" customFormat="false" ht="15" hidden="false" customHeight="false" outlineLevel="0" collapsed="false">
      <c r="A14269" s="3" t="s">
        <v>563</v>
      </c>
      <c r="C14269" s="33" t="n">
        <f aca="false">Assumptions!$Q$64</f>
        <v>0</v>
      </c>
    </row>
    <row r="14270" customFormat="false" ht="15" hidden="false" customHeight="false" outlineLevel="0" collapsed="false">
      <c r="A14270" s="3" t="s">
        <v>564</v>
      </c>
      <c r="C14270" s="33" t="n">
        <f aca="false">Assumptions!$Q$65</f>
        <v>0</v>
      </c>
    </row>
    <row r="14271" customFormat="false" ht="15" hidden="false" customHeight="false" outlineLevel="0" collapsed="false">
      <c r="A14271" s="3" t="s">
        <v>565</v>
      </c>
      <c r="C14271" s="33" t="n">
        <f aca="false">Assumptions!$Q$66</f>
        <v>0</v>
      </c>
    </row>
    <row r="14272" customFormat="false" ht="15" hidden="false" customHeight="false" outlineLevel="0" collapsed="false">
      <c r="A14272" s="24" t="s">
        <v>568</v>
      </c>
      <c r="B14272" s="25"/>
      <c r="C14272" s="25"/>
      <c r="D14272" s="25"/>
      <c r="E14272" s="25"/>
      <c r="F14272" s="25"/>
      <c r="G14272" s="25"/>
      <c r="H14272" s="25"/>
      <c r="I14272" s="25"/>
      <c r="J14272" s="25"/>
      <c r="K14272" s="25"/>
    </row>
    <row r="14273" customFormat="false" ht="15" hidden="false" customHeight="false" outlineLevel="0" collapsed="false">
      <c r="A14273" s="3" t="s">
        <v>556</v>
      </c>
      <c r="C14273" s="16" t="n">
        <f aca="false">IF(C14262&gt;0,MIN(C14240,C14262*$C$14238),0)</f>
        <v>388</v>
      </c>
    </row>
    <row r="14274" customFormat="false" ht="15" hidden="false" customHeight="false" outlineLevel="0" collapsed="false">
      <c r="A14274" s="3" t="s">
        <v>557</v>
      </c>
      <c r="C14274" s="16" t="n">
        <f aca="false">IF(C14263&gt;0,MIN(C14241,C14263*$C$14238),0)</f>
        <v>90</v>
      </c>
    </row>
    <row r="14275" customFormat="false" ht="15" hidden="false" customHeight="false" outlineLevel="0" collapsed="false">
      <c r="A14275" s="3" t="s">
        <v>558</v>
      </c>
      <c r="C14275" s="16" t="n">
        <f aca="false">IF(C14264&gt;0,MIN(C14242,C14264*$C$14238),0)</f>
        <v>57.324</v>
      </c>
    </row>
    <row r="14276" customFormat="false" ht="15" hidden="false" customHeight="false" outlineLevel="0" collapsed="false">
      <c r="A14276" s="3" t="s">
        <v>559</v>
      </c>
      <c r="C14276" s="16" t="n">
        <f aca="false">IF(C14265&gt;0,MIN(C14243,C14265*$C$14238),0)</f>
        <v>0</v>
      </c>
    </row>
    <row r="14277" customFormat="false" ht="15" hidden="false" customHeight="false" outlineLevel="0" collapsed="false">
      <c r="A14277" s="3" t="s">
        <v>560</v>
      </c>
      <c r="C14277" s="16" t="n">
        <f aca="false">IF(C14266&gt;0,MIN(C14244,C14266*$C$14238),0)</f>
        <v>0</v>
      </c>
    </row>
    <row r="14278" customFormat="false" ht="15" hidden="false" customHeight="false" outlineLevel="0" collapsed="false">
      <c r="A14278" s="3" t="s">
        <v>561</v>
      </c>
      <c r="C14278" s="16" t="n">
        <f aca="false">IF(C14267&gt;0,MIN(C14245,C14267*$C$14238),0)</f>
        <v>0</v>
      </c>
    </row>
    <row r="14279" customFormat="false" ht="15" hidden="false" customHeight="false" outlineLevel="0" collapsed="false">
      <c r="A14279" s="3" t="s">
        <v>562</v>
      </c>
      <c r="C14279" s="16" t="n">
        <f aca="false">IF(C14268&gt;0,MIN(C14246,C14268*$C$14238),0)</f>
        <v>0</v>
      </c>
    </row>
    <row r="14280" customFormat="false" ht="15" hidden="false" customHeight="false" outlineLevel="0" collapsed="false">
      <c r="A14280" s="3" t="s">
        <v>563</v>
      </c>
      <c r="C14280" s="16" t="n">
        <f aca="false">IF(C14269&gt;0,MIN(C14247,C14269*$C$14238),0)</f>
        <v>0</v>
      </c>
    </row>
    <row r="14281" customFormat="false" ht="15" hidden="false" customHeight="false" outlineLevel="0" collapsed="false">
      <c r="A14281" s="3" t="s">
        <v>564</v>
      </c>
      <c r="C14281" s="16" t="n">
        <f aca="false">IF(C14270&gt;0,MIN(C14248,C14270*$C$14238),0)</f>
        <v>0</v>
      </c>
    </row>
    <row r="14282" customFormat="false" ht="15" hidden="false" customHeight="false" outlineLevel="0" collapsed="false">
      <c r="A14282" s="3" t="s">
        <v>565</v>
      </c>
      <c r="C14282" s="16" t="n">
        <f aca="false">IF(C14271&gt;0,MIN(C14249,C14271*$C$14238),0)</f>
        <v>0</v>
      </c>
    </row>
    <row r="14283" customFormat="false" ht="15" hidden="false" customHeight="false" outlineLevel="0" collapsed="false">
      <c r="A14283" s="24" t="s">
        <v>569</v>
      </c>
      <c r="B14283" s="25"/>
      <c r="C14283" s="25"/>
      <c r="D14283" s="25"/>
      <c r="E14283" s="25"/>
      <c r="F14283" s="25"/>
      <c r="G14283" s="25"/>
      <c r="H14283" s="25"/>
      <c r="I14283" s="25"/>
      <c r="J14283" s="25"/>
      <c r="K14283" s="25"/>
    </row>
    <row r="14284" customFormat="false" ht="15" hidden="false" customHeight="false" outlineLevel="0" collapsed="false">
      <c r="A14284" s="3" t="s">
        <v>556</v>
      </c>
      <c r="C14284" s="16" t="n">
        <f aca="false">IF(C14262&gt;0,C14240-C14273,0)</f>
        <v>0</v>
      </c>
    </row>
    <row r="14285" customFormat="false" ht="15" hidden="false" customHeight="false" outlineLevel="0" collapsed="false">
      <c r="A14285" s="3" t="s">
        <v>557</v>
      </c>
      <c r="C14285" s="16" t="n">
        <f aca="false">IF(C14263&gt;0,C14241-C14274,0)</f>
        <v>0</v>
      </c>
    </row>
    <row r="14286" customFormat="false" ht="15" hidden="false" customHeight="false" outlineLevel="0" collapsed="false">
      <c r="A14286" s="3" t="s">
        <v>558</v>
      </c>
      <c r="C14286" s="16" t="n">
        <f aca="false">IF(C14264&gt;0,C14242-C14275,0)</f>
        <v>0</v>
      </c>
    </row>
    <row r="14287" customFormat="false" ht="15" hidden="false" customHeight="false" outlineLevel="0" collapsed="false">
      <c r="A14287" s="3" t="s">
        <v>559</v>
      </c>
      <c r="C14287" s="16" t="n">
        <f aca="false">IF(C14265&gt;0,C14243-C14276,0)</f>
        <v>0</v>
      </c>
    </row>
    <row r="14288" customFormat="false" ht="15" hidden="false" customHeight="false" outlineLevel="0" collapsed="false">
      <c r="A14288" s="3" t="s">
        <v>560</v>
      </c>
      <c r="C14288" s="16" t="n">
        <f aca="false">IF(C14266&gt;0,C14244-C14277,0)</f>
        <v>0</v>
      </c>
    </row>
    <row r="14289" customFormat="false" ht="15" hidden="false" customHeight="false" outlineLevel="0" collapsed="false">
      <c r="A14289" s="3" t="s">
        <v>561</v>
      </c>
      <c r="C14289" s="16" t="n">
        <f aca="false">IF(C14267&gt;0,C14245-C14278,0)</f>
        <v>0</v>
      </c>
    </row>
    <row r="14290" customFormat="false" ht="15" hidden="false" customHeight="false" outlineLevel="0" collapsed="false">
      <c r="A14290" s="3" t="s">
        <v>562</v>
      </c>
      <c r="C14290" s="16" t="n">
        <f aca="false">IF(C14268&gt;0,C14246-C14279,0)</f>
        <v>0</v>
      </c>
    </row>
    <row r="14291" customFormat="false" ht="15" hidden="false" customHeight="false" outlineLevel="0" collapsed="false">
      <c r="A14291" s="3" t="s">
        <v>563</v>
      </c>
      <c r="C14291" s="16" t="n">
        <f aca="false">IF(C14269&gt;0,C14247-C14280,0)</f>
        <v>0</v>
      </c>
    </row>
    <row r="14292" customFormat="false" ht="15" hidden="false" customHeight="false" outlineLevel="0" collapsed="false">
      <c r="A14292" s="3" t="s">
        <v>564</v>
      </c>
      <c r="C14292" s="16" t="n">
        <f aca="false">IF(C14270&gt;0,C14248-C14281,0)</f>
        <v>0</v>
      </c>
    </row>
    <row r="14293" customFormat="false" ht="15" hidden="false" customHeight="false" outlineLevel="0" collapsed="false">
      <c r="A14293" s="3" t="s">
        <v>565</v>
      </c>
      <c r="C14293" s="16" t="n">
        <f aca="false">IF(C14271&gt;0,C14249-C14282,0)</f>
        <v>0</v>
      </c>
    </row>
    <row r="14294" customFormat="false" ht="15" hidden="false" customHeight="false" outlineLevel="0" collapsed="false">
      <c r="A14294" s="24" t="s">
        <v>570</v>
      </c>
      <c r="B14294" s="25"/>
      <c r="C14294" s="25"/>
      <c r="D14294" s="25"/>
      <c r="E14294" s="25"/>
      <c r="F14294" s="25"/>
      <c r="G14294" s="25"/>
      <c r="H14294" s="25"/>
      <c r="I14294" s="25"/>
      <c r="J14294" s="25"/>
      <c r="K14294" s="25"/>
    </row>
    <row r="14295" customFormat="false" ht="15" hidden="false" customHeight="false" outlineLevel="0" collapsed="false">
      <c r="A14295" s="3" t="s">
        <v>556</v>
      </c>
      <c r="C14295" s="16" t="n">
        <f aca="false">IF(C14262&gt;0,C14284,C14240)</f>
        <v>0</v>
      </c>
    </row>
    <row r="14296" customFormat="false" ht="15" hidden="false" customHeight="false" outlineLevel="0" collapsed="false">
      <c r="A14296" s="3" t="s">
        <v>557</v>
      </c>
      <c r="C14296" s="16" t="n">
        <f aca="false">IF(C14263&gt;0,C14285,C14241)</f>
        <v>0</v>
      </c>
    </row>
    <row r="14297" customFormat="false" ht="15" hidden="false" customHeight="false" outlineLevel="0" collapsed="false">
      <c r="A14297" s="3" t="s">
        <v>558</v>
      </c>
      <c r="C14297" s="16" t="n">
        <f aca="false">IF(C14264&gt;0,C14286,C14242)</f>
        <v>0</v>
      </c>
    </row>
    <row r="14298" customFormat="false" ht="15" hidden="false" customHeight="false" outlineLevel="0" collapsed="false">
      <c r="A14298" s="3" t="s">
        <v>559</v>
      </c>
      <c r="C14298" s="16" t="n">
        <f aca="false">IF(C14265&gt;0,C14287,C14243)</f>
        <v>49.291909591316</v>
      </c>
    </row>
    <row r="14299" customFormat="false" ht="15" hidden="false" customHeight="false" outlineLevel="0" collapsed="false">
      <c r="A14299" s="3" t="s">
        <v>560</v>
      </c>
      <c r="C14299" s="16" t="n">
        <f aca="false">IF(C14266&gt;0,C14288,C14244)</f>
        <v>392.4216279278</v>
      </c>
    </row>
    <row r="14300" customFormat="false" ht="15" hidden="false" customHeight="false" outlineLevel="0" collapsed="false">
      <c r="A14300" s="3" t="s">
        <v>561</v>
      </c>
      <c r="C14300" s="16" t="n">
        <f aca="false">IF(C14267&gt;0,C14289,C14245)</f>
        <v>350</v>
      </c>
    </row>
    <row r="14301" customFormat="false" ht="15" hidden="false" customHeight="false" outlineLevel="0" collapsed="false">
      <c r="A14301" s="3" t="s">
        <v>562</v>
      </c>
      <c r="C14301" s="16" t="n">
        <f aca="false">IF(C14268&gt;0,C14290,C14246)</f>
        <v>550</v>
      </c>
    </row>
    <row r="14302" customFormat="false" ht="15" hidden="false" customHeight="false" outlineLevel="0" collapsed="false">
      <c r="A14302" s="3" t="s">
        <v>563</v>
      </c>
      <c r="C14302" s="16" t="n">
        <f aca="false">IF(C14269&gt;0,C14291,C14247)</f>
        <v>350</v>
      </c>
    </row>
    <row r="14303" customFormat="false" ht="15" hidden="false" customHeight="false" outlineLevel="0" collapsed="false">
      <c r="A14303" s="3" t="s">
        <v>564</v>
      </c>
      <c r="C14303" s="16" t="n">
        <f aca="false">IF(C14270&gt;0,C14292,C14248)</f>
        <v>300</v>
      </c>
    </row>
    <row r="14304" customFormat="false" ht="15" hidden="false" customHeight="false" outlineLevel="0" collapsed="false">
      <c r="A14304" s="3" t="s">
        <v>565</v>
      </c>
      <c r="C14304" s="16" t="n">
        <f aca="false">IF(C14271&gt;0,C14293,C14249)</f>
        <v>78.61</v>
      </c>
    </row>
    <row r="14305" customFormat="false" ht="15" hidden="false" customHeight="false" outlineLevel="0" collapsed="false">
      <c r="A14305" s="24" t="s">
        <v>571</v>
      </c>
      <c r="B14305" s="25"/>
      <c r="C14305" s="25"/>
      <c r="D14305" s="25"/>
      <c r="E14305" s="25"/>
      <c r="F14305" s="25"/>
      <c r="G14305" s="25"/>
      <c r="H14305" s="25"/>
      <c r="I14305" s="25"/>
      <c r="J14305" s="25"/>
      <c r="K14305" s="25"/>
    </row>
    <row r="14306" customFormat="false" ht="15" hidden="false" customHeight="false" outlineLevel="0" collapsed="false">
      <c r="A14306" s="3" t="s">
        <v>556</v>
      </c>
      <c r="C14306" s="21" t="n">
        <f aca="false">IF(C14262&gt;0,Assumptions!$C$17,C14251)</f>
        <v>99</v>
      </c>
    </row>
    <row r="14307" customFormat="false" ht="15" hidden="false" customHeight="false" outlineLevel="0" collapsed="false">
      <c r="A14307" s="3" t="s">
        <v>557</v>
      </c>
      <c r="C14307" s="21" t="n">
        <f aca="false">IF(C14263&gt;0,Assumptions!$C$17,C14252)</f>
        <v>99</v>
      </c>
    </row>
    <row r="14308" customFormat="false" ht="15" hidden="false" customHeight="false" outlineLevel="0" collapsed="false">
      <c r="A14308" s="3" t="s">
        <v>558</v>
      </c>
      <c r="C14308" s="21" t="n">
        <f aca="false">IF(C14264&gt;0,Assumptions!$C$17,C14253)</f>
        <v>99</v>
      </c>
    </row>
    <row r="14309" customFormat="false" ht="15" hidden="false" customHeight="false" outlineLevel="0" collapsed="false">
      <c r="A14309" s="3" t="s">
        <v>559</v>
      </c>
      <c r="C14309" s="21" t="n">
        <f aca="false">IF(C14265&gt;0,Assumptions!$C$17,C14254)</f>
        <v>2</v>
      </c>
    </row>
    <row r="14310" customFormat="false" ht="15" hidden="false" customHeight="false" outlineLevel="0" collapsed="false">
      <c r="A14310" s="3" t="s">
        <v>560</v>
      </c>
      <c r="C14310" s="21" t="n">
        <f aca="false">IF(C14266&gt;0,Assumptions!$C$17,C14255)</f>
        <v>2</v>
      </c>
    </row>
    <row r="14311" customFormat="false" ht="15" hidden="false" customHeight="false" outlineLevel="0" collapsed="false">
      <c r="A14311" s="3" t="s">
        <v>561</v>
      </c>
      <c r="C14311" s="21" t="n">
        <f aca="false">IF(C14267&gt;0,Assumptions!$C$17,C14256)</f>
        <v>2</v>
      </c>
    </row>
    <row r="14312" customFormat="false" ht="15" hidden="false" customHeight="false" outlineLevel="0" collapsed="false">
      <c r="A14312" s="3" t="s">
        <v>562</v>
      </c>
      <c r="C14312" s="21" t="n">
        <f aca="false">IF(C14268&gt;0,Assumptions!$C$17,C14257)</f>
        <v>2</v>
      </c>
    </row>
    <row r="14313" customFormat="false" ht="15" hidden="false" customHeight="false" outlineLevel="0" collapsed="false">
      <c r="A14313" s="3" t="s">
        <v>563</v>
      </c>
      <c r="C14313" s="21" t="n">
        <f aca="false">IF(C14269&gt;0,Assumptions!$C$17,C14258)</f>
        <v>2</v>
      </c>
    </row>
    <row r="14314" customFormat="false" ht="15" hidden="false" customHeight="false" outlineLevel="0" collapsed="false">
      <c r="A14314" s="3" t="s">
        <v>564</v>
      </c>
      <c r="C14314" s="21" t="n">
        <f aca="false">IF(C14270&gt;0,Assumptions!$C$17,C14259)</f>
        <v>2</v>
      </c>
    </row>
    <row r="14315" customFormat="false" ht="15" hidden="false" customHeight="false" outlineLevel="0" collapsed="false">
      <c r="A14315" s="3" t="s">
        <v>565</v>
      </c>
      <c r="C14315" s="21" t="n">
        <f aca="false">IF(C14271&gt;0,Assumptions!$C$17,C14260)</f>
        <v>3</v>
      </c>
    </row>
    <row r="14316" customFormat="false" ht="15" hidden="false" customHeight="false" outlineLevel="0" collapsed="false">
      <c r="A14316" s="24" t="s">
        <v>572</v>
      </c>
      <c r="B14316" s="25"/>
      <c r="C14316" s="25"/>
      <c r="D14316" s="25"/>
      <c r="E14316" s="25"/>
      <c r="F14316" s="25"/>
      <c r="G14316" s="25"/>
      <c r="H14316" s="25"/>
      <c r="I14316" s="25"/>
      <c r="J14316" s="25"/>
      <c r="K14316" s="25"/>
    </row>
    <row r="14317" customFormat="false" ht="15" hidden="false" customHeight="false" outlineLevel="0" collapsed="false">
      <c r="A14317" s="3" t="s">
        <v>556</v>
      </c>
      <c r="C14317" s="16" t="n">
        <f aca="false">SUMPRODUCT(($C$14306:$C$14315&lt;C14306)*$C$14295:$C$14304)</f>
        <v>2070.32353751912</v>
      </c>
    </row>
    <row r="14318" customFormat="false" ht="15" hidden="false" customHeight="false" outlineLevel="0" collapsed="false">
      <c r="A14318" s="3" t="s">
        <v>557</v>
      </c>
      <c r="C14318" s="16" t="n">
        <f aca="false">SUMPRODUCT(($C$14306:$C$14315&lt;C14307)*$C$14295:$C$14304)</f>
        <v>2070.32353751912</v>
      </c>
    </row>
    <row r="14319" customFormat="false" ht="15" hidden="false" customHeight="false" outlineLevel="0" collapsed="false">
      <c r="A14319" s="3" t="s">
        <v>558</v>
      </c>
      <c r="C14319" s="16" t="n">
        <f aca="false">SUMPRODUCT(($C$14306:$C$14315&lt;C14308)*$C$14295:$C$14304)</f>
        <v>2070.32353751912</v>
      </c>
    </row>
    <row r="14320" customFormat="false" ht="15" hidden="false" customHeight="false" outlineLevel="0" collapsed="false">
      <c r="A14320" s="3" t="s">
        <v>559</v>
      </c>
      <c r="C14320" s="16" t="n">
        <f aca="false">SUMPRODUCT(($C$14306:$C$14315&lt;C14309)*$C$14295:$C$14304)</f>
        <v>0</v>
      </c>
    </row>
    <row r="14321" customFormat="false" ht="15" hidden="false" customHeight="false" outlineLevel="0" collapsed="false">
      <c r="A14321" s="3" t="s">
        <v>560</v>
      </c>
      <c r="C14321" s="16" t="n">
        <f aca="false">SUMPRODUCT(($C$14306:$C$14315&lt;C14310)*$C$14295:$C$14304)</f>
        <v>0</v>
      </c>
    </row>
    <row r="14322" customFormat="false" ht="15" hidden="false" customHeight="false" outlineLevel="0" collapsed="false">
      <c r="A14322" s="3" t="s">
        <v>561</v>
      </c>
      <c r="C14322" s="16" t="n">
        <f aca="false">SUMPRODUCT(($C$14306:$C$14315&lt;C14311)*$C$14295:$C$14304)</f>
        <v>0</v>
      </c>
    </row>
    <row r="14323" customFormat="false" ht="15" hidden="false" customHeight="false" outlineLevel="0" collapsed="false">
      <c r="A14323" s="3" t="s">
        <v>562</v>
      </c>
      <c r="C14323" s="16" t="n">
        <f aca="false">SUMPRODUCT(($C$14306:$C$14315&lt;C14312)*$C$14295:$C$14304)</f>
        <v>0</v>
      </c>
    </row>
    <row r="14324" customFormat="false" ht="15" hidden="false" customHeight="false" outlineLevel="0" collapsed="false">
      <c r="A14324" s="3" t="s">
        <v>563</v>
      </c>
      <c r="C14324" s="16" t="n">
        <f aca="false">SUMPRODUCT(($C$14306:$C$14315&lt;C14313)*$C$14295:$C$14304)</f>
        <v>0</v>
      </c>
    </row>
    <row r="14325" customFormat="false" ht="15" hidden="false" customHeight="false" outlineLevel="0" collapsed="false">
      <c r="A14325" s="3" t="s">
        <v>564</v>
      </c>
      <c r="C14325" s="16" t="n">
        <f aca="false">SUMPRODUCT(($C$14306:$C$14315&lt;C14314)*$C$14295:$C$14304)</f>
        <v>0</v>
      </c>
    </row>
    <row r="14326" customFormat="false" ht="15" hidden="false" customHeight="false" outlineLevel="0" collapsed="false">
      <c r="A14326" s="3" t="s">
        <v>565</v>
      </c>
      <c r="C14326" s="16" t="n">
        <f aca="false">SUMPRODUCT(($C$14306:$C$14315&lt;C14315)*$C$14295:$C$14304)</f>
        <v>1991.71353751912</v>
      </c>
    </row>
    <row r="14327" customFormat="false" ht="15" hidden="false" customHeight="false" outlineLevel="0" collapsed="false">
      <c r="A14327" s="24" t="s">
        <v>573</v>
      </c>
      <c r="B14327" s="25"/>
      <c r="C14327" s="25"/>
      <c r="D14327" s="25"/>
      <c r="E14327" s="25"/>
      <c r="F14327" s="25"/>
      <c r="G14327" s="25"/>
      <c r="H14327" s="25"/>
      <c r="I14327" s="25"/>
      <c r="J14327" s="25"/>
      <c r="K14327" s="25"/>
    </row>
    <row r="14328" customFormat="false" ht="15" hidden="false" customHeight="false" outlineLevel="0" collapsed="false">
      <c r="A14328" s="3" t="s">
        <v>556</v>
      </c>
      <c r="C14328" s="16" t="n">
        <f aca="false">SUMPRODUCT(($C$14306:$C$14315=C14306)*$C$14295:$C$14304)</f>
        <v>0</v>
      </c>
    </row>
    <row r="14329" customFormat="false" ht="15" hidden="false" customHeight="false" outlineLevel="0" collapsed="false">
      <c r="A14329" s="3" t="s">
        <v>557</v>
      </c>
      <c r="C14329" s="16" t="n">
        <f aca="false">SUMPRODUCT(($C$14306:$C$14315=C14307)*$C$14295:$C$14304)</f>
        <v>0</v>
      </c>
    </row>
    <row r="14330" customFormat="false" ht="15" hidden="false" customHeight="false" outlineLevel="0" collapsed="false">
      <c r="A14330" s="3" t="s">
        <v>558</v>
      </c>
      <c r="C14330" s="16" t="n">
        <f aca="false">SUMPRODUCT(($C$14306:$C$14315=C14308)*$C$14295:$C$14304)</f>
        <v>0</v>
      </c>
    </row>
    <row r="14331" customFormat="false" ht="15" hidden="false" customHeight="false" outlineLevel="0" collapsed="false">
      <c r="A14331" s="3" t="s">
        <v>559</v>
      </c>
      <c r="C14331" s="16" t="n">
        <f aca="false">SUMPRODUCT(($C$14306:$C$14315=C14309)*$C$14295:$C$14304)</f>
        <v>1991.71353751912</v>
      </c>
    </row>
    <row r="14332" customFormat="false" ht="15" hidden="false" customHeight="false" outlineLevel="0" collapsed="false">
      <c r="A14332" s="3" t="s">
        <v>560</v>
      </c>
      <c r="C14332" s="16" t="n">
        <f aca="false">SUMPRODUCT(($C$14306:$C$14315=C14310)*$C$14295:$C$14304)</f>
        <v>1991.71353751912</v>
      </c>
    </row>
    <row r="14333" customFormat="false" ht="15" hidden="false" customHeight="false" outlineLevel="0" collapsed="false">
      <c r="A14333" s="3" t="s">
        <v>561</v>
      </c>
      <c r="C14333" s="16" t="n">
        <f aca="false">SUMPRODUCT(($C$14306:$C$14315=C14311)*$C$14295:$C$14304)</f>
        <v>1991.71353751912</v>
      </c>
    </row>
    <row r="14334" customFormat="false" ht="15" hidden="false" customHeight="false" outlineLevel="0" collapsed="false">
      <c r="A14334" s="3" t="s">
        <v>562</v>
      </c>
      <c r="C14334" s="16" t="n">
        <f aca="false">SUMPRODUCT(($C$14306:$C$14315=C14312)*$C$14295:$C$14304)</f>
        <v>1991.71353751912</v>
      </c>
    </row>
    <row r="14335" customFormat="false" ht="15" hidden="false" customHeight="false" outlineLevel="0" collapsed="false">
      <c r="A14335" s="3" t="s">
        <v>563</v>
      </c>
      <c r="C14335" s="16" t="n">
        <f aca="false">SUMPRODUCT(($C$14306:$C$14315=C14313)*$C$14295:$C$14304)</f>
        <v>1991.71353751912</v>
      </c>
    </row>
    <row r="14336" customFormat="false" ht="15" hidden="false" customHeight="false" outlineLevel="0" collapsed="false">
      <c r="A14336" s="3" t="s">
        <v>564</v>
      </c>
      <c r="C14336" s="16" t="n">
        <f aca="false">SUMPRODUCT(($C$14306:$C$14315=C14314)*$C$14295:$C$14304)</f>
        <v>1991.71353751912</v>
      </c>
    </row>
    <row r="14337" customFormat="false" ht="15" hidden="false" customHeight="false" outlineLevel="0" collapsed="false">
      <c r="A14337" s="3" t="s">
        <v>565</v>
      </c>
      <c r="C14337" s="16" t="n">
        <f aca="false">SUMPRODUCT(($C$14306:$C$14315=C14315)*$C$14295:$C$14304)</f>
        <v>78.61</v>
      </c>
    </row>
    <row r="14338" customFormat="false" ht="15" hidden="false" customHeight="false" outlineLevel="0" collapsed="false">
      <c r="A14338" s="24" t="s">
        <v>574</v>
      </c>
      <c r="B14338" s="25"/>
      <c r="C14338" s="25"/>
      <c r="D14338" s="25"/>
      <c r="E14338" s="25"/>
      <c r="F14338" s="25"/>
      <c r="G14338" s="25"/>
      <c r="H14338" s="25"/>
      <c r="I14338" s="25"/>
      <c r="J14338" s="25"/>
      <c r="K14338" s="25"/>
    </row>
    <row r="14339" customFormat="false" ht="15" hidden="false" customHeight="false" outlineLevel="0" collapsed="false">
      <c r="A14339" s="3" t="s">
        <v>556</v>
      </c>
      <c r="C14339" s="16" t="n">
        <f aca="false">IF(C14328=0,0,C14295/C14328*MAX(0,MIN(C14328,$C$14238-SUM($C$14273:$C$14282)-C14317)))</f>
        <v>0</v>
      </c>
    </row>
    <row r="14340" customFormat="false" ht="15" hidden="false" customHeight="false" outlineLevel="0" collapsed="false">
      <c r="A14340" s="3" t="s">
        <v>557</v>
      </c>
      <c r="C14340" s="16" t="n">
        <f aca="false">IF(C14329=0,0,C14296/C14329*MAX(0,MIN(C14329,$C$14238-SUM($C$14273:$C$14282)-C14318)))</f>
        <v>0</v>
      </c>
    </row>
    <row r="14341" customFormat="false" ht="15" hidden="false" customHeight="false" outlineLevel="0" collapsed="false">
      <c r="A14341" s="3" t="s">
        <v>558</v>
      </c>
      <c r="C14341" s="16" t="n">
        <f aca="false">IF(C14330=0,0,C14297/C14330*MAX(0,MIN(C14330,$C$14238-SUM($C$14273:$C$14282)-C14319)))</f>
        <v>0</v>
      </c>
    </row>
    <row r="14342" customFormat="false" ht="15" hidden="false" customHeight="false" outlineLevel="0" collapsed="false">
      <c r="A14342" s="3" t="s">
        <v>559</v>
      </c>
      <c r="C14342" s="16" t="n">
        <f aca="false">IF(C14331=0,0,C14298/C14331*MAX(0,MIN(C14331,$C$14238-SUM($C$14273:$C$14282)-C14320)))</f>
        <v>49.291909591316</v>
      </c>
    </row>
    <row r="14343" customFormat="false" ht="15" hidden="false" customHeight="false" outlineLevel="0" collapsed="false">
      <c r="A14343" s="3" t="s">
        <v>560</v>
      </c>
      <c r="C14343" s="16" t="n">
        <f aca="false">IF(C14332=0,0,C14299/C14332*MAX(0,MIN(C14332,$C$14238-SUM($C$14273:$C$14282)-C14321)))</f>
        <v>392.4216279278</v>
      </c>
    </row>
    <row r="14344" customFormat="false" ht="15" hidden="false" customHeight="false" outlineLevel="0" collapsed="false">
      <c r="A14344" s="3" t="s">
        <v>561</v>
      </c>
      <c r="C14344" s="16" t="n">
        <f aca="false">IF(C14333=0,0,C14300/C14333*MAX(0,MIN(C14333,$C$14238-SUM($C$14273:$C$14282)-C14322)))</f>
        <v>350</v>
      </c>
    </row>
    <row r="14345" customFormat="false" ht="15" hidden="false" customHeight="false" outlineLevel="0" collapsed="false">
      <c r="A14345" s="3" t="s">
        <v>562</v>
      </c>
      <c r="C14345" s="16" t="n">
        <f aca="false">IF(C14334=0,0,C14301/C14334*MAX(0,MIN(C14334,$C$14238-SUM($C$14273:$C$14282)-C14323)))</f>
        <v>550</v>
      </c>
    </row>
    <row r="14346" customFormat="false" ht="15" hidden="false" customHeight="false" outlineLevel="0" collapsed="false">
      <c r="A14346" s="3" t="s">
        <v>563</v>
      </c>
      <c r="C14346" s="16" t="n">
        <f aca="false">IF(C14335=0,0,C14302/C14335*MAX(0,MIN(C14335,$C$14238-SUM($C$14273:$C$14282)-C14324)))</f>
        <v>350</v>
      </c>
    </row>
    <row r="14347" customFormat="false" ht="15" hidden="false" customHeight="false" outlineLevel="0" collapsed="false">
      <c r="A14347" s="3" t="s">
        <v>564</v>
      </c>
      <c r="C14347" s="16" t="n">
        <f aca="false">IF(C14336=0,0,C14303/C14336*MAX(0,MIN(C14336,$C$14238-SUM($C$14273:$C$14282)-C14325)))</f>
        <v>300</v>
      </c>
    </row>
    <row r="14348" customFormat="false" ht="15" hidden="false" customHeight="false" outlineLevel="0" collapsed="false">
      <c r="A14348" s="3" t="s">
        <v>565</v>
      </c>
      <c r="C14348" s="16" t="n">
        <f aca="false">IF(C14337=0,0,C14304/C14337*MAX(0,MIN(C14337,$C$14238-SUM($C$14273:$C$14282)-C14326)))</f>
        <v>78.61</v>
      </c>
    </row>
    <row r="14349" customFormat="false" ht="15" hidden="false" customHeight="false" outlineLevel="0" collapsed="false">
      <c r="A14349" s="24" t="s">
        <v>575</v>
      </c>
      <c r="B14349" s="25"/>
      <c r="C14349" s="25"/>
      <c r="D14349" s="25"/>
      <c r="E14349" s="25"/>
      <c r="F14349" s="25"/>
      <c r="G14349" s="25"/>
      <c r="H14349" s="25"/>
      <c r="I14349" s="25"/>
      <c r="J14349" s="25"/>
      <c r="K14349" s="25"/>
    </row>
    <row r="14350" customFormat="false" ht="15" hidden="false" customHeight="false" outlineLevel="0" collapsed="false">
      <c r="A14350" s="2" t="s">
        <v>556</v>
      </c>
      <c r="C14350" s="17" t="n">
        <f aca="false">C14273+C14339</f>
        <v>388</v>
      </c>
    </row>
    <row r="14351" customFormat="false" ht="15" hidden="false" customHeight="false" outlineLevel="0" collapsed="false">
      <c r="A14351" s="2" t="s">
        <v>557</v>
      </c>
      <c r="C14351" s="17" t="n">
        <f aca="false">C14274+C14340</f>
        <v>90</v>
      </c>
    </row>
    <row r="14352" customFormat="false" ht="15" hidden="false" customHeight="false" outlineLevel="0" collapsed="false">
      <c r="A14352" s="2" t="s">
        <v>558</v>
      </c>
      <c r="C14352" s="17" t="n">
        <f aca="false">C14275+C14341</f>
        <v>57.324</v>
      </c>
    </row>
    <row r="14353" customFormat="false" ht="15" hidden="false" customHeight="false" outlineLevel="0" collapsed="false">
      <c r="A14353" s="2" t="s">
        <v>559</v>
      </c>
      <c r="C14353" s="17" t="n">
        <f aca="false">C14276+C14342</f>
        <v>49.291909591316</v>
      </c>
    </row>
    <row r="14354" customFormat="false" ht="15" hidden="false" customHeight="false" outlineLevel="0" collapsed="false">
      <c r="A14354" s="2" t="s">
        <v>560</v>
      </c>
      <c r="C14354" s="17" t="n">
        <f aca="false">C14277+C14343</f>
        <v>392.4216279278</v>
      </c>
    </row>
    <row r="14355" customFormat="false" ht="15" hidden="false" customHeight="false" outlineLevel="0" collapsed="false">
      <c r="A14355" s="2" t="s">
        <v>561</v>
      </c>
      <c r="C14355" s="17" t="n">
        <f aca="false">C14278+C14344</f>
        <v>350</v>
      </c>
    </row>
    <row r="14356" customFormat="false" ht="15" hidden="false" customHeight="false" outlineLevel="0" collapsed="false">
      <c r="A14356" s="2" t="s">
        <v>562</v>
      </c>
      <c r="C14356" s="17" t="n">
        <f aca="false">C14279+C14345</f>
        <v>550</v>
      </c>
    </row>
    <row r="14357" customFormat="false" ht="15" hidden="false" customHeight="false" outlineLevel="0" collapsed="false">
      <c r="A14357" s="2" t="s">
        <v>563</v>
      </c>
      <c r="C14357" s="17" t="n">
        <f aca="false">C14280+C14346</f>
        <v>350</v>
      </c>
    </row>
    <row r="14358" customFormat="false" ht="15" hidden="false" customHeight="false" outlineLevel="0" collapsed="false">
      <c r="A14358" s="2" t="s">
        <v>564</v>
      </c>
      <c r="C14358" s="17" t="n">
        <f aca="false">C14281+C14347</f>
        <v>300</v>
      </c>
    </row>
    <row r="14359" customFormat="false" ht="15" hidden="false" customHeight="false" outlineLevel="0" collapsed="false">
      <c r="A14359" s="2" t="s">
        <v>565</v>
      </c>
      <c r="C14359" s="17" t="n">
        <f aca="false">C14282+C14348</f>
        <v>78.61</v>
      </c>
    </row>
    <row r="14360" customFormat="false" ht="15" hidden="false" customHeight="false" outlineLevel="0" collapsed="false">
      <c r="A14360" s="24" t="s">
        <v>576</v>
      </c>
      <c r="B14360" s="25"/>
      <c r="C14360" s="25"/>
      <c r="D14360" s="25"/>
      <c r="E14360" s="25"/>
      <c r="F14360" s="25"/>
      <c r="G14360" s="25"/>
      <c r="H14360" s="25"/>
      <c r="I14360" s="25"/>
      <c r="J14360" s="25"/>
      <c r="K14360" s="25"/>
    </row>
    <row r="14361" customFormat="false" ht="15" hidden="false" customHeight="false" outlineLevel="0" collapsed="false">
      <c r="A14361" s="3" t="s">
        <v>556</v>
      </c>
      <c r="C14361" s="22" t="n">
        <f aca="false">IF(C14240=0,1,C14350/C14240)</f>
        <v>1</v>
      </c>
    </row>
    <row r="14362" customFormat="false" ht="15" hidden="false" customHeight="false" outlineLevel="0" collapsed="false">
      <c r="A14362" s="3" t="s">
        <v>557</v>
      </c>
      <c r="C14362" s="22" t="n">
        <f aca="false">IF(C14241=0,1,C14351/C14241)</f>
        <v>1</v>
      </c>
    </row>
    <row r="14363" customFormat="false" ht="15" hidden="false" customHeight="false" outlineLevel="0" collapsed="false">
      <c r="A14363" s="3" t="s">
        <v>558</v>
      </c>
      <c r="C14363" s="22" t="n">
        <f aca="false">IF(C14242=0,1,C14352/C14242)</f>
        <v>1</v>
      </c>
    </row>
    <row r="14364" customFormat="false" ht="15" hidden="false" customHeight="false" outlineLevel="0" collapsed="false">
      <c r="A14364" s="3" t="s">
        <v>559</v>
      </c>
      <c r="C14364" s="22" t="n">
        <f aca="false">IF(C14243=0,1,C14353/C14243)</f>
        <v>1</v>
      </c>
    </row>
    <row r="14365" customFormat="false" ht="15" hidden="false" customHeight="false" outlineLevel="0" collapsed="false">
      <c r="A14365" s="3" t="s">
        <v>560</v>
      </c>
      <c r="C14365" s="22" t="n">
        <f aca="false">IF(C14244=0,1,C14354/C14244)</f>
        <v>1</v>
      </c>
    </row>
    <row r="14366" customFormat="false" ht="15" hidden="false" customHeight="false" outlineLevel="0" collapsed="false">
      <c r="A14366" s="3" t="s">
        <v>561</v>
      </c>
      <c r="C14366" s="22" t="n">
        <f aca="false">IF(C14245=0,1,C14355/C14245)</f>
        <v>1</v>
      </c>
    </row>
    <row r="14367" customFormat="false" ht="15" hidden="false" customHeight="false" outlineLevel="0" collapsed="false">
      <c r="A14367" s="3" t="s">
        <v>562</v>
      </c>
      <c r="C14367" s="22" t="n">
        <f aca="false">IF(C14246=0,1,C14356/C14246)</f>
        <v>1</v>
      </c>
    </row>
    <row r="14368" customFormat="false" ht="15" hidden="false" customHeight="false" outlineLevel="0" collapsed="false">
      <c r="A14368" s="3" t="s">
        <v>563</v>
      </c>
      <c r="C14368" s="22" t="n">
        <f aca="false">IF(C14247=0,1,C14357/C14247)</f>
        <v>1</v>
      </c>
    </row>
    <row r="14369" customFormat="false" ht="15" hidden="false" customHeight="false" outlineLevel="0" collapsed="false">
      <c r="A14369" s="3" t="s">
        <v>564</v>
      </c>
      <c r="C14369" s="22" t="n">
        <f aca="false">IF(C14248=0,1,C14358/C14248)</f>
        <v>1</v>
      </c>
    </row>
    <row r="14370" customFormat="false" ht="15" hidden="false" customHeight="false" outlineLevel="0" collapsed="false">
      <c r="A14370" s="3" t="s">
        <v>565</v>
      </c>
      <c r="C14370" s="22" t="n">
        <f aca="false">IF(C14249=0,1,C14359/C14249)</f>
        <v>1</v>
      </c>
    </row>
    <row r="14371" customFormat="false" ht="15" hidden="false" customHeight="false" outlineLevel="0" collapsed="false">
      <c r="A14371" s="24" t="s">
        <v>577</v>
      </c>
      <c r="B14371" s="25"/>
      <c r="C14371" s="25"/>
      <c r="D14371" s="25"/>
      <c r="E14371" s="25"/>
      <c r="F14371" s="25"/>
      <c r="G14371" s="25"/>
      <c r="H14371" s="25"/>
      <c r="I14371" s="25"/>
      <c r="J14371" s="25"/>
      <c r="K14371" s="25"/>
    </row>
    <row r="14372" customFormat="false" ht="15" hidden="false" customHeight="false" outlineLevel="0" collapsed="false">
      <c r="A14372" s="3" t="s">
        <v>556</v>
      </c>
      <c r="C14372" s="16" t="n">
        <f aca="false">C14240-C14350</f>
        <v>0</v>
      </c>
    </row>
    <row r="14373" customFormat="false" ht="15" hidden="false" customHeight="false" outlineLevel="0" collapsed="false">
      <c r="A14373" s="3" t="s">
        <v>557</v>
      </c>
      <c r="C14373" s="16" t="n">
        <f aca="false">C14241-C14351</f>
        <v>0</v>
      </c>
    </row>
    <row r="14374" customFormat="false" ht="15" hidden="false" customHeight="false" outlineLevel="0" collapsed="false">
      <c r="A14374" s="3" t="s">
        <v>558</v>
      </c>
      <c r="C14374" s="16" t="n">
        <f aca="false">C14242-C14352</f>
        <v>0</v>
      </c>
    </row>
    <row r="14375" customFormat="false" ht="15" hidden="false" customHeight="false" outlineLevel="0" collapsed="false">
      <c r="A14375" s="3" t="s">
        <v>559</v>
      </c>
      <c r="C14375" s="16" t="n">
        <f aca="false">C14243-C14353</f>
        <v>0</v>
      </c>
    </row>
    <row r="14376" customFormat="false" ht="15" hidden="false" customHeight="false" outlineLevel="0" collapsed="false">
      <c r="A14376" s="3" t="s">
        <v>560</v>
      </c>
      <c r="C14376" s="16" t="n">
        <f aca="false">C14244-C14354</f>
        <v>0</v>
      </c>
    </row>
    <row r="14377" customFormat="false" ht="15" hidden="false" customHeight="false" outlineLevel="0" collapsed="false">
      <c r="A14377" s="3" t="s">
        <v>561</v>
      </c>
      <c r="C14377" s="16" t="n">
        <f aca="false">C14245-C14355</f>
        <v>0</v>
      </c>
    </row>
    <row r="14378" customFormat="false" ht="15" hidden="false" customHeight="false" outlineLevel="0" collapsed="false">
      <c r="A14378" s="3" t="s">
        <v>562</v>
      </c>
      <c r="C14378" s="16" t="n">
        <f aca="false">C14246-C14356</f>
        <v>0</v>
      </c>
    </row>
    <row r="14379" customFormat="false" ht="15" hidden="false" customHeight="false" outlineLevel="0" collapsed="false">
      <c r="A14379" s="3" t="s">
        <v>563</v>
      </c>
      <c r="C14379" s="16" t="n">
        <f aca="false">C14247-C14357</f>
        <v>0</v>
      </c>
    </row>
    <row r="14380" customFormat="false" ht="15" hidden="false" customHeight="false" outlineLevel="0" collapsed="false">
      <c r="A14380" s="3" t="s">
        <v>564</v>
      </c>
      <c r="C14380" s="16" t="n">
        <f aca="false">C14248-C14358</f>
        <v>0</v>
      </c>
    </row>
    <row r="14381" customFormat="false" ht="15" hidden="false" customHeight="false" outlineLevel="0" collapsed="false">
      <c r="A14381" s="3" t="s">
        <v>565</v>
      </c>
      <c r="C14381" s="16" t="n">
        <f aca="false">C14249-C14359</f>
        <v>0</v>
      </c>
    </row>
    <row r="14382" customFormat="false" ht="15" hidden="false" customHeight="false" outlineLevel="0" collapsed="false">
      <c r="A14382" s="24" t="s">
        <v>578</v>
      </c>
      <c r="B14382" s="25"/>
      <c r="C14382" s="25"/>
      <c r="D14382" s="25"/>
      <c r="E14382" s="25"/>
      <c r="F14382" s="25"/>
      <c r="G14382" s="25"/>
      <c r="H14382" s="25"/>
      <c r="I14382" s="25"/>
      <c r="J14382" s="25"/>
      <c r="K14382" s="25"/>
    </row>
    <row r="14383" customFormat="false" ht="15" hidden="false" customHeight="false" outlineLevel="0" collapsed="false">
      <c r="A14383" s="3" t="s">
        <v>556</v>
      </c>
      <c r="C14383" s="22" t="n">
        <f aca="false">IF(C14240=0,0,C14372/C14240)</f>
        <v>0</v>
      </c>
    </row>
    <row r="14384" customFormat="false" ht="15" hidden="false" customHeight="false" outlineLevel="0" collapsed="false">
      <c r="A14384" s="3" t="s">
        <v>557</v>
      </c>
      <c r="C14384" s="22" t="n">
        <f aca="false">IF(C14241=0,0,C14373/C14241)</f>
        <v>0</v>
      </c>
    </row>
    <row r="14385" customFormat="false" ht="15" hidden="false" customHeight="false" outlineLevel="0" collapsed="false">
      <c r="A14385" s="3" t="s">
        <v>558</v>
      </c>
      <c r="C14385" s="22" t="n">
        <f aca="false">IF(C14242=0,0,C14374/C14242)</f>
        <v>0</v>
      </c>
    </row>
    <row r="14386" customFormat="false" ht="15" hidden="false" customHeight="false" outlineLevel="0" collapsed="false">
      <c r="A14386" s="3" t="s">
        <v>559</v>
      </c>
      <c r="C14386" s="22" t="n">
        <f aca="false">IF(C14243=0,0,C14375/C14243)</f>
        <v>0</v>
      </c>
    </row>
    <row r="14387" customFormat="false" ht="15" hidden="false" customHeight="false" outlineLevel="0" collapsed="false">
      <c r="A14387" s="3" t="s">
        <v>560</v>
      </c>
      <c r="C14387" s="22" t="n">
        <f aca="false">IF(C14244=0,0,C14376/C14244)</f>
        <v>0</v>
      </c>
    </row>
    <row r="14388" customFormat="false" ht="15" hidden="false" customHeight="false" outlineLevel="0" collapsed="false">
      <c r="A14388" s="3" t="s">
        <v>561</v>
      </c>
      <c r="C14388" s="22" t="n">
        <f aca="false">IF(C14245=0,0,C14377/C14245)</f>
        <v>0</v>
      </c>
    </row>
    <row r="14389" customFormat="false" ht="15" hidden="false" customHeight="false" outlineLevel="0" collapsed="false">
      <c r="A14389" s="3" t="s">
        <v>562</v>
      </c>
      <c r="C14389" s="22" t="n">
        <f aca="false">IF(C14246=0,0,C14378/C14246)</f>
        <v>0</v>
      </c>
    </row>
    <row r="14390" customFormat="false" ht="15" hidden="false" customHeight="false" outlineLevel="0" collapsed="false">
      <c r="A14390" s="3" t="s">
        <v>563</v>
      </c>
      <c r="C14390" s="22" t="n">
        <f aca="false">IF(C14247=0,0,C14379/C14247)</f>
        <v>0</v>
      </c>
    </row>
    <row r="14391" customFormat="false" ht="15" hidden="false" customHeight="false" outlineLevel="0" collapsed="false">
      <c r="A14391" s="3" t="s">
        <v>564</v>
      </c>
      <c r="C14391" s="22" t="n">
        <f aca="false">IF(C14248=0,0,C14380/C14248)</f>
        <v>0</v>
      </c>
    </row>
    <row r="14392" customFormat="false" ht="15" hidden="false" customHeight="false" outlineLevel="0" collapsed="false">
      <c r="A14392" s="3" t="s">
        <v>565</v>
      </c>
      <c r="C14392" s="22" t="n">
        <f aca="false">IF(C14249=0,0,C14381/C14249)</f>
        <v>0</v>
      </c>
    </row>
    <row r="14393" customFormat="false" ht="15" hidden="false" customHeight="false" outlineLevel="0" collapsed="false">
      <c r="A14393" s="2" t="s">
        <v>579</v>
      </c>
      <c r="C14393" s="17" t="n">
        <f aca="false">MAX(0,$C$14238-SUM($C$14273:$C$14282)-SUM($C$14295:$C$14304))</f>
        <v>1293.10412504148</v>
      </c>
    </row>
    <row r="14394" customFormat="false" ht="15" hidden="false" customHeight="false" outlineLevel="0" collapsed="false">
      <c r="A14394" s="3" t="s">
        <v>597</v>
      </c>
      <c r="C14394" s="35" t="n">
        <f aca="false">MIN(C14237,100*CHOOSE(C14227,C14361,C14362,C14363,C14364,C14365,C14366,C14367,C14368,C14369,C14370))</f>
        <v>100</v>
      </c>
    </row>
    <row r="14395" customFormat="false" ht="15" hidden="false" customHeight="false" outlineLevel="0" collapsed="false">
      <c r="A14395" s="3" t="s">
        <v>598</v>
      </c>
      <c r="C14395" s="21" t="n">
        <f aca="false">IF(C14059=1,C14232+Assumptions!$C$40,C14231)</f>
        <v>3</v>
      </c>
    </row>
    <row r="14396" customFormat="false" ht="15" hidden="false" customHeight="false" outlineLevel="0" collapsed="false">
      <c r="A14396" s="24" t="s">
        <v>599</v>
      </c>
      <c r="B14396" s="25"/>
      <c r="C14396" s="25"/>
      <c r="D14396" s="25"/>
      <c r="E14396" s="25"/>
      <c r="F14396" s="25"/>
      <c r="G14396" s="25"/>
      <c r="H14396" s="25"/>
      <c r="I14396" s="25"/>
      <c r="J14396" s="25"/>
      <c r="K14396" s="25"/>
    </row>
    <row r="14397" customFormat="false" ht="15" hidden="false" customHeight="false" outlineLevel="0" collapsed="false">
      <c r="A14397" s="3" t="s">
        <v>600</v>
      </c>
      <c r="C14397" s="21" t="n">
        <f aca="false">COLUMN()-COLUMN($C$1)</f>
        <v>0</v>
      </c>
      <c r="D14397" s="21" t="n">
        <f aca="false">COLUMN()-COLUMN($C$1)</f>
        <v>1</v>
      </c>
      <c r="E14397" s="21" t="n">
        <f aca="false">COLUMN()-COLUMN($C$1)</f>
        <v>2</v>
      </c>
      <c r="F14397" s="21" t="n">
        <f aca="false">COLUMN()-COLUMN($C$1)</f>
        <v>3</v>
      </c>
      <c r="G14397" s="21" t="n">
        <f aca="false">COLUMN()-COLUMN($C$1)</f>
        <v>4</v>
      </c>
      <c r="H14397" s="21" t="n">
        <f aca="false">COLUMN()-COLUMN($C$1)</f>
        <v>5</v>
      </c>
      <c r="I14397" s="21" t="n">
        <f aca="false">COLUMN()-COLUMN($C$1)</f>
        <v>6</v>
      </c>
    </row>
    <row r="14398" customFormat="false" ht="15" hidden="false" customHeight="false" outlineLevel="0" collapsed="false">
      <c r="A14398" s="3" t="s">
        <v>601</v>
      </c>
      <c r="D14398" s="31" t="n">
        <f aca="false">CHOOSE($C$14227,G13807,G13820,G13833,G13846,G13859,G13872,G13885,G13898,G13911,G13924)</f>
        <v>0.0915</v>
      </c>
      <c r="E14398" s="31" t="n">
        <f aca="false">CHOOSE($C$14227,H13807,H13820,H13833,H13846,H13859,H13872,H13885,H13898,H13911,H13924)</f>
        <v>0.09</v>
      </c>
      <c r="F14398" s="31" t="n">
        <f aca="false">CHOOSE($C$14227,I13807,I13820,I13833,I13846,I13859,I13872,I13885,I13898,I13911,I13924)</f>
        <v>0.0875</v>
      </c>
      <c r="G14398" s="31" t="n">
        <f aca="false">CHOOSE($C$14227,J13807,J13820,J13833,J13846,J13859,J13872,J13885,J13898,J13911,J13924)</f>
        <v>0.0875</v>
      </c>
      <c r="H14398" s="31" t="n">
        <f aca="false">CHOOSE($C$14227,K13807,K13820,K13833,K13846,K13859,K13872,K13885,K13898,K13911,K13924)</f>
        <v>0.0875</v>
      </c>
    </row>
    <row r="14399" customFormat="false" ht="15" hidden="false" customHeight="false" outlineLevel="0" collapsed="false">
      <c r="A14399" s="3" t="s">
        <v>602</v>
      </c>
      <c r="D14399" s="16" t="n">
        <f aca="false">IF(D14397&lt;=$C$14236,$C$14228*D14398,0)</f>
        <v>9.15</v>
      </c>
      <c r="E14399" s="16" t="n">
        <f aca="false">IF(E14397&lt;=$C$14236,$C$14228*E14398,0)</f>
        <v>9</v>
      </c>
      <c r="F14399" s="16" t="n">
        <f aca="false">IF(F14397&lt;=$C$14236,$C$14228*F14398,0)</f>
        <v>8.75</v>
      </c>
      <c r="G14399" s="16" t="n">
        <f aca="false">IF(G14397&lt;=$C$14236,$C$14228*G14398,0)</f>
        <v>0</v>
      </c>
      <c r="H14399" s="16" t="n">
        <f aca="false">IF(H14397&lt;=$C$14236,$C$14228*H14398,0)</f>
        <v>0</v>
      </c>
    </row>
    <row r="14400" customFormat="false" ht="15" hidden="false" customHeight="false" outlineLevel="0" collapsed="false">
      <c r="A14400" s="3" t="s">
        <v>603</v>
      </c>
      <c r="D14400" s="16" t="n">
        <f aca="false">IF(AND($C$14059=0,D14397=$C$14231),$C$14228*$C$14394/100,0)+IF(AND($C$14059=1,D14397=$C$14395),$C$14234,0)</f>
        <v>0</v>
      </c>
      <c r="E14400" s="16" t="n">
        <f aca="false">IF(AND($C$14059=0,E14397=$C$14231),$C$14228*$C$14394/100,0)+IF(AND($C$14059=1,E14397=$C$14395),$C$14234,0)</f>
        <v>0</v>
      </c>
      <c r="F14400" s="16" t="n">
        <f aca="false">IF(AND($C$14059=0,F14397=$C$14231),$C$14228*$C$14394/100,0)+IF(AND($C$14059=1,F14397=$C$14395),$C$14234,0)</f>
        <v>100</v>
      </c>
      <c r="G14400" s="16" t="n">
        <f aca="false">IF(AND($C$14059=0,G14397=$C$14231),$C$14228*$C$14394/100,0)+IF(AND($C$14059=1,G14397=$C$14395),$C$14234,0)</f>
        <v>0</v>
      </c>
      <c r="H14400" s="16" t="n">
        <f aca="false">IF(AND($C$14059=0,H14397=$C$14231),$C$14228*$C$14394/100,0)+IF(AND($C$14059=1,H14397=$C$14395),$C$14234,0)</f>
        <v>0</v>
      </c>
      <c r="I14400" s="16" t="n">
        <f aca="false">IF(AND($C$14059=0,I14397=$C$14231),$C$14228*$C$14394/100,0)+IF(AND($C$14059=1,I14397=$C$14395),$C$14234,0)</f>
        <v>0</v>
      </c>
    </row>
    <row r="14401" customFormat="false" ht="15" hidden="false" customHeight="false" outlineLevel="0" collapsed="false">
      <c r="A14401" s="2" t="s">
        <v>604</v>
      </c>
      <c r="C14401" s="17" t="n">
        <f aca="false">-$C$14230</f>
        <v>-98.49</v>
      </c>
      <c r="D14401" s="17" t="n">
        <f aca="false">D14399+D14400</f>
        <v>9.15</v>
      </c>
      <c r="E14401" s="17" t="n">
        <f aca="false">E14399+E14400</f>
        <v>9</v>
      </c>
      <c r="F14401" s="17" t="n">
        <f aca="false">F14399+F14400</f>
        <v>108.75</v>
      </c>
      <c r="G14401" s="17" t="n">
        <f aca="false">G14399+G14400</f>
        <v>0</v>
      </c>
      <c r="H14401" s="17" t="n">
        <f aca="false">H14399+H14400</f>
        <v>0</v>
      </c>
      <c r="I14401" s="17" t="n">
        <f aca="false">I14399+I14400</f>
        <v>0</v>
      </c>
    </row>
    <row r="14402" customFormat="false" ht="15" hidden="false" customHeight="false" outlineLevel="0" collapsed="false">
      <c r="A14402" s="3" t="s">
        <v>605</v>
      </c>
      <c r="C14402" s="16" t="n">
        <f aca="false">SUM($C$14399:$I$14399)</f>
        <v>26.9</v>
      </c>
    </row>
    <row r="14403" customFormat="false" ht="15" hidden="false" customHeight="false" outlineLevel="0" collapsed="false">
      <c r="A14403" s="3" t="s">
        <v>606</v>
      </c>
      <c r="C14403" s="16" t="n">
        <f aca="false">SUM($C$14400:$I$14400)</f>
        <v>100</v>
      </c>
    </row>
    <row r="14404" customFormat="false" ht="15" hidden="false" customHeight="false" outlineLevel="0" collapsed="false">
      <c r="A14404" s="3" t="s">
        <v>607</v>
      </c>
      <c r="C14404" s="16" t="n">
        <f aca="false">C14402+C14403</f>
        <v>126.9</v>
      </c>
    </row>
    <row r="14405" customFormat="false" ht="15" hidden="false" customHeight="false" outlineLevel="0" collapsed="false">
      <c r="A14405" s="3" t="s">
        <v>608</v>
      </c>
      <c r="C14405" s="16" t="n">
        <f aca="false">C14403-C14228*C14229/100</f>
        <v>2</v>
      </c>
    </row>
    <row r="14406" customFormat="false" ht="15" hidden="false" customHeight="false" outlineLevel="0" collapsed="false">
      <c r="A14406" s="3" t="s">
        <v>609</v>
      </c>
      <c r="C14406" s="16" t="n">
        <f aca="false">C14404-C14230</f>
        <v>28.41</v>
      </c>
    </row>
    <row r="14407" customFormat="false" ht="15" hidden="false" customHeight="false" outlineLevel="0" collapsed="false">
      <c r="A14407" s="2" t="s">
        <v>484</v>
      </c>
      <c r="C14407" s="44" t="n">
        <f aca="false">C14404/C14230</f>
        <v>1.28845568077977</v>
      </c>
    </row>
    <row r="14408" customFormat="false" ht="15" hidden="false" customHeight="false" outlineLevel="0" collapsed="false">
      <c r="A14408" s="2" t="s">
        <v>483</v>
      </c>
      <c r="C14408" s="42" t="n">
        <f aca="false">IF(C14404&lt;=0,-1,IFERROR(IRR($C$14401:$I$14401,MAX(-0.9,C14407^(1/C14395)-1)),IRR($C$14401:$I$14401,0.1)))</f>
        <v>0.0958152816969216</v>
      </c>
    </row>
    <row r="14409" customFormat="false" ht="15" hidden="false" customHeight="false" outlineLevel="0" collapsed="false">
      <c r="A14409" s="3" t="s">
        <v>610</v>
      </c>
      <c r="C14409" s="32" t="n">
        <f aca="false">MAX($G$14003:$K$14003)</f>
        <v>9.15679671548726</v>
      </c>
    </row>
    <row r="14410" customFormat="false" ht="15" hidden="false" customHeight="false" outlineLevel="0" collapsed="false">
      <c r="A14410" s="3" t="s">
        <v>611</v>
      </c>
      <c r="C14410" s="32" t="n">
        <f aca="false">MIN($G$14004:$K$14004)</f>
        <v>1.49479265779796</v>
      </c>
    </row>
    <row r="14411" customFormat="false" ht="15" hidden="false" customHeight="false" outlineLevel="0" collapsed="false">
      <c r="A14411" s="3" t="s">
        <v>612</v>
      </c>
      <c r="C14411" s="16" t="n">
        <f aca="false">SUM($G$13791:$K$13791)</f>
        <v>-342.858313863128</v>
      </c>
    </row>
    <row r="14415" customFormat="false" ht="15" hidden="false" customHeight="false" outlineLevel="0" collapsed="false">
      <c r="A14415" s="9" t="s">
        <v>1152</v>
      </c>
      <c r="B14415" s="10"/>
      <c r="C14415" s="10"/>
      <c r="D14415" s="10"/>
      <c r="E14415" s="10"/>
      <c r="F14415" s="10"/>
      <c r="G14415" s="10"/>
      <c r="H14415" s="10"/>
      <c r="I14415" s="10"/>
      <c r="J14415" s="10"/>
      <c r="K14415" s="10"/>
    </row>
    <row r="14416" customFormat="false" ht="15" hidden="false" customHeight="false" outlineLevel="0" collapsed="false">
      <c r="A14416" s="3" t="s">
        <v>1126</v>
      </c>
      <c r="C14416" s="11" t="n">
        <v>1</v>
      </c>
    </row>
    <row r="14417" customFormat="false" ht="15" hidden="false" customHeight="false" outlineLevel="0" collapsed="false">
      <c r="A14417" s="3" t="s">
        <v>1127</v>
      </c>
      <c r="C14417" s="30" t="n">
        <f aca="false">Sensitivities!$A$44</f>
        <v>0.1</v>
      </c>
    </row>
    <row r="14418" customFormat="false" ht="15" hidden="false" customHeight="false" outlineLevel="0" collapsed="false">
      <c r="A14418" s="3" t="s">
        <v>1128</v>
      </c>
      <c r="C14418" s="19" t="n">
        <v>0</v>
      </c>
    </row>
    <row r="14419" customFormat="false" ht="15" hidden="false" customHeight="false" outlineLevel="0" collapsed="false">
      <c r="A14419" s="3" t="s">
        <v>1129</v>
      </c>
      <c r="C14419" s="19" t="n">
        <v>0</v>
      </c>
    </row>
    <row r="14420" customFormat="false" ht="15" hidden="false" customHeight="false" outlineLevel="0" collapsed="false">
      <c r="A14420" s="3" t="s">
        <v>1130</v>
      </c>
      <c r="C14420" s="15" t="n">
        <v>0</v>
      </c>
    </row>
    <row r="14422" customFormat="false" ht="15" hidden="false" customHeight="false" outlineLevel="0" collapsed="false">
      <c r="A14422" s="24" t="s">
        <v>301</v>
      </c>
      <c r="B14422" s="25"/>
      <c r="C14422" s="25"/>
      <c r="D14422" s="25"/>
      <c r="E14422" s="25"/>
      <c r="F14422" s="25"/>
      <c r="G14422" s="25"/>
      <c r="H14422" s="25"/>
      <c r="I14422" s="25"/>
      <c r="J14422" s="25"/>
      <c r="K14422" s="25"/>
    </row>
    <row r="14423" customFormat="false" ht="15" hidden="false" customHeight="false" outlineLevel="0" collapsed="false">
      <c r="A14423" s="3" t="s">
        <v>302</v>
      </c>
      <c r="F14423" s="27" t="n">
        <f aca="false">Assumptions!$C$6</f>
        <v>2026</v>
      </c>
      <c r="G14423" s="21" t="n">
        <f aca="false">F14423+1</f>
        <v>2027</v>
      </c>
      <c r="H14423" s="21" t="n">
        <f aca="false">G14423+1</f>
        <v>2028</v>
      </c>
      <c r="I14423" s="21" t="n">
        <f aca="false">H14423+1</f>
        <v>2029</v>
      </c>
      <c r="J14423" s="21" t="n">
        <f aca="false">I14423+1</f>
        <v>2030</v>
      </c>
      <c r="K14423" s="21" t="n">
        <f aca="false">J14423+1</f>
        <v>2031</v>
      </c>
    </row>
    <row r="14424" customFormat="false" ht="15" hidden="false" customHeight="false" outlineLevel="0" collapsed="false">
      <c r="A14424" s="3" t="s">
        <v>303</v>
      </c>
      <c r="G14424" s="21" t="n">
        <f aca="false">G14423-Assumptions!$C$6</f>
        <v>1</v>
      </c>
      <c r="H14424" s="21" t="n">
        <f aca="false">H14423-Assumptions!$C$6</f>
        <v>2</v>
      </c>
      <c r="I14424" s="21" t="n">
        <f aca="false">I14423-Assumptions!$C$6</f>
        <v>3</v>
      </c>
      <c r="J14424" s="21" t="n">
        <f aca="false">J14423-Assumptions!$C$6</f>
        <v>4</v>
      </c>
      <c r="K14424" s="21" t="n">
        <f aca="false">K14423-Assumptions!$C$6</f>
        <v>5</v>
      </c>
    </row>
    <row r="14425" customFormat="false" ht="15" hidden="false" customHeight="false" outlineLevel="0" collapsed="false">
      <c r="A14425" s="3" t="s">
        <v>180</v>
      </c>
      <c r="G14425" s="22" t="n">
        <f aca="false">CHOOSE($C$14416,Assumptions!$G$79,Assumptions!$G$98,Assumptions!$G$117)+$C$14417</f>
        <v>0.07</v>
      </c>
      <c r="H14425" s="22" t="n">
        <f aca="false">CHOOSE($C$14416,Assumptions!$H$79,Assumptions!$H$98,Assumptions!$H$117)+$C$14417</f>
        <v>0.12</v>
      </c>
      <c r="I14425" s="22" t="n">
        <f aca="false">CHOOSE($C$14416,Assumptions!$I$79,Assumptions!$I$98,Assumptions!$I$117)+$C$14417</f>
        <v>0.12</v>
      </c>
      <c r="J14425" s="22" t="n">
        <f aca="false">CHOOSE($C$14416,Assumptions!$J$79,Assumptions!$J$98,Assumptions!$J$117)+$C$14417</f>
        <v>0.12</v>
      </c>
      <c r="K14425" s="22" t="n">
        <f aca="false">CHOOSE($C$14416,Assumptions!$K$79,Assumptions!$K$98,Assumptions!$K$117)+$C$14417</f>
        <v>0.12</v>
      </c>
    </row>
    <row r="14426" customFormat="false" ht="15" hidden="false" customHeight="false" outlineLevel="0" collapsed="false">
      <c r="A14426" s="3" t="s">
        <v>181</v>
      </c>
      <c r="G14426" s="22" t="n">
        <f aca="false">CHOOSE($C$14416,Assumptions!$G$80,Assumptions!$G$99,Assumptions!$G$118)</f>
        <v>0.603920660818678</v>
      </c>
      <c r="H14426" s="22" t="n">
        <f aca="false">CHOOSE($C$14416,Assumptions!$H$80,Assumptions!$H$99,Assumptions!$H$118)</f>
        <v>0.606920660818678</v>
      </c>
      <c r="I14426" s="22" t="n">
        <f aca="false">CHOOSE($C$14416,Assumptions!$I$80,Assumptions!$I$99,Assumptions!$I$118)</f>
        <v>0.609920660818678</v>
      </c>
      <c r="J14426" s="22" t="n">
        <f aca="false">CHOOSE($C$14416,Assumptions!$J$80,Assumptions!$J$99,Assumptions!$J$118)</f>
        <v>0.611920660818678</v>
      </c>
      <c r="K14426" s="22" t="n">
        <f aca="false">CHOOSE($C$14416,Assumptions!$K$80,Assumptions!$K$99,Assumptions!$K$118)</f>
        <v>0.613920660818678</v>
      </c>
    </row>
    <row r="14427" customFormat="false" ht="15" hidden="false" customHeight="false" outlineLevel="0" collapsed="false">
      <c r="A14427" s="3" t="s">
        <v>182</v>
      </c>
      <c r="G14427" s="22" t="n">
        <f aca="false">CHOOSE($C$14416,Assumptions!$G$81,Assumptions!$G$100,Assumptions!$G$119)+$C$14418</f>
        <v>0.53</v>
      </c>
      <c r="H14427" s="22" t="n">
        <f aca="false">CHOOSE($C$14416,Assumptions!$H$81,Assumptions!$H$100,Assumptions!$H$119)+$C$14418</f>
        <v>0.533</v>
      </c>
      <c r="I14427" s="22" t="n">
        <f aca="false">CHOOSE($C$14416,Assumptions!$I$81,Assumptions!$I$100,Assumptions!$I$119)+$C$14418</f>
        <v>0.536</v>
      </c>
      <c r="J14427" s="22" t="n">
        <f aca="false">CHOOSE($C$14416,Assumptions!$J$81,Assumptions!$J$100,Assumptions!$J$119)+$C$14418</f>
        <v>0.538</v>
      </c>
      <c r="K14427" s="22" t="n">
        <f aca="false">CHOOSE($C$14416,Assumptions!$K$81,Assumptions!$K$100,Assumptions!$K$119)+$C$14418</f>
        <v>0.54</v>
      </c>
    </row>
    <row r="14428" customFormat="false" ht="15" hidden="false" customHeight="false" outlineLevel="0" collapsed="false">
      <c r="A14428" s="24" t="s">
        <v>304</v>
      </c>
      <c r="B14428" s="25"/>
      <c r="C14428" s="25"/>
      <c r="D14428" s="25"/>
      <c r="E14428" s="25"/>
      <c r="F14428" s="25"/>
      <c r="G14428" s="25"/>
      <c r="H14428" s="25"/>
      <c r="I14428" s="25"/>
      <c r="J14428" s="25"/>
      <c r="K14428" s="25"/>
    </row>
    <row r="14429" customFormat="false" ht="15" hidden="false" customHeight="false" outlineLevel="0" collapsed="false">
      <c r="A14429" s="2" t="s">
        <v>275</v>
      </c>
      <c r="F14429" s="28" t="n">
        <f aca="false">'Historical Financials'!G25</f>
        <v>498.291</v>
      </c>
      <c r="G14429" s="17" t="n">
        <f aca="false">F14429*(1+G14425)</f>
        <v>533.17137</v>
      </c>
      <c r="H14429" s="17" t="n">
        <f aca="false">G14429*(1+H14425)</f>
        <v>597.1519344</v>
      </c>
      <c r="I14429" s="17" t="n">
        <f aca="false">H14429*(1+I14425)</f>
        <v>668.810166528</v>
      </c>
      <c r="J14429" s="17" t="n">
        <f aca="false">I14429*(1+J14425)</f>
        <v>749.06738651136</v>
      </c>
      <c r="K14429" s="17" t="n">
        <f aca="false">J14429*(1+K14425)</f>
        <v>838.955472892724</v>
      </c>
    </row>
    <row r="14430" customFormat="false" ht="15" hidden="false" customHeight="false" outlineLevel="0" collapsed="false">
      <c r="A14430" s="3" t="s">
        <v>276</v>
      </c>
      <c r="G14430" s="16" t="n">
        <f aca="false">G14429*(1-G14426)</f>
        <v>211.1781639</v>
      </c>
      <c r="H14430" s="16" t="n">
        <f aca="false">H14429*(1-H14426)</f>
        <v>234.7280877648</v>
      </c>
      <c r="I14430" s="16" t="n">
        <f aca="false">I14429*(1-I14426)</f>
        <v>260.889027796992</v>
      </c>
      <c r="J14430" s="16" t="n">
        <f aca="false">J14429*(1-J14426)</f>
        <v>290.697576359609</v>
      </c>
      <c r="K14430" s="16" t="n">
        <f aca="false">K14429*(1-K14426)</f>
        <v>323.903374576976</v>
      </c>
    </row>
    <row r="14431" customFormat="false" ht="15" hidden="false" customHeight="false" outlineLevel="0" collapsed="false">
      <c r="A14431" s="2" t="s">
        <v>277</v>
      </c>
      <c r="G14431" s="17" t="n">
        <f aca="false">G14429-G14430</f>
        <v>321.9932061</v>
      </c>
      <c r="H14431" s="17" t="n">
        <f aca="false">H14429-H14430</f>
        <v>362.4238466352</v>
      </c>
      <c r="I14431" s="17" t="n">
        <f aca="false">I14429-I14430</f>
        <v>407.921138731008</v>
      </c>
      <c r="J14431" s="17" t="n">
        <f aca="false">J14429-J14430</f>
        <v>458.369810151752</v>
      </c>
      <c r="K14431" s="17" t="n">
        <f aca="false">K14429-K14430</f>
        <v>515.052098315748</v>
      </c>
    </row>
    <row r="14432" customFormat="false" ht="15" hidden="false" customHeight="false" outlineLevel="0" collapsed="false">
      <c r="A14432" s="3" t="s">
        <v>305</v>
      </c>
      <c r="G14432" s="16" t="n">
        <f aca="false">G14431-G14433</f>
        <v>39.41238</v>
      </c>
      <c r="H14432" s="16" t="n">
        <f aca="false">H14431-H14433</f>
        <v>44.1418656</v>
      </c>
      <c r="I14432" s="16" t="n">
        <f aca="false">I14431-I14433</f>
        <v>49.438889472</v>
      </c>
      <c r="J14432" s="16" t="n">
        <f aca="false">J14431-J14433</f>
        <v>55.37155620864</v>
      </c>
      <c r="K14432" s="16" t="n">
        <f aca="false">K14431-K14433</f>
        <v>62.0161429536767</v>
      </c>
    </row>
    <row r="14433" customFormat="false" ht="15" hidden="false" customHeight="false" outlineLevel="0" collapsed="false">
      <c r="A14433" s="2" t="s">
        <v>306</v>
      </c>
      <c r="G14433" s="17" t="n">
        <f aca="false">G14429*G14427</f>
        <v>282.5808261</v>
      </c>
      <c r="H14433" s="17" t="n">
        <f aca="false">H14429*H14427</f>
        <v>318.2819810352</v>
      </c>
      <c r="I14433" s="17" t="n">
        <f aca="false">I14429*I14427</f>
        <v>358.482249259008</v>
      </c>
      <c r="J14433" s="17" t="n">
        <f aca="false">J14429*J14427</f>
        <v>402.998253943112</v>
      </c>
      <c r="K14433" s="17" t="n">
        <f aca="false">K14429*K14427</f>
        <v>453.035955362071</v>
      </c>
    </row>
    <row r="14434" customFormat="false" ht="15" hidden="false" customHeight="false" outlineLevel="0" collapsed="false">
      <c r="A14434" s="3" t="s">
        <v>307</v>
      </c>
      <c r="G14434" s="16" t="n">
        <f aca="false">G14429*'Historical Financials'!G30/'Historical Financials'!G25</f>
        <v>198.26351</v>
      </c>
      <c r="H14434" s="16" t="n">
        <f aca="false">H14429*'Historical Financials'!G30/'Historical Financials'!G25</f>
        <v>222.0551312</v>
      </c>
      <c r="I14434" s="16" t="n">
        <f aca="false">I14429*'Historical Financials'!G30/'Historical Financials'!G25</f>
        <v>248.701746944</v>
      </c>
      <c r="J14434" s="16" t="n">
        <f aca="false">J14429*'Historical Financials'!G30/'Historical Financials'!G25</f>
        <v>278.54595657728</v>
      </c>
      <c r="K14434" s="16" t="n">
        <f aca="false">K14429*'Historical Financials'!G30/'Historical Financials'!G25</f>
        <v>311.971471366554</v>
      </c>
    </row>
    <row r="14435" customFormat="false" ht="15" hidden="false" customHeight="false" outlineLevel="0" collapsed="false">
      <c r="A14435" s="3" t="s">
        <v>308</v>
      </c>
      <c r="G14435" s="16" t="n">
        <f aca="false">G14429*'Historical Financials'!G31/'Historical Financials'!G25</f>
        <v>0</v>
      </c>
      <c r="H14435" s="16" t="n">
        <f aca="false">H14429*'Historical Financials'!G31/'Historical Financials'!G25</f>
        <v>0</v>
      </c>
      <c r="I14435" s="16" t="n">
        <f aca="false">I14429*'Historical Financials'!G31/'Historical Financials'!G25</f>
        <v>0</v>
      </c>
      <c r="J14435" s="16" t="n">
        <f aca="false">J14429*'Historical Financials'!G31/'Historical Financials'!G25</f>
        <v>0</v>
      </c>
      <c r="K14435" s="16" t="n">
        <f aca="false">K14429*'Historical Financials'!G31/'Historical Financials'!G25</f>
        <v>0</v>
      </c>
    </row>
    <row r="14436" customFormat="false" ht="15" hidden="false" customHeight="false" outlineLevel="0" collapsed="false">
      <c r="A14436" s="2" t="s">
        <v>309</v>
      </c>
      <c r="G14436" s="17" t="n">
        <f aca="false">G14433-G14434-G14435</f>
        <v>84.3173161</v>
      </c>
      <c r="H14436" s="17" t="n">
        <f aca="false">H14433-H14434-H14435</f>
        <v>96.2268498352</v>
      </c>
      <c r="I14436" s="17" t="n">
        <f aca="false">I14433-I14434-I14435</f>
        <v>109.780502315008</v>
      </c>
      <c r="J14436" s="17" t="n">
        <f aca="false">J14433-J14434-J14435</f>
        <v>124.452297365832</v>
      </c>
      <c r="K14436" s="17" t="n">
        <f aca="false">K14433-K14434-K14435</f>
        <v>141.064483995517</v>
      </c>
    </row>
    <row r="14437" customFormat="false" ht="15" hidden="false" customHeight="false" outlineLevel="0" collapsed="false">
      <c r="A14437" s="3" t="s">
        <v>310</v>
      </c>
      <c r="G14437" s="16" t="n">
        <f aca="false">G14463+G14476+G14489+G14502+G14515+G14528+G14541+G14554+G14567+G14580</f>
        <v>180.2096854</v>
      </c>
      <c r="H14437" s="16" t="n">
        <f aca="false">H14463+H14476+H14489+H14502+H14515+H14528+H14541+H14554+H14567+H14580</f>
        <v>179.1317704</v>
      </c>
      <c r="I14437" s="16" t="n">
        <f aca="false">I14463+I14476+I14489+I14502+I14515+I14528+I14541+I14554+I14567+I14580</f>
        <v>188.899472529344</v>
      </c>
      <c r="J14437" s="16" t="n">
        <f aca="false">J14463+J14476+J14489+J14502+J14515+J14528+J14541+J14554+J14567+J14580</f>
        <v>186.14693878731</v>
      </c>
      <c r="K14437" s="16" t="n">
        <f aca="false">K14463+K14476+K14489+K14502+K14515+K14528+K14541+K14554+K14567+K14580</f>
        <v>200.619212578746</v>
      </c>
    </row>
    <row r="14438" customFormat="false" ht="15" hidden="false" customHeight="false" outlineLevel="0" collapsed="false">
      <c r="A14438" s="3" t="s">
        <v>311</v>
      </c>
      <c r="G14438" s="16" t="n">
        <f aca="false">G14464+G14477+G14490+G14503+G14516+G14529+G14542+G14555+G14568+G14581</f>
        <v>0</v>
      </c>
      <c r="H14438" s="16" t="n">
        <f aca="false">H14464+H14477+H14490+H14503+H14516+H14529+H14542+H14555+H14568+H14581</f>
        <v>0</v>
      </c>
      <c r="I14438" s="16" t="n">
        <f aca="false">I14464+I14477+I14490+I14503+I14516+I14529+I14542+I14555+I14568+I14581</f>
        <v>0</v>
      </c>
      <c r="J14438" s="16" t="n">
        <f aca="false">J14464+J14477+J14490+J14503+J14516+J14529+J14542+J14555+J14568+J14581</f>
        <v>0</v>
      </c>
      <c r="K14438" s="16" t="n">
        <f aca="false">K14464+K14477+K14490+K14503+K14516+K14529+K14542+K14555+K14568+K14581</f>
        <v>0</v>
      </c>
    </row>
    <row r="14439" customFormat="false" ht="15" hidden="false" customHeight="false" outlineLevel="0" collapsed="false">
      <c r="A14439" s="3" t="s">
        <v>283</v>
      </c>
      <c r="G14439" s="16" t="n">
        <f aca="false">G14437+G14438</f>
        <v>180.2096854</v>
      </c>
      <c r="H14439" s="16" t="n">
        <f aca="false">H14437+H14438</f>
        <v>179.1317704</v>
      </c>
      <c r="I14439" s="16" t="n">
        <f aca="false">I14437+I14438</f>
        <v>188.899472529344</v>
      </c>
      <c r="J14439" s="16" t="n">
        <f aca="false">J14437+J14438</f>
        <v>186.14693878731</v>
      </c>
      <c r="K14439" s="16" t="n">
        <f aca="false">K14437+K14438</f>
        <v>200.619212578746</v>
      </c>
    </row>
    <row r="14440" customFormat="false" ht="15" hidden="false" customHeight="false" outlineLevel="0" collapsed="false">
      <c r="A14440" s="2" t="s">
        <v>284</v>
      </c>
      <c r="G14440" s="17" t="n">
        <f aca="false">G14436-G14439</f>
        <v>-95.8923693</v>
      </c>
      <c r="H14440" s="17" t="n">
        <f aca="false">H14436-H14439</f>
        <v>-82.9049205648</v>
      </c>
      <c r="I14440" s="17" t="n">
        <f aca="false">I14436-I14439</f>
        <v>-79.1189702143359</v>
      </c>
      <c r="J14440" s="17" t="n">
        <f aca="false">J14436-J14439</f>
        <v>-61.6946414214783</v>
      </c>
      <c r="K14440" s="17" t="n">
        <f aca="false">K14436-K14439</f>
        <v>-59.5547285832287</v>
      </c>
    </row>
    <row r="14441" customFormat="false" ht="15" hidden="false" customHeight="false" outlineLevel="0" collapsed="false">
      <c r="A14441" s="3" t="s">
        <v>312</v>
      </c>
      <c r="G14441" s="16" t="n">
        <f aca="false">MAX(0,G14440)*Assumptions!$C$9</f>
        <v>0</v>
      </c>
      <c r="H14441" s="16" t="n">
        <f aca="false">MAX(0,H14440)*Assumptions!$C$9</f>
        <v>0</v>
      </c>
      <c r="I14441" s="16" t="n">
        <f aca="false">MAX(0,I14440)*Assumptions!$C$9</f>
        <v>0</v>
      </c>
      <c r="J14441" s="16" t="n">
        <f aca="false">MAX(0,J14440)*Assumptions!$C$9</f>
        <v>0</v>
      </c>
      <c r="K14441" s="16" t="n">
        <f aca="false">MAX(0,K14440)*Assumptions!$C$9</f>
        <v>0</v>
      </c>
    </row>
    <row r="14442" customFormat="false" ht="15" hidden="false" customHeight="false" outlineLevel="0" collapsed="false">
      <c r="A14442" s="2" t="s">
        <v>313</v>
      </c>
      <c r="G14442" s="17" t="n">
        <f aca="false">G14440-G14441</f>
        <v>-95.8923693</v>
      </c>
      <c r="H14442" s="17" t="n">
        <f aca="false">H14440-H14441</f>
        <v>-82.9049205648</v>
      </c>
      <c r="I14442" s="17" t="n">
        <f aca="false">I14440-I14441</f>
        <v>-79.1189702143359</v>
      </c>
      <c r="J14442" s="17" t="n">
        <f aca="false">J14440-J14441</f>
        <v>-61.6946414214783</v>
      </c>
      <c r="K14442" s="17" t="n">
        <f aca="false">K14440-K14441</f>
        <v>-59.5547285832287</v>
      </c>
    </row>
    <row r="14443" customFormat="false" ht="15" hidden="false" customHeight="false" outlineLevel="0" collapsed="false">
      <c r="A14443" s="24" t="s">
        <v>314</v>
      </c>
      <c r="B14443" s="25"/>
      <c r="C14443" s="25"/>
      <c r="D14443" s="25"/>
      <c r="E14443" s="25"/>
      <c r="F14443" s="25"/>
      <c r="G14443" s="25"/>
      <c r="H14443" s="25"/>
      <c r="I14443" s="25"/>
      <c r="J14443" s="25"/>
      <c r="K14443" s="25"/>
    </row>
    <row r="14444" customFormat="false" ht="15" hidden="false" customHeight="false" outlineLevel="0" collapsed="false">
      <c r="A14444" s="3" t="s">
        <v>184</v>
      </c>
      <c r="G14444" s="16" t="n">
        <f aca="false">G14429*CHOOSE($C$14416,Assumptions!$C$83,Assumptions!$C$102,Assumptions!$C$121)</f>
        <v>117.2977014</v>
      </c>
      <c r="H14444" s="16" t="n">
        <f aca="false">H14429*CHOOSE($C$14416,Assumptions!$C$83,Assumptions!$C$102,Assumptions!$C$121)</f>
        <v>131.373425568</v>
      </c>
      <c r="I14444" s="16" t="n">
        <f aca="false">I14429*CHOOSE($C$14416,Assumptions!$C$83,Assumptions!$C$102,Assumptions!$C$121)</f>
        <v>147.13823663616</v>
      </c>
      <c r="J14444" s="16" t="n">
        <f aca="false">J14429*CHOOSE($C$14416,Assumptions!$C$83,Assumptions!$C$102,Assumptions!$C$121)</f>
        <v>164.794825032499</v>
      </c>
      <c r="K14444" s="16" t="n">
        <f aca="false">K14429*CHOOSE($C$14416,Assumptions!$C$83,Assumptions!$C$102,Assumptions!$C$121)</f>
        <v>184.570204036399</v>
      </c>
    </row>
    <row r="14445" customFormat="false" ht="15" hidden="false" customHeight="false" outlineLevel="0" collapsed="false">
      <c r="A14445" s="3" t="s">
        <v>315</v>
      </c>
      <c r="G14445" s="16" t="n">
        <f aca="false">CHOOSE($C$14416,Assumptions!$C$84,Assumptions!$C$103,Assumptions!$C$122)*(G14429-F14429)+CHOOSE($C$14416,Assumptions!$C$85,Assumptions!$C$104,Assumptions!$C$123)*G14429</f>
        <v>58.6488507</v>
      </c>
      <c r="H14445" s="16" t="n">
        <f aca="false">CHOOSE($C$14416,Assumptions!$C$84,Assumptions!$C$103,Assumptions!$C$122)*(H14429-G14429)+CHOOSE($C$14416,Assumptions!$C$85,Assumptions!$C$104,Assumptions!$C$123)*H14429</f>
        <v>65.686712784</v>
      </c>
      <c r="I14445" s="16" t="n">
        <f aca="false">CHOOSE($C$14416,Assumptions!$C$84,Assumptions!$C$103,Assumptions!$C$122)*(I14429-H14429)+CHOOSE($C$14416,Assumptions!$C$85,Assumptions!$C$104,Assumptions!$C$123)*I14429</f>
        <v>73.56911831808</v>
      </c>
      <c r="J14445" s="16" t="n">
        <f aca="false">CHOOSE($C$14416,Assumptions!$C$84,Assumptions!$C$103,Assumptions!$C$122)*(J14429-I14429)+CHOOSE($C$14416,Assumptions!$C$85,Assumptions!$C$104,Assumptions!$C$123)*J14429</f>
        <v>82.3974125162496</v>
      </c>
      <c r="K14445" s="16" t="n">
        <f aca="false">CHOOSE($C$14416,Assumptions!$C$84,Assumptions!$C$103,Assumptions!$C$122)*(K14429-J14429)+CHOOSE($C$14416,Assumptions!$C$85,Assumptions!$C$104,Assumptions!$C$123)*K14429</f>
        <v>92.2851020181996</v>
      </c>
    </row>
    <row r="14446" customFormat="false" ht="15" hidden="false" customHeight="false" outlineLevel="0" collapsed="false">
      <c r="A14446" s="2" t="s">
        <v>316</v>
      </c>
      <c r="G14446" s="17" t="n">
        <f aca="false">G14442+G14434+G14435+G14438-G14444-G14445</f>
        <v>-73.5754114</v>
      </c>
      <c r="H14446" s="17" t="n">
        <f aca="false">H14442+H14434+H14435+H14438-H14444-H14445</f>
        <v>-57.9099277168</v>
      </c>
      <c r="I14446" s="17" t="n">
        <f aca="false">I14442+I14434+I14435+I14438-I14444-I14445</f>
        <v>-51.1245782245759</v>
      </c>
      <c r="J14446" s="17" t="n">
        <f aca="false">J14442+J14434+J14435+J14438-J14444-J14445</f>
        <v>-30.3409223929471</v>
      </c>
      <c r="K14446" s="17" t="n">
        <f aca="false">K14442+K14434+K14435+K14438-K14444-K14445</f>
        <v>-24.4385632712738</v>
      </c>
    </row>
    <row r="14448" customFormat="false" ht="15" hidden="false" customHeight="false" outlineLevel="0" collapsed="false">
      <c r="A14448" s="24" t="s">
        <v>318</v>
      </c>
      <c r="B14448" s="25"/>
      <c r="C14448" s="25"/>
      <c r="D14448" s="25"/>
      <c r="E14448" s="25"/>
      <c r="F14448" s="25"/>
      <c r="G14448" s="25"/>
      <c r="H14448" s="25"/>
      <c r="I14448" s="25"/>
      <c r="J14448" s="25"/>
      <c r="K14448" s="25"/>
    </row>
    <row r="14449" customFormat="false" ht="15" hidden="false" customHeight="false" outlineLevel="0" collapsed="false">
      <c r="A14449" s="3" t="s">
        <v>319</v>
      </c>
      <c r="G14449" s="30" t="n">
        <f aca="false">Assumptions!$G$53</f>
        <v>0.039</v>
      </c>
      <c r="H14449" s="30" t="n">
        <f aca="false">Assumptions!$H$53</f>
        <v>0.0375</v>
      </c>
      <c r="I14449" s="30" t="n">
        <f aca="false">Assumptions!$I$53</f>
        <v>0.035</v>
      </c>
      <c r="J14449" s="30" t="n">
        <f aca="false">Assumptions!$J$53</f>
        <v>0.035</v>
      </c>
      <c r="K14449" s="30" t="n">
        <f aca="false">Assumptions!$K$53</f>
        <v>0.035</v>
      </c>
    </row>
    <row r="14450" customFormat="false" ht="15" hidden="false" customHeight="false" outlineLevel="0" collapsed="false">
      <c r="A14450" s="3" t="s">
        <v>320</v>
      </c>
      <c r="C14450" s="31" t="n">
        <f aca="false">CHOOSE($C$14416,Assumptions!$C$86,Assumptions!$C$105,Assumptions!$C$124)+$C$14419</f>
        <v>0</v>
      </c>
    </row>
    <row r="14451" customFormat="false" ht="15" hidden="false" customHeight="false" outlineLevel="0" collapsed="false">
      <c r="A14451" s="3" t="s">
        <v>321</v>
      </c>
      <c r="C14451" s="31" t="n">
        <f aca="false">CHOOSE($C$14416,Assumptions!$C$87,Assumptions!$C$106,Assumptions!$C$125)</f>
        <v>0.08</v>
      </c>
    </row>
    <row r="14452" customFormat="false" ht="15" hidden="false" customHeight="false" outlineLevel="0" collapsed="false">
      <c r="A14452" s="3" t="s">
        <v>322</v>
      </c>
      <c r="C14452" s="32" t="n">
        <f aca="false">CHOOSE($C$14416,Assumptions!$C$88,Assumptions!$C$107,Assumptions!$C$126)</f>
        <v>11</v>
      </c>
    </row>
    <row r="14453" customFormat="false" ht="15" hidden="false" customHeight="false" outlineLevel="0" collapsed="false">
      <c r="A14453" s="3" t="s">
        <v>323</v>
      </c>
      <c r="C14453" s="32" t="n">
        <f aca="false">CHOOSE($C$14416,Assumptions!$C$89,Assumptions!$C$108,Assumptions!$C$127)</f>
        <v>1.2</v>
      </c>
    </row>
    <row r="14454" customFormat="false" ht="15" hidden="false" customHeight="false" outlineLevel="0" collapsed="false">
      <c r="A14454" s="3" t="s">
        <v>324</v>
      </c>
      <c r="G14454" s="16" t="n">
        <f aca="false">G14459+G14472+G14485+G14498+G14511+G14524+G14537+G14550+G14563+G14576</f>
        <v>2625.934</v>
      </c>
      <c r="H14454" s="16" t="n">
        <f aca="false">H14459+H14472+H14485+H14498+H14511+H14524+H14537+H14550+H14563+H14576</f>
        <v>2621.934</v>
      </c>
      <c r="I14454" s="16" t="n">
        <f aca="false">I14459+I14472+I14485+I14498+I14511+I14524+I14537+I14550+I14563+I14576</f>
        <v>2544.5493391168</v>
      </c>
      <c r="J14454" s="16" t="n">
        <f aca="false">J14459+J14472+J14485+J14498+J14511+J14524+J14537+J14550+J14563+J14576</f>
        <v>2570.67391734138</v>
      </c>
      <c r="K14454" s="16" t="n">
        <f aca="false">K14459+K14472+K14485+K14498+K14511+K14524+K14537+K14550+K14563+K14576</f>
        <v>2601.01483973432</v>
      </c>
    </row>
    <row r="14455" customFormat="false" ht="15" hidden="false" customHeight="false" outlineLevel="0" collapsed="false">
      <c r="A14455" s="3" t="s">
        <v>325</v>
      </c>
      <c r="G14455" s="16" t="n">
        <f aca="false">F14647</f>
        <v>37.87</v>
      </c>
      <c r="H14455" s="16" t="n">
        <f aca="false">G14647</f>
        <v>160.2945886</v>
      </c>
      <c r="I14455" s="16" t="n">
        <f aca="false">H14647</f>
        <v>25</v>
      </c>
      <c r="J14455" s="16" t="n">
        <f aca="false">I14647</f>
        <v>0</v>
      </c>
      <c r="K14455" s="16" t="n">
        <f aca="false">J14647</f>
        <v>0</v>
      </c>
    </row>
    <row r="14456" customFormat="false" ht="15" hidden="false" customHeight="false" outlineLevel="0" collapsed="false">
      <c r="A14456" s="3" t="s">
        <v>326</v>
      </c>
      <c r="G14456" s="16" t="n">
        <f aca="false">G14459*IF(G14460=1,$C$14451,IF(Assumptions!$I$57=1,MAX(G14449,Assumptions!$G$57)+Assumptions!$F$57+$C$14450,Assumptions!$E$57))+G14472*IF(G14473=1,$C$14451,IF(Assumptions!$I$58=1,MAX(G14449,Assumptions!$G$58)+Assumptions!$F$58+$C$14450,Assumptions!$E$58))+G14485*IF(G14486=1,$C$14451,IF(Assumptions!$I$59=1,MAX(G14449,Assumptions!$G$59)+Assumptions!$F$59+$C$14450,Assumptions!$E$59))+G14498*IF(G14499=1,$C$14451,IF(Assumptions!$I$60=1,MAX(G14449,Assumptions!$G$60)+Assumptions!$F$60+$C$14450,Assumptions!$E$60))+G14511*IF(G14512=1,$C$14451,IF(Assumptions!$I$61=1,MAX(G14449,Assumptions!$G$61)+Assumptions!$F$61+$C$14450,Assumptions!$E$61))+G14524*IF(G14525=1,$C$14451,IF(Assumptions!$I$62=1,MAX(G14449,Assumptions!$G$62)+Assumptions!$F$62+$C$14450,Assumptions!$E$62))+G14537*IF(G14538=1,$C$14451,IF(Assumptions!$I$63=1,MAX(G14449,Assumptions!$G$63)+Assumptions!$F$63+$C$14450,Assumptions!$E$63))+G14550*IF(G14551=1,$C$14451,IF(Assumptions!$I$64=1,MAX(G14449,Assumptions!$G$64)+Assumptions!$F$64+$C$14450,Assumptions!$E$64))+G14563*IF(G14564=1,$C$14451,IF(Assumptions!$I$65=1,MAX(G14449,Assumptions!$G$65)+Assumptions!$F$65+$C$14450,Assumptions!$E$65))+G14576*IF(G14577=1,$C$14451,IF(Assumptions!$I$66=1,MAX(G14449,Assumptions!$G$66)+Assumptions!$F$66+$C$14450,Assumptions!$E$66))</f>
        <v>180.2096854</v>
      </c>
      <c r="H14456" s="16" t="n">
        <f aca="false">H14459*IF(OR(H14460=1,G14769=1),$C$14451,IF(Assumptions!$I$57=1,MAX(H14449,Assumptions!$G$57)+Assumptions!$F$57+$C$14450,Assumptions!$E$57))+H14472*IF(OR(H14473=1,G14770=1),$C$14451,IF(Assumptions!$I$58=1,MAX(H14449,Assumptions!$G$58)+Assumptions!$F$58+$C$14450,Assumptions!$E$58))+H14485*IF(OR(H14486=1,G14771=1),$C$14451,IF(Assumptions!$I$59=1,MAX(H14449,Assumptions!$G$59)+Assumptions!$F$59+$C$14450,Assumptions!$E$59))+H14498*IF(OR(H14499=1,G14772=1),$C$14451,IF(Assumptions!$I$60=1,MAX(H14449,Assumptions!$G$60)+Assumptions!$F$60+$C$14450,Assumptions!$E$60))+H14511*IF(OR(H14512=1,G14773=1),$C$14451,IF(Assumptions!$I$61=1,MAX(H14449,Assumptions!$G$61)+Assumptions!$F$61+$C$14450,Assumptions!$E$61))+H14524*IF(OR(H14525=1,G14774=1),$C$14451,IF(Assumptions!$I$62=1,MAX(H14449,Assumptions!$G$62)+Assumptions!$F$62+$C$14450,Assumptions!$E$62))+H14537*IF(OR(H14538=1,G14775=1),$C$14451,IF(Assumptions!$I$63=1,MAX(H14449,Assumptions!$G$63)+Assumptions!$F$63+$C$14450,Assumptions!$E$63))+H14550*IF(OR(H14551=1,G14776=1),$C$14451,IF(Assumptions!$I$64=1,MAX(H14449,Assumptions!$G$64)+Assumptions!$F$64+$C$14450,Assumptions!$E$64))+H14563*IF(OR(H14564=1,G14777=1),$C$14451,IF(Assumptions!$I$65=1,MAX(H14449,Assumptions!$G$65)+Assumptions!$F$65+$C$14450,Assumptions!$E$65))+H14576*IF(OR(H14577=1,G14778=1),$C$14451,IF(Assumptions!$I$66=1,MAX(H14449,Assumptions!$G$66)+Assumptions!$F$66+$C$14450,Assumptions!$E$66))</f>
        <v>196.3067704</v>
      </c>
      <c r="I14456" s="16" t="n">
        <f aca="false">I14459*IF(OR(I14460=1,H14769=1),$C$14451,IF(Assumptions!$I$57=1,MAX(I14449,Assumptions!$G$57)+Assumptions!$F$57+$C$14450,Assumptions!$E$57))+I14472*IF(OR(I14473=1,H14770=1),$C$14451,IF(Assumptions!$I$58=1,MAX(I14449,Assumptions!$G$58)+Assumptions!$F$58+$C$14450,Assumptions!$E$58))+I14485*IF(OR(I14486=1,H14771=1),$C$14451,IF(Assumptions!$I$59=1,MAX(I14449,Assumptions!$G$59)+Assumptions!$F$59+$C$14450,Assumptions!$E$59))+I14498*IF(OR(I14499=1,H14772=1),$C$14451,IF(Assumptions!$I$60=1,MAX(I14449,Assumptions!$G$60)+Assumptions!$F$60+$C$14450,Assumptions!$E$60))+I14511*IF(OR(I14512=1,H14773=1),$C$14451,IF(Assumptions!$I$61=1,MAX(I14449,Assumptions!$G$61)+Assumptions!$F$61+$C$14450,Assumptions!$E$61))+I14524*IF(OR(I14525=1,H14774=1),$C$14451,IF(Assumptions!$I$62=1,MAX(I14449,Assumptions!$G$62)+Assumptions!$F$62+$C$14450,Assumptions!$E$62))+I14537*IF(OR(I14538=1,H14775=1),$C$14451,IF(Assumptions!$I$63=1,MAX(I14449,Assumptions!$G$63)+Assumptions!$F$63+$C$14450,Assumptions!$E$63))+I14550*IF(OR(I14551=1,H14776=1),$C$14451,IF(Assumptions!$I$64=1,MAX(I14449,Assumptions!$G$64)+Assumptions!$F$64+$C$14450,Assumptions!$E$64))+I14563*IF(OR(I14564=1,H14777=1),$C$14451,IF(Assumptions!$I$65=1,MAX(I14449,Assumptions!$G$65)+Assumptions!$F$65+$C$14450,Assumptions!$E$65))+I14576*IF(OR(I14577=1,H14778=1),$C$14451,IF(Assumptions!$I$66=1,MAX(I14449,Assumptions!$G$66)+Assumptions!$F$66+$C$14450,Assumptions!$E$66))</f>
        <v>184.086972529344</v>
      </c>
      <c r="J14456" s="16" t="n">
        <f aca="false">J14459*IF(OR(J14460=1,I14769=1),$C$14451,IF(Assumptions!$I$57=1,MAX(J14449,Assumptions!$G$57)+Assumptions!$F$57+$C$14450,Assumptions!$E$57))+J14472*IF(OR(J14473=1,I14770=1),$C$14451,IF(Assumptions!$I$58=1,MAX(J14449,Assumptions!$G$58)+Assumptions!$F$58+$C$14450,Assumptions!$E$58))+J14485*IF(OR(J14486=1,I14771=1),$C$14451,IF(Assumptions!$I$59=1,MAX(J14449,Assumptions!$G$59)+Assumptions!$F$59+$C$14450,Assumptions!$E$59))+J14498*IF(OR(J14499=1,I14772=1),$C$14451,IF(Assumptions!$I$60=1,MAX(J14449,Assumptions!$G$60)+Assumptions!$F$60+$C$14450,Assumptions!$E$60))+J14511*IF(OR(J14512=1,I14773=1),$C$14451,IF(Assumptions!$I$61=1,MAX(J14449,Assumptions!$G$61)+Assumptions!$F$61+$C$14450,Assumptions!$E$61))+J14524*IF(OR(J14525=1,I14774=1),$C$14451,IF(Assumptions!$I$62=1,MAX(J14449,Assumptions!$G$62)+Assumptions!$F$62+$C$14450,Assumptions!$E$62))+J14537*IF(OR(J14538=1,I14775=1),$C$14451,IF(Assumptions!$I$63=1,MAX(J14449,Assumptions!$G$63)+Assumptions!$F$63+$C$14450,Assumptions!$E$63))+J14550*IF(OR(J14551=1,I14776=1),$C$14451,IF(Assumptions!$I$64=1,MAX(J14449,Assumptions!$G$64)+Assumptions!$F$64+$C$14450,Assumptions!$E$64))+J14563*IF(OR(J14564=1,I14777=1),$C$14451,IF(Assumptions!$I$65=1,MAX(J14449,Assumptions!$G$65)+Assumptions!$F$65+$C$14450,Assumptions!$E$65))+J14576*IF(OR(J14577=1,I14778=1),$C$14451,IF(Assumptions!$I$66=1,MAX(J14449,Assumptions!$G$66)+Assumptions!$F$66+$C$14450,Assumptions!$E$66))</f>
        <v>198.22193878731</v>
      </c>
      <c r="K14456" s="16" t="n">
        <f aca="false">K14459*IF(OR(K14460=1,J14769=1),$C$14451,IF(Assumptions!$I$57=1,MAX(K14449,Assumptions!$G$57)+Assumptions!$F$57+$C$14450,Assumptions!$E$57))+K14472*IF(OR(K14473=1,J14770=1),$C$14451,IF(Assumptions!$I$58=1,MAX(K14449,Assumptions!$G$58)+Assumptions!$F$58+$C$14450,Assumptions!$E$58))+K14485*IF(OR(K14486=1,J14771=1),$C$14451,IF(Assumptions!$I$59=1,MAX(K14449,Assumptions!$G$59)+Assumptions!$F$59+$C$14450,Assumptions!$E$59))+K14498*IF(OR(K14499=1,J14772=1),$C$14451,IF(Assumptions!$I$60=1,MAX(K14449,Assumptions!$G$60)+Assumptions!$F$60+$C$14450,Assumptions!$E$60))+K14511*IF(OR(K14512=1,J14773=1),$C$14451,IF(Assumptions!$I$61=1,MAX(K14449,Assumptions!$G$61)+Assumptions!$F$61+$C$14450,Assumptions!$E$61))+K14524*IF(OR(K14525=1,J14774=1),$C$14451,IF(Assumptions!$I$62=1,MAX(K14449,Assumptions!$G$62)+Assumptions!$F$62+$C$14450,Assumptions!$E$62))+K14537*IF(OR(K14538=1,J14775=1),$C$14451,IF(Assumptions!$I$63=1,MAX(K14449,Assumptions!$G$63)+Assumptions!$F$63+$C$14450,Assumptions!$E$63))+K14550*IF(OR(K14551=1,J14776=1),$C$14451,IF(Assumptions!$I$64=1,MAX(K14449,Assumptions!$G$64)+Assumptions!$F$64+$C$14450,Assumptions!$E$64))+K14563*IF(OR(K14564=1,J14777=1),$C$14451,IF(Assumptions!$I$65=1,MAX(K14449,Assumptions!$G$65)+Assumptions!$F$65+$C$14450,Assumptions!$E$65))+K14576*IF(OR(K14577=1,J14778=1),$C$14451,IF(Assumptions!$I$66=1,MAX(K14449,Assumptions!$G$66)+Assumptions!$F$66+$C$14450,Assumptions!$E$66))</f>
        <v>203.364212578746</v>
      </c>
    </row>
    <row r="14457" customFormat="false" ht="15" hidden="false" customHeight="false" outlineLevel="0" collapsed="false">
      <c r="A14457" s="3" t="s">
        <v>327</v>
      </c>
      <c r="G14457" s="21" t="n">
        <f aca="false">IF(G14433&lt;=0,0,IF(AND((G14454-G14455)/G14433&lt;=$C$14452,G14433/G14456&gt;=$C$14453),1,0))</f>
        <v>1</v>
      </c>
      <c r="H14457" s="21" t="n">
        <f aca="false">IF(H14433&lt;=0,0,IF(AND((H14454-H14455)/H14433&lt;=$C$14452,H14433/H14456&gt;=$C$14453),1,0))</f>
        <v>1</v>
      </c>
      <c r="I14457" s="21" t="n">
        <f aca="false">IF(I14433&lt;=0,0,IF(AND((I14454-I14455)/I14433&lt;=$C$14452,I14433/I14456&gt;=$C$14453),1,0))</f>
        <v>1</v>
      </c>
      <c r="J14457" s="21" t="n">
        <f aca="false">IF(J14433&lt;=0,0,IF(AND((J14454-J14455)/J14433&lt;=$C$14452,J14433/J14456&gt;=$C$14453),1,0))</f>
        <v>1</v>
      </c>
      <c r="K14457" s="21" t="n">
        <f aca="false">IF(K14433&lt;=0,0,IF(AND((K14454-K14455)/K14433&lt;=$C$14452,K14433/K14456&gt;=$C$14453),1,0))</f>
        <v>1</v>
      </c>
    </row>
    <row r="14458" customFormat="false" ht="15" hidden="false" customHeight="false" outlineLevel="0" collapsed="false">
      <c r="A14458" s="24" t="s">
        <v>328</v>
      </c>
      <c r="B14458" s="25"/>
      <c r="C14458" s="25"/>
      <c r="D14458" s="25"/>
      <c r="E14458" s="25"/>
      <c r="F14458" s="25"/>
      <c r="G14458" s="25"/>
      <c r="H14458" s="25"/>
      <c r="I14458" s="25"/>
      <c r="J14458" s="25"/>
      <c r="K14458" s="25"/>
    </row>
    <row r="14459" customFormat="false" ht="15" hidden="false" customHeight="false" outlineLevel="0" collapsed="false">
      <c r="A14459" s="3" t="s">
        <v>329</v>
      </c>
      <c r="G14459" s="16" t="n">
        <f aca="false">F14470</f>
        <v>400</v>
      </c>
      <c r="H14459" s="16" t="n">
        <f aca="false">G14470</f>
        <v>396</v>
      </c>
      <c r="I14459" s="16" t="n">
        <f aca="false">H14470</f>
        <v>392</v>
      </c>
      <c r="J14459" s="16" t="n">
        <f aca="false">I14470</f>
        <v>388</v>
      </c>
      <c r="K14459" s="16" t="n">
        <f aca="false">J14470</f>
        <v>384</v>
      </c>
    </row>
    <row r="14460" customFormat="false" ht="15" hidden="false" customHeight="false" outlineLevel="0" collapsed="false">
      <c r="A14460" s="3" t="s">
        <v>330</v>
      </c>
      <c r="G14460" s="21" t="n">
        <f aca="false">IF(G14423=Assumptions!$K$57,1,0)</f>
        <v>0</v>
      </c>
      <c r="H14460" s="21" t="n">
        <f aca="false">IF(H14423=Assumptions!$K$57,1,0)</f>
        <v>0</v>
      </c>
      <c r="I14460" s="21" t="n">
        <f aca="false">IF(I14423=Assumptions!$K$57,1,0)</f>
        <v>0</v>
      </c>
      <c r="J14460" s="21" t="n">
        <f aca="false">IF(J14423=Assumptions!$K$57,1,0)</f>
        <v>0</v>
      </c>
      <c r="K14460" s="21" t="n">
        <f aca="false">IF(K14423=Assumptions!$K$57,1,0)</f>
        <v>1</v>
      </c>
    </row>
    <row r="14462" customFormat="false" ht="15" hidden="false" customHeight="false" outlineLevel="0" collapsed="false">
      <c r="A14462" s="3" t="s">
        <v>331</v>
      </c>
      <c r="G14462" s="31" t="n">
        <f aca="false">IF(Assumptions!$I$57=1,MAX(G14449,Assumptions!$G$57)+Assumptions!$F$57+$C$14450,Assumptions!$E$57)</f>
        <v>0.0915</v>
      </c>
      <c r="H14462" s="31" t="n">
        <f aca="false">IF(G14769=1,$C$14451,IF(Assumptions!$I$57=1,MAX(H14449,Assumptions!$G$57)+Assumptions!$F$57+$C$14450,Assumptions!$E$57))</f>
        <v>0.09</v>
      </c>
      <c r="I14462" s="31" t="n">
        <f aca="false">IF(H14769=1,$C$14451,IF(Assumptions!$I$57=1,MAX(I14449,Assumptions!$G$57)+Assumptions!$F$57+$C$14450,Assumptions!$E$57))</f>
        <v>0.0875</v>
      </c>
      <c r="J14462" s="31" t="n">
        <f aca="false">IF(I14769=1,$C$14451,IF(Assumptions!$I$57=1,MAX(J14449,Assumptions!$G$57)+Assumptions!$F$57+$C$14450,Assumptions!$E$57))</f>
        <v>0.0875</v>
      </c>
      <c r="K14462" s="31" t="n">
        <f aca="false">IF(J14769=1,$C$14451,IF(Assumptions!$I$57=1,MAX(K14449,Assumptions!$G$57)+Assumptions!$F$57+$C$14450,Assumptions!$E$57))</f>
        <v>0.0875</v>
      </c>
    </row>
    <row r="14463" customFormat="false" ht="15" hidden="false" customHeight="false" outlineLevel="0" collapsed="false">
      <c r="A14463" s="3" t="s">
        <v>332</v>
      </c>
      <c r="G14463" s="16" t="n">
        <f aca="false">G14459*G14462</f>
        <v>36.6</v>
      </c>
      <c r="H14463" s="16" t="n">
        <f aca="false">H14459*H14462</f>
        <v>35.64</v>
      </c>
      <c r="I14463" s="16" t="n">
        <f aca="false">I14459*I14462</f>
        <v>34.3</v>
      </c>
      <c r="J14463" s="16" t="n">
        <f aca="false">J14459*J14462</f>
        <v>33.95</v>
      </c>
      <c r="K14463" s="16" t="n">
        <f aca="false">K14459*K14462</f>
        <v>33.6</v>
      </c>
    </row>
    <row r="14464" customFormat="false" ht="15" hidden="false" customHeight="false" outlineLevel="0" collapsed="false">
      <c r="A14464" s="3" t="s">
        <v>333</v>
      </c>
      <c r="G14464" s="16" t="n">
        <f aca="false">G14459*Assumptions!$H$57</f>
        <v>0</v>
      </c>
      <c r="H14464" s="16" t="n">
        <f aca="false">H14459*Assumptions!$H$57</f>
        <v>0</v>
      </c>
      <c r="I14464" s="16" t="n">
        <f aca="false">I14459*Assumptions!$H$57</f>
        <v>0</v>
      </c>
      <c r="J14464" s="16" t="n">
        <f aca="false">J14459*Assumptions!$H$57</f>
        <v>0</v>
      </c>
      <c r="K14464" s="16" t="n">
        <f aca="false">K14459*Assumptions!$H$57</f>
        <v>0</v>
      </c>
    </row>
    <row r="14465" customFormat="false" ht="15" hidden="false" customHeight="false" outlineLevel="0" collapsed="false">
      <c r="A14465" s="3" t="s">
        <v>334</v>
      </c>
      <c r="G14465" s="16" t="n">
        <f aca="false">MIN(G14459,Assumptions!$L$57*Assumptions!$C$57)</f>
        <v>4</v>
      </c>
      <c r="H14465" s="16" t="n">
        <f aca="false">MIN(H14459,Assumptions!$L$57*Assumptions!$C$57)</f>
        <v>4</v>
      </c>
      <c r="I14465" s="16" t="n">
        <f aca="false">MIN(I14459,Assumptions!$L$57*Assumptions!$C$57)</f>
        <v>4</v>
      </c>
      <c r="J14465" s="16" t="n">
        <f aca="false">MIN(J14459,Assumptions!$L$57*Assumptions!$C$57)</f>
        <v>4</v>
      </c>
      <c r="K14465" s="16" t="n">
        <f aca="false">MIN(K14459,Assumptions!$L$57*Assumptions!$C$57)</f>
        <v>4</v>
      </c>
    </row>
    <row r="14466" customFormat="false" ht="15" hidden="false" customHeight="false" outlineLevel="0" collapsed="false">
      <c r="A14466" s="3" t="s">
        <v>335</v>
      </c>
      <c r="G14466" s="16" t="n">
        <f aca="false">IF(AND(Assumptions!$P$57=1,G14423&lt;Assumptions!$K$57),MIN(MAX(0,-G14639),MAX(0,Assumptions!$D$57-G14459)),0)</f>
        <v>0</v>
      </c>
      <c r="H14466" s="16" t="n">
        <f aca="false">IF(AND(Assumptions!$P$57=1,OR(H14423&lt;Assumptions!$K$57,G14769=1)),MIN(MAX(0,-H14639),MAX(0,Assumptions!$D$57-H14459)),0)</f>
        <v>0</v>
      </c>
      <c r="I14466" s="16" t="n">
        <f aca="false">IF(AND(Assumptions!$P$57=1,OR(I14423&lt;Assumptions!$K$57,H14769=1)),MIN(MAX(0,-I14639),MAX(0,Assumptions!$D$57-I14459)),0)</f>
        <v>0</v>
      </c>
      <c r="J14466" s="16" t="n">
        <f aca="false">IF(AND(Assumptions!$P$57=1,OR(J14423&lt;Assumptions!$K$57,I14769=1)),MIN(MAX(0,-J14639),MAX(0,Assumptions!$D$57-J14459)),0)</f>
        <v>0</v>
      </c>
      <c r="K14466" s="16" t="n">
        <f aca="false">IF(AND(Assumptions!$P$57=1,OR(K14423&lt;Assumptions!$K$57,J14769=1)),MIN(MAX(0,-K14639),MAX(0,Assumptions!$D$57-K14459)),0)</f>
        <v>0</v>
      </c>
    </row>
    <row r="14467" customFormat="false" ht="15" hidden="false" customHeight="false" outlineLevel="0" collapsed="false">
      <c r="A14467" s="3" t="s">
        <v>336</v>
      </c>
      <c r="G14467" s="16" t="n">
        <f aca="false">G14460*MIN(G14459-G14465+G14464,MAX(0,G14641-Assumptions!$C$12*G14457))</f>
        <v>0</v>
      </c>
      <c r="H14467" s="16" t="n">
        <f aca="false">H14460*MIN(H14459-H14465+H14464,MAX(0,H14641-Assumptions!$C$12*H14457))</f>
        <v>0</v>
      </c>
      <c r="I14467" s="16" t="n">
        <f aca="false">I14460*MIN(I14459-I14465+I14464,MAX(0,I14641-Assumptions!$C$12*I14457))</f>
        <v>0</v>
      </c>
      <c r="J14467" s="16" t="n">
        <f aca="false">J14460*MIN(J14459-J14465+J14464,MAX(0,J14641-Assumptions!$C$12*J14457))</f>
        <v>0</v>
      </c>
      <c r="K14467" s="16" t="n">
        <f aca="false">K14460*MIN(K14459-K14465+K14464,MAX(0,K14641-Assumptions!$C$12*K14457))</f>
        <v>0</v>
      </c>
    </row>
    <row r="14468" customFormat="false" ht="15" hidden="false" customHeight="false" outlineLevel="0" collapsed="false">
      <c r="A14468" s="3" t="s">
        <v>337</v>
      </c>
      <c r="G14468" s="16" t="n">
        <f aca="false">Assumptions!$N$57*MIN(G14459+G14466+G14464-G14465-G14467,MAX(0,G14645))</f>
        <v>0</v>
      </c>
      <c r="H14468" s="16" t="n">
        <f aca="false">Assumptions!$N$57*MIN(H14459+H14466+H14464-H14465-H14467,MAX(0,H14645))</f>
        <v>0</v>
      </c>
      <c r="I14468" s="16" t="n">
        <f aca="false">Assumptions!$N$57*MIN(I14459+I14466+I14464-I14465-I14467,MAX(0,I14645))</f>
        <v>0</v>
      </c>
      <c r="J14468" s="16" t="n">
        <f aca="false">Assumptions!$N$57*MIN(J14459+J14466+J14464-J14465-J14467,MAX(0,J14645))</f>
        <v>0</v>
      </c>
      <c r="K14468" s="16" t="n">
        <f aca="false">Assumptions!$N$57*MIN(K14459+K14466+K14464-K14465-K14467,MAX(0,K14645))</f>
        <v>0</v>
      </c>
    </row>
    <row r="14469" customFormat="false" ht="15" hidden="false" customHeight="false" outlineLevel="0" collapsed="false">
      <c r="A14469" s="3" t="s">
        <v>338</v>
      </c>
      <c r="G14469" s="16" t="n">
        <f aca="false">G14460*(1-G14457)*(G14459-G14465+G14464-G14467)</f>
        <v>0</v>
      </c>
      <c r="H14469" s="16" t="n">
        <f aca="false">H14460*(1-H14457)*(H14459-H14465+H14464-H14467)</f>
        <v>0</v>
      </c>
      <c r="I14469" s="16" t="n">
        <f aca="false">I14460*(1-I14457)*(I14459-I14465+I14464-I14467)</f>
        <v>0</v>
      </c>
      <c r="J14469" s="16" t="n">
        <f aca="false">J14460*(1-J14457)*(J14459-J14465+J14464-J14467)</f>
        <v>0</v>
      </c>
      <c r="K14469" s="16" t="n">
        <f aca="false">K14460*(1-K14457)*(K14459-K14465+K14464-K14467)</f>
        <v>0</v>
      </c>
    </row>
    <row r="14470" customFormat="false" ht="15" hidden="false" customHeight="false" outlineLevel="0" collapsed="false">
      <c r="A14470" s="2" t="s">
        <v>339</v>
      </c>
      <c r="F14470" s="28" t="n">
        <f aca="false">Assumptions!$C$57</f>
        <v>400</v>
      </c>
      <c r="G14470" s="17" t="n">
        <f aca="false">G14459+G14466+G14464-G14465-G14467-G14468</f>
        <v>396</v>
      </c>
      <c r="H14470" s="17" t="n">
        <f aca="false">H14459+H14466+H14464-H14465-H14467-H14468</f>
        <v>392</v>
      </c>
      <c r="I14470" s="17" t="n">
        <f aca="false">I14459+I14466+I14464-I14465-I14467-I14468</f>
        <v>388</v>
      </c>
      <c r="J14470" s="17" t="n">
        <f aca="false">J14459+J14466+J14464-J14465-J14467-J14468</f>
        <v>384</v>
      </c>
      <c r="K14470" s="17" t="n">
        <f aca="false">K14459+K14466+K14464-K14465-K14467-K14468</f>
        <v>380</v>
      </c>
    </row>
    <row r="14471" customFormat="false" ht="15" hidden="false" customHeight="false" outlineLevel="0" collapsed="false">
      <c r="A14471" s="24" t="s">
        <v>340</v>
      </c>
      <c r="B14471" s="25"/>
      <c r="C14471" s="25"/>
      <c r="D14471" s="25"/>
      <c r="E14471" s="25"/>
      <c r="F14471" s="25"/>
      <c r="G14471" s="25"/>
      <c r="H14471" s="25"/>
      <c r="I14471" s="25"/>
      <c r="J14471" s="25"/>
      <c r="K14471" s="25"/>
    </row>
    <row r="14472" customFormat="false" ht="15" hidden="false" customHeight="false" outlineLevel="0" collapsed="false">
      <c r="A14472" s="3" t="s">
        <v>329</v>
      </c>
      <c r="G14472" s="16" t="n">
        <f aca="false">F14483</f>
        <v>90</v>
      </c>
      <c r="H14472" s="16" t="n">
        <f aca="false">G14483</f>
        <v>90</v>
      </c>
      <c r="I14472" s="16" t="n">
        <f aca="false">H14483</f>
        <v>90</v>
      </c>
      <c r="J14472" s="16" t="n">
        <f aca="false">I14483</f>
        <v>90</v>
      </c>
      <c r="K14472" s="16" t="n">
        <f aca="false">J14483</f>
        <v>90</v>
      </c>
    </row>
    <row r="14473" customFormat="false" ht="15" hidden="false" customHeight="false" outlineLevel="0" collapsed="false">
      <c r="A14473" s="3" t="s">
        <v>330</v>
      </c>
      <c r="G14473" s="21" t="n">
        <f aca="false">IF(G14423=Assumptions!$K$58,1,0)</f>
        <v>0</v>
      </c>
      <c r="H14473" s="21" t="n">
        <f aca="false">IF(H14423=Assumptions!$K$58,1,0)</f>
        <v>0</v>
      </c>
      <c r="I14473" s="21" t="n">
        <f aca="false">IF(I14423=Assumptions!$K$58,1,0)</f>
        <v>0</v>
      </c>
      <c r="J14473" s="21" t="n">
        <f aca="false">IF(J14423=Assumptions!$K$58,1,0)</f>
        <v>0</v>
      </c>
      <c r="K14473" s="21" t="n">
        <f aca="false">IF(K14423=Assumptions!$K$58,1,0)</f>
        <v>0</v>
      </c>
    </row>
    <row r="14475" customFormat="false" ht="15" hidden="false" customHeight="false" outlineLevel="0" collapsed="false">
      <c r="A14475" s="3" t="s">
        <v>331</v>
      </c>
      <c r="G14475" s="31" t="n">
        <f aca="false">IF(Assumptions!$I$58=1,MAX(G14449,Assumptions!$G$58)+Assumptions!$F$58+$C$14450,Assumptions!$E$58)</f>
        <v>0.0581</v>
      </c>
      <c r="H14475" s="31" t="n">
        <f aca="false">IF(G14770=1,$C$14451,IF(Assumptions!$I$58=1,MAX(H14449,Assumptions!$G$58)+Assumptions!$F$58+$C$14450,Assumptions!$E$58))</f>
        <v>0.0581</v>
      </c>
      <c r="I14475" s="31" t="n">
        <f aca="false">IF(H14770=1,$C$14451,IF(Assumptions!$I$58=1,MAX(I14449,Assumptions!$G$58)+Assumptions!$F$58+$C$14450,Assumptions!$E$58))</f>
        <v>0.0581</v>
      </c>
      <c r="J14475" s="31" t="n">
        <f aca="false">IF(I14770=1,$C$14451,IF(Assumptions!$I$58=1,MAX(J14449,Assumptions!$G$58)+Assumptions!$F$58+$C$14450,Assumptions!$E$58))</f>
        <v>0.0581</v>
      </c>
      <c r="K14475" s="31" t="n">
        <f aca="false">IF(J14770=1,$C$14451,IF(Assumptions!$I$58=1,MAX(K14449,Assumptions!$G$58)+Assumptions!$F$58+$C$14450,Assumptions!$E$58))</f>
        <v>0.0581</v>
      </c>
    </row>
    <row r="14476" customFormat="false" ht="15" hidden="false" customHeight="false" outlineLevel="0" collapsed="false">
      <c r="A14476" s="3" t="s">
        <v>332</v>
      </c>
      <c r="G14476" s="16" t="n">
        <f aca="false">G14472*G14475</f>
        <v>5.229</v>
      </c>
      <c r="H14476" s="16" t="n">
        <f aca="false">H14472*H14475</f>
        <v>5.229</v>
      </c>
      <c r="I14476" s="16" t="n">
        <f aca="false">I14472*I14475</f>
        <v>5.229</v>
      </c>
      <c r="J14476" s="16" t="n">
        <f aca="false">J14472*J14475</f>
        <v>5.229</v>
      </c>
      <c r="K14476" s="16" t="n">
        <f aca="false">K14472*K14475</f>
        <v>5.229</v>
      </c>
    </row>
    <row r="14477" customFormat="false" ht="15" hidden="false" customHeight="false" outlineLevel="0" collapsed="false">
      <c r="A14477" s="3" t="s">
        <v>333</v>
      </c>
      <c r="G14477" s="16" t="n">
        <f aca="false">G14472*Assumptions!$H$58</f>
        <v>0</v>
      </c>
      <c r="H14477" s="16" t="n">
        <f aca="false">H14472*Assumptions!$H$58</f>
        <v>0</v>
      </c>
      <c r="I14477" s="16" t="n">
        <f aca="false">I14472*Assumptions!$H$58</f>
        <v>0</v>
      </c>
      <c r="J14477" s="16" t="n">
        <f aca="false">J14472*Assumptions!$H$58</f>
        <v>0</v>
      </c>
      <c r="K14477" s="16" t="n">
        <f aca="false">K14472*Assumptions!$H$58</f>
        <v>0</v>
      </c>
    </row>
    <row r="14478" customFormat="false" ht="15" hidden="false" customHeight="false" outlineLevel="0" collapsed="false">
      <c r="A14478" s="3" t="s">
        <v>334</v>
      </c>
      <c r="G14478" s="16" t="n">
        <f aca="false">MIN(G14472,Assumptions!$L$58*Assumptions!$C$58)</f>
        <v>0</v>
      </c>
      <c r="H14478" s="16" t="n">
        <f aca="false">MIN(H14472,Assumptions!$L$58*Assumptions!$C$58)</f>
        <v>0</v>
      </c>
      <c r="I14478" s="16" t="n">
        <f aca="false">MIN(I14472,Assumptions!$L$58*Assumptions!$C$58)</f>
        <v>0</v>
      </c>
      <c r="J14478" s="16" t="n">
        <f aca="false">MIN(J14472,Assumptions!$L$58*Assumptions!$C$58)</f>
        <v>0</v>
      </c>
      <c r="K14478" s="16" t="n">
        <f aca="false">MIN(K14472,Assumptions!$L$58*Assumptions!$C$58)</f>
        <v>0</v>
      </c>
    </row>
    <row r="14479" customFormat="false" ht="15" hidden="false" customHeight="false" outlineLevel="0" collapsed="false">
      <c r="A14479" s="3" t="s">
        <v>335</v>
      </c>
      <c r="G14479" s="16" t="n">
        <f aca="false">IF(AND(Assumptions!$P$58=1,G14423&lt;Assumptions!$K$58),MIN(MAX(0,-G14639),MAX(0,Assumptions!$D$58-G14472)),0)</f>
        <v>0</v>
      </c>
      <c r="H14479" s="16" t="n">
        <f aca="false">IF(AND(Assumptions!$P$58=1,OR(H14423&lt;Assumptions!$K$58,G14770=1)),MIN(MAX(0,-H14639),MAX(0,Assumptions!$D$58-H14472)),0)</f>
        <v>0</v>
      </c>
      <c r="I14479" s="16" t="n">
        <f aca="false">IF(AND(Assumptions!$P$58=1,OR(I14423&lt;Assumptions!$K$58,H14770=1)),MIN(MAX(0,-I14639),MAX(0,Assumptions!$D$58-I14472)),0)</f>
        <v>0</v>
      </c>
      <c r="J14479" s="16" t="n">
        <f aca="false">IF(AND(Assumptions!$P$58=1,OR(J14423&lt;Assumptions!$K$58,I14770=1)),MIN(MAX(0,-J14639),MAX(0,Assumptions!$D$58-J14472)),0)</f>
        <v>0</v>
      </c>
      <c r="K14479" s="16" t="n">
        <f aca="false">IF(AND(Assumptions!$P$58=1,OR(K14423&lt;Assumptions!$K$58,J14770=1)),MIN(MAX(0,-K14639),MAX(0,Assumptions!$D$58-K14472)),0)</f>
        <v>0</v>
      </c>
    </row>
    <row r="14480" customFormat="false" ht="15" hidden="false" customHeight="false" outlineLevel="0" collapsed="false">
      <c r="A14480" s="3" t="s">
        <v>336</v>
      </c>
      <c r="G14480" s="16" t="n">
        <f aca="false">G14473*MIN(G14472-G14478+G14477,MAX(0,G14641-Assumptions!$C$12*G14457-G14467))</f>
        <v>0</v>
      </c>
      <c r="H14480" s="16" t="n">
        <f aca="false">H14473*MIN(H14472-H14478+H14477,MAX(0,H14641-Assumptions!$C$12*H14457-H14467))</f>
        <v>0</v>
      </c>
      <c r="I14480" s="16" t="n">
        <f aca="false">I14473*MIN(I14472-I14478+I14477,MAX(0,I14641-Assumptions!$C$12*I14457-I14467))</f>
        <v>0</v>
      </c>
      <c r="J14480" s="16" t="n">
        <f aca="false">J14473*MIN(J14472-J14478+J14477,MAX(0,J14641-Assumptions!$C$12*J14457-J14467))</f>
        <v>0</v>
      </c>
      <c r="K14480" s="16" t="n">
        <f aca="false">K14473*MIN(K14472-K14478+K14477,MAX(0,K14641-Assumptions!$C$12*K14457-K14467))</f>
        <v>0</v>
      </c>
    </row>
    <row r="14481" customFormat="false" ht="15" hidden="false" customHeight="false" outlineLevel="0" collapsed="false">
      <c r="A14481" s="3" t="s">
        <v>337</v>
      </c>
      <c r="G14481" s="16" t="n">
        <f aca="false">Assumptions!$N$58*MIN(G14472+G14479+G14477-G14478-G14480,MAX(0,G14645-G14468))</f>
        <v>0</v>
      </c>
      <c r="H14481" s="16" t="n">
        <f aca="false">Assumptions!$N$58*MIN(H14472+H14479+H14477-H14478-H14480,MAX(0,H14645-H14468))</f>
        <v>0</v>
      </c>
      <c r="I14481" s="16" t="n">
        <f aca="false">Assumptions!$N$58*MIN(I14472+I14479+I14477-I14478-I14480,MAX(0,I14645-I14468))</f>
        <v>0</v>
      </c>
      <c r="J14481" s="16" t="n">
        <f aca="false">Assumptions!$N$58*MIN(J14472+J14479+J14477-J14478-J14480,MAX(0,J14645-J14468))</f>
        <v>0</v>
      </c>
      <c r="K14481" s="16" t="n">
        <f aca="false">Assumptions!$N$58*MIN(K14472+K14479+K14477-K14478-K14480,MAX(0,K14645-K14468))</f>
        <v>0</v>
      </c>
    </row>
    <row r="14482" customFormat="false" ht="15" hidden="false" customHeight="false" outlineLevel="0" collapsed="false">
      <c r="A14482" s="3" t="s">
        <v>338</v>
      </c>
      <c r="G14482" s="16" t="n">
        <f aca="false">G14473*(1-G14457)*(G14472-G14478+G14477-G14480)</f>
        <v>0</v>
      </c>
      <c r="H14482" s="16" t="n">
        <f aca="false">H14473*(1-H14457)*(H14472-H14478+H14477-H14480)</f>
        <v>0</v>
      </c>
      <c r="I14482" s="16" t="n">
        <f aca="false">I14473*(1-I14457)*(I14472-I14478+I14477-I14480)</f>
        <v>0</v>
      </c>
      <c r="J14482" s="16" t="n">
        <f aca="false">J14473*(1-J14457)*(J14472-J14478+J14477-J14480)</f>
        <v>0</v>
      </c>
      <c r="K14482" s="16" t="n">
        <f aca="false">K14473*(1-K14457)*(K14472-K14478+K14477-K14480)</f>
        <v>0</v>
      </c>
    </row>
    <row r="14483" customFormat="false" ht="15" hidden="false" customHeight="false" outlineLevel="0" collapsed="false">
      <c r="A14483" s="2" t="s">
        <v>339</v>
      </c>
      <c r="F14483" s="28" t="n">
        <f aca="false">Assumptions!$C$58</f>
        <v>90</v>
      </c>
      <c r="G14483" s="17" t="n">
        <f aca="false">G14472+G14479+G14477-G14478-G14480-G14481</f>
        <v>90</v>
      </c>
      <c r="H14483" s="17" t="n">
        <f aca="false">H14472+H14479+H14477-H14478-H14480-H14481</f>
        <v>90</v>
      </c>
      <c r="I14483" s="17" t="n">
        <f aca="false">I14472+I14479+I14477-I14478-I14480-I14481</f>
        <v>90</v>
      </c>
      <c r="J14483" s="17" t="n">
        <f aca="false">J14472+J14479+J14477-J14478-J14480-J14481</f>
        <v>90</v>
      </c>
      <c r="K14483" s="17" t="n">
        <f aca="false">K14472+K14479+K14477-K14478-K14480-K14481</f>
        <v>90</v>
      </c>
    </row>
    <row r="14484" customFormat="false" ht="15" hidden="false" customHeight="false" outlineLevel="0" collapsed="false">
      <c r="A14484" s="24" t="s">
        <v>341</v>
      </c>
      <c r="B14484" s="25"/>
      <c r="C14484" s="25"/>
      <c r="D14484" s="25"/>
      <c r="E14484" s="25"/>
      <c r="F14484" s="25"/>
      <c r="G14484" s="25"/>
      <c r="H14484" s="25"/>
      <c r="I14484" s="25"/>
      <c r="J14484" s="25"/>
      <c r="K14484" s="25"/>
    </row>
    <row r="14485" customFormat="false" ht="15" hidden="false" customHeight="false" outlineLevel="0" collapsed="false">
      <c r="A14485" s="3" t="s">
        <v>329</v>
      </c>
      <c r="G14485" s="16" t="n">
        <f aca="false">F14496</f>
        <v>57.324</v>
      </c>
      <c r="H14485" s="16" t="n">
        <f aca="false">G14496</f>
        <v>57.324</v>
      </c>
      <c r="I14485" s="16" t="n">
        <f aca="false">H14496</f>
        <v>57.324</v>
      </c>
      <c r="J14485" s="16" t="n">
        <f aca="false">I14496</f>
        <v>57.324</v>
      </c>
      <c r="K14485" s="16" t="n">
        <f aca="false">J14496</f>
        <v>57.324</v>
      </c>
    </row>
    <row r="14486" customFormat="false" ht="15" hidden="false" customHeight="false" outlineLevel="0" collapsed="false">
      <c r="A14486" s="3" t="s">
        <v>330</v>
      </c>
      <c r="G14486" s="21" t="n">
        <f aca="false">IF(G14423=Assumptions!$K$59,1,0)</f>
        <v>0</v>
      </c>
      <c r="H14486" s="21" t="n">
        <f aca="false">IF(H14423=Assumptions!$K$59,1,0)</f>
        <v>0</v>
      </c>
      <c r="I14486" s="21" t="n">
        <f aca="false">IF(I14423=Assumptions!$K$59,1,0)</f>
        <v>0</v>
      </c>
      <c r="J14486" s="21" t="n">
        <f aca="false">IF(J14423=Assumptions!$K$59,1,0)</f>
        <v>0</v>
      </c>
      <c r="K14486" s="21" t="n">
        <f aca="false">IF(K14423=Assumptions!$K$59,1,0)</f>
        <v>0</v>
      </c>
    </row>
    <row r="14488" customFormat="false" ht="15" hidden="false" customHeight="false" outlineLevel="0" collapsed="false">
      <c r="A14488" s="3" t="s">
        <v>331</v>
      </c>
      <c r="G14488" s="31" t="n">
        <f aca="false">IF(Assumptions!$I$59=1,MAX(G14449,Assumptions!$G$59)+Assumptions!$F$59+$C$14450,Assumptions!$E$59)</f>
        <v>0.0731</v>
      </c>
      <c r="H14488" s="31" t="n">
        <f aca="false">IF(G14771=1,$C$14451,IF(Assumptions!$I$59=1,MAX(H14449,Assumptions!$G$59)+Assumptions!$F$59+$C$14450,Assumptions!$E$59))</f>
        <v>0.0731</v>
      </c>
      <c r="I14488" s="31" t="n">
        <f aca="false">IF(H14771=1,$C$14451,IF(Assumptions!$I$59=1,MAX(I14449,Assumptions!$G$59)+Assumptions!$F$59+$C$14450,Assumptions!$E$59))</f>
        <v>0.0731</v>
      </c>
      <c r="J14488" s="31" t="n">
        <f aca="false">IF(I14771=1,$C$14451,IF(Assumptions!$I$59=1,MAX(J14449,Assumptions!$G$59)+Assumptions!$F$59+$C$14450,Assumptions!$E$59))</f>
        <v>0.0731</v>
      </c>
      <c r="K14488" s="31" t="n">
        <f aca="false">IF(J14771=1,$C$14451,IF(Assumptions!$I$59=1,MAX(K14449,Assumptions!$G$59)+Assumptions!$F$59+$C$14450,Assumptions!$E$59))</f>
        <v>0.0731</v>
      </c>
    </row>
    <row r="14489" customFormat="false" ht="15" hidden="false" customHeight="false" outlineLevel="0" collapsed="false">
      <c r="A14489" s="3" t="s">
        <v>332</v>
      </c>
      <c r="G14489" s="16" t="n">
        <f aca="false">G14485*G14488</f>
        <v>4.1903844</v>
      </c>
      <c r="H14489" s="16" t="n">
        <f aca="false">H14485*H14488</f>
        <v>4.1903844</v>
      </c>
      <c r="I14489" s="16" t="n">
        <f aca="false">I14485*I14488</f>
        <v>4.1903844</v>
      </c>
      <c r="J14489" s="16" t="n">
        <f aca="false">J14485*J14488</f>
        <v>4.1903844</v>
      </c>
      <c r="K14489" s="16" t="n">
        <f aca="false">K14485*K14488</f>
        <v>4.1903844</v>
      </c>
    </row>
    <row r="14490" customFormat="false" ht="15" hidden="false" customHeight="false" outlineLevel="0" collapsed="false">
      <c r="A14490" s="3" t="s">
        <v>333</v>
      </c>
      <c r="G14490" s="16" t="n">
        <f aca="false">G14485*Assumptions!$H$59</f>
        <v>0</v>
      </c>
      <c r="H14490" s="16" t="n">
        <f aca="false">H14485*Assumptions!$H$59</f>
        <v>0</v>
      </c>
      <c r="I14490" s="16" t="n">
        <f aca="false">I14485*Assumptions!$H$59</f>
        <v>0</v>
      </c>
      <c r="J14490" s="16" t="n">
        <f aca="false">J14485*Assumptions!$H$59</f>
        <v>0</v>
      </c>
      <c r="K14490" s="16" t="n">
        <f aca="false">K14485*Assumptions!$H$59</f>
        <v>0</v>
      </c>
    </row>
    <row r="14491" customFormat="false" ht="15" hidden="false" customHeight="false" outlineLevel="0" collapsed="false">
      <c r="A14491" s="3" t="s">
        <v>334</v>
      </c>
      <c r="G14491" s="16" t="n">
        <f aca="false">MIN(G14485,Assumptions!$L$59*Assumptions!$C$59)</f>
        <v>0</v>
      </c>
      <c r="H14491" s="16" t="n">
        <f aca="false">MIN(H14485,Assumptions!$L$59*Assumptions!$C$59)</f>
        <v>0</v>
      </c>
      <c r="I14491" s="16" t="n">
        <f aca="false">MIN(I14485,Assumptions!$L$59*Assumptions!$C$59)</f>
        <v>0</v>
      </c>
      <c r="J14491" s="16" t="n">
        <f aca="false">MIN(J14485,Assumptions!$L$59*Assumptions!$C$59)</f>
        <v>0</v>
      </c>
      <c r="K14491" s="16" t="n">
        <f aca="false">MIN(K14485,Assumptions!$L$59*Assumptions!$C$59)</f>
        <v>0</v>
      </c>
    </row>
    <row r="14492" customFormat="false" ht="15" hidden="false" customHeight="false" outlineLevel="0" collapsed="false">
      <c r="A14492" s="3" t="s">
        <v>335</v>
      </c>
      <c r="G14492" s="16" t="n">
        <f aca="false">IF(AND(Assumptions!$P$59=1,G14423&lt;Assumptions!$K$59),MIN(MAX(0,-G14639),MAX(0,Assumptions!$D$59-G14485)),0)</f>
        <v>0</v>
      </c>
      <c r="H14492" s="16" t="n">
        <f aca="false">IF(AND(Assumptions!$P$59=1,OR(H14423&lt;Assumptions!$K$59,G14771=1)),MIN(MAX(0,-H14639),MAX(0,Assumptions!$D$59-H14485)),0)</f>
        <v>0</v>
      </c>
      <c r="I14492" s="16" t="n">
        <f aca="false">IF(AND(Assumptions!$P$59=1,OR(I14423&lt;Assumptions!$K$59,H14771=1)),MIN(MAX(0,-I14639),MAX(0,Assumptions!$D$59-I14485)),0)</f>
        <v>0</v>
      </c>
      <c r="J14492" s="16" t="n">
        <f aca="false">IF(AND(Assumptions!$P$59=1,OR(J14423&lt;Assumptions!$K$59,I14771=1)),MIN(MAX(0,-J14639),MAX(0,Assumptions!$D$59-J14485)),0)</f>
        <v>0</v>
      </c>
      <c r="K14492" s="16" t="n">
        <f aca="false">IF(AND(Assumptions!$P$59=1,OR(K14423&lt;Assumptions!$K$59,J14771=1)),MIN(MAX(0,-K14639),MAX(0,Assumptions!$D$59-K14485)),0)</f>
        <v>0</v>
      </c>
    </row>
    <row r="14493" customFormat="false" ht="15" hidden="false" customHeight="false" outlineLevel="0" collapsed="false">
      <c r="A14493" s="3" t="s">
        <v>336</v>
      </c>
      <c r="G14493" s="16" t="n">
        <f aca="false">G14486*MIN(G14485-G14491+G14490,MAX(0,G14641-Assumptions!$C$12*G14457-G14467-G14480))</f>
        <v>0</v>
      </c>
      <c r="H14493" s="16" t="n">
        <f aca="false">H14486*MIN(H14485-H14491+H14490,MAX(0,H14641-Assumptions!$C$12*H14457-H14467-H14480))</f>
        <v>0</v>
      </c>
      <c r="I14493" s="16" t="n">
        <f aca="false">I14486*MIN(I14485-I14491+I14490,MAX(0,I14641-Assumptions!$C$12*I14457-I14467-I14480))</f>
        <v>0</v>
      </c>
      <c r="J14493" s="16" t="n">
        <f aca="false">J14486*MIN(J14485-J14491+J14490,MAX(0,J14641-Assumptions!$C$12*J14457-J14467-J14480))</f>
        <v>0</v>
      </c>
      <c r="K14493" s="16" t="n">
        <f aca="false">K14486*MIN(K14485-K14491+K14490,MAX(0,K14641-Assumptions!$C$12*K14457-K14467-K14480))</f>
        <v>0</v>
      </c>
    </row>
    <row r="14494" customFormat="false" ht="15" hidden="false" customHeight="false" outlineLevel="0" collapsed="false">
      <c r="A14494" s="3" t="s">
        <v>337</v>
      </c>
      <c r="G14494" s="16" t="n">
        <f aca="false">Assumptions!$N$59*MIN(G14485+G14492+G14490-G14491-G14493,MAX(0,G14645-G14468-G14481))</f>
        <v>0</v>
      </c>
      <c r="H14494" s="16" t="n">
        <f aca="false">Assumptions!$N$59*MIN(H14485+H14492+H14490-H14491-H14493,MAX(0,H14645-H14468-H14481))</f>
        <v>0</v>
      </c>
      <c r="I14494" s="16" t="n">
        <f aca="false">Assumptions!$N$59*MIN(I14485+I14492+I14490-I14491-I14493,MAX(0,I14645-I14468-I14481))</f>
        <v>0</v>
      </c>
      <c r="J14494" s="16" t="n">
        <f aca="false">Assumptions!$N$59*MIN(J14485+J14492+J14490-J14491-J14493,MAX(0,J14645-J14468-J14481))</f>
        <v>0</v>
      </c>
      <c r="K14494" s="16" t="n">
        <f aca="false">Assumptions!$N$59*MIN(K14485+K14492+K14490-K14491-K14493,MAX(0,K14645-K14468-K14481))</f>
        <v>0</v>
      </c>
    </row>
    <row r="14495" customFormat="false" ht="15" hidden="false" customHeight="false" outlineLevel="0" collapsed="false">
      <c r="A14495" s="3" t="s">
        <v>338</v>
      </c>
      <c r="G14495" s="16" t="n">
        <f aca="false">G14486*(1-G14457)*(G14485-G14491+G14490-G14493)</f>
        <v>0</v>
      </c>
      <c r="H14495" s="16" t="n">
        <f aca="false">H14486*(1-H14457)*(H14485-H14491+H14490-H14493)</f>
        <v>0</v>
      </c>
      <c r="I14495" s="16" t="n">
        <f aca="false">I14486*(1-I14457)*(I14485-I14491+I14490-I14493)</f>
        <v>0</v>
      </c>
      <c r="J14495" s="16" t="n">
        <f aca="false">J14486*(1-J14457)*(J14485-J14491+J14490-J14493)</f>
        <v>0</v>
      </c>
      <c r="K14495" s="16" t="n">
        <f aca="false">K14486*(1-K14457)*(K14485-K14491+K14490-K14493)</f>
        <v>0</v>
      </c>
    </row>
    <row r="14496" customFormat="false" ht="15" hidden="false" customHeight="false" outlineLevel="0" collapsed="false">
      <c r="A14496" s="2" t="s">
        <v>339</v>
      </c>
      <c r="F14496" s="28" t="n">
        <f aca="false">Assumptions!$C$59</f>
        <v>57.324</v>
      </c>
      <c r="G14496" s="17" t="n">
        <f aca="false">G14485+G14492+G14490-G14491-G14493-G14494</f>
        <v>57.324</v>
      </c>
      <c r="H14496" s="17" t="n">
        <f aca="false">H14485+H14492+H14490-H14491-H14493-H14494</f>
        <v>57.324</v>
      </c>
      <c r="I14496" s="17" t="n">
        <f aca="false">I14485+I14492+I14490-I14491-I14493-I14494</f>
        <v>57.324</v>
      </c>
      <c r="J14496" s="17" t="n">
        <f aca="false">J14485+J14492+J14490-J14491-J14493-J14494</f>
        <v>57.324</v>
      </c>
      <c r="K14496" s="17" t="n">
        <f aca="false">K14485+K14492+K14490-K14491-K14493-K14494</f>
        <v>57.324</v>
      </c>
    </row>
    <row r="14497" customFormat="false" ht="15" hidden="false" customHeight="false" outlineLevel="0" collapsed="false">
      <c r="A14497" s="24" t="s">
        <v>342</v>
      </c>
      <c r="B14497" s="25"/>
      <c r="C14497" s="25"/>
      <c r="D14497" s="25"/>
      <c r="E14497" s="25"/>
      <c r="F14497" s="25"/>
      <c r="G14497" s="25"/>
      <c r="H14497" s="25"/>
      <c r="I14497" s="25"/>
      <c r="J14497" s="25"/>
      <c r="K14497" s="25"/>
    </row>
    <row r="14498" customFormat="false" ht="15" hidden="false" customHeight="false" outlineLevel="0" collapsed="false">
      <c r="A14498" s="3" t="s">
        <v>329</v>
      </c>
      <c r="G14498" s="16" t="n">
        <f aca="false">F14509</f>
        <v>0</v>
      </c>
      <c r="H14498" s="16" t="n">
        <f aca="false">G14509</f>
        <v>0</v>
      </c>
      <c r="I14498" s="16" t="n">
        <f aca="false">H14509</f>
        <v>0</v>
      </c>
      <c r="J14498" s="16" t="n">
        <f aca="false">I14509</f>
        <v>30.1245782245759</v>
      </c>
      <c r="K14498" s="16" t="n">
        <f aca="false">J14509</f>
        <v>64.465500617523</v>
      </c>
    </row>
    <row r="14499" customFormat="false" ht="15" hidden="false" customHeight="false" outlineLevel="0" collapsed="false">
      <c r="A14499" s="3" t="s">
        <v>330</v>
      </c>
      <c r="G14499" s="21" t="n">
        <f aca="false">IF(G14423=Assumptions!$K$60,1,0)</f>
        <v>1</v>
      </c>
      <c r="H14499" s="21" t="n">
        <f aca="false">IF(H14423=Assumptions!$K$60,1,0)</f>
        <v>0</v>
      </c>
      <c r="I14499" s="21" t="n">
        <f aca="false">IF(I14423=Assumptions!$K$60,1,0)</f>
        <v>0</v>
      </c>
      <c r="J14499" s="21" t="n">
        <f aca="false">IF(J14423=Assumptions!$K$60,1,0)</f>
        <v>0</v>
      </c>
      <c r="K14499" s="21" t="n">
        <f aca="false">IF(K14423=Assumptions!$K$60,1,0)</f>
        <v>0</v>
      </c>
    </row>
    <row r="14501" customFormat="false" ht="15" hidden="false" customHeight="false" outlineLevel="0" collapsed="false">
      <c r="A14501" s="3" t="s">
        <v>331</v>
      </c>
      <c r="G14501" s="31" t="n">
        <f aca="false">IF(Assumptions!$I$60=1,MAX(G14449,Assumptions!$G$60)+Assumptions!$F$60+$C$14450,Assumptions!$E$60)</f>
        <v>0.054</v>
      </c>
      <c r="H14501" s="31" t="n">
        <f aca="false">IF(G14772=1,$C$14451,IF(Assumptions!$I$60=1,MAX(H14449,Assumptions!$G$60)+Assumptions!$F$60+$C$14450,Assumptions!$E$60))</f>
        <v>0.08</v>
      </c>
      <c r="I14501" s="31" t="n">
        <f aca="false">IF(H14772=1,$C$14451,IF(Assumptions!$I$60=1,MAX(I14449,Assumptions!$G$60)+Assumptions!$F$60+$C$14450,Assumptions!$E$60))</f>
        <v>0.08</v>
      </c>
      <c r="J14501" s="31" t="n">
        <f aca="false">IF(I14772=1,$C$14451,IF(Assumptions!$I$60=1,MAX(J14449,Assumptions!$G$60)+Assumptions!$F$60+$C$14450,Assumptions!$E$60))</f>
        <v>0.08</v>
      </c>
      <c r="K14501" s="31" t="n">
        <f aca="false">IF(J14772=1,$C$14451,IF(Assumptions!$I$60=1,MAX(K14449,Assumptions!$G$60)+Assumptions!$F$60+$C$14450,Assumptions!$E$60))</f>
        <v>0.08</v>
      </c>
    </row>
    <row r="14502" customFormat="false" ht="15" hidden="false" customHeight="false" outlineLevel="0" collapsed="false">
      <c r="A14502" s="3" t="s">
        <v>332</v>
      </c>
      <c r="G14502" s="16" t="n">
        <f aca="false">G14498*G14501</f>
        <v>0</v>
      </c>
      <c r="H14502" s="16" t="n">
        <f aca="false">H14498*H14501</f>
        <v>0</v>
      </c>
      <c r="I14502" s="16" t="n">
        <f aca="false">I14498*I14501</f>
        <v>0</v>
      </c>
      <c r="J14502" s="16" t="n">
        <f aca="false">J14498*J14501</f>
        <v>2.40996625796607</v>
      </c>
      <c r="K14502" s="16" t="n">
        <f aca="false">K14498*K14501</f>
        <v>5.15724004940184</v>
      </c>
    </row>
    <row r="14503" customFormat="false" ht="15" hidden="false" customHeight="false" outlineLevel="0" collapsed="false">
      <c r="A14503" s="3" t="s">
        <v>333</v>
      </c>
      <c r="G14503" s="16" t="n">
        <f aca="false">G14498*Assumptions!$H$60</f>
        <v>0</v>
      </c>
      <c r="H14503" s="16" t="n">
        <f aca="false">H14498*Assumptions!$H$60</f>
        <v>0</v>
      </c>
      <c r="I14503" s="16" t="n">
        <f aca="false">I14498*Assumptions!$H$60</f>
        <v>0</v>
      </c>
      <c r="J14503" s="16" t="n">
        <f aca="false">J14498*Assumptions!$H$60</f>
        <v>0</v>
      </c>
      <c r="K14503" s="16" t="n">
        <f aca="false">K14498*Assumptions!$H$60</f>
        <v>0</v>
      </c>
    </row>
    <row r="14504" customFormat="false" ht="15" hidden="false" customHeight="false" outlineLevel="0" collapsed="false">
      <c r="A14504" s="3" t="s">
        <v>334</v>
      </c>
      <c r="G14504" s="16" t="n">
        <f aca="false">MIN(G14498,Assumptions!$L$60*Assumptions!$C$60)</f>
        <v>0</v>
      </c>
      <c r="H14504" s="16" t="n">
        <f aca="false">MIN(H14498,Assumptions!$L$60*Assumptions!$C$60)</f>
        <v>0</v>
      </c>
      <c r="I14504" s="16" t="n">
        <f aca="false">MIN(I14498,Assumptions!$L$60*Assumptions!$C$60)</f>
        <v>0</v>
      </c>
      <c r="J14504" s="16" t="n">
        <f aca="false">MIN(J14498,Assumptions!$L$60*Assumptions!$C$60)</f>
        <v>0</v>
      </c>
      <c r="K14504" s="16" t="n">
        <f aca="false">MIN(K14498,Assumptions!$L$60*Assumptions!$C$60)</f>
        <v>0</v>
      </c>
    </row>
    <row r="14505" customFormat="false" ht="15" hidden="false" customHeight="false" outlineLevel="0" collapsed="false">
      <c r="A14505" s="3" t="s">
        <v>335</v>
      </c>
      <c r="G14505" s="16" t="n">
        <f aca="false">IF(AND(Assumptions!$P$60=1,G14423&lt;Assumptions!$K$60),MIN(MAX(0,-G14639),MAX(0,Assumptions!$D$60-G14498)),0)</f>
        <v>0</v>
      </c>
      <c r="H14505" s="16" t="n">
        <f aca="false">IF(AND(Assumptions!$P$60=1,OR(H14423&lt;Assumptions!$K$60,G14772=1)),MIN(MAX(0,-H14639),MAX(0,Assumptions!$D$60-H14498)),0)</f>
        <v>0</v>
      </c>
      <c r="I14505" s="16" t="n">
        <f aca="false">IF(AND(Assumptions!$P$60=1,OR(I14423&lt;Assumptions!$K$60,H14772=1)),MIN(MAX(0,-I14639),MAX(0,Assumptions!$D$60-I14498)),0)</f>
        <v>30.1245782245759</v>
      </c>
      <c r="J14505" s="16" t="n">
        <f aca="false">IF(AND(Assumptions!$P$60=1,OR(J14423&lt;Assumptions!$K$60,I14772=1)),MIN(MAX(0,-J14639),MAX(0,Assumptions!$D$60-J14498)),0)</f>
        <v>34.3409223929471</v>
      </c>
      <c r="K14505" s="16" t="n">
        <f aca="false">IF(AND(Assumptions!$P$60=1,OR(K14423&lt;Assumptions!$K$60,J14772=1)),MIN(MAX(0,-K14639),MAX(0,Assumptions!$D$60-K14498)),0)</f>
        <v>28.4385632712738</v>
      </c>
    </row>
    <row r="14506" customFormat="false" ht="15" hidden="false" customHeight="false" outlineLevel="0" collapsed="false">
      <c r="A14506" s="3" t="s">
        <v>336</v>
      </c>
      <c r="G14506" s="16" t="n">
        <f aca="false">G14499*MIN(G14498-G14504+G14503,MAX(0,G14641-Assumptions!$C$12*G14457-G14467-G14480-G14493))</f>
        <v>0</v>
      </c>
      <c r="H14506" s="16" t="n">
        <f aca="false">H14499*MIN(H14498-H14504+H14503,MAX(0,H14641-Assumptions!$C$12*H14457-H14467-H14480-H14493))</f>
        <v>0</v>
      </c>
      <c r="I14506" s="16" t="n">
        <f aca="false">I14499*MIN(I14498-I14504+I14503,MAX(0,I14641-Assumptions!$C$12*I14457-I14467-I14480-I14493))</f>
        <v>0</v>
      </c>
      <c r="J14506" s="16" t="n">
        <f aca="false">J14499*MIN(J14498-J14504+J14503,MAX(0,J14641-Assumptions!$C$12*J14457-J14467-J14480-J14493))</f>
        <v>0</v>
      </c>
      <c r="K14506" s="16" t="n">
        <f aca="false">K14499*MIN(K14498-K14504+K14503,MAX(0,K14641-Assumptions!$C$12*K14457-K14467-K14480-K14493))</f>
        <v>0</v>
      </c>
    </row>
    <row r="14507" customFormat="false" ht="15" hidden="false" customHeight="false" outlineLevel="0" collapsed="false">
      <c r="A14507" s="3" t="s">
        <v>337</v>
      </c>
      <c r="G14507" s="16" t="n">
        <f aca="false">Assumptions!$N$60*MIN(G14498+G14505+G14503-G14504-G14506,MAX(0,G14645-G14468-G14481-G14494))</f>
        <v>0</v>
      </c>
      <c r="H14507" s="16" t="n">
        <f aca="false">Assumptions!$N$60*MIN(H14498+H14505+H14503-H14504-H14506,MAX(0,H14645-H14468-H14481-H14494))</f>
        <v>0</v>
      </c>
      <c r="I14507" s="16" t="n">
        <f aca="false">Assumptions!$N$60*MIN(I14498+I14505+I14503-I14504-I14506,MAX(0,I14645-I14468-I14481-I14494))</f>
        <v>0</v>
      </c>
      <c r="J14507" s="16" t="n">
        <f aca="false">Assumptions!$N$60*MIN(J14498+J14505+J14503-J14504-J14506,MAX(0,J14645-J14468-J14481-J14494))</f>
        <v>0</v>
      </c>
      <c r="K14507" s="16" t="n">
        <f aca="false">Assumptions!$N$60*MIN(K14498+K14505+K14503-K14504-K14506,MAX(0,K14645-K14468-K14481-K14494))</f>
        <v>0</v>
      </c>
    </row>
    <row r="14508" customFormat="false" ht="15" hidden="false" customHeight="false" outlineLevel="0" collapsed="false">
      <c r="A14508" s="3" t="s">
        <v>338</v>
      </c>
      <c r="G14508" s="16" t="n">
        <f aca="false">G14499*(1-G14457)*(G14498-G14504+G14503-G14506)</f>
        <v>0</v>
      </c>
      <c r="H14508" s="16" t="n">
        <f aca="false">H14499*(1-H14457)*(H14498-H14504+H14503-H14506)</f>
        <v>0</v>
      </c>
      <c r="I14508" s="16" t="n">
        <f aca="false">I14499*(1-I14457)*(I14498-I14504+I14503-I14506)</f>
        <v>0</v>
      </c>
      <c r="J14508" s="16" t="n">
        <f aca="false">J14499*(1-J14457)*(J14498-J14504+J14503-J14506)</f>
        <v>0</v>
      </c>
      <c r="K14508" s="16" t="n">
        <f aca="false">K14499*(1-K14457)*(K14498-K14504+K14503-K14506)</f>
        <v>0</v>
      </c>
    </row>
    <row r="14509" customFormat="false" ht="15" hidden="false" customHeight="false" outlineLevel="0" collapsed="false">
      <c r="A14509" s="2" t="s">
        <v>339</v>
      </c>
      <c r="F14509" s="28" t="n">
        <f aca="false">Assumptions!$C$60</f>
        <v>0</v>
      </c>
      <c r="G14509" s="17" t="n">
        <f aca="false">G14498+G14505+G14503-G14504-G14506-G14507</f>
        <v>0</v>
      </c>
      <c r="H14509" s="17" t="n">
        <f aca="false">H14498+H14505+H14503-H14504-H14506-H14507</f>
        <v>0</v>
      </c>
      <c r="I14509" s="17" t="n">
        <f aca="false">I14498+I14505+I14503-I14504-I14506-I14507</f>
        <v>30.1245782245759</v>
      </c>
      <c r="J14509" s="17" t="n">
        <f aca="false">J14498+J14505+J14503-J14504-J14506-J14507</f>
        <v>64.465500617523</v>
      </c>
      <c r="K14509" s="17" t="n">
        <f aca="false">K14498+K14505+K14503-K14504-K14506-K14507</f>
        <v>92.9040638887968</v>
      </c>
    </row>
    <row r="14510" customFormat="false" ht="15" hidden="false" customHeight="false" outlineLevel="0" collapsed="false">
      <c r="A14510" s="24" t="s">
        <v>343</v>
      </c>
      <c r="B14510" s="25"/>
      <c r="C14510" s="25"/>
      <c r="D14510" s="25"/>
      <c r="E14510" s="25"/>
      <c r="F14510" s="25"/>
      <c r="G14510" s="25"/>
      <c r="H14510" s="25"/>
      <c r="I14510" s="25"/>
      <c r="J14510" s="25"/>
      <c r="K14510" s="25"/>
    </row>
    <row r="14511" customFormat="false" ht="15" hidden="false" customHeight="false" outlineLevel="0" collapsed="false">
      <c r="A14511" s="3" t="s">
        <v>329</v>
      </c>
      <c r="G14511" s="16" t="n">
        <f aca="false">F14522</f>
        <v>450</v>
      </c>
      <c r="H14511" s="16" t="n">
        <f aca="false">G14522</f>
        <v>450</v>
      </c>
      <c r="I14511" s="16" t="n">
        <f aca="false">H14522</f>
        <v>376.6153391168</v>
      </c>
      <c r="J14511" s="16" t="n">
        <f aca="false">I14522</f>
        <v>376.6153391168</v>
      </c>
      <c r="K14511" s="16" t="n">
        <f aca="false">J14522</f>
        <v>376.6153391168</v>
      </c>
    </row>
    <row r="14512" customFormat="false" ht="15" hidden="false" customHeight="false" outlineLevel="0" collapsed="false">
      <c r="A14512" s="3" t="s">
        <v>330</v>
      </c>
      <c r="G14512" s="21" t="n">
        <f aca="false">IF(G14423=Assumptions!$K$61,1,0)</f>
        <v>0</v>
      </c>
      <c r="H14512" s="21" t="n">
        <f aca="false">IF(H14423=Assumptions!$K$61,1,0)</f>
        <v>1</v>
      </c>
      <c r="I14512" s="21" t="n">
        <f aca="false">IF(I14423=Assumptions!$K$61,1,0)</f>
        <v>0</v>
      </c>
      <c r="J14512" s="21" t="n">
        <f aca="false">IF(J14423=Assumptions!$K$61,1,0)</f>
        <v>0</v>
      </c>
      <c r="K14512" s="21" t="n">
        <f aca="false">IF(K14423=Assumptions!$K$61,1,0)</f>
        <v>0</v>
      </c>
    </row>
    <row r="14514" customFormat="false" ht="15" hidden="false" customHeight="false" outlineLevel="0" collapsed="false">
      <c r="A14514" s="3" t="s">
        <v>331</v>
      </c>
      <c r="G14514" s="31" t="n">
        <f aca="false">IF(Assumptions!$I$61=1,MAX(G14449,Assumptions!$G$61)+Assumptions!$F$61+$C$14450,Assumptions!$E$61)</f>
        <v>0.0395</v>
      </c>
      <c r="H14514" s="31" t="n">
        <f aca="false">IF(G14773=1,$C$14451,IF(Assumptions!$I$61=1,MAX(H14449,Assumptions!$G$61)+Assumptions!$F$61+$C$14450,Assumptions!$E$61))</f>
        <v>0.0395</v>
      </c>
      <c r="I14514" s="31" t="n">
        <f aca="false">IF(H14773=1,$C$14451,IF(Assumptions!$I$61=1,MAX(I14449,Assumptions!$G$61)+Assumptions!$F$61+$C$14450,Assumptions!$E$61))</f>
        <v>0.08</v>
      </c>
      <c r="J14514" s="31" t="n">
        <f aca="false">IF(I14773=1,$C$14451,IF(Assumptions!$I$61=1,MAX(J14449,Assumptions!$G$61)+Assumptions!$F$61+$C$14450,Assumptions!$E$61))</f>
        <v>0.08</v>
      </c>
      <c r="K14514" s="31" t="n">
        <f aca="false">IF(J14773=1,$C$14451,IF(Assumptions!$I$61=1,MAX(K14449,Assumptions!$G$61)+Assumptions!$F$61+$C$14450,Assumptions!$E$61))</f>
        <v>0.08</v>
      </c>
    </row>
    <row r="14515" customFormat="false" ht="15" hidden="false" customHeight="false" outlineLevel="0" collapsed="false">
      <c r="A14515" s="3" t="s">
        <v>332</v>
      </c>
      <c r="G14515" s="16" t="n">
        <f aca="false">G14511*G14514</f>
        <v>17.775</v>
      </c>
      <c r="H14515" s="16" t="n">
        <f aca="false">H14511*H14514</f>
        <v>17.775</v>
      </c>
      <c r="I14515" s="16" t="n">
        <f aca="false">I14511*I14514</f>
        <v>30.129227129344</v>
      </c>
      <c r="J14515" s="16" t="n">
        <f aca="false">J14511*J14514</f>
        <v>30.129227129344</v>
      </c>
      <c r="K14515" s="16" t="n">
        <f aca="false">K14511*K14514</f>
        <v>30.129227129344</v>
      </c>
    </row>
    <row r="14516" customFormat="false" ht="15" hidden="false" customHeight="false" outlineLevel="0" collapsed="false">
      <c r="A14516" s="3" t="s">
        <v>333</v>
      </c>
      <c r="G14516" s="16" t="n">
        <f aca="false">G14511*Assumptions!$H$61</f>
        <v>0</v>
      </c>
      <c r="H14516" s="16" t="n">
        <f aca="false">H14511*Assumptions!$H$61</f>
        <v>0</v>
      </c>
      <c r="I14516" s="16" t="n">
        <f aca="false">I14511*Assumptions!$H$61</f>
        <v>0</v>
      </c>
      <c r="J14516" s="16" t="n">
        <f aca="false">J14511*Assumptions!$H$61</f>
        <v>0</v>
      </c>
      <c r="K14516" s="16" t="n">
        <f aca="false">K14511*Assumptions!$H$61</f>
        <v>0</v>
      </c>
    </row>
    <row r="14517" customFormat="false" ht="15" hidden="false" customHeight="false" outlineLevel="0" collapsed="false">
      <c r="A14517" s="3" t="s">
        <v>334</v>
      </c>
      <c r="G14517" s="16" t="n">
        <f aca="false">MIN(G14511,Assumptions!$L$61*Assumptions!$C$61)</f>
        <v>0</v>
      </c>
      <c r="H14517" s="16" t="n">
        <f aca="false">MIN(H14511,Assumptions!$L$61*Assumptions!$C$61)</f>
        <v>0</v>
      </c>
      <c r="I14517" s="16" t="n">
        <f aca="false">MIN(I14511,Assumptions!$L$61*Assumptions!$C$61)</f>
        <v>0</v>
      </c>
      <c r="J14517" s="16" t="n">
        <f aca="false">MIN(J14511,Assumptions!$L$61*Assumptions!$C$61)</f>
        <v>0</v>
      </c>
      <c r="K14517" s="16" t="n">
        <f aca="false">MIN(K14511,Assumptions!$L$61*Assumptions!$C$61)</f>
        <v>0</v>
      </c>
    </row>
    <row r="14518" customFormat="false" ht="15" hidden="false" customHeight="false" outlineLevel="0" collapsed="false">
      <c r="A14518" s="3" t="s">
        <v>335</v>
      </c>
      <c r="G14518" s="16" t="n">
        <f aca="false">IF(AND(Assumptions!$P$61=1,G14423&lt;Assumptions!$K$61),MIN(MAX(0,-G14639),MAX(0,Assumptions!$D$61-G14511)),0)</f>
        <v>0</v>
      </c>
      <c r="H14518" s="16" t="n">
        <f aca="false">IF(AND(Assumptions!$P$61=1,OR(H14423&lt;Assumptions!$K$61,G14773=1)),MIN(MAX(0,-H14639),MAX(0,Assumptions!$D$61-H14511)),0)</f>
        <v>0</v>
      </c>
      <c r="I14518" s="16" t="n">
        <f aca="false">IF(AND(Assumptions!$P$61=1,OR(I14423&lt;Assumptions!$K$61,H14773=1)),MIN(MAX(0,-I14639),MAX(0,Assumptions!$D$61-I14511)),0)</f>
        <v>0</v>
      </c>
      <c r="J14518" s="16" t="n">
        <f aca="false">IF(AND(Assumptions!$P$61=1,OR(J14423&lt;Assumptions!$K$61,I14773=1)),MIN(MAX(0,-J14639),MAX(0,Assumptions!$D$61-J14511)),0)</f>
        <v>0</v>
      </c>
      <c r="K14518" s="16" t="n">
        <f aca="false">IF(AND(Assumptions!$P$61=1,OR(K14423&lt;Assumptions!$K$61,J14773=1)),MIN(MAX(0,-K14639),MAX(0,Assumptions!$D$61-K14511)),0)</f>
        <v>0</v>
      </c>
    </row>
    <row r="14519" customFormat="false" ht="15" hidden="false" customHeight="false" outlineLevel="0" collapsed="false">
      <c r="A14519" s="3" t="s">
        <v>336</v>
      </c>
      <c r="G14519" s="16" t="n">
        <f aca="false">G14512*MIN(G14511-G14517+G14516,MAX(0,G14641-Assumptions!$C$12*G14457-G14467-G14480-G14493-G14506))</f>
        <v>0</v>
      </c>
      <c r="H14519" s="16" t="n">
        <f aca="false">H14512*MIN(H14511-H14517+H14516,MAX(0,H14641-Assumptions!$C$12*H14457-H14467-H14480-H14493-H14506))</f>
        <v>73.3846608832001</v>
      </c>
      <c r="I14519" s="16" t="n">
        <f aca="false">I14512*MIN(I14511-I14517+I14516,MAX(0,I14641-Assumptions!$C$12*I14457-I14467-I14480-I14493-I14506))</f>
        <v>0</v>
      </c>
      <c r="J14519" s="16" t="n">
        <f aca="false">J14512*MIN(J14511-J14517+J14516,MAX(0,J14641-Assumptions!$C$12*J14457-J14467-J14480-J14493-J14506))</f>
        <v>0</v>
      </c>
      <c r="K14519" s="16" t="n">
        <f aca="false">K14512*MIN(K14511-K14517+K14516,MAX(0,K14641-Assumptions!$C$12*K14457-K14467-K14480-K14493-K14506))</f>
        <v>0</v>
      </c>
    </row>
    <row r="14520" customFormat="false" ht="15" hidden="false" customHeight="false" outlineLevel="0" collapsed="false">
      <c r="A14520" s="3" t="s">
        <v>337</v>
      </c>
      <c r="G14520" s="16" t="n">
        <f aca="false">Assumptions!$N$61*MIN(G14511+G14518+G14516-G14517-G14519,MAX(0,G14645-G14468-G14481-G14494-G14507))</f>
        <v>0</v>
      </c>
      <c r="H14520" s="16" t="n">
        <f aca="false">Assumptions!$N$61*MIN(H14511+H14518+H14516-H14517-H14519,MAX(0,H14645-H14468-H14481-H14494-H14507))</f>
        <v>0</v>
      </c>
      <c r="I14520" s="16" t="n">
        <f aca="false">Assumptions!$N$61*MIN(I14511+I14518+I14516-I14517-I14519,MAX(0,I14645-I14468-I14481-I14494-I14507))</f>
        <v>0</v>
      </c>
      <c r="J14520" s="16" t="n">
        <f aca="false">Assumptions!$N$61*MIN(J14511+J14518+J14516-J14517-J14519,MAX(0,J14645-J14468-J14481-J14494-J14507))</f>
        <v>0</v>
      </c>
      <c r="K14520" s="16" t="n">
        <f aca="false">Assumptions!$N$61*MIN(K14511+K14518+K14516-K14517-K14519,MAX(0,K14645-K14468-K14481-K14494-K14507))</f>
        <v>0</v>
      </c>
    </row>
    <row r="14521" customFormat="false" ht="15" hidden="false" customHeight="false" outlineLevel="0" collapsed="false">
      <c r="A14521" s="3" t="s">
        <v>338</v>
      </c>
      <c r="G14521" s="16" t="n">
        <f aca="false">G14512*(1-G14457)*(G14511-G14517+G14516-G14519)</f>
        <v>0</v>
      </c>
      <c r="H14521" s="16" t="n">
        <f aca="false">H14512*(1-H14457)*(H14511-H14517+H14516-H14519)</f>
        <v>0</v>
      </c>
      <c r="I14521" s="16" t="n">
        <f aca="false">I14512*(1-I14457)*(I14511-I14517+I14516-I14519)</f>
        <v>0</v>
      </c>
      <c r="J14521" s="16" t="n">
        <f aca="false">J14512*(1-J14457)*(J14511-J14517+J14516-J14519)</f>
        <v>0</v>
      </c>
      <c r="K14521" s="16" t="n">
        <f aca="false">K14512*(1-K14457)*(K14511-K14517+K14516-K14519)</f>
        <v>0</v>
      </c>
    </row>
    <row r="14522" customFormat="false" ht="15" hidden="false" customHeight="false" outlineLevel="0" collapsed="false">
      <c r="A14522" s="2" t="s">
        <v>339</v>
      </c>
      <c r="F14522" s="28" t="n">
        <f aca="false">Assumptions!$C$61</f>
        <v>450</v>
      </c>
      <c r="G14522" s="17" t="n">
        <f aca="false">G14511+G14518+G14516-G14517-G14519-G14520</f>
        <v>450</v>
      </c>
      <c r="H14522" s="17" t="n">
        <f aca="false">H14511+H14518+H14516-H14517-H14519-H14520</f>
        <v>376.6153391168</v>
      </c>
      <c r="I14522" s="17" t="n">
        <f aca="false">I14511+I14518+I14516-I14517-I14519-I14520</f>
        <v>376.6153391168</v>
      </c>
      <c r="J14522" s="17" t="n">
        <f aca="false">J14511+J14518+J14516-J14517-J14519-J14520</f>
        <v>376.6153391168</v>
      </c>
      <c r="K14522" s="17" t="n">
        <f aca="false">K14511+K14518+K14516-K14517-K14519-K14520</f>
        <v>376.6153391168</v>
      </c>
    </row>
    <row r="14523" customFormat="false" ht="15" hidden="false" customHeight="false" outlineLevel="0" collapsed="false">
      <c r="A14523" s="24" t="s">
        <v>344</v>
      </c>
      <c r="B14523" s="25"/>
      <c r="C14523" s="25"/>
      <c r="D14523" s="25"/>
      <c r="E14523" s="25"/>
      <c r="F14523" s="25"/>
      <c r="G14523" s="25"/>
      <c r="H14523" s="25"/>
      <c r="I14523" s="25"/>
      <c r="J14523" s="25"/>
      <c r="K14523" s="25"/>
    </row>
    <row r="14524" customFormat="false" ht="15" hidden="false" customHeight="false" outlineLevel="0" collapsed="false">
      <c r="A14524" s="3" t="s">
        <v>329</v>
      </c>
      <c r="G14524" s="16" t="n">
        <f aca="false">F14535</f>
        <v>350</v>
      </c>
      <c r="H14524" s="16" t="n">
        <f aca="false">G14535</f>
        <v>350</v>
      </c>
      <c r="I14524" s="16" t="n">
        <f aca="false">H14535</f>
        <v>350</v>
      </c>
      <c r="J14524" s="16" t="n">
        <f aca="false">I14535</f>
        <v>350</v>
      </c>
      <c r="K14524" s="16" t="n">
        <f aca="false">J14535</f>
        <v>350</v>
      </c>
    </row>
    <row r="14525" customFormat="false" ht="15" hidden="false" customHeight="false" outlineLevel="0" collapsed="false">
      <c r="A14525" s="3" t="s">
        <v>330</v>
      </c>
      <c r="G14525" s="21" t="n">
        <f aca="false">IF(G14423=Assumptions!$K$62,1,0)</f>
        <v>0</v>
      </c>
      <c r="H14525" s="21" t="n">
        <f aca="false">IF(H14423=Assumptions!$K$62,1,0)</f>
        <v>1</v>
      </c>
      <c r="I14525" s="21" t="n">
        <f aca="false">IF(I14423=Assumptions!$K$62,1,0)</f>
        <v>0</v>
      </c>
      <c r="J14525" s="21" t="n">
        <f aca="false">IF(J14423=Assumptions!$K$62,1,0)</f>
        <v>0</v>
      </c>
      <c r="K14525" s="21" t="n">
        <f aca="false">IF(K14423=Assumptions!$K$62,1,0)</f>
        <v>0</v>
      </c>
    </row>
    <row r="14527" customFormat="false" ht="15" hidden="false" customHeight="false" outlineLevel="0" collapsed="false">
      <c r="A14527" s="3" t="s">
        <v>331</v>
      </c>
      <c r="G14527" s="31" t="n">
        <f aca="false">IF(Assumptions!$I$62=1,MAX(G14449,Assumptions!$G$62)+Assumptions!$F$62+$C$14450,Assumptions!$E$62)</f>
        <v>0.083</v>
      </c>
      <c r="H14527" s="31" t="n">
        <f aca="false">IF(G14774=1,$C$14451,IF(Assumptions!$I$62=1,MAX(H14449,Assumptions!$G$62)+Assumptions!$F$62+$C$14450,Assumptions!$E$62))</f>
        <v>0.083</v>
      </c>
      <c r="I14527" s="31" t="n">
        <f aca="false">IF(H14774=1,$C$14451,IF(Assumptions!$I$62=1,MAX(I14449,Assumptions!$G$62)+Assumptions!$F$62+$C$14450,Assumptions!$E$62))</f>
        <v>0.08</v>
      </c>
      <c r="J14527" s="31" t="n">
        <f aca="false">IF(I14774=1,$C$14451,IF(Assumptions!$I$62=1,MAX(J14449,Assumptions!$G$62)+Assumptions!$F$62+$C$14450,Assumptions!$E$62))</f>
        <v>0.08</v>
      </c>
      <c r="K14527" s="31" t="n">
        <f aca="false">IF(J14774=1,$C$14451,IF(Assumptions!$I$62=1,MAX(K14449,Assumptions!$G$62)+Assumptions!$F$62+$C$14450,Assumptions!$E$62))</f>
        <v>0.08</v>
      </c>
    </row>
    <row r="14528" customFormat="false" ht="15" hidden="false" customHeight="false" outlineLevel="0" collapsed="false">
      <c r="A14528" s="3" t="s">
        <v>332</v>
      </c>
      <c r="G14528" s="16" t="n">
        <f aca="false">G14524*G14527</f>
        <v>29.05</v>
      </c>
      <c r="H14528" s="16" t="n">
        <f aca="false">H14524*H14527</f>
        <v>29.05</v>
      </c>
      <c r="I14528" s="16" t="n">
        <f aca="false">I14524*I14527</f>
        <v>28</v>
      </c>
      <c r="J14528" s="16" t="n">
        <f aca="false">J14524*J14527</f>
        <v>28</v>
      </c>
      <c r="K14528" s="16" t="n">
        <f aca="false">K14524*K14527</f>
        <v>28</v>
      </c>
    </row>
    <row r="14529" customFormat="false" ht="15" hidden="false" customHeight="false" outlineLevel="0" collapsed="false">
      <c r="A14529" s="3" t="s">
        <v>333</v>
      </c>
      <c r="G14529" s="16" t="n">
        <f aca="false">G14524*Assumptions!$H$62</f>
        <v>0</v>
      </c>
      <c r="H14529" s="16" t="n">
        <f aca="false">H14524*Assumptions!$H$62</f>
        <v>0</v>
      </c>
      <c r="I14529" s="16" t="n">
        <f aca="false">I14524*Assumptions!$H$62</f>
        <v>0</v>
      </c>
      <c r="J14529" s="16" t="n">
        <f aca="false">J14524*Assumptions!$H$62</f>
        <v>0</v>
      </c>
      <c r="K14529" s="16" t="n">
        <f aca="false">K14524*Assumptions!$H$62</f>
        <v>0</v>
      </c>
    </row>
    <row r="14530" customFormat="false" ht="15" hidden="false" customHeight="false" outlineLevel="0" collapsed="false">
      <c r="A14530" s="3" t="s">
        <v>334</v>
      </c>
      <c r="G14530" s="16" t="n">
        <f aca="false">MIN(G14524,Assumptions!$L$62*Assumptions!$C$62)</f>
        <v>0</v>
      </c>
      <c r="H14530" s="16" t="n">
        <f aca="false">MIN(H14524,Assumptions!$L$62*Assumptions!$C$62)</f>
        <v>0</v>
      </c>
      <c r="I14530" s="16" t="n">
        <f aca="false">MIN(I14524,Assumptions!$L$62*Assumptions!$C$62)</f>
        <v>0</v>
      </c>
      <c r="J14530" s="16" t="n">
        <f aca="false">MIN(J14524,Assumptions!$L$62*Assumptions!$C$62)</f>
        <v>0</v>
      </c>
      <c r="K14530" s="16" t="n">
        <f aca="false">MIN(K14524,Assumptions!$L$62*Assumptions!$C$62)</f>
        <v>0</v>
      </c>
    </row>
    <row r="14531" customFormat="false" ht="15" hidden="false" customHeight="false" outlineLevel="0" collapsed="false">
      <c r="A14531" s="3" t="s">
        <v>335</v>
      </c>
      <c r="G14531" s="16" t="n">
        <f aca="false">IF(AND(Assumptions!$P$62=1,G14423&lt;Assumptions!$K$62),MIN(MAX(0,-G14639),MAX(0,Assumptions!$D$62-G14524)),0)</f>
        <v>0</v>
      </c>
      <c r="H14531" s="16" t="n">
        <f aca="false">IF(AND(Assumptions!$P$62=1,OR(H14423&lt;Assumptions!$K$62,G14774=1)),MIN(MAX(0,-H14639),MAX(0,Assumptions!$D$62-H14524)),0)</f>
        <v>0</v>
      </c>
      <c r="I14531" s="16" t="n">
        <f aca="false">IF(AND(Assumptions!$P$62=1,OR(I14423&lt;Assumptions!$K$62,H14774=1)),MIN(MAX(0,-I14639),MAX(0,Assumptions!$D$62-I14524)),0)</f>
        <v>0</v>
      </c>
      <c r="J14531" s="16" t="n">
        <f aca="false">IF(AND(Assumptions!$P$62=1,OR(J14423&lt;Assumptions!$K$62,I14774=1)),MIN(MAX(0,-J14639),MAX(0,Assumptions!$D$62-J14524)),0)</f>
        <v>0</v>
      </c>
      <c r="K14531" s="16" t="n">
        <f aca="false">IF(AND(Assumptions!$P$62=1,OR(K14423&lt;Assumptions!$K$62,J14774=1)),MIN(MAX(0,-K14639),MAX(0,Assumptions!$D$62-K14524)),0)</f>
        <v>0</v>
      </c>
    </row>
    <row r="14532" customFormat="false" ht="15" hidden="false" customHeight="false" outlineLevel="0" collapsed="false">
      <c r="A14532" s="3" t="s">
        <v>336</v>
      </c>
      <c r="G14532" s="16" t="n">
        <f aca="false">G14525*MIN(G14524-G14530+G14529,MAX(0,G14641-Assumptions!$C$12*G14457-G14467-G14480-G14493-G14506-G14519))</f>
        <v>0</v>
      </c>
      <c r="H14532" s="16" t="n">
        <f aca="false">H14525*MIN(H14524-H14530+H14529,MAX(0,H14641-Assumptions!$C$12*H14457-H14467-H14480-H14493-H14506-H14519))</f>
        <v>0</v>
      </c>
      <c r="I14532" s="16" t="n">
        <f aca="false">I14525*MIN(I14524-I14530+I14529,MAX(0,I14641-Assumptions!$C$12*I14457-I14467-I14480-I14493-I14506-I14519))</f>
        <v>0</v>
      </c>
      <c r="J14532" s="16" t="n">
        <f aca="false">J14525*MIN(J14524-J14530+J14529,MAX(0,J14641-Assumptions!$C$12*J14457-J14467-J14480-J14493-J14506-J14519))</f>
        <v>0</v>
      </c>
      <c r="K14532" s="16" t="n">
        <f aca="false">K14525*MIN(K14524-K14530+K14529,MAX(0,K14641-Assumptions!$C$12*K14457-K14467-K14480-K14493-K14506-K14519))</f>
        <v>0</v>
      </c>
    </row>
    <row r="14533" customFormat="false" ht="15" hidden="false" customHeight="false" outlineLevel="0" collapsed="false">
      <c r="A14533" s="3" t="s">
        <v>337</v>
      </c>
      <c r="G14533" s="16" t="n">
        <f aca="false">Assumptions!$N$62*MIN(G14524+G14531+G14529-G14530-G14532,MAX(0,G14645-G14468-G14481-G14494-G14507-G14520))</f>
        <v>0</v>
      </c>
      <c r="H14533" s="16" t="n">
        <f aca="false">Assumptions!$N$62*MIN(H14524+H14531+H14529-H14530-H14532,MAX(0,H14645-H14468-H14481-H14494-H14507-H14520))</f>
        <v>0</v>
      </c>
      <c r="I14533" s="16" t="n">
        <f aca="false">Assumptions!$N$62*MIN(I14524+I14531+I14529-I14530-I14532,MAX(0,I14645-I14468-I14481-I14494-I14507-I14520))</f>
        <v>0</v>
      </c>
      <c r="J14533" s="16" t="n">
        <f aca="false">Assumptions!$N$62*MIN(J14524+J14531+J14529-J14530-J14532,MAX(0,J14645-J14468-J14481-J14494-J14507-J14520))</f>
        <v>0</v>
      </c>
      <c r="K14533" s="16" t="n">
        <f aca="false">Assumptions!$N$62*MIN(K14524+K14531+K14529-K14530-K14532,MAX(0,K14645-K14468-K14481-K14494-K14507-K14520))</f>
        <v>0</v>
      </c>
    </row>
    <row r="14534" customFormat="false" ht="15" hidden="false" customHeight="false" outlineLevel="0" collapsed="false">
      <c r="A14534" s="3" t="s">
        <v>338</v>
      </c>
      <c r="G14534" s="16" t="n">
        <f aca="false">G14525*(1-G14457)*(G14524-G14530+G14529-G14532)</f>
        <v>0</v>
      </c>
      <c r="H14534" s="16" t="n">
        <f aca="false">H14525*(1-H14457)*(H14524-H14530+H14529-H14532)</f>
        <v>0</v>
      </c>
      <c r="I14534" s="16" t="n">
        <f aca="false">I14525*(1-I14457)*(I14524-I14530+I14529-I14532)</f>
        <v>0</v>
      </c>
      <c r="J14534" s="16" t="n">
        <f aca="false">J14525*(1-J14457)*(J14524-J14530+J14529-J14532)</f>
        <v>0</v>
      </c>
      <c r="K14534" s="16" t="n">
        <f aca="false">K14525*(1-K14457)*(K14524-K14530+K14529-K14532)</f>
        <v>0</v>
      </c>
    </row>
    <row r="14535" customFormat="false" ht="15" hidden="false" customHeight="false" outlineLevel="0" collapsed="false">
      <c r="A14535" s="2" t="s">
        <v>339</v>
      </c>
      <c r="F14535" s="28" t="n">
        <f aca="false">Assumptions!$C$62</f>
        <v>350</v>
      </c>
      <c r="G14535" s="17" t="n">
        <f aca="false">G14524+G14531+G14529-G14530-G14532-G14533</f>
        <v>350</v>
      </c>
      <c r="H14535" s="17" t="n">
        <f aca="false">H14524+H14531+H14529-H14530-H14532-H14533</f>
        <v>350</v>
      </c>
      <c r="I14535" s="17" t="n">
        <f aca="false">I14524+I14531+I14529-I14530-I14532-I14533</f>
        <v>350</v>
      </c>
      <c r="J14535" s="17" t="n">
        <f aca="false">J14524+J14531+J14529-J14530-J14532-J14533</f>
        <v>350</v>
      </c>
      <c r="K14535" s="17" t="n">
        <f aca="false">K14524+K14531+K14529-K14530-K14532-K14533</f>
        <v>350</v>
      </c>
    </row>
    <row r="14536" customFormat="false" ht="15" hidden="false" customHeight="false" outlineLevel="0" collapsed="false">
      <c r="A14536" s="24" t="s">
        <v>345</v>
      </c>
      <c r="B14536" s="25"/>
      <c r="C14536" s="25"/>
      <c r="D14536" s="25"/>
      <c r="E14536" s="25"/>
      <c r="F14536" s="25"/>
      <c r="G14536" s="25"/>
      <c r="H14536" s="25"/>
      <c r="I14536" s="25"/>
      <c r="J14536" s="25"/>
      <c r="K14536" s="25"/>
    </row>
    <row r="14537" customFormat="false" ht="15" hidden="false" customHeight="false" outlineLevel="0" collapsed="false">
      <c r="A14537" s="3" t="s">
        <v>329</v>
      </c>
      <c r="G14537" s="16" t="n">
        <f aca="false">F14548</f>
        <v>550</v>
      </c>
      <c r="H14537" s="16" t="n">
        <f aca="false">G14548</f>
        <v>550</v>
      </c>
      <c r="I14537" s="16" t="n">
        <f aca="false">H14548</f>
        <v>550</v>
      </c>
      <c r="J14537" s="16" t="n">
        <f aca="false">I14548</f>
        <v>550</v>
      </c>
      <c r="K14537" s="16" t="n">
        <f aca="false">J14548</f>
        <v>550</v>
      </c>
    </row>
    <row r="14538" customFormat="false" ht="15" hidden="false" customHeight="false" outlineLevel="0" collapsed="false">
      <c r="A14538" s="3" t="s">
        <v>330</v>
      </c>
      <c r="G14538" s="21" t="n">
        <f aca="false">IF(G14423=Assumptions!$K$63,1,0)</f>
        <v>0</v>
      </c>
      <c r="H14538" s="21" t="n">
        <f aca="false">IF(H14423=Assumptions!$K$63,1,0)</f>
        <v>0</v>
      </c>
      <c r="I14538" s="21" t="n">
        <f aca="false">IF(I14423=Assumptions!$K$63,1,0)</f>
        <v>1</v>
      </c>
      <c r="J14538" s="21" t="n">
        <f aca="false">IF(J14423=Assumptions!$K$63,1,0)</f>
        <v>0</v>
      </c>
      <c r="K14538" s="21" t="n">
        <f aca="false">IF(K14423=Assumptions!$K$63,1,0)</f>
        <v>0</v>
      </c>
    </row>
    <row r="14540" customFormat="false" ht="15" hidden="false" customHeight="false" outlineLevel="0" collapsed="false">
      <c r="A14540" s="3" t="s">
        <v>331</v>
      </c>
      <c r="G14540" s="31" t="n">
        <f aca="false">IF(Assumptions!$I$63=1,MAX(G14449,Assumptions!$G$63)+Assumptions!$F$63+$C$14450,Assumptions!$E$63)</f>
        <v>0.08875</v>
      </c>
      <c r="H14540" s="31" t="n">
        <f aca="false">IF(G14775=1,$C$14451,IF(Assumptions!$I$63=1,MAX(H14449,Assumptions!$G$63)+Assumptions!$F$63+$C$14450,Assumptions!$E$63))</f>
        <v>0.08875</v>
      </c>
      <c r="I14540" s="31" t="n">
        <f aca="false">IF(H14775=1,$C$14451,IF(Assumptions!$I$63=1,MAX(I14449,Assumptions!$G$63)+Assumptions!$F$63+$C$14450,Assumptions!$E$63))</f>
        <v>0.08875</v>
      </c>
      <c r="J14540" s="31" t="n">
        <f aca="false">IF(I14775=1,$C$14451,IF(Assumptions!$I$63=1,MAX(J14449,Assumptions!$G$63)+Assumptions!$F$63+$C$14450,Assumptions!$E$63))</f>
        <v>0.08</v>
      </c>
      <c r="K14540" s="31" t="n">
        <f aca="false">IF(J14775=1,$C$14451,IF(Assumptions!$I$63=1,MAX(K14449,Assumptions!$G$63)+Assumptions!$F$63+$C$14450,Assumptions!$E$63))</f>
        <v>0.08</v>
      </c>
    </row>
    <row r="14541" customFormat="false" ht="15" hidden="false" customHeight="false" outlineLevel="0" collapsed="false">
      <c r="A14541" s="3" t="s">
        <v>332</v>
      </c>
      <c r="G14541" s="16" t="n">
        <f aca="false">G14537*G14540</f>
        <v>48.8125</v>
      </c>
      <c r="H14541" s="16" t="n">
        <f aca="false">H14537*H14540</f>
        <v>48.8125</v>
      </c>
      <c r="I14541" s="16" t="n">
        <f aca="false">I14537*I14540</f>
        <v>48.8125</v>
      </c>
      <c r="J14541" s="16" t="n">
        <f aca="false">J14537*J14540</f>
        <v>44</v>
      </c>
      <c r="K14541" s="16" t="n">
        <f aca="false">K14537*K14540</f>
        <v>44</v>
      </c>
    </row>
    <row r="14542" customFormat="false" ht="15" hidden="false" customHeight="false" outlineLevel="0" collapsed="false">
      <c r="A14542" s="3" t="s">
        <v>333</v>
      </c>
      <c r="G14542" s="16" t="n">
        <f aca="false">G14537*Assumptions!$H$63</f>
        <v>0</v>
      </c>
      <c r="H14542" s="16" t="n">
        <f aca="false">H14537*Assumptions!$H$63</f>
        <v>0</v>
      </c>
      <c r="I14542" s="16" t="n">
        <f aca="false">I14537*Assumptions!$H$63</f>
        <v>0</v>
      </c>
      <c r="J14542" s="16" t="n">
        <f aca="false">J14537*Assumptions!$H$63</f>
        <v>0</v>
      </c>
      <c r="K14542" s="16" t="n">
        <f aca="false">K14537*Assumptions!$H$63</f>
        <v>0</v>
      </c>
    </row>
    <row r="14543" customFormat="false" ht="15" hidden="false" customHeight="false" outlineLevel="0" collapsed="false">
      <c r="A14543" s="3" t="s">
        <v>334</v>
      </c>
      <c r="G14543" s="16" t="n">
        <f aca="false">MIN(G14537,Assumptions!$L$63*Assumptions!$C$63)</f>
        <v>0</v>
      </c>
      <c r="H14543" s="16" t="n">
        <f aca="false">MIN(H14537,Assumptions!$L$63*Assumptions!$C$63)</f>
        <v>0</v>
      </c>
      <c r="I14543" s="16" t="n">
        <f aca="false">MIN(I14537,Assumptions!$L$63*Assumptions!$C$63)</f>
        <v>0</v>
      </c>
      <c r="J14543" s="16" t="n">
        <f aca="false">MIN(J14537,Assumptions!$L$63*Assumptions!$C$63)</f>
        <v>0</v>
      </c>
      <c r="K14543" s="16" t="n">
        <f aca="false">MIN(K14537,Assumptions!$L$63*Assumptions!$C$63)</f>
        <v>0</v>
      </c>
    </row>
    <row r="14544" customFormat="false" ht="15" hidden="false" customHeight="false" outlineLevel="0" collapsed="false">
      <c r="A14544" s="3" t="s">
        <v>335</v>
      </c>
      <c r="G14544" s="16" t="n">
        <f aca="false">IF(AND(Assumptions!$P$63=1,G14423&lt;Assumptions!$K$63),MIN(MAX(0,-G14639),MAX(0,Assumptions!$D$63-G14537)),0)</f>
        <v>0</v>
      </c>
      <c r="H14544" s="16" t="n">
        <f aca="false">IF(AND(Assumptions!$P$63=1,OR(H14423&lt;Assumptions!$K$63,G14775=1)),MIN(MAX(0,-H14639),MAX(0,Assumptions!$D$63-H14537)),0)</f>
        <v>0</v>
      </c>
      <c r="I14544" s="16" t="n">
        <f aca="false">IF(AND(Assumptions!$P$63=1,OR(I14423&lt;Assumptions!$K$63,H14775=1)),MIN(MAX(0,-I14639),MAX(0,Assumptions!$D$63-I14537)),0)</f>
        <v>0</v>
      </c>
      <c r="J14544" s="16" t="n">
        <f aca="false">IF(AND(Assumptions!$P$63=1,OR(J14423&lt;Assumptions!$K$63,I14775=1)),MIN(MAX(0,-J14639),MAX(0,Assumptions!$D$63-J14537)),0)</f>
        <v>0</v>
      </c>
      <c r="K14544" s="16" t="n">
        <f aca="false">IF(AND(Assumptions!$P$63=1,OR(K14423&lt;Assumptions!$K$63,J14775=1)),MIN(MAX(0,-K14639),MAX(0,Assumptions!$D$63-K14537)),0)</f>
        <v>0</v>
      </c>
    </row>
    <row r="14545" customFormat="false" ht="15" hidden="false" customHeight="false" outlineLevel="0" collapsed="false">
      <c r="A14545" s="3" t="s">
        <v>336</v>
      </c>
      <c r="G14545" s="16" t="n">
        <f aca="false">G14538*MIN(G14537-G14543+G14542,MAX(0,G14641-Assumptions!$C$12*G14457-G14467-G14480-G14493-G14506-G14519-G14532))</f>
        <v>0</v>
      </c>
      <c r="H14545" s="16" t="n">
        <f aca="false">H14538*MIN(H14537-H14543+H14542,MAX(0,H14641-Assumptions!$C$12*H14457-H14467-H14480-H14493-H14506-H14519-H14532))</f>
        <v>0</v>
      </c>
      <c r="I14545" s="16" t="n">
        <f aca="false">I14538*MIN(I14537-I14543+I14542,MAX(0,I14641-Assumptions!$C$12*I14457-I14467-I14480-I14493-I14506-I14519-I14532))</f>
        <v>0</v>
      </c>
      <c r="J14545" s="16" t="n">
        <f aca="false">J14538*MIN(J14537-J14543+J14542,MAX(0,J14641-Assumptions!$C$12*J14457-J14467-J14480-J14493-J14506-J14519-J14532))</f>
        <v>0</v>
      </c>
      <c r="K14545" s="16" t="n">
        <f aca="false">K14538*MIN(K14537-K14543+K14542,MAX(0,K14641-Assumptions!$C$12*K14457-K14467-K14480-K14493-K14506-K14519-K14532))</f>
        <v>0</v>
      </c>
    </row>
    <row r="14546" customFormat="false" ht="15" hidden="false" customHeight="false" outlineLevel="0" collapsed="false">
      <c r="A14546" s="3" t="s">
        <v>337</v>
      </c>
      <c r="G14546" s="16" t="n">
        <f aca="false">Assumptions!$N$63*MIN(G14537+G14544+G14542-G14543-G14545,MAX(0,G14645-G14468-G14481-G14494-G14507-G14520-G14533))</f>
        <v>0</v>
      </c>
      <c r="H14546" s="16" t="n">
        <f aca="false">Assumptions!$N$63*MIN(H14537+H14544+H14542-H14543-H14545,MAX(0,H14645-H14468-H14481-H14494-H14507-H14520-H14533))</f>
        <v>0</v>
      </c>
      <c r="I14546" s="16" t="n">
        <f aca="false">Assumptions!$N$63*MIN(I14537+I14544+I14542-I14543-I14545,MAX(0,I14645-I14468-I14481-I14494-I14507-I14520-I14533))</f>
        <v>0</v>
      </c>
      <c r="J14546" s="16" t="n">
        <f aca="false">Assumptions!$N$63*MIN(J14537+J14544+J14542-J14543-J14545,MAX(0,J14645-J14468-J14481-J14494-J14507-J14520-J14533))</f>
        <v>0</v>
      </c>
      <c r="K14546" s="16" t="n">
        <f aca="false">Assumptions!$N$63*MIN(K14537+K14544+K14542-K14543-K14545,MAX(0,K14645-K14468-K14481-K14494-K14507-K14520-K14533))</f>
        <v>0</v>
      </c>
    </row>
    <row r="14547" customFormat="false" ht="15" hidden="false" customHeight="false" outlineLevel="0" collapsed="false">
      <c r="A14547" s="3" t="s">
        <v>338</v>
      </c>
      <c r="G14547" s="16" t="n">
        <f aca="false">G14538*(1-G14457)*(G14537-G14543+G14542-G14545)</f>
        <v>0</v>
      </c>
      <c r="H14547" s="16" t="n">
        <f aca="false">H14538*(1-H14457)*(H14537-H14543+H14542-H14545)</f>
        <v>0</v>
      </c>
      <c r="I14547" s="16" t="n">
        <f aca="false">I14538*(1-I14457)*(I14537-I14543+I14542-I14545)</f>
        <v>0</v>
      </c>
      <c r="J14547" s="16" t="n">
        <f aca="false">J14538*(1-J14457)*(J14537-J14543+J14542-J14545)</f>
        <v>0</v>
      </c>
      <c r="K14547" s="16" t="n">
        <f aca="false">K14538*(1-K14457)*(K14537-K14543+K14542-K14545)</f>
        <v>0</v>
      </c>
    </row>
    <row r="14548" customFormat="false" ht="15" hidden="false" customHeight="false" outlineLevel="0" collapsed="false">
      <c r="A14548" s="2" t="s">
        <v>339</v>
      </c>
      <c r="F14548" s="28" t="n">
        <f aca="false">Assumptions!$C$63</f>
        <v>550</v>
      </c>
      <c r="G14548" s="17" t="n">
        <f aca="false">G14537+G14544+G14542-G14543-G14545-G14546</f>
        <v>550</v>
      </c>
      <c r="H14548" s="17" t="n">
        <f aca="false">H14537+H14544+H14542-H14543-H14545-H14546</f>
        <v>550</v>
      </c>
      <c r="I14548" s="17" t="n">
        <f aca="false">I14537+I14544+I14542-I14543-I14545-I14546</f>
        <v>550</v>
      </c>
      <c r="J14548" s="17" t="n">
        <f aca="false">J14537+J14544+J14542-J14543-J14545-J14546</f>
        <v>550</v>
      </c>
      <c r="K14548" s="17" t="n">
        <f aca="false">K14537+K14544+K14542-K14543-K14545-K14546</f>
        <v>550</v>
      </c>
    </row>
    <row r="14549" customFormat="false" ht="15" hidden="false" customHeight="false" outlineLevel="0" collapsed="false">
      <c r="A14549" s="24" t="s">
        <v>346</v>
      </c>
      <c r="B14549" s="25"/>
      <c r="C14549" s="25"/>
      <c r="D14549" s="25"/>
      <c r="E14549" s="25"/>
      <c r="F14549" s="25"/>
      <c r="G14549" s="25"/>
      <c r="H14549" s="25"/>
      <c r="I14549" s="25"/>
      <c r="J14549" s="25"/>
      <c r="K14549" s="25"/>
    </row>
    <row r="14550" customFormat="false" ht="15" hidden="false" customHeight="false" outlineLevel="0" collapsed="false">
      <c r="A14550" s="3" t="s">
        <v>329</v>
      </c>
      <c r="G14550" s="16" t="n">
        <f aca="false">F14561</f>
        <v>350</v>
      </c>
      <c r="H14550" s="16" t="n">
        <f aca="false">G14561</f>
        <v>350</v>
      </c>
      <c r="I14550" s="16" t="n">
        <f aca="false">H14561</f>
        <v>350</v>
      </c>
      <c r="J14550" s="16" t="n">
        <f aca="false">I14561</f>
        <v>350</v>
      </c>
      <c r="K14550" s="16" t="n">
        <f aca="false">J14561</f>
        <v>350</v>
      </c>
    </row>
    <row r="14551" customFormat="false" ht="15" hidden="false" customHeight="false" outlineLevel="0" collapsed="false">
      <c r="A14551" s="3" t="s">
        <v>330</v>
      </c>
      <c r="G14551" s="21" t="n">
        <f aca="false">IF(G14423=Assumptions!$K$64,1,0)</f>
        <v>0</v>
      </c>
      <c r="H14551" s="21" t="n">
        <f aca="false">IF(H14423=Assumptions!$K$64,1,0)</f>
        <v>0</v>
      </c>
      <c r="I14551" s="21" t="n">
        <f aca="false">IF(I14423=Assumptions!$K$64,1,0)</f>
        <v>0</v>
      </c>
      <c r="J14551" s="21" t="n">
        <f aca="false">IF(J14423=Assumptions!$K$64,1,0)</f>
        <v>1</v>
      </c>
      <c r="K14551" s="21" t="n">
        <f aca="false">IF(K14423=Assumptions!$K$64,1,0)</f>
        <v>0</v>
      </c>
    </row>
    <row r="14553" customFormat="false" ht="15" hidden="false" customHeight="false" outlineLevel="0" collapsed="false">
      <c r="A14553" s="3" t="s">
        <v>331</v>
      </c>
      <c r="G14553" s="31" t="n">
        <f aca="false">IF(Assumptions!$I$64=1,MAX(G14449,Assumptions!$G$64)+Assumptions!$F$64+$C$14450,Assumptions!$E$64)</f>
        <v>0.0455</v>
      </c>
      <c r="H14553" s="31" t="n">
        <f aca="false">IF(G14776=1,$C$14451,IF(Assumptions!$I$64=1,MAX(H14449,Assumptions!$G$64)+Assumptions!$F$64+$C$14450,Assumptions!$E$64))</f>
        <v>0.0455</v>
      </c>
      <c r="I14553" s="31" t="n">
        <f aca="false">IF(H14776=1,$C$14451,IF(Assumptions!$I$64=1,MAX(I14449,Assumptions!$G$64)+Assumptions!$F$64+$C$14450,Assumptions!$E$64))</f>
        <v>0.0455</v>
      </c>
      <c r="J14553" s="31" t="n">
        <f aca="false">IF(I14776=1,$C$14451,IF(Assumptions!$I$64=1,MAX(J14449,Assumptions!$G$64)+Assumptions!$F$64+$C$14450,Assumptions!$E$64))</f>
        <v>0.0455</v>
      </c>
      <c r="K14553" s="31" t="n">
        <f aca="false">IF(J14776=1,$C$14451,IF(Assumptions!$I$64=1,MAX(K14449,Assumptions!$G$64)+Assumptions!$F$64+$C$14450,Assumptions!$E$64))</f>
        <v>0.08</v>
      </c>
    </row>
    <row r="14554" customFormat="false" ht="15" hidden="false" customHeight="false" outlineLevel="0" collapsed="false">
      <c r="A14554" s="3" t="s">
        <v>332</v>
      </c>
      <c r="G14554" s="16" t="n">
        <f aca="false">G14550*G14553</f>
        <v>15.925</v>
      </c>
      <c r="H14554" s="16" t="n">
        <f aca="false">H14550*H14553</f>
        <v>15.925</v>
      </c>
      <c r="I14554" s="16" t="n">
        <f aca="false">I14550*I14553</f>
        <v>15.925</v>
      </c>
      <c r="J14554" s="16" t="n">
        <f aca="false">J14550*J14553</f>
        <v>15.925</v>
      </c>
      <c r="K14554" s="16" t="n">
        <f aca="false">K14550*K14553</f>
        <v>28</v>
      </c>
    </row>
    <row r="14555" customFormat="false" ht="15" hidden="false" customHeight="false" outlineLevel="0" collapsed="false">
      <c r="A14555" s="3" t="s">
        <v>333</v>
      </c>
      <c r="G14555" s="16" t="n">
        <f aca="false">G14550*Assumptions!$H$64</f>
        <v>0</v>
      </c>
      <c r="H14555" s="16" t="n">
        <f aca="false">H14550*Assumptions!$H$64</f>
        <v>0</v>
      </c>
      <c r="I14555" s="16" t="n">
        <f aca="false">I14550*Assumptions!$H$64</f>
        <v>0</v>
      </c>
      <c r="J14555" s="16" t="n">
        <f aca="false">J14550*Assumptions!$H$64</f>
        <v>0</v>
      </c>
      <c r="K14555" s="16" t="n">
        <f aca="false">K14550*Assumptions!$H$64</f>
        <v>0</v>
      </c>
    </row>
    <row r="14556" customFormat="false" ht="15" hidden="false" customHeight="false" outlineLevel="0" collapsed="false">
      <c r="A14556" s="3" t="s">
        <v>334</v>
      </c>
      <c r="G14556" s="16" t="n">
        <f aca="false">MIN(G14550,Assumptions!$L$64*Assumptions!$C$64)</f>
        <v>0</v>
      </c>
      <c r="H14556" s="16" t="n">
        <f aca="false">MIN(H14550,Assumptions!$L$64*Assumptions!$C$64)</f>
        <v>0</v>
      </c>
      <c r="I14556" s="16" t="n">
        <f aca="false">MIN(I14550,Assumptions!$L$64*Assumptions!$C$64)</f>
        <v>0</v>
      </c>
      <c r="J14556" s="16" t="n">
        <f aca="false">MIN(J14550,Assumptions!$L$64*Assumptions!$C$64)</f>
        <v>0</v>
      </c>
      <c r="K14556" s="16" t="n">
        <f aca="false">MIN(K14550,Assumptions!$L$64*Assumptions!$C$64)</f>
        <v>0</v>
      </c>
    </row>
    <row r="14557" customFormat="false" ht="15" hidden="false" customHeight="false" outlineLevel="0" collapsed="false">
      <c r="A14557" s="3" t="s">
        <v>335</v>
      </c>
      <c r="G14557" s="16" t="n">
        <f aca="false">IF(AND(Assumptions!$P$64=1,G14423&lt;Assumptions!$K$64),MIN(MAX(0,-G14639),MAX(0,Assumptions!$D$64-G14550)),0)</f>
        <v>0</v>
      </c>
      <c r="H14557" s="16" t="n">
        <f aca="false">IF(AND(Assumptions!$P$64=1,OR(H14423&lt;Assumptions!$K$64,G14776=1)),MIN(MAX(0,-H14639),MAX(0,Assumptions!$D$64-H14550)),0)</f>
        <v>0</v>
      </c>
      <c r="I14557" s="16" t="n">
        <f aca="false">IF(AND(Assumptions!$P$64=1,OR(I14423&lt;Assumptions!$K$64,H14776=1)),MIN(MAX(0,-I14639),MAX(0,Assumptions!$D$64-I14550)),0)</f>
        <v>0</v>
      </c>
      <c r="J14557" s="16" t="n">
        <f aca="false">IF(AND(Assumptions!$P$64=1,OR(J14423&lt;Assumptions!$K$64,I14776=1)),MIN(MAX(0,-J14639),MAX(0,Assumptions!$D$64-J14550)),0)</f>
        <v>0</v>
      </c>
      <c r="K14557" s="16" t="n">
        <f aca="false">IF(AND(Assumptions!$P$64=1,OR(K14423&lt;Assumptions!$K$64,J14776=1)),MIN(MAX(0,-K14639),MAX(0,Assumptions!$D$64-K14550)),0)</f>
        <v>0</v>
      </c>
    </row>
    <row r="14558" customFormat="false" ht="15" hidden="false" customHeight="false" outlineLevel="0" collapsed="false">
      <c r="A14558" s="3" t="s">
        <v>336</v>
      </c>
      <c r="G14558" s="16" t="n">
        <f aca="false">G14551*MIN(G14550-G14556+G14555,MAX(0,G14641-Assumptions!$C$12*G14457-G14467-G14480-G14493-G14506-G14519-G14532-G14545))</f>
        <v>0</v>
      </c>
      <c r="H14558" s="16" t="n">
        <f aca="false">H14551*MIN(H14550-H14556+H14555,MAX(0,H14641-Assumptions!$C$12*H14457-H14467-H14480-H14493-H14506-H14519-H14532-H14545))</f>
        <v>0</v>
      </c>
      <c r="I14558" s="16" t="n">
        <f aca="false">I14551*MIN(I14550-I14556+I14555,MAX(0,I14641-Assumptions!$C$12*I14457-I14467-I14480-I14493-I14506-I14519-I14532-I14545))</f>
        <v>0</v>
      </c>
      <c r="J14558" s="16" t="n">
        <f aca="false">J14551*MIN(J14550-J14556+J14555,MAX(0,J14641-Assumptions!$C$12*J14457-J14467-J14480-J14493-J14506-J14519-J14532-J14545))</f>
        <v>0</v>
      </c>
      <c r="K14558" s="16" t="n">
        <f aca="false">K14551*MIN(K14550-K14556+K14555,MAX(0,K14641-Assumptions!$C$12*K14457-K14467-K14480-K14493-K14506-K14519-K14532-K14545))</f>
        <v>0</v>
      </c>
    </row>
    <row r="14559" customFormat="false" ht="15" hidden="false" customHeight="false" outlineLevel="0" collapsed="false">
      <c r="A14559" s="3" t="s">
        <v>337</v>
      </c>
      <c r="G14559" s="16" t="n">
        <f aca="false">Assumptions!$N$64*MIN(G14550+G14557+G14555-G14556-G14558,MAX(0,G14645-G14468-G14481-G14494-G14507-G14520-G14533-G14546))</f>
        <v>0</v>
      </c>
      <c r="H14559" s="16" t="n">
        <f aca="false">Assumptions!$N$64*MIN(H14550+H14557+H14555-H14556-H14558,MAX(0,H14645-H14468-H14481-H14494-H14507-H14520-H14533-H14546))</f>
        <v>0</v>
      </c>
      <c r="I14559" s="16" t="n">
        <f aca="false">Assumptions!$N$64*MIN(I14550+I14557+I14555-I14556-I14558,MAX(0,I14645-I14468-I14481-I14494-I14507-I14520-I14533-I14546))</f>
        <v>0</v>
      </c>
      <c r="J14559" s="16" t="n">
        <f aca="false">Assumptions!$N$64*MIN(J14550+J14557+J14555-J14556-J14558,MAX(0,J14645-J14468-J14481-J14494-J14507-J14520-J14533-J14546))</f>
        <v>0</v>
      </c>
      <c r="K14559" s="16" t="n">
        <f aca="false">Assumptions!$N$64*MIN(K14550+K14557+K14555-K14556-K14558,MAX(0,K14645-K14468-K14481-K14494-K14507-K14520-K14533-K14546))</f>
        <v>0</v>
      </c>
    </row>
    <row r="14560" customFormat="false" ht="15" hidden="false" customHeight="false" outlineLevel="0" collapsed="false">
      <c r="A14560" s="3" t="s">
        <v>338</v>
      </c>
      <c r="G14560" s="16" t="n">
        <f aca="false">G14551*(1-G14457)*(G14550-G14556+G14555-G14558)</f>
        <v>0</v>
      </c>
      <c r="H14560" s="16" t="n">
        <f aca="false">H14551*(1-H14457)*(H14550-H14556+H14555-H14558)</f>
        <v>0</v>
      </c>
      <c r="I14560" s="16" t="n">
        <f aca="false">I14551*(1-I14457)*(I14550-I14556+I14555-I14558)</f>
        <v>0</v>
      </c>
      <c r="J14560" s="16" t="n">
        <f aca="false">J14551*(1-J14457)*(J14550-J14556+J14555-J14558)</f>
        <v>0</v>
      </c>
      <c r="K14560" s="16" t="n">
        <f aca="false">K14551*(1-K14457)*(K14550-K14556+K14555-K14558)</f>
        <v>0</v>
      </c>
    </row>
    <row r="14561" customFormat="false" ht="15" hidden="false" customHeight="false" outlineLevel="0" collapsed="false">
      <c r="A14561" s="2" t="s">
        <v>339</v>
      </c>
      <c r="F14561" s="28" t="n">
        <f aca="false">Assumptions!$C$64</f>
        <v>350</v>
      </c>
      <c r="G14561" s="17" t="n">
        <f aca="false">G14550+G14557+G14555-G14556-G14558-G14559</f>
        <v>350</v>
      </c>
      <c r="H14561" s="17" t="n">
        <f aca="false">H14550+H14557+H14555-H14556-H14558-H14559</f>
        <v>350</v>
      </c>
      <c r="I14561" s="17" t="n">
        <f aca="false">I14550+I14557+I14555-I14556-I14558-I14559</f>
        <v>350</v>
      </c>
      <c r="J14561" s="17" t="n">
        <f aca="false">J14550+J14557+J14555-J14556-J14558-J14559</f>
        <v>350</v>
      </c>
      <c r="K14561" s="17" t="n">
        <f aca="false">K14550+K14557+K14555-K14556-K14558-K14559</f>
        <v>350</v>
      </c>
    </row>
    <row r="14562" customFormat="false" ht="15" hidden="false" customHeight="false" outlineLevel="0" collapsed="false">
      <c r="A14562" s="24" t="s">
        <v>347</v>
      </c>
      <c r="B14562" s="25"/>
      <c r="C14562" s="25"/>
      <c r="D14562" s="25"/>
      <c r="E14562" s="25"/>
      <c r="F14562" s="25"/>
      <c r="G14562" s="25"/>
      <c r="H14562" s="25"/>
      <c r="I14562" s="25"/>
      <c r="J14562" s="25"/>
      <c r="K14562" s="25"/>
    </row>
    <row r="14563" customFormat="false" ht="15" hidden="false" customHeight="false" outlineLevel="0" collapsed="false">
      <c r="A14563" s="3" t="s">
        <v>329</v>
      </c>
      <c r="G14563" s="16" t="n">
        <f aca="false">F14574</f>
        <v>300</v>
      </c>
      <c r="H14563" s="16" t="n">
        <f aca="false">G14574</f>
        <v>300</v>
      </c>
      <c r="I14563" s="16" t="n">
        <f aca="false">H14574</f>
        <v>300</v>
      </c>
      <c r="J14563" s="16" t="n">
        <f aca="false">I14574</f>
        <v>300</v>
      </c>
      <c r="K14563" s="16" t="n">
        <f aca="false">J14574</f>
        <v>300</v>
      </c>
    </row>
    <row r="14564" customFormat="false" ht="15" hidden="false" customHeight="false" outlineLevel="0" collapsed="false">
      <c r="A14564" s="3" t="s">
        <v>330</v>
      </c>
      <c r="G14564" s="21" t="n">
        <f aca="false">IF(G14423=Assumptions!$K$65,1,0)</f>
        <v>0</v>
      </c>
      <c r="H14564" s="21" t="n">
        <f aca="false">IF(H14423=Assumptions!$K$65,1,0)</f>
        <v>0</v>
      </c>
      <c r="I14564" s="21" t="n">
        <f aca="false">IF(I14423=Assumptions!$K$65,1,0)</f>
        <v>0</v>
      </c>
      <c r="J14564" s="21" t="n">
        <f aca="false">IF(J14423=Assumptions!$K$65,1,0)</f>
        <v>0</v>
      </c>
      <c r="K14564" s="21" t="n">
        <f aca="false">IF(K14423=Assumptions!$K$65,1,0)</f>
        <v>1</v>
      </c>
    </row>
    <row r="14566" customFormat="false" ht="15" hidden="false" customHeight="false" outlineLevel="0" collapsed="false">
      <c r="A14566" s="3" t="s">
        <v>331</v>
      </c>
      <c r="G14566" s="31" t="n">
        <f aca="false">IF(Assumptions!$I$65=1,MAX(G14449,Assumptions!$G$65)+Assumptions!$F$65+$C$14450,Assumptions!$E$65)</f>
        <v>0.06125</v>
      </c>
      <c r="H14566" s="31" t="n">
        <f aca="false">IF(G14777=1,$C$14451,IF(Assumptions!$I$65=1,MAX(H14449,Assumptions!$G$65)+Assumptions!$F$65+$C$14450,Assumptions!$E$65))</f>
        <v>0.06125</v>
      </c>
      <c r="I14566" s="31" t="n">
        <f aca="false">IF(H14777=1,$C$14451,IF(Assumptions!$I$65=1,MAX(I14449,Assumptions!$G$65)+Assumptions!$F$65+$C$14450,Assumptions!$E$65))</f>
        <v>0.06125</v>
      </c>
      <c r="J14566" s="31" t="n">
        <f aca="false">IF(I14777=1,$C$14451,IF(Assumptions!$I$65=1,MAX(J14449,Assumptions!$G$65)+Assumptions!$F$65+$C$14450,Assumptions!$E$65))</f>
        <v>0.06125</v>
      </c>
      <c r="K14566" s="31" t="n">
        <f aca="false">IF(J14777=1,$C$14451,IF(Assumptions!$I$65=1,MAX(K14449,Assumptions!$G$65)+Assumptions!$F$65+$C$14450,Assumptions!$E$65))</f>
        <v>0.06125</v>
      </c>
    </row>
    <row r="14567" customFormat="false" ht="15" hidden="false" customHeight="false" outlineLevel="0" collapsed="false">
      <c r="A14567" s="3" t="s">
        <v>332</v>
      </c>
      <c r="G14567" s="16" t="n">
        <f aca="false">G14563*G14566</f>
        <v>18.375</v>
      </c>
      <c r="H14567" s="16" t="n">
        <f aca="false">H14563*H14566</f>
        <v>18.375</v>
      </c>
      <c r="I14567" s="16" t="n">
        <f aca="false">I14563*I14566</f>
        <v>18.375</v>
      </c>
      <c r="J14567" s="16" t="n">
        <f aca="false">J14563*J14566</f>
        <v>18.375</v>
      </c>
      <c r="K14567" s="16" t="n">
        <f aca="false">K14563*K14566</f>
        <v>18.375</v>
      </c>
    </row>
    <row r="14568" customFormat="false" ht="15" hidden="false" customHeight="false" outlineLevel="0" collapsed="false">
      <c r="A14568" s="3" t="s">
        <v>333</v>
      </c>
      <c r="G14568" s="16" t="n">
        <f aca="false">G14563*Assumptions!$H$65</f>
        <v>0</v>
      </c>
      <c r="H14568" s="16" t="n">
        <f aca="false">H14563*Assumptions!$H$65</f>
        <v>0</v>
      </c>
      <c r="I14568" s="16" t="n">
        <f aca="false">I14563*Assumptions!$H$65</f>
        <v>0</v>
      </c>
      <c r="J14568" s="16" t="n">
        <f aca="false">J14563*Assumptions!$H$65</f>
        <v>0</v>
      </c>
      <c r="K14568" s="16" t="n">
        <f aca="false">K14563*Assumptions!$H$65</f>
        <v>0</v>
      </c>
    </row>
    <row r="14569" customFormat="false" ht="15" hidden="false" customHeight="false" outlineLevel="0" collapsed="false">
      <c r="A14569" s="3" t="s">
        <v>334</v>
      </c>
      <c r="G14569" s="16" t="n">
        <f aca="false">MIN(G14563,Assumptions!$L$65*Assumptions!$C$65)</f>
        <v>0</v>
      </c>
      <c r="H14569" s="16" t="n">
        <f aca="false">MIN(H14563,Assumptions!$L$65*Assumptions!$C$65)</f>
        <v>0</v>
      </c>
      <c r="I14569" s="16" t="n">
        <f aca="false">MIN(I14563,Assumptions!$L$65*Assumptions!$C$65)</f>
        <v>0</v>
      </c>
      <c r="J14569" s="16" t="n">
        <f aca="false">MIN(J14563,Assumptions!$L$65*Assumptions!$C$65)</f>
        <v>0</v>
      </c>
      <c r="K14569" s="16" t="n">
        <f aca="false">MIN(K14563,Assumptions!$L$65*Assumptions!$C$65)</f>
        <v>0</v>
      </c>
    </row>
    <row r="14570" customFormat="false" ht="15" hidden="false" customHeight="false" outlineLevel="0" collapsed="false">
      <c r="A14570" s="3" t="s">
        <v>335</v>
      </c>
      <c r="G14570" s="16" t="n">
        <f aca="false">IF(AND(Assumptions!$P$65=1,G14423&lt;Assumptions!$K$65),MIN(MAX(0,-G14639),MAX(0,Assumptions!$D$65-G14563)),0)</f>
        <v>0</v>
      </c>
      <c r="H14570" s="16" t="n">
        <f aca="false">IF(AND(Assumptions!$P$65=1,OR(H14423&lt;Assumptions!$K$65,G14777=1)),MIN(MAX(0,-H14639),MAX(0,Assumptions!$D$65-H14563)),0)</f>
        <v>0</v>
      </c>
      <c r="I14570" s="16" t="n">
        <f aca="false">IF(AND(Assumptions!$P$65=1,OR(I14423&lt;Assumptions!$K$65,H14777=1)),MIN(MAX(0,-I14639),MAX(0,Assumptions!$D$65-I14563)),0)</f>
        <v>0</v>
      </c>
      <c r="J14570" s="16" t="n">
        <f aca="false">IF(AND(Assumptions!$P$65=1,OR(J14423&lt;Assumptions!$K$65,I14777=1)),MIN(MAX(0,-J14639),MAX(0,Assumptions!$D$65-J14563)),0)</f>
        <v>0</v>
      </c>
      <c r="K14570" s="16" t="n">
        <f aca="false">IF(AND(Assumptions!$P$65=1,OR(K14423&lt;Assumptions!$K$65,J14777=1)),MIN(MAX(0,-K14639),MAX(0,Assumptions!$D$65-K14563)),0)</f>
        <v>0</v>
      </c>
    </row>
    <row r="14571" customFormat="false" ht="15" hidden="false" customHeight="false" outlineLevel="0" collapsed="false">
      <c r="A14571" s="3" t="s">
        <v>336</v>
      </c>
      <c r="G14571" s="16" t="n">
        <f aca="false">G14564*MIN(G14563-G14569+G14568,MAX(0,G14641-Assumptions!$C$12*G14457-G14467-G14480-G14493-G14506-G14519-G14532-G14545-G14558))</f>
        <v>0</v>
      </c>
      <c r="H14571" s="16" t="n">
        <f aca="false">H14564*MIN(H14563-H14569+H14568,MAX(0,H14641-Assumptions!$C$12*H14457-H14467-H14480-H14493-H14506-H14519-H14532-H14545-H14558))</f>
        <v>0</v>
      </c>
      <c r="I14571" s="16" t="n">
        <f aca="false">I14564*MIN(I14563-I14569+I14568,MAX(0,I14641-Assumptions!$C$12*I14457-I14467-I14480-I14493-I14506-I14519-I14532-I14545-I14558))</f>
        <v>0</v>
      </c>
      <c r="J14571" s="16" t="n">
        <f aca="false">J14564*MIN(J14563-J14569+J14568,MAX(0,J14641-Assumptions!$C$12*J14457-J14467-J14480-J14493-J14506-J14519-J14532-J14545-J14558))</f>
        <v>0</v>
      </c>
      <c r="K14571" s="16" t="n">
        <f aca="false">K14564*MIN(K14563-K14569+K14568,MAX(0,K14641-Assumptions!$C$12*K14457-K14467-K14480-K14493-K14506-K14519-K14532-K14545-K14558))</f>
        <v>0</v>
      </c>
    </row>
    <row r="14572" customFormat="false" ht="15" hidden="false" customHeight="false" outlineLevel="0" collapsed="false">
      <c r="A14572" s="3" t="s">
        <v>337</v>
      </c>
      <c r="G14572" s="16" t="n">
        <f aca="false">Assumptions!$N$65*MIN(G14563+G14570+G14568-G14569-G14571,MAX(0,G14645-G14468-G14481-G14494-G14507-G14520-G14533-G14546-G14559))</f>
        <v>0</v>
      </c>
      <c r="H14572" s="16" t="n">
        <f aca="false">Assumptions!$N$65*MIN(H14563+H14570+H14568-H14569-H14571,MAX(0,H14645-H14468-H14481-H14494-H14507-H14520-H14533-H14546-H14559))</f>
        <v>0</v>
      </c>
      <c r="I14572" s="16" t="n">
        <f aca="false">Assumptions!$N$65*MIN(I14563+I14570+I14568-I14569-I14571,MAX(0,I14645-I14468-I14481-I14494-I14507-I14520-I14533-I14546-I14559))</f>
        <v>0</v>
      </c>
      <c r="J14572" s="16" t="n">
        <f aca="false">Assumptions!$N$65*MIN(J14563+J14570+J14568-J14569-J14571,MAX(0,J14645-J14468-J14481-J14494-J14507-J14520-J14533-J14546-J14559))</f>
        <v>0</v>
      </c>
      <c r="K14572" s="16" t="n">
        <f aca="false">Assumptions!$N$65*MIN(K14563+K14570+K14568-K14569-K14571,MAX(0,K14645-K14468-K14481-K14494-K14507-K14520-K14533-K14546-K14559))</f>
        <v>0</v>
      </c>
    </row>
    <row r="14573" customFormat="false" ht="15" hidden="false" customHeight="false" outlineLevel="0" collapsed="false">
      <c r="A14573" s="3" t="s">
        <v>338</v>
      </c>
      <c r="G14573" s="16" t="n">
        <f aca="false">G14564*(1-G14457)*(G14563-G14569+G14568-G14571)</f>
        <v>0</v>
      </c>
      <c r="H14573" s="16" t="n">
        <f aca="false">H14564*(1-H14457)*(H14563-H14569+H14568-H14571)</f>
        <v>0</v>
      </c>
      <c r="I14573" s="16" t="n">
        <f aca="false">I14564*(1-I14457)*(I14563-I14569+I14568-I14571)</f>
        <v>0</v>
      </c>
      <c r="J14573" s="16" t="n">
        <f aca="false">J14564*(1-J14457)*(J14563-J14569+J14568-J14571)</f>
        <v>0</v>
      </c>
      <c r="K14573" s="16" t="n">
        <f aca="false">K14564*(1-K14457)*(K14563-K14569+K14568-K14571)</f>
        <v>0</v>
      </c>
    </row>
    <row r="14574" customFormat="false" ht="15" hidden="false" customHeight="false" outlineLevel="0" collapsed="false">
      <c r="A14574" s="2" t="s">
        <v>339</v>
      </c>
      <c r="F14574" s="28" t="n">
        <f aca="false">Assumptions!$C$65</f>
        <v>300</v>
      </c>
      <c r="G14574" s="17" t="n">
        <f aca="false">G14563+G14570+G14568-G14569-G14571-G14572</f>
        <v>300</v>
      </c>
      <c r="H14574" s="17" t="n">
        <f aca="false">H14563+H14570+H14568-H14569-H14571-H14572</f>
        <v>300</v>
      </c>
      <c r="I14574" s="17" t="n">
        <f aca="false">I14563+I14570+I14568-I14569-I14571-I14572</f>
        <v>300</v>
      </c>
      <c r="J14574" s="17" t="n">
        <f aca="false">J14563+J14570+J14568-J14569-J14571-J14572</f>
        <v>300</v>
      </c>
      <c r="K14574" s="17" t="n">
        <f aca="false">K14563+K14570+K14568-K14569-K14571-K14572</f>
        <v>300</v>
      </c>
    </row>
    <row r="14575" customFormat="false" ht="15" hidden="false" customHeight="false" outlineLevel="0" collapsed="false">
      <c r="A14575" s="24" t="s">
        <v>348</v>
      </c>
      <c r="B14575" s="25"/>
      <c r="C14575" s="25"/>
      <c r="D14575" s="25"/>
      <c r="E14575" s="25"/>
      <c r="F14575" s="25"/>
      <c r="G14575" s="25"/>
      <c r="H14575" s="25"/>
      <c r="I14575" s="25"/>
      <c r="J14575" s="25"/>
      <c r="K14575" s="25"/>
    </row>
    <row r="14576" customFormat="false" ht="15" hidden="false" customHeight="false" outlineLevel="0" collapsed="false">
      <c r="A14576" s="3" t="s">
        <v>329</v>
      </c>
      <c r="G14576" s="16" t="n">
        <f aca="false">F14587</f>
        <v>78.61</v>
      </c>
      <c r="H14576" s="16" t="n">
        <f aca="false">G14587</f>
        <v>78.61</v>
      </c>
      <c r="I14576" s="16" t="n">
        <f aca="false">H14587</f>
        <v>78.61</v>
      </c>
      <c r="J14576" s="16" t="n">
        <f aca="false">I14587</f>
        <v>78.61</v>
      </c>
      <c r="K14576" s="16" t="n">
        <f aca="false">J14587</f>
        <v>78.61</v>
      </c>
    </row>
    <row r="14577" customFormat="false" ht="15" hidden="false" customHeight="false" outlineLevel="0" collapsed="false">
      <c r="A14577" s="3" t="s">
        <v>330</v>
      </c>
      <c r="G14577" s="21" t="n">
        <f aca="false">IF(G14423=Assumptions!$K$66,1,0)</f>
        <v>0</v>
      </c>
      <c r="H14577" s="21" t="n">
        <f aca="false">IF(H14423=Assumptions!$K$66,1,0)</f>
        <v>0</v>
      </c>
      <c r="I14577" s="21" t="n">
        <f aca="false">IF(I14423=Assumptions!$K$66,1,0)</f>
        <v>0</v>
      </c>
      <c r="J14577" s="21" t="n">
        <f aca="false">IF(J14423=Assumptions!$K$66,1,0)</f>
        <v>0</v>
      </c>
      <c r="K14577" s="21" t="n">
        <f aca="false">IF(K14423=Assumptions!$K$66,1,0)</f>
        <v>0</v>
      </c>
    </row>
    <row r="14579" customFormat="false" ht="15" hidden="false" customHeight="false" outlineLevel="0" collapsed="false">
      <c r="A14579" s="3" t="s">
        <v>331</v>
      </c>
      <c r="G14579" s="31" t="n">
        <f aca="false">IF(Assumptions!$I$66=1,MAX(G14449,Assumptions!$G$66)+Assumptions!$F$66+$C$14450,Assumptions!$E$66)</f>
        <v>0.0541</v>
      </c>
      <c r="H14579" s="31" t="n">
        <f aca="false">IF(G14778=1,$C$14451,IF(Assumptions!$I$66=1,MAX(H14449,Assumptions!$G$66)+Assumptions!$F$66+$C$14450,Assumptions!$E$66))</f>
        <v>0.0526</v>
      </c>
      <c r="I14579" s="31" t="n">
        <f aca="false">IF(H14778=1,$C$14451,IF(Assumptions!$I$66=1,MAX(I14449,Assumptions!$G$66)+Assumptions!$F$66+$C$14450,Assumptions!$E$66))</f>
        <v>0.0501</v>
      </c>
      <c r="J14579" s="31" t="n">
        <f aca="false">IF(I14778=1,$C$14451,IF(Assumptions!$I$66=1,MAX(J14449,Assumptions!$G$66)+Assumptions!$F$66+$C$14450,Assumptions!$E$66))</f>
        <v>0.0501</v>
      </c>
      <c r="K14579" s="31" t="n">
        <f aca="false">IF(J14778=1,$C$14451,IF(Assumptions!$I$66=1,MAX(K14449,Assumptions!$G$66)+Assumptions!$F$66+$C$14450,Assumptions!$E$66))</f>
        <v>0.0501</v>
      </c>
    </row>
    <row r="14580" customFormat="false" ht="15" hidden="false" customHeight="false" outlineLevel="0" collapsed="false">
      <c r="A14580" s="3" t="s">
        <v>332</v>
      </c>
      <c r="G14580" s="16" t="n">
        <f aca="false">G14576*G14579</f>
        <v>4.252801</v>
      </c>
      <c r="H14580" s="16" t="n">
        <f aca="false">H14576*H14579</f>
        <v>4.134886</v>
      </c>
      <c r="I14580" s="16" t="n">
        <f aca="false">I14576*I14579</f>
        <v>3.938361</v>
      </c>
      <c r="J14580" s="16" t="n">
        <f aca="false">J14576*J14579</f>
        <v>3.938361</v>
      </c>
      <c r="K14580" s="16" t="n">
        <f aca="false">K14576*K14579</f>
        <v>3.938361</v>
      </c>
    </row>
    <row r="14581" customFormat="false" ht="15" hidden="false" customHeight="false" outlineLevel="0" collapsed="false">
      <c r="A14581" s="3" t="s">
        <v>333</v>
      </c>
      <c r="G14581" s="16" t="n">
        <f aca="false">G14576*Assumptions!$H$66</f>
        <v>0</v>
      </c>
      <c r="H14581" s="16" t="n">
        <f aca="false">H14576*Assumptions!$H$66</f>
        <v>0</v>
      </c>
      <c r="I14581" s="16" t="n">
        <f aca="false">I14576*Assumptions!$H$66</f>
        <v>0</v>
      </c>
      <c r="J14581" s="16" t="n">
        <f aca="false">J14576*Assumptions!$H$66</f>
        <v>0</v>
      </c>
      <c r="K14581" s="16" t="n">
        <f aca="false">K14576*Assumptions!$H$66</f>
        <v>0</v>
      </c>
    </row>
    <row r="14582" customFormat="false" ht="15" hidden="false" customHeight="false" outlineLevel="0" collapsed="false">
      <c r="A14582" s="3" t="s">
        <v>334</v>
      </c>
      <c r="G14582" s="16" t="n">
        <f aca="false">MIN(G14576,Assumptions!$L$66*Assumptions!$C$66)</f>
        <v>0</v>
      </c>
      <c r="H14582" s="16" t="n">
        <f aca="false">MIN(H14576,Assumptions!$L$66*Assumptions!$C$66)</f>
        <v>0</v>
      </c>
      <c r="I14582" s="16" t="n">
        <f aca="false">MIN(I14576,Assumptions!$L$66*Assumptions!$C$66)</f>
        <v>0</v>
      </c>
      <c r="J14582" s="16" t="n">
        <f aca="false">MIN(J14576,Assumptions!$L$66*Assumptions!$C$66)</f>
        <v>0</v>
      </c>
      <c r="K14582" s="16" t="n">
        <f aca="false">MIN(K14576,Assumptions!$L$66*Assumptions!$C$66)</f>
        <v>0</v>
      </c>
    </row>
    <row r="14583" customFormat="false" ht="15" hidden="false" customHeight="false" outlineLevel="0" collapsed="false">
      <c r="A14583" s="3" t="s">
        <v>335</v>
      </c>
      <c r="G14583" s="16" t="n">
        <f aca="false">IF(AND(Assumptions!$P$66=1,G14423&lt;Assumptions!$K$66),MIN(MAX(0,-G14639),MAX(0,Assumptions!$D$66-G14576)),0)</f>
        <v>0</v>
      </c>
      <c r="H14583" s="16" t="n">
        <f aca="false">IF(AND(Assumptions!$P$66=1,OR(H14423&lt;Assumptions!$K$66,G14778=1)),MIN(MAX(0,-H14639),MAX(0,Assumptions!$D$66-H14576)),0)</f>
        <v>0</v>
      </c>
      <c r="I14583" s="16" t="n">
        <f aca="false">IF(AND(Assumptions!$P$66=1,OR(I14423&lt;Assumptions!$K$66,H14778=1)),MIN(MAX(0,-I14639),MAX(0,Assumptions!$D$66-I14576)),0)</f>
        <v>0</v>
      </c>
      <c r="J14583" s="16" t="n">
        <f aca="false">IF(AND(Assumptions!$P$66=1,OR(J14423&lt;Assumptions!$K$66,I14778=1)),MIN(MAX(0,-J14639),MAX(0,Assumptions!$D$66-J14576)),0)</f>
        <v>0</v>
      </c>
      <c r="K14583" s="16" t="n">
        <f aca="false">IF(AND(Assumptions!$P$66=1,OR(K14423&lt;Assumptions!$K$66,J14778=1)),MIN(MAX(0,-K14639),MAX(0,Assumptions!$D$66-K14576)),0)</f>
        <v>0</v>
      </c>
    </row>
    <row r="14584" customFormat="false" ht="15" hidden="false" customHeight="false" outlineLevel="0" collapsed="false">
      <c r="A14584" s="3" t="s">
        <v>336</v>
      </c>
      <c r="G14584" s="16" t="n">
        <f aca="false">G14577*MIN(G14576-G14582+G14581,MAX(0,G14641-Assumptions!$C$12*G14457-G14467-G14480-G14493-G14506-G14519-G14532-G14545-G14558-G14571))</f>
        <v>0</v>
      </c>
      <c r="H14584" s="16" t="n">
        <f aca="false">H14577*MIN(H14576-H14582+H14581,MAX(0,H14641-Assumptions!$C$12*H14457-H14467-H14480-H14493-H14506-H14519-H14532-H14545-H14558-H14571))</f>
        <v>0</v>
      </c>
      <c r="I14584" s="16" t="n">
        <f aca="false">I14577*MIN(I14576-I14582+I14581,MAX(0,I14641-Assumptions!$C$12*I14457-I14467-I14480-I14493-I14506-I14519-I14532-I14545-I14558-I14571))</f>
        <v>0</v>
      </c>
      <c r="J14584" s="16" t="n">
        <f aca="false">J14577*MIN(J14576-J14582+J14581,MAX(0,J14641-Assumptions!$C$12*J14457-J14467-J14480-J14493-J14506-J14519-J14532-J14545-J14558-J14571))</f>
        <v>0</v>
      </c>
      <c r="K14584" s="16" t="n">
        <f aca="false">K14577*MIN(K14576-K14582+K14581,MAX(0,K14641-Assumptions!$C$12*K14457-K14467-K14480-K14493-K14506-K14519-K14532-K14545-K14558-K14571))</f>
        <v>0</v>
      </c>
    </row>
    <row r="14585" customFormat="false" ht="15" hidden="false" customHeight="false" outlineLevel="0" collapsed="false">
      <c r="A14585" s="3" t="s">
        <v>337</v>
      </c>
      <c r="G14585" s="16" t="n">
        <f aca="false">Assumptions!$N$66*MIN(G14576+G14583+G14581-G14582-G14584,MAX(0,G14645-G14468-G14481-G14494-G14507-G14520-G14533-G14546-G14559-G14572))</f>
        <v>0</v>
      </c>
      <c r="H14585" s="16" t="n">
        <f aca="false">Assumptions!$N$66*MIN(H14576+H14583+H14581-H14582-H14584,MAX(0,H14645-H14468-H14481-H14494-H14507-H14520-H14533-H14546-H14559-H14572))</f>
        <v>0</v>
      </c>
      <c r="I14585" s="16" t="n">
        <f aca="false">Assumptions!$N$66*MIN(I14576+I14583+I14581-I14582-I14584,MAX(0,I14645-I14468-I14481-I14494-I14507-I14520-I14533-I14546-I14559-I14572))</f>
        <v>0</v>
      </c>
      <c r="J14585" s="16" t="n">
        <f aca="false">Assumptions!$N$66*MIN(J14576+J14583+J14581-J14582-J14584,MAX(0,J14645-J14468-J14481-J14494-J14507-J14520-J14533-J14546-J14559-J14572))</f>
        <v>0</v>
      </c>
      <c r="K14585" s="16" t="n">
        <f aca="false">Assumptions!$N$66*MIN(K14576+K14583+K14581-K14582-K14584,MAX(0,K14645-K14468-K14481-K14494-K14507-K14520-K14533-K14546-K14559-K14572))</f>
        <v>0</v>
      </c>
    </row>
    <row r="14586" customFormat="false" ht="15" hidden="false" customHeight="false" outlineLevel="0" collapsed="false">
      <c r="A14586" s="3" t="s">
        <v>338</v>
      </c>
      <c r="G14586" s="16" t="n">
        <f aca="false">G14577*(1-G14457)*(G14576-G14582+G14581-G14584)</f>
        <v>0</v>
      </c>
      <c r="H14586" s="16" t="n">
        <f aca="false">H14577*(1-H14457)*(H14576-H14582+H14581-H14584)</f>
        <v>0</v>
      </c>
      <c r="I14586" s="16" t="n">
        <f aca="false">I14577*(1-I14457)*(I14576-I14582+I14581-I14584)</f>
        <v>0</v>
      </c>
      <c r="J14586" s="16" t="n">
        <f aca="false">J14577*(1-J14457)*(J14576-J14582+J14581-J14584)</f>
        <v>0</v>
      </c>
      <c r="K14586" s="16" t="n">
        <f aca="false">K14577*(1-K14457)*(K14576-K14582+K14581-K14584)</f>
        <v>0</v>
      </c>
    </row>
    <row r="14587" customFormat="false" ht="15" hidden="false" customHeight="false" outlineLevel="0" collapsed="false">
      <c r="A14587" s="2" t="s">
        <v>339</v>
      </c>
      <c r="F14587" s="28" t="n">
        <f aca="false">Assumptions!$C$66</f>
        <v>78.61</v>
      </c>
      <c r="G14587" s="17" t="n">
        <f aca="false">G14576+G14583+G14581-G14582-G14584-G14585</f>
        <v>78.61</v>
      </c>
      <c r="H14587" s="17" t="n">
        <f aca="false">H14576+H14583+H14581-H14582-H14584-H14585</f>
        <v>78.61</v>
      </c>
      <c r="I14587" s="17" t="n">
        <f aca="false">I14576+I14583+I14581-I14582-I14584-I14585</f>
        <v>78.61</v>
      </c>
      <c r="J14587" s="17" t="n">
        <f aca="false">J14576+J14583+J14581-J14582-J14584-J14585</f>
        <v>78.61</v>
      </c>
      <c r="K14587" s="17" t="n">
        <f aca="false">K14576+K14583+K14581-K14582-K14584-K14585</f>
        <v>78.61</v>
      </c>
    </row>
    <row r="14588" customFormat="false" ht="15" hidden="false" customHeight="false" outlineLevel="0" collapsed="false">
      <c r="A14588" s="24" t="s">
        <v>349</v>
      </c>
      <c r="B14588" s="25"/>
      <c r="C14588" s="25"/>
      <c r="D14588" s="25"/>
      <c r="E14588" s="25"/>
      <c r="F14588" s="25"/>
      <c r="G14588" s="25"/>
      <c r="H14588" s="25"/>
      <c r="I14588" s="25"/>
      <c r="J14588" s="25"/>
      <c r="K14588" s="25"/>
    </row>
    <row r="14589" customFormat="false" ht="15" hidden="false" customHeight="false" outlineLevel="0" collapsed="false">
      <c r="A14589" s="2" t="s">
        <v>350</v>
      </c>
      <c r="F14589" s="17" t="n">
        <f aca="false">F14470+F14483+F14496+F14509+F14522+F14535+F14548+F14561+F14574+F14587</f>
        <v>2625.934</v>
      </c>
      <c r="G14589" s="17" t="n">
        <f aca="false">G14470+G14483+G14496+G14509+G14522+G14535+G14548+G14561+G14574+G14587</f>
        <v>2621.934</v>
      </c>
      <c r="H14589" s="17" t="n">
        <f aca="false">H14470+H14483+H14496+H14509+H14522+H14535+H14548+H14561+H14574+H14587</f>
        <v>2544.5493391168</v>
      </c>
      <c r="I14589" s="17" t="n">
        <f aca="false">I14470+I14483+I14496+I14509+I14522+I14535+I14548+I14561+I14574+I14587</f>
        <v>2570.67391734138</v>
      </c>
      <c r="J14589" s="17" t="n">
        <f aca="false">J14470+J14483+J14496+J14509+J14522+J14535+J14548+J14561+J14574+J14587</f>
        <v>2601.01483973432</v>
      </c>
      <c r="K14589" s="17" t="n">
        <f aca="false">K14470+K14483+K14496+K14509+K14522+K14535+K14548+K14561+K14574+K14587</f>
        <v>2625.4534030056</v>
      </c>
    </row>
    <row r="14590" customFormat="false" ht="15" hidden="false" customHeight="false" outlineLevel="0" collapsed="false">
      <c r="A14590" s="3" t="s">
        <v>351</v>
      </c>
      <c r="G14590" s="16" t="n">
        <f aca="false">G14460*Assumptions!$C$57+G14473*Assumptions!$C$58+G14486*Assumptions!$C$59+G14499*Assumptions!$C$60+G14512*Assumptions!$C$61+G14525*Assumptions!$C$62+G14538*Assumptions!$C$63+G14551*Assumptions!$C$64+G14564*Assumptions!$C$65+G14577*Assumptions!$C$66</f>
        <v>0</v>
      </c>
      <c r="H14590" s="16" t="n">
        <f aca="false">H14460*Assumptions!$C$57+H14473*Assumptions!$C$58+H14486*Assumptions!$C$59+H14499*Assumptions!$C$60+H14512*Assumptions!$C$61+H14525*Assumptions!$C$62+H14538*Assumptions!$C$63+H14551*Assumptions!$C$64+H14564*Assumptions!$C$65+H14577*Assumptions!$C$66</f>
        <v>800</v>
      </c>
      <c r="I14590" s="16" t="n">
        <f aca="false">I14460*Assumptions!$C$57+I14473*Assumptions!$C$58+I14486*Assumptions!$C$59+I14499*Assumptions!$C$60+I14512*Assumptions!$C$61+I14525*Assumptions!$C$62+I14538*Assumptions!$C$63+I14551*Assumptions!$C$64+I14564*Assumptions!$C$65+I14577*Assumptions!$C$66</f>
        <v>550</v>
      </c>
      <c r="J14590" s="16" t="n">
        <f aca="false">J14460*Assumptions!$C$57+J14473*Assumptions!$C$58+J14486*Assumptions!$C$59+J14499*Assumptions!$C$60+J14512*Assumptions!$C$61+J14525*Assumptions!$C$62+J14538*Assumptions!$C$63+J14551*Assumptions!$C$64+J14564*Assumptions!$C$65+J14577*Assumptions!$C$66</f>
        <v>350</v>
      </c>
      <c r="K14590" s="16" t="n">
        <f aca="false">K14460*Assumptions!$C$57+K14473*Assumptions!$C$58+K14486*Assumptions!$C$59+K14499*Assumptions!$C$60+K14512*Assumptions!$C$61+K14525*Assumptions!$C$62+K14538*Assumptions!$C$63+K14551*Assumptions!$C$64+K14564*Assumptions!$C$65+K14577*Assumptions!$C$66</f>
        <v>700</v>
      </c>
    </row>
    <row r="14591" customFormat="false" ht="15" hidden="false" customHeight="false" outlineLevel="0" collapsed="false">
      <c r="A14591" s="24" t="s">
        <v>352</v>
      </c>
      <c r="B14591" s="25"/>
      <c r="C14591" s="25"/>
      <c r="D14591" s="25"/>
      <c r="E14591" s="25"/>
      <c r="F14591" s="25"/>
      <c r="G14591" s="25"/>
      <c r="H14591" s="25"/>
      <c r="I14591" s="25"/>
      <c r="J14591" s="25"/>
      <c r="K14591" s="25"/>
    </row>
    <row r="14592" customFormat="false" ht="15" hidden="false" customHeight="false" outlineLevel="0" collapsed="false">
      <c r="A14592" s="3" t="s">
        <v>353</v>
      </c>
      <c r="C14592" s="16" t="n">
        <f aca="false">SUMPRODUCT($G$14460:$K$14460,$G$14459:$K$14459-$G$14465:$K$14465+$G$14464:$K$14464)</f>
        <v>380</v>
      </c>
    </row>
    <row r="14593" customFormat="false" ht="15" hidden="false" customHeight="false" outlineLevel="0" collapsed="false">
      <c r="A14593" s="3" t="s">
        <v>354</v>
      </c>
      <c r="C14593" s="16" t="n">
        <f aca="false">SUMPRODUCT($G$14460:$K$14460,$G$14467:$K$14467)</f>
        <v>0</v>
      </c>
    </row>
    <row r="14594" customFormat="false" ht="15" hidden="false" customHeight="false" outlineLevel="0" collapsed="false">
      <c r="A14594" s="3" t="s">
        <v>355</v>
      </c>
      <c r="C14594" s="3" t="str">
        <f aca="false">IF(SUM($G$14460:$K$14460)=0,"n/a (beyond horizon)",IF(SUMPRODUCT($G$14460:$K$14460,$G$14457:$K$14457)&gt;0,"REFINANCING PASS","REFINANCING FAILURE"))</f>
        <v>REFINANCING PASS</v>
      </c>
    </row>
    <row r="14595" customFormat="false" ht="15" hidden="false" customHeight="false" outlineLevel="0" collapsed="false">
      <c r="A14595" s="3" t="s">
        <v>356</v>
      </c>
      <c r="C14595" s="3" t="str">
        <f aca="false">IF(SUM($G$14460:$K$14460)=0,"n/a",IF(C14593&gt;=C14592-0.001,"Repaid from cash",IF(SUMPRODUCT($G$14460:$K$14460,$G$14457:$K$14457)&gt;0,IF(C14593&gt;0,"Partly repaid; remainder refinanced","Refinanced"),IF(SUM($G$14469:$K$14469)&gt;0.001,IF(C14593&gt;0,"Partial repayment; PAYMENT DEFAULT","PAYMENT DEFAULT"),"Repaid from cash"))))</f>
        <v>Refinanced</v>
      </c>
    </row>
    <row r="14596" customFormat="false" ht="15" hidden="false" customHeight="false" outlineLevel="0" collapsed="false">
      <c r="A14596" s="3" t="s">
        <v>357</v>
      </c>
      <c r="C14596" s="16" t="n">
        <f aca="false">SUMPRODUCT($G$14473:$K$14473,$G$14472:$K$14472-$G$14478:$K$14478+$G$14477:$K$14477)</f>
        <v>0</v>
      </c>
    </row>
    <row r="14597" customFormat="false" ht="15" hidden="false" customHeight="false" outlineLevel="0" collapsed="false">
      <c r="A14597" s="3" t="s">
        <v>358</v>
      </c>
      <c r="C14597" s="16" t="n">
        <f aca="false">SUMPRODUCT($G$14473:$K$14473,$G$14480:$K$14480)</f>
        <v>0</v>
      </c>
    </row>
    <row r="14598" customFormat="false" ht="15" hidden="false" customHeight="false" outlineLevel="0" collapsed="false">
      <c r="A14598" s="3" t="s">
        <v>359</v>
      </c>
      <c r="C14598" s="3" t="str">
        <f aca="false">IF(SUM($G$14473:$K$14473)=0,"n/a (beyond horizon)",IF(SUMPRODUCT($G$14473:$K$14473,$G$14457:$K$14457)&gt;0,"REFINANCING PASS","REFINANCING FAILURE"))</f>
        <v>n/a (beyond horizon)</v>
      </c>
    </row>
    <row r="14599" customFormat="false" ht="15" hidden="false" customHeight="false" outlineLevel="0" collapsed="false">
      <c r="A14599" s="3" t="s">
        <v>360</v>
      </c>
      <c r="C14599" s="3" t="str">
        <f aca="false">IF(SUM($G$14473:$K$14473)=0,"n/a",IF(C14597&gt;=C14596-0.001,"Repaid from cash",IF(SUMPRODUCT($G$14473:$K$14473,$G$14457:$K$14457)&gt;0,IF(C14597&gt;0,"Partly repaid; remainder refinanced","Refinanced"),IF(SUM($G$14482:$K$14482)&gt;0.001,IF(C14597&gt;0,"Partial repayment; PAYMENT DEFAULT","PAYMENT DEFAULT"),"Repaid from cash"))))</f>
        <v>n/a</v>
      </c>
    </row>
    <row r="14600" customFormat="false" ht="15" hidden="false" customHeight="false" outlineLevel="0" collapsed="false">
      <c r="A14600" s="3" t="s">
        <v>361</v>
      </c>
      <c r="C14600" s="16" t="n">
        <f aca="false">SUMPRODUCT($G$14486:$K$14486,$G$14485:$K$14485-$G$14491:$K$14491+$G$14490:$K$14490)</f>
        <v>0</v>
      </c>
    </row>
    <row r="14601" customFormat="false" ht="15" hidden="false" customHeight="false" outlineLevel="0" collapsed="false">
      <c r="A14601" s="3" t="s">
        <v>362</v>
      </c>
      <c r="C14601" s="16" t="n">
        <f aca="false">SUMPRODUCT($G$14486:$K$14486,$G$14493:$K$14493)</f>
        <v>0</v>
      </c>
    </row>
    <row r="14602" customFormat="false" ht="15" hidden="false" customHeight="false" outlineLevel="0" collapsed="false">
      <c r="A14602" s="3" t="s">
        <v>363</v>
      </c>
      <c r="C14602" s="3" t="str">
        <f aca="false">IF(SUM($G$14486:$K$14486)=0,"n/a (beyond horizon)",IF(SUMPRODUCT($G$14486:$K$14486,$G$14457:$K$14457)&gt;0,"REFINANCING PASS","REFINANCING FAILURE"))</f>
        <v>n/a (beyond horizon)</v>
      </c>
    </row>
    <row r="14603" customFormat="false" ht="15" hidden="false" customHeight="false" outlineLevel="0" collapsed="false">
      <c r="A14603" s="3" t="s">
        <v>364</v>
      </c>
      <c r="C14603" s="3" t="str">
        <f aca="false">IF(SUM($G$14486:$K$14486)=0,"n/a",IF(C14601&gt;=C14600-0.001,"Repaid from cash",IF(SUMPRODUCT($G$14486:$K$14486,$G$14457:$K$14457)&gt;0,IF(C14601&gt;0,"Partly repaid; remainder refinanced","Refinanced"),IF(SUM($G$14495:$K$14495)&gt;0.001,IF(C14601&gt;0,"Partial repayment; PAYMENT DEFAULT","PAYMENT DEFAULT"),"Repaid from cash"))))</f>
        <v>n/a</v>
      </c>
    </row>
    <row r="14604" customFormat="false" ht="15" hidden="false" customHeight="false" outlineLevel="0" collapsed="false">
      <c r="A14604" s="3" t="s">
        <v>365</v>
      </c>
      <c r="C14604" s="16" t="n">
        <f aca="false">SUMPRODUCT($G$14499:$K$14499,$G$14498:$K$14498-$G$14504:$K$14504+$G$14503:$K$14503)</f>
        <v>0</v>
      </c>
    </row>
    <row r="14605" customFormat="false" ht="15" hidden="false" customHeight="false" outlineLevel="0" collapsed="false">
      <c r="A14605" s="3" t="s">
        <v>366</v>
      </c>
      <c r="C14605" s="16" t="n">
        <f aca="false">SUMPRODUCT($G$14499:$K$14499,$G$14506:$K$14506)</f>
        <v>0</v>
      </c>
    </row>
    <row r="14606" customFormat="false" ht="15" hidden="false" customHeight="false" outlineLevel="0" collapsed="false">
      <c r="A14606" s="3" t="s">
        <v>367</v>
      </c>
      <c r="C14606" s="3" t="str">
        <f aca="false">IF(SUM($G$14499:$K$14499)=0,"n/a (beyond horizon)",IF(SUMPRODUCT($G$14499:$K$14499,$G$14457:$K$14457)&gt;0,"REFINANCING PASS","REFINANCING FAILURE"))</f>
        <v>REFINANCING PASS</v>
      </c>
    </row>
    <row r="14607" customFormat="false" ht="15" hidden="false" customHeight="false" outlineLevel="0" collapsed="false">
      <c r="A14607" s="3" t="s">
        <v>368</v>
      </c>
      <c r="C14607" s="3" t="str">
        <f aca="false">IF(SUM($G$14499:$K$14499)=0,"n/a",IF(C14605&gt;=C14604-0.001,"Repaid from cash",IF(SUMPRODUCT($G$14499:$K$14499,$G$14457:$K$14457)&gt;0,IF(C14605&gt;0,"Partly repaid; remainder refinanced","Refinanced"),IF(SUM($G$14508:$K$14508)&gt;0.001,IF(C14605&gt;0,"Partial repayment; PAYMENT DEFAULT","PAYMENT DEFAULT"),"Repaid from cash"))))</f>
        <v>Repaid from cash</v>
      </c>
    </row>
    <row r="14608" customFormat="false" ht="15" hidden="false" customHeight="false" outlineLevel="0" collapsed="false">
      <c r="A14608" s="3" t="s">
        <v>369</v>
      </c>
      <c r="C14608" s="16" t="n">
        <f aca="false">SUMPRODUCT($G$14512:$K$14512,$G$14511:$K$14511-$G$14517:$K$14517+$G$14516:$K$14516)</f>
        <v>450</v>
      </c>
    </row>
    <row r="14609" customFormat="false" ht="15" hidden="false" customHeight="false" outlineLevel="0" collapsed="false">
      <c r="A14609" s="3" t="s">
        <v>370</v>
      </c>
      <c r="C14609" s="16" t="n">
        <f aca="false">SUMPRODUCT($G$14512:$K$14512,$G$14519:$K$14519)</f>
        <v>73.3846608832001</v>
      </c>
    </row>
    <row r="14610" customFormat="false" ht="15" hidden="false" customHeight="false" outlineLevel="0" collapsed="false">
      <c r="A14610" s="3" t="s">
        <v>371</v>
      </c>
      <c r="C14610" s="3" t="str">
        <f aca="false">IF(SUM($G$14512:$K$14512)=0,"n/a (beyond horizon)",IF(SUMPRODUCT($G$14512:$K$14512,$G$14457:$K$14457)&gt;0,"REFINANCING PASS","REFINANCING FAILURE"))</f>
        <v>REFINANCING PASS</v>
      </c>
    </row>
    <row r="14611" customFormat="false" ht="15" hidden="false" customHeight="false" outlineLevel="0" collapsed="false">
      <c r="A14611" s="3" t="s">
        <v>372</v>
      </c>
      <c r="C14611" s="3" t="str">
        <f aca="false">IF(SUM($G$14512:$K$14512)=0,"n/a",IF(C14609&gt;=C14608-0.001,"Repaid from cash",IF(SUMPRODUCT($G$14512:$K$14512,$G$14457:$K$14457)&gt;0,IF(C14609&gt;0,"Partly repaid; remainder refinanced","Refinanced"),IF(SUM($G$14521:$K$14521)&gt;0.001,IF(C14609&gt;0,"Partial repayment; PAYMENT DEFAULT","PAYMENT DEFAULT"),"Repaid from cash"))))</f>
        <v>Partly repaid; remainder refinanced</v>
      </c>
    </row>
    <row r="14612" customFormat="false" ht="15" hidden="false" customHeight="false" outlineLevel="0" collapsed="false">
      <c r="A14612" s="3" t="s">
        <v>373</v>
      </c>
      <c r="C14612" s="16" t="n">
        <f aca="false">SUMPRODUCT($G$14525:$K$14525,$G$14524:$K$14524-$G$14530:$K$14530+$G$14529:$K$14529)</f>
        <v>350</v>
      </c>
    </row>
    <row r="14613" customFormat="false" ht="15" hidden="false" customHeight="false" outlineLevel="0" collapsed="false">
      <c r="A14613" s="3" t="s">
        <v>374</v>
      </c>
      <c r="C14613" s="16" t="n">
        <f aca="false">SUMPRODUCT($G$14525:$K$14525,$G$14532:$K$14532)</f>
        <v>0</v>
      </c>
    </row>
    <row r="14614" customFormat="false" ht="15" hidden="false" customHeight="false" outlineLevel="0" collapsed="false">
      <c r="A14614" s="3" t="s">
        <v>375</v>
      </c>
      <c r="C14614" s="3" t="str">
        <f aca="false">IF(SUM($G$14525:$K$14525)=0,"n/a (beyond horizon)",IF(SUMPRODUCT($G$14525:$K$14525,$G$14457:$K$14457)&gt;0,"REFINANCING PASS","REFINANCING FAILURE"))</f>
        <v>REFINANCING PASS</v>
      </c>
    </row>
    <row r="14615" customFormat="false" ht="15" hidden="false" customHeight="false" outlineLevel="0" collapsed="false">
      <c r="A14615" s="3" t="s">
        <v>376</v>
      </c>
      <c r="C14615" s="3" t="str">
        <f aca="false">IF(SUM($G$14525:$K$14525)=0,"n/a",IF(C14613&gt;=C14612-0.001,"Repaid from cash",IF(SUMPRODUCT($G$14525:$K$14525,$G$14457:$K$14457)&gt;0,IF(C14613&gt;0,"Partly repaid; remainder refinanced","Refinanced"),IF(SUM($G$14534:$K$14534)&gt;0.001,IF(C14613&gt;0,"Partial repayment; PAYMENT DEFAULT","PAYMENT DEFAULT"),"Repaid from cash"))))</f>
        <v>Refinanced</v>
      </c>
    </row>
    <row r="14616" customFormat="false" ht="15" hidden="false" customHeight="false" outlineLevel="0" collapsed="false">
      <c r="A14616" s="3" t="s">
        <v>377</v>
      </c>
      <c r="C14616" s="16" t="n">
        <f aca="false">SUMPRODUCT($G$14538:$K$14538,$G$14537:$K$14537-$G$14543:$K$14543+$G$14542:$K$14542)</f>
        <v>550</v>
      </c>
    </row>
    <row r="14617" customFormat="false" ht="15" hidden="false" customHeight="false" outlineLevel="0" collapsed="false">
      <c r="A14617" s="3" t="s">
        <v>378</v>
      </c>
      <c r="C14617" s="16" t="n">
        <f aca="false">SUMPRODUCT($G$14538:$K$14538,$G$14545:$K$14545)</f>
        <v>0</v>
      </c>
    </row>
    <row r="14618" customFormat="false" ht="15" hidden="false" customHeight="false" outlineLevel="0" collapsed="false">
      <c r="A14618" s="3" t="s">
        <v>379</v>
      </c>
      <c r="C14618" s="3" t="str">
        <f aca="false">IF(SUM($G$14538:$K$14538)=0,"n/a (beyond horizon)",IF(SUMPRODUCT($G$14538:$K$14538,$G$14457:$K$14457)&gt;0,"REFINANCING PASS","REFINANCING FAILURE"))</f>
        <v>REFINANCING PASS</v>
      </c>
    </row>
    <row r="14619" customFormat="false" ht="15" hidden="false" customHeight="false" outlineLevel="0" collapsed="false">
      <c r="A14619" s="3" t="s">
        <v>380</v>
      </c>
      <c r="C14619" s="3" t="str">
        <f aca="false">IF(SUM($G$14538:$K$14538)=0,"n/a",IF(C14617&gt;=C14616-0.001,"Repaid from cash",IF(SUMPRODUCT($G$14538:$K$14538,$G$14457:$K$14457)&gt;0,IF(C14617&gt;0,"Partly repaid; remainder refinanced","Refinanced"),IF(SUM($G$14547:$K$14547)&gt;0.001,IF(C14617&gt;0,"Partial repayment; PAYMENT DEFAULT","PAYMENT DEFAULT"),"Repaid from cash"))))</f>
        <v>Refinanced</v>
      </c>
    </row>
    <row r="14620" customFormat="false" ht="15" hidden="false" customHeight="false" outlineLevel="0" collapsed="false">
      <c r="A14620" s="3" t="s">
        <v>381</v>
      </c>
      <c r="C14620" s="16" t="n">
        <f aca="false">SUMPRODUCT($G$14551:$K$14551,$G$14550:$K$14550-$G$14556:$K$14556+$G$14555:$K$14555)</f>
        <v>350</v>
      </c>
    </row>
    <row r="14621" customFormat="false" ht="15" hidden="false" customHeight="false" outlineLevel="0" collapsed="false">
      <c r="A14621" s="3" t="s">
        <v>382</v>
      </c>
      <c r="C14621" s="16" t="n">
        <f aca="false">SUMPRODUCT($G$14551:$K$14551,$G$14558:$K$14558)</f>
        <v>0</v>
      </c>
    </row>
    <row r="14622" customFormat="false" ht="15" hidden="false" customHeight="false" outlineLevel="0" collapsed="false">
      <c r="A14622" s="3" t="s">
        <v>383</v>
      </c>
      <c r="C14622" s="3" t="str">
        <f aca="false">IF(SUM($G$14551:$K$14551)=0,"n/a (beyond horizon)",IF(SUMPRODUCT($G$14551:$K$14551,$G$14457:$K$14457)&gt;0,"REFINANCING PASS","REFINANCING FAILURE"))</f>
        <v>REFINANCING PASS</v>
      </c>
    </row>
    <row r="14623" customFormat="false" ht="15" hidden="false" customHeight="false" outlineLevel="0" collapsed="false">
      <c r="A14623" s="3" t="s">
        <v>384</v>
      </c>
      <c r="C14623" s="3" t="str">
        <f aca="false">IF(SUM($G$14551:$K$14551)=0,"n/a",IF(C14621&gt;=C14620-0.001,"Repaid from cash",IF(SUMPRODUCT($G$14551:$K$14551,$G$14457:$K$14457)&gt;0,IF(C14621&gt;0,"Partly repaid; remainder refinanced","Refinanced"),IF(SUM($G$14560:$K$14560)&gt;0.001,IF(C14621&gt;0,"Partial repayment; PAYMENT DEFAULT","PAYMENT DEFAULT"),"Repaid from cash"))))</f>
        <v>Refinanced</v>
      </c>
    </row>
    <row r="14624" customFormat="false" ht="15" hidden="false" customHeight="false" outlineLevel="0" collapsed="false">
      <c r="A14624" s="3" t="s">
        <v>385</v>
      </c>
      <c r="C14624" s="16" t="n">
        <f aca="false">SUMPRODUCT($G$14564:$K$14564,$G$14563:$K$14563-$G$14569:$K$14569+$G$14568:$K$14568)</f>
        <v>300</v>
      </c>
    </row>
    <row r="14625" customFormat="false" ht="15" hidden="false" customHeight="false" outlineLevel="0" collapsed="false">
      <c r="A14625" s="3" t="s">
        <v>386</v>
      </c>
      <c r="C14625" s="16" t="n">
        <f aca="false">SUMPRODUCT($G$14564:$K$14564,$G$14571:$K$14571)</f>
        <v>0</v>
      </c>
    </row>
    <row r="14626" customFormat="false" ht="15" hidden="false" customHeight="false" outlineLevel="0" collapsed="false">
      <c r="A14626" s="3" t="s">
        <v>387</v>
      </c>
      <c r="C14626" s="3" t="str">
        <f aca="false">IF(SUM($G$14564:$K$14564)=0,"n/a (beyond horizon)",IF(SUMPRODUCT($G$14564:$K$14564,$G$14457:$K$14457)&gt;0,"REFINANCING PASS","REFINANCING FAILURE"))</f>
        <v>REFINANCING PASS</v>
      </c>
    </row>
    <row r="14627" customFormat="false" ht="15" hidden="false" customHeight="false" outlineLevel="0" collapsed="false">
      <c r="A14627" s="3" t="s">
        <v>388</v>
      </c>
      <c r="C14627" s="3" t="str">
        <f aca="false">IF(SUM($G$14564:$K$14564)=0,"n/a",IF(C14625&gt;=C14624-0.001,"Repaid from cash",IF(SUMPRODUCT($G$14564:$K$14564,$G$14457:$K$14457)&gt;0,IF(C14625&gt;0,"Partly repaid; remainder refinanced","Refinanced"),IF(SUM($G$14573:$K$14573)&gt;0.001,IF(C14625&gt;0,"Partial repayment; PAYMENT DEFAULT","PAYMENT DEFAULT"),"Repaid from cash"))))</f>
        <v>Refinanced</v>
      </c>
    </row>
    <row r="14628" customFormat="false" ht="15" hidden="false" customHeight="false" outlineLevel="0" collapsed="false">
      <c r="A14628" s="3" t="s">
        <v>389</v>
      </c>
      <c r="C14628" s="16" t="n">
        <f aca="false">SUMPRODUCT($G$14577:$K$14577,$G$14576:$K$14576-$G$14582:$K$14582+$G$14581:$K$14581)</f>
        <v>0</v>
      </c>
    </row>
    <row r="14629" customFormat="false" ht="15" hidden="false" customHeight="false" outlineLevel="0" collapsed="false">
      <c r="A14629" s="3" t="s">
        <v>390</v>
      </c>
      <c r="C14629" s="16" t="n">
        <f aca="false">SUMPRODUCT($G$14577:$K$14577,$G$14584:$K$14584)</f>
        <v>0</v>
      </c>
    </row>
    <row r="14630" customFormat="false" ht="15" hidden="false" customHeight="false" outlineLevel="0" collapsed="false">
      <c r="A14630" s="3" t="s">
        <v>391</v>
      </c>
      <c r="C14630" s="3" t="str">
        <f aca="false">IF(SUM($G$14577:$K$14577)=0,"n/a (beyond horizon)",IF(SUMPRODUCT($G$14577:$K$14577,$G$14457:$K$14457)&gt;0,"REFINANCING PASS","REFINANCING FAILURE"))</f>
        <v>n/a (beyond horizon)</v>
      </c>
    </row>
    <row r="14631" customFormat="false" ht="15" hidden="false" customHeight="false" outlineLevel="0" collapsed="false">
      <c r="A14631" s="3" t="s">
        <v>392</v>
      </c>
      <c r="C14631" s="3" t="str">
        <f aca="false">IF(SUM($G$14577:$K$14577)=0,"n/a",IF(C14629&gt;=C14628-0.001,"Repaid from cash",IF(SUMPRODUCT($G$14577:$K$14577,$G$14457:$K$14457)&gt;0,IF(C14629&gt;0,"Partly repaid; remainder refinanced","Refinanced"),IF(SUM($G$14586:$K$14586)&gt;0.001,IF(C14629&gt;0,"Partial repayment; PAYMENT DEFAULT","PAYMENT DEFAULT"),"Repaid from cash"))))</f>
        <v>n/a</v>
      </c>
    </row>
    <row r="14632" customFormat="false" ht="15" hidden="false" customHeight="false" outlineLevel="0" collapsed="false">
      <c r="A14632" s="3" t="s">
        <v>393</v>
      </c>
      <c r="C14632" s="21" t="n">
        <f aca="false">IF(C14594="REFINANCING FAILURE",1,0)+IF(C14598="REFINANCING FAILURE",1,0)+IF(C14602="REFINANCING FAILURE",1,0)+IF(C14606="REFINANCING FAILURE",1,0)+IF(C14610="REFINANCING FAILURE",1,0)+IF(C14614="REFINANCING FAILURE",1,0)+IF(C14618="REFINANCING FAILURE",1,0)+IF(C14622="REFINANCING FAILURE",1,0)+IF(C14626="REFINANCING FAILURE",1,0)+IF(C14630="REFINANCING FAILURE",1,0)</f>
        <v>0</v>
      </c>
    </row>
    <row r="14634" customFormat="false" ht="15" hidden="false" customHeight="false" outlineLevel="0" collapsed="false">
      <c r="A14634" s="24" t="s">
        <v>395</v>
      </c>
      <c r="B14634" s="25"/>
      <c r="C14634" s="25"/>
      <c r="D14634" s="25"/>
      <c r="E14634" s="25"/>
      <c r="F14634" s="25"/>
      <c r="G14634" s="25"/>
      <c r="H14634" s="25"/>
      <c r="I14634" s="25"/>
      <c r="J14634" s="25"/>
      <c r="K14634" s="25"/>
    </row>
    <row r="14635" customFormat="false" ht="15" hidden="false" customHeight="false" outlineLevel="0" collapsed="false">
      <c r="A14635" s="3" t="s">
        <v>325</v>
      </c>
      <c r="G14635" s="16" t="n">
        <f aca="false">F14647</f>
        <v>37.87</v>
      </c>
      <c r="H14635" s="16" t="n">
        <f aca="false">G14647</f>
        <v>160.2945886</v>
      </c>
      <c r="I14635" s="16" t="n">
        <f aca="false">H14647</f>
        <v>25</v>
      </c>
      <c r="J14635" s="16" t="n">
        <f aca="false">I14647</f>
        <v>0</v>
      </c>
      <c r="K14635" s="16" t="n">
        <f aca="false">J14647</f>
        <v>0</v>
      </c>
    </row>
    <row r="14636" customFormat="false" ht="15" hidden="false" customHeight="false" outlineLevel="0" collapsed="false">
      <c r="A14636" s="3" t="s">
        <v>396</v>
      </c>
      <c r="G14636" s="16" t="n">
        <f aca="false">G14446</f>
        <v>-73.5754114</v>
      </c>
      <c r="H14636" s="16" t="n">
        <f aca="false">H14446</f>
        <v>-57.9099277168</v>
      </c>
      <c r="I14636" s="16" t="n">
        <f aca="false">I14446</f>
        <v>-51.1245782245759</v>
      </c>
      <c r="J14636" s="16" t="n">
        <f aca="false">J14446</f>
        <v>-30.3409223929471</v>
      </c>
      <c r="K14636" s="16" t="n">
        <f aca="false">K14446</f>
        <v>-24.4385632712738</v>
      </c>
    </row>
    <row r="14637" customFormat="false" ht="15" hidden="false" customHeight="false" outlineLevel="0" collapsed="false">
      <c r="A14637" s="3" t="s">
        <v>397</v>
      </c>
      <c r="G14637" s="16" t="n">
        <f aca="false">CHOOSE($C$14416,Assumptions!$G$82,Assumptions!$G$101,Assumptions!$G$120)</f>
        <v>200</v>
      </c>
      <c r="H14637" s="16" t="n">
        <f aca="false">CHOOSE($C$14416,Assumptions!$H$82,Assumptions!$H$101,Assumptions!$H$120)</f>
        <v>0</v>
      </c>
      <c r="I14637" s="16" t="n">
        <f aca="false">CHOOSE($C$14416,Assumptions!$I$82,Assumptions!$I$101,Assumptions!$I$120)</f>
        <v>0</v>
      </c>
      <c r="J14637" s="16" t="n">
        <f aca="false">CHOOSE($C$14416,Assumptions!$J$82,Assumptions!$J$101,Assumptions!$J$120)</f>
        <v>0</v>
      </c>
      <c r="K14637" s="16" t="n">
        <f aca="false">CHOOSE($C$14416,Assumptions!$K$82,Assumptions!$K$101,Assumptions!$K$120)</f>
        <v>0</v>
      </c>
    </row>
    <row r="14638" customFormat="false" ht="15" hidden="false" customHeight="false" outlineLevel="0" collapsed="false">
      <c r="A14638" s="3" t="s">
        <v>398</v>
      </c>
      <c r="G14638" s="16" t="n">
        <f aca="false">G14465+G14478+G14491+G14504+G14517+G14530+G14543+G14556+G14569+G14582</f>
        <v>4</v>
      </c>
      <c r="H14638" s="16" t="n">
        <f aca="false">H14465+H14478+H14491+H14504+H14517+H14530+H14543+H14556+H14569+H14582</f>
        <v>4</v>
      </c>
      <c r="I14638" s="16" t="n">
        <f aca="false">I14465+I14478+I14491+I14504+I14517+I14530+I14543+I14556+I14569+I14582</f>
        <v>4</v>
      </c>
      <c r="J14638" s="16" t="n">
        <f aca="false">J14465+J14478+J14491+J14504+J14517+J14530+J14543+J14556+J14569+J14582</f>
        <v>4</v>
      </c>
      <c r="K14638" s="16" t="n">
        <f aca="false">K14465+K14478+K14491+K14504+K14517+K14530+K14543+K14556+K14569+K14582</f>
        <v>4</v>
      </c>
    </row>
    <row r="14639" customFormat="false" ht="15" hidden="false" customHeight="false" outlineLevel="0" collapsed="false">
      <c r="A14639" s="2" t="s">
        <v>399</v>
      </c>
      <c r="G14639" s="17" t="n">
        <f aca="false">G14635+G14636+G14637-G14638</f>
        <v>160.2945886</v>
      </c>
      <c r="H14639" s="17" t="n">
        <f aca="false">H14635+H14636+H14637-H14638</f>
        <v>98.3846608832001</v>
      </c>
      <c r="I14639" s="17" t="n">
        <f aca="false">I14635+I14636+I14637-I14638</f>
        <v>-30.1245782245759</v>
      </c>
      <c r="J14639" s="17" t="n">
        <f aca="false">J14635+J14636+J14637-J14638</f>
        <v>-34.3409223929471</v>
      </c>
      <c r="K14639" s="17" t="n">
        <f aca="false">K14635+K14636+K14637-K14638</f>
        <v>-28.4385632712738</v>
      </c>
    </row>
    <row r="14640" customFormat="false" ht="15" hidden="false" customHeight="false" outlineLevel="0" collapsed="false">
      <c r="A14640" s="3" t="s">
        <v>400</v>
      </c>
      <c r="G14640" s="16" t="n">
        <f aca="false">G14466+G14479+G14492+G14505+G14518+G14531+G14544+G14557+G14570+G14583</f>
        <v>0</v>
      </c>
      <c r="H14640" s="16" t="n">
        <f aca="false">H14466+H14479+H14492+H14505+H14518+H14531+H14544+H14557+H14570+H14583</f>
        <v>0</v>
      </c>
      <c r="I14640" s="16" t="n">
        <f aca="false">I14466+I14479+I14492+I14505+I14518+I14531+I14544+I14557+I14570+I14583</f>
        <v>30.1245782245759</v>
      </c>
      <c r="J14640" s="16" t="n">
        <f aca="false">J14466+J14479+J14492+J14505+J14518+J14531+J14544+J14557+J14570+J14583</f>
        <v>34.3409223929471</v>
      </c>
      <c r="K14640" s="16" t="n">
        <f aca="false">K14466+K14479+K14492+K14505+K14518+K14531+K14544+K14557+K14570+K14583</f>
        <v>28.4385632712738</v>
      </c>
    </row>
    <row r="14641" customFormat="false" ht="15" hidden="false" customHeight="false" outlineLevel="0" collapsed="false">
      <c r="A14641" s="2" t="s">
        <v>401</v>
      </c>
      <c r="G14641" s="17" t="n">
        <f aca="false">G14639+G14640</f>
        <v>160.2945886</v>
      </c>
      <c r="H14641" s="17" t="n">
        <f aca="false">H14639+H14640</f>
        <v>98.3846608832001</v>
      </c>
      <c r="I14641" s="17" t="n">
        <f aca="false">I14639+I14640</f>
        <v>0</v>
      </c>
      <c r="J14641" s="17" t="n">
        <f aca="false">J14639+J14640</f>
        <v>0</v>
      </c>
      <c r="K14641" s="17" t="n">
        <f aca="false">K14639+K14640</f>
        <v>0</v>
      </c>
    </row>
    <row r="14642" customFormat="false" ht="15" hidden="false" customHeight="false" outlineLevel="0" collapsed="false">
      <c r="A14642" s="3" t="s">
        <v>402</v>
      </c>
      <c r="G14642" s="16" t="n">
        <f aca="false">G14467+G14480+G14493+G14506+G14519+G14532+G14545+G14558+G14571+G14584</f>
        <v>0</v>
      </c>
      <c r="H14642" s="16" t="n">
        <f aca="false">H14467+H14480+H14493+H14506+H14519+H14532+H14545+H14558+H14571+H14584</f>
        <v>73.3846608832001</v>
      </c>
      <c r="I14642" s="16" t="n">
        <f aca="false">I14467+I14480+I14493+I14506+I14519+I14532+I14545+I14558+I14571+I14584</f>
        <v>0</v>
      </c>
      <c r="J14642" s="16" t="n">
        <f aca="false">J14467+J14480+J14493+J14506+J14519+J14532+J14545+J14558+J14571+J14584</f>
        <v>0</v>
      </c>
      <c r="K14642" s="16" t="n">
        <f aca="false">K14467+K14480+K14493+K14506+K14519+K14532+K14545+K14558+K14571+K14584</f>
        <v>0</v>
      </c>
    </row>
    <row r="14643" customFormat="false" ht="15" hidden="false" customHeight="false" outlineLevel="0" collapsed="false">
      <c r="A14643" s="2" t="s">
        <v>403</v>
      </c>
      <c r="G14643" s="17" t="n">
        <f aca="false">G14641-G14642</f>
        <v>160.2945886</v>
      </c>
      <c r="H14643" s="17" t="n">
        <f aca="false">H14641-H14642</f>
        <v>25</v>
      </c>
      <c r="I14643" s="17" t="n">
        <f aca="false">I14641-I14642</f>
        <v>0</v>
      </c>
      <c r="J14643" s="17" t="n">
        <f aca="false">J14641-J14642</f>
        <v>0</v>
      </c>
      <c r="K14643" s="17" t="n">
        <f aca="false">K14641-K14642</f>
        <v>0</v>
      </c>
    </row>
    <row r="14644" customFormat="false" ht="15" hidden="false" customHeight="false" outlineLevel="0" collapsed="false">
      <c r="A14644" s="3" t="s">
        <v>404</v>
      </c>
      <c r="G14644" s="16" t="n">
        <f aca="false">MAX(0,-G14643)</f>
        <v>0</v>
      </c>
      <c r="H14644" s="16" t="n">
        <f aca="false">MAX(0,-H14643)</f>
        <v>0</v>
      </c>
      <c r="I14644" s="16" t="n">
        <f aca="false">MAX(0,-I14643)</f>
        <v>-0</v>
      </c>
      <c r="J14644" s="16" t="n">
        <f aca="false">MAX(0,-J14643)</f>
        <v>-0</v>
      </c>
      <c r="K14644" s="16" t="n">
        <f aca="false">MAX(0,-K14643)</f>
        <v>-0</v>
      </c>
    </row>
    <row r="14645" customFormat="false" ht="15" hidden="false" customHeight="false" outlineLevel="0" collapsed="false">
      <c r="A14645" s="3" t="s">
        <v>405</v>
      </c>
      <c r="G14645" s="16" t="n">
        <f aca="false">MAX(0,G14643-Assumptions!$C$12)*Assumptions!$C$13</f>
        <v>0</v>
      </c>
      <c r="H14645" s="16" t="n">
        <f aca="false">MAX(0,H14643-Assumptions!$C$12)*Assumptions!$C$13</f>
        <v>0</v>
      </c>
      <c r="I14645" s="16" t="n">
        <f aca="false">MAX(0,I14643-Assumptions!$C$12)*Assumptions!$C$13</f>
        <v>0</v>
      </c>
      <c r="J14645" s="16" t="n">
        <f aca="false">MAX(0,J14643-Assumptions!$C$12)*Assumptions!$C$13</f>
        <v>0</v>
      </c>
      <c r="K14645" s="16" t="n">
        <f aca="false">MAX(0,K14643-Assumptions!$C$12)*Assumptions!$C$13</f>
        <v>0</v>
      </c>
    </row>
    <row r="14646" customFormat="false" ht="15" hidden="false" customHeight="false" outlineLevel="0" collapsed="false">
      <c r="A14646" s="3" t="s">
        <v>406</v>
      </c>
      <c r="G14646" s="16" t="n">
        <f aca="false">G14468+G14481+G14494+G14507+G14520+G14533+G14546+G14559+G14572+G14585</f>
        <v>0</v>
      </c>
      <c r="H14646" s="16" t="n">
        <f aca="false">H14468+H14481+H14494+H14507+H14520+H14533+H14546+H14559+H14572+H14585</f>
        <v>0</v>
      </c>
      <c r="I14646" s="16" t="n">
        <f aca="false">I14468+I14481+I14494+I14507+I14520+I14533+I14546+I14559+I14572+I14585</f>
        <v>0</v>
      </c>
      <c r="J14646" s="16" t="n">
        <f aca="false">J14468+J14481+J14494+J14507+J14520+J14533+J14546+J14559+J14572+J14585</f>
        <v>0</v>
      </c>
      <c r="K14646" s="16" t="n">
        <f aca="false">K14468+K14481+K14494+K14507+K14520+K14533+K14546+K14559+K14572+K14585</f>
        <v>0</v>
      </c>
    </row>
    <row r="14647" customFormat="false" ht="15" hidden="false" customHeight="false" outlineLevel="0" collapsed="false">
      <c r="A14647" s="2" t="s">
        <v>407</v>
      </c>
      <c r="F14647" s="28" t="n">
        <f aca="false">Assumptions!$C$11</f>
        <v>37.87</v>
      </c>
      <c r="G14647" s="17" t="n">
        <f aca="false">G14643-G14646</f>
        <v>160.2945886</v>
      </c>
      <c r="H14647" s="17" t="n">
        <f aca="false">H14643-H14646</f>
        <v>25</v>
      </c>
      <c r="I14647" s="17" t="n">
        <f aca="false">I14643-I14646</f>
        <v>0</v>
      </c>
      <c r="J14647" s="17" t="n">
        <f aca="false">J14643-J14646</f>
        <v>0</v>
      </c>
      <c r="K14647" s="17" t="n">
        <f aca="false">K14643-K14646</f>
        <v>0</v>
      </c>
    </row>
    <row r="14648" customFormat="false" ht="15" hidden="false" customHeight="false" outlineLevel="0" collapsed="false">
      <c r="A14648" s="3" t="s">
        <v>408</v>
      </c>
      <c r="G14648" s="16" t="n">
        <f aca="false">G14469+G14482+G14495+G14508+G14521+G14534+G14547+G14560+G14573+G14586</f>
        <v>0</v>
      </c>
      <c r="H14648" s="16" t="n">
        <f aca="false">H14469+H14482+H14495+H14508+H14521+H14534+H14547+H14560+H14573+H14586</f>
        <v>0</v>
      </c>
      <c r="I14648" s="16" t="n">
        <f aca="false">I14469+I14482+I14495+I14508+I14521+I14534+I14547+I14560+I14573+I14586</f>
        <v>0</v>
      </c>
      <c r="J14648" s="16" t="n">
        <f aca="false">J14469+J14482+J14495+J14508+J14521+J14534+J14547+J14560+J14573+J14586</f>
        <v>0</v>
      </c>
      <c r="K14648" s="16" t="n">
        <f aca="false">K14469+K14482+K14495+K14508+K14521+K14534+K14547+K14560+K14573+K14586</f>
        <v>0</v>
      </c>
    </row>
    <row r="14649" customFormat="false" ht="15" hidden="false" customHeight="false" outlineLevel="0" collapsed="false">
      <c r="A14649" s="3" t="s">
        <v>409</v>
      </c>
      <c r="G14649" s="21" t="n">
        <f aca="false">IF(OR(G14644&gt;0.001,G14648&gt;0.001),1,0)</f>
        <v>0</v>
      </c>
      <c r="H14649" s="21" t="n">
        <f aca="false">IF(OR(H14644&gt;0.001,H14648&gt;0.001),1,0)</f>
        <v>0</v>
      </c>
      <c r="I14649" s="21" t="n">
        <f aca="false">IF(OR(I14644&gt;0.001,I14648&gt;0.001),1,0)</f>
        <v>0</v>
      </c>
      <c r="J14649" s="21" t="n">
        <f aca="false">IF(OR(J14644&gt;0.001,J14648&gt;0.001),1,0)</f>
        <v>0</v>
      </c>
      <c r="K14649" s="21" t="n">
        <f aca="false">IF(OR(K14644&gt;0.001,K14648&gt;0.001),1,0)</f>
        <v>0</v>
      </c>
    </row>
    <row r="14650" customFormat="false" ht="15" hidden="false" customHeight="false" outlineLevel="0" collapsed="false">
      <c r="A14650" s="3" t="s">
        <v>410</v>
      </c>
      <c r="G14650" s="21" t="n">
        <f aca="false">IF(G14649=1,1,0)</f>
        <v>0</v>
      </c>
      <c r="H14650" s="21" t="n">
        <f aca="false">IF(AND(H14649=1,SUM($G$14649:G14649)=0),1,0)</f>
        <v>0</v>
      </c>
      <c r="I14650" s="21" t="n">
        <f aca="false">IF(AND(I14649=1,SUM($G$14649:H14649)=0),1,0)</f>
        <v>0</v>
      </c>
      <c r="J14650" s="21" t="n">
        <f aca="false">IF(AND(J14649=1,SUM($G$14649:I14649)=0),1,0)</f>
        <v>0</v>
      </c>
      <c r="K14650" s="21" t="n">
        <f aca="false">IF(AND(K14649=1,SUM($G$14649:J14649)=0),1,0)</f>
        <v>0</v>
      </c>
    </row>
    <row r="14651" customFormat="false" ht="15" hidden="false" customHeight="false" outlineLevel="0" collapsed="false">
      <c r="A14651" s="3" t="s">
        <v>411</v>
      </c>
      <c r="G14651" s="16" t="n">
        <f aca="false">(G14589-F14589)-(G14640+G14438-G14638-G14642-G14646)</f>
        <v>0</v>
      </c>
      <c r="H14651" s="16" t="n">
        <f aca="false">(H14589-G14589)-(H14640+H14438-H14638-H14642-H14646)</f>
        <v>-4.12114786740858E-013</v>
      </c>
      <c r="I14651" s="16" t="n">
        <f aca="false">(I14589-H14589)-(I14640+I14438-I14638-I14642-I14646)</f>
        <v>1.13686837721616E-013</v>
      </c>
      <c r="J14651" s="16" t="n">
        <f aca="false">(J14589-I14589)-(J14640+J14438-J14638-J14642-J14646)</f>
        <v>4.12114786740858E-013</v>
      </c>
      <c r="K14651" s="16" t="n">
        <f aca="false">(K14589-J14589)-(K14640+K14438-K14638-K14642-K14646)</f>
        <v>0</v>
      </c>
    </row>
    <row r="14653" customFormat="false" ht="15" hidden="false" customHeight="false" outlineLevel="0" collapsed="false">
      <c r="A14653" s="24" t="s">
        <v>413</v>
      </c>
      <c r="B14653" s="25"/>
      <c r="C14653" s="25"/>
      <c r="D14653" s="25"/>
      <c r="E14653" s="25"/>
      <c r="F14653" s="25"/>
      <c r="G14653" s="25"/>
      <c r="H14653" s="25"/>
      <c r="I14653" s="25"/>
      <c r="J14653" s="25"/>
      <c r="K14653" s="25"/>
    </row>
    <row r="14654" customFormat="false" ht="15" hidden="false" customHeight="false" outlineLevel="0" collapsed="false">
      <c r="A14654" s="3" t="s">
        <v>414</v>
      </c>
      <c r="G14654" s="16" t="n">
        <f aca="false">G14589</f>
        <v>2621.934</v>
      </c>
      <c r="H14654" s="16" t="n">
        <f aca="false">H14589</f>
        <v>2544.5493391168</v>
      </c>
      <c r="I14654" s="16" t="n">
        <f aca="false">I14589</f>
        <v>2570.67391734138</v>
      </c>
      <c r="J14654" s="16" t="n">
        <f aca="false">J14589</f>
        <v>2601.01483973432</v>
      </c>
      <c r="K14654" s="16" t="n">
        <f aca="false">K14589</f>
        <v>2625.4534030056</v>
      </c>
    </row>
    <row r="14655" customFormat="false" ht="15" hidden="false" customHeight="false" outlineLevel="0" collapsed="false">
      <c r="A14655" s="3" t="s">
        <v>415</v>
      </c>
      <c r="G14655" s="16" t="n">
        <f aca="false">Assumptions!$O$57*G14470+Assumptions!$O$58*G14483+Assumptions!$O$59*G14496+Assumptions!$O$60*G14509+Assumptions!$O$61*G14522+Assumptions!$O$62*G14535+Assumptions!$O$63*G14548+Assumptions!$O$64*G14561+Assumptions!$O$65*G14574+Assumptions!$O$66*G14587</f>
        <v>543.324</v>
      </c>
      <c r="H14655" s="16" t="n">
        <f aca="false">Assumptions!$O$57*H14470+Assumptions!$O$58*H14483+Assumptions!$O$59*H14496+Assumptions!$O$60*H14509+Assumptions!$O$61*H14522+Assumptions!$O$62*H14535+Assumptions!$O$63*H14548+Assumptions!$O$64*H14561+Assumptions!$O$65*H14574+Assumptions!$O$66*H14587</f>
        <v>539.324</v>
      </c>
      <c r="I14655" s="16" t="n">
        <f aca="false">Assumptions!$O$57*I14470+Assumptions!$O$58*I14483+Assumptions!$O$59*I14496+Assumptions!$O$60*I14509+Assumptions!$O$61*I14522+Assumptions!$O$62*I14535+Assumptions!$O$63*I14548+Assumptions!$O$64*I14561+Assumptions!$O$65*I14574+Assumptions!$O$66*I14587</f>
        <v>535.324</v>
      </c>
      <c r="J14655" s="16" t="n">
        <f aca="false">Assumptions!$O$57*J14470+Assumptions!$O$58*J14483+Assumptions!$O$59*J14496+Assumptions!$O$60*J14509+Assumptions!$O$61*J14522+Assumptions!$O$62*J14535+Assumptions!$O$63*J14548+Assumptions!$O$64*J14561+Assumptions!$O$65*J14574+Assumptions!$O$66*J14587</f>
        <v>531.324</v>
      </c>
      <c r="K14655" s="16" t="n">
        <f aca="false">Assumptions!$O$57*K14470+Assumptions!$O$58*K14483+Assumptions!$O$59*K14496+Assumptions!$O$60*K14509+Assumptions!$O$61*K14522+Assumptions!$O$62*K14535+Assumptions!$O$63*K14548+Assumptions!$O$64*K14561+Assumptions!$O$65*K14574+Assumptions!$O$66*K14587</f>
        <v>527.324</v>
      </c>
    </row>
    <row r="14656" customFormat="false" ht="15" hidden="false" customHeight="false" outlineLevel="0" collapsed="false">
      <c r="A14656" s="3" t="s">
        <v>416</v>
      </c>
      <c r="G14656" s="16" t="n">
        <f aca="false">G14654-G14647</f>
        <v>2461.6394114</v>
      </c>
      <c r="H14656" s="16" t="n">
        <f aca="false">H14654-H14647</f>
        <v>2519.5493391168</v>
      </c>
      <c r="I14656" s="16" t="n">
        <f aca="false">I14654-I14647</f>
        <v>2570.67391734138</v>
      </c>
      <c r="J14656" s="16" t="n">
        <f aca="false">J14654-J14647</f>
        <v>2601.01483973432</v>
      </c>
      <c r="K14656" s="16" t="n">
        <f aca="false">K14654-K14647</f>
        <v>2625.4534030056</v>
      </c>
    </row>
    <row r="14657" customFormat="false" ht="15" hidden="false" customHeight="false" outlineLevel="0" collapsed="false">
      <c r="A14657" s="3" t="s">
        <v>417</v>
      </c>
      <c r="G14657" s="32" t="n">
        <f aca="false">IF(G14433&gt;0,G14654/G14433,0)</f>
        <v>9.27852762052634</v>
      </c>
      <c r="H14657" s="32" t="n">
        <f aca="false">IF(H14433&gt;0,H14654/H14433,0)</f>
        <v>7.99463837330894</v>
      </c>
      <c r="I14657" s="32" t="n">
        <f aca="false">IF(I14433&gt;0,I14654/I14433,0)</f>
        <v>7.17099360611306</v>
      </c>
      <c r="J14657" s="32" t="n">
        <f aca="false">IF(J14433&gt;0,J14654/J14433,0)</f>
        <v>6.45415907956139</v>
      </c>
      <c r="K14657" s="32" t="n">
        <f aca="false">IF(K14433&gt;0,K14654/K14433,0)</f>
        <v>5.79524289834194</v>
      </c>
    </row>
    <row r="14658" customFormat="false" ht="15" hidden="false" customHeight="false" outlineLevel="0" collapsed="false">
      <c r="A14658" s="3" t="s">
        <v>418</v>
      </c>
      <c r="G14658" s="32" t="n">
        <f aca="false">IF(G14433&gt;0,G14656/G14433,0)</f>
        <v>8.71127544417636</v>
      </c>
      <c r="H14658" s="32" t="n">
        <f aca="false">IF(H14433&gt;0,H14656/H14433,0)</f>
        <v>7.9160916710461</v>
      </c>
      <c r="I14658" s="32" t="n">
        <f aca="false">IF(I14433&gt;0,I14656/I14433,0)</f>
        <v>7.17099360611306</v>
      </c>
      <c r="J14658" s="32" t="n">
        <f aca="false">IF(J14433&gt;0,J14656/J14433,0)</f>
        <v>6.45415907956139</v>
      </c>
      <c r="K14658" s="32" t="n">
        <f aca="false">IF(K14433&gt;0,K14656/K14433,0)</f>
        <v>5.79524289834194</v>
      </c>
    </row>
    <row r="14659" customFormat="false" ht="15" hidden="false" customHeight="false" outlineLevel="0" collapsed="false">
      <c r="A14659" s="3" t="s">
        <v>419</v>
      </c>
      <c r="G14659" s="32" t="n">
        <f aca="false">IF(G14437&gt;0,G14433/G14437,0)</f>
        <v>1.56806680769002</v>
      </c>
      <c r="H14659" s="32" t="n">
        <f aca="false">IF(H14437&gt;0,H14433/H14437,0)</f>
        <v>1.77680363636489</v>
      </c>
      <c r="I14659" s="32" t="n">
        <f aca="false">IF(I14437&gt;0,I14433/I14437,0)</f>
        <v>1.89774086956924</v>
      </c>
      <c r="J14659" s="32" t="n">
        <f aca="false">IF(J14437&gt;0,J14433/J14437,0)</f>
        <v>2.16494698526079</v>
      </c>
      <c r="K14659" s="32" t="n">
        <f aca="false">IF(K14437&gt;0,K14433/K14437,0)</f>
        <v>2.25818828385765</v>
      </c>
    </row>
    <row r="14660" customFormat="false" ht="15" hidden="false" customHeight="false" outlineLevel="0" collapsed="false">
      <c r="A14660" s="3" t="s">
        <v>420</v>
      </c>
      <c r="G14660" s="32" t="n">
        <f aca="false">IF(G14437&gt;0,G14436/G14437,0)</f>
        <v>0.467884486412849</v>
      </c>
      <c r="H14660" s="32" t="n">
        <f aca="false">IF(H14437&gt;0,H14436/H14437,0)</f>
        <v>0.537184719496302</v>
      </c>
      <c r="I14660" s="32" t="n">
        <f aca="false">IF(I14437&gt;0,I14436/I14437,0)</f>
        <v>0.581158331704471</v>
      </c>
      <c r="J14660" s="32" t="n">
        <f aca="false">IF(J14437&gt;0,J14436/J14437,0)</f>
        <v>0.668570206830153</v>
      </c>
      <c r="K14660" s="32" t="n">
        <f aca="false">IF(K14437&gt;0,K14436/K14437,0)</f>
        <v>0.70314543747971</v>
      </c>
    </row>
    <row r="14661" customFormat="false" ht="15" hidden="false" customHeight="false" outlineLevel="0" collapsed="false">
      <c r="A14661" s="3" t="s">
        <v>213</v>
      </c>
      <c r="G14661" s="22" t="n">
        <f aca="false">IF(G14654&gt;0,G14446/G14654,0)</f>
        <v>-0.0280615039890401</v>
      </c>
      <c r="H14661" s="22" t="n">
        <f aca="false">IF(H14654&gt;0,H14446/H14654,0)</f>
        <v>-0.0227584220225418</v>
      </c>
      <c r="I14661" s="22" t="n">
        <f aca="false">IF(I14654&gt;0,I14446/I14654,0)</f>
        <v>-0.0198876169706695</v>
      </c>
      <c r="J14661" s="22" t="n">
        <f aca="false">IF(J14654&gt;0,J14446/J14654,0)</f>
        <v>-0.0116650324055999</v>
      </c>
      <c r="K14661" s="22" t="n">
        <f aca="false">IF(K14654&gt;0,K14446/K14654,0)</f>
        <v>-0.009308321085911</v>
      </c>
    </row>
    <row r="14662" customFormat="false" ht="15" hidden="false" customHeight="false" outlineLevel="0" collapsed="false">
      <c r="A14662" s="3" t="s">
        <v>421</v>
      </c>
      <c r="G14662" s="32" t="n">
        <f aca="false">IF(G14437+G14638&gt;0,(G14433-G14444-G14441)/(G14437+G14638),0)</f>
        <v>0.89725534431644</v>
      </c>
      <c r="H14662" s="32" t="n">
        <f aca="false">IF(H14437+H14638&gt;0,(H14433-H14444-H14441)/(H14437+H14638),0)</f>
        <v>1.02062331980383</v>
      </c>
      <c r="I14662" s="32" t="n">
        <f aca="false">IF(I14437+I14638&gt;0,(I14433-I14444-I14441)/(I14437+I14638),0)</f>
        <v>1.09561736925278</v>
      </c>
      <c r="J14662" s="32" t="n">
        <f aca="false">IF(J14437+J14638&gt;0,(J14433-J14444-J14441)/(J14437+J14638),0)</f>
        <v>1.25273344093673</v>
      </c>
      <c r="K14662" s="32" t="n">
        <f aca="false">IF(K14437+K14638&gt;0,(K14433-K14444-K14441)/(K14437+K14638),0)</f>
        <v>1.31202611886875</v>
      </c>
    </row>
    <row r="14663" customFormat="false" ht="15" hidden="false" customHeight="false" outlineLevel="0" collapsed="false">
      <c r="A14663" s="3" t="s">
        <v>422</v>
      </c>
      <c r="G14663" s="16" t="n">
        <f aca="false">MAX(0,G14647)+Assumptions!$P$57*MAX(0,Assumptions!$D$57-G14470)+Assumptions!$P$58*MAX(0,Assumptions!$D$58-G14483)+Assumptions!$P$59*MAX(0,Assumptions!$D$59-G14496)+Assumptions!$P$60*MAX(0,Assumptions!$D$60-G14509)+Assumptions!$P$61*MAX(0,Assumptions!$D$61-G14522)+Assumptions!$P$62*MAX(0,Assumptions!$D$62-G14535)+Assumptions!$P$63*MAX(0,Assumptions!$D$63-G14548)+Assumptions!$P$64*MAX(0,Assumptions!$D$64-G14561)+Assumptions!$P$65*MAX(0,Assumptions!$D$65-G14574)+Assumptions!$P$66*MAX(0,Assumptions!$D$66-G14587)</f>
        <v>734.7945886</v>
      </c>
      <c r="H14663" s="16" t="n">
        <f aca="false">MAX(0,H14647)+Assumptions!$P$57*MAX(0,Assumptions!$D$57-H14470)+Assumptions!$P$58*MAX(0,Assumptions!$D$58-H14483)+Assumptions!$P$59*MAX(0,Assumptions!$D$59-H14496)+Assumptions!$P$60*MAX(0,Assumptions!$D$60-H14509)+Assumptions!$P$61*MAX(0,Assumptions!$D$61-H14522)+Assumptions!$P$62*MAX(0,Assumptions!$D$62-H14535)+Assumptions!$P$63*MAX(0,Assumptions!$D$63-H14548)+Assumptions!$P$64*MAX(0,Assumptions!$D$64-H14561)+Assumptions!$P$65*MAX(0,Assumptions!$D$65-H14574)+Assumptions!$P$66*MAX(0,Assumptions!$D$66-H14587)</f>
        <v>599.5</v>
      </c>
      <c r="I14663" s="16" t="n">
        <f aca="false">MAX(0,I14647)+Assumptions!$P$57*MAX(0,Assumptions!$D$57-I14470)+Assumptions!$P$58*MAX(0,Assumptions!$D$58-I14483)+Assumptions!$P$59*MAX(0,Assumptions!$D$59-I14496)+Assumptions!$P$60*MAX(0,Assumptions!$D$60-I14509)+Assumptions!$P$61*MAX(0,Assumptions!$D$61-I14522)+Assumptions!$P$62*MAX(0,Assumptions!$D$62-I14535)+Assumptions!$P$63*MAX(0,Assumptions!$D$63-I14548)+Assumptions!$P$64*MAX(0,Assumptions!$D$64-I14561)+Assumptions!$P$65*MAX(0,Assumptions!$D$65-I14574)+Assumptions!$P$66*MAX(0,Assumptions!$D$66-I14587)</f>
        <v>544.375421775424</v>
      </c>
      <c r="J14663" s="16" t="n">
        <f aca="false">MAX(0,J14647)+Assumptions!$P$57*MAX(0,Assumptions!$D$57-J14470)+Assumptions!$P$58*MAX(0,Assumptions!$D$58-J14483)+Assumptions!$P$59*MAX(0,Assumptions!$D$59-J14496)+Assumptions!$P$60*MAX(0,Assumptions!$D$60-J14509)+Assumptions!$P$61*MAX(0,Assumptions!$D$61-J14522)+Assumptions!$P$62*MAX(0,Assumptions!$D$62-J14535)+Assumptions!$P$63*MAX(0,Assumptions!$D$63-J14548)+Assumptions!$P$64*MAX(0,Assumptions!$D$64-J14561)+Assumptions!$P$65*MAX(0,Assumptions!$D$65-J14574)+Assumptions!$P$66*MAX(0,Assumptions!$D$66-J14587)</f>
        <v>510.034499382477</v>
      </c>
      <c r="K14663" s="16" t="n">
        <f aca="false">MAX(0,K14647)+Assumptions!$P$57*MAX(0,Assumptions!$D$57-K14470)+Assumptions!$P$58*MAX(0,Assumptions!$D$58-K14483)+Assumptions!$P$59*MAX(0,Assumptions!$D$59-K14496)+Assumptions!$P$60*MAX(0,Assumptions!$D$60-K14509)+Assumptions!$P$61*MAX(0,Assumptions!$D$61-K14522)+Assumptions!$P$62*MAX(0,Assumptions!$D$62-K14535)+Assumptions!$P$63*MAX(0,Assumptions!$D$63-K14548)+Assumptions!$P$64*MAX(0,Assumptions!$D$64-K14561)+Assumptions!$P$65*MAX(0,Assumptions!$D$65-K14574)+Assumptions!$P$66*MAX(0,Assumptions!$D$66-K14587)</f>
        <v>481.595936111203</v>
      </c>
    </row>
    <row r="14664" customFormat="false" ht="15" hidden="false" customHeight="false" outlineLevel="0" collapsed="false">
      <c r="A14664" s="3" t="s">
        <v>423</v>
      </c>
      <c r="G14664" s="22" t="n">
        <f aca="false">IF(G14654&gt;0,G14654/(G14654+MAX(0,G14433*CHOOSE($C$14416,Assumptions!$C$90,Assumptions!$C$109,Assumptions!$C$128)-G14656)),0)</f>
        <v>0.710059582175912</v>
      </c>
      <c r="H14664" s="22" t="n">
        <f aca="false">IF(H14654&gt;0,H14654/(H14654+MAX(0,H14433*CHOOSE($C$14416,Assumptions!$C$90,Assumptions!$C$109,Assumptions!$C$128)-H14656)),0)</f>
        <v>0.635577269977519</v>
      </c>
      <c r="I14664" s="22" t="n">
        <f aca="false">IF(I14654&gt;0,I14654/(I14654+MAX(0,I14433*CHOOSE($C$14416,Assumptions!$C$90,Assumptions!$C$109,Assumptions!$C$128)-I14656)),0)</f>
        <v>0.573679488489045</v>
      </c>
      <c r="J14664" s="22" t="n">
        <f aca="false">IF(J14654&gt;0,J14654/(J14654+MAX(0,J14433*CHOOSE($C$14416,Assumptions!$C$90,Assumptions!$C$109,Assumptions!$C$128)-J14656)),0)</f>
        <v>0.516332726364911</v>
      </c>
      <c r="K14664" s="22" t="n">
        <f aca="false">IF(K14654&gt;0,K14654/(K14654+MAX(0,K14433*CHOOSE($C$14416,Assumptions!$C$90,Assumptions!$C$109,Assumptions!$C$128)-K14656)),0)</f>
        <v>0.463619431867355</v>
      </c>
    </row>
    <row r="14665" customFormat="false" ht="15" hidden="false" customHeight="false" outlineLevel="0" collapsed="false">
      <c r="A14665" s="3" t="s">
        <v>424</v>
      </c>
      <c r="G14665" s="22" t="n">
        <f aca="false">IF(G14654&gt;0,MAX(0,G14647)/G14654,0)</f>
        <v>0.0611360120430186</v>
      </c>
      <c r="H14665" s="22" t="n">
        <f aca="false">IF(H14654&gt;0,MAX(0,H14647)/H14654,0)</f>
        <v>0.0098249224786804</v>
      </c>
      <c r="I14665" s="22" t="n">
        <f aca="false">IF(I14654&gt;0,MAX(0,I14647)/I14654,0)</f>
        <v>0</v>
      </c>
      <c r="J14665" s="22" t="n">
        <f aca="false">IF(J14654&gt;0,MAX(0,J14647)/J14654,0)</f>
        <v>0</v>
      </c>
      <c r="K14665" s="22" t="n">
        <f aca="false">IF(K14654&gt;0,MAX(0,K14647)/K14654,0)</f>
        <v>0</v>
      </c>
    </row>
    <row r="14666" customFormat="false" ht="15" hidden="false" customHeight="false" outlineLevel="0" collapsed="false">
      <c r="A14666" s="3" t="s">
        <v>425</v>
      </c>
      <c r="G14666" s="16" t="n">
        <f aca="false">Assumptions!$C$31*(1-CHOOSE($C$14416,Assumptions!$C$93,Assumptions!$C$112,Assumptions!$C$131))</f>
        <v>4517.70066666667</v>
      </c>
      <c r="H14666" s="16" t="n">
        <f aca="false">Assumptions!$C$31*(1-CHOOSE($C$14416,Assumptions!$C$93,Assumptions!$C$112,Assumptions!$C$131))</f>
        <v>4517.70066666667</v>
      </c>
      <c r="I14666" s="16" t="n">
        <f aca="false">Assumptions!$C$31*(1-CHOOSE($C$14416,Assumptions!$C$93,Assumptions!$C$112,Assumptions!$C$131))</f>
        <v>4517.70066666667</v>
      </c>
      <c r="J14666" s="16" t="n">
        <f aca="false">Assumptions!$C$31*(1-CHOOSE($C$14416,Assumptions!$C$93,Assumptions!$C$112,Assumptions!$C$131))</f>
        <v>4517.70066666667</v>
      </c>
      <c r="K14666" s="16" t="n">
        <f aca="false">Assumptions!$C$31*(1-CHOOSE($C$14416,Assumptions!$C$93,Assumptions!$C$112,Assumptions!$C$131))</f>
        <v>4517.70066666667</v>
      </c>
    </row>
    <row r="14667" customFormat="false" ht="15" hidden="false" customHeight="false" outlineLevel="0" collapsed="false">
      <c r="A14667" s="24" t="s">
        <v>426</v>
      </c>
      <c r="B14667" s="25"/>
      <c r="C14667" s="25"/>
      <c r="D14667" s="25"/>
      <c r="E14667" s="25"/>
      <c r="F14667" s="25"/>
      <c r="G14667" s="25"/>
      <c r="H14667" s="25"/>
      <c r="I14667" s="25"/>
      <c r="J14667" s="25"/>
      <c r="K14667" s="25"/>
    </row>
    <row r="14668" customFormat="false" ht="15" hidden="false" customHeight="false" outlineLevel="0" collapsed="false">
      <c r="A14668" s="24" t="s">
        <v>427</v>
      </c>
      <c r="B14668" s="25"/>
      <c r="C14668" s="25"/>
      <c r="D14668" s="25"/>
      <c r="E14668" s="25"/>
      <c r="F14668" s="25"/>
      <c r="G14668" s="25"/>
      <c r="H14668" s="25"/>
      <c r="I14668" s="25"/>
      <c r="J14668" s="25"/>
      <c r="K14668" s="25"/>
    </row>
    <row r="14669" customFormat="false" ht="15" hidden="false" customHeight="false" outlineLevel="0" collapsed="false">
      <c r="A14669" s="3" t="s">
        <v>428</v>
      </c>
      <c r="G14669" s="22" t="n">
        <f aca="false">IF(G14666&gt;0,G14654/G14666,99)</f>
        <v>0.580369128779522</v>
      </c>
      <c r="H14669" s="22" t="n">
        <f aca="false">IF(H14666&gt;0,H14654/H14666,99)</f>
        <v>0.563239914917662</v>
      </c>
      <c r="I14669" s="22" t="n">
        <f aca="false">IF(I14666&gt;0,I14654/I14666,99)</f>
        <v>0.569022630540531</v>
      </c>
      <c r="J14669" s="22" t="n">
        <f aca="false">IF(J14666&gt;0,J14654/J14666,99)</f>
        <v>0.575738640438401</v>
      </c>
      <c r="K14669" s="22" t="n">
        <f aca="false">IF(K14666&gt;0,K14654/K14666,99)</f>
        <v>0.581148154054828</v>
      </c>
    </row>
    <row r="14670" customFormat="false" ht="15" hidden="false" customHeight="false" outlineLevel="0" collapsed="false">
      <c r="A14670" s="3" t="s">
        <v>429</v>
      </c>
      <c r="G14670" s="33" t="n">
        <f aca="false">Assumptions!$G$71</f>
        <v>0.6</v>
      </c>
      <c r="H14670" s="33" t="n">
        <f aca="false">Assumptions!$H$71</f>
        <v>0.6</v>
      </c>
      <c r="I14670" s="33" t="n">
        <f aca="false">Assumptions!$I$71</f>
        <v>0.6</v>
      </c>
      <c r="J14670" s="33" t="n">
        <f aca="false">Assumptions!$J$71</f>
        <v>0.6</v>
      </c>
      <c r="K14670" s="33" t="n">
        <f aca="false">Assumptions!$K$71</f>
        <v>0.6</v>
      </c>
    </row>
    <row r="14671" customFormat="false" ht="15" hidden="false" customHeight="false" outlineLevel="0" collapsed="false">
      <c r="A14671" s="3" t="s">
        <v>430</v>
      </c>
      <c r="G14671" s="22" t="n">
        <f aca="false">G14670-G14669</f>
        <v>0.0196308712204777</v>
      </c>
      <c r="H14671" s="22" t="n">
        <f aca="false">H14670-H14669</f>
        <v>0.0367600850823376</v>
      </c>
      <c r="I14671" s="22" t="n">
        <f aca="false">I14670-I14669</f>
        <v>0.0309773694594693</v>
      </c>
      <c r="J14671" s="22" t="n">
        <f aca="false">J14670-J14669</f>
        <v>0.0242613595615993</v>
      </c>
      <c r="K14671" s="22" t="n">
        <f aca="false">K14670-K14669</f>
        <v>0.0188518459451724</v>
      </c>
    </row>
    <row r="14672" customFormat="false" ht="15" hidden="false" customHeight="false" outlineLevel="0" collapsed="false">
      <c r="A14672" s="3" t="s">
        <v>431</v>
      </c>
      <c r="G14672" s="22" t="n">
        <f aca="false">IF(G14670=0,0,G14671/ABS(G14670))</f>
        <v>0.0327181187007962</v>
      </c>
      <c r="H14672" s="22" t="n">
        <f aca="false">IF(H14670=0,0,H14671/ABS(H14670))</f>
        <v>0.0612668084705627</v>
      </c>
      <c r="I14672" s="22" t="n">
        <f aca="false">IF(I14670=0,0,I14671/ABS(I14670))</f>
        <v>0.0516289490991155</v>
      </c>
      <c r="J14672" s="22" t="n">
        <f aca="false">IF(J14670=0,0,J14671/ABS(J14670))</f>
        <v>0.0404355992693321</v>
      </c>
      <c r="K14672" s="22" t="n">
        <f aca="false">IF(K14670=0,0,K14671/ABS(K14670))</f>
        <v>0.031419743241954</v>
      </c>
    </row>
    <row r="14673" customFormat="false" ht="15" hidden="false" customHeight="false" outlineLevel="0" collapsed="false">
      <c r="A14673" s="3" t="s">
        <v>432</v>
      </c>
      <c r="G14673" s="21" t="n">
        <f aca="false">IF(G14671&lt;0,1,0)</f>
        <v>0</v>
      </c>
      <c r="H14673" s="21" t="n">
        <f aca="false">IF(H14671&lt;0,1,0)</f>
        <v>0</v>
      </c>
      <c r="I14673" s="21" t="n">
        <f aca="false">IF(I14671&lt;0,1,0)</f>
        <v>0</v>
      </c>
      <c r="J14673" s="21" t="n">
        <f aca="false">IF(J14671&lt;0,1,0)</f>
        <v>0</v>
      </c>
      <c r="K14673" s="21" t="n">
        <f aca="false">IF(K14671&lt;0,1,0)</f>
        <v>0</v>
      </c>
    </row>
    <row r="14674" customFormat="false" ht="15" hidden="false" customHeight="false" outlineLevel="0" collapsed="false">
      <c r="A14674" s="3" t="s">
        <v>433</v>
      </c>
      <c r="C14674" s="21" t="n">
        <f aca="false">IFERROR(INDEX($G$14423:$K$14423,MATCH(1,$G$14673:$K$14673,0)),0)</f>
        <v>0</v>
      </c>
    </row>
    <row r="14675" customFormat="false" ht="15" hidden="false" customHeight="false" outlineLevel="0" collapsed="false">
      <c r="A14675" s="3" t="s">
        <v>434</v>
      </c>
      <c r="C14675" s="22" t="n">
        <f aca="false">MIN($G$14672:$K$14672)</f>
        <v>0.031419743241954</v>
      </c>
    </row>
    <row r="14676" customFormat="false" ht="15" hidden="false" customHeight="false" outlineLevel="0" collapsed="false">
      <c r="A14676" s="24" t="s">
        <v>435</v>
      </c>
      <c r="B14676" s="25"/>
      <c r="C14676" s="25"/>
      <c r="D14676" s="25"/>
      <c r="E14676" s="25"/>
      <c r="F14676" s="25"/>
      <c r="G14676" s="25"/>
      <c r="H14676" s="25"/>
      <c r="I14676" s="25"/>
      <c r="J14676" s="25"/>
      <c r="K14676" s="25"/>
    </row>
    <row r="14677" customFormat="false" ht="15" hidden="false" customHeight="false" outlineLevel="0" collapsed="false">
      <c r="A14677" s="3" t="s">
        <v>428</v>
      </c>
      <c r="G14677" s="32" t="n">
        <f aca="false">IF(G14437&gt;0,G14433/G14437,99)</f>
        <v>1.56806680769002</v>
      </c>
      <c r="H14677" s="32" t="n">
        <f aca="false">IF(H14437&gt;0,H14433/H14437,99)</f>
        <v>1.77680363636489</v>
      </c>
      <c r="I14677" s="32" t="n">
        <f aca="false">IF(I14437&gt;0,I14433/I14437,99)</f>
        <v>1.89774086956924</v>
      </c>
      <c r="J14677" s="32" t="n">
        <f aca="false">IF(J14437&gt;0,J14433/J14437,99)</f>
        <v>2.16494698526079</v>
      </c>
      <c r="K14677" s="32" t="n">
        <f aca="false">IF(K14437&gt;0,K14433/K14437,99)</f>
        <v>2.25818828385765</v>
      </c>
    </row>
    <row r="14678" customFormat="false" ht="15" hidden="false" customHeight="false" outlineLevel="0" collapsed="false">
      <c r="A14678" s="3" t="s">
        <v>429</v>
      </c>
      <c r="G14678" s="34" t="n">
        <f aca="false">Assumptions!$G$72</f>
        <v>1.5</v>
      </c>
      <c r="H14678" s="34" t="n">
        <f aca="false">Assumptions!$H$72</f>
        <v>1.5</v>
      </c>
      <c r="I14678" s="34" t="n">
        <f aca="false">Assumptions!$I$72</f>
        <v>1.5</v>
      </c>
      <c r="J14678" s="34" t="n">
        <f aca="false">Assumptions!$J$72</f>
        <v>1.5</v>
      </c>
      <c r="K14678" s="34" t="n">
        <f aca="false">Assumptions!$K$72</f>
        <v>1.5</v>
      </c>
    </row>
    <row r="14679" customFormat="false" ht="15" hidden="false" customHeight="false" outlineLevel="0" collapsed="false">
      <c r="A14679" s="3" t="s">
        <v>430</v>
      </c>
      <c r="G14679" s="32" t="n">
        <f aca="false">G14677-G14678</f>
        <v>0.0680668076900159</v>
      </c>
      <c r="H14679" s="32" t="n">
        <f aca="false">H14677-H14678</f>
        <v>0.276803636364887</v>
      </c>
      <c r="I14679" s="32" t="n">
        <f aca="false">I14677-I14678</f>
        <v>0.397740869569241</v>
      </c>
      <c r="J14679" s="32" t="n">
        <f aca="false">J14677-J14678</f>
        <v>0.664946985260791</v>
      </c>
      <c r="K14679" s="32" t="n">
        <f aca="false">K14677-K14678</f>
        <v>0.758188283857649</v>
      </c>
    </row>
    <row r="14680" customFormat="false" ht="15" hidden="false" customHeight="false" outlineLevel="0" collapsed="false">
      <c r="A14680" s="3" t="s">
        <v>431</v>
      </c>
      <c r="G14680" s="22" t="n">
        <f aca="false">IF(G14678=0,0,G14679/ABS(G14678))</f>
        <v>0.045377871793344</v>
      </c>
      <c r="H14680" s="22" t="n">
        <f aca="false">IF(H14678=0,0,H14679/ABS(H14678))</f>
        <v>0.184535757576592</v>
      </c>
      <c r="I14680" s="22" t="n">
        <f aca="false">IF(I14678=0,0,I14679/ABS(I14678))</f>
        <v>0.265160579712827</v>
      </c>
      <c r="J14680" s="22" t="n">
        <f aca="false">IF(J14678=0,0,J14679/ABS(J14678))</f>
        <v>0.443297990173861</v>
      </c>
      <c r="K14680" s="22" t="n">
        <f aca="false">IF(K14678=0,0,K14679/ABS(K14678))</f>
        <v>0.505458855905099</v>
      </c>
    </row>
    <row r="14681" customFormat="false" ht="15" hidden="false" customHeight="false" outlineLevel="0" collapsed="false">
      <c r="A14681" s="3" t="s">
        <v>432</v>
      </c>
      <c r="G14681" s="21" t="n">
        <f aca="false">IF(G14679&lt;0,1,0)</f>
        <v>0</v>
      </c>
      <c r="H14681" s="21" t="n">
        <f aca="false">IF(H14679&lt;0,1,0)</f>
        <v>0</v>
      </c>
      <c r="I14681" s="21" t="n">
        <f aca="false">IF(I14679&lt;0,1,0)</f>
        <v>0</v>
      </c>
      <c r="J14681" s="21" t="n">
        <f aca="false">IF(J14679&lt;0,1,0)</f>
        <v>0</v>
      </c>
      <c r="K14681" s="21" t="n">
        <f aca="false">IF(K14679&lt;0,1,0)</f>
        <v>0</v>
      </c>
    </row>
    <row r="14682" customFormat="false" ht="15" hidden="false" customHeight="false" outlineLevel="0" collapsed="false">
      <c r="A14682" s="3" t="s">
        <v>433</v>
      </c>
      <c r="C14682" s="21" t="n">
        <f aca="false">IFERROR(INDEX($G$14423:$K$14423,MATCH(1,$G$14681:$K$14681,0)),0)</f>
        <v>0</v>
      </c>
    </row>
    <row r="14683" customFormat="false" ht="15" hidden="false" customHeight="false" outlineLevel="0" collapsed="false">
      <c r="A14683" s="3" t="s">
        <v>434</v>
      </c>
      <c r="C14683" s="22" t="n">
        <f aca="false">MIN($G$14680:$K$14680)</f>
        <v>0.045377871793344</v>
      </c>
    </row>
    <row r="14684" customFormat="false" ht="15" hidden="false" customHeight="false" outlineLevel="0" collapsed="false">
      <c r="A14684" s="24" t="s">
        <v>436</v>
      </c>
      <c r="B14684" s="25"/>
      <c r="C14684" s="25"/>
      <c r="D14684" s="25"/>
      <c r="E14684" s="25"/>
      <c r="F14684" s="25"/>
      <c r="G14684" s="25"/>
      <c r="H14684" s="25"/>
      <c r="I14684" s="25"/>
      <c r="J14684" s="25"/>
      <c r="K14684" s="25"/>
    </row>
    <row r="14685" customFormat="false" ht="15" hidden="false" customHeight="false" outlineLevel="0" collapsed="false">
      <c r="A14685" s="3" t="s">
        <v>428</v>
      </c>
      <c r="G14685" s="22" t="n">
        <f aca="false">IF(G14666&gt;0,G14655/G14666,99)</f>
        <v>0.120265604139923</v>
      </c>
      <c r="H14685" s="22" t="n">
        <f aca="false">IF(H14666&gt;0,H14655/H14666,99)</f>
        <v>0.119380197979769</v>
      </c>
      <c r="I14685" s="22" t="n">
        <f aca="false">IF(I14666&gt;0,I14655/I14666,99)</f>
        <v>0.118494791819614</v>
      </c>
      <c r="J14685" s="22" t="n">
        <f aca="false">IF(J14666&gt;0,J14655/J14666,99)</f>
        <v>0.11760938565946</v>
      </c>
      <c r="K14685" s="22" t="n">
        <f aca="false">IF(K14666&gt;0,K14655/K14666,99)</f>
        <v>0.116723979499306</v>
      </c>
    </row>
    <row r="14686" customFormat="false" ht="15" hidden="false" customHeight="false" outlineLevel="0" collapsed="false">
      <c r="A14686" s="3" t="s">
        <v>429</v>
      </c>
      <c r="G14686" s="33" t="n">
        <f aca="false">Assumptions!$G$73</f>
        <v>0.4</v>
      </c>
      <c r="H14686" s="33" t="n">
        <f aca="false">Assumptions!$H$73</f>
        <v>0.4</v>
      </c>
      <c r="I14686" s="33" t="n">
        <f aca="false">Assumptions!$I$73</f>
        <v>0.4</v>
      </c>
      <c r="J14686" s="33" t="n">
        <f aca="false">Assumptions!$J$73</f>
        <v>0.4</v>
      </c>
      <c r="K14686" s="33" t="n">
        <f aca="false">Assumptions!$K$73</f>
        <v>0.4</v>
      </c>
    </row>
    <row r="14687" customFormat="false" ht="15" hidden="false" customHeight="false" outlineLevel="0" collapsed="false">
      <c r="A14687" s="3" t="s">
        <v>430</v>
      </c>
      <c r="G14687" s="22" t="n">
        <f aca="false">G14686-G14685</f>
        <v>0.279734395860077</v>
      </c>
      <c r="H14687" s="22" t="n">
        <f aca="false">H14686-H14685</f>
        <v>0.280619802020231</v>
      </c>
      <c r="I14687" s="22" t="n">
        <f aca="false">I14686-I14685</f>
        <v>0.281505208180386</v>
      </c>
      <c r="J14687" s="22" t="n">
        <f aca="false">J14686-J14685</f>
        <v>0.28239061434054</v>
      </c>
      <c r="K14687" s="22" t="n">
        <f aca="false">K14686-K14685</f>
        <v>0.283276020500694</v>
      </c>
    </row>
    <row r="14688" customFormat="false" ht="15" hidden="false" customHeight="false" outlineLevel="0" collapsed="false">
      <c r="A14688" s="3" t="s">
        <v>431</v>
      </c>
      <c r="G14688" s="22" t="n">
        <f aca="false">IF(G14686=0,0,G14687/ABS(G14686))</f>
        <v>0.699335989650192</v>
      </c>
      <c r="H14688" s="22" t="n">
        <f aca="false">IF(H14686=0,0,H14687/ABS(H14686))</f>
        <v>0.701549505050578</v>
      </c>
      <c r="I14688" s="22" t="n">
        <f aca="false">IF(I14686=0,0,I14687/ABS(I14686))</f>
        <v>0.703763020450964</v>
      </c>
      <c r="J14688" s="22" t="n">
        <f aca="false">IF(J14686=0,0,J14687/ABS(J14686))</f>
        <v>0.70597653585135</v>
      </c>
      <c r="K14688" s="22" t="n">
        <f aca="false">IF(K14686=0,0,K14687/ABS(K14686))</f>
        <v>0.708190051251736</v>
      </c>
    </row>
    <row r="14689" customFormat="false" ht="15" hidden="false" customHeight="false" outlineLevel="0" collapsed="false">
      <c r="A14689" s="3" t="s">
        <v>432</v>
      </c>
      <c r="G14689" s="21" t="n">
        <f aca="false">IF(G14687&lt;0,1,0)</f>
        <v>0</v>
      </c>
      <c r="H14689" s="21" t="n">
        <f aca="false">IF(H14687&lt;0,1,0)</f>
        <v>0</v>
      </c>
      <c r="I14689" s="21" t="n">
        <f aca="false">IF(I14687&lt;0,1,0)</f>
        <v>0</v>
      </c>
      <c r="J14689" s="21" t="n">
        <f aca="false">IF(J14687&lt;0,1,0)</f>
        <v>0</v>
      </c>
      <c r="K14689" s="21" t="n">
        <f aca="false">IF(K14687&lt;0,1,0)</f>
        <v>0</v>
      </c>
    </row>
    <row r="14690" customFormat="false" ht="15" hidden="false" customHeight="false" outlineLevel="0" collapsed="false">
      <c r="A14690" s="3" t="s">
        <v>433</v>
      </c>
      <c r="C14690" s="21" t="n">
        <f aca="false">IFERROR(INDEX($G$14423:$K$14423,MATCH(1,$G$14689:$K$14689,0)),0)</f>
        <v>0</v>
      </c>
    </row>
    <row r="14691" customFormat="false" ht="15" hidden="false" customHeight="false" outlineLevel="0" collapsed="false">
      <c r="A14691" s="3" t="s">
        <v>434</v>
      </c>
      <c r="C14691" s="22" t="n">
        <f aca="false">MIN($G$14688:$K$14688)</f>
        <v>0.699335989650192</v>
      </c>
    </row>
    <row r="14692" customFormat="false" ht="15" hidden="false" customHeight="false" outlineLevel="0" collapsed="false">
      <c r="A14692" s="24" t="s">
        <v>437</v>
      </c>
      <c r="B14692" s="25"/>
      <c r="C14692" s="25"/>
      <c r="D14692" s="25"/>
      <c r="E14692" s="25"/>
      <c r="F14692" s="25"/>
      <c r="G14692" s="25"/>
      <c r="H14692" s="25"/>
      <c r="I14692" s="25"/>
      <c r="J14692" s="25"/>
      <c r="K14692" s="25"/>
    </row>
    <row r="14693" customFormat="false" ht="15" hidden="false" customHeight="false" outlineLevel="0" collapsed="false">
      <c r="A14693" s="3" t="s">
        <v>428</v>
      </c>
      <c r="G14693" s="16" t="n">
        <f aca="false">G14663</f>
        <v>734.7945886</v>
      </c>
      <c r="H14693" s="16" t="n">
        <f aca="false">H14663</f>
        <v>599.5</v>
      </c>
      <c r="I14693" s="16" t="n">
        <f aca="false">I14663</f>
        <v>544.375421775424</v>
      </c>
      <c r="J14693" s="16" t="n">
        <f aca="false">J14663</f>
        <v>510.034499382477</v>
      </c>
      <c r="K14693" s="16" t="n">
        <f aca="false">K14663</f>
        <v>481.595936111203</v>
      </c>
    </row>
    <row r="14694" customFormat="false" ht="15" hidden="false" customHeight="false" outlineLevel="0" collapsed="false">
      <c r="A14694" s="3" t="s">
        <v>429</v>
      </c>
      <c r="G14694" s="29" t="n">
        <f aca="false">Assumptions!$G$74</f>
        <v>100</v>
      </c>
      <c r="H14694" s="29" t="n">
        <f aca="false">Assumptions!$H$74</f>
        <v>100</v>
      </c>
      <c r="I14694" s="29" t="n">
        <f aca="false">Assumptions!$I$74</f>
        <v>100</v>
      </c>
      <c r="J14694" s="29" t="n">
        <f aca="false">Assumptions!$J$74</f>
        <v>100</v>
      </c>
      <c r="K14694" s="29" t="n">
        <f aca="false">Assumptions!$K$74</f>
        <v>100</v>
      </c>
    </row>
    <row r="14695" customFormat="false" ht="15" hidden="false" customHeight="false" outlineLevel="0" collapsed="false">
      <c r="A14695" s="3" t="s">
        <v>430</v>
      </c>
      <c r="G14695" s="16" t="n">
        <f aca="false">G14693-G14694</f>
        <v>634.7945886</v>
      </c>
      <c r="H14695" s="16" t="n">
        <f aca="false">H14693-H14694</f>
        <v>499.5</v>
      </c>
      <c r="I14695" s="16" t="n">
        <f aca="false">I14693-I14694</f>
        <v>444.375421775424</v>
      </c>
      <c r="J14695" s="16" t="n">
        <f aca="false">J14693-J14694</f>
        <v>410.034499382477</v>
      </c>
      <c r="K14695" s="16" t="n">
        <f aca="false">K14693-K14694</f>
        <v>381.595936111203</v>
      </c>
    </row>
    <row r="14696" customFormat="false" ht="15" hidden="false" customHeight="false" outlineLevel="0" collapsed="false">
      <c r="A14696" s="3" t="s">
        <v>431</v>
      </c>
      <c r="G14696" s="22" t="n">
        <f aca="false">IF(G14694=0,0,G14695/ABS(G14694))</f>
        <v>6.347945886</v>
      </c>
      <c r="H14696" s="22" t="n">
        <f aca="false">IF(H14694=0,0,H14695/ABS(H14694))</f>
        <v>4.995</v>
      </c>
      <c r="I14696" s="22" t="n">
        <f aca="false">IF(I14694=0,0,I14695/ABS(I14694))</f>
        <v>4.44375421775424</v>
      </c>
      <c r="J14696" s="22" t="n">
        <f aca="false">IF(J14694=0,0,J14695/ABS(J14694))</f>
        <v>4.10034499382477</v>
      </c>
      <c r="K14696" s="22" t="n">
        <f aca="false">IF(K14694=0,0,K14695/ABS(K14694))</f>
        <v>3.81595936111203</v>
      </c>
    </row>
    <row r="14697" customFormat="false" ht="15" hidden="false" customHeight="false" outlineLevel="0" collapsed="false">
      <c r="A14697" s="3" t="s">
        <v>432</v>
      </c>
      <c r="G14697" s="21" t="n">
        <f aca="false">IF(G14695&lt;0,1,0)</f>
        <v>0</v>
      </c>
      <c r="H14697" s="21" t="n">
        <f aca="false">IF(H14695&lt;0,1,0)</f>
        <v>0</v>
      </c>
      <c r="I14697" s="21" t="n">
        <f aca="false">IF(I14695&lt;0,1,0)</f>
        <v>0</v>
      </c>
      <c r="J14697" s="21" t="n">
        <f aca="false">IF(J14695&lt;0,1,0)</f>
        <v>0</v>
      </c>
      <c r="K14697" s="21" t="n">
        <f aca="false">IF(K14695&lt;0,1,0)</f>
        <v>0</v>
      </c>
    </row>
    <row r="14698" customFormat="false" ht="15" hidden="false" customHeight="false" outlineLevel="0" collapsed="false">
      <c r="A14698" s="3" t="s">
        <v>433</v>
      </c>
      <c r="C14698" s="21" t="n">
        <f aca="false">IFERROR(INDEX($G$14423:$K$14423,MATCH(1,$G$14697:$K$14697,0)),0)</f>
        <v>0</v>
      </c>
    </row>
    <row r="14699" customFormat="false" ht="15" hidden="false" customHeight="false" outlineLevel="0" collapsed="false">
      <c r="A14699" s="3" t="s">
        <v>434</v>
      </c>
      <c r="C14699" s="22" t="n">
        <f aca="false">MIN($G$14696:$K$14696)</f>
        <v>3.81595936111203</v>
      </c>
    </row>
    <row r="14700" customFormat="false" ht="15" hidden="false" customHeight="false" outlineLevel="0" collapsed="false">
      <c r="A14700" s="24" t="s">
        <v>438</v>
      </c>
      <c r="B14700" s="25"/>
      <c r="C14700" s="25"/>
      <c r="D14700" s="25"/>
      <c r="E14700" s="25"/>
      <c r="F14700" s="25"/>
      <c r="G14700" s="25"/>
      <c r="H14700" s="25"/>
      <c r="I14700" s="25"/>
      <c r="J14700" s="25"/>
      <c r="K14700" s="25"/>
    </row>
    <row r="14701" customFormat="false" ht="15" hidden="false" customHeight="false" outlineLevel="0" collapsed="false">
      <c r="A14701" s="3" t="s">
        <v>428</v>
      </c>
      <c r="G14701" s="32" t="n">
        <f aca="false">IF(G14433&gt;0,G14656/G14433,99)</f>
        <v>8.71127544417636</v>
      </c>
      <c r="H14701" s="32" t="n">
        <f aca="false">IF(H14433&gt;0,H14656/H14433,99)</f>
        <v>7.9160916710461</v>
      </c>
      <c r="I14701" s="32" t="n">
        <f aca="false">IF(I14433&gt;0,I14656/I14433,99)</f>
        <v>7.17099360611306</v>
      </c>
      <c r="J14701" s="32" t="n">
        <f aca="false">IF(J14433&gt;0,J14656/J14433,99)</f>
        <v>6.45415907956139</v>
      </c>
      <c r="K14701" s="32" t="n">
        <f aca="false">IF(K14433&gt;0,K14656/K14433,99)</f>
        <v>5.79524289834194</v>
      </c>
    </row>
    <row r="14702" customFormat="false" ht="15" hidden="false" customHeight="false" outlineLevel="0" collapsed="false">
      <c r="A14702" s="3" t="s">
        <v>429</v>
      </c>
      <c r="G14702" s="34" t="n">
        <f aca="false">Assumptions!$G$75</f>
        <v>10.5</v>
      </c>
      <c r="H14702" s="34" t="n">
        <f aca="false">Assumptions!$H$75</f>
        <v>10.5</v>
      </c>
      <c r="I14702" s="34" t="n">
        <f aca="false">Assumptions!$I$75</f>
        <v>10</v>
      </c>
      <c r="J14702" s="34" t="n">
        <f aca="false">Assumptions!$J$75</f>
        <v>10</v>
      </c>
      <c r="K14702" s="34" t="n">
        <f aca="false">Assumptions!$K$75</f>
        <v>9.5</v>
      </c>
    </row>
    <row r="14703" customFormat="false" ht="15" hidden="false" customHeight="false" outlineLevel="0" collapsed="false">
      <c r="A14703" s="3" t="s">
        <v>430</v>
      </c>
      <c r="G14703" s="32" t="n">
        <f aca="false">G14702-G14701</f>
        <v>1.78872455582364</v>
      </c>
      <c r="H14703" s="32" t="n">
        <f aca="false">H14702-H14701</f>
        <v>2.5839083289539</v>
      </c>
      <c r="I14703" s="32" t="n">
        <f aca="false">I14702-I14701</f>
        <v>2.82900639388694</v>
      </c>
      <c r="J14703" s="32" t="n">
        <f aca="false">J14702-J14701</f>
        <v>3.54584092043861</v>
      </c>
      <c r="K14703" s="32" t="n">
        <f aca="false">K14702-K14701</f>
        <v>3.70475710165806</v>
      </c>
    </row>
    <row r="14704" customFormat="false" ht="15" hidden="false" customHeight="false" outlineLevel="0" collapsed="false">
      <c r="A14704" s="3" t="s">
        <v>431</v>
      </c>
      <c r="G14704" s="22" t="n">
        <f aca="false">IF(G14702=0,0,G14703/ABS(G14702))</f>
        <v>0.170354719602252</v>
      </c>
      <c r="H14704" s="22" t="n">
        <f aca="false">IF(H14702=0,0,H14703/ABS(H14702))</f>
        <v>0.246086507519419</v>
      </c>
      <c r="I14704" s="22" t="n">
        <f aca="false">IF(I14702=0,0,I14703/ABS(I14702))</f>
        <v>0.282900639388694</v>
      </c>
      <c r="J14704" s="22" t="n">
        <f aca="false">IF(J14702=0,0,J14703/ABS(J14702))</f>
        <v>0.354584092043861</v>
      </c>
      <c r="K14704" s="22" t="n">
        <f aca="false">IF(K14702=0,0,K14703/ABS(K14702))</f>
        <v>0.38997443175348</v>
      </c>
    </row>
    <row r="14705" customFormat="false" ht="15" hidden="false" customHeight="false" outlineLevel="0" collapsed="false">
      <c r="A14705" s="3" t="s">
        <v>432</v>
      </c>
      <c r="G14705" s="21" t="n">
        <f aca="false">IF(G14703&lt;0,1,0)</f>
        <v>0</v>
      </c>
      <c r="H14705" s="21" t="n">
        <f aca="false">IF(H14703&lt;0,1,0)</f>
        <v>0</v>
      </c>
      <c r="I14705" s="21" t="n">
        <f aca="false">IF(I14703&lt;0,1,0)</f>
        <v>0</v>
      </c>
      <c r="J14705" s="21" t="n">
        <f aca="false">IF(J14703&lt;0,1,0)</f>
        <v>0</v>
      </c>
      <c r="K14705" s="21" t="n">
        <f aca="false">IF(K14703&lt;0,1,0)</f>
        <v>0</v>
      </c>
    </row>
    <row r="14706" customFormat="false" ht="15" hidden="false" customHeight="false" outlineLevel="0" collapsed="false">
      <c r="A14706" s="3" t="s">
        <v>433</v>
      </c>
      <c r="C14706" s="21" t="n">
        <f aca="false">IFERROR(INDEX($G$14423:$K$14423,MATCH(1,$G$14705:$K$14705,0)),0)</f>
        <v>0</v>
      </c>
    </row>
    <row r="14707" customFormat="false" ht="15" hidden="false" customHeight="false" outlineLevel="0" collapsed="false">
      <c r="A14707" s="3" t="s">
        <v>434</v>
      </c>
      <c r="C14707" s="22" t="n">
        <f aca="false">MIN($G$14704:$K$14704)</f>
        <v>0.170354719602252</v>
      </c>
    </row>
    <row r="14708" customFormat="false" ht="15" hidden="false" customHeight="false" outlineLevel="0" collapsed="false">
      <c r="A14708" s="3" t="s">
        <v>439</v>
      </c>
      <c r="G14708" s="21" t="n">
        <f aca="false">G14673+G14681+G14689+G14697+G14705</f>
        <v>0</v>
      </c>
      <c r="H14708" s="21" t="n">
        <f aca="false">H14673+H14681+H14689+H14697+H14705</f>
        <v>0</v>
      </c>
      <c r="I14708" s="21" t="n">
        <f aca="false">I14673+I14681+I14689+I14697+I14705</f>
        <v>0</v>
      </c>
      <c r="J14708" s="21" t="n">
        <f aca="false">J14673+J14681+J14689+J14697+J14705</f>
        <v>0</v>
      </c>
      <c r="K14708" s="21" t="n">
        <f aca="false">K14673+K14681+K14689+K14697+K14705</f>
        <v>0</v>
      </c>
    </row>
    <row r="14709" customFormat="false" ht="15" hidden="false" customHeight="false" outlineLevel="0" collapsed="false">
      <c r="A14709" s="3" t="s">
        <v>440</v>
      </c>
      <c r="C14709" s="21" t="n">
        <f aca="false">SUM($G$14708:$K$14708)</f>
        <v>0</v>
      </c>
    </row>
    <row r="14710" customFormat="false" ht="15" hidden="false" customHeight="false" outlineLevel="0" collapsed="false">
      <c r="A14710" s="3" t="s">
        <v>441</v>
      </c>
      <c r="C14710" s="22" t="n">
        <f aca="false">MIN(C14675,C14683,C14691,C14699,C14707)</f>
        <v>0.031419743241954</v>
      </c>
    </row>
    <row r="14712" customFormat="false" ht="15" hidden="false" customHeight="false" outlineLevel="0" collapsed="false">
      <c r="A14712" s="24" t="s">
        <v>543</v>
      </c>
      <c r="B14712" s="25"/>
      <c r="C14712" s="25"/>
      <c r="D14712" s="25"/>
      <c r="E14712" s="25"/>
      <c r="F14712" s="25"/>
      <c r="G14712" s="25"/>
      <c r="H14712" s="25"/>
      <c r="I14712" s="25"/>
      <c r="J14712" s="25"/>
      <c r="K14712" s="25"/>
    </row>
    <row r="14713" customFormat="false" ht="15" hidden="false" customHeight="false" outlineLevel="0" collapsed="false">
      <c r="A14713" s="3" t="s">
        <v>544</v>
      </c>
      <c r="G14713" s="21" t="n">
        <f aca="false">IF($C$14714=1,G14650,IF(G14433=MIN($G$14433:$K$14433),1,0))</f>
        <v>1</v>
      </c>
      <c r="H14713" s="21" t="n">
        <f aca="false">IF($C$14714=1,H14650,IF(AND(H14433=MIN($G$14433:$K$14433),SUM($G$14713:G14713)=0),1,0))</f>
        <v>0</v>
      </c>
      <c r="I14713" s="21" t="n">
        <f aca="false">IF($C$14714=1,I14650,IF(AND(I14433=MIN($G$14433:$K$14433),SUM($G$14713:H14713)=0),1,0))</f>
        <v>0</v>
      </c>
      <c r="J14713" s="21" t="n">
        <f aca="false">IF($C$14714=1,J14650,IF(AND(J14433=MIN($G$14433:$K$14433),SUM($G$14713:I14713)=0),1,0))</f>
        <v>0</v>
      </c>
      <c r="K14713" s="21" t="n">
        <f aca="false">IF($C$14714=1,K14650,IF(AND(K14433=MIN($G$14433:$K$14433),SUM($G$14713:J14713)=0),1,0))</f>
        <v>0</v>
      </c>
    </row>
    <row r="14714" customFormat="false" ht="15" hidden="false" customHeight="false" outlineLevel="0" collapsed="false">
      <c r="A14714" s="3" t="s">
        <v>545</v>
      </c>
      <c r="C14714" s="21" t="n">
        <f aca="false">IF(SUM($G$14650:$K$14650)&gt;0,1,0)</f>
        <v>0</v>
      </c>
    </row>
    <row r="14715" customFormat="false" ht="15" hidden="false" customHeight="false" outlineLevel="0" collapsed="false">
      <c r="A14715" s="3" t="s">
        <v>546</v>
      </c>
      <c r="C14715" s="21" t="n">
        <f aca="false">SUMPRODUCT($G$14713:$K$14713,$G$14423:$K$14423)</f>
        <v>2027</v>
      </c>
    </row>
    <row r="14716" customFormat="false" ht="15" hidden="false" customHeight="false" outlineLevel="0" collapsed="false">
      <c r="A14716" s="3" t="s">
        <v>547</v>
      </c>
      <c r="C14716" s="16" t="n">
        <f aca="false">SUMPRODUCT($G$14713:$K$14713,$G$14433:$K$14433)</f>
        <v>282.5808261</v>
      </c>
    </row>
    <row r="14717" customFormat="false" ht="15" hidden="false" customHeight="false" outlineLevel="0" collapsed="false">
      <c r="A14717" s="3" t="s">
        <v>548</v>
      </c>
      <c r="C14717" s="16" t="n">
        <f aca="false">MAX(0,SUMPRODUCT($G$14713:$K$14713,$G$14647:$K$14647))</f>
        <v>160.2945886</v>
      </c>
    </row>
    <row r="14718" customFormat="false" ht="15" hidden="false" customHeight="false" outlineLevel="0" collapsed="false">
      <c r="A14718" s="3" t="s">
        <v>549</v>
      </c>
      <c r="C14718" s="16" t="n">
        <f aca="false">(CHOOSE($C$14416,Assumptions!$C$92,Assumptions!$C$111,Assumptions!$C$130)+$C$14420)*C14716</f>
        <v>2825.808261</v>
      </c>
    </row>
    <row r="14719" customFormat="false" ht="15" hidden="false" customHeight="false" outlineLevel="0" collapsed="false">
      <c r="A14719" s="3" t="s">
        <v>550</v>
      </c>
      <c r="C14719" s="16" t="n">
        <f aca="false">Assumptions!$C$31*(1-CHOOSE($C$14416,Assumptions!$C$93,Assumptions!$C$112,Assumptions!$C$131))*CHOOSE($C$14416,Assumptions!$C$94,Assumptions!$C$113,Assumptions!$C$132)</f>
        <v>3840.04556666667</v>
      </c>
    </row>
    <row r="14720" customFormat="false" ht="15" hidden="false" customHeight="false" outlineLevel="0" collapsed="false">
      <c r="A14720" s="3" t="s">
        <v>551</v>
      </c>
      <c r="C14720" s="16" t="n">
        <f aca="false">MAX(C14718,C14719)+C14717</f>
        <v>4000.34015526667</v>
      </c>
    </row>
    <row r="14721" customFormat="false" ht="15" hidden="false" customHeight="false" outlineLevel="0" collapsed="false">
      <c r="A14721" s="2" t="s">
        <v>552</v>
      </c>
      <c r="C14721" s="17" t="n">
        <f aca="false">IF(ISNUMBER(Assumptions!$C$14),Assumptions!$C$14,C14720)</f>
        <v>4000.34015526667</v>
      </c>
    </row>
    <row r="14722" customFormat="false" ht="15" hidden="false" customHeight="false" outlineLevel="0" collapsed="false">
      <c r="A14722" s="3" t="s">
        <v>553</v>
      </c>
      <c r="C14722" s="16" t="n">
        <f aca="false">C14721*Assumptions!$C$15</f>
        <v>160.013606210667</v>
      </c>
    </row>
    <row r="14723" customFormat="false" ht="15" hidden="false" customHeight="false" outlineLevel="0" collapsed="false">
      <c r="A14723" s="2" t="s">
        <v>554</v>
      </c>
      <c r="C14723" s="17" t="n">
        <f aca="false">C14721-C14722</f>
        <v>3840.326549056</v>
      </c>
    </row>
    <row r="14724" customFormat="false" ht="15" hidden="false" customHeight="false" outlineLevel="0" collapsed="false">
      <c r="A14724" s="24" t="s">
        <v>555</v>
      </c>
      <c r="B14724" s="25"/>
      <c r="C14724" s="25"/>
      <c r="D14724" s="25"/>
      <c r="E14724" s="25"/>
      <c r="F14724" s="25"/>
      <c r="G14724" s="25"/>
      <c r="H14724" s="25"/>
      <c r="I14724" s="25"/>
      <c r="J14724" s="25"/>
      <c r="K14724" s="25"/>
    </row>
    <row r="14725" customFormat="false" ht="15" hidden="false" customHeight="false" outlineLevel="0" collapsed="false">
      <c r="A14725" s="3" t="s">
        <v>556</v>
      </c>
      <c r="C14725" s="16" t="n">
        <f aca="false">SUMPRODUCT($G$14713:$K$14713,$G$14470:$K$14470)*(1+SUMPRODUCT($G$14713:$K$14713,$G$14462:$K$14462)*Assumptions!$C$16/12)</f>
        <v>405.0585</v>
      </c>
    </row>
    <row r="14726" customFormat="false" ht="15" hidden="false" customHeight="false" outlineLevel="0" collapsed="false">
      <c r="A14726" s="3" t="s">
        <v>557</v>
      </c>
      <c r="C14726" s="16" t="n">
        <f aca="false">SUMPRODUCT($G$14713:$K$14713,$G$14483:$K$14483)*(1+SUMPRODUCT($G$14713:$K$14713,$G$14475:$K$14475)*Assumptions!$C$16/12)</f>
        <v>91.30725</v>
      </c>
    </row>
    <row r="14727" customFormat="false" ht="15" hidden="false" customHeight="false" outlineLevel="0" collapsed="false">
      <c r="A14727" s="3" t="s">
        <v>558</v>
      </c>
      <c r="C14727" s="16" t="n">
        <f aca="false">SUMPRODUCT($G$14713:$K$14713,$G$14496:$K$14496)*(1+SUMPRODUCT($G$14713:$K$14713,$G$14488:$K$14488)*Assumptions!$C$16/12)</f>
        <v>58.3715961</v>
      </c>
    </row>
    <row r="14728" customFormat="false" ht="15" hidden="false" customHeight="false" outlineLevel="0" collapsed="false">
      <c r="A14728" s="3" t="s">
        <v>559</v>
      </c>
      <c r="C14728" s="16" t="n">
        <f aca="false">SUMPRODUCT($G$14713:$K$14713,$G$14509:$K$14509)*(1+SUMPRODUCT($G$14713:$K$14713,$G$14501:$K$14501)*Assumptions!$C$16/12)</f>
        <v>0</v>
      </c>
    </row>
    <row r="14729" customFormat="false" ht="15" hidden="false" customHeight="false" outlineLevel="0" collapsed="false">
      <c r="A14729" s="3" t="s">
        <v>560</v>
      </c>
      <c r="C14729" s="16" t="n">
        <f aca="false">SUMPRODUCT($G$14713:$K$14713,$G$14522:$K$14522)*(1+SUMPRODUCT($G$14713:$K$14713,$G$14514:$K$14514)*Assumptions!$C$16/12)</f>
        <v>454.44375</v>
      </c>
    </row>
    <row r="14730" customFormat="false" ht="15" hidden="false" customHeight="false" outlineLevel="0" collapsed="false">
      <c r="A14730" s="3" t="s">
        <v>561</v>
      </c>
      <c r="C14730" s="16" t="n">
        <f aca="false">SUMPRODUCT($G$14713:$K$14713,$G$14535:$K$14535)*(1+SUMPRODUCT($G$14713:$K$14713,$G$14527:$K$14527)*Assumptions!$C$16/12)</f>
        <v>357.2625</v>
      </c>
    </row>
    <row r="14731" customFormat="false" ht="15" hidden="false" customHeight="false" outlineLevel="0" collapsed="false">
      <c r="A14731" s="3" t="s">
        <v>562</v>
      </c>
      <c r="C14731" s="16" t="n">
        <f aca="false">SUMPRODUCT($G$14713:$K$14713,$G$14548:$K$14548)*(1+SUMPRODUCT($G$14713:$K$14713,$G$14540:$K$14540)*Assumptions!$C$16/12)</f>
        <v>562.203125</v>
      </c>
    </row>
    <row r="14732" customFormat="false" ht="15" hidden="false" customHeight="false" outlineLevel="0" collapsed="false">
      <c r="A14732" s="3" t="s">
        <v>563</v>
      </c>
      <c r="C14732" s="16" t="n">
        <f aca="false">SUMPRODUCT($G$14713:$K$14713,$G$14561:$K$14561)*(1+SUMPRODUCT($G$14713:$K$14713,$G$14553:$K$14553)*Assumptions!$C$16/12)</f>
        <v>353.98125</v>
      </c>
    </row>
    <row r="14733" customFormat="false" ht="15" hidden="false" customHeight="false" outlineLevel="0" collapsed="false">
      <c r="A14733" s="3" t="s">
        <v>564</v>
      </c>
      <c r="C14733" s="16" t="n">
        <f aca="false">SUMPRODUCT($G$14713:$K$14713,$G$14574:$K$14574)*(1+SUMPRODUCT($G$14713:$K$14713,$G$14566:$K$14566)*Assumptions!$C$16/12)</f>
        <v>304.59375</v>
      </c>
    </row>
    <row r="14734" customFormat="false" ht="15" hidden="false" customHeight="false" outlineLevel="0" collapsed="false">
      <c r="A14734" s="3" t="s">
        <v>565</v>
      </c>
      <c r="C14734" s="16" t="n">
        <f aca="false">SUMPRODUCT($G$14713:$K$14713,$G$14587:$K$14587)*(1+SUMPRODUCT($G$14713:$K$14713,$G$14579:$K$14579)*Assumptions!$C$16/12)</f>
        <v>79.67320025</v>
      </c>
    </row>
    <row r="14735" customFormat="false" ht="15" hidden="false" customHeight="false" outlineLevel="0" collapsed="false">
      <c r="A14735" s="24" t="s">
        <v>566</v>
      </c>
      <c r="B14735" s="25"/>
      <c r="C14735" s="25"/>
      <c r="D14735" s="25"/>
      <c r="E14735" s="25"/>
      <c r="F14735" s="25"/>
      <c r="G14735" s="25"/>
      <c r="H14735" s="25"/>
      <c r="I14735" s="25"/>
      <c r="J14735" s="25"/>
      <c r="K14735" s="25"/>
    </row>
    <row r="14736" customFormat="false" ht="15" hidden="false" customHeight="false" outlineLevel="0" collapsed="false">
      <c r="A14736" s="3" t="s">
        <v>556</v>
      </c>
      <c r="C14736" s="27" t="n">
        <f aca="false">Assumptions!$M$57</f>
        <v>1</v>
      </c>
    </row>
    <row r="14737" customFormat="false" ht="15" hidden="false" customHeight="false" outlineLevel="0" collapsed="false">
      <c r="A14737" s="3" t="s">
        <v>557</v>
      </c>
      <c r="C14737" s="27" t="n">
        <f aca="false">Assumptions!$M$58</f>
        <v>1</v>
      </c>
    </row>
    <row r="14738" customFormat="false" ht="15" hidden="false" customHeight="false" outlineLevel="0" collapsed="false">
      <c r="A14738" s="3" t="s">
        <v>558</v>
      </c>
      <c r="C14738" s="27" t="n">
        <f aca="false">Assumptions!$M$59</f>
        <v>1</v>
      </c>
    </row>
    <row r="14739" customFormat="false" ht="15" hidden="false" customHeight="false" outlineLevel="0" collapsed="false">
      <c r="A14739" s="3" t="s">
        <v>559</v>
      </c>
      <c r="C14739" s="27" t="n">
        <f aca="false">Assumptions!$M$60</f>
        <v>2</v>
      </c>
    </row>
    <row r="14740" customFormat="false" ht="15" hidden="false" customHeight="false" outlineLevel="0" collapsed="false">
      <c r="A14740" s="3" t="s">
        <v>560</v>
      </c>
      <c r="C14740" s="27" t="n">
        <f aca="false">Assumptions!$M$61</f>
        <v>2</v>
      </c>
    </row>
    <row r="14741" customFormat="false" ht="15" hidden="false" customHeight="false" outlineLevel="0" collapsed="false">
      <c r="A14741" s="3" t="s">
        <v>561</v>
      </c>
      <c r="C14741" s="27" t="n">
        <f aca="false">Assumptions!$M$62</f>
        <v>2</v>
      </c>
    </row>
    <row r="14742" customFormat="false" ht="15" hidden="false" customHeight="false" outlineLevel="0" collapsed="false">
      <c r="A14742" s="3" t="s">
        <v>562</v>
      </c>
      <c r="C14742" s="27" t="n">
        <f aca="false">Assumptions!$M$63</f>
        <v>2</v>
      </c>
    </row>
    <row r="14743" customFormat="false" ht="15" hidden="false" customHeight="false" outlineLevel="0" collapsed="false">
      <c r="A14743" s="3" t="s">
        <v>563</v>
      </c>
      <c r="C14743" s="27" t="n">
        <f aca="false">Assumptions!$M$64</f>
        <v>2</v>
      </c>
    </row>
    <row r="14744" customFormat="false" ht="15" hidden="false" customHeight="false" outlineLevel="0" collapsed="false">
      <c r="A14744" s="3" t="s">
        <v>564</v>
      </c>
      <c r="C14744" s="27" t="n">
        <f aca="false">Assumptions!$M$65</f>
        <v>2</v>
      </c>
    </row>
    <row r="14745" customFormat="false" ht="15" hidden="false" customHeight="false" outlineLevel="0" collapsed="false">
      <c r="A14745" s="3" t="s">
        <v>565</v>
      </c>
      <c r="C14745" s="27" t="n">
        <f aca="false">Assumptions!$M$66</f>
        <v>3</v>
      </c>
    </row>
    <row r="14746" customFormat="false" ht="15" hidden="false" customHeight="false" outlineLevel="0" collapsed="false">
      <c r="A14746" s="24" t="s">
        <v>567</v>
      </c>
      <c r="B14746" s="25"/>
      <c r="C14746" s="25"/>
      <c r="D14746" s="25"/>
      <c r="E14746" s="25"/>
      <c r="F14746" s="25"/>
      <c r="G14746" s="25"/>
      <c r="H14746" s="25"/>
      <c r="I14746" s="25"/>
      <c r="J14746" s="25"/>
      <c r="K14746" s="25"/>
    </row>
    <row r="14747" customFormat="false" ht="15" hidden="false" customHeight="false" outlineLevel="0" collapsed="false">
      <c r="A14747" s="3" t="s">
        <v>556</v>
      </c>
      <c r="C14747" s="33" t="n">
        <f aca="false">Assumptions!$Q$57</f>
        <v>0.3</v>
      </c>
    </row>
    <row r="14748" customFormat="false" ht="15" hidden="false" customHeight="false" outlineLevel="0" collapsed="false">
      <c r="A14748" s="3" t="s">
        <v>557</v>
      </c>
      <c r="C14748" s="33" t="n">
        <f aca="false">Assumptions!$Q$58</f>
        <v>0.033</v>
      </c>
    </row>
    <row r="14749" customFormat="false" ht="15" hidden="false" customHeight="false" outlineLevel="0" collapsed="false">
      <c r="A14749" s="3" t="s">
        <v>558</v>
      </c>
      <c r="C14749" s="33" t="n">
        <f aca="false">Assumptions!$Q$59</f>
        <v>0.021</v>
      </c>
    </row>
    <row r="14750" customFormat="false" ht="15" hidden="false" customHeight="false" outlineLevel="0" collapsed="false">
      <c r="A14750" s="3" t="s">
        <v>559</v>
      </c>
      <c r="C14750" s="33" t="n">
        <f aca="false">Assumptions!$Q$60</f>
        <v>0</v>
      </c>
    </row>
    <row r="14751" customFormat="false" ht="15" hidden="false" customHeight="false" outlineLevel="0" collapsed="false">
      <c r="A14751" s="3" t="s">
        <v>560</v>
      </c>
      <c r="C14751" s="33" t="n">
        <f aca="false">Assumptions!$Q$61</f>
        <v>0</v>
      </c>
    </row>
    <row r="14752" customFormat="false" ht="15" hidden="false" customHeight="false" outlineLevel="0" collapsed="false">
      <c r="A14752" s="3" t="s">
        <v>561</v>
      </c>
      <c r="C14752" s="33" t="n">
        <f aca="false">Assumptions!$Q$62</f>
        <v>0</v>
      </c>
    </row>
    <row r="14753" customFormat="false" ht="15" hidden="false" customHeight="false" outlineLevel="0" collapsed="false">
      <c r="A14753" s="3" t="s">
        <v>562</v>
      </c>
      <c r="C14753" s="33" t="n">
        <f aca="false">Assumptions!$Q$63</f>
        <v>0</v>
      </c>
    </row>
    <row r="14754" customFormat="false" ht="15" hidden="false" customHeight="false" outlineLevel="0" collapsed="false">
      <c r="A14754" s="3" t="s">
        <v>563</v>
      </c>
      <c r="C14754" s="33" t="n">
        <f aca="false">Assumptions!$Q$64</f>
        <v>0</v>
      </c>
    </row>
    <row r="14755" customFormat="false" ht="15" hidden="false" customHeight="false" outlineLevel="0" collapsed="false">
      <c r="A14755" s="3" t="s">
        <v>564</v>
      </c>
      <c r="C14755" s="33" t="n">
        <f aca="false">Assumptions!$Q$65</f>
        <v>0</v>
      </c>
    </row>
    <row r="14756" customFormat="false" ht="15" hidden="false" customHeight="false" outlineLevel="0" collapsed="false">
      <c r="A14756" s="3" t="s">
        <v>565</v>
      </c>
      <c r="C14756" s="33" t="n">
        <f aca="false">Assumptions!$Q$66</f>
        <v>0</v>
      </c>
    </row>
    <row r="14757" customFormat="false" ht="15" hidden="false" customHeight="false" outlineLevel="0" collapsed="false">
      <c r="A14757" s="24" t="s">
        <v>568</v>
      </c>
      <c r="B14757" s="25"/>
      <c r="C14757" s="25"/>
      <c r="D14757" s="25"/>
      <c r="E14757" s="25"/>
      <c r="F14757" s="25"/>
      <c r="G14757" s="25"/>
      <c r="H14757" s="25"/>
      <c r="I14757" s="25"/>
      <c r="J14757" s="25"/>
      <c r="K14757" s="25"/>
    </row>
    <row r="14758" customFormat="false" ht="15" hidden="false" customHeight="false" outlineLevel="0" collapsed="false">
      <c r="A14758" s="3" t="s">
        <v>556</v>
      </c>
      <c r="C14758" s="16" t="n">
        <f aca="false">IF(C14747&gt;0,MIN(C14725,C14747*$C$14723),0)</f>
        <v>405.0585</v>
      </c>
    </row>
    <row r="14759" customFormat="false" ht="15" hidden="false" customHeight="false" outlineLevel="0" collapsed="false">
      <c r="A14759" s="3" t="s">
        <v>557</v>
      </c>
      <c r="C14759" s="16" t="n">
        <f aca="false">IF(C14748&gt;0,MIN(C14726,C14748*$C$14723),0)</f>
        <v>91.30725</v>
      </c>
    </row>
    <row r="14760" customFormat="false" ht="15" hidden="false" customHeight="false" outlineLevel="0" collapsed="false">
      <c r="A14760" s="3" t="s">
        <v>558</v>
      </c>
      <c r="C14760" s="16" t="n">
        <f aca="false">IF(C14749&gt;0,MIN(C14727,C14749*$C$14723),0)</f>
        <v>58.3715961</v>
      </c>
    </row>
    <row r="14761" customFormat="false" ht="15" hidden="false" customHeight="false" outlineLevel="0" collapsed="false">
      <c r="A14761" s="3" t="s">
        <v>559</v>
      </c>
      <c r="C14761" s="16" t="n">
        <f aca="false">IF(C14750&gt;0,MIN(C14728,C14750*$C$14723),0)</f>
        <v>0</v>
      </c>
    </row>
    <row r="14762" customFormat="false" ht="15" hidden="false" customHeight="false" outlineLevel="0" collapsed="false">
      <c r="A14762" s="3" t="s">
        <v>560</v>
      </c>
      <c r="C14762" s="16" t="n">
        <f aca="false">IF(C14751&gt;0,MIN(C14729,C14751*$C$14723),0)</f>
        <v>0</v>
      </c>
    </row>
    <row r="14763" customFormat="false" ht="15" hidden="false" customHeight="false" outlineLevel="0" collapsed="false">
      <c r="A14763" s="3" t="s">
        <v>561</v>
      </c>
      <c r="C14763" s="16" t="n">
        <f aca="false">IF(C14752&gt;0,MIN(C14730,C14752*$C$14723),0)</f>
        <v>0</v>
      </c>
    </row>
    <row r="14764" customFormat="false" ht="15" hidden="false" customHeight="false" outlineLevel="0" collapsed="false">
      <c r="A14764" s="3" t="s">
        <v>562</v>
      </c>
      <c r="C14764" s="16" t="n">
        <f aca="false">IF(C14753&gt;0,MIN(C14731,C14753*$C$14723),0)</f>
        <v>0</v>
      </c>
    </row>
    <row r="14765" customFormat="false" ht="15" hidden="false" customHeight="false" outlineLevel="0" collapsed="false">
      <c r="A14765" s="3" t="s">
        <v>563</v>
      </c>
      <c r="C14765" s="16" t="n">
        <f aca="false">IF(C14754&gt;0,MIN(C14732,C14754*$C$14723),0)</f>
        <v>0</v>
      </c>
    </row>
    <row r="14766" customFormat="false" ht="15" hidden="false" customHeight="false" outlineLevel="0" collapsed="false">
      <c r="A14766" s="3" t="s">
        <v>564</v>
      </c>
      <c r="C14766" s="16" t="n">
        <f aca="false">IF(C14755&gt;0,MIN(C14733,C14755*$C$14723),0)</f>
        <v>0</v>
      </c>
    </row>
    <row r="14767" customFormat="false" ht="15" hidden="false" customHeight="false" outlineLevel="0" collapsed="false">
      <c r="A14767" s="3" t="s">
        <v>565</v>
      </c>
      <c r="C14767" s="16" t="n">
        <f aca="false">IF(C14756&gt;0,MIN(C14734,C14756*$C$14723),0)</f>
        <v>0</v>
      </c>
    </row>
    <row r="14768" customFormat="false" ht="15" hidden="false" customHeight="false" outlineLevel="0" collapsed="false">
      <c r="A14768" s="24" t="s">
        <v>569</v>
      </c>
      <c r="B14768" s="25"/>
      <c r="C14768" s="25"/>
      <c r="D14768" s="25"/>
      <c r="E14768" s="25"/>
      <c r="F14768" s="25"/>
      <c r="G14768" s="25"/>
      <c r="H14768" s="25"/>
      <c r="I14768" s="25"/>
      <c r="J14768" s="25"/>
      <c r="K14768" s="25"/>
    </row>
    <row r="14769" customFormat="false" ht="15" hidden="false" customHeight="false" outlineLevel="0" collapsed="false">
      <c r="A14769" s="3" t="s">
        <v>556</v>
      </c>
      <c r="C14769" s="16" t="n">
        <f aca="false">IF(C14747&gt;0,C14725-C14758,0)</f>
        <v>0</v>
      </c>
      <c r="G14769" s="21" t="n">
        <f aca="false">IF(AND(G14460=1,G14457=1),1,0)</f>
        <v>0</v>
      </c>
      <c r="H14769" s="21" t="n">
        <f aca="false">IF(G14769=1,1,IF(AND(H14460=1,H14457=1),1,0))</f>
        <v>0</v>
      </c>
      <c r="I14769" s="21" t="n">
        <f aca="false">IF(H14769=1,1,IF(AND(I14460=1,I14457=1),1,0))</f>
        <v>0</v>
      </c>
      <c r="J14769" s="21" t="n">
        <f aca="false">IF(I14769=1,1,IF(AND(J14460=1,J14457=1),1,0))</f>
        <v>0</v>
      </c>
      <c r="K14769" s="21" t="n">
        <f aca="false">IF(J14769=1,1,IF(AND(K14460=1,K14457=1),1,0))</f>
        <v>1</v>
      </c>
    </row>
    <row r="14770" customFormat="false" ht="15" hidden="false" customHeight="false" outlineLevel="0" collapsed="false">
      <c r="A14770" s="3" t="s">
        <v>557</v>
      </c>
      <c r="C14770" s="16" t="n">
        <f aca="false">IF(C14748&gt;0,C14726-C14759,0)</f>
        <v>0</v>
      </c>
      <c r="G14770" s="21" t="n">
        <f aca="false">IF(AND(G14473=1,G14457=1),1,0)</f>
        <v>0</v>
      </c>
      <c r="H14770" s="21" t="n">
        <f aca="false">IF(G14770=1,1,IF(AND(H14473=1,H14457=1),1,0))</f>
        <v>0</v>
      </c>
      <c r="I14770" s="21" t="n">
        <f aca="false">IF(H14770=1,1,IF(AND(I14473=1,I14457=1),1,0))</f>
        <v>0</v>
      </c>
      <c r="J14770" s="21" t="n">
        <f aca="false">IF(I14770=1,1,IF(AND(J14473=1,J14457=1),1,0))</f>
        <v>0</v>
      </c>
      <c r="K14770" s="21" t="n">
        <f aca="false">IF(J14770=1,1,IF(AND(K14473=1,K14457=1),1,0))</f>
        <v>0</v>
      </c>
    </row>
    <row r="14771" customFormat="false" ht="15" hidden="false" customHeight="false" outlineLevel="0" collapsed="false">
      <c r="A14771" s="3" t="s">
        <v>558</v>
      </c>
      <c r="C14771" s="16" t="n">
        <f aca="false">IF(C14749&gt;0,C14727-C14760,0)</f>
        <v>0</v>
      </c>
      <c r="G14771" s="21" t="n">
        <f aca="false">IF(AND(G14486=1,G14457=1),1,0)</f>
        <v>0</v>
      </c>
      <c r="H14771" s="21" t="n">
        <f aca="false">IF(G14771=1,1,IF(AND(H14486=1,H14457=1),1,0))</f>
        <v>0</v>
      </c>
      <c r="I14771" s="21" t="n">
        <f aca="false">IF(H14771=1,1,IF(AND(I14486=1,I14457=1),1,0))</f>
        <v>0</v>
      </c>
      <c r="J14771" s="21" t="n">
        <f aca="false">IF(I14771=1,1,IF(AND(J14486=1,J14457=1),1,0))</f>
        <v>0</v>
      </c>
      <c r="K14771" s="21" t="n">
        <f aca="false">IF(J14771=1,1,IF(AND(K14486=1,K14457=1),1,0))</f>
        <v>0</v>
      </c>
    </row>
    <row r="14772" customFormat="false" ht="15" hidden="false" customHeight="false" outlineLevel="0" collapsed="false">
      <c r="A14772" s="3" t="s">
        <v>559</v>
      </c>
      <c r="C14772" s="16" t="n">
        <f aca="false">IF(C14750&gt;0,C14728-C14761,0)</f>
        <v>0</v>
      </c>
      <c r="G14772" s="21" t="n">
        <f aca="false">IF(AND(G14499=1,G14457=1),1,0)</f>
        <v>1</v>
      </c>
      <c r="H14772" s="21" t="n">
        <f aca="false">IF(G14772=1,1,IF(AND(H14499=1,H14457=1),1,0))</f>
        <v>1</v>
      </c>
      <c r="I14772" s="21" t="n">
        <f aca="false">IF(H14772=1,1,IF(AND(I14499=1,I14457=1),1,0))</f>
        <v>1</v>
      </c>
      <c r="J14772" s="21" t="n">
        <f aca="false">IF(I14772=1,1,IF(AND(J14499=1,J14457=1),1,0))</f>
        <v>1</v>
      </c>
      <c r="K14772" s="21" t="n">
        <f aca="false">IF(J14772=1,1,IF(AND(K14499=1,K14457=1),1,0))</f>
        <v>1</v>
      </c>
    </row>
    <row r="14773" customFormat="false" ht="15" hidden="false" customHeight="false" outlineLevel="0" collapsed="false">
      <c r="A14773" s="3" t="s">
        <v>560</v>
      </c>
      <c r="C14773" s="16" t="n">
        <f aca="false">IF(C14751&gt;0,C14729-C14762,0)</f>
        <v>0</v>
      </c>
      <c r="G14773" s="21" t="n">
        <f aca="false">IF(AND(G14512=1,G14457=1),1,0)</f>
        <v>0</v>
      </c>
      <c r="H14773" s="21" t="n">
        <f aca="false">IF(G14773=1,1,IF(AND(H14512=1,H14457=1),1,0))</f>
        <v>1</v>
      </c>
      <c r="I14773" s="21" t="n">
        <f aca="false">IF(H14773=1,1,IF(AND(I14512=1,I14457=1),1,0))</f>
        <v>1</v>
      </c>
      <c r="J14773" s="21" t="n">
        <f aca="false">IF(I14773=1,1,IF(AND(J14512=1,J14457=1),1,0))</f>
        <v>1</v>
      </c>
      <c r="K14773" s="21" t="n">
        <f aca="false">IF(J14773=1,1,IF(AND(K14512=1,K14457=1),1,0))</f>
        <v>1</v>
      </c>
    </row>
    <row r="14774" customFormat="false" ht="15" hidden="false" customHeight="false" outlineLevel="0" collapsed="false">
      <c r="A14774" s="3" t="s">
        <v>561</v>
      </c>
      <c r="C14774" s="16" t="n">
        <f aca="false">IF(C14752&gt;0,C14730-C14763,0)</f>
        <v>0</v>
      </c>
      <c r="G14774" s="21" t="n">
        <f aca="false">IF(AND(G14525=1,G14457=1),1,0)</f>
        <v>0</v>
      </c>
      <c r="H14774" s="21" t="n">
        <f aca="false">IF(G14774=1,1,IF(AND(H14525=1,H14457=1),1,0))</f>
        <v>1</v>
      </c>
      <c r="I14774" s="21" t="n">
        <f aca="false">IF(H14774=1,1,IF(AND(I14525=1,I14457=1),1,0))</f>
        <v>1</v>
      </c>
      <c r="J14774" s="21" t="n">
        <f aca="false">IF(I14774=1,1,IF(AND(J14525=1,J14457=1),1,0))</f>
        <v>1</v>
      </c>
      <c r="K14774" s="21" t="n">
        <f aca="false">IF(J14774=1,1,IF(AND(K14525=1,K14457=1),1,0))</f>
        <v>1</v>
      </c>
    </row>
    <row r="14775" customFormat="false" ht="15" hidden="false" customHeight="false" outlineLevel="0" collapsed="false">
      <c r="A14775" s="3" t="s">
        <v>562</v>
      </c>
      <c r="C14775" s="16" t="n">
        <f aca="false">IF(C14753&gt;0,C14731-C14764,0)</f>
        <v>0</v>
      </c>
      <c r="G14775" s="21" t="n">
        <f aca="false">IF(AND(G14538=1,G14457=1),1,0)</f>
        <v>0</v>
      </c>
      <c r="H14775" s="21" t="n">
        <f aca="false">IF(G14775=1,1,IF(AND(H14538=1,H14457=1),1,0))</f>
        <v>0</v>
      </c>
      <c r="I14775" s="21" t="n">
        <f aca="false">IF(H14775=1,1,IF(AND(I14538=1,I14457=1),1,0))</f>
        <v>1</v>
      </c>
      <c r="J14775" s="21" t="n">
        <f aca="false">IF(I14775=1,1,IF(AND(J14538=1,J14457=1),1,0))</f>
        <v>1</v>
      </c>
      <c r="K14775" s="21" t="n">
        <f aca="false">IF(J14775=1,1,IF(AND(K14538=1,K14457=1),1,0))</f>
        <v>1</v>
      </c>
    </row>
    <row r="14776" customFormat="false" ht="15" hidden="false" customHeight="false" outlineLevel="0" collapsed="false">
      <c r="A14776" s="3" t="s">
        <v>563</v>
      </c>
      <c r="C14776" s="16" t="n">
        <f aca="false">IF(C14754&gt;0,C14732-C14765,0)</f>
        <v>0</v>
      </c>
      <c r="G14776" s="21" t="n">
        <f aca="false">IF(AND(G14551=1,G14457=1),1,0)</f>
        <v>0</v>
      </c>
      <c r="H14776" s="21" t="n">
        <f aca="false">IF(G14776=1,1,IF(AND(H14551=1,H14457=1),1,0))</f>
        <v>0</v>
      </c>
      <c r="I14776" s="21" t="n">
        <f aca="false">IF(H14776=1,1,IF(AND(I14551=1,I14457=1),1,0))</f>
        <v>0</v>
      </c>
      <c r="J14776" s="21" t="n">
        <f aca="false">IF(I14776=1,1,IF(AND(J14551=1,J14457=1),1,0))</f>
        <v>1</v>
      </c>
      <c r="K14776" s="21" t="n">
        <f aca="false">IF(J14776=1,1,IF(AND(K14551=1,K14457=1),1,0))</f>
        <v>1</v>
      </c>
    </row>
    <row r="14777" customFormat="false" ht="15" hidden="false" customHeight="false" outlineLevel="0" collapsed="false">
      <c r="A14777" s="3" t="s">
        <v>564</v>
      </c>
      <c r="C14777" s="16" t="n">
        <f aca="false">IF(C14755&gt;0,C14733-C14766,0)</f>
        <v>0</v>
      </c>
      <c r="G14777" s="21" t="n">
        <f aca="false">IF(AND(G14564=1,G14457=1),1,0)</f>
        <v>0</v>
      </c>
      <c r="H14777" s="21" t="n">
        <f aca="false">IF(G14777=1,1,IF(AND(H14564=1,H14457=1),1,0))</f>
        <v>0</v>
      </c>
      <c r="I14777" s="21" t="n">
        <f aca="false">IF(H14777=1,1,IF(AND(I14564=1,I14457=1),1,0))</f>
        <v>0</v>
      </c>
      <c r="J14777" s="21" t="n">
        <f aca="false">IF(I14777=1,1,IF(AND(J14564=1,J14457=1),1,0))</f>
        <v>0</v>
      </c>
      <c r="K14777" s="21" t="n">
        <f aca="false">IF(J14777=1,1,IF(AND(K14564=1,K14457=1),1,0))</f>
        <v>1</v>
      </c>
    </row>
    <row r="14778" customFormat="false" ht="15" hidden="false" customHeight="false" outlineLevel="0" collapsed="false">
      <c r="A14778" s="3" t="s">
        <v>565</v>
      </c>
      <c r="C14778" s="16" t="n">
        <f aca="false">IF(C14756&gt;0,C14734-C14767,0)</f>
        <v>0</v>
      </c>
      <c r="G14778" s="21" t="n">
        <f aca="false">IF(AND(G14577=1,G14457=1),1,0)</f>
        <v>0</v>
      </c>
      <c r="H14778" s="21" t="n">
        <f aca="false">IF(G14778=1,1,IF(AND(H14577=1,H14457=1),1,0))</f>
        <v>0</v>
      </c>
      <c r="I14778" s="21" t="n">
        <f aca="false">IF(H14778=1,1,IF(AND(I14577=1,I14457=1),1,0))</f>
        <v>0</v>
      </c>
      <c r="J14778" s="21" t="n">
        <f aca="false">IF(I14778=1,1,IF(AND(J14577=1,J14457=1),1,0))</f>
        <v>0</v>
      </c>
      <c r="K14778" s="21" t="n">
        <f aca="false">IF(J14778=1,1,IF(AND(K14577=1,K14457=1),1,0))</f>
        <v>0</v>
      </c>
    </row>
    <row r="14779" customFormat="false" ht="15" hidden="false" customHeight="false" outlineLevel="0" collapsed="false">
      <c r="A14779" s="24" t="s">
        <v>570</v>
      </c>
      <c r="B14779" s="25"/>
      <c r="C14779" s="25"/>
      <c r="D14779" s="25"/>
      <c r="E14779" s="25"/>
      <c r="F14779" s="25"/>
      <c r="G14779" s="25"/>
      <c r="H14779" s="25"/>
      <c r="I14779" s="25"/>
      <c r="J14779" s="25"/>
      <c r="K14779" s="25"/>
    </row>
    <row r="14780" customFormat="false" ht="15" hidden="false" customHeight="false" outlineLevel="0" collapsed="false">
      <c r="A14780" s="3" t="s">
        <v>556</v>
      </c>
      <c r="C14780" s="16" t="n">
        <f aca="false">IF(C14747&gt;0,C14769,C14725)</f>
        <v>0</v>
      </c>
    </row>
    <row r="14781" customFormat="false" ht="15" hidden="false" customHeight="false" outlineLevel="0" collapsed="false">
      <c r="A14781" s="3" t="s">
        <v>557</v>
      </c>
      <c r="C14781" s="16" t="n">
        <f aca="false">IF(C14748&gt;0,C14770,C14726)</f>
        <v>0</v>
      </c>
    </row>
    <row r="14782" customFormat="false" ht="15" hidden="false" customHeight="false" outlineLevel="0" collapsed="false">
      <c r="A14782" s="3" t="s">
        <v>558</v>
      </c>
      <c r="C14782" s="16" t="n">
        <f aca="false">IF(C14749&gt;0,C14771,C14727)</f>
        <v>0</v>
      </c>
    </row>
    <row r="14783" customFormat="false" ht="15" hidden="false" customHeight="false" outlineLevel="0" collapsed="false">
      <c r="A14783" s="3" t="s">
        <v>559</v>
      </c>
      <c r="C14783" s="16" t="n">
        <f aca="false">IF(C14750&gt;0,C14772,C14728)</f>
        <v>0</v>
      </c>
    </row>
    <row r="14784" customFormat="false" ht="15" hidden="false" customHeight="false" outlineLevel="0" collapsed="false">
      <c r="A14784" s="3" t="s">
        <v>560</v>
      </c>
      <c r="C14784" s="16" t="n">
        <f aca="false">IF(C14751&gt;0,C14773,C14729)</f>
        <v>454.44375</v>
      </c>
    </row>
    <row r="14785" customFormat="false" ht="15" hidden="false" customHeight="false" outlineLevel="0" collapsed="false">
      <c r="A14785" s="3" t="s">
        <v>561</v>
      </c>
      <c r="C14785" s="16" t="n">
        <f aca="false">IF(C14752&gt;0,C14774,C14730)</f>
        <v>357.2625</v>
      </c>
    </row>
    <row r="14786" customFormat="false" ht="15" hidden="false" customHeight="false" outlineLevel="0" collapsed="false">
      <c r="A14786" s="3" t="s">
        <v>562</v>
      </c>
      <c r="C14786" s="16" t="n">
        <f aca="false">IF(C14753&gt;0,C14775,C14731)</f>
        <v>562.203125</v>
      </c>
    </row>
    <row r="14787" customFormat="false" ht="15" hidden="false" customHeight="false" outlineLevel="0" collapsed="false">
      <c r="A14787" s="3" t="s">
        <v>563</v>
      </c>
      <c r="C14787" s="16" t="n">
        <f aca="false">IF(C14754&gt;0,C14776,C14732)</f>
        <v>353.98125</v>
      </c>
    </row>
    <row r="14788" customFormat="false" ht="15" hidden="false" customHeight="false" outlineLevel="0" collapsed="false">
      <c r="A14788" s="3" t="s">
        <v>564</v>
      </c>
      <c r="C14788" s="16" t="n">
        <f aca="false">IF(C14755&gt;0,C14777,C14733)</f>
        <v>304.59375</v>
      </c>
    </row>
    <row r="14789" customFormat="false" ht="15" hidden="false" customHeight="false" outlineLevel="0" collapsed="false">
      <c r="A14789" s="3" t="s">
        <v>565</v>
      </c>
      <c r="C14789" s="16" t="n">
        <f aca="false">IF(C14756&gt;0,C14778,C14734)</f>
        <v>79.67320025</v>
      </c>
    </row>
    <row r="14790" customFormat="false" ht="15" hidden="false" customHeight="false" outlineLevel="0" collapsed="false">
      <c r="A14790" s="24" t="s">
        <v>571</v>
      </c>
      <c r="B14790" s="25"/>
      <c r="C14790" s="25"/>
      <c r="D14790" s="25"/>
      <c r="E14790" s="25"/>
      <c r="F14790" s="25"/>
      <c r="G14790" s="25"/>
      <c r="H14790" s="25"/>
      <c r="I14790" s="25"/>
      <c r="J14790" s="25"/>
      <c r="K14790" s="25"/>
    </row>
    <row r="14791" customFormat="false" ht="15" hidden="false" customHeight="false" outlineLevel="0" collapsed="false">
      <c r="A14791" s="3" t="s">
        <v>556</v>
      </c>
      <c r="C14791" s="21" t="n">
        <f aca="false">IF(C14747&gt;0,Assumptions!$C$17,C14736)</f>
        <v>99</v>
      </c>
    </row>
    <row r="14792" customFormat="false" ht="15" hidden="false" customHeight="false" outlineLevel="0" collapsed="false">
      <c r="A14792" s="3" t="s">
        <v>557</v>
      </c>
      <c r="C14792" s="21" t="n">
        <f aca="false">IF(C14748&gt;0,Assumptions!$C$17,C14737)</f>
        <v>99</v>
      </c>
    </row>
    <row r="14793" customFormat="false" ht="15" hidden="false" customHeight="false" outlineLevel="0" collapsed="false">
      <c r="A14793" s="3" t="s">
        <v>558</v>
      </c>
      <c r="C14793" s="21" t="n">
        <f aca="false">IF(C14749&gt;0,Assumptions!$C$17,C14738)</f>
        <v>99</v>
      </c>
    </row>
    <row r="14794" customFormat="false" ht="15" hidden="false" customHeight="false" outlineLevel="0" collapsed="false">
      <c r="A14794" s="3" t="s">
        <v>559</v>
      </c>
      <c r="C14794" s="21" t="n">
        <f aca="false">IF(C14750&gt;0,Assumptions!$C$17,C14739)</f>
        <v>2</v>
      </c>
    </row>
    <row r="14795" customFormat="false" ht="15" hidden="false" customHeight="false" outlineLevel="0" collapsed="false">
      <c r="A14795" s="3" t="s">
        <v>560</v>
      </c>
      <c r="C14795" s="21" t="n">
        <f aca="false">IF(C14751&gt;0,Assumptions!$C$17,C14740)</f>
        <v>2</v>
      </c>
    </row>
    <row r="14796" customFormat="false" ht="15" hidden="false" customHeight="false" outlineLevel="0" collapsed="false">
      <c r="A14796" s="3" t="s">
        <v>561</v>
      </c>
      <c r="C14796" s="21" t="n">
        <f aca="false">IF(C14752&gt;0,Assumptions!$C$17,C14741)</f>
        <v>2</v>
      </c>
    </row>
    <row r="14797" customFormat="false" ht="15" hidden="false" customHeight="false" outlineLevel="0" collapsed="false">
      <c r="A14797" s="3" t="s">
        <v>562</v>
      </c>
      <c r="C14797" s="21" t="n">
        <f aca="false">IF(C14753&gt;0,Assumptions!$C$17,C14742)</f>
        <v>2</v>
      </c>
    </row>
    <row r="14798" customFormat="false" ht="15" hidden="false" customHeight="false" outlineLevel="0" collapsed="false">
      <c r="A14798" s="3" t="s">
        <v>563</v>
      </c>
      <c r="C14798" s="21" t="n">
        <f aca="false">IF(C14754&gt;0,Assumptions!$C$17,C14743)</f>
        <v>2</v>
      </c>
    </row>
    <row r="14799" customFormat="false" ht="15" hidden="false" customHeight="false" outlineLevel="0" collapsed="false">
      <c r="A14799" s="3" t="s">
        <v>564</v>
      </c>
      <c r="C14799" s="21" t="n">
        <f aca="false">IF(C14755&gt;0,Assumptions!$C$17,C14744)</f>
        <v>2</v>
      </c>
    </row>
    <row r="14800" customFormat="false" ht="15" hidden="false" customHeight="false" outlineLevel="0" collapsed="false">
      <c r="A14800" s="3" t="s">
        <v>565</v>
      </c>
      <c r="C14800" s="21" t="n">
        <f aca="false">IF(C14756&gt;0,Assumptions!$C$17,C14745)</f>
        <v>3</v>
      </c>
    </row>
    <row r="14801" customFormat="false" ht="15" hidden="false" customHeight="false" outlineLevel="0" collapsed="false">
      <c r="A14801" s="24" t="s">
        <v>572</v>
      </c>
      <c r="B14801" s="25"/>
      <c r="C14801" s="25"/>
      <c r="D14801" s="25"/>
      <c r="E14801" s="25"/>
      <c r="F14801" s="25"/>
      <c r="G14801" s="25"/>
      <c r="H14801" s="25"/>
      <c r="I14801" s="25"/>
      <c r="J14801" s="25"/>
      <c r="K14801" s="25"/>
    </row>
    <row r="14802" customFormat="false" ht="15" hidden="false" customHeight="false" outlineLevel="0" collapsed="false">
      <c r="A14802" s="3" t="s">
        <v>556</v>
      </c>
      <c r="C14802" s="16" t="n">
        <f aca="false">SUMPRODUCT(($C$14791:$C$14800&lt;C14791)*$C$14780:$C$14789)</f>
        <v>2112.15757525</v>
      </c>
    </row>
    <row r="14803" customFormat="false" ht="15" hidden="false" customHeight="false" outlineLevel="0" collapsed="false">
      <c r="A14803" s="3" t="s">
        <v>557</v>
      </c>
      <c r="C14803" s="16" t="n">
        <f aca="false">SUMPRODUCT(($C$14791:$C$14800&lt;C14792)*$C$14780:$C$14789)</f>
        <v>2112.15757525</v>
      </c>
    </row>
    <row r="14804" customFormat="false" ht="15" hidden="false" customHeight="false" outlineLevel="0" collapsed="false">
      <c r="A14804" s="3" t="s">
        <v>558</v>
      </c>
      <c r="C14804" s="16" t="n">
        <f aca="false">SUMPRODUCT(($C$14791:$C$14800&lt;C14793)*$C$14780:$C$14789)</f>
        <v>2112.15757525</v>
      </c>
    </row>
    <row r="14805" customFormat="false" ht="15" hidden="false" customHeight="false" outlineLevel="0" collapsed="false">
      <c r="A14805" s="3" t="s">
        <v>559</v>
      </c>
      <c r="C14805" s="16" t="n">
        <f aca="false">SUMPRODUCT(($C$14791:$C$14800&lt;C14794)*$C$14780:$C$14789)</f>
        <v>0</v>
      </c>
    </row>
    <row r="14806" customFormat="false" ht="15" hidden="false" customHeight="false" outlineLevel="0" collapsed="false">
      <c r="A14806" s="3" t="s">
        <v>560</v>
      </c>
      <c r="C14806" s="16" t="n">
        <f aca="false">SUMPRODUCT(($C$14791:$C$14800&lt;C14795)*$C$14780:$C$14789)</f>
        <v>0</v>
      </c>
    </row>
    <row r="14807" customFormat="false" ht="15" hidden="false" customHeight="false" outlineLevel="0" collapsed="false">
      <c r="A14807" s="3" t="s">
        <v>561</v>
      </c>
      <c r="C14807" s="16" t="n">
        <f aca="false">SUMPRODUCT(($C$14791:$C$14800&lt;C14796)*$C$14780:$C$14789)</f>
        <v>0</v>
      </c>
    </row>
    <row r="14808" customFormat="false" ht="15" hidden="false" customHeight="false" outlineLevel="0" collapsed="false">
      <c r="A14808" s="3" t="s">
        <v>562</v>
      </c>
      <c r="C14808" s="16" t="n">
        <f aca="false">SUMPRODUCT(($C$14791:$C$14800&lt;C14797)*$C$14780:$C$14789)</f>
        <v>0</v>
      </c>
    </row>
    <row r="14809" customFormat="false" ht="15" hidden="false" customHeight="false" outlineLevel="0" collapsed="false">
      <c r="A14809" s="3" t="s">
        <v>563</v>
      </c>
      <c r="C14809" s="16" t="n">
        <f aca="false">SUMPRODUCT(($C$14791:$C$14800&lt;C14798)*$C$14780:$C$14789)</f>
        <v>0</v>
      </c>
    </row>
    <row r="14810" customFormat="false" ht="15" hidden="false" customHeight="false" outlineLevel="0" collapsed="false">
      <c r="A14810" s="3" t="s">
        <v>564</v>
      </c>
      <c r="C14810" s="16" t="n">
        <f aca="false">SUMPRODUCT(($C$14791:$C$14800&lt;C14799)*$C$14780:$C$14789)</f>
        <v>0</v>
      </c>
    </row>
    <row r="14811" customFormat="false" ht="15" hidden="false" customHeight="false" outlineLevel="0" collapsed="false">
      <c r="A14811" s="3" t="s">
        <v>565</v>
      </c>
      <c r="C14811" s="16" t="n">
        <f aca="false">SUMPRODUCT(($C$14791:$C$14800&lt;C14800)*$C$14780:$C$14789)</f>
        <v>2032.484375</v>
      </c>
    </row>
    <row r="14812" customFormat="false" ht="15" hidden="false" customHeight="false" outlineLevel="0" collapsed="false">
      <c r="A14812" s="24" t="s">
        <v>573</v>
      </c>
      <c r="B14812" s="25"/>
      <c r="C14812" s="25"/>
      <c r="D14812" s="25"/>
      <c r="E14812" s="25"/>
      <c r="F14812" s="25"/>
      <c r="G14812" s="25"/>
      <c r="H14812" s="25"/>
      <c r="I14812" s="25"/>
      <c r="J14812" s="25"/>
      <c r="K14812" s="25"/>
    </row>
    <row r="14813" customFormat="false" ht="15" hidden="false" customHeight="false" outlineLevel="0" collapsed="false">
      <c r="A14813" s="3" t="s">
        <v>556</v>
      </c>
      <c r="C14813" s="16" t="n">
        <f aca="false">SUMPRODUCT(($C$14791:$C$14800=C14791)*$C$14780:$C$14789)</f>
        <v>0</v>
      </c>
    </row>
    <row r="14814" customFormat="false" ht="15" hidden="false" customHeight="false" outlineLevel="0" collapsed="false">
      <c r="A14814" s="3" t="s">
        <v>557</v>
      </c>
      <c r="C14814" s="16" t="n">
        <f aca="false">SUMPRODUCT(($C$14791:$C$14800=C14792)*$C$14780:$C$14789)</f>
        <v>0</v>
      </c>
    </row>
    <row r="14815" customFormat="false" ht="15" hidden="false" customHeight="false" outlineLevel="0" collapsed="false">
      <c r="A14815" s="3" t="s">
        <v>558</v>
      </c>
      <c r="C14815" s="16" t="n">
        <f aca="false">SUMPRODUCT(($C$14791:$C$14800=C14793)*$C$14780:$C$14789)</f>
        <v>0</v>
      </c>
    </row>
    <row r="14816" customFormat="false" ht="15" hidden="false" customHeight="false" outlineLevel="0" collapsed="false">
      <c r="A14816" s="3" t="s">
        <v>559</v>
      </c>
      <c r="C14816" s="16" t="n">
        <f aca="false">SUMPRODUCT(($C$14791:$C$14800=C14794)*$C$14780:$C$14789)</f>
        <v>2032.484375</v>
      </c>
    </row>
    <row r="14817" customFormat="false" ht="15" hidden="false" customHeight="false" outlineLevel="0" collapsed="false">
      <c r="A14817" s="3" t="s">
        <v>560</v>
      </c>
      <c r="C14817" s="16" t="n">
        <f aca="false">SUMPRODUCT(($C$14791:$C$14800=C14795)*$C$14780:$C$14789)</f>
        <v>2032.484375</v>
      </c>
    </row>
    <row r="14818" customFormat="false" ht="15" hidden="false" customHeight="false" outlineLevel="0" collapsed="false">
      <c r="A14818" s="3" t="s">
        <v>561</v>
      </c>
      <c r="C14818" s="16" t="n">
        <f aca="false">SUMPRODUCT(($C$14791:$C$14800=C14796)*$C$14780:$C$14789)</f>
        <v>2032.484375</v>
      </c>
    </row>
    <row r="14819" customFormat="false" ht="15" hidden="false" customHeight="false" outlineLevel="0" collapsed="false">
      <c r="A14819" s="3" t="s">
        <v>562</v>
      </c>
      <c r="C14819" s="16" t="n">
        <f aca="false">SUMPRODUCT(($C$14791:$C$14800=C14797)*$C$14780:$C$14789)</f>
        <v>2032.484375</v>
      </c>
    </row>
    <row r="14820" customFormat="false" ht="15" hidden="false" customHeight="false" outlineLevel="0" collapsed="false">
      <c r="A14820" s="3" t="s">
        <v>563</v>
      </c>
      <c r="C14820" s="16" t="n">
        <f aca="false">SUMPRODUCT(($C$14791:$C$14800=C14798)*$C$14780:$C$14789)</f>
        <v>2032.484375</v>
      </c>
    </row>
    <row r="14821" customFormat="false" ht="15" hidden="false" customHeight="false" outlineLevel="0" collapsed="false">
      <c r="A14821" s="3" t="s">
        <v>564</v>
      </c>
      <c r="C14821" s="16" t="n">
        <f aca="false">SUMPRODUCT(($C$14791:$C$14800=C14799)*$C$14780:$C$14789)</f>
        <v>2032.484375</v>
      </c>
    </row>
    <row r="14822" customFormat="false" ht="15" hidden="false" customHeight="false" outlineLevel="0" collapsed="false">
      <c r="A14822" s="3" t="s">
        <v>565</v>
      </c>
      <c r="C14822" s="16" t="n">
        <f aca="false">SUMPRODUCT(($C$14791:$C$14800=C14800)*$C$14780:$C$14789)</f>
        <v>79.67320025</v>
      </c>
    </row>
    <row r="14823" customFormat="false" ht="15" hidden="false" customHeight="false" outlineLevel="0" collapsed="false">
      <c r="A14823" s="24" t="s">
        <v>574</v>
      </c>
      <c r="B14823" s="25"/>
      <c r="C14823" s="25"/>
      <c r="D14823" s="25"/>
      <c r="E14823" s="25"/>
      <c r="F14823" s="25"/>
      <c r="G14823" s="25"/>
      <c r="H14823" s="25"/>
      <c r="I14823" s="25"/>
      <c r="J14823" s="25"/>
      <c r="K14823" s="25"/>
    </row>
    <row r="14824" customFormat="false" ht="15" hidden="false" customHeight="false" outlineLevel="0" collapsed="false">
      <c r="A14824" s="3" t="s">
        <v>556</v>
      </c>
      <c r="C14824" s="16" t="n">
        <f aca="false">IF(C14813=0,0,C14780/C14813*MAX(0,MIN(C14813,$C$14723-SUM($C$14758:$C$14767)-C14802)))</f>
        <v>0</v>
      </c>
    </row>
    <row r="14825" customFormat="false" ht="15" hidden="false" customHeight="false" outlineLevel="0" collapsed="false">
      <c r="A14825" s="3" t="s">
        <v>557</v>
      </c>
      <c r="C14825" s="16" t="n">
        <f aca="false">IF(C14814=0,0,C14781/C14814*MAX(0,MIN(C14814,$C$14723-SUM($C$14758:$C$14767)-C14803)))</f>
        <v>0</v>
      </c>
    </row>
    <row r="14826" customFormat="false" ht="15" hidden="false" customHeight="false" outlineLevel="0" collapsed="false">
      <c r="A14826" s="3" t="s">
        <v>558</v>
      </c>
      <c r="C14826" s="16" t="n">
        <f aca="false">IF(C14815=0,0,C14782/C14815*MAX(0,MIN(C14815,$C$14723-SUM($C$14758:$C$14767)-C14804)))</f>
        <v>0</v>
      </c>
    </row>
    <row r="14827" customFormat="false" ht="15" hidden="false" customHeight="false" outlineLevel="0" collapsed="false">
      <c r="A14827" s="3" t="s">
        <v>559</v>
      </c>
      <c r="C14827" s="16" t="n">
        <f aca="false">IF(C14816=0,0,C14783/C14816*MAX(0,MIN(C14816,$C$14723-SUM($C$14758:$C$14767)-C14805)))</f>
        <v>0</v>
      </c>
    </row>
    <row r="14828" customFormat="false" ht="15" hidden="false" customHeight="false" outlineLevel="0" collapsed="false">
      <c r="A14828" s="3" t="s">
        <v>560</v>
      </c>
      <c r="C14828" s="16" t="n">
        <f aca="false">IF(C14817=0,0,C14784/C14817*MAX(0,MIN(C14817,$C$14723-SUM($C$14758:$C$14767)-C14806)))</f>
        <v>454.44375</v>
      </c>
    </row>
    <row r="14829" customFormat="false" ht="15" hidden="false" customHeight="false" outlineLevel="0" collapsed="false">
      <c r="A14829" s="3" t="s">
        <v>561</v>
      </c>
      <c r="C14829" s="16" t="n">
        <f aca="false">IF(C14818=0,0,C14785/C14818*MAX(0,MIN(C14818,$C$14723-SUM($C$14758:$C$14767)-C14807)))</f>
        <v>357.2625</v>
      </c>
    </row>
    <row r="14830" customFormat="false" ht="15" hidden="false" customHeight="false" outlineLevel="0" collapsed="false">
      <c r="A14830" s="3" t="s">
        <v>562</v>
      </c>
      <c r="C14830" s="16" t="n">
        <f aca="false">IF(C14819=0,0,C14786/C14819*MAX(0,MIN(C14819,$C$14723-SUM($C$14758:$C$14767)-C14808)))</f>
        <v>562.203125</v>
      </c>
    </row>
    <row r="14831" customFormat="false" ht="15" hidden="false" customHeight="false" outlineLevel="0" collapsed="false">
      <c r="A14831" s="3" t="s">
        <v>563</v>
      </c>
      <c r="C14831" s="16" t="n">
        <f aca="false">IF(C14820=0,0,C14787/C14820*MAX(0,MIN(C14820,$C$14723-SUM($C$14758:$C$14767)-C14809)))</f>
        <v>353.98125</v>
      </c>
    </row>
    <row r="14832" customFormat="false" ht="15" hidden="false" customHeight="false" outlineLevel="0" collapsed="false">
      <c r="A14832" s="3" t="s">
        <v>564</v>
      </c>
      <c r="C14832" s="16" t="n">
        <f aca="false">IF(C14821=0,0,C14788/C14821*MAX(0,MIN(C14821,$C$14723-SUM($C$14758:$C$14767)-C14810)))</f>
        <v>304.59375</v>
      </c>
    </row>
    <row r="14833" customFormat="false" ht="15" hidden="false" customHeight="false" outlineLevel="0" collapsed="false">
      <c r="A14833" s="3" t="s">
        <v>565</v>
      </c>
      <c r="C14833" s="16" t="n">
        <f aca="false">IF(C14822=0,0,C14789/C14822*MAX(0,MIN(C14822,$C$14723-SUM($C$14758:$C$14767)-C14811)))</f>
        <v>79.67320025</v>
      </c>
    </row>
    <row r="14834" customFormat="false" ht="15" hidden="false" customHeight="false" outlineLevel="0" collapsed="false">
      <c r="A14834" s="24" t="s">
        <v>575</v>
      </c>
      <c r="B14834" s="25"/>
      <c r="C14834" s="25"/>
      <c r="D14834" s="25"/>
      <c r="E14834" s="25"/>
      <c r="F14834" s="25"/>
      <c r="G14834" s="25"/>
      <c r="H14834" s="25"/>
      <c r="I14834" s="25"/>
      <c r="J14834" s="25"/>
      <c r="K14834" s="25"/>
    </row>
    <row r="14835" customFormat="false" ht="15" hidden="false" customHeight="false" outlineLevel="0" collapsed="false">
      <c r="A14835" s="2" t="s">
        <v>556</v>
      </c>
      <c r="C14835" s="17" t="n">
        <f aca="false">C14758+C14824</f>
        <v>405.0585</v>
      </c>
    </row>
    <row r="14836" customFormat="false" ht="15" hidden="false" customHeight="false" outlineLevel="0" collapsed="false">
      <c r="A14836" s="2" t="s">
        <v>557</v>
      </c>
      <c r="C14836" s="17" t="n">
        <f aca="false">C14759+C14825</f>
        <v>91.30725</v>
      </c>
    </row>
    <row r="14837" customFormat="false" ht="15" hidden="false" customHeight="false" outlineLevel="0" collapsed="false">
      <c r="A14837" s="2" t="s">
        <v>558</v>
      </c>
      <c r="C14837" s="17" t="n">
        <f aca="false">C14760+C14826</f>
        <v>58.3715961</v>
      </c>
    </row>
    <row r="14838" customFormat="false" ht="15" hidden="false" customHeight="false" outlineLevel="0" collapsed="false">
      <c r="A14838" s="2" t="s">
        <v>559</v>
      </c>
      <c r="C14838" s="17" t="n">
        <f aca="false">C14761+C14827</f>
        <v>0</v>
      </c>
    </row>
    <row r="14839" customFormat="false" ht="15" hidden="false" customHeight="false" outlineLevel="0" collapsed="false">
      <c r="A14839" s="2" t="s">
        <v>560</v>
      </c>
      <c r="C14839" s="17" t="n">
        <f aca="false">C14762+C14828</f>
        <v>454.44375</v>
      </c>
    </row>
    <row r="14840" customFormat="false" ht="15" hidden="false" customHeight="false" outlineLevel="0" collapsed="false">
      <c r="A14840" s="2" t="s">
        <v>561</v>
      </c>
      <c r="C14840" s="17" t="n">
        <f aca="false">C14763+C14829</f>
        <v>357.2625</v>
      </c>
    </row>
    <row r="14841" customFormat="false" ht="15" hidden="false" customHeight="false" outlineLevel="0" collapsed="false">
      <c r="A14841" s="2" t="s">
        <v>562</v>
      </c>
      <c r="C14841" s="17" t="n">
        <f aca="false">C14764+C14830</f>
        <v>562.203125</v>
      </c>
    </row>
    <row r="14842" customFormat="false" ht="15" hidden="false" customHeight="false" outlineLevel="0" collapsed="false">
      <c r="A14842" s="2" t="s">
        <v>563</v>
      </c>
      <c r="C14842" s="17" t="n">
        <f aca="false">C14765+C14831</f>
        <v>353.98125</v>
      </c>
    </row>
    <row r="14843" customFormat="false" ht="15" hidden="false" customHeight="false" outlineLevel="0" collapsed="false">
      <c r="A14843" s="2" t="s">
        <v>564</v>
      </c>
      <c r="C14843" s="17" t="n">
        <f aca="false">C14766+C14832</f>
        <v>304.59375</v>
      </c>
    </row>
    <row r="14844" customFormat="false" ht="15" hidden="false" customHeight="false" outlineLevel="0" collapsed="false">
      <c r="A14844" s="2" t="s">
        <v>565</v>
      </c>
      <c r="C14844" s="17" t="n">
        <f aca="false">C14767+C14833</f>
        <v>79.67320025</v>
      </c>
    </row>
    <row r="14845" customFormat="false" ht="15" hidden="false" customHeight="false" outlineLevel="0" collapsed="false">
      <c r="A14845" s="24" t="s">
        <v>576</v>
      </c>
      <c r="B14845" s="25"/>
      <c r="C14845" s="25"/>
      <c r="D14845" s="25"/>
      <c r="E14845" s="25"/>
      <c r="F14845" s="25"/>
      <c r="G14845" s="25"/>
      <c r="H14845" s="25"/>
      <c r="I14845" s="25"/>
      <c r="J14845" s="25"/>
      <c r="K14845" s="25"/>
    </row>
    <row r="14846" customFormat="false" ht="15" hidden="false" customHeight="false" outlineLevel="0" collapsed="false">
      <c r="A14846" s="3" t="s">
        <v>556</v>
      </c>
      <c r="C14846" s="22" t="n">
        <f aca="false">IF(C14725=0,1,C14835/C14725)</f>
        <v>1</v>
      </c>
    </row>
    <row r="14847" customFormat="false" ht="15" hidden="false" customHeight="false" outlineLevel="0" collapsed="false">
      <c r="A14847" s="3" t="s">
        <v>557</v>
      </c>
      <c r="C14847" s="22" t="n">
        <f aca="false">IF(C14726=0,1,C14836/C14726)</f>
        <v>1</v>
      </c>
    </row>
    <row r="14848" customFormat="false" ht="15" hidden="false" customHeight="false" outlineLevel="0" collapsed="false">
      <c r="A14848" s="3" t="s">
        <v>558</v>
      </c>
      <c r="C14848" s="22" t="n">
        <f aca="false">IF(C14727=0,1,C14837/C14727)</f>
        <v>1</v>
      </c>
    </row>
    <row r="14849" customFormat="false" ht="15" hidden="false" customHeight="false" outlineLevel="0" collapsed="false">
      <c r="A14849" s="3" t="s">
        <v>559</v>
      </c>
      <c r="C14849" s="22" t="n">
        <f aca="false">IF(C14728=0,1,C14838/C14728)</f>
        <v>1</v>
      </c>
    </row>
    <row r="14850" customFormat="false" ht="15" hidden="false" customHeight="false" outlineLevel="0" collapsed="false">
      <c r="A14850" s="3" t="s">
        <v>560</v>
      </c>
      <c r="C14850" s="22" t="n">
        <f aca="false">IF(C14729=0,1,C14839/C14729)</f>
        <v>1</v>
      </c>
    </row>
    <row r="14851" customFormat="false" ht="15" hidden="false" customHeight="false" outlineLevel="0" collapsed="false">
      <c r="A14851" s="3" t="s">
        <v>561</v>
      </c>
      <c r="C14851" s="22" t="n">
        <f aca="false">IF(C14730=0,1,C14840/C14730)</f>
        <v>1</v>
      </c>
    </row>
    <row r="14852" customFormat="false" ht="15" hidden="false" customHeight="false" outlineLevel="0" collapsed="false">
      <c r="A14852" s="3" t="s">
        <v>562</v>
      </c>
      <c r="C14852" s="22" t="n">
        <f aca="false">IF(C14731=0,1,C14841/C14731)</f>
        <v>1</v>
      </c>
    </row>
    <row r="14853" customFormat="false" ht="15" hidden="false" customHeight="false" outlineLevel="0" collapsed="false">
      <c r="A14853" s="3" t="s">
        <v>563</v>
      </c>
      <c r="C14853" s="22" t="n">
        <f aca="false">IF(C14732=0,1,C14842/C14732)</f>
        <v>1</v>
      </c>
    </row>
    <row r="14854" customFormat="false" ht="15" hidden="false" customHeight="false" outlineLevel="0" collapsed="false">
      <c r="A14854" s="3" t="s">
        <v>564</v>
      </c>
      <c r="C14854" s="22" t="n">
        <f aca="false">IF(C14733=0,1,C14843/C14733)</f>
        <v>1</v>
      </c>
    </row>
    <row r="14855" customFormat="false" ht="15" hidden="false" customHeight="false" outlineLevel="0" collapsed="false">
      <c r="A14855" s="3" t="s">
        <v>565</v>
      </c>
      <c r="C14855" s="22" t="n">
        <f aca="false">IF(C14734=0,1,C14844/C14734)</f>
        <v>1</v>
      </c>
    </row>
    <row r="14856" customFormat="false" ht="15" hidden="false" customHeight="false" outlineLevel="0" collapsed="false">
      <c r="A14856" s="24" t="s">
        <v>577</v>
      </c>
      <c r="B14856" s="25"/>
      <c r="C14856" s="25"/>
      <c r="D14856" s="25"/>
      <c r="E14856" s="25"/>
      <c r="F14856" s="25"/>
      <c r="G14856" s="25"/>
      <c r="H14856" s="25"/>
      <c r="I14856" s="25"/>
      <c r="J14856" s="25"/>
      <c r="K14856" s="25"/>
    </row>
    <row r="14857" customFormat="false" ht="15" hidden="false" customHeight="false" outlineLevel="0" collapsed="false">
      <c r="A14857" s="3" t="s">
        <v>556</v>
      </c>
      <c r="C14857" s="16" t="n">
        <f aca="false">C14725-C14835</f>
        <v>0</v>
      </c>
    </row>
    <row r="14858" customFormat="false" ht="15" hidden="false" customHeight="false" outlineLevel="0" collapsed="false">
      <c r="A14858" s="3" t="s">
        <v>557</v>
      </c>
      <c r="C14858" s="16" t="n">
        <f aca="false">C14726-C14836</f>
        <v>0</v>
      </c>
    </row>
    <row r="14859" customFormat="false" ht="15" hidden="false" customHeight="false" outlineLevel="0" collapsed="false">
      <c r="A14859" s="3" t="s">
        <v>558</v>
      </c>
      <c r="C14859" s="16" t="n">
        <f aca="false">C14727-C14837</f>
        <v>0</v>
      </c>
    </row>
    <row r="14860" customFormat="false" ht="15" hidden="false" customHeight="false" outlineLevel="0" collapsed="false">
      <c r="A14860" s="3" t="s">
        <v>559</v>
      </c>
      <c r="C14860" s="16" t="n">
        <f aca="false">C14728-C14838</f>
        <v>0</v>
      </c>
    </row>
    <row r="14861" customFormat="false" ht="15" hidden="false" customHeight="false" outlineLevel="0" collapsed="false">
      <c r="A14861" s="3" t="s">
        <v>560</v>
      </c>
      <c r="C14861" s="16" t="n">
        <f aca="false">C14729-C14839</f>
        <v>0</v>
      </c>
    </row>
    <row r="14862" customFormat="false" ht="15" hidden="false" customHeight="false" outlineLevel="0" collapsed="false">
      <c r="A14862" s="3" t="s">
        <v>561</v>
      </c>
      <c r="C14862" s="16" t="n">
        <f aca="false">C14730-C14840</f>
        <v>0</v>
      </c>
    </row>
    <row r="14863" customFormat="false" ht="15" hidden="false" customHeight="false" outlineLevel="0" collapsed="false">
      <c r="A14863" s="3" t="s">
        <v>562</v>
      </c>
      <c r="C14863" s="16" t="n">
        <f aca="false">C14731-C14841</f>
        <v>0</v>
      </c>
    </row>
    <row r="14864" customFormat="false" ht="15" hidden="false" customHeight="false" outlineLevel="0" collapsed="false">
      <c r="A14864" s="3" t="s">
        <v>563</v>
      </c>
      <c r="C14864" s="16" t="n">
        <f aca="false">C14732-C14842</f>
        <v>0</v>
      </c>
    </row>
    <row r="14865" customFormat="false" ht="15" hidden="false" customHeight="false" outlineLevel="0" collapsed="false">
      <c r="A14865" s="3" t="s">
        <v>564</v>
      </c>
      <c r="C14865" s="16" t="n">
        <f aca="false">C14733-C14843</f>
        <v>0</v>
      </c>
    </row>
    <row r="14866" customFormat="false" ht="15" hidden="false" customHeight="false" outlineLevel="0" collapsed="false">
      <c r="A14866" s="3" t="s">
        <v>565</v>
      </c>
      <c r="C14866" s="16" t="n">
        <f aca="false">C14734-C14844</f>
        <v>0</v>
      </c>
    </row>
    <row r="14867" customFormat="false" ht="15" hidden="false" customHeight="false" outlineLevel="0" collapsed="false">
      <c r="A14867" s="24" t="s">
        <v>578</v>
      </c>
      <c r="B14867" s="25"/>
      <c r="C14867" s="25"/>
      <c r="D14867" s="25"/>
      <c r="E14867" s="25"/>
      <c r="F14867" s="25"/>
      <c r="G14867" s="25"/>
      <c r="H14867" s="25"/>
      <c r="I14867" s="25"/>
      <c r="J14867" s="25"/>
      <c r="K14867" s="25"/>
    </row>
    <row r="14868" customFormat="false" ht="15" hidden="false" customHeight="false" outlineLevel="0" collapsed="false">
      <c r="A14868" s="3" t="s">
        <v>556</v>
      </c>
      <c r="C14868" s="22" t="n">
        <f aca="false">IF(C14725=0,0,C14857/C14725)</f>
        <v>0</v>
      </c>
    </row>
    <row r="14869" customFormat="false" ht="15" hidden="false" customHeight="false" outlineLevel="0" collapsed="false">
      <c r="A14869" s="3" t="s">
        <v>557</v>
      </c>
      <c r="C14869" s="22" t="n">
        <f aca="false">IF(C14726=0,0,C14858/C14726)</f>
        <v>0</v>
      </c>
    </row>
    <row r="14870" customFormat="false" ht="15" hidden="false" customHeight="false" outlineLevel="0" collapsed="false">
      <c r="A14870" s="3" t="s">
        <v>558</v>
      </c>
      <c r="C14870" s="22" t="n">
        <f aca="false">IF(C14727=0,0,C14859/C14727)</f>
        <v>0</v>
      </c>
    </row>
    <row r="14871" customFormat="false" ht="15" hidden="false" customHeight="false" outlineLevel="0" collapsed="false">
      <c r="A14871" s="3" t="s">
        <v>559</v>
      </c>
      <c r="C14871" s="22" t="n">
        <f aca="false">IF(C14728=0,0,C14860/C14728)</f>
        <v>0</v>
      </c>
    </row>
    <row r="14872" customFormat="false" ht="15" hidden="false" customHeight="false" outlineLevel="0" collapsed="false">
      <c r="A14872" s="3" t="s">
        <v>560</v>
      </c>
      <c r="C14872" s="22" t="n">
        <f aca="false">IF(C14729=0,0,C14861/C14729)</f>
        <v>0</v>
      </c>
    </row>
    <row r="14873" customFormat="false" ht="15" hidden="false" customHeight="false" outlineLevel="0" collapsed="false">
      <c r="A14873" s="3" t="s">
        <v>561</v>
      </c>
      <c r="C14873" s="22" t="n">
        <f aca="false">IF(C14730=0,0,C14862/C14730)</f>
        <v>0</v>
      </c>
    </row>
    <row r="14874" customFormat="false" ht="15" hidden="false" customHeight="false" outlineLevel="0" collapsed="false">
      <c r="A14874" s="3" t="s">
        <v>562</v>
      </c>
      <c r="C14874" s="22" t="n">
        <f aca="false">IF(C14731=0,0,C14863/C14731)</f>
        <v>0</v>
      </c>
    </row>
    <row r="14875" customFormat="false" ht="15" hidden="false" customHeight="false" outlineLevel="0" collapsed="false">
      <c r="A14875" s="3" t="s">
        <v>563</v>
      </c>
      <c r="C14875" s="22" t="n">
        <f aca="false">IF(C14732=0,0,C14864/C14732)</f>
        <v>0</v>
      </c>
    </row>
    <row r="14876" customFormat="false" ht="15" hidden="false" customHeight="false" outlineLevel="0" collapsed="false">
      <c r="A14876" s="3" t="s">
        <v>564</v>
      </c>
      <c r="C14876" s="22" t="n">
        <f aca="false">IF(C14733=0,0,C14865/C14733)</f>
        <v>0</v>
      </c>
    </row>
    <row r="14877" customFormat="false" ht="15" hidden="false" customHeight="false" outlineLevel="0" collapsed="false">
      <c r="A14877" s="3" t="s">
        <v>565</v>
      </c>
      <c r="C14877" s="22" t="n">
        <f aca="false">IF(C14734=0,0,C14866/C14734)</f>
        <v>0</v>
      </c>
    </row>
    <row r="14878" customFormat="false" ht="15" hidden="false" customHeight="false" outlineLevel="0" collapsed="false">
      <c r="A14878" s="2" t="s">
        <v>579</v>
      </c>
      <c r="C14878" s="17" t="n">
        <f aca="false">MAX(0,$C$14723-SUM($C$14758:$C$14767)-SUM($C$14780:$C$14789))</f>
        <v>1173.431627706</v>
      </c>
    </row>
    <row r="14879" customFormat="false" ht="15" hidden="false" customHeight="false" outlineLevel="0" collapsed="false">
      <c r="A14879" s="3" t="s">
        <v>580</v>
      </c>
      <c r="C14879" s="16" t="n">
        <f aca="false">SUM($C$14835:$C$14844)+C14878+C14722-C14721</f>
        <v>0</v>
      </c>
    </row>
    <row r="14881" customFormat="false" ht="15" hidden="false" customHeight="false" outlineLevel="0" collapsed="false">
      <c r="A14881" s="24" t="s">
        <v>583</v>
      </c>
      <c r="B14881" s="25"/>
      <c r="C14881" s="25"/>
      <c r="D14881" s="25"/>
      <c r="E14881" s="25"/>
      <c r="F14881" s="25"/>
      <c r="G14881" s="25"/>
      <c r="H14881" s="25"/>
      <c r="I14881" s="25"/>
      <c r="J14881" s="25"/>
      <c r="K14881" s="25"/>
    </row>
    <row r="14882" customFormat="false" ht="15" hidden="false" customHeight="false" outlineLevel="0" collapsed="false">
      <c r="A14882" s="3" t="s">
        <v>584</v>
      </c>
      <c r="C14882" s="27" t="n">
        <f aca="false">Assumptions!$C$34</f>
        <v>1</v>
      </c>
    </row>
    <row r="14883" customFormat="false" ht="15" hidden="false" customHeight="false" outlineLevel="0" collapsed="false">
      <c r="A14883" s="3" t="s">
        <v>585</v>
      </c>
      <c r="C14883" s="29" t="n">
        <f aca="false">Assumptions!$C$35</f>
        <v>100</v>
      </c>
    </row>
    <row r="14884" customFormat="false" ht="15" hidden="false" customHeight="false" outlineLevel="0" collapsed="false">
      <c r="A14884" s="3" t="s">
        <v>586</v>
      </c>
      <c r="C14884" s="40" t="n">
        <f aca="false">Assumptions!$C$36</f>
        <v>98</v>
      </c>
    </row>
    <row r="14885" customFormat="false" ht="15" hidden="false" customHeight="false" outlineLevel="0" collapsed="false">
      <c r="A14885" s="3" t="s">
        <v>587</v>
      </c>
      <c r="C14885" s="16" t="n">
        <f aca="false">C14883*C14884/100*(1+Assumptions!$C$37)</f>
        <v>98.49</v>
      </c>
    </row>
    <row r="14886" customFormat="false" ht="15" hidden="false" customHeight="false" outlineLevel="0" collapsed="false">
      <c r="A14886" s="3" t="s">
        <v>588</v>
      </c>
      <c r="C14886" s="27" t="n">
        <f aca="false">Assumptions!$C$38</f>
        <v>3</v>
      </c>
    </row>
    <row r="14887" customFormat="false" ht="15" hidden="false" customHeight="false" outlineLevel="0" collapsed="false">
      <c r="A14887" s="3" t="s">
        <v>589</v>
      </c>
      <c r="C14887" s="21" t="n">
        <f aca="false">IF(C14714=1,SUMPRODUCT($G$14650:$K$14650,$G$14424:$K$14424),0)</f>
        <v>0</v>
      </c>
    </row>
    <row r="14888" customFormat="false" ht="15" hidden="false" customHeight="false" outlineLevel="0" collapsed="false">
      <c r="A14888" s="3" t="s">
        <v>590</v>
      </c>
      <c r="C14888" s="22" t="n">
        <f aca="false">IFERROR(C14883/CHOOSE(C14882,SUMPRODUCT($G$14713:$K$14713,$G$14470:$K$14470),SUMPRODUCT($G$14713:$K$14713,$G$14483:$K$14483),SUMPRODUCT($G$14713:$K$14713,$G$14496:$K$14496),SUMPRODUCT($G$14713:$K$14713,$G$14509:$K$14509),SUMPRODUCT($G$14713:$K$14713,$G$14522:$K$14522),SUMPRODUCT($G$14713:$K$14713,$G$14535:$K$14535),SUMPRODUCT($G$14713:$K$14713,$G$14548:$K$14548),SUMPRODUCT($G$14713:$K$14713,$G$14561:$K$14561),SUMPRODUCT($G$14713:$K$14713,$G$14574:$K$14574),SUMPRODUCT($G$14713:$K$14713,$G$14587:$K$14587)),0)</f>
        <v>0.252525252525253</v>
      </c>
    </row>
    <row r="14889" customFormat="false" ht="15" hidden="false" customHeight="false" outlineLevel="0" collapsed="false">
      <c r="A14889" s="3" t="s">
        <v>591</v>
      </c>
      <c r="C14889" s="16" t="n">
        <f aca="false">CHOOSE(C14882,C14835,C14836,C14837,C14838,C14839,C14840,C14841,C14842,C14843,C14844)*C14888</f>
        <v>102.2875</v>
      </c>
    </row>
    <row r="14890" customFormat="false" ht="15" hidden="false" customHeight="false" outlineLevel="0" collapsed="false">
      <c r="A14890" s="3" t="s">
        <v>592</v>
      </c>
      <c r="C14890" s="22" t="n">
        <f aca="false">CHOOSE(C14882,C14846,C14847,C14848,C14849,C14850,C14851,C14852,C14853,C14854,C14855)</f>
        <v>1</v>
      </c>
    </row>
    <row r="14891" customFormat="false" ht="15" hidden="false" customHeight="false" outlineLevel="0" collapsed="false">
      <c r="A14891" s="3" t="s">
        <v>593</v>
      </c>
      <c r="C14891" s="21" t="n">
        <f aca="false">IF(C14714=1,C14887,C14886)</f>
        <v>3</v>
      </c>
    </row>
    <row r="14892" customFormat="false" ht="15" hidden="false" customHeight="false" outlineLevel="0" collapsed="false">
      <c r="A14892" s="3" t="s">
        <v>594</v>
      </c>
      <c r="C14892" s="35" t="n">
        <f aca="false">CHOOSE($C$14416,Assumptions!$C$91,Assumptions!$C$110,Assumptions!$C$129)</f>
        <v>100</v>
      </c>
    </row>
    <row r="14893" customFormat="false" ht="15" hidden="false" customHeight="false" outlineLevel="0" collapsed="false">
      <c r="A14893" s="3" t="s">
        <v>595</v>
      </c>
      <c r="C14893" s="16" t="n">
        <f aca="false">INDEX($G$14433:$K$14433,C14886)*CHOOSE($C$14416,Assumptions!$C$90,Assumptions!$C$109,Assumptions!$C$128)+MAX(0,INDEX($G$14647:$K$14647,C14886))</f>
        <v>4481.0281157376</v>
      </c>
    </row>
    <row r="14894" customFormat="false" ht="15" hidden="false" customHeight="false" outlineLevel="0" collapsed="false">
      <c r="A14894" s="24" t="s">
        <v>596</v>
      </c>
      <c r="B14894" s="25"/>
      <c r="C14894" s="25"/>
      <c r="D14894" s="25"/>
      <c r="E14894" s="25"/>
      <c r="F14894" s="25"/>
      <c r="G14894" s="25"/>
      <c r="H14894" s="25"/>
      <c r="I14894" s="25"/>
      <c r="J14894" s="25"/>
      <c r="K14894" s="25"/>
    </row>
    <row r="14895" customFormat="false" ht="15" hidden="false" customHeight="false" outlineLevel="0" collapsed="false">
      <c r="A14895" s="3" t="s">
        <v>556</v>
      </c>
      <c r="C14895" s="16" t="n">
        <f aca="false">INDEX($G$14470:$K$14470,C14886)</f>
        <v>388</v>
      </c>
    </row>
    <row r="14896" customFormat="false" ht="15" hidden="false" customHeight="false" outlineLevel="0" collapsed="false">
      <c r="A14896" s="3" t="s">
        <v>557</v>
      </c>
      <c r="C14896" s="16" t="n">
        <f aca="false">INDEX($G$14483:$K$14483,C14886)</f>
        <v>90</v>
      </c>
    </row>
    <row r="14897" customFormat="false" ht="15" hidden="false" customHeight="false" outlineLevel="0" collapsed="false">
      <c r="A14897" s="3" t="s">
        <v>558</v>
      </c>
      <c r="C14897" s="16" t="n">
        <f aca="false">INDEX($G$14496:$K$14496,C14886)</f>
        <v>57.324</v>
      </c>
    </row>
    <row r="14898" customFormat="false" ht="15" hidden="false" customHeight="false" outlineLevel="0" collapsed="false">
      <c r="A14898" s="3" t="s">
        <v>559</v>
      </c>
      <c r="C14898" s="16" t="n">
        <f aca="false">INDEX($G$14509:$K$14509,C14886)</f>
        <v>30.1245782245759</v>
      </c>
    </row>
    <row r="14899" customFormat="false" ht="15" hidden="false" customHeight="false" outlineLevel="0" collapsed="false">
      <c r="A14899" s="3" t="s">
        <v>560</v>
      </c>
      <c r="C14899" s="16" t="n">
        <f aca="false">INDEX($G$14522:$K$14522,C14886)</f>
        <v>376.6153391168</v>
      </c>
    </row>
    <row r="14900" customFormat="false" ht="15" hidden="false" customHeight="false" outlineLevel="0" collapsed="false">
      <c r="A14900" s="3" t="s">
        <v>561</v>
      </c>
      <c r="C14900" s="16" t="n">
        <f aca="false">INDEX($G$14535:$K$14535,C14886)</f>
        <v>350</v>
      </c>
    </row>
    <row r="14901" customFormat="false" ht="15" hidden="false" customHeight="false" outlineLevel="0" collapsed="false">
      <c r="A14901" s="3" t="s">
        <v>562</v>
      </c>
      <c r="C14901" s="16" t="n">
        <f aca="false">INDEX($G$14548:$K$14548,C14886)</f>
        <v>550</v>
      </c>
    </row>
    <row r="14902" customFormat="false" ht="15" hidden="false" customHeight="false" outlineLevel="0" collapsed="false">
      <c r="A14902" s="3" t="s">
        <v>563</v>
      </c>
      <c r="C14902" s="16" t="n">
        <f aca="false">INDEX($G$14561:$K$14561,C14886)</f>
        <v>350</v>
      </c>
    </row>
    <row r="14903" customFormat="false" ht="15" hidden="false" customHeight="false" outlineLevel="0" collapsed="false">
      <c r="A14903" s="3" t="s">
        <v>564</v>
      </c>
      <c r="C14903" s="16" t="n">
        <f aca="false">INDEX($G$14574:$K$14574,C14886)</f>
        <v>300</v>
      </c>
    </row>
    <row r="14904" customFormat="false" ht="15" hidden="false" customHeight="false" outlineLevel="0" collapsed="false">
      <c r="A14904" s="3" t="s">
        <v>565</v>
      </c>
      <c r="C14904" s="16" t="n">
        <f aca="false">INDEX($G$14587:$K$14587,C14886)</f>
        <v>78.61</v>
      </c>
    </row>
    <row r="14905" customFormat="false" ht="15" hidden="false" customHeight="false" outlineLevel="0" collapsed="false">
      <c r="A14905" s="24" t="s">
        <v>566</v>
      </c>
      <c r="B14905" s="25"/>
      <c r="C14905" s="25"/>
      <c r="D14905" s="25"/>
      <c r="E14905" s="25"/>
      <c r="F14905" s="25"/>
      <c r="G14905" s="25"/>
      <c r="H14905" s="25"/>
      <c r="I14905" s="25"/>
      <c r="J14905" s="25"/>
      <c r="K14905" s="25"/>
    </row>
    <row r="14906" customFormat="false" ht="15" hidden="false" customHeight="false" outlineLevel="0" collapsed="false">
      <c r="A14906" s="3" t="s">
        <v>556</v>
      </c>
      <c r="C14906" s="27" t="n">
        <f aca="false">Assumptions!$M$57</f>
        <v>1</v>
      </c>
    </row>
    <row r="14907" customFormat="false" ht="15" hidden="false" customHeight="false" outlineLevel="0" collapsed="false">
      <c r="A14907" s="3" t="s">
        <v>557</v>
      </c>
      <c r="C14907" s="27" t="n">
        <f aca="false">Assumptions!$M$58</f>
        <v>1</v>
      </c>
    </row>
    <row r="14908" customFormat="false" ht="15" hidden="false" customHeight="false" outlineLevel="0" collapsed="false">
      <c r="A14908" s="3" t="s">
        <v>558</v>
      </c>
      <c r="C14908" s="27" t="n">
        <f aca="false">Assumptions!$M$59</f>
        <v>1</v>
      </c>
    </row>
    <row r="14909" customFormat="false" ht="15" hidden="false" customHeight="false" outlineLevel="0" collapsed="false">
      <c r="A14909" s="3" t="s">
        <v>559</v>
      </c>
      <c r="C14909" s="27" t="n">
        <f aca="false">Assumptions!$M$60</f>
        <v>2</v>
      </c>
    </row>
    <row r="14910" customFormat="false" ht="15" hidden="false" customHeight="false" outlineLevel="0" collapsed="false">
      <c r="A14910" s="3" t="s">
        <v>560</v>
      </c>
      <c r="C14910" s="27" t="n">
        <f aca="false">Assumptions!$M$61</f>
        <v>2</v>
      </c>
    </row>
    <row r="14911" customFormat="false" ht="15" hidden="false" customHeight="false" outlineLevel="0" collapsed="false">
      <c r="A14911" s="3" t="s">
        <v>561</v>
      </c>
      <c r="C14911" s="27" t="n">
        <f aca="false">Assumptions!$M$62</f>
        <v>2</v>
      </c>
    </row>
    <row r="14912" customFormat="false" ht="15" hidden="false" customHeight="false" outlineLevel="0" collapsed="false">
      <c r="A14912" s="3" t="s">
        <v>562</v>
      </c>
      <c r="C14912" s="27" t="n">
        <f aca="false">Assumptions!$M$63</f>
        <v>2</v>
      </c>
    </row>
    <row r="14913" customFormat="false" ht="15" hidden="false" customHeight="false" outlineLevel="0" collapsed="false">
      <c r="A14913" s="3" t="s">
        <v>563</v>
      </c>
      <c r="C14913" s="27" t="n">
        <f aca="false">Assumptions!$M$64</f>
        <v>2</v>
      </c>
    </row>
    <row r="14914" customFormat="false" ht="15" hidden="false" customHeight="false" outlineLevel="0" collapsed="false">
      <c r="A14914" s="3" t="s">
        <v>564</v>
      </c>
      <c r="C14914" s="27" t="n">
        <f aca="false">Assumptions!$M$65</f>
        <v>2</v>
      </c>
    </row>
    <row r="14915" customFormat="false" ht="15" hidden="false" customHeight="false" outlineLevel="0" collapsed="false">
      <c r="A14915" s="3" t="s">
        <v>565</v>
      </c>
      <c r="C14915" s="27" t="n">
        <f aca="false">Assumptions!$M$66</f>
        <v>3</v>
      </c>
    </row>
    <row r="14916" customFormat="false" ht="15" hidden="false" customHeight="false" outlineLevel="0" collapsed="false">
      <c r="A14916" s="24" t="s">
        <v>567</v>
      </c>
      <c r="B14916" s="25"/>
      <c r="C14916" s="25"/>
      <c r="D14916" s="25"/>
      <c r="E14916" s="25"/>
      <c r="F14916" s="25"/>
      <c r="G14916" s="25"/>
      <c r="H14916" s="25"/>
      <c r="I14916" s="25"/>
      <c r="J14916" s="25"/>
      <c r="K14916" s="25"/>
    </row>
    <row r="14917" customFormat="false" ht="15" hidden="false" customHeight="false" outlineLevel="0" collapsed="false">
      <c r="A14917" s="3" t="s">
        <v>556</v>
      </c>
      <c r="C14917" s="33" t="n">
        <f aca="false">Assumptions!$Q$57</f>
        <v>0.3</v>
      </c>
    </row>
    <row r="14918" customFormat="false" ht="15" hidden="false" customHeight="false" outlineLevel="0" collapsed="false">
      <c r="A14918" s="3" t="s">
        <v>557</v>
      </c>
      <c r="C14918" s="33" t="n">
        <f aca="false">Assumptions!$Q$58</f>
        <v>0.033</v>
      </c>
    </row>
    <row r="14919" customFormat="false" ht="15" hidden="false" customHeight="false" outlineLevel="0" collapsed="false">
      <c r="A14919" s="3" t="s">
        <v>558</v>
      </c>
      <c r="C14919" s="33" t="n">
        <f aca="false">Assumptions!$Q$59</f>
        <v>0.021</v>
      </c>
    </row>
    <row r="14920" customFormat="false" ht="15" hidden="false" customHeight="false" outlineLevel="0" collapsed="false">
      <c r="A14920" s="3" t="s">
        <v>559</v>
      </c>
      <c r="C14920" s="33" t="n">
        <f aca="false">Assumptions!$Q$60</f>
        <v>0</v>
      </c>
    </row>
    <row r="14921" customFormat="false" ht="15" hidden="false" customHeight="false" outlineLevel="0" collapsed="false">
      <c r="A14921" s="3" t="s">
        <v>560</v>
      </c>
      <c r="C14921" s="33" t="n">
        <f aca="false">Assumptions!$Q$61</f>
        <v>0</v>
      </c>
    </row>
    <row r="14922" customFormat="false" ht="15" hidden="false" customHeight="false" outlineLevel="0" collapsed="false">
      <c r="A14922" s="3" t="s">
        <v>561</v>
      </c>
      <c r="C14922" s="33" t="n">
        <f aca="false">Assumptions!$Q$62</f>
        <v>0</v>
      </c>
    </row>
    <row r="14923" customFormat="false" ht="15" hidden="false" customHeight="false" outlineLevel="0" collapsed="false">
      <c r="A14923" s="3" t="s">
        <v>562</v>
      </c>
      <c r="C14923" s="33" t="n">
        <f aca="false">Assumptions!$Q$63</f>
        <v>0</v>
      </c>
    </row>
    <row r="14924" customFormat="false" ht="15" hidden="false" customHeight="false" outlineLevel="0" collapsed="false">
      <c r="A14924" s="3" t="s">
        <v>563</v>
      </c>
      <c r="C14924" s="33" t="n">
        <f aca="false">Assumptions!$Q$64</f>
        <v>0</v>
      </c>
    </row>
    <row r="14925" customFormat="false" ht="15" hidden="false" customHeight="false" outlineLevel="0" collapsed="false">
      <c r="A14925" s="3" t="s">
        <v>564</v>
      </c>
      <c r="C14925" s="33" t="n">
        <f aca="false">Assumptions!$Q$65</f>
        <v>0</v>
      </c>
    </row>
    <row r="14926" customFormat="false" ht="15" hidden="false" customHeight="false" outlineLevel="0" collapsed="false">
      <c r="A14926" s="3" t="s">
        <v>565</v>
      </c>
      <c r="C14926" s="33" t="n">
        <f aca="false">Assumptions!$Q$66</f>
        <v>0</v>
      </c>
    </row>
    <row r="14927" customFormat="false" ht="15" hidden="false" customHeight="false" outlineLevel="0" collapsed="false">
      <c r="A14927" s="24" t="s">
        <v>568</v>
      </c>
      <c r="B14927" s="25"/>
      <c r="C14927" s="25"/>
      <c r="D14927" s="25"/>
      <c r="E14927" s="25"/>
      <c r="F14927" s="25"/>
      <c r="G14927" s="25"/>
      <c r="H14927" s="25"/>
      <c r="I14927" s="25"/>
      <c r="J14927" s="25"/>
      <c r="K14927" s="25"/>
    </row>
    <row r="14928" customFormat="false" ht="15" hidden="false" customHeight="false" outlineLevel="0" collapsed="false">
      <c r="A14928" s="3" t="s">
        <v>556</v>
      </c>
      <c r="C14928" s="16" t="n">
        <f aca="false">IF(C14917&gt;0,MIN(C14895,C14917*$C$14893),0)</f>
        <v>388</v>
      </c>
    </row>
    <row r="14929" customFormat="false" ht="15" hidden="false" customHeight="false" outlineLevel="0" collapsed="false">
      <c r="A14929" s="3" t="s">
        <v>557</v>
      </c>
      <c r="C14929" s="16" t="n">
        <f aca="false">IF(C14918&gt;0,MIN(C14896,C14918*$C$14893),0)</f>
        <v>90</v>
      </c>
    </row>
    <row r="14930" customFormat="false" ht="15" hidden="false" customHeight="false" outlineLevel="0" collapsed="false">
      <c r="A14930" s="3" t="s">
        <v>558</v>
      </c>
      <c r="C14930" s="16" t="n">
        <f aca="false">IF(C14919&gt;0,MIN(C14897,C14919*$C$14893),0)</f>
        <v>57.324</v>
      </c>
    </row>
    <row r="14931" customFormat="false" ht="15" hidden="false" customHeight="false" outlineLevel="0" collapsed="false">
      <c r="A14931" s="3" t="s">
        <v>559</v>
      </c>
      <c r="C14931" s="16" t="n">
        <f aca="false">IF(C14920&gt;0,MIN(C14898,C14920*$C$14893),0)</f>
        <v>0</v>
      </c>
    </row>
    <row r="14932" customFormat="false" ht="15" hidden="false" customHeight="false" outlineLevel="0" collapsed="false">
      <c r="A14932" s="3" t="s">
        <v>560</v>
      </c>
      <c r="C14932" s="16" t="n">
        <f aca="false">IF(C14921&gt;0,MIN(C14899,C14921*$C$14893),0)</f>
        <v>0</v>
      </c>
    </row>
    <row r="14933" customFormat="false" ht="15" hidden="false" customHeight="false" outlineLevel="0" collapsed="false">
      <c r="A14933" s="3" t="s">
        <v>561</v>
      </c>
      <c r="C14933" s="16" t="n">
        <f aca="false">IF(C14922&gt;0,MIN(C14900,C14922*$C$14893),0)</f>
        <v>0</v>
      </c>
    </row>
    <row r="14934" customFormat="false" ht="15" hidden="false" customHeight="false" outlineLevel="0" collapsed="false">
      <c r="A14934" s="3" t="s">
        <v>562</v>
      </c>
      <c r="C14934" s="16" t="n">
        <f aca="false">IF(C14923&gt;0,MIN(C14901,C14923*$C$14893),0)</f>
        <v>0</v>
      </c>
    </row>
    <row r="14935" customFormat="false" ht="15" hidden="false" customHeight="false" outlineLevel="0" collapsed="false">
      <c r="A14935" s="3" t="s">
        <v>563</v>
      </c>
      <c r="C14935" s="16" t="n">
        <f aca="false">IF(C14924&gt;0,MIN(C14902,C14924*$C$14893),0)</f>
        <v>0</v>
      </c>
    </row>
    <row r="14936" customFormat="false" ht="15" hidden="false" customHeight="false" outlineLevel="0" collapsed="false">
      <c r="A14936" s="3" t="s">
        <v>564</v>
      </c>
      <c r="C14936" s="16" t="n">
        <f aca="false">IF(C14925&gt;0,MIN(C14903,C14925*$C$14893),0)</f>
        <v>0</v>
      </c>
    </row>
    <row r="14937" customFormat="false" ht="15" hidden="false" customHeight="false" outlineLevel="0" collapsed="false">
      <c r="A14937" s="3" t="s">
        <v>565</v>
      </c>
      <c r="C14937" s="16" t="n">
        <f aca="false">IF(C14926&gt;0,MIN(C14904,C14926*$C$14893),0)</f>
        <v>0</v>
      </c>
    </row>
    <row r="14938" customFormat="false" ht="15" hidden="false" customHeight="false" outlineLevel="0" collapsed="false">
      <c r="A14938" s="24" t="s">
        <v>569</v>
      </c>
      <c r="B14938" s="25"/>
      <c r="C14938" s="25"/>
      <c r="D14938" s="25"/>
      <c r="E14938" s="25"/>
      <c r="F14938" s="25"/>
      <c r="G14938" s="25"/>
      <c r="H14938" s="25"/>
      <c r="I14938" s="25"/>
      <c r="J14938" s="25"/>
      <c r="K14938" s="25"/>
    </row>
    <row r="14939" customFormat="false" ht="15" hidden="false" customHeight="false" outlineLevel="0" collapsed="false">
      <c r="A14939" s="3" t="s">
        <v>556</v>
      </c>
      <c r="C14939" s="16" t="n">
        <f aca="false">IF(C14917&gt;0,C14895-C14928,0)</f>
        <v>0</v>
      </c>
    </row>
    <row r="14940" customFormat="false" ht="15" hidden="false" customHeight="false" outlineLevel="0" collapsed="false">
      <c r="A14940" s="3" t="s">
        <v>557</v>
      </c>
      <c r="C14940" s="16" t="n">
        <f aca="false">IF(C14918&gt;0,C14896-C14929,0)</f>
        <v>0</v>
      </c>
    </row>
    <row r="14941" customFormat="false" ht="15" hidden="false" customHeight="false" outlineLevel="0" collapsed="false">
      <c r="A14941" s="3" t="s">
        <v>558</v>
      </c>
      <c r="C14941" s="16" t="n">
        <f aca="false">IF(C14919&gt;0,C14897-C14930,0)</f>
        <v>0</v>
      </c>
    </row>
    <row r="14942" customFormat="false" ht="15" hidden="false" customHeight="false" outlineLevel="0" collapsed="false">
      <c r="A14942" s="3" t="s">
        <v>559</v>
      </c>
      <c r="C14942" s="16" t="n">
        <f aca="false">IF(C14920&gt;0,C14898-C14931,0)</f>
        <v>0</v>
      </c>
    </row>
    <row r="14943" customFormat="false" ht="15" hidden="false" customHeight="false" outlineLevel="0" collapsed="false">
      <c r="A14943" s="3" t="s">
        <v>560</v>
      </c>
      <c r="C14943" s="16" t="n">
        <f aca="false">IF(C14921&gt;0,C14899-C14932,0)</f>
        <v>0</v>
      </c>
    </row>
    <row r="14944" customFormat="false" ht="15" hidden="false" customHeight="false" outlineLevel="0" collapsed="false">
      <c r="A14944" s="3" t="s">
        <v>561</v>
      </c>
      <c r="C14944" s="16" t="n">
        <f aca="false">IF(C14922&gt;0,C14900-C14933,0)</f>
        <v>0</v>
      </c>
    </row>
    <row r="14945" customFormat="false" ht="15" hidden="false" customHeight="false" outlineLevel="0" collapsed="false">
      <c r="A14945" s="3" t="s">
        <v>562</v>
      </c>
      <c r="C14945" s="16" t="n">
        <f aca="false">IF(C14923&gt;0,C14901-C14934,0)</f>
        <v>0</v>
      </c>
    </row>
    <row r="14946" customFormat="false" ht="15" hidden="false" customHeight="false" outlineLevel="0" collapsed="false">
      <c r="A14946" s="3" t="s">
        <v>563</v>
      </c>
      <c r="C14946" s="16" t="n">
        <f aca="false">IF(C14924&gt;0,C14902-C14935,0)</f>
        <v>0</v>
      </c>
    </row>
    <row r="14947" customFormat="false" ht="15" hidden="false" customHeight="false" outlineLevel="0" collapsed="false">
      <c r="A14947" s="3" t="s">
        <v>564</v>
      </c>
      <c r="C14947" s="16" t="n">
        <f aca="false">IF(C14925&gt;0,C14903-C14936,0)</f>
        <v>0</v>
      </c>
    </row>
    <row r="14948" customFormat="false" ht="15" hidden="false" customHeight="false" outlineLevel="0" collapsed="false">
      <c r="A14948" s="3" t="s">
        <v>565</v>
      </c>
      <c r="C14948" s="16" t="n">
        <f aca="false">IF(C14926&gt;0,C14904-C14937,0)</f>
        <v>0</v>
      </c>
    </row>
    <row r="14949" customFormat="false" ht="15" hidden="false" customHeight="false" outlineLevel="0" collapsed="false">
      <c r="A14949" s="24" t="s">
        <v>570</v>
      </c>
      <c r="B14949" s="25"/>
      <c r="C14949" s="25"/>
      <c r="D14949" s="25"/>
      <c r="E14949" s="25"/>
      <c r="F14949" s="25"/>
      <c r="G14949" s="25"/>
      <c r="H14949" s="25"/>
      <c r="I14949" s="25"/>
      <c r="J14949" s="25"/>
      <c r="K14949" s="25"/>
    </row>
    <row r="14950" customFormat="false" ht="15" hidden="false" customHeight="false" outlineLevel="0" collapsed="false">
      <c r="A14950" s="3" t="s">
        <v>556</v>
      </c>
      <c r="C14950" s="16" t="n">
        <f aca="false">IF(C14917&gt;0,C14939,C14895)</f>
        <v>0</v>
      </c>
    </row>
    <row r="14951" customFormat="false" ht="15" hidden="false" customHeight="false" outlineLevel="0" collapsed="false">
      <c r="A14951" s="3" t="s">
        <v>557</v>
      </c>
      <c r="C14951" s="16" t="n">
        <f aca="false">IF(C14918&gt;0,C14940,C14896)</f>
        <v>0</v>
      </c>
    </row>
    <row r="14952" customFormat="false" ht="15" hidden="false" customHeight="false" outlineLevel="0" collapsed="false">
      <c r="A14952" s="3" t="s">
        <v>558</v>
      </c>
      <c r="C14952" s="16" t="n">
        <f aca="false">IF(C14919&gt;0,C14941,C14897)</f>
        <v>0</v>
      </c>
    </row>
    <row r="14953" customFormat="false" ht="15" hidden="false" customHeight="false" outlineLevel="0" collapsed="false">
      <c r="A14953" s="3" t="s">
        <v>559</v>
      </c>
      <c r="C14953" s="16" t="n">
        <f aca="false">IF(C14920&gt;0,C14942,C14898)</f>
        <v>30.1245782245759</v>
      </c>
    </row>
    <row r="14954" customFormat="false" ht="15" hidden="false" customHeight="false" outlineLevel="0" collapsed="false">
      <c r="A14954" s="3" t="s">
        <v>560</v>
      </c>
      <c r="C14954" s="16" t="n">
        <f aca="false">IF(C14921&gt;0,C14943,C14899)</f>
        <v>376.6153391168</v>
      </c>
    </row>
    <row r="14955" customFormat="false" ht="15" hidden="false" customHeight="false" outlineLevel="0" collapsed="false">
      <c r="A14955" s="3" t="s">
        <v>561</v>
      </c>
      <c r="C14955" s="16" t="n">
        <f aca="false">IF(C14922&gt;0,C14944,C14900)</f>
        <v>350</v>
      </c>
    </row>
    <row r="14956" customFormat="false" ht="15" hidden="false" customHeight="false" outlineLevel="0" collapsed="false">
      <c r="A14956" s="3" t="s">
        <v>562</v>
      </c>
      <c r="C14956" s="16" t="n">
        <f aca="false">IF(C14923&gt;0,C14945,C14901)</f>
        <v>550</v>
      </c>
    </row>
    <row r="14957" customFormat="false" ht="15" hidden="false" customHeight="false" outlineLevel="0" collapsed="false">
      <c r="A14957" s="3" t="s">
        <v>563</v>
      </c>
      <c r="C14957" s="16" t="n">
        <f aca="false">IF(C14924&gt;0,C14946,C14902)</f>
        <v>350</v>
      </c>
    </row>
    <row r="14958" customFormat="false" ht="15" hidden="false" customHeight="false" outlineLevel="0" collapsed="false">
      <c r="A14958" s="3" t="s">
        <v>564</v>
      </c>
      <c r="C14958" s="16" t="n">
        <f aca="false">IF(C14925&gt;0,C14947,C14903)</f>
        <v>300</v>
      </c>
    </row>
    <row r="14959" customFormat="false" ht="15" hidden="false" customHeight="false" outlineLevel="0" collapsed="false">
      <c r="A14959" s="3" t="s">
        <v>565</v>
      </c>
      <c r="C14959" s="16" t="n">
        <f aca="false">IF(C14926&gt;0,C14948,C14904)</f>
        <v>78.61</v>
      </c>
    </row>
    <row r="14960" customFormat="false" ht="15" hidden="false" customHeight="false" outlineLevel="0" collapsed="false">
      <c r="A14960" s="24" t="s">
        <v>571</v>
      </c>
      <c r="B14960" s="25"/>
      <c r="C14960" s="25"/>
      <c r="D14960" s="25"/>
      <c r="E14960" s="25"/>
      <c r="F14960" s="25"/>
      <c r="G14960" s="25"/>
      <c r="H14960" s="25"/>
      <c r="I14960" s="25"/>
      <c r="J14960" s="25"/>
      <c r="K14960" s="25"/>
    </row>
    <row r="14961" customFormat="false" ht="15" hidden="false" customHeight="false" outlineLevel="0" collapsed="false">
      <c r="A14961" s="3" t="s">
        <v>556</v>
      </c>
      <c r="C14961" s="21" t="n">
        <f aca="false">IF(C14917&gt;0,Assumptions!$C$17,C14906)</f>
        <v>99</v>
      </c>
    </row>
    <row r="14962" customFormat="false" ht="15" hidden="false" customHeight="false" outlineLevel="0" collapsed="false">
      <c r="A14962" s="3" t="s">
        <v>557</v>
      </c>
      <c r="C14962" s="21" t="n">
        <f aca="false">IF(C14918&gt;0,Assumptions!$C$17,C14907)</f>
        <v>99</v>
      </c>
    </row>
    <row r="14963" customFormat="false" ht="15" hidden="false" customHeight="false" outlineLevel="0" collapsed="false">
      <c r="A14963" s="3" t="s">
        <v>558</v>
      </c>
      <c r="C14963" s="21" t="n">
        <f aca="false">IF(C14919&gt;0,Assumptions!$C$17,C14908)</f>
        <v>99</v>
      </c>
    </row>
    <row r="14964" customFormat="false" ht="15" hidden="false" customHeight="false" outlineLevel="0" collapsed="false">
      <c r="A14964" s="3" t="s">
        <v>559</v>
      </c>
      <c r="C14964" s="21" t="n">
        <f aca="false">IF(C14920&gt;0,Assumptions!$C$17,C14909)</f>
        <v>2</v>
      </c>
    </row>
    <row r="14965" customFormat="false" ht="15" hidden="false" customHeight="false" outlineLevel="0" collapsed="false">
      <c r="A14965" s="3" t="s">
        <v>560</v>
      </c>
      <c r="C14965" s="21" t="n">
        <f aca="false">IF(C14921&gt;0,Assumptions!$C$17,C14910)</f>
        <v>2</v>
      </c>
    </row>
    <row r="14966" customFormat="false" ht="15" hidden="false" customHeight="false" outlineLevel="0" collapsed="false">
      <c r="A14966" s="3" t="s">
        <v>561</v>
      </c>
      <c r="C14966" s="21" t="n">
        <f aca="false">IF(C14922&gt;0,Assumptions!$C$17,C14911)</f>
        <v>2</v>
      </c>
    </row>
    <row r="14967" customFormat="false" ht="15" hidden="false" customHeight="false" outlineLevel="0" collapsed="false">
      <c r="A14967" s="3" t="s">
        <v>562</v>
      </c>
      <c r="C14967" s="21" t="n">
        <f aca="false">IF(C14923&gt;0,Assumptions!$C$17,C14912)</f>
        <v>2</v>
      </c>
    </row>
    <row r="14968" customFormat="false" ht="15" hidden="false" customHeight="false" outlineLevel="0" collapsed="false">
      <c r="A14968" s="3" t="s">
        <v>563</v>
      </c>
      <c r="C14968" s="21" t="n">
        <f aca="false">IF(C14924&gt;0,Assumptions!$C$17,C14913)</f>
        <v>2</v>
      </c>
    </row>
    <row r="14969" customFormat="false" ht="15" hidden="false" customHeight="false" outlineLevel="0" collapsed="false">
      <c r="A14969" s="3" t="s">
        <v>564</v>
      </c>
      <c r="C14969" s="21" t="n">
        <f aca="false">IF(C14925&gt;0,Assumptions!$C$17,C14914)</f>
        <v>2</v>
      </c>
    </row>
    <row r="14970" customFormat="false" ht="15" hidden="false" customHeight="false" outlineLevel="0" collapsed="false">
      <c r="A14970" s="3" t="s">
        <v>565</v>
      </c>
      <c r="C14970" s="21" t="n">
        <f aca="false">IF(C14926&gt;0,Assumptions!$C$17,C14915)</f>
        <v>3</v>
      </c>
    </row>
    <row r="14971" customFormat="false" ht="15" hidden="false" customHeight="false" outlineLevel="0" collapsed="false">
      <c r="A14971" s="24" t="s">
        <v>572</v>
      </c>
      <c r="B14971" s="25"/>
      <c r="C14971" s="25"/>
      <c r="D14971" s="25"/>
      <c r="E14971" s="25"/>
      <c r="F14971" s="25"/>
      <c r="G14971" s="25"/>
      <c r="H14971" s="25"/>
      <c r="I14971" s="25"/>
      <c r="J14971" s="25"/>
      <c r="K14971" s="25"/>
    </row>
    <row r="14972" customFormat="false" ht="15" hidden="false" customHeight="false" outlineLevel="0" collapsed="false">
      <c r="A14972" s="3" t="s">
        <v>556</v>
      </c>
      <c r="C14972" s="16" t="n">
        <f aca="false">SUMPRODUCT(($C$14961:$C$14970&lt;C14961)*$C$14950:$C$14959)</f>
        <v>2035.34991734138</v>
      </c>
    </row>
    <row r="14973" customFormat="false" ht="15" hidden="false" customHeight="false" outlineLevel="0" collapsed="false">
      <c r="A14973" s="3" t="s">
        <v>557</v>
      </c>
      <c r="C14973" s="16" t="n">
        <f aca="false">SUMPRODUCT(($C$14961:$C$14970&lt;C14962)*$C$14950:$C$14959)</f>
        <v>2035.34991734138</v>
      </c>
    </row>
    <row r="14974" customFormat="false" ht="15" hidden="false" customHeight="false" outlineLevel="0" collapsed="false">
      <c r="A14974" s="3" t="s">
        <v>558</v>
      </c>
      <c r="C14974" s="16" t="n">
        <f aca="false">SUMPRODUCT(($C$14961:$C$14970&lt;C14963)*$C$14950:$C$14959)</f>
        <v>2035.34991734138</v>
      </c>
    </row>
    <row r="14975" customFormat="false" ht="15" hidden="false" customHeight="false" outlineLevel="0" collapsed="false">
      <c r="A14975" s="3" t="s">
        <v>559</v>
      </c>
      <c r="C14975" s="16" t="n">
        <f aca="false">SUMPRODUCT(($C$14961:$C$14970&lt;C14964)*$C$14950:$C$14959)</f>
        <v>0</v>
      </c>
    </row>
    <row r="14976" customFormat="false" ht="15" hidden="false" customHeight="false" outlineLevel="0" collapsed="false">
      <c r="A14976" s="3" t="s">
        <v>560</v>
      </c>
      <c r="C14976" s="16" t="n">
        <f aca="false">SUMPRODUCT(($C$14961:$C$14970&lt;C14965)*$C$14950:$C$14959)</f>
        <v>0</v>
      </c>
    </row>
    <row r="14977" customFormat="false" ht="15" hidden="false" customHeight="false" outlineLevel="0" collapsed="false">
      <c r="A14977" s="3" t="s">
        <v>561</v>
      </c>
      <c r="C14977" s="16" t="n">
        <f aca="false">SUMPRODUCT(($C$14961:$C$14970&lt;C14966)*$C$14950:$C$14959)</f>
        <v>0</v>
      </c>
    </row>
    <row r="14978" customFormat="false" ht="15" hidden="false" customHeight="false" outlineLevel="0" collapsed="false">
      <c r="A14978" s="3" t="s">
        <v>562</v>
      </c>
      <c r="C14978" s="16" t="n">
        <f aca="false">SUMPRODUCT(($C$14961:$C$14970&lt;C14967)*$C$14950:$C$14959)</f>
        <v>0</v>
      </c>
    </row>
    <row r="14979" customFormat="false" ht="15" hidden="false" customHeight="false" outlineLevel="0" collapsed="false">
      <c r="A14979" s="3" t="s">
        <v>563</v>
      </c>
      <c r="C14979" s="16" t="n">
        <f aca="false">SUMPRODUCT(($C$14961:$C$14970&lt;C14968)*$C$14950:$C$14959)</f>
        <v>0</v>
      </c>
    </row>
    <row r="14980" customFormat="false" ht="15" hidden="false" customHeight="false" outlineLevel="0" collapsed="false">
      <c r="A14980" s="3" t="s">
        <v>564</v>
      </c>
      <c r="C14980" s="16" t="n">
        <f aca="false">SUMPRODUCT(($C$14961:$C$14970&lt;C14969)*$C$14950:$C$14959)</f>
        <v>0</v>
      </c>
    </row>
    <row r="14981" customFormat="false" ht="15" hidden="false" customHeight="false" outlineLevel="0" collapsed="false">
      <c r="A14981" s="3" t="s">
        <v>565</v>
      </c>
      <c r="C14981" s="16" t="n">
        <f aca="false">SUMPRODUCT(($C$14961:$C$14970&lt;C14970)*$C$14950:$C$14959)</f>
        <v>1956.73991734138</v>
      </c>
    </row>
    <row r="14982" customFormat="false" ht="15" hidden="false" customHeight="false" outlineLevel="0" collapsed="false">
      <c r="A14982" s="24" t="s">
        <v>573</v>
      </c>
      <c r="B14982" s="25"/>
      <c r="C14982" s="25"/>
      <c r="D14982" s="25"/>
      <c r="E14982" s="25"/>
      <c r="F14982" s="25"/>
      <c r="G14982" s="25"/>
      <c r="H14982" s="25"/>
      <c r="I14982" s="25"/>
      <c r="J14982" s="25"/>
      <c r="K14982" s="25"/>
    </row>
    <row r="14983" customFormat="false" ht="15" hidden="false" customHeight="false" outlineLevel="0" collapsed="false">
      <c r="A14983" s="3" t="s">
        <v>556</v>
      </c>
      <c r="C14983" s="16" t="n">
        <f aca="false">SUMPRODUCT(($C$14961:$C$14970=C14961)*$C$14950:$C$14959)</f>
        <v>0</v>
      </c>
    </row>
    <row r="14984" customFormat="false" ht="15" hidden="false" customHeight="false" outlineLevel="0" collapsed="false">
      <c r="A14984" s="3" t="s">
        <v>557</v>
      </c>
      <c r="C14984" s="16" t="n">
        <f aca="false">SUMPRODUCT(($C$14961:$C$14970=C14962)*$C$14950:$C$14959)</f>
        <v>0</v>
      </c>
    </row>
    <row r="14985" customFormat="false" ht="15" hidden="false" customHeight="false" outlineLevel="0" collapsed="false">
      <c r="A14985" s="3" t="s">
        <v>558</v>
      </c>
      <c r="C14985" s="16" t="n">
        <f aca="false">SUMPRODUCT(($C$14961:$C$14970=C14963)*$C$14950:$C$14959)</f>
        <v>0</v>
      </c>
    </row>
    <row r="14986" customFormat="false" ht="15" hidden="false" customHeight="false" outlineLevel="0" collapsed="false">
      <c r="A14986" s="3" t="s">
        <v>559</v>
      </c>
      <c r="C14986" s="16" t="n">
        <f aca="false">SUMPRODUCT(($C$14961:$C$14970=C14964)*$C$14950:$C$14959)</f>
        <v>1956.73991734138</v>
      </c>
    </row>
    <row r="14987" customFormat="false" ht="15" hidden="false" customHeight="false" outlineLevel="0" collapsed="false">
      <c r="A14987" s="3" t="s">
        <v>560</v>
      </c>
      <c r="C14987" s="16" t="n">
        <f aca="false">SUMPRODUCT(($C$14961:$C$14970=C14965)*$C$14950:$C$14959)</f>
        <v>1956.73991734138</v>
      </c>
    </row>
    <row r="14988" customFormat="false" ht="15" hidden="false" customHeight="false" outlineLevel="0" collapsed="false">
      <c r="A14988" s="3" t="s">
        <v>561</v>
      </c>
      <c r="C14988" s="16" t="n">
        <f aca="false">SUMPRODUCT(($C$14961:$C$14970=C14966)*$C$14950:$C$14959)</f>
        <v>1956.73991734138</v>
      </c>
    </row>
    <row r="14989" customFormat="false" ht="15" hidden="false" customHeight="false" outlineLevel="0" collapsed="false">
      <c r="A14989" s="3" t="s">
        <v>562</v>
      </c>
      <c r="C14989" s="16" t="n">
        <f aca="false">SUMPRODUCT(($C$14961:$C$14970=C14967)*$C$14950:$C$14959)</f>
        <v>1956.73991734138</v>
      </c>
    </row>
    <row r="14990" customFormat="false" ht="15" hidden="false" customHeight="false" outlineLevel="0" collapsed="false">
      <c r="A14990" s="3" t="s">
        <v>563</v>
      </c>
      <c r="C14990" s="16" t="n">
        <f aca="false">SUMPRODUCT(($C$14961:$C$14970=C14968)*$C$14950:$C$14959)</f>
        <v>1956.73991734138</v>
      </c>
    </row>
    <row r="14991" customFormat="false" ht="15" hidden="false" customHeight="false" outlineLevel="0" collapsed="false">
      <c r="A14991" s="3" t="s">
        <v>564</v>
      </c>
      <c r="C14991" s="16" t="n">
        <f aca="false">SUMPRODUCT(($C$14961:$C$14970=C14969)*$C$14950:$C$14959)</f>
        <v>1956.73991734138</v>
      </c>
    </row>
    <row r="14992" customFormat="false" ht="15" hidden="false" customHeight="false" outlineLevel="0" collapsed="false">
      <c r="A14992" s="3" t="s">
        <v>565</v>
      </c>
      <c r="C14992" s="16" t="n">
        <f aca="false">SUMPRODUCT(($C$14961:$C$14970=C14970)*$C$14950:$C$14959)</f>
        <v>78.61</v>
      </c>
    </row>
    <row r="14993" customFormat="false" ht="15" hidden="false" customHeight="false" outlineLevel="0" collapsed="false">
      <c r="A14993" s="24" t="s">
        <v>574</v>
      </c>
      <c r="B14993" s="25"/>
      <c r="C14993" s="25"/>
      <c r="D14993" s="25"/>
      <c r="E14993" s="25"/>
      <c r="F14993" s="25"/>
      <c r="G14993" s="25"/>
      <c r="H14993" s="25"/>
      <c r="I14993" s="25"/>
      <c r="J14993" s="25"/>
      <c r="K14993" s="25"/>
    </row>
    <row r="14994" customFormat="false" ht="15" hidden="false" customHeight="false" outlineLevel="0" collapsed="false">
      <c r="A14994" s="3" t="s">
        <v>556</v>
      </c>
      <c r="C14994" s="16" t="n">
        <f aca="false">IF(C14983=0,0,C14950/C14983*MAX(0,MIN(C14983,$C$14893-SUM($C$14928:$C$14937)-C14972)))</f>
        <v>0</v>
      </c>
    </row>
    <row r="14995" customFormat="false" ht="15" hidden="false" customHeight="false" outlineLevel="0" collapsed="false">
      <c r="A14995" s="3" t="s">
        <v>557</v>
      </c>
      <c r="C14995" s="16" t="n">
        <f aca="false">IF(C14984=0,0,C14951/C14984*MAX(0,MIN(C14984,$C$14893-SUM($C$14928:$C$14937)-C14973)))</f>
        <v>0</v>
      </c>
    </row>
    <row r="14996" customFormat="false" ht="15" hidden="false" customHeight="false" outlineLevel="0" collapsed="false">
      <c r="A14996" s="3" t="s">
        <v>558</v>
      </c>
      <c r="C14996" s="16" t="n">
        <f aca="false">IF(C14985=0,0,C14952/C14985*MAX(0,MIN(C14985,$C$14893-SUM($C$14928:$C$14937)-C14974)))</f>
        <v>0</v>
      </c>
    </row>
    <row r="14997" customFormat="false" ht="15" hidden="false" customHeight="false" outlineLevel="0" collapsed="false">
      <c r="A14997" s="3" t="s">
        <v>559</v>
      </c>
      <c r="C14997" s="16" t="n">
        <f aca="false">IF(C14986=0,0,C14953/C14986*MAX(0,MIN(C14986,$C$14893-SUM($C$14928:$C$14937)-C14975)))</f>
        <v>30.1245782245759</v>
      </c>
    </row>
    <row r="14998" customFormat="false" ht="15" hidden="false" customHeight="false" outlineLevel="0" collapsed="false">
      <c r="A14998" s="3" t="s">
        <v>560</v>
      </c>
      <c r="C14998" s="16" t="n">
        <f aca="false">IF(C14987=0,0,C14954/C14987*MAX(0,MIN(C14987,$C$14893-SUM($C$14928:$C$14937)-C14976)))</f>
        <v>376.6153391168</v>
      </c>
    </row>
    <row r="14999" customFormat="false" ht="15" hidden="false" customHeight="false" outlineLevel="0" collapsed="false">
      <c r="A14999" s="3" t="s">
        <v>561</v>
      </c>
      <c r="C14999" s="16" t="n">
        <f aca="false">IF(C14988=0,0,C14955/C14988*MAX(0,MIN(C14988,$C$14893-SUM($C$14928:$C$14937)-C14977)))</f>
        <v>350</v>
      </c>
    </row>
    <row r="15000" customFormat="false" ht="15" hidden="false" customHeight="false" outlineLevel="0" collapsed="false">
      <c r="A15000" s="3" t="s">
        <v>562</v>
      </c>
      <c r="C15000" s="16" t="n">
        <f aca="false">IF(C14989=0,0,C14956/C14989*MAX(0,MIN(C14989,$C$14893-SUM($C$14928:$C$14937)-C14978)))</f>
        <v>550</v>
      </c>
    </row>
    <row r="15001" customFormat="false" ht="15" hidden="false" customHeight="false" outlineLevel="0" collapsed="false">
      <c r="A15001" s="3" t="s">
        <v>563</v>
      </c>
      <c r="C15001" s="16" t="n">
        <f aca="false">IF(C14990=0,0,C14957/C14990*MAX(0,MIN(C14990,$C$14893-SUM($C$14928:$C$14937)-C14979)))</f>
        <v>350</v>
      </c>
    </row>
    <row r="15002" customFormat="false" ht="15" hidden="false" customHeight="false" outlineLevel="0" collapsed="false">
      <c r="A15002" s="3" t="s">
        <v>564</v>
      </c>
      <c r="C15002" s="16" t="n">
        <f aca="false">IF(C14991=0,0,C14958/C14991*MAX(0,MIN(C14991,$C$14893-SUM($C$14928:$C$14937)-C14980)))</f>
        <v>300</v>
      </c>
    </row>
    <row r="15003" customFormat="false" ht="15" hidden="false" customHeight="false" outlineLevel="0" collapsed="false">
      <c r="A15003" s="3" t="s">
        <v>565</v>
      </c>
      <c r="C15003" s="16" t="n">
        <f aca="false">IF(C14992=0,0,C14959/C14992*MAX(0,MIN(C14992,$C$14893-SUM($C$14928:$C$14937)-C14981)))</f>
        <v>78.61</v>
      </c>
    </row>
    <row r="15004" customFormat="false" ht="15" hidden="false" customHeight="false" outlineLevel="0" collapsed="false">
      <c r="A15004" s="24" t="s">
        <v>575</v>
      </c>
      <c r="B15004" s="25"/>
      <c r="C15004" s="25"/>
      <c r="D15004" s="25"/>
      <c r="E15004" s="25"/>
      <c r="F15004" s="25"/>
      <c r="G15004" s="25"/>
      <c r="H15004" s="25"/>
      <c r="I15004" s="25"/>
      <c r="J15004" s="25"/>
      <c r="K15004" s="25"/>
    </row>
    <row r="15005" customFormat="false" ht="15" hidden="false" customHeight="false" outlineLevel="0" collapsed="false">
      <c r="A15005" s="2" t="s">
        <v>556</v>
      </c>
      <c r="C15005" s="17" t="n">
        <f aca="false">C14928+C14994</f>
        <v>388</v>
      </c>
    </row>
    <row r="15006" customFormat="false" ht="15" hidden="false" customHeight="false" outlineLevel="0" collapsed="false">
      <c r="A15006" s="2" t="s">
        <v>557</v>
      </c>
      <c r="C15006" s="17" t="n">
        <f aca="false">C14929+C14995</f>
        <v>90</v>
      </c>
    </row>
    <row r="15007" customFormat="false" ht="15" hidden="false" customHeight="false" outlineLevel="0" collapsed="false">
      <c r="A15007" s="2" t="s">
        <v>558</v>
      </c>
      <c r="C15007" s="17" t="n">
        <f aca="false">C14930+C14996</f>
        <v>57.324</v>
      </c>
    </row>
    <row r="15008" customFormat="false" ht="15" hidden="false" customHeight="false" outlineLevel="0" collapsed="false">
      <c r="A15008" s="2" t="s">
        <v>559</v>
      </c>
      <c r="C15008" s="17" t="n">
        <f aca="false">C14931+C14997</f>
        <v>30.1245782245759</v>
      </c>
    </row>
    <row r="15009" customFormat="false" ht="15" hidden="false" customHeight="false" outlineLevel="0" collapsed="false">
      <c r="A15009" s="2" t="s">
        <v>560</v>
      </c>
      <c r="C15009" s="17" t="n">
        <f aca="false">C14932+C14998</f>
        <v>376.6153391168</v>
      </c>
    </row>
    <row r="15010" customFormat="false" ht="15" hidden="false" customHeight="false" outlineLevel="0" collapsed="false">
      <c r="A15010" s="2" t="s">
        <v>561</v>
      </c>
      <c r="C15010" s="17" t="n">
        <f aca="false">C14933+C14999</f>
        <v>350</v>
      </c>
    </row>
    <row r="15011" customFormat="false" ht="15" hidden="false" customHeight="false" outlineLevel="0" collapsed="false">
      <c r="A15011" s="2" t="s">
        <v>562</v>
      </c>
      <c r="C15011" s="17" t="n">
        <f aca="false">C14934+C15000</f>
        <v>550</v>
      </c>
    </row>
    <row r="15012" customFormat="false" ht="15" hidden="false" customHeight="false" outlineLevel="0" collapsed="false">
      <c r="A15012" s="2" t="s">
        <v>563</v>
      </c>
      <c r="C15012" s="17" t="n">
        <f aca="false">C14935+C15001</f>
        <v>350</v>
      </c>
    </row>
    <row r="15013" customFormat="false" ht="15" hidden="false" customHeight="false" outlineLevel="0" collapsed="false">
      <c r="A15013" s="2" t="s">
        <v>564</v>
      </c>
      <c r="C15013" s="17" t="n">
        <f aca="false">C14936+C15002</f>
        <v>300</v>
      </c>
    </row>
    <row r="15014" customFormat="false" ht="15" hidden="false" customHeight="false" outlineLevel="0" collapsed="false">
      <c r="A15014" s="2" t="s">
        <v>565</v>
      </c>
      <c r="C15014" s="17" t="n">
        <f aca="false">C14937+C15003</f>
        <v>78.61</v>
      </c>
    </row>
    <row r="15015" customFormat="false" ht="15" hidden="false" customHeight="false" outlineLevel="0" collapsed="false">
      <c r="A15015" s="24" t="s">
        <v>576</v>
      </c>
      <c r="B15015" s="25"/>
      <c r="C15015" s="25"/>
      <c r="D15015" s="25"/>
      <c r="E15015" s="25"/>
      <c r="F15015" s="25"/>
      <c r="G15015" s="25"/>
      <c r="H15015" s="25"/>
      <c r="I15015" s="25"/>
      <c r="J15015" s="25"/>
      <c r="K15015" s="25"/>
    </row>
    <row r="15016" customFormat="false" ht="15" hidden="false" customHeight="false" outlineLevel="0" collapsed="false">
      <c r="A15016" s="3" t="s">
        <v>556</v>
      </c>
      <c r="C15016" s="22" t="n">
        <f aca="false">IF(C14895=0,1,C15005/C14895)</f>
        <v>1</v>
      </c>
    </row>
    <row r="15017" customFormat="false" ht="15" hidden="false" customHeight="false" outlineLevel="0" collapsed="false">
      <c r="A15017" s="3" t="s">
        <v>557</v>
      </c>
      <c r="C15017" s="22" t="n">
        <f aca="false">IF(C14896=0,1,C15006/C14896)</f>
        <v>1</v>
      </c>
    </row>
    <row r="15018" customFormat="false" ht="15" hidden="false" customHeight="false" outlineLevel="0" collapsed="false">
      <c r="A15018" s="3" t="s">
        <v>558</v>
      </c>
      <c r="C15018" s="22" t="n">
        <f aca="false">IF(C14897=0,1,C15007/C14897)</f>
        <v>1</v>
      </c>
    </row>
    <row r="15019" customFormat="false" ht="15" hidden="false" customHeight="false" outlineLevel="0" collapsed="false">
      <c r="A15019" s="3" t="s">
        <v>559</v>
      </c>
      <c r="C15019" s="22" t="n">
        <f aca="false">IF(C14898=0,1,C15008/C14898)</f>
        <v>1</v>
      </c>
    </row>
    <row r="15020" customFormat="false" ht="15" hidden="false" customHeight="false" outlineLevel="0" collapsed="false">
      <c r="A15020" s="3" t="s">
        <v>560</v>
      </c>
      <c r="C15020" s="22" t="n">
        <f aca="false">IF(C14899=0,1,C15009/C14899)</f>
        <v>1</v>
      </c>
    </row>
    <row r="15021" customFormat="false" ht="15" hidden="false" customHeight="false" outlineLevel="0" collapsed="false">
      <c r="A15021" s="3" t="s">
        <v>561</v>
      </c>
      <c r="C15021" s="22" t="n">
        <f aca="false">IF(C14900=0,1,C15010/C14900)</f>
        <v>1</v>
      </c>
    </row>
    <row r="15022" customFormat="false" ht="15" hidden="false" customHeight="false" outlineLevel="0" collapsed="false">
      <c r="A15022" s="3" t="s">
        <v>562</v>
      </c>
      <c r="C15022" s="22" t="n">
        <f aca="false">IF(C14901=0,1,C15011/C14901)</f>
        <v>1</v>
      </c>
    </row>
    <row r="15023" customFormat="false" ht="15" hidden="false" customHeight="false" outlineLevel="0" collapsed="false">
      <c r="A15023" s="3" t="s">
        <v>563</v>
      </c>
      <c r="C15023" s="22" t="n">
        <f aca="false">IF(C14902=0,1,C15012/C14902)</f>
        <v>1</v>
      </c>
    </row>
    <row r="15024" customFormat="false" ht="15" hidden="false" customHeight="false" outlineLevel="0" collapsed="false">
      <c r="A15024" s="3" t="s">
        <v>564</v>
      </c>
      <c r="C15024" s="22" t="n">
        <f aca="false">IF(C14903=0,1,C15013/C14903)</f>
        <v>1</v>
      </c>
    </row>
    <row r="15025" customFormat="false" ht="15" hidden="false" customHeight="false" outlineLevel="0" collapsed="false">
      <c r="A15025" s="3" t="s">
        <v>565</v>
      </c>
      <c r="C15025" s="22" t="n">
        <f aca="false">IF(C14904=0,1,C15014/C14904)</f>
        <v>1</v>
      </c>
    </row>
    <row r="15026" customFormat="false" ht="15" hidden="false" customHeight="false" outlineLevel="0" collapsed="false">
      <c r="A15026" s="24" t="s">
        <v>577</v>
      </c>
      <c r="B15026" s="25"/>
      <c r="C15026" s="25"/>
      <c r="D15026" s="25"/>
      <c r="E15026" s="25"/>
      <c r="F15026" s="25"/>
      <c r="G15026" s="25"/>
      <c r="H15026" s="25"/>
      <c r="I15026" s="25"/>
      <c r="J15026" s="25"/>
      <c r="K15026" s="25"/>
    </row>
    <row r="15027" customFormat="false" ht="15" hidden="false" customHeight="false" outlineLevel="0" collapsed="false">
      <c r="A15027" s="3" t="s">
        <v>556</v>
      </c>
      <c r="C15027" s="16" t="n">
        <f aca="false">C14895-C15005</f>
        <v>0</v>
      </c>
    </row>
    <row r="15028" customFormat="false" ht="15" hidden="false" customHeight="false" outlineLevel="0" collapsed="false">
      <c r="A15028" s="3" t="s">
        <v>557</v>
      </c>
      <c r="C15028" s="16" t="n">
        <f aca="false">C14896-C15006</f>
        <v>0</v>
      </c>
    </row>
    <row r="15029" customFormat="false" ht="15" hidden="false" customHeight="false" outlineLevel="0" collapsed="false">
      <c r="A15029" s="3" t="s">
        <v>558</v>
      </c>
      <c r="C15029" s="16" t="n">
        <f aca="false">C14897-C15007</f>
        <v>0</v>
      </c>
    </row>
    <row r="15030" customFormat="false" ht="15" hidden="false" customHeight="false" outlineLevel="0" collapsed="false">
      <c r="A15030" s="3" t="s">
        <v>559</v>
      </c>
      <c r="C15030" s="16" t="n">
        <f aca="false">C14898-C15008</f>
        <v>0</v>
      </c>
    </row>
    <row r="15031" customFormat="false" ht="15" hidden="false" customHeight="false" outlineLevel="0" collapsed="false">
      <c r="A15031" s="3" t="s">
        <v>560</v>
      </c>
      <c r="C15031" s="16" t="n">
        <f aca="false">C14899-C15009</f>
        <v>0</v>
      </c>
    </row>
    <row r="15032" customFormat="false" ht="15" hidden="false" customHeight="false" outlineLevel="0" collapsed="false">
      <c r="A15032" s="3" t="s">
        <v>561</v>
      </c>
      <c r="C15032" s="16" t="n">
        <f aca="false">C14900-C15010</f>
        <v>0</v>
      </c>
    </row>
    <row r="15033" customFormat="false" ht="15" hidden="false" customHeight="false" outlineLevel="0" collapsed="false">
      <c r="A15033" s="3" t="s">
        <v>562</v>
      </c>
      <c r="C15033" s="16" t="n">
        <f aca="false">C14901-C15011</f>
        <v>0</v>
      </c>
    </row>
    <row r="15034" customFormat="false" ht="15" hidden="false" customHeight="false" outlineLevel="0" collapsed="false">
      <c r="A15034" s="3" t="s">
        <v>563</v>
      </c>
      <c r="C15034" s="16" t="n">
        <f aca="false">C14902-C15012</f>
        <v>0</v>
      </c>
    </row>
    <row r="15035" customFormat="false" ht="15" hidden="false" customHeight="false" outlineLevel="0" collapsed="false">
      <c r="A15035" s="3" t="s">
        <v>564</v>
      </c>
      <c r="C15035" s="16" t="n">
        <f aca="false">C14903-C15013</f>
        <v>0</v>
      </c>
    </row>
    <row r="15036" customFormat="false" ht="15" hidden="false" customHeight="false" outlineLevel="0" collapsed="false">
      <c r="A15036" s="3" t="s">
        <v>565</v>
      </c>
      <c r="C15036" s="16" t="n">
        <f aca="false">C14904-C15014</f>
        <v>0</v>
      </c>
    </row>
    <row r="15037" customFormat="false" ht="15" hidden="false" customHeight="false" outlineLevel="0" collapsed="false">
      <c r="A15037" s="24" t="s">
        <v>578</v>
      </c>
      <c r="B15037" s="25"/>
      <c r="C15037" s="25"/>
      <c r="D15037" s="25"/>
      <c r="E15037" s="25"/>
      <c r="F15037" s="25"/>
      <c r="G15037" s="25"/>
      <c r="H15037" s="25"/>
      <c r="I15037" s="25"/>
      <c r="J15037" s="25"/>
      <c r="K15037" s="25"/>
    </row>
    <row r="15038" customFormat="false" ht="15" hidden="false" customHeight="false" outlineLevel="0" collapsed="false">
      <c r="A15038" s="3" t="s">
        <v>556</v>
      </c>
      <c r="C15038" s="22" t="n">
        <f aca="false">IF(C14895=0,0,C15027/C14895)</f>
        <v>0</v>
      </c>
    </row>
    <row r="15039" customFormat="false" ht="15" hidden="false" customHeight="false" outlineLevel="0" collapsed="false">
      <c r="A15039" s="3" t="s">
        <v>557</v>
      </c>
      <c r="C15039" s="22" t="n">
        <f aca="false">IF(C14896=0,0,C15028/C14896)</f>
        <v>0</v>
      </c>
    </row>
    <row r="15040" customFormat="false" ht="15" hidden="false" customHeight="false" outlineLevel="0" collapsed="false">
      <c r="A15040" s="3" t="s">
        <v>558</v>
      </c>
      <c r="C15040" s="22" t="n">
        <f aca="false">IF(C14897=0,0,C15029/C14897)</f>
        <v>0</v>
      </c>
    </row>
    <row r="15041" customFormat="false" ht="15" hidden="false" customHeight="false" outlineLevel="0" collapsed="false">
      <c r="A15041" s="3" t="s">
        <v>559</v>
      </c>
      <c r="C15041" s="22" t="n">
        <f aca="false">IF(C14898=0,0,C15030/C14898)</f>
        <v>0</v>
      </c>
    </row>
    <row r="15042" customFormat="false" ht="15" hidden="false" customHeight="false" outlineLevel="0" collapsed="false">
      <c r="A15042" s="3" t="s">
        <v>560</v>
      </c>
      <c r="C15042" s="22" t="n">
        <f aca="false">IF(C14899=0,0,C15031/C14899)</f>
        <v>0</v>
      </c>
    </row>
    <row r="15043" customFormat="false" ht="15" hidden="false" customHeight="false" outlineLevel="0" collapsed="false">
      <c r="A15043" s="3" t="s">
        <v>561</v>
      </c>
      <c r="C15043" s="22" t="n">
        <f aca="false">IF(C14900=0,0,C15032/C14900)</f>
        <v>0</v>
      </c>
    </row>
    <row r="15044" customFormat="false" ht="15" hidden="false" customHeight="false" outlineLevel="0" collapsed="false">
      <c r="A15044" s="3" t="s">
        <v>562</v>
      </c>
      <c r="C15044" s="22" t="n">
        <f aca="false">IF(C14901=0,0,C15033/C14901)</f>
        <v>0</v>
      </c>
    </row>
    <row r="15045" customFormat="false" ht="15" hidden="false" customHeight="false" outlineLevel="0" collapsed="false">
      <c r="A15045" s="3" t="s">
        <v>563</v>
      </c>
      <c r="C15045" s="22" t="n">
        <f aca="false">IF(C14902=0,0,C15034/C14902)</f>
        <v>0</v>
      </c>
    </row>
    <row r="15046" customFormat="false" ht="15" hidden="false" customHeight="false" outlineLevel="0" collapsed="false">
      <c r="A15046" s="3" t="s">
        <v>564</v>
      </c>
      <c r="C15046" s="22" t="n">
        <f aca="false">IF(C14903=0,0,C15035/C14903)</f>
        <v>0</v>
      </c>
    </row>
    <row r="15047" customFormat="false" ht="15" hidden="false" customHeight="false" outlineLevel="0" collapsed="false">
      <c r="A15047" s="3" t="s">
        <v>565</v>
      </c>
      <c r="C15047" s="22" t="n">
        <f aca="false">IF(C14904=0,0,C15036/C14904)</f>
        <v>0</v>
      </c>
    </row>
    <row r="15048" customFormat="false" ht="15" hidden="false" customHeight="false" outlineLevel="0" collapsed="false">
      <c r="A15048" s="2" t="s">
        <v>579</v>
      </c>
      <c r="C15048" s="17" t="n">
        <f aca="false">MAX(0,$C$14893-SUM($C$14928:$C$14937)-SUM($C$14950:$C$14959))</f>
        <v>1910.35419839623</v>
      </c>
    </row>
    <row r="15049" customFormat="false" ht="15" hidden="false" customHeight="false" outlineLevel="0" collapsed="false">
      <c r="A15049" s="3" t="s">
        <v>597</v>
      </c>
      <c r="C15049" s="35" t="n">
        <f aca="false">MIN(C14892,100*CHOOSE(C14882,C15016,C15017,C15018,C15019,C15020,C15021,C15022,C15023,C15024,C15025))</f>
        <v>100</v>
      </c>
    </row>
    <row r="15050" customFormat="false" ht="15" hidden="false" customHeight="false" outlineLevel="0" collapsed="false">
      <c r="A15050" s="3" t="s">
        <v>598</v>
      </c>
      <c r="C15050" s="21" t="n">
        <f aca="false">IF(C14714=1,C14887+Assumptions!$C$40,C14886)</f>
        <v>3</v>
      </c>
    </row>
    <row r="15051" customFormat="false" ht="15" hidden="false" customHeight="false" outlineLevel="0" collapsed="false">
      <c r="A15051" s="24" t="s">
        <v>599</v>
      </c>
      <c r="B15051" s="25"/>
      <c r="C15051" s="25"/>
      <c r="D15051" s="25"/>
      <c r="E15051" s="25"/>
      <c r="F15051" s="25"/>
      <c r="G15051" s="25"/>
      <c r="H15051" s="25"/>
      <c r="I15051" s="25"/>
      <c r="J15051" s="25"/>
      <c r="K15051" s="25"/>
    </row>
    <row r="15052" customFormat="false" ht="15" hidden="false" customHeight="false" outlineLevel="0" collapsed="false">
      <c r="A15052" s="3" t="s">
        <v>600</v>
      </c>
      <c r="C15052" s="21" t="n">
        <f aca="false">COLUMN()-COLUMN($C$1)</f>
        <v>0</v>
      </c>
      <c r="D15052" s="21" t="n">
        <f aca="false">COLUMN()-COLUMN($C$1)</f>
        <v>1</v>
      </c>
      <c r="E15052" s="21" t="n">
        <f aca="false">COLUMN()-COLUMN($C$1)</f>
        <v>2</v>
      </c>
      <c r="F15052" s="21" t="n">
        <f aca="false">COLUMN()-COLUMN($C$1)</f>
        <v>3</v>
      </c>
      <c r="G15052" s="21" t="n">
        <f aca="false">COLUMN()-COLUMN($C$1)</f>
        <v>4</v>
      </c>
      <c r="H15052" s="21" t="n">
        <f aca="false">COLUMN()-COLUMN($C$1)</f>
        <v>5</v>
      </c>
      <c r="I15052" s="21" t="n">
        <f aca="false">COLUMN()-COLUMN($C$1)</f>
        <v>6</v>
      </c>
    </row>
    <row r="15053" customFormat="false" ht="15" hidden="false" customHeight="false" outlineLevel="0" collapsed="false">
      <c r="A15053" s="3" t="s">
        <v>601</v>
      </c>
      <c r="D15053" s="31" t="n">
        <f aca="false">CHOOSE($C$14882,G14462,G14475,G14488,G14501,G14514,G14527,G14540,G14553,G14566,G14579)</f>
        <v>0.0915</v>
      </c>
      <c r="E15053" s="31" t="n">
        <f aca="false">CHOOSE($C$14882,H14462,H14475,H14488,H14501,H14514,H14527,H14540,H14553,H14566,H14579)</f>
        <v>0.09</v>
      </c>
      <c r="F15053" s="31" t="n">
        <f aca="false">CHOOSE($C$14882,I14462,I14475,I14488,I14501,I14514,I14527,I14540,I14553,I14566,I14579)</f>
        <v>0.0875</v>
      </c>
      <c r="G15053" s="31" t="n">
        <f aca="false">CHOOSE($C$14882,J14462,J14475,J14488,J14501,J14514,J14527,J14540,J14553,J14566,J14579)</f>
        <v>0.0875</v>
      </c>
      <c r="H15053" s="31" t="n">
        <f aca="false">CHOOSE($C$14882,K14462,K14475,K14488,K14501,K14514,K14527,K14540,K14553,K14566,K14579)</f>
        <v>0.0875</v>
      </c>
    </row>
    <row r="15054" customFormat="false" ht="15" hidden="false" customHeight="false" outlineLevel="0" collapsed="false">
      <c r="A15054" s="3" t="s">
        <v>602</v>
      </c>
      <c r="D15054" s="16" t="n">
        <f aca="false">IF(D15052&lt;=$C$14891,$C$14883*D15053,0)</f>
        <v>9.15</v>
      </c>
      <c r="E15054" s="16" t="n">
        <f aca="false">IF(E15052&lt;=$C$14891,$C$14883*E15053,0)</f>
        <v>9</v>
      </c>
      <c r="F15054" s="16" t="n">
        <f aca="false">IF(F15052&lt;=$C$14891,$C$14883*F15053,0)</f>
        <v>8.75</v>
      </c>
      <c r="G15054" s="16" t="n">
        <f aca="false">IF(G15052&lt;=$C$14891,$C$14883*G15053,0)</f>
        <v>0</v>
      </c>
      <c r="H15054" s="16" t="n">
        <f aca="false">IF(H15052&lt;=$C$14891,$C$14883*H15053,0)</f>
        <v>0</v>
      </c>
    </row>
    <row r="15055" customFormat="false" ht="15" hidden="false" customHeight="false" outlineLevel="0" collapsed="false">
      <c r="A15055" s="3" t="s">
        <v>603</v>
      </c>
      <c r="D15055" s="16" t="n">
        <f aca="false">IF(AND($C$14714=0,D15052=$C$14886),$C$14883*$C$15049/100,0)+IF(AND($C$14714=1,D15052=$C$15050),$C$14889,0)</f>
        <v>0</v>
      </c>
      <c r="E15055" s="16" t="n">
        <f aca="false">IF(AND($C$14714=0,E15052=$C$14886),$C$14883*$C$15049/100,0)+IF(AND($C$14714=1,E15052=$C$15050),$C$14889,0)</f>
        <v>0</v>
      </c>
      <c r="F15055" s="16" t="n">
        <f aca="false">IF(AND($C$14714=0,F15052=$C$14886),$C$14883*$C$15049/100,0)+IF(AND($C$14714=1,F15052=$C$15050),$C$14889,0)</f>
        <v>100</v>
      </c>
      <c r="G15055" s="16" t="n">
        <f aca="false">IF(AND($C$14714=0,G15052=$C$14886),$C$14883*$C$15049/100,0)+IF(AND($C$14714=1,G15052=$C$15050),$C$14889,0)</f>
        <v>0</v>
      </c>
      <c r="H15055" s="16" t="n">
        <f aca="false">IF(AND($C$14714=0,H15052=$C$14886),$C$14883*$C$15049/100,0)+IF(AND($C$14714=1,H15052=$C$15050),$C$14889,0)</f>
        <v>0</v>
      </c>
      <c r="I15055" s="16" t="n">
        <f aca="false">IF(AND($C$14714=0,I15052=$C$14886),$C$14883*$C$15049/100,0)+IF(AND($C$14714=1,I15052=$C$15050),$C$14889,0)</f>
        <v>0</v>
      </c>
    </row>
    <row r="15056" customFormat="false" ht="15" hidden="false" customHeight="false" outlineLevel="0" collapsed="false">
      <c r="A15056" s="2" t="s">
        <v>604</v>
      </c>
      <c r="C15056" s="17" t="n">
        <f aca="false">-$C$14885</f>
        <v>-98.49</v>
      </c>
      <c r="D15056" s="17" t="n">
        <f aca="false">D15054+D15055</f>
        <v>9.15</v>
      </c>
      <c r="E15056" s="17" t="n">
        <f aca="false">E15054+E15055</f>
        <v>9</v>
      </c>
      <c r="F15056" s="17" t="n">
        <f aca="false">F15054+F15055</f>
        <v>108.75</v>
      </c>
      <c r="G15056" s="17" t="n">
        <f aca="false">G15054+G15055</f>
        <v>0</v>
      </c>
      <c r="H15056" s="17" t="n">
        <f aca="false">H15054+H15055</f>
        <v>0</v>
      </c>
      <c r="I15056" s="17" t="n">
        <f aca="false">I15054+I15055</f>
        <v>0</v>
      </c>
    </row>
    <row r="15057" customFormat="false" ht="15" hidden="false" customHeight="false" outlineLevel="0" collapsed="false">
      <c r="A15057" s="3" t="s">
        <v>605</v>
      </c>
      <c r="C15057" s="16" t="n">
        <f aca="false">SUM($C$15054:$I$15054)</f>
        <v>26.9</v>
      </c>
    </row>
    <row r="15058" customFormat="false" ht="15" hidden="false" customHeight="false" outlineLevel="0" collapsed="false">
      <c r="A15058" s="3" t="s">
        <v>606</v>
      </c>
      <c r="C15058" s="16" t="n">
        <f aca="false">SUM($C$15055:$I$15055)</f>
        <v>100</v>
      </c>
    </row>
    <row r="15059" customFormat="false" ht="15" hidden="false" customHeight="false" outlineLevel="0" collapsed="false">
      <c r="A15059" s="3" t="s">
        <v>607</v>
      </c>
      <c r="C15059" s="16" t="n">
        <f aca="false">C15057+C15058</f>
        <v>126.9</v>
      </c>
    </row>
    <row r="15060" customFormat="false" ht="15" hidden="false" customHeight="false" outlineLevel="0" collapsed="false">
      <c r="A15060" s="3" t="s">
        <v>608</v>
      </c>
      <c r="C15060" s="16" t="n">
        <f aca="false">C15058-C14883*C14884/100</f>
        <v>2</v>
      </c>
    </row>
    <row r="15061" customFormat="false" ht="15" hidden="false" customHeight="false" outlineLevel="0" collapsed="false">
      <c r="A15061" s="3" t="s">
        <v>609</v>
      </c>
      <c r="C15061" s="16" t="n">
        <f aca="false">C15059-C14885</f>
        <v>28.41</v>
      </c>
    </row>
    <row r="15062" customFormat="false" ht="15" hidden="false" customHeight="false" outlineLevel="0" collapsed="false">
      <c r="A15062" s="2" t="s">
        <v>484</v>
      </c>
      <c r="C15062" s="44" t="n">
        <f aca="false">C15059/C14885</f>
        <v>1.28845568077977</v>
      </c>
    </row>
    <row r="15063" customFormat="false" ht="15" hidden="false" customHeight="false" outlineLevel="0" collapsed="false">
      <c r="A15063" s="2" t="s">
        <v>483</v>
      </c>
      <c r="C15063" s="42" t="n">
        <f aca="false">IF(C15059&lt;=0,-1,IFERROR(IRR($C$15056:$I$15056,MAX(-0.9,C15062^(1/C15050)-1)),IRR($C$15056:$I$15056,0.1)))</f>
        <v>0.0958152816969216</v>
      </c>
    </row>
    <row r="15064" customFormat="false" ht="15" hidden="false" customHeight="false" outlineLevel="0" collapsed="false">
      <c r="A15064" s="3" t="s">
        <v>610</v>
      </c>
      <c r="C15064" s="32" t="n">
        <f aca="false">MAX($G$14658:$K$14658)</f>
        <v>8.71127544417636</v>
      </c>
    </row>
    <row r="15065" customFormat="false" ht="15" hidden="false" customHeight="false" outlineLevel="0" collapsed="false">
      <c r="A15065" s="3" t="s">
        <v>611</v>
      </c>
      <c r="C15065" s="32" t="n">
        <f aca="false">MIN($G$14659:$K$14659)</f>
        <v>1.56806680769002</v>
      </c>
    </row>
    <row r="15066" customFormat="false" ht="15" hidden="false" customHeight="false" outlineLevel="0" collapsed="false">
      <c r="A15066" s="3" t="s">
        <v>612</v>
      </c>
      <c r="C15066" s="16" t="n">
        <f aca="false">SUM($G$14446:$K$14446)</f>
        <v>-237.389403005597</v>
      </c>
    </row>
    <row r="15070" customFormat="false" ht="15" hidden="false" customHeight="false" outlineLevel="0" collapsed="false">
      <c r="A15070" s="9" t="s">
        <v>1153</v>
      </c>
      <c r="B15070" s="10"/>
      <c r="C15070" s="10"/>
      <c r="D15070" s="10"/>
      <c r="E15070" s="10"/>
      <c r="F15070" s="10"/>
      <c r="G15070" s="10"/>
      <c r="H15070" s="10"/>
      <c r="I15070" s="10"/>
      <c r="J15070" s="10"/>
      <c r="K15070" s="10"/>
    </row>
    <row r="15071" customFormat="false" ht="15" hidden="false" customHeight="false" outlineLevel="0" collapsed="false">
      <c r="A15071" s="3" t="s">
        <v>1126</v>
      </c>
      <c r="C15071" s="11" t="n">
        <v>2</v>
      </c>
    </row>
    <row r="15072" customFormat="false" ht="15" hidden="false" customHeight="false" outlineLevel="0" collapsed="false">
      <c r="A15072" s="3" t="s">
        <v>1127</v>
      </c>
      <c r="C15072" s="30" t="n">
        <f aca="false">Sensitivities!$A$40</f>
        <v>-0.1</v>
      </c>
    </row>
    <row r="15073" customFormat="false" ht="15" hidden="false" customHeight="false" outlineLevel="0" collapsed="false">
      <c r="A15073" s="3" t="s">
        <v>1128</v>
      </c>
      <c r="C15073" s="19" t="n">
        <v>0</v>
      </c>
    </row>
    <row r="15074" customFormat="false" ht="15" hidden="false" customHeight="false" outlineLevel="0" collapsed="false">
      <c r="A15074" s="3" t="s">
        <v>1129</v>
      </c>
      <c r="C15074" s="19" t="n">
        <v>0</v>
      </c>
    </row>
    <row r="15075" customFormat="false" ht="15" hidden="false" customHeight="false" outlineLevel="0" collapsed="false">
      <c r="A15075" s="3" t="s">
        <v>1130</v>
      </c>
      <c r="C15075" s="15" t="n">
        <v>0</v>
      </c>
    </row>
    <row r="15077" customFormat="false" ht="15" hidden="false" customHeight="false" outlineLevel="0" collapsed="false">
      <c r="A15077" s="24" t="s">
        <v>301</v>
      </c>
      <c r="B15077" s="25"/>
      <c r="C15077" s="25"/>
      <c r="D15077" s="25"/>
      <c r="E15077" s="25"/>
      <c r="F15077" s="25"/>
      <c r="G15077" s="25"/>
      <c r="H15077" s="25"/>
      <c r="I15077" s="25"/>
      <c r="J15077" s="25"/>
      <c r="K15077" s="25"/>
    </row>
    <row r="15078" customFormat="false" ht="15" hidden="false" customHeight="false" outlineLevel="0" collapsed="false">
      <c r="A15078" s="3" t="s">
        <v>302</v>
      </c>
      <c r="F15078" s="27" t="n">
        <f aca="false">Assumptions!$C$6</f>
        <v>2026</v>
      </c>
      <c r="G15078" s="21" t="n">
        <f aca="false">F15078+1</f>
        <v>2027</v>
      </c>
      <c r="H15078" s="21" t="n">
        <f aca="false">G15078+1</f>
        <v>2028</v>
      </c>
      <c r="I15078" s="21" t="n">
        <f aca="false">H15078+1</f>
        <v>2029</v>
      </c>
      <c r="J15078" s="21" t="n">
        <f aca="false">I15078+1</f>
        <v>2030</v>
      </c>
      <c r="K15078" s="21" t="n">
        <f aca="false">J15078+1</f>
        <v>2031</v>
      </c>
    </row>
    <row r="15079" customFormat="false" ht="15" hidden="false" customHeight="false" outlineLevel="0" collapsed="false">
      <c r="A15079" s="3" t="s">
        <v>303</v>
      </c>
      <c r="G15079" s="21" t="n">
        <f aca="false">G15078-Assumptions!$C$6</f>
        <v>1</v>
      </c>
      <c r="H15079" s="21" t="n">
        <f aca="false">H15078-Assumptions!$C$6</f>
        <v>2</v>
      </c>
      <c r="I15079" s="21" t="n">
        <f aca="false">I15078-Assumptions!$C$6</f>
        <v>3</v>
      </c>
      <c r="J15079" s="21" t="n">
        <f aca="false">J15078-Assumptions!$C$6</f>
        <v>4</v>
      </c>
      <c r="K15079" s="21" t="n">
        <f aca="false">K15078-Assumptions!$C$6</f>
        <v>5</v>
      </c>
    </row>
    <row r="15080" customFormat="false" ht="15" hidden="false" customHeight="false" outlineLevel="0" collapsed="false">
      <c r="A15080" s="3" t="s">
        <v>180</v>
      </c>
      <c r="G15080" s="22" t="n">
        <f aca="false">CHOOSE($C$15071,Assumptions!$G$79,Assumptions!$G$98,Assumptions!$G$117)+$C$15072</f>
        <v>-0.16</v>
      </c>
      <c r="H15080" s="22" t="n">
        <f aca="false">CHOOSE($C$15071,Assumptions!$H$79,Assumptions!$H$98,Assumptions!$H$117)+$C$15072</f>
        <v>-0.13</v>
      </c>
      <c r="I15080" s="22" t="n">
        <f aca="false">CHOOSE($C$15071,Assumptions!$I$79,Assumptions!$I$98,Assumptions!$I$117)+$C$15072</f>
        <v>-0.1</v>
      </c>
      <c r="J15080" s="22" t="n">
        <f aca="false">CHOOSE($C$15071,Assumptions!$J$79,Assumptions!$J$98,Assumptions!$J$117)+$C$15072</f>
        <v>-0.09</v>
      </c>
      <c r="K15080" s="22" t="n">
        <f aca="false">CHOOSE($C$15071,Assumptions!$K$79,Assumptions!$K$98,Assumptions!$K$117)+$C$15072</f>
        <v>-0.09</v>
      </c>
    </row>
    <row r="15081" customFormat="false" ht="15" hidden="false" customHeight="false" outlineLevel="0" collapsed="false">
      <c r="A15081" s="3" t="s">
        <v>181</v>
      </c>
      <c r="G15081" s="22" t="n">
        <f aca="false">CHOOSE($C$15071,Assumptions!$G$80,Assumptions!$G$99,Assumptions!$G$118)</f>
        <v>0.573920660818678</v>
      </c>
      <c r="H15081" s="22" t="n">
        <f aca="false">CHOOSE($C$15071,Assumptions!$H$80,Assumptions!$H$99,Assumptions!$H$118)</f>
        <v>0.558920660818678</v>
      </c>
      <c r="I15081" s="22" t="n">
        <f aca="false">CHOOSE($C$15071,Assumptions!$I$80,Assumptions!$I$99,Assumptions!$I$118)</f>
        <v>0.558920660818678</v>
      </c>
      <c r="J15081" s="22" t="n">
        <f aca="false">CHOOSE($C$15071,Assumptions!$J$80,Assumptions!$J$99,Assumptions!$J$118)</f>
        <v>0.563920660818678</v>
      </c>
      <c r="K15081" s="22" t="n">
        <f aca="false">CHOOSE($C$15071,Assumptions!$K$80,Assumptions!$K$99,Assumptions!$K$118)</f>
        <v>0.568920660818678</v>
      </c>
    </row>
    <row r="15082" customFormat="false" ht="15" hidden="false" customHeight="false" outlineLevel="0" collapsed="false">
      <c r="A15082" s="3" t="s">
        <v>182</v>
      </c>
      <c r="G15082" s="22" t="n">
        <f aca="false">CHOOSE($C$15071,Assumptions!$G$81,Assumptions!$G$100,Assumptions!$G$119)+$C$15073</f>
        <v>0.5</v>
      </c>
      <c r="H15082" s="22" t="n">
        <f aca="false">CHOOSE($C$15071,Assumptions!$H$81,Assumptions!$H$100,Assumptions!$H$119)+$C$15073</f>
        <v>0.485</v>
      </c>
      <c r="I15082" s="22" t="n">
        <f aca="false">CHOOSE($C$15071,Assumptions!$I$81,Assumptions!$I$100,Assumptions!$I$119)+$C$15073</f>
        <v>0.485</v>
      </c>
      <c r="J15082" s="22" t="n">
        <f aca="false">CHOOSE($C$15071,Assumptions!$J$81,Assumptions!$J$100,Assumptions!$J$119)+$C$15073</f>
        <v>0.49</v>
      </c>
      <c r="K15082" s="22" t="n">
        <f aca="false">CHOOSE($C$15071,Assumptions!$K$81,Assumptions!$K$100,Assumptions!$K$119)+$C$15073</f>
        <v>0.495</v>
      </c>
    </row>
    <row r="15083" customFormat="false" ht="15" hidden="false" customHeight="false" outlineLevel="0" collapsed="false">
      <c r="A15083" s="24" t="s">
        <v>304</v>
      </c>
      <c r="B15083" s="25"/>
      <c r="C15083" s="25"/>
      <c r="D15083" s="25"/>
      <c r="E15083" s="25"/>
      <c r="F15083" s="25"/>
      <c r="G15083" s="25"/>
      <c r="H15083" s="25"/>
      <c r="I15083" s="25"/>
      <c r="J15083" s="25"/>
      <c r="K15083" s="25"/>
    </row>
    <row r="15084" customFormat="false" ht="15" hidden="false" customHeight="false" outlineLevel="0" collapsed="false">
      <c r="A15084" s="2" t="s">
        <v>275</v>
      </c>
      <c r="F15084" s="28" t="n">
        <f aca="false">'Historical Financials'!G25</f>
        <v>498.291</v>
      </c>
      <c r="G15084" s="17" t="n">
        <f aca="false">F15084*(1+G15080)</f>
        <v>418.56444</v>
      </c>
      <c r="H15084" s="17" t="n">
        <f aca="false">G15084*(1+H15080)</f>
        <v>364.1510628</v>
      </c>
      <c r="I15084" s="17" t="n">
        <f aca="false">H15084*(1+I15080)</f>
        <v>327.73595652</v>
      </c>
      <c r="J15084" s="17" t="n">
        <f aca="false">I15084*(1+J15080)</f>
        <v>298.2397204332</v>
      </c>
      <c r="K15084" s="17" t="n">
        <f aca="false">J15084*(1+K15080)</f>
        <v>271.398145594212</v>
      </c>
    </row>
    <row r="15085" customFormat="false" ht="15" hidden="false" customHeight="false" outlineLevel="0" collapsed="false">
      <c r="A15085" s="3" t="s">
        <v>276</v>
      </c>
      <c r="G15085" s="16" t="n">
        <f aca="false">G15084*(1-G15081)</f>
        <v>178.34166</v>
      </c>
      <c r="H15085" s="16" t="n">
        <f aca="false">H15084*(1-H15081)</f>
        <v>160.619510142</v>
      </c>
      <c r="I15085" s="16" t="n">
        <f aca="false">I15084*(1-I15081)</f>
        <v>144.5575591278</v>
      </c>
      <c r="J15085" s="16" t="n">
        <f aca="false">J15084*(1-J15081)</f>
        <v>130.056180204132</v>
      </c>
      <c r="K15085" s="16" t="n">
        <f aca="false">K15084*(1-K15081)</f>
        <v>116.994133257789</v>
      </c>
    </row>
    <row r="15086" customFormat="false" ht="15" hidden="false" customHeight="false" outlineLevel="0" collapsed="false">
      <c r="A15086" s="2" t="s">
        <v>277</v>
      </c>
      <c r="G15086" s="17" t="n">
        <f aca="false">G15084-G15085</f>
        <v>240.22278</v>
      </c>
      <c r="H15086" s="17" t="n">
        <f aca="false">H15084-H15085</f>
        <v>203.531552658</v>
      </c>
      <c r="I15086" s="17" t="n">
        <f aca="false">I15084-I15085</f>
        <v>183.1783973922</v>
      </c>
      <c r="J15086" s="17" t="n">
        <f aca="false">J15084-J15085</f>
        <v>168.183540229068</v>
      </c>
      <c r="K15086" s="17" t="n">
        <f aca="false">K15084-K15085</f>
        <v>154.404012336423</v>
      </c>
    </row>
    <row r="15087" customFormat="false" ht="15" hidden="false" customHeight="false" outlineLevel="0" collapsed="false">
      <c r="A15087" s="3" t="s">
        <v>305</v>
      </c>
      <c r="G15087" s="16" t="n">
        <f aca="false">G15086-G15088</f>
        <v>30.94056</v>
      </c>
      <c r="H15087" s="16" t="n">
        <f aca="false">H15086-H15088</f>
        <v>26.9182872</v>
      </c>
      <c r="I15087" s="16" t="n">
        <f aca="false">I15086-I15088</f>
        <v>24.22645848</v>
      </c>
      <c r="J15087" s="16" t="n">
        <f aca="false">J15086-J15088</f>
        <v>22.0460772168</v>
      </c>
      <c r="K15087" s="16" t="n">
        <f aca="false">K15086-K15088</f>
        <v>20.061930267288</v>
      </c>
    </row>
    <row r="15088" customFormat="false" ht="15" hidden="false" customHeight="false" outlineLevel="0" collapsed="false">
      <c r="A15088" s="2" t="s">
        <v>306</v>
      </c>
      <c r="G15088" s="17" t="n">
        <f aca="false">G15084*G15082</f>
        <v>209.28222</v>
      </c>
      <c r="H15088" s="17" t="n">
        <f aca="false">H15084*H15082</f>
        <v>176.613265458</v>
      </c>
      <c r="I15088" s="17" t="n">
        <f aca="false">I15084*I15082</f>
        <v>158.9519389122</v>
      </c>
      <c r="J15088" s="17" t="n">
        <f aca="false">J15084*J15082</f>
        <v>146.137463012268</v>
      </c>
      <c r="K15088" s="17" t="n">
        <f aca="false">K15084*K15082</f>
        <v>134.342082069135</v>
      </c>
    </row>
    <row r="15089" customFormat="false" ht="15" hidden="false" customHeight="false" outlineLevel="0" collapsed="false">
      <c r="A15089" s="3" t="s">
        <v>307</v>
      </c>
      <c r="G15089" s="16" t="n">
        <f aca="false">G15084*'Historical Financials'!G30/'Historical Financials'!G25</f>
        <v>155.64612</v>
      </c>
      <c r="H15089" s="16" t="n">
        <f aca="false">H15084*'Historical Financials'!G30/'Historical Financials'!G25</f>
        <v>135.4121244</v>
      </c>
      <c r="I15089" s="16" t="n">
        <f aca="false">I15084*'Historical Financials'!G30/'Historical Financials'!G25</f>
        <v>121.87091196</v>
      </c>
      <c r="J15089" s="16" t="n">
        <f aca="false">J15084*'Historical Financials'!G30/'Historical Financials'!G25</f>
        <v>110.9025298836</v>
      </c>
      <c r="K15089" s="16" t="n">
        <f aca="false">K15084*'Historical Financials'!G30/'Historical Financials'!G25</f>
        <v>100.921302194076</v>
      </c>
    </row>
    <row r="15090" customFormat="false" ht="15" hidden="false" customHeight="false" outlineLevel="0" collapsed="false">
      <c r="A15090" s="3" t="s">
        <v>308</v>
      </c>
      <c r="G15090" s="16" t="n">
        <f aca="false">G15084*'Historical Financials'!G31/'Historical Financials'!G25</f>
        <v>0</v>
      </c>
      <c r="H15090" s="16" t="n">
        <f aca="false">H15084*'Historical Financials'!G31/'Historical Financials'!G25</f>
        <v>0</v>
      </c>
      <c r="I15090" s="16" t="n">
        <f aca="false">I15084*'Historical Financials'!G31/'Historical Financials'!G25</f>
        <v>0</v>
      </c>
      <c r="J15090" s="16" t="n">
        <f aca="false">J15084*'Historical Financials'!G31/'Historical Financials'!G25</f>
        <v>0</v>
      </c>
      <c r="K15090" s="16" t="n">
        <f aca="false">K15084*'Historical Financials'!G31/'Historical Financials'!G25</f>
        <v>0</v>
      </c>
    </row>
    <row r="15091" customFormat="false" ht="15" hidden="false" customHeight="false" outlineLevel="0" collapsed="false">
      <c r="A15091" s="2" t="s">
        <v>309</v>
      </c>
      <c r="G15091" s="17" t="n">
        <f aca="false">G15088-G15089-G15090</f>
        <v>53.6361</v>
      </c>
      <c r="H15091" s="17" t="n">
        <f aca="false">H15088-H15089-H15090</f>
        <v>41.201141058</v>
      </c>
      <c r="I15091" s="17" t="n">
        <f aca="false">I15088-I15089-I15090</f>
        <v>37.0810269522</v>
      </c>
      <c r="J15091" s="17" t="n">
        <f aca="false">J15088-J15089-J15090</f>
        <v>35.234933128668</v>
      </c>
      <c r="K15091" s="17" t="n">
        <f aca="false">K15088-K15089-K15090</f>
        <v>33.420779875059</v>
      </c>
    </row>
    <row r="15092" customFormat="false" ht="15" hidden="false" customHeight="false" outlineLevel="0" collapsed="false">
      <c r="A15092" s="3" t="s">
        <v>310</v>
      </c>
      <c r="G15092" s="16" t="n">
        <f aca="false">G15118+G15131+G15144+G15157+G15170+G15183+G15196+G15209+G15222+G15235</f>
        <v>187.3888354</v>
      </c>
      <c r="H15092" s="16" t="n">
        <f aca="false">H15118+H15131+H15144+H15157+H15170+H15183+H15196+H15209+H15222+H15235</f>
        <v>186.2509204</v>
      </c>
      <c r="I15092" s="16" t="n">
        <f aca="false">I15118+I15131+I15144+I15157+I15170+I15183+I15196+I15209+I15222+I15235</f>
        <v>184.176399421447</v>
      </c>
      <c r="J15092" s="16" t="n">
        <f aca="false">J15118+J15131+J15144+J15157+J15170+J15183+J15196+J15209+J15222+J15235</f>
        <v>183.766399421447</v>
      </c>
      <c r="K15092" s="16" t="n">
        <f aca="false">K15118+K15131+K15144+K15157+K15170+K15183+K15196+K15209+K15222+K15235</f>
        <v>183.356399421447</v>
      </c>
    </row>
    <row r="15093" customFormat="false" ht="15" hidden="false" customHeight="false" outlineLevel="0" collapsed="false">
      <c r="A15093" s="3" t="s">
        <v>311</v>
      </c>
      <c r="G15093" s="16" t="n">
        <f aca="false">G15119+G15132+G15145+G15158+G15171+G15184+G15197+G15210+G15223+G15236</f>
        <v>0</v>
      </c>
      <c r="H15093" s="16" t="n">
        <f aca="false">H15119+H15132+H15145+H15158+H15171+H15184+H15197+H15210+H15223+H15236</f>
        <v>0</v>
      </c>
      <c r="I15093" s="16" t="n">
        <f aca="false">I15119+I15132+I15145+I15158+I15171+I15184+I15197+I15210+I15223+I15236</f>
        <v>0</v>
      </c>
      <c r="J15093" s="16" t="n">
        <f aca="false">J15119+J15132+J15145+J15158+J15171+J15184+J15197+J15210+J15223+J15236</f>
        <v>0</v>
      </c>
      <c r="K15093" s="16" t="n">
        <f aca="false">K15119+K15132+K15145+K15158+K15171+K15184+K15197+K15210+K15223+K15236</f>
        <v>0</v>
      </c>
    </row>
    <row r="15094" customFormat="false" ht="15" hidden="false" customHeight="false" outlineLevel="0" collapsed="false">
      <c r="A15094" s="3" t="s">
        <v>283</v>
      </c>
      <c r="G15094" s="16" t="n">
        <f aca="false">G15092+G15093</f>
        <v>187.3888354</v>
      </c>
      <c r="H15094" s="16" t="n">
        <f aca="false">H15092+H15093</f>
        <v>186.2509204</v>
      </c>
      <c r="I15094" s="16" t="n">
        <f aca="false">I15092+I15093</f>
        <v>184.176399421447</v>
      </c>
      <c r="J15094" s="16" t="n">
        <f aca="false">J15092+J15093</f>
        <v>183.766399421447</v>
      </c>
      <c r="K15094" s="16" t="n">
        <f aca="false">K15092+K15093</f>
        <v>183.356399421447</v>
      </c>
    </row>
    <row r="15095" customFormat="false" ht="15" hidden="false" customHeight="false" outlineLevel="0" collapsed="false">
      <c r="A15095" s="2" t="s">
        <v>284</v>
      </c>
      <c r="G15095" s="17" t="n">
        <f aca="false">G15091-G15094</f>
        <v>-133.7527354</v>
      </c>
      <c r="H15095" s="17" t="n">
        <f aca="false">H15091-H15094</f>
        <v>-145.049779342</v>
      </c>
      <c r="I15095" s="17" t="n">
        <f aca="false">I15091-I15094</f>
        <v>-147.095372469247</v>
      </c>
      <c r="J15095" s="17" t="n">
        <f aca="false">J15091-J15094</f>
        <v>-148.531466292779</v>
      </c>
      <c r="K15095" s="17" t="n">
        <f aca="false">K15091-K15094</f>
        <v>-149.935619546388</v>
      </c>
    </row>
    <row r="15096" customFormat="false" ht="15" hidden="false" customHeight="false" outlineLevel="0" collapsed="false">
      <c r="A15096" s="3" t="s">
        <v>312</v>
      </c>
      <c r="G15096" s="16" t="n">
        <f aca="false">MAX(0,G15095)*Assumptions!$C$9</f>
        <v>0</v>
      </c>
      <c r="H15096" s="16" t="n">
        <f aca="false">MAX(0,H15095)*Assumptions!$C$9</f>
        <v>0</v>
      </c>
      <c r="I15096" s="16" t="n">
        <f aca="false">MAX(0,I15095)*Assumptions!$C$9</f>
        <v>0</v>
      </c>
      <c r="J15096" s="16" t="n">
        <f aca="false">MAX(0,J15095)*Assumptions!$C$9</f>
        <v>0</v>
      </c>
      <c r="K15096" s="16" t="n">
        <f aca="false">MAX(0,K15095)*Assumptions!$C$9</f>
        <v>0</v>
      </c>
    </row>
    <row r="15097" customFormat="false" ht="15" hidden="false" customHeight="false" outlineLevel="0" collapsed="false">
      <c r="A15097" s="2" t="s">
        <v>313</v>
      </c>
      <c r="G15097" s="17" t="n">
        <f aca="false">G15095-G15096</f>
        <v>-133.7527354</v>
      </c>
      <c r="H15097" s="17" t="n">
        <f aca="false">H15095-H15096</f>
        <v>-145.049779342</v>
      </c>
      <c r="I15097" s="17" t="n">
        <f aca="false">I15095-I15096</f>
        <v>-147.095372469247</v>
      </c>
      <c r="J15097" s="17" t="n">
        <f aca="false">J15095-J15096</f>
        <v>-148.531466292779</v>
      </c>
      <c r="K15097" s="17" t="n">
        <f aca="false">K15095-K15096</f>
        <v>-149.935619546388</v>
      </c>
    </row>
    <row r="15098" customFormat="false" ht="15" hidden="false" customHeight="false" outlineLevel="0" collapsed="false">
      <c r="A15098" s="24" t="s">
        <v>314</v>
      </c>
      <c r="B15098" s="25"/>
      <c r="C15098" s="25"/>
      <c r="D15098" s="25"/>
      <c r="E15098" s="25"/>
      <c r="F15098" s="25"/>
      <c r="G15098" s="25"/>
      <c r="H15098" s="25"/>
      <c r="I15098" s="25"/>
      <c r="J15098" s="25"/>
      <c r="K15098" s="25"/>
    </row>
    <row r="15099" customFormat="false" ht="15" hidden="false" customHeight="false" outlineLevel="0" collapsed="false">
      <c r="A15099" s="3" t="s">
        <v>184</v>
      </c>
      <c r="G15099" s="16" t="n">
        <f aca="false">G15084*CHOOSE($C$15071,Assumptions!$C$83,Assumptions!$C$102,Assumptions!$C$121)</f>
        <v>75.3415992</v>
      </c>
      <c r="H15099" s="16" t="n">
        <f aca="false">H15084*CHOOSE($C$15071,Assumptions!$C$83,Assumptions!$C$102,Assumptions!$C$121)</f>
        <v>65.547191304</v>
      </c>
      <c r="I15099" s="16" t="n">
        <f aca="false">I15084*CHOOSE($C$15071,Assumptions!$C$83,Assumptions!$C$102,Assumptions!$C$121)</f>
        <v>58.9924721736</v>
      </c>
      <c r="J15099" s="16" t="n">
        <f aca="false">J15084*CHOOSE($C$15071,Assumptions!$C$83,Assumptions!$C$102,Assumptions!$C$121)</f>
        <v>53.683149677976</v>
      </c>
      <c r="K15099" s="16" t="n">
        <f aca="false">K15084*CHOOSE($C$15071,Assumptions!$C$83,Assumptions!$C$102,Assumptions!$C$121)</f>
        <v>48.8516662069582</v>
      </c>
    </row>
    <row r="15100" customFormat="false" ht="15" hidden="false" customHeight="false" outlineLevel="0" collapsed="false">
      <c r="A15100" s="3" t="s">
        <v>315</v>
      </c>
      <c r="G15100" s="16" t="n">
        <f aca="false">CHOOSE($C$15071,Assumptions!$C$84,Assumptions!$C$103,Assumptions!$C$122)*(G15084-F15084)+CHOOSE($C$15071,Assumptions!$C$85,Assumptions!$C$104,Assumptions!$C$123)*G15084</f>
        <v>20.928222</v>
      </c>
      <c r="H15100" s="16" t="n">
        <f aca="false">CHOOSE($C$15071,Assumptions!$C$84,Assumptions!$C$103,Assumptions!$C$122)*(H15084-G15084)+CHOOSE($C$15071,Assumptions!$C$85,Assumptions!$C$104,Assumptions!$C$123)*H15084</f>
        <v>18.20755314</v>
      </c>
      <c r="I15100" s="16" t="n">
        <f aca="false">CHOOSE($C$15071,Assumptions!$C$84,Assumptions!$C$103,Assumptions!$C$122)*(I15084-H15084)+CHOOSE($C$15071,Assumptions!$C$85,Assumptions!$C$104,Assumptions!$C$123)*I15084</f>
        <v>16.386797826</v>
      </c>
      <c r="J15100" s="16" t="n">
        <f aca="false">CHOOSE($C$15071,Assumptions!$C$84,Assumptions!$C$103,Assumptions!$C$122)*(J15084-I15084)+CHOOSE($C$15071,Assumptions!$C$85,Assumptions!$C$104,Assumptions!$C$123)*J15084</f>
        <v>14.91198602166</v>
      </c>
      <c r="K15100" s="16" t="n">
        <f aca="false">CHOOSE($C$15071,Assumptions!$C$84,Assumptions!$C$103,Assumptions!$C$122)*(K15084-J15084)+CHOOSE($C$15071,Assumptions!$C$85,Assumptions!$C$104,Assumptions!$C$123)*K15084</f>
        <v>13.5699072797106</v>
      </c>
    </row>
    <row r="15101" customFormat="false" ht="15" hidden="false" customHeight="false" outlineLevel="0" collapsed="false">
      <c r="A15101" s="2" t="s">
        <v>316</v>
      </c>
      <c r="G15101" s="17" t="n">
        <f aca="false">G15097+G15089+G15090+G15093-G15099-G15100</f>
        <v>-74.3764366</v>
      </c>
      <c r="H15101" s="17" t="n">
        <f aca="false">H15097+H15089+H15090+H15093-H15099-H15100</f>
        <v>-93.392399386</v>
      </c>
      <c r="I15101" s="17" t="n">
        <f aca="false">I15097+I15089+I15090+I15093-I15099-I15100</f>
        <v>-100.603730508847</v>
      </c>
      <c r="J15101" s="17" t="n">
        <f aca="false">J15097+J15089+J15090+J15093-J15099-J15100</f>
        <v>-106.224072108815</v>
      </c>
      <c r="K15101" s="17" t="n">
        <f aca="false">K15097+K15089+K15090+K15093-K15099-K15100</f>
        <v>-111.435890838981</v>
      </c>
    </row>
    <row r="15103" customFormat="false" ht="15" hidden="false" customHeight="false" outlineLevel="0" collapsed="false">
      <c r="A15103" s="24" t="s">
        <v>318</v>
      </c>
      <c r="B15103" s="25"/>
      <c r="C15103" s="25"/>
      <c r="D15103" s="25"/>
      <c r="E15103" s="25"/>
      <c r="F15103" s="25"/>
      <c r="G15103" s="25"/>
      <c r="H15103" s="25"/>
      <c r="I15103" s="25"/>
      <c r="J15103" s="25"/>
      <c r="K15103" s="25"/>
    </row>
    <row r="15104" customFormat="false" ht="15" hidden="false" customHeight="false" outlineLevel="0" collapsed="false">
      <c r="A15104" s="3" t="s">
        <v>319</v>
      </c>
      <c r="G15104" s="30" t="n">
        <f aca="false">Assumptions!$G$53</f>
        <v>0.039</v>
      </c>
      <c r="H15104" s="30" t="n">
        <f aca="false">Assumptions!$H$53</f>
        <v>0.0375</v>
      </c>
      <c r="I15104" s="30" t="n">
        <f aca="false">Assumptions!$I$53</f>
        <v>0.035</v>
      </c>
      <c r="J15104" s="30" t="n">
        <f aca="false">Assumptions!$J$53</f>
        <v>0.035</v>
      </c>
      <c r="K15104" s="30" t="n">
        <f aca="false">Assumptions!$K$53</f>
        <v>0.035</v>
      </c>
    </row>
    <row r="15105" customFormat="false" ht="15" hidden="false" customHeight="false" outlineLevel="0" collapsed="false">
      <c r="A15105" s="3" t="s">
        <v>320</v>
      </c>
      <c r="C15105" s="31" t="n">
        <f aca="false">CHOOSE($C$15071,Assumptions!$C$86,Assumptions!$C$105,Assumptions!$C$124)+$C$15074</f>
        <v>0.015</v>
      </c>
    </row>
    <row r="15106" customFormat="false" ht="15" hidden="false" customHeight="false" outlineLevel="0" collapsed="false">
      <c r="A15106" s="3" t="s">
        <v>321</v>
      </c>
      <c r="C15106" s="31" t="n">
        <f aca="false">CHOOSE($C$15071,Assumptions!$C$87,Assumptions!$C$106,Assumptions!$C$125)</f>
        <v>0.1</v>
      </c>
    </row>
    <row r="15107" customFormat="false" ht="15" hidden="false" customHeight="false" outlineLevel="0" collapsed="false">
      <c r="A15107" s="3" t="s">
        <v>322</v>
      </c>
      <c r="C15107" s="32" t="n">
        <f aca="false">CHOOSE($C$15071,Assumptions!$C$88,Assumptions!$C$107,Assumptions!$C$126)</f>
        <v>9.5</v>
      </c>
    </row>
    <row r="15108" customFormat="false" ht="15" hidden="false" customHeight="false" outlineLevel="0" collapsed="false">
      <c r="A15108" s="3" t="s">
        <v>323</v>
      </c>
      <c r="C15108" s="32" t="n">
        <f aca="false">CHOOSE($C$15071,Assumptions!$C$89,Assumptions!$C$108,Assumptions!$C$127)</f>
        <v>1.5</v>
      </c>
    </row>
    <row r="15109" customFormat="false" ht="15" hidden="false" customHeight="false" outlineLevel="0" collapsed="false">
      <c r="A15109" s="3" t="s">
        <v>324</v>
      </c>
      <c r="G15109" s="16" t="n">
        <f aca="false">G15114+G15127+G15140+G15153+G15166+G15179+G15192+G15205+G15218+G15231</f>
        <v>2625.934</v>
      </c>
      <c r="H15109" s="16" t="n">
        <f aca="false">H15114+H15127+H15140+H15153+H15166+H15179+H15192+H15205+H15218+H15231</f>
        <v>2621.934</v>
      </c>
      <c r="I15109" s="16" t="n">
        <f aca="false">I15114+I15127+I15140+I15153+I15166+I15179+I15192+I15205+I15218+I15231</f>
        <v>2605.832835986</v>
      </c>
      <c r="J15109" s="16" t="n">
        <f aca="false">J15114+J15127+J15140+J15153+J15166+J15179+J15192+J15205+J15218+J15231</f>
        <v>2601.832835986</v>
      </c>
      <c r="K15109" s="16" t="n">
        <f aca="false">K15114+K15127+K15140+K15153+K15166+K15179+K15192+K15205+K15218+K15231</f>
        <v>2597.832835986</v>
      </c>
    </row>
    <row r="15110" customFormat="false" ht="15" hidden="false" customHeight="false" outlineLevel="0" collapsed="false">
      <c r="A15110" s="3" t="s">
        <v>325</v>
      </c>
      <c r="G15110" s="16" t="n">
        <f aca="false">F15302</f>
        <v>37.87</v>
      </c>
      <c r="H15110" s="16" t="n">
        <f aca="false">G15302</f>
        <v>109.4935634</v>
      </c>
      <c r="I15110" s="16" t="n">
        <f aca="false">H15302</f>
        <v>0</v>
      </c>
      <c r="J15110" s="16" t="n">
        <f aca="false">I15302</f>
        <v>-104.603730508847</v>
      </c>
      <c r="K15110" s="16" t="n">
        <f aca="false">J15302</f>
        <v>-214.827802617662</v>
      </c>
    </row>
    <row r="15111" customFormat="false" ht="15" hidden="false" customHeight="false" outlineLevel="0" collapsed="false">
      <c r="A15111" s="3" t="s">
        <v>326</v>
      </c>
      <c r="G15111" s="16" t="n">
        <f aca="false">G15114*IF(G15115=1,$C$15106,IF(Assumptions!$I$57=1,MAX(G15104,Assumptions!$G$57)+Assumptions!$F$57+$C$15105,Assumptions!$E$57))+G15127*IF(G15128=1,$C$15106,IF(Assumptions!$I$58=1,MAX(G15104,Assumptions!$G$58)+Assumptions!$F$58+$C$15105,Assumptions!$E$58))+G15140*IF(G15141=1,$C$15106,IF(Assumptions!$I$59=1,MAX(G15104,Assumptions!$G$59)+Assumptions!$F$59+$C$15105,Assumptions!$E$59))+G15153*IF(G15154=1,$C$15106,IF(Assumptions!$I$60=1,MAX(G15104,Assumptions!$G$60)+Assumptions!$F$60+$C$15105,Assumptions!$E$60))+G15166*IF(G15167=1,$C$15106,IF(Assumptions!$I$61=1,MAX(G15104,Assumptions!$G$61)+Assumptions!$F$61+$C$15105,Assumptions!$E$61))+G15179*IF(G15180=1,$C$15106,IF(Assumptions!$I$62=1,MAX(G15104,Assumptions!$G$62)+Assumptions!$F$62+$C$15105,Assumptions!$E$62))+G15192*IF(G15193=1,$C$15106,IF(Assumptions!$I$63=1,MAX(G15104,Assumptions!$G$63)+Assumptions!$F$63+$C$15105,Assumptions!$E$63))+G15205*IF(G15206=1,$C$15106,IF(Assumptions!$I$64=1,MAX(G15104,Assumptions!$G$64)+Assumptions!$F$64+$C$15105,Assumptions!$E$64))+G15218*IF(G15219=1,$C$15106,IF(Assumptions!$I$65=1,MAX(G15104,Assumptions!$G$65)+Assumptions!$F$65+$C$15105,Assumptions!$E$65))+G15231*IF(G15232=1,$C$15106,IF(Assumptions!$I$66=1,MAX(G15104,Assumptions!$G$66)+Assumptions!$F$66+$C$15105,Assumptions!$E$66))</f>
        <v>187.3888354</v>
      </c>
      <c r="H15111" s="16" t="n">
        <f aca="false">H15114*IF(OR(H15115=1,G15424=1),$C$15106,IF(Assumptions!$I$57=1,MAX(H15104,Assumptions!$G$57)+Assumptions!$F$57+$C$15105,Assumptions!$E$57))+H15127*IF(OR(H15128=1,G15425=1),$C$15106,IF(Assumptions!$I$58=1,MAX(H15104,Assumptions!$G$58)+Assumptions!$F$58+$C$15105,Assumptions!$E$58))+H15140*IF(OR(H15141=1,G15426=1),$C$15106,IF(Assumptions!$I$59=1,MAX(H15104,Assumptions!$G$59)+Assumptions!$F$59+$C$15105,Assumptions!$E$59))+H15153*IF(OR(H15154=1,G15427=1),$C$15106,IF(Assumptions!$I$60=1,MAX(H15104,Assumptions!$G$60)+Assumptions!$F$60+$C$15105,Assumptions!$E$60))+H15166*IF(OR(H15167=1,G15428=1),$C$15106,IF(Assumptions!$I$61=1,MAX(H15104,Assumptions!$G$61)+Assumptions!$F$61+$C$15105,Assumptions!$E$61))+H15179*IF(OR(H15180=1,G15429=1),$C$15106,IF(Assumptions!$I$62=1,MAX(H15104,Assumptions!$G$62)+Assumptions!$F$62+$C$15105,Assumptions!$E$62))+H15192*IF(OR(H15193=1,G15430=1),$C$15106,IF(Assumptions!$I$63=1,MAX(H15104,Assumptions!$G$63)+Assumptions!$F$63+$C$15105,Assumptions!$E$63))+H15205*IF(OR(H15206=1,G15431=1),$C$15106,IF(Assumptions!$I$64=1,MAX(H15104,Assumptions!$G$64)+Assumptions!$F$64+$C$15105,Assumptions!$E$64))+H15218*IF(OR(H15219=1,G15432=1),$C$15106,IF(Assumptions!$I$65=1,MAX(H15104,Assumptions!$G$65)+Assumptions!$F$65+$C$15105,Assumptions!$E$65))+H15231*IF(OR(H15232=1,G15433=1),$C$15106,IF(Assumptions!$I$66=1,MAX(H15104,Assumptions!$G$66)+Assumptions!$F$66+$C$15105,Assumptions!$E$66))</f>
        <v>219.4259204</v>
      </c>
      <c r="I15111" s="16" t="n">
        <f aca="false">I15114*IF(OR(I15115=1,H15424=1),$C$15106,IF(Assumptions!$I$57=1,MAX(I15104,Assumptions!$G$57)+Assumptions!$F$57+$C$15105,Assumptions!$E$57))+I15127*IF(OR(I15128=1,H15425=1),$C$15106,IF(Assumptions!$I$58=1,MAX(I15104,Assumptions!$G$58)+Assumptions!$F$58+$C$15105,Assumptions!$E$58))+I15140*IF(OR(I15141=1,H15426=1),$C$15106,IF(Assumptions!$I$59=1,MAX(I15104,Assumptions!$G$59)+Assumptions!$F$59+$C$15105,Assumptions!$E$59))+I15153*IF(OR(I15154=1,H15427=1),$C$15106,IF(Assumptions!$I$60=1,MAX(I15104,Assumptions!$G$60)+Assumptions!$F$60+$C$15105,Assumptions!$E$60))+I15166*IF(OR(I15167=1,H15428=1),$C$15106,IF(Assumptions!$I$61=1,MAX(I15104,Assumptions!$G$61)+Assumptions!$F$61+$C$15105,Assumptions!$E$61))+I15179*IF(OR(I15180=1,H15429=1),$C$15106,IF(Assumptions!$I$62=1,MAX(I15104,Assumptions!$G$62)+Assumptions!$F$62+$C$15105,Assumptions!$E$62))+I15192*IF(OR(I15193=1,H15430=1),$C$15106,IF(Assumptions!$I$63=1,MAX(I15104,Assumptions!$G$63)+Assumptions!$F$63+$C$15105,Assumptions!$E$63))+I15205*IF(OR(I15206=1,H15431=1),$C$15106,IF(Assumptions!$I$64=1,MAX(I15104,Assumptions!$G$64)+Assumptions!$F$64+$C$15105,Assumptions!$E$64))+I15218*IF(OR(I15219=1,H15432=1),$C$15106,IF(Assumptions!$I$65=1,MAX(I15104,Assumptions!$G$65)+Assumptions!$F$65+$C$15105,Assumptions!$E$65))+I15231*IF(OR(I15232=1,H15433=1),$C$15106,IF(Assumptions!$I$66=1,MAX(I15104,Assumptions!$G$66)+Assumptions!$F$66+$C$15105,Assumptions!$E$66))</f>
        <v>190.363899421447</v>
      </c>
      <c r="J15111" s="16" t="n">
        <f aca="false">J15114*IF(OR(J15115=1,I15424=1),$C$15106,IF(Assumptions!$I$57=1,MAX(J15104,Assumptions!$G$57)+Assumptions!$F$57+$C$15105,Assumptions!$E$57))+J15127*IF(OR(J15128=1,I15425=1),$C$15106,IF(Assumptions!$I$58=1,MAX(J15104,Assumptions!$G$58)+Assumptions!$F$58+$C$15105,Assumptions!$E$58))+J15140*IF(OR(J15141=1,I15426=1),$C$15106,IF(Assumptions!$I$59=1,MAX(J15104,Assumptions!$G$59)+Assumptions!$F$59+$C$15105,Assumptions!$E$59))+J15153*IF(OR(J15154=1,I15427=1),$C$15106,IF(Assumptions!$I$60=1,MAX(J15104,Assumptions!$G$60)+Assumptions!$F$60+$C$15105,Assumptions!$E$60))+J15166*IF(OR(J15167=1,I15428=1),$C$15106,IF(Assumptions!$I$61=1,MAX(J15104,Assumptions!$G$61)+Assumptions!$F$61+$C$15105,Assumptions!$E$61))+J15179*IF(OR(J15180=1,I15429=1),$C$15106,IF(Assumptions!$I$62=1,MAX(J15104,Assumptions!$G$62)+Assumptions!$F$62+$C$15105,Assumptions!$E$62))+J15192*IF(OR(J15193=1,I15430=1),$C$15106,IF(Assumptions!$I$63=1,MAX(J15104,Assumptions!$G$63)+Assumptions!$F$63+$C$15105,Assumptions!$E$63))+J15205*IF(OR(J15206=1,I15431=1),$C$15106,IF(Assumptions!$I$64=1,MAX(J15104,Assumptions!$G$64)+Assumptions!$F$64+$C$15105,Assumptions!$E$64))+J15218*IF(OR(J15219=1,I15432=1),$C$15106,IF(Assumptions!$I$65=1,MAX(J15104,Assumptions!$G$65)+Assumptions!$F$65+$C$15105,Assumptions!$E$65))+J15231*IF(OR(J15232=1,I15433=1),$C$15106,IF(Assumptions!$I$66=1,MAX(J15104,Assumptions!$G$66)+Assumptions!$F$66+$C$15105,Assumptions!$E$66))</f>
        <v>202.841399421447</v>
      </c>
      <c r="K15111" s="16" t="n">
        <f aca="false">K15114*IF(OR(K15115=1,J15424=1),$C$15106,IF(Assumptions!$I$57=1,MAX(K15104,Assumptions!$G$57)+Assumptions!$F$57+$C$15105,Assumptions!$E$57))+K15127*IF(OR(K15128=1,J15425=1),$C$15106,IF(Assumptions!$I$58=1,MAX(K15104,Assumptions!$G$58)+Assumptions!$F$58+$C$15105,Assumptions!$E$58))+K15140*IF(OR(K15141=1,J15426=1),$C$15106,IF(Assumptions!$I$59=1,MAX(K15104,Assumptions!$G$59)+Assumptions!$F$59+$C$15105,Assumptions!$E$59))+K15153*IF(OR(K15154=1,J15427=1),$C$15106,IF(Assumptions!$I$60=1,MAX(K15104,Assumptions!$G$60)+Assumptions!$F$60+$C$15105,Assumptions!$E$60))+K15166*IF(OR(K15167=1,J15428=1),$C$15106,IF(Assumptions!$I$61=1,MAX(K15104,Assumptions!$G$61)+Assumptions!$F$61+$C$15105,Assumptions!$E$61))+K15179*IF(OR(K15180=1,J15429=1),$C$15106,IF(Assumptions!$I$62=1,MAX(K15104,Assumptions!$G$62)+Assumptions!$F$62+$C$15105,Assumptions!$E$62))+K15192*IF(OR(K15193=1,J15430=1),$C$15106,IF(Assumptions!$I$63=1,MAX(K15104,Assumptions!$G$63)+Assumptions!$F$63+$C$15105,Assumptions!$E$63))+K15205*IF(OR(K15206=1,J15431=1),$C$15106,IF(Assumptions!$I$64=1,MAX(K15104,Assumptions!$G$64)+Assumptions!$F$64+$C$15105,Assumptions!$E$64))+K15218*IF(OR(K15219=1,J15432=1),$C$15106,IF(Assumptions!$I$65=1,MAX(K15104,Assumptions!$G$65)+Assumptions!$F$65+$C$15105,Assumptions!$E$65))+K15231*IF(OR(K15232=1,J15433=1),$C$15106,IF(Assumptions!$I$66=1,MAX(K15104,Assumptions!$G$66)+Assumptions!$F$66+$C$15105,Assumptions!$E$66))</f>
        <v>194.021399421447</v>
      </c>
    </row>
    <row r="15112" customFormat="false" ht="15" hidden="false" customHeight="false" outlineLevel="0" collapsed="false">
      <c r="A15112" s="3" t="s">
        <v>327</v>
      </c>
      <c r="G15112" s="21" t="n">
        <f aca="false">IF(G15088&lt;=0,0,IF(AND((G15109-G15110)/G15088&lt;=$C$15107,G15088/G15111&gt;=$C$15108),1,0))</f>
        <v>0</v>
      </c>
      <c r="H15112" s="21" t="n">
        <f aca="false">IF(H15088&lt;=0,0,IF(AND((H15109-H15110)/H15088&lt;=$C$15107,H15088/H15111&gt;=$C$15108),1,0))</f>
        <v>0</v>
      </c>
      <c r="I15112" s="21" t="n">
        <f aca="false">IF(I15088&lt;=0,0,IF(AND((I15109-I15110)/I15088&lt;=$C$15107,I15088/I15111&gt;=$C$15108),1,0))</f>
        <v>0</v>
      </c>
      <c r="J15112" s="21" t="n">
        <f aca="false">IF(J15088&lt;=0,0,IF(AND((J15109-J15110)/J15088&lt;=$C$15107,J15088/J15111&gt;=$C$15108),1,0))</f>
        <v>0</v>
      </c>
      <c r="K15112" s="21" t="n">
        <f aca="false">IF(K15088&lt;=0,0,IF(AND((K15109-K15110)/K15088&lt;=$C$15107,K15088/K15111&gt;=$C$15108),1,0))</f>
        <v>0</v>
      </c>
    </row>
    <row r="15113" customFormat="false" ht="15" hidden="false" customHeight="false" outlineLevel="0" collapsed="false">
      <c r="A15113" s="24" t="s">
        <v>328</v>
      </c>
      <c r="B15113" s="25"/>
      <c r="C15113" s="25"/>
      <c r="D15113" s="25"/>
      <c r="E15113" s="25"/>
      <c r="F15113" s="25"/>
      <c r="G15113" s="25"/>
      <c r="H15113" s="25"/>
      <c r="I15113" s="25"/>
      <c r="J15113" s="25"/>
      <c r="K15113" s="25"/>
    </row>
    <row r="15114" customFormat="false" ht="15" hidden="false" customHeight="false" outlineLevel="0" collapsed="false">
      <c r="A15114" s="3" t="s">
        <v>329</v>
      </c>
      <c r="G15114" s="16" t="n">
        <f aca="false">F15125</f>
        <v>400</v>
      </c>
      <c r="H15114" s="16" t="n">
        <f aca="false">G15125</f>
        <v>396</v>
      </c>
      <c r="I15114" s="16" t="n">
        <f aca="false">H15125</f>
        <v>392</v>
      </c>
      <c r="J15114" s="16" t="n">
        <f aca="false">I15125</f>
        <v>388</v>
      </c>
      <c r="K15114" s="16" t="n">
        <f aca="false">J15125</f>
        <v>384</v>
      </c>
    </row>
    <row r="15115" customFormat="false" ht="15" hidden="false" customHeight="false" outlineLevel="0" collapsed="false">
      <c r="A15115" s="3" t="s">
        <v>330</v>
      </c>
      <c r="G15115" s="21" t="n">
        <f aca="false">IF(G15078=Assumptions!$K$57,1,0)</f>
        <v>0</v>
      </c>
      <c r="H15115" s="21" t="n">
        <f aca="false">IF(H15078=Assumptions!$K$57,1,0)</f>
        <v>0</v>
      </c>
      <c r="I15115" s="21" t="n">
        <f aca="false">IF(I15078=Assumptions!$K$57,1,0)</f>
        <v>0</v>
      </c>
      <c r="J15115" s="21" t="n">
        <f aca="false">IF(J15078=Assumptions!$K$57,1,0)</f>
        <v>0</v>
      </c>
      <c r="K15115" s="21" t="n">
        <f aca="false">IF(K15078=Assumptions!$K$57,1,0)</f>
        <v>1</v>
      </c>
    </row>
    <row r="15117" customFormat="false" ht="15" hidden="false" customHeight="false" outlineLevel="0" collapsed="false">
      <c r="A15117" s="3" t="s">
        <v>331</v>
      </c>
      <c r="G15117" s="31" t="n">
        <f aca="false">IF(Assumptions!$I$57=1,MAX(G15104,Assumptions!$G$57)+Assumptions!$F$57+$C$15105,Assumptions!$E$57)</f>
        <v>0.1065</v>
      </c>
      <c r="H15117" s="31" t="n">
        <f aca="false">IF(G15424=1,$C$15106,IF(Assumptions!$I$57=1,MAX(H15104,Assumptions!$G$57)+Assumptions!$F$57+$C$15105,Assumptions!$E$57))</f>
        <v>0.105</v>
      </c>
      <c r="I15117" s="31" t="n">
        <f aca="false">IF(H15424=1,$C$15106,IF(Assumptions!$I$57=1,MAX(I15104,Assumptions!$G$57)+Assumptions!$F$57+$C$15105,Assumptions!$E$57))</f>
        <v>0.1025</v>
      </c>
      <c r="J15117" s="31" t="n">
        <f aca="false">IF(I15424=1,$C$15106,IF(Assumptions!$I$57=1,MAX(J15104,Assumptions!$G$57)+Assumptions!$F$57+$C$15105,Assumptions!$E$57))</f>
        <v>0.1025</v>
      </c>
      <c r="K15117" s="31" t="n">
        <f aca="false">IF(J15424=1,$C$15106,IF(Assumptions!$I$57=1,MAX(K15104,Assumptions!$G$57)+Assumptions!$F$57+$C$15105,Assumptions!$E$57))</f>
        <v>0.1025</v>
      </c>
    </row>
    <row r="15118" customFormat="false" ht="15" hidden="false" customHeight="false" outlineLevel="0" collapsed="false">
      <c r="A15118" s="3" t="s">
        <v>332</v>
      </c>
      <c r="G15118" s="16" t="n">
        <f aca="false">G15114*G15117</f>
        <v>42.6</v>
      </c>
      <c r="H15118" s="16" t="n">
        <f aca="false">H15114*H15117</f>
        <v>41.58</v>
      </c>
      <c r="I15118" s="16" t="n">
        <f aca="false">I15114*I15117</f>
        <v>40.18</v>
      </c>
      <c r="J15118" s="16" t="n">
        <f aca="false">J15114*J15117</f>
        <v>39.77</v>
      </c>
      <c r="K15118" s="16" t="n">
        <f aca="false">K15114*K15117</f>
        <v>39.36</v>
      </c>
    </row>
    <row r="15119" customFormat="false" ht="15" hidden="false" customHeight="false" outlineLevel="0" collapsed="false">
      <c r="A15119" s="3" t="s">
        <v>333</v>
      </c>
      <c r="G15119" s="16" t="n">
        <f aca="false">G15114*Assumptions!$H$57</f>
        <v>0</v>
      </c>
      <c r="H15119" s="16" t="n">
        <f aca="false">H15114*Assumptions!$H$57</f>
        <v>0</v>
      </c>
      <c r="I15119" s="16" t="n">
        <f aca="false">I15114*Assumptions!$H$57</f>
        <v>0</v>
      </c>
      <c r="J15119" s="16" t="n">
        <f aca="false">J15114*Assumptions!$H$57</f>
        <v>0</v>
      </c>
      <c r="K15119" s="16" t="n">
        <f aca="false">K15114*Assumptions!$H$57</f>
        <v>0</v>
      </c>
    </row>
    <row r="15120" customFormat="false" ht="15" hidden="false" customHeight="false" outlineLevel="0" collapsed="false">
      <c r="A15120" s="3" t="s">
        <v>334</v>
      </c>
      <c r="G15120" s="16" t="n">
        <f aca="false">MIN(G15114,Assumptions!$L$57*Assumptions!$C$57)</f>
        <v>4</v>
      </c>
      <c r="H15120" s="16" t="n">
        <f aca="false">MIN(H15114,Assumptions!$L$57*Assumptions!$C$57)</f>
        <v>4</v>
      </c>
      <c r="I15120" s="16" t="n">
        <f aca="false">MIN(I15114,Assumptions!$L$57*Assumptions!$C$57)</f>
        <v>4</v>
      </c>
      <c r="J15120" s="16" t="n">
        <f aca="false">MIN(J15114,Assumptions!$L$57*Assumptions!$C$57)</f>
        <v>4</v>
      </c>
      <c r="K15120" s="16" t="n">
        <f aca="false">MIN(K15114,Assumptions!$L$57*Assumptions!$C$57)</f>
        <v>4</v>
      </c>
    </row>
    <row r="15121" customFormat="false" ht="15" hidden="false" customHeight="false" outlineLevel="0" collapsed="false">
      <c r="A15121" s="3" t="s">
        <v>335</v>
      </c>
      <c r="G15121" s="16" t="n">
        <f aca="false">IF(AND(Assumptions!$P$57=1,G15078&lt;Assumptions!$K$57),MIN(MAX(0,-G15294),MAX(0,Assumptions!$D$57-G15114)),0)</f>
        <v>0</v>
      </c>
      <c r="H15121" s="16" t="n">
        <f aca="false">IF(AND(Assumptions!$P$57=1,OR(H15078&lt;Assumptions!$K$57,G15424=1)),MIN(MAX(0,-H15294),MAX(0,Assumptions!$D$57-H15114)),0)</f>
        <v>0</v>
      </c>
      <c r="I15121" s="16" t="n">
        <f aca="false">IF(AND(Assumptions!$P$57=1,OR(I15078&lt;Assumptions!$K$57,H15424=1)),MIN(MAX(0,-I15294),MAX(0,Assumptions!$D$57-I15114)),0)</f>
        <v>0</v>
      </c>
      <c r="J15121" s="16" t="n">
        <f aca="false">IF(AND(Assumptions!$P$57=1,OR(J15078&lt;Assumptions!$K$57,I15424=1)),MIN(MAX(0,-J15294),MAX(0,Assumptions!$D$57-J15114)),0)</f>
        <v>0</v>
      </c>
      <c r="K15121" s="16" t="n">
        <f aca="false">IF(AND(Assumptions!$P$57=1,OR(K15078&lt;Assumptions!$K$57,J15424=1)),MIN(MAX(0,-K15294),MAX(0,Assumptions!$D$57-K15114)),0)</f>
        <v>0</v>
      </c>
    </row>
    <row r="15122" customFormat="false" ht="15" hidden="false" customHeight="false" outlineLevel="0" collapsed="false">
      <c r="A15122" s="3" t="s">
        <v>336</v>
      </c>
      <c r="G15122" s="16" t="n">
        <f aca="false">G15115*MIN(G15114-G15120+G15119,MAX(0,G15296-Assumptions!$C$12*G15112))</f>
        <v>0</v>
      </c>
      <c r="H15122" s="16" t="n">
        <f aca="false">H15115*MIN(H15114-H15120+H15119,MAX(0,H15296-Assumptions!$C$12*H15112))</f>
        <v>0</v>
      </c>
      <c r="I15122" s="16" t="n">
        <f aca="false">I15115*MIN(I15114-I15120+I15119,MAX(0,I15296-Assumptions!$C$12*I15112))</f>
        <v>0</v>
      </c>
      <c r="J15122" s="16" t="n">
        <f aca="false">J15115*MIN(J15114-J15120+J15119,MAX(0,J15296-Assumptions!$C$12*J15112))</f>
        <v>0</v>
      </c>
      <c r="K15122" s="16" t="n">
        <f aca="false">K15115*MIN(K15114-K15120+K15119,MAX(0,K15296-Assumptions!$C$12*K15112))</f>
        <v>0</v>
      </c>
    </row>
    <row r="15123" customFormat="false" ht="15" hidden="false" customHeight="false" outlineLevel="0" collapsed="false">
      <c r="A15123" s="3" t="s">
        <v>337</v>
      </c>
      <c r="G15123" s="16" t="n">
        <f aca="false">Assumptions!$N$57*MIN(G15114+G15121+G15119-G15120-G15122,MAX(0,G15300))</f>
        <v>0</v>
      </c>
      <c r="H15123" s="16" t="n">
        <f aca="false">Assumptions!$N$57*MIN(H15114+H15121+H15119-H15120-H15122,MAX(0,H15300))</f>
        <v>0</v>
      </c>
      <c r="I15123" s="16" t="n">
        <f aca="false">Assumptions!$N$57*MIN(I15114+I15121+I15119-I15120-I15122,MAX(0,I15300))</f>
        <v>0</v>
      </c>
      <c r="J15123" s="16" t="n">
        <f aca="false">Assumptions!$N$57*MIN(J15114+J15121+J15119-J15120-J15122,MAX(0,J15300))</f>
        <v>0</v>
      </c>
      <c r="K15123" s="16" t="n">
        <f aca="false">Assumptions!$N$57*MIN(K15114+K15121+K15119-K15120-K15122,MAX(0,K15300))</f>
        <v>0</v>
      </c>
    </row>
    <row r="15124" customFormat="false" ht="15" hidden="false" customHeight="false" outlineLevel="0" collapsed="false">
      <c r="A15124" s="3" t="s">
        <v>338</v>
      </c>
      <c r="G15124" s="16" t="n">
        <f aca="false">G15115*(1-G15112)*(G15114-G15120+G15119-G15122)</f>
        <v>0</v>
      </c>
      <c r="H15124" s="16" t="n">
        <f aca="false">H15115*(1-H15112)*(H15114-H15120+H15119-H15122)</f>
        <v>0</v>
      </c>
      <c r="I15124" s="16" t="n">
        <f aca="false">I15115*(1-I15112)*(I15114-I15120+I15119-I15122)</f>
        <v>0</v>
      </c>
      <c r="J15124" s="16" t="n">
        <f aca="false">J15115*(1-J15112)*(J15114-J15120+J15119-J15122)</f>
        <v>0</v>
      </c>
      <c r="K15124" s="16" t="n">
        <f aca="false">K15115*(1-K15112)*(K15114-K15120+K15119-K15122)</f>
        <v>380</v>
      </c>
    </row>
    <row r="15125" customFormat="false" ht="15" hidden="false" customHeight="false" outlineLevel="0" collapsed="false">
      <c r="A15125" s="2" t="s">
        <v>339</v>
      </c>
      <c r="F15125" s="28" t="n">
        <f aca="false">Assumptions!$C$57</f>
        <v>400</v>
      </c>
      <c r="G15125" s="17" t="n">
        <f aca="false">G15114+G15121+G15119-G15120-G15122-G15123</f>
        <v>396</v>
      </c>
      <c r="H15125" s="17" t="n">
        <f aca="false">H15114+H15121+H15119-H15120-H15122-H15123</f>
        <v>392</v>
      </c>
      <c r="I15125" s="17" t="n">
        <f aca="false">I15114+I15121+I15119-I15120-I15122-I15123</f>
        <v>388</v>
      </c>
      <c r="J15125" s="17" t="n">
        <f aca="false">J15114+J15121+J15119-J15120-J15122-J15123</f>
        <v>384</v>
      </c>
      <c r="K15125" s="17" t="n">
        <f aca="false">K15114+K15121+K15119-K15120-K15122-K15123</f>
        <v>380</v>
      </c>
    </row>
    <row r="15126" customFormat="false" ht="15" hidden="false" customHeight="false" outlineLevel="0" collapsed="false">
      <c r="A15126" s="24" t="s">
        <v>340</v>
      </c>
      <c r="B15126" s="25"/>
      <c r="C15126" s="25"/>
      <c r="D15126" s="25"/>
      <c r="E15126" s="25"/>
      <c r="F15126" s="25"/>
      <c r="G15126" s="25"/>
      <c r="H15126" s="25"/>
      <c r="I15126" s="25"/>
      <c r="J15126" s="25"/>
      <c r="K15126" s="25"/>
    </row>
    <row r="15127" customFormat="false" ht="15" hidden="false" customHeight="false" outlineLevel="0" collapsed="false">
      <c r="A15127" s="3" t="s">
        <v>329</v>
      </c>
      <c r="G15127" s="16" t="n">
        <f aca="false">F15138</f>
        <v>90</v>
      </c>
      <c r="H15127" s="16" t="n">
        <f aca="false">G15138</f>
        <v>90</v>
      </c>
      <c r="I15127" s="16" t="n">
        <f aca="false">H15138</f>
        <v>90</v>
      </c>
      <c r="J15127" s="16" t="n">
        <f aca="false">I15138</f>
        <v>90</v>
      </c>
      <c r="K15127" s="16" t="n">
        <f aca="false">J15138</f>
        <v>90</v>
      </c>
    </row>
    <row r="15128" customFormat="false" ht="15" hidden="false" customHeight="false" outlineLevel="0" collapsed="false">
      <c r="A15128" s="3" t="s">
        <v>330</v>
      </c>
      <c r="G15128" s="21" t="n">
        <f aca="false">IF(G15078=Assumptions!$K$58,1,0)</f>
        <v>0</v>
      </c>
      <c r="H15128" s="21" t="n">
        <f aca="false">IF(H15078=Assumptions!$K$58,1,0)</f>
        <v>0</v>
      </c>
      <c r="I15128" s="21" t="n">
        <f aca="false">IF(I15078=Assumptions!$K$58,1,0)</f>
        <v>0</v>
      </c>
      <c r="J15128" s="21" t="n">
        <f aca="false">IF(J15078=Assumptions!$K$58,1,0)</f>
        <v>0</v>
      </c>
      <c r="K15128" s="21" t="n">
        <f aca="false">IF(K15078=Assumptions!$K$58,1,0)</f>
        <v>0</v>
      </c>
    </row>
    <row r="15130" customFormat="false" ht="15" hidden="false" customHeight="false" outlineLevel="0" collapsed="false">
      <c r="A15130" s="3" t="s">
        <v>331</v>
      </c>
      <c r="G15130" s="31" t="n">
        <f aca="false">IF(Assumptions!$I$58=1,MAX(G15104,Assumptions!$G$58)+Assumptions!$F$58+$C$15105,Assumptions!$E$58)</f>
        <v>0.0581</v>
      </c>
      <c r="H15130" s="31" t="n">
        <f aca="false">IF(G15425=1,$C$15106,IF(Assumptions!$I$58=1,MAX(H15104,Assumptions!$G$58)+Assumptions!$F$58+$C$15105,Assumptions!$E$58))</f>
        <v>0.0581</v>
      </c>
      <c r="I15130" s="31" t="n">
        <f aca="false">IF(H15425=1,$C$15106,IF(Assumptions!$I$58=1,MAX(I15104,Assumptions!$G$58)+Assumptions!$F$58+$C$15105,Assumptions!$E$58))</f>
        <v>0.0581</v>
      </c>
      <c r="J15130" s="31" t="n">
        <f aca="false">IF(I15425=1,$C$15106,IF(Assumptions!$I$58=1,MAX(J15104,Assumptions!$G$58)+Assumptions!$F$58+$C$15105,Assumptions!$E$58))</f>
        <v>0.0581</v>
      </c>
      <c r="K15130" s="31" t="n">
        <f aca="false">IF(J15425=1,$C$15106,IF(Assumptions!$I$58=1,MAX(K15104,Assumptions!$G$58)+Assumptions!$F$58+$C$15105,Assumptions!$E$58))</f>
        <v>0.0581</v>
      </c>
    </row>
    <row r="15131" customFormat="false" ht="15" hidden="false" customHeight="false" outlineLevel="0" collapsed="false">
      <c r="A15131" s="3" t="s">
        <v>332</v>
      </c>
      <c r="G15131" s="16" t="n">
        <f aca="false">G15127*G15130</f>
        <v>5.229</v>
      </c>
      <c r="H15131" s="16" t="n">
        <f aca="false">H15127*H15130</f>
        <v>5.229</v>
      </c>
      <c r="I15131" s="16" t="n">
        <f aca="false">I15127*I15130</f>
        <v>5.229</v>
      </c>
      <c r="J15131" s="16" t="n">
        <f aca="false">J15127*J15130</f>
        <v>5.229</v>
      </c>
      <c r="K15131" s="16" t="n">
        <f aca="false">K15127*K15130</f>
        <v>5.229</v>
      </c>
    </row>
    <row r="15132" customFormat="false" ht="15" hidden="false" customHeight="false" outlineLevel="0" collapsed="false">
      <c r="A15132" s="3" t="s">
        <v>333</v>
      </c>
      <c r="G15132" s="16" t="n">
        <f aca="false">G15127*Assumptions!$H$58</f>
        <v>0</v>
      </c>
      <c r="H15132" s="16" t="n">
        <f aca="false">H15127*Assumptions!$H$58</f>
        <v>0</v>
      </c>
      <c r="I15132" s="16" t="n">
        <f aca="false">I15127*Assumptions!$H$58</f>
        <v>0</v>
      </c>
      <c r="J15132" s="16" t="n">
        <f aca="false">J15127*Assumptions!$H$58</f>
        <v>0</v>
      </c>
      <c r="K15132" s="16" t="n">
        <f aca="false">K15127*Assumptions!$H$58</f>
        <v>0</v>
      </c>
    </row>
    <row r="15133" customFormat="false" ht="15" hidden="false" customHeight="false" outlineLevel="0" collapsed="false">
      <c r="A15133" s="3" t="s">
        <v>334</v>
      </c>
      <c r="G15133" s="16" t="n">
        <f aca="false">MIN(G15127,Assumptions!$L$58*Assumptions!$C$58)</f>
        <v>0</v>
      </c>
      <c r="H15133" s="16" t="n">
        <f aca="false">MIN(H15127,Assumptions!$L$58*Assumptions!$C$58)</f>
        <v>0</v>
      </c>
      <c r="I15133" s="16" t="n">
        <f aca="false">MIN(I15127,Assumptions!$L$58*Assumptions!$C$58)</f>
        <v>0</v>
      </c>
      <c r="J15133" s="16" t="n">
        <f aca="false">MIN(J15127,Assumptions!$L$58*Assumptions!$C$58)</f>
        <v>0</v>
      </c>
      <c r="K15133" s="16" t="n">
        <f aca="false">MIN(K15127,Assumptions!$L$58*Assumptions!$C$58)</f>
        <v>0</v>
      </c>
    </row>
    <row r="15134" customFormat="false" ht="15" hidden="false" customHeight="false" outlineLevel="0" collapsed="false">
      <c r="A15134" s="3" t="s">
        <v>335</v>
      </c>
      <c r="G15134" s="16" t="n">
        <f aca="false">IF(AND(Assumptions!$P$58=1,G15078&lt;Assumptions!$K$58),MIN(MAX(0,-G15294),MAX(0,Assumptions!$D$58-G15127)),0)</f>
        <v>0</v>
      </c>
      <c r="H15134" s="16" t="n">
        <f aca="false">IF(AND(Assumptions!$P$58=1,OR(H15078&lt;Assumptions!$K$58,G15425=1)),MIN(MAX(0,-H15294),MAX(0,Assumptions!$D$58-H15127)),0)</f>
        <v>0</v>
      </c>
      <c r="I15134" s="16" t="n">
        <f aca="false">IF(AND(Assumptions!$P$58=1,OR(I15078&lt;Assumptions!$K$58,H15425=1)),MIN(MAX(0,-I15294),MAX(0,Assumptions!$D$58-I15127)),0)</f>
        <v>0</v>
      </c>
      <c r="J15134" s="16" t="n">
        <f aca="false">IF(AND(Assumptions!$P$58=1,OR(J15078&lt;Assumptions!$K$58,I15425=1)),MIN(MAX(0,-J15294),MAX(0,Assumptions!$D$58-J15127)),0)</f>
        <v>0</v>
      </c>
      <c r="K15134" s="16" t="n">
        <f aca="false">IF(AND(Assumptions!$P$58=1,OR(K15078&lt;Assumptions!$K$58,J15425=1)),MIN(MAX(0,-K15294),MAX(0,Assumptions!$D$58-K15127)),0)</f>
        <v>0</v>
      </c>
    </row>
    <row r="15135" customFormat="false" ht="15" hidden="false" customHeight="false" outlineLevel="0" collapsed="false">
      <c r="A15135" s="3" t="s">
        <v>336</v>
      </c>
      <c r="G15135" s="16" t="n">
        <f aca="false">G15128*MIN(G15127-G15133+G15132,MAX(0,G15296-Assumptions!$C$12*G15112-G15122))</f>
        <v>0</v>
      </c>
      <c r="H15135" s="16" t="n">
        <f aca="false">H15128*MIN(H15127-H15133+H15132,MAX(0,H15296-Assumptions!$C$12*H15112-H15122))</f>
        <v>0</v>
      </c>
      <c r="I15135" s="16" t="n">
        <f aca="false">I15128*MIN(I15127-I15133+I15132,MAX(0,I15296-Assumptions!$C$12*I15112-I15122))</f>
        <v>0</v>
      </c>
      <c r="J15135" s="16" t="n">
        <f aca="false">J15128*MIN(J15127-J15133+J15132,MAX(0,J15296-Assumptions!$C$12*J15112-J15122))</f>
        <v>0</v>
      </c>
      <c r="K15135" s="16" t="n">
        <f aca="false">K15128*MIN(K15127-K15133+K15132,MAX(0,K15296-Assumptions!$C$12*K15112-K15122))</f>
        <v>0</v>
      </c>
    </row>
    <row r="15136" customFormat="false" ht="15" hidden="false" customHeight="false" outlineLevel="0" collapsed="false">
      <c r="A15136" s="3" t="s">
        <v>337</v>
      </c>
      <c r="G15136" s="16" t="n">
        <f aca="false">Assumptions!$N$58*MIN(G15127+G15134+G15132-G15133-G15135,MAX(0,G15300-G15123))</f>
        <v>0</v>
      </c>
      <c r="H15136" s="16" t="n">
        <f aca="false">Assumptions!$N$58*MIN(H15127+H15134+H15132-H15133-H15135,MAX(0,H15300-H15123))</f>
        <v>0</v>
      </c>
      <c r="I15136" s="16" t="n">
        <f aca="false">Assumptions!$N$58*MIN(I15127+I15134+I15132-I15133-I15135,MAX(0,I15300-I15123))</f>
        <v>0</v>
      </c>
      <c r="J15136" s="16" t="n">
        <f aca="false">Assumptions!$N$58*MIN(J15127+J15134+J15132-J15133-J15135,MAX(0,J15300-J15123))</f>
        <v>0</v>
      </c>
      <c r="K15136" s="16" t="n">
        <f aca="false">Assumptions!$N$58*MIN(K15127+K15134+K15132-K15133-K15135,MAX(0,K15300-K15123))</f>
        <v>0</v>
      </c>
    </row>
    <row r="15137" customFormat="false" ht="15" hidden="false" customHeight="false" outlineLevel="0" collapsed="false">
      <c r="A15137" s="3" t="s">
        <v>338</v>
      </c>
      <c r="G15137" s="16" t="n">
        <f aca="false">G15128*(1-G15112)*(G15127-G15133+G15132-G15135)</f>
        <v>0</v>
      </c>
      <c r="H15137" s="16" t="n">
        <f aca="false">H15128*(1-H15112)*(H15127-H15133+H15132-H15135)</f>
        <v>0</v>
      </c>
      <c r="I15137" s="16" t="n">
        <f aca="false">I15128*(1-I15112)*(I15127-I15133+I15132-I15135)</f>
        <v>0</v>
      </c>
      <c r="J15137" s="16" t="n">
        <f aca="false">J15128*(1-J15112)*(J15127-J15133+J15132-J15135)</f>
        <v>0</v>
      </c>
      <c r="K15137" s="16" t="n">
        <f aca="false">K15128*(1-K15112)*(K15127-K15133+K15132-K15135)</f>
        <v>0</v>
      </c>
    </row>
    <row r="15138" customFormat="false" ht="15" hidden="false" customHeight="false" outlineLevel="0" collapsed="false">
      <c r="A15138" s="2" t="s">
        <v>339</v>
      </c>
      <c r="F15138" s="28" t="n">
        <f aca="false">Assumptions!$C$58</f>
        <v>90</v>
      </c>
      <c r="G15138" s="17" t="n">
        <f aca="false">G15127+G15134+G15132-G15133-G15135-G15136</f>
        <v>90</v>
      </c>
      <c r="H15138" s="17" t="n">
        <f aca="false">H15127+H15134+H15132-H15133-H15135-H15136</f>
        <v>90</v>
      </c>
      <c r="I15138" s="17" t="n">
        <f aca="false">I15127+I15134+I15132-I15133-I15135-I15136</f>
        <v>90</v>
      </c>
      <c r="J15138" s="17" t="n">
        <f aca="false">J15127+J15134+J15132-J15133-J15135-J15136</f>
        <v>90</v>
      </c>
      <c r="K15138" s="17" t="n">
        <f aca="false">K15127+K15134+K15132-K15133-K15135-K15136</f>
        <v>90</v>
      </c>
    </row>
    <row r="15139" customFormat="false" ht="15" hidden="false" customHeight="false" outlineLevel="0" collapsed="false">
      <c r="A15139" s="24" t="s">
        <v>341</v>
      </c>
      <c r="B15139" s="25"/>
      <c r="C15139" s="25"/>
      <c r="D15139" s="25"/>
      <c r="E15139" s="25"/>
      <c r="F15139" s="25"/>
      <c r="G15139" s="25"/>
      <c r="H15139" s="25"/>
      <c r="I15139" s="25"/>
      <c r="J15139" s="25"/>
      <c r="K15139" s="25"/>
    </row>
    <row r="15140" customFormat="false" ht="15" hidden="false" customHeight="false" outlineLevel="0" collapsed="false">
      <c r="A15140" s="3" t="s">
        <v>329</v>
      </c>
      <c r="G15140" s="16" t="n">
        <f aca="false">F15151</f>
        <v>57.324</v>
      </c>
      <c r="H15140" s="16" t="n">
        <f aca="false">G15151</f>
        <v>57.324</v>
      </c>
      <c r="I15140" s="16" t="n">
        <f aca="false">H15151</f>
        <v>57.324</v>
      </c>
      <c r="J15140" s="16" t="n">
        <f aca="false">I15151</f>
        <v>57.324</v>
      </c>
      <c r="K15140" s="16" t="n">
        <f aca="false">J15151</f>
        <v>57.324</v>
      </c>
    </row>
    <row r="15141" customFormat="false" ht="15" hidden="false" customHeight="false" outlineLevel="0" collapsed="false">
      <c r="A15141" s="3" t="s">
        <v>330</v>
      </c>
      <c r="G15141" s="21" t="n">
        <f aca="false">IF(G15078=Assumptions!$K$59,1,0)</f>
        <v>0</v>
      </c>
      <c r="H15141" s="21" t="n">
        <f aca="false">IF(H15078=Assumptions!$K$59,1,0)</f>
        <v>0</v>
      </c>
      <c r="I15141" s="21" t="n">
        <f aca="false">IF(I15078=Assumptions!$K$59,1,0)</f>
        <v>0</v>
      </c>
      <c r="J15141" s="21" t="n">
        <f aca="false">IF(J15078=Assumptions!$K$59,1,0)</f>
        <v>0</v>
      </c>
      <c r="K15141" s="21" t="n">
        <f aca="false">IF(K15078=Assumptions!$K$59,1,0)</f>
        <v>0</v>
      </c>
    </row>
    <row r="15143" customFormat="false" ht="15" hidden="false" customHeight="false" outlineLevel="0" collapsed="false">
      <c r="A15143" s="3" t="s">
        <v>331</v>
      </c>
      <c r="G15143" s="31" t="n">
        <f aca="false">IF(Assumptions!$I$59=1,MAX(G15104,Assumptions!$G$59)+Assumptions!$F$59+$C$15105,Assumptions!$E$59)</f>
        <v>0.0731</v>
      </c>
      <c r="H15143" s="31" t="n">
        <f aca="false">IF(G15426=1,$C$15106,IF(Assumptions!$I$59=1,MAX(H15104,Assumptions!$G$59)+Assumptions!$F$59+$C$15105,Assumptions!$E$59))</f>
        <v>0.0731</v>
      </c>
      <c r="I15143" s="31" t="n">
        <f aca="false">IF(H15426=1,$C$15106,IF(Assumptions!$I$59=1,MAX(I15104,Assumptions!$G$59)+Assumptions!$F$59+$C$15105,Assumptions!$E$59))</f>
        <v>0.0731</v>
      </c>
      <c r="J15143" s="31" t="n">
        <f aca="false">IF(I15426=1,$C$15106,IF(Assumptions!$I$59=1,MAX(J15104,Assumptions!$G$59)+Assumptions!$F$59+$C$15105,Assumptions!$E$59))</f>
        <v>0.0731</v>
      </c>
      <c r="K15143" s="31" t="n">
        <f aca="false">IF(J15426=1,$C$15106,IF(Assumptions!$I$59=1,MAX(K15104,Assumptions!$G$59)+Assumptions!$F$59+$C$15105,Assumptions!$E$59))</f>
        <v>0.0731</v>
      </c>
    </row>
    <row r="15144" customFormat="false" ht="15" hidden="false" customHeight="false" outlineLevel="0" collapsed="false">
      <c r="A15144" s="3" t="s">
        <v>332</v>
      </c>
      <c r="G15144" s="16" t="n">
        <f aca="false">G15140*G15143</f>
        <v>4.1903844</v>
      </c>
      <c r="H15144" s="16" t="n">
        <f aca="false">H15140*H15143</f>
        <v>4.1903844</v>
      </c>
      <c r="I15144" s="16" t="n">
        <f aca="false">I15140*I15143</f>
        <v>4.1903844</v>
      </c>
      <c r="J15144" s="16" t="n">
        <f aca="false">J15140*J15143</f>
        <v>4.1903844</v>
      </c>
      <c r="K15144" s="16" t="n">
        <f aca="false">K15140*K15143</f>
        <v>4.1903844</v>
      </c>
    </row>
    <row r="15145" customFormat="false" ht="15" hidden="false" customHeight="false" outlineLevel="0" collapsed="false">
      <c r="A15145" s="3" t="s">
        <v>333</v>
      </c>
      <c r="G15145" s="16" t="n">
        <f aca="false">G15140*Assumptions!$H$59</f>
        <v>0</v>
      </c>
      <c r="H15145" s="16" t="n">
        <f aca="false">H15140*Assumptions!$H$59</f>
        <v>0</v>
      </c>
      <c r="I15145" s="16" t="n">
        <f aca="false">I15140*Assumptions!$H$59</f>
        <v>0</v>
      </c>
      <c r="J15145" s="16" t="n">
        <f aca="false">J15140*Assumptions!$H$59</f>
        <v>0</v>
      </c>
      <c r="K15145" s="16" t="n">
        <f aca="false">K15140*Assumptions!$H$59</f>
        <v>0</v>
      </c>
    </row>
    <row r="15146" customFormat="false" ht="15" hidden="false" customHeight="false" outlineLevel="0" collapsed="false">
      <c r="A15146" s="3" t="s">
        <v>334</v>
      </c>
      <c r="G15146" s="16" t="n">
        <f aca="false">MIN(G15140,Assumptions!$L$59*Assumptions!$C$59)</f>
        <v>0</v>
      </c>
      <c r="H15146" s="16" t="n">
        <f aca="false">MIN(H15140,Assumptions!$L$59*Assumptions!$C$59)</f>
        <v>0</v>
      </c>
      <c r="I15146" s="16" t="n">
        <f aca="false">MIN(I15140,Assumptions!$L$59*Assumptions!$C$59)</f>
        <v>0</v>
      </c>
      <c r="J15146" s="16" t="n">
        <f aca="false">MIN(J15140,Assumptions!$L$59*Assumptions!$C$59)</f>
        <v>0</v>
      </c>
      <c r="K15146" s="16" t="n">
        <f aca="false">MIN(K15140,Assumptions!$L$59*Assumptions!$C$59)</f>
        <v>0</v>
      </c>
    </row>
    <row r="15147" customFormat="false" ht="15" hidden="false" customHeight="false" outlineLevel="0" collapsed="false">
      <c r="A15147" s="3" t="s">
        <v>335</v>
      </c>
      <c r="G15147" s="16" t="n">
        <f aca="false">IF(AND(Assumptions!$P$59=1,G15078&lt;Assumptions!$K$59),MIN(MAX(0,-G15294),MAX(0,Assumptions!$D$59-G15140)),0)</f>
        <v>0</v>
      </c>
      <c r="H15147" s="16" t="n">
        <f aca="false">IF(AND(Assumptions!$P$59=1,OR(H15078&lt;Assumptions!$K$59,G15426=1)),MIN(MAX(0,-H15294),MAX(0,Assumptions!$D$59-H15140)),0)</f>
        <v>0</v>
      </c>
      <c r="I15147" s="16" t="n">
        <f aca="false">IF(AND(Assumptions!$P$59=1,OR(I15078&lt;Assumptions!$K$59,H15426=1)),MIN(MAX(0,-I15294),MAX(0,Assumptions!$D$59-I15140)),0)</f>
        <v>0</v>
      </c>
      <c r="J15147" s="16" t="n">
        <f aca="false">IF(AND(Assumptions!$P$59=1,OR(J15078&lt;Assumptions!$K$59,I15426=1)),MIN(MAX(0,-J15294),MAX(0,Assumptions!$D$59-J15140)),0)</f>
        <v>0</v>
      </c>
      <c r="K15147" s="16" t="n">
        <f aca="false">IF(AND(Assumptions!$P$59=1,OR(K15078&lt;Assumptions!$K$59,J15426=1)),MIN(MAX(0,-K15294),MAX(0,Assumptions!$D$59-K15140)),0)</f>
        <v>0</v>
      </c>
    </row>
    <row r="15148" customFormat="false" ht="15" hidden="false" customHeight="false" outlineLevel="0" collapsed="false">
      <c r="A15148" s="3" t="s">
        <v>336</v>
      </c>
      <c r="G15148" s="16" t="n">
        <f aca="false">G15141*MIN(G15140-G15146+G15145,MAX(0,G15296-Assumptions!$C$12*G15112-G15122-G15135))</f>
        <v>0</v>
      </c>
      <c r="H15148" s="16" t="n">
        <f aca="false">H15141*MIN(H15140-H15146+H15145,MAX(0,H15296-Assumptions!$C$12*H15112-H15122-H15135))</f>
        <v>0</v>
      </c>
      <c r="I15148" s="16" t="n">
        <f aca="false">I15141*MIN(I15140-I15146+I15145,MAX(0,I15296-Assumptions!$C$12*I15112-I15122-I15135))</f>
        <v>0</v>
      </c>
      <c r="J15148" s="16" t="n">
        <f aca="false">J15141*MIN(J15140-J15146+J15145,MAX(0,J15296-Assumptions!$C$12*J15112-J15122-J15135))</f>
        <v>0</v>
      </c>
      <c r="K15148" s="16" t="n">
        <f aca="false">K15141*MIN(K15140-K15146+K15145,MAX(0,K15296-Assumptions!$C$12*K15112-K15122-K15135))</f>
        <v>0</v>
      </c>
    </row>
    <row r="15149" customFormat="false" ht="15" hidden="false" customHeight="false" outlineLevel="0" collapsed="false">
      <c r="A15149" s="3" t="s">
        <v>337</v>
      </c>
      <c r="G15149" s="16" t="n">
        <f aca="false">Assumptions!$N$59*MIN(G15140+G15147+G15145-G15146-G15148,MAX(0,G15300-G15123-G15136))</f>
        <v>0</v>
      </c>
      <c r="H15149" s="16" t="n">
        <f aca="false">Assumptions!$N$59*MIN(H15140+H15147+H15145-H15146-H15148,MAX(0,H15300-H15123-H15136))</f>
        <v>0</v>
      </c>
      <c r="I15149" s="16" t="n">
        <f aca="false">Assumptions!$N$59*MIN(I15140+I15147+I15145-I15146-I15148,MAX(0,I15300-I15123-I15136))</f>
        <v>0</v>
      </c>
      <c r="J15149" s="16" t="n">
        <f aca="false">Assumptions!$N$59*MIN(J15140+J15147+J15145-J15146-J15148,MAX(0,J15300-J15123-J15136))</f>
        <v>0</v>
      </c>
      <c r="K15149" s="16" t="n">
        <f aca="false">Assumptions!$N$59*MIN(K15140+K15147+K15145-K15146-K15148,MAX(0,K15300-K15123-K15136))</f>
        <v>0</v>
      </c>
    </row>
    <row r="15150" customFormat="false" ht="15" hidden="false" customHeight="false" outlineLevel="0" collapsed="false">
      <c r="A15150" s="3" t="s">
        <v>338</v>
      </c>
      <c r="G15150" s="16" t="n">
        <f aca="false">G15141*(1-G15112)*(G15140-G15146+G15145-G15148)</f>
        <v>0</v>
      </c>
      <c r="H15150" s="16" t="n">
        <f aca="false">H15141*(1-H15112)*(H15140-H15146+H15145-H15148)</f>
        <v>0</v>
      </c>
      <c r="I15150" s="16" t="n">
        <f aca="false">I15141*(1-I15112)*(I15140-I15146+I15145-I15148)</f>
        <v>0</v>
      </c>
      <c r="J15150" s="16" t="n">
        <f aca="false">J15141*(1-J15112)*(J15140-J15146+J15145-J15148)</f>
        <v>0</v>
      </c>
      <c r="K15150" s="16" t="n">
        <f aca="false">K15141*(1-K15112)*(K15140-K15146+K15145-K15148)</f>
        <v>0</v>
      </c>
    </row>
    <row r="15151" customFormat="false" ht="15" hidden="false" customHeight="false" outlineLevel="0" collapsed="false">
      <c r="A15151" s="2" t="s">
        <v>339</v>
      </c>
      <c r="F15151" s="28" t="n">
        <f aca="false">Assumptions!$C$59</f>
        <v>57.324</v>
      </c>
      <c r="G15151" s="17" t="n">
        <f aca="false">G15140+G15147+G15145-G15146-G15148-G15149</f>
        <v>57.324</v>
      </c>
      <c r="H15151" s="17" t="n">
        <f aca="false">H15140+H15147+H15145-H15146-H15148-H15149</f>
        <v>57.324</v>
      </c>
      <c r="I15151" s="17" t="n">
        <f aca="false">I15140+I15147+I15145-I15146-I15148-I15149</f>
        <v>57.324</v>
      </c>
      <c r="J15151" s="17" t="n">
        <f aca="false">J15140+J15147+J15145-J15146-J15148-J15149</f>
        <v>57.324</v>
      </c>
      <c r="K15151" s="17" t="n">
        <f aca="false">K15140+K15147+K15145-K15146-K15148-K15149</f>
        <v>57.324</v>
      </c>
    </row>
    <row r="15152" customFormat="false" ht="15" hidden="false" customHeight="false" outlineLevel="0" collapsed="false">
      <c r="A15152" s="24" t="s">
        <v>342</v>
      </c>
      <c r="B15152" s="25"/>
      <c r="C15152" s="25"/>
      <c r="D15152" s="25"/>
      <c r="E15152" s="25"/>
      <c r="F15152" s="25"/>
      <c r="G15152" s="25"/>
      <c r="H15152" s="25"/>
      <c r="I15152" s="25"/>
      <c r="J15152" s="25"/>
      <c r="K15152" s="25"/>
    </row>
    <row r="15153" customFormat="false" ht="15" hidden="false" customHeight="false" outlineLevel="0" collapsed="false">
      <c r="A15153" s="3" t="s">
        <v>329</v>
      </c>
      <c r="G15153" s="16" t="n">
        <f aca="false">F15164</f>
        <v>0</v>
      </c>
      <c r="H15153" s="16" t="n">
        <f aca="false">G15164</f>
        <v>0</v>
      </c>
      <c r="I15153" s="16" t="n">
        <f aca="false">H15164</f>
        <v>0</v>
      </c>
      <c r="J15153" s="16" t="n">
        <f aca="false">I15164</f>
        <v>0</v>
      </c>
      <c r="K15153" s="16" t="n">
        <f aca="false">J15164</f>
        <v>0</v>
      </c>
    </row>
    <row r="15154" customFormat="false" ht="15" hidden="false" customHeight="false" outlineLevel="0" collapsed="false">
      <c r="A15154" s="3" t="s">
        <v>330</v>
      </c>
      <c r="G15154" s="21" t="n">
        <f aca="false">IF(G15078=Assumptions!$K$60,1,0)</f>
        <v>1</v>
      </c>
      <c r="H15154" s="21" t="n">
        <f aca="false">IF(H15078=Assumptions!$K$60,1,0)</f>
        <v>0</v>
      </c>
      <c r="I15154" s="21" t="n">
        <f aca="false">IF(I15078=Assumptions!$K$60,1,0)</f>
        <v>0</v>
      </c>
      <c r="J15154" s="21" t="n">
        <f aca="false">IF(J15078=Assumptions!$K$60,1,0)</f>
        <v>0</v>
      </c>
      <c r="K15154" s="21" t="n">
        <f aca="false">IF(K15078=Assumptions!$K$60,1,0)</f>
        <v>0</v>
      </c>
    </row>
    <row r="15156" customFormat="false" ht="15" hidden="false" customHeight="false" outlineLevel="0" collapsed="false">
      <c r="A15156" s="3" t="s">
        <v>331</v>
      </c>
      <c r="G15156" s="31" t="n">
        <f aca="false">IF(Assumptions!$I$60=1,MAX(G15104,Assumptions!$G$60)+Assumptions!$F$60+$C$15105,Assumptions!$E$60)</f>
        <v>0.069</v>
      </c>
      <c r="H15156" s="31" t="n">
        <f aca="false">IF(G15427=1,$C$15106,IF(Assumptions!$I$60=1,MAX(H15104,Assumptions!$G$60)+Assumptions!$F$60+$C$15105,Assumptions!$E$60))</f>
        <v>0.0675</v>
      </c>
      <c r="I15156" s="31" t="n">
        <f aca="false">IF(H15427=1,$C$15106,IF(Assumptions!$I$60=1,MAX(I15104,Assumptions!$G$60)+Assumptions!$F$60+$C$15105,Assumptions!$E$60))</f>
        <v>0.065</v>
      </c>
      <c r="J15156" s="31" t="n">
        <f aca="false">IF(I15427=1,$C$15106,IF(Assumptions!$I$60=1,MAX(J15104,Assumptions!$G$60)+Assumptions!$F$60+$C$15105,Assumptions!$E$60))</f>
        <v>0.065</v>
      </c>
      <c r="K15156" s="31" t="n">
        <f aca="false">IF(J15427=1,$C$15106,IF(Assumptions!$I$60=1,MAX(K15104,Assumptions!$G$60)+Assumptions!$F$60+$C$15105,Assumptions!$E$60))</f>
        <v>0.065</v>
      </c>
    </row>
    <row r="15157" customFormat="false" ht="15" hidden="false" customHeight="false" outlineLevel="0" collapsed="false">
      <c r="A15157" s="3" t="s">
        <v>332</v>
      </c>
      <c r="G15157" s="16" t="n">
        <f aca="false">G15153*G15156</f>
        <v>0</v>
      </c>
      <c r="H15157" s="16" t="n">
        <f aca="false">H15153*H15156</f>
        <v>0</v>
      </c>
      <c r="I15157" s="16" t="n">
        <f aca="false">I15153*I15156</f>
        <v>0</v>
      </c>
      <c r="J15157" s="16" t="n">
        <f aca="false">J15153*J15156</f>
        <v>0</v>
      </c>
      <c r="K15157" s="16" t="n">
        <f aca="false">K15153*K15156</f>
        <v>0</v>
      </c>
    </row>
    <row r="15158" customFormat="false" ht="15" hidden="false" customHeight="false" outlineLevel="0" collapsed="false">
      <c r="A15158" s="3" t="s">
        <v>333</v>
      </c>
      <c r="G15158" s="16" t="n">
        <f aca="false">G15153*Assumptions!$H$60</f>
        <v>0</v>
      </c>
      <c r="H15158" s="16" t="n">
        <f aca="false">H15153*Assumptions!$H$60</f>
        <v>0</v>
      </c>
      <c r="I15158" s="16" t="n">
        <f aca="false">I15153*Assumptions!$H$60</f>
        <v>0</v>
      </c>
      <c r="J15158" s="16" t="n">
        <f aca="false">J15153*Assumptions!$H$60</f>
        <v>0</v>
      </c>
      <c r="K15158" s="16" t="n">
        <f aca="false">K15153*Assumptions!$H$60</f>
        <v>0</v>
      </c>
    </row>
    <row r="15159" customFormat="false" ht="15" hidden="false" customHeight="false" outlineLevel="0" collapsed="false">
      <c r="A15159" s="3" t="s">
        <v>334</v>
      </c>
      <c r="G15159" s="16" t="n">
        <f aca="false">MIN(G15153,Assumptions!$L$60*Assumptions!$C$60)</f>
        <v>0</v>
      </c>
      <c r="H15159" s="16" t="n">
        <f aca="false">MIN(H15153,Assumptions!$L$60*Assumptions!$C$60)</f>
        <v>0</v>
      </c>
      <c r="I15159" s="16" t="n">
        <f aca="false">MIN(I15153,Assumptions!$L$60*Assumptions!$C$60)</f>
        <v>0</v>
      </c>
      <c r="J15159" s="16" t="n">
        <f aca="false">MIN(J15153,Assumptions!$L$60*Assumptions!$C$60)</f>
        <v>0</v>
      </c>
      <c r="K15159" s="16" t="n">
        <f aca="false">MIN(K15153,Assumptions!$L$60*Assumptions!$C$60)</f>
        <v>0</v>
      </c>
    </row>
    <row r="15160" customFormat="false" ht="15" hidden="false" customHeight="false" outlineLevel="0" collapsed="false">
      <c r="A15160" s="3" t="s">
        <v>335</v>
      </c>
      <c r="G15160" s="16" t="n">
        <f aca="false">IF(AND(Assumptions!$P$60=1,G15078&lt;Assumptions!$K$60),MIN(MAX(0,-G15294),MAX(0,Assumptions!$D$60-G15153)),0)</f>
        <v>0</v>
      </c>
      <c r="H15160" s="16" t="n">
        <f aca="false">IF(AND(Assumptions!$P$60=1,OR(H15078&lt;Assumptions!$K$60,G15427=1)),MIN(MAX(0,-H15294),MAX(0,Assumptions!$D$60-H15153)),0)</f>
        <v>0</v>
      </c>
      <c r="I15160" s="16" t="n">
        <f aca="false">IF(AND(Assumptions!$P$60=1,OR(I15078&lt;Assumptions!$K$60,H15427=1)),MIN(MAX(0,-I15294),MAX(0,Assumptions!$D$60-I15153)),0)</f>
        <v>0</v>
      </c>
      <c r="J15160" s="16" t="n">
        <f aca="false">IF(AND(Assumptions!$P$60=1,OR(J15078&lt;Assumptions!$K$60,I15427=1)),MIN(MAX(0,-J15294),MAX(0,Assumptions!$D$60-J15153)),0)</f>
        <v>0</v>
      </c>
      <c r="K15160" s="16" t="n">
        <f aca="false">IF(AND(Assumptions!$P$60=1,OR(K15078&lt;Assumptions!$K$60,J15427=1)),MIN(MAX(0,-K15294),MAX(0,Assumptions!$D$60-K15153)),0)</f>
        <v>0</v>
      </c>
    </row>
    <row r="15161" customFormat="false" ht="15" hidden="false" customHeight="false" outlineLevel="0" collapsed="false">
      <c r="A15161" s="3" t="s">
        <v>336</v>
      </c>
      <c r="G15161" s="16" t="n">
        <f aca="false">G15154*MIN(G15153-G15159+G15158,MAX(0,G15296-Assumptions!$C$12*G15112-G15122-G15135-G15148))</f>
        <v>0</v>
      </c>
      <c r="H15161" s="16" t="n">
        <f aca="false">H15154*MIN(H15153-H15159+H15158,MAX(0,H15296-Assumptions!$C$12*H15112-H15122-H15135-H15148))</f>
        <v>0</v>
      </c>
      <c r="I15161" s="16" t="n">
        <f aca="false">I15154*MIN(I15153-I15159+I15158,MAX(0,I15296-Assumptions!$C$12*I15112-I15122-I15135-I15148))</f>
        <v>0</v>
      </c>
      <c r="J15161" s="16" t="n">
        <f aca="false">J15154*MIN(J15153-J15159+J15158,MAX(0,J15296-Assumptions!$C$12*J15112-J15122-J15135-J15148))</f>
        <v>0</v>
      </c>
      <c r="K15161" s="16" t="n">
        <f aca="false">K15154*MIN(K15153-K15159+K15158,MAX(0,K15296-Assumptions!$C$12*K15112-K15122-K15135-K15148))</f>
        <v>0</v>
      </c>
    </row>
    <row r="15162" customFormat="false" ht="15" hidden="false" customHeight="false" outlineLevel="0" collapsed="false">
      <c r="A15162" s="3" t="s">
        <v>337</v>
      </c>
      <c r="G15162" s="16" t="n">
        <f aca="false">Assumptions!$N$60*MIN(G15153+G15160+G15158-G15159-G15161,MAX(0,G15300-G15123-G15136-G15149))</f>
        <v>0</v>
      </c>
      <c r="H15162" s="16" t="n">
        <f aca="false">Assumptions!$N$60*MIN(H15153+H15160+H15158-H15159-H15161,MAX(0,H15300-H15123-H15136-H15149))</f>
        <v>0</v>
      </c>
      <c r="I15162" s="16" t="n">
        <f aca="false">Assumptions!$N$60*MIN(I15153+I15160+I15158-I15159-I15161,MAX(0,I15300-I15123-I15136-I15149))</f>
        <v>0</v>
      </c>
      <c r="J15162" s="16" t="n">
        <f aca="false">Assumptions!$N$60*MIN(J15153+J15160+J15158-J15159-J15161,MAX(0,J15300-J15123-J15136-J15149))</f>
        <v>0</v>
      </c>
      <c r="K15162" s="16" t="n">
        <f aca="false">Assumptions!$N$60*MIN(K15153+K15160+K15158-K15159-K15161,MAX(0,K15300-K15123-K15136-K15149))</f>
        <v>0</v>
      </c>
    </row>
    <row r="15163" customFormat="false" ht="15" hidden="false" customHeight="false" outlineLevel="0" collapsed="false">
      <c r="A15163" s="3" t="s">
        <v>338</v>
      </c>
      <c r="G15163" s="16" t="n">
        <f aca="false">G15154*(1-G15112)*(G15153-G15159+G15158-G15161)</f>
        <v>0</v>
      </c>
      <c r="H15163" s="16" t="n">
        <f aca="false">H15154*(1-H15112)*(H15153-H15159+H15158-H15161)</f>
        <v>0</v>
      </c>
      <c r="I15163" s="16" t="n">
        <f aca="false">I15154*(1-I15112)*(I15153-I15159+I15158-I15161)</f>
        <v>0</v>
      </c>
      <c r="J15163" s="16" t="n">
        <f aca="false">J15154*(1-J15112)*(J15153-J15159+J15158-J15161)</f>
        <v>0</v>
      </c>
      <c r="K15163" s="16" t="n">
        <f aca="false">K15154*(1-K15112)*(K15153-K15159+K15158-K15161)</f>
        <v>0</v>
      </c>
    </row>
    <row r="15164" customFormat="false" ht="15" hidden="false" customHeight="false" outlineLevel="0" collapsed="false">
      <c r="A15164" s="2" t="s">
        <v>339</v>
      </c>
      <c r="F15164" s="28" t="n">
        <f aca="false">Assumptions!$C$60</f>
        <v>0</v>
      </c>
      <c r="G15164" s="17" t="n">
        <f aca="false">G15153+G15160+G15158-G15159-G15161-G15162</f>
        <v>0</v>
      </c>
      <c r="H15164" s="17" t="n">
        <f aca="false">H15153+H15160+H15158-H15159-H15161-H15162</f>
        <v>0</v>
      </c>
      <c r="I15164" s="17" t="n">
        <f aca="false">I15153+I15160+I15158-I15159-I15161-I15162</f>
        <v>0</v>
      </c>
      <c r="J15164" s="17" t="n">
        <f aca="false">J15153+J15160+J15158-J15159-J15161-J15162</f>
        <v>0</v>
      </c>
      <c r="K15164" s="17" t="n">
        <f aca="false">K15153+K15160+K15158-K15159-K15161-K15162</f>
        <v>0</v>
      </c>
    </row>
    <row r="15165" customFormat="false" ht="15" hidden="false" customHeight="false" outlineLevel="0" collapsed="false">
      <c r="A15165" s="24" t="s">
        <v>343</v>
      </c>
      <c r="B15165" s="25"/>
      <c r="C15165" s="25"/>
      <c r="D15165" s="25"/>
      <c r="E15165" s="25"/>
      <c r="F15165" s="25"/>
      <c r="G15165" s="25"/>
      <c r="H15165" s="25"/>
      <c r="I15165" s="25"/>
      <c r="J15165" s="25"/>
      <c r="K15165" s="25"/>
    </row>
    <row r="15166" customFormat="false" ht="15" hidden="false" customHeight="false" outlineLevel="0" collapsed="false">
      <c r="A15166" s="3" t="s">
        <v>329</v>
      </c>
      <c r="G15166" s="16" t="n">
        <f aca="false">F15177</f>
        <v>450</v>
      </c>
      <c r="H15166" s="16" t="n">
        <f aca="false">G15177</f>
        <v>450</v>
      </c>
      <c r="I15166" s="16" t="n">
        <f aca="false">H15177</f>
        <v>437.898835986</v>
      </c>
      <c r="J15166" s="16" t="n">
        <f aca="false">I15177</f>
        <v>437.898835986</v>
      </c>
      <c r="K15166" s="16" t="n">
        <f aca="false">J15177</f>
        <v>437.898835986</v>
      </c>
    </row>
    <row r="15167" customFormat="false" ht="15" hidden="false" customHeight="false" outlineLevel="0" collapsed="false">
      <c r="A15167" s="3" t="s">
        <v>330</v>
      </c>
      <c r="G15167" s="21" t="n">
        <f aca="false">IF(G15078=Assumptions!$K$61,1,0)</f>
        <v>0</v>
      </c>
      <c r="H15167" s="21" t="n">
        <f aca="false">IF(H15078=Assumptions!$K$61,1,0)</f>
        <v>1</v>
      </c>
      <c r="I15167" s="21" t="n">
        <f aca="false">IF(I15078=Assumptions!$K$61,1,0)</f>
        <v>0</v>
      </c>
      <c r="J15167" s="21" t="n">
        <f aca="false">IF(J15078=Assumptions!$K$61,1,0)</f>
        <v>0</v>
      </c>
      <c r="K15167" s="21" t="n">
        <f aca="false">IF(K15078=Assumptions!$K$61,1,0)</f>
        <v>0</v>
      </c>
    </row>
    <row r="15169" customFormat="false" ht="15" hidden="false" customHeight="false" outlineLevel="0" collapsed="false">
      <c r="A15169" s="3" t="s">
        <v>331</v>
      </c>
      <c r="G15169" s="31" t="n">
        <f aca="false">IF(Assumptions!$I$61=1,MAX(G15104,Assumptions!$G$61)+Assumptions!$F$61+$C$15105,Assumptions!$E$61)</f>
        <v>0.0395</v>
      </c>
      <c r="H15169" s="31" t="n">
        <f aca="false">IF(G15428=1,$C$15106,IF(Assumptions!$I$61=1,MAX(H15104,Assumptions!$G$61)+Assumptions!$F$61+$C$15105,Assumptions!$E$61))</f>
        <v>0.0395</v>
      </c>
      <c r="I15169" s="31" t="n">
        <f aca="false">IF(H15428=1,$C$15106,IF(Assumptions!$I$61=1,MAX(I15104,Assumptions!$G$61)+Assumptions!$F$61+$C$15105,Assumptions!$E$61))</f>
        <v>0.0395</v>
      </c>
      <c r="J15169" s="31" t="n">
        <f aca="false">IF(I15428=1,$C$15106,IF(Assumptions!$I$61=1,MAX(J15104,Assumptions!$G$61)+Assumptions!$F$61+$C$15105,Assumptions!$E$61))</f>
        <v>0.0395</v>
      </c>
      <c r="K15169" s="31" t="n">
        <f aca="false">IF(J15428=1,$C$15106,IF(Assumptions!$I$61=1,MAX(K15104,Assumptions!$G$61)+Assumptions!$F$61+$C$15105,Assumptions!$E$61))</f>
        <v>0.0395</v>
      </c>
    </row>
    <row r="15170" customFormat="false" ht="15" hidden="false" customHeight="false" outlineLevel="0" collapsed="false">
      <c r="A15170" s="3" t="s">
        <v>332</v>
      </c>
      <c r="G15170" s="16" t="n">
        <f aca="false">G15166*G15169</f>
        <v>17.775</v>
      </c>
      <c r="H15170" s="16" t="n">
        <f aca="false">H15166*H15169</f>
        <v>17.775</v>
      </c>
      <c r="I15170" s="16" t="n">
        <f aca="false">I15166*I15169</f>
        <v>17.297004021447</v>
      </c>
      <c r="J15170" s="16" t="n">
        <f aca="false">J15166*J15169</f>
        <v>17.297004021447</v>
      </c>
      <c r="K15170" s="16" t="n">
        <f aca="false">K15166*K15169</f>
        <v>17.297004021447</v>
      </c>
    </row>
    <row r="15171" customFormat="false" ht="15" hidden="false" customHeight="false" outlineLevel="0" collapsed="false">
      <c r="A15171" s="3" t="s">
        <v>333</v>
      </c>
      <c r="G15171" s="16" t="n">
        <f aca="false">G15166*Assumptions!$H$61</f>
        <v>0</v>
      </c>
      <c r="H15171" s="16" t="n">
        <f aca="false">H15166*Assumptions!$H$61</f>
        <v>0</v>
      </c>
      <c r="I15171" s="16" t="n">
        <f aca="false">I15166*Assumptions!$H$61</f>
        <v>0</v>
      </c>
      <c r="J15171" s="16" t="n">
        <f aca="false">J15166*Assumptions!$H$61</f>
        <v>0</v>
      </c>
      <c r="K15171" s="16" t="n">
        <f aca="false">K15166*Assumptions!$H$61</f>
        <v>0</v>
      </c>
    </row>
    <row r="15172" customFormat="false" ht="15" hidden="false" customHeight="false" outlineLevel="0" collapsed="false">
      <c r="A15172" s="3" t="s">
        <v>334</v>
      </c>
      <c r="G15172" s="16" t="n">
        <f aca="false">MIN(G15166,Assumptions!$L$61*Assumptions!$C$61)</f>
        <v>0</v>
      </c>
      <c r="H15172" s="16" t="n">
        <f aca="false">MIN(H15166,Assumptions!$L$61*Assumptions!$C$61)</f>
        <v>0</v>
      </c>
      <c r="I15172" s="16" t="n">
        <f aca="false">MIN(I15166,Assumptions!$L$61*Assumptions!$C$61)</f>
        <v>0</v>
      </c>
      <c r="J15172" s="16" t="n">
        <f aca="false">MIN(J15166,Assumptions!$L$61*Assumptions!$C$61)</f>
        <v>0</v>
      </c>
      <c r="K15172" s="16" t="n">
        <f aca="false">MIN(K15166,Assumptions!$L$61*Assumptions!$C$61)</f>
        <v>0</v>
      </c>
    </row>
    <row r="15173" customFormat="false" ht="15" hidden="false" customHeight="false" outlineLevel="0" collapsed="false">
      <c r="A15173" s="3" t="s">
        <v>335</v>
      </c>
      <c r="G15173" s="16" t="n">
        <f aca="false">IF(AND(Assumptions!$P$61=1,G15078&lt;Assumptions!$K$61),MIN(MAX(0,-G15294),MAX(0,Assumptions!$D$61-G15166)),0)</f>
        <v>0</v>
      </c>
      <c r="H15173" s="16" t="n">
        <f aca="false">IF(AND(Assumptions!$P$61=1,OR(H15078&lt;Assumptions!$K$61,G15428=1)),MIN(MAX(0,-H15294),MAX(0,Assumptions!$D$61-H15166)),0)</f>
        <v>0</v>
      </c>
      <c r="I15173" s="16" t="n">
        <f aca="false">IF(AND(Assumptions!$P$61=1,OR(I15078&lt;Assumptions!$K$61,H15428=1)),MIN(MAX(0,-I15294),MAX(0,Assumptions!$D$61-I15166)),0)</f>
        <v>0</v>
      </c>
      <c r="J15173" s="16" t="n">
        <f aca="false">IF(AND(Assumptions!$P$61=1,OR(J15078&lt;Assumptions!$K$61,I15428=1)),MIN(MAX(0,-J15294),MAX(0,Assumptions!$D$61-J15166)),0)</f>
        <v>0</v>
      </c>
      <c r="K15173" s="16" t="n">
        <f aca="false">IF(AND(Assumptions!$P$61=1,OR(K15078&lt;Assumptions!$K$61,J15428=1)),MIN(MAX(0,-K15294),MAX(0,Assumptions!$D$61-K15166)),0)</f>
        <v>0</v>
      </c>
    </row>
    <row r="15174" customFormat="false" ht="15" hidden="false" customHeight="false" outlineLevel="0" collapsed="false">
      <c r="A15174" s="3" t="s">
        <v>336</v>
      </c>
      <c r="G15174" s="16" t="n">
        <f aca="false">G15167*MIN(G15166-G15172+G15171,MAX(0,G15296-Assumptions!$C$12*G15112-G15122-G15135-G15148-G15161))</f>
        <v>0</v>
      </c>
      <c r="H15174" s="16" t="n">
        <f aca="false">H15167*MIN(H15166-H15172+H15171,MAX(0,H15296-Assumptions!$C$12*H15112-H15122-H15135-H15148-H15161))</f>
        <v>12.101164014</v>
      </c>
      <c r="I15174" s="16" t="n">
        <f aca="false">I15167*MIN(I15166-I15172+I15171,MAX(0,I15296-Assumptions!$C$12*I15112-I15122-I15135-I15148-I15161))</f>
        <v>0</v>
      </c>
      <c r="J15174" s="16" t="n">
        <f aca="false">J15167*MIN(J15166-J15172+J15171,MAX(0,J15296-Assumptions!$C$12*J15112-J15122-J15135-J15148-J15161))</f>
        <v>0</v>
      </c>
      <c r="K15174" s="16" t="n">
        <f aca="false">K15167*MIN(K15166-K15172+K15171,MAX(0,K15296-Assumptions!$C$12*K15112-K15122-K15135-K15148-K15161))</f>
        <v>0</v>
      </c>
    </row>
    <row r="15175" customFormat="false" ht="15" hidden="false" customHeight="false" outlineLevel="0" collapsed="false">
      <c r="A15175" s="3" t="s">
        <v>337</v>
      </c>
      <c r="G15175" s="16" t="n">
        <f aca="false">Assumptions!$N$61*MIN(G15166+G15173+G15171-G15172-G15174,MAX(0,G15300-G15123-G15136-G15149-G15162))</f>
        <v>0</v>
      </c>
      <c r="H15175" s="16" t="n">
        <f aca="false">Assumptions!$N$61*MIN(H15166+H15173+H15171-H15172-H15174,MAX(0,H15300-H15123-H15136-H15149-H15162))</f>
        <v>0</v>
      </c>
      <c r="I15175" s="16" t="n">
        <f aca="false">Assumptions!$N$61*MIN(I15166+I15173+I15171-I15172-I15174,MAX(0,I15300-I15123-I15136-I15149-I15162))</f>
        <v>0</v>
      </c>
      <c r="J15175" s="16" t="n">
        <f aca="false">Assumptions!$N$61*MIN(J15166+J15173+J15171-J15172-J15174,MAX(0,J15300-J15123-J15136-J15149-J15162))</f>
        <v>0</v>
      </c>
      <c r="K15175" s="16" t="n">
        <f aca="false">Assumptions!$N$61*MIN(K15166+K15173+K15171-K15172-K15174,MAX(0,K15300-K15123-K15136-K15149-K15162))</f>
        <v>0</v>
      </c>
    </row>
    <row r="15176" customFormat="false" ht="15" hidden="false" customHeight="false" outlineLevel="0" collapsed="false">
      <c r="A15176" s="3" t="s">
        <v>338</v>
      </c>
      <c r="G15176" s="16" t="n">
        <f aca="false">G15167*(1-G15112)*(G15166-G15172+G15171-G15174)</f>
        <v>0</v>
      </c>
      <c r="H15176" s="16" t="n">
        <f aca="false">H15167*(1-H15112)*(H15166-H15172+H15171-H15174)</f>
        <v>437.898835986</v>
      </c>
      <c r="I15176" s="16" t="n">
        <f aca="false">I15167*(1-I15112)*(I15166-I15172+I15171-I15174)</f>
        <v>0</v>
      </c>
      <c r="J15176" s="16" t="n">
        <f aca="false">J15167*(1-J15112)*(J15166-J15172+J15171-J15174)</f>
        <v>0</v>
      </c>
      <c r="K15176" s="16" t="n">
        <f aca="false">K15167*(1-K15112)*(K15166-K15172+K15171-K15174)</f>
        <v>0</v>
      </c>
    </row>
    <row r="15177" customFormat="false" ht="15" hidden="false" customHeight="false" outlineLevel="0" collapsed="false">
      <c r="A15177" s="2" t="s">
        <v>339</v>
      </c>
      <c r="F15177" s="28" t="n">
        <f aca="false">Assumptions!$C$61</f>
        <v>450</v>
      </c>
      <c r="G15177" s="17" t="n">
        <f aca="false">G15166+G15173+G15171-G15172-G15174-G15175</f>
        <v>450</v>
      </c>
      <c r="H15177" s="17" t="n">
        <f aca="false">H15166+H15173+H15171-H15172-H15174-H15175</f>
        <v>437.898835986</v>
      </c>
      <c r="I15177" s="17" t="n">
        <f aca="false">I15166+I15173+I15171-I15172-I15174-I15175</f>
        <v>437.898835986</v>
      </c>
      <c r="J15177" s="17" t="n">
        <f aca="false">J15166+J15173+J15171-J15172-J15174-J15175</f>
        <v>437.898835986</v>
      </c>
      <c r="K15177" s="17" t="n">
        <f aca="false">K15166+K15173+K15171-K15172-K15174-K15175</f>
        <v>437.898835986</v>
      </c>
    </row>
    <row r="15178" customFormat="false" ht="15" hidden="false" customHeight="false" outlineLevel="0" collapsed="false">
      <c r="A15178" s="24" t="s">
        <v>344</v>
      </c>
      <c r="B15178" s="25"/>
      <c r="C15178" s="25"/>
      <c r="D15178" s="25"/>
      <c r="E15178" s="25"/>
      <c r="F15178" s="25"/>
      <c r="G15178" s="25"/>
      <c r="H15178" s="25"/>
      <c r="I15178" s="25"/>
      <c r="J15178" s="25"/>
      <c r="K15178" s="25"/>
    </row>
    <row r="15179" customFormat="false" ht="15" hidden="false" customHeight="false" outlineLevel="0" collapsed="false">
      <c r="A15179" s="3" t="s">
        <v>329</v>
      </c>
      <c r="G15179" s="16" t="n">
        <f aca="false">F15190</f>
        <v>350</v>
      </c>
      <c r="H15179" s="16" t="n">
        <f aca="false">G15190</f>
        <v>350</v>
      </c>
      <c r="I15179" s="16" t="n">
        <f aca="false">H15190</f>
        <v>350</v>
      </c>
      <c r="J15179" s="16" t="n">
        <f aca="false">I15190</f>
        <v>350</v>
      </c>
      <c r="K15179" s="16" t="n">
        <f aca="false">J15190</f>
        <v>350</v>
      </c>
    </row>
    <row r="15180" customFormat="false" ht="15" hidden="false" customHeight="false" outlineLevel="0" collapsed="false">
      <c r="A15180" s="3" t="s">
        <v>330</v>
      </c>
      <c r="G15180" s="21" t="n">
        <f aca="false">IF(G15078=Assumptions!$K$62,1,0)</f>
        <v>0</v>
      </c>
      <c r="H15180" s="21" t="n">
        <f aca="false">IF(H15078=Assumptions!$K$62,1,0)</f>
        <v>1</v>
      </c>
      <c r="I15180" s="21" t="n">
        <f aca="false">IF(I15078=Assumptions!$K$62,1,0)</f>
        <v>0</v>
      </c>
      <c r="J15180" s="21" t="n">
        <f aca="false">IF(J15078=Assumptions!$K$62,1,0)</f>
        <v>0</v>
      </c>
      <c r="K15180" s="21" t="n">
        <f aca="false">IF(K15078=Assumptions!$K$62,1,0)</f>
        <v>0</v>
      </c>
    </row>
    <row r="15182" customFormat="false" ht="15" hidden="false" customHeight="false" outlineLevel="0" collapsed="false">
      <c r="A15182" s="3" t="s">
        <v>331</v>
      </c>
      <c r="G15182" s="31" t="n">
        <f aca="false">IF(Assumptions!$I$62=1,MAX(G15104,Assumptions!$G$62)+Assumptions!$F$62+$C$15105,Assumptions!$E$62)</f>
        <v>0.083</v>
      </c>
      <c r="H15182" s="31" t="n">
        <f aca="false">IF(G15429=1,$C$15106,IF(Assumptions!$I$62=1,MAX(H15104,Assumptions!$G$62)+Assumptions!$F$62+$C$15105,Assumptions!$E$62))</f>
        <v>0.083</v>
      </c>
      <c r="I15182" s="31" t="n">
        <f aca="false">IF(H15429=1,$C$15106,IF(Assumptions!$I$62=1,MAX(I15104,Assumptions!$G$62)+Assumptions!$F$62+$C$15105,Assumptions!$E$62))</f>
        <v>0.083</v>
      </c>
      <c r="J15182" s="31" t="n">
        <f aca="false">IF(I15429=1,$C$15106,IF(Assumptions!$I$62=1,MAX(J15104,Assumptions!$G$62)+Assumptions!$F$62+$C$15105,Assumptions!$E$62))</f>
        <v>0.083</v>
      </c>
      <c r="K15182" s="31" t="n">
        <f aca="false">IF(J15429=1,$C$15106,IF(Assumptions!$I$62=1,MAX(K15104,Assumptions!$G$62)+Assumptions!$F$62+$C$15105,Assumptions!$E$62))</f>
        <v>0.083</v>
      </c>
    </row>
    <row r="15183" customFormat="false" ht="15" hidden="false" customHeight="false" outlineLevel="0" collapsed="false">
      <c r="A15183" s="3" t="s">
        <v>332</v>
      </c>
      <c r="G15183" s="16" t="n">
        <f aca="false">G15179*G15182</f>
        <v>29.05</v>
      </c>
      <c r="H15183" s="16" t="n">
        <f aca="false">H15179*H15182</f>
        <v>29.05</v>
      </c>
      <c r="I15183" s="16" t="n">
        <f aca="false">I15179*I15182</f>
        <v>29.05</v>
      </c>
      <c r="J15183" s="16" t="n">
        <f aca="false">J15179*J15182</f>
        <v>29.05</v>
      </c>
      <c r="K15183" s="16" t="n">
        <f aca="false">K15179*K15182</f>
        <v>29.05</v>
      </c>
    </row>
    <row r="15184" customFormat="false" ht="15" hidden="false" customHeight="false" outlineLevel="0" collapsed="false">
      <c r="A15184" s="3" t="s">
        <v>333</v>
      </c>
      <c r="G15184" s="16" t="n">
        <f aca="false">G15179*Assumptions!$H$62</f>
        <v>0</v>
      </c>
      <c r="H15184" s="16" t="n">
        <f aca="false">H15179*Assumptions!$H$62</f>
        <v>0</v>
      </c>
      <c r="I15184" s="16" t="n">
        <f aca="false">I15179*Assumptions!$H$62</f>
        <v>0</v>
      </c>
      <c r="J15184" s="16" t="n">
        <f aca="false">J15179*Assumptions!$H$62</f>
        <v>0</v>
      </c>
      <c r="K15184" s="16" t="n">
        <f aca="false">K15179*Assumptions!$H$62</f>
        <v>0</v>
      </c>
    </row>
    <row r="15185" customFormat="false" ht="15" hidden="false" customHeight="false" outlineLevel="0" collapsed="false">
      <c r="A15185" s="3" t="s">
        <v>334</v>
      </c>
      <c r="G15185" s="16" t="n">
        <f aca="false">MIN(G15179,Assumptions!$L$62*Assumptions!$C$62)</f>
        <v>0</v>
      </c>
      <c r="H15185" s="16" t="n">
        <f aca="false">MIN(H15179,Assumptions!$L$62*Assumptions!$C$62)</f>
        <v>0</v>
      </c>
      <c r="I15185" s="16" t="n">
        <f aca="false">MIN(I15179,Assumptions!$L$62*Assumptions!$C$62)</f>
        <v>0</v>
      </c>
      <c r="J15185" s="16" t="n">
        <f aca="false">MIN(J15179,Assumptions!$L$62*Assumptions!$C$62)</f>
        <v>0</v>
      </c>
      <c r="K15185" s="16" t="n">
        <f aca="false">MIN(K15179,Assumptions!$L$62*Assumptions!$C$62)</f>
        <v>0</v>
      </c>
    </row>
    <row r="15186" customFormat="false" ht="15" hidden="false" customHeight="false" outlineLevel="0" collapsed="false">
      <c r="A15186" s="3" t="s">
        <v>335</v>
      </c>
      <c r="G15186" s="16" t="n">
        <f aca="false">IF(AND(Assumptions!$P$62=1,G15078&lt;Assumptions!$K$62),MIN(MAX(0,-G15294),MAX(0,Assumptions!$D$62-G15179)),0)</f>
        <v>0</v>
      </c>
      <c r="H15186" s="16" t="n">
        <f aca="false">IF(AND(Assumptions!$P$62=1,OR(H15078&lt;Assumptions!$K$62,G15429=1)),MIN(MAX(0,-H15294),MAX(0,Assumptions!$D$62-H15179)),0)</f>
        <v>0</v>
      </c>
      <c r="I15186" s="16" t="n">
        <f aca="false">IF(AND(Assumptions!$P$62=1,OR(I15078&lt;Assumptions!$K$62,H15429=1)),MIN(MAX(0,-I15294),MAX(0,Assumptions!$D$62-I15179)),0)</f>
        <v>0</v>
      </c>
      <c r="J15186" s="16" t="n">
        <f aca="false">IF(AND(Assumptions!$P$62=1,OR(J15078&lt;Assumptions!$K$62,I15429=1)),MIN(MAX(0,-J15294),MAX(0,Assumptions!$D$62-J15179)),0)</f>
        <v>0</v>
      </c>
      <c r="K15186" s="16" t="n">
        <f aca="false">IF(AND(Assumptions!$P$62=1,OR(K15078&lt;Assumptions!$K$62,J15429=1)),MIN(MAX(0,-K15294),MAX(0,Assumptions!$D$62-K15179)),0)</f>
        <v>0</v>
      </c>
    </row>
    <row r="15187" customFormat="false" ht="15" hidden="false" customHeight="false" outlineLevel="0" collapsed="false">
      <c r="A15187" s="3" t="s">
        <v>336</v>
      </c>
      <c r="G15187" s="16" t="n">
        <f aca="false">G15180*MIN(G15179-G15185+G15184,MAX(0,G15296-Assumptions!$C$12*G15112-G15122-G15135-G15148-G15161-G15174))</f>
        <v>0</v>
      </c>
      <c r="H15187" s="16" t="n">
        <f aca="false">H15180*MIN(H15179-H15185+H15184,MAX(0,H15296-Assumptions!$C$12*H15112-H15122-H15135-H15148-H15161-H15174))</f>
        <v>0</v>
      </c>
      <c r="I15187" s="16" t="n">
        <f aca="false">I15180*MIN(I15179-I15185+I15184,MAX(0,I15296-Assumptions!$C$12*I15112-I15122-I15135-I15148-I15161-I15174))</f>
        <v>0</v>
      </c>
      <c r="J15187" s="16" t="n">
        <f aca="false">J15180*MIN(J15179-J15185+J15184,MAX(0,J15296-Assumptions!$C$12*J15112-J15122-J15135-J15148-J15161-J15174))</f>
        <v>0</v>
      </c>
      <c r="K15187" s="16" t="n">
        <f aca="false">K15180*MIN(K15179-K15185+K15184,MAX(0,K15296-Assumptions!$C$12*K15112-K15122-K15135-K15148-K15161-K15174))</f>
        <v>0</v>
      </c>
    </row>
    <row r="15188" customFormat="false" ht="15" hidden="false" customHeight="false" outlineLevel="0" collapsed="false">
      <c r="A15188" s="3" t="s">
        <v>337</v>
      </c>
      <c r="G15188" s="16" t="n">
        <f aca="false">Assumptions!$N$62*MIN(G15179+G15186+G15184-G15185-G15187,MAX(0,G15300-G15123-G15136-G15149-G15162-G15175))</f>
        <v>0</v>
      </c>
      <c r="H15188" s="16" t="n">
        <f aca="false">Assumptions!$N$62*MIN(H15179+H15186+H15184-H15185-H15187,MAX(0,H15300-H15123-H15136-H15149-H15162-H15175))</f>
        <v>0</v>
      </c>
      <c r="I15188" s="16" t="n">
        <f aca="false">Assumptions!$N$62*MIN(I15179+I15186+I15184-I15185-I15187,MAX(0,I15300-I15123-I15136-I15149-I15162-I15175))</f>
        <v>0</v>
      </c>
      <c r="J15188" s="16" t="n">
        <f aca="false">Assumptions!$N$62*MIN(J15179+J15186+J15184-J15185-J15187,MAX(0,J15300-J15123-J15136-J15149-J15162-J15175))</f>
        <v>0</v>
      </c>
      <c r="K15188" s="16" t="n">
        <f aca="false">Assumptions!$N$62*MIN(K15179+K15186+K15184-K15185-K15187,MAX(0,K15300-K15123-K15136-K15149-K15162-K15175))</f>
        <v>0</v>
      </c>
    </row>
    <row r="15189" customFormat="false" ht="15" hidden="false" customHeight="false" outlineLevel="0" collapsed="false">
      <c r="A15189" s="3" t="s">
        <v>338</v>
      </c>
      <c r="G15189" s="16" t="n">
        <f aca="false">G15180*(1-G15112)*(G15179-G15185+G15184-G15187)</f>
        <v>0</v>
      </c>
      <c r="H15189" s="16" t="n">
        <f aca="false">H15180*(1-H15112)*(H15179-H15185+H15184-H15187)</f>
        <v>350</v>
      </c>
      <c r="I15189" s="16" t="n">
        <f aca="false">I15180*(1-I15112)*(I15179-I15185+I15184-I15187)</f>
        <v>0</v>
      </c>
      <c r="J15189" s="16" t="n">
        <f aca="false">J15180*(1-J15112)*(J15179-J15185+J15184-J15187)</f>
        <v>0</v>
      </c>
      <c r="K15189" s="16" t="n">
        <f aca="false">K15180*(1-K15112)*(K15179-K15185+K15184-K15187)</f>
        <v>0</v>
      </c>
    </row>
    <row r="15190" customFormat="false" ht="15" hidden="false" customHeight="false" outlineLevel="0" collapsed="false">
      <c r="A15190" s="2" t="s">
        <v>339</v>
      </c>
      <c r="F15190" s="28" t="n">
        <f aca="false">Assumptions!$C$62</f>
        <v>350</v>
      </c>
      <c r="G15190" s="17" t="n">
        <f aca="false">G15179+G15186+G15184-G15185-G15187-G15188</f>
        <v>350</v>
      </c>
      <c r="H15190" s="17" t="n">
        <f aca="false">H15179+H15186+H15184-H15185-H15187-H15188</f>
        <v>350</v>
      </c>
      <c r="I15190" s="17" t="n">
        <f aca="false">I15179+I15186+I15184-I15185-I15187-I15188</f>
        <v>350</v>
      </c>
      <c r="J15190" s="17" t="n">
        <f aca="false">J15179+J15186+J15184-J15185-J15187-J15188</f>
        <v>350</v>
      </c>
      <c r="K15190" s="17" t="n">
        <f aca="false">K15179+K15186+K15184-K15185-K15187-K15188</f>
        <v>350</v>
      </c>
    </row>
    <row r="15191" customFormat="false" ht="15" hidden="false" customHeight="false" outlineLevel="0" collapsed="false">
      <c r="A15191" s="24" t="s">
        <v>345</v>
      </c>
      <c r="B15191" s="25"/>
      <c r="C15191" s="25"/>
      <c r="D15191" s="25"/>
      <c r="E15191" s="25"/>
      <c r="F15191" s="25"/>
      <c r="G15191" s="25"/>
      <c r="H15191" s="25"/>
      <c r="I15191" s="25"/>
      <c r="J15191" s="25"/>
      <c r="K15191" s="25"/>
    </row>
    <row r="15192" customFormat="false" ht="15" hidden="false" customHeight="false" outlineLevel="0" collapsed="false">
      <c r="A15192" s="3" t="s">
        <v>329</v>
      </c>
      <c r="G15192" s="16" t="n">
        <f aca="false">F15203</f>
        <v>550</v>
      </c>
      <c r="H15192" s="16" t="n">
        <f aca="false">G15203</f>
        <v>550</v>
      </c>
      <c r="I15192" s="16" t="n">
        <f aca="false">H15203</f>
        <v>550</v>
      </c>
      <c r="J15192" s="16" t="n">
        <f aca="false">I15203</f>
        <v>550</v>
      </c>
      <c r="K15192" s="16" t="n">
        <f aca="false">J15203</f>
        <v>550</v>
      </c>
    </row>
    <row r="15193" customFormat="false" ht="15" hidden="false" customHeight="false" outlineLevel="0" collapsed="false">
      <c r="A15193" s="3" t="s">
        <v>330</v>
      </c>
      <c r="G15193" s="21" t="n">
        <f aca="false">IF(G15078=Assumptions!$K$63,1,0)</f>
        <v>0</v>
      </c>
      <c r="H15193" s="21" t="n">
        <f aca="false">IF(H15078=Assumptions!$K$63,1,0)</f>
        <v>0</v>
      </c>
      <c r="I15193" s="21" t="n">
        <f aca="false">IF(I15078=Assumptions!$K$63,1,0)</f>
        <v>1</v>
      </c>
      <c r="J15193" s="21" t="n">
        <f aca="false">IF(J15078=Assumptions!$K$63,1,0)</f>
        <v>0</v>
      </c>
      <c r="K15193" s="21" t="n">
        <f aca="false">IF(K15078=Assumptions!$K$63,1,0)</f>
        <v>0</v>
      </c>
    </row>
    <row r="15195" customFormat="false" ht="15" hidden="false" customHeight="false" outlineLevel="0" collapsed="false">
      <c r="A15195" s="3" t="s">
        <v>331</v>
      </c>
      <c r="G15195" s="31" t="n">
        <f aca="false">IF(Assumptions!$I$63=1,MAX(G15104,Assumptions!$G$63)+Assumptions!$F$63+$C$15105,Assumptions!$E$63)</f>
        <v>0.08875</v>
      </c>
      <c r="H15195" s="31" t="n">
        <f aca="false">IF(G15430=1,$C$15106,IF(Assumptions!$I$63=1,MAX(H15104,Assumptions!$G$63)+Assumptions!$F$63+$C$15105,Assumptions!$E$63))</f>
        <v>0.08875</v>
      </c>
      <c r="I15195" s="31" t="n">
        <f aca="false">IF(H15430=1,$C$15106,IF(Assumptions!$I$63=1,MAX(I15104,Assumptions!$G$63)+Assumptions!$F$63+$C$15105,Assumptions!$E$63))</f>
        <v>0.08875</v>
      </c>
      <c r="J15195" s="31" t="n">
        <f aca="false">IF(I15430=1,$C$15106,IF(Assumptions!$I$63=1,MAX(J15104,Assumptions!$G$63)+Assumptions!$F$63+$C$15105,Assumptions!$E$63))</f>
        <v>0.08875</v>
      </c>
      <c r="K15195" s="31" t="n">
        <f aca="false">IF(J15430=1,$C$15106,IF(Assumptions!$I$63=1,MAX(K15104,Assumptions!$G$63)+Assumptions!$F$63+$C$15105,Assumptions!$E$63))</f>
        <v>0.08875</v>
      </c>
    </row>
    <row r="15196" customFormat="false" ht="15" hidden="false" customHeight="false" outlineLevel="0" collapsed="false">
      <c r="A15196" s="3" t="s">
        <v>332</v>
      </c>
      <c r="G15196" s="16" t="n">
        <f aca="false">G15192*G15195</f>
        <v>48.8125</v>
      </c>
      <c r="H15196" s="16" t="n">
        <f aca="false">H15192*H15195</f>
        <v>48.8125</v>
      </c>
      <c r="I15196" s="16" t="n">
        <f aca="false">I15192*I15195</f>
        <v>48.8125</v>
      </c>
      <c r="J15196" s="16" t="n">
        <f aca="false">J15192*J15195</f>
        <v>48.8125</v>
      </c>
      <c r="K15196" s="16" t="n">
        <f aca="false">K15192*K15195</f>
        <v>48.8125</v>
      </c>
    </row>
    <row r="15197" customFormat="false" ht="15" hidden="false" customHeight="false" outlineLevel="0" collapsed="false">
      <c r="A15197" s="3" t="s">
        <v>333</v>
      </c>
      <c r="G15197" s="16" t="n">
        <f aca="false">G15192*Assumptions!$H$63</f>
        <v>0</v>
      </c>
      <c r="H15197" s="16" t="n">
        <f aca="false">H15192*Assumptions!$H$63</f>
        <v>0</v>
      </c>
      <c r="I15197" s="16" t="n">
        <f aca="false">I15192*Assumptions!$H$63</f>
        <v>0</v>
      </c>
      <c r="J15197" s="16" t="n">
        <f aca="false">J15192*Assumptions!$H$63</f>
        <v>0</v>
      </c>
      <c r="K15197" s="16" t="n">
        <f aca="false">K15192*Assumptions!$H$63</f>
        <v>0</v>
      </c>
    </row>
    <row r="15198" customFormat="false" ht="15" hidden="false" customHeight="false" outlineLevel="0" collapsed="false">
      <c r="A15198" s="3" t="s">
        <v>334</v>
      </c>
      <c r="G15198" s="16" t="n">
        <f aca="false">MIN(G15192,Assumptions!$L$63*Assumptions!$C$63)</f>
        <v>0</v>
      </c>
      <c r="H15198" s="16" t="n">
        <f aca="false">MIN(H15192,Assumptions!$L$63*Assumptions!$C$63)</f>
        <v>0</v>
      </c>
      <c r="I15198" s="16" t="n">
        <f aca="false">MIN(I15192,Assumptions!$L$63*Assumptions!$C$63)</f>
        <v>0</v>
      </c>
      <c r="J15198" s="16" t="n">
        <f aca="false">MIN(J15192,Assumptions!$L$63*Assumptions!$C$63)</f>
        <v>0</v>
      </c>
      <c r="K15198" s="16" t="n">
        <f aca="false">MIN(K15192,Assumptions!$L$63*Assumptions!$C$63)</f>
        <v>0</v>
      </c>
    </row>
    <row r="15199" customFormat="false" ht="15" hidden="false" customHeight="false" outlineLevel="0" collapsed="false">
      <c r="A15199" s="3" t="s">
        <v>335</v>
      </c>
      <c r="G15199" s="16" t="n">
        <f aca="false">IF(AND(Assumptions!$P$63=1,G15078&lt;Assumptions!$K$63),MIN(MAX(0,-G15294),MAX(0,Assumptions!$D$63-G15192)),0)</f>
        <v>0</v>
      </c>
      <c r="H15199" s="16" t="n">
        <f aca="false">IF(AND(Assumptions!$P$63=1,OR(H15078&lt;Assumptions!$K$63,G15430=1)),MIN(MAX(0,-H15294),MAX(0,Assumptions!$D$63-H15192)),0)</f>
        <v>0</v>
      </c>
      <c r="I15199" s="16" t="n">
        <f aca="false">IF(AND(Assumptions!$P$63=1,OR(I15078&lt;Assumptions!$K$63,H15430=1)),MIN(MAX(0,-I15294),MAX(0,Assumptions!$D$63-I15192)),0)</f>
        <v>0</v>
      </c>
      <c r="J15199" s="16" t="n">
        <f aca="false">IF(AND(Assumptions!$P$63=1,OR(J15078&lt;Assumptions!$K$63,I15430=1)),MIN(MAX(0,-J15294),MAX(0,Assumptions!$D$63-J15192)),0)</f>
        <v>0</v>
      </c>
      <c r="K15199" s="16" t="n">
        <f aca="false">IF(AND(Assumptions!$P$63=1,OR(K15078&lt;Assumptions!$K$63,J15430=1)),MIN(MAX(0,-K15294),MAX(0,Assumptions!$D$63-K15192)),0)</f>
        <v>0</v>
      </c>
    </row>
    <row r="15200" customFormat="false" ht="15" hidden="false" customHeight="false" outlineLevel="0" collapsed="false">
      <c r="A15200" s="3" t="s">
        <v>336</v>
      </c>
      <c r="G15200" s="16" t="n">
        <f aca="false">G15193*MIN(G15192-G15198+G15197,MAX(0,G15296-Assumptions!$C$12*G15112-G15122-G15135-G15148-G15161-G15174-G15187))</f>
        <v>0</v>
      </c>
      <c r="H15200" s="16" t="n">
        <f aca="false">H15193*MIN(H15192-H15198+H15197,MAX(0,H15296-Assumptions!$C$12*H15112-H15122-H15135-H15148-H15161-H15174-H15187))</f>
        <v>0</v>
      </c>
      <c r="I15200" s="16" t="n">
        <f aca="false">I15193*MIN(I15192-I15198+I15197,MAX(0,I15296-Assumptions!$C$12*I15112-I15122-I15135-I15148-I15161-I15174-I15187))</f>
        <v>0</v>
      </c>
      <c r="J15200" s="16" t="n">
        <f aca="false">J15193*MIN(J15192-J15198+J15197,MAX(0,J15296-Assumptions!$C$12*J15112-J15122-J15135-J15148-J15161-J15174-J15187))</f>
        <v>0</v>
      </c>
      <c r="K15200" s="16" t="n">
        <f aca="false">K15193*MIN(K15192-K15198+K15197,MAX(0,K15296-Assumptions!$C$12*K15112-K15122-K15135-K15148-K15161-K15174-K15187))</f>
        <v>0</v>
      </c>
    </row>
    <row r="15201" customFormat="false" ht="15" hidden="false" customHeight="false" outlineLevel="0" collapsed="false">
      <c r="A15201" s="3" t="s">
        <v>337</v>
      </c>
      <c r="G15201" s="16" t="n">
        <f aca="false">Assumptions!$N$63*MIN(G15192+G15199+G15197-G15198-G15200,MAX(0,G15300-G15123-G15136-G15149-G15162-G15175-G15188))</f>
        <v>0</v>
      </c>
      <c r="H15201" s="16" t="n">
        <f aca="false">Assumptions!$N$63*MIN(H15192+H15199+H15197-H15198-H15200,MAX(0,H15300-H15123-H15136-H15149-H15162-H15175-H15188))</f>
        <v>0</v>
      </c>
      <c r="I15201" s="16" t="n">
        <f aca="false">Assumptions!$N$63*MIN(I15192+I15199+I15197-I15198-I15200,MAX(0,I15300-I15123-I15136-I15149-I15162-I15175-I15188))</f>
        <v>0</v>
      </c>
      <c r="J15201" s="16" t="n">
        <f aca="false">Assumptions!$N$63*MIN(J15192+J15199+J15197-J15198-J15200,MAX(0,J15300-J15123-J15136-J15149-J15162-J15175-J15188))</f>
        <v>0</v>
      </c>
      <c r="K15201" s="16" t="n">
        <f aca="false">Assumptions!$N$63*MIN(K15192+K15199+K15197-K15198-K15200,MAX(0,K15300-K15123-K15136-K15149-K15162-K15175-K15188))</f>
        <v>0</v>
      </c>
    </row>
    <row r="15202" customFormat="false" ht="15" hidden="false" customHeight="false" outlineLevel="0" collapsed="false">
      <c r="A15202" s="3" t="s">
        <v>338</v>
      </c>
      <c r="G15202" s="16" t="n">
        <f aca="false">G15193*(1-G15112)*(G15192-G15198+G15197-G15200)</f>
        <v>0</v>
      </c>
      <c r="H15202" s="16" t="n">
        <f aca="false">H15193*(1-H15112)*(H15192-H15198+H15197-H15200)</f>
        <v>0</v>
      </c>
      <c r="I15202" s="16" t="n">
        <f aca="false">I15193*(1-I15112)*(I15192-I15198+I15197-I15200)</f>
        <v>550</v>
      </c>
      <c r="J15202" s="16" t="n">
        <f aca="false">J15193*(1-J15112)*(J15192-J15198+J15197-J15200)</f>
        <v>0</v>
      </c>
      <c r="K15202" s="16" t="n">
        <f aca="false">K15193*(1-K15112)*(K15192-K15198+K15197-K15200)</f>
        <v>0</v>
      </c>
    </row>
    <row r="15203" customFormat="false" ht="15" hidden="false" customHeight="false" outlineLevel="0" collapsed="false">
      <c r="A15203" s="2" t="s">
        <v>339</v>
      </c>
      <c r="F15203" s="28" t="n">
        <f aca="false">Assumptions!$C$63</f>
        <v>550</v>
      </c>
      <c r="G15203" s="17" t="n">
        <f aca="false">G15192+G15199+G15197-G15198-G15200-G15201</f>
        <v>550</v>
      </c>
      <c r="H15203" s="17" t="n">
        <f aca="false">H15192+H15199+H15197-H15198-H15200-H15201</f>
        <v>550</v>
      </c>
      <c r="I15203" s="17" t="n">
        <f aca="false">I15192+I15199+I15197-I15198-I15200-I15201</f>
        <v>550</v>
      </c>
      <c r="J15203" s="17" t="n">
        <f aca="false">J15192+J15199+J15197-J15198-J15200-J15201</f>
        <v>550</v>
      </c>
      <c r="K15203" s="17" t="n">
        <f aca="false">K15192+K15199+K15197-K15198-K15200-K15201</f>
        <v>550</v>
      </c>
    </row>
    <row r="15204" customFormat="false" ht="15" hidden="false" customHeight="false" outlineLevel="0" collapsed="false">
      <c r="A15204" s="24" t="s">
        <v>346</v>
      </c>
      <c r="B15204" s="25"/>
      <c r="C15204" s="25"/>
      <c r="D15204" s="25"/>
      <c r="E15204" s="25"/>
      <c r="F15204" s="25"/>
      <c r="G15204" s="25"/>
      <c r="H15204" s="25"/>
      <c r="I15204" s="25"/>
      <c r="J15204" s="25"/>
      <c r="K15204" s="25"/>
    </row>
    <row r="15205" customFormat="false" ht="15" hidden="false" customHeight="false" outlineLevel="0" collapsed="false">
      <c r="A15205" s="3" t="s">
        <v>329</v>
      </c>
      <c r="G15205" s="16" t="n">
        <f aca="false">F15216</f>
        <v>350</v>
      </c>
      <c r="H15205" s="16" t="n">
        <f aca="false">G15216</f>
        <v>350</v>
      </c>
      <c r="I15205" s="16" t="n">
        <f aca="false">H15216</f>
        <v>350</v>
      </c>
      <c r="J15205" s="16" t="n">
        <f aca="false">I15216</f>
        <v>350</v>
      </c>
      <c r="K15205" s="16" t="n">
        <f aca="false">J15216</f>
        <v>350</v>
      </c>
    </row>
    <row r="15206" customFormat="false" ht="15" hidden="false" customHeight="false" outlineLevel="0" collapsed="false">
      <c r="A15206" s="3" t="s">
        <v>330</v>
      </c>
      <c r="G15206" s="21" t="n">
        <f aca="false">IF(G15078=Assumptions!$K$64,1,0)</f>
        <v>0</v>
      </c>
      <c r="H15206" s="21" t="n">
        <f aca="false">IF(H15078=Assumptions!$K$64,1,0)</f>
        <v>0</v>
      </c>
      <c r="I15206" s="21" t="n">
        <f aca="false">IF(I15078=Assumptions!$K$64,1,0)</f>
        <v>0</v>
      </c>
      <c r="J15206" s="21" t="n">
        <f aca="false">IF(J15078=Assumptions!$K$64,1,0)</f>
        <v>1</v>
      </c>
      <c r="K15206" s="21" t="n">
        <f aca="false">IF(K15078=Assumptions!$K$64,1,0)</f>
        <v>0</v>
      </c>
    </row>
    <row r="15208" customFormat="false" ht="15" hidden="false" customHeight="false" outlineLevel="0" collapsed="false">
      <c r="A15208" s="3" t="s">
        <v>331</v>
      </c>
      <c r="G15208" s="31" t="n">
        <f aca="false">IF(Assumptions!$I$64=1,MAX(G15104,Assumptions!$G$64)+Assumptions!$F$64+$C$15105,Assumptions!$E$64)</f>
        <v>0.0455</v>
      </c>
      <c r="H15208" s="31" t="n">
        <f aca="false">IF(G15431=1,$C$15106,IF(Assumptions!$I$64=1,MAX(H15104,Assumptions!$G$64)+Assumptions!$F$64+$C$15105,Assumptions!$E$64))</f>
        <v>0.0455</v>
      </c>
      <c r="I15208" s="31" t="n">
        <f aca="false">IF(H15431=1,$C$15106,IF(Assumptions!$I$64=1,MAX(I15104,Assumptions!$G$64)+Assumptions!$F$64+$C$15105,Assumptions!$E$64))</f>
        <v>0.0455</v>
      </c>
      <c r="J15208" s="31" t="n">
        <f aca="false">IF(I15431=1,$C$15106,IF(Assumptions!$I$64=1,MAX(J15104,Assumptions!$G$64)+Assumptions!$F$64+$C$15105,Assumptions!$E$64))</f>
        <v>0.0455</v>
      </c>
      <c r="K15208" s="31" t="n">
        <f aca="false">IF(J15431=1,$C$15106,IF(Assumptions!$I$64=1,MAX(K15104,Assumptions!$G$64)+Assumptions!$F$64+$C$15105,Assumptions!$E$64))</f>
        <v>0.0455</v>
      </c>
    </row>
    <row r="15209" customFormat="false" ht="15" hidden="false" customHeight="false" outlineLevel="0" collapsed="false">
      <c r="A15209" s="3" t="s">
        <v>332</v>
      </c>
      <c r="G15209" s="16" t="n">
        <f aca="false">G15205*G15208</f>
        <v>15.925</v>
      </c>
      <c r="H15209" s="16" t="n">
        <f aca="false">H15205*H15208</f>
        <v>15.925</v>
      </c>
      <c r="I15209" s="16" t="n">
        <f aca="false">I15205*I15208</f>
        <v>15.925</v>
      </c>
      <c r="J15209" s="16" t="n">
        <f aca="false">J15205*J15208</f>
        <v>15.925</v>
      </c>
      <c r="K15209" s="16" t="n">
        <f aca="false">K15205*K15208</f>
        <v>15.925</v>
      </c>
    </row>
    <row r="15210" customFormat="false" ht="15" hidden="false" customHeight="false" outlineLevel="0" collapsed="false">
      <c r="A15210" s="3" t="s">
        <v>333</v>
      </c>
      <c r="G15210" s="16" t="n">
        <f aca="false">G15205*Assumptions!$H$64</f>
        <v>0</v>
      </c>
      <c r="H15210" s="16" t="n">
        <f aca="false">H15205*Assumptions!$H$64</f>
        <v>0</v>
      </c>
      <c r="I15210" s="16" t="n">
        <f aca="false">I15205*Assumptions!$H$64</f>
        <v>0</v>
      </c>
      <c r="J15210" s="16" t="n">
        <f aca="false">J15205*Assumptions!$H$64</f>
        <v>0</v>
      </c>
      <c r="K15210" s="16" t="n">
        <f aca="false">K15205*Assumptions!$H$64</f>
        <v>0</v>
      </c>
    </row>
    <row r="15211" customFormat="false" ht="15" hidden="false" customHeight="false" outlineLevel="0" collapsed="false">
      <c r="A15211" s="3" t="s">
        <v>334</v>
      </c>
      <c r="G15211" s="16" t="n">
        <f aca="false">MIN(G15205,Assumptions!$L$64*Assumptions!$C$64)</f>
        <v>0</v>
      </c>
      <c r="H15211" s="16" t="n">
        <f aca="false">MIN(H15205,Assumptions!$L$64*Assumptions!$C$64)</f>
        <v>0</v>
      </c>
      <c r="I15211" s="16" t="n">
        <f aca="false">MIN(I15205,Assumptions!$L$64*Assumptions!$C$64)</f>
        <v>0</v>
      </c>
      <c r="J15211" s="16" t="n">
        <f aca="false">MIN(J15205,Assumptions!$L$64*Assumptions!$C$64)</f>
        <v>0</v>
      </c>
      <c r="K15211" s="16" t="n">
        <f aca="false">MIN(K15205,Assumptions!$L$64*Assumptions!$C$64)</f>
        <v>0</v>
      </c>
    </row>
    <row r="15212" customFormat="false" ht="15" hidden="false" customHeight="false" outlineLevel="0" collapsed="false">
      <c r="A15212" s="3" t="s">
        <v>335</v>
      </c>
      <c r="G15212" s="16" t="n">
        <f aca="false">IF(AND(Assumptions!$P$64=1,G15078&lt;Assumptions!$K$64),MIN(MAX(0,-G15294),MAX(0,Assumptions!$D$64-G15205)),0)</f>
        <v>0</v>
      </c>
      <c r="H15212" s="16" t="n">
        <f aca="false">IF(AND(Assumptions!$P$64=1,OR(H15078&lt;Assumptions!$K$64,G15431=1)),MIN(MAX(0,-H15294),MAX(0,Assumptions!$D$64-H15205)),0)</f>
        <v>0</v>
      </c>
      <c r="I15212" s="16" t="n">
        <f aca="false">IF(AND(Assumptions!$P$64=1,OR(I15078&lt;Assumptions!$K$64,H15431=1)),MIN(MAX(0,-I15294),MAX(0,Assumptions!$D$64-I15205)),0)</f>
        <v>0</v>
      </c>
      <c r="J15212" s="16" t="n">
        <f aca="false">IF(AND(Assumptions!$P$64=1,OR(J15078&lt;Assumptions!$K$64,I15431=1)),MIN(MAX(0,-J15294),MAX(0,Assumptions!$D$64-J15205)),0)</f>
        <v>0</v>
      </c>
      <c r="K15212" s="16" t="n">
        <f aca="false">IF(AND(Assumptions!$P$64=1,OR(K15078&lt;Assumptions!$K$64,J15431=1)),MIN(MAX(0,-K15294),MAX(0,Assumptions!$D$64-K15205)),0)</f>
        <v>0</v>
      </c>
    </row>
    <row r="15213" customFormat="false" ht="15" hidden="false" customHeight="false" outlineLevel="0" collapsed="false">
      <c r="A15213" s="3" t="s">
        <v>336</v>
      </c>
      <c r="G15213" s="16" t="n">
        <f aca="false">G15206*MIN(G15205-G15211+G15210,MAX(0,G15296-Assumptions!$C$12*G15112-G15122-G15135-G15148-G15161-G15174-G15187-G15200))</f>
        <v>0</v>
      </c>
      <c r="H15213" s="16" t="n">
        <f aca="false">H15206*MIN(H15205-H15211+H15210,MAX(0,H15296-Assumptions!$C$12*H15112-H15122-H15135-H15148-H15161-H15174-H15187-H15200))</f>
        <v>0</v>
      </c>
      <c r="I15213" s="16" t="n">
        <f aca="false">I15206*MIN(I15205-I15211+I15210,MAX(0,I15296-Assumptions!$C$12*I15112-I15122-I15135-I15148-I15161-I15174-I15187-I15200))</f>
        <v>0</v>
      </c>
      <c r="J15213" s="16" t="n">
        <f aca="false">J15206*MIN(J15205-J15211+J15210,MAX(0,J15296-Assumptions!$C$12*J15112-J15122-J15135-J15148-J15161-J15174-J15187-J15200))</f>
        <v>0</v>
      </c>
      <c r="K15213" s="16" t="n">
        <f aca="false">K15206*MIN(K15205-K15211+K15210,MAX(0,K15296-Assumptions!$C$12*K15112-K15122-K15135-K15148-K15161-K15174-K15187-K15200))</f>
        <v>0</v>
      </c>
    </row>
    <row r="15214" customFormat="false" ht="15" hidden="false" customHeight="false" outlineLevel="0" collapsed="false">
      <c r="A15214" s="3" t="s">
        <v>337</v>
      </c>
      <c r="G15214" s="16" t="n">
        <f aca="false">Assumptions!$N$64*MIN(G15205+G15212+G15210-G15211-G15213,MAX(0,G15300-G15123-G15136-G15149-G15162-G15175-G15188-G15201))</f>
        <v>0</v>
      </c>
      <c r="H15214" s="16" t="n">
        <f aca="false">Assumptions!$N$64*MIN(H15205+H15212+H15210-H15211-H15213,MAX(0,H15300-H15123-H15136-H15149-H15162-H15175-H15188-H15201))</f>
        <v>0</v>
      </c>
      <c r="I15214" s="16" t="n">
        <f aca="false">Assumptions!$N$64*MIN(I15205+I15212+I15210-I15211-I15213,MAX(0,I15300-I15123-I15136-I15149-I15162-I15175-I15188-I15201))</f>
        <v>0</v>
      </c>
      <c r="J15214" s="16" t="n">
        <f aca="false">Assumptions!$N$64*MIN(J15205+J15212+J15210-J15211-J15213,MAX(0,J15300-J15123-J15136-J15149-J15162-J15175-J15188-J15201))</f>
        <v>0</v>
      </c>
      <c r="K15214" s="16" t="n">
        <f aca="false">Assumptions!$N$64*MIN(K15205+K15212+K15210-K15211-K15213,MAX(0,K15300-K15123-K15136-K15149-K15162-K15175-K15188-K15201))</f>
        <v>0</v>
      </c>
    </row>
    <row r="15215" customFormat="false" ht="15" hidden="false" customHeight="false" outlineLevel="0" collapsed="false">
      <c r="A15215" s="3" t="s">
        <v>338</v>
      </c>
      <c r="G15215" s="16" t="n">
        <f aca="false">G15206*(1-G15112)*(G15205-G15211+G15210-G15213)</f>
        <v>0</v>
      </c>
      <c r="H15215" s="16" t="n">
        <f aca="false">H15206*(1-H15112)*(H15205-H15211+H15210-H15213)</f>
        <v>0</v>
      </c>
      <c r="I15215" s="16" t="n">
        <f aca="false">I15206*(1-I15112)*(I15205-I15211+I15210-I15213)</f>
        <v>0</v>
      </c>
      <c r="J15215" s="16" t="n">
        <f aca="false">J15206*(1-J15112)*(J15205-J15211+J15210-J15213)</f>
        <v>350</v>
      </c>
      <c r="K15215" s="16" t="n">
        <f aca="false">K15206*(1-K15112)*(K15205-K15211+K15210-K15213)</f>
        <v>0</v>
      </c>
    </row>
    <row r="15216" customFormat="false" ht="15" hidden="false" customHeight="false" outlineLevel="0" collapsed="false">
      <c r="A15216" s="2" t="s">
        <v>339</v>
      </c>
      <c r="F15216" s="28" t="n">
        <f aca="false">Assumptions!$C$64</f>
        <v>350</v>
      </c>
      <c r="G15216" s="17" t="n">
        <f aca="false">G15205+G15212+G15210-G15211-G15213-G15214</f>
        <v>350</v>
      </c>
      <c r="H15216" s="17" t="n">
        <f aca="false">H15205+H15212+H15210-H15211-H15213-H15214</f>
        <v>350</v>
      </c>
      <c r="I15216" s="17" t="n">
        <f aca="false">I15205+I15212+I15210-I15211-I15213-I15214</f>
        <v>350</v>
      </c>
      <c r="J15216" s="17" t="n">
        <f aca="false">J15205+J15212+J15210-J15211-J15213-J15214</f>
        <v>350</v>
      </c>
      <c r="K15216" s="17" t="n">
        <f aca="false">K15205+K15212+K15210-K15211-K15213-K15214</f>
        <v>350</v>
      </c>
    </row>
    <row r="15217" customFormat="false" ht="15" hidden="false" customHeight="false" outlineLevel="0" collapsed="false">
      <c r="A15217" s="24" t="s">
        <v>347</v>
      </c>
      <c r="B15217" s="25"/>
      <c r="C15217" s="25"/>
      <c r="D15217" s="25"/>
      <c r="E15217" s="25"/>
      <c r="F15217" s="25"/>
      <c r="G15217" s="25"/>
      <c r="H15217" s="25"/>
      <c r="I15217" s="25"/>
      <c r="J15217" s="25"/>
      <c r="K15217" s="25"/>
    </row>
    <row r="15218" customFormat="false" ht="15" hidden="false" customHeight="false" outlineLevel="0" collapsed="false">
      <c r="A15218" s="3" t="s">
        <v>329</v>
      </c>
      <c r="G15218" s="16" t="n">
        <f aca="false">F15229</f>
        <v>300</v>
      </c>
      <c r="H15218" s="16" t="n">
        <f aca="false">G15229</f>
        <v>300</v>
      </c>
      <c r="I15218" s="16" t="n">
        <f aca="false">H15229</f>
        <v>300</v>
      </c>
      <c r="J15218" s="16" t="n">
        <f aca="false">I15229</f>
        <v>300</v>
      </c>
      <c r="K15218" s="16" t="n">
        <f aca="false">J15229</f>
        <v>300</v>
      </c>
    </row>
    <row r="15219" customFormat="false" ht="15" hidden="false" customHeight="false" outlineLevel="0" collapsed="false">
      <c r="A15219" s="3" t="s">
        <v>330</v>
      </c>
      <c r="G15219" s="21" t="n">
        <f aca="false">IF(G15078=Assumptions!$K$65,1,0)</f>
        <v>0</v>
      </c>
      <c r="H15219" s="21" t="n">
        <f aca="false">IF(H15078=Assumptions!$K$65,1,0)</f>
        <v>0</v>
      </c>
      <c r="I15219" s="21" t="n">
        <f aca="false">IF(I15078=Assumptions!$K$65,1,0)</f>
        <v>0</v>
      </c>
      <c r="J15219" s="21" t="n">
        <f aca="false">IF(J15078=Assumptions!$K$65,1,0)</f>
        <v>0</v>
      </c>
      <c r="K15219" s="21" t="n">
        <f aca="false">IF(K15078=Assumptions!$K$65,1,0)</f>
        <v>1</v>
      </c>
    </row>
    <row r="15221" customFormat="false" ht="15" hidden="false" customHeight="false" outlineLevel="0" collapsed="false">
      <c r="A15221" s="3" t="s">
        <v>331</v>
      </c>
      <c r="G15221" s="31" t="n">
        <f aca="false">IF(Assumptions!$I$65=1,MAX(G15104,Assumptions!$G$65)+Assumptions!$F$65+$C$15105,Assumptions!$E$65)</f>
        <v>0.06125</v>
      </c>
      <c r="H15221" s="31" t="n">
        <f aca="false">IF(G15432=1,$C$15106,IF(Assumptions!$I$65=1,MAX(H15104,Assumptions!$G$65)+Assumptions!$F$65+$C$15105,Assumptions!$E$65))</f>
        <v>0.06125</v>
      </c>
      <c r="I15221" s="31" t="n">
        <f aca="false">IF(H15432=1,$C$15106,IF(Assumptions!$I$65=1,MAX(I15104,Assumptions!$G$65)+Assumptions!$F$65+$C$15105,Assumptions!$E$65))</f>
        <v>0.06125</v>
      </c>
      <c r="J15221" s="31" t="n">
        <f aca="false">IF(I15432=1,$C$15106,IF(Assumptions!$I$65=1,MAX(J15104,Assumptions!$G$65)+Assumptions!$F$65+$C$15105,Assumptions!$E$65))</f>
        <v>0.06125</v>
      </c>
      <c r="K15221" s="31" t="n">
        <f aca="false">IF(J15432=1,$C$15106,IF(Assumptions!$I$65=1,MAX(K15104,Assumptions!$G$65)+Assumptions!$F$65+$C$15105,Assumptions!$E$65))</f>
        <v>0.06125</v>
      </c>
    </row>
    <row r="15222" customFormat="false" ht="15" hidden="false" customHeight="false" outlineLevel="0" collapsed="false">
      <c r="A15222" s="3" t="s">
        <v>332</v>
      </c>
      <c r="G15222" s="16" t="n">
        <f aca="false">G15218*G15221</f>
        <v>18.375</v>
      </c>
      <c r="H15222" s="16" t="n">
        <f aca="false">H15218*H15221</f>
        <v>18.375</v>
      </c>
      <c r="I15222" s="16" t="n">
        <f aca="false">I15218*I15221</f>
        <v>18.375</v>
      </c>
      <c r="J15222" s="16" t="n">
        <f aca="false">J15218*J15221</f>
        <v>18.375</v>
      </c>
      <c r="K15222" s="16" t="n">
        <f aca="false">K15218*K15221</f>
        <v>18.375</v>
      </c>
    </row>
    <row r="15223" customFormat="false" ht="15" hidden="false" customHeight="false" outlineLevel="0" collapsed="false">
      <c r="A15223" s="3" t="s">
        <v>333</v>
      </c>
      <c r="G15223" s="16" t="n">
        <f aca="false">G15218*Assumptions!$H$65</f>
        <v>0</v>
      </c>
      <c r="H15223" s="16" t="n">
        <f aca="false">H15218*Assumptions!$H$65</f>
        <v>0</v>
      </c>
      <c r="I15223" s="16" t="n">
        <f aca="false">I15218*Assumptions!$H$65</f>
        <v>0</v>
      </c>
      <c r="J15223" s="16" t="n">
        <f aca="false">J15218*Assumptions!$H$65</f>
        <v>0</v>
      </c>
      <c r="K15223" s="16" t="n">
        <f aca="false">K15218*Assumptions!$H$65</f>
        <v>0</v>
      </c>
    </row>
    <row r="15224" customFormat="false" ht="15" hidden="false" customHeight="false" outlineLevel="0" collapsed="false">
      <c r="A15224" s="3" t="s">
        <v>334</v>
      </c>
      <c r="G15224" s="16" t="n">
        <f aca="false">MIN(G15218,Assumptions!$L$65*Assumptions!$C$65)</f>
        <v>0</v>
      </c>
      <c r="H15224" s="16" t="n">
        <f aca="false">MIN(H15218,Assumptions!$L$65*Assumptions!$C$65)</f>
        <v>0</v>
      </c>
      <c r="I15224" s="16" t="n">
        <f aca="false">MIN(I15218,Assumptions!$L$65*Assumptions!$C$65)</f>
        <v>0</v>
      </c>
      <c r="J15224" s="16" t="n">
        <f aca="false">MIN(J15218,Assumptions!$L$65*Assumptions!$C$65)</f>
        <v>0</v>
      </c>
      <c r="K15224" s="16" t="n">
        <f aca="false">MIN(K15218,Assumptions!$L$65*Assumptions!$C$65)</f>
        <v>0</v>
      </c>
    </row>
    <row r="15225" customFormat="false" ht="15" hidden="false" customHeight="false" outlineLevel="0" collapsed="false">
      <c r="A15225" s="3" t="s">
        <v>335</v>
      </c>
      <c r="G15225" s="16" t="n">
        <f aca="false">IF(AND(Assumptions!$P$65=1,G15078&lt;Assumptions!$K$65),MIN(MAX(0,-G15294),MAX(0,Assumptions!$D$65-G15218)),0)</f>
        <v>0</v>
      </c>
      <c r="H15225" s="16" t="n">
        <f aca="false">IF(AND(Assumptions!$P$65=1,OR(H15078&lt;Assumptions!$K$65,G15432=1)),MIN(MAX(0,-H15294),MAX(0,Assumptions!$D$65-H15218)),0)</f>
        <v>0</v>
      </c>
      <c r="I15225" s="16" t="n">
        <f aca="false">IF(AND(Assumptions!$P$65=1,OR(I15078&lt;Assumptions!$K$65,H15432=1)),MIN(MAX(0,-I15294),MAX(0,Assumptions!$D$65-I15218)),0)</f>
        <v>0</v>
      </c>
      <c r="J15225" s="16" t="n">
        <f aca="false">IF(AND(Assumptions!$P$65=1,OR(J15078&lt;Assumptions!$K$65,I15432=1)),MIN(MAX(0,-J15294),MAX(0,Assumptions!$D$65-J15218)),0)</f>
        <v>0</v>
      </c>
      <c r="K15225" s="16" t="n">
        <f aca="false">IF(AND(Assumptions!$P$65=1,OR(K15078&lt;Assumptions!$K$65,J15432=1)),MIN(MAX(0,-K15294),MAX(0,Assumptions!$D$65-K15218)),0)</f>
        <v>0</v>
      </c>
    </row>
    <row r="15226" customFormat="false" ht="15" hidden="false" customHeight="false" outlineLevel="0" collapsed="false">
      <c r="A15226" s="3" t="s">
        <v>336</v>
      </c>
      <c r="G15226" s="16" t="n">
        <f aca="false">G15219*MIN(G15218-G15224+G15223,MAX(0,G15296-Assumptions!$C$12*G15112-G15122-G15135-G15148-G15161-G15174-G15187-G15200-G15213))</f>
        <v>0</v>
      </c>
      <c r="H15226" s="16" t="n">
        <f aca="false">H15219*MIN(H15218-H15224+H15223,MAX(0,H15296-Assumptions!$C$12*H15112-H15122-H15135-H15148-H15161-H15174-H15187-H15200-H15213))</f>
        <v>0</v>
      </c>
      <c r="I15226" s="16" t="n">
        <f aca="false">I15219*MIN(I15218-I15224+I15223,MAX(0,I15296-Assumptions!$C$12*I15112-I15122-I15135-I15148-I15161-I15174-I15187-I15200-I15213))</f>
        <v>0</v>
      </c>
      <c r="J15226" s="16" t="n">
        <f aca="false">J15219*MIN(J15218-J15224+J15223,MAX(0,J15296-Assumptions!$C$12*J15112-J15122-J15135-J15148-J15161-J15174-J15187-J15200-J15213))</f>
        <v>0</v>
      </c>
      <c r="K15226" s="16" t="n">
        <f aca="false">K15219*MIN(K15218-K15224+K15223,MAX(0,K15296-Assumptions!$C$12*K15112-K15122-K15135-K15148-K15161-K15174-K15187-K15200-K15213))</f>
        <v>0</v>
      </c>
    </row>
    <row r="15227" customFormat="false" ht="15" hidden="false" customHeight="false" outlineLevel="0" collapsed="false">
      <c r="A15227" s="3" t="s">
        <v>337</v>
      </c>
      <c r="G15227" s="16" t="n">
        <f aca="false">Assumptions!$N$65*MIN(G15218+G15225+G15223-G15224-G15226,MAX(0,G15300-G15123-G15136-G15149-G15162-G15175-G15188-G15201-G15214))</f>
        <v>0</v>
      </c>
      <c r="H15227" s="16" t="n">
        <f aca="false">Assumptions!$N$65*MIN(H15218+H15225+H15223-H15224-H15226,MAX(0,H15300-H15123-H15136-H15149-H15162-H15175-H15188-H15201-H15214))</f>
        <v>0</v>
      </c>
      <c r="I15227" s="16" t="n">
        <f aca="false">Assumptions!$N$65*MIN(I15218+I15225+I15223-I15224-I15226,MAX(0,I15300-I15123-I15136-I15149-I15162-I15175-I15188-I15201-I15214))</f>
        <v>0</v>
      </c>
      <c r="J15227" s="16" t="n">
        <f aca="false">Assumptions!$N$65*MIN(J15218+J15225+J15223-J15224-J15226,MAX(0,J15300-J15123-J15136-J15149-J15162-J15175-J15188-J15201-J15214))</f>
        <v>0</v>
      </c>
      <c r="K15227" s="16" t="n">
        <f aca="false">Assumptions!$N$65*MIN(K15218+K15225+K15223-K15224-K15226,MAX(0,K15300-K15123-K15136-K15149-K15162-K15175-K15188-K15201-K15214))</f>
        <v>0</v>
      </c>
    </row>
    <row r="15228" customFormat="false" ht="15" hidden="false" customHeight="false" outlineLevel="0" collapsed="false">
      <c r="A15228" s="3" t="s">
        <v>338</v>
      </c>
      <c r="G15228" s="16" t="n">
        <f aca="false">G15219*(1-G15112)*(G15218-G15224+G15223-G15226)</f>
        <v>0</v>
      </c>
      <c r="H15228" s="16" t="n">
        <f aca="false">H15219*(1-H15112)*(H15218-H15224+H15223-H15226)</f>
        <v>0</v>
      </c>
      <c r="I15228" s="16" t="n">
        <f aca="false">I15219*(1-I15112)*(I15218-I15224+I15223-I15226)</f>
        <v>0</v>
      </c>
      <c r="J15228" s="16" t="n">
        <f aca="false">J15219*(1-J15112)*(J15218-J15224+J15223-J15226)</f>
        <v>0</v>
      </c>
      <c r="K15228" s="16" t="n">
        <f aca="false">K15219*(1-K15112)*(K15218-K15224+K15223-K15226)</f>
        <v>300</v>
      </c>
    </row>
    <row r="15229" customFormat="false" ht="15" hidden="false" customHeight="false" outlineLevel="0" collapsed="false">
      <c r="A15229" s="2" t="s">
        <v>339</v>
      </c>
      <c r="F15229" s="28" t="n">
        <f aca="false">Assumptions!$C$65</f>
        <v>300</v>
      </c>
      <c r="G15229" s="17" t="n">
        <f aca="false">G15218+G15225+G15223-G15224-G15226-G15227</f>
        <v>300</v>
      </c>
      <c r="H15229" s="17" t="n">
        <f aca="false">H15218+H15225+H15223-H15224-H15226-H15227</f>
        <v>300</v>
      </c>
      <c r="I15229" s="17" t="n">
        <f aca="false">I15218+I15225+I15223-I15224-I15226-I15227</f>
        <v>300</v>
      </c>
      <c r="J15229" s="17" t="n">
        <f aca="false">J15218+J15225+J15223-J15224-J15226-J15227</f>
        <v>300</v>
      </c>
      <c r="K15229" s="17" t="n">
        <f aca="false">K15218+K15225+K15223-K15224-K15226-K15227</f>
        <v>300</v>
      </c>
    </row>
    <row r="15230" customFormat="false" ht="15" hidden="false" customHeight="false" outlineLevel="0" collapsed="false">
      <c r="A15230" s="24" t="s">
        <v>348</v>
      </c>
      <c r="B15230" s="25"/>
      <c r="C15230" s="25"/>
      <c r="D15230" s="25"/>
      <c r="E15230" s="25"/>
      <c r="F15230" s="25"/>
      <c r="G15230" s="25"/>
      <c r="H15230" s="25"/>
      <c r="I15230" s="25"/>
      <c r="J15230" s="25"/>
      <c r="K15230" s="25"/>
    </row>
    <row r="15231" customFormat="false" ht="15" hidden="false" customHeight="false" outlineLevel="0" collapsed="false">
      <c r="A15231" s="3" t="s">
        <v>329</v>
      </c>
      <c r="G15231" s="16" t="n">
        <f aca="false">F15242</f>
        <v>78.61</v>
      </c>
      <c r="H15231" s="16" t="n">
        <f aca="false">G15242</f>
        <v>78.61</v>
      </c>
      <c r="I15231" s="16" t="n">
        <f aca="false">H15242</f>
        <v>78.61</v>
      </c>
      <c r="J15231" s="16" t="n">
        <f aca="false">I15242</f>
        <v>78.61</v>
      </c>
      <c r="K15231" s="16" t="n">
        <f aca="false">J15242</f>
        <v>78.61</v>
      </c>
    </row>
    <row r="15232" customFormat="false" ht="15" hidden="false" customHeight="false" outlineLevel="0" collapsed="false">
      <c r="A15232" s="3" t="s">
        <v>330</v>
      </c>
      <c r="G15232" s="21" t="n">
        <f aca="false">IF(G15078=Assumptions!$K$66,1,0)</f>
        <v>0</v>
      </c>
      <c r="H15232" s="21" t="n">
        <f aca="false">IF(H15078=Assumptions!$K$66,1,0)</f>
        <v>0</v>
      </c>
      <c r="I15232" s="21" t="n">
        <f aca="false">IF(I15078=Assumptions!$K$66,1,0)</f>
        <v>0</v>
      </c>
      <c r="J15232" s="21" t="n">
        <f aca="false">IF(J15078=Assumptions!$K$66,1,0)</f>
        <v>0</v>
      </c>
      <c r="K15232" s="21" t="n">
        <f aca="false">IF(K15078=Assumptions!$K$66,1,0)</f>
        <v>0</v>
      </c>
    </row>
    <row r="15234" customFormat="false" ht="15" hidden="false" customHeight="false" outlineLevel="0" collapsed="false">
      <c r="A15234" s="3" t="s">
        <v>331</v>
      </c>
      <c r="G15234" s="31" t="n">
        <f aca="false">IF(Assumptions!$I$66=1,MAX(G15104,Assumptions!$G$66)+Assumptions!$F$66+$C$15105,Assumptions!$E$66)</f>
        <v>0.0691</v>
      </c>
      <c r="H15234" s="31" t="n">
        <f aca="false">IF(G15433=1,$C$15106,IF(Assumptions!$I$66=1,MAX(H15104,Assumptions!$G$66)+Assumptions!$F$66+$C$15105,Assumptions!$E$66))</f>
        <v>0.0676</v>
      </c>
      <c r="I15234" s="31" t="n">
        <f aca="false">IF(H15433=1,$C$15106,IF(Assumptions!$I$66=1,MAX(I15104,Assumptions!$G$66)+Assumptions!$F$66+$C$15105,Assumptions!$E$66))</f>
        <v>0.0651</v>
      </c>
      <c r="J15234" s="31" t="n">
        <f aca="false">IF(I15433=1,$C$15106,IF(Assumptions!$I$66=1,MAX(J15104,Assumptions!$G$66)+Assumptions!$F$66+$C$15105,Assumptions!$E$66))</f>
        <v>0.0651</v>
      </c>
      <c r="K15234" s="31" t="n">
        <f aca="false">IF(J15433=1,$C$15106,IF(Assumptions!$I$66=1,MAX(K15104,Assumptions!$G$66)+Assumptions!$F$66+$C$15105,Assumptions!$E$66))</f>
        <v>0.0651</v>
      </c>
    </row>
    <row r="15235" customFormat="false" ht="15" hidden="false" customHeight="false" outlineLevel="0" collapsed="false">
      <c r="A15235" s="3" t="s">
        <v>332</v>
      </c>
      <c r="G15235" s="16" t="n">
        <f aca="false">G15231*G15234</f>
        <v>5.431951</v>
      </c>
      <c r="H15235" s="16" t="n">
        <f aca="false">H15231*H15234</f>
        <v>5.314036</v>
      </c>
      <c r="I15235" s="16" t="n">
        <f aca="false">I15231*I15234</f>
        <v>5.117511</v>
      </c>
      <c r="J15235" s="16" t="n">
        <f aca="false">J15231*J15234</f>
        <v>5.117511</v>
      </c>
      <c r="K15235" s="16" t="n">
        <f aca="false">K15231*K15234</f>
        <v>5.117511</v>
      </c>
    </row>
    <row r="15236" customFormat="false" ht="15" hidden="false" customHeight="false" outlineLevel="0" collapsed="false">
      <c r="A15236" s="3" t="s">
        <v>333</v>
      </c>
      <c r="G15236" s="16" t="n">
        <f aca="false">G15231*Assumptions!$H$66</f>
        <v>0</v>
      </c>
      <c r="H15236" s="16" t="n">
        <f aca="false">H15231*Assumptions!$H$66</f>
        <v>0</v>
      </c>
      <c r="I15236" s="16" t="n">
        <f aca="false">I15231*Assumptions!$H$66</f>
        <v>0</v>
      </c>
      <c r="J15236" s="16" t="n">
        <f aca="false">J15231*Assumptions!$H$66</f>
        <v>0</v>
      </c>
      <c r="K15236" s="16" t="n">
        <f aca="false">K15231*Assumptions!$H$66</f>
        <v>0</v>
      </c>
    </row>
    <row r="15237" customFormat="false" ht="15" hidden="false" customHeight="false" outlineLevel="0" collapsed="false">
      <c r="A15237" s="3" t="s">
        <v>334</v>
      </c>
      <c r="G15237" s="16" t="n">
        <f aca="false">MIN(G15231,Assumptions!$L$66*Assumptions!$C$66)</f>
        <v>0</v>
      </c>
      <c r="H15237" s="16" t="n">
        <f aca="false">MIN(H15231,Assumptions!$L$66*Assumptions!$C$66)</f>
        <v>0</v>
      </c>
      <c r="I15237" s="16" t="n">
        <f aca="false">MIN(I15231,Assumptions!$L$66*Assumptions!$C$66)</f>
        <v>0</v>
      </c>
      <c r="J15237" s="16" t="n">
        <f aca="false">MIN(J15231,Assumptions!$L$66*Assumptions!$C$66)</f>
        <v>0</v>
      </c>
      <c r="K15237" s="16" t="n">
        <f aca="false">MIN(K15231,Assumptions!$L$66*Assumptions!$C$66)</f>
        <v>0</v>
      </c>
    </row>
    <row r="15238" customFormat="false" ht="15" hidden="false" customHeight="false" outlineLevel="0" collapsed="false">
      <c r="A15238" s="3" t="s">
        <v>335</v>
      </c>
      <c r="G15238" s="16" t="n">
        <f aca="false">IF(AND(Assumptions!$P$66=1,G15078&lt;Assumptions!$K$66),MIN(MAX(0,-G15294),MAX(0,Assumptions!$D$66-G15231)),0)</f>
        <v>0</v>
      </c>
      <c r="H15238" s="16" t="n">
        <f aca="false">IF(AND(Assumptions!$P$66=1,OR(H15078&lt;Assumptions!$K$66,G15433=1)),MIN(MAX(0,-H15294),MAX(0,Assumptions!$D$66-H15231)),0)</f>
        <v>0</v>
      </c>
      <c r="I15238" s="16" t="n">
        <f aca="false">IF(AND(Assumptions!$P$66=1,OR(I15078&lt;Assumptions!$K$66,H15433=1)),MIN(MAX(0,-I15294),MAX(0,Assumptions!$D$66-I15231)),0)</f>
        <v>0</v>
      </c>
      <c r="J15238" s="16" t="n">
        <f aca="false">IF(AND(Assumptions!$P$66=1,OR(J15078&lt;Assumptions!$K$66,I15433=1)),MIN(MAX(0,-J15294),MAX(0,Assumptions!$D$66-J15231)),0)</f>
        <v>0</v>
      </c>
      <c r="K15238" s="16" t="n">
        <f aca="false">IF(AND(Assumptions!$P$66=1,OR(K15078&lt;Assumptions!$K$66,J15433=1)),MIN(MAX(0,-K15294),MAX(0,Assumptions!$D$66-K15231)),0)</f>
        <v>0</v>
      </c>
    </row>
    <row r="15239" customFormat="false" ht="15" hidden="false" customHeight="false" outlineLevel="0" collapsed="false">
      <c r="A15239" s="3" t="s">
        <v>336</v>
      </c>
      <c r="G15239" s="16" t="n">
        <f aca="false">G15232*MIN(G15231-G15237+G15236,MAX(0,G15296-Assumptions!$C$12*G15112-G15122-G15135-G15148-G15161-G15174-G15187-G15200-G15213-G15226))</f>
        <v>0</v>
      </c>
      <c r="H15239" s="16" t="n">
        <f aca="false">H15232*MIN(H15231-H15237+H15236,MAX(0,H15296-Assumptions!$C$12*H15112-H15122-H15135-H15148-H15161-H15174-H15187-H15200-H15213-H15226))</f>
        <v>0</v>
      </c>
      <c r="I15239" s="16" t="n">
        <f aca="false">I15232*MIN(I15231-I15237+I15236,MAX(0,I15296-Assumptions!$C$12*I15112-I15122-I15135-I15148-I15161-I15174-I15187-I15200-I15213-I15226))</f>
        <v>0</v>
      </c>
      <c r="J15239" s="16" t="n">
        <f aca="false">J15232*MIN(J15231-J15237+J15236,MAX(0,J15296-Assumptions!$C$12*J15112-J15122-J15135-J15148-J15161-J15174-J15187-J15200-J15213-J15226))</f>
        <v>0</v>
      </c>
      <c r="K15239" s="16" t="n">
        <f aca="false">K15232*MIN(K15231-K15237+K15236,MAX(0,K15296-Assumptions!$C$12*K15112-K15122-K15135-K15148-K15161-K15174-K15187-K15200-K15213-K15226))</f>
        <v>0</v>
      </c>
    </row>
    <row r="15240" customFormat="false" ht="15" hidden="false" customHeight="false" outlineLevel="0" collapsed="false">
      <c r="A15240" s="3" t="s">
        <v>337</v>
      </c>
      <c r="G15240" s="16" t="n">
        <f aca="false">Assumptions!$N$66*MIN(G15231+G15238+G15236-G15237-G15239,MAX(0,G15300-G15123-G15136-G15149-G15162-G15175-G15188-G15201-G15214-G15227))</f>
        <v>0</v>
      </c>
      <c r="H15240" s="16" t="n">
        <f aca="false">Assumptions!$N$66*MIN(H15231+H15238+H15236-H15237-H15239,MAX(0,H15300-H15123-H15136-H15149-H15162-H15175-H15188-H15201-H15214-H15227))</f>
        <v>0</v>
      </c>
      <c r="I15240" s="16" t="n">
        <f aca="false">Assumptions!$N$66*MIN(I15231+I15238+I15236-I15237-I15239,MAX(0,I15300-I15123-I15136-I15149-I15162-I15175-I15188-I15201-I15214-I15227))</f>
        <v>0</v>
      </c>
      <c r="J15240" s="16" t="n">
        <f aca="false">Assumptions!$N$66*MIN(J15231+J15238+J15236-J15237-J15239,MAX(0,J15300-J15123-J15136-J15149-J15162-J15175-J15188-J15201-J15214-J15227))</f>
        <v>0</v>
      </c>
      <c r="K15240" s="16" t="n">
        <f aca="false">Assumptions!$N$66*MIN(K15231+K15238+K15236-K15237-K15239,MAX(0,K15300-K15123-K15136-K15149-K15162-K15175-K15188-K15201-K15214-K15227))</f>
        <v>0</v>
      </c>
    </row>
    <row r="15241" customFormat="false" ht="15" hidden="false" customHeight="false" outlineLevel="0" collapsed="false">
      <c r="A15241" s="3" t="s">
        <v>338</v>
      </c>
      <c r="G15241" s="16" t="n">
        <f aca="false">G15232*(1-G15112)*(G15231-G15237+G15236-G15239)</f>
        <v>0</v>
      </c>
      <c r="H15241" s="16" t="n">
        <f aca="false">H15232*(1-H15112)*(H15231-H15237+H15236-H15239)</f>
        <v>0</v>
      </c>
      <c r="I15241" s="16" t="n">
        <f aca="false">I15232*(1-I15112)*(I15231-I15237+I15236-I15239)</f>
        <v>0</v>
      </c>
      <c r="J15241" s="16" t="n">
        <f aca="false">J15232*(1-J15112)*(J15231-J15237+J15236-J15239)</f>
        <v>0</v>
      </c>
      <c r="K15241" s="16" t="n">
        <f aca="false">K15232*(1-K15112)*(K15231-K15237+K15236-K15239)</f>
        <v>0</v>
      </c>
    </row>
    <row r="15242" customFormat="false" ht="15" hidden="false" customHeight="false" outlineLevel="0" collapsed="false">
      <c r="A15242" s="2" t="s">
        <v>339</v>
      </c>
      <c r="F15242" s="28" t="n">
        <f aca="false">Assumptions!$C$66</f>
        <v>78.61</v>
      </c>
      <c r="G15242" s="17" t="n">
        <f aca="false">G15231+G15238+G15236-G15237-G15239-G15240</f>
        <v>78.61</v>
      </c>
      <c r="H15242" s="17" t="n">
        <f aca="false">H15231+H15238+H15236-H15237-H15239-H15240</f>
        <v>78.61</v>
      </c>
      <c r="I15242" s="17" t="n">
        <f aca="false">I15231+I15238+I15236-I15237-I15239-I15240</f>
        <v>78.61</v>
      </c>
      <c r="J15242" s="17" t="n">
        <f aca="false">J15231+J15238+J15236-J15237-J15239-J15240</f>
        <v>78.61</v>
      </c>
      <c r="K15242" s="17" t="n">
        <f aca="false">K15231+K15238+K15236-K15237-K15239-K15240</f>
        <v>78.61</v>
      </c>
    </row>
    <row r="15243" customFormat="false" ht="15" hidden="false" customHeight="false" outlineLevel="0" collapsed="false">
      <c r="A15243" s="24" t="s">
        <v>349</v>
      </c>
      <c r="B15243" s="25"/>
      <c r="C15243" s="25"/>
      <c r="D15243" s="25"/>
      <c r="E15243" s="25"/>
      <c r="F15243" s="25"/>
      <c r="G15243" s="25"/>
      <c r="H15243" s="25"/>
      <c r="I15243" s="25"/>
      <c r="J15243" s="25"/>
      <c r="K15243" s="25"/>
    </row>
    <row r="15244" customFormat="false" ht="15" hidden="false" customHeight="false" outlineLevel="0" collapsed="false">
      <c r="A15244" s="2" t="s">
        <v>350</v>
      </c>
      <c r="F15244" s="17" t="n">
        <f aca="false">F15125+F15138+F15151+F15164+F15177+F15190+F15203+F15216+F15229+F15242</f>
        <v>2625.934</v>
      </c>
      <c r="G15244" s="17" t="n">
        <f aca="false">G15125+G15138+G15151+G15164+G15177+G15190+G15203+G15216+G15229+G15242</f>
        <v>2621.934</v>
      </c>
      <c r="H15244" s="17" t="n">
        <f aca="false">H15125+H15138+H15151+H15164+H15177+H15190+H15203+H15216+H15229+H15242</f>
        <v>2605.832835986</v>
      </c>
      <c r="I15244" s="17" t="n">
        <f aca="false">I15125+I15138+I15151+I15164+I15177+I15190+I15203+I15216+I15229+I15242</f>
        <v>2601.832835986</v>
      </c>
      <c r="J15244" s="17" t="n">
        <f aca="false">J15125+J15138+J15151+J15164+J15177+J15190+J15203+J15216+J15229+J15242</f>
        <v>2597.832835986</v>
      </c>
      <c r="K15244" s="17" t="n">
        <f aca="false">K15125+K15138+K15151+K15164+K15177+K15190+K15203+K15216+K15229+K15242</f>
        <v>2593.832835986</v>
      </c>
    </row>
    <row r="15245" customFormat="false" ht="15" hidden="false" customHeight="false" outlineLevel="0" collapsed="false">
      <c r="A15245" s="3" t="s">
        <v>351</v>
      </c>
      <c r="G15245" s="16" t="n">
        <f aca="false">G15115*Assumptions!$C$57+G15128*Assumptions!$C$58+G15141*Assumptions!$C$59+G15154*Assumptions!$C$60+G15167*Assumptions!$C$61+G15180*Assumptions!$C$62+G15193*Assumptions!$C$63+G15206*Assumptions!$C$64+G15219*Assumptions!$C$65+G15232*Assumptions!$C$66</f>
        <v>0</v>
      </c>
      <c r="H15245" s="16" t="n">
        <f aca="false">H15115*Assumptions!$C$57+H15128*Assumptions!$C$58+H15141*Assumptions!$C$59+H15154*Assumptions!$C$60+H15167*Assumptions!$C$61+H15180*Assumptions!$C$62+H15193*Assumptions!$C$63+H15206*Assumptions!$C$64+H15219*Assumptions!$C$65+H15232*Assumptions!$C$66</f>
        <v>800</v>
      </c>
      <c r="I15245" s="16" t="n">
        <f aca="false">I15115*Assumptions!$C$57+I15128*Assumptions!$C$58+I15141*Assumptions!$C$59+I15154*Assumptions!$C$60+I15167*Assumptions!$C$61+I15180*Assumptions!$C$62+I15193*Assumptions!$C$63+I15206*Assumptions!$C$64+I15219*Assumptions!$C$65+I15232*Assumptions!$C$66</f>
        <v>550</v>
      </c>
      <c r="J15245" s="16" t="n">
        <f aca="false">J15115*Assumptions!$C$57+J15128*Assumptions!$C$58+J15141*Assumptions!$C$59+J15154*Assumptions!$C$60+J15167*Assumptions!$C$61+J15180*Assumptions!$C$62+J15193*Assumptions!$C$63+J15206*Assumptions!$C$64+J15219*Assumptions!$C$65+J15232*Assumptions!$C$66</f>
        <v>350</v>
      </c>
      <c r="K15245" s="16" t="n">
        <f aca="false">K15115*Assumptions!$C$57+K15128*Assumptions!$C$58+K15141*Assumptions!$C$59+K15154*Assumptions!$C$60+K15167*Assumptions!$C$61+K15180*Assumptions!$C$62+K15193*Assumptions!$C$63+K15206*Assumptions!$C$64+K15219*Assumptions!$C$65+K15232*Assumptions!$C$66</f>
        <v>700</v>
      </c>
    </row>
    <row r="15246" customFormat="false" ht="15" hidden="false" customHeight="false" outlineLevel="0" collapsed="false">
      <c r="A15246" s="24" t="s">
        <v>352</v>
      </c>
      <c r="B15246" s="25"/>
      <c r="C15246" s="25"/>
      <c r="D15246" s="25"/>
      <c r="E15246" s="25"/>
      <c r="F15246" s="25"/>
      <c r="G15246" s="25"/>
      <c r="H15246" s="25"/>
      <c r="I15246" s="25"/>
      <c r="J15246" s="25"/>
      <c r="K15246" s="25"/>
    </row>
    <row r="15247" customFormat="false" ht="15" hidden="false" customHeight="false" outlineLevel="0" collapsed="false">
      <c r="A15247" s="3" t="s">
        <v>353</v>
      </c>
      <c r="C15247" s="16" t="n">
        <f aca="false">SUMPRODUCT($G$15115:$K$15115,$G$15114:$K$15114-$G$15120:$K$15120+$G$15119:$K$15119)</f>
        <v>380</v>
      </c>
    </row>
    <row r="15248" customFormat="false" ht="15" hidden="false" customHeight="false" outlineLevel="0" collapsed="false">
      <c r="A15248" s="3" t="s">
        <v>354</v>
      </c>
      <c r="C15248" s="16" t="n">
        <f aca="false">SUMPRODUCT($G$15115:$K$15115,$G$15122:$K$15122)</f>
        <v>0</v>
      </c>
    </row>
    <row r="15249" customFormat="false" ht="15" hidden="false" customHeight="false" outlineLevel="0" collapsed="false">
      <c r="A15249" s="3" t="s">
        <v>355</v>
      </c>
      <c r="C15249" s="3" t="str">
        <f aca="false">IF(SUM($G$15115:$K$15115)=0,"n/a (beyond horizon)",IF(SUMPRODUCT($G$15115:$K$15115,$G$15112:$K$15112)&gt;0,"REFINANCING PASS","REFINANCING FAILURE"))</f>
        <v>REFINANCING FAILURE</v>
      </c>
    </row>
    <row r="15250" customFormat="false" ht="15" hidden="false" customHeight="false" outlineLevel="0" collapsed="false">
      <c r="A15250" s="3" t="s">
        <v>356</v>
      </c>
      <c r="C15250" s="3" t="str">
        <f aca="false">IF(SUM($G$15115:$K$15115)=0,"n/a",IF(C15248&gt;=C15247-0.001,"Repaid from cash",IF(SUMPRODUCT($G$15115:$K$15115,$G$15112:$K$15112)&gt;0,IF(C15248&gt;0,"Partly repaid; remainder refinanced","Refinanced"),IF(SUM($G$15124:$K$15124)&gt;0.001,IF(C15248&gt;0,"Partial repayment; PAYMENT DEFAULT","PAYMENT DEFAULT"),"Repaid from cash"))))</f>
        <v>PAYMENT DEFAULT</v>
      </c>
    </row>
    <row r="15251" customFormat="false" ht="15" hidden="false" customHeight="false" outlineLevel="0" collapsed="false">
      <c r="A15251" s="3" t="s">
        <v>357</v>
      </c>
      <c r="C15251" s="16" t="n">
        <f aca="false">SUMPRODUCT($G$15128:$K$15128,$G$15127:$K$15127-$G$15133:$K$15133+$G$15132:$K$15132)</f>
        <v>0</v>
      </c>
    </row>
    <row r="15252" customFormat="false" ht="15" hidden="false" customHeight="false" outlineLevel="0" collapsed="false">
      <c r="A15252" s="3" t="s">
        <v>358</v>
      </c>
      <c r="C15252" s="16" t="n">
        <f aca="false">SUMPRODUCT($G$15128:$K$15128,$G$15135:$K$15135)</f>
        <v>0</v>
      </c>
    </row>
    <row r="15253" customFormat="false" ht="15" hidden="false" customHeight="false" outlineLevel="0" collapsed="false">
      <c r="A15253" s="3" t="s">
        <v>359</v>
      </c>
      <c r="C15253" s="3" t="str">
        <f aca="false">IF(SUM($G$15128:$K$15128)=0,"n/a (beyond horizon)",IF(SUMPRODUCT($G$15128:$K$15128,$G$15112:$K$15112)&gt;0,"REFINANCING PASS","REFINANCING FAILURE"))</f>
        <v>n/a (beyond horizon)</v>
      </c>
    </row>
    <row r="15254" customFormat="false" ht="15" hidden="false" customHeight="false" outlineLevel="0" collapsed="false">
      <c r="A15254" s="3" t="s">
        <v>360</v>
      </c>
      <c r="C15254" s="3" t="str">
        <f aca="false">IF(SUM($G$15128:$K$15128)=0,"n/a",IF(C15252&gt;=C15251-0.001,"Repaid from cash",IF(SUMPRODUCT($G$15128:$K$15128,$G$15112:$K$15112)&gt;0,IF(C15252&gt;0,"Partly repaid; remainder refinanced","Refinanced"),IF(SUM($G$15137:$K$15137)&gt;0.001,IF(C15252&gt;0,"Partial repayment; PAYMENT DEFAULT","PAYMENT DEFAULT"),"Repaid from cash"))))</f>
        <v>n/a</v>
      </c>
    </row>
    <row r="15255" customFormat="false" ht="15" hidden="false" customHeight="false" outlineLevel="0" collapsed="false">
      <c r="A15255" s="3" t="s">
        <v>361</v>
      </c>
      <c r="C15255" s="16" t="n">
        <f aca="false">SUMPRODUCT($G$15141:$K$15141,$G$15140:$K$15140-$G$15146:$K$15146+$G$15145:$K$15145)</f>
        <v>0</v>
      </c>
    </row>
    <row r="15256" customFormat="false" ht="15" hidden="false" customHeight="false" outlineLevel="0" collapsed="false">
      <c r="A15256" s="3" t="s">
        <v>362</v>
      </c>
      <c r="C15256" s="16" t="n">
        <f aca="false">SUMPRODUCT($G$15141:$K$15141,$G$15148:$K$15148)</f>
        <v>0</v>
      </c>
    </row>
    <row r="15257" customFormat="false" ht="15" hidden="false" customHeight="false" outlineLevel="0" collapsed="false">
      <c r="A15257" s="3" t="s">
        <v>363</v>
      </c>
      <c r="C15257" s="3" t="str">
        <f aca="false">IF(SUM($G$15141:$K$15141)=0,"n/a (beyond horizon)",IF(SUMPRODUCT($G$15141:$K$15141,$G$15112:$K$15112)&gt;0,"REFINANCING PASS","REFINANCING FAILURE"))</f>
        <v>n/a (beyond horizon)</v>
      </c>
    </row>
    <row r="15258" customFormat="false" ht="15" hidden="false" customHeight="false" outlineLevel="0" collapsed="false">
      <c r="A15258" s="3" t="s">
        <v>364</v>
      </c>
      <c r="C15258" s="3" t="str">
        <f aca="false">IF(SUM($G$15141:$K$15141)=0,"n/a",IF(C15256&gt;=C15255-0.001,"Repaid from cash",IF(SUMPRODUCT($G$15141:$K$15141,$G$15112:$K$15112)&gt;0,IF(C15256&gt;0,"Partly repaid; remainder refinanced","Refinanced"),IF(SUM($G$15150:$K$15150)&gt;0.001,IF(C15256&gt;0,"Partial repayment; PAYMENT DEFAULT","PAYMENT DEFAULT"),"Repaid from cash"))))</f>
        <v>n/a</v>
      </c>
    </row>
    <row r="15259" customFormat="false" ht="15" hidden="false" customHeight="false" outlineLevel="0" collapsed="false">
      <c r="A15259" s="3" t="s">
        <v>365</v>
      </c>
      <c r="C15259" s="16" t="n">
        <f aca="false">SUMPRODUCT($G$15154:$K$15154,$G$15153:$K$15153-$G$15159:$K$15159+$G$15158:$K$15158)</f>
        <v>0</v>
      </c>
    </row>
    <row r="15260" customFormat="false" ht="15" hidden="false" customHeight="false" outlineLevel="0" collapsed="false">
      <c r="A15260" s="3" t="s">
        <v>366</v>
      </c>
      <c r="C15260" s="16" t="n">
        <f aca="false">SUMPRODUCT($G$15154:$K$15154,$G$15161:$K$15161)</f>
        <v>0</v>
      </c>
    </row>
    <row r="15261" customFormat="false" ht="15" hidden="false" customHeight="false" outlineLevel="0" collapsed="false">
      <c r="A15261" s="3" t="s">
        <v>367</v>
      </c>
      <c r="C15261" s="3" t="str">
        <f aca="false">IF(SUM($G$15154:$K$15154)=0,"n/a (beyond horizon)",IF(SUMPRODUCT($G$15154:$K$15154,$G$15112:$K$15112)&gt;0,"REFINANCING PASS","REFINANCING FAILURE"))</f>
        <v>REFINANCING FAILURE</v>
      </c>
    </row>
    <row r="15262" customFormat="false" ht="15" hidden="false" customHeight="false" outlineLevel="0" collapsed="false">
      <c r="A15262" s="3" t="s">
        <v>368</v>
      </c>
      <c r="C15262" s="3" t="str">
        <f aca="false">IF(SUM($G$15154:$K$15154)=0,"n/a",IF(C15260&gt;=C15259-0.001,"Repaid from cash",IF(SUMPRODUCT($G$15154:$K$15154,$G$15112:$K$15112)&gt;0,IF(C15260&gt;0,"Partly repaid; remainder refinanced","Refinanced"),IF(SUM($G$15163:$K$15163)&gt;0.001,IF(C15260&gt;0,"Partial repayment; PAYMENT DEFAULT","PAYMENT DEFAULT"),"Repaid from cash"))))</f>
        <v>Repaid from cash</v>
      </c>
    </row>
    <row r="15263" customFormat="false" ht="15" hidden="false" customHeight="false" outlineLevel="0" collapsed="false">
      <c r="A15263" s="3" t="s">
        <v>369</v>
      </c>
      <c r="C15263" s="16" t="n">
        <f aca="false">SUMPRODUCT($G$15167:$K$15167,$G$15166:$K$15166-$G$15172:$K$15172+$G$15171:$K$15171)</f>
        <v>450</v>
      </c>
    </row>
    <row r="15264" customFormat="false" ht="15" hidden="false" customHeight="false" outlineLevel="0" collapsed="false">
      <c r="A15264" s="3" t="s">
        <v>370</v>
      </c>
      <c r="C15264" s="16" t="n">
        <f aca="false">SUMPRODUCT($G$15167:$K$15167,$G$15174:$K$15174)</f>
        <v>12.101164014</v>
      </c>
    </row>
    <row r="15265" customFormat="false" ht="15" hidden="false" customHeight="false" outlineLevel="0" collapsed="false">
      <c r="A15265" s="3" t="s">
        <v>371</v>
      </c>
      <c r="C15265" s="3" t="str">
        <f aca="false">IF(SUM($G$15167:$K$15167)=0,"n/a (beyond horizon)",IF(SUMPRODUCT($G$15167:$K$15167,$G$15112:$K$15112)&gt;0,"REFINANCING PASS","REFINANCING FAILURE"))</f>
        <v>REFINANCING FAILURE</v>
      </c>
    </row>
    <row r="15266" customFormat="false" ht="15" hidden="false" customHeight="false" outlineLevel="0" collapsed="false">
      <c r="A15266" s="3" t="s">
        <v>372</v>
      </c>
      <c r="C15266" s="3" t="str">
        <f aca="false">IF(SUM($G$15167:$K$15167)=0,"n/a",IF(C15264&gt;=C15263-0.001,"Repaid from cash",IF(SUMPRODUCT($G$15167:$K$15167,$G$15112:$K$15112)&gt;0,IF(C15264&gt;0,"Partly repaid; remainder refinanced","Refinanced"),IF(SUM($G$15176:$K$15176)&gt;0.001,IF(C15264&gt;0,"Partial repayment; PAYMENT DEFAULT","PAYMENT DEFAULT"),"Repaid from cash"))))</f>
        <v>Partial repayment; PAYMENT DEFAULT</v>
      </c>
    </row>
    <row r="15267" customFormat="false" ht="15" hidden="false" customHeight="false" outlineLevel="0" collapsed="false">
      <c r="A15267" s="3" t="s">
        <v>373</v>
      </c>
      <c r="C15267" s="16" t="n">
        <f aca="false">SUMPRODUCT($G$15180:$K$15180,$G$15179:$K$15179-$G$15185:$K$15185+$G$15184:$K$15184)</f>
        <v>350</v>
      </c>
    </row>
    <row r="15268" customFormat="false" ht="15" hidden="false" customHeight="false" outlineLevel="0" collapsed="false">
      <c r="A15268" s="3" t="s">
        <v>374</v>
      </c>
      <c r="C15268" s="16" t="n">
        <f aca="false">SUMPRODUCT($G$15180:$K$15180,$G$15187:$K$15187)</f>
        <v>0</v>
      </c>
    </row>
    <row r="15269" customFormat="false" ht="15" hidden="false" customHeight="false" outlineLevel="0" collapsed="false">
      <c r="A15269" s="3" t="s">
        <v>375</v>
      </c>
      <c r="C15269" s="3" t="str">
        <f aca="false">IF(SUM($G$15180:$K$15180)=0,"n/a (beyond horizon)",IF(SUMPRODUCT($G$15180:$K$15180,$G$15112:$K$15112)&gt;0,"REFINANCING PASS","REFINANCING FAILURE"))</f>
        <v>REFINANCING FAILURE</v>
      </c>
    </row>
    <row r="15270" customFormat="false" ht="15" hidden="false" customHeight="false" outlineLevel="0" collapsed="false">
      <c r="A15270" s="3" t="s">
        <v>376</v>
      </c>
      <c r="C15270" s="3" t="str">
        <f aca="false">IF(SUM($G$15180:$K$15180)=0,"n/a",IF(C15268&gt;=C15267-0.001,"Repaid from cash",IF(SUMPRODUCT($G$15180:$K$15180,$G$15112:$K$15112)&gt;0,IF(C15268&gt;0,"Partly repaid; remainder refinanced","Refinanced"),IF(SUM($G$15189:$K$15189)&gt;0.001,IF(C15268&gt;0,"Partial repayment; PAYMENT DEFAULT","PAYMENT DEFAULT"),"Repaid from cash"))))</f>
        <v>PAYMENT DEFAULT</v>
      </c>
    </row>
    <row r="15271" customFormat="false" ht="15" hidden="false" customHeight="false" outlineLevel="0" collapsed="false">
      <c r="A15271" s="3" t="s">
        <v>377</v>
      </c>
      <c r="C15271" s="16" t="n">
        <f aca="false">SUMPRODUCT($G$15193:$K$15193,$G$15192:$K$15192-$G$15198:$K$15198+$G$15197:$K$15197)</f>
        <v>550</v>
      </c>
    </row>
    <row r="15272" customFormat="false" ht="15" hidden="false" customHeight="false" outlineLevel="0" collapsed="false">
      <c r="A15272" s="3" t="s">
        <v>378</v>
      </c>
      <c r="C15272" s="16" t="n">
        <f aca="false">SUMPRODUCT($G$15193:$K$15193,$G$15200:$K$15200)</f>
        <v>0</v>
      </c>
    </row>
    <row r="15273" customFormat="false" ht="15" hidden="false" customHeight="false" outlineLevel="0" collapsed="false">
      <c r="A15273" s="3" t="s">
        <v>379</v>
      </c>
      <c r="C15273" s="3" t="str">
        <f aca="false">IF(SUM($G$15193:$K$15193)=0,"n/a (beyond horizon)",IF(SUMPRODUCT($G$15193:$K$15193,$G$15112:$K$15112)&gt;0,"REFINANCING PASS","REFINANCING FAILURE"))</f>
        <v>REFINANCING FAILURE</v>
      </c>
    </row>
    <row r="15274" customFormat="false" ht="15" hidden="false" customHeight="false" outlineLevel="0" collapsed="false">
      <c r="A15274" s="3" t="s">
        <v>380</v>
      </c>
      <c r="C15274" s="3" t="str">
        <f aca="false">IF(SUM($G$15193:$K$15193)=0,"n/a",IF(C15272&gt;=C15271-0.001,"Repaid from cash",IF(SUMPRODUCT($G$15193:$K$15193,$G$15112:$K$15112)&gt;0,IF(C15272&gt;0,"Partly repaid; remainder refinanced","Refinanced"),IF(SUM($G$15202:$K$15202)&gt;0.001,IF(C15272&gt;0,"Partial repayment; PAYMENT DEFAULT","PAYMENT DEFAULT"),"Repaid from cash"))))</f>
        <v>PAYMENT DEFAULT</v>
      </c>
    </row>
    <row r="15275" customFormat="false" ht="15" hidden="false" customHeight="false" outlineLevel="0" collapsed="false">
      <c r="A15275" s="3" t="s">
        <v>381</v>
      </c>
      <c r="C15275" s="16" t="n">
        <f aca="false">SUMPRODUCT($G$15206:$K$15206,$G$15205:$K$15205-$G$15211:$K$15211+$G$15210:$K$15210)</f>
        <v>350</v>
      </c>
    </row>
    <row r="15276" customFormat="false" ht="15" hidden="false" customHeight="false" outlineLevel="0" collapsed="false">
      <c r="A15276" s="3" t="s">
        <v>382</v>
      </c>
      <c r="C15276" s="16" t="n">
        <f aca="false">SUMPRODUCT($G$15206:$K$15206,$G$15213:$K$15213)</f>
        <v>0</v>
      </c>
    </row>
    <row r="15277" customFormat="false" ht="15" hidden="false" customHeight="false" outlineLevel="0" collapsed="false">
      <c r="A15277" s="3" t="s">
        <v>383</v>
      </c>
      <c r="C15277" s="3" t="str">
        <f aca="false">IF(SUM($G$15206:$K$15206)=0,"n/a (beyond horizon)",IF(SUMPRODUCT($G$15206:$K$15206,$G$15112:$K$15112)&gt;0,"REFINANCING PASS","REFINANCING FAILURE"))</f>
        <v>REFINANCING FAILURE</v>
      </c>
    </row>
    <row r="15278" customFormat="false" ht="15" hidden="false" customHeight="false" outlineLevel="0" collapsed="false">
      <c r="A15278" s="3" t="s">
        <v>384</v>
      </c>
      <c r="C15278" s="3" t="str">
        <f aca="false">IF(SUM($G$15206:$K$15206)=0,"n/a",IF(C15276&gt;=C15275-0.001,"Repaid from cash",IF(SUMPRODUCT($G$15206:$K$15206,$G$15112:$K$15112)&gt;0,IF(C15276&gt;0,"Partly repaid; remainder refinanced","Refinanced"),IF(SUM($G$15215:$K$15215)&gt;0.001,IF(C15276&gt;0,"Partial repayment; PAYMENT DEFAULT","PAYMENT DEFAULT"),"Repaid from cash"))))</f>
        <v>PAYMENT DEFAULT</v>
      </c>
    </row>
    <row r="15279" customFormat="false" ht="15" hidden="false" customHeight="false" outlineLevel="0" collapsed="false">
      <c r="A15279" s="3" t="s">
        <v>385</v>
      </c>
      <c r="C15279" s="16" t="n">
        <f aca="false">SUMPRODUCT($G$15219:$K$15219,$G$15218:$K$15218-$G$15224:$K$15224+$G$15223:$K$15223)</f>
        <v>300</v>
      </c>
    </row>
    <row r="15280" customFormat="false" ht="15" hidden="false" customHeight="false" outlineLevel="0" collapsed="false">
      <c r="A15280" s="3" t="s">
        <v>386</v>
      </c>
      <c r="C15280" s="16" t="n">
        <f aca="false">SUMPRODUCT($G$15219:$K$15219,$G$15226:$K$15226)</f>
        <v>0</v>
      </c>
    </row>
    <row r="15281" customFormat="false" ht="15" hidden="false" customHeight="false" outlineLevel="0" collapsed="false">
      <c r="A15281" s="3" t="s">
        <v>387</v>
      </c>
      <c r="C15281" s="3" t="str">
        <f aca="false">IF(SUM($G$15219:$K$15219)=0,"n/a (beyond horizon)",IF(SUMPRODUCT($G$15219:$K$15219,$G$15112:$K$15112)&gt;0,"REFINANCING PASS","REFINANCING FAILURE"))</f>
        <v>REFINANCING FAILURE</v>
      </c>
    </row>
    <row r="15282" customFormat="false" ht="15" hidden="false" customHeight="false" outlineLevel="0" collapsed="false">
      <c r="A15282" s="3" t="s">
        <v>388</v>
      </c>
      <c r="C15282" s="3" t="str">
        <f aca="false">IF(SUM($G$15219:$K$15219)=0,"n/a",IF(C15280&gt;=C15279-0.001,"Repaid from cash",IF(SUMPRODUCT($G$15219:$K$15219,$G$15112:$K$15112)&gt;0,IF(C15280&gt;0,"Partly repaid; remainder refinanced","Refinanced"),IF(SUM($G$15228:$K$15228)&gt;0.001,IF(C15280&gt;0,"Partial repayment; PAYMENT DEFAULT","PAYMENT DEFAULT"),"Repaid from cash"))))</f>
        <v>PAYMENT DEFAULT</v>
      </c>
    </row>
    <row r="15283" customFormat="false" ht="15" hidden="false" customHeight="false" outlineLevel="0" collapsed="false">
      <c r="A15283" s="3" t="s">
        <v>389</v>
      </c>
      <c r="C15283" s="16" t="n">
        <f aca="false">SUMPRODUCT($G$15232:$K$15232,$G$15231:$K$15231-$G$15237:$K$15237+$G$15236:$K$15236)</f>
        <v>0</v>
      </c>
    </row>
    <row r="15284" customFormat="false" ht="15" hidden="false" customHeight="false" outlineLevel="0" collapsed="false">
      <c r="A15284" s="3" t="s">
        <v>390</v>
      </c>
      <c r="C15284" s="16" t="n">
        <f aca="false">SUMPRODUCT($G$15232:$K$15232,$G$15239:$K$15239)</f>
        <v>0</v>
      </c>
    </row>
    <row r="15285" customFormat="false" ht="15" hidden="false" customHeight="false" outlineLevel="0" collapsed="false">
      <c r="A15285" s="3" t="s">
        <v>391</v>
      </c>
      <c r="C15285" s="3" t="str">
        <f aca="false">IF(SUM($G$15232:$K$15232)=0,"n/a (beyond horizon)",IF(SUMPRODUCT($G$15232:$K$15232,$G$15112:$K$15112)&gt;0,"REFINANCING PASS","REFINANCING FAILURE"))</f>
        <v>n/a (beyond horizon)</v>
      </c>
    </row>
    <row r="15286" customFormat="false" ht="15" hidden="false" customHeight="false" outlineLevel="0" collapsed="false">
      <c r="A15286" s="3" t="s">
        <v>392</v>
      </c>
      <c r="C15286" s="3" t="str">
        <f aca="false">IF(SUM($G$15232:$K$15232)=0,"n/a",IF(C15284&gt;=C15283-0.001,"Repaid from cash",IF(SUMPRODUCT($G$15232:$K$15232,$G$15112:$K$15112)&gt;0,IF(C15284&gt;0,"Partly repaid; remainder refinanced","Refinanced"),IF(SUM($G$15241:$K$15241)&gt;0.001,IF(C15284&gt;0,"Partial repayment; PAYMENT DEFAULT","PAYMENT DEFAULT"),"Repaid from cash"))))</f>
        <v>n/a</v>
      </c>
    </row>
    <row r="15287" customFormat="false" ht="15" hidden="false" customHeight="false" outlineLevel="0" collapsed="false">
      <c r="A15287" s="3" t="s">
        <v>393</v>
      </c>
      <c r="C15287" s="21" t="n">
        <f aca="false">IF(C15249="REFINANCING FAILURE",1,0)+IF(C15253="REFINANCING FAILURE",1,0)+IF(C15257="REFINANCING FAILURE",1,0)+IF(C15261="REFINANCING FAILURE",1,0)+IF(C15265="REFINANCING FAILURE",1,0)+IF(C15269="REFINANCING FAILURE",1,0)+IF(C15273="REFINANCING FAILURE",1,0)+IF(C15277="REFINANCING FAILURE",1,0)+IF(C15281="REFINANCING FAILURE",1,0)+IF(C15285="REFINANCING FAILURE",1,0)</f>
        <v>7</v>
      </c>
    </row>
    <row r="15289" customFormat="false" ht="15" hidden="false" customHeight="false" outlineLevel="0" collapsed="false">
      <c r="A15289" s="24" t="s">
        <v>395</v>
      </c>
      <c r="B15289" s="25"/>
      <c r="C15289" s="25"/>
      <c r="D15289" s="25"/>
      <c r="E15289" s="25"/>
      <c r="F15289" s="25"/>
      <c r="G15289" s="25"/>
      <c r="H15289" s="25"/>
      <c r="I15289" s="25"/>
      <c r="J15289" s="25"/>
      <c r="K15289" s="25"/>
    </row>
    <row r="15290" customFormat="false" ht="15" hidden="false" customHeight="false" outlineLevel="0" collapsed="false">
      <c r="A15290" s="3" t="s">
        <v>325</v>
      </c>
      <c r="G15290" s="16" t="n">
        <f aca="false">F15302</f>
        <v>37.87</v>
      </c>
      <c r="H15290" s="16" t="n">
        <f aca="false">G15302</f>
        <v>109.4935634</v>
      </c>
      <c r="I15290" s="16" t="n">
        <f aca="false">H15302</f>
        <v>0</v>
      </c>
      <c r="J15290" s="16" t="n">
        <f aca="false">I15302</f>
        <v>-104.603730508847</v>
      </c>
      <c r="K15290" s="16" t="n">
        <f aca="false">J15302</f>
        <v>-214.827802617662</v>
      </c>
    </row>
    <row r="15291" customFormat="false" ht="15" hidden="false" customHeight="false" outlineLevel="0" collapsed="false">
      <c r="A15291" s="3" t="s">
        <v>396</v>
      </c>
      <c r="G15291" s="16" t="n">
        <f aca="false">G15101</f>
        <v>-74.3764366</v>
      </c>
      <c r="H15291" s="16" t="n">
        <f aca="false">H15101</f>
        <v>-93.392399386</v>
      </c>
      <c r="I15291" s="16" t="n">
        <f aca="false">I15101</f>
        <v>-100.603730508847</v>
      </c>
      <c r="J15291" s="16" t="n">
        <f aca="false">J15101</f>
        <v>-106.224072108815</v>
      </c>
      <c r="K15291" s="16" t="n">
        <f aca="false">K15101</f>
        <v>-111.435890838981</v>
      </c>
    </row>
    <row r="15292" customFormat="false" ht="15" hidden="false" customHeight="false" outlineLevel="0" collapsed="false">
      <c r="A15292" s="3" t="s">
        <v>397</v>
      </c>
      <c r="G15292" s="16" t="n">
        <f aca="false">CHOOSE($C$15071,Assumptions!$G$82,Assumptions!$G$101,Assumptions!$G$120)</f>
        <v>150</v>
      </c>
      <c r="H15292" s="16" t="n">
        <f aca="false">CHOOSE($C$15071,Assumptions!$H$82,Assumptions!$H$101,Assumptions!$H$120)</f>
        <v>0</v>
      </c>
      <c r="I15292" s="16" t="n">
        <f aca="false">CHOOSE($C$15071,Assumptions!$I$82,Assumptions!$I$101,Assumptions!$I$120)</f>
        <v>0</v>
      </c>
      <c r="J15292" s="16" t="n">
        <f aca="false">CHOOSE($C$15071,Assumptions!$J$82,Assumptions!$J$101,Assumptions!$J$120)</f>
        <v>0</v>
      </c>
      <c r="K15292" s="16" t="n">
        <f aca="false">CHOOSE($C$15071,Assumptions!$K$82,Assumptions!$K$101,Assumptions!$K$120)</f>
        <v>0</v>
      </c>
    </row>
    <row r="15293" customFormat="false" ht="15" hidden="false" customHeight="false" outlineLevel="0" collapsed="false">
      <c r="A15293" s="3" t="s">
        <v>398</v>
      </c>
      <c r="G15293" s="16" t="n">
        <f aca="false">G15120+G15133+G15146+G15159+G15172+G15185+G15198+G15211+G15224+G15237</f>
        <v>4</v>
      </c>
      <c r="H15293" s="16" t="n">
        <f aca="false">H15120+H15133+H15146+H15159+H15172+H15185+H15198+H15211+H15224+H15237</f>
        <v>4</v>
      </c>
      <c r="I15293" s="16" t="n">
        <f aca="false">I15120+I15133+I15146+I15159+I15172+I15185+I15198+I15211+I15224+I15237</f>
        <v>4</v>
      </c>
      <c r="J15293" s="16" t="n">
        <f aca="false">J15120+J15133+J15146+J15159+J15172+J15185+J15198+J15211+J15224+J15237</f>
        <v>4</v>
      </c>
      <c r="K15293" s="16" t="n">
        <f aca="false">K15120+K15133+K15146+K15159+K15172+K15185+K15198+K15211+K15224+K15237</f>
        <v>4</v>
      </c>
    </row>
    <row r="15294" customFormat="false" ht="15" hidden="false" customHeight="false" outlineLevel="0" collapsed="false">
      <c r="A15294" s="2" t="s">
        <v>399</v>
      </c>
      <c r="G15294" s="17" t="n">
        <f aca="false">G15290+G15291+G15292-G15293</f>
        <v>109.4935634</v>
      </c>
      <c r="H15294" s="17" t="n">
        <f aca="false">H15290+H15291+H15292-H15293</f>
        <v>12.101164014</v>
      </c>
      <c r="I15294" s="17" t="n">
        <f aca="false">I15290+I15291+I15292-I15293</f>
        <v>-104.603730508847</v>
      </c>
      <c r="J15294" s="17" t="n">
        <f aca="false">J15290+J15291+J15292-J15293</f>
        <v>-214.827802617662</v>
      </c>
      <c r="K15294" s="17" t="n">
        <f aca="false">K15290+K15291+K15292-K15293</f>
        <v>-330.263693456643</v>
      </c>
    </row>
    <row r="15295" customFormat="false" ht="15" hidden="false" customHeight="false" outlineLevel="0" collapsed="false">
      <c r="A15295" s="3" t="s">
        <v>400</v>
      </c>
      <c r="G15295" s="16" t="n">
        <f aca="false">G15121+G15134+G15147+G15160+G15173+G15186+G15199+G15212+G15225+G15238</f>
        <v>0</v>
      </c>
      <c r="H15295" s="16" t="n">
        <f aca="false">H15121+H15134+H15147+H15160+H15173+H15186+H15199+H15212+H15225+H15238</f>
        <v>0</v>
      </c>
      <c r="I15295" s="16" t="n">
        <f aca="false">I15121+I15134+I15147+I15160+I15173+I15186+I15199+I15212+I15225+I15238</f>
        <v>0</v>
      </c>
      <c r="J15295" s="16" t="n">
        <f aca="false">J15121+J15134+J15147+J15160+J15173+J15186+J15199+J15212+J15225+J15238</f>
        <v>0</v>
      </c>
      <c r="K15295" s="16" t="n">
        <f aca="false">K15121+K15134+K15147+K15160+K15173+K15186+K15199+K15212+K15225+K15238</f>
        <v>0</v>
      </c>
    </row>
    <row r="15296" customFormat="false" ht="15" hidden="false" customHeight="false" outlineLevel="0" collapsed="false">
      <c r="A15296" s="2" t="s">
        <v>401</v>
      </c>
      <c r="G15296" s="17" t="n">
        <f aca="false">G15294+G15295</f>
        <v>109.4935634</v>
      </c>
      <c r="H15296" s="17" t="n">
        <f aca="false">H15294+H15295</f>
        <v>12.101164014</v>
      </c>
      <c r="I15296" s="17" t="n">
        <f aca="false">I15294+I15295</f>
        <v>-104.603730508847</v>
      </c>
      <c r="J15296" s="17" t="n">
        <f aca="false">J15294+J15295</f>
        <v>-214.827802617662</v>
      </c>
      <c r="K15296" s="17" t="n">
        <f aca="false">K15294+K15295</f>
        <v>-330.263693456643</v>
      </c>
    </row>
    <row r="15297" customFormat="false" ht="15" hidden="false" customHeight="false" outlineLevel="0" collapsed="false">
      <c r="A15297" s="3" t="s">
        <v>402</v>
      </c>
      <c r="G15297" s="16" t="n">
        <f aca="false">G15122+G15135+G15148+G15161+G15174+G15187+G15200+G15213+G15226+G15239</f>
        <v>0</v>
      </c>
      <c r="H15297" s="16" t="n">
        <f aca="false">H15122+H15135+H15148+H15161+H15174+H15187+H15200+H15213+H15226+H15239</f>
        <v>12.101164014</v>
      </c>
      <c r="I15297" s="16" t="n">
        <f aca="false">I15122+I15135+I15148+I15161+I15174+I15187+I15200+I15213+I15226+I15239</f>
        <v>0</v>
      </c>
      <c r="J15297" s="16" t="n">
        <f aca="false">J15122+J15135+J15148+J15161+J15174+J15187+J15200+J15213+J15226+J15239</f>
        <v>0</v>
      </c>
      <c r="K15297" s="16" t="n">
        <f aca="false">K15122+K15135+K15148+K15161+K15174+K15187+K15200+K15213+K15226+K15239</f>
        <v>0</v>
      </c>
    </row>
    <row r="15298" customFormat="false" ht="15" hidden="false" customHeight="false" outlineLevel="0" collapsed="false">
      <c r="A15298" s="2" t="s">
        <v>403</v>
      </c>
      <c r="G15298" s="17" t="n">
        <f aca="false">G15296-G15297</f>
        <v>109.4935634</v>
      </c>
      <c r="H15298" s="17" t="n">
        <f aca="false">H15296-H15297</f>
        <v>0</v>
      </c>
      <c r="I15298" s="17" t="n">
        <f aca="false">I15296-I15297</f>
        <v>-104.603730508847</v>
      </c>
      <c r="J15298" s="17" t="n">
        <f aca="false">J15296-J15297</f>
        <v>-214.827802617662</v>
      </c>
      <c r="K15298" s="17" t="n">
        <f aca="false">K15296-K15297</f>
        <v>-330.263693456643</v>
      </c>
    </row>
    <row r="15299" customFormat="false" ht="15" hidden="false" customHeight="false" outlineLevel="0" collapsed="false">
      <c r="A15299" s="3" t="s">
        <v>404</v>
      </c>
      <c r="G15299" s="16" t="n">
        <f aca="false">MAX(0,-G15298)</f>
        <v>0</v>
      </c>
      <c r="H15299" s="16" t="n">
        <f aca="false">MAX(0,-H15298)</f>
        <v>-0</v>
      </c>
      <c r="I15299" s="16" t="n">
        <f aca="false">MAX(0,-I15298)</f>
        <v>104.603730508847</v>
      </c>
      <c r="J15299" s="16" t="n">
        <f aca="false">MAX(0,-J15298)</f>
        <v>214.827802617662</v>
      </c>
      <c r="K15299" s="16" t="n">
        <f aca="false">MAX(0,-K15298)</f>
        <v>330.263693456643</v>
      </c>
    </row>
    <row r="15300" customFormat="false" ht="15" hidden="false" customHeight="false" outlineLevel="0" collapsed="false">
      <c r="A15300" s="3" t="s">
        <v>405</v>
      </c>
      <c r="G15300" s="16" t="n">
        <f aca="false">MAX(0,G15298-Assumptions!$C$12)*Assumptions!$C$13</f>
        <v>0</v>
      </c>
      <c r="H15300" s="16" t="n">
        <f aca="false">MAX(0,H15298-Assumptions!$C$12)*Assumptions!$C$13</f>
        <v>0</v>
      </c>
      <c r="I15300" s="16" t="n">
        <f aca="false">MAX(0,I15298-Assumptions!$C$12)*Assumptions!$C$13</f>
        <v>0</v>
      </c>
      <c r="J15300" s="16" t="n">
        <f aca="false">MAX(0,J15298-Assumptions!$C$12)*Assumptions!$C$13</f>
        <v>0</v>
      </c>
      <c r="K15300" s="16" t="n">
        <f aca="false">MAX(0,K15298-Assumptions!$C$12)*Assumptions!$C$13</f>
        <v>0</v>
      </c>
    </row>
    <row r="15301" customFormat="false" ht="15" hidden="false" customHeight="false" outlineLevel="0" collapsed="false">
      <c r="A15301" s="3" t="s">
        <v>406</v>
      </c>
      <c r="G15301" s="16" t="n">
        <f aca="false">G15123+G15136+G15149+G15162+G15175+G15188+G15201+G15214+G15227+G15240</f>
        <v>0</v>
      </c>
      <c r="H15301" s="16" t="n">
        <f aca="false">H15123+H15136+H15149+H15162+H15175+H15188+H15201+H15214+H15227+H15240</f>
        <v>0</v>
      </c>
      <c r="I15301" s="16" t="n">
        <f aca="false">I15123+I15136+I15149+I15162+I15175+I15188+I15201+I15214+I15227+I15240</f>
        <v>0</v>
      </c>
      <c r="J15301" s="16" t="n">
        <f aca="false">J15123+J15136+J15149+J15162+J15175+J15188+J15201+J15214+J15227+J15240</f>
        <v>0</v>
      </c>
      <c r="K15301" s="16" t="n">
        <f aca="false">K15123+K15136+K15149+K15162+K15175+K15188+K15201+K15214+K15227+K15240</f>
        <v>0</v>
      </c>
    </row>
    <row r="15302" customFormat="false" ht="15" hidden="false" customHeight="false" outlineLevel="0" collapsed="false">
      <c r="A15302" s="2" t="s">
        <v>407</v>
      </c>
      <c r="F15302" s="28" t="n">
        <f aca="false">Assumptions!$C$11</f>
        <v>37.87</v>
      </c>
      <c r="G15302" s="17" t="n">
        <f aca="false">G15298-G15301</f>
        <v>109.4935634</v>
      </c>
      <c r="H15302" s="17" t="n">
        <f aca="false">H15298-H15301</f>
        <v>0</v>
      </c>
      <c r="I15302" s="17" t="n">
        <f aca="false">I15298-I15301</f>
        <v>-104.603730508847</v>
      </c>
      <c r="J15302" s="17" t="n">
        <f aca="false">J15298-J15301</f>
        <v>-214.827802617662</v>
      </c>
      <c r="K15302" s="17" t="n">
        <f aca="false">K15298-K15301</f>
        <v>-330.263693456643</v>
      </c>
    </row>
    <row r="15303" customFormat="false" ht="15" hidden="false" customHeight="false" outlineLevel="0" collapsed="false">
      <c r="A15303" s="3" t="s">
        <v>408</v>
      </c>
      <c r="G15303" s="16" t="n">
        <f aca="false">G15124+G15137+G15150+G15163+G15176+G15189+G15202+G15215+G15228+G15241</f>
        <v>0</v>
      </c>
      <c r="H15303" s="16" t="n">
        <f aca="false">H15124+H15137+H15150+H15163+H15176+H15189+H15202+H15215+H15228+H15241</f>
        <v>787.898835986</v>
      </c>
      <c r="I15303" s="16" t="n">
        <f aca="false">I15124+I15137+I15150+I15163+I15176+I15189+I15202+I15215+I15228+I15241</f>
        <v>550</v>
      </c>
      <c r="J15303" s="16" t="n">
        <f aca="false">J15124+J15137+J15150+J15163+J15176+J15189+J15202+J15215+J15228+J15241</f>
        <v>350</v>
      </c>
      <c r="K15303" s="16" t="n">
        <f aca="false">K15124+K15137+K15150+K15163+K15176+K15189+K15202+K15215+K15228+K15241</f>
        <v>680</v>
      </c>
    </row>
    <row r="15304" customFormat="false" ht="15" hidden="false" customHeight="false" outlineLevel="0" collapsed="false">
      <c r="A15304" s="3" t="s">
        <v>409</v>
      </c>
      <c r="G15304" s="21" t="n">
        <f aca="false">IF(OR(G15299&gt;0.001,G15303&gt;0.001),1,0)</f>
        <v>0</v>
      </c>
      <c r="H15304" s="21" t="n">
        <f aca="false">IF(OR(H15299&gt;0.001,H15303&gt;0.001),1,0)</f>
        <v>1</v>
      </c>
      <c r="I15304" s="21" t="n">
        <f aca="false">IF(OR(I15299&gt;0.001,I15303&gt;0.001),1,0)</f>
        <v>1</v>
      </c>
      <c r="J15304" s="21" t="n">
        <f aca="false">IF(OR(J15299&gt;0.001,J15303&gt;0.001),1,0)</f>
        <v>1</v>
      </c>
      <c r="K15304" s="21" t="n">
        <f aca="false">IF(OR(K15299&gt;0.001,K15303&gt;0.001),1,0)</f>
        <v>1</v>
      </c>
    </row>
    <row r="15305" customFormat="false" ht="15" hidden="false" customHeight="false" outlineLevel="0" collapsed="false">
      <c r="A15305" s="3" t="s">
        <v>410</v>
      </c>
      <c r="G15305" s="21" t="n">
        <f aca="false">IF(G15304=1,1,0)</f>
        <v>0</v>
      </c>
      <c r="H15305" s="21" t="n">
        <f aca="false">IF(AND(H15304=1,SUM($G$15304:G15304)=0),1,0)</f>
        <v>1</v>
      </c>
      <c r="I15305" s="21" t="n">
        <f aca="false">IF(AND(I15304=1,SUM($G$15304:H15304)=0),1,0)</f>
        <v>0</v>
      </c>
      <c r="J15305" s="21" t="n">
        <f aca="false">IF(AND(J15304=1,SUM($G$15304:I15304)=0),1,0)</f>
        <v>0</v>
      </c>
      <c r="K15305" s="21" t="n">
        <f aca="false">IF(AND(K15304=1,SUM($G$15304:J15304)=0),1,0)</f>
        <v>0</v>
      </c>
    </row>
    <row r="15306" customFormat="false" ht="15" hidden="false" customHeight="false" outlineLevel="0" collapsed="false">
      <c r="A15306" s="3" t="s">
        <v>411</v>
      </c>
      <c r="G15306" s="16" t="n">
        <f aca="false">(G15244-F15244)-(G15295+G15093-G15293-G15297-G15301)</f>
        <v>0</v>
      </c>
      <c r="H15306" s="16" t="n">
        <f aca="false">(H15244-G15244)-(H15295+H15093-H15293-H15297-H15301)</f>
        <v>0</v>
      </c>
      <c r="I15306" s="16" t="n">
        <f aca="false">(I15244-H15244)-(I15295+I15093-I15293-I15297-I15301)</f>
        <v>0</v>
      </c>
      <c r="J15306" s="16" t="n">
        <f aca="false">(J15244-I15244)-(J15295+J15093-J15293-J15297-J15301)</f>
        <v>0</v>
      </c>
      <c r="K15306" s="16" t="n">
        <f aca="false">(K15244-J15244)-(K15295+K15093-K15293-K15297-K15301)</f>
        <v>0</v>
      </c>
    </row>
    <row r="15308" customFormat="false" ht="15" hidden="false" customHeight="false" outlineLevel="0" collapsed="false">
      <c r="A15308" s="24" t="s">
        <v>413</v>
      </c>
      <c r="B15308" s="25"/>
      <c r="C15308" s="25"/>
      <c r="D15308" s="25"/>
      <c r="E15308" s="25"/>
      <c r="F15308" s="25"/>
      <c r="G15308" s="25"/>
      <c r="H15308" s="25"/>
      <c r="I15308" s="25"/>
      <c r="J15308" s="25"/>
      <c r="K15308" s="25"/>
    </row>
    <row r="15309" customFormat="false" ht="15" hidden="false" customHeight="false" outlineLevel="0" collapsed="false">
      <c r="A15309" s="3" t="s">
        <v>414</v>
      </c>
      <c r="G15309" s="16" t="n">
        <f aca="false">G15244</f>
        <v>2621.934</v>
      </c>
      <c r="H15309" s="16" t="n">
        <f aca="false">H15244</f>
        <v>2605.832835986</v>
      </c>
      <c r="I15309" s="16" t="n">
        <f aca="false">I15244</f>
        <v>2601.832835986</v>
      </c>
      <c r="J15309" s="16" t="n">
        <f aca="false">J15244</f>
        <v>2597.832835986</v>
      </c>
      <c r="K15309" s="16" t="n">
        <f aca="false">K15244</f>
        <v>2593.832835986</v>
      </c>
    </row>
    <row r="15310" customFormat="false" ht="15" hidden="false" customHeight="false" outlineLevel="0" collapsed="false">
      <c r="A15310" s="3" t="s">
        <v>415</v>
      </c>
      <c r="G15310" s="16" t="n">
        <f aca="false">Assumptions!$O$57*G15125+Assumptions!$O$58*G15138+Assumptions!$O$59*G15151+Assumptions!$O$60*G15164+Assumptions!$O$61*G15177+Assumptions!$O$62*G15190+Assumptions!$O$63*G15203+Assumptions!$O$64*G15216+Assumptions!$O$65*G15229+Assumptions!$O$66*G15242</f>
        <v>543.324</v>
      </c>
      <c r="H15310" s="16" t="n">
        <f aca="false">Assumptions!$O$57*H15125+Assumptions!$O$58*H15138+Assumptions!$O$59*H15151+Assumptions!$O$60*H15164+Assumptions!$O$61*H15177+Assumptions!$O$62*H15190+Assumptions!$O$63*H15203+Assumptions!$O$64*H15216+Assumptions!$O$65*H15229+Assumptions!$O$66*H15242</f>
        <v>539.324</v>
      </c>
      <c r="I15310" s="16" t="n">
        <f aca="false">Assumptions!$O$57*I15125+Assumptions!$O$58*I15138+Assumptions!$O$59*I15151+Assumptions!$O$60*I15164+Assumptions!$O$61*I15177+Assumptions!$O$62*I15190+Assumptions!$O$63*I15203+Assumptions!$O$64*I15216+Assumptions!$O$65*I15229+Assumptions!$O$66*I15242</f>
        <v>535.324</v>
      </c>
      <c r="J15310" s="16" t="n">
        <f aca="false">Assumptions!$O$57*J15125+Assumptions!$O$58*J15138+Assumptions!$O$59*J15151+Assumptions!$O$60*J15164+Assumptions!$O$61*J15177+Assumptions!$O$62*J15190+Assumptions!$O$63*J15203+Assumptions!$O$64*J15216+Assumptions!$O$65*J15229+Assumptions!$O$66*J15242</f>
        <v>531.324</v>
      </c>
      <c r="K15310" s="16" t="n">
        <f aca="false">Assumptions!$O$57*K15125+Assumptions!$O$58*K15138+Assumptions!$O$59*K15151+Assumptions!$O$60*K15164+Assumptions!$O$61*K15177+Assumptions!$O$62*K15190+Assumptions!$O$63*K15203+Assumptions!$O$64*K15216+Assumptions!$O$65*K15229+Assumptions!$O$66*K15242</f>
        <v>527.324</v>
      </c>
    </row>
    <row r="15311" customFormat="false" ht="15" hidden="false" customHeight="false" outlineLevel="0" collapsed="false">
      <c r="A15311" s="3" t="s">
        <v>416</v>
      </c>
      <c r="G15311" s="16" t="n">
        <f aca="false">G15309-G15302</f>
        <v>2512.4404366</v>
      </c>
      <c r="H15311" s="16" t="n">
        <f aca="false">H15309-H15302</f>
        <v>2605.832835986</v>
      </c>
      <c r="I15311" s="16" t="n">
        <f aca="false">I15309-I15302</f>
        <v>2706.43656649485</v>
      </c>
      <c r="J15311" s="16" t="n">
        <f aca="false">J15309-J15302</f>
        <v>2812.66063860366</v>
      </c>
      <c r="K15311" s="16" t="n">
        <f aca="false">K15309-K15302</f>
        <v>2924.09652944264</v>
      </c>
    </row>
    <row r="15312" customFormat="false" ht="15" hidden="false" customHeight="false" outlineLevel="0" collapsed="false">
      <c r="A15312" s="3" t="s">
        <v>417</v>
      </c>
      <c r="G15312" s="32" t="n">
        <f aca="false">IF(G15088&gt;0,G15309/G15088,0)</f>
        <v>12.5282214609535</v>
      </c>
      <c r="H15312" s="32" t="n">
        <f aca="false">IF(H15088&gt;0,H15309/H15088,0)</f>
        <v>14.7544570291957</v>
      </c>
      <c r="I15312" s="32" t="n">
        <f aca="false">IF(I15088&gt;0,I15309/I15088,0)</f>
        <v>16.3686763042455</v>
      </c>
      <c r="J15312" s="32" t="n">
        <f aca="false">IF(J15088&gt;0,J15309/J15088,0)</f>
        <v>17.776638395371</v>
      </c>
      <c r="K15312" s="32" t="n">
        <f aca="false">IF(K15088&gt;0,K15309/K15088,0)</f>
        <v>19.3076718481344</v>
      </c>
    </row>
    <row r="15313" customFormat="false" ht="15" hidden="false" customHeight="false" outlineLevel="0" collapsed="false">
      <c r="A15313" s="3" t="s">
        <v>418</v>
      </c>
      <c r="G15313" s="32" t="n">
        <f aca="false">IF(G15088&gt;0,G15311/G15088,0)</f>
        <v>12.0050352896677</v>
      </c>
      <c r="H15313" s="32" t="n">
        <f aca="false">IF(H15088&gt;0,H15311/H15088,0)</f>
        <v>14.7544570291957</v>
      </c>
      <c r="I15313" s="32" t="n">
        <f aca="false">IF(I15088&gt;0,I15311/I15088,0)</f>
        <v>17.0267603214944</v>
      </c>
      <c r="J15313" s="32" t="n">
        <f aca="false">IF(J15088&gt;0,J15311/J15088,0)</f>
        <v>19.2466776186442</v>
      </c>
      <c r="K15313" s="32" t="n">
        <f aca="false">IF(K15088&gt;0,K15311/K15088,0)</f>
        <v>21.7660504021208</v>
      </c>
    </row>
    <row r="15314" customFormat="false" ht="15" hidden="false" customHeight="false" outlineLevel="0" collapsed="false">
      <c r="A15314" s="3" t="s">
        <v>419</v>
      </c>
      <c r="G15314" s="32" t="n">
        <f aca="false">IF(G15092&gt;0,G15088/G15092,0)</f>
        <v>1.11683398615113</v>
      </c>
      <c r="H15314" s="32" t="n">
        <f aca="false">IF(H15092&gt;0,H15088/H15092,0)</f>
        <v>0.948254457366966</v>
      </c>
      <c r="I15314" s="32" t="n">
        <f aca="false">IF(I15092&gt;0,I15088/I15092,0)</f>
        <v>0.863041841471087</v>
      </c>
      <c r="J15314" s="32" t="n">
        <f aca="false">IF(J15092&gt;0,J15088/J15092,0)</f>
        <v>0.795234947587555</v>
      </c>
      <c r="K15314" s="32" t="n">
        <f aca="false">IF(K15092&gt;0,K15088/K15092,0)</f>
        <v>0.732682810597453</v>
      </c>
    </row>
    <row r="15315" customFormat="false" ht="15" hidden="false" customHeight="false" outlineLevel="0" collapsed="false">
      <c r="A15315" s="3" t="s">
        <v>420</v>
      </c>
      <c r="G15315" s="32" t="n">
        <f aca="false">IF(G15092&gt;0,G15091/G15092,0)</f>
        <v>0.286228898778886</v>
      </c>
      <c r="H15315" s="32" t="n">
        <f aca="false">IF(H15092&gt;0,H15091/H15092,0)</f>
        <v>0.221213086998522</v>
      </c>
      <c r="I15315" s="32" t="n">
        <f aca="false">IF(I15092&gt;0,I15091/I15092,0)</f>
        <v>0.201334302704812</v>
      </c>
      <c r="J15315" s="32" t="n">
        <f aca="false">IF(J15092&gt;0,J15091/J15092,0)</f>
        <v>0.191737625809715</v>
      </c>
      <c r="K15315" s="32" t="n">
        <f aca="false">IF(K15092&gt;0,K15091/K15092,0)</f>
        <v>0.18227223036945</v>
      </c>
    </row>
    <row r="15316" customFormat="false" ht="15" hidden="false" customHeight="false" outlineLevel="0" collapsed="false">
      <c r="A15316" s="3" t="s">
        <v>213</v>
      </c>
      <c r="G15316" s="22" t="n">
        <f aca="false">IF(G15309&gt;0,G15101/G15309,0)</f>
        <v>-0.0283670132810361</v>
      </c>
      <c r="H15316" s="22" t="n">
        <f aca="false">IF(H15309&gt;0,H15101/H15309,0)</f>
        <v>-0.0358397507684571</v>
      </c>
      <c r="I15316" s="22" t="n">
        <f aca="false">IF(I15309&gt;0,I15101/I15309,0)</f>
        <v>-0.038666485070599</v>
      </c>
      <c r="J15316" s="22" t="n">
        <f aca="false">IF(J15309&gt;0,J15101/J15309,0)</f>
        <v>-0.0408894947501493</v>
      </c>
      <c r="K15316" s="22" t="n">
        <f aca="false">IF(K15309&gt;0,K15101/K15309,0)</f>
        <v>-0.0429618629593069</v>
      </c>
    </row>
    <row r="15317" customFormat="false" ht="15" hidden="false" customHeight="false" outlineLevel="0" collapsed="false">
      <c r="A15317" s="3" t="s">
        <v>421</v>
      </c>
      <c r="G15317" s="32" t="n">
        <f aca="false">IF(G15092+G15293&gt;0,(G15088-G15099-G15096)/(G15092+G15293),0)</f>
        <v>0.699835079303691</v>
      </c>
      <c r="H15317" s="32" t="n">
        <f aca="false">IF(H15092+H15293&gt;0,(H15088-H15099-H15096)/(H15092+H15293),0)</f>
        <v>0.583787315827356</v>
      </c>
      <c r="I15317" s="32" t="n">
        <f aca="false">IF(I15092+I15293&gt;0,(I15088-I15099-I15096)/(I15092+I15293),0)</f>
        <v>0.531200868153115</v>
      </c>
      <c r="J15317" s="32" t="n">
        <f aca="false">IF(J15092+J15293&gt;0,(J15088-J15099-J15096)/(J15092+J15293),0)</f>
        <v>0.492390084803063</v>
      </c>
      <c r="K15317" s="32" t="n">
        <f aca="false">IF(K15092+K15293&gt;0,(K15088-K15099-K15096)/(K15092+K15293),0)</f>
        <v>0.45629834970233</v>
      </c>
    </row>
    <row r="15318" customFormat="false" ht="15" hidden="false" customHeight="false" outlineLevel="0" collapsed="false">
      <c r="A15318" s="3" t="s">
        <v>422</v>
      </c>
      <c r="G15318" s="16" t="n">
        <f aca="false">MAX(0,G15302)+Assumptions!$P$57*MAX(0,Assumptions!$D$57-G15125)+Assumptions!$P$58*MAX(0,Assumptions!$D$58-G15138)+Assumptions!$P$59*MAX(0,Assumptions!$D$59-G15151)+Assumptions!$P$60*MAX(0,Assumptions!$D$60-G15164)+Assumptions!$P$61*MAX(0,Assumptions!$D$61-G15177)+Assumptions!$P$62*MAX(0,Assumptions!$D$62-G15190)+Assumptions!$P$63*MAX(0,Assumptions!$D$63-G15203)+Assumptions!$P$64*MAX(0,Assumptions!$D$64-G15216)+Assumptions!$P$65*MAX(0,Assumptions!$D$65-G15229)+Assumptions!$P$66*MAX(0,Assumptions!$D$66-G15242)</f>
        <v>683.9935634</v>
      </c>
      <c r="H15318" s="16" t="n">
        <f aca="false">MAX(0,H15302)+Assumptions!$P$57*MAX(0,Assumptions!$D$57-H15125)+Assumptions!$P$58*MAX(0,Assumptions!$D$58-H15138)+Assumptions!$P$59*MAX(0,Assumptions!$D$59-H15151)+Assumptions!$P$60*MAX(0,Assumptions!$D$60-H15164)+Assumptions!$P$61*MAX(0,Assumptions!$D$61-H15177)+Assumptions!$P$62*MAX(0,Assumptions!$D$62-H15190)+Assumptions!$P$63*MAX(0,Assumptions!$D$63-H15203)+Assumptions!$P$64*MAX(0,Assumptions!$D$64-H15216)+Assumptions!$P$65*MAX(0,Assumptions!$D$65-H15229)+Assumptions!$P$66*MAX(0,Assumptions!$D$66-H15242)</f>
        <v>574.5</v>
      </c>
      <c r="I15318" s="16" t="n">
        <f aca="false">MAX(0,I15302)+Assumptions!$P$57*MAX(0,Assumptions!$D$57-I15125)+Assumptions!$P$58*MAX(0,Assumptions!$D$58-I15138)+Assumptions!$P$59*MAX(0,Assumptions!$D$59-I15151)+Assumptions!$P$60*MAX(0,Assumptions!$D$60-I15164)+Assumptions!$P$61*MAX(0,Assumptions!$D$61-I15177)+Assumptions!$P$62*MAX(0,Assumptions!$D$62-I15190)+Assumptions!$P$63*MAX(0,Assumptions!$D$63-I15203)+Assumptions!$P$64*MAX(0,Assumptions!$D$64-I15216)+Assumptions!$P$65*MAX(0,Assumptions!$D$65-I15229)+Assumptions!$P$66*MAX(0,Assumptions!$D$66-I15242)</f>
        <v>574.5</v>
      </c>
      <c r="J15318" s="16" t="n">
        <f aca="false">MAX(0,J15302)+Assumptions!$P$57*MAX(0,Assumptions!$D$57-J15125)+Assumptions!$P$58*MAX(0,Assumptions!$D$58-J15138)+Assumptions!$P$59*MAX(0,Assumptions!$D$59-J15151)+Assumptions!$P$60*MAX(0,Assumptions!$D$60-J15164)+Assumptions!$P$61*MAX(0,Assumptions!$D$61-J15177)+Assumptions!$P$62*MAX(0,Assumptions!$D$62-J15190)+Assumptions!$P$63*MAX(0,Assumptions!$D$63-J15203)+Assumptions!$P$64*MAX(0,Assumptions!$D$64-J15216)+Assumptions!$P$65*MAX(0,Assumptions!$D$65-J15229)+Assumptions!$P$66*MAX(0,Assumptions!$D$66-J15242)</f>
        <v>574.5</v>
      </c>
      <c r="K15318" s="16" t="n">
        <f aca="false">MAX(0,K15302)+Assumptions!$P$57*MAX(0,Assumptions!$D$57-K15125)+Assumptions!$P$58*MAX(0,Assumptions!$D$58-K15138)+Assumptions!$P$59*MAX(0,Assumptions!$D$59-K15151)+Assumptions!$P$60*MAX(0,Assumptions!$D$60-K15164)+Assumptions!$P$61*MAX(0,Assumptions!$D$61-K15177)+Assumptions!$P$62*MAX(0,Assumptions!$D$62-K15190)+Assumptions!$P$63*MAX(0,Assumptions!$D$63-K15203)+Assumptions!$P$64*MAX(0,Assumptions!$D$64-K15216)+Assumptions!$P$65*MAX(0,Assumptions!$D$65-K15229)+Assumptions!$P$66*MAX(0,Assumptions!$D$66-K15242)</f>
        <v>574.5</v>
      </c>
    </row>
    <row r="15319" customFormat="false" ht="15" hidden="false" customHeight="false" outlineLevel="0" collapsed="false">
      <c r="A15319" s="3" t="s">
        <v>423</v>
      </c>
      <c r="G15319" s="22" t="n">
        <f aca="false">IF(G15309&gt;0,G15309/(G15309+MAX(0,G15088*CHOOSE($C$15071,Assumptions!$C$90,Assumptions!$C$109,Assumptions!$C$128)-G15311)),0)</f>
        <v>1</v>
      </c>
      <c r="H15319" s="22" t="n">
        <f aca="false">IF(H15309&gt;0,H15309/(H15309+MAX(0,H15088*CHOOSE($C$15071,Assumptions!$C$90,Assumptions!$C$109,Assumptions!$C$128)-H15311)),0)</f>
        <v>1</v>
      </c>
      <c r="I15319" s="22" t="n">
        <f aca="false">IF(I15309&gt;0,I15309/(I15309+MAX(0,I15088*CHOOSE($C$15071,Assumptions!$C$90,Assumptions!$C$109,Assumptions!$C$128)-I15311)),0)</f>
        <v>1</v>
      </c>
      <c r="J15319" s="22" t="n">
        <f aca="false">IF(J15309&gt;0,J15309/(J15309+MAX(0,J15088*CHOOSE($C$15071,Assumptions!$C$90,Assumptions!$C$109,Assumptions!$C$128)-J15311)),0)</f>
        <v>1</v>
      </c>
      <c r="K15319" s="22" t="n">
        <f aca="false">IF(K15309&gt;0,K15309/(K15309+MAX(0,K15088*CHOOSE($C$15071,Assumptions!$C$90,Assumptions!$C$109,Assumptions!$C$128)-K15311)),0)</f>
        <v>1</v>
      </c>
    </row>
    <row r="15320" customFormat="false" ht="15" hidden="false" customHeight="false" outlineLevel="0" collapsed="false">
      <c r="A15320" s="3" t="s">
        <v>424</v>
      </c>
      <c r="G15320" s="22" t="n">
        <f aca="false">IF(G15309&gt;0,MAX(0,G15302)/G15309,0)</f>
        <v>0.0417606100687508</v>
      </c>
      <c r="H15320" s="22" t="n">
        <f aca="false">IF(H15309&gt;0,MAX(0,H15302)/H15309,0)</f>
        <v>0</v>
      </c>
      <c r="I15320" s="22" t="n">
        <f aca="false">IF(I15309&gt;0,MAX(0,I15302)/I15309,0)</f>
        <v>0</v>
      </c>
      <c r="J15320" s="22" t="n">
        <f aca="false">IF(J15309&gt;0,MAX(0,J15302)/J15309,0)</f>
        <v>0</v>
      </c>
      <c r="K15320" s="22" t="n">
        <f aca="false">IF(K15309&gt;0,MAX(0,K15302)/K15309,0)</f>
        <v>0</v>
      </c>
    </row>
    <row r="15321" customFormat="false" ht="15" hidden="false" customHeight="false" outlineLevel="0" collapsed="false">
      <c r="A15321" s="3" t="s">
        <v>425</v>
      </c>
      <c r="G15321" s="16" t="n">
        <f aca="false">Assumptions!$C$31*(1-CHOOSE($C$15071,Assumptions!$C$93,Assumptions!$C$112,Assumptions!$C$131))</f>
        <v>3840.04556666667</v>
      </c>
      <c r="H15321" s="16" t="n">
        <f aca="false">Assumptions!$C$31*(1-CHOOSE($C$15071,Assumptions!$C$93,Assumptions!$C$112,Assumptions!$C$131))</f>
        <v>3840.04556666667</v>
      </c>
      <c r="I15321" s="16" t="n">
        <f aca="false">Assumptions!$C$31*(1-CHOOSE($C$15071,Assumptions!$C$93,Assumptions!$C$112,Assumptions!$C$131))</f>
        <v>3840.04556666667</v>
      </c>
      <c r="J15321" s="16" t="n">
        <f aca="false">Assumptions!$C$31*(1-CHOOSE($C$15071,Assumptions!$C$93,Assumptions!$C$112,Assumptions!$C$131))</f>
        <v>3840.04556666667</v>
      </c>
      <c r="K15321" s="16" t="n">
        <f aca="false">Assumptions!$C$31*(1-CHOOSE($C$15071,Assumptions!$C$93,Assumptions!$C$112,Assumptions!$C$131))</f>
        <v>3840.04556666667</v>
      </c>
    </row>
    <row r="15322" customFormat="false" ht="15" hidden="false" customHeight="false" outlineLevel="0" collapsed="false">
      <c r="A15322" s="24" t="s">
        <v>426</v>
      </c>
      <c r="B15322" s="25"/>
      <c r="C15322" s="25"/>
      <c r="D15322" s="25"/>
      <c r="E15322" s="25"/>
      <c r="F15322" s="25"/>
      <c r="G15322" s="25"/>
      <c r="H15322" s="25"/>
      <c r="I15322" s="25"/>
      <c r="J15322" s="25"/>
      <c r="K15322" s="25"/>
    </row>
    <row r="15323" customFormat="false" ht="15" hidden="false" customHeight="false" outlineLevel="0" collapsed="false">
      <c r="A15323" s="24" t="s">
        <v>427</v>
      </c>
      <c r="B15323" s="25"/>
      <c r="C15323" s="25"/>
      <c r="D15323" s="25"/>
      <c r="E15323" s="25"/>
      <c r="F15323" s="25"/>
      <c r="G15323" s="25"/>
      <c r="H15323" s="25"/>
      <c r="I15323" s="25"/>
      <c r="J15323" s="25"/>
      <c r="K15323" s="25"/>
    </row>
    <row r="15324" customFormat="false" ht="15" hidden="false" customHeight="false" outlineLevel="0" collapsed="false">
      <c r="A15324" s="3" t="s">
        <v>428</v>
      </c>
      <c r="G15324" s="22" t="n">
        <f aca="false">IF(G15321&gt;0,G15309/G15321,99)</f>
        <v>0.68278721032885</v>
      </c>
      <c r="H15324" s="22" t="n">
        <f aca="false">IF(H15321&gt;0,H15309/H15321,99)</f>
        <v>0.678594248621894</v>
      </c>
      <c r="I15324" s="22" t="n">
        <f aca="false">IF(I15321&gt;0,I15309/I15321,99)</f>
        <v>0.67755259431583</v>
      </c>
      <c r="J15324" s="22" t="n">
        <f aca="false">IF(J15321&gt;0,J15309/J15321,99)</f>
        <v>0.676510940009766</v>
      </c>
      <c r="K15324" s="22" t="n">
        <f aca="false">IF(K15321&gt;0,K15309/K15321,99)</f>
        <v>0.675469285703702</v>
      </c>
    </row>
    <row r="15325" customFormat="false" ht="15" hidden="false" customHeight="false" outlineLevel="0" collapsed="false">
      <c r="A15325" s="3" t="s">
        <v>429</v>
      </c>
      <c r="G15325" s="33" t="n">
        <f aca="false">Assumptions!$G$71</f>
        <v>0.6</v>
      </c>
      <c r="H15325" s="33" t="n">
        <f aca="false">Assumptions!$H$71</f>
        <v>0.6</v>
      </c>
      <c r="I15325" s="33" t="n">
        <f aca="false">Assumptions!$I$71</f>
        <v>0.6</v>
      </c>
      <c r="J15325" s="33" t="n">
        <f aca="false">Assumptions!$J$71</f>
        <v>0.6</v>
      </c>
      <c r="K15325" s="33" t="n">
        <f aca="false">Assumptions!$K$71</f>
        <v>0.6</v>
      </c>
    </row>
    <row r="15326" customFormat="false" ht="15" hidden="false" customHeight="false" outlineLevel="0" collapsed="false">
      <c r="A15326" s="3" t="s">
        <v>430</v>
      </c>
      <c r="G15326" s="22" t="n">
        <f aca="false">G15325-G15324</f>
        <v>-0.0827872103288497</v>
      </c>
      <c r="H15326" s="22" t="n">
        <f aca="false">H15325-H15324</f>
        <v>-0.0785942486218936</v>
      </c>
      <c r="I15326" s="22" t="n">
        <f aca="false">I15325-I15324</f>
        <v>-0.0775525943158297</v>
      </c>
      <c r="J15326" s="22" t="n">
        <f aca="false">J15325-J15324</f>
        <v>-0.0765109400097658</v>
      </c>
      <c r="K15326" s="22" t="n">
        <f aca="false">K15325-K15324</f>
        <v>-0.0754692857037018</v>
      </c>
    </row>
    <row r="15327" customFormat="false" ht="15" hidden="false" customHeight="false" outlineLevel="0" collapsed="false">
      <c r="A15327" s="3" t="s">
        <v>431</v>
      </c>
      <c r="G15327" s="22" t="n">
        <f aca="false">IF(G15325=0,0,G15326/ABS(G15325))</f>
        <v>-0.137978683881416</v>
      </c>
      <c r="H15327" s="22" t="n">
        <f aca="false">IF(H15325=0,0,H15326/ABS(H15325))</f>
        <v>-0.130990414369823</v>
      </c>
      <c r="I15327" s="22" t="n">
        <f aca="false">IF(I15325=0,0,I15326/ABS(I15325))</f>
        <v>-0.129254323859716</v>
      </c>
      <c r="J15327" s="22" t="n">
        <f aca="false">IF(J15325=0,0,J15326/ABS(J15325))</f>
        <v>-0.12751823334961</v>
      </c>
      <c r="K15327" s="22" t="n">
        <f aca="false">IF(K15325=0,0,K15326/ABS(K15325))</f>
        <v>-0.125782142839503</v>
      </c>
    </row>
    <row r="15328" customFormat="false" ht="15" hidden="false" customHeight="false" outlineLevel="0" collapsed="false">
      <c r="A15328" s="3" t="s">
        <v>432</v>
      </c>
      <c r="G15328" s="21" t="n">
        <f aca="false">IF(G15326&lt;0,1,0)</f>
        <v>1</v>
      </c>
      <c r="H15328" s="21" t="n">
        <f aca="false">IF(H15326&lt;0,1,0)</f>
        <v>1</v>
      </c>
      <c r="I15328" s="21" t="n">
        <f aca="false">IF(I15326&lt;0,1,0)</f>
        <v>1</v>
      </c>
      <c r="J15328" s="21" t="n">
        <f aca="false">IF(J15326&lt;0,1,0)</f>
        <v>1</v>
      </c>
      <c r="K15328" s="21" t="n">
        <f aca="false">IF(K15326&lt;0,1,0)</f>
        <v>1</v>
      </c>
    </row>
    <row r="15329" customFormat="false" ht="15" hidden="false" customHeight="false" outlineLevel="0" collapsed="false">
      <c r="A15329" s="3" t="s">
        <v>433</v>
      </c>
      <c r="C15329" s="21" t="n">
        <f aca="false">IFERROR(INDEX($G$15078:$K$15078,MATCH(1,$G$15328:$K$15328,0)),0)</f>
        <v>2027</v>
      </c>
    </row>
    <row r="15330" customFormat="false" ht="15" hidden="false" customHeight="false" outlineLevel="0" collapsed="false">
      <c r="A15330" s="3" t="s">
        <v>434</v>
      </c>
      <c r="C15330" s="22" t="n">
        <f aca="false">MIN($G$15327:$K$15327)</f>
        <v>-0.137978683881416</v>
      </c>
    </row>
    <row r="15331" customFormat="false" ht="15" hidden="false" customHeight="false" outlineLevel="0" collapsed="false">
      <c r="A15331" s="24" t="s">
        <v>435</v>
      </c>
      <c r="B15331" s="25"/>
      <c r="C15331" s="25"/>
      <c r="D15331" s="25"/>
      <c r="E15331" s="25"/>
      <c r="F15331" s="25"/>
      <c r="G15331" s="25"/>
      <c r="H15331" s="25"/>
      <c r="I15331" s="25"/>
      <c r="J15331" s="25"/>
      <c r="K15331" s="25"/>
    </row>
    <row r="15332" customFormat="false" ht="15" hidden="false" customHeight="false" outlineLevel="0" collapsed="false">
      <c r="A15332" s="3" t="s">
        <v>428</v>
      </c>
      <c r="G15332" s="32" t="n">
        <f aca="false">IF(G15092&gt;0,G15088/G15092,99)</f>
        <v>1.11683398615113</v>
      </c>
      <c r="H15332" s="32" t="n">
        <f aca="false">IF(H15092&gt;0,H15088/H15092,99)</f>
        <v>0.948254457366966</v>
      </c>
      <c r="I15332" s="32" t="n">
        <f aca="false">IF(I15092&gt;0,I15088/I15092,99)</f>
        <v>0.863041841471087</v>
      </c>
      <c r="J15332" s="32" t="n">
        <f aca="false">IF(J15092&gt;0,J15088/J15092,99)</f>
        <v>0.795234947587555</v>
      </c>
      <c r="K15332" s="32" t="n">
        <f aca="false">IF(K15092&gt;0,K15088/K15092,99)</f>
        <v>0.732682810597453</v>
      </c>
    </row>
    <row r="15333" customFormat="false" ht="15" hidden="false" customHeight="false" outlineLevel="0" collapsed="false">
      <c r="A15333" s="3" t="s">
        <v>429</v>
      </c>
      <c r="G15333" s="34" t="n">
        <f aca="false">Assumptions!$G$72</f>
        <v>1.5</v>
      </c>
      <c r="H15333" s="34" t="n">
        <f aca="false">Assumptions!$H$72</f>
        <v>1.5</v>
      </c>
      <c r="I15333" s="34" t="n">
        <f aca="false">Assumptions!$I$72</f>
        <v>1.5</v>
      </c>
      <c r="J15333" s="34" t="n">
        <f aca="false">Assumptions!$J$72</f>
        <v>1.5</v>
      </c>
      <c r="K15333" s="34" t="n">
        <f aca="false">Assumptions!$K$72</f>
        <v>1.5</v>
      </c>
    </row>
    <row r="15334" customFormat="false" ht="15" hidden="false" customHeight="false" outlineLevel="0" collapsed="false">
      <c r="A15334" s="3" t="s">
        <v>430</v>
      </c>
      <c r="G15334" s="32" t="n">
        <f aca="false">G15332-G15333</f>
        <v>-0.38316601384887</v>
      </c>
      <c r="H15334" s="32" t="n">
        <f aca="false">H15332-H15333</f>
        <v>-0.551745542633034</v>
      </c>
      <c r="I15334" s="32" t="n">
        <f aca="false">I15332-I15333</f>
        <v>-0.636958158528913</v>
      </c>
      <c r="J15334" s="32" t="n">
        <f aca="false">J15332-J15333</f>
        <v>-0.704765052412446</v>
      </c>
      <c r="K15334" s="32" t="n">
        <f aca="false">K15332-K15333</f>
        <v>-0.767317189402547</v>
      </c>
    </row>
    <row r="15335" customFormat="false" ht="15" hidden="false" customHeight="false" outlineLevel="0" collapsed="false">
      <c r="A15335" s="3" t="s">
        <v>431</v>
      </c>
      <c r="G15335" s="22" t="n">
        <f aca="false">IF(G15333=0,0,G15334/ABS(G15333))</f>
        <v>-0.25544400923258</v>
      </c>
      <c r="H15335" s="22" t="n">
        <f aca="false">IF(H15333=0,0,H15334/ABS(H15333))</f>
        <v>-0.367830361755356</v>
      </c>
      <c r="I15335" s="22" t="n">
        <f aca="false">IF(I15333=0,0,I15334/ABS(I15333))</f>
        <v>-0.424638772352609</v>
      </c>
      <c r="J15335" s="22" t="n">
        <f aca="false">IF(J15333=0,0,J15334/ABS(J15333))</f>
        <v>-0.469843368274964</v>
      </c>
      <c r="K15335" s="22" t="n">
        <f aca="false">IF(K15333=0,0,K15334/ABS(K15333))</f>
        <v>-0.511544792935031</v>
      </c>
    </row>
    <row r="15336" customFormat="false" ht="15" hidden="false" customHeight="false" outlineLevel="0" collapsed="false">
      <c r="A15336" s="3" t="s">
        <v>432</v>
      </c>
      <c r="G15336" s="21" t="n">
        <f aca="false">IF(G15334&lt;0,1,0)</f>
        <v>1</v>
      </c>
      <c r="H15336" s="21" t="n">
        <f aca="false">IF(H15334&lt;0,1,0)</f>
        <v>1</v>
      </c>
      <c r="I15336" s="21" t="n">
        <f aca="false">IF(I15334&lt;0,1,0)</f>
        <v>1</v>
      </c>
      <c r="J15336" s="21" t="n">
        <f aca="false">IF(J15334&lt;0,1,0)</f>
        <v>1</v>
      </c>
      <c r="K15336" s="21" t="n">
        <f aca="false">IF(K15334&lt;0,1,0)</f>
        <v>1</v>
      </c>
    </row>
    <row r="15337" customFormat="false" ht="15" hidden="false" customHeight="false" outlineLevel="0" collapsed="false">
      <c r="A15337" s="3" t="s">
        <v>433</v>
      </c>
      <c r="C15337" s="21" t="n">
        <f aca="false">IFERROR(INDEX($G$15078:$K$15078,MATCH(1,$G$15336:$K$15336,0)),0)</f>
        <v>2027</v>
      </c>
    </row>
    <row r="15338" customFormat="false" ht="15" hidden="false" customHeight="false" outlineLevel="0" collapsed="false">
      <c r="A15338" s="3" t="s">
        <v>434</v>
      </c>
      <c r="C15338" s="22" t="n">
        <f aca="false">MIN($G$15335:$K$15335)</f>
        <v>-0.511544792935031</v>
      </c>
    </row>
    <row r="15339" customFormat="false" ht="15" hidden="false" customHeight="false" outlineLevel="0" collapsed="false">
      <c r="A15339" s="24" t="s">
        <v>436</v>
      </c>
      <c r="B15339" s="25"/>
      <c r="C15339" s="25"/>
      <c r="D15339" s="25"/>
      <c r="E15339" s="25"/>
      <c r="F15339" s="25"/>
      <c r="G15339" s="25"/>
      <c r="H15339" s="25"/>
      <c r="I15339" s="25"/>
      <c r="J15339" s="25"/>
      <c r="K15339" s="25"/>
    </row>
    <row r="15340" customFormat="false" ht="15" hidden="false" customHeight="false" outlineLevel="0" collapsed="false">
      <c r="A15340" s="3" t="s">
        <v>428</v>
      </c>
      <c r="G15340" s="22" t="n">
        <f aca="false">IF(G15321&gt;0,G15310/G15321,99)</f>
        <v>0.141488946046968</v>
      </c>
      <c r="H15340" s="22" t="n">
        <f aca="false">IF(H15321&gt;0,H15310/H15321,99)</f>
        <v>0.140447291740904</v>
      </c>
      <c r="I15340" s="22" t="n">
        <f aca="false">IF(I15321&gt;0,I15310/I15321,99)</f>
        <v>0.139405637434841</v>
      </c>
      <c r="J15340" s="22" t="n">
        <f aca="false">IF(J15321&gt;0,J15310/J15321,99)</f>
        <v>0.138363983128777</v>
      </c>
      <c r="K15340" s="22" t="n">
        <f aca="false">IF(K15321&gt;0,K15310/K15321,99)</f>
        <v>0.137322328822713</v>
      </c>
    </row>
    <row r="15341" customFormat="false" ht="15" hidden="false" customHeight="false" outlineLevel="0" collapsed="false">
      <c r="A15341" s="3" t="s">
        <v>429</v>
      </c>
      <c r="G15341" s="33" t="n">
        <f aca="false">Assumptions!$G$73</f>
        <v>0.4</v>
      </c>
      <c r="H15341" s="33" t="n">
        <f aca="false">Assumptions!$H$73</f>
        <v>0.4</v>
      </c>
      <c r="I15341" s="33" t="n">
        <f aca="false">Assumptions!$I$73</f>
        <v>0.4</v>
      </c>
      <c r="J15341" s="33" t="n">
        <f aca="false">Assumptions!$J$73</f>
        <v>0.4</v>
      </c>
      <c r="K15341" s="33" t="n">
        <f aca="false">Assumptions!$K$73</f>
        <v>0.4</v>
      </c>
    </row>
    <row r="15342" customFormat="false" ht="15" hidden="false" customHeight="false" outlineLevel="0" collapsed="false">
      <c r="A15342" s="3" t="s">
        <v>430</v>
      </c>
      <c r="G15342" s="22" t="n">
        <f aca="false">G15341-G15340</f>
        <v>0.258511053953032</v>
      </c>
      <c r="H15342" s="22" t="n">
        <f aca="false">H15341-H15340</f>
        <v>0.259552708259096</v>
      </c>
      <c r="I15342" s="22" t="n">
        <f aca="false">I15341-I15340</f>
        <v>0.26059436256516</v>
      </c>
      <c r="J15342" s="22" t="n">
        <f aca="false">J15341-J15340</f>
        <v>0.261636016871223</v>
      </c>
      <c r="K15342" s="22" t="n">
        <f aca="false">K15341-K15340</f>
        <v>0.262677671177287</v>
      </c>
    </row>
    <row r="15343" customFormat="false" ht="15" hidden="false" customHeight="false" outlineLevel="0" collapsed="false">
      <c r="A15343" s="3" t="s">
        <v>431</v>
      </c>
      <c r="G15343" s="22" t="n">
        <f aca="false">IF(G15341=0,0,G15342/ABS(G15341))</f>
        <v>0.646277634882579</v>
      </c>
      <c r="H15343" s="22" t="n">
        <f aca="false">IF(H15341=0,0,H15342/ABS(H15341))</f>
        <v>0.648881770647739</v>
      </c>
      <c r="I15343" s="22" t="n">
        <f aca="false">IF(I15341=0,0,I15342/ABS(I15341))</f>
        <v>0.651485906412899</v>
      </c>
      <c r="J15343" s="22" t="n">
        <f aca="false">IF(J15341=0,0,J15342/ABS(J15341))</f>
        <v>0.654090042178059</v>
      </c>
      <c r="K15343" s="22" t="n">
        <f aca="false">IF(K15341=0,0,K15342/ABS(K15341))</f>
        <v>0.656694177943218</v>
      </c>
    </row>
    <row r="15344" customFormat="false" ht="15" hidden="false" customHeight="false" outlineLevel="0" collapsed="false">
      <c r="A15344" s="3" t="s">
        <v>432</v>
      </c>
      <c r="G15344" s="21" t="n">
        <f aca="false">IF(G15342&lt;0,1,0)</f>
        <v>0</v>
      </c>
      <c r="H15344" s="21" t="n">
        <f aca="false">IF(H15342&lt;0,1,0)</f>
        <v>0</v>
      </c>
      <c r="I15344" s="21" t="n">
        <f aca="false">IF(I15342&lt;0,1,0)</f>
        <v>0</v>
      </c>
      <c r="J15344" s="21" t="n">
        <f aca="false">IF(J15342&lt;0,1,0)</f>
        <v>0</v>
      </c>
      <c r="K15344" s="21" t="n">
        <f aca="false">IF(K15342&lt;0,1,0)</f>
        <v>0</v>
      </c>
    </row>
    <row r="15345" customFormat="false" ht="15" hidden="false" customHeight="false" outlineLevel="0" collapsed="false">
      <c r="A15345" s="3" t="s">
        <v>433</v>
      </c>
      <c r="C15345" s="21" t="n">
        <f aca="false">IFERROR(INDEX($G$15078:$K$15078,MATCH(1,$G$15344:$K$15344,0)),0)</f>
        <v>0</v>
      </c>
    </row>
    <row r="15346" customFormat="false" ht="15" hidden="false" customHeight="false" outlineLevel="0" collapsed="false">
      <c r="A15346" s="3" t="s">
        <v>434</v>
      </c>
      <c r="C15346" s="22" t="n">
        <f aca="false">MIN($G$15343:$K$15343)</f>
        <v>0.646277634882579</v>
      </c>
    </row>
    <row r="15347" customFormat="false" ht="15" hidden="false" customHeight="false" outlineLevel="0" collapsed="false">
      <c r="A15347" s="24" t="s">
        <v>437</v>
      </c>
      <c r="B15347" s="25"/>
      <c r="C15347" s="25"/>
      <c r="D15347" s="25"/>
      <c r="E15347" s="25"/>
      <c r="F15347" s="25"/>
      <c r="G15347" s="25"/>
      <c r="H15347" s="25"/>
      <c r="I15347" s="25"/>
      <c r="J15347" s="25"/>
      <c r="K15347" s="25"/>
    </row>
    <row r="15348" customFormat="false" ht="15" hidden="false" customHeight="false" outlineLevel="0" collapsed="false">
      <c r="A15348" s="3" t="s">
        <v>428</v>
      </c>
      <c r="G15348" s="16" t="n">
        <f aca="false">G15318</f>
        <v>683.9935634</v>
      </c>
      <c r="H15348" s="16" t="n">
        <f aca="false">H15318</f>
        <v>574.5</v>
      </c>
      <c r="I15348" s="16" t="n">
        <f aca="false">I15318</f>
        <v>574.5</v>
      </c>
      <c r="J15348" s="16" t="n">
        <f aca="false">J15318</f>
        <v>574.5</v>
      </c>
      <c r="K15348" s="16" t="n">
        <f aca="false">K15318</f>
        <v>574.5</v>
      </c>
    </row>
    <row r="15349" customFormat="false" ht="15" hidden="false" customHeight="false" outlineLevel="0" collapsed="false">
      <c r="A15349" s="3" t="s">
        <v>429</v>
      </c>
      <c r="G15349" s="29" t="n">
        <f aca="false">Assumptions!$G$74</f>
        <v>100</v>
      </c>
      <c r="H15349" s="29" t="n">
        <f aca="false">Assumptions!$H$74</f>
        <v>100</v>
      </c>
      <c r="I15349" s="29" t="n">
        <f aca="false">Assumptions!$I$74</f>
        <v>100</v>
      </c>
      <c r="J15349" s="29" t="n">
        <f aca="false">Assumptions!$J$74</f>
        <v>100</v>
      </c>
      <c r="K15349" s="29" t="n">
        <f aca="false">Assumptions!$K$74</f>
        <v>100</v>
      </c>
    </row>
    <row r="15350" customFormat="false" ht="15" hidden="false" customHeight="false" outlineLevel="0" collapsed="false">
      <c r="A15350" s="3" t="s">
        <v>430</v>
      </c>
      <c r="G15350" s="16" t="n">
        <f aca="false">G15348-G15349</f>
        <v>583.9935634</v>
      </c>
      <c r="H15350" s="16" t="n">
        <f aca="false">H15348-H15349</f>
        <v>474.5</v>
      </c>
      <c r="I15350" s="16" t="n">
        <f aca="false">I15348-I15349</f>
        <v>474.5</v>
      </c>
      <c r="J15350" s="16" t="n">
        <f aca="false">J15348-J15349</f>
        <v>474.5</v>
      </c>
      <c r="K15350" s="16" t="n">
        <f aca="false">K15348-K15349</f>
        <v>474.5</v>
      </c>
    </row>
    <row r="15351" customFormat="false" ht="15" hidden="false" customHeight="false" outlineLevel="0" collapsed="false">
      <c r="A15351" s="3" t="s">
        <v>431</v>
      </c>
      <c r="G15351" s="22" t="n">
        <f aca="false">IF(G15349=0,0,G15350/ABS(G15349))</f>
        <v>5.839935634</v>
      </c>
      <c r="H15351" s="22" t="n">
        <f aca="false">IF(H15349=0,0,H15350/ABS(H15349))</f>
        <v>4.745</v>
      </c>
      <c r="I15351" s="22" t="n">
        <f aca="false">IF(I15349=0,0,I15350/ABS(I15349))</f>
        <v>4.745</v>
      </c>
      <c r="J15351" s="22" t="n">
        <f aca="false">IF(J15349=0,0,J15350/ABS(J15349))</f>
        <v>4.745</v>
      </c>
      <c r="K15351" s="22" t="n">
        <f aca="false">IF(K15349=0,0,K15350/ABS(K15349))</f>
        <v>4.745</v>
      </c>
    </row>
    <row r="15352" customFormat="false" ht="15" hidden="false" customHeight="false" outlineLevel="0" collapsed="false">
      <c r="A15352" s="3" t="s">
        <v>432</v>
      </c>
      <c r="G15352" s="21" t="n">
        <f aca="false">IF(G15350&lt;0,1,0)</f>
        <v>0</v>
      </c>
      <c r="H15352" s="21" t="n">
        <f aca="false">IF(H15350&lt;0,1,0)</f>
        <v>0</v>
      </c>
      <c r="I15352" s="21" t="n">
        <f aca="false">IF(I15350&lt;0,1,0)</f>
        <v>0</v>
      </c>
      <c r="J15352" s="21" t="n">
        <f aca="false">IF(J15350&lt;0,1,0)</f>
        <v>0</v>
      </c>
      <c r="K15352" s="21" t="n">
        <f aca="false">IF(K15350&lt;0,1,0)</f>
        <v>0</v>
      </c>
    </row>
    <row r="15353" customFormat="false" ht="15" hidden="false" customHeight="false" outlineLevel="0" collapsed="false">
      <c r="A15353" s="3" t="s">
        <v>433</v>
      </c>
      <c r="C15353" s="21" t="n">
        <f aca="false">IFERROR(INDEX($G$15078:$K$15078,MATCH(1,$G$15352:$K$15352,0)),0)</f>
        <v>0</v>
      </c>
    </row>
    <row r="15354" customFormat="false" ht="15" hidden="false" customHeight="false" outlineLevel="0" collapsed="false">
      <c r="A15354" s="3" t="s">
        <v>434</v>
      </c>
      <c r="C15354" s="22" t="n">
        <f aca="false">MIN($G$15351:$K$15351)</f>
        <v>4.745</v>
      </c>
    </row>
    <row r="15355" customFormat="false" ht="15" hidden="false" customHeight="false" outlineLevel="0" collapsed="false">
      <c r="A15355" s="24" t="s">
        <v>438</v>
      </c>
      <c r="B15355" s="25"/>
      <c r="C15355" s="25"/>
      <c r="D15355" s="25"/>
      <c r="E15355" s="25"/>
      <c r="F15355" s="25"/>
      <c r="G15355" s="25"/>
      <c r="H15355" s="25"/>
      <c r="I15355" s="25"/>
      <c r="J15355" s="25"/>
      <c r="K15355" s="25"/>
    </row>
    <row r="15356" customFormat="false" ht="15" hidden="false" customHeight="false" outlineLevel="0" collapsed="false">
      <c r="A15356" s="3" t="s">
        <v>428</v>
      </c>
      <c r="G15356" s="32" t="n">
        <f aca="false">IF(G15088&gt;0,G15311/G15088,99)</f>
        <v>12.0050352896677</v>
      </c>
      <c r="H15356" s="32" t="n">
        <f aca="false">IF(H15088&gt;0,H15311/H15088,99)</f>
        <v>14.7544570291957</v>
      </c>
      <c r="I15356" s="32" t="n">
        <f aca="false">IF(I15088&gt;0,I15311/I15088,99)</f>
        <v>17.0267603214944</v>
      </c>
      <c r="J15356" s="32" t="n">
        <f aca="false">IF(J15088&gt;0,J15311/J15088,99)</f>
        <v>19.2466776186442</v>
      </c>
      <c r="K15356" s="32" t="n">
        <f aca="false">IF(K15088&gt;0,K15311/K15088,99)</f>
        <v>21.7660504021208</v>
      </c>
    </row>
    <row r="15357" customFormat="false" ht="15" hidden="false" customHeight="false" outlineLevel="0" collapsed="false">
      <c r="A15357" s="3" t="s">
        <v>429</v>
      </c>
      <c r="G15357" s="34" t="n">
        <f aca="false">Assumptions!$G$75</f>
        <v>10.5</v>
      </c>
      <c r="H15357" s="34" t="n">
        <f aca="false">Assumptions!$H$75</f>
        <v>10.5</v>
      </c>
      <c r="I15357" s="34" t="n">
        <f aca="false">Assumptions!$I$75</f>
        <v>10</v>
      </c>
      <c r="J15357" s="34" t="n">
        <f aca="false">Assumptions!$J$75</f>
        <v>10</v>
      </c>
      <c r="K15357" s="34" t="n">
        <f aca="false">Assumptions!$K$75</f>
        <v>9.5</v>
      </c>
    </row>
    <row r="15358" customFormat="false" ht="15" hidden="false" customHeight="false" outlineLevel="0" collapsed="false">
      <c r="A15358" s="3" t="s">
        <v>430</v>
      </c>
      <c r="G15358" s="32" t="n">
        <f aca="false">G15357-G15356</f>
        <v>-1.5050352896677</v>
      </c>
      <c r="H15358" s="32" t="n">
        <f aca="false">H15357-H15356</f>
        <v>-4.25445702919573</v>
      </c>
      <c r="I15358" s="32" t="n">
        <f aca="false">I15357-I15356</f>
        <v>-7.02676032149439</v>
      </c>
      <c r="J15358" s="32" t="n">
        <f aca="false">J15357-J15356</f>
        <v>-9.24667761864419</v>
      </c>
      <c r="K15358" s="32" t="n">
        <f aca="false">K15357-K15356</f>
        <v>-12.2660504021208</v>
      </c>
    </row>
    <row r="15359" customFormat="false" ht="15" hidden="false" customHeight="false" outlineLevel="0" collapsed="false">
      <c r="A15359" s="3" t="s">
        <v>431</v>
      </c>
      <c r="G15359" s="22" t="n">
        <f aca="false">IF(G15357=0,0,G15358/ABS(G15357))</f>
        <v>-0.143336694254067</v>
      </c>
      <c r="H15359" s="22" t="n">
        <f aca="false">IF(H15357=0,0,H15358/ABS(H15357))</f>
        <v>-0.405186383732927</v>
      </c>
      <c r="I15359" s="22" t="n">
        <f aca="false">IF(I15357=0,0,I15358/ABS(I15357))</f>
        <v>-0.702676032149439</v>
      </c>
      <c r="J15359" s="22" t="n">
        <f aca="false">IF(J15357=0,0,J15358/ABS(J15357))</f>
        <v>-0.924667761864419</v>
      </c>
      <c r="K15359" s="22" t="n">
        <f aca="false">IF(K15357=0,0,K15358/ABS(K15357))</f>
        <v>-1.29116320022324</v>
      </c>
    </row>
    <row r="15360" customFormat="false" ht="15" hidden="false" customHeight="false" outlineLevel="0" collapsed="false">
      <c r="A15360" s="3" t="s">
        <v>432</v>
      </c>
      <c r="G15360" s="21" t="n">
        <f aca="false">IF(G15358&lt;0,1,0)</f>
        <v>1</v>
      </c>
      <c r="H15360" s="21" t="n">
        <f aca="false">IF(H15358&lt;0,1,0)</f>
        <v>1</v>
      </c>
      <c r="I15360" s="21" t="n">
        <f aca="false">IF(I15358&lt;0,1,0)</f>
        <v>1</v>
      </c>
      <c r="J15360" s="21" t="n">
        <f aca="false">IF(J15358&lt;0,1,0)</f>
        <v>1</v>
      </c>
      <c r="K15360" s="21" t="n">
        <f aca="false">IF(K15358&lt;0,1,0)</f>
        <v>1</v>
      </c>
    </row>
    <row r="15361" customFormat="false" ht="15" hidden="false" customHeight="false" outlineLevel="0" collapsed="false">
      <c r="A15361" s="3" t="s">
        <v>433</v>
      </c>
      <c r="C15361" s="21" t="n">
        <f aca="false">IFERROR(INDEX($G$15078:$K$15078,MATCH(1,$G$15360:$K$15360,0)),0)</f>
        <v>2027</v>
      </c>
    </row>
    <row r="15362" customFormat="false" ht="15" hidden="false" customHeight="false" outlineLevel="0" collapsed="false">
      <c r="A15362" s="3" t="s">
        <v>434</v>
      </c>
      <c r="C15362" s="22" t="n">
        <f aca="false">MIN($G$15359:$K$15359)</f>
        <v>-1.29116320022324</v>
      </c>
    </row>
    <row r="15363" customFormat="false" ht="15" hidden="false" customHeight="false" outlineLevel="0" collapsed="false">
      <c r="A15363" s="3" t="s">
        <v>439</v>
      </c>
      <c r="G15363" s="21" t="n">
        <f aca="false">G15328+G15336+G15344+G15352+G15360</f>
        <v>3</v>
      </c>
      <c r="H15363" s="21" t="n">
        <f aca="false">H15328+H15336+H15344+H15352+H15360</f>
        <v>3</v>
      </c>
      <c r="I15363" s="21" t="n">
        <f aca="false">I15328+I15336+I15344+I15352+I15360</f>
        <v>3</v>
      </c>
      <c r="J15363" s="21" t="n">
        <f aca="false">J15328+J15336+J15344+J15352+J15360</f>
        <v>3</v>
      </c>
      <c r="K15363" s="21" t="n">
        <f aca="false">K15328+K15336+K15344+K15352+K15360</f>
        <v>3</v>
      </c>
    </row>
    <row r="15364" customFormat="false" ht="15" hidden="false" customHeight="false" outlineLevel="0" collapsed="false">
      <c r="A15364" s="3" t="s">
        <v>440</v>
      </c>
      <c r="C15364" s="21" t="n">
        <f aca="false">SUM($G$15363:$K$15363)</f>
        <v>15</v>
      </c>
    </row>
    <row r="15365" customFormat="false" ht="15" hidden="false" customHeight="false" outlineLevel="0" collapsed="false">
      <c r="A15365" s="3" t="s">
        <v>441</v>
      </c>
      <c r="C15365" s="22" t="n">
        <f aca="false">MIN(C15330,C15338,C15346,C15354,C15362)</f>
        <v>-1.29116320022324</v>
      </c>
    </row>
    <row r="15367" customFormat="false" ht="15" hidden="false" customHeight="false" outlineLevel="0" collapsed="false">
      <c r="A15367" s="24" t="s">
        <v>543</v>
      </c>
      <c r="B15367" s="25"/>
      <c r="C15367" s="25"/>
      <c r="D15367" s="25"/>
      <c r="E15367" s="25"/>
      <c r="F15367" s="25"/>
      <c r="G15367" s="25"/>
      <c r="H15367" s="25"/>
      <c r="I15367" s="25"/>
      <c r="J15367" s="25"/>
      <c r="K15367" s="25"/>
    </row>
    <row r="15368" customFormat="false" ht="15" hidden="false" customHeight="false" outlineLevel="0" collapsed="false">
      <c r="A15368" s="3" t="s">
        <v>544</v>
      </c>
      <c r="G15368" s="21" t="n">
        <f aca="false">IF($C$15369=1,G15305,IF(G15088=MIN($G$15088:$K$15088),1,0))</f>
        <v>0</v>
      </c>
      <c r="H15368" s="21" t="n">
        <f aca="false">IF($C$15369=1,H15305,IF(AND(H15088=MIN($G$15088:$K$15088),SUM($G$15368:G15368)=0),1,0))</f>
        <v>1</v>
      </c>
      <c r="I15368" s="21" t="n">
        <f aca="false">IF($C$15369=1,I15305,IF(AND(I15088=MIN($G$15088:$K$15088),SUM($G$15368:H15368)=0),1,0))</f>
        <v>0</v>
      </c>
      <c r="J15368" s="21" t="n">
        <f aca="false">IF($C$15369=1,J15305,IF(AND(J15088=MIN($G$15088:$K$15088),SUM($G$15368:I15368)=0),1,0))</f>
        <v>0</v>
      </c>
      <c r="K15368" s="21" t="n">
        <f aca="false">IF($C$15369=1,K15305,IF(AND(K15088=MIN($G$15088:$K$15088),SUM($G$15368:J15368)=0),1,0))</f>
        <v>0</v>
      </c>
    </row>
    <row r="15369" customFormat="false" ht="15" hidden="false" customHeight="false" outlineLevel="0" collapsed="false">
      <c r="A15369" s="3" t="s">
        <v>545</v>
      </c>
      <c r="C15369" s="21" t="n">
        <f aca="false">IF(SUM($G$15305:$K$15305)&gt;0,1,0)</f>
        <v>1</v>
      </c>
    </row>
    <row r="15370" customFormat="false" ht="15" hidden="false" customHeight="false" outlineLevel="0" collapsed="false">
      <c r="A15370" s="3" t="s">
        <v>546</v>
      </c>
      <c r="C15370" s="21" t="n">
        <f aca="false">SUMPRODUCT($G$15368:$K$15368,$G$15078:$K$15078)</f>
        <v>2028</v>
      </c>
    </row>
    <row r="15371" customFormat="false" ht="15" hidden="false" customHeight="false" outlineLevel="0" collapsed="false">
      <c r="A15371" s="3" t="s">
        <v>547</v>
      </c>
      <c r="C15371" s="16" t="n">
        <f aca="false">SUMPRODUCT($G$15368:$K$15368,$G$15088:$K$15088)</f>
        <v>176.613265458</v>
      </c>
    </row>
    <row r="15372" customFormat="false" ht="15" hidden="false" customHeight="false" outlineLevel="0" collapsed="false">
      <c r="A15372" s="3" t="s">
        <v>548</v>
      </c>
      <c r="C15372" s="16" t="n">
        <f aca="false">MAX(0,SUMPRODUCT($G$15368:$K$15368,$G$15302:$K$15302))</f>
        <v>0</v>
      </c>
    </row>
    <row r="15373" customFormat="false" ht="15" hidden="false" customHeight="false" outlineLevel="0" collapsed="false">
      <c r="A15373" s="3" t="s">
        <v>549</v>
      </c>
      <c r="C15373" s="16" t="n">
        <f aca="false">(CHOOSE($C$15071,Assumptions!$C$92,Assumptions!$C$111,Assumptions!$C$130)+$C$15075)*C15371</f>
        <v>1589.519389122</v>
      </c>
    </row>
    <row r="15374" customFormat="false" ht="15" hidden="false" customHeight="false" outlineLevel="0" collapsed="false">
      <c r="A15374" s="3" t="s">
        <v>550</v>
      </c>
      <c r="C15374" s="16" t="n">
        <f aca="false">Assumptions!$C$31*(1-CHOOSE($C$15071,Assumptions!$C$93,Assumptions!$C$112,Assumptions!$C$131))*CHOOSE($C$15071,Assumptions!$C$94,Assumptions!$C$113,Assumptions!$C$132)</f>
        <v>3264.03873166667</v>
      </c>
    </row>
    <row r="15375" customFormat="false" ht="15" hidden="false" customHeight="false" outlineLevel="0" collapsed="false">
      <c r="A15375" s="3" t="s">
        <v>551</v>
      </c>
      <c r="C15375" s="16" t="n">
        <f aca="false">MAX(C15373,C15374)+C15372</f>
        <v>3264.03873166667</v>
      </c>
    </row>
    <row r="15376" customFormat="false" ht="15" hidden="false" customHeight="false" outlineLevel="0" collapsed="false">
      <c r="A15376" s="2" t="s">
        <v>552</v>
      </c>
      <c r="C15376" s="17" t="n">
        <f aca="false">IF(ISNUMBER(Assumptions!$C$14),Assumptions!$C$14,C15375)</f>
        <v>3264.03873166667</v>
      </c>
    </row>
    <row r="15377" customFormat="false" ht="15" hidden="false" customHeight="false" outlineLevel="0" collapsed="false">
      <c r="A15377" s="3" t="s">
        <v>553</v>
      </c>
      <c r="C15377" s="16" t="n">
        <f aca="false">C15376*Assumptions!$C$15</f>
        <v>130.561549266667</v>
      </c>
    </row>
    <row r="15378" customFormat="false" ht="15" hidden="false" customHeight="false" outlineLevel="0" collapsed="false">
      <c r="A15378" s="2" t="s">
        <v>554</v>
      </c>
      <c r="C15378" s="17" t="n">
        <f aca="false">C15376-C15377</f>
        <v>3133.4771824</v>
      </c>
    </row>
    <row r="15379" customFormat="false" ht="15" hidden="false" customHeight="false" outlineLevel="0" collapsed="false">
      <c r="A15379" s="24" t="s">
        <v>555</v>
      </c>
      <c r="B15379" s="25"/>
      <c r="C15379" s="25"/>
      <c r="D15379" s="25"/>
      <c r="E15379" s="25"/>
      <c r="F15379" s="25"/>
      <c r="G15379" s="25"/>
      <c r="H15379" s="25"/>
      <c r="I15379" s="25"/>
      <c r="J15379" s="25"/>
      <c r="K15379" s="25"/>
    </row>
    <row r="15380" customFormat="false" ht="15" hidden="false" customHeight="false" outlineLevel="0" collapsed="false">
      <c r="A15380" s="3" t="s">
        <v>556</v>
      </c>
      <c r="C15380" s="16" t="n">
        <f aca="false">SUMPRODUCT($G$15368:$K$15368,$G$15125:$K$15125)*(1+SUMPRODUCT($G$15368:$K$15368,$G$15117:$K$15117)*Assumptions!$C$16/12)</f>
        <v>402.29</v>
      </c>
    </row>
    <row r="15381" customFormat="false" ht="15" hidden="false" customHeight="false" outlineLevel="0" collapsed="false">
      <c r="A15381" s="3" t="s">
        <v>557</v>
      </c>
      <c r="C15381" s="16" t="n">
        <f aca="false">SUMPRODUCT($G$15368:$K$15368,$G$15138:$K$15138)*(1+SUMPRODUCT($G$15368:$K$15368,$G$15130:$K$15130)*Assumptions!$C$16/12)</f>
        <v>91.30725</v>
      </c>
    </row>
    <row r="15382" customFormat="false" ht="15" hidden="false" customHeight="false" outlineLevel="0" collapsed="false">
      <c r="A15382" s="3" t="s">
        <v>558</v>
      </c>
      <c r="C15382" s="16" t="n">
        <f aca="false">SUMPRODUCT($G$15368:$K$15368,$G$15151:$K$15151)*(1+SUMPRODUCT($G$15368:$K$15368,$G$15143:$K$15143)*Assumptions!$C$16/12)</f>
        <v>58.3715961</v>
      </c>
    </row>
    <row r="15383" customFormat="false" ht="15" hidden="false" customHeight="false" outlineLevel="0" collapsed="false">
      <c r="A15383" s="3" t="s">
        <v>559</v>
      </c>
      <c r="C15383" s="16" t="n">
        <f aca="false">SUMPRODUCT($G$15368:$K$15368,$G$15164:$K$15164)*(1+SUMPRODUCT($G$15368:$K$15368,$G$15156:$K$15156)*Assumptions!$C$16/12)</f>
        <v>0</v>
      </c>
    </row>
    <row r="15384" customFormat="false" ht="15" hidden="false" customHeight="false" outlineLevel="0" collapsed="false">
      <c r="A15384" s="3" t="s">
        <v>560</v>
      </c>
      <c r="C15384" s="16" t="n">
        <f aca="false">SUMPRODUCT($G$15368:$K$15368,$G$15177:$K$15177)*(1+SUMPRODUCT($G$15368:$K$15368,$G$15169:$K$15169)*Assumptions!$C$16/12)</f>
        <v>442.223086991362</v>
      </c>
    </row>
    <row r="15385" customFormat="false" ht="15" hidden="false" customHeight="false" outlineLevel="0" collapsed="false">
      <c r="A15385" s="3" t="s">
        <v>561</v>
      </c>
      <c r="C15385" s="16" t="n">
        <f aca="false">SUMPRODUCT($G$15368:$K$15368,$G$15190:$K$15190)*(1+SUMPRODUCT($G$15368:$K$15368,$G$15182:$K$15182)*Assumptions!$C$16/12)</f>
        <v>357.2625</v>
      </c>
    </row>
    <row r="15386" customFormat="false" ht="15" hidden="false" customHeight="false" outlineLevel="0" collapsed="false">
      <c r="A15386" s="3" t="s">
        <v>562</v>
      </c>
      <c r="C15386" s="16" t="n">
        <f aca="false">SUMPRODUCT($G$15368:$K$15368,$G$15203:$K$15203)*(1+SUMPRODUCT($G$15368:$K$15368,$G$15195:$K$15195)*Assumptions!$C$16/12)</f>
        <v>562.203125</v>
      </c>
    </row>
    <row r="15387" customFormat="false" ht="15" hidden="false" customHeight="false" outlineLevel="0" collapsed="false">
      <c r="A15387" s="3" t="s">
        <v>563</v>
      </c>
      <c r="C15387" s="16" t="n">
        <f aca="false">SUMPRODUCT($G$15368:$K$15368,$G$15216:$K$15216)*(1+SUMPRODUCT($G$15368:$K$15368,$G$15208:$K$15208)*Assumptions!$C$16/12)</f>
        <v>353.98125</v>
      </c>
    </row>
    <row r="15388" customFormat="false" ht="15" hidden="false" customHeight="false" outlineLevel="0" collapsed="false">
      <c r="A15388" s="3" t="s">
        <v>564</v>
      </c>
      <c r="C15388" s="16" t="n">
        <f aca="false">SUMPRODUCT($G$15368:$K$15368,$G$15229:$K$15229)*(1+SUMPRODUCT($G$15368:$K$15368,$G$15221:$K$15221)*Assumptions!$C$16/12)</f>
        <v>304.59375</v>
      </c>
    </row>
    <row r="15389" customFormat="false" ht="15" hidden="false" customHeight="false" outlineLevel="0" collapsed="false">
      <c r="A15389" s="3" t="s">
        <v>565</v>
      </c>
      <c r="C15389" s="16" t="n">
        <f aca="false">SUMPRODUCT($G$15368:$K$15368,$G$15242:$K$15242)*(1+SUMPRODUCT($G$15368:$K$15368,$G$15234:$K$15234)*Assumptions!$C$16/12)</f>
        <v>79.938509</v>
      </c>
    </row>
    <row r="15390" customFormat="false" ht="15" hidden="false" customHeight="false" outlineLevel="0" collapsed="false">
      <c r="A15390" s="24" t="s">
        <v>566</v>
      </c>
      <c r="B15390" s="25"/>
      <c r="C15390" s="25"/>
      <c r="D15390" s="25"/>
      <c r="E15390" s="25"/>
      <c r="F15390" s="25"/>
      <c r="G15390" s="25"/>
      <c r="H15390" s="25"/>
      <c r="I15390" s="25"/>
      <c r="J15390" s="25"/>
      <c r="K15390" s="25"/>
    </row>
    <row r="15391" customFormat="false" ht="15" hidden="false" customHeight="false" outlineLevel="0" collapsed="false">
      <c r="A15391" s="3" t="s">
        <v>556</v>
      </c>
      <c r="C15391" s="27" t="n">
        <f aca="false">Assumptions!$M$57</f>
        <v>1</v>
      </c>
    </row>
    <row r="15392" customFormat="false" ht="15" hidden="false" customHeight="false" outlineLevel="0" collapsed="false">
      <c r="A15392" s="3" t="s">
        <v>557</v>
      </c>
      <c r="C15392" s="27" t="n">
        <f aca="false">Assumptions!$M$58</f>
        <v>1</v>
      </c>
    </row>
    <row r="15393" customFormat="false" ht="15" hidden="false" customHeight="false" outlineLevel="0" collapsed="false">
      <c r="A15393" s="3" t="s">
        <v>558</v>
      </c>
      <c r="C15393" s="27" t="n">
        <f aca="false">Assumptions!$M$59</f>
        <v>1</v>
      </c>
    </row>
    <row r="15394" customFormat="false" ht="15" hidden="false" customHeight="false" outlineLevel="0" collapsed="false">
      <c r="A15394" s="3" t="s">
        <v>559</v>
      </c>
      <c r="C15394" s="27" t="n">
        <f aca="false">Assumptions!$M$60</f>
        <v>2</v>
      </c>
    </row>
    <row r="15395" customFormat="false" ht="15" hidden="false" customHeight="false" outlineLevel="0" collapsed="false">
      <c r="A15395" s="3" t="s">
        <v>560</v>
      </c>
      <c r="C15395" s="27" t="n">
        <f aca="false">Assumptions!$M$61</f>
        <v>2</v>
      </c>
    </row>
    <row r="15396" customFormat="false" ht="15" hidden="false" customHeight="false" outlineLevel="0" collapsed="false">
      <c r="A15396" s="3" t="s">
        <v>561</v>
      </c>
      <c r="C15396" s="27" t="n">
        <f aca="false">Assumptions!$M$62</f>
        <v>2</v>
      </c>
    </row>
    <row r="15397" customFormat="false" ht="15" hidden="false" customHeight="false" outlineLevel="0" collapsed="false">
      <c r="A15397" s="3" t="s">
        <v>562</v>
      </c>
      <c r="C15397" s="27" t="n">
        <f aca="false">Assumptions!$M$63</f>
        <v>2</v>
      </c>
    </row>
    <row r="15398" customFormat="false" ht="15" hidden="false" customHeight="false" outlineLevel="0" collapsed="false">
      <c r="A15398" s="3" t="s">
        <v>563</v>
      </c>
      <c r="C15398" s="27" t="n">
        <f aca="false">Assumptions!$M$64</f>
        <v>2</v>
      </c>
    </row>
    <row r="15399" customFormat="false" ht="15" hidden="false" customHeight="false" outlineLevel="0" collapsed="false">
      <c r="A15399" s="3" t="s">
        <v>564</v>
      </c>
      <c r="C15399" s="27" t="n">
        <f aca="false">Assumptions!$M$65</f>
        <v>2</v>
      </c>
    </row>
    <row r="15400" customFormat="false" ht="15" hidden="false" customHeight="false" outlineLevel="0" collapsed="false">
      <c r="A15400" s="3" t="s">
        <v>565</v>
      </c>
      <c r="C15400" s="27" t="n">
        <f aca="false">Assumptions!$M$66</f>
        <v>3</v>
      </c>
    </row>
    <row r="15401" customFormat="false" ht="15" hidden="false" customHeight="false" outlineLevel="0" collapsed="false">
      <c r="A15401" s="24" t="s">
        <v>567</v>
      </c>
      <c r="B15401" s="25"/>
      <c r="C15401" s="25"/>
      <c r="D15401" s="25"/>
      <c r="E15401" s="25"/>
      <c r="F15401" s="25"/>
      <c r="G15401" s="25"/>
      <c r="H15401" s="25"/>
      <c r="I15401" s="25"/>
      <c r="J15401" s="25"/>
      <c r="K15401" s="25"/>
    </row>
    <row r="15402" customFormat="false" ht="15" hidden="false" customHeight="false" outlineLevel="0" collapsed="false">
      <c r="A15402" s="3" t="s">
        <v>556</v>
      </c>
      <c r="C15402" s="33" t="n">
        <f aca="false">Assumptions!$Q$57</f>
        <v>0.3</v>
      </c>
    </row>
    <row r="15403" customFormat="false" ht="15" hidden="false" customHeight="false" outlineLevel="0" collapsed="false">
      <c r="A15403" s="3" t="s">
        <v>557</v>
      </c>
      <c r="C15403" s="33" t="n">
        <f aca="false">Assumptions!$Q$58</f>
        <v>0.033</v>
      </c>
    </row>
    <row r="15404" customFormat="false" ht="15" hidden="false" customHeight="false" outlineLevel="0" collapsed="false">
      <c r="A15404" s="3" t="s">
        <v>558</v>
      </c>
      <c r="C15404" s="33" t="n">
        <f aca="false">Assumptions!$Q$59</f>
        <v>0.021</v>
      </c>
    </row>
    <row r="15405" customFormat="false" ht="15" hidden="false" customHeight="false" outlineLevel="0" collapsed="false">
      <c r="A15405" s="3" t="s">
        <v>559</v>
      </c>
      <c r="C15405" s="33" t="n">
        <f aca="false">Assumptions!$Q$60</f>
        <v>0</v>
      </c>
    </row>
    <row r="15406" customFormat="false" ht="15" hidden="false" customHeight="false" outlineLevel="0" collapsed="false">
      <c r="A15406" s="3" t="s">
        <v>560</v>
      </c>
      <c r="C15406" s="33" t="n">
        <f aca="false">Assumptions!$Q$61</f>
        <v>0</v>
      </c>
    </row>
    <row r="15407" customFormat="false" ht="15" hidden="false" customHeight="false" outlineLevel="0" collapsed="false">
      <c r="A15407" s="3" t="s">
        <v>561</v>
      </c>
      <c r="C15407" s="33" t="n">
        <f aca="false">Assumptions!$Q$62</f>
        <v>0</v>
      </c>
    </row>
    <row r="15408" customFormat="false" ht="15" hidden="false" customHeight="false" outlineLevel="0" collapsed="false">
      <c r="A15408" s="3" t="s">
        <v>562</v>
      </c>
      <c r="C15408" s="33" t="n">
        <f aca="false">Assumptions!$Q$63</f>
        <v>0</v>
      </c>
    </row>
    <row r="15409" customFormat="false" ht="15" hidden="false" customHeight="false" outlineLevel="0" collapsed="false">
      <c r="A15409" s="3" t="s">
        <v>563</v>
      </c>
      <c r="C15409" s="33" t="n">
        <f aca="false">Assumptions!$Q$64</f>
        <v>0</v>
      </c>
    </row>
    <row r="15410" customFormat="false" ht="15" hidden="false" customHeight="false" outlineLevel="0" collapsed="false">
      <c r="A15410" s="3" t="s">
        <v>564</v>
      </c>
      <c r="C15410" s="33" t="n">
        <f aca="false">Assumptions!$Q$65</f>
        <v>0</v>
      </c>
    </row>
    <row r="15411" customFormat="false" ht="15" hidden="false" customHeight="false" outlineLevel="0" collapsed="false">
      <c r="A15411" s="3" t="s">
        <v>565</v>
      </c>
      <c r="C15411" s="33" t="n">
        <f aca="false">Assumptions!$Q$66</f>
        <v>0</v>
      </c>
    </row>
    <row r="15412" customFormat="false" ht="15" hidden="false" customHeight="false" outlineLevel="0" collapsed="false">
      <c r="A15412" s="24" t="s">
        <v>568</v>
      </c>
      <c r="B15412" s="25"/>
      <c r="C15412" s="25"/>
      <c r="D15412" s="25"/>
      <c r="E15412" s="25"/>
      <c r="F15412" s="25"/>
      <c r="G15412" s="25"/>
      <c r="H15412" s="25"/>
      <c r="I15412" s="25"/>
      <c r="J15412" s="25"/>
      <c r="K15412" s="25"/>
    </row>
    <row r="15413" customFormat="false" ht="15" hidden="false" customHeight="false" outlineLevel="0" collapsed="false">
      <c r="A15413" s="3" t="s">
        <v>556</v>
      </c>
      <c r="C15413" s="16" t="n">
        <f aca="false">IF(C15402&gt;0,MIN(C15380,C15402*$C$15378),0)</f>
        <v>402.29</v>
      </c>
    </row>
    <row r="15414" customFormat="false" ht="15" hidden="false" customHeight="false" outlineLevel="0" collapsed="false">
      <c r="A15414" s="3" t="s">
        <v>557</v>
      </c>
      <c r="C15414" s="16" t="n">
        <f aca="false">IF(C15403&gt;0,MIN(C15381,C15403*$C$15378),0)</f>
        <v>91.30725</v>
      </c>
    </row>
    <row r="15415" customFormat="false" ht="15" hidden="false" customHeight="false" outlineLevel="0" collapsed="false">
      <c r="A15415" s="3" t="s">
        <v>558</v>
      </c>
      <c r="C15415" s="16" t="n">
        <f aca="false">IF(C15404&gt;0,MIN(C15382,C15404*$C$15378),0)</f>
        <v>58.3715961</v>
      </c>
    </row>
    <row r="15416" customFormat="false" ht="15" hidden="false" customHeight="false" outlineLevel="0" collapsed="false">
      <c r="A15416" s="3" t="s">
        <v>559</v>
      </c>
      <c r="C15416" s="16" t="n">
        <f aca="false">IF(C15405&gt;0,MIN(C15383,C15405*$C$15378),0)</f>
        <v>0</v>
      </c>
    </row>
    <row r="15417" customFormat="false" ht="15" hidden="false" customHeight="false" outlineLevel="0" collapsed="false">
      <c r="A15417" s="3" t="s">
        <v>560</v>
      </c>
      <c r="C15417" s="16" t="n">
        <f aca="false">IF(C15406&gt;0,MIN(C15384,C15406*$C$15378),0)</f>
        <v>0</v>
      </c>
    </row>
    <row r="15418" customFormat="false" ht="15" hidden="false" customHeight="false" outlineLevel="0" collapsed="false">
      <c r="A15418" s="3" t="s">
        <v>561</v>
      </c>
      <c r="C15418" s="16" t="n">
        <f aca="false">IF(C15407&gt;0,MIN(C15385,C15407*$C$15378),0)</f>
        <v>0</v>
      </c>
    </row>
    <row r="15419" customFormat="false" ht="15" hidden="false" customHeight="false" outlineLevel="0" collapsed="false">
      <c r="A15419" s="3" t="s">
        <v>562</v>
      </c>
      <c r="C15419" s="16" t="n">
        <f aca="false">IF(C15408&gt;0,MIN(C15386,C15408*$C$15378),0)</f>
        <v>0</v>
      </c>
    </row>
    <row r="15420" customFormat="false" ht="15" hidden="false" customHeight="false" outlineLevel="0" collapsed="false">
      <c r="A15420" s="3" t="s">
        <v>563</v>
      </c>
      <c r="C15420" s="16" t="n">
        <f aca="false">IF(C15409&gt;0,MIN(C15387,C15409*$C$15378),0)</f>
        <v>0</v>
      </c>
    </row>
    <row r="15421" customFormat="false" ht="15" hidden="false" customHeight="false" outlineLevel="0" collapsed="false">
      <c r="A15421" s="3" t="s">
        <v>564</v>
      </c>
      <c r="C15421" s="16" t="n">
        <f aca="false">IF(C15410&gt;0,MIN(C15388,C15410*$C$15378),0)</f>
        <v>0</v>
      </c>
    </row>
    <row r="15422" customFormat="false" ht="15" hidden="false" customHeight="false" outlineLevel="0" collapsed="false">
      <c r="A15422" s="3" t="s">
        <v>565</v>
      </c>
      <c r="C15422" s="16" t="n">
        <f aca="false">IF(C15411&gt;0,MIN(C15389,C15411*$C$15378),0)</f>
        <v>0</v>
      </c>
    </row>
    <row r="15423" customFormat="false" ht="15" hidden="false" customHeight="false" outlineLevel="0" collapsed="false">
      <c r="A15423" s="24" t="s">
        <v>569</v>
      </c>
      <c r="B15423" s="25"/>
      <c r="C15423" s="25"/>
      <c r="D15423" s="25"/>
      <c r="E15423" s="25"/>
      <c r="F15423" s="25"/>
      <c r="G15423" s="25"/>
      <c r="H15423" s="25"/>
      <c r="I15423" s="25"/>
      <c r="J15423" s="25"/>
      <c r="K15423" s="25"/>
    </row>
    <row r="15424" customFormat="false" ht="15" hidden="false" customHeight="false" outlineLevel="0" collapsed="false">
      <c r="A15424" s="3" t="s">
        <v>556</v>
      </c>
      <c r="C15424" s="16" t="n">
        <f aca="false">IF(C15402&gt;0,C15380-C15413,0)</f>
        <v>0</v>
      </c>
      <c r="G15424" s="21" t="n">
        <f aca="false">IF(AND(G15115=1,G15112=1),1,0)</f>
        <v>0</v>
      </c>
      <c r="H15424" s="21" t="n">
        <f aca="false">IF(G15424=1,1,IF(AND(H15115=1,H15112=1),1,0))</f>
        <v>0</v>
      </c>
      <c r="I15424" s="21" t="n">
        <f aca="false">IF(H15424=1,1,IF(AND(I15115=1,I15112=1),1,0))</f>
        <v>0</v>
      </c>
      <c r="J15424" s="21" t="n">
        <f aca="false">IF(I15424=1,1,IF(AND(J15115=1,J15112=1),1,0))</f>
        <v>0</v>
      </c>
      <c r="K15424" s="21" t="n">
        <f aca="false">IF(J15424=1,1,IF(AND(K15115=1,K15112=1),1,0))</f>
        <v>0</v>
      </c>
    </row>
    <row r="15425" customFormat="false" ht="15" hidden="false" customHeight="false" outlineLevel="0" collapsed="false">
      <c r="A15425" s="3" t="s">
        <v>557</v>
      </c>
      <c r="C15425" s="16" t="n">
        <f aca="false">IF(C15403&gt;0,C15381-C15414,0)</f>
        <v>0</v>
      </c>
      <c r="G15425" s="21" t="n">
        <f aca="false">IF(AND(G15128=1,G15112=1),1,0)</f>
        <v>0</v>
      </c>
      <c r="H15425" s="21" t="n">
        <f aca="false">IF(G15425=1,1,IF(AND(H15128=1,H15112=1),1,0))</f>
        <v>0</v>
      </c>
      <c r="I15425" s="21" t="n">
        <f aca="false">IF(H15425=1,1,IF(AND(I15128=1,I15112=1),1,0))</f>
        <v>0</v>
      </c>
      <c r="J15425" s="21" t="n">
        <f aca="false">IF(I15425=1,1,IF(AND(J15128=1,J15112=1),1,0))</f>
        <v>0</v>
      </c>
      <c r="K15425" s="21" t="n">
        <f aca="false">IF(J15425=1,1,IF(AND(K15128=1,K15112=1),1,0))</f>
        <v>0</v>
      </c>
    </row>
    <row r="15426" customFormat="false" ht="15" hidden="false" customHeight="false" outlineLevel="0" collapsed="false">
      <c r="A15426" s="3" t="s">
        <v>558</v>
      </c>
      <c r="C15426" s="16" t="n">
        <f aca="false">IF(C15404&gt;0,C15382-C15415,0)</f>
        <v>0</v>
      </c>
      <c r="G15426" s="21" t="n">
        <f aca="false">IF(AND(G15141=1,G15112=1),1,0)</f>
        <v>0</v>
      </c>
      <c r="H15426" s="21" t="n">
        <f aca="false">IF(G15426=1,1,IF(AND(H15141=1,H15112=1),1,0))</f>
        <v>0</v>
      </c>
      <c r="I15426" s="21" t="n">
        <f aca="false">IF(H15426=1,1,IF(AND(I15141=1,I15112=1),1,0))</f>
        <v>0</v>
      </c>
      <c r="J15426" s="21" t="n">
        <f aca="false">IF(I15426=1,1,IF(AND(J15141=1,J15112=1),1,0))</f>
        <v>0</v>
      </c>
      <c r="K15426" s="21" t="n">
        <f aca="false">IF(J15426=1,1,IF(AND(K15141=1,K15112=1),1,0))</f>
        <v>0</v>
      </c>
    </row>
    <row r="15427" customFormat="false" ht="15" hidden="false" customHeight="false" outlineLevel="0" collapsed="false">
      <c r="A15427" s="3" t="s">
        <v>559</v>
      </c>
      <c r="C15427" s="16" t="n">
        <f aca="false">IF(C15405&gt;0,C15383-C15416,0)</f>
        <v>0</v>
      </c>
      <c r="G15427" s="21" t="n">
        <f aca="false">IF(AND(G15154=1,G15112=1),1,0)</f>
        <v>0</v>
      </c>
      <c r="H15427" s="21" t="n">
        <f aca="false">IF(G15427=1,1,IF(AND(H15154=1,H15112=1),1,0))</f>
        <v>0</v>
      </c>
      <c r="I15427" s="21" t="n">
        <f aca="false">IF(H15427=1,1,IF(AND(I15154=1,I15112=1),1,0))</f>
        <v>0</v>
      </c>
      <c r="J15427" s="21" t="n">
        <f aca="false">IF(I15427=1,1,IF(AND(J15154=1,J15112=1),1,0))</f>
        <v>0</v>
      </c>
      <c r="K15427" s="21" t="n">
        <f aca="false">IF(J15427=1,1,IF(AND(K15154=1,K15112=1),1,0))</f>
        <v>0</v>
      </c>
    </row>
    <row r="15428" customFormat="false" ht="15" hidden="false" customHeight="false" outlineLevel="0" collapsed="false">
      <c r="A15428" s="3" t="s">
        <v>560</v>
      </c>
      <c r="C15428" s="16" t="n">
        <f aca="false">IF(C15406&gt;0,C15384-C15417,0)</f>
        <v>0</v>
      </c>
      <c r="G15428" s="21" t="n">
        <f aca="false">IF(AND(G15167=1,G15112=1),1,0)</f>
        <v>0</v>
      </c>
      <c r="H15428" s="21" t="n">
        <f aca="false">IF(G15428=1,1,IF(AND(H15167=1,H15112=1),1,0))</f>
        <v>0</v>
      </c>
      <c r="I15428" s="21" t="n">
        <f aca="false">IF(H15428=1,1,IF(AND(I15167=1,I15112=1),1,0))</f>
        <v>0</v>
      </c>
      <c r="J15428" s="21" t="n">
        <f aca="false">IF(I15428=1,1,IF(AND(J15167=1,J15112=1),1,0))</f>
        <v>0</v>
      </c>
      <c r="K15428" s="21" t="n">
        <f aca="false">IF(J15428=1,1,IF(AND(K15167=1,K15112=1),1,0))</f>
        <v>0</v>
      </c>
    </row>
    <row r="15429" customFormat="false" ht="15" hidden="false" customHeight="false" outlineLevel="0" collapsed="false">
      <c r="A15429" s="3" t="s">
        <v>561</v>
      </c>
      <c r="C15429" s="16" t="n">
        <f aca="false">IF(C15407&gt;0,C15385-C15418,0)</f>
        <v>0</v>
      </c>
      <c r="G15429" s="21" t="n">
        <f aca="false">IF(AND(G15180=1,G15112=1),1,0)</f>
        <v>0</v>
      </c>
      <c r="H15429" s="21" t="n">
        <f aca="false">IF(G15429=1,1,IF(AND(H15180=1,H15112=1),1,0))</f>
        <v>0</v>
      </c>
      <c r="I15429" s="21" t="n">
        <f aca="false">IF(H15429=1,1,IF(AND(I15180=1,I15112=1),1,0))</f>
        <v>0</v>
      </c>
      <c r="J15429" s="21" t="n">
        <f aca="false">IF(I15429=1,1,IF(AND(J15180=1,J15112=1),1,0))</f>
        <v>0</v>
      </c>
      <c r="K15429" s="21" t="n">
        <f aca="false">IF(J15429=1,1,IF(AND(K15180=1,K15112=1),1,0))</f>
        <v>0</v>
      </c>
    </row>
    <row r="15430" customFormat="false" ht="15" hidden="false" customHeight="false" outlineLevel="0" collapsed="false">
      <c r="A15430" s="3" t="s">
        <v>562</v>
      </c>
      <c r="C15430" s="16" t="n">
        <f aca="false">IF(C15408&gt;0,C15386-C15419,0)</f>
        <v>0</v>
      </c>
      <c r="G15430" s="21" t="n">
        <f aca="false">IF(AND(G15193=1,G15112=1),1,0)</f>
        <v>0</v>
      </c>
      <c r="H15430" s="21" t="n">
        <f aca="false">IF(G15430=1,1,IF(AND(H15193=1,H15112=1),1,0))</f>
        <v>0</v>
      </c>
      <c r="I15430" s="21" t="n">
        <f aca="false">IF(H15430=1,1,IF(AND(I15193=1,I15112=1),1,0))</f>
        <v>0</v>
      </c>
      <c r="J15430" s="21" t="n">
        <f aca="false">IF(I15430=1,1,IF(AND(J15193=1,J15112=1),1,0))</f>
        <v>0</v>
      </c>
      <c r="K15430" s="21" t="n">
        <f aca="false">IF(J15430=1,1,IF(AND(K15193=1,K15112=1),1,0))</f>
        <v>0</v>
      </c>
    </row>
    <row r="15431" customFormat="false" ht="15" hidden="false" customHeight="false" outlineLevel="0" collapsed="false">
      <c r="A15431" s="3" t="s">
        <v>563</v>
      </c>
      <c r="C15431" s="16" t="n">
        <f aca="false">IF(C15409&gt;0,C15387-C15420,0)</f>
        <v>0</v>
      </c>
      <c r="G15431" s="21" t="n">
        <f aca="false">IF(AND(G15206=1,G15112=1),1,0)</f>
        <v>0</v>
      </c>
      <c r="H15431" s="21" t="n">
        <f aca="false">IF(G15431=1,1,IF(AND(H15206=1,H15112=1),1,0))</f>
        <v>0</v>
      </c>
      <c r="I15431" s="21" t="n">
        <f aca="false">IF(H15431=1,1,IF(AND(I15206=1,I15112=1),1,0))</f>
        <v>0</v>
      </c>
      <c r="J15431" s="21" t="n">
        <f aca="false">IF(I15431=1,1,IF(AND(J15206=1,J15112=1),1,0))</f>
        <v>0</v>
      </c>
      <c r="K15431" s="21" t="n">
        <f aca="false">IF(J15431=1,1,IF(AND(K15206=1,K15112=1),1,0))</f>
        <v>0</v>
      </c>
    </row>
    <row r="15432" customFormat="false" ht="15" hidden="false" customHeight="false" outlineLevel="0" collapsed="false">
      <c r="A15432" s="3" t="s">
        <v>564</v>
      </c>
      <c r="C15432" s="16" t="n">
        <f aca="false">IF(C15410&gt;0,C15388-C15421,0)</f>
        <v>0</v>
      </c>
      <c r="G15432" s="21" t="n">
        <f aca="false">IF(AND(G15219=1,G15112=1),1,0)</f>
        <v>0</v>
      </c>
      <c r="H15432" s="21" t="n">
        <f aca="false">IF(G15432=1,1,IF(AND(H15219=1,H15112=1),1,0))</f>
        <v>0</v>
      </c>
      <c r="I15432" s="21" t="n">
        <f aca="false">IF(H15432=1,1,IF(AND(I15219=1,I15112=1),1,0))</f>
        <v>0</v>
      </c>
      <c r="J15432" s="21" t="n">
        <f aca="false">IF(I15432=1,1,IF(AND(J15219=1,J15112=1),1,0))</f>
        <v>0</v>
      </c>
      <c r="K15432" s="21" t="n">
        <f aca="false">IF(J15432=1,1,IF(AND(K15219=1,K15112=1),1,0))</f>
        <v>0</v>
      </c>
    </row>
    <row r="15433" customFormat="false" ht="15" hidden="false" customHeight="false" outlineLevel="0" collapsed="false">
      <c r="A15433" s="3" t="s">
        <v>565</v>
      </c>
      <c r="C15433" s="16" t="n">
        <f aca="false">IF(C15411&gt;0,C15389-C15422,0)</f>
        <v>0</v>
      </c>
      <c r="G15433" s="21" t="n">
        <f aca="false">IF(AND(G15232=1,G15112=1),1,0)</f>
        <v>0</v>
      </c>
      <c r="H15433" s="21" t="n">
        <f aca="false">IF(G15433=1,1,IF(AND(H15232=1,H15112=1),1,0))</f>
        <v>0</v>
      </c>
      <c r="I15433" s="21" t="n">
        <f aca="false">IF(H15433=1,1,IF(AND(I15232=1,I15112=1),1,0))</f>
        <v>0</v>
      </c>
      <c r="J15433" s="21" t="n">
        <f aca="false">IF(I15433=1,1,IF(AND(J15232=1,J15112=1),1,0))</f>
        <v>0</v>
      </c>
      <c r="K15433" s="21" t="n">
        <f aca="false">IF(J15433=1,1,IF(AND(K15232=1,K15112=1),1,0))</f>
        <v>0</v>
      </c>
    </row>
    <row r="15434" customFormat="false" ht="15" hidden="false" customHeight="false" outlineLevel="0" collapsed="false">
      <c r="A15434" s="24" t="s">
        <v>570</v>
      </c>
      <c r="B15434" s="25"/>
      <c r="C15434" s="25"/>
      <c r="D15434" s="25"/>
      <c r="E15434" s="25"/>
      <c r="F15434" s="25"/>
      <c r="G15434" s="25"/>
      <c r="H15434" s="25"/>
      <c r="I15434" s="25"/>
      <c r="J15434" s="25"/>
      <c r="K15434" s="25"/>
    </row>
    <row r="15435" customFormat="false" ht="15" hidden="false" customHeight="false" outlineLevel="0" collapsed="false">
      <c r="A15435" s="3" t="s">
        <v>556</v>
      </c>
      <c r="C15435" s="16" t="n">
        <f aca="false">IF(C15402&gt;0,C15424,C15380)</f>
        <v>0</v>
      </c>
    </row>
    <row r="15436" customFormat="false" ht="15" hidden="false" customHeight="false" outlineLevel="0" collapsed="false">
      <c r="A15436" s="3" t="s">
        <v>557</v>
      </c>
      <c r="C15436" s="16" t="n">
        <f aca="false">IF(C15403&gt;0,C15425,C15381)</f>
        <v>0</v>
      </c>
    </row>
    <row r="15437" customFormat="false" ht="15" hidden="false" customHeight="false" outlineLevel="0" collapsed="false">
      <c r="A15437" s="3" t="s">
        <v>558</v>
      </c>
      <c r="C15437" s="16" t="n">
        <f aca="false">IF(C15404&gt;0,C15426,C15382)</f>
        <v>0</v>
      </c>
    </row>
    <row r="15438" customFormat="false" ht="15" hidden="false" customHeight="false" outlineLevel="0" collapsed="false">
      <c r="A15438" s="3" t="s">
        <v>559</v>
      </c>
      <c r="C15438" s="16" t="n">
        <f aca="false">IF(C15405&gt;0,C15427,C15383)</f>
        <v>0</v>
      </c>
    </row>
    <row r="15439" customFormat="false" ht="15" hidden="false" customHeight="false" outlineLevel="0" collapsed="false">
      <c r="A15439" s="3" t="s">
        <v>560</v>
      </c>
      <c r="C15439" s="16" t="n">
        <f aca="false">IF(C15406&gt;0,C15428,C15384)</f>
        <v>442.223086991362</v>
      </c>
    </row>
    <row r="15440" customFormat="false" ht="15" hidden="false" customHeight="false" outlineLevel="0" collapsed="false">
      <c r="A15440" s="3" t="s">
        <v>561</v>
      </c>
      <c r="C15440" s="16" t="n">
        <f aca="false">IF(C15407&gt;0,C15429,C15385)</f>
        <v>357.2625</v>
      </c>
    </row>
    <row r="15441" customFormat="false" ht="15" hidden="false" customHeight="false" outlineLevel="0" collapsed="false">
      <c r="A15441" s="3" t="s">
        <v>562</v>
      </c>
      <c r="C15441" s="16" t="n">
        <f aca="false">IF(C15408&gt;0,C15430,C15386)</f>
        <v>562.203125</v>
      </c>
    </row>
    <row r="15442" customFormat="false" ht="15" hidden="false" customHeight="false" outlineLevel="0" collapsed="false">
      <c r="A15442" s="3" t="s">
        <v>563</v>
      </c>
      <c r="C15442" s="16" t="n">
        <f aca="false">IF(C15409&gt;0,C15431,C15387)</f>
        <v>353.98125</v>
      </c>
    </row>
    <row r="15443" customFormat="false" ht="15" hidden="false" customHeight="false" outlineLevel="0" collapsed="false">
      <c r="A15443" s="3" t="s">
        <v>564</v>
      </c>
      <c r="C15443" s="16" t="n">
        <f aca="false">IF(C15410&gt;0,C15432,C15388)</f>
        <v>304.59375</v>
      </c>
    </row>
    <row r="15444" customFormat="false" ht="15" hidden="false" customHeight="false" outlineLevel="0" collapsed="false">
      <c r="A15444" s="3" t="s">
        <v>565</v>
      </c>
      <c r="C15444" s="16" t="n">
        <f aca="false">IF(C15411&gt;0,C15433,C15389)</f>
        <v>79.938509</v>
      </c>
    </row>
    <row r="15445" customFormat="false" ht="15" hidden="false" customHeight="false" outlineLevel="0" collapsed="false">
      <c r="A15445" s="24" t="s">
        <v>571</v>
      </c>
      <c r="B15445" s="25"/>
      <c r="C15445" s="25"/>
      <c r="D15445" s="25"/>
      <c r="E15445" s="25"/>
      <c r="F15445" s="25"/>
      <c r="G15445" s="25"/>
      <c r="H15445" s="25"/>
      <c r="I15445" s="25"/>
      <c r="J15445" s="25"/>
      <c r="K15445" s="25"/>
    </row>
    <row r="15446" customFormat="false" ht="15" hidden="false" customHeight="false" outlineLevel="0" collapsed="false">
      <c r="A15446" s="3" t="s">
        <v>556</v>
      </c>
      <c r="C15446" s="21" t="n">
        <f aca="false">IF(C15402&gt;0,Assumptions!$C$17,C15391)</f>
        <v>99</v>
      </c>
    </row>
    <row r="15447" customFormat="false" ht="15" hidden="false" customHeight="false" outlineLevel="0" collapsed="false">
      <c r="A15447" s="3" t="s">
        <v>557</v>
      </c>
      <c r="C15447" s="21" t="n">
        <f aca="false">IF(C15403&gt;0,Assumptions!$C$17,C15392)</f>
        <v>99</v>
      </c>
    </row>
    <row r="15448" customFormat="false" ht="15" hidden="false" customHeight="false" outlineLevel="0" collapsed="false">
      <c r="A15448" s="3" t="s">
        <v>558</v>
      </c>
      <c r="C15448" s="21" t="n">
        <f aca="false">IF(C15404&gt;0,Assumptions!$C$17,C15393)</f>
        <v>99</v>
      </c>
    </row>
    <row r="15449" customFormat="false" ht="15" hidden="false" customHeight="false" outlineLevel="0" collapsed="false">
      <c r="A15449" s="3" t="s">
        <v>559</v>
      </c>
      <c r="C15449" s="21" t="n">
        <f aca="false">IF(C15405&gt;0,Assumptions!$C$17,C15394)</f>
        <v>2</v>
      </c>
    </row>
    <row r="15450" customFormat="false" ht="15" hidden="false" customHeight="false" outlineLevel="0" collapsed="false">
      <c r="A15450" s="3" t="s">
        <v>560</v>
      </c>
      <c r="C15450" s="21" t="n">
        <f aca="false">IF(C15406&gt;0,Assumptions!$C$17,C15395)</f>
        <v>2</v>
      </c>
    </row>
    <row r="15451" customFormat="false" ht="15" hidden="false" customHeight="false" outlineLevel="0" collapsed="false">
      <c r="A15451" s="3" t="s">
        <v>561</v>
      </c>
      <c r="C15451" s="21" t="n">
        <f aca="false">IF(C15407&gt;0,Assumptions!$C$17,C15396)</f>
        <v>2</v>
      </c>
    </row>
    <row r="15452" customFormat="false" ht="15" hidden="false" customHeight="false" outlineLevel="0" collapsed="false">
      <c r="A15452" s="3" t="s">
        <v>562</v>
      </c>
      <c r="C15452" s="21" t="n">
        <f aca="false">IF(C15408&gt;0,Assumptions!$C$17,C15397)</f>
        <v>2</v>
      </c>
    </row>
    <row r="15453" customFormat="false" ht="15" hidden="false" customHeight="false" outlineLevel="0" collapsed="false">
      <c r="A15453" s="3" t="s">
        <v>563</v>
      </c>
      <c r="C15453" s="21" t="n">
        <f aca="false">IF(C15409&gt;0,Assumptions!$C$17,C15398)</f>
        <v>2</v>
      </c>
    </row>
    <row r="15454" customFormat="false" ht="15" hidden="false" customHeight="false" outlineLevel="0" collapsed="false">
      <c r="A15454" s="3" t="s">
        <v>564</v>
      </c>
      <c r="C15454" s="21" t="n">
        <f aca="false">IF(C15410&gt;0,Assumptions!$C$17,C15399)</f>
        <v>2</v>
      </c>
    </row>
    <row r="15455" customFormat="false" ht="15" hidden="false" customHeight="false" outlineLevel="0" collapsed="false">
      <c r="A15455" s="3" t="s">
        <v>565</v>
      </c>
      <c r="C15455" s="21" t="n">
        <f aca="false">IF(C15411&gt;0,Assumptions!$C$17,C15400)</f>
        <v>3</v>
      </c>
    </row>
    <row r="15456" customFormat="false" ht="15" hidden="false" customHeight="false" outlineLevel="0" collapsed="false">
      <c r="A15456" s="24" t="s">
        <v>572</v>
      </c>
      <c r="B15456" s="25"/>
      <c r="C15456" s="25"/>
      <c r="D15456" s="25"/>
      <c r="E15456" s="25"/>
      <c r="F15456" s="25"/>
      <c r="G15456" s="25"/>
      <c r="H15456" s="25"/>
      <c r="I15456" s="25"/>
      <c r="J15456" s="25"/>
      <c r="K15456" s="25"/>
    </row>
    <row r="15457" customFormat="false" ht="15" hidden="false" customHeight="false" outlineLevel="0" collapsed="false">
      <c r="A15457" s="3" t="s">
        <v>556</v>
      </c>
      <c r="C15457" s="16" t="n">
        <f aca="false">SUMPRODUCT(($C$15446:$C$15455&lt;C15446)*$C$15435:$C$15444)</f>
        <v>2100.20222099136</v>
      </c>
    </row>
    <row r="15458" customFormat="false" ht="15" hidden="false" customHeight="false" outlineLevel="0" collapsed="false">
      <c r="A15458" s="3" t="s">
        <v>557</v>
      </c>
      <c r="C15458" s="16" t="n">
        <f aca="false">SUMPRODUCT(($C$15446:$C$15455&lt;C15447)*$C$15435:$C$15444)</f>
        <v>2100.20222099136</v>
      </c>
    </row>
    <row r="15459" customFormat="false" ht="15" hidden="false" customHeight="false" outlineLevel="0" collapsed="false">
      <c r="A15459" s="3" t="s">
        <v>558</v>
      </c>
      <c r="C15459" s="16" t="n">
        <f aca="false">SUMPRODUCT(($C$15446:$C$15455&lt;C15448)*$C$15435:$C$15444)</f>
        <v>2100.20222099136</v>
      </c>
    </row>
    <row r="15460" customFormat="false" ht="15" hidden="false" customHeight="false" outlineLevel="0" collapsed="false">
      <c r="A15460" s="3" t="s">
        <v>559</v>
      </c>
      <c r="C15460" s="16" t="n">
        <f aca="false">SUMPRODUCT(($C$15446:$C$15455&lt;C15449)*$C$15435:$C$15444)</f>
        <v>0</v>
      </c>
    </row>
    <row r="15461" customFormat="false" ht="15" hidden="false" customHeight="false" outlineLevel="0" collapsed="false">
      <c r="A15461" s="3" t="s">
        <v>560</v>
      </c>
      <c r="C15461" s="16" t="n">
        <f aca="false">SUMPRODUCT(($C$15446:$C$15455&lt;C15450)*$C$15435:$C$15444)</f>
        <v>0</v>
      </c>
    </row>
    <row r="15462" customFormat="false" ht="15" hidden="false" customHeight="false" outlineLevel="0" collapsed="false">
      <c r="A15462" s="3" t="s">
        <v>561</v>
      </c>
      <c r="C15462" s="16" t="n">
        <f aca="false">SUMPRODUCT(($C$15446:$C$15455&lt;C15451)*$C$15435:$C$15444)</f>
        <v>0</v>
      </c>
    </row>
    <row r="15463" customFormat="false" ht="15" hidden="false" customHeight="false" outlineLevel="0" collapsed="false">
      <c r="A15463" s="3" t="s">
        <v>562</v>
      </c>
      <c r="C15463" s="16" t="n">
        <f aca="false">SUMPRODUCT(($C$15446:$C$15455&lt;C15452)*$C$15435:$C$15444)</f>
        <v>0</v>
      </c>
    </row>
    <row r="15464" customFormat="false" ht="15" hidden="false" customHeight="false" outlineLevel="0" collapsed="false">
      <c r="A15464" s="3" t="s">
        <v>563</v>
      </c>
      <c r="C15464" s="16" t="n">
        <f aca="false">SUMPRODUCT(($C$15446:$C$15455&lt;C15453)*$C$15435:$C$15444)</f>
        <v>0</v>
      </c>
    </row>
    <row r="15465" customFormat="false" ht="15" hidden="false" customHeight="false" outlineLevel="0" collapsed="false">
      <c r="A15465" s="3" t="s">
        <v>564</v>
      </c>
      <c r="C15465" s="16" t="n">
        <f aca="false">SUMPRODUCT(($C$15446:$C$15455&lt;C15454)*$C$15435:$C$15444)</f>
        <v>0</v>
      </c>
    </row>
    <row r="15466" customFormat="false" ht="15" hidden="false" customHeight="false" outlineLevel="0" collapsed="false">
      <c r="A15466" s="3" t="s">
        <v>565</v>
      </c>
      <c r="C15466" s="16" t="n">
        <f aca="false">SUMPRODUCT(($C$15446:$C$15455&lt;C15455)*$C$15435:$C$15444)</f>
        <v>2020.26371199136</v>
      </c>
    </row>
    <row r="15467" customFormat="false" ht="15" hidden="false" customHeight="false" outlineLevel="0" collapsed="false">
      <c r="A15467" s="24" t="s">
        <v>573</v>
      </c>
      <c r="B15467" s="25"/>
      <c r="C15467" s="25"/>
      <c r="D15467" s="25"/>
      <c r="E15467" s="25"/>
      <c r="F15467" s="25"/>
      <c r="G15467" s="25"/>
      <c r="H15467" s="25"/>
      <c r="I15467" s="25"/>
      <c r="J15467" s="25"/>
      <c r="K15467" s="25"/>
    </row>
    <row r="15468" customFormat="false" ht="15" hidden="false" customHeight="false" outlineLevel="0" collapsed="false">
      <c r="A15468" s="3" t="s">
        <v>556</v>
      </c>
      <c r="C15468" s="16" t="n">
        <f aca="false">SUMPRODUCT(($C$15446:$C$15455=C15446)*$C$15435:$C$15444)</f>
        <v>0</v>
      </c>
    </row>
    <row r="15469" customFormat="false" ht="15" hidden="false" customHeight="false" outlineLevel="0" collapsed="false">
      <c r="A15469" s="3" t="s">
        <v>557</v>
      </c>
      <c r="C15469" s="16" t="n">
        <f aca="false">SUMPRODUCT(($C$15446:$C$15455=C15447)*$C$15435:$C$15444)</f>
        <v>0</v>
      </c>
    </row>
    <row r="15470" customFormat="false" ht="15" hidden="false" customHeight="false" outlineLevel="0" collapsed="false">
      <c r="A15470" s="3" t="s">
        <v>558</v>
      </c>
      <c r="C15470" s="16" t="n">
        <f aca="false">SUMPRODUCT(($C$15446:$C$15455=C15448)*$C$15435:$C$15444)</f>
        <v>0</v>
      </c>
    </row>
    <row r="15471" customFormat="false" ht="15" hidden="false" customHeight="false" outlineLevel="0" collapsed="false">
      <c r="A15471" s="3" t="s">
        <v>559</v>
      </c>
      <c r="C15471" s="16" t="n">
        <f aca="false">SUMPRODUCT(($C$15446:$C$15455=C15449)*$C$15435:$C$15444)</f>
        <v>2020.26371199136</v>
      </c>
    </row>
    <row r="15472" customFormat="false" ht="15" hidden="false" customHeight="false" outlineLevel="0" collapsed="false">
      <c r="A15472" s="3" t="s">
        <v>560</v>
      </c>
      <c r="C15472" s="16" t="n">
        <f aca="false">SUMPRODUCT(($C$15446:$C$15455=C15450)*$C$15435:$C$15444)</f>
        <v>2020.26371199136</v>
      </c>
    </row>
    <row r="15473" customFormat="false" ht="15" hidden="false" customHeight="false" outlineLevel="0" collapsed="false">
      <c r="A15473" s="3" t="s">
        <v>561</v>
      </c>
      <c r="C15473" s="16" t="n">
        <f aca="false">SUMPRODUCT(($C$15446:$C$15455=C15451)*$C$15435:$C$15444)</f>
        <v>2020.26371199136</v>
      </c>
    </row>
    <row r="15474" customFormat="false" ht="15" hidden="false" customHeight="false" outlineLevel="0" collapsed="false">
      <c r="A15474" s="3" t="s">
        <v>562</v>
      </c>
      <c r="C15474" s="16" t="n">
        <f aca="false">SUMPRODUCT(($C$15446:$C$15455=C15452)*$C$15435:$C$15444)</f>
        <v>2020.26371199136</v>
      </c>
    </row>
    <row r="15475" customFormat="false" ht="15" hidden="false" customHeight="false" outlineLevel="0" collapsed="false">
      <c r="A15475" s="3" t="s">
        <v>563</v>
      </c>
      <c r="C15475" s="16" t="n">
        <f aca="false">SUMPRODUCT(($C$15446:$C$15455=C15453)*$C$15435:$C$15444)</f>
        <v>2020.26371199136</v>
      </c>
    </row>
    <row r="15476" customFormat="false" ht="15" hidden="false" customHeight="false" outlineLevel="0" collapsed="false">
      <c r="A15476" s="3" t="s">
        <v>564</v>
      </c>
      <c r="C15476" s="16" t="n">
        <f aca="false">SUMPRODUCT(($C$15446:$C$15455=C15454)*$C$15435:$C$15444)</f>
        <v>2020.26371199136</v>
      </c>
    </row>
    <row r="15477" customFormat="false" ht="15" hidden="false" customHeight="false" outlineLevel="0" collapsed="false">
      <c r="A15477" s="3" t="s">
        <v>565</v>
      </c>
      <c r="C15477" s="16" t="n">
        <f aca="false">SUMPRODUCT(($C$15446:$C$15455=C15455)*$C$15435:$C$15444)</f>
        <v>79.938509</v>
      </c>
    </row>
    <row r="15478" customFormat="false" ht="15" hidden="false" customHeight="false" outlineLevel="0" collapsed="false">
      <c r="A15478" s="24" t="s">
        <v>574</v>
      </c>
      <c r="B15478" s="25"/>
      <c r="C15478" s="25"/>
      <c r="D15478" s="25"/>
      <c r="E15478" s="25"/>
      <c r="F15478" s="25"/>
      <c r="G15478" s="25"/>
      <c r="H15478" s="25"/>
      <c r="I15478" s="25"/>
      <c r="J15478" s="25"/>
      <c r="K15478" s="25"/>
    </row>
    <row r="15479" customFormat="false" ht="15" hidden="false" customHeight="false" outlineLevel="0" collapsed="false">
      <c r="A15479" s="3" t="s">
        <v>556</v>
      </c>
      <c r="C15479" s="16" t="n">
        <f aca="false">IF(C15468=0,0,C15435/C15468*MAX(0,MIN(C15468,$C$15378-SUM($C$15413:$C$15422)-C15457)))</f>
        <v>0</v>
      </c>
    </row>
    <row r="15480" customFormat="false" ht="15" hidden="false" customHeight="false" outlineLevel="0" collapsed="false">
      <c r="A15480" s="3" t="s">
        <v>557</v>
      </c>
      <c r="C15480" s="16" t="n">
        <f aca="false">IF(C15469=0,0,C15436/C15469*MAX(0,MIN(C15469,$C$15378-SUM($C$15413:$C$15422)-C15458)))</f>
        <v>0</v>
      </c>
    </row>
    <row r="15481" customFormat="false" ht="15" hidden="false" customHeight="false" outlineLevel="0" collapsed="false">
      <c r="A15481" s="3" t="s">
        <v>558</v>
      </c>
      <c r="C15481" s="16" t="n">
        <f aca="false">IF(C15470=0,0,C15437/C15470*MAX(0,MIN(C15470,$C$15378-SUM($C$15413:$C$15422)-C15459)))</f>
        <v>0</v>
      </c>
    </row>
    <row r="15482" customFormat="false" ht="15" hidden="false" customHeight="false" outlineLevel="0" collapsed="false">
      <c r="A15482" s="3" t="s">
        <v>559</v>
      </c>
      <c r="C15482" s="16" t="n">
        <f aca="false">IF(C15471=0,0,C15438/C15471*MAX(0,MIN(C15471,$C$15378-SUM($C$15413:$C$15422)-C15460)))</f>
        <v>0</v>
      </c>
    </row>
    <row r="15483" customFormat="false" ht="15" hidden="false" customHeight="false" outlineLevel="0" collapsed="false">
      <c r="A15483" s="3" t="s">
        <v>560</v>
      </c>
      <c r="C15483" s="16" t="n">
        <f aca="false">IF(C15472=0,0,C15439/C15472*MAX(0,MIN(C15472,$C$15378-SUM($C$15413:$C$15422)-C15461)))</f>
        <v>442.223086991362</v>
      </c>
    </row>
    <row r="15484" customFormat="false" ht="15" hidden="false" customHeight="false" outlineLevel="0" collapsed="false">
      <c r="A15484" s="3" t="s">
        <v>561</v>
      </c>
      <c r="C15484" s="16" t="n">
        <f aca="false">IF(C15473=0,0,C15440/C15473*MAX(0,MIN(C15473,$C$15378-SUM($C$15413:$C$15422)-C15462)))</f>
        <v>357.2625</v>
      </c>
    </row>
    <row r="15485" customFormat="false" ht="15" hidden="false" customHeight="false" outlineLevel="0" collapsed="false">
      <c r="A15485" s="3" t="s">
        <v>562</v>
      </c>
      <c r="C15485" s="16" t="n">
        <f aca="false">IF(C15474=0,0,C15441/C15474*MAX(0,MIN(C15474,$C$15378-SUM($C$15413:$C$15422)-C15463)))</f>
        <v>562.203125</v>
      </c>
    </row>
    <row r="15486" customFormat="false" ht="15" hidden="false" customHeight="false" outlineLevel="0" collapsed="false">
      <c r="A15486" s="3" t="s">
        <v>563</v>
      </c>
      <c r="C15486" s="16" t="n">
        <f aca="false">IF(C15475=0,0,C15442/C15475*MAX(0,MIN(C15475,$C$15378-SUM($C$15413:$C$15422)-C15464)))</f>
        <v>353.98125</v>
      </c>
    </row>
    <row r="15487" customFormat="false" ht="15" hidden="false" customHeight="false" outlineLevel="0" collapsed="false">
      <c r="A15487" s="3" t="s">
        <v>564</v>
      </c>
      <c r="C15487" s="16" t="n">
        <f aca="false">IF(C15476=0,0,C15443/C15476*MAX(0,MIN(C15476,$C$15378-SUM($C$15413:$C$15422)-C15465)))</f>
        <v>304.59375</v>
      </c>
    </row>
    <row r="15488" customFormat="false" ht="15" hidden="false" customHeight="false" outlineLevel="0" collapsed="false">
      <c r="A15488" s="3" t="s">
        <v>565</v>
      </c>
      <c r="C15488" s="16" t="n">
        <f aca="false">IF(C15477=0,0,C15444/C15477*MAX(0,MIN(C15477,$C$15378-SUM($C$15413:$C$15422)-C15466)))</f>
        <v>79.938509</v>
      </c>
    </row>
    <row r="15489" customFormat="false" ht="15" hidden="false" customHeight="false" outlineLevel="0" collapsed="false">
      <c r="A15489" s="24" t="s">
        <v>575</v>
      </c>
      <c r="B15489" s="25"/>
      <c r="C15489" s="25"/>
      <c r="D15489" s="25"/>
      <c r="E15489" s="25"/>
      <c r="F15489" s="25"/>
      <c r="G15489" s="25"/>
      <c r="H15489" s="25"/>
      <c r="I15489" s="25"/>
      <c r="J15489" s="25"/>
      <c r="K15489" s="25"/>
    </row>
    <row r="15490" customFormat="false" ht="15" hidden="false" customHeight="false" outlineLevel="0" collapsed="false">
      <c r="A15490" s="2" t="s">
        <v>556</v>
      </c>
      <c r="C15490" s="17" t="n">
        <f aca="false">C15413+C15479</f>
        <v>402.29</v>
      </c>
    </row>
    <row r="15491" customFormat="false" ht="15" hidden="false" customHeight="false" outlineLevel="0" collapsed="false">
      <c r="A15491" s="2" t="s">
        <v>557</v>
      </c>
      <c r="C15491" s="17" t="n">
        <f aca="false">C15414+C15480</f>
        <v>91.30725</v>
      </c>
    </row>
    <row r="15492" customFormat="false" ht="15" hidden="false" customHeight="false" outlineLevel="0" collapsed="false">
      <c r="A15492" s="2" t="s">
        <v>558</v>
      </c>
      <c r="C15492" s="17" t="n">
        <f aca="false">C15415+C15481</f>
        <v>58.3715961</v>
      </c>
    </row>
    <row r="15493" customFormat="false" ht="15" hidden="false" customHeight="false" outlineLevel="0" collapsed="false">
      <c r="A15493" s="2" t="s">
        <v>559</v>
      </c>
      <c r="C15493" s="17" t="n">
        <f aca="false">C15416+C15482</f>
        <v>0</v>
      </c>
    </row>
    <row r="15494" customFormat="false" ht="15" hidden="false" customHeight="false" outlineLevel="0" collapsed="false">
      <c r="A15494" s="2" t="s">
        <v>560</v>
      </c>
      <c r="C15494" s="17" t="n">
        <f aca="false">C15417+C15483</f>
        <v>442.223086991362</v>
      </c>
    </row>
    <row r="15495" customFormat="false" ht="15" hidden="false" customHeight="false" outlineLevel="0" collapsed="false">
      <c r="A15495" s="2" t="s">
        <v>561</v>
      </c>
      <c r="C15495" s="17" t="n">
        <f aca="false">C15418+C15484</f>
        <v>357.2625</v>
      </c>
    </row>
    <row r="15496" customFormat="false" ht="15" hidden="false" customHeight="false" outlineLevel="0" collapsed="false">
      <c r="A15496" s="2" t="s">
        <v>562</v>
      </c>
      <c r="C15496" s="17" t="n">
        <f aca="false">C15419+C15485</f>
        <v>562.203125</v>
      </c>
    </row>
    <row r="15497" customFormat="false" ht="15" hidden="false" customHeight="false" outlineLevel="0" collapsed="false">
      <c r="A15497" s="2" t="s">
        <v>563</v>
      </c>
      <c r="C15497" s="17" t="n">
        <f aca="false">C15420+C15486</f>
        <v>353.98125</v>
      </c>
    </row>
    <row r="15498" customFormat="false" ht="15" hidden="false" customHeight="false" outlineLevel="0" collapsed="false">
      <c r="A15498" s="2" t="s">
        <v>564</v>
      </c>
      <c r="C15498" s="17" t="n">
        <f aca="false">C15421+C15487</f>
        <v>304.59375</v>
      </c>
    </row>
    <row r="15499" customFormat="false" ht="15" hidden="false" customHeight="false" outlineLevel="0" collapsed="false">
      <c r="A15499" s="2" t="s">
        <v>565</v>
      </c>
      <c r="C15499" s="17" t="n">
        <f aca="false">C15422+C15488</f>
        <v>79.938509</v>
      </c>
    </row>
    <row r="15500" customFormat="false" ht="15" hidden="false" customHeight="false" outlineLevel="0" collapsed="false">
      <c r="A15500" s="24" t="s">
        <v>576</v>
      </c>
      <c r="B15500" s="25"/>
      <c r="C15500" s="25"/>
      <c r="D15500" s="25"/>
      <c r="E15500" s="25"/>
      <c r="F15500" s="25"/>
      <c r="G15500" s="25"/>
      <c r="H15500" s="25"/>
      <c r="I15500" s="25"/>
      <c r="J15500" s="25"/>
      <c r="K15500" s="25"/>
    </row>
    <row r="15501" customFormat="false" ht="15" hidden="false" customHeight="false" outlineLevel="0" collapsed="false">
      <c r="A15501" s="3" t="s">
        <v>556</v>
      </c>
      <c r="C15501" s="22" t="n">
        <f aca="false">IF(C15380=0,1,C15490/C15380)</f>
        <v>1</v>
      </c>
    </row>
    <row r="15502" customFormat="false" ht="15" hidden="false" customHeight="false" outlineLevel="0" collapsed="false">
      <c r="A15502" s="3" t="s">
        <v>557</v>
      </c>
      <c r="C15502" s="22" t="n">
        <f aca="false">IF(C15381=0,1,C15491/C15381)</f>
        <v>1</v>
      </c>
    </row>
    <row r="15503" customFormat="false" ht="15" hidden="false" customHeight="false" outlineLevel="0" collapsed="false">
      <c r="A15503" s="3" t="s">
        <v>558</v>
      </c>
      <c r="C15503" s="22" t="n">
        <f aca="false">IF(C15382=0,1,C15492/C15382)</f>
        <v>1</v>
      </c>
    </row>
    <row r="15504" customFormat="false" ht="15" hidden="false" customHeight="false" outlineLevel="0" collapsed="false">
      <c r="A15504" s="3" t="s">
        <v>559</v>
      </c>
      <c r="C15504" s="22" t="n">
        <f aca="false">IF(C15383=0,1,C15493/C15383)</f>
        <v>1</v>
      </c>
    </row>
    <row r="15505" customFormat="false" ht="15" hidden="false" customHeight="false" outlineLevel="0" collapsed="false">
      <c r="A15505" s="3" t="s">
        <v>560</v>
      </c>
      <c r="C15505" s="22" t="n">
        <f aca="false">IF(C15384=0,1,C15494/C15384)</f>
        <v>1</v>
      </c>
    </row>
    <row r="15506" customFormat="false" ht="15" hidden="false" customHeight="false" outlineLevel="0" collapsed="false">
      <c r="A15506" s="3" t="s">
        <v>561</v>
      </c>
      <c r="C15506" s="22" t="n">
        <f aca="false">IF(C15385=0,1,C15495/C15385)</f>
        <v>1</v>
      </c>
    </row>
    <row r="15507" customFormat="false" ht="15" hidden="false" customHeight="false" outlineLevel="0" collapsed="false">
      <c r="A15507" s="3" t="s">
        <v>562</v>
      </c>
      <c r="C15507" s="22" t="n">
        <f aca="false">IF(C15386=0,1,C15496/C15386)</f>
        <v>1</v>
      </c>
    </row>
    <row r="15508" customFormat="false" ht="15" hidden="false" customHeight="false" outlineLevel="0" collapsed="false">
      <c r="A15508" s="3" t="s">
        <v>563</v>
      </c>
      <c r="C15508" s="22" t="n">
        <f aca="false">IF(C15387=0,1,C15497/C15387)</f>
        <v>1</v>
      </c>
    </row>
    <row r="15509" customFormat="false" ht="15" hidden="false" customHeight="false" outlineLevel="0" collapsed="false">
      <c r="A15509" s="3" t="s">
        <v>564</v>
      </c>
      <c r="C15509" s="22" t="n">
        <f aca="false">IF(C15388=0,1,C15498/C15388)</f>
        <v>1</v>
      </c>
    </row>
    <row r="15510" customFormat="false" ht="15" hidden="false" customHeight="false" outlineLevel="0" collapsed="false">
      <c r="A15510" s="3" t="s">
        <v>565</v>
      </c>
      <c r="C15510" s="22" t="n">
        <f aca="false">IF(C15389=0,1,C15499/C15389)</f>
        <v>1</v>
      </c>
    </row>
    <row r="15511" customFormat="false" ht="15" hidden="false" customHeight="false" outlineLevel="0" collapsed="false">
      <c r="A15511" s="24" t="s">
        <v>577</v>
      </c>
      <c r="B15511" s="25"/>
      <c r="C15511" s="25"/>
      <c r="D15511" s="25"/>
      <c r="E15511" s="25"/>
      <c r="F15511" s="25"/>
      <c r="G15511" s="25"/>
      <c r="H15511" s="25"/>
      <c r="I15511" s="25"/>
      <c r="J15511" s="25"/>
      <c r="K15511" s="25"/>
    </row>
    <row r="15512" customFormat="false" ht="15" hidden="false" customHeight="false" outlineLevel="0" collapsed="false">
      <c r="A15512" s="3" t="s">
        <v>556</v>
      </c>
      <c r="C15512" s="16" t="n">
        <f aca="false">C15380-C15490</f>
        <v>0</v>
      </c>
    </row>
    <row r="15513" customFormat="false" ht="15" hidden="false" customHeight="false" outlineLevel="0" collapsed="false">
      <c r="A15513" s="3" t="s">
        <v>557</v>
      </c>
      <c r="C15513" s="16" t="n">
        <f aca="false">C15381-C15491</f>
        <v>0</v>
      </c>
    </row>
    <row r="15514" customFormat="false" ht="15" hidden="false" customHeight="false" outlineLevel="0" collapsed="false">
      <c r="A15514" s="3" t="s">
        <v>558</v>
      </c>
      <c r="C15514" s="16" t="n">
        <f aca="false">C15382-C15492</f>
        <v>0</v>
      </c>
    </row>
    <row r="15515" customFormat="false" ht="15" hidden="false" customHeight="false" outlineLevel="0" collapsed="false">
      <c r="A15515" s="3" t="s">
        <v>559</v>
      </c>
      <c r="C15515" s="16" t="n">
        <f aca="false">C15383-C15493</f>
        <v>0</v>
      </c>
    </row>
    <row r="15516" customFormat="false" ht="15" hidden="false" customHeight="false" outlineLevel="0" collapsed="false">
      <c r="A15516" s="3" t="s">
        <v>560</v>
      </c>
      <c r="C15516" s="16" t="n">
        <f aca="false">C15384-C15494</f>
        <v>0</v>
      </c>
    </row>
    <row r="15517" customFormat="false" ht="15" hidden="false" customHeight="false" outlineLevel="0" collapsed="false">
      <c r="A15517" s="3" t="s">
        <v>561</v>
      </c>
      <c r="C15517" s="16" t="n">
        <f aca="false">C15385-C15495</f>
        <v>0</v>
      </c>
    </row>
    <row r="15518" customFormat="false" ht="15" hidden="false" customHeight="false" outlineLevel="0" collapsed="false">
      <c r="A15518" s="3" t="s">
        <v>562</v>
      </c>
      <c r="C15518" s="16" t="n">
        <f aca="false">C15386-C15496</f>
        <v>0</v>
      </c>
    </row>
    <row r="15519" customFormat="false" ht="15" hidden="false" customHeight="false" outlineLevel="0" collapsed="false">
      <c r="A15519" s="3" t="s">
        <v>563</v>
      </c>
      <c r="C15519" s="16" t="n">
        <f aca="false">C15387-C15497</f>
        <v>0</v>
      </c>
    </row>
    <row r="15520" customFormat="false" ht="15" hidden="false" customHeight="false" outlineLevel="0" collapsed="false">
      <c r="A15520" s="3" t="s">
        <v>564</v>
      </c>
      <c r="C15520" s="16" t="n">
        <f aca="false">C15388-C15498</f>
        <v>0</v>
      </c>
    </row>
    <row r="15521" customFormat="false" ht="15" hidden="false" customHeight="false" outlineLevel="0" collapsed="false">
      <c r="A15521" s="3" t="s">
        <v>565</v>
      </c>
      <c r="C15521" s="16" t="n">
        <f aca="false">C15389-C15499</f>
        <v>0</v>
      </c>
    </row>
    <row r="15522" customFormat="false" ht="15" hidden="false" customHeight="false" outlineLevel="0" collapsed="false">
      <c r="A15522" s="24" t="s">
        <v>578</v>
      </c>
      <c r="B15522" s="25"/>
      <c r="C15522" s="25"/>
      <c r="D15522" s="25"/>
      <c r="E15522" s="25"/>
      <c r="F15522" s="25"/>
      <c r="G15522" s="25"/>
      <c r="H15522" s="25"/>
      <c r="I15522" s="25"/>
      <c r="J15522" s="25"/>
      <c r="K15522" s="25"/>
    </row>
    <row r="15523" customFormat="false" ht="15" hidden="false" customHeight="false" outlineLevel="0" collapsed="false">
      <c r="A15523" s="3" t="s">
        <v>556</v>
      </c>
      <c r="C15523" s="22" t="n">
        <f aca="false">IF(C15380=0,0,C15512/C15380)</f>
        <v>0</v>
      </c>
    </row>
    <row r="15524" customFormat="false" ht="15" hidden="false" customHeight="false" outlineLevel="0" collapsed="false">
      <c r="A15524" s="3" t="s">
        <v>557</v>
      </c>
      <c r="C15524" s="22" t="n">
        <f aca="false">IF(C15381=0,0,C15513/C15381)</f>
        <v>0</v>
      </c>
    </row>
    <row r="15525" customFormat="false" ht="15" hidden="false" customHeight="false" outlineLevel="0" collapsed="false">
      <c r="A15525" s="3" t="s">
        <v>558</v>
      </c>
      <c r="C15525" s="22" t="n">
        <f aca="false">IF(C15382=0,0,C15514/C15382)</f>
        <v>0</v>
      </c>
    </row>
    <row r="15526" customFormat="false" ht="15" hidden="false" customHeight="false" outlineLevel="0" collapsed="false">
      <c r="A15526" s="3" t="s">
        <v>559</v>
      </c>
      <c r="C15526" s="22" t="n">
        <f aca="false">IF(C15383=0,0,C15515/C15383)</f>
        <v>0</v>
      </c>
    </row>
    <row r="15527" customFormat="false" ht="15" hidden="false" customHeight="false" outlineLevel="0" collapsed="false">
      <c r="A15527" s="3" t="s">
        <v>560</v>
      </c>
      <c r="C15527" s="22" t="n">
        <f aca="false">IF(C15384=0,0,C15516/C15384)</f>
        <v>0</v>
      </c>
    </row>
    <row r="15528" customFormat="false" ht="15" hidden="false" customHeight="false" outlineLevel="0" collapsed="false">
      <c r="A15528" s="3" t="s">
        <v>561</v>
      </c>
      <c r="C15528" s="22" t="n">
        <f aca="false">IF(C15385=0,0,C15517/C15385)</f>
        <v>0</v>
      </c>
    </row>
    <row r="15529" customFormat="false" ht="15" hidden="false" customHeight="false" outlineLevel="0" collapsed="false">
      <c r="A15529" s="3" t="s">
        <v>562</v>
      </c>
      <c r="C15529" s="22" t="n">
        <f aca="false">IF(C15386=0,0,C15518/C15386)</f>
        <v>0</v>
      </c>
    </row>
    <row r="15530" customFormat="false" ht="15" hidden="false" customHeight="false" outlineLevel="0" collapsed="false">
      <c r="A15530" s="3" t="s">
        <v>563</v>
      </c>
      <c r="C15530" s="22" t="n">
        <f aca="false">IF(C15387=0,0,C15519/C15387)</f>
        <v>0</v>
      </c>
    </row>
    <row r="15531" customFormat="false" ht="15" hidden="false" customHeight="false" outlineLevel="0" collapsed="false">
      <c r="A15531" s="3" t="s">
        <v>564</v>
      </c>
      <c r="C15531" s="22" t="n">
        <f aca="false">IF(C15388=0,0,C15520/C15388)</f>
        <v>0</v>
      </c>
    </row>
    <row r="15532" customFormat="false" ht="15" hidden="false" customHeight="false" outlineLevel="0" collapsed="false">
      <c r="A15532" s="3" t="s">
        <v>565</v>
      </c>
      <c r="C15532" s="22" t="n">
        <f aca="false">IF(C15389=0,0,C15521/C15389)</f>
        <v>0</v>
      </c>
    </row>
    <row r="15533" customFormat="false" ht="15" hidden="false" customHeight="false" outlineLevel="0" collapsed="false">
      <c r="A15533" s="2" t="s">
        <v>579</v>
      </c>
      <c r="C15533" s="17" t="n">
        <f aca="false">MAX(0,$C$15378-SUM($C$15413:$C$15422)-SUM($C$15435:$C$15444))</f>
        <v>481.306115308638</v>
      </c>
    </row>
    <row r="15534" customFormat="false" ht="15" hidden="false" customHeight="false" outlineLevel="0" collapsed="false">
      <c r="A15534" s="3" t="s">
        <v>580</v>
      </c>
      <c r="C15534" s="16" t="n">
        <f aca="false">SUM($C$15490:$C$15499)+C15533+C15377-C15376</f>
        <v>0</v>
      </c>
    </row>
    <row r="15536" customFormat="false" ht="15" hidden="false" customHeight="false" outlineLevel="0" collapsed="false">
      <c r="A15536" s="24" t="s">
        <v>583</v>
      </c>
      <c r="B15536" s="25"/>
      <c r="C15536" s="25"/>
      <c r="D15536" s="25"/>
      <c r="E15536" s="25"/>
      <c r="F15536" s="25"/>
      <c r="G15536" s="25"/>
      <c r="H15536" s="25"/>
      <c r="I15536" s="25"/>
      <c r="J15536" s="25"/>
      <c r="K15536" s="25"/>
    </row>
    <row r="15537" customFormat="false" ht="15" hidden="false" customHeight="false" outlineLevel="0" collapsed="false">
      <c r="A15537" s="3" t="s">
        <v>584</v>
      </c>
      <c r="C15537" s="27" t="n">
        <f aca="false">Assumptions!$C$34</f>
        <v>1</v>
      </c>
    </row>
    <row r="15538" customFormat="false" ht="15" hidden="false" customHeight="false" outlineLevel="0" collapsed="false">
      <c r="A15538" s="3" t="s">
        <v>585</v>
      </c>
      <c r="C15538" s="29" t="n">
        <f aca="false">Assumptions!$C$35</f>
        <v>100</v>
      </c>
    </row>
    <row r="15539" customFormat="false" ht="15" hidden="false" customHeight="false" outlineLevel="0" collapsed="false">
      <c r="A15539" s="3" t="s">
        <v>586</v>
      </c>
      <c r="C15539" s="40" t="n">
        <f aca="false">Assumptions!$C$36</f>
        <v>98</v>
      </c>
    </row>
    <row r="15540" customFormat="false" ht="15" hidden="false" customHeight="false" outlineLevel="0" collapsed="false">
      <c r="A15540" s="3" t="s">
        <v>587</v>
      </c>
      <c r="C15540" s="16" t="n">
        <f aca="false">C15538*C15539/100*(1+Assumptions!$C$37)</f>
        <v>98.49</v>
      </c>
    </row>
    <row r="15541" customFormat="false" ht="15" hidden="false" customHeight="false" outlineLevel="0" collapsed="false">
      <c r="A15541" s="3" t="s">
        <v>588</v>
      </c>
      <c r="C15541" s="27" t="n">
        <f aca="false">Assumptions!$C$38</f>
        <v>3</v>
      </c>
    </row>
    <row r="15542" customFormat="false" ht="15" hidden="false" customHeight="false" outlineLevel="0" collapsed="false">
      <c r="A15542" s="3" t="s">
        <v>589</v>
      </c>
      <c r="C15542" s="21" t="n">
        <f aca="false">IF(C15369=1,SUMPRODUCT($G$15305:$K$15305,$G$15079:$K$15079),0)</f>
        <v>2</v>
      </c>
    </row>
    <row r="15543" customFormat="false" ht="15" hidden="false" customHeight="false" outlineLevel="0" collapsed="false">
      <c r="A15543" s="3" t="s">
        <v>590</v>
      </c>
      <c r="C15543" s="22" t="n">
        <f aca="false">IFERROR(C15538/CHOOSE(C15537,SUMPRODUCT($G$15368:$K$15368,$G$15125:$K$15125),SUMPRODUCT($G$15368:$K$15368,$G$15138:$K$15138),SUMPRODUCT($G$15368:$K$15368,$G$15151:$K$15151),SUMPRODUCT($G$15368:$K$15368,$G$15164:$K$15164),SUMPRODUCT($G$15368:$K$15368,$G$15177:$K$15177),SUMPRODUCT($G$15368:$K$15368,$G$15190:$K$15190),SUMPRODUCT($G$15368:$K$15368,$G$15203:$K$15203),SUMPRODUCT($G$15368:$K$15368,$G$15216:$K$15216),SUMPRODUCT($G$15368:$K$15368,$G$15229:$K$15229),SUMPRODUCT($G$15368:$K$15368,$G$15242:$K$15242)),0)</f>
        <v>0.255102040816327</v>
      </c>
    </row>
    <row r="15544" customFormat="false" ht="15" hidden="false" customHeight="false" outlineLevel="0" collapsed="false">
      <c r="A15544" s="3" t="s">
        <v>591</v>
      </c>
      <c r="C15544" s="16" t="n">
        <f aca="false">CHOOSE(C15537,C15490,C15491,C15492,C15493,C15494,C15495,C15496,C15497,C15498,C15499)*C15543</f>
        <v>102.625</v>
      </c>
    </row>
    <row r="15545" customFormat="false" ht="15" hidden="false" customHeight="false" outlineLevel="0" collapsed="false">
      <c r="A15545" s="3" t="s">
        <v>592</v>
      </c>
      <c r="C15545" s="22" t="n">
        <f aca="false">CHOOSE(C15537,C15501,C15502,C15503,C15504,C15505,C15506,C15507,C15508,C15509,C15510)</f>
        <v>1</v>
      </c>
    </row>
    <row r="15546" customFormat="false" ht="15" hidden="false" customHeight="false" outlineLevel="0" collapsed="false">
      <c r="A15546" s="3" t="s">
        <v>593</v>
      </c>
      <c r="C15546" s="21" t="n">
        <f aca="false">IF(C15369=1,C15542,C15541)</f>
        <v>2</v>
      </c>
    </row>
    <row r="15547" customFormat="false" ht="15" hidden="false" customHeight="false" outlineLevel="0" collapsed="false">
      <c r="A15547" s="3" t="s">
        <v>594</v>
      </c>
      <c r="C15547" s="35" t="n">
        <f aca="false">CHOOSE($C$15071,Assumptions!$C$91,Assumptions!$C$110,Assumptions!$C$129)</f>
        <v>95</v>
      </c>
    </row>
    <row r="15548" customFormat="false" ht="15" hidden="false" customHeight="false" outlineLevel="0" collapsed="false">
      <c r="A15548" s="3" t="s">
        <v>595</v>
      </c>
      <c r="C15548" s="16" t="n">
        <f aca="false">INDEX($G$15088:$K$15088,C15541)*CHOOSE($C$15071,Assumptions!$C$90,Assumptions!$C$109,Assumptions!$C$128)+MAX(0,INDEX($G$15302:$K$15302,C15541))</f>
        <v>1748.4713280342</v>
      </c>
    </row>
    <row r="15549" customFormat="false" ht="15" hidden="false" customHeight="false" outlineLevel="0" collapsed="false">
      <c r="A15549" s="24" t="s">
        <v>596</v>
      </c>
      <c r="B15549" s="25"/>
      <c r="C15549" s="25"/>
      <c r="D15549" s="25"/>
      <c r="E15549" s="25"/>
      <c r="F15549" s="25"/>
      <c r="G15549" s="25"/>
      <c r="H15549" s="25"/>
      <c r="I15549" s="25"/>
      <c r="J15549" s="25"/>
      <c r="K15549" s="25"/>
    </row>
    <row r="15550" customFormat="false" ht="15" hidden="false" customHeight="false" outlineLevel="0" collapsed="false">
      <c r="A15550" s="3" t="s">
        <v>556</v>
      </c>
      <c r="C15550" s="16" t="n">
        <f aca="false">INDEX($G$15125:$K$15125,C15541)</f>
        <v>388</v>
      </c>
    </row>
    <row r="15551" customFormat="false" ht="15" hidden="false" customHeight="false" outlineLevel="0" collapsed="false">
      <c r="A15551" s="3" t="s">
        <v>557</v>
      </c>
      <c r="C15551" s="16" t="n">
        <f aca="false">INDEX($G$15138:$K$15138,C15541)</f>
        <v>90</v>
      </c>
    </row>
    <row r="15552" customFormat="false" ht="15" hidden="false" customHeight="false" outlineLevel="0" collapsed="false">
      <c r="A15552" s="3" t="s">
        <v>558</v>
      </c>
      <c r="C15552" s="16" t="n">
        <f aca="false">INDEX($G$15151:$K$15151,C15541)</f>
        <v>57.324</v>
      </c>
    </row>
    <row r="15553" customFormat="false" ht="15" hidden="false" customHeight="false" outlineLevel="0" collapsed="false">
      <c r="A15553" s="3" t="s">
        <v>559</v>
      </c>
      <c r="C15553" s="16" t="n">
        <f aca="false">INDEX($G$15164:$K$15164,C15541)</f>
        <v>0</v>
      </c>
    </row>
    <row r="15554" customFormat="false" ht="15" hidden="false" customHeight="false" outlineLevel="0" collapsed="false">
      <c r="A15554" s="3" t="s">
        <v>560</v>
      </c>
      <c r="C15554" s="16" t="n">
        <f aca="false">INDEX($G$15177:$K$15177,C15541)</f>
        <v>437.898835986</v>
      </c>
    </row>
    <row r="15555" customFormat="false" ht="15" hidden="false" customHeight="false" outlineLevel="0" collapsed="false">
      <c r="A15555" s="3" t="s">
        <v>561</v>
      </c>
      <c r="C15555" s="16" t="n">
        <f aca="false">INDEX($G$15190:$K$15190,C15541)</f>
        <v>350</v>
      </c>
    </row>
    <row r="15556" customFormat="false" ht="15" hidden="false" customHeight="false" outlineLevel="0" collapsed="false">
      <c r="A15556" s="3" t="s">
        <v>562</v>
      </c>
      <c r="C15556" s="16" t="n">
        <f aca="false">INDEX($G$15203:$K$15203,C15541)</f>
        <v>550</v>
      </c>
    </row>
    <row r="15557" customFormat="false" ht="15" hidden="false" customHeight="false" outlineLevel="0" collapsed="false">
      <c r="A15557" s="3" t="s">
        <v>563</v>
      </c>
      <c r="C15557" s="16" t="n">
        <f aca="false">INDEX($G$15216:$K$15216,C15541)</f>
        <v>350</v>
      </c>
    </row>
    <row r="15558" customFormat="false" ht="15" hidden="false" customHeight="false" outlineLevel="0" collapsed="false">
      <c r="A15558" s="3" t="s">
        <v>564</v>
      </c>
      <c r="C15558" s="16" t="n">
        <f aca="false">INDEX($G$15229:$K$15229,C15541)</f>
        <v>300</v>
      </c>
    </row>
    <row r="15559" customFormat="false" ht="15" hidden="false" customHeight="false" outlineLevel="0" collapsed="false">
      <c r="A15559" s="3" t="s">
        <v>565</v>
      </c>
      <c r="C15559" s="16" t="n">
        <f aca="false">INDEX($G$15242:$K$15242,C15541)</f>
        <v>78.61</v>
      </c>
    </row>
    <row r="15560" customFormat="false" ht="15" hidden="false" customHeight="false" outlineLevel="0" collapsed="false">
      <c r="A15560" s="24" t="s">
        <v>566</v>
      </c>
      <c r="B15560" s="25"/>
      <c r="C15560" s="25"/>
      <c r="D15560" s="25"/>
      <c r="E15560" s="25"/>
      <c r="F15560" s="25"/>
      <c r="G15560" s="25"/>
      <c r="H15560" s="25"/>
      <c r="I15560" s="25"/>
      <c r="J15560" s="25"/>
      <c r="K15560" s="25"/>
    </row>
    <row r="15561" customFormat="false" ht="15" hidden="false" customHeight="false" outlineLevel="0" collapsed="false">
      <c r="A15561" s="3" t="s">
        <v>556</v>
      </c>
      <c r="C15561" s="27" t="n">
        <f aca="false">Assumptions!$M$57</f>
        <v>1</v>
      </c>
    </row>
    <row r="15562" customFormat="false" ht="15" hidden="false" customHeight="false" outlineLevel="0" collapsed="false">
      <c r="A15562" s="3" t="s">
        <v>557</v>
      </c>
      <c r="C15562" s="27" t="n">
        <f aca="false">Assumptions!$M$58</f>
        <v>1</v>
      </c>
    </row>
    <row r="15563" customFormat="false" ht="15" hidden="false" customHeight="false" outlineLevel="0" collapsed="false">
      <c r="A15563" s="3" t="s">
        <v>558</v>
      </c>
      <c r="C15563" s="27" t="n">
        <f aca="false">Assumptions!$M$59</f>
        <v>1</v>
      </c>
    </row>
    <row r="15564" customFormat="false" ht="15" hidden="false" customHeight="false" outlineLevel="0" collapsed="false">
      <c r="A15564" s="3" t="s">
        <v>559</v>
      </c>
      <c r="C15564" s="27" t="n">
        <f aca="false">Assumptions!$M$60</f>
        <v>2</v>
      </c>
    </row>
    <row r="15565" customFormat="false" ht="15" hidden="false" customHeight="false" outlineLevel="0" collapsed="false">
      <c r="A15565" s="3" t="s">
        <v>560</v>
      </c>
      <c r="C15565" s="27" t="n">
        <f aca="false">Assumptions!$M$61</f>
        <v>2</v>
      </c>
    </row>
    <row r="15566" customFormat="false" ht="15" hidden="false" customHeight="false" outlineLevel="0" collapsed="false">
      <c r="A15566" s="3" t="s">
        <v>561</v>
      </c>
      <c r="C15566" s="27" t="n">
        <f aca="false">Assumptions!$M$62</f>
        <v>2</v>
      </c>
    </row>
    <row r="15567" customFormat="false" ht="15" hidden="false" customHeight="false" outlineLevel="0" collapsed="false">
      <c r="A15567" s="3" t="s">
        <v>562</v>
      </c>
      <c r="C15567" s="27" t="n">
        <f aca="false">Assumptions!$M$63</f>
        <v>2</v>
      </c>
    </row>
    <row r="15568" customFormat="false" ht="15" hidden="false" customHeight="false" outlineLevel="0" collapsed="false">
      <c r="A15568" s="3" t="s">
        <v>563</v>
      </c>
      <c r="C15568" s="27" t="n">
        <f aca="false">Assumptions!$M$64</f>
        <v>2</v>
      </c>
    </row>
    <row r="15569" customFormat="false" ht="15" hidden="false" customHeight="false" outlineLevel="0" collapsed="false">
      <c r="A15569" s="3" t="s">
        <v>564</v>
      </c>
      <c r="C15569" s="27" t="n">
        <f aca="false">Assumptions!$M$65</f>
        <v>2</v>
      </c>
    </row>
    <row r="15570" customFormat="false" ht="15" hidden="false" customHeight="false" outlineLevel="0" collapsed="false">
      <c r="A15570" s="3" t="s">
        <v>565</v>
      </c>
      <c r="C15570" s="27" t="n">
        <f aca="false">Assumptions!$M$66</f>
        <v>3</v>
      </c>
    </row>
    <row r="15571" customFormat="false" ht="15" hidden="false" customHeight="false" outlineLevel="0" collapsed="false">
      <c r="A15571" s="24" t="s">
        <v>567</v>
      </c>
      <c r="B15571" s="25"/>
      <c r="C15571" s="25"/>
      <c r="D15571" s="25"/>
      <c r="E15571" s="25"/>
      <c r="F15571" s="25"/>
      <c r="G15571" s="25"/>
      <c r="H15571" s="25"/>
      <c r="I15571" s="25"/>
      <c r="J15571" s="25"/>
      <c r="K15571" s="25"/>
    </row>
    <row r="15572" customFormat="false" ht="15" hidden="false" customHeight="false" outlineLevel="0" collapsed="false">
      <c r="A15572" s="3" t="s">
        <v>556</v>
      </c>
      <c r="C15572" s="33" t="n">
        <f aca="false">Assumptions!$Q$57</f>
        <v>0.3</v>
      </c>
    </row>
    <row r="15573" customFormat="false" ht="15" hidden="false" customHeight="false" outlineLevel="0" collapsed="false">
      <c r="A15573" s="3" t="s">
        <v>557</v>
      </c>
      <c r="C15573" s="33" t="n">
        <f aca="false">Assumptions!$Q$58</f>
        <v>0.033</v>
      </c>
    </row>
    <row r="15574" customFormat="false" ht="15" hidden="false" customHeight="false" outlineLevel="0" collapsed="false">
      <c r="A15574" s="3" t="s">
        <v>558</v>
      </c>
      <c r="C15574" s="33" t="n">
        <f aca="false">Assumptions!$Q$59</f>
        <v>0.021</v>
      </c>
    </row>
    <row r="15575" customFormat="false" ht="15" hidden="false" customHeight="false" outlineLevel="0" collapsed="false">
      <c r="A15575" s="3" t="s">
        <v>559</v>
      </c>
      <c r="C15575" s="33" t="n">
        <f aca="false">Assumptions!$Q$60</f>
        <v>0</v>
      </c>
    </row>
    <row r="15576" customFormat="false" ht="15" hidden="false" customHeight="false" outlineLevel="0" collapsed="false">
      <c r="A15576" s="3" t="s">
        <v>560</v>
      </c>
      <c r="C15576" s="33" t="n">
        <f aca="false">Assumptions!$Q$61</f>
        <v>0</v>
      </c>
    </row>
    <row r="15577" customFormat="false" ht="15" hidden="false" customHeight="false" outlineLevel="0" collapsed="false">
      <c r="A15577" s="3" t="s">
        <v>561</v>
      </c>
      <c r="C15577" s="33" t="n">
        <f aca="false">Assumptions!$Q$62</f>
        <v>0</v>
      </c>
    </row>
    <row r="15578" customFormat="false" ht="15" hidden="false" customHeight="false" outlineLevel="0" collapsed="false">
      <c r="A15578" s="3" t="s">
        <v>562</v>
      </c>
      <c r="C15578" s="33" t="n">
        <f aca="false">Assumptions!$Q$63</f>
        <v>0</v>
      </c>
    </row>
    <row r="15579" customFormat="false" ht="15" hidden="false" customHeight="false" outlineLevel="0" collapsed="false">
      <c r="A15579" s="3" t="s">
        <v>563</v>
      </c>
      <c r="C15579" s="33" t="n">
        <f aca="false">Assumptions!$Q$64</f>
        <v>0</v>
      </c>
    </row>
    <row r="15580" customFormat="false" ht="15" hidden="false" customHeight="false" outlineLevel="0" collapsed="false">
      <c r="A15580" s="3" t="s">
        <v>564</v>
      </c>
      <c r="C15580" s="33" t="n">
        <f aca="false">Assumptions!$Q$65</f>
        <v>0</v>
      </c>
    </row>
    <row r="15581" customFormat="false" ht="15" hidden="false" customHeight="false" outlineLevel="0" collapsed="false">
      <c r="A15581" s="3" t="s">
        <v>565</v>
      </c>
      <c r="C15581" s="33" t="n">
        <f aca="false">Assumptions!$Q$66</f>
        <v>0</v>
      </c>
    </row>
    <row r="15582" customFormat="false" ht="15" hidden="false" customHeight="false" outlineLevel="0" collapsed="false">
      <c r="A15582" s="24" t="s">
        <v>568</v>
      </c>
      <c r="B15582" s="25"/>
      <c r="C15582" s="25"/>
      <c r="D15582" s="25"/>
      <c r="E15582" s="25"/>
      <c r="F15582" s="25"/>
      <c r="G15582" s="25"/>
      <c r="H15582" s="25"/>
      <c r="I15582" s="25"/>
      <c r="J15582" s="25"/>
      <c r="K15582" s="25"/>
    </row>
    <row r="15583" customFormat="false" ht="15" hidden="false" customHeight="false" outlineLevel="0" collapsed="false">
      <c r="A15583" s="3" t="s">
        <v>556</v>
      </c>
      <c r="C15583" s="16" t="n">
        <f aca="false">IF(C15572&gt;0,MIN(C15550,C15572*$C$15548),0)</f>
        <v>388</v>
      </c>
    </row>
    <row r="15584" customFormat="false" ht="15" hidden="false" customHeight="false" outlineLevel="0" collapsed="false">
      <c r="A15584" s="3" t="s">
        <v>557</v>
      </c>
      <c r="C15584" s="16" t="n">
        <f aca="false">IF(C15573&gt;0,MIN(C15551,C15573*$C$15548),0)</f>
        <v>57.6995538251286</v>
      </c>
    </row>
    <row r="15585" customFormat="false" ht="15" hidden="false" customHeight="false" outlineLevel="0" collapsed="false">
      <c r="A15585" s="3" t="s">
        <v>558</v>
      </c>
      <c r="C15585" s="16" t="n">
        <f aca="false">IF(C15574&gt;0,MIN(C15552,C15574*$C$15548),0)</f>
        <v>36.7178978887182</v>
      </c>
    </row>
    <row r="15586" customFormat="false" ht="15" hidden="false" customHeight="false" outlineLevel="0" collapsed="false">
      <c r="A15586" s="3" t="s">
        <v>559</v>
      </c>
      <c r="C15586" s="16" t="n">
        <f aca="false">IF(C15575&gt;0,MIN(C15553,C15575*$C$15548),0)</f>
        <v>0</v>
      </c>
    </row>
    <row r="15587" customFormat="false" ht="15" hidden="false" customHeight="false" outlineLevel="0" collapsed="false">
      <c r="A15587" s="3" t="s">
        <v>560</v>
      </c>
      <c r="C15587" s="16" t="n">
        <f aca="false">IF(C15576&gt;0,MIN(C15554,C15576*$C$15548),0)</f>
        <v>0</v>
      </c>
    </row>
    <row r="15588" customFormat="false" ht="15" hidden="false" customHeight="false" outlineLevel="0" collapsed="false">
      <c r="A15588" s="3" t="s">
        <v>561</v>
      </c>
      <c r="C15588" s="16" t="n">
        <f aca="false">IF(C15577&gt;0,MIN(C15555,C15577*$C$15548),0)</f>
        <v>0</v>
      </c>
    </row>
    <row r="15589" customFormat="false" ht="15" hidden="false" customHeight="false" outlineLevel="0" collapsed="false">
      <c r="A15589" s="3" t="s">
        <v>562</v>
      </c>
      <c r="C15589" s="16" t="n">
        <f aca="false">IF(C15578&gt;0,MIN(C15556,C15578*$C$15548),0)</f>
        <v>0</v>
      </c>
    </row>
    <row r="15590" customFormat="false" ht="15" hidden="false" customHeight="false" outlineLevel="0" collapsed="false">
      <c r="A15590" s="3" t="s">
        <v>563</v>
      </c>
      <c r="C15590" s="16" t="n">
        <f aca="false">IF(C15579&gt;0,MIN(C15557,C15579*$C$15548),0)</f>
        <v>0</v>
      </c>
    </row>
    <row r="15591" customFormat="false" ht="15" hidden="false" customHeight="false" outlineLevel="0" collapsed="false">
      <c r="A15591" s="3" t="s">
        <v>564</v>
      </c>
      <c r="C15591" s="16" t="n">
        <f aca="false">IF(C15580&gt;0,MIN(C15558,C15580*$C$15548),0)</f>
        <v>0</v>
      </c>
    </row>
    <row r="15592" customFormat="false" ht="15" hidden="false" customHeight="false" outlineLevel="0" collapsed="false">
      <c r="A15592" s="3" t="s">
        <v>565</v>
      </c>
      <c r="C15592" s="16" t="n">
        <f aca="false">IF(C15581&gt;0,MIN(C15559,C15581*$C$15548),0)</f>
        <v>0</v>
      </c>
    </row>
    <row r="15593" customFormat="false" ht="15" hidden="false" customHeight="false" outlineLevel="0" collapsed="false">
      <c r="A15593" s="24" t="s">
        <v>569</v>
      </c>
      <c r="B15593" s="25"/>
      <c r="C15593" s="25"/>
      <c r="D15593" s="25"/>
      <c r="E15593" s="25"/>
      <c r="F15593" s="25"/>
      <c r="G15593" s="25"/>
      <c r="H15593" s="25"/>
      <c r="I15593" s="25"/>
      <c r="J15593" s="25"/>
      <c r="K15593" s="25"/>
    </row>
    <row r="15594" customFormat="false" ht="15" hidden="false" customHeight="false" outlineLevel="0" collapsed="false">
      <c r="A15594" s="3" t="s">
        <v>556</v>
      </c>
      <c r="C15594" s="16" t="n">
        <f aca="false">IF(C15572&gt;0,C15550-C15583,0)</f>
        <v>0</v>
      </c>
    </row>
    <row r="15595" customFormat="false" ht="15" hidden="false" customHeight="false" outlineLevel="0" collapsed="false">
      <c r="A15595" s="3" t="s">
        <v>557</v>
      </c>
      <c r="C15595" s="16" t="n">
        <f aca="false">IF(C15573&gt;0,C15551-C15584,0)</f>
        <v>32.3004461748714</v>
      </c>
    </row>
    <row r="15596" customFormat="false" ht="15" hidden="false" customHeight="false" outlineLevel="0" collapsed="false">
      <c r="A15596" s="3" t="s">
        <v>558</v>
      </c>
      <c r="C15596" s="16" t="n">
        <f aca="false">IF(C15574&gt;0,C15552-C15585,0)</f>
        <v>20.6061021112818</v>
      </c>
    </row>
    <row r="15597" customFormat="false" ht="15" hidden="false" customHeight="false" outlineLevel="0" collapsed="false">
      <c r="A15597" s="3" t="s">
        <v>559</v>
      </c>
      <c r="C15597" s="16" t="n">
        <f aca="false">IF(C15575&gt;0,C15553-C15586,0)</f>
        <v>0</v>
      </c>
    </row>
    <row r="15598" customFormat="false" ht="15" hidden="false" customHeight="false" outlineLevel="0" collapsed="false">
      <c r="A15598" s="3" t="s">
        <v>560</v>
      </c>
      <c r="C15598" s="16" t="n">
        <f aca="false">IF(C15576&gt;0,C15554-C15587,0)</f>
        <v>0</v>
      </c>
    </row>
    <row r="15599" customFormat="false" ht="15" hidden="false" customHeight="false" outlineLevel="0" collapsed="false">
      <c r="A15599" s="3" t="s">
        <v>561</v>
      </c>
      <c r="C15599" s="16" t="n">
        <f aca="false">IF(C15577&gt;0,C15555-C15588,0)</f>
        <v>0</v>
      </c>
    </row>
    <row r="15600" customFormat="false" ht="15" hidden="false" customHeight="false" outlineLevel="0" collapsed="false">
      <c r="A15600" s="3" t="s">
        <v>562</v>
      </c>
      <c r="C15600" s="16" t="n">
        <f aca="false">IF(C15578&gt;0,C15556-C15589,0)</f>
        <v>0</v>
      </c>
    </row>
    <row r="15601" customFormat="false" ht="15" hidden="false" customHeight="false" outlineLevel="0" collapsed="false">
      <c r="A15601" s="3" t="s">
        <v>563</v>
      </c>
      <c r="C15601" s="16" t="n">
        <f aca="false">IF(C15579&gt;0,C15557-C15590,0)</f>
        <v>0</v>
      </c>
    </row>
    <row r="15602" customFormat="false" ht="15" hidden="false" customHeight="false" outlineLevel="0" collapsed="false">
      <c r="A15602" s="3" t="s">
        <v>564</v>
      </c>
      <c r="C15602" s="16" t="n">
        <f aca="false">IF(C15580&gt;0,C15558-C15591,0)</f>
        <v>0</v>
      </c>
    </row>
    <row r="15603" customFormat="false" ht="15" hidden="false" customHeight="false" outlineLevel="0" collapsed="false">
      <c r="A15603" s="3" t="s">
        <v>565</v>
      </c>
      <c r="C15603" s="16" t="n">
        <f aca="false">IF(C15581&gt;0,C15559-C15592,0)</f>
        <v>0</v>
      </c>
    </row>
    <row r="15604" customFormat="false" ht="15" hidden="false" customHeight="false" outlineLevel="0" collapsed="false">
      <c r="A15604" s="24" t="s">
        <v>570</v>
      </c>
      <c r="B15604" s="25"/>
      <c r="C15604" s="25"/>
      <c r="D15604" s="25"/>
      <c r="E15604" s="25"/>
      <c r="F15604" s="25"/>
      <c r="G15604" s="25"/>
      <c r="H15604" s="25"/>
      <c r="I15604" s="25"/>
      <c r="J15604" s="25"/>
      <c r="K15604" s="25"/>
    </row>
    <row r="15605" customFormat="false" ht="15" hidden="false" customHeight="false" outlineLevel="0" collapsed="false">
      <c r="A15605" s="3" t="s">
        <v>556</v>
      </c>
      <c r="C15605" s="16" t="n">
        <f aca="false">IF(C15572&gt;0,C15594,C15550)</f>
        <v>0</v>
      </c>
    </row>
    <row r="15606" customFormat="false" ht="15" hidden="false" customHeight="false" outlineLevel="0" collapsed="false">
      <c r="A15606" s="3" t="s">
        <v>557</v>
      </c>
      <c r="C15606" s="16" t="n">
        <f aca="false">IF(C15573&gt;0,C15595,C15551)</f>
        <v>32.3004461748714</v>
      </c>
    </row>
    <row r="15607" customFormat="false" ht="15" hidden="false" customHeight="false" outlineLevel="0" collapsed="false">
      <c r="A15607" s="3" t="s">
        <v>558</v>
      </c>
      <c r="C15607" s="16" t="n">
        <f aca="false">IF(C15574&gt;0,C15596,C15552)</f>
        <v>20.6061021112818</v>
      </c>
    </row>
    <row r="15608" customFormat="false" ht="15" hidden="false" customHeight="false" outlineLevel="0" collapsed="false">
      <c r="A15608" s="3" t="s">
        <v>559</v>
      </c>
      <c r="C15608" s="16" t="n">
        <f aca="false">IF(C15575&gt;0,C15597,C15553)</f>
        <v>0</v>
      </c>
    </row>
    <row r="15609" customFormat="false" ht="15" hidden="false" customHeight="false" outlineLevel="0" collapsed="false">
      <c r="A15609" s="3" t="s">
        <v>560</v>
      </c>
      <c r="C15609" s="16" t="n">
        <f aca="false">IF(C15576&gt;0,C15598,C15554)</f>
        <v>437.898835986</v>
      </c>
    </row>
    <row r="15610" customFormat="false" ht="15" hidden="false" customHeight="false" outlineLevel="0" collapsed="false">
      <c r="A15610" s="3" t="s">
        <v>561</v>
      </c>
      <c r="C15610" s="16" t="n">
        <f aca="false">IF(C15577&gt;0,C15599,C15555)</f>
        <v>350</v>
      </c>
    </row>
    <row r="15611" customFormat="false" ht="15" hidden="false" customHeight="false" outlineLevel="0" collapsed="false">
      <c r="A15611" s="3" t="s">
        <v>562</v>
      </c>
      <c r="C15611" s="16" t="n">
        <f aca="false">IF(C15578&gt;0,C15600,C15556)</f>
        <v>550</v>
      </c>
    </row>
    <row r="15612" customFormat="false" ht="15" hidden="false" customHeight="false" outlineLevel="0" collapsed="false">
      <c r="A15612" s="3" t="s">
        <v>563</v>
      </c>
      <c r="C15612" s="16" t="n">
        <f aca="false">IF(C15579&gt;0,C15601,C15557)</f>
        <v>350</v>
      </c>
    </row>
    <row r="15613" customFormat="false" ht="15" hidden="false" customHeight="false" outlineLevel="0" collapsed="false">
      <c r="A15613" s="3" t="s">
        <v>564</v>
      </c>
      <c r="C15613" s="16" t="n">
        <f aca="false">IF(C15580&gt;0,C15602,C15558)</f>
        <v>300</v>
      </c>
    </row>
    <row r="15614" customFormat="false" ht="15" hidden="false" customHeight="false" outlineLevel="0" collapsed="false">
      <c r="A15614" s="3" t="s">
        <v>565</v>
      </c>
      <c r="C15614" s="16" t="n">
        <f aca="false">IF(C15581&gt;0,C15603,C15559)</f>
        <v>78.61</v>
      </c>
    </row>
    <row r="15615" customFormat="false" ht="15" hidden="false" customHeight="false" outlineLevel="0" collapsed="false">
      <c r="A15615" s="24" t="s">
        <v>571</v>
      </c>
      <c r="B15615" s="25"/>
      <c r="C15615" s="25"/>
      <c r="D15615" s="25"/>
      <c r="E15615" s="25"/>
      <c r="F15615" s="25"/>
      <c r="G15615" s="25"/>
      <c r="H15615" s="25"/>
      <c r="I15615" s="25"/>
      <c r="J15615" s="25"/>
      <c r="K15615" s="25"/>
    </row>
    <row r="15616" customFormat="false" ht="15" hidden="false" customHeight="false" outlineLevel="0" collapsed="false">
      <c r="A15616" s="3" t="s">
        <v>556</v>
      </c>
      <c r="C15616" s="21" t="n">
        <f aca="false">IF(C15572&gt;0,Assumptions!$C$17,C15561)</f>
        <v>99</v>
      </c>
    </row>
    <row r="15617" customFormat="false" ht="15" hidden="false" customHeight="false" outlineLevel="0" collapsed="false">
      <c r="A15617" s="3" t="s">
        <v>557</v>
      </c>
      <c r="C15617" s="21" t="n">
        <f aca="false">IF(C15573&gt;0,Assumptions!$C$17,C15562)</f>
        <v>99</v>
      </c>
    </row>
    <row r="15618" customFormat="false" ht="15" hidden="false" customHeight="false" outlineLevel="0" collapsed="false">
      <c r="A15618" s="3" t="s">
        <v>558</v>
      </c>
      <c r="C15618" s="21" t="n">
        <f aca="false">IF(C15574&gt;0,Assumptions!$C$17,C15563)</f>
        <v>99</v>
      </c>
    </row>
    <row r="15619" customFormat="false" ht="15" hidden="false" customHeight="false" outlineLevel="0" collapsed="false">
      <c r="A15619" s="3" t="s">
        <v>559</v>
      </c>
      <c r="C15619" s="21" t="n">
        <f aca="false">IF(C15575&gt;0,Assumptions!$C$17,C15564)</f>
        <v>2</v>
      </c>
    </row>
    <row r="15620" customFormat="false" ht="15" hidden="false" customHeight="false" outlineLevel="0" collapsed="false">
      <c r="A15620" s="3" t="s">
        <v>560</v>
      </c>
      <c r="C15620" s="21" t="n">
        <f aca="false">IF(C15576&gt;0,Assumptions!$C$17,C15565)</f>
        <v>2</v>
      </c>
    </row>
    <row r="15621" customFormat="false" ht="15" hidden="false" customHeight="false" outlineLevel="0" collapsed="false">
      <c r="A15621" s="3" t="s">
        <v>561</v>
      </c>
      <c r="C15621" s="21" t="n">
        <f aca="false">IF(C15577&gt;0,Assumptions!$C$17,C15566)</f>
        <v>2</v>
      </c>
    </row>
    <row r="15622" customFormat="false" ht="15" hidden="false" customHeight="false" outlineLevel="0" collapsed="false">
      <c r="A15622" s="3" t="s">
        <v>562</v>
      </c>
      <c r="C15622" s="21" t="n">
        <f aca="false">IF(C15578&gt;0,Assumptions!$C$17,C15567)</f>
        <v>2</v>
      </c>
    </row>
    <row r="15623" customFormat="false" ht="15" hidden="false" customHeight="false" outlineLevel="0" collapsed="false">
      <c r="A15623" s="3" t="s">
        <v>563</v>
      </c>
      <c r="C15623" s="21" t="n">
        <f aca="false">IF(C15579&gt;0,Assumptions!$C$17,C15568)</f>
        <v>2</v>
      </c>
    </row>
    <row r="15624" customFormat="false" ht="15" hidden="false" customHeight="false" outlineLevel="0" collapsed="false">
      <c r="A15624" s="3" t="s">
        <v>564</v>
      </c>
      <c r="C15624" s="21" t="n">
        <f aca="false">IF(C15580&gt;0,Assumptions!$C$17,C15569)</f>
        <v>2</v>
      </c>
    </row>
    <row r="15625" customFormat="false" ht="15" hidden="false" customHeight="false" outlineLevel="0" collapsed="false">
      <c r="A15625" s="3" t="s">
        <v>565</v>
      </c>
      <c r="C15625" s="21" t="n">
        <f aca="false">IF(C15581&gt;0,Assumptions!$C$17,C15570)</f>
        <v>3</v>
      </c>
    </row>
    <row r="15626" customFormat="false" ht="15" hidden="false" customHeight="false" outlineLevel="0" collapsed="false">
      <c r="A15626" s="24" t="s">
        <v>572</v>
      </c>
      <c r="B15626" s="25"/>
      <c r="C15626" s="25"/>
      <c r="D15626" s="25"/>
      <c r="E15626" s="25"/>
      <c r="F15626" s="25"/>
      <c r="G15626" s="25"/>
      <c r="H15626" s="25"/>
      <c r="I15626" s="25"/>
      <c r="J15626" s="25"/>
      <c r="K15626" s="25"/>
    </row>
    <row r="15627" customFormat="false" ht="15" hidden="false" customHeight="false" outlineLevel="0" collapsed="false">
      <c r="A15627" s="3" t="s">
        <v>556</v>
      </c>
      <c r="C15627" s="16" t="n">
        <f aca="false">SUMPRODUCT(($C$15616:$C$15625&lt;C15616)*$C$15605:$C$15614)</f>
        <v>2066.508835986</v>
      </c>
    </row>
    <row r="15628" customFormat="false" ht="15" hidden="false" customHeight="false" outlineLevel="0" collapsed="false">
      <c r="A15628" s="3" t="s">
        <v>557</v>
      </c>
      <c r="C15628" s="16" t="n">
        <f aca="false">SUMPRODUCT(($C$15616:$C$15625&lt;C15617)*$C$15605:$C$15614)</f>
        <v>2066.508835986</v>
      </c>
    </row>
    <row r="15629" customFormat="false" ht="15" hidden="false" customHeight="false" outlineLevel="0" collapsed="false">
      <c r="A15629" s="3" t="s">
        <v>558</v>
      </c>
      <c r="C15629" s="16" t="n">
        <f aca="false">SUMPRODUCT(($C$15616:$C$15625&lt;C15618)*$C$15605:$C$15614)</f>
        <v>2066.508835986</v>
      </c>
    </row>
    <row r="15630" customFormat="false" ht="15" hidden="false" customHeight="false" outlineLevel="0" collapsed="false">
      <c r="A15630" s="3" t="s">
        <v>559</v>
      </c>
      <c r="C15630" s="16" t="n">
        <f aca="false">SUMPRODUCT(($C$15616:$C$15625&lt;C15619)*$C$15605:$C$15614)</f>
        <v>0</v>
      </c>
    </row>
    <row r="15631" customFormat="false" ht="15" hidden="false" customHeight="false" outlineLevel="0" collapsed="false">
      <c r="A15631" s="3" t="s">
        <v>560</v>
      </c>
      <c r="C15631" s="16" t="n">
        <f aca="false">SUMPRODUCT(($C$15616:$C$15625&lt;C15620)*$C$15605:$C$15614)</f>
        <v>0</v>
      </c>
    </row>
    <row r="15632" customFormat="false" ht="15" hidden="false" customHeight="false" outlineLevel="0" collapsed="false">
      <c r="A15632" s="3" t="s">
        <v>561</v>
      </c>
      <c r="C15632" s="16" t="n">
        <f aca="false">SUMPRODUCT(($C$15616:$C$15625&lt;C15621)*$C$15605:$C$15614)</f>
        <v>0</v>
      </c>
    </row>
    <row r="15633" customFormat="false" ht="15" hidden="false" customHeight="false" outlineLevel="0" collapsed="false">
      <c r="A15633" s="3" t="s">
        <v>562</v>
      </c>
      <c r="C15633" s="16" t="n">
        <f aca="false">SUMPRODUCT(($C$15616:$C$15625&lt;C15622)*$C$15605:$C$15614)</f>
        <v>0</v>
      </c>
    </row>
    <row r="15634" customFormat="false" ht="15" hidden="false" customHeight="false" outlineLevel="0" collapsed="false">
      <c r="A15634" s="3" t="s">
        <v>563</v>
      </c>
      <c r="C15634" s="16" t="n">
        <f aca="false">SUMPRODUCT(($C$15616:$C$15625&lt;C15623)*$C$15605:$C$15614)</f>
        <v>0</v>
      </c>
    </row>
    <row r="15635" customFormat="false" ht="15" hidden="false" customHeight="false" outlineLevel="0" collapsed="false">
      <c r="A15635" s="3" t="s">
        <v>564</v>
      </c>
      <c r="C15635" s="16" t="n">
        <f aca="false">SUMPRODUCT(($C$15616:$C$15625&lt;C15624)*$C$15605:$C$15614)</f>
        <v>0</v>
      </c>
    </row>
    <row r="15636" customFormat="false" ht="15" hidden="false" customHeight="false" outlineLevel="0" collapsed="false">
      <c r="A15636" s="3" t="s">
        <v>565</v>
      </c>
      <c r="C15636" s="16" t="n">
        <f aca="false">SUMPRODUCT(($C$15616:$C$15625&lt;C15625)*$C$15605:$C$15614)</f>
        <v>1987.898835986</v>
      </c>
    </row>
    <row r="15637" customFormat="false" ht="15" hidden="false" customHeight="false" outlineLevel="0" collapsed="false">
      <c r="A15637" s="24" t="s">
        <v>573</v>
      </c>
      <c r="B15637" s="25"/>
      <c r="C15637" s="25"/>
      <c r="D15637" s="25"/>
      <c r="E15637" s="25"/>
      <c r="F15637" s="25"/>
      <c r="G15637" s="25"/>
      <c r="H15637" s="25"/>
      <c r="I15637" s="25"/>
      <c r="J15637" s="25"/>
      <c r="K15637" s="25"/>
    </row>
    <row r="15638" customFormat="false" ht="15" hidden="false" customHeight="false" outlineLevel="0" collapsed="false">
      <c r="A15638" s="3" t="s">
        <v>556</v>
      </c>
      <c r="C15638" s="16" t="n">
        <f aca="false">SUMPRODUCT(($C$15616:$C$15625=C15616)*$C$15605:$C$15614)</f>
        <v>52.9065482861532</v>
      </c>
    </row>
    <row r="15639" customFormat="false" ht="15" hidden="false" customHeight="false" outlineLevel="0" collapsed="false">
      <c r="A15639" s="3" t="s">
        <v>557</v>
      </c>
      <c r="C15639" s="16" t="n">
        <f aca="false">SUMPRODUCT(($C$15616:$C$15625=C15617)*$C$15605:$C$15614)</f>
        <v>52.9065482861532</v>
      </c>
    </row>
    <row r="15640" customFormat="false" ht="15" hidden="false" customHeight="false" outlineLevel="0" collapsed="false">
      <c r="A15640" s="3" t="s">
        <v>558</v>
      </c>
      <c r="C15640" s="16" t="n">
        <f aca="false">SUMPRODUCT(($C$15616:$C$15625=C15618)*$C$15605:$C$15614)</f>
        <v>52.9065482861532</v>
      </c>
    </row>
    <row r="15641" customFormat="false" ht="15" hidden="false" customHeight="false" outlineLevel="0" collapsed="false">
      <c r="A15641" s="3" t="s">
        <v>559</v>
      </c>
      <c r="C15641" s="16" t="n">
        <f aca="false">SUMPRODUCT(($C$15616:$C$15625=C15619)*$C$15605:$C$15614)</f>
        <v>1987.898835986</v>
      </c>
    </row>
    <row r="15642" customFormat="false" ht="15" hidden="false" customHeight="false" outlineLevel="0" collapsed="false">
      <c r="A15642" s="3" t="s">
        <v>560</v>
      </c>
      <c r="C15642" s="16" t="n">
        <f aca="false">SUMPRODUCT(($C$15616:$C$15625=C15620)*$C$15605:$C$15614)</f>
        <v>1987.898835986</v>
      </c>
    </row>
    <row r="15643" customFormat="false" ht="15" hidden="false" customHeight="false" outlineLevel="0" collapsed="false">
      <c r="A15643" s="3" t="s">
        <v>561</v>
      </c>
      <c r="C15643" s="16" t="n">
        <f aca="false">SUMPRODUCT(($C$15616:$C$15625=C15621)*$C$15605:$C$15614)</f>
        <v>1987.898835986</v>
      </c>
    </row>
    <row r="15644" customFormat="false" ht="15" hidden="false" customHeight="false" outlineLevel="0" collapsed="false">
      <c r="A15644" s="3" t="s">
        <v>562</v>
      </c>
      <c r="C15644" s="16" t="n">
        <f aca="false">SUMPRODUCT(($C$15616:$C$15625=C15622)*$C$15605:$C$15614)</f>
        <v>1987.898835986</v>
      </c>
    </row>
    <row r="15645" customFormat="false" ht="15" hidden="false" customHeight="false" outlineLevel="0" collapsed="false">
      <c r="A15645" s="3" t="s">
        <v>563</v>
      </c>
      <c r="C15645" s="16" t="n">
        <f aca="false">SUMPRODUCT(($C$15616:$C$15625=C15623)*$C$15605:$C$15614)</f>
        <v>1987.898835986</v>
      </c>
    </row>
    <row r="15646" customFormat="false" ht="15" hidden="false" customHeight="false" outlineLevel="0" collapsed="false">
      <c r="A15646" s="3" t="s">
        <v>564</v>
      </c>
      <c r="C15646" s="16" t="n">
        <f aca="false">SUMPRODUCT(($C$15616:$C$15625=C15624)*$C$15605:$C$15614)</f>
        <v>1987.898835986</v>
      </c>
    </row>
    <row r="15647" customFormat="false" ht="15" hidden="false" customHeight="false" outlineLevel="0" collapsed="false">
      <c r="A15647" s="3" t="s">
        <v>565</v>
      </c>
      <c r="C15647" s="16" t="n">
        <f aca="false">SUMPRODUCT(($C$15616:$C$15625=C15625)*$C$15605:$C$15614)</f>
        <v>78.61</v>
      </c>
    </row>
    <row r="15648" customFormat="false" ht="15" hidden="false" customHeight="false" outlineLevel="0" collapsed="false">
      <c r="A15648" s="24" t="s">
        <v>574</v>
      </c>
      <c r="B15648" s="25"/>
      <c r="C15648" s="25"/>
      <c r="D15648" s="25"/>
      <c r="E15648" s="25"/>
      <c r="F15648" s="25"/>
      <c r="G15648" s="25"/>
      <c r="H15648" s="25"/>
      <c r="I15648" s="25"/>
      <c r="J15648" s="25"/>
      <c r="K15648" s="25"/>
    </row>
    <row r="15649" customFormat="false" ht="15" hidden="false" customHeight="false" outlineLevel="0" collapsed="false">
      <c r="A15649" s="3" t="s">
        <v>556</v>
      </c>
      <c r="C15649" s="16" t="n">
        <f aca="false">IF(C15638=0,0,C15605/C15638*MAX(0,MIN(C15638,$C$15548-SUM($C$15583:$C$15592)-C15627)))</f>
        <v>0</v>
      </c>
    </row>
    <row r="15650" customFormat="false" ht="15" hidden="false" customHeight="false" outlineLevel="0" collapsed="false">
      <c r="A15650" s="3" t="s">
        <v>557</v>
      </c>
      <c r="C15650" s="16" t="n">
        <f aca="false">IF(C15639=0,0,C15606/C15639*MAX(0,MIN(C15639,$C$15548-SUM($C$15583:$C$15592)-C15628)))</f>
        <v>0</v>
      </c>
    </row>
    <row r="15651" customFormat="false" ht="15" hidden="false" customHeight="false" outlineLevel="0" collapsed="false">
      <c r="A15651" s="3" t="s">
        <v>558</v>
      </c>
      <c r="C15651" s="16" t="n">
        <f aca="false">IF(C15640=0,0,C15607/C15640*MAX(0,MIN(C15640,$C$15548-SUM($C$15583:$C$15592)-C15629)))</f>
        <v>0</v>
      </c>
    </row>
    <row r="15652" customFormat="false" ht="15" hidden="false" customHeight="false" outlineLevel="0" collapsed="false">
      <c r="A15652" s="3" t="s">
        <v>559</v>
      </c>
      <c r="C15652" s="16" t="n">
        <f aca="false">IF(C15641=0,0,C15608/C15641*MAX(0,MIN(C15641,$C$15548-SUM($C$15583:$C$15592)-C15630)))</f>
        <v>0</v>
      </c>
    </row>
    <row r="15653" customFormat="false" ht="15" hidden="false" customHeight="false" outlineLevel="0" collapsed="false">
      <c r="A15653" s="3" t="s">
        <v>560</v>
      </c>
      <c r="C15653" s="16" t="n">
        <f aca="false">IF(C15642=0,0,C15609/C15642*MAX(0,MIN(C15642,$C$15548-SUM($C$15583:$C$15592)-C15631)))</f>
        <v>278.889201351769</v>
      </c>
    </row>
    <row r="15654" customFormat="false" ht="15" hidden="false" customHeight="false" outlineLevel="0" collapsed="false">
      <c r="A15654" s="3" t="s">
        <v>561</v>
      </c>
      <c r="C15654" s="16" t="n">
        <f aca="false">IF(C15643=0,0,C15610/C15643*MAX(0,MIN(C15643,$C$15548-SUM($C$15583:$C$15592)-C15632)))</f>
        <v>222.908152412261</v>
      </c>
    </row>
    <row r="15655" customFormat="false" ht="15" hidden="false" customHeight="false" outlineLevel="0" collapsed="false">
      <c r="A15655" s="3" t="s">
        <v>562</v>
      </c>
      <c r="C15655" s="16" t="n">
        <f aca="false">IF(C15644=0,0,C15611/C15644*MAX(0,MIN(C15644,$C$15548-SUM($C$15583:$C$15592)-C15633)))</f>
        <v>350.284239504982</v>
      </c>
    </row>
    <row r="15656" customFormat="false" ht="15" hidden="false" customHeight="false" outlineLevel="0" collapsed="false">
      <c r="A15656" s="3" t="s">
        <v>563</v>
      </c>
      <c r="C15656" s="16" t="n">
        <f aca="false">IF(C15645=0,0,C15612/C15645*MAX(0,MIN(C15645,$C$15548-SUM($C$15583:$C$15592)-C15634)))</f>
        <v>222.908152412261</v>
      </c>
    </row>
    <row r="15657" customFormat="false" ht="15" hidden="false" customHeight="false" outlineLevel="0" collapsed="false">
      <c r="A15657" s="3" t="s">
        <v>564</v>
      </c>
      <c r="C15657" s="16" t="n">
        <f aca="false">IF(C15646=0,0,C15613/C15646*MAX(0,MIN(C15646,$C$15548-SUM($C$15583:$C$15592)-C15635)))</f>
        <v>191.064130639081</v>
      </c>
    </row>
    <row r="15658" customFormat="false" ht="15" hidden="false" customHeight="false" outlineLevel="0" collapsed="false">
      <c r="A15658" s="3" t="s">
        <v>565</v>
      </c>
      <c r="C15658" s="16" t="n">
        <f aca="false">IF(C15647=0,0,C15614/C15647*MAX(0,MIN(C15647,$C$15548-SUM($C$15583:$C$15592)-C15636)))</f>
        <v>0</v>
      </c>
    </row>
    <row r="15659" customFormat="false" ht="15" hidden="false" customHeight="false" outlineLevel="0" collapsed="false">
      <c r="A15659" s="24" t="s">
        <v>575</v>
      </c>
      <c r="B15659" s="25"/>
      <c r="C15659" s="25"/>
      <c r="D15659" s="25"/>
      <c r="E15659" s="25"/>
      <c r="F15659" s="25"/>
      <c r="G15659" s="25"/>
      <c r="H15659" s="25"/>
      <c r="I15659" s="25"/>
      <c r="J15659" s="25"/>
      <c r="K15659" s="25"/>
    </row>
    <row r="15660" customFormat="false" ht="15" hidden="false" customHeight="false" outlineLevel="0" collapsed="false">
      <c r="A15660" s="2" t="s">
        <v>556</v>
      </c>
      <c r="C15660" s="17" t="n">
        <f aca="false">C15583+C15649</f>
        <v>388</v>
      </c>
    </row>
    <row r="15661" customFormat="false" ht="15" hidden="false" customHeight="false" outlineLevel="0" collapsed="false">
      <c r="A15661" s="2" t="s">
        <v>557</v>
      </c>
      <c r="C15661" s="17" t="n">
        <f aca="false">C15584+C15650</f>
        <v>57.6995538251286</v>
      </c>
    </row>
    <row r="15662" customFormat="false" ht="15" hidden="false" customHeight="false" outlineLevel="0" collapsed="false">
      <c r="A15662" s="2" t="s">
        <v>558</v>
      </c>
      <c r="C15662" s="17" t="n">
        <f aca="false">C15585+C15651</f>
        <v>36.7178978887182</v>
      </c>
    </row>
    <row r="15663" customFormat="false" ht="15" hidden="false" customHeight="false" outlineLevel="0" collapsed="false">
      <c r="A15663" s="2" t="s">
        <v>559</v>
      </c>
      <c r="C15663" s="17" t="n">
        <f aca="false">C15586+C15652</f>
        <v>0</v>
      </c>
    </row>
    <row r="15664" customFormat="false" ht="15" hidden="false" customHeight="false" outlineLevel="0" collapsed="false">
      <c r="A15664" s="2" t="s">
        <v>560</v>
      </c>
      <c r="C15664" s="17" t="n">
        <f aca="false">C15587+C15653</f>
        <v>278.889201351769</v>
      </c>
    </row>
    <row r="15665" customFormat="false" ht="15" hidden="false" customHeight="false" outlineLevel="0" collapsed="false">
      <c r="A15665" s="2" t="s">
        <v>561</v>
      </c>
      <c r="C15665" s="17" t="n">
        <f aca="false">C15588+C15654</f>
        <v>222.908152412261</v>
      </c>
    </row>
    <row r="15666" customFormat="false" ht="15" hidden="false" customHeight="false" outlineLevel="0" collapsed="false">
      <c r="A15666" s="2" t="s">
        <v>562</v>
      </c>
      <c r="C15666" s="17" t="n">
        <f aca="false">C15589+C15655</f>
        <v>350.284239504982</v>
      </c>
    </row>
    <row r="15667" customFormat="false" ht="15" hidden="false" customHeight="false" outlineLevel="0" collapsed="false">
      <c r="A15667" s="2" t="s">
        <v>563</v>
      </c>
      <c r="C15667" s="17" t="n">
        <f aca="false">C15590+C15656</f>
        <v>222.908152412261</v>
      </c>
    </row>
    <row r="15668" customFormat="false" ht="15" hidden="false" customHeight="false" outlineLevel="0" collapsed="false">
      <c r="A15668" s="2" t="s">
        <v>564</v>
      </c>
      <c r="C15668" s="17" t="n">
        <f aca="false">C15591+C15657</f>
        <v>191.064130639081</v>
      </c>
    </row>
    <row r="15669" customFormat="false" ht="15" hidden="false" customHeight="false" outlineLevel="0" collapsed="false">
      <c r="A15669" s="2" t="s">
        <v>565</v>
      </c>
      <c r="C15669" s="17" t="n">
        <f aca="false">C15592+C15658</f>
        <v>0</v>
      </c>
    </row>
    <row r="15670" customFormat="false" ht="15" hidden="false" customHeight="false" outlineLevel="0" collapsed="false">
      <c r="A15670" s="24" t="s">
        <v>576</v>
      </c>
      <c r="B15670" s="25"/>
      <c r="C15670" s="25"/>
      <c r="D15670" s="25"/>
      <c r="E15670" s="25"/>
      <c r="F15670" s="25"/>
      <c r="G15670" s="25"/>
      <c r="H15670" s="25"/>
      <c r="I15670" s="25"/>
      <c r="J15670" s="25"/>
      <c r="K15670" s="25"/>
    </row>
    <row r="15671" customFormat="false" ht="15" hidden="false" customHeight="false" outlineLevel="0" collapsed="false">
      <c r="A15671" s="3" t="s">
        <v>556</v>
      </c>
      <c r="C15671" s="22" t="n">
        <f aca="false">IF(C15550=0,1,C15660/C15550)</f>
        <v>1</v>
      </c>
    </row>
    <row r="15672" customFormat="false" ht="15" hidden="false" customHeight="false" outlineLevel="0" collapsed="false">
      <c r="A15672" s="3" t="s">
        <v>557</v>
      </c>
      <c r="C15672" s="22" t="n">
        <f aca="false">IF(C15551=0,1,C15661/C15551)</f>
        <v>0.64110615361254</v>
      </c>
    </row>
    <row r="15673" customFormat="false" ht="15" hidden="false" customHeight="false" outlineLevel="0" collapsed="false">
      <c r="A15673" s="3" t="s">
        <v>558</v>
      </c>
      <c r="C15673" s="22" t="n">
        <f aca="false">IF(C15552=0,1,C15662/C15552)</f>
        <v>0.640532724316485</v>
      </c>
    </row>
    <row r="15674" customFormat="false" ht="15" hidden="false" customHeight="false" outlineLevel="0" collapsed="false">
      <c r="A15674" s="3" t="s">
        <v>559</v>
      </c>
      <c r="C15674" s="22" t="n">
        <f aca="false">IF(C15553=0,1,C15663/C15553)</f>
        <v>1</v>
      </c>
    </row>
    <row r="15675" customFormat="false" ht="15" hidden="false" customHeight="false" outlineLevel="0" collapsed="false">
      <c r="A15675" s="3" t="s">
        <v>560</v>
      </c>
      <c r="C15675" s="22" t="n">
        <f aca="false">IF(C15554=0,1,C15664/C15554)</f>
        <v>0.636880435463603</v>
      </c>
    </row>
    <row r="15676" customFormat="false" ht="15" hidden="false" customHeight="false" outlineLevel="0" collapsed="false">
      <c r="A15676" s="3" t="s">
        <v>561</v>
      </c>
      <c r="C15676" s="22" t="n">
        <f aca="false">IF(C15555=0,1,C15665/C15555)</f>
        <v>0.636880435463603</v>
      </c>
    </row>
    <row r="15677" customFormat="false" ht="15" hidden="false" customHeight="false" outlineLevel="0" collapsed="false">
      <c r="A15677" s="3" t="s">
        <v>562</v>
      </c>
      <c r="C15677" s="22" t="n">
        <f aca="false">IF(C15556=0,1,C15666/C15556)</f>
        <v>0.636880435463603</v>
      </c>
    </row>
    <row r="15678" customFormat="false" ht="15" hidden="false" customHeight="false" outlineLevel="0" collapsed="false">
      <c r="A15678" s="3" t="s">
        <v>563</v>
      </c>
      <c r="C15678" s="22" t="n">
        <f aca="false">IF(C15557=0,1,C15667/C15557)</f>
        <v>0.636880435463603</v>
      </c>
    </row>
    <row r="15679" customFormat="false" ht="15" hidden="false" customHeight="false" outlineLevel="0" collapsed="false">
      <c r="A15679" s="3" t="s">
        <v>564</v>
      </c>
      <c r="C15679" s="22" t="n">
        <f aca="false">IF(C15558=0,1,C15668/C15558)</f>
        <v>0.636880435463603</v>
      </c>
    </row>
    <row r="15680" customFormat="false" ht="15" hidden="false" customHeight="false" outlineLevel="0" collapsed="false">
      <c r="A15680" s="3" t="s">
        <v>565</v>
      </c>
      <c r="C15680" s="22" t="n">
        <f aca="false">IF(C15559=0,1,C15669/C15559)</f>
        <v>0</v>
      </c>
    </row>
    <row r="15681" customFormat="false" ht="15" hidden="false" customHeight="false" outlineLevel="0" collapsed="false">
      <c r="A15681" s="24" t="s">
        <v>577</v>
      </c>
      <c r="B15681" s="25"/>
      <c r="C15681" s="25"/>
      <c r="D15681" s="25"/>
      <c r="E15681" s="25"/>
      <c r="F15681" s="25"/>
      <c r="G15681" s="25"/>
      <c r="H15681" s="25"/>
      <c r="I15681" s="25"/>
      <c r="J15681" s="25"/>
      <c r="K15681" s="25"/>
    </row>
    <row r="15682" customFormat="false" ht="15" hidden="false" customHeight="false" outlineLevel="0" collapsed="false">
      <c r="A15682" s="3" t="s">
        <v>556</v>
      </c>
      <c r="C15682" s="16" t="n">
        <f aca="false">C15550-C15660</f>
        <v>0</v>
      </c>
    </row>
    <row r="15683" customFormat="false" ht="15" hidden="false" customHeight="false" outlineLevel="0" collapsed="false">
      <c r="A15683" s="3" t="s">
        <v>557</v>
      </c>
      <c r="C15683" s="16" t="n">
        <f aca="false">C15551-C15661</f>
        <v>32.3004461748714</v>
      </c>
    </row>
    <row r="15684" customFormat="false" ht="15" hidden="false" customHeight="false" outlineLevel="0" collapsed="false">
      <c r="A15684" s="3" t="s">
        <v>558</v>
      </c>
      <c r="C15684" s="16" t="n">
        <f aca="false">C15552-C15662</f>
        <v>20.6061021112818</v>
      </c>
    </row>
    <row r="15685" customFormat="false" ht="15" hidden="false" customHeight="false" outlineLevel="0" collapsed="false">
      <c r="A15685" s="3" t="s">
        <v>559</v>
      </c>
      <c r="C15685" s="16" t="n">
        <f aca="false">C15553-C15663</f>
        <v>0</v>
      </c>
    </row>
    <row r="15686" customFormat="false" ht="15" hidden="false" customHeight="false" outlineLevel="0" collapsed="false">
      <c r="A15686" s="3" t="s">
        <v>560</v>
      </c>
      <c r="C15686" s="16" t="n">
        <f aca="false">C15554-C15664</f>
        <v>159.009634634231</v>
      </c>
    </row>
    <row r="15687" customFormat="false" ht="15" hidden="false" customHeight="false" outlineLevel="0" collapsed="false">
      <c r="A15687" s="3" t="s">
        <v>561</v>
      </c>
      <c r="C15687" s="16" t="n">
        <f aca="false">C15555-C15665</f>
        <v>127.091847587739</v>
      </c>
    </row>
    <row r="15688" customFormat="false" ht="15" hidden="false" customHeight="false" outlineLevel="0" collapsed="false">
      <c r="A15688" s="3" t="s">
        <v>562</v>
      </c>
      <c r="C15688" s="16" t="n">
        <f aca="false">C15556-C15666</f>
        <v>199.715760495018</v>
      </c>
    </row>
    <row r="15689" customFormat="false" ht="15" hidden="false" customHeight="false" outlineLevel="0" collapsed="false">
      <c r="A15689" s="3" t="s">
        <v>563</v>
      </c>
      <c r="C15689" s="16" t="n">
        <f aca="false">C15557-C15667</f>
        <v>127.091847587739</v>
      </c>
    </row>
    <row r="15690" customFormat="false" ht="15" hidden="false" customHeight="false" outlineLevel="0" collapsed="false">
      <c r="A15690" s="3" t="s">
        <v>564</v>
      </c>
      <c r="C15690" s="16" t="n">
        <f aca="false">C15558-C15668</f>
        <v>108.935869360919</v>
      </c>
    </row>
    <row r="15691" customFormat="false" ht="15" hidden="false" customHeight="false" outlineLevel="0" collapsed="false">
      <c r="A15691" s="3" t="s">
        <v>565</v>
      </c>
      <c r="C15691" s="16" t="n">
        <f aca="false">C15559-C15669</f>
        <v>78.61</v>
      </c>
    </row>
    <row r="15692" customFormat="false" ht="15" hidden="false" customHeight="false" outlineLevel="0" collapsed="false">
      <c r="A15692" s="24" t="s">
        <v>578</v>
      </c>
      <c r="B15692" s="25"/>
      <c r="C15692" s="25"/>
      <c r="D15692" s="25"/>
      <c r="E15692" s="25"/>
      <c r="F15692" s="25"/>
      <c r="G15692" s="25"/>
      <c r="H15692" s="25"/>
      <c r="I15692" s="25"/>
      <c r="J15692" s="25"/>
      <c r="K15692" s="25"/>
    </row>
    <row r="15693" customFormat="false" ht="15" hidden="false" customHeight="false" outlineLevel="0" collapsed="false">
      <c r="A15693" s="3" t="s">
        <v>556</v>
      </c>
      <c r="C15693" s="22" t="n">
        <f aca="false">IF(C15550=0,0,C15682/C15550)</f>
        <v>0</v>
      </c>
    </row>
    <row r="15694" customFormat="false" ht="15" hidden="false" customHeight="false" outlineLevel="0" collapsed="false">
      <c r="A15694" s="3" t="s">
        <v>557</v>
      </c>
      <c r="C15694" s="22" t="n">
        <f aca="false">IF(C15551=0,0,C15683/C15551)</f>
        <v>0.35889384638746</v>
      </c>
    </row>
    <row r="15695" customFormat="false" ht="15" hidden="false" customHeight="false" outlineLevel="0" collapsed="false">
      <c r="A15695" s="3" t="s">
        <v>558</v>
      </c>
      <c r="C15695" s="22" t="n">
        <f aca="false">IF(C15552=0,0,C15684/C15552)</f>
        <v>0.359467275683515</v>
      </c>
    </row>
    <row r="15696" customFormat="false" ht="15" hidden="false" customHeight="false" outlineLevel="0" collapsed="false">
      <c r="A15696" s="3" t="s">
        <v>559</v>
      </c>
      <c r="C15696" s="22" t="n">
        <f aca="false">IF(C15553=0,0,C15685/C15553)</f>
        <v>0</v>
      </c>
    </row>
    <row r="15697" customFormat="false" ht="15" hidden="false" customHeight="false" outlineLevel="0" collapsed="false">
      <c r="A15697" s="3" t="s">
        <v>560</v>
      </c>
      <c r="C15697" s="22" t="n">
        <f aca="false">IF(C15554=0,0,C15686/C15554)</f>
        <v>0.363119564536397</v>
      </c>
    </row>
    <row r="15698" customFormat="false" ht="15" hidden="false" customHeight="false" outlineLevel="0" collapsed="false">
      <c r="A15698" s="3" t="s">
        <v>561</v>
      </c>
      <c r="C15698" s="22" t="n">
        <f aca="false">IF(C15555=0,0,C15687/C15555)</f>
        <v>0.363119564536397</v>
      </c>
    </row>
    <row r="15699" customFormat="false" ht="15" hidden="false" customHeight="false" outlineLevel="0" collapsed="false">
      <c r="A15699" s="3" t="s">
        <v>562</v>
      </c>
      <c r="C15699" s="22" t="n">
        <f aca="false">IF(C15556=0,0,C15688/C15556)</f>
        <v>0.363119564536397</v>
      </c>
    </row>
    <row r="15700" customFormat="false" ht="15" hidden="false" customHeight="false" outlineLevel="0" collapsed="false">
      <c r="A15700" s="3" t="s">
        <v>563</v>
      </c>
      <c r="C15700" s="22" t="n">
        <f aca="false">IF(C15557=0,0,C15689/C15557)</f>
        <v>0.363119564536397</v>
      </c>
    </row>
    <row r="15701" customFormat="false" ht="15" hidden="false" customHeight="false" outlineLevel="0" collapsed="false">
      <c r="A15701" s="3" t="s">
        <v>564</v>
      </c>
      <c r="C15701" s="22" t="n">
        <f aca="false">IF(C15558=0,0,C15690/C15558)</f>
        <v>0.363119564536397</v>
      </c>
    </row>
    <row r="15702" customFormat="false" ht="15" hidden="false" customHeight="false" outlineLevel="0" collapsed="false">
      <c r="A15702" s="3" t="s">
        <v>565</v>
      </c>
      <c r="C15702" s="22" t="n">
        <f aca="false">IF(C15559=0,0,C15691/C15559)</f>
        <v>1</v>
      </c>
    </row>
    <row r="15703" customFormat="false" ht="15" hidden="false" customHeight="false" outlineLevel="0" collapsed="false">
      <c r="A15703" s="2" t="s">
        <v>579</v>
      </c>
      <c r="C15703" s="17" t="n">
        <f aca="false">MAX(0,$C$15548-SUM($C$15583:$C$15592)-SUM($C$15605:$C$15614))</f>
        <v>0</v>
      </c>
    </row>
    <row r="15704" customFormat="false" ht="15" hidden="false" customHeight="false" outlineLevel="0" collapsed="false">
      <c r="A15704" s="3" t="s">
        <v>597</v>
      </c>
      <c r="C15704" s="35" t="n">
        <f aca="false">MIN(C15547,100*CHOOSE(C15537,C15671,C15672,C15673,C15674,C15675,C15676,C15677,C15678,C15679,C15680))</f>
        <v>95</v>
      </c>
    </row>
    <row r="15705" customFormat="false" ht="15" hidden="false" customHeight="false" outlineLevel="0" collapsed="false">
      <c r="A15705" s="3" t="s">
        <v>598</v>
      </c>
      <c r="C15705" s="21" t="n">
        <f aca="false">IF(C15369=1,C15542+Assumptions!$C$40,C15541)</f>
        <v>3</v>
      </c>
    </row>
    <row r="15706" customFormat="false" ht="15" hidden="false" customHeight="false" outlineLevel="0" collapsed="false">
      <c r="A15706" s="24" t="s">
        <v>599</v>
      </c>
      <c r="B15706" s="25"/>
      <c r="C15706" s="25"/>
      <c r="D15706" s="25"/>
      <c r="E15706" s="25"/>
      <c r="F15706" s="25"/>
      <c r="G15706" s="25"/>
      <c r="H15706" s="25"/>
      <c r="I15706" s="25"/>
      <c r="J15706" s="25"/>
      <c r="K15706" s="25"/>
    </row>
    <row r="15707" customFormat="false" ht="15" hidden="false" customHeight="false" outlineLevel="0" collapsed="false">
      <c r="A15707" s="3" t="s">
        <v>600</v>
      </c>
      <c r="C15707" s="21" t="n">
        <f aca="false">COLUMN()-COLUMN($C$1)</f>
        <v>0</v>
      </c>
      <c r="D15707" s="21" t="n">
        <f aca="false">COLUMN()-COLUMN($C$1)</f>
        <v>1</v>
      </c>
      <c r="E15707" s="21" t="n">
        <f aca="false">COLUMN()-COLUMN($C$1)</f>
        <v>2</v>
      </c>
      <c r="F15707" s="21" t="n">
        <f aca="false">COLUMN()-COLUMN($C$1)</f>
        <v>3</v>
      </c>
      <c r="G15707" s="21" t="n">
        <f aca="false">COLUMN()-COLUMN($C$1)</f>
        <v>4</v>
      </c>
      <c r="H15707" s="21" t="n">
        <f aca="false">COLUMN()-COLUMN($C$1)</f>
        <v>5</v>
      </c>
      <c r="I15707" s="21" t="n">
        <f aca="false">COLUMN()-COLUMN($C$1)</f>
        <v>6</v>
      </c>
    </row>
    <row r="15708" customFormat="false" ht="15" hidden="false" customHeight="false" outlineLevel="0" collapsed="false">
      <c r="A15708" s="3" t="s">
        <v>601</v>
      </c>
      <c r="D15708" s="31" t="n">
        <f aca="false">CHOOSE($C$15537,G15117,G15130,G15143,G15156,G15169,G15182,G15195,G15208,G15221,G15234)</f>
        <v>0.1065</v>
      </c>
      <c r="E15708" s="31" t="n">
        <f aca="false">CHOOSE($C$15537,H15117,H15130,H15143,H15156,H15169,H15182,H15195,H15208,H15221,H15234)</f>
        <v>0.105</v>
      </c>
      <c r="F15708" s="31" t="n">
        <f aca="false">CHOOSE($C$15537,I15117,I15130,I15143,I15156,I15169,I15182,I15195,I15208,I15221,I15234)</f>
        <v>0.1025</v>
      </c>
      <c r="G15708" s="31" t="n">
        <f aca="false">CHOOSE($C$15537,J15117,J15130,J15143,J15156,J15169,J15182,J15195,J15208,J15221,J15234)</f>
        <v>0.1025</v>
      </c>
      <c r="H15708" s="31" t="n">
        <f aca="false">CHOOSE($C$15537,K15117,K15130,K15143,K15156,K15169,K15182,K15195,K15208,K15221,K15234)</f>
        <v>0.1025</v>
      </c>
    </row>
    <row r="15709" customFormat="false" ht="15" hidden="false" customHeight="false" outlineLevel="0" collapsed="false">
      <c r="A15709" s="3" t="s">
        <v>602</v>
      </c>
      <c r="D15709" s="16" t="n">
        <f aca="false">IF(D15707&lt;=$C$15546,$C$15538*D15708,0)</f>
        <v>10.65</v>
      </c>
      <c r="E15709" s="16" t="n">
        <f aca="false">IF(E15707&lt;=$C$15546,$C$15538*E15708,0)</f>
        <v>10.5</v>
      </c>
      <c r="F15709" s="16" t="n">
        <f aca="false">IF(F15707&lt;=$C$15546,$C$15538*F15708,0)</f>
        <v>0</v>
      </c>
      <c r="G15709" s="16" t="n">
        <f aca="false">IF(G15707&lt;=$C$15546,$C$15538*G15708,0)</f>
        <v>0</v>
      </c>
      <c r="H15709" s="16" t="n">
        <f aca="false">IF(H15707&lt;=$C$15546,$C$15538*H15708,0)</f>
        <v>0</v>
      </c>
    </row>
    <row r="15710" customFormat="false" ht="15" hidden="false" customHeight="false" outlineLevel="0" collapsed="false">
      <c r="A15710" s="3" t="s">
        <v>603</v>
      </c>
      <c r="D15710" s="16" t="n">
        <f aca="false">IF(AND($C$15369=0,D15707=$C$15541),$C$15538*$C$15704/100,0)+IF(AND($C$15369=1,D15707=$C$15705),$C$15544,0)</f>
        <v>0</v>
      </c>
      <c r="E15710" s="16" t="n">
        <f aca="false">IF(AND($C$15369=0,E15707=$C$15541),$C$15538*$C$15704/100,0)+IF(AND($C$15369=1,E15707=$C$15705),$C$15544,0)</f>
        <v>0</v>
      </c>
      <c r="F15710" s="16" t="n">
        <f aca="false">IF(AND($C$15369=0,F15707=$C$15541),$C$15538*$C$15704/100,0)+IF(AND($C$15369=1,F15707=$C$15705),$C$15544,0)</f>
        <v>102.625</v>
      </c>
      <c r="G15710" s="16" t="n">
        <f aca="false">IF(AND($C$15369=0,G15707=$C$15541),$C$15538*$C$15704/100,0)+IF(AND($C$15369=1,G15707=$C$15705),$C$15544,0)</f>
        <v>0</v>
      </c>
      <c r="H15710" s="16" t="n">
        <f aca="false">IF(AND($C$15369=0,H15707=$C$15541),$C$15538*$C$15704/100,0)+IF(AND($C$15369=1,H15707=$C$15705),$C$15544,0)</f>
        <v>0</v>
      </c>
      <c r="I15710" s="16" t="n">
        <f aca="false">IF(AND($C$15369=0,I15707=$C$15541),$C$15538*$C$15704/100,0)+IF(AND($C$15369=1,I15707=$C$15705),$C$15544,0)</f>
        <v>0</v>
      </c>
    </row>
    <row r="15711" customFormat="false" ht="15" hidden="false" customHeight="false" outlineLevel="0" collapsed="false">
      <c r="A15711" s="2" t="s">
        <v>604</v>
      </c>
      <c r="C15711" s="17" t="n">
        <f aca="false">-$C$15540</f>
        <v>-98.49</v>
      </c>
      <c r="D15711" s="17" t="n">
        <f aca="false">D15709+D15710</f>
        <v>10.65</v>
      </c>
      <c r="E15711" s="17" t="n">
        <f aca="false">E15709+E15710</f>
        <v>10.5</v>
      </c>
      <c r="F15711" s="17" t="n">
        <f aca="false">F15709+F15710</f>
        <v>102.625</v>
      </c>
      <c r="G15711" s="17" t="n">
        <f aca="false">G15709+G15710</f>
        <v>0</v>
      </c>
      <c r="H15711" s="17" t="n">
        <f aca="false">H15709+H15710</f>
        <v>0</v>
      </c>
      <c r="I15711" s="17" t="n">
        <f aca="false">I15709+I15710</f>
        <v>0</v>
      </c>
    </row>
    <row r="15712" customFormat="false" ht="15" hidden="false" customHeight="false" outlineLevel="0" collapsed="false">
      <c r="A15712" s="3" t="s">
        <v>605</v>
      </c>
      <c r="C15712" s="16" t="n">
        <f aca="false">SUM($C$15709:$I$15709)</f>
        <v>21.15</v>
      </c>
    </row>
    <row r="15713" customFormat="false" ht="15" hidden="false" customHeight="false" outlineLevel="0" collapsed="false">
      <c r="A15713" s="3" t="s">
        <v>606</v>
      </c>
      <c r="C15713" s="16" t="n">
        <f aca="false">SUM($C$15710:$I$15710)</f>
        <v>102.625</v>
      </c>
    </row>
    <row r="15714" customFormat="false" ht="15" hidden="false" customHeight="false" outlineLevel="0" collapsed="false">
      <c r="A15714" s="3" t="s">
        <v>607</v>
      </c>
      <c r="C15714" s="16" t="n">
        <f aca="false">C15712+C15713</f>
        <v>123.775</v>
      </c>
    </row>
    <row r="15715" customFormat="false" ht="15" hidden="false" customHeight="false" outlineLevel="0" collapsed="false">
      <c r="A15715" s="3" t="s">
        <v>608</v>
      </c>
      <c r="C15715" s="16" t="n">
        <f aca="false">C15713-C15538*C15539/100</f>
        <v>4.62500000000001</v>
      </c>
    </row>
    <row r="15716" customFormat="false" ht="15" hidden="false" customHeight="false" outlineLevel="0" collapsed="false">
      <c r="A15716" s="3" t="s">
        <v>609</v>
      </c>
      <c r="C15716" s="16" t="n">
        <f aca="false">C15714-C15540</f>
        <v>25.285</v>
      </c>
    </row>
    <row r="15717" customFormat="false" ht="15" hidden="false" customHeight="false" outlineLevel="0" collapsed="false">
      <c r="A15717" s="2" t="s">
        <v>484</v>
      </c>
      <c r="C15717" s="44" t="n">
        <f aca="false">C15714/C15540</f>
        <v>1.25672657122551</v>
      </c>
    </row>
    <row r="15718" customFormat="false" ht="15" hidden="false" customHeight="false" outlineLevel="0" collapsed="false">
      <c r="A15718" s="2" t="s">
        <v>483</v>
      </c>
      <c r="C15718" s="42" t="n">
        <f aca="false">IF(C15714&lt;=0,-1,IFERROR(IRR($C$15711:$I$15711,MAX(-0.9,C15717^(1/C15705)-1)),IRR($C$15711:$I$15711,0.1)))</f>
        <v>0.0873962489027792</v>
      </c>
    </row>
    <row r="15719" customFormat="false" ht="15" hidden="false" customHeight="false" outlineLevel="0" collapsed="false">
      <c r="A15719" s="3" t="s">
        <v>610</v>
      </c>
      <c r="C15719" s="32" t="n">
        <f aca="false">MAX($G$15313:$K$15313)</f>
        <v>21.7660504021208</v>
      </c>
    </row>
    <row r="15720" customFormat="false" ht="15" hidden="false" customHeight="false" outlineLevel="0" collapsed="false">
      <c r="A15720" s="3" t="s">
        <v>611</v>
      </c>
      <c r="C15720" s="32" t="n">
        <f aca="false">MIN($G$15314:$K$15314)</f>
        <v>0.732682810597453</v>
      </c>
    </row>
    <row r="15721" customFormat="false" ht="15" hidden="false" customHeight="false" outlineLevel="0" collapsed="false">
      <c r="A15721" s="3" t="s">
        <v>612</v>
      </c>
      <c r="C15721" s="16" t="n">
        <f aca="false">SUM($G$15101:$K$15101)</f>
        <v>-486.032529442643</v>
      </c>
    </row>
    <row r="15725" customFormat="false" ht="15" hidden="false" customHeight="false" outlineLevel="0" collapsed="false">
      <c r="A15725" s="9" t="s">
        <v>1154</v>
      </c>
      <c r="B15725" s="10"/>
      <c r="C15725" s="10"/>
      <c r="D15725" s="10"/>
      <c r="E15725" s="10"/>
      <c r="F15725" s="10"/>
      <c r="G15725" s="10"/>
      <c r="H15725" s="10"/>
      <c r="I15725" s="10"/>
      <c r="J15725" s="10"/>
      <c r="K15725" s="10"/>
    </row>
    <row r="15726" customFormat="false" ht="15" hidden="false" customHeight="false" outlineLevel="0" collapsed="false">
      <c r="A15726" s="3" t="s">
        <v>1126</v>
      </c>
      <c r="C15726" s="11" t="n">
        <v>2</v>
      </c>
    </row>
    <row r="15727" customFormat="false" ht="15" hidden="false" customHeight="false" outlineLevel="0" collapsed="false">
      <c r="A15727" s="3" t="s">
        <v>1127</v>
      </c>
      <c r="C15727" s="30" t="n">
        <f aca="false">Sensitivities!$A$41</f>
        <v>-0.05</v>
      </c>
    </row>
    <row r="15728" customFormat="false" ht="15" hidden="false" customHeight="false" outlineLevel="0" collapsed="false">
      <c r="A15728" s="3" t="s">
        <v>1128</v>
      </c>
      <c r="C15728" s="19" t="n">
        <v>0</v>
      </c>
    </row>
    <row r="15729" customFormat="false" ht="15" hidden="false" customHeight="false" outlineLevel="0" collapsed="false">
      <c r="A15729" s="3" t="s">
        <v>1129</v>
      </c>
      <c r="C15729" s="19" t="n">
        <v>0</v>
      </c>
    </row>
    <row r="15730" customFormat="false" ht="15" hidden="false" customHeight="false" outlineLevel="0" collapsed="false">
      <c r="A15730" s="3" t="s">
        <v>1130</v>
      </c>
      <c r="C15730" s="15" t="n">
        <v>0</v>
      </c>
    </row>
    <row r="15732" customFormat="false" ht="15" hidden="false" customHeight="false" outlineLevel="0" collapsed="false">
      <c r="A15732" s="24" t="s">
        <v>301</v>
      </c>
      <c r="B15732" s="25"/>
      <c r="C15732" s="25"/>
      <c r="D15732" s="25"/>
      <c r="E15732" s="25"/>
      <c r="F15732" s="25"/>
      <c r="G15732" s="25"/>
      <c r="H15732" s="25"/>
      <c r="I15732" s="25"/>
      <c r="J15732" s="25"/>
      <c r="K15732" s="25"/>
    </row>
    <row r="15733" customFormat="false" ht="15" hidden="false" customHeight="false" outlineLevel="0" collapsed="false">
      <c r="A15733" s="3" t="s">
        <v>302</v>
      </c>
      <c r="F15733" s="27" t="n">
        <f aca="false">Assumptions!$C$6</f>
        <v>2026</v>
      </c>
      <c r="G15733" s="21" t="n">
        <f aca="false">F15733+1</f>
        <v>2027</v>
      </c>
      <c r="H15733" s="21" t="n">
        <f aca="false">G15733+1</f>
        <v>2028</v>
      </c>
      <c r="I15733" s="21" t="n">
        <f aca="false">H15733+1</f>
        <v>2029</v>
      </c>
      <c r="J15733" s="21" t="n">
        <f aca="false">I15733+1</f>
        <v>2030</v>
      </c>
      <c r="K15733" s="21" t="n">
        <f aca="false">J15733+1</f>
        <v>2031</v>
      </c>
    </row>
    <row r="15734" customFormat="false" ht="15" hidden="false" customHeight="false" outlineLevel="0" collapsed="false">
      <c r="A15734" s="3" t="s">
        <v>303</v>
      </c>
      <c r="G15734" s="21" t="n">
        <f aca="false">G15733-Assumptions!$C$6</f>
        <v>1</v>
      </c>
      <c r="H15734" s="21" t="n">
        <f aca="false">H15733-Assumptions!$C$6</f>
        <v>2</v>
      </c>
      <c r="I15734" s="21" t="n">
        <f aca="false">I15733-Assumptions!$C$6</f>
        <v>3</v>
      </c>
      <c r="J15734" s="21" t="n">
        <f aca="false">J15733-Assumptions!$C$6</f>
        <v>4</v>
      </c>
      <c r="K15734" s="21" t="n">
        <f aca="false">K15733-Assumptions!$C$6</f>
        <v>5</v>
      </c>
    </row>
    <row r="15735" customFormat="false" ht="15" hidden="false" customHeight="false" outlineLevel="0" collapsed="false">
      <c r="A15735" s="3" t="s">
        <v>180</v>
      </c>
      <c r="G15735" s="22" t="n">
        <f aca="false">CHOOSE($C$15726,Assumptions!$G$79,Assumptions!$G$98,Assumptions!$G$117)+$C$15727</f>
        <v>-0.11</v>
      </c>
      <c r="H15735" s="22" t="n">
        <f aca="false">CHOOSE($C$15726,Assumptions!$H$79,Assumptions!$H$98,Assumptions!$H$117)+$C$15727</f>
        <v>-0.08</v>
      </c>
      <c r="I15735" s="22" t="n">
        <f aca="false">CHOOSE($C$15726,Assumptions!$I$79,Assumptions!$I$98,Assumptions!$I$117)+$C$15727</f>
        <v>-0.05</v>
      </c>
      <c r="J15735" s="22" t="n">
        <f aca="false">CHOOSE($C$15726,Assumptions!$J$79,Assumptions!$J$98,Assumptions!$J$117)+$C$15727</f>
        <v>-0.04</v>
      </c>
      <c r="K15735" s="22" t="n">
        <f aca="false">CHOOSE($C$15726,Assumptions!$K$79,Assumptions!$K$98,Assumptions!$K$117)+$C$15727</f>
        <v>-0.04</v>
      </c>
    </row>
    <row r="15736" customFormat="false" ht="15" hidden="false" customHeight="false" outlineLevel="0" collapsed="false">
      <c r="A15736" s="3" t="s">
        <v>181</v>
      </c>
      <c r="G15736" s="22" t="n">
        <f aca="false">CHOOSE($C$15726,Assumptions!$G$80,Assumptions!$G$99,Assumptions!$G$118)</f>
        <v>0.573920660818678</v>
      </c>
      <c r="H15736" s="22" t="n">
        <f aca="false">CHOOSE($C$15726,Assumptions!$H$80,Assumptions!$H$99,Assumptions!$H$118)</f>
        <v>0.558920660818678</v>
      </c>
      <c r="I15736" s="22" t="n">
        <f aca="false">CHOOSE($C$15726,Assumptions!$I$80,Assumptions!$I$99,Assumptions!$I$118)</f>
        <v>0.558920660818678</v>
      </c>
      <c r="J15736" s="22" t="n">
        <f aca="false">CHOOSE($C$15726,Assumptions!$J$80,Assumptions!$J$99,Assumptions!$J$118)</f>
        <v>0.563920660818678</v>
      </c>
      <c r="K15736" s="22" t="n">
        <f aca="false">CHOOSE($C$15726,Assumptions!$K$80,Assumptions!$K$99,Assumptions!$K$118)</f>
        <v>0.568920660818678</v>
      </c>
    </row>
    <row r="15737" customFormat="false" ht="15" hidden="false" customHeight="false" outlineLevel="0" collapsed="false">
      <c r="A15737" s="3" t="s">
        <v>182</v>
      </c>
      <c r="G15737" s="22" t="n">
        <f aca="false">CHOOSE($C$15726,Assumptions!$G$81,Assumptions!$G$100,Assumptions!$G$119)+$C$15728</f>
        <v>0.5</v>
      </c>
      <c r="H15737" s="22" t="n">
        <f aca="false">CHOOSE($C$15726,Assumptions!$H$81,Assumptions!$H$100,Assumptions!$H$119)+$C$15728</f>
        <v>0.485</v>
      </c>
      <c r="I15737" s="22" t="n">
        <f aca="false">CHOOSE($C$15726,Assumptions!$I$81,Assumptions!$I$100,Assumptions!$I$119)+$C$15728</f>
        <v>0.485</v>
      </c>
      <c r="J15737" s="22" t="n">
        <f aca="false">CHOOSE($C$15726,Assumptions!$J$81,Assumptions!$J$100,Assumptions!$J$119)+$C$15728</f>
        <v>0.49</v>
      </c>
      <c r="K15737" s="22" t="n">
        <f aca="false">CHOOSE($C$15726,Assumptions!$K$81,Assumptions!$K$100,Assumptions!$K$119)+$C$15728</f>
        <v>0.495</v>
      </c>
    </row>
    <row r="15738" customFormat="false" ht="15" hidden="false" customHeight="false" outlineLevel="0" collapsed="false">
      <c r="A15738" s="24" t="s">
        <v>304</v>
      </c>
      <c r="B15738" s="25"/>
      <c r="C15738" s="25"/>
      <c r="D15738" s="25"/>
      <c r="E15738" s="25"/>
      <c r="F15738" s="25"/>
      <c r="G15738" s="25"/>
      <c r="H15738" s="25"/>
      <c r="I15738" s="25"/>
      <c r="J15738" s="25"/>
      <c r="K15738" s="25"/>
    </row>
    <row r="15739" customFormat="false" ht="15" hidden="false" customHeight="false" outlineLevel="0" collapsed="false">
      <c r="A15739" s="2" t="s">
        <v>275</v>
      </c>
      <c r="F15739" s="28" t="n">
        <f aca="false">'Historical Financials'!G25</f>
        <v>498.291</v>
      </c>
      <c r="G15739" s="17" t="n">
        <f aca="false">F15739*(1+G15735)</f>
        <v>443.47899</v>
      </c>
      <c r="H15739" s="17" t="n">
        <f aca="false">G15739*(1+H15735)</f>
        <v>408.0006708</v>
      </c>
      <c r="I15739" s="17" t="n">
        <f aca="false">H15739*(1+I15735)</f>
        <v>387.60063726</v>
      </c>
      <c r="J15739" s="17" t="n">
        <f aca="false">I15739*(1+J15735)</f>
        <v>372.0966117696</v>
      </c>
      <c r="K15739" s="17" t="n">
        <f aca="false">J15739*(1+K15735)</f>
        <v>357.212747298816</v>
      </c>
    </row>
    <row r="15740" customFormat="false" ht="15" hidden="false" customHeight="false" outlineLevel="0" collapsed="false">
      <c r="A15740" s="3" t="s">
        <v>276</v>
      </c>
      <c r="G15740" s="16" t="n">
        <f aca="false">G15739*(1-G15736)</f>
        <v>188.957235</v>
      </c>
      <c r="H15740" s="16" t="n">
        <f aca="false">H15739*(1-H15736)</f>
        <v>179.960666262</v>
      </c>
      <c r="I15740" s="16" t="n">
        <f aca="false">I15739*(1-I15736)</f>
        <v>170.9626329489</v>
      </c>
      <c r="J15740" s="16" t="n">
        <f aca="false">J15739*(1-J15736)</f>
        <v>162.263644572096</v>
      </c>
      <c r="K15740" s="16" t="n">
        <f aca="false">K15739*(1-K15736)</f>
        <v>153.987035052718</v>
      </c>
    </row>
    <row r="15741" customFormat="false" ht="15" hidden="false" customHeight="false" outlineLevel="0" collapsed="false">
      <c r="A15741" s="2" t="s">
        <v>277</v>
      </c>
      <c r="G15741" s="17" t="n">
        <f aca="false">G15739-G15740</f>
        <v>254.521755</v>
      </c>
      <c r="H15741" s="17" t="n">
        <f aca="false">H15739-H15740</f>
        <v>228.040004538</v>
      </c>
      <c r="I15741" s="17" t="n">
        <f aca="false">I15739-I15740</f>
        <v>216.6380043111</v>
      </c>
      <c r="J15741" s="17" t="n">
        <f aca="false">J15739-J15740</f>
        <v>209.832967197504</v>
      </c>
      <c r="K15741" s="17" t="n">
        <f aca="false">K15739-K15740</f>
        <v>203.225712246098</v>
      </c>
    </row>
    <row r="15742" customFormat="false" ht="15" hidden="false" customHeight="false" outlineLevel="0" collapsed="false">
      <c r="A15742" s="3" t="s">
        <v>305</v>
      </c>
      <c r="G15742" s="16" t="n">
        <f aca="false">G15741-G15743</f>
        <v>32.78226</v>
      </c>
      <c r="H15742" s="16" t="n">
        <f aca="false">H15741-H15743</f>
        <v>30.1596792</v>
      </c>
      <c r="I15742" s="16" t="n">
        <f aca="false">I15741-I15743</f>
        <v>28.65169524</v>
      </c>
      <c r="J15742" s="16" t="n">
        <f aca="false">J15741-J15743</f>
        <v>27.5056274304</v>
      </c>
      <c r="K15742" s="16" t="n">
        <f aca="false">K15741-K15743</f>
        <v>26.405402333184</v>
      </c>
    </row>
    <row r="15743" customFormat="false" ht="15" hidden="false" customHeight="false" outlineLevel="0" collapsed="false">
      <c r="A15743" s="2" t="s">
        <v>306</v>
      </c>
      <c r="G15743" s="17" t="n">
        <f aca="false">G15739*G15737</f>
        <v>221.739495</v>
      </c>
      <c r="H15743" s="17" t="n">
        <f aca="false">H15739*H15737</f>
        <v>197.880325338</v>
      </c>
      <c r="I15743" s="17" t="n">
        <f aca="false">I15739*I15737</f>
        <v>187.9863090711</v>
      </c>
      <c r="J15743" s="17" t="n">
        <f aca="false">J15739*J15737</f>
        <v>182.327339767104</v>
      </c>
      <c r="K15743" s="17" t="n">
        <f aca="false">K15739*K15737</f>
        <v>176.820309912914</v>
      </c>
    </row>
    <row r="15744" customFormat="false" ht="15" hidden="false" customHeight="false" outlineLevel="0" collapsed="false">
      <c r="A15744" s="3" t="s">
        <v>307</v>
      </c>
      <c r="G15744" s="16" t="n">
        <f aca="false">G15739*'Historical Financials'!G30/'Historical Financials'!G25</f>
        <v>164.91077</v>
      </c>
      <c r="H15744" s="16" t="n">
        <f aca="false">H15739*'Historical Financials'!G30/'Historical Financials'!G25</f>
        <v>151.7179084</v>
      </c>
      <c r="I15744" s="16" t="n">
        <f aca="false">I15739*'Historical Financials'!G30/'Historical Financials'!G25</f>
        <v>144.13201298</v>
      </c>
      <c r="J15744" s="16" t="n">
        <f aca="false">J15739*'Historical Financials'!G30/'Historical Financials'!G25</f>
        <v>138.3667324608</v>
      </c>
      <c r="K15744" s="16" t="n">
        <f aca="false">K15739*'Historical Financials'!G30/'Historical Financials'!G25</f>
        <v>132.832063162368</v>
      </c>
    </row>
    <row r="15745" customFormat="false" ht="15" hidden="false" customHeight="false" outlineLevel="0" collapsed="false">
      <c r="A15745" s="3" t="s">
        <v>308</v>
      </c>
      <c r="G15745" s="16" t="n">
        <f aca="false">G15739*'Historical Financials'!G31/'Historical Financials'!G25</f>
        <v>0</v>
      </c>
      <c r="H15745" s="16" t="n">
        <f aca="false">H15739*'Historical Financials'!G31/'Historical Financials'!G25</f>
        <v>0</v>
      </c>
      <c r="I15745" s="16" t="n">
        <f aca="false">I15739*'Historical Financials'!G31/'Historical Financials'!G25</f>
        <v>0</v>
      </c>
      <c r="J15745" s="16" t="n">
        <f aca="false">J15739*'Historical Financials'!G31/'Historical Financials'!G25</f>
        <v>0</v>
      </c>
      <c r="K15745" s="16" t="n">
        <f aca="false">K15739*'Historical Financials'!G31/'Historical Financials'!G25</f>
        <v>0</v>
      </c>
    </row>
    <row r="15746" customFormat="false" ht="15" hidden="false" customHeight="false" outlineLevel="0" collapsed="false">
      <c r="A15746" s="2" t="s">
        <v>309</v>
      </c>
      <c r="G15746" s="17" t="n">
        <f aca="false">G15743-G15744-G15745</f>
        <v>56.828725</v>
      </c>
      <c r="H15746" s="17" t="n">
        <f aca="false">H15743-H15744-H15745</f>
        <v>46.162416938</v>
      </c>
      <c r="I15746" s="17" t="n">
        <f aca="false">I15743-I15744-I15745</f>
        <v>43.8542960911</v>
      </c>
      <c r="J15746" s="17" t="n">
        <f aca="false">J15743-J15744-J15745</f>
        <v>43.960607306304</v>
      </c>
      <c r="K15746" s="17" t="n">
        <f aca="false">K15743-K15744-K15745</f>
        <v>43.9882467505459</v>
      </c>
    </row>
    <row r="15747" customFormat="false" ht="15" hidden="false" customHeight="false" outlineLevel="0" collapsed="false">
      <c r="A15747" s="3" t="s">
        <v>310</v>
      </c>
      <c r="G15747" s="16" t="n">
        <f aca="false">G15773+G15786+G15799+G15812+G15825+G15838+G15851+G15864+G15877+G15890</f>
        <v>187.3888354</v>
      </c>
      <c r="H15747" s="16" t="n">
        <f aca="false">H15773+H15786+H15799+H15812+H15825+H15838+H15851+H15864+H15877+H15890</f>
        <v>186.2509204</v>
      </c>
      <c r="I15747" s="16" t="n">
        <f aca="false">I15773+I15786+I15799+I15812+I15825+I15838+I15851+I15864+I15877+I15890</f>
        <v>183.469010569117</v>
      </c>
      <c r="J15747" s="16" t="n">
        <f aca="false">J15773+J15786+J15799+J15812+J15825+J15838+J15851+J15864+J15877+J15890</f>
        <v>183.059010569117</v>
      </c>
      <c r="K15747" s="16" t="n">
        <f aca="false">K15773+K15786+K15799+K15812+K15825+K15838+K15851+K15864+K15877+K15890</f>
        <v>182.649010569117</v>
      </c>
    </row>
    <row r="15748" customFormat="false" ht="15" hidden="false" customHeight="false" outlineLevel="0" collapsed="false">
      <c r="A15748" s="3" t="s">
        <v>311</v>
      </c>
      <c r="G15748" s="16" t="n">
        <f aca="false">G15774+G15787+G15800+G15813+G15826+G15839+G15852+G15865+G15878+G15891</f>
        <v>0</v>
      </c>
      <c r="H15748" s="16" t="n">
        <f aca="false">H15774+H15787+H15800+H15813+H15826+H15839+H15852+H15865+H15878+H15891</f>
        <v>0</v>
      </c>
      <c r="I15748" s="16" t="n">
        <f aca="false">I15774+I15787+I15800+I15813+I15826+I15839+I15852+I15865+I15878+I15891</f>
        <v>0</v>
      </c>
      <c r="J15748" s="16" t="n">
        <f aca="false">J15774+J15787+J15800+J15813+J15826+J15839+J15852+J15865+J15878+J15891</f>
        <v>0</v>
      </c>
      <c r="K15748" s="16" t="n">
        <f aca="false">K15774+K15787+K15800+K15813+K15826+K15839+K15852+K15865+K15878+K15891</f>
        <v>0</v>
      </c>
    </row>
    <row r="15749" customFormat="false" ht="15" hidden="false" customHeight="false" outlineLevel="0" collapsed="false">
      <c r="A15749" s="3" t="s">
        <v>283</v>
      </c>
      <c r="G15749" s="16" t="n">
        <f aca="false">G15747+G15748</f>
        <v>187.3888354</v>
      </c>
      <c r="H15749" s="16" t="n">
        <f aca="false">H15747+H15748</f>
        <v>186.2509204</v>
      </c>
      <c r="I15749" s="16" t="n">
        <f aca="false">I15747+I15748</f>
        <v>183.469010569117</v>
      </c>
      <c r="J15749" s="16" t="n">
        <f aca="false">J15747+J15748</f>
        <v>183.059010569117</v>
      </c>
      <c r="K15749" s="16" t="n">
        <f aca="false">K15747+K15748</f>
        <v>182.649010569117</v>
      </c>
    </row>
    <row r="15750" customFormat="false" ht="15" hidden="false" customHeight="false" outlineLevel="0" collapsed="false">
      <c r="A15750" s="2" t="s">
        <v>284</v>
      </c>
      <c r="G15750" s="17" t="n">
        <f aca="false">G15746-G15749</f>
        <v>-130.5601104</v>
      </c>
      <c r="H15750" s="17" t="n">
        <f aca="false">H15746-H15749</f>
        <v>-140.088503462</v>
      </c>
      <c r="I15750" s="17" t="n">
        <f aca="false">I15746-I15749</f>
        <v>-139.614714478017</v>
      </c>
      <c r="J15750" s="17" t="n">
        <f aca="false">J15746-J15749</f>
        <v>-139.098403262813</v>
      </c>
      <c r="K15750" s="17" t="n">
        <f aca="false">K15746-K15749</f>
        <v>-138.660763818571</v>
      </c>
    </row>
    <row r="15751" customFormat="false" ht="15" hidden="false" customHeight="false" outlineLevel="0" collapsed="false">
      <c r="A15751" s="3" t="s">
        <v>312</v>
      </c>
      <c r="G15751" s="16" t="n">
        <f aca="false">MAX(0,G15750)*Assumptions!$C$9</f>
        <v>0</v>
      </c>
      <c r="H15751" s="16" t="n">
        <f aca="false">MAX(0,H15750)*Assumptions!$C$9</f>
        <v>0</v>
      </c>
      <c r="I15751" s="16" t="n">
        <f aca="false">MAX(0,I15750)*Assumptions!$C$9</f>
        <v>0</v>
      </c>
      <c r="J15751" s="16" t="n">
        <f aca="false">MAX(0,J15750)*Assumptions!$C$9</f>
        <v>0</v>
      </c>
      <c r="K15751" s="16" t="n">
        <f aca="false">MAX(0,K15750)*Assumptions!$C$9</f>
        <v>0</v>
      </c>
    </row>
    <row r="15752" customFormat="false" ht="15" hidden="false" customHeight="false" outlineLevel="0" collapsed="false">
      <c r="A15752" s="2" t="s">
        <v>313</v>
      </c>
      <c r="G15752" s="17" t="n">
        <f aca="false">G15750-G15751</f>
        <v>-130.5601104</v>
      </c>
      <c r="H15752" s="17" t="n">
        <f aca="false">H15750-H15751</f>
        <v>-140.088503462</v>
      </c>
      <c r="I15752" s="17" t="n">
        <f aca="false">I15750-I15751</f>
        <v>-139.614714478017</v>
      </c>
      <c r="J15752" s="17" t="n">
        <f aca="false">J15750-J15751</f>
        <v>-139.098403262813</v>
      </c>
      <c r="K15752" s="17" t="n">
        <f aca="false">K15750-K15751</f>
        <v>-138.660763818571</v>
      </c>
    </row>
    <row r="15753" customFormat="false" ht="15" hidden="false" customHeight="false" outlineLevel="0" collapsed="false">
      <c r="A15753" s="24" t="s">
        <v>314</v>
      </c>
      <c r="B15753" s="25"/>
      <c r="C15753" s="25"/>
      <c r="D15753" s="25"/>
      <c r="E15753" s="25"/>
      <c r="F15753" s="25"/>
      <c r="G15753" s="25"/>
      <c r="H15753" s="25"/>
      <c r="I15753" s="25"/>
      <c r="J15753" s="25"/>
      <c r="K15753" s="25"/>
    </row>
    <row r="15754" customFormat="false" ht="15" hidden="false" customHeight="false" outlineLevel="0" collapsed="false">
      <c r="A15754" s="3" t="s">
        <v>184</v>
      </c>
      <c r="G15754" s="16" t="n">
        <f aca="false">G15739*CHOOSE($C$15726,Assumptions!$C$83,Assumptions!$C$102,Assumptions!$C$121)</f>
        <v>79.8262182</v>
      </c>
      <c r="H15754" s="16" t="n">
        <f aca="false">H15739*CHOOSE($C$15726,Assumptions!$C$83,Assumptions!$C$102,Assumptions!$C$121)</f>
        <v>73.440120744</v>
      </c>
      <c r="I15754" s="16" t="n">
        <f aca="false">I15739*CHOOSE($C$15726,Assumptions!$C$83,Assumptions!$C$102,Assumptions!$C$121)</f>
        <v>69.7681147068</v>
      </c>
      <c r="J15754" s="16" t="n">
        <f aca="false">J15739*CHOOSE($C$15726,Assumptions!$C$83,Assumptions!$C$102,Assumptions!$C$121)</f>
        <v>66.977390118528</v>
      </c>
      <c r="K15754" s="16" t="n">
        <f aca="false">K15739*CHOOSE($C$15726,Assumptions!$C$83,Assumptions!$C$102,Assumptions!$C$121)</f>
        <v>64.2982945137869</v>
      </c>
    </row>
    <row r="15755" customFormat="false" ht="15" hidden="false" customHeight="false" outlineLevel="0" collapsed="false">
      <c r="A15755" s="3" t="s">
        <v>315</v>
      </c>
      <c r="G15755" s="16" t="n">
        <f aca="false">CHOOSE($C$15726,Assumptions!$C$84,Assumptions!$C$103,Assumptions!$C$122)*(G15739-F15739)+CHOOSE($C$15726,Assumptions!$C$85,Assumptions!$C$104,Assumptions!$C$123)*G15739</f>
        <v>22.1739495</v>
      </c>
      <c r="H15755" s="16" t="n">
        <f aca="false">CHOOSE($C$15726,Assumptions!$C$84,Assumptions!$C$103,Assumptions!$C$122)*(H15739-G15739)+CHOOSE($C$15726,Assumptions!$C$85,Assumptions!$C$104,Assumptions!$C$123)*H15739</f>
        <v>20.40003354</v>
      </c>
      <c r="I15755" s="16" t="n">
        <f aca="false">CHOOSE($C$15726,Assumptions!$C$84,Assumptions!$C$103,Assumptions!$C$122)*(I15739-H15739)+CHOOSE($C$15726,Assumptions!$C$85,Assumptions!$C$104,Assumptions!$C$123)*I15739</f>
        <v>19.380031863</v>
      </c>
      <c r="J15755" s="16" t="n">
        <f aca="false">CHOOSE($C$15726,Assumptions!$C$84,Assumptions!$C$103,Assumptions!$C$122)*(J15739-I15739)+CHOOSE($C$15726,Assumptions!$C$85,Assumptions!$C$104,Assumptions!$C$123)*J15739</f>
        <v>18.60483058848</v>
      </c>
      <c r="K15755" s="16" t="n">
        <f aca="false">CHOOSE($C$15726,Assumptions!$C$84,Assumptions!$C$103,Assumptions!$C$122)*(K15739-J15739)+CHOOSE($C$15726,Assumptions!$C$85,Assumptions!$C$104,Assumptions!$C$123)*K15739</f>
        <v>17.8606373649408</v>
      </c>
    </row>
    <row r="15756" customFormat="false" ht="15" hidden="false" customHeight="false" outlineLevel="0" collapsed="false">
      <c r="A15756" s="2" t="s">
        <v>316</v>
      </c>
      <c r="G15756" s="17" t="n">
        <f aca="false">G15752+G15744+G15745+G15748-G15754-G15755</f>
        <v>-67.6495081</v>
      </c>
      <c r="H15756" s="17" t="n">
        <f aca="false">H15752+H15744+H15745+H15748-H15754-H15755</f>
        <v>-82.210749346</v>
      </c>
      <c r="I15756" s="17" t="n">
        <f aca="false">I15752+I15744+I15745+I15748-I15754-I15755</f>
        <v>-84.630848067817</v>
      </c>
      <c r="J15756" s="17" t="n">
        <f aca="false">J15752+J15744+J15745+J15748-J15754-J15755</f>
        <v>-86.313891509021</v>
      </c>
      <c r="K15756" s="17" t="n">
        <f aca="false">K15752+K15744+K15745+K15748-K15754-K15755</f>
        <v>-87.9876325349307</v>
      </c>
    </row>
    <row r="15758" customFormat="false" ht="15" hidden="false" customHeight="false" outlineLevel="0" collapsed="false">
      <c r="A15758" s="24" t="s">
        <v>318</v>
      </c>
      <c r="B15758" s="25"/>
      <c r="C15758" s="25"/>
      <c r="D15758" s="25"/>
      <c r="E15758" s="25"/>
      <c r="F15758" s="25"/>
      <c r="G15758" s="25"/>
      <c r="H15758" s="25"/>
      <c r="I15758" s="25"/>
      <c r="J15758" s="25"/>
      <c r="K15758" s="25"/>
    </row>
    <row r="15759" customFormat="false" ht="15" hidden="false" customHeight="false" outlineLevel="0" collapsed="false">
      <c r="A15759" s="3" t="s">
        <v>319</v>
      </c>
      <c r="G15759" s="30" t="n">
        <f aca="false">Assumptions!$G$53</f>
        <v>0.039</v>
      </c>
      <c r="H15759" s="30" t="n">
        <f aca="false">Assumptions!$H$53</f>
        <v>0.0375</v>
      </c>
      <c r="I15759" s="30" t="n">
        <f aca="false">Assumptions!$I$53</f>
        <v>0.035</v>
      </c>
      <c r="J15759" s="30" t="n">
        <f aca="false">Assumptions!$J$53</f>
        <v>0.035</v>
      </c>
      <c r="K15759" s="30" t="n">
        <f aca="false">Assumptions!$K$53</f>
        <v>0.035</v>
      </c>
    </row>
    <row r="15760" customFormat="false" ht="15" hidden="false" customHeight="false" outlineLevel="0" collapsed="false">
      <c r="A15760" s="3" t="s">
        <v>320</v>
      </c>
      <c r="C15760" s="31" t="n">
        <f aca="false">CHOOSE($C$15726,Assumptions!$C$86,Assumptions!$C$105,Assumptions!$C$124)+$C$15729</f>
        <v>0.015</v>
      </c>
    </row>
    <row r="15761" customFormat="false" ht="15" hidden="false" customHeight="false" outlineLevel="0" collapsed="false">
      <c r="A15761" s="3" t="s">
        <v>321</v>
      </c>
      <c r="C15761" s="31" t="n">
        <f aca="false">CHOOSE($C$15726,Assumptions!$C$87,Assumptions!$C$106,Assumptions!$C$125)</f>
        <v>0.1</v>
      </c>
    </row>
    <row r="15762" customFormat="false" ht="15" hidden="false" customHeight="false" outlineLevel="0" collapsed="false">
      <c r="A15762" s="3" t="s">
        <v>322</v>
      </c>
      <c r="C15762" s="32" t="n">
        <f aca="false">CHOOSE($C$15726,Assumptions!$C$88,Assumptions!$C$107,Assumptions!$C$126)</f>
        <v>9.5</v>
      </c>
    </row>
    <row r="15763" customFormat="false" ht="15" hidden="false" customHeight="false" outlineLevel="0" collapsed="false">
      <c r="A15763" s="3" t="s">
        <v>323</v>
      </c>
      <c r="C15763" s="32" t="n">
        <f aca="false">CHOOSE($C$15726,Assumptions!$C$89,Assumptions!$C$108,Assumptions!$C$127)</f>
        <v>1.5</v>
      </c>
    </row>
    <row r="15764" customFormat="false" ht="15" hidden="false" customHeight="false" outlineLevel="0" collapsed="false">
      <c r="A15764" s="3" t="s">
        <v>324</v>
      </c>
      <c r="G15764" s="16" t="n">
        <f aca="false">G15769+G15782+G15795+G15808+G15821+G15834+G15847+G15860+G15873+G15886</f>
        <v>2625.934</v>
      </c>
      <c r="H15764" s="16" t="n">
        <f aca="false">H15769+H15782+H15795+H15808+H15821+H15834+H15847+H15860+H15873+H15886</f>
        <v>2621.934</v>
      </c>
      <c r="I15764" s="16" t="n">
        <f aca="false">I15769+I15782+I15795+I15808+I15821+I15834+I15847+I15860+I15873+I15886</f>
        <v>2587.924257446</v>
      </c>
      <c r="J15764" s="16" t="n">
        <f aca="false">J15769+J15782+J15795+J15808+J15821+J15834+J15847+J15860+J15873+J15886</f>
        <v>2583.924257446</v>
      </c>
      <c r="K15764" s="16" t="n">
        <f aca="false">K15769+K15782+K15795+K15808+K15821+K15834+K15847+K15860+K15873+K15886</f>
        <v>2579.924257446</v>
      </c>
    </row>
    <row r="15765" customFormat="false" ht="15" hidden="false" customHeight="false" outlineLevel="0" collapsed="false">
      <c r="A15765" s="3" t="s">
        <v>325</v>
      </c>
      <c r="G15765" s="16" t="n">
        <f aca="false">F15957</f>
        <v>37.87</v>
      </c>
      <c r="H15765" s="16" t="n">
        <f aca="false">G15957</f>
        <v>116.2204919</v>
      </c>
      <c r="I15765" s="16" t="n">
        <f aca="false">H15957</f>
        <v>0</v>
      </c>
      <c r="J15765" s="16" t="n">
        <f aca="false">I15957</f>
        <v>-88.630848067817</v>
      </c>
      <c r="K15765" s="16" t="n">
        <f aca="false">J15957</f>
        <v>-178.944739576838</v>
      </c>
    </row>
    <row r="15766" customFormat="false" ht="15" hidden="false" customHeight="false" outlineLevel="0" collapsed="false">
      <c r="A15766" s="3" t="s">
        <v>326</v>
      </c>
      <c r="G15766" s="16" t="n">
        <f aca="false">G15769*IF(G15770=1,$C$15761,IF(Assumptions!$I$57=1,MAX(G15759,Assumptions!$G$57)+Assumptions!$F$57+$C$15760,Assumptions!$E$57))+G15782*IF(G15783=1,$C$15761,IF(Assumptions!$I$58=1,MAX(G15759,Assumptions!$G$58)+Assumptions!$F$58+$C$15760,Assumptions!$E$58))+G15795*IF(G15796=1,$C$15761,IF(Assumptions!$I$59=1,MAX(G15759,Assumptions!$G$59)+Assumptions!$F$59+$C$15760,Assumptions!$E$59))+G15808*IF(G15809=1,$C$15761,IF(Assumptions!$I$60=1,MAX(G15759,Assumptions!$G$60)+Assumptions!$F$60+$C$15760,Assumptions!$E$60))+G15821*IF(G15822=1,$C$15761,IF(Assumptions!$I$61=1,MAX(G15759,Assumptions!$G$61)+Assumptions!$F$61+$C$15760,Assumptions!$E$61))+G15834*IF(G15835=1,$C$15761,IF(Assumptions!$I$62=1,MAX(G15759,Assumptions!$G$62)+Assumptions!$F$62+$C$15760,Assumptions!$E$62))+G15847*IF(G15848=1,$C$15761,IF(Assumptions!$I$63=1,MAX(G15759,Assumptions!$G$63)+Assumptions!$F$63+$C$15760,Assumptions!$E$63))+G15860*IF(G15861=1,$C$15761,IF(Assumptions!$I$64=1,MAX(G15759,Assumptions!$G$64)+Assumptions!$F$64+$C$15760,Assumptions!$E$64))+G15873*IF(G15874=1,$C$15761,IF(Assumptions!$I$65=1,MAX(G15759,Assumptions!$G$65)+Assumptions!$F$65+$C$15760,Assumptions!$E$65))+G15886*IF(G15887=1,$C$15761,IF(Assumptions!$I$66=1,MAX(G15759,Assumptions!$G$66)+Assumptions!$F$66+$C$15760,Assumptions!$E$66))</f>
        <v>187.3888354</v>
      </c>
      <c r="H15766" s="16" t="n">
        <f aca="false">H15769*IF(OR(H15770=1,G16079=1),$C$15761,IF(Assumptions!$I$57=1,MAX(H15759,Assumptions!$G$57)+Assumptions!$F$57+$C$15760,Assumptions!$E$57))+H15782*IF(OR(H15783=1,G16080=1),$C$15761,IF(Assumptions!$I$58=1,MAX(H15759,Assumptions!$G$58)+Assumptions!$F$58+$C$15760,Assumptions!$E$58))+H15795*IF(OR(H15796=1,G16081=1),$C$15761,IF(Assumptions!$I$59=1,MAX(H15759,Assumptions!$G$59)+Assumptions!$F$59+$C$15760,Assumptions!$E$59))+H15808*IF(OR(H15809=1,G16082=1),$C$15761,IF(Assumptions!$I$60=1,MAX(H15759,Assumptions!$G$60)+Assumptions!$F$60+$C$15760,Assumptions!$E$60))+H15821*IF(OR(H15822=1,G16083=1),$C$15761,IF(Assumptions!$I$61=1,MAX(H15759,Assumptions!$G$61)+Assumptions!$F$61+$C$15760,Assumptions!$E$61))+H15834*IF(OR(H15835=1,G16084=1),$C$15761,IF(Assumptions!$I$62=1,MAX(H15759,Assumptions!$G$62)+Assumptions!$F$62+$C$15760,Assumptions!$E$62))+H15847*IF(OR(H15848=1,G16085=1),$C$15761,IF(Assumptions!$I$63=1,MAX(H15759,Assumptions!$G$63)+Assumptions!$F$63+$C$15760,Assumptions!$E$63))+H15860*IF(OR(H15861=1,G16086=1),$C$15761,IF(Assumptions!$I$64=1,MAX(H15759,Assumptions!$G$64)+Assumptions!$F$64+$C$15760,Assumptions!$E$64))+H15873*IF(OR(H15874=1,G16087=1),$C$15761,IF(Assumptions!$I$65=1,MAX(H15759,Assumptions!$G$65)+Assumptions!$F$65+$C$15760,Assumptions!$E$65))+H15886*IF(OR(H15887=1,G16088=1),$C$15761,IF(Assumptions!$I$66=1,MAX(H15759,Assumptions!$G$66)+Assumptions!$F$66+$C$15760,Assumptions!$E$66))</f>
        <v>219.4259204</v>
      </c>
      <c r="I15766" s="16" t="n">
        <f aca="false">I15769*IF(OR(I15770=1,H16079=1),$C$15761,IF(Assumptions!$I$57=1,MAX(I15759,Assumptions!$G$57)+Assumptions!$F$57+$C$15760,Assumptions!$E$57))+I15782*IF(OR(I15783=1,H16080=1),$C$15761,IF(Assumptions!$I$58=1,MAX(I15759,Assumptions!$G$58)+Assumptions!$F$58+$C$15760,Assumptions!$E$58))+I15795*IF(OR(I15796=1,H16081=1),$C$15761,IF(Assumptions!$I$59=1,MAX(I15759,Assumptions!$G$59)+Assumptions!$F$59+$C$15760,Assumptions!$E$59))+I15808*IF(OR(I15809=1,H16082=1),$C$15761,IF(Assumptions!$I$60=1,MAX(I15759,Assumptions!$G$60)+Assumptions!$F$60+$C$15760,Assumptions!$E$60))+I15821*IF(OR(I15822=1,H16083=1),$C$15761,IF(Assumptions!$I$61=1,MAX(I15759,Assumptions!$G$61)+Assumptions!$F$61+$C$15760,Assumptions!$E$61))+I15834*IF(OR(I15835=1,H16084=1),$C$15761,IF(Assumptions!$I$62=1,MAX(I15759,Assumptions!$G$62)+Assumptions!$F$62+$C$15760,Assumptions!$E$62))+I15847*IF(OR(I15848=1,H16085=1),$C$15761,IF(Assumptions!$I$63=1,MAX(I15759,Assumptions!$G$63)+Assumptions!$F$63+$C$15760,Assumptions!$E$63))+I15860*IF(OR(I15861=1,H16086=1),$C$15761,IF(Assumptions!$I$64=1,MAX(I15759,Assumptions!$G$64)+Assumptions!$F$64+$C$15760,Assumptions!$E$64))+I15873*IF(OR(I15874=1,H16087=1),$C$15761,IF(Assumptions!$I$65=1,MAX(I15759,Assumptions!$G$65)+Assumptions!$F$65+$C$15760,Assumptions!$E$65))+I15886*IF(OR(I15887=1,H16088=1),$C$15761,IF(Assumptions!$I$66=1,MAX(I15759,Assumptions!$G$66)+Assumptions!$F$66+$C$15760,Assumptions!$E$66))</f>
        <v>189.656510569117</v>
      </c>
      <c r="J15766" s="16" t="n">
        <f aca="false">J15769*IF(OR(J15770=1,I16079=1),$C$15761,IF(Assumptions!$I$57=1,MAX(J15759,Assumptions!$G$57)+Assumptions!$F$57+$C$15760,Assumptions!$E$57))+J15782*IF(OR(J15783=1,I16080=1),$C$15761,IF(Assumptions!$I$58=1,MAX(J15759,Assumptions!$G$58)+Assumptions!$F$58+$C$15760,Assumptions!$E$58))+J15795*IF(OR(J15796=1,I16081=1),$C$15761,IF(Assumptions!$I$59=1,MAX(J15759,Assumptions!$G$59)+Assumptions!$F$59+$C$15760,Assumptions!$E$59))+J15808*IF(OR(J15809=1,I16082=1),$C$15761,IF(Assumptions!$I$60=1,MAX(J15759,Assumptions!$G$60)+Assumptions!$F$60+$C$15760,Assumptions!$E$60))+J15821*IF(OR(J15822=1,I16083=1),$C$15761,IF(Assumptions!$I$61=1,MAX(J15759,Assumptions!$G$61)+Assumptions!$F$61+$C$15760,Assumptions!$E$61))+J15834*IF(OR(J15835=1,I16084=1),$C$15761,IF(Assumptions!$I$62=1,MAX(J15759,Assumptions!$G$62)+Assumptions!$F$62+$C$15760,Assumptions!$E$62))+J15847*IF(OR(J15848=1,I16085=1),$C$15761,IF(Assumptions!$I$63=1,MAX(J15759,Assumptions!$G$63)+Assumptions!$F$63+$C$15760,Assumptions!$E$63))+J15860*IF(OR(J15861=1,I16086=1),$C$15761,IF(Assumptions!$I$64=1,MAX(J15759,Assumptions!$G$64)+Assumptions!$F$64+$C$15760,Assumptions!$E$64))+J15873*IF(OR(J15874=1,I16087=1),$C$15761,IF(Assumptions!$I$65=1,MAX(J15759,Assumptions!$G$65)+Assumptions!$F$65+$C$15760,Assumptions!$E$65))+J15886*IF(OR(J15887=1,I16088=1),$C$15761,IF(Assumptions!$I$66=1,MAX(J15759,Assumptions!$G$66)+Assumptions!$F$66+$C$15760,Assumptions!$E$66))</f>
        <v>202.134010569117</v>
      </c>
      <c r="K15766" s="16" t="n">
        <f aca="false">K15769*IF(OR(K15770=1,J16079=1),$C$15761,IF(Assumptions!$I$57=1,MAX(K15759,Assumptions!$G$57)+Assumptions!$F$57+$C$15760,Assumptions!$E$57))+K15782*IF(OR(K15783=1,J16080=1),$C$15761,IF(Assumptions!$I$58=1,MAX(K15759,Assumptions!$G$58)+Assumptions!$F$58+$C$15760,Assumptions!$E$58))+K15795*IF(OR(K15796=1,J16081=1),$C$15761,IF(Assumptions!$I$59=1,MAX(K15759,Assumptions!$G$59)+Assumptions!$F$59+$C$15760,Assumptions!$E$59))+K15808*IF(OR(K15809=1,J16082=1),$C$15761,IF(Assumptions!$I$60=1,MAX(K15759,Assumptions!$G$60)+Assumptions!$F$60+$C$15760,Assumptions!$E$60))+K15821*IF(OR(K15822=1,J16083=1),$C$15761,IF(Assumptions!$I$61=1,MAX(K15759,Assumptions!$G$61)+Assumptions!$F$61+$C$15760,Assumptions!$E$61))+K15834*IF(OR(K15835=1,J16084=1),$C$15761,IF(Assumptions!$I$62=1,MAX(K15759,Assumptions!$G$62)+Assumptions!$F$62+$C$15760,Assumptions!$E$62))+K15847*IF(OR(K15848=1,J16085=1),$C$15761,IF(Assumptions!$I$63=1,MAX(K15759,Assumptions!$G$63)+Assumptions!$F$63+$C$15760,Assumptions!$E$63))+K15860*IF(OR(K15861=1,J16086=1),$C$15761,IF(Assumptions!$I$64=1,MAX(K15759,Assumptions!$G$64)+Assumptions!$F$64+$C$15760,Assumptions!$E$64))+K15873*IF(OR(K15874=1,J16087=1),$C$15761,IF(Assumptions!$I$65=1,MAX(K15759,Assumptions!$G$65)+Assumptions!$F$65+$C$15760,Assumptions!$E$65))+K15886*IF(OR(K15887=1,J16088=1),$C$15761,IF(Assumptions!$I$66=1,MAX(K15759,Assumptions!$G$66)+Assumptions!$F$66+$C$15760,Assumptions!$E$66))</f>
        <v>193.314010569117</v>
      </c>
    </row>
    <row r="15767" customFormat="false" ht="15" hidden="false" customHeight="false" outlineLevel="0" collapsed="false">
      <c r="A15767" s="3" t="s">
        <v>327</v>
      </c>
      <c r="G15767" s="21" t="n">
        <f aca="false">IF(G15743&lt;=0,0,IF(AND((G15764-G15765)/G15743&lt;=$C$15762,G15743/G15766&gt;=$C$15763),1,0))</f>
        <v>0</v>
      </c>
      <c r="H15767" s="21" t="n">
        <f aca="false">IF(H15743&lt;=0,0,IF(AND((H15764-H15765)/H15743&lt;=$C$15762,H15743/H15766&gt;=$C$15763),1,0))</f>
        <v>0</v>
      </c>
      <c r="I15767" s="21" t="n">
        <f aca="false">IF(I15743&lt;=0,0,IF(AND((I15764-I15765)/I15743&lt;=$C$15762,I15743/I15766&gt;=$C$15763),1,0))</f>
        <v>0</v>
      </c>
      <c r="J15767" s="21" t="n">
        <f aca="false">IF(J15743&lt;=0,0,IF(AND((J15764-J15765)/J15743&lt;=$C$15762,J15743/J15766&gt;=$C$15763),1,0))</f>
        <v>0</v>
      </c>
      <c r="K15767" s="21" t="n">
        <f aca="false">IF(K15743&lt;=0,0,IF(AND((K15764-K15765)/K15743&lt;=$C$15762,K15743/K15766&gt;=$C$15763),1,0))</f>
        <v>0</v>
      </c>
    </row>
    <row r="15768" customFormat="false" ht="15" hidden="false" customHeight="false" outlineLevel="0" collapsed="false">
      <c r="A15768" s="24" t="s">
        <v>328</v>
      </c>
      <c r="B15768" s="25"/>
      <c r="C15768" s="25"/>
      <c r="D15768" s="25"/>
      <c r="E15768" s="25"/>
      <c r="F15768" s="25"/>
      <c r="G15768" s="25"/>
      <c r="H15768" s="25"/>
      <c r="I15768" s="25"/>
      <c r="J15768" s="25"/>
      <c r="K15768" s="25"/>
    </row>
    <row r="15769" customFormat="false" ht="15" hidden="false" customHeight="false" outlineLevel="0" collapsed="false">
      <c r="A15769" s="3" t="s">
        <v>329</v>
      </c>
      <c r="G15769" s="16" t="n">
        <f aca="false">F15780</f>
        <v>400</v>
      </c>
      <c r="H15769" s="16" t="n">
        <f aca="false">G15780</f>
        <v>396</v>
      </c>
      <c r="I15769" s="16" t="n">
        <f aca="false">H15780</f>
        <v>392</v>
      </c>
      <c r="J15769" s="16" t="n">
        <f aca="false">I15780</f>
        <v>388</v>
      </c>
      <c r="K15769" s="16" t="n">
        <f aca="false">J15780</f>
        <v>384</v>
      </c>
    </row>
    <row r="15770" customFormat="false" ht="15" hidden="false" customHeight="false" outlineLevel="0" collapsed="false">
      <c r="A15770" s="3" t="s">
        <v>330</v>
      </c>
      <c r="G15770" s="21" t="n">
        <f aca="false">IF(G15733=Assumptions!$K$57,1,0)</f>
        <v>0</v>
      </c>
      <c r="H15770" s="21" t="n">
        <f aca="false">IF(H15733=Assumptions!$K$57,1,0)</f>
        <v>0</v>
      </c>
      <c r="I15770" s="21" t="n">
        <f aca="false">IF(I15733=Assumptions!$K$57,1,0)</f>
        <v>0</v>
      </c>
      <c r="J15770" s="21" t="n">
        <f aca="false">IF(J15733=Assumptions!$K$57,1,0)</f>
        <v>0</v>
      </c>
      <c r="K15770" s="21" t="n">
        <f aca="false">IF(K15733=Assumptions!$K$57,1,0)</f>
        <v>1</v>
      </c>
    </row>
    <row r="15772" customFormat="false" ht="15" hidden="false" customHeight="false" outlineLevel="0" collapsed="false">
      <c r="A15772" s="3" t="s">
        <v>331</v>
      </c>
      <c r="G15772" s="31" t="n">
        <f aca="false">IF(Assumptions!$I$57=1,MAX(G15759,Assumptions!$G$57)+Assumptions!$F$57+$C$15760,Assumptions!$E$57)</f>
        <v>0.1065</v>
      </c>
      <c r="H15772" s="31" t="n">
        <f aca="false">IF(G16079=1,$C$15761,IF(Assumptions!$I$57=1,MAX(H15759,Assumptions!$G$57)+Assumptions!$F$57+$C$15760,Assumptions!$E$57))</f>
        <v>0.105</v>
      </c>
      <c r="I15772" s="31" t="n">
        <f aca="false">IF(H16079=1,$C$15761,IF(Assumptions!$I$57=1,MAX(I15759,Assumptions!$G$57)+Assumptions!$F$57+$C$15760,Assumptions!$E$57))</f>
        <v>0.1025</v>
      </c>
      <c r="J15772" s="31" t="n">
        <f aca="false">IF(I16079=1,$C$15761,IF(Assumptions!$I$57=1,MAX(J15759,Assumptions!$G$57)+Assumptions!$F$57+$C$15760,Assumptions!$E$57))</f>
        <v>0.1025</v>
      </c>
      <c r="K15772" s="31" t="n">
        <f aca="false">IF(J16079=1,$C$15761,IF(Assumptions!$I$57=1,MAX(K15759,Assumptions!$G$57)+Assumptions!$F$57+$C$15760,Assumptions!$E$57))</f>
        <v>0.1025</v>
      </c>
    </row>
    <row r="15773" customFormat="false" ht="15" hidden="false" customHeight="false" outlineLevel="0" collapsed="false">
      <c r="A15773" s="3" t="s">
        <v>332</v>
      </c>
      <c r="G15773" s="16" t="n">
        <f aca="false">G15769*G15772</f>
        <v>42.6</v>
      </c>
      <c r="H15773" s="16" t="n">
        <f aca="false">H15769*H15772</f>
        <v>41.58</v>
      </c>
      <c r="I15773" s="16" t="n">
        <f aca="false">I15769*I15772</f>
        <v>40.18</v>
      </c>
      <c r="J15773" s="16" t="n">
        <f aca="false">J15769*J15772</f>
        <v>39.77</v>
      </c>
      <c r="K15773" s="16" t="n">
        <f aca="false">K15769*K15772</f>
        <v>39.36</v>
      </c>
    </row>
    <row r="15774" customFormat="false" ht="15" hidden="false" customHeight="false" outlineLevel="0" collapsed="false">
      <c r="A15774" s="3" t="s">
        <v>333</v>
      </c>
      <c r="G15774" s="16" t="n">
        <f aca="false">G15769*Assumptions!$H$57</f>
        <v>0</v>
      </c>
      <c r="H15774" s="16" t="n">
        <f aca="false">H15769*Assumptions!$H$57</f>
        <v>0</v>
      </c>
      <c r="I15774" s="16" t="n">
        <f aca="false">I15769*Assumptions!$H$57</f>
        <v>0</v>
      </c>
      <c r="J15774" s="16" t="n">
        <f aca="false">J15769*Assumptions!$H$57</f>
        <v>0</v>
      </c>
      <c r="K15774" s="16" t="n">
        <f aca="false">K15769*Assumptions!$H$57</f>
        <v>0</v>
      </c>
    </row>
    <row r="15775" customFormat="false" ht="15" hidden="false" customHeight="false" outlineLevel="0" collapsed="false">
      <c r="A15775" s="3" t="s">
        <v>334</v>
      </c>
      <c r="G15775" s="16" t="n">
        <f aca="false">MIN(G15769,Assumptions!$L$57*Assumptions!$C$57)</f>
        <v>4</v>
      </c>
      <c r="H15775" s="16" t="n">
        <f aca="false">MIN(H15769,Assumptions!$L$57*Assumptions!$C$57)</f>
        <v>4</v>
      </c>
      <c r="I15775" s="16" t="n">
        <f aca="false">MIN(I15769,Assumptions!$L$57*Assumptions!$C$57)</f>
        <v>4</v>
      </c>
      <c r="J15775" s="16" t="n">
        <f aca="false">MIN(J15769,Assumptions!$L$57*Assumptions!$C$57)</f>
        <v>4</v>
      </c>
      <c r="K15775" s="16" t="n">
        <f aca="false">MIN(K15769,Assumptions!$L$57*Assumptions!$C$57)</f>
        <v>4</v>
      </c>
    </row>
    <row r="15776" customFormat="false" ht="15" hidden="false" customHeight="false" outlineLevel="0" collapsed="false">
      <c r="A15776" s="3" t="s">
        <v>335</v>
      </c>
      <c r="G15776" s="16" t="n">
        <f aca="false">IF(AND(Assumptions!$P$57=1,G15733&lt;Assumptions!$K$57),MIN(MAX(0,-G15949),MAX(0,Assumptions!$D$57-G15769)),0)</f>
        <v>0</v>
      </c>
      <c r="H15776" s="16" t="n">
        <f aca="false">IF(AND(Assumptions!$P$57=1,OR(H15733&lt;Assumptions!$K$57,G16079=1)),MIN(MAX(0,-H15949),MAX(0,Assumptions!$D$57-H15769)),0)</f>
        <v>0</v>
      </c>
      <c r="I15776" s="16" t="n">
        <f aca="false">IF(AND(Assumptions!$P$57=1,OR(I15733&lt;Assumptions!$K$57,H16079=1)),MIN(MAX(0,-I15949),MAX(0,Assumptions!$D$57-I15769)),0)</f>
        <v>0</v>
      </c>
      <c r="J15776" s="16" t="n">
        <f aca="false">IF(AND(Assumptions!$P$57=1,OR(J15733&lt;Assumptions!$K$57,I16079=1)),MIN(MAX(0,-J15949),MAX(0,Assumptions!$D$57-J15769)),0)</f>
        <v>0</v>
      </c>
      <c r="K15776" s="16" t="n">
        <f aca="false">IF(AND(Assumptions!$P$57=1,OR(K15733&lt;Assumptions!$K$57,J16079=1)),MIN(MAX(0,-K15949),MAX(0,Assumptions!$D$57-K15769)),0)</f>
        <v>0</v>
      </c>
    </row>
    <row r="15777" customFormat="false" ht="15" hidden="false" customHeight="false" outlineLevel="0" collapsed="false">
      <c r="A15777" s="3" t="s">
        <v>336</v>
      </c>
      <c r="G15777" s="16" t="n">
        <f aca="false">G15770*MIN(G15769-G15775+G15774,MAX(0,G15951-Assumptions!$C$12*G15767))</f>
        <v>0</v>
      </c>
      <c r="H15777" s="16" t="n">
        <f aca="false">H15770*MIN(H15769-H15775+H15774,MAX(0,H15951-Assumptions!$C$12*H15767))</f>
        <v>0</v>
      </c>
      <c r="I15777" s="16" t="n">
        <f aca="false">I15770*MIN(I15769-I15775+I15774,MAX(0,I15951-Assumptions!$C$12*I15767))</f>
        <v>0</v>
      </c>
      <c r="J15777" s="16" t="n">
        <f aca="false">J15770*MIN(J15769-J15775+J15774,MAX(0,J15951-Assumptions!$C$12*J15767))</f>
        <v>0</v>
      </c>
      <c r="K15777" s="16" t="n">
        <f aca="false">K15770*MIN(K15769-K15775+K15774,MAX(0,K15951-Assumptions!$C$12*K15767))</f>
        <v>0</v>
      </c>
    </row>
    <row r="15778" customFormat="false" ht="15" hidden="false" customHeight="false" outlineLevel="0" collapsed="false">
      <c r="A15778" s="3" t="s">
        <v>337</v>
      </c>
      <c r="G15778" s="16" t="n">
        <f aca="false">Assumptions!$N$57*MIN(G15769+G15776+G15774-G15775-G15777,MAX(0,G15955))</f>
        <v>0</v>
      </c>
      <c r="H15778" s="16" t="n">
        <f aca="false">Assumptions!$N$57*MIN(H15769+H15776+H15774-H15775-H15777,MAX(0,H15955))</f>
        <v>0</v>
      </c>
      <c r="I15778" s="16" t="n">
        <f aca="false">Assumptions!$N$57*MIN(I15769+I15776+I15774-I15775-I15777,MAX(0,I15955))</f>
        <v>0</v>
      </c>
      <c r="J15778" s="16" t="n">
        <f aca="false">Assumptions!$N$57*MIN(J15769+J15776+J15774-J15775-J15777,MAX(0,J15955))</f>
        <v>0</v>
      </c>
      <c r="K15778" s="16" t="n">
        <f aca="false">Assumptions!$N$57*MIN(K15769+K15776+K15774-K15775-K15777,MAX(0,K15955))</f>
        <v>0</v>
      </c>
    </row>
    <row r="15779" customFormat="false" ht="15" hidden="false" customHeight="false" outlineLevel="0" collapsed="false">
      <c r="A15779" s="3" t="s">
        <v>338</v>
      </c>
      <c r="G15779" s="16" t="n">
        <f aca="false">G15770*(1-G15767)*(G15769-G15775+G15774-G15777)</f>
        <v>0</v>
      </c>
      <c r="H15779" s="16" t="n">
        <f aca="false">H15770*(1-H15767)*(H15769-H15775+H15774-H15777)</f>
        <v>0</v>
      </c>
      <c r="I15779" s="16" t="n">
        <f aca="false">I15770*(1-I15767)*(I15769-I15775+I15774-I15777)</f>
        <v>0</v>
      </c>
      <c r="J15779" s="16" t="n">
        <f aca="false">J15770*(1-J15767)*(J15769-J15775+J15774-J15777)</f>
        <v>0</v>
      </c>
      <c r="K15779" s="16" t="n">
        <f aca="false">K15770*(1-K15767)*(K15769-K15775+K15774-K15777)</f>
        <v>380</v>
      </c>
    </row>
    <row r="15780" customFormat="false" ht="15" hidden="false" customHeight="false" outlineLevel="0" collapsed="false">
      <c r="A15780" s="2" t="s">
        <v>339</v>
      </c>
      <c r="F15780" s="28" t="n">
        <f aca="false">Assumptions!$C$57</f>
        <v>400</v>
      </c>
      <c r="G15780" s="17" t="n">
        <f aca="false">G15769+G15776+G15774-G15775-G15777-G15778</f>
        <v>396</v>
      </c>
      <c r="H15780" s="17" t="n">
        <f aca="false">H15769+H15776+H15774-H15775-H15777-H15778</f>
        <v>392</v>
      </c>
      <c r="I15780" s="17" t="n">
        <f aca="false">I15769+I15776+I15774-I15775-I15777-I15778</f>
        <v>388</v>
      </c>
      <c r="J15780" s="17" t="n">
        <f aca="false">J15769+J15776+J15774-J15775-J15777-J15778</f>
        <v>384</v>
      </c>
      <c r="K15780" s="17" t="n">
        <f aca="false">K15769+K15776+K15774-K15775-K15777-K15778</f>
        <v>380</v>
      </c>
    </row>
    <row r="15781" customFormat="false" ht="15" hidden="false" customHeight="false" outlineLevel="0" collapsed="false">
      <c r="A15781" s="24" t="s">
        <v>340</v>
      </c>
      <c r="B15781" s="25"/>
      <c r="C15781" s="25"/>
      <c r="D15781" s="25"/>
      <c r="E15781" s="25"/>
      <c r="F15781" s="25"/>
      <c r="G15781" s="25"/>
      <c r="H15781" s="25"/>
      <c r="I15781" s="25"/>
      <c r="J15781" s="25"/>
      <c r="K15781" s="25"/>
    </row>
    <row r="15782" customFormat="false" ht="15" hidden="false" customHeight="false" outlineLevel="0" collapsed="false">
      <c r="A15782" s="3" t="s">
        <v>329</v>
      </c>
      <c r="G15782" s="16" t="n">
        <f aca="false">F15793</f>
        <v>90</v>
      </c>
      <c r="H15782" s="16" t="n">
        <f aca="false">G15793</f>
        <v>90</v>
      </c>
      <c r="I15782" s="16" t="n">
        <f aca="false">H15793</f>
        <v>90</v>
      </c>
      <c r="J15782" s="16" t="n">
        <f aca="false">I15793</f>
        <v>90</v>
      </c>
      <c r="K15782" s="16" t="n">
        <f aca="false">J15793</f>
        <v>90</v>
      </c>
    </row>
    <row r="15783" customFormat="false" ht="15" hidden="false" customHeight="false" outlineLevel="0" collapsed="false">
      <c r="A15783" s="3" t="s">
        <v>330</v>
      </c>
      <c r="G15783" s="21" t="n">
        <f aca="false">IF(G15733=Assumptions!$K$58,1,0)</f>
        <v>0</v>
      </c>
      <c r="H15783" s="21" t="n">
        <f aca="false">IF(H15733=Assumptions!$K$58,1,0)</f>
        <v>0</v>
      </c>
      <c r="I15783" s="21" t="n">
        <f aca="false">IF(I15733=Assumptions!$K$58,1,0)</f>
        <v>0</v>
      </c>
      <c r="J15783" s="21" t="n">
        <f aca="false">IF(J15733=Assumptions!$K$58,1,0)</f>
        <v>0</v>
      </c>
      <c r="K15783" s="21" t="n">
        <f aca="false">IF(K15733=Assumptions!$K$58,1,0)</f>
        <v>0</v>
      </c>
    </row>
    <row r="15785" customFormat="false" ht="15" hidden="false" customHeight="false" outlineLevel="0" collapsed="false">
      <c r="A15785" s="3" t="s">
        <v>331</v>
      </c>
      <c r="G15785" s="31" t="n">
        <f aca="false">IF(Assumptions!$I$58=1,MAX(G15759,Assumptions!$G$58)+Assumptions!$F$58+$C$15760,Assumptions!$E$58)</f>
        <v>0.0581</v>
      </c>
      <c r="H15785" s="31" t="n">
        <f aca="false">IF(G16080=1,$C$15761,IF(Assumptions!$I$58=1,MAX(H15759,Assumptions!$G$58)+Assumptions!$F$58+$C$15760,Assumptions!$E$58))</f>
        <v>0.0581</v>
      </c>
      <c r="I15785" s="31" t="n">
        <f aca="false">IF(H16080=1,$C$15761,IF(Assumptions!$I$58=1,MAX(I15759,Assumptions!$G$58)+Assumptions!$F$58+$C$15760,Assumptions!$E$58))</f>
        <v>0.0581</v>
      </c>
      <c r="J15785" s="31" t="n">
        <f aca="false">IF(I16080=1,$C$15761,IF(Assumptions!$I$58=1,MAX(J15759,Assumptions!$G$58)+Assumptions!$F$58+$C$15760,Assumptions!$E$58))</f>
        <v>0.0581</v>
      </c>
      <c r="K15785" s="31" t="n">
        <f aca="false">IF(J16080=1,$C$15761,IF(Assumptions!$I$58=1,MAX(K15759,Assumptions!$G$58)+Assumptions!$F$58+$C$15760,Assumptions!$E$58))</f>
        <v>0.0581</v>
      </c>
    </row>
    <row r="15786" customFormat="false" ht="15" hidden="false" customHeight="false" outlineLevel="0" collapsed="false">
      <c r="A15786" s="3" t="s">
        <v>332</v>
      </c>
      <c r="G15786" s="16" t="n">
        <f aca="false">G15782*G15785</f>
        <v>5.229</v>
      </c>
      <c r="H15786" s="16" t="n">
        <f aca="false">H15782*H15785</f>
        <v>5.229</v>
      </c>
      <c r="I15786" s="16" t="n">
        <f aca="false">I15782*I15785</f>
        <v>5.229</v>
      </c>
      <c r="J15786" s="16" t="n">
        <f aca="false">J15782*J15785</f>
        <v>5.229</v>
      </c>
      <c r="K15786" s="16" t="n">
        <f aca="false">K15782*K15785</f>
        <v>5.229</v>
      </c>
    </row>
    <row r="15787" customFormat="false" ht="15" hidden="false" customHeight="false" outlineLevel="0" collapsed="false">
      <c r="A15787" s="3" t="s">
        <v>333</v>
      </c>
      <c r="G15787" s="16" t="n">
        <f aca="false">G15782*Assumptions!$H$58</f>
        <v>0</v>
      </c>
      <c r="H15787" s="16" t="n">
        <f aca="false">H15782*Assumptions!$H$58</f>
        <v>0</v>
      </c>
      <c r="I15787" s="16" t="n">
        <f aca="false">I15782*Assumptions!$H$58</f>
        <v>0</v>
      </c>
      <c r="J15787" s="16" t="n">
        <f aca="false">J15782*Assumptions!$H$58</f>
        <v>0</v>
      </c>
      <c r="K15787" s="16" t="n">
        <f aca="false">K15782*Assumptions!$H$58</f>
        <v>0</v>
      </c>
    </row>
    <row r="15788" customFormat="false" ht="15" hidden="false" customHeight="false" outlineLevel="0" collapsed="false">
      <c r="A15788" s="3" t="s">
        <v>334</v>
      </c>
      <c r="G15788" s="16" t="n">
        <f aca="false">MIN(G15782,Assumptions!$L$58*Assumptions!$C$58)</f>
        <v>0</v>
      </c>
      <c r="H15788" s="16" t="n">
        <f aca="false">MIN(H15782,Assumptions!$L$58*Assumptions!$C$58)</f>
        <v>0</v>
      </c>
      <c r="I15788" s="16" t="n">
        <f aca="false">MIN(I15782,Assumptions!$L$58*Assumptions!$C$58)</f>
        <v>0</v>
      </c>
      <c r="J15788" s="16" t="n">
        <f aca="false">MIN(J15782,Assumptions!$L$58*Assumptions!$C$58)</f>
        <v>0</v>
      </c>
      <c r="K15788" s="16" t="n">
        <f aca="false">MIN(K15782,Assumptions!$L$58*Assumptions!$C$58)</f>
        <v>0</v>
      </c>
    </row>
    <row r="15789" customFormat="false" ht="15" hidden="false" customHeight="false" outlineLevel="0" collapsed="false">
      <c r="A15789" s="3" t="s">
        <v>335</v>
      </c>
      <c r="G15789" s="16" t="n">
        <f aca="false">IF(AND(Assumptions!$P$58=1,G15733&lt;Assumptions!$K$58),MIN(MAX(0,-G15949),MAX(0,Assumptions!$D$58-G15782)),0)</f>
        <v>0</v>
      </c>
      <c r="H15789" s="16" t="n">
        <f aca="false">IF(AND(Assumptions!$P$58=1,OR(H15733&lt;Assumptions!$K$58,G16080=1)),MIN(MAX(0,-H15949),MAX(0,Assumptions!$D$58-H15782)),0)</f>
        <v>0</v>
      </c>
      <c r="I15789" s="16" t="n">
        <f aca="false">IF(AND(Assumptions!$P$58=1,OR(I15733&lt;Assumptions!$K$58,H16080=1)),MIN(MAX(0,-I15949),MAX(0,Assumptions!$D$58-I15782)),0)</f>
        <v>0</v>
      </c>
      <c r="J15789" s="16" t="n">
        <f aca="false">IF(AND(Assumptions!$P$58=1,OR(J15733&lt;Assumptions!$K$58,I16080=1)),MIN(MAX(0,-J15949),MAX(0,Assumptions!$D$58-J15782)),0)</f>
        <v>0</v>
      </c>
      <c r="K15789" s="16" t="n">
        <f aca="false">IF(AND(Assumptions!$P$58=1,OR(K15733&lt;Assumptions!$K$58,J16080=1)),MIN(MAX(0,-K15949),MAX(0,Assumptions!$D$58-K15782)),0)</f>
        <v>0</v>
      </c>
    </row>
    <row r="15790" customFormat="false" ht="15" hidden="false" customHeight="false" outlineLevel="0" collapsed="false">
      <c r="A15790" s="3" t="s">
        <v>336</v>
      </c>
      <c r="G15790" s="16" t="n">
        <f aca="false">G15783*MIN(G15782-G15788+G15787,MAX(0,G15951-Assumptions!$C$12*G15767-G15777))</f>
        <v>0</v>
      </c>
      <c r="H15790" s="16" t="n">
        <f aca="false">H15783*MIN(H15782-H15788+H15787,MAX(0,H15951-Assumptions!$C$12*H15767-H15777))</f>
        <v>0</v>
      </c>
      <c r="I15790" s="16" t="n">
        <f aca="false">I15783*MIN(I15782-I15788+I15787,MAX(0,I15951-Assumptions!$C$12*I15767-I15777))</f>
        <v>0</v>
      </c>
      <c r="J15790" s="16" t="n">
        <f aca="false">J15783*MIN(J15782-J15788+J15787,MAX(0,J15951-Assumptions!$C$12*J15767-J15777))</f>
        <v>0</v>
      </c>
      <c r="K15790" s="16" t="n">
        <f aca="false">K15783*MIN(K15782-K15788+K15787,MAX(0,K15951-Assumptions!$C$12*K15767-K15777))</f>
        <v>0</v>
      </c>
    </row>
    <row r="15791" customFormat="false" ht="15" hidden="false" customHeight="false" outlineLevel="0" collapsed="false">
      <c r="A15791" s="3" t="s">
        <v>337</v>
      </c>
      <c r="G15791" s="16" t="n">
        <f aca="false">Assumptions!$N$58*MIN(G15782+G15789+G15787-G15788-G15790,MAX(0,G15955-G15778))</f>
        <v>0</v>
      </c>
      <c r="H15791" s="16" t="n">
        <f aca="false">Assumptions!$N$58*MIN(H15782+H15789+H15787-H15788-H15790,MAX(0,H15955-H15778))</f>
        <v>0</v>
      </c>
      <c r="I15791" s="16" t="n">
        <f aca="false">Assumptions!$N$58*MIN(I15782+I15789+I15787-I15788-I15790,MAX(0,I15955-I15778))</f>
        <v>0</v>
      </c>
      <c r="J15791" s="16" t="n">
        <f aca="false">Assumptions!$N$58*MIN(J15782+J15789+J15787-J15788-J15790,MAX(0,J15955-J15778))</f>
        <v>0</v>
      </c>
      <c r="K15791" s="16" t="n">
        <f aca="false">Assumptions!$N$58*MIN(K15782+K15789+K15787-K15788-K15790,MAX(0,K15955-K15778))</f>
        <v>0</v>
      </c>
    </row>
    <row r="15792" customFormat="false" ht="15" hidden="false" customHeight="false" outlineLevel="0" collapsed="false">
      <c r="A15792" s="3" t="s">
        <v>338</v>
      </c>
      <c r="G15792" s="16" t="n">
        <f aca="false">G15783*(1-G15767)*(G15782-G15788+G15787-G15790)</f>
        <v>0</v>
      </c>
      <c r="H15792" s="16" t="n">
        <f aca="false">H15783*(1-H15767)*(H15782-H15788+H15787-H15790)</f>
        <v>0</v>
      </c>
      <c r="I15792" s="16" t="n">
        <f aca="false">I15783*(1-I15767)*(I15782-I15788+I15787-I15790)</f>
        <v>0</v>
      </c>
      <c r="J15792" s="16" t="n">
        <f aca="false">J15783*(1-J15767)*(J15782-J15788+J15787-J15790)</f>
        <v>0</v>
      </c>
      <c r="K15792" s="16" t="n">
        <f aca="false">K15783*(1-K15767)*(K15782-K15788+K15787-K15790)</f>
        <v>0</v>
      </c>
    </row>
    <row r="15793" customFormat="false" ht="15" hidden="false" customHeight="false" outlineLevel="0" collapsed="false">
      <c r="A15793" s="2" t="s">
        <v>339</v>
      </c>
      <c r="F15793" s="28" t="n">
        <f aca="false">Assumptions!$C$58</f>
        <v>90</v>
      </c>
      <c r="G15793" s="17" t="n">
        <f aca="false">G15782+G15789+G15787-G15788-G15790-G15791</f>
        <v>90</v>
      </c>
      <c r="H15793" s="17" t="n">
        <f aca="false">H15782+H15789+H15787-H15788-H15790-H15791</f>
        <v>90</v>
      </c>
      <c r="I15793" s="17" t="n">
        <f aca="false">I15782+I15789+I15787-I15788-I15790-I15791</f>
        <v>90</v>
      </c>
      <c r="J15793" s="17" t="n">
        <f aca="false">J15782+J15789+J15787-J15788-J15790-J15791</f>
        <v>90</v>
      </c>
      <c r="K15793" s="17" t="n">
        <f aca="false">K15782+K15789+K15787-K15788-K15790-K15791</f>
        <v>90</v>
      </c>
    </row>
    <row r="15794" customFormat="false" ht="15" hidden="false" customHeight="false" outlineLevel="0" collapsed="false">
      <c r="A15794" s="24" t="s">
        <v>341</v>
      </c>
      <c r="B15794" s="25"/>
      <c r="C15794" s="25"/>
      <c r="D15794" s="25"/>
      <c r="E15794" s="25"/>
      <c r="F15794" s="25"/>
      <c r="G15794" s="25"/>
      <c r="H15794" s="25"/>
      <c r="I15794" s="25"/>
      <c r="J15794" s="25"/>
      <c r="K15794" s="25"/>
    </row>
    <row r="15795" customFormat="false" ht="15" hidden="false" customHeight="false" outlineLevel="0" collapsed="false">
      <c r="A15795" s="3" t="s">
        <v>329</v>
      </c>
      <c r="G15795" s="16" t="n">
        <f aca="false">F15806</f>
        <v>57.324</v>
      </c>
      <c r="H15795" s="16" t="n">
        <f aca="false">G15806</f>
        <v>57.324</v>
      </c>
      <c r="I15795" s="16" t="n">
        <f aca="false">H15806</f>
        <v>57.324</v>
      </c>
      <c r="J15795" s="16" t="n">
        <f aca="false">I15806</f>
        <v>57.324</v>
      </c>
      <c r="K15795" s="16" t="n">
        <f aca="false">J15806</f>
        <v>57.324</v>
      </c>
    </row>
    <row r="15796" customFormat="false" ht="15" hidden="false" customHeight="false" outlineLevel="0" collapsed="false">
      <c r="A15796" s="3" t="s">
        <v>330</v>
      </c>
      <c r="G15796" s="21" t="n">
        <f aca="false">IF(G15733=Assumptions!$K$59,1,0)</f>
        <v>0</v>
      </c>
      <c r="H15796" s="21" t="n">
        <f aca="false">IF(H15733=Assumptions!$K$59,1,0)</f>
        <v>0</v>
      </c>
      <c r="I15796" s="21" t="n">
        <f aca="false">IF(I15733=Assumptions!$K$59,1,0)</f>
        <v>0</v>
      </c>
      <c r="J15796" s="21" t="n">
        <f aca="false">IF(J15733=Assumptions!$K$59,1,0)</f>
        <v>0</v>
      </c>
      <c r="K15796" s="21" t="n">
        <f aca="false">IF(K15733=Assumptions!$K$59,1,0)</f>
        <v>0</v>
      </c>
    </row>
    <row r="15798" customFormat="false" ht="15" hidden="false" customHeight="false" outlineLevel="0" collapsed="false">
      <c r="A15798" s="3" t="s">
        <v>331</v>
      </c>
      <c r="G15798" s="31" t="n">
        <f aca="false">IF(Assumptions!$I$59=1,MAX(G15759,Assumptions!$G$59)+Assumptions!$F$59+$C$15760,Assumptions!$E$59)</f>
        <v>0.0731</v>
      </c>
      <c r="H15798" s="31" t="n">
        <f aca="false">IF(G16081=1,$C$15761,IF(Assumptions!$I$59=1,MAX(H15759,Assumptions!$G$59)+Assumptions!$F$59+$C$15760,Assumptions!$E$59))</f>
        <v>0.0731</v>
      </c>
      <c r="I15798" s="31" t="n">
        <f aca="false">IF(H16081=1,$C$15761,IF(Assumptions!$I$59=1,MAX(I15759,Assumptions!$G$59)+Assumptions!$F$59+$C$15760,Assumptions!$E$59))</f>
        <v>0.0731</v>
      </c>
      <c r="J15798" s="31" t="n">
        <f aca="false">IF(I16081=1,$C$15761,IF(Assumptions!$I$59=1,MAX(J15759,Assumptions!$G$59)+Assumptions!$F$59+$C$15760,Assumptions!$E$59))</f>
        <v>0.0731</v>
      </c>
      <c r="K15798" s="31" t="n">
        <f aca="false">IF(J16081=1,$C$15761,IF(Assumptions!$I$59=1,MAX(K15759,Assumptions!$G$59)+Assumptions!$F$59+$C$15760,Assumptions!$E$59))</f>
        <v>0.0731</v>
      </c>
    </row>
    <row r="15799" customFormat="false" ht="15" hidden="false" customHeight="false" outlineLevel="0" collapsed="false">
      <c r="A15799" s="3" t="s">
        <v>332</v>
      </c>
      <c r="G15799" s="16" t="n">
        <f aca="false">G15795*G15798</f>
        <v>4.1903844</v>
      </c>
      <c r="H15799" s="16" t="n">
        <f aca="false">H15795*H15798</f>
        <v>4.1903844</v>
      </c>
      <c r="I15799" s="16" t="n">
        <f aca="false">I15795*I15798</f>
        <v>4.1903844</v>
      </c>
      <c r="J15799" s="16" t="n">
        <f aca="false">J15795*J15798</f>
        <v>4.1903844</v>
      </c>
      <c r="K15799" s="16" t="n">
        <f aca="false">K15795*K15798</f>
        <v>4.1903844</v>
      </c>
    </row>
    <row r="15800" customFormat="false" ht="15" hidden="false" customHeight="false" outlineLevel="0" collapsed="false">
      <c r="A15800" s="3" t="s">
        <v>333</v>
      </c>
      <c r="G15800" s="16" t="n">
        <f aca="false">G15795*Assumptions!$H$59</f>
        <v>0</v>
      </c>
      <c r="H15800" s="16" t="n">
        <f aca="false">H15795*Assumptions!$H$59</f>
        <v>0</v>
      </c>
      <c r="I15800" s="16" t="n">
        <f aca="false">I15795*Assumptions!$H$59</f>
        <v>0</v>
      </c>
      <c r="J15800" s="16" t="n">
        <f aca="false">J15795*Assumptions!$H$59</f>
        <v>0</v>
      </c>
      <c r="K15800" s="16" t="n">
        <f aca="false">K15795*Assumptions!$H$59</f>
        <v>0</v>
      </c>
    </row>
    <row r="15801" customFormat="false" ht="15" hidden="false" customHeight="false" outlineLevel="0" collapsed="false">
      <c r="A15801" s="3" t="s">
        <v>334</v>
      </c>
      <c r="G15801" s="16" t="n">
        <f aca="false">MIN(G15795,Assumptions!$L$59*Assumptions!$C$59)</f>
        <v>0</v>
      </c>
      <c r="H15801" s="16" t="n">
        <f aca="false">MIN(H15795,Assumptions!$L$59*Assumptions!$C$59)</f>
        <v>0</v>
      </c>
      <c r="I15801" s="16" t="n">
        <f aca="false">MIN(I15795,Assumptions!$L$59*Assumptions!$C$59)</f>
        <v>0</v>
      </c>
      <c r="J15801" s="16" t="n">
        <f aca="false">MIN(J15795,Assumptions!$L$59*Assumptions!$C$59)</f>
        <v>0</v>
      </c>
      <c r="K15801" s="16" t="n">
        <f aca="false">MIN(K15795,Assumptions!$L$59*Assumptions!$C$59)</f>
        <v>0</v>
      </c>
    </row>
    <row r="15802" customFormat="false" ht="15" hidden="false" customHeight="false" outlineLevel="0" collapsed="false">
      <c r="A15802" s="3" t="s">
        <v>335</v>
      </c>
      <c r="G15802" s="16" t="n">
        <f aca="false">IF(AND(Assumptions!$P$59=1,G15733&lt;Assumptions!$K$59),MIN(MAX(0,-G15949),MAX(0,Assumptions!$D$59-G15795)),0)</f>
        <v>0</v>
      </c>
      <c r="H15802" s="16" t="n">
        <f aca="false">IF(AND(Assumptions!$P$59=1,OR(H15733&lt;Assumptions!$K$59,G16081=1)),MIN(MAX(0,-H15949),MAX(0,Assumptions!$D$59-H15795)),0)</f>
        <v>0</v>
      </c>
      <c r="I15802" s="16" t="n">
        <f aca="false">IF(AND(Assumptions!$P$59=1,OR(I15733&lt;Assumptions!$K$59,H16081=1)),MIN(MAX(0,-I15949),MAX(0,Assumptions!$D$59-I15795)),0)</f>
        <v>0</v>
      </c>
      <c r="J15802" s="16" t="n">
        <f aca="false">IF(AND(Assumptions!$P$59=1,OR(J15733&lt;Assumptions!$K$59,I16081=1)),MIN(MAX(0,-J15949),MAX(0,Assumptions!$D$59-J15795)),0)</f>
        <v>0</v>
      </c>
      <c r="K15802" s="16" t="n">
        <f aca="false">IF(AND(Assumptions!$P$59=1,OR(K15733&lt;Assumptions!$K$59,J16081=1)),MIN(MAX(0,-K15949),MAX(0,Assumptions!$D$59-K15795)),0)</f>
        <v>0</v>
      </c>
    </row>
    <row r="15803" customFormat="false" ht="15" hidden="false" customHeight="false" outlineLevel="0" collapsed="false">
      <c r="A15803" s="3" t="s">
        <v>336</v>
      </c>
      <c r="G15803" s="16" t="n">
        <f aca="false">G15796*MIN(G15795-G15801+G15800,MAX(0,G15951-Assumptions!$C$12*G15767-G15777-G15790))</f>
        <v>0</v>
      </c>
      <c r="H15803" s="16" t="n">
        <f aca="false">H15796*MIN(H15795-H15801+H15800,MAX(0,H15951-Assumptions!$C$12*H15767-H15777-H15790))</f>
        <v>0</v>
      </c>
      <c r="I15803" s="16" t="n">
        <f aca="false">I15796*MIN(I15795-I15801+I15800,MAX(0,I15951-Assumptions!$C$12*I15767-I15777-I15790))</f>
        <v>0</v>
      </c>
      <c r="J15803" s="16" t="n">
        <f aca="false">J15796*MIN(J15795-J15801+J15800,MAX(0,J15951-Assumptions!$C$12*J15767-J15777-J15790))</f>
        <v>0</v>
      </c>
      <c r="K15803" s="16" t="n">
        <f aca="false">K15796*MIN(K15795-K15801+K15800,MAX(0,K15951-Assumptions!$C$12*K15767-K15777-K15790))</f>
        <v>0</v>
      </c>
    </row>
    <row r="15804" customFormat="false" ht="15" hidden="false" customHeight="false" outlineLevel="0" collapsed="false">
      <c r="A15804" s="3" t="s">
        <v>337</v>
      </c>
      <c r="G15804" s="16" t="n">
        <f aca="false">Assumptions!$N$59*MIN(G15795+G15802+G15800-G15801-G15803,MAX(0,G15955-G15778-G15791))</f>
        <v>0</v>
      </c>
      <c r="H15804" s="16" t="n">
        <f aca="false">Assumptions!$N$59*MIN(H15795+H15802+H15800-H15801-H15803,MAX(0,H15955-H15778-H15791))</f>
        <v>0</v>
      </c>
      <c r="I15804" s="16" t="n">
        <f aca="false">Assumptions!$N$59*MIN(I15795+I15802+I15800-I15801-I15803,MAX(0,I15955-I15778-I15791))</f>
        <v>0</v>
      </c>
      <c r="J15804" s="16" t="n">
        <f aca="false">Assumptions!$N$59*MIN(J15795+J15802+J15800-J15801-J15803,MAX(0,J15955-J15778-J15791))</f>
        <v>0</v>
      </c>
      <c r="K15804" s="16" t="n">
        <f aca="false">Assumptions!$N$59*MIN(K15795+K15802+K15800-K15801-K15803,MAX(0,K15955-K15778-K15791))</f>
        <v>0</v>
      </c>
    </row>
    <row r="15805" customFormat="false" ht="15" hidden="false" customHeight="false" outlineLevel="0" collapsed="false">
      <c r="A15805" s="3" t="s">
        <v>338</v>
      </c>
      <c r="G15805" s="16" t="n">
        <f aca="false">G15796*(1-G15767)*(G15795-G15801+G15800-G15803)</f>
        <v>0</v>
      </c>
      <c r="H15805" s="16" t="n">
        <f aca="false">H15796*(1-H15767)*(H15795-H15801+H15800-H15803)</f>
        <v>0</v>
      </c>
      <c r="I15805" s="16" t="n">
        <f aca="false">I15796*(1-I15767)*(I15795-I15801+I15800-I15803)</f>
        <v>0</v>
      </c>
      <c r="J15805" s="16" t="n">
        <f aca="false">J15796*(1-J15767)*(J15795-J15801+J15800-J15803)</f>
        <v>0</v>
      </c>
      <c r="K15805" s="16" t="n">
        <f aca="false">K15796*(1-K15767)*(K15795-K15801+K15800-K15803)</f>
        <v>0</v>
      </c>
    </row>
    <row r="15806" customFormat="false" ht="15" hidden="false" customHeight="false" outlineLevel="0" collapsed="false">
      <c r="A15806" s="2" t="s">
        <v>339</v>
      </c>
      <c r="F15806" s="28" t="n">
        <f aca="false">Assumptions!$C$59</f>
        <v>57.324</v>
      </c>
      <c r="G15806" s="17" t="n">
        <f aca="false">G15795+G15802+G15800-G15801-G15803-G15804</f>
        <v>57.324</v>
      </c>
      <c r="H15806" s="17" t="n">
        <f aca="false">H15795+H15802+H15800-H15801-H15803-H15804</f>
        <v>57.324</v>
      </c>
      <c r="I15806" s="17" t="n">
        <f aca="false">I15795+I15802+I15800-I15801-I15803-I15804</f>
        <v>57.324</v>
      </c>
      <c r="J15806" s="17" t="n">
        <f aca="false">J15795+J15802+J15800-J15801-J15803-J15804</f>
        <v>57.324</v>
      </c>
      <c r="K15806" s="17" t="n">
        <f aca="false">K15795+K15802+K15800-K15801-K15803-K15804</f>
        <v>57.324</v>
      </c>
    </row>
    <row r="15807" customFormat="false" ht="15" hidden="false" customHeight="false" outlineLevel="0" collapsed="false">
      <c r="A15807" s="24" t="s">
        <v>342</v>
      </c>
      <c r="B15807" s="25"/>
      <c r="C15807" s="25"/>
      <c r="D15807" s="25"/>
      <c r="E15807" s="25"/>
      <c r="F15807" s="25"/>
      <c r="G15807" s="25"/>
      <c r="H15807" s="25"/>
      <c r="I15807" s="25"/>
      <c r="J15807" s="25"/>
      <c r="K15807" s="25"/>
    </row>
    <row r="15808" customFormat="false" ht="15" hidden="false" customHeight="false" outlineLevel="0" collapsed="false">
      <c r="A15808" s="3" t="s">
        <v>329</v>
      </c>
      <c r="G15808" s="16" t="n">
        <f aca="false">F15819</f>
        <v>0</v>
      </c>
      <c r="H15808" s="16" t="n">
        <f aca="false">G15819</f>
        <v>0</v>
      </c>
      <c r="I15808" s="16" t="n">
        <f aca="false">H15819</f>
        <v>0</v>
      </c>
      <c r="J15808" s="16" t="n">
        <f aca="false">I15819</f>
        <v>0</v>
      </c>
      <c r="K15808" s="16" t="n">
        <f aca="false">J15819</f>
        <v>0</v>
      </c>
    </row>
    <row r="15809" customFormat="false" ht="15" hidden="false" customHeight="false" outlineLevel="0" collapsed="false">
      <c r="A15809" s="3" t="s">
        <v>330</v>
      </c>
      <c r="G15809" s="21" t="n">
        <f aca="false">IF(G15733=Assumptions!$K$60,1,0)</f>
        <v>1</v>
      </c>
      <c r="H15809" s="21" t="n">
        <f aca="false">IF(H15733=Assumptions!$K$60,1,0)</f>
        <v>0</v>
      </c>
      <c r="I15809" s="21" t="n">
        <f aca="false">IF(I15733=Assumptions!$K$60,1,0)</f>
        <v>0</v>
      </c>
      <c r="J15809" s="21" t="n">
        <f aca="false">IF(J15733=Assumptions!$K$60,1,0)</f>
        <v>0</v>
      </c>
      <c r="K15809" s="21" t="n">
        <f aca="false">IF(K15733=Assumptions!$K$60,1,0)</f>
        <v>0</v>
      </c>
    </row>
    <row r="15811" customFormat="false" ht="15" hidden="false" customHeight="false" outlineLevel="0" collapsed="false">
      <c r="A15811" s="3" t="s">
        <v>331</v>
      </c>
      <c r="G15811" s="31" t="n">
        <f aca="false">IF(Assumptions!$I$60=1,MAX(G15759,Assumptions!$G$60)+Assumptions!$F$60+$C$15760,Assumptions!$E$60)</f>
        <v>0.069</v>
      </c>
      <c r="H15811" s="31" t="n">
        <f aca="false">IF(G16082=1,$C$15761,IF(Assumptions!$I$60=1,MAX(H15759,Assumptions!$G$60)+Assumptions!$F$60+$C$15760,Assumptions!$E$60))</f>
        <v>0.0675</v>
      </c>
      <c r="I15811" s="31" t="n">
        <f aca="false">IF(H16082=1,$C$15761,IF(Assumptions!$I$60=1,MAX(I15759,Assumptions!$G$60)+Assumptions!$F$60+$C$15760,Assumptions!$E$60))</f>
        <v>0.065</v>
      </c>
      <c r="J15811" s="31" t="n">
        <f aca="false">IF(I16082=1,$C$15761,IF(Assumptions!$I$60=1,MAX(J15759,Assumptions!$G$60)+Assumptions!$F$60+$C$15760,Assumptions!$E$60))</f>
        <v>0.065</v>
      </c>
      <c r="K15811" s="31" t="n">
        <f aca="false">IF(J16082=1,$C$15761,IF(Assumptions!$I$60=1,MAX(K15759,Assumptions!$G$60)+Assumptions!$F$60+$C$15760,Assumptions!$E$60))</f>
        <v>0.065</v>
      </c>
    </row>
    <row r="15812" customFormat="false" ht="15" hidden="false" customHeight="false" outlineLevel="0" collapsed="false">
      <c r="A15812" s="3" t="s">
        <v>332</v>
      </c>
      <c r="G15812" s="16" t="n">
        <f aca="false">G15808*G15811</f>
        <v>0</v>
      </c>
      <c r="H15812" s="16" t="n">
        <f aca="false">H15808*H15811</f>
        <v>0</v>
      </c>
      <c r="I15812" s="16" t="n">
        <f aca="false">I15808*I15811</f>
        <v>0</v>
      </c>
      <c r="J15812" s="16" t="n">
        <f aca="false">J15808*J15811</f>
        <v>0</v>
      </c>
      <c r="K15812" s="16" t="n">
        <f aca="false">K15808*K15811</f>
        <v>0</v>
      </c>
    </row>
    <row r="15813" customFormat="false" ht="15" hidden="false" customHeight="false" outlineLevel="0" collapsed="false">
      <c r="A15813" s="3" t="s">
        <v>333</v>
      </c>
      <c r="G15813" s="16" t="n">
        <f aca="false">G15808*Assumptions!$H$60</f>
        <v>0</v>
      </c>
      <c r="H15813" s="16" t="n">
        <f aca="false">H15808*Assumptions!$H$60</f>
        <v>0</v>
      </c>
      <c r="I15813" s="16" t="n">
        <f aca="false">I15808*Assumptions!$H$60</f>
        <v>0</v>
      </c>
      <c r="J15813" s="16" t="n">
        <f aca="false">J15808*Assumptions!$H$60</f>
        <v>0</v>
      </c>
      <c r="K15813" s="16" t="n">
        <f aca="false">K15808*Assumptions!$H$60</f>
        <v>0</v>
      </c>
    </row>
    <row r="15814" customFormat="false" ht="15" hidden="false" customHeight="false" outlineLevel="0" collapsed="false">
      <c r="A15814" s="3" t="s">
        <v>334</v>
      </c>
      <c r="G15814" s="16" t="n">
        <f aca="false">MIN(G15808,Assumptions!$L$60*Assumptions!$C$60)</f>
        <v>0</v>
      </c>
      <c r="H15814" s="16" t="n">
        <f aca="false">MIN(H15808,Assumptions!$L$60*Assumptions!$C$60)</f>
        <v>0</v>
      </c>
      <c r="I15814" s="16" t="n">
        <f aca="false">MIN(I15808,Assumptions!$L$60*Assumptions!$C$60)</f>
        <v>0</v>
      </c>
      <c r="J15814" s="16" t="n">
        <f aca="false">MIN(J15808,Assumptions!$L$60*Assumptions!$C$60)</f>
        <v>0</v>
      </c>
      <c r="K15814" s="16" t="n">
        <f aca="false">MIN(K15808,Assumptions!$L$60*Assumptions!$C$60)</f>
        <v>0</v>
      </c>
    </row>
    <row r="15815" customFormat="false" ht="15" hidden="false" customHeight="false" outlineLevel="0" collapsed="false">
      <c r="A15815" s="3" t="s">
        <v>335</v>
      </c>
      <c r="G15815" s="16" t="n">
        <f aca="false">IF(AND(Assumptions!$P$60=1,G15733&lt;Assumptions!$K$60),MIN(MAX(0,-G15949),MAX(0,Assumptions!$D$60-G15808)),0)</f>
        <v>0</v>
      </c>
      <c r="H15815" s="16" t="n">
        <f aca="false">IF(AND(Assumptions!$P$60=1,OR(H15733&lt;Assumptions!$K$60,G16082=1)),MIN(MAX(0,-H15949),MAX(0,Assumptions!$D$60-H15808)),0)</f>
        <v>0</v>
      </c>
      <c r="I15815" s="16" t="n">
        <f aca="false">IF(AND(Assumptions!$P$60=1,OR(I15733&lt;Assumptions!$K$60,H16082=1)),MIN(MAX(0,-I15949),MAX(0,Assumptions!$D$60-I15808)),0)</f>
        <v>0</v>
      </c>
      <c r="J15815" s="16" t="n">
        <f aca="false">IF(AND(Assumptions!$P$60=1,OR(J15733&lt;Assumptions!$K$60,I16082=1)),MIN(MAX(0,-J15949),MAX(0,Assumptions!$D$60-J15808)),0)</f>
        <v>0</v>
      </c>
      <c r="K15815" s="16" t="n">
        <f aca="false">IF(AND(Assumptions!$P$60=1,OR(K15733&lt;Assumptions!$K$60,J16082=1)),MIN(MAX(0,-K15949),MAX(0,Assumptions!$D$60-K15808)),0)</f>
        <v>0</v>
      </c>
    </row>
    <row r="15816" customFormat="false" ht="15" hidden="false" customHeight="false" outlineLevel="0" collapsed="false">
      <c r="A15816" s="3" t="s">
        <v>336</v>
      </c>
      <c r="G15816" s="16" t="n">
        <f aca="false">G15809*MIN(G15808-G15814+G15813,MAX(0,G15951-Assumptions!$C$12*G15767-G15777-G15790-G15803))</f>
        <v>0</v>
      </c>
      <c r="H15816" s="16" t="n">
        <f aca="false">H15809*MIN(H15808-H15814+H15813,MAX(0,H15951-Assumptions!$C$12*H15767-H15777-H15790-H15803))</f>
        <v>0</v>
      </c>
      <c r="I15816" s="16" t="n">
        <f aca="false">I15809*MIN(I15808-I15814+I15813,MAX(0,I15951-Assumptions!$C$12*I15767-I15777-I15790-I15803))</f>
        <v>0</v>
      </c>
      <c r="J15816" s="16" t="n">
        <f aca="false">J15809*MIN(J15808-J15814+J15813,MAX(0,J15951-Assumptions!$C$12*J15767-J15777-J15790-J15803))</f>
        <v>0</v>
      </c>
      <c r="K15816" s="16" t="n">
        <f aca="false">K15809*MIN(K15808-K15814+K15813,MAX(0,K15951-Assumptions!$C$12*K15767-K15777-K15790-K15803))</f>
        <v>0</v>
      </c>
    </row>
    <row r="15817" customFormat="false" ht="15" hidden="false" customHeight="false" outlineLevel="0" collapsed="false">
      <c r="A15817" s="3" t="s">
        <v>337</v>
      </c>
      <c r="G15817" s="16" t="n">
        <f aca="false">Assumptions!$N$60*MIN(G15808+G15815+G15813-G15814-G15816,MAX(0,G15955-G15778-G15791-G15804))</f>
        <v>0</v>
      </c>
      <c r="H15817" s="16" t="n">
        <f aca="false">Assumptions!$N$60*MIN(H15808+H15815+H15813-H15814-H15816,MAX(0,H15955-H15778-H15791-H15804))</f>
        <v>0</v>
      </c>
      <c r="I15817" s="16" t="n">
        <f aca="false">Assumptions!$N$60*MIN(I15808+I15815+I15813-I15814-I15816,MAX(0,I15955-I15778-I15791-I15804))</f>
        <v>0</v>
      </c>
      <c r="J15817" s="16" t="n">
        <f aca="false">Assumptions!$N$60*MIN(J15808+J15815+J15813-J15814-J15816,MAX(0,J15955-J15778-J15791-J15804))</f>
        <v>0</v>
      </c>
      <c r="K15817" s="16" t="n">
        <f aca="false">Assumptions!$N$60*MIN(K15808+K15815+K15813-K15814-K15816,MAX(0,K15955-K15778-K15791-K15804))</f>
        <v>0</v>
      </c>
    </row>
    <row r="15818" customFormat="false" ht="15" hidden="false" customHeight="false" outlineLevel="0" collapsed="false">
      <c r="A15818" s="3" t="s">
        <v>338</v>
      </c>
      <c r="G15818" s="16" t="n">
        <f aca="false">G15809*(1-G15767)*(G15808-G15814+G15813-G15816)</f>
        <v>0</v>
      </c>
      <c r="H15818" s="16" t="n">
        <f aca="false">H15809*(1-H15767)*(H15808-H15814+H15813-H15816)</f>
        <v>0</v>
      </c>
      <c r="I15818" s="16" t="n">
        <f aca="false">I15809*(1-I15767)*(I15808-I15814+I15813-I15816)</f>
        <v>0</v>
      </c>
      <c r="J15818" s="16" t="n">
        <f aca="false">J15809*(1-J15767)*(J15808-J15814+J15813-J15816)</f>
        <v>0</v>
      </c>
      <c r="K15818" s="16" t="n">
        <f aca="false">K15809*(1-K15767)*(K15808-K15814+K15813-K15816)</f>
        <v>0</v>
      </c>
    </row>
    <row r="15819" customFormat="false" ht="15" hidden="false" customHeight="false" outlineLevel="0" collapsed="false">
      <c r="A15819" s="2" t="s">
        <v>339</v>
      </c>
      <c r="F15819" s="28" t="n">
        <f aca="false">Assumptions!$C$60</f>
        <v>0</v>
      </c>
      <c r="G15819" s="17" t="n">
        <f aca="false">G15808+G15815+G15813-G15814-G15816-G15817</f>
        <v>0</v>
      </c>
      <c r="H15819" s="17" t="n">
        <f aca="false">H15808+H15815+H15813-H15814-H15816-H15817</f>
        <v>0</v>
      </c>
      <c r="I15819" s="17" t="n">
        <f aca="false">I15808+I15815+I15813-I15814-I15816-I15817</f>
        <v>0</v>
      </c>
      <c r="J15819" s="17" t="n">
        <f aca="false">J15808+J15815+J15813-J15814-J15816-J15817</f>
        <v>0</v>
      </c>
      <c r="K15819" s="17" t="n">
        <f aca="false">K15808+K15815+K15813-K15814-K15816-K15817</f>
        <v>0</v>
      </c>
    </row>
    <row r="15820" customFormat="false" ht="15" hidden="false" customHeight="false" outlineLevel="0" collapsed="false">
      <c r="A15820" s="24" t="s">
        <v>343</v>
      </c>
      <c r="B15820" s="25"/>
      <c r="C15820" s="25"/>
      <c r="D15820" s="25"/>
      <c r="E15820" s="25"/>
      <c r="F15820" s="25"/>
      <c r="G15820" s="25"/>
      <c r="H15820" s="25"/>
      <c r="I15820" s="25"/>
      <c r="J15820" s="25"/>
      <c r="K15820" s="25"/>
    </row>
    <row r="15821" customFormat="false" ht="15" hidden="false" customHeight="false" outlineLevel="0" collapsed="false">
      <c r="A15821" s="3" t="s">
        <v>329</v>
      </c>
      <c r="G15821" s="16" t="n">
        <f aca="false">F15832</f>
        <v>450</v>
      </c>
      <c r="H15821" s="16" t="n">
        <f aca="false">G15832</f>
        <v>450</v>
      </c>
      <c r="I15821" s="16" t="n">
        <f aca="false">H15832</f>
        <v>419.990257446</v>
      </c>
      <c r="J15821" s="16" t="n">
        <f aca="false">I15832</f>
        <v>419.990257446</v>
      </c>
      <c r="K15821" s="16" t="n">
        <f aca="false">J15832</f>
        <v>419.990257446</v>
      </c>
    </row>
    <row r="15822" customFormat="false" ht="15" hidden="false" customHeight="false" outlineLevel="0" collapsed="false">
      <c r="A15822" s="3" t="s">
        <v>330</v>
      </c>
      <c r="G15822" s="21" t="n">
        <f aca="false">IF(G15733=Assumptions!$K$61,1,0)</f>
        <v>0</v>
      </c>
      <c r="H15822" s="21" t="n">
        <f aca="false">IF(H15733=Assumptions!$K$61,1,0)</f>
        <v>1</v>
      </c>
      <c r="I15822" s="21" t="n">
        <f aca="false">IF(I15733=Assumptions!$K$61,1,0)</f>
        <v>0</v>
      </c>
      <c r="J15822" s="21" t="n">
        <f aca="false">IF(J15733=Assumptions!$K$61,1,0)</f>
        <v>0</v>
      </c>
      <c r="K15822" s="21" t="n">
        <f aca="false">IF(K15733=Assumptions!$K$61,1,0)</f>
        <v>0</v>
      </c>
    </row>
    <row r="15824" customFormat="false" ht="15" hidden="false" customHeight="false" outlineLevel="0" collapsed="false">
      <c r="A15824" s="3" t="s">
        <v>331</v>
      </c>
      <c r="G15824" s="31" t="n">
        <f aca="false">IF(Assumptions!$I$61=1,MAX(G15759,Assumptions!$G$61)+Assumptions!$F$61+$C$15760,Assumptions!$E$61)</f>
        <v>0.0395</v>
      </c>
      <c r="H15824" s="31" t="n">
        <f aca="false">IF(G16083=1,$C$15761,IF(Assumptions!$I$61=1,MAX(H15759,Assumptions!$G$61)+Assumptions!$F$61+$C$15760,Assumptions!$E$61))</f>
        <v>0.0395</v>
      </c>
      <c r="I15824" s="31" t="n">
        <f aca="false">IF(H16083=1,$C$15761,IF(Assumptions!$I$61=1,MAX(I15759,Assumptions!$G$61)+Assumptions!$F$61+$C$15760,Assumptions!$E$61))</f>
        <v>0.0395</v>
      </c>
      <c r="J15824" s="31" t="n">
        <f aca="false">IF(I16083=1,$C$15761,IF(Assumptions!$I$61=1,MAX(J15759,Assumptions!$G$61)+Assumptions!$F$61+$C$15760,Assumptions!$E$61))</f>
        <v>0.0395</v>
      </c>
      <c r="K15824" s="31" t="n">
        <f aca="false">IF(J16083=1,$C$15761,IF(Assumptions!$I$61=1,MAX(K15759,Assumptions!$G$61)+Assumptions!$F$61+$C$15760,Assumptions!$E$61))</f>
        <v>0.0395</v>
      </c>
    </row>
    <row r="15825" customFormat="false" ht="15" hidden="false" customHeight="false" outlineLevel="0" collapsed="false">
      <c r="A15825" s="3" t="s">
        <v>332</v>
      </c>
      <c r="G15825" s="16" t="n">
        <f aca="false">G15821*G15824</f>
        <v>17.775</v>
      </c>
      <c r="H15825" s="16" t="n">
        <f aca="false">H15821*H15824</f>
        <v>17.775</v>
      </c>
      <c r="I15825" s="16" t="n">
        <f aca="false">I15821*I15824</f>
        <v>16.589615169117</v>
      </c>
      <c r="J15825" s="16" t="n">
        <f aca="false">J15821*J15824</f>
        <v>16.589615169117</v>
      </c>
      <c r="K15825" s="16" t="n">
        <f aca="false">K15821*K15824</f>
        <v>16.589615169117</v>
      </c>
    </row>
    <row r="15826" customFormat="false" ht="15" hidden="false" customHeight="false" outlineLevel="0" collapsed="false">
      <c r="A15826" s="3" t="s">
        <v>333</v>
      </c>
      <c r="G15826" s="16" t="n">
        <f aca="false">G15821*Assumptions!$H$61</f>
        <v>0</v>
      </c>
      <c r="H15826" s="16" t="n">
        <f aca="false">H15821*Assumptions!$H$61</f>
        <v>0</v>
      </c>
      <c r="I15826" s="16" t="n">
        <f aca="false">I15821*Assumptions!$H$61</f>
        <v>0</v>
      </c>
      <c r="J15826" s="16" t="n">
        <f aca="false">J15821*Assumptions!$H$61</f>
        <v>0</v>
      </c>
      <c r="K15826" s="16" t="n">
        <f aca="false">K15821*Assumptions!$H$61</f>
        <v>0</v>
      </c>
    </row>
    <row r="15827" customFormat="false" ht="15" hidden="false" customHeight="false" outlineLevel="0" collapsed="false">
      <c r="A15827" s="3" t="s">
        <v>334</v>
      </c>
      <c r="G15827" s="16" t="n">
        <f aca="false">MIN(G15821,Assumptions!$L$61*Assumptions!$C$61)</f>
        <v>0</v>
      </c>
      <c r="H15827" s="16" t="n">
        <f aca="false">MIN(H15821,Assumptions!$L$61*Assumptions!$C$61)</f>
        <v>0</v>
      </c>
      <c r="I15827" s="16" t="n">
        <f aca="false">MIN(I15821,Assumptions!$L$61*Assumptions!$C$61)</f>
        <v>0</v>
      </c>
      <c r="J15827" s="16" t="n">
        <f aca="false">MIN(J15821,Assumptions!$L$61*Assumptions!$C$61)</f>
        <v>0</v>
      </c>
      <c r="K15827" s="16" t="n">
        <f aca="false">MIN(K15821,Assumptions!$L$61*Assumptions!$C$61)</f>
        <v>0</v>
      </c>
    </row>
    <row r="15828" customFormat="false" ht="15" hidden="false" customHeight="false" outlineLevel="0" collapsed="false">
      <c r="A15828" s="3" t="s">
        <v>335</v>
      </c>
      <c r="G15828" s="16" t="n">
        <f aca="false">IF(AND(Assumptions!$P$61=1,G15733&lt;Assumptions!$K$61),MIN(MAX(0,-G15949),MAX(0,Assumptions!$D$61-G15821)),0)</f>
        <v>0</v>
      </c>
      <c r="H15828" s="16" t="n">
        <f aca="false">IF(AND(Assumptions!$P$61=1,OR(H15733&lt;Assumptions!$K$61,G16083=1)),MIN(MAX(0,-H15949),MAX(0,Assumptions!$D$61-H15821)),0)</f>
        <v>0</v>
      </c>
      <c r="I15828" s="16" t="n">
        <f aca="false">IF(AND(Assumptions!$P$61=1,OR(I15733&lt;Assumptions!$K$61,H16083=1)),MIN(MAX(0,-I15949),MAX(0,Assumptions!$D$61-I15821)),0)</f>
        <v>0</v>
      </c>
      <c r="J15828" s="16" t="n">
        <f aca="false">IF(AND(Assumptions!$P$61=1,OR(J15733&lt;Assumptions!$K$61,I16083=1)),MIN(MAX(0,-J15949),MAX(0,Assumptions!$D$61-J15821)),0)</f>
        <v>0</v>
      </c>
      <c r="K15828" s="16" t="n">
        <f aca="false">IF(AND(Assumptions!$P$61=1,OR(K15733&lt;Assumptions!$K$61,J16083=1)),MIN(MAX(0,-K15949),MAX(0,Assumptions!$D$61-K15821)),0)</f>
        <v>0</v>
      </c>
    </row>
    <row r="15829" customFormat="false" ht="15" hidden="false" customHeight="false" outlineLevel="0" collapsed="false">
      <c r="A15829" s="3" t="s">
        <v>336</v>
      </c>
      <c r="G15829" s="16" t="n">
        <f aca="false">G15822*MIN(G15821-G15827+G15826,MAX(0,G15951-Assumptions!$C$12*G15767-G15777-G15790-G15803-G15816))</f>
        <v>0</v>
      </c>
      <c r="H15829" s="16" t="n">
        <f aca="false">H15822*MIN(H15821-H15827+H15826,MAX(0,H15951-Assumptions!$C$12*H15767-H15777-H15790-H15803-H15816))</f>
        <v>30.009742554</v>
      </c>
      <c r="I15829" s="16" t="n">
        <f aca="false">I15822*MIN(I15821-I15827+I15826,MAX(0,I15951-Assumptions!$C$12*I15767-I15777-I15790-I15803-I15816))</f>
        <v>0</v>
      </c>
      <c r="J15829" s="16" t="n">
        <f aca="false">J15822*MIN(J15821-J15827+J15826,MAX(0,J15951-Assumptions!$C$12*J15767-J15777-J15790-J15803-J15816))</f>
        <v>0</v>
      </c>
      <c r="K15829" s="16" t="n">
        <f aca="false">K15822*MIN(K15821-K15827+K15826,MAX(0,K15951-Assumptions!$C$12*K15767-K15777-K15790-K15803-K15816))</f>
        <v>0</v>
      </c>
    </row>
    <row r="15830" customFormat="false" ht="15" hidden="false" customHeight="false" outlineLevel="0" collapsed="false">
      <c r="A15830" s="3" t="s">
        <v>337</v>
      </c>
      <c r="G15830" s="16" t="n">
        <f aca="false">Assumptions!$N$61*MIN(G15821+G15828+G15826-G15827-G15829,MAX(0,G15955-G15778-G15791-G15804-G15817))</f>
        <v>0</v>
      </c>
      <c r="H15830" s="16" t="n">
        <f aca="false">Assumptions!$N$61*MIN(H15821+H15828+H15826-H15827-H15829,MAX(0,H15955-H15778-H15791-H15804-H15817))</f>
        <v>0</v>
      </c>
      <c r="I15830" s="16" t="n">
        <f aca="false">Assumptions!$N$61*MIN(I15821+I15828+I15826-I15827-I15829,MAX(0,I15955-I15778-I15791-I15804-I15817))</f>
        <v>0</v>
      </c>
      <c r="J15830" s="16" t="n">
        <f aca="false">Assumptions!$N$61*MIN(J15821+J15828+J15826-J15827-J15829,MAX(0,J15955-J15778-J15791-J15804-J15817))</f>
        <v>0</v>
      </c>
      <c r="K15830" s="16" t="n">
        <f aca="false">Assumptions!$N$61*MIN(K15821+K15828+K15826-K15827-K15829,MAX(0,K15955-K15778-K15791-K15804-K15817))</f>
        <v>0</v>
      </c>
    </row>
    <row r="15831" customFormat="false" ht="15" hidden="false" customHeight="false" outlineLevel="0" collapsed="false">
      <c r="A15831" s="3" t="s">
        <v>338</v>
      </c>
      <c r="G15831" s="16" t="n">
        <f aca="false">G15822*(1-G15767)*(G15821-G15827+G15826-G15829)</f>
        <v>0</v>
      </c>
      <c r="H15831" s="16" t="n">
        <f aca="false">H15822*(1-H15767)*(H15821-H15827+H15826-H15829)</f>
        <v>419.990257446</v>
      </c>
      <c r="I15831" s="16" t="n">
        <f aca="false">I15822*(1-I15767)*(I15821-I15827+I15826-I15829)</f>
        <v>0</v>
      </c>
      <c r="J15831" s="16" t="n">
        <f aca="false">J15822*(1-J15767)*(J15821-J15827+J15826-J15829)</f>
        <v>0</v>
      </c>
      <c r="K15831" s="16" t="n">
        <f aca="false">K15822*(1-K15767)*(K15821-K15827+K15826-K15829)</f>
        <v>0</v>
      </c>
    </row>
    <row r="15832" customFormat="false" ht="15" hidden="false" customHeight="false" outlineLevel="0" collapsed="false">
      <c r="A15832" s="2" t="s">
        <v>339</v>
      </c>
      <c r="F15832" s="28" t="n">
        <f aca="false">Assumptions!$C$61</f>
        <v>450</v>
      </c>
      <c r="G15832" s="17" t="n">
        <f aca="false">G15821+G15828+G15826-G15827-G15829-G15830</f>
        <v>450</v>
      </c>
      <c r="H15832" s="17" t="n">
        <f aca="false">H15821+H15828+H15826-H15827-H15829-H15830</f>
        <v>419.990257446</v>
      </c>
      <c r="I15832" s="17" t="n">
        <f aca="false">I15821+I15828+I15826-I15827-I15829-I15830</f>
        <v>419.990257446</v>
      </c>
      <c r="J15832" s="17" t="n">
        <f aca="false">J15821+J15828+J15826-J15827-J15829-J15830</f>
        <v>419.990257446</v>
      </c>
      <c r="K15832" s="17" t="n">
        <f aca="false">K15821+K15828+K15826-K15827-K15829-K15830</f>
        <v>419.990257446</v>
      </c>
    </row>
    <row r="15833" customFormat="false" ht="15" hidden="false" customHeight="false" outlineLevel="0" collapsed="false">
      <c r="A15833" s="24" t="s">
        <v>344</v>
      </c>
      <c r="B15833" s="25"/>
      <c r="C15833" s="25"/>
      <c r="D15833" s="25"/>
      <c r="E15833" s="25"/>
      <c r="F15833" s="25"/>
      <c r="G15833" s="25"/>
      <c r="H15833" s="25"/>
      <c r="I15833" s="25"/>
      <c r="J15833" s="25"/>
      <c r="K15833" s="25"/>
    </row>
    <row r="15834" customFormat="false" ht="15" hidden="false" customHeight="false" outlineLevel="0" collapsed="false">
      <c r="A15834" s="3" t="s">
        <v>329</v>
      </c>
      <c r="G15834" s="16" t="n">
        <f aca="false">F15845</f>
        <v>350</v>
      </c>
      <c r="H15834" s="16" t="n">
        <f aca="false">G15845</f>
        <v>350</v>
      </c>
      <c r="I15834" s="16" t="n">
        <f aca="false">H15845</f>
        <v>350</v>
      </c>
      <c r="J15834" s="16" t="n">
        <f aca="false">I15845</f>
        <v>350</v>
      </c>
      <c r="K15834" s="16" t="n">
        <f aca="false">J15845</f>
        <v>350</v>
      </c>
    </row>
    <row r="15835" customFormat="false" ht="15" hidden="false" customHeight="false" outlineLevel="0" collapsed="false">
      <c r="A15835" s="3" t="s">
        <v>330</v>
      </c>
      <c r="G15835" s="21" t="n">
        <f aca="false">IF(G15733=Assumptions!$K$62,1,0)</f>
        <v>0</v>
      </c>
      <c r="H15835" s="21" t="n">
        <f aca="false">IF(H15733=Assumptions!$K$62,1,0)</f>
        <v>1</v>
      </c>
      <c r="I15835" s="21" t="n">
        <f aca="false">IF(I15733=Assumptions!$K$62,1,0)</f>
        <v>0</v>
      </c>
      <c r="J15835" s="21" t="n">
        <f aca="false">IF(J15733=Assumptions!$K$62,1,0)</f>
        <v>0</v>
      </c>
      <c r="K15835" s="21" t="n">
        <f aca="false">IF(K15733=Assumptions!$K$62,1,0)</f>
        <v>0</v>
      </c>
    </row>
    <row r="15837" customFormat="false" ht="15" hidden="false" customHeight="false" outlineLevel="0" collapsed="false">
      <c r="A15837" s="3" t="s">
        <v>331</v>
      </c>
      <c r="G15837" s="31" t="n">
        <f aca="false">IF(Assumptions!$I$62=1,MAX(G15759,Assumptions!$G$62)+Assumptions!$F$62+$C$15760,Assumptions!$E$62)</f>
        <v>0.083</v>
      </c>
      <c r="H15837" s="31" t="n">
        <f aca="false">IF(G16084=1,$C$15761,IF(Assumptions!$I$62=1,MAX(H15759,Assumptions!$G$62)+Assumptions!$F$62+$C$15760,Assumptions!$E$62))</f>
        <v>0.083</v>
      </c>
      <c r="I15837" s="31" t="n">
        <f aca="false">IF(H16084=1,$C$15761,IF(Assumptions!$I$62=1,MAX(I15759,Assumptions!$G$62)+Assumptions!$F$62+$C$15760,Assumptions!$E$62))</f>
        <v>0.083</v>
      </c>
      <c r="J15837" s="31" t="n">
        <f aca="false">IF(I16084=1,$C$15761,IF(Assumptions!$I$62=1,MAX(J15759,Assumptions!$G$62)+Assumptions!$F$62+$C$15760,Assumptions!$E$62))</f>
        <v>0.083</v>
      </c>
      <c r="K15837" s="31" t="n">
        <f aca="false">IF(J16084=1,$C$15761,IF(Assumptions!$I$62=1,MAX(K15759,Assumptions!$G$62)+Assumptions!$F$62+$C$15760,Assumptions!$E$62))</f>
        <v>0.083</v>
      </c>
    </row>
    <row r="15838" customFormat="false" ht="15" hidden="false" customHeight="false" outlineLevel="0" collapsed="false">
      <c r="A15838" s="3" t="s">
        <v>332</v>
      </c>
      <c r="G15838" s="16" t="n">
        <f aca="false">G15834*G15837</f>
        <v>29.05</v>
      </c>
      <c r="H15838" s="16" t="n">
        <f aca="false">H15834*H15837</f>
        <v>29.05</v>
      </c>
      <c r="I15838" s="16" t="n">
        <f aca="false">I15834*I15837</f>
        <v>29.05</v>
      </c>
      <c r="J15838" s="16" t="n">
        <f aca="false">J15834*J15837</f>
        <v>29.05</v>
      </c>
      <c r="K15838" s="16" t="n">
        <f aca="false">K15834*K15837</f>
        <v>29.05</v>
      </c>
    </row>
    <row r="15839" customFormat="false" ht="15" hidden="false" customHeight="false" outlineLevel="0" collapsed="false">
      <c r="A15839" s="3" t="s">
        <v>333</v>
      </c>
      <c r="G15839" s="16" t="n">
        <f aca="false">G15834*Assumptions!$H$62</f>
        <v>0</v>
      </c>
      <c r="H15839" s="16" t="n">
        <f aca="false">H15834*Assumptions!$H$62</f>
        <v>0</v>
      </c>
      <c r="I15839" s="16" t="n">
        <f aca="false">I15834*Assumptions!$H$62</f>
        <v>0</v>
      </c>
      <c r="J15839" s="16" t="n">
        <f aca="false">J15834*Assumptions!$H$62</f>
        <v>0</v>
      </c>
      <c r="K15839" s="16" t="n">
        <f aca="false">K15834*Assumptions!$H$62</f>
        <v>0</v>
      </c>
    </row>
    <row r="15840" customFormat="false" ht="15" hidden="false" customHeight="false" outlineLevel="0" collapsed="false">
      <c r="A15840" s="3" t="s">
        <v>334</v>
      </c>
      <c r="G15840" s="16" t="n">
        <f aca="false">MIN(G15834,Assumptions!$L$62*Assumptions!$C$62)</f>
        <v>0</v>
      </c>
      <c r="H15840" s="16" t="n">
        <f aca="false">MIN(H15834,Assumptions!$L$62*Assumptions!$C$62)</f>
        <v>0</v>
      </c>
      <c r="I15840" s="16" t="n">
        <f aca="false">MIN(I15834,Assumptions!$L$62*Assumptions!$C$62)</f>
        <v>0</v>
      </c>
      <c r="J15840" s="16" t="n">
        <f aca="false">MIN(J15834,Assumptions!$L$62*Assumptions!$C$62)</f>
        <v>0</v>
      </c>
      <c r="K15840" s="16" t="n">
        <f aca="false">MIN(K15834,Assumptions!$L$62*Assumptions!$C$62)</f>
        <v>0</v>
      </c>
    </row>
    <row r="15841" customFormat="false" ht="15" hidden="false" customHeight="false" outlineLevel="0" collapsed="false">
      <c r="A15841" s="3" t="s">
        <v>335</v>
      </c>
      <c r="G15841" s="16" t="n">
        <f aca="false">IF(AND(Assumptions!$P$62=1,G15733&lt;Assumptions!$K$62),MIN(MAX(0,-G15949),MAX(0,Assumptions!$D$62-G15834)),0)</f>
        <v>0</v>
      </c>
      <c r="H15841" s="16" t="n">
        <f aca="false">IF(AND(Assumptions!$P$62=1,OR(H15733&lt;Assumptions!$K$62,G16084=1)),MIN(MAX(0,-H15949),MAX(0,Assumptions!$D$62-H15834)),0)</f>
        <v>0</v>
      </c>
      <c r="I15841" s="16" t="n">
        <f aca="false">IF(AND(Assumptions!$P$62=1,OR(I15733&lt;Assumptions!$K$62,H16084=1)),MIN(MAX(0,-I15949),MAX(0,Assumptions!$D$62-I15834)),0)</f>
        <v>0</v>
      </c>
      <c r="J15841" s="16" t="n">
        <f aca="false">IF(AND(Assumptions!$P$62=1,OR(J15733&lt;Assumptions!$K$62,I16084=1)),MIN(MAX(0,-J15949),MAX(0,Assumptions!$D$62-J15834)),0)</f>
        <v>0</v>
      </c>
      <c r="K15841" s="16" t="n">
        <f aca="false">IF(AND(Assumptions!$P$62=1,OR(K15733&lt;Assumptions!$K$62,J16084=1)),MIN(MAX(0,-K15949),MAX(0,Assumptions!$D$62-K15834)),0)</f>
        <v>0</v>
      </c>
    </row>
    <row r="15842" customFormat="false" ht="15" hidden="false" customHeight="false" outlineLevel="0" collapsed="false">
      <c r="A15842" s="3" t="s">
        <v>336</v>
      </c>
      <c r="G15842" s="16" t="n">
        <f aca="false">G15835*MIN(G15834-G15840+G15839,MAX(0,G15951-Assumptions!$C$12*G15767-G15777-G15790-G15803-G15816-G15829))</f>
        <v>0</v>
      </c>
      <c r="H15842" s="16" t="n">
        <f aca="false">H15835*MIN(H15834-H15840+H15839,MAX(0,H15951-Assumptions!$C$12*H15767-H15777-H15790-H15803-H15816-H15829))</f>
        <v>0</v>
      </c>
      <c r="I15842" s="16" t="n">
        <f aca="false">I15835*MIN(I15834-I15840+I15839,MAX(0,I15951-Assumptions!$C$12*I15767-I15777-I15790-I15803-I15816-I15829))</f>
        <v>0</v>
      </c>
      <c r="J15842" s="16" t="n">
        <f aca="false">J15835*MIN(J15834-J15840+J15839,MAX(0,J15951-Assumptions!$C$12*J15767-J15777-J15790-J15803-J15816-J15829))</f>
        <v>0</v>
      </c>
      <c r="K15842" s="16" t="n">
        <f aca="false">K15835*MIN(K15834-K15840+K15839,MAX(0,K15951-Assumptions!$C$12*K15767-K15777-K15790-K15803-K15816-K15829))</f>
        <v>0</v>
      </c>
    </row>
    <row r="15843" customFormat="false" ht="15" hidden="false" customHeight="false" outlineLevel="0" collapsed="false">
      <c r="A15843" s="3" t="s">
        <v>337</v>
      </c>
      <c r="G15843" s="16" t="n">
        <f aca="false">Assumptions!$N$62*MIN(G15834+G15841+G15839-G15840-G15842,MAX(0,G15955-G15778-G15791-G15804-G15817-G15830))</f>
        <v>0</v>
      </c>
      <c r="H15843" s="16" t="n">
        <f aca="false">Assumptions!$N$62*MIN(H15834+H15841+H15839-H15840-H15842,MAX(0,H15955-H15778-H15791-H15804-H15817-H15830))</f>
        <v>0</v>
      </c>
      <c r="I15843" s="16" t="n">
        <f aca="false">Assumptions!$N$62*MIN(I15834+I15841+I15839-I15840-I15842,MAX(0,I15955-I15778-I15791-I15804-I15817-I15830))</f>
        <v>0</v>
      </c>
      <c r="J15843" s="16" t="n">
        <f aca="false">Assumptions!$N$62*MIN(J15834+J15841+J15839-J15840-J15842,MAX(0,J15955-J15778-J15791-J15804-J15817-J15830))</f>
        <v>0</v>
      </c>
      <c r="K15843" s="16" t="n">
        <f aca="false">Assumptions!$N$62*MIN(K15834+K15841+K15839-K15840-K15842,MAX(0,K15955-K15778-K15791-K15804-K15817-K15830))</f>
        <v>0</v>
      </c>
    </row>
    <row r="15844" customFormat="false" ht="15" hidden="false" customHeight="false" outlineLevel="0" collapsed="false">
      <c r="A15844" s="3" t="s">
        <v>338</v>
      </c>
      <c r="G15844" s="16" t="n">
        <f aca="false">G15835*(1-G15767)*(G15834-G15840+G15839-G15842)</f>
        <v>0</v>
      </c>
      <c r="H15844" s="16" t="n">
        <f aca="false">H15835*(1-H15767)*(H15834-H15840+H15839-H15842)</f>
        <v>350</v>
      </c>
      <c r="I15844" s="16" t="n">
        <f aca="false">I15835*(1-I15767)*(I15834-I15840+I15839-I15842)</f>
        <v>0</v>
      </c>
      <c r="J15844" s="16" t="n">
        <f aca="false">J15835*(1-J15767)*(J15834-J15840+J15839-J15842)</f>
        <v>0</v>
      </c>
      <c r="K15844" s="16" t="n">
        <f aca="false">K15835*(1-K15767)*(K15834-K15840+K15839-K15842)</f>
        <v>0</v>
      </c>
    </row>
    <row r="15845" customFormat="false" ht="15" hidden="false" customHeight="false" outlineLevel="0" collapsed="false">
      <c r="A15845" s="2" t="s">
        <v>339</v>
      </c>
      <c r="F15845" s="28" t="n">
        <f aca="false">Assumptions!$C$62</f>
        <v>350</v>
      </c>
      <c r="G15845" s="17" t="n">
        <f aca="false">G15834+G15841+G15839-G15840-G15842-G15843</f>
        <v>350</v>
      </c>
      <c r="H15845" s="17" t="n">
        <f aca="false">H15834+H15841+H15839-H15840-H15842-H15843</f>
        <v>350</v>
      </c>
      <c r="I15845" s="17" t="n">
        <f aca="false">I15834+I15841+I15839-I15840-I15842-I15843</f>
        <v>350</v>
      </c>
      <c r="J15845" s="17" t="n">
        <f aca="false">J15834+J15841+J15839-J15840-J15842-J15843</f>
        <v>350</v>
      </c>
      <c r="K15845" s="17" t="n">
        <f aca="false">K15834+K15841+K15839-K15840-K15842-K15843</f>
        <v>350</v>
      </c>
    </row>
    <row r="15846" customFormat="false" ht="15" hidden="false" customHeight="false" outlineLevel="0" collapsed="false">
      <c r="A15846" s="24" t="s">
        <v>345</v>
      </c>
      <c r="B15846" s="25"/>
      <c r="C15846" s="25"/>
      <c r="D15846" s="25"/>
      <c r="E15846" s="25"/>
      <c r="F15846" s="25"/>
      <c r="G15846" s="25"/>
      <c r="H15846" s="25"/>
      <c r="I15846" s="25"/>
      <c r="J15846" s="25"/>
      <c r="K15846" s="25"/>
    </row>
    <row r="15847" customFormat="false" ht="15" hidden="false" customHeight="false" outlineLevel="0" collapsed="false">
      <c r="A15847" s="3" t="s">
        <v>329</v>
      </c>
      <c r="G15847" s="16" t="n">
        <f aca="false">F15858</f>
        <v>550</v>
      </c>
      <c r="H15847" s="16" t="n">
        <f aca="false">G15858</f>
        <v>550</v>
      </c>
      <c r="I15847" s="16" t="n">
        <f aca="false">H15858</f>
        <v>550</v>
      </c>
      <c r="J15847" s="16" t="n">
        <f aca="false">I15858</f>
        <v>550</v>
      </c>
      <c r="K15847" s="16" t="n">
        <f aca="false">J15858</f>
        <v>550</v>
      </c>
    </row>
    <row r="15848" customFormat="false" ht="15" hidden="false" customHeight="false" outlineLevel="0" collapsed="false">
      <c r="A15848" s="3" t="s">
        <v>330</v>
      </c>
      <c r="G15848" s="21" t="n">
        <f aca="false">IF(G15733=Assumptions!$K$63,1,0)</f>
        <v>0</v>
      </c>
      <c r="H15848" s="21" t="n">
        <f aca="false">IF(H15733=Assumptions!$K$63,1,0)</f>
        <v>0</v>
      </c>
      <c r="I15848" s="21" t="n">
        <f aca="false">IF(I15733=Assumptions!$K$63,1,0)</f>
        <v>1</v>
      </c>
      <c r="J15848" s="21" t="n">
        <f aca="false">IF(J15733=Assumptions!$K$63,1,0)</f>
        <v>0</v>
      </c>
      <c r="K15848" s="21" t="n">
        <f aca="false">IF(K15733=Assumptions!$K$63,1,0)</f>
        <v>0</v>
      </c>
    </row>
    <row r="15850" customFormat="false" ht="15" hidden="false" customHeight="false" outlineLevel="0" collapsed="false">
      <c r="A15850" s="3" t="s">
        <v>331</v>
      </c>
      <c r="G15850" s="31" t="n">
        <f aca="false">IF(Assumptions!$I$63=1,MAX(G15759,Assumptions!$G$63)+Assumptions!$F$63+$C$15760,Assumptions!$E$63)</f>
        <v>0.08875</v>
      </c>
      <c r="H15850" s="31" t="n">
        <f aca="false">IF(G16085=1,$C$15761,IF(Assumptions!$I$63=1,MAX(H15759,Assumptions!$G$63)+Assumptions!$F$63+$C$15760,Assumptions!$E$63))</f>
        <v>0.08875</v>
      </c>
      <c r="I15850" s="31" t="n">
        <f aca="false">IF(H16085=1,$C$15761,IF(Assumptions!$I$63=1,MAX(I15759,Assumptions!$G$63)+Assumptions!$F$63+$C$15760,Assumptions!$E$63))</f>
        <v>0.08875</v>
      </c>
      <c r="J15850" s="31" t="n">
        <f aca="false">IF(I16085=1,$C$15761,IF(Assumptions!$I$63=1,MAX(J15759,Assumptions!$G$63)+Assumptions!$F$63+$C$15760,Assumptions!$E$63))</f>
        <v>0.08875</v>
      </c>
      <c r="K15850" s="31" t="n">
        <f aca="false">IF(J16085=1,$C$15761,IF(Assumptions!$I$63=1,MAX(K15759,Assumptions!$G$63)+Assumptions!$F$63+$C$15760,Assumptions!$E$63))</f>
        <v>0.08875</v>
      </c>
    </row>
    <row r="15851" customFormat="false" ht="15" hidden="false" customHeight="false" outlineLevel="0" collapsed="false">
      <c r="A15851" s="3" t="s">
        <v>332</v>
      </c>
      <c r="G15851" s="16" t="n">
        <f aca="false">G15847*G15850</f>
        <v>48.8125</v>
      </c>
      <c r="H15851" s="16" t="n">
        <f aca="false">H15847*H15850</f>
        <v>48.8125</v>
      </c>
      <c r="I15851" s="16" t="n">
        <f aca="false">I15847*I15850</f>
        <v>48.8125</v>
      </c>
      <c r="J15851" s="16" t="n">
        <f aca="false">J15847*J15850</f>
        <v>48.8125</v>
      </c>
      <c r="K15851" s="16" t="n">
        <f aca="false">K15847*K15850</f>
        <v>48.8125</v>
      </c>
    </row>
    <row r="15852" customFormat="false" ht="15" hidden="false" customHeight="false" outlineLevel="0" collapsed="false">
      <c r="A15852" s="3" t="s">
        <v>333</v>
      </c>
      <c r="G15852" s="16" t="n">
        <f aca="false">G15847*Assumptions!$H$63</f>
        <v>0</v>
      </c>
      <c r="H15852" s="16" t="n">
        <f aca="false">H15847*Assumptions!$H$63</f>
        <v>0</v>
      </c>
      <c r="I15852" s="16" t="n">
        <f aca="false">I15847*Assumptions!$H$63</f>
        <v>0</v>
      </c>
      <c r="J15852" s="16" t="n">
        <f aca="false">J15847*Assumptions!$H$63</f>
        <v>0</v>
      </c>
      <c r="K15852" s="16" t="n">
        <f aca="false">K15847*Assumptions!$H$63</f>
        <v>0</v>
      </c>
    </row>
    <row r="15853" customFormat="false" ht="15" hidden="false" customHeight="false" outlineLevel="0" collapsed="false">
      <c r="A15853" s="3" t="s">
        <v>334</v>
      </c>
      <c r="G15853" s="16" t="n">
        <f aca="false">MIN(G15847,Assumptions!$L$63*Assumptions!$C$63)</f>
        <v>0</v>
      </c>
      <c r="H15853" s="16" t="n">
        <f aca="false">MIN(H15847,Assumptions!$L$63*Assumptions!$C$63)</f>
        <v>0</v>
      </c>
      <c r="I15853" s="16" t="n">
        <f aca="false">MIN(I15847,Assumptions!$L$63*Assumptions!$C$63)</f>
        <v>0</v>
      </c>
      <c r="J15853" s="16" t="n">
        <f aca="false">MIN(J15847,Assumptions!$L$63*Assumptions!$C$63)</f>
        <v>0</v>
      </c>
      <c r="K15853" s="16" t="n">
        <f aca="false">MIN(K15847,Assumptions!$L$63*Assumptions!$C$63)</f>
        <v>0</v>
      </c>
    </row>
    <row r="15854" customFormat="false" ht="15" hidden="false" customHeight="false" outlineLevel="0" collapsed="false">
      <c r="A15854" s="3" t="s">
        <v>335</v>
      </c>
      <c r="G15854" s="16" t="n">
        <f aca="false">IF(AND(Assumptions!$P$63=1,G15733&lt;Assumptions!$K$63),MIN(MAX(0,-G15949),MAX(0,Assumptions!$D$63-G15847)),0)</f>
        <v>0</v>
      </c>
      <c r="H15854" s="16" t="n">
        <f aca="false">IF(AND(Assumptions!$P$63=1,OR(H15733&lt;Assumptions!$K$63,G16085=1)),MIN(MAX(0,-H15949),MAX(0,Assumptions!$D$63-H15847)),0)</f>
        <v>0</v>
      </c>
      <c r="I15854" s="16" t="n">
        <f aca="false">IF(AND(Assumptions!$P$63=1,OR(I15733&lt;Assumptions!$K$63,H16085=1)),MIN(MAX(0,-I15949),MAX(0,Assumptions!$D$63-I15847)),0)</f>
        <v>0</v>
      </c>
      <c r="J15854" s="16" t="n">
        <f aca="false">IF(AND(Assumptions!$P$63=1,OR(J15733&lt;Assumptions!$K$63,I16085=1)),MIN(MAX(0,-J15949),MAX(0,Assumptions!$D$63-J15847)),0)</f>
        <v>0</v>
      </c>
      <c r="K15854" s="16" t="n">
        <f aca="false">IF(AND(Assumptions!$P$63=1,OR(K15733&lt;Assumptions!$K$63,J16085=1)),MIN(MAX(0,-K15949),MAX(0,Assumptions!$D$63-K15847)),0)</f>
        <v>0</v>
      </c>
    </row>
    <row r="15855" customFormat="false" ht="15" hidden="false" customHeight="false" outlineLevel="0" collapsed="false">
      <c r="A15855" s="3" t="s">
        <v>336</v>
      </c>
      <c r="G15855" s="16" t="n">
        <f aca="false">G15848*MIN(G15847-G15853+G15852,MAX(0,G15951-Assumptions!$C$12*G15767-G15777-G15790-G15803-G15816-G15829-G15842))</f>
        <v>0</v>
      </c>
      <c r="H15855" s="16" t="n">
        <f aca="false">H15848*MIN(H15847-H15853+H15852,MAX(0,H15951-Assumptions!$C$12*H15767-H15777-H15790-H15803-H15816-H15829-H15842))</f>
        <v>0</v>
      </c>
      <c r="I15855" s="16" t="n">
        <f aca="false">I15848*MIN(I15847-I15853+I15852,MAX(0,I15951-Assumptions!$C$12*I15767-I15777-I15790-I15803-I15816-I15829-I15842))</f>
        <v>0</v>
      </c>
      <c r="J15855" s="16" t="n">
        <f aca="false">J15848*MIN(J15847-J15853+J15852,MAX(0,J15951-Assumptions!$C$12*J15767-J15777-J15790-J15803-J15816-J15829-J15842))</f>
        <v>0</v>
      </c>
      <c r="K15855" s="16" t="n">
        <f aca="false">K15848*MIN(K15847-K15853+K15852,MAX(0,K15951-Assumptions!$C$12*K15767-K15777-K15790-K15803-K15816-K15829-K15842))</f>
        <v>0</v>
      </c>
    </row>
    <row r="15856" customFormat="false" ht="15" hidden="false" customHeight="false" outlineLevel="0" collapsed="false">
      <c r="A15856" s="3" t="s">
        <v>337</v>
      </c>
      <c r="G15856" s="16" t="n">
        <f aca="false">Assumptions!$N$63*MIN(G15847+G15854+G15852-G15853-G15855,MAX(0,G15955-G15778-G15791-G15804-G15817-G15830-G15843))</f>
        <v>0</v>
      </c>
      <c r="H15856" s="16" t="n">
        <f aca="false">Assumptions!$N$63*MIN(H15847+H15854+H15852-H15853-H15855,MAX(0,H15955-H15778-H15791-H15804-H15817-H15830-H15843))</f>
        <v>0</v>
      </c>
      <c r="I15856" s="16" t="n">
        <f aca="false">Assumptions!$N$63*MIN(I15847+I15854+I15852-I15853-I15855,MAX(0,I15955-I15778-I15791-I15804-I15817-I15830-I15843))</f>
        <v>0</v>
      </c>
      <c r="J15856" s="16" t="n">
        <f aca="false">Assumptions!$N$63*MIN(J15847+J15854+J15852-J15853-J15855,MAX(0,J15955-J15778-J15791-J15804-J15817-J15830-J15843))</f>
        <v>0</v>
      </c>
      <c r="K15856" s="16" t="n">
        <f aca="false">Assumptions!$N$63*MIN(K15847+K15854+K15852-K15853-K15855,MAX(0,K15955-K15778-K15791-K15804-K15817-K15830-K15843))</f>
        <v>0</v>
      </c>
    </row>
    <row r="15857" customFormat="false" ht="15" hidden="false" customHeight="false" outlineLevel="0" collapsed="false">
      <c r="A15857" s="3" t="s">
        <v>338</v>
      </c>
      <c r="G15857" s="16" t="n">
        <f aca="false">G15848*(1-G15767)*(G15847-G15853+G15852-G15855)</f>
        <v>0</v>
      </c>
      <c r="H15857" s="16" t="n">
        <f aca="false">H15848*(1-H15767)*(H15847-H15853+H15852-H15855)</f>
        <v>0</v>
      </c>
      <c r="I15857" s="16" t="n">
        <f aca="false">I15848*(1-I15767)*(I15847-I15853+I15852-I15855)</f>
        <v>550</v>
      </c>
      <c r="J15857" s="16" t="n">
        <f aca="false">J15848*(1-J15767)*(J15847-J15853+J15852-J15855)</f>
        <v>0</v>
      </c>
      <c r="K15857" s="16" t="n">
        <f aca="false">K15848*(1-K15767)*(K15847-K15853+K15852-K15855)</f>
        <v>0</v>
      </c>
    </row>
    <row r="15858" customFormat="false" ht="15" hidden="false" customHeight="false" outlineLevel="0" collapsed="false">
      <c r="A15858" s="2" t="s">
        <v>339</v>
      </c>
      <c r="F15858" s="28" t="n">
        <f aca="false">Assumptions!$C$63</f>
        <v>550</v>
      </c>
      <c r="G15858" s="17" t="n">
        <f aca="false">G15847+G15854+G15852-G15853-G15855-G15856</f>
        <v>550</v>
      </c>
      <c r="H15858" s="17" t="n">
        <f aca="false">H15847+H15854+H15852-H15853-H15855-H15856</f>
        <v>550</v>
      </c>
      <c r="I15858" s="17" t="n">
        <f aca="false">I15847+I15854+I15852-I15853-I15855-I15856</f>
        <v>550</v>
      </c>
      <c r="J15858" s="17" t="n">
        <f aca="false">J15847+J15854+J15852-J15853-J15855-J15856</f>
        <v>550</v>
      </c>
      <c r="K15858" s="17" t="n">
        <f aca="false">K15847+K15854+K15852-K15853-K15855-K15856</f>
        <v>550</v>
      </c>
    </row>
    <row r="15859" customFormat="false" ht="15" hidden="false" customHeight="false" outlineLevel="0" collapsed="false">
      <c r="A15859" s="24" t="s">
        <v>346</v>
      </c>
      <c r="B15859" s="25"/>
      <c r="C15859" s="25"/>
      <c r="D15859" s="25"/>
      <c r="E15859" s="25"/>
      <c r="F15859" s="25"/>
      <c r="G15859" s="25"/>
      <c r="H15859" s="25"/>
      <c r="I15859" s="25"/>
      <c r="J15859" s="25"/>
      <c r="K15859" s="25"/>
    </row>
    <row r="15860" customFormat="false" ht="15" hidden="false" customHeight="false" outlineLevel="0" collapsed="false">
      <c r="A15860" s="3" t="s">
        <v>329</v>
      </c>
      <c r="G15860" s="16" t="n">
        <f aca="false">F15871</f>
        <v>350</v>
      </c>
      <c r="H15860" s="16" t="n">
        <f aca="false">G15871</f>
        <v>350</v>
      </c>
      <c r="I15860" s="16" t="n">
        <f aca="false">H15871</f>
        <v>350</v>
      </c>
      <c r="J15860" s="16" t="n">
        <f aca="false">I15871</f>
        <v>350</v>
      </c>
      <c r="K15860" s="16" t="n">
        <f aca="false">J15871</f>
        <v>350</v>
      </c>
    </row>
    <row r="15861" customFormat="false" ht="15" hidden="false" customHeight="false" outlineLevel="0" collapsed="false">
      <c r="A15861" s="3" t="s">
        <v>330</v>
      </c>
      <c r="G15861" s="21" t="n">
        <f aca="false">IF(G15733=Assumptions!$K$64,1,0)</f>
        <v>0</v>
      </c>
      <c r="H15861" s="21" t="n">
        <f aca="false">IF(H15733=Assumptions!$K$64,1,0)</f>
        <v>0</v>
      </c>
      <c r="I15861" s="21" t="n">
        <f aca="false">IF(I15733=Assumptions!$K$64,1,0)</f>
        <v>0</v>
      </c>
      <c r="J15861" s="21" t="n">
        <f aca="false">IF(J15733=Assumptions!$K$64,1,0)</f>
        <v>1</v>
      </c>
      <c r="K15861" s="21" t="n">
        <f aca="false">IF(K15733=Assumptions!$K$64,1,0)</f>
        <v>0</v>
      </c>
    </row>
    <row r="15863" customFormat="false" ht="15" hidden="false" customHeight="false" outlineLevel="0" collapsed="false">
      <c r="A15863" s="3" t="s">
        <v>331</v>
      </c>
      <c r="G15863" s="31" t="n">
        <f aca="false">IF(Assumptions!$I$64=1,MAX(G15759,Assumptions!$G$64)+Assumptions!$F$64+$C$15760,Assumptions!$E$64)</f>
        <v>0.0455</v>
      </c>
      <c r="H15863" s="31" t="n">
        <f aca="false">IF(G16086=1,$C$15761,IF(Assumptions!$I$64=1,MAX(H15759,Assumptions!$G$64)+Assumptions!$F$64+$C$15760,Assumptions!$E$64))</f>
        <v>0.0455</v>
      </c>
      <c r="I15863" s="31" t="n">
        <f aca="false">IF(H16086=1,$C$15761,IF(Assumptions!$I$64=1,MAX(I15759,Assumptions!$G$64)+Assumptions!$F$64+$C$15760,Assumptions!$E$64))</f>
        <v>0.0455</v>
      </c>
      <c r="J15863" s="31" t="n">
        <f aca="false">IF(I16086=1,$C$15761,IF(Assumptions!$I$64=1,MAX(J15759,Assumptions!$G$64)+Assumptions!$F$64+$C$15760,Assumptions!$E$64))</f>
        <v>0.0455</v>
      </c>
      <c r="K15863" s="31" t="n">
        <f aca="false">IF(J16086=1,$C$15761,IF(Assumptions!$I$64=1,MAX(K15759,Assumptions!$G$64)+Assumptions!$F$64+$C$15760,Assumptions!$E$64))</f>
        <v>0.0455</v>
      </c>
    </row>
    <row r="15864" customFormat="false" ht="15" hidden="false" customHeight="false" outlineLevel="0" collapsed="false">
      <c r="A15864" s="3" t="s">
        <v>332</v>
      </c>
      <c r="G15864" s="16" t="n">
        <f aca="false">G15860*G15863</f>
        <v>15.925</v>
      </c>
      <c r="H15864" s="16" t="n">
        <f aca="false">H15860*H15863</f>
        <v>15.925</v>
      </c>
      <c r="I15864" s="16" t="n">
        <f aca="false">I15860*I15863</f>
        <v>15.925</v>
      </c>
      <c r="J15864" s="16" t="n">
        <f aca="false">J15860*J15863</f>
        <v>15.925</v>
      </c>
      <c r="K15864" s="16" t="n">
        <f aca="false">K15860*K15863</f>
        <v>15.925</v>
      </c>
    </row>
    <row r="15865" customFormat="false" ht="15" hidden="false" customHeight="false" outlineLevel="0" collapsed="false">
      <c r="A15865" s="3" t="s">
        <v>333</v>
      </c>
      <c r="G15865" s="16" t="n">
        <f aca="false">G15860*Assumptions!$H$64</f>
        <v>0</v>
      </c>
      <c r="H15865" s="16" t="n">
        <f aca="false">H15860*Assumptions!$H$64</f>
        <v>0</v>
      </c>
      <c r="I15865" s="16" t="n">
        <f aca="false">I15860*Assumptions!$H$64</f>
        <v>0</v>
      </c>
      <c r="J15865" s="16" t="n">
        <f aca="false">J15860*Assumptions!$H$64</f>
        <v>0</v>
      </c>
      <c r="K15865" s="16" t="n">
        <f aca="false">K15860*Assumptions!$H$64</f>
        <v>0</v>
      </c>
    </row>
    <row r="15866" customFormat="false" ht="15" hidden="false" customHeight="false" outlineLevel="0" collapsed="false">
      <c r="A15866" s="3" t="s">
        <v>334</v>
      </c>
      <c r="G15866" s="16" t="n">
        <f aca="false">MIN(G15860,Assumptions!$L$64*Assumptions!$C$64)</f>
        <v>0</v>
      </c>
      <c r="H15866" s="16" t="n">
        <f aca="false">MIN(H15860,Assumptions!$L$64*Assumptions!$C$64)</f>
        <v>0</v>
      </c>
      <c r="I15866" s="16" t="n">
        <f aca="false">MIN(I15860,Assumptions!$L$64*Assumptions!$C$64)</f>
        <v>0</v>
      </c>
      <c r="J15866" s="16" t="n">
        <f aca="false">MIN(J15860,Assumptions!$L$64*Assumptions!$C$64)</f>
        <v>0</v>
      </c>
      <c r="K15866" s="16" t="n">
        <f aca="false">MIN(K15860,Assumptions!$L$64*Assumptions!$C$64)</f>
        <v>0</v>
      </c>
    </row>
    <row r="15867" customFormat="false" ht="15" hidden="false" customHeight="false" outlineLevel="0" collapsed="false">
      <c r="A15867" s="3" t="s">
        <v>335</v>
      </c>
      <c r="G15867" s="16" t="n">
        <f aca="false">IF(AND(Assumptions!$P$64=1,G15733&lt;Assumptions!$K$64),MIN(MAX(0,-G15949),MAX(0,Assumptions!$D$64-G15860)),0)</f>
        <v>0</v>
      </c>
      <c r="H15867" s="16" t="n">
        <f aca="false">IF(AND(Assumptions!$P$64=1,OR(H15733&lt;Assumptions!$K$64,G16086=1)),MIN(MAX(0,-H15949),MAX(0,Assumptions!$D$64-H15860)),0)</f>
        <v>0</v>
      </c>
      <c r="I15867" s="16" t="n">
        <f aca="false">IF(AND(Assumptions!$P$64=1,OR(I15733&lt;Assumptions!$K$64,H16086=1)),MIN(MAX(0,-I15949),MAX(0,Assumptions!$D$64-I15860)),0)</f>
        <v>0</v>
      </c>
      <c r="J15867" s="16" t="n">
        <f aca="false">IF(AND(Assumptions!$P$64=1,OR(J15733&lt;Assumptions!$K$64,I16086=1)),MIN(MAX(0,-J15949),MAX(0,Assumptions!$D$64-J15860)),0)</f>
        <v>0</v>
      </c>
      <c r="K15867" s="16" t="n">
        <f aca="false">IF(AND(Assumptions!$P$64=1,OR(K15733&lt;Assumptions!$K$64,J16086=1)),MIN(MAX(0,-K15949),MAX(0,Assumptions!$D$64-K15860)),0)</f>
        <v>0</v>
      </c>
    </row>
    <row r="15868" customFormat="false" ht="15" hidden="false" customHeight="false" outlineLevel="0" collapsed="false">
      <c r="A15868" s="3" t="s">
        <v>336</v>
      </c>
      <c r="G15868" s="16" t="n">
        <f aca="false">G15861*MIN(G15860-G15866+G15865,MAX(0,G15951-Assumptions!$C$12*G15767-G15777-G15790-G15803-G15816-G15829-G15842-G15855))</f>
        <v>0</v>
      </c>
      <c r="H15868" s="16" t="n">
        <f aca="false">H15861*MIN(H15860-H15866+H15865,MAX(0,H15951-Assumptions!$C$12*H15767-H15777-H15790-H15803-H15816-H15829-H15842-H15855))</f>
        <v>0</v>
      </c>
      <c r="I15868" s="16" t="n">
        <f aca="false">I15861*MIN(I15860-I15866+I15865,MAX(0,I15951-Assumptions!$C$12*I15767-I15777-I15790-I15803-I15816-I15829-I15842-I15855))</f>
        <v>0</v>
      </c>
      <c r="J15868" s="16" t="n">
        <f aca="false">J15861*MIN(J15860-J15866+J15865,MAX(0,J15951-Assumptions!$C$12*J15767-J15777-J15790-J15803-J15816-J15829-J15842-J15855))</f>
        <v>0</v>
      </c>
      <c r="K15868" s="16" t="n">
        <f aca="false">K15861*MIN(K15860-K15866+K15865,MAX(0,K15951-Assumptions!$C$12*K15767-K15777-K15790-K15803-K15816-K15829-K15842-K15855))</f>
        <v>0</v>
      </c>
    </row>
    <row r="15869" customFormat="false" ht="15" hidden="false" customHeight="false" outlineLevel="0" collapsed="false">
      <c r="A15869" s="3" t="s">
        <v>337</v>
      </c>
      <c r="G15869" s="16" t="n">
        <f aca="false">Assumptions!$N$64*MIN(G15860+G15867+G15865-G15866-G15868,MAX(0,G15955-G15778-G15791-G15804-G15817-G15830-G15843-G15856))</f>
        <v>0</v>
      </c>
      <c r="H15869" s="16" t="n">
        <f aca="false">Assumptions!$N$64*MIN(H15860+H15867+H15865-H15866-H15868,MAX(0,H15955-H15778-H15791-H15804-H15817-H15830-H15843-H15856))</f>
        <v>0</v>
      </c>
      <c r="I15869" s="16" t="n">
        <f aca="false">Assumptions!$N$64*MIN(I15860+I15867+I15865-I15866-I15868,MAX(0,I15955-I15778-I15791-I15804-I15817-I15830-I15843-I15856))</f>
        <v>0</v>
      </c>
      <c r="J15869" s="16" t="n">
        <f aca="false">Assumptions!$N$64*MIN(J15860+J15867+J15865-J15866-J15868,MAX(0,J15955-J15778-J15791-J15804-J15817-J15830-J15843-J15856))</f>
        <v>0</v>
      </c>
      <c r="K15869" s="16" t="n">
        <f aca="false">Assumptions!$N$64*MIN(K15860+K15867+K15865-K15866-K15868,MAX(0,K15955-K15778-K15791-K15804-K15817-K15830-K15843-K15856))</f>
        <v>0</v>
      </c>
    </row>
    <row r="15870" customFormat="false" ht="15" hidden="false" customHeight="false" outlineLevel="0" collapsed="false">
      <c r="A15870" s="3" t="s">
        <v>338</v>
      </c>
      <c r="G15870" s="16" t="n">
        <f aca="false">G15861*(1-G15767)*(G15860-G15866+G15865-G15868)</f>
        <v>0</v>
      </c>
      <c r="H15870" s="16" t="n">
        <f aca="false">H15861*(1-H15767)*(H15860-H15866+H15865-H15868)</f>
        <v>0</v>
      </c>
      <c r="I15870" s="16" t="n">
        <f aca="false">I15861*(1-I15767)*(I15860-I15866+I15865-I15868)</f>
        <v>0</v>
      </c>
      <c r="J15870" s="16" t="n">
        <f aca="false">J15861*(1-J15767)*(J15860-J15866+J15865-J15868)</f>
        <v>350</v>
      </c>
      <c r="K15870" s="16" t="n">
        <f aca="false">K15861*(1-K15767)*(K15860-K15866+K15865-K15868)</f>
        <v>0</v>
      </c>
    </row>
    <row r="15871" customFormat="false" ht="15" hidden="false" customHeight="false" outlineLevel="0" collapsed="false">
      <c r="A15871" s="2" t="s">
        <v>339</v>
      </c>
      <c r="F15871" s="28" t="n">
        <f aca="false">Assumptions!$C$64</f>
        <v>350</v>
      </c>
      <c r="G15871" s="17" t="n">
        <f aca="false">G15860+G15867+G15865-G15866-G15868-G15869</f>
        <v>350</v>
      </c>
      <c r="H15871" s="17" t="n">
        <f aca="false">H15860+H15867+H15865-H15866-H15868-H15869</f>
        <v>350</v>
      </c>
      <c r="I15871" s="17" t="n">
        <f aca="false">I15860+I15867+I15865-I15866-I15868-I15869</f>
        <v>350</v>
      </c>
      <c r="J15871" s="17" t="n">
        <f aca="false">J15860+J15867+J15865-J15866-J15868-J15869</f>
        <v>350</v>
      </c>
      <c r="K15871" s="17" t="n">
        <f aca="false">K15860+K15867+K15865-K15866-K15868-K15869</f>
        <v>350</v>
      </c>
    </row>
    <row r="15872" customFormat="false" ht="15" hidden="false" customHeight="false" outlineLevel="0" collapsed="false">
      <c r="A15872" s="24" t="s">
        <v>347</v>
      </c>
      <c r="B15872" s="25"/>
      <c r="C15872" s="25"/>
      <c r="D15872" s="25"/>
      <c r="E15872" s="25"/>
      <c r="F15872" s="25"/>
      <c r="G15872" s="25"/>
      <c r="H15872" s="25"/>
      <c r="I15872" s="25"/>
      <c r="J15872" s="25"/>
      <c r="K15872" s="25"/>
    </row>
    <row r="15873" customFormat="false" ht="15" hidden="false" customHeight="false" outlineLevel="0" collapsed="false">
      <c r="A15873" s="3" t="s">
        <v>329</v>
      </c>
      <c r="G15873" s="16" t="n">
        <f aca="false">F15884</f>
        <v>300</v>
      </c>
      <c r="H15873" s="16" t="n">
        <f aca="false">G15884</f>
        <v>300</v>
      </c>
      <c r="I15873" s="16" t="n">
        <f aca="false">H15884</f>
        <v>300</v>
      </c>
      <c r="J15873" s="16" t="n">
        <f aca="false">I15884</f>
        <v>300</v>
      </c>
      <c r="K15873" s="16" t="n">
        <f aca="false">J15884</f>
        <v>300</v>
      </c>
    </row>
    <row r="15874" customFormat="false" ht="15" hidden="false" customHeight="false" outlineLevel="0" collapsed="false">
      <c r="A15874" s="3" t="s">
        <v>330</v>
      </c>
      <c r="G15874" s="21" t="n">
        <f aca="false">IF(G15733=Assumptions!$K$65,1,0)</f>
        <v>0</v>
      </c>
      <c r="H15874" s="21" t="n">
        <f aca="false">IF(H15733=Assumptions!$K$65,1,0)</f>
        <v>0</v>
      </c>
      <c r="I15874" s="21" t="n">
        <f aca="false">IF(I15733=Assumptions!$K$65,1,0)</f>
        <v>0</v>
      </c>
      <c r="J15874" s="21" t="n">
        <f aca="false">IF(J15733=Assumptions!$K$65,1,0)</f>
        <v>0</v>
      </c>
      <c r="K15874" s="21" t="n">
        <f aca="false">IF(K15733=Assumptions!$K$65,1,0)</f>
        <v>1</v>
      </c>
    </row>
    <row r="15876" customFormat="false" ht="15" hidden="false" customHeight="false" outlineLevel="0" collapsed="false">
      <c r="A15876" s="3" t="s">
        <v>331</v>
      </c>
      <c r="G15876" s="31" t="n">
        <f aca="false">IF(Assumptions!$I$65=1,MAX(G15759,Assumptions!$G$65)+Assumptions!$F$65+$C$15760,Assumptions!$E$65)</f>
        <v>0.06125</v>
      </c>
      <c r="H15876" s="31" t="n">
        <f aca="false">IF(G16087=1,$C$15761,IF(Assumptions!$I$65=1,MAX(H15759,Assumptions!$G$65)+Assumptions!$F$65+$C$15760,Assumptions!$E$65))</f>
        <v>0.06125</v>
      </c>
      <c r="I15876" s="31" t="n">
        <f aca="false">IF(H16087=1,$C$15761,IF(Assumptions!$I$65=1,MAX(I15759,Assumptions!$G$65)+Assumptions!$F$65+$C$15760,Assumptions!$E$65))</f>
        <v>0.06125</v>
      </c>
      <c r="J15876" s="31" t="n">
        <f aca="false">IF(I16087=1,$C$15761,IF(Assumptions!$I$65=1,MAX(J15759,Assumptions!$G$65)+Assumptions!$F$65+$C$15760,Assumptions!$E$65))</f>
        <v>0.06125</v>
      </c>
      <c r="K15876" s="31" t="n">
        <f aca="false">IF(J16087=1,$C$15761,IF(Assumptions!$I$65=1,MAX(K15759,Assumptions!$G$65)+Assumptions!$F$65+$C$15760,Assumptions!$E$65))</f>
        <v>0.06125</v>
      </c>
    </row>
    <row r="15877" customFormat="false" ht="15" hidden="false" customHeight="false" outlineLevel="0" collapsed="false">
      <c r="A15877" s="3" t="s">
        <v>332</v>
      </c>
      <c r="G15877" s="16" t="n">
        <f aca="false">G15873*G15876</f>
        <v>18.375</v>
      </c>
      <c r="H15877" s="16" t="n">
        <f aca="false">H15873*H15876</f>
        <v>18.375</v>
      </c>
      <c r="I15877" s="16" t="n">
        <f aca="false">I15873*I15876</f>
        <v>18.375</v>
      </c>
      <c r="J15877" s="16" t="n">
        <f aca="false">J15873*J15876</f>
        <v>18.375</v>
      </c>
      <c r="K15877" s="16" t="n">
        <f aca="false">K15873*K15876</f>
        <v>18.375</v>
      </c>
    </row>
    <row r="15878" customFormat="false" ht="15" hidden="false" customHeight="false" outlineLevel="0" collapsed="false">
      <c r="A15878" s="3" t="s">
        <v>333</v>
      </c>
      <c r="G15878" s="16" t="n">
        <f aca="false">G15873*Assumptions!$H$65</f>
        <v>0</v>
      </c>
      <c r="H15878" s="16" t="n">
        <f aca="false">H15873*Assumptions!$H$65</f>
        <v>0</v>
      </c>
      <c r="I15878" s="16" t="n">
        <f aca="false">I15873*Assumptions!$H$65</f>
        <v>0</v>
      </c>
      <c r="J15878" s="16" t="n">
        <f aca="false">J15873*Assumptions!$H$65</f>
        <v>0</v>
      </c>
      <c r="K15878" s="16" t="n">
        <f aca="false">K15873*Assumptions!$H$65</f>
        <v>0</v>
      </c>
    </row>
    <row r="15879" customFormat="false" ht="15" hidden="false" customHeight="false" outlineLevel="0" collapsed="false">
      <c r="A15879" s="3" t="s">
        <v>334</v>
      </c>
      <c r="G15879" s="16" t="n">
        <f aca="false">MIN(G15873,Assumptions!$L$65*Assumptions!$C$65)</f>
        <v>0</v>
      </c>
      <c r="H15879" s="16" t="n">
        <f aca="false">MIN(H15873,Assumptions!$L$65*Assumptions!$C$65)</f>
        <v>0</v>
      </c>
      <c r="I15879" s="16" t="n">
        <f aca="false">MIN(I15873,Assumptions!$L$65*Assumptions!$C$65)</f>
        <v>0</v>
      </c>
      <c r="J15879" s="16" t="n">
        <f aca="false">MIN(J15873,Assumptions!$L$65*Assumptions!$C$65)</f>
        <v>0</v>
      </c>
      <c r="K15879" s="16" t="n">
        <f aca="false">MIN(K15873,Assumptions!$L$65*Assumptions!$C$65)</f>
        <v>0</v>
      </c>
    </row>
    <row r="15880" customFormat="false" ht="15" hidden="false" customHeight="false" outlineLevel="0" collapsed="false">
      <c r="A15880" s="3" t="s">
        <v>335</v>
      </c>
      <c r="G15880" s="16" t="n">
        <f aca="false">IF(AND(Assumptions!$P$65=1,G15733&lt;Assumptions!$K$65),MIN(MAX(0,-G15949),MAX(0,Assumptions!$D$65-G15873)),0)</f>
        <v>0</v>
      </c>
      <c r="H15880" s="16" t="n">
        <f aca="false">IF(AND(Assumptions!$P$65=1,OR(H15733&lt;Assumptions!$K$65,G16087=1)),MIN(MAX(0,-H15949),MAX(0,Assumptions!$D$65-H15873)),0)</f>
        <v>0</v>
      </c>
      <c r="I15880" s="16" t="n">
        <f aca="false">IF(AND(Assumptions!$P$65=1,OR(I15733&lt;Assumptions!$K$65,H16087=1)),MIN(MAX(0,-I15949),MAX(0,Assumptions!$D$65-I15873)),0)</f>
        <v>0</v>
      </c>
      <c r="J15880" s="16" t="n">
        <f aca="false">IF(AND(Assumptions!$P$65=1,OR(J15733&lt;Assumptions!$K$65,I16087=1)),MIN(MAX(0,-J15949),MAX(0,Assumptions!$D$65-J15873)),0)</f>
        <v>0</v>
      </c>
      <c r="K15880" s="16" t="n">
        <f aca="false">IF(AND(Assumptions!$P$65=1,OR(K15733&lt;Assumptions!$K$65,J16087=1)),MIN(MAX(0,-K15949),MAX(0,Assumptions!$D$65-K15873)),0)</f>
        <v>0</v>
      </c>
    </row>
    <row r="15881" customFormat="false" ht="15" hidden="false" customHeight="false" outlineLevel="0" collapsed="false">
      <c r="A15881" s="3" t="s">
        <v>336</v>
      </c>
      <c r="G15881" s="16" t="n">
        <f aca="false">G15874*MIN(G15873-G15879+G15878,MAX(0,G15951-Assumptions!$C$12*G15767-G15777-G15790-G15803-G15816-G15829-G15842-G15855-G15868))</f>
        <v>0</v>
      </c>
      <c r="H15881" s="16" t="n">
        <f aca="false">H15874*MIN(H15873-H15879+H15878,MAX(0,H15951-Assumptions!$C$12*H15767-H15777-H15790-H15803-H15816-H15829-H15842-H15855-H15868))</f>
        <v>0</v>
      </c>
      <c r="I15881" s="16" t="n">
        <f aca="false">I15874*MIN(I15873-I15879+I15878,MAX(0,I15951-Assumptions!$C$12*I15767-I15777-I15790-I15803-I15816-I15829-I15842-I15855-I15868))</f>
        <v>0</v>
      </c>
      <c r="J15881" s="16" t="n">
        <f aca="false">J15874*MIN(J15873-J15879+J15878,MAX(0,J15951-Assumptions!$C$12*J15767-J15777-J15790-J15803-J15816-J15829-J15842-J15855-J15868))</f>
        <v>0</v>
      </c>
      <c r="K15881" s="16" t="n">
        <f aca="false">K15874*MIN(K15873-K15879+K15878,MAX(0,K15951-Assumptions!$C$12*K15767-K15777-K15790-K15803-K15816-K15829-K15842-K15855-K15868))</f>
        <v>0</v>
      </c>
    </row>
    <row r="15882" customFormat="false" ht="15" hidden="false" customHeight="false" outlineLevel="0" collapsed="false">
      <c r="A15882" s="3" t="s">
        <v>337</v>
      </c>
      <c r="G15882" s="16" t="n">
        <f aca="false">Assumptions!$N$65*MIN(G15873+G15880+G15878-G15879-G15881,MAX(0,G15955-G15778-G15791-G15804-G15817-G15830-G15843-G15856-G15869))</f>
        <v>0</v>
      </c>
      <c r="H15882" s="16" t="n">
        <f aca="false">Assumptions!$N$65*MIN(H15873+H15880+H15878-H15879-H15881,MAX(0,H15955-H15778-H15791-H15804-H15817-H15830-H15843-H15856-H15869))</f>
        <v>0</v>
      </c>
      <c r="I15882" s="16" t="n">
        <f aca="false">Assumptions!$N$65*MIN(I15873+I15880+I15878-I15879-I15881,MAX(0,I15955-I15778-I15791-I15804-I15817-I15830-I15843-I15856-I15869))</f>
        <v>0</v>
      </c>
      <c r="J15882" s="16" t="n">
        <f aca="false">Assumptions!$N$65*MIN(J15873+J15880+J15878-J15879-J15881,MAX(0,J15955-J15778-J15791-J15804-J15817-J15830-J15843-J15856-J15869))</f>
        <v>0</v>
      </c>
      <c r="K15882" s="16" t="n">
        <f aca="false">Assumptions!$N$65*MIN(K15873+K15880+K15878-K15879-K15881,MAX(0,K15955-K15778-K15791-K15804-K15817-K15830-K15843-K15856-K15869))</f>
        <v>0</v>
      </c>
    </row>
    <row r="15883" customFormat="false" ht="15" hidden="false" customHeight="false" outlineLevel="0" collapsed="false">
      <c r="A15883" s="3" t="s">
        <v>338</v>
      </c>
      <c r="G15883" s="16" t="n">
        <f aca="false">G15874*(1-G15767)*(G15873-G15879+G15878-G15881)</f>
        <v>0</v>
      </c>
      <c r="H15883" s="16" t="n">
        <f aca="false">H15874*(1-H15767)*(H15873-H15879+H15878-H15881)</f>
        <v>0</v>
      </c>
      <c r="I15883" s="16" t="n">
        <f aca="false">I15874*(1-I15767)*(I15873-I15879+I15878-I15881)</f>
        <v>0</v>
      </c>
      <c r="J15883" s="16" t="n">
        <f aca="false">J15874*(1-J15767)*(J15873-J15879+J15878-J15881)</f>
        <v>0</v>
      </c>
      <c r="K15883" s="16" t="n">
        <f aca="false">K15874*(1-K15767)*(K15873-K15879+K15878-K15881)</f>
        <v>300</v>
      </c>
    </row>
    <row r="15884" customFormat="false" ht="15" hidden="false" customHeight="false" outlineLevel="0" collapsed="false">
      <c r="A15884" s="2" t="s">
        <v>339</v>
      </c>
      <c r="F15884" s="28" t="n">
        <f aca="false">Assumptions!$C$65</f>
        <v>300</v>
      </c>
      <c r="G15884" s="17" t="n">
        <f aca="false">G15873+G15880+G15878-G15879-G15881-G15882</f>
        <v>300</v>
      </c>
      <c r="H15884" s="17" t="n">
        <f aca="false">H15873+H15880+H15878-H15879-H15881-H15882</f>
        <v>300</v>
      </c>
      <c r="I15884" s="17" t="n">
        <f aca="false">I15873+I15880+I15878-I15879-I15881-I15882</f>
        <v>300</v>
      </c>
      <c r="J15884" s="17" t="n">
        <f aca="false">J15873+J15880+J15878-J15879-J15881-J15882</f>
        <v>300</v>
      </c>
      <c r="K15884" s="17" t="n">
        <f aca="false">K15873+K15880+K15878-K15879-K15881-K15882</f>
        <v>300</v>
      </c>
    </row>
    <row r="15885" customFormat="false" ht="15" hidden="false" customHeight="false" outlineLevel="0" collapsed="false">
      <c r="A15885" s="24" t="s">
        <v>348</v>
      </c>
      <c r="B15885" s="25"/>
      <c r="C15885" s="25"/>
      <c r="D15885" s="25"/>
      <c r="E15885" s="25"/>
      <c r="F15885" s="25"/>
      <c r="G15885" s="25"/>
      <c r="H15885" s="25"/>
      <c r="I15885" s="25"/>
      <c r="J15885" s="25"/>
      <c r="K15885" s="25"/>
    </row>
    <row r="15886" customFormat="false" ht="15" hidden="false" customHeight="false" outlineLevel="0" collapsed="false">
      <c r="A15886" s="3" t="s">
        <v>329</v>
      </c>
      <c r="G15886" s="16" t="n">
        <f aca="false">F15897</f>
        <v>78.61</v>
      </c>
      <c r="H15886" s="16" t="n">
        <f aca="false">G15897</f>
        <v>78.61</v>
      </c>
      <c r="I15886" s="16" t="n">
        <f aca="false">H15897</f>
        <v>78.61</v>
      </c>
      <c r="J15886" s="16" t="n">
        <f aca="false">I15897</f>
        <v>78.61</v>
      </c>
      <c r="K15886" s="16" t="n">
        <f aca="false">J15897</f>
        <v>78.61</v>
      </c>
    </row>
    <row r="15887" customFormat="false" ht="15" hidden="false" customHeight="false" outlineLevel="0" collapsed="false">
      <c r="A15887" s="3" t="s">
        <v>330</v>
      </c>
      <c r="G15887" s="21" t="n">
        <f aca="false">IF(G15733=Assumptions!$K$66,1,0)</f>
        <v>0</v>
      </c>
      <c r="H15887" s="21" t="n">
        <f aca="false">IF(H15733=Assumptions!$K$66,1,0)</f>
        <v>0</v>
      </c>
      <c r="I15887" s="21" t="n">
        <f aca="false">IF(I15733=Assumptions!$K$66,1,0)</f>
        <v>0</v>
      </c>
      <c r="J15887" s="21" t="n">
        <f aca="false">IF(J15733=Assumptions!$K$66,1,0)</f>
        <v>0</v>
      </c>
      <c r="K15887" s="21" t="n">
        <f aca="false">IF(K15733=Assumptions!$K$66,1,0)</f>
        <v>0</v>
      </c>
    </row>
    <row r="15889" customFormat="false" ht="15" hidden="false" customHeight="false" outlineLevel="0" collapsed="false">
      <c r="A15889" s="3" t="s">
        <v>331</v>
      </c>
      <c r="G15889" s="31" t="n">
        <f aca="false">IF(Assumptions!$I$66=1,MAX(G15759,Assumptions!$G$66)+Assumptions!$F$66+$C$15760,Assumptions!$E$66)</f>
        <v>0.0691</v>
      </c>
      <c r="H15889" s="31" t="n">
        <f aca="false">IF(G16088=1,$C$15761,IF(Assumptions!$I$66=1,MAX(H15759,Assumptions!$G$66)+Assumptions!$F$66+$C$15760,Assumptions!$E$66))</f>
        <v>0.0676</v>
      </c>
      <c r="I15889" s="31" t="n">
        <f aca="false">IF(H16088=1,$C$15761,IF(Assumptions!$I$66=1,MAX(I15759,Assumptions!$G$66)+Assumptions!$F$66+$C$15760,Assumptions!$E$66))</f>
        <v>0.0651</v>
      </c>
      <c r="J15889" s="31" t="n">
        <f aca="false">IF(I16088=1,$C$15761,IF(Assumptions!$I$66=1,MAX(J15759,Assumptions!$G$66)+Assumptions!$F$66+$C$15760,Assumptions!$E$66))</f>
        <v>0.0651</v>
      </c>
      <c r="K15889" s="31" t="n">
        <f aca="false">IF(J16088=1,$C$15761,IF(Assumptions!$I$66=1,MAX(K15759,Assumptions!$G$66)+Assumptions!$F$66+$C$15760,Assumptions!$E$66))</f>
        <v>0.0651</v>
      </c>
    </row>
    <row r="15890" customFormat="false" ht="15" hidden="false" customHeight="false" outlineLevel="0" collapsed="false">
      <c r="A15890" s="3" t="s">
        <v>332</v>
      </c>
      <c r="G15890" s="16" t="n">
        <f aca="false">G15886*G15889</f>
        <v>5.431951</v>
      </c>
      <c r="H15890" s="16" t="n">
        <f aca="false">H15886*H15889</f>
        <v>5.314036</v>
      </c>
      <c r="I15890" s="16" t="n">
        <f aca="false">I15886*I15889</f>
        <v>5.117511</v>
      </c>
      <c r="J15890" s="16" t="n">
        <f aca="false">J15886*J15889</f>
        <v>5.117511</v>
      </c>
      <c r="K15890" s="16" t="n">
        <f aca="false">K15886*K15889</f>
        <v>5.117511</v>
      </c>
    </row>
    <row r="15891" customFormat="false" ht="15" hidden="false" customHeight="false" outlineLevel="0" collapsed="false">
      <c r="A15891" s="3" t="s">
        <v>333</v>
      </c>
      <c r="G15891" s="16" t="n">
        <f aca="false">G15886*Assumptions!$H$66</f>
        <v>0</v>
      </c>
      <c r="H15891" s="16" t="n">
        <f aca="false">H15886*Assumptions!$H$66</f>
        <v>0</v>
      </c>
      <c r="I15891" s="16" t="n">
        <f aca="false">I15886*Assumptions!$H$66</f>
        <v>0</v>
      </c>
      <c r="J15891" s="16" t="n">
        <f aca="false">J15886*Assumptions!$H$66</f>
        <v>0</v>
      </c>
      <c r="K15891" s="16" t="n">
        <f aca="false">K15886*Assumptions!$H$66</f>
        <v>0</v>
      </c>
    </row>
    <row r="15892" customFormat="false" ht="15" hidden="false" customHeight="false" outlineLevel="0" collapsed="false">
      <c r="A15892" s="3" t="s">
        <v>334</v>
      </c>
      <c r="G15892" s="16" t="n">
        <f aca="false">MIN(G15886,Assumptions!$L$66*Assumptions!$C$66)</f>
        <v>0</v>
      </c>
      <c r="H15892" s="16" t="n">
        <f aca="false">MIN(H15886,Assumptions!$L$66*Assumptions!$C$66)</f>
        <v>0</v>
      </c>
      <c r="I15892" s="16" t="n">
        <f aca="false">MIN(I15886,Assumptions!$L$66*Assumptions!$C$66)</f>
        <v>0</v>
      </c>
      <c r="J15892" s="16" t="n">
        <f aca="false">MIN(J15886,Assumptions!$L$66*Assumptions!$C$66)</f>
        <v>0</v>
      </c>
      <c r="K15892" s="16" t="n">
        <f aca="false">MIN(K15886,Assumptions!$L$66*Assumptions!$C$66)</f>
        <v>0</v>
      </c>
    </row>
    <row r="15893" customFormat="false" ht="15" hidden="false" customHeight="false" outlineLevel="0" collapsed="false">
      <c r="A15893" s="3" t="s">
        <v>335</v>
      </c>
      <c r="G15893" s="16" t="n">
        <f aca="false">IF(AND(Assumptions!$P$66=1,G15733&lt;Assumptions!$K$66),MIN(MAX(0,-G15949),MAX(0,Assumptions!$D$66-G15886)),0)</f>
        <v>0</v>
      </c>
      <c r="H15893" s="16" t="n">
        <f aca="false">IF(AND(Assumptions!$P$66=1,OR(H15733&lt;Assumptions!$K$66,G16088=1)),MIN(MAX(0,-H15949),MAX(0,Assumptions!$D$66-H15886)),0)</f>
        <v>0</v>
      </c>
      <c r="I15893" s="16" t="n">
        <f aca="false">IF(AND(Assumptions!$P$66=1,OR(I15733&lt;Assumptions!$K$66,H16088=1)),MIN(MAX(0,-I15949),MAX(0,Assumptions!$D$66-I15886)),0)</f>
        <v>0</v>
      </c>
      <c r="J15893" s="16" t="n">
        <f aca="false">IF(AND(Assumptions!$P$66=1,OR(J15733&lt;Assumptions!$K$66,I16088=1)),MIN(MAX(0,-J15949),MAX(0,Assumptions!$D$66-J15886)),0)</f>
        <v>0</v>
      </c>
      <c r="K15893" s="16" t="n">
        <f aca="false">IF(AND(Assumptions!$P$66=1,OR(K15733&lt;Assumptions!$K$66,J16088=1)),MIN(MAX(0,-K15949),MAX(0,Assumptions!$D$66-K15886)),0)</f>
        <v>0</v>
      </c>
    </row>
    <row r="15894" customFormat="false" ht="15" hidden="false" customHeight="false" outlineLevel="0" collapsed="false">
      <c r="A15894" s="3" t="s">
        <v>336</v>
      </c>
      <c r="G15894" s="16" t="n">
        <f aca="false">G15887*MIN(G15886-G15892+G15891,MAX(0,G15951-Assumptions!$C$12*G15767-G15777-G15790-G15803-G15816-G15829-G15842-G15855-G15868-G15881))</f>
        <v>0</v>
      </c>
      <c r="H15894" s="16" t="n">
        <f aca="false">H15887*MIN(H15886-H15892+H15891,MAX(0,H15951-Assumptions!$C$12*H15767-H15777-H15790-H15803-H15816-H15829-H15842-H15855-H15868-H15881))</f>
        <v>0</v>
      </c>
      <c r="I15894" s="16" t="n">
        <f aca="false">I15887*MIN(I15886-I15892+I15891,MAX(0,I15951-Assumptions!$C$12*I15767-I15777-I15790-I15803-I15816-I15829-I15842-I15855-I15868-I15881))</f>
        <v>0</v>
      </c>
      <c r="J15894" s="16" t="n">
        <f aca="false">J15887*MIN(J15886-J15892+J15891,MAX(0,J15951-Assumptions!$C$12*J15767-J15777-J15790-J15803-J15816-J15829-J15842-J15855-J15868-J15881))</f>
        <v>0</v>
      </c>
      <c r="K15894" s="16" t="n">
        <f aca="false">K15887*MIN(K15886-K15892+K15891,MAX(0,K15951-Assumptions!$C$12*K15767-K15777-K15790-K15803-K15816-K15829-K15842-K15855-K15868-K15881))</f>
        <v>0</v>
      </c>
    </row>
    <row r="15895" customFormat="false" ht="15" hidden="false" customHeight="false" outlineLevel="0" collapsed="false">
      <c r="A15895" s="3" t="s">
        <v>337</v>
      </c>
      <c r="G15895" s="16" t="n">
        <f aca="false">Assumptions!$N$66*MIN(G15886+G15893+G15891-G15892-G15894,MAX(0,G15955-G15778-G15791-G15804-G15817-G15830-G15843-G15856-G15869-G15882))</f>
        <v>0</v>
      </c>
      <c r="H15895" s="16" t="n">
        <f aca="false">Assumptions!$N$66*MIN(H15886+H15893+H15891-H15892-H15894,MAX(0,H15955-H15778-H15791-H15804-H15817-H15830-H15843-H15856-H15869-H15882))</f>
        <v>0</v>
      </c>
      <c r="I15895" s="16" t="n">
        <f aca="false">Assumptions!$N$66*MIN(I15886+I15893+I15891-I15892-I15894,MAX(0,I15955-I15778-I15791-I15804-I15817-I15830-I15843-I15856-I15869-I15882))</f>
        <v>0</v>
      </c>
      <c r="J15895" s="16" t="n">
        <f aca="false">Assumptions!$N$66*MIN(J15886+J15893+J15891-J15892-J15894,MAX(0,J15955-J15778-J15791-J15804-J15817-J15830-J15843-J15856-J15869-J15882))</f>
        <v>0</v>
      </c>
      <c r="K15895" s="16" t="n">
        <f aca="false">Assumptions!$N$66*MIN(K15886+K15893+K15891-K15892-K15894,MAX(0,K15955-K15778-K15791-K15804-K15817-K15830-K15843-K15856-K15869-K15882))</f>
        <v>0</v>
      </c>
    </row>
    <row r="15896" customFormat="false" ht="15" hidden="false" customHeight="false" outlineLevel="0" collapsed="false">
      <c r="A15896" s="3" t="s">
        <v>338</v>
      </c>
      <c r="G15896" s="16" t="n">
        <f aca="false">G15887*(1-G15767)*(G15886-G15892+G15891-G15894)</f>
        <v>0</v>
      </c>
      <c r="H15896" s="16" t="n">
        <f aca="false">H15887*(1-H15767)*(H15886-H15892+H15891-H15894)</f>
        <v>0</v>
      </c>
      <c r="I15896" s="16" t="n">
        <f aca="false">I15887*(1-I15767)*(I15886-I15892+I15891-I15894)</f>
        <v>0</v>
      </c>
      <c r="J15896" s="16" t="n">
        <f aca="false">J15887*(1-J15767)*(J15886-J15892+J15891-J15894)</f>
        <v>0</v>
      </c>
      <c r="K15896" s="16" t="n">
        <f aca="false">K15887*(1-K15767)*(K15886-K15892+K15891-K15894)</f>
        <v>0</v>
      </c>
    </row>
    <row r="15897" customFormat="false" ht="15" hidden="false" customHeight="false" outlineLevel="0" collapsed="false">
      <c r="A15897" s="2" t="s">
        <v>339</v>
      </c>
      <c r="F15897" s="28" t="n">
        <f aca="false">Assumptions!$C$66</f>
        <v>78.61</v>
      </c>
      <c r="G15897" s="17" t="n">
        <f aca="false">G15886+G15893+G15891-G15892-G15894-G15895</f>
        <v>78.61</v>
      </c>
      <c r="H15897" s="17" t="n">
        <f aca="false">H15886+H15893+H15891-H15892-H15894-H15895</f>
        <v>78.61</v>
      </c>
      <c r="I15897" s="17" t="n">
        <f aca="false">I15886+I15893+I15891-I15892-I15894-I15895</f>
        <v>78.61</v>
      </c>
      <c r="J15897" s="17" t="n">
        <f aca="false">J15886+J15893+J15891-J15892-J15894-J15895</f>
        <v>78.61</v>
      </c>
      <c r="K15897" s="17" t="n">
        <f aca="false">K15886+K15893+K15891-K15892-K15894-K15895</f>
        <v>78.61</v>
      </c>
    </row>
    <row r="15898" customFormat="false" ht="15" hidden="false" customHeight="false" outlineLevel="0" collapsed="false">
      <c r="A15898" s="24" t="s">
        <v>349</v>
      </c>
      <c r="B15898" s="25"/>
      <c r="C15898" s="25"/>
      <c r="D15898" s="25"/>
      <c r="E15898" s="25"/>
      <c r="F15898" s="25"/>
      <c r="G15898" s="25"/>
      <c r="H15898" s="25"/>
      <c r="I15898" s="25"/>
      <c r="J15898" s="25"/>
      <c r="K15898" s="25"/>
    </row>
    <row r="15899" customFormat="false" ht="15" hidden="false" customHeight="false" outlineLevel="0" collapsed="false">
      <c r="A15899" s="2" t="s">
        <v>350</v>
      </c>
      <c r="F15899" s="17" t="n">
        <f aca="false">F15780+F15793+F15806+F15819+F15832+F15845+F15858+F15871+F15884+F15897</f>
        <v>2625.934</v>
      </c>
      <c r="G15899" s="17" t="n">
        <f aca="false">G15780+G15793+G15806+G15819+G15832+G15845+G15858+G15871+G15884+G15897</f>
        <v>2621.934</v>
      </c>
      <c r="H15899" s="17" t="n">
        <f aca="false">H15780+H15793+H15806+H15819+H15832+H15845+H15858+H15871+H15884+H15897</f>
        <v>2587.924257446</v>
      </c>
      <c r="I15899" s="17" t="n">
        <f aca="false">I15780+I15793+I15806+I15819+I15832+I15845+I15858+I15871+I15884+I15897</f>
        <v>2583.924257446</v>
      </c>
      <c r="J15899" s="17" t="n">
        <f aca="false">J15780+J15793+J15806+J15819+J15832+J15845+J15858+J15871+J15884+J15897</f>
        <v>2579.924257446</v>
      </c>
      <c r="K15899" s="17" t="n">
        <f aca="false">K15780+K15793+K15806+K15819+K15832+K15845+K15858+K15871+K15884+K15897</f>
        <v>2575.924257446</v>
      </c>
    </row>
    <row r="15900" customFormat="false" ht="15" hidden="false" customHeight="false" outlineLevel="0" collapsed="false">
      <c r="A15900" s="3" t="s">
        <v>351</v>
      </c>
      <c r="G15900" s="16" t="n">
        <f aca="false">G15770*Assumptions!$C$57+G15783*Assumptions!$C$58+G15796*Assumptions!$C$59+G15809*Assumptions!$C$60+G15822*Assumptions!$C$61+G15835*Assumptions!$C$62+G15848*Assumptions!$C$63+G15861*Assumptions!$C$64+G15874*Assumptions!$C$65+G15887*Assumptions!$C$66</f>
        <v>0</v>
      </c>
      <c r="H15900" s="16" t="n">
        <f aca="false">H15770*Assumptions!$C$57+H15783*Assumptions!$C$58+H15796*Assumptions!$C$59+H15809*Assumptions!$C$60+H15822*Assumptions!$C$61+H15835*Assumptions!$C$62+H15848*Assumptions!$C$63+H15861*Assumptions!$C$64+H15874*Assumptions!$C$65+H15887*Assumptions!$C$66</f>
        <v>800</v>
      </c>
      <c r="I15900" s="16" t="n">
        <f aca="false">I15770*Assumptions!$C$57+I15783*Assumptions!$C$58+I15796*Assumptions!$C$59+I15809*Assumptions!$C$60+I15822*Assumptions!$C$61+I15835*Assumptions!$C$62+I15848*Assumptions!$C$63+I15861*Assumptions!$C$64+I15874*Assumptions!$C$65+I15887*Assumptions!$C$66</f>
        <v>550</v>
      </c>
      <c r="J15900" s="16" t="n">
        <f aca="false">J15770*Assumptions!$C$57+J15783*Assumptions!$C$58+J15796*Assumptions!$C$59+J15809*Assumptions!$C$60+J15822*Assumptions!$C$61+J15835*Assumptions!$C$62+J15848*Assumptions!$C$63+J15861*Assumptions!$C$64+J15874*Assumptions!$C$65+J15887*Assumptions!$C$66</f>
        <v>350</v>
      </c>
      <c r="K15900" s="16" t="n">
        <f aca="false">K15770*Assumptions!$C$57+K15783*Assumptions!$C$58+K15796*Assumptions!$C$59+K15809*Assumptions!$C$60+K15822*Assumptions!$C$61+K15835*Assumptions!$C$62+K15848*Assumptions!$C$63+K15861*Assumptions!$C$64+K15874*Assumptions!$C$65+K15887*Assumptions!$C$66</f>
        <v>700</v>
      </c>
    </row>
    <row r="15901" customFormat="false" ht="15" hidden="false" customHeight="false" outlineLevel="0" collapsed="false">
      <c r="A15901" s="24" t="s">
        <v>352</v>
      </c>
      <c r="B15901" s="25"/>
      <c r="C15901" s="25"/>
      <c r="D15901" s="25"/>
      <c r="E15901" s="25"/>
      <c r="F15901" s="25"/>
      <c r="G15901" s="25"/>
      <c r="H15901" s="25"/>
      <c r="I15901" s="25"/>
      <c r="J15901" s="25"/>
      <c r="K15901" s="25"/>
    </row>
    <row r="15902" customFormat="false" ht="15" hidden="false" customHeight="false" outlineLevel="0" collapsed="false">
      <c r="A15902" s="3" t="s">
        <v>353</v>
      </c>
      <c r="C15902" s="16" t="n">
        <f aca="false">SUMPRODUCT($G$15770:$K$15770,$G$15769:$K$15769-$G$15775:$K$15775+$G$15774:$K$15774)</f>
        <v>380</v>
      </c>
    </row>
    <row r="15903" customFormat="false" ht="15" hidden="false" customHeight="false" outlineLevel="0" collapsed="false">
      <c r="A15903" s="3" t="s">
        <v>354</v>
      </c>
      <c r="C15903" s="16" t="n">
        <f aca="false">SUMPRODUCT($G$15770:$K$15770,$G$15777:$K$15777)</f>
        <v>0</v>
      </c>
    </row>
    <row r="15904" customFormat="false" ht="15" hidden="false" customHeight="false" outlineLevel="0" collapsed="false">
      <c r="A15904" s="3" t="s">
        <v>355</v>
      </c>
      <c r="C15904" s="3" t="str">
        <f aca="false">IF(SUM($G$15770:$K$15770)=0,"n/a (beyond horizon)",IF(SUMPRODUCT($G$15770:$K$15770,$G$15767:$K$15767)&gt;0,"REFINANCING PASS","REFINANCING FAILURE"))</f>
        <v>REFINANCING FAILURE</v>
      </c>
    </row>
    <row r="15905" customFormat="false" ht="15" hidden="false" customHeight="false" outlineLevel="0" collapsed="false">
      <c r="A15905" s="3" t="s">
        <v>356</v>
      </c>
      <c r="C15905" s="3" t="str">
        <f aca="false">IF(SUM($G$15770:$K$15770)=0,"n/a",IF(C15903&gt;=C15902-0.001,"Repaid from cash",IF(SUMPRODUCT($G$15770:$K$15770,$G$15767:$K$15767)&gt;0,IF(C15903&gt;0,"Partly repaid; remainder refinanced","Refinanced"),IF(SUM($G$15779:$K$15779)&gt;0.001,IF(C15903&gt;0,"Partial repayment; PAYMENT DEFAULT","PAYMENT DEFAULT"),"Repaid from cash"))))</f>
        <v>PAYMENT DEFAULT</v>
      </c>
    </row>
    <row r="15906" customFormat="false" ht="15" hidden="false" customHeight="false" outlineLevel="0" collapsed="false">
      <c r="A15906" s="3" t="s">
        <v>357</v>
      </c>
      <c r="C15906" s="16" t="n">
        <f aca="false">SUMPRODUCT($G$15783:$K$15783,$G$15782:$K$15782-$G$15788:$K$15788+$G$15787:$K$15787)</f>
        <v>0</v>
      </c>
    </row>
    <row r="15907" customFormat="false" ht="15" hidden="false" customHeight="false" outlineLevel="0" collapsed="false">
      <c r="A15907" s="3" t="s">
        <v>358</v>
      </c>
      <c r="C15907" s="16" t="n">
        <f aca="false">SUMPRODUCT($G$15783:$K$15783,$G$15790:$K$15790)</f>
        <v>0</v>
      </c>
    </row>
    <row r="15908" customFormat="false" ht="15" hidden="false" customHeight="false" outlineLevel="0" collapsed="false">
      <c r="A15908" s="3" t="s">
        <v>359</v>
      </c>
      <c r="C15908" s="3" t="str">
        <f aca="false">IF(SUM($G$15783:$K$15783)=0,"n/a (beyond horizon)",IF(SUMPRODUCT($G$15783:$K$15783,$G$15767:$K$15767)&gt;0,"REFINANCING PASS","REFINANCING FAILURE"))</f>
        <v>n/a (beyond horizon)</v>
      </c>
    </row>
    <row r="15909" customFormat="false" ht="15" hidden="false" customHeight="false" outlineLevel="0" collapsed="false">
      <c r="A15909" s="3" t="s">
        <v>360</v>
      </c>
      <c r="C15909" s="3" t="str">
        <f aca="false">IF(SUM($G$15783:$K$15783)=0,"n/a",IF(C15907&gt;=C15906-0.001,"Repaid from cash",IF(SUMPRODUCT($G$15783:$K$15783,$G$15767:$K$15767)&gt;0,IF(C15907&gt;0,"Partly repaid; remainder refinanced","Refinanced"),IF(SUM($G$15792:$K$15792)&gt;0.001,IF(C15907&gt;0,"Partial repayment; PAYMENT DEFAULT","PAYMENT DEFAULT"),"Repaid from cash"))))</f>
        <v>n/a</v>
      </c>
    </row>
    <row r="15910" customFormat="false" ht="15" hidden="false" customHeight="false" outlineLevel="0" collapsed="false">
      <c r="A15910" s="3" t="s">
        <v>361</v>
      </c>
      <c r="C15910" s="16" t="n">
        <f aca="false">SUMPRODUCT($G$15796:$K$15796,$G$15795:$K$15795-$G$15801:$K$15801+$G$15800:$K$15800)</f>
        <v>0</v>
      </c>
    </row>
    <row r="15911" customFormat="false" ht="15" hidden="false" customHeight="false" outlineLevel="0" collapsed="false">
      <c r="A15911" s="3" t="s">
        <v>362</v>
      </c>
      <c r="C15911" s="16" t="n">
        <f aca="false">SUMPRODUCT($G$15796:$K$15796,$G$15803:$K$15803)</f>
        <v>0</v>
      </c>
    </row>
    <row r="15912" customFormat="false" ht="15" hidden="false" customHeight="false" outlineLevel="0" collapsed="false">
      <c r="A15912" s="3" t="s">
        <v>363</v>
      </c>
      <c r="C15912" s="3" t="str">
        <f aca="false">IF(SUM($G$15796:$K$15796)=0,"n/a (beyond horizon)",IF(SUMPRODUCT($G$15796:$K$15796,$G$15767:$K$15767)&gt;0,"REFINANCING PASS","REFINANCING FAILURE"))</f>
        <v>n/a (beyond horizon)</v>
      </c>
    </row>
    <row r="15913" customFormat="false" ht="15" hidden="false" customHeight="false" outlineLevel="0" collapsed="false">
      <c r="A15913" s="3" t="s">
        <v>364</v>
      </c>
      <c r="C15913" s="3" t="str">
        <f aca="false">IF(SUM($G$15796:$K$15796)=0,"n/a",IF(C15911&gt;=C15910-0.001,"Repaid from cash",IF(SUMPRODUCT($G$15796:$K$15796,$G$15767:$K$15767)&gt;0,IF(C15911&gt;0,"Partly repaid; remainder refinanced","Refinanced"),IF(SUM($G$15805:$K$15805)&gt;0.001,IF(C15911&gt;0,"Partial repayment; PAYMENT DEFAULT","PAYMENT DEFAULT"),"Repaid from cash"))))</f>
        <v>n/a</v>
      </c>
    </row>
    <row r="15914" customFormat="false" ht="15" hidden="false" customHeight="false" outlineLevel="0" collapsed="false">
      <c r="A15914" s="3" t="s">
        <v>365</v>
      </c>
      <c r="C15914" s="16" t="n">
        <f aca="false">SUMPRODUCT($G$15809:$K$15809,$G$15808:$K$15808-$G$15814:$K$15814+$G$15813:$K$15813)</f>
        <v>0</v>
      </c>
    </row>
    <row r="15915" customFormat="false" ht="15" hidden="false" customHeight="false" outlineLevel="0" collapsed="false">
      <c r="A15915" s="3" t="s">
        <v>366</v>
      </c>
      <c r="C15915" s="16" t="n">
        <f aca="false">SUMPRODUCT($G$15809:$K$15809,$G$15816:$K$15816)</f>
        <v>0</v>
      </c>
    </row>
    <row r="15916" customFormat="false" ht="15" hidden="false" customHeight="false" outlineLevel="0" collapsed="false">
      <c r="A15916" s="3" t="s">
        <v>367</v>
      </c>
      <c r="C15916" s="3" t="str">
        <f aca="false">IF(SUM($G$15809:$K$15809)=0,"n/a (beyond horizon)",IF(SUMPRODUCT($G$15809:$K$15809,$G$15767:$K$15767)&gt;0,"REFINANCING PASS","REFINANCING FAILURE"))</f>
        <v>REFINANCING FAILURE</v>
      </c>
    </row>
    <row r="15917" customFormat="false" ht="15" hidden="false" customHeight="false" outlineLevel="0" collapsed="false">
      <c r="A15917" s="3" t="s">
        <v>368</v>
      </c>
      <c r="C15917" s="3" t="str">
        <f aca="false">IF(SUM($G$15809:$K$15809)=0,"n/a",IF(C15915&gt;=C15914-0.001,"Repaid from cash",IF(SUMPRODUCT($G$15809:$K$15809,$G$15767:$K$15767)&gt;0,IF(C15915&gt;0,"Partly repaid; remainder refinanced","Refinanced"),IF(SUM($G$15818:$K$15818)&gt;0.001,IF(C15915&gt;0,"Partial repayment; PAYMENT DEFAULT","PAYMENT DEFAULT"),"Repaid from cash"))))</f>
        <v>Repaid from cash</v>
      </c>
    </row>
    <row r="15918" customFormat="false" ht="15" hidden="false" customHeight="false" outlineLevel="0" collapsed="false">
      <c r="A15918" s="3" t="s">
        <v>369</v>
      </c>
      <c r="C15918" s="16" t="n">
        <f aca="false">SUMPRODUCT($G$15822:$K$15822,$G$15821:$K$15821-$G$15827:$K$15827+$G$15826:$K$15826)</f>
        <v>450</v>
      </c>
    </row>
    <row r="15919" customFormat="false" ht="15" hidden="false" customHeight="false" outlineLevel="0" collapsed="false">
      <c r="A15919" s="3" t="s">
        <v>370</v>
      </c>
      <c r="C15919" s="16" t="n">
        <f aca="false">SUMPRODUCT($G$15822:$K$15822,$G$15829:$K$15829)</f>
        <v>30.009742554</v>
      </c>
    </row>
    <row r="15920" customFormat="false" ht="15" hidden="false" customHeight="false" outlineLevel="0" collapsed="false">
      <c r="A15920" s="3" t="s">
        <v>371</v>
      </c>
      <c r="C15920" s="3" t="str">
        <f aca="false">IF(SUM($G$15822:$K$15822)=0,"n/a (beyond horizon)",IF(SUMPRODUCT($G$15822:$K$15822,$G$15767:$K$15767)&gt;0,"REFINANCING PASS","REFINANCING FAILURE"))</f>
        <v>REFINANCING FAILURE</v>
      </c>
    </row>
    <row r="15921" customFormat="false" ht="15" hidden="false" customHeight="false" outlineLevel="0" collapsed="false">
      <c r="A15921" s="3" t="s">
        <v>372</v>
      </c>
      <c r="C15921" s="3" t="str">
        <f aca="false">IF(SUM($G$15822:$K$15822)=0,"n/a",IF(C15919&gt;=C15918-0.001,"Repaid from cash",IF(SUMPRODUCT($G$15822:$K$15822,$G$15767:$K$15767)&gt;0,IF(C15919&gt;0,"Partly repaid; remainder refinanced","Refinanced"),IF(SUM($G$15831:$K$15831)&gt;0.001,IF(C15919&gt;0,"Partial repayment; PAYMENT DEFAULT","PAYMENT DEFAULT"),"Repaid from cash"))))</f>
        <v>Partial repayment; PAYMENT DEFAULT</v>
      </c>
    </row>
    <row r="15922" customFormat="false" ht="15" hidden="false" customHeight="false" outlineLevel="0" collapsed="false">
      <c r="A15922" s="3" t="s">
        <v>373</v>
      </c>
      <c r="C15922" s="16" t="n">
        <f aca="false">SUMPRODUCT($G$15835:$K$15835,$G$15834:$K$15834-$G$15840:$K$15840+$G$15839:$K$15839)</f>
        <v>350</v>
      </c>
    </row>
    <row r="15923" customFormat="false" ht="15" hidden="false" customHeight="false" outlineLevel="0" collapsed="false">
      <c r="A15923" s="3" t="s">
        <v>374</v>
      </c>
      <c r="C15923" s="16" t="n">
        <f aca="false">SUMPRODUCT($G$15835:$K$15835,$G$15842:$K$15842)</f>
        <v>0</v>
      </c>
    </row>
    <row r="15924" customFormat="false" ht="15" hidden="false" customHeight="false" outlineLevel="0" collapsed="false">
      <c r="A15924" s="3" t="s">
        <v>375</v>
      </c>
      <c r="C15924" s="3" t="str">
        <f aca="false">IF(SUM($G$15835:$K$15835)=0,"n/a (beyond horizon)",IF(SUMPRODUCT($G$15835:$K$15835,$G$15767:$K$15767)&gt;0,"REFINANCING PASS","REFINANCING FAILURE"))</f>
        <v>REFINANCING FAILURE</v>
      </c>
    </row>
    <row r="15925" customFormat="false" ht="15" hidden="false" customHeight="false" outlineLevel="0" collapsed="false">
      <c r="A15925" s="3" t="s">
        <v>376</v>
      </c>
      <c r="C15925" s="3" t="str">
        <f aca="false">IF(SUM($G$15835:$K$15835)=0,"n/a",IF(C15923&gt;=C15922-0.001,"Repaid from cash",IF(SUMPRODUCT($G$15835:$K$15835,$G$15767:$K$15767)&gt;0,IF(C15923&gt;0,"Partly repaid; remainder refinanced","Refinanced"),IF(SUM($G$15844:$K$15844)&gt;0.001,IF(C15923&gt;0,"Partial repayment; PAYMENT DEFAULT","PAYMENT DEFAULT"),"Repaid from cash"))))</f>
        <v>PAYMENT DEFAULT</v>
      </c>
    </row>
    <row r="15926" customFormat="false" ht="15" hidden="false" customHeight="false" outlineLevel="0" collapsed="false">
      <c r="A15926" s="3" t="s">
        <v>377</v>
      </c>
      <c r="C15926" s="16" t="n">
        <f aca="false">SUMPRODUCT($G$15848:$K$15848,$G$15847:$K$15847-$G$15853:$K$15853+$G$15852:$K$15852)</f>
        <v>550</v>
      </c>
    </row>
    <row r="15927" customFormat="false" ht="15" hidden="false" customHeight="false" outlineLevel="0" collapsed="false">
      <c r="A15927" s="3" t="s">
        <v>378</v>
      </c>
      <c r="C15927" s="16" t="n">
        <f aca="false">SUMPRODUCT($G$15848:$K$15848,$G$15855:$K$15855)</f>
        <v>0</v>
      </c>
    </row>
    <row r="15928" customFormat="false" ht="15" hidden="false" customHeight="false" outlineLevel="0" collapsed="false">
      <c r="A15928" s="3" t="s">
        <v>379</v>
      </c>
      <c r="C15928" s="3" t="str">
        <f aca="false">IF(SUM($G$15848:$K$15848)=0,"n/a (beyond horizon)",IF(SUMPRODUCT($G$15848:$K$15848,$G$15767:$K$15767)&gt;0,"REFINANCING PASS","REFINANCING FAILURE"))</f>
        <v>REFINANCING FAILURE</v>
      </c>
    </row>
    <row r="15929" customFormat="false" ht="15" hidden="false" customHeight="false" outlineLevel="0" collapsed="false">
      <c r="A15929" s="3" t="s">
        <v>380</v>
      </c>
      <c r="C15929" s="3" t="str">
        <f aca="false">IF(SUM($G$15848:$K$15848)=0,"n/a",IF(C15927&gt;=C15926-0.001,"Repaid from cash",IF(SUMPRODUCT($G$15848:$K$15848,$G$15767:$K$15767)&gt;0,IF(C15927&gt;0,"Partly repaid; remainder refinanced","Refinanced"),IF(SUM($G$15857:$K$15857)&gt;0.001,IF(C15927&gt;0,"Partial repayment; PAYMENT DEFAULT","PAYMENT DEFAULT"),"Repaid from cash"))))</f>
        <v>PAYMENT DEFAULT</v>
      </c>
    </row>
    <row r="15930" customFormat="false" ht="15" hidden="false" customHeight="false" outlineLevel="0" collapsed="false">
      <c r="A15930" s="3" t="s">
        <v>381</v>
      </c>
      <c r="C15930" s="16" t="n">
        <f aca="false">SUMPRODUCT($G$15861:$K$15861,$G$15860:$K$15860-$G$15866:$K$15866+$G$15865:$K$15865)</f>
        <v>350</v>
      </c>
    </row>
    <row r="15931" customFormat="false" ht="15" hidden="false" customHeight="false" outlineLevel="0" collapsed="false">
      <c r="A15931" s="3" t="s">
        <v>382</v>
      </c>
      <c r="C15931" s="16" t="n">
        <f aca="false">SUMPRODUCT($G$15861:$K$15861,$G$15868:$K$15868)</f>
        <v>0</v>
      </c>
    </row>
    <row r="15932" customFormat="false" ht="15" hidden="false" customHeight="false" outlineLevel="0" collapsed="false">
      <c r="A15932" s="3" t="s">
        <v>383</v>
      </c>
      <c r="C15932" s="3" t="str">
        <f aca="false">IF(SUM($G$15861:$K$15861)=0,"n/a (beyond horizon)",IF(SUMPRODUCT($G$15861:$K$15861,$G$15767:$K$15767)&gt;0,"REFINANCING PASS","REFINANCING FAILURE"))</f>
        <v>REFINANCING FAILURE</v>
      </c>
    </row>
    <row r="15933" customFormat="false" ht="15" hidden="false" customHeight="false" outlineLevel="0" collapsed="false">
      <c r="A15933" s="3" t="s">
        <v>384</v>
      </c>
      <c r="C15933" s="3" t="str">
        <f aca="false">IF(SUM($G$15861:$K$15861)=0,"n/a",IF(C15931&gt;=C15930-0.001,"Repaid from cash",IF(SUMPRODUCT($G$15861:$K$15861,$G$15767:$K$15767)&gt;0,IF(C15931&gt;0,"Partly repaid; remainder refinanced","Refinanced"),IF(SUM($G$15870:$K$15870)&gt;0.001,IF(C15931&gt;0,"Partial repayment; PAYMENT DEFAULT","PAYMENT DEFAULT"),"Repaid from cash"))))</f>
        <v>PAYMENT DEFAULT</v>
      </c>
    </row>
    <row r="15934" customFormat="false" ht="15" hidden="false" customHeight="false" outlineLevel="0" collapsed="false">
      <c r="A15934" s="3" t="s">
        <v>385</v>
      </c>
      <c r="C15934" s="16" t="n">
        <f aca="false">SUMPRODUCT($G$15874:$K$15874,$G$15873:$K$15873-$G$15879:$K$15879+$G$15878:$K$15878)</f>
        <v>300</v>
      </c>
    </row>
    <row r="15935" customFormat="false" ht="15" hidden="false" customHeight="false" outlineLevel="0" collapsed="false">
      <c r="A15935" s="3" t="s">
        <v>386</v>
      </c>
      <c r="C15935" s="16" t="n">
        <f aca="false">SUMPRODUCT($G$15874:$K$15874,$G$15881:$K$15881)</f>
        <v>0</v>
      </c>
    </row>
    <row r="15936" customFormat="false" ht="15" hidden="false" customHeight="false" outlineLevel="0" collapsed="false">
      <c r="A15936" s="3" t="s">
        <v>387</v>
      </c>
      <c r="C15936" s="3" t="str">
        <f aca="false">IF(SUM($G$15874:$K$15874)=0,"n/a (beyond horizon)",IF(SUMPRODUCT($G$15874:$K$15874,$G$15767:$K$15767)&gt;0,"REFINANCING PASS","REFINANCING FAILURE"))</f>
        <v>REFINANCING FAILURE</v>
      </c>
    </row>
    <row r="15937" customFormat="false" ht="15" hidden="false" customHeight="false" outlineLevel="0" collapsed="false">
      <c r="A15937" s="3" t="s">
        <v>388</v>
      </c>
      <c r="C15937" s="3" t="str">
        <f aca="false">IF(SUM($G$15874:$K$15874)=0,"n/a",IF(C15935&gt;=C15934-0.001,"Repaid from cash",IF(SUMPRODUCT($G$15874:$K$15874,$G$15767:$K$15767)&gt;0,IF(C15935&gt;0,"Partly repaid; remainder refinanced","Refinanced"),IF(SUM($G$15883:$K$15883)&gt;0.001,IF(C15935&gt;0,"Partial repayment; PAYMENT DEFAULT","PAYMENT DEFAULT"),"Repaid from cash"))))</f>
        <v>PAYMENT DEFAULT</v>
      </c>
    </row>
    <row r="15938" customFormat="false" ht="15" hidden="false" customHeight="false" outlineLevel="0" collapsed="false">
      <c r="A15938" s="3" t="s">
        <v>389</v>
      </c>
      <c r="C15938" s="16" t="n">
        <f aca="false">SUMPRODUCT($G$15887:$K$15887,$G$15886:$K$15886-$G$15892:$K$15892+$G$15891:$K$15891)</f>
        <v>0</v>
      </c>
    </row>
    <row r="15939" customFormat="false" ht="15" hidden="false" customHeight="false" outlineLevel="0" collapsed="false">
      <c r="A15939" s="3" t="s">
        <v>390</v>
      </c>
      <c r="C15939" s="16" t="n">
        <f aca="false">SUMPRODUCT($G$15887:$K$15887,$G$15894:$K$15894)</f>
        <v>0</v>
      </c>
    </row>
    <row r="15940" customFormat="false" ht="15" hidden="false" customHeight="false" outlineLevel="0" collapsed="false">
      <c r="A15940" s="3" t="s">
        <v>391</v>
      </c>
      <c r="C15940" s="3" t="str">
        <f aca="false">IF(SUM($G$15887:$K$15887)=0,"n/a (beyond horizon)",IF(SUMPRODUCT($G$15887:$K$15887,$G$15767:$K$15767)&gt;0,"REFINANCING PASS","REFINANCING FAILURE"))</f>
        <v>n/a (beyond horizon)</v>
      </c>
    </row>
    <row r="15941" customFormat="false" ht="15" hidden="false" customHeight="false" outlineLevel="0" collapsed="false">
      <c r="A15941" s="3" t="s">
        <v>392</v>
      </c>
      <c r="C15941" s="3" t="str">
        <f aca="false">IF(SUM($G$15887:$K$15887)=0,"n/a",IF(C15939&gt;=C15938-0.001,"Repaid from cash",IF(SUMPRODUCT($G$15887:$K$15887,$G$15767:$K$15767)&gt;0,IF(C15939&gt;0,"Partly repaid; remainder refinanced","Refinanced"),IF(SUM($G$15896:$K$15896)&gt;0.001,IF(C15939&gt;0,"Partial repayment; PAYMENT DEFAULT","PAYMENT DEFAULT"),"Repaid from cash"))))</f>
        <v>n/a</v>
      </c>
    </row>
    <row r="15942" customFormat="false" ht="15" hidden="false" customHeight="false" outlineLevel="0" collapsed="false">
      <c r="A15942" s="3" t="s">
        <v>393</v>
      </c>
      <c r="C15942" s="21" t="n">
        <f aca="false">IF(C15904="REFINANCING FAILURE",1,0)+IF(C15908="REFINANCING FAILURE",1,0)+IF(C15912="REFINANCING FAILURE",1,0)+IF(C15916="REFINANCING FAILURE",1,0)+IF(C15920="REFINANCING FAILURE",1,0)+IF(C15924="REFINANCING FAILURE",1,0)+IF(C15928="REFINANCING FAILURE",1,0)+IF(C15932="REFINANCING FAILURE",1,0)+IF(C15936="REFINANCING FAILURE",1,0)+IF(C15940="REFINANCING FAILURE",1,0)</f>
        <v>7</v>
      </c>
    </row>
    <row r="15944" customFormat="false" ht="15" hidden="false" customHeight="false" outlineLevel="0" collapsed="false">
      <c r="A15944" s="24" t="s">
        <v>395</v>
      </c>
      <c r="B15944" s="25"/>
      <c r="C15944" s="25"/>
      <c r="D15944" s="25"/>
      <c r="E15944" s="25"/>
      <c r="F15944" s="25"/>
      <c r="G15944" s="25"/>
      <c r="H15944" s="25"/>
      <c r="I15944" s="25"/>
      <c r="J15944" s="25"/>
      <c r="K15944" s="25"/>
    </row>
    <row r="15945" customFormat="false" ht="15" hidden="false" customHeight="false" outlineLevel="0" collapsed="false">
      <c r="A15945" s="3" t="s">
        <v>325</v>
      </c>
      <c r="G15945" s="16" t="n">
        <f aca="false">F15957</f>
        <v>37.87</v>
      </c>
      <c r="H15945" s="16" t="n">
        <f aca="false">G15957</f>
        <v>116.2204919</v>
      </c>
      <c r="I15945" s="16" t="n">
        <f aca="false">H15957</f>
        <v>0</v>
      </c>
      <c r="J15945" s="16" t="n">
        <f aca="false">I15957</f>
        <v>-88.630848067817</v>
      </c>
      <c r="K15945" s="16" t="n">
        <f aca="false">J15957</f>
        <v>-178.944739576838</v>
      </c>
    </row>
    <row r="15946" customFormat="false" ht="15" hidden="false" customHeight="false" outlineLevel="0" collapsed="false">
      <c r="A15946" s="3" t="s">
        <v>396</v>
      </c>
      <c r="G15946" s="16" t="n">
        <f aca="false">G15756</f>
        <v>-67.6495081</v>
      </c>
      <c r="H15946" s="16" t="n">
        <f aca="false">H15756</f>
        <v>-82.210749346</v>
      </c>
      <c r="I15946" s="16" t="n">
        <f aca="false">I15756</f>
        <v>-84.630848067817</v>
      </c>
      <c r="J15946" s="16" t="n">
        <f aca="false">J15756</f>
        <v>-86.313891509021</v>
      </c>
      <c r="K15946" s="16" t="n">
        <f aca="false">K15756</f>
        <v>-87.9876325349307</v>
      </c>
    </row>
    <row r="15947" customFormat="false" ht="15" hidden="false" customHeight="false" outlineLevel="0" collapsed="false">
      <c r="A15947" s="3" t="s">
        <v>397</v>
      </c>
      <c r="G15947" s="16" t="n">
        <f aca="false">CHOOSE($C$15726,Assumptions!$G$82,Assumptions!$G$101,Assumptions!$G$120)</f>
        <v>150</v>
      </c>
      <c r="H15947" s="16" t="n">
        <f aca="false">CHOOSE($C$15726,Assumptions!$H$82,Assumptions!$H$101,Assumptions!$H$120)</f>
        <v>0</v>
      </c>
      <c r="I15947" s="16" t="n">
        <f aca="false">CHOOSE($C$15726,Assumptions!$I$82,Assumptions!$I$101,Assumptions!$I$120)</f>
        <v>0</v>
      </c>
      <c r="J15947" s="16" t="n">
        <f aca="false">CHOOSE($C$15726,Assumptions!$J$82,Assumptions!$J$101,Assumptions!$J$120)</f>
        <v>0</v>
      </c>
      <c r="K15947" s="16" t="n">
        <f aca="false">CHOOSE($C$15726,Assumptions!$K$82,Assumptions!$K$101,Assumptions!$K$120)</f>
        <v>0</v>
      </c>
    </row>
    <row r="15948" customFormat="false" ht="15" hidden="false" customHeight="false" outlineLevel="0" collapsed="false">
      <c r="A15948" s="3" t="s">
        <v>398</v>
      </c>
      <c r="G15948" s="16" t="n">
        <f aca="false">G15775+G15788+G15801+G15814+G15827+G15840+G15853+G15866+G15879+G15892</f>
        <v>4</v>
      </c>
      <c r="H15948" s="16" t="n">
        <f aca="false">H15775+H15788+H15801+H15814+H15827+H15840+H15853+H15866+H15879+H15892</f>
        <v>4</v>
      </c>
      <c r="I15948" s="16" t="n">
        <f aca="false">I15775+I15788+I15801+I15814+I15827+I15840+I15853+I15866+I15879+I15892</f>
        <v>4</v>
      </c>
      <c r="J15948" s="16" t="n">
        <f aca="false">J15775+J15788+J15801+J15814+J15827+J15840+J15853+J15866+J15879+J15892</f>
        <v>4</v>
      </c>
      <c r="K15948" s="16" t="n">
        <f aca="false">K15775+K15788+K15801+K15814+K15827+K15840+K15853+K15866+K15879+K15892</f>
        <v>4</v>
      </c>
    </row>
    <row r="15949" customFormat="false" ht="15" hidden="false" customHeight="false" outlineLevel="0" collapsed="false">
      <c r="A15949" s="2" t="s">
        <v>399</v>
      </c>
      <c r="G15949" s="17" t="n">
        <f aca="false">G15945+G15946+G15947-G15948</f>
        <v>116.2204919</v>
      </c>
      <c r="H15949" s="17" t="n">
        <f aca="false">H15945+H15946+H15947-H15948</f>
        <v>30.009742554</v>
      </c>
      <c r="I15949" s="17" t="n">
        <f aca="false">I15945+I15946+I15947-I15948</f>
        <v>-88.630848067817</v>
      </c>
      <c r="J15949" s="17" t="n">
        <f aca="false">J15945+J15946+J15947-J15948</f>
        <v>-178.944739576838</v>
      </c>
      <c r="K15949" s="17" t="n">
        <f aca="false">K15945+K15946+K15947-K15948</f>
        <v>-270.932372111769</v>
      </c>
    </row>
    <row r="15950" customFormat="false" ht="15" hidden="false" customHeight="false" outlineLevel="0" collapsed="false">
      <c r="A15950" s="3" t="s">
        <v>400</v>
      </c>
      <c r="G15950" s="16" t="n">
        <f aca="false">G15776+G15789+G15802+G15815+G15828+G15841+G15854+G15867+G15880+G15893</f>
        <v>0</v>
      </c>
      <c r="H15950" s="16" t="n">
        <f aca="false">H15776+H15789+H15802+H15815+H15828+H15841+H15854+H15867+H15880+H15893</f>
        <v>0</v>
      </c>
      <c r="I15950" s="16" t="n">
        <f aca="false">I15776+I15789+I15802+I15815+I15828+I15841+I15854+I15867+I15880+I15893</f>
        <v>0</v>
      </c>
      <c r="J15950" s="16" t="n">
        <f aca="false">J15776+J15789+J15802+J15815+J15828+J15841+J15854+J15867+J15880+J15893</f>
        <v>0</v>
      </c>
      <c r="K15950" s="16" t="n">
        <f aca="false">K15776+K15789+K15802+K15815+K15828+K15841+K15854+K15867+K15880+K15893</f>
        <v>0</v>
      </c>
    </row>
    <row r="15951" customFormat="false" ht="15" hidden="false" customHeight="false" outlineLevel="0" collapsed="false">
      <c r="A15951" s="2" t="s">
        <v>401</v>
      </c>
      <c r="G15951" s="17" t="n">
        <f aca="false">G15949+G15950</f>
        <v>116.2204919</v>
      </c>
      <c r="H15951" s="17" t="n">
        <f aca="false">H15949+H15950</f>
        <v>30.009742554</v>
      </c>
      <c r="I15951" s="17" t="n">
        <f aca="false">I15949+I15950</f>
        <v>-88.630848067817</v>
      </c>
      <c r="J15951" s="17" t="n">
        <f aca="false">J15949+J15950</f>
        <v>-178.944739576838</v>
      </c>
      <c r="K15951" s="17" t="n">
        <f aca="false">K15949+K15950</f>
        <v>-270.932372111769</v>
      </c>
    </row>
    <row r="15952" customFormat="false" ht="15" hidden="false" customHeight="false" outlineLevel="0" collapsed="false">
      <c r="A15952" s="3" t="s">
        <v>402</v>
      </c>
      <c r="G15952" s="16" t="n">
        <f aca="false">G15777+G15790+G15803+G15816+G15829+G15842+G15855+G15868+G15881+G15894</f>
        <v>0</v>
      </c>
      <c r="H15952" s="16" t="n">
        <f aca="false">H15777+H15790+H15803+H15816+H15829+H15842+H15855+H15868+H15881+H15894</f>
        <v>30.009742554</v>
      </c>
      <c r="I15952" s="16" t="n">
        <f aca="false">I15777+I15790+I15803+I15816+I15829+I15842+I15855+I15868+I15881+I15894</f>
        <v>0</v>
      </c>
      <c r="J15952" s="16" t="n">
        <f aca="false">J15777+J15790+J15803+J15816+J15829+J15842+J15855+J15868+J15881+J15894</f>
        <v>0</v>
      </c>
      <c r="K15952" s="16" t="n">
        <f aca="false">K15777+K15790+K15803+K15816+K15829+K15842+K15855+K15868+K15881+K15894</f>
        <v>0</v>
      </c>
    </row>
    <row r="15953" customFormat="false" ht="15" hidden="false" customHeight="false" outlineLevel="0" collapsed="false">
      <c r="A15953" s="2" t="s">
        <v>403</v>
      </c>
      <c r="G15953" s="17" t="n">
        <f aca="false">G15951-G15952</f>
        <v>116.2204919</v>
      </c>
      <c r="H15953" s="17" t="n">
        <f aca="false">H15951-H15952</f>
        <v>0</v>
      </c>
      <c r="I15953" s="17" t="n">
        <f aca="false">I15951-I15952</f>
        <v>-88.630848067817</v>
      </c>
      <c r="J15953" s="17" t="n">
        <f aca="false">J15951-J15952</f>
        <v>-178.944739576838</v>
      </c>
      <c r="K15953" s="17" t="n">
        <f aca="false">K15951-K15952</f>
        <v>-270.932372111769</v>
      </c>
    </row>
    <row r="15954" customFormat="false" ht="15" hidden="false" customHeight="false" outlineLevel="0" collapsed="false">
      <c r="A15954" s="3" t="s">
        <v>404</v>
      </c>
      <c r="G15954" s="16" t="n">
        <f aca="false">MAX(0,-G15953)</f>
        <v>0</v>
      </c>
      <c r="H15954" s="16" t="n">
        <f aca="false">MAX(0,-H15953)</f>
        <v>-0</v>
      </c>
      <c r="I15954" s="16" t="n">
        <f aca="false">MAX(0,-I15953)</f>
        <v>88.630848067817</v>
      </c>
      <c r="J15954" s="16" t="n">
        <f aca="false">MAX(0,-J15953)</f>
        <v>178.944739576838</v>
      </c>
      <c r="K15954" s="16" t="n">
        <f aca="false">MAX(0,-K15953)</f>
        <v>270.932372111769</v>
      </c>
    </row>
    <row r="15955" customFormat="false" ht="15" hidden="false" customHeight="false" outlineLevel="0" collapsed="false">
      <c r="A15955" s="3" t="s">
        <v>405</v>
      </c>
      <c r="G15955" s="16" t="n">
        <f aca="false">MAX(0,G15953-Assumptions!$C$12)*Assumptions!$C$13</f>
        <v>0</v>
      </c>
      <c r="H15955" s="16" t="n">
        <f aca="false">MAX(0,H15953-Assumptions!$C$12)*Assumptions!$C$13</f>
        <v>0</v>
      </c>
      <c r="I15955" s="16" t="n">
        <f aca="false">MAX(0,I15953-Assumptions!$C$12)*Assumptions!$C$13</f>
        <v>0</v>
      </c>
      <c r="J15955" s="16" t="n">
        <f aca="false">MAX(0,J15953-Assumptions!$C$12)*Assumptions!$C$13</f>
        <v>0</v>
      </c>
      <c r="K15955" s="16" t="n">
        <f aca="false">MAX(0,K15953-Assumptions!$C$12)*Assumptions!$C$13</f>
        <v>0</v>
      </c>
    </row>
    <row r="15956" customFormat="false" ht="15" hidden="false" customHeight="false" outlineLevel="0" collapsed="false">
      <c r="A15956" s="3" t="s">
        <v>406</v>
      </c>
      <c r="G15956" s="16" t="n">
        <f aca="false">G15778+G15791+G15804+G15817+G15830+G15843+G15856+G15869+G15882+G15895</f>
        <v>0</v>
      </c>
      <c r="H15956" s="16" t="n">
        <f aca="false">H15778+H15791+H15804+H15817+H15830+H15843+H15856+H15869+H15882+H15895</f>
        <v>0</v>
      </c>
      <c r="I15956" s="16" t="n">
        <f aca="false">I15778+I15791+I15804+I15817+I15830+I15843+I15856+I15869+I15882+I15895</f>
        <v>0</v>
      </c>
      <c r="J15956" s="16" t="n">
        <f aca="false">J15778+J15791+J15804+J15817+J15830+J15843+J15856+J15869+J15882+J15895</f>
        <v>0</v>
      </c>
      <c r="K15956" s="16" t="n">
        <f aca="false">K15778+K15791+K15804+K15817+K15830+K15843+K15856+K15869+K15882+K15895</f>
        <v>0</v>
      </c>
    </row>
    <row r="15957" customFormat="false" ht="15" hidden="false" customHeight="false" outlineLevel="0" collapsed="false">
      <c r="A15957" s="2" t="s">
        <v>407</v>
      </c>
      <c r="F15957" s="28" t="n">
        <f aca="false">Assumptions!$C$11</f>
        <v>37.87</v>
      </c>
      <c r="G15957" s="17" t="n">
        <f aca="false">G15953-G15956</f>
        <v>116.2204919</v>
      </c>
      <c r="H15957" s="17" t="n">
        <f aca="false">H15953-H15956</f>
        <v>0</v>
      </c>
      <c r="I15957" s="17" t="n">
        <f aca="false">I15953-I15956</f>
        <v>-88.630848067817</v>
      </c>
      <c r="J15957" s="17" t="n">
        <f aca="false">J15953-J15956</f>
        <v>-178.944739576838</v>
      </c>
      <c r="K15957" s="17" t="n">
        <f aca="false">K15953-K15956</f>
        <v>-270.932372111769</v>
      </c>
    </row>
    <row r="15958" customFormat="false" ht="15" hidden="false" customHeight="false" outlineLevel="0" collapsed="false">
      <c r="A15958" s="3" t="s">
        <v>408</v>
      </c>
      <c r="G15958" s="16" t="n">
        <f aca="false">G15779+G15792+G15805+G15818+G15831+G15844+G15857+G15870+G15883+G15896</f>
        <v>0</v>
      </c>
      <c r="H15958" s="16" t="n">
        <f aca="false">H15779+H15792+H15805+H15818+H15831+H15844+H15857+H15870+H15883+H15896</f>
        <v>769.990257446</v>
      </c>
      <c r="I15958" s="16" t="n">
        <f aca="false">I15779+I15792+I15805+I15818+I15831+I15844+I15857+I15870+I15883+I15896</f>
        <v>550</v>
      </c>
      <c r="J15958" s="16" t="n">
        <f aca="false">J15779+J15792+J15805+J15818+J15831+J15844+J15857+J15870+J15883+J15896</f>
        <v>350</v>
      </c>
      <c r="K15958" s="16" t="n">
        <f aca="false">K15779+K15792+K15805+K15818+K15831+K15844+K15857+K15870+K15883+K15896</f>
        <v>680</v>
      </c>
    </row>
    <row r="15959" customFormat="false" ht="15" hidden="false" customHeight="false" outlineLevel="0" collapsed="false">
      <c r="A15959" s="3" t="s">
        <v>409</v>
      </c>
      <c r="G15959" s="21" t="n">
        <f aca="false">IF(OR(G15954&gt;0.001,G15958&gt;0.001),1,0)</f>
        <v>0</v>
      </c>
      <c r="H15959" s="21" t="n">
        <f aca="false">IF(OR(H15954&gt;0.001,H15958&gt;0.001),1,0)</f>
        <v>1</v>
      </c>
      <c r="I15959" s="21" t="n">
        <f aca="false">IF(OR(I15954&gt;0.001,I15958&gt;0.001),1,0)</f>
        <v>1</v>
      </c>
      <c r="J15959" s="21" t="n">
        <f aca="false">IF(OR(J15954&gt;0.001,J15958&gt;0.001),1,0)</f>
        <v>1</v>
      </c>
      <c r="K15959" s="21" t="n">
        <f aca="false">IF(OR(K15954&gt;0.001,K15958&gt;0.001),1,0)</f>
        <v>1</v>
      </c>
    </row>
    <row r="15960" customFormat="false" ht="15" hidden="false" customHeight="false" outlineLevel="0" collapsed="false">
      <c r="A15960" s="3" t="s">
        <v>410</v>
      </c>
      <c r="G15960" s="21" t="n">
        <f aca="false">IF(G15959=1,1,0)</f>
        <v>0</v>
      </c>
      <c r="H15960" s="21" t="n">
        <f aca="false">IF(AND(H15959=1,SUM($G$15959:G15959)=0),1,0)</f>
        <v>1</v>
      </c>
      <c r="I15960" s="21" t="n">
        <f aca="false">IF(AND(I15959=1,SUM($G$15959:H15959)=0),1,0)</f>
        <v>0</v>
      </c>
      <c r="J15960" s="21" t="n">
        <f aca="false">IF(AND(J15959=1,SUM($G$15959:I15959)=0),1,0)</f>
        <v>0</v>
      </c>
      <c r="K15960" s="21" t="n">
        <f aca="false">IF(AND(K15959=1,SUM($G$15959:J15959)=0),1,0)</f>
        <v>0</v>
      </c>
    </row>
    <row r="15961" customFormat="false" ht="15" hidden="false" customHeight="false" outlineLevel="0" collapsed="false">
      <c r="A15961" s="3" t="s">
        <v>411</v>
      </c>
      <c r="G15961" s="16" t="n">
        <f aca="false">(G15899-F15899)-(G15950+G15748-G15948-G15952-G15956)</f>
        <v>0</v>
      </c>
      <c r="H15961" s="16" t="n">
        <f aca="false">(H15899-G15899)-(H15950+H15748-H15948-H15952-H15956)</f>
        <v>-1.98951966012828E-013</v>
      </c>
      <c r="I15961" s="16" t="n">
        <f aca="false">(I15899-H15899)-(I15950+I15748-I15948-I15952-I15956)</f>
        <v>0</v>
      </c>
      <c r="J15961" s="16" t="n">
        <f aca="false">(J15899-I15899)-(J15950+J15748-J15948-J15952-J15956)</f>
        <v>0</v>
      </c>
      <c r="K15961" s="16" t="n">
        <f aca="false">(K15899-J15899)-(K15950+K15748-K15948-K15952-K15956)</f>
        <v>0</v>
      </c>
    </row>
    <row r="15963" customFormat="false" ht="15" hidden="false" customHeight="false" outlineLevel="0" collapsed="false">
      <c r="A15963" s="24" t="s">
        <v>413</v>
      </c>
      <c r="B15963" s="25"/>
      <c r="C15963" s="25"/>
      <c r="D15963" s="25"/>
      <c r="E15963" s="25"/>
      <c r="F15963" s="25"/>
      <c r="G15963" s="25"/>
      <c r="H15963" s="25"/>
      <c r="I15963" s="25"/>
      <c r="J15963" s="25"/>
      <c r="K15963" s="25"/>
    </row>
    <row r="15964" customFormat="false" ht="15" hidden="false" customHeight="false" outlineLevel="0" collapsed="false">
      <c r="A15964" s="3" t="s">
        <v>414</v>
      </c>
      <c r="G15964" s="16" t="n">
        <f aca="false">G15899</f>
        <v>2621.934</v>
      </c>
      <c r="H15964" s="16" t="n">
        <f aca="false">H15899</f>
        <v>2587.924257446</v>
      </c>
      <c r="I15964" s="16" t="n">
        <f aca="false">I15899</f>
        <v>2583.924257446</v>
      </c>
      <c r="J15964" s="16" t="n">
        <f aca="false">J15899</f>
        <v>2579.924257446</v>
      </c>
      <c r="K15964" s="16" t="n">
        <f aca="false">K15899</f>
        <v>2575.924257446</v>
      </c>
    </row>
    <row r="15965" customFormat="false" ht="15" hidden="false" customHeight="false" outlineLevel="0" collapsed="false">
      <c r="A15965" s="3" t="s">
        <v>415</v>
      </c>
      <c r="G15965" s="16" t="n">
        <f aca="false">Assumptions!$O$57*G15780+Assumptions!$O$58*G15793+Assumptions!$O$59*G15806+Assumptions!$O$60*G15819+Assumptions!$O$61*G15832+Assumptions!$O$62*G15845+Assumptions!$O$63*G15858+Assumptions!$O$64*G15871+Assumptions!$O$65*G15884+Assumptions!$O$66*G15897</f>
        <v>543.324</v>
      </c>
      <c r="H15965" s="16" t="n">
        <f aca="false">Assumptions!$O$57*H15780+Assumptions!$O$58*H15793+Assumptions!$O$59*H15806+Assumptions!$O$60*H15819+Assumptions!$O$61*H15832+Assumptions!$O$62*H15845+Assumptions!$O$63*H15858+Assumptions!$O$64*H15871+Assumptions!$O$65*H15884+Assumptions!$O$66*H15897</f>
        <v>539.324</v>
      </c>
      <c r="I15965" s="16" t="n">
        <f aca="false">Assumptions!$O$57*I15780+Assumptions!$O$58*I15793+Assumptions!$O$59*I15806+Assumptions!$O$60*I15819+Assumptions!$O$61*I15832+Assumptions!$O$62*I15845+Assumptions!$O$63*I15858+Assumptions!$O$64*I15871+Assumptions!$O$65*I15884+Assumptions!$O$66*I15897</f>
        <v>535.324</v>
      </c>
      <c r="J15965" s="16" t="n">
        <f aca="false">Assumptions!$O$57*J15780+Assumptions!$O$58*J15793+Assumptions!$O$59*J15806+Assumptions!$O$60*J15819+Assumptions!$O$61*J15832+Assumptions!$O$62*J15845+Assumptions!$O$63*J15858+Assumptions!$O$64*J15871+Assumptions!$O$65*J15884+Assumptions!$O$66*J15897</f>
        <v>531.324</v>
      </c>
      <c r="K15965" s="16" t="n">
        <f aca="false">Assumptions!$O$57*K15780+Assumptions!$O$58*K15793+Assumptions!$O$59*K15806+Assumptions!$O$60*K15819+Assumptions!$O$61*K15832+Assumptions!$O$62*K15845+Assumptions!$O$63*K15858+Assumptions!$O$64*K15871+Assumptions!$O$65*K15884+Assumptions!$O$66*K15897</f>
        <v>527.324</v>
      </c>
    </row>
    <row r="15966" customFormat="false" ht="15" hidden="false" customHeight="false" outlineLevel="0" collapsed="false">
      <c r="A15966" s="3" t="s">
        <v>416</v>
      </c>
      <c r="G15966" s="16" t="n">
        <f aca="false">G15964-G15957</f>
        <v>2505.7135081</v>
      </c>
      <c r="H15966" s="16" t="n">
        <f aca="false">H15964-H15957</f>
        <v>2587.924257446</v>
      </c>
      <c r="I15966" s="16" t="n">
        <f aca="false">I15964-I15957</f>
        <v>2672.55510551382</v>
      </c>
      <c r="J15966" s="16" t="n">
        <f aca="false">J15964-J15957</f>
        <v>2758.86899702284</v>
      </c>
      <c r="K15966" s="16" t="n">
        <f aca="false">K15964-K15957</f>
        <v>2846.85662955777</v>
      </c>
    </row>
    <row r="15967" customFormat="false" ht="15" hidden="false" customHeight="false" outlineLevel="0" collapsed="false">
      <c r="A15967" s="3" t="s">
        <v>417</v>
      </c>
      <c r="G15967" s="32" t="n">
        <f aca="false">IF(G15743&gt;0,G15964/G15743,0)</f>
        <v>11.8243887946078</v>
      </c>
      <c r="H15967" s="32" t="n">
        <f aca="false">IF(H15743&gt;0,H15964/H15743,0)</f>
        <v>13.0782292429809</v>
      </c>
      <c r="I15967" s="32" t="n">
        <f aca="false">IF(I15743&gt;0,I15964/I15743,0)</f>
        <v>13.7452789525684</v>
      </c>
      <c r="J15967" s="32" t="n">
        <f aca="false">IF(J15743&gt;0,J15964/J15743,0)</f>
        <v>14.1499583153106</v>
      </c>
      <c r="K15967" s="32" t="n">
        <f aca="false">IF(K15743&gt;0,K15964/K15743,0)</f>
        <v>14.5680338345446</v>
      </c>
    </row>
    <row r="15968" customFormat="false" ht="15" hidden="false" customHeight="false" outlineLevel="0" collapsed="false">
      <c r="A15968" s="3" t="s">
        <v>418</v>
      </c>
      <c r="G15968" s="32" t="n">
        <f aca="false">IF(G15743&gt;0,G15966/G15743,0)</f>
        <v>11.3002580262032</v>
      </c>
      <c r="H15968" s="32" t="n">
        <f aca="false">IF(H15743&gt;0,H15966/H15743,0)</f>
        <v>13.0782292429809</v>
      </c>
      <c r="I15968" s="32" t="n">
        <f aca="false">IF(I15743&gt;0,I15966/I15743,0)</f>
        <v>14.2167539685191</v>
      </c>
      <c r="J15968" s="32" t="n">
        <f aca="false">IF(J15743&gt;0,J15966/J15743,0)</f>
        <v>15.1314059676781</v>
      </c>
      <c r="K15968" s="32" t="n">
        <f aca="false">IF(K15743&gt;0,K15966/K15743,0)</f>
        <v>16.100280736754</v>
      </c>
    </row>
    <row r="15969" customFormat="false" ht="15" hidden="false" customHeight="false" outlineLevel="0" collapsed="false">
      <c r="A15969" s="3" t="s">
        <v>419</v>
      </c>
      <c r="G15969" s="32" t="n">
        <f aca="false">IF(G15747&gt;0,G15743/G15747,0)</f>
        <v>1.18331219961251</v>
      </c>
      <c r="H15969" s="32" t="n">
        <f aca="false">IF(H15747&gt;0,H15743/H15747,0)</f>
        <v>1.06243944949654</v>
      </c>
      <c r="I15969" s="32" t="n">
        <f aca="false">IF(I15747&gt;0,I15743/I15747,0)</f>
        <v>1.02462158861581</v>
      </c>
      <c r="J15969" s="32" t="n">
        <f aca="false">IF(J15747&gt;0,J15743/J15747,0)</f>
        <v>0.996003087748927</v>
      </c>
      <c r="K15969" s="32" t="n">
        <f aca="false">IF(K15747&gt;0,K15743/K15747,0)</f>
        <v>0.968087970265804</v>
      </c>
    </row>
    <row r="15970" customFormat="false" ht="15" hidden="false" customHeight="false" outlineLevel="0" collapsed="false">
      <c r="A15970" s="3" t="s">
        <v>420</v>
      </c>
      <c r="G15970" s="32" t="n">
        <f aca="false">IF(G15747&gt;0,G15746/G15747,0)</f>
        <v>0.303266333230011</v>
      </c>
      <c r="H15970" s="32" t="n">
        <f aca="false">IF(H15747&gt;0,H15746/H15747,0)</f>
        <v>0.247850678207977</v>
      </c>
      <c r="I15970" s="32" t="n">
        <f aca="false">IF(I15747&gt;0,I15746/I15747,0)</f>
        <v>0.239028356642165</v>
      </c>
      <c r="J15970" s="32" t="n">
        <f aca="false">IF(J15747&gt;0,J15746/J15747,0)</f>
        <v>0.240144460355345</v>
      </c>
      <c r="K15970" s="32" t="n">
        <f aca="false">IF(K15747&gt;0,K15746/K15747,0)</f>
        <v>0.240834848288982</v>
      </c>
    </row>
    <row r="15971" customFormat="false" ht="15" hidden="false" customHeight="false" outlineLevel="0" collapsed="false">
      <c r="A15971" s="3" t="s">
        <v>213</v>
      </c>
      <c r="G15971" s="22" t="n">
        <f aca="false">IF(G15964&gt;0,G15756/G15964,0)</f>
        <v>-0.0258013771895097</v>
      </c>
      <c r="H15971" s="22" t="n">
        <f aca="false">IF(H15964&gt;0,H15756/H15964,0)</f>
        <v>-0.0317670616168392</v>
      </c>
      <c r="I15971" s="22" t="n">
        <f aca="false">IF(I15964&gt;0,I15756/I15964,0)</f>
        <v>-0.0327528362427573</v>
      </c>
      <c r="J15971" s="22" t="n">
        <f aca="false">IF(J15964&gt;0,J15756/J15964,0)</f>
        <v>-0.0334559788954687</v>
      </c>
      <c r="K15971" s="22" t="n">
        <f aca="false">IF(K15964&gt;0,K15756/K15964,0)</f>
        <v>-0.0341576939929785</v>
      </c>
    </row>
    <row r="15972" customFormat="false" ht="15" hidden="false" customHeight="false" outlineLevel="0" collapsed="false">
      <c r="A15972" s="3" t="s">
        <v>421</v>
      </c>
      <c r="G15972" s="32" t="n">
        <f aca="false">IF(G15747+G15948&gt;0,(G15743-G15754-G15751)/(G15747+G15948),0)</f>
        <v>0.741491929262244</v>
      </c>
      <c r="H15972" s="32" t="n">
        <f aca="false">IF(H15747+H15948&gt;0,(H15743-H15754-H15751)/(H15747+H15948),0)</f>
        <v>0.654084639024958</v>
      </c>
      <c r="I15972" s="32" t="n">
        <f aca="false">IF(I15747+I15948&gt;0,(I15743-I15754-I15751)/(I15747+I15948),0)</f>
        <v>0.630601260471873</v>
      </c>
      <c r="J15972" s="32" t="n">
        <f aca="false">IF(J15747+J15948&gt;0,(J15743-J15754-J15751)/(J15747+J15948),0)</f>
        <v>0.616650057634914</v>
      </c>
      <c r="K15972" s="32" t="n">
        <f aca="false">IF(K15747+K15948&gt;0,(K15743-K15754-K15751)/(K15747+K15948),0)</f>
        <v>0.602853532713797</v>
      </c>
    </row>
    <row r="15973" customFormat="false" ht="15" hidden="false" customHeight="false" outlineLevel="0" collapsed="false">
      <c r="A15973" s="3" t="s">
        <v>422</v>
      </c>
      <c r="G15973" s="16" t="n">
        <f aca="false">MAX(0,G15957)+Assumptions!$P$57*MAX(0,Assumptions!$D$57-G15780)+Assumptions!$P$58*MAX(0,Assumptions!$D$58-G15793)+Assumptions!$P$59*MAX(0,Assumptions!$D$59-G15806)+Assumptions!$P$60*MAX(0,Assumptions!$D$60-G15819)+Assumptions!$P$61*MAX(0,Assumptions!$D$61-G15832)+Assumptions!$P$62*MAX(0,Assumptions!$D$62-G15845)+Assumptions!$P$63*MAX(0,Assumptions!$D$63-G15858)+Assumptions!$P$64*MAX(0,Assumptions!$D$64-G15871)+Assumptions!$P$65*MAX(0,Assumptions!$D$65-G15884)+Assumptions!$P$66*MAX(0,Assumptions!$D$66-G15897)</f>
        <v>690.7204919</v>
      </c>
      <c r="H15973" s="16" t="n">
        <f aca="false">MAX(0,H15957)+Assumptions!$P$57*MAX(0,Assumptions!$D$57-H15780)+Assumptions!$P$58*MAX(0,Assumptions!$D$58-H15793)+Assumptions!$P$59*MAX(0,Assumptions!$D$59-H15806)+Assumptions!$P$60*MAX(0,Assumptions!$D$60-H15819)+Assumptions!$P$61*MAX(0,Assumptions!$D$61-H15832)+Assumptions!$P$62*MAX(0,Assumptions!$D$62-H15845)+Assumptions!$P$63*MAX(0,Assumptions!$D$63-H15858)+Assumptions!$P$64*MAX(0,Assumptions!$D$64-H15871)+Assumptions!$P$65*MAX(0,Assumptions!$D$65-H15884)+Assumptions!$P$66*MAX(0,Assumptions!$D$66-H15897)</f>
        <v>574.5</v>
      </c>
      <c r="I15973" s="16" t="n">
        <f aca="false">MAX(0,I15957)+Assumptions!$P$57*MAX(0,Assumptions!$D$57-I15780)+Assumptions!$P$58*MAX(0,Assumptions!$D$58-I15793)+Assumptions!$P$59*MAX(0,Assumptions!$D$59-I15806)+Assumptions!$P$60*MAX(0,Assumptions!$D$60-I15819)+Assumptions!$P$61*MAX(0,Assumptions!$D$61-I15832)+Assumptions!$P$62*MAX(0,Assumptions!$D$62-I15845)+Assumptions!$P$63*MAX(0,Assumptions!$D$63-I15858)+Assumptions!$P$64*MAX(0,Assumptions!$D$64-I15871)+Assumptions!$P$65*MAX(0,Assumptions!$D$65-I15884)+Assumptions!$P$66*MAX(0,Assumptions!$D$66-I15897)</f>
        <v>574.5</v>
      </c>
      <c r="J15973" s="16" t="n">
        <f aca="false">MAX(0,J15957)+Assumptions!$P$57*MAX(0,Assumptions!$D$57-J15780)+Assumptions!$P$58*MAX(0,Assumptions!$D$58-J15793)+Assumptions!$P$59*MAX(0,Assumptions!$D$59-J15806)+Assumptions!$P$60*MAX(0,Assumptions!$D$60-J15819)+Assumptions!$P$61*MAX(0,Assumptions!$D$61-J15832)+Assumptions!$P$62*MAX(0,Assumptions!$D$62-J15845)+Assumptions!$P$63*MAX(0,Assumptions!$D$63-J15858)+Assumptions!$P$64*MAX(0,Assumptions!$D$64-J15871)+Assumptions!$P$65*MAX(0,Assumptions!$D$65-J15884)+Assumptions!$P$66*MAX(0,Assumptions!$D$66-J15897)</f>
        <v>574.5</v>
      </c>
      <c r="K15973" s="16" t="n">
        <f aca="false">MAX(0,K15957)+Assumptions!$P$57*MAX(0,Assumptions!$D$57-K15780)+Assumptions!$P$58*MAX(0,Assumptions!$D$58-K15793)+Assumptions!$P$59*MAX(0,Assumptions!$D$59-K15806)+Assumptions!$P$60*MAX(0,Assumptions!$D$60-K15819)+Assumptions!$P$61*MAX(0,Assumptions!$D$61-K15832)+Assumptions!$P$62*MAX(0,Assumptions!$D$62-K15845)+Assumptions!$P$63*MAX(0,Assumptions!$D$63-K15858)+Assumptions!$P$64*MAX(0,Assumptions!$D$64-K15871)+Assumptions!$P$65*MAX(0,Assumptions!$D$65-K15884)+Assumptions!$P$66*MAX(0,Assumptions!$D$66-K15897)</f>
        <v>574.5</v>
      </c>
    </row>
    <row r="15974" customFormat="false" ht="15" hidden="false" customHeight="false" outlineLevel="0" collapsed="false">
      <c r="A15974" s="3" t="s">
        <v>423</v>
      </c>
      <c r="G15974" s="22" t="n">
        <f aca="false">IF(G15964&gt;0,G15964/(G15964+MAX(0,G15743*CHOOSE($C$15726,Assumptions!$C$90,Assumptions!$C$109,Assumptions!$C$128)-G15966)),0)</f>
        <v>1</v>
      </c>
      <c r="H15974" s="22" t="n">
        <f aca="false">IF(H15964&gt;0,H15964/(H15964+MAX(0,H15743*CHOOSE($C$15726,Assumptions!$C$90,Assumptions!$C$109,Assumptions!$C$128)-H15966)),0)</f>
        <v>1</v>
      </c>
      <c r="I15974" s="22" t="n">
        <f aca="false">IF(I15964&gt;0,I15964/(I15964+MAX(0,I15743*CHOOSE($C$15726,Assumptions!$C$90,Assumptions!$C$109,Assumptions!$C$128)-I15966)),0)</f>
        <v>1</v>
      </c>
      <c r="J15974" s="22" t="n">
        <f aca="false">IF(J15964&gt;0,J15964/(J15964+MAX(0,J15743*CHOOSE($C$15726,Assumptions!$C$90,Assumptions!$C$109,Assumptions!$C$128)-J15966)),0)</f>
        <v>1</v>
      </c>
      <c r="K15974" s="22" t="n">
        <f aca="false">IF(K15964&gt;0,K15964/(K15964+MAX(0,K15743*CHOOSE($C$15726,Assumptions!$C$90,Assumptions!$C$109,Assumptions!$C$128)-K15966)),0)</f>
        <v>1</v>
      </c>
    </row>
    <row r="15975" customFormat="false" ht="15" hidden="false" customHeight="false" outlineLevel="0" collapsed="false">
      <c r="A15975" s="3" t="s">
        <v>424</v>
      </c>
      <c r="G15975" s="22" t="n">
        <f aca="false">IF(G15964&gt;0,MAX(0,G15957)/G15964,0)</f>
        <v>0.0443262461602771</v>
      </c>
      <c r="H15975" s="22" t="n">
        <f aca="false">IF(H15964&gt;0,MAX(0,H15957)/H15964,0)</f>
        <v>0</v>
      </c>
      <c r="I15975" s="22" t="n">
        <f aca="false">IF(I15964&gt;0,MAX(0,I15957)/I15964,0)</f>
        <v>0</v>
      </c>
      <c r="J15975" s="22" t="n">
        <f aca="false">IF(J15964&gt;0,MAX(0,J15957)/J15964,0)</f>
        <v>0</v>
      </c>
      <c r="K15975" s="22" t="n">
        <f aca="false">IF(K15964&gt;0,MAX(0,K15957)/K15964,0)</f>
        <v>0</v>
      </c>
    </row>
    <row r="15976" customFormat="false" ht="15" hidden="false" customHeight="false" outlineLevel="0" collapsed="false">
      <c r="A15976" s="3" t="s">
        <v>425</v>
      </c>
      <c r="G15976" s="16" t="n">
        <f aca="false">Assumptions!$C$31*(1-CHOOSE($C$15726,Assumptions!$C$93,Assumptions!$C$112,Assumptions!$C$131))</f>
        <v>3840.04556666667</v>
      </c>
      <c r="H15976" s="16" t="n">
        <f aca="false">Assumptions!$C$31*(1-CHOOSE($C$15726,Assumptions!$C$93,Assumptions!$C$112,Assumptions!$C$131))</f>
        <v>3840.04556666667</v>
      </c>
      <c r="I15976" s="16" t="n">
        <f aca="false">Assumptions!$C$31*(1-CHOOSE($C$15726,Assumptions!$C$93,Assumptions!$C$112,Assumptions!$C$131))</f>
        <v>3840.04556666667</v>
      </c>
      <c r="J15976" s="16" t="n">
        <f aca="false">Assumptions!$C$31*(1-CHOOSE($C$15726,Assumptions!$C$93,Assumptions!$C$112,Assumptions!$C$131))</f>
        <v>3840.04556666667</v>
      </c>
      <c r="K15976" s="16" t="n">
        <f aca="false">Assumptions!$C$31*(1-CHOOSE($C$15726,Assumptions!$C$93,Assumptions!$C$112,Assumptions!$C$131))</f>
        <v>3840.04556666667</v>
      </c>
    </row>
    <row r="15977" customFormat="false" ht="15" hidden="false" customHeight="false" outlineLevel="0" collapsed="false">
      <c r="A15977" s="24" t="s">
        <v>426</v>
      </c>
      <c r="B15977" s="25"/>
      <c r="C15977" s="25"/>
      <c r="D15977" s="25"/>
      <c r="E15977" s="25"/>
      <c r="F15977" s="25"/>
      <c r="G15977" s="25"/>
      <c r="H15977" s="25"/>
      <c r="I15977" s="25"/>
      <c r="J15977" s="25"/>
      <c r="K15977" s="25"/>
    </row>
    <row r="15978" customFormat="false" ht="15" hidden="false" customHeight="false" outlineLevel="0" collapsed="false">
      <c r="A15978" s="24" t="s">
        <v>427</v>
      </c>
      <c r="B15978" s="25"/>
      <c r="C15978" s="25"/>
      <c r="D15978" s="25"/>
      <c r="E15978" s="25"/>
      <c r="F15978" s="25"/>
      <c r="G15978" s="25"/>
      <c r="H15978" s="25"/>
      <c r="I15978" s="25"/>
      <c r="J15978" s="25"/>
      <c r="K15978" s="25"/>
    </row>
    <row r="15979" customFormat="false" ht="15" hidden="false" customHeight="false" outlineLevel="0" collapsed="false">
      <c r="A15979" s="3" t="s">
        <v>428</v>
      </c>
      <c r="G15979" s="22" t="n">
        <f aca="false">IF(G15976&gt;0,G15964/G15976,99)</f>
        <v>0.68278721032885</v>
      </c>
      <c r="H15979" s="22" t="n">
        <f aca="false">IF(H15976&gt;0,H15964/H15976,99)</f>
        <v>0.673930611633975</v>
      </c>
      <c r="I15979" s="22" t="n">
        <f aca="false">IF(I15976&gt;0,I15964/I15976,99)</f>
        <v>0.672888957327911</v>
      </c>
      <c r="J15979" s="22" t="n">
        <f aca="false">IF(J15976&gt;0,J15964/J15976,99)</f>
        <v>0.671847303021847</v>
      </c>
      <c r="K15979" s="22" t="n">
        <f aca="false">IF(K15976&gt;0,K15964/K15976,99)</f>
        <v>0.670805648715783</v>
      </c>
    </row>
    <row r="15980" customFormat="false" ht="15" hidden="false" customHeight="false" outlineLevel="0" collapsed="false">
      <c r="A15980" s="3" t="s">
        <v>429</v>
      </c>
      <c r="G15980" s="33" t="n">
        <f aca="false">Assumptions!$G$71</f>
        <v>0.6</v>
      </c>
      <c r="H15980" s="33" t="n">
        <f aca="false">Assumptions!$H$71</f>
        <v>0.6</v>
      </c>
      <c r="I15980" s="33" t="n">
        <f aca="false">Assumptions!$I$71</f>
        <v>0.6</v>
      </c>
      <c r="J15980" s="33" t="n">
        <f aca="false">Assumptions!$J$71</f>
        <v>0.6</v>
      </c>
      <c r="K15980" s="33" t="n">
        <f aca="false">Assumptions!$K$71</f>
        <v>0.6</v>
      </c>
    </row>
    <row r="15981" customFormat="false" ht="15" hidden="false" customHeight="false" outlineLevel="0" collapsed="false">
      <c r="A15981" s="3" t="s">
        <v>430</v>
      </c>
      <c r="G15981" s="22" t="n">
        <f aca="false">G15980-G15979</f>
        <v>-0.0827872103288497</v>
      </c>
      <c r="H15981" s="22" t="n">
        <f aca="false">H15980-H15979</f>
        <v>-0.0739306116339749</v>
      </c>
      <c r="I15981" s="22" t="n">
        <f aca="false">I15980-I15979</f>
        <v>-0.0728889573279109</v>
      </c>
      <c r="J15981" s="22" t="n">
        <f aca="false">J15980-J15979</f>
        <v>-0.0718473030218469</v>
      </c>
      <c r="K15981" s="22" t="n">
        <f aca="false">K15980-K15979</f>
        <v>-0.0708056487157831</v>
      </c>
    </row>
    <row r="15982" customFormat="false" ht="15" hidden="false" customHeight="false" outlineLevel="0" collapsed="false">
      <c r="A15982" s="3" t="s">
        <v>431</v>
      </c>
      <c r="G15982" s="22" t="n">
        <f aca="false">IF(G15980=0,0,G15981/ABS(G15980))</f>
        <v>-0.137978683881416</v>
      </c>
      <c r="H15982" s="22" t="n">
        <f aca="false">IF(H15980=0,0,H15981/ABS(H15980))</f>
        <v>-0.123217686056625</v>
      </c>
      <c r="I15982" s="22" t="n">
        <f aca="false">IF(I15980=0,0,I15981/ABS(I15980))</f>
        <v>-0.121481595546518</v>
      </c>
      <c r="J15982" s="22" t="n">
        <f aca="false">IF(J15980=0,0,J15981/ABS(J15980))</f>
        <v>-0.119745505036412</v>
      </c>
      <c r="K15982" s="22" t="n">
        <f aca="false">IF(K15980=0,0,K15981/ABS(K15980))</f>
        <v>-0.118009414526305</v>
      </c>
    </row>
    <row r="15983" customFormat="false" ht="15" hidden="false" customHeight="false" outlineLevel="0" collapsed="false">
      <c r="A15983" s="3" t="s">
        <v>432</v>
      </c>
      <c r="G15983" s="21" t="n">
        <f aca="false">IF(G15981&lt;0,1,0)</f>
        <v>1</v>
      </c>
      <c r="H15983" s="21" t="n">
        <f aca="false">IF(H15981&lt;0,1,0)</f>
        <v>1</v>
      </c>
      <c r="I15983" s="21" t="n">
        <f aca="false">IF(I15981&lt;0,1,0)</f>
        <v>1</v>
      </c>
      <c r="J15983" s="21" t="n">
        <f aca="false">IF(J15981&lt;0,1,0)</f>
        <v>1</v>
      </c>
      <c r="K15983" s="21" t="n">
        <f aca="false">IF(K15981&lt;0,1,0)</f>
        <v>1</v>
      </c>
    </row>
    <row r="15984" customFormat="false" ht="15" hidden="false" customHeight="false" outlineLevel="0" collapsed="false">
      <c r="A15984" s="3" t="s">
        <v>433</v>
      </c>
      <c r="C15984" s="21" t="n">
        <f aca="false">IFERROR(INDEX($G$15733:$K$15733,MATCH(1,$G$15983:$K$15983,0)),0)</f>
        <v>2027</v>
      </c>
    </row>
    <row r="15985" customFormat="false" ht="15" hidden="false" customHeight="false" outlineLevel="0" collapsed="false">
      <c r="A15985" s="3" t="s">
        <v>434</v>
      </c>
      <c r="C15985" s="22" t="n">
        <f aca="false">MIN($G$15982:$K$15982)</f>
        <v>-0.137978683881416</v>
      </c>
    </row>
    <row r="15986" customFormat="false" ht="15" hidden="false" customHeight="false" outlineLevel="0" collapsed="false">
      <c r="A15986" s="24" t="s">
        <v>435</v>
      </c>
      <c r="B15986" s="25"/>
      <c r="C15986" s="25"/>
      <c r="D15986" s="25"/>
      <c r="E15986" s="25"/>
      <c r="F15986" s="25"/>
      <c r="G15986" s="25"/>
      <c r="H15986" s="25"/>
      <c r="I15986" s="25"/>
      <c r="J15986" s="25"/>
      <c r="K15986" s="25"/>
    </row>
    <row r="15987" customFormat="false" ht="15" hidden="false" customHeight="false" outlineLevel="0" collapsed="false">
      <c r="A15987" s="3" t="s">
        <v>428</v>
      </c>
      <c r="G15987" s="32" t="n">
        <f aca="false">IF(G15747&gt;0,G15743/G15747,99)</f>
        <v>1.18331219961251</v>
      </c>
      <c r="H15987" s="32" t="n">
        <f aca="false">IF(H15747&gt;0,H15743/H15747,99)</f>
        <v>1.06243944949654</v>
      </c>
      <c r="I15987" s="32" t="n">
        <f aca="false">IF(I15747&gt;0,I15743/I15747,99)</f>
        <v>1.02462158861581</v>
      </c>
      <c r="J15987" s="32" t="n">
        <f aca="false">IF(J15747&gt;0,J15743/J15747,99)</f>
        <v>0.996003087748927</v>
      </c>
      <c r="K15987" s="32" t="n">
        <f aca="false">IF(K15747&gt;0,K15743/K15747,99)</f>
        <v>0.968087970265804</v>
      </c>
    </row>
    <row r="15988" customFormat="false" ht="15" hidden="false" customHeight="false" outlineLevel="0" collapsed="false">
      <c r="A15988" s="3" t="s">
        <v>429</v>
      </c>
      <c r="G15988" s="34" t="n">
        <f aca="false">Assumptions!$G$72</f>
        <v>1.5</v>
      </c>
      <c r="H15988" s="34" t="n">
        <f aca="false">Assumptions!$H$72</f>
        <v>1.5</v>
      </c>
      <c r="I15988" s="34" t="n">
        <f aca="false">Assumptions!$I$72</f>
        <v>1.5</v>
      </c>
      <c r="J15988" s="34" t="n">
        <f aca="false">Assumptions!$J$72</f>
        <v>1.5</v>
      </c>
      <c r="K15988" s="34" t="n">
        <f aca="false">Assumptions!$K$72</f>
        <v>1.5</v>
      </c>
    </row>
    <row r="15989" customFormat="false" ht="15" hidden="false" customHeight="false" outlineLevel="0" collapsed="false">
      <c r="A15989" s="3" t="s">
        <v>430</v>
      </c>
      <c r="G15989" s="32" t="n">
        <f aca="false">G15987-G15988</f>
        <v>-0.316687800387493</v>
      </c>
      <c r="H15989" s="32" t="n">
        <f aca="false">H15987-H15988</f>
        <v>-0.437560550503459</v>
      </c>
      <c r="I15989" s="32" t="n">
        <f aca="false">I15987-I15988</f>
        <v>-0.475378411384187</v>
      </c>
      <c r="J15989" s="32" t="n">
        <f aca="false">J15987-J15988</f>
        <v>-0.503996912251073</v>
      </c>
      <c r="K15989" s="32" t="n">
        <f aca="false">K15987-K15988</f>
        <v>-0.531912029734196</v>
      </c>
    </row>
    <row r="15990" customFormat="false" ht="15" hidden="false" customHeight="false" outlineLevel="0" collapsed="false">
      <c r="A15990" s="3" t="s">
        <v>431</v>
      </c>
      <c r="G15990" s="22" t="n">
        <f aca="false">IF(G15988=0,0,G15989/ABS(G15988))</f>
        <v>-0.211125200258329</v>
      </c>
      <c r="H15990" s="22" t="n">
        <f aca="false">IF(H15988=0,0,H15989/ABS(H15988))</f>
        <v>-0.291707033668973</v>
      </c>
      <c r="I15990" s="22" t="n">
        <f aca="false">IF(I15988=0,0,I15989/ABS(I15988))</f>
        <v>-0.316918940922792</v>
      </c>
      <c r="J15990" s="22" t="n">
        <f aca="false">IF(J15988=0,0,J15989/ABS(J15988))</f>
        <v>-0.335997941500715</v>
      </c>
      <c r="K15990" s="22" t="n">
        <f aca="false">IF(K15988=0,0,K15989/ABS(K15988))</f>
        <v>-0.354608019822797</v>
      </c>
    </row>
    <row r="15991" customFormat="false" ht="15" hidden="false" customHeight="false" outlineLevel="0" collapsed="false">
      <c r="A15991" s="3" t="s">
        <v>432</v>
      </c>
      <c r="G15991" s="21" t="n">
        <f aca="false">IF(G15989&lt;0,1,0)</f>
        <v>1</v>
      </c>
      <c r="H15991" s="21" t="n">
        <f aca="false">IF(H15989&lt;0,1,0)</f>
        <v>1</v>
      </c>
      <c r="I15991" s="21" t="n">
        <f aca="false">IF(I15989&lt;0,1,0)</f>
        <v>1</v>
      </c>
      <c r="J15991" s="21" t="n">
        <f aca="false">IF(J15989&lt;0,1,0)</f>
        <v>1</v>
      </c>
      <c r="K15991" s="21" t="n">
        <f aca="false">IF(K15989&lt;0,1,0)</f>
        <v>1</v>
      </c>
    </row>
    <row r="15992" customFormat="false" ht="15" hidden="false" customHeight="false" outlineLevel="0" collapsed="false">
      <c r="A15992" s="3" t="s">
        <v>433</v>
      </c>
      <c r="C15992" s="21" t="n">
        <f aca="false">IFERROR(INDEX($G$15733:$K$15733,MATCH(1,$G$15991:$K$15991,0)),0)</f>
        <v>2027</v>
      </c>
    </row>
    <row r="15993" customFormat="false" ht="15" hidden="false" customHeight="false" outlineLevel="0" collapsed="false">
      <c r="A15993" s="3" t="s">
        <v>434</v>
      </c>
      <c r="C15993" s="22" t="n">
        <f aca="false">MIN($G$15990:$K$15990)</f>
        <v>-0.354608019822797</v>
      </c>
    </row>
    <row r="15994" customFormat="false" ht="15" hidden="false" customHeight="false" outlineLevel="0" collapsed="false">
      <c r="A15994" s="24" t="s">
        <v>436</v>
      </c>
      <c r="B15994" s="25"/>
      <c r="C15994" s="25"/>
      <c r="D15994" s="25"/>
      <c r="E15994" s="25"/>
      <c r="F15994" s="25"/>
      <c r="G15994" s="25"/>
      <c r="H15994" s="25"/>
      <c r="I15994" s="25"/>
      <c r="J15994" s="25"/>
      <c r="K15994" s="25"/>
    </row>
    <row r="15995" customFormat="false" ht="15" hidden="false" customHeight="false" outlineLevel="0" collapsed="false">
      <c r="A15995" s="3" t="s">
        <v>428</v>
      </c>
      <c r="G15995" s="22" t="n">
        <f aca="false">IF(G15976&gt;0,G15965/G15976,99)</f>
        <v>0.141488946046968</v>
      </c>
      <c r="H15995" s="22" t="n">
        <f aca="false">IF(H15976&gt;0,H15965/H15976,99)</f>
        <v>0.140447291740904</v>
      </c>
      <c r="I15995" s="22" t="n">
        <f aca="false">IF(I15976&gt;0,I15965/I15976,99)</f>
        <v>0.139405637434841</v>
      </c>
      <c r="J15995" s="22" t="n">
        <f aca="false">IF(J15976&gt;0,J15965/J15976,99)</f>
        <v>0.138363983128777</v>
      </c>
      <c r="K15995" s="22" t="n">
        <f aca="false">IF(K15976&gt;0,K15965/K15976,99)</f>
        <v>0.137322328822713</v>
      </c>
    </row>
    <row r="15996" customFormat="false" ht="15" hidden="false" customHeight="false" outlineLevel="0" collapsed="false">
      <c r="A15996" s="3" t="s">
        <v>429</v>
      </c>
      <c r="G15996" s="33" t="n">
        <f aca="false">Assumptions!$G$73</f>
        <v>0.4</v>
      </c>
      <c r="H15996" s="33" t="n">
        <f aca="false">Assumptions!$H$73</f>
        <v>0.4</v>
      </c>
      <c r="I15996" s="33" t="n">
        <f aca="false">Assumptions!$I$73</f>
        <v>0.4</v>
      </c>
      <c r="J15996" s="33" t="n">
        <f aca="false">Assumptions!$J$73</f>
        <v>0.4</v>
      </c>
      <c r="K15996" s="33" t="n">
        <f aca="false">Assumptions!$K$73</f>
        <v>0.4</v>
      </c>
    </row>
    <row r="15997" customFormat="false" ht="15" hidden="false" customHeight="false" outlineLevel="0" collapsed="false">
      <c r="A15997" s="3" t="s">
        <v>430</v>
      </c>
      <c r="G15997" s="22" t="n">
        <f aca="false">G15996-G15995</f>
        <v>0.258511053953032</v>
      </c>
      <c r="H15997" s="22" t="n">
        <f aca="false">H15996-H15995</f>
        <v>0.259552708259096</v>
      </c>
      <c r="I15997" s="22" t="n">
        <f aca="false">I15996-I15995</f>
        <v>0.26059436256516</v>
      </c>
      <c r="J15997" s="22" t="n">
        <f aca="false">J15996-J15995</f>
        <v>0.261636016871223</v>
      </c>
      <c r="K15997" s="22" t="n">
        <f aca="false">K15996-K15995</f>
        <v>0.262677671177287</v>
      </c>
    </row>
    <row r="15998" customFormat="false" ht="15" hidden="false" customHeight="false" outlineLevel="0" collapsed="false">
      <c r="A15998" s="3" t="s">
        <v>431</v>
      </c>
      <c r="G15998" s="22" t="n">
        <f aca="false">IF(G15996=0,0,G15997/ABS(G15996))</f>
        <v>0.646277634882579</v>
      </c>
      <c r="H15998" s="22" t="n">
        <f aca="false">IF(H15996=0,0,H15997/ABS(H15996))</f>
        <v>0.648881770647739</v>
      </c>
      <c r="I15998" s="22" t="n">
        <f aca="false">IF(I15996=0,0,I15997/ABS(I15996))</f>
        <v>0.651485906412899</v>
      </c>
      <c r="J15998" s="22" t="n">
        <f aca="false">IF(J15996=0,0,J15997/ABS(J15996))</f>
        <v>0.654090042178059</v>
      </c>
      <c r="K15998" s="22" t="n">
        <f aca="false">IF(K15996=0,0,K15997/ABS(K15996))</f>
        <v>0.656694177943218</v>
      </c>
    </row>
    <row r="15999" customFormat="false" ht="15" hidden="false" customHeight="false" outlineLevel="0" collapsed="false">
      <c r="A15999" s="3" t="s">
        <v>432</v>
      </c>
      <c r="G15999" s="21" t="n">
        <f aca="false">IF(G15997&lt;0,1,0)</f>
        <v>0</v>
      </c>
      <c r="H15999" s="21" t="n">
        <f aca="false">IF(H15997&lt;0,1,0)</f>
        <v>0</v>
      </c>
      <c r="I15999" s="21" t="n">
        <f aca="false">IF(I15997&lt;0,1,0)</f>
        <v>0</v>
      </c>
      <c r="J15999" s="21" t="n">
        <f aca="false">IF(J15997&lt;0,1,0)</f>
        <v>0</v>
      </c>
      <c r="K15999" s="21" t="n">
        <f aca="false">IF(K15997&lt;0,1,0)</f>
        <v>0</v>
      </c>
    </row>
    <row r="16000" customFormat="false" ht="15" hidden="false" customHeight="false" outlineLevel="0" collapsed="false">
      <c r="A16000" s="3" t="s">
        <v>433</v>
      </c>
      <c r="C16000" s="21" t="n">
        <f aca="false">IFERROR(INDEX($G$15733:$K$15733,MATCH(1,$G$15999:$K$15999,0)),0)</f>
        <v>0</v>
      </c>
    </row>
    <row r="16001" customFormat="false" ht="15" hidden="false" customHeight="false" outlineLevel="0" collapsed="false">
      <c r="A16001" s="3" t="s">
        <v>434</v>
      </c>
      <c r="C16001" s="22" t="n">
        <f aca="false">MIN($G$15998:$K$15998)</f>
        <v>0.646277634882579</v>
      </c>
    </row>
    <row r="16002" customFormat="false" ht="15" hidden="false" customHeight="false" outlineLevel="0" collapsed="false">
      <c r="A16002" s="24" t="s">
        <v>437</v>
      </c>
      <c r="B16002" s="25"/>
      <c r="C16002" s="25"/>
      <c r="D16002" s="25"/>
      <c r="E16002" s="25"/>
      <c r="F16002" s="25"/>
      <c r="G16002" s="25"/>
      <c r="H16002" s="25"/>
      <c r="I16002" s="25"/>
      <c r="J16002" s="25"/>
      <c r="K16002" s="25"/>
    </row>
    <row r="16003" customFormat="false" ht="15" hidden="false" customHeight="false" outlineLevel="0" collapsed="false">
      <c r="A16003" s="3" t="s">
        <v>428</v>
      </c>
      <c r="G16003" s="16" t="n">
        <f aca="false">G15973</f>
        <v>690.7204919</v>
      </c>
      <c r="H16003" s="16" t="n">
        <f aca="false">H15973</f>
        <v>574.5</v>
      </c>
      <c r="I16003" s="16" t="n">
        <f aca="false">I15973</f>
        <v>574.5</v>
      </c>
      <c r="J16003" s="16" t="n">
        <f aca="false">J15973</f>
        <v>574.5</v>
      </c>
      <c r="K16003" s="16" t="n">
        <f aca="false">K15973</f>
        <v>574.5</v>
      </c>
    </row>
    <row r="16004" customFormat="false" ht="15" hidden="false" customHeight="false" outlineLevel="0" collapsed="false">
      <c r="A16004" s="3" t="s">
        <v>429</v>
      </c>
      <c r="G16004" s="29" t="n">
        <f aca="false">Assumptions!$G$74</f>
        <v>100</v>
      </c>
      <c r="H16004" s="29" t="n">
        <f aca="false">Assumptions!$H$74</f>
        <v>100</v>
      </c>
      <c r="I16004" s="29" t="n">
        <f aca="false">Assumptions!$I$74</f>
        <v>100</v>
      </c>
      <c r="J16004" s="29" t="n">
        <f aca="false">Assumptions!$J$74</f>
        <v>100</v>
      </c>
      <c r="K16004" s="29" t="n">
        <f aca="false">Assumptions!$K$74</f>
        <v>100</v>
      </c>
    </row>
    <row r="16005" customFormat="false" ht="15" hidden="false" customHeight="false" outlineLevel="0" collapsed="false">
      <c r="A16005" s="3" t="s">
        <v>430</v>
      </c>
      <c r="G16005" s="16" t="n">
        <f aca="false">G16003-G16004</f>
        <v>590.7204919</v>
      </c>
      <c r="H16005" s="16" t="n">
        <f aca="false">H16003-H16004</f>
        <v>474.5</v>
      </c>
      <c r="I16005" s="16" t="n">
        <f aca="false">I16003-I16004</f>
        <v>474.5</v>
      </c>
      <c r="J16005" s="16" t="n">
        <f aca="false">J16003-J16004</f>
        <v>474.5</v>
      </c>
      <c r="K16005" s="16" t="n">
        <f aca="false">K16003-K16004</f>
        <v>474.5</v>
      </c>
    </row>
    <row r="16006" customFormat="false" ht="15" hidden="false" customHeight="false" outlineLevel="0" collapsed="false">
      <c r="A16006" s="3" t="s">
        <v>431</v>
      </c>
      <c r="G16006" s="22" t="n">
        <f aca="false">IF(G16004=0,0,G16005/ABS(G16004))</f>
        <v>5.907204919</v>
      </c>
      <c r="H16006" s="22" t="n">
        <f aca="false">IF(H16004=0,0,H16005/ABS(H16004))</f>
        <v>4.745</v>
      </c>
      <c r="I16006" s="22" t="n">
        <f aca="false">IF(I16004=0,0,I16005/ABS(I16004))</f>
        <v>4.745</v>
      </c>
      <c r="J16006" s="22" t="n">
        <f aca="false">IF(J16004=0,0,J16005/ABS(J16004))</f>
        <v>4.745</v>
      </c>
      <c r="K16006" s="22" t="n">
        <f aca="false">IF(K16004=0,0,K16005/ABS(K16004))</f>
        <v>4.745</v>
      </c>
    </row>
    <row r="16007" customFormat="false" ht="15" hidden="false" customHeight="false" outlineLevel="0" collapsed="false">
      <c r="A16007" s="3" t="s">
        <v>432</v>
      </c>
      <c r="G16007" s="21" t="n">
        <f aca="false">IF(G16005&lt;0,1,0)</f>
        <v>0</v>
      </c>
      <c r="H16007" s="21" t="n">
        <f aca="false">IF(H16005&lt;0,1,0)</f>
        <v>0</v>
      </c>
      <c r="I16007" s="21" t="n">
        <f aca="false">IF(I16005&lt;0,1,0)</f>
        <v>0</v>
      </c>
      <c r="J16007" s="21" t="n">
        <f aca="false">IF(J16005&lt;0,1,0)</f>
        <v>0</v>
      </c>
      <c r="K16007" s="21" t="n">
        <f aca="false">IF(K16005&lt;0,1,0)</f>
        <v>0</v>
      </c>
    </row>
    <row r="16008" customFormat="false" ht="15" hidden="false" customHeight="false" outlineLevel="0" collapsed="false">
      <c r="A16008" s="3" t="s">
        <v>433</v>
      </c>
      <c r="C16008" s="21" t="n">
        <f aca="false">IFERROR(INDEX($G$15733:$K$15733,MATCH(1,$G$16007:$K$16007,0)),0)</f>
        <v>0</v>
      </c>
    </row>
    <row r="16009" customFormat="false" ht="15" hidden="false" customHeight="false" outlineLevel="0" collapsed="false">
      <c r="A16009" s="3" t="s">
        <v>434</v>
      </c>
      <c r="C16009" s="22" t="n">
        <f aca="false">MIN($G$16006:$K$16006)</f>
        <v>4.745</v>
      </c>
    </row>
    <row r="16010" customFormat="false" ht="15" hidden="false" customHeight="false" outlineLevel="0" collapsed="false">
      <c r="A16010" s="24" t="s">
        <v>438</v>
      </c>
      <c r="B16010" s="25"/>
      <c r="C16010" s="25"/>
      <c r="D16010" s="25"/>
      <c r="E16010" s="25"/>
      <c r="F16010" s="25"/>
      <c r="G16010" s="25"/>
      <c r="H16010" s="25"/>
      <c r="I16010" s="25"/>
      <c r="J16010" s="25"/>
      <c r="K16010" s="25"/>
    </row>
    <row r="16011" customFormat="false" ht="15" hidden="false" customHeight="false" outlineLevel="0" collapsed="false">
      <c r="A16011" s="3" t="s">
        <v>428</v>
      </c>
      <c r="G16011" s="32" t="n">
        <f aca="false">IF(G15743&gt;0,G15966/G15743,99)</f>
        <v>11.3002580262032</v>
      </c>
      <c r="H16011" s="32" t="n">
        <f aca="false">IF(H15743&gt;0,H15966/H15743,99)</f>
        <v>13.0782292429809</v>
      </c>
      <c r="I16011" s="32" t="n">
        <f aca="false">IF(I15743&gt;0,I15966/I15743,99)</f>
        <v>14.2167539685191</v>
      </c>
      <c r="J16011" s="32" t="n">
        <f aca="false">IF(J15743&gt;0,J15966/J15743,99)</f>
        <v>15.1314059676781</v>
      </c>
      <c r="K16011" s="32" t="n">
        <f aca="false">IF(K15743&gt;0,K15966/K15743,99)</f>
        <v>16.100280736754</v>
      </c>
    </row>
    <row r="16012" customFormat="false" ht="15" hidden="false" customHeight="false" outlineLevel="0" collapsed="false">
      <c r="A16012" s="3" t="s">
        <v>429</v>
      </c>
      <c r="G16012" s="34" t="n">
        <f aca="false">Assumptions!$G$75</f>
        <v>10.5</v>
      </c>
      <c r="H16012" s="34" t="n">
        <f aca="false">Assumptions!$H$75</f>
        <v>10.5</v>
      </c>
      <c r="I16012" s="34" t="n">
        <f aca="false">Assumptions!$I$75</f>
        <v>10</v>
      </c>
      <c r="J16012" s="34" t="n">
        <f aca="false">Assumptions!$J$75</f>
        <v>10</v>
      </c>
      <c r="K16012" s="34" t="n">
        <f aca="false">Assumptions!$K$75</f>
        <v>9.5</v>
      </c>
    </row>
    <row r="16013" customFormat="false" ht="15" hidden="false" customHeight="false" outlineLevel="0" collapsed="false">
      <c r="A16013" s="3" t="s">
        <v>430</v>
      </c>
      <c r="G16013" s="32" t="n">
        <f aca="false">G16012-G16011</f>
        <v>-0.800258026203224</v>
      </c>
      <c r="H16013" s="32" t="n">
        <f aca="false">H16012-H16011</f>
        <v>-2.57822924298087</v>
      </c>
      <c r="I16013" s="32" t="n">
        <f aca="false">I16012-I16011</f>
        <v>-4.21675396851909</v>
      </c>
      <c r="J16013" s="32" t="n">
        <f aca="false">J16012-J16011</f>
        <v>-5.13140596767814</v>
      </c>
      <c r="K16013" s="32" t="n">
        <f aca="false">K16012-K16011</f>
        <v>-6.60028073675405</v>
      </c>
    </row>
    <row r="16014" customFormat="false" ht="15" hidden="false" customHeight="false" outlineLevel="0" collapsed="false">
      <c r="A16014" s="3" t="s">
        <v>431</v>
      </c>
      <c r="G16014" s="22" t="n">
        <f aca="false">IF(G16012=0,0,G16013/ABS(G16012))</f>
        <v>-0.0762150501145928</v>
      </c>
      <c r="H16014" s="22" t="n">
        <f aca="false">IF(H16012=0,0,H16013/ABS(H16012))</f>
        <v>-0.245545642188654</v>
      </c>
      <c r="I16014" s="22" t="n">
        <f aca="false">IF(I16012=0,0,I16013/ABS(I16012))</f>
        <v>-0.421675396851909</v>
      </c>
      <c r="J16014" s="22" t="n">
        <f aca="false">IF(J16012=0,0,J16013/ABS(J16012))</f>
        <v>-0.513140596767814</v>
      </c>
      <c r="K16014" s="22" t="n">
        <f aca="false">IF(K16012=0,0,K16013/ABS(K16012))</f>
        <v>-0.694766393342531</v>
      </c>
    </row>
    <row r="16015" customFormat="false" ht="15" hidden="false" customHeight="false" outlineLevel="0" collapsed="false">
      <c r="A16015" s="3" t="s">
        <v>432</v>
      </c>
      <c r="G16015" s="21" t="n">
        <f aca="false">IF(G16013&lt;0,1,0)</f>
        <v>1</v>
      </c>
      <c r="H16015" s="21" t="n">
        <f aca="false">IF(H16013&lt;0,1,0)</f>
        <v>1</v>
      </c>
      <c r="I16015" s="21" t="n">
        <f aca="false">IF(I16013&lt;0,1,0)</f>
        <v>1</v>
      </c>
      <c r="J16015" s="21" t="n">
        <f aca="false">IF(J16013&lt;0,1,0)</f>
        <v>1</v>
      </c>
      <c r="K16015" s="21" t="n">
        <f aca="false">IF(K16013&lt;0,1,0)</f>
        <v>1</v>
      </c>
    </row>
    <row r="16016" customFormat="false" ht="15" hidden="false" customHeight="false" outlineLevel="0" collapsed="false">
      <c r="A16016" s="3" t="s">
        <v>433</v>
      </c>
      <c r="C16016" s="21" t="n">
        <f aca="false">IFERROR(INDEX($G$15733:$K$15733,MATCH(1,$G$16015:$K$16015,0)),0)</f>
        <v>2027</v>
      </c>
    </row>
    <row r="16017" customFormat="false" ht="15" hidden="false" customHeight="false" outlineLevel="0" collapsed="false">
      <c r="A16017" s="3" t="s">
        <v>434</v>
      </c>
      <c r="C16017" s="22" t="n">
        <f aca="false">MIN($G$16014:$K$16014)</f>
        <v>-0.694766393342531</v>
      </c>
    </row>
    <row r="16018" customFormat="false" ht="15" hidden="false" customHeight="false" outlineLevel="0" collapsed="false">
      <c r="A16018" s="3" t="s">
        <v>439</v>
      </c>
      <c r="G16018" s="21" t="n">
        <f aca="false">G15983+G15991+G15999+G16007+G16015</f>
        <v>3</v>
      </c>
      <c r="H16018" s="21" t="n">
        <f aca="false">H15983+H15991+H15999+H16007+H16015</f>
        <v>3</v>
      </c>
      <c r="I16018" s="21" t="n">
        <f aca="false">I15983+I15991+I15999+I16007+I16015</f>
        <v>3</v>
      </c>
      <c r="J16018" s="21" t="n">
        <f aca="false">J15983+J15991+J15999+J16007+J16015</f>
        <v>3</v>
      </c>
      <c r="K16018" s="21" t="n">
        <f aca="false">K15983+K15991+K15999+K16007+K16015</f>
        <v>3</v>
      </c>
    </row>
    <row r="16019" customFormat="false" ht="15" hidden="false" customHeight="false" outlineLevel="0" collapsed="false">
      <c r="A16019" s="3" t="s">
        <v>440</v>
      </c>
      <c r="C16019" s="21" t="n">
        <f aca="false">SUM($G$16018:$K$16018)</f>
        <v>15</v>
      </c>
    </row>
    <row r="16020" customFormat="false" ht="15" hidden="false" customHeight="false" outlineLevel="0" collapsed="false">
      <c r="A16020" s="3" t="s">
        <v>441</v>
      </c>
      <c r="C16020" s="22" t="n">
        <f aca="false">MIN(C15985,C15993,C16001,C16009,C16017)</f>
        <v>-0.694766393342531</v>
      </c>
    </row>
    <row r="16022" customFormat="false" ht="15" hidden="false" customHeight="false" outlineLevel="0" collapsed="false">
      <c r="A16022" s="24" t="s">
        <v>543</v>
      </c>
      <c r="B16022" s="25"/>
      <c r="C16022" s="25"/>
      <c r="D16022" s="25"/>
      <c r="E16022" s="25"/>
      <c r="F16022" s="25"/>
      <c r="G16022" s="25"/>
      <c r="H16022" s="25"/>
      <c r="I16022" s="25"/>
      <c r="J16022" s="25"/>
      <c r="K16022" s="25"/>
    </row>
    <row r="16023" customFormat="false" ht="15" hidden="false" customHeight="false" outlineLevel="0" collapsed="false">
      <c r="A16023" s="3" t="s">
        <v>544</v>
      </c>
      <c r="G16023" s="21" t="n">
        <f aca="false">IF($C$16024=1,G15960,IF(G15743=MIN($G$15743:$K$15743),1,0))</f>
        <v>0</v>
      </c>
      <c r="H16023" s="21" t="n">
        <f aca="false">IF($C$16024=1,H15960,IF(AND(H15743=MIN($G$15743:$K$15743),SUM($G$16023:G16023)=0),1,0))</f>
        <v>1</v>
      </c>
      <c r="I16023" s="21" t="n">
        <f aca="false">IF($C$16024=1,I15960,IF(AND(I15743=MIN($G$15743:$K$15743),SUM($G$16023:H16023)=0),1,0))</f>
        <v>0</v>
      </c>
      <c r="J16023" s="21" t="n">
        <f aca="false">IF($C$16024=1,J15960,IF(AND(J15743=MIN($G$15743:$K$15743),SUM($G$16023:I16023)=0),1,0))</f>
        <v>0</v>
      </c>
      <c r="K16023" s="21" t="n">
        <f aca="false">IF($C$16024=1,K15960,IF(AND(K15743=MIN($G$15743:$K$15743),SUM($G$16023:J16023)=0),1,0))</f>
        <v>0</v>
      </c>
    </row>
    <row r="16024" customFormat="false" ht="15" hidden="false" customHeight="false" outlineLevel="0" collapsed="false">
      <c r="A16024" s="3" t="s">
        <v>545</v>
      </c>
      <c r="C16024" s="21" t="n">
        <f aca="false">IF(SUM($G$15960:$K$15960)&gt;0,1,0)</f>
        <v>1</v>
      </c>
    </row>
    <row r="16025" customFormat="false" ht="15" hidden="false" customHeight="false" outlineLevel="0" collapsed="false">
      <c r="A16025" s="3" t="s">
        <v>546</v>
      </c>
      <c r="C16025" s="21" t="n">
        <f aca="false">SUMPRODUCT($G$16023:$K$16023,$G$15733:$K$15733)</f>
        <v>2028</v>
      </c>
    </row>
    <row r="16026" customFormat="false" ht="15" hidden="false" customHeight="false" outlineLevel="0" collapsed="false">
      <c r="A16026" s="3" t="s">
        <v>547</v>
      </c>
      <c r="C16026" s="16" t="n">
        <f aca="false">SUMPRODUCT($G$16023:$K$16023,$G$15743:$K$15743)</f>
        <v>197.880325338</v>
      </c>
    </row>
    <row r="16027" customFormat="false" ht="15" hidden="false" customHeight="false" outlineLevel="0" collapsed="false">
      <c r="A16027" s="3" t="s">
        <v>548</v>
      </c>
      <c r="C16027" s="16" t="n">
        <f aca="false">MAX(0,SUMPRODUCT($G$16023:$K$16023,$G$15957:$K$15957))</f>
        <v>0</v>
      </c>
    </row>
    <row r="16028" customFormat="false" ht="15" hidden="false" customHeight="false" outlineLevel="0" collapsed="false">
      <c r="A16028" s="3" t="s">
        <v>549</v>
      </c>
      <c r="C16028" s="16" t="n">
        <f aca="false">(CHOOSE($C$15726,Assumptions!$C$92,Assumptions!$C$111,Assumptions!$C$130)+$C$15730)*C16026</f>
        <v>1780.922928042</v>
      </c>
    </row>
    <row r="16029" customFormat="false" ht="15" hidden="false" customHeight="false" outlineLevel="0" collapsed="false">
      <c r="A16029" s="3" t="s">
        <v>550</v>
      </c>
      <c r="C16029" s="16" t="n">
        <f aca="false">Assumptions!$C$31*(1-CHOOSE($C$15726,Assumptions!$C$93,Assumptions!$C$112,Assumptions!$C$131))*CHOOSE($C$15726,Assumptions!$C$94,Assumptions!$C$113,Assumptions!$C$132)</f>
        <v>3264.03873166667</v>
      </c>
    </row>
    <row r="16030" customFormat="false" ht="15" hidden="false" customHeight="false" outlineLevel="0" collapsed="false">
      <c r="A16030" s="3" t="s">
        <v>551</v>
      </c>
      <c r="C16030" s="16" t="n">
        <f aca="false">MAX(C16028,C16029)+C16027</f>
        <v>3264.03873166667</v>
      </c>
    </row>
    <row r="16031" customFormat="false" ht="15" hidden="false" customHeight="false" outlineLevel="0" collapsed="false">
      <c r="A16031" s="2" t="s">
        <v>552</v>
      </c>
      <c r="C16031" s="17" t="n">
        <f aca="false">IF(ISNUMBER(Assumptions!$C$14),Assumptions!$C$14,C16030)</f>
        <v>3264.03873166667</v>
      </c>
    </row>
    <row r="16032" customFormat="false" ht="15" hidden="false" customHeight="false" outlineLevel="0" collapsed="false">
      <c r="A16032" s="3" t="s">
        <v>553</v>
      </c>
      <c r="C16032" s="16" t="n">
        <f aca="false">C16031*Assumptions!$C$15</f>
        <v>130.561549266667</v>
      </c>
    </row>
    <row r="16033" customFormat="false" ht="15" hidden="false" customHeight="false" outlineLevel="0" collapsed="false">
      <c r="A16033" s="2" t="s">
        <v>554</v>
      </c>
      <c r="C16033" s="17" t="n">
        <f aca="false">C16031-C16032</f>
        <v>3133.4771824</v>
      </c>
    </row>
    <row r="16034" customFormat="false" ht="15" hidden="false" customHeight="false" outlineLevel="0" collapsed="false">
      <c r="A16034" s="24" t="s">
        <v>555</v>
      </c>
      <c r="B16034" s="25"/>
      <c r="C16034" s="25"/>
      <c r="D16034" s="25"/>
      <c r="E16034" s="25"/>
      <c r="F16034" s="25"/>
      <c r="G16034" s="25"/>
      <c r="H16034" s="25"/>
      <c r="I16034" s="25"/>
      <c r="J16034" s="25"/>
      <c r="K16034" s="25"/>
    </row>
    <row r="16035" customFormat="false" ht="15" hidden="false" customHeight="false" outlineLevel="0" collapsed="false">
      <c r="A16035" s="3" t="s">
        <v>556</v>
      </c>
      <c r="C16035" s="16" t="n">
        <f aca="false">SUMPRODUCT($G$16023:$K$16023,$G$15780:$K$15780)*(1+SUMPRODUCT($G$16023:$K$16023,$G$15772:$K$15772)*Assumptions!$C$16/12)</f>
        <v>402.29</v>
      </c>
    </row>
    <row r="16036" customFormat="false" ht="15" hidden="false" customHeight="false" outlineLevel="0" collapsed="false">
      <c r="A16036" s="3" t="s">
        <v>557</v>
      </c>
      <c r="C16036" s="16" t="n">
        <f aca="false">SUMPRODUCT($G$16023:$K$16023,$G$15793:$K$15793)*(1+SUMPRODUCT($G$16023:$K$16023,$G$15785:$K$15785)*Assumptions!$C$16/12)</f>
        <v>91.30725</v>
      </c>
    </row>
    <row r="16037" customFormat="false" ht="15" hidden="false" customHeight="false" outlineLevel="0" collapsed="false">
      <c r="A16037" s="3" t="s">
        <v>558</v>
      </c>
      <c r="C16037" s="16" t="n">
        <f aca="false">SUMPRODUCT($G$16023:$K$16023,$G$15806:$K$15806)*(1+SUMPRODUCT($G$16023:$K$16023,$G$15798:$K$15798)*Assumptions!$C$16/12)</f>
        <v>58.3715961</v>
      </c>
    </row>
    <row r="16038" customFormat="false" ht="15" hidden="false" customHeight="false" outlineLevel="0" collapsed="false">
      <c r="A16038" s="3" t="s">
        <v>559</v>
      </c>
      <c r="C16038" s="16" t="n">
        <f aca="false">SUMPRODUCT($G$16023:$K$16023,$G$15819:$K$15819)*(1+SUMPRODUCT($G$16023:$K$16023,$G$15811:$K$15811)*Assumptions!$C$16/12)</f>
        <v>0</v>
      </c>
    </row>
    <row r="16039" customFormat="false" ht="15" hidden="false" customHeight="false" outlineLevel="0" collapsed="false">
      <c r="A16039" s="3" t="s">
        <v>560</v>
      </c>
      <c r="C16039" s="16" t="n">
        <f aca="false">SUMPRODUCT($G$16023:$K$16023,$G$15832:$K$15832)*(1+SUMPRODUCT($G$16023:$K$16023,$G$15824:$K$15824)*Assumptions!$C$16/12)</f>
        <v>424.137661238279</v>
      </c>
    </row>
    <row r="16040" customFormat="false" ht="15" hidden="false" customHeight="false" outlineLevel="0" collapsed="false">
      <c r="A16040" s="3" t="s">
        <v>561</v>
      </c>
      <c r="C16040" s="16" t="n">
        <f aca="false">SUMPRODUCT($G$16023:$K$16023,$G$15845:$K$15845)*(1+SUMPRODUCT($G$16023:$K$16023,$G$15837:$K$15837)*Assumptions!$C$16/12)</f>
        <v>357.2625</v>
      </c>
    </row>
    <row r="16041" customFormat="false" ht="15" hidden="false" customHeight="false" outlineLevel="0" collapsed="false">
      <c r="A16041" s="3" t="s">
        <v>562</v>
      </c>
      <c r="C16041" s="16" t="n">
        <f aca="false">SUMPRODUCT($G$16023:$K$16023,$G$15858:$K$15858)*(1+SUMPRODUCT($G$16023:$K$16023,$G$15850:$K$15850)*Assumptions!$C$16/12)</f>
        <v>562.203125</v>
      </c>
    </row>
    <row r="16042" customFormat="false" ht="15" hidden="false" customHeight="false" outlineLevel="0" collapsed="false">
      <c r="A16042" s="3" t="s">
        <v>563</v>
      </c>
      <c r="C16042" s="16" t="n">
        <f aca="false">SUMPRODUCT($G$16023:$K$16023,$G$15871:$K$15871)*(1+SUMPRODUCT($G$16023:$K$16023,$G$15863:$K$15863)*Assumptions!$C$16/12)</f>
        <v>353.98125</v>
      </c>
    </row>
    <row r="16043" customFormat="false" ht="15" hidden="false" customHeight="false" outlineLevel="0" collapsed="false">
      <c r="A16043" s="3" t="s">
        <v>564</v>
      </c>
      <c r="C16043" s="16" t="n">
        <f aca="false">SUMPRODUCT($G$16023:$K$16023,$G$15884:$K$15884)*(1+SUMPRODUCT($G$16023:$K$16023,$G$15876:$K$15876)*Assumptions!$C$16/12)</f>
        <v>304.59375</v>
      </c>
    </row>
    <row r="16044" customFormat="false" ht="15" hidden="false" customHeight="false" outlineLevel="0" collapsed="false">
      <c r="A16044" s="3" t="s">
        <v>565</v>
      </c>
      <c r="C16044" s="16" t="n">
        <f aca="false">SUMPRODUCT($G$16023:$K$16023,$G$15897:$K$15897)*(1+SUMPRODUCT($G$16023:$K$16023,$G$15889:$K$15889)*Assumptions!$C$16/12)</f>
        <v>79.938509</v>
      </c>
    </row>
    <row r="16045" customFormat="false" ht="15" hidden="false" customHeight="false" outlineLevel="0" collapsed="false">
      <c r="A16045" s="24" t="s">
        <v>566</v>
      </c>
      <c r="B16045" s="25"/>
      <c r="C16045" s="25"/>
      <c r="D16045" s="25"/>
      <c r="E16045" s="25"/>
      <c r="F16045" s="25"/>
      <c r="G16045" s="25"/>
      <c r="H16045" s="25"/>
      <c r="I16045" s="25"/>
      <c r="J16045" s="25"/>
      <c r="K16045" s="25"/>
    </row>
    <row r="16046" customFormat="false" ht="15" hidden="false" customHeight="false" outlineLevel="0" collapsed="false">
      <c r="A16046" s="3" t="s">
        <v>556</v>
      </c>
      <c r="C16046" s="27" t="n">
        <f aca="false">Assumptions!$M$57</f>
        <v>1</v>
      </c>
    </row>
    <row r="16047" customFormat="false" ht="15" hidden="false" customHeight="false" outlineLevel="0" collapsed="false">
      <c r="A16047" s="3" t="s">
        <v>557</v>
      </c>
      <c r="C16047" s="27" t="n">
        <f aca="false">Assumptions!$M$58</f>
        <v>1</v>
      </c>
    </row>
    <row r="16048" customFormat="false" ht="15" hidden="false" customHeight="false" outlineLevel="0" collapsed="false">
      <c r="A16048" s="3" t="s">
        <v>558</v>
      </c>
      <c r="C16048" s="27" t="n">
        <f aca="false">Assumptions!$M$59</f>
        <v>1</v>
      </c>
    </row>
    <row r="16049" customFormat="false" ht="15" hidden="false" customHeight="false" outlineLevel="0" collapsed="false">
      <c r="A16049" s="3" t="s">
        <v>559</v>
      </c>
      <c r="C16049" s="27" t="n">
        <f aca="false">Assumptions!$M$60</f>
        <v>2</v>
      </c>
    </row>
    <row r="16050" customFormat="false" ht="15" hidden="false" customHeight="false" outlineLevel="0" collapsed="false">
      <c r="A16050" s="3" t="s">
        <v>560</v>
      </c>
      <c r="C16050" s="27" t="n">
        <f aca="false">Assumptions!$M$61</f>
        <v>2</v>
      </c>
    </row>
    <row r="16051" customFormat="false" ht="15" hidden="false" customHeight="false" outlineLevel="0" collapsed="false">
      <c r="A16051" s="3" t="s">
        <v>561</v>
      </c>
      <c r="C16051" s="27" t="n">
        <f aca="false">Assumptions!$M$62</f>
        <v>2</v>
      </c>
    </row>
    <row r="16052" customFormat="false" ht="15" hidden="false" customHeight="false" outlineLevel="0" collapsed="false">
      <c r="A16052" s="3" t="s">
        <v>562</v>
      </c>
      <c r="C16052" s="27" t="n">
        <f aca="false">Assumptions!$M$63</f>
        <v>2</v>
      </c>
    </row>
    <row r="16053" customFormat="false" ht="15" hidden="false" customHeight="false" outlineLevel="0" collapsed="false">
      <c r="A16053" s="3" t="s">
        <v>563</v>
      </c>
      <c r="C16053" s="27" t="n">
        <f aca="false">Assumptions!$M$64</f>
        <v>2</v>
      </c>
    </row>
    <row r="16054" customFormat="false" ht="15" hidden="false" customHeight="false" outlineLevel="0" collapsed="false">
      <c r="A16054" s="3" t="s">
        <v>564</v>
      </c>
      <c r="C16054" s="27" t="n">
        <f aca="false">Assumptions!$M$65</f>
        <v>2</v>
      </c>
    </row>
    <row r="16055" customFormat="false" ht="15" hidden="false" customHeight="false" outlineLevel="0" collapsed="false">
      <c r="A16055" s="3" t="s">
        <v>565</v>
      </c>
      <c r="C16055" s="27" t="n">
        <f aca="false">Assumptions!$M$66</f>
        <v>3</v>
      </c>
    </row>
    <row r="16056" customFormat="false" ht="15" hidden="false" customHeight="false" outlineLevel="0" collapsed="false">
      <c r="A16056" s="24" t="s">
        <v>567</v>
      </c>
      <c r="B16056" s="25"/>
      <c r="C16056" s="25"/>
      <c r="D16056" s="25"/>
      <c r="E16056" s="25"/>
      <c r="F16056" s="25"/>
      <c r="G16056" s="25"/>
      <c r="H16056" s="25"/>
      <c r="I16056" s="25"/>
      <c r="J16056" s="25"/>
      <c r="K16056" s="25"/>
    </row>
    <row r="16057" customFormat="false" ht="15" hidden="false" customHeight="false" outlineLevel="0" collapsed="false">
      <c r="A16057" s="3" t="s">
        <v>556</v>
      </c>
      <c r="C16057" s="33" t="n">
        <f aca="false">Assumptions!$Q$57</f>
        <v>0.3</v>
      </c>
    </row>
    <row r="16058" customFormat="false" ht="15" hidden="false" customHeight="false" outlineLevel="0" collapsed="false">
      <c r="A16058" s="3" t="s">
        <v>557</v>
      </c>
      <c r="C16058" s="33" t="n">
        <f aca="false">Assumptions!$Q$58</f>
        <v>0.033</v>
      </c>
    </row>
    <row r="16059" customFormat="false" ht="15" hidden="false" customHeight="false" outlineLevel="0" collapsed="false">
      <c r="A16059" s="3" t="s">
        <v>558</v>
      </c>
      <c r="C16059" s="33" t="n">
        <f aca="false">Assumptions!$Q$59</f>
        <v>0.021</v>
      </c>
    </row>
    <row r="16060" customFormat="false" ht="15" hidden="false" customHeight="false" outlineLevel="0" collapsed="false">
      <c r="A16060" s="3" t="s">
        <v>559</v>
      </c>
      <c r="C16060" s="33" t="n">
        <f aca="false">Assumptions!$Q$60</f>
        <v>0</v>
      </c>
    </row>
    <row r="16061" customFormat="false" ht="15" hidden="false" customHeight="false" outlineLevel="0" collapsed="false">
      <c r="A16061" s="3" t="s">
        <v>560</v>
      </c>
      <c r="C16061" s="33" t="n">
        <f aca="false">Assumptions!$Q$61</f>
        <v>0</v>
      </c>
    </row>
    <row r="16062" customFormat="false" ht="15" hidden="false" customHeight="false" outlineLevel="0" collapsed="false">
      <c r="A16062" s="3" t="s">
        <v>561</v>
      </c>
      <c r="C16062" s="33" t="n">
        <f aca="false">Assumptions!$Q$62</f>
        <v>0</v>
      </c>
    </row>
    <row r="16063" customFormat="false" ht="15" hidden="false" customHeight="false" outlineLevel="0" collapsed="false">
      <c r="A16063" s="3" t="s">
        <v>562</v>
      </c>
      <c r="C16063" s="33" t="n">
        <f aca="false">Assumptions!$Q$63</f>
        <v>0</v>
      </c>
    </row>
    <row r="16064" customFormat="false" ht="15" hidden="false" customHeight="false" outlineLevel="0" collapsed="false">
      <c r="A16064" s="3" t="s">
        <v>563</v>
      </c>
      <c r="C16064" s="33" t="n">
        <f aca="false">Assumptions!$Q$64</f>
        <v>0</v>
      </c>
    </row>
    <row r="16065" customFormat="false" ht="15" hidden="false" customHeight="false" outlineLevel="0" collapsed="false">
      <c r="A16065" s="3" t="s">
        <v>564</v>
      </c>
      <c r="C16065" s="33" t="n">
        <f aca="false">Assumptions!$Q$65</f>
        <v>0</v>
      </c>
    </row>
    <row r="16066" customFormat="false" ht="15" hidden="false" customHeight="false" outlineLevel="0" collapsed="false">
      <c r="A16066" s="3" t="s">
        <v>565</v>
      </c>
      <c r="C16066" s="33" t="n">
        <f aca="false">Assumptions!$Q$66</f>
        <v>0</v>
      </c>
    </row>
    <row r="16067" customFormat="false" ht="15" hidden="false" customHeight="false" outlineLevel="0" collapsed="false">
      <c r="A16067" s="24" t="s">
        <v>568</v>
      </c>
      <c r="B16067" s="25"/>
      <c r="C16067" s="25"/>
      <c r="D16067" s="25"/>
      <c r="E16067" s="25"/>
      <c r="F16067" s="25"/>
      <c r="G16067" s="25"/>
      <c r="H16067" s="25"/>
      <c r="I16067" s="25"/>
      <c r="J16067" s="25"/>
      <c r="K16067" s="25"/>
    </row>
    <row r="16068" customFormat="false" ht="15" hidden="false" customHeight="false" outlineLevel="0" collapsed="false">
      <c r="A16068" s="3" t="s">
        <v>556</v>
      </c>
      <c r="C16068" s="16" t="n">
        <f aca="false">IF(C16057&gt;0,MIN(C16035,C16057*$C$16033),0)</f>
        <v>402.29</v>
      </c>
    </row>
    <row r="16069" customFormat="false" ht="15" hidden="false" customHeight="false" outlineLevel="0" collapsed="false">
      <c r="A16069" s="3" t="s">
        <v>557</v>
      </c>
      <c r="C16069" s="16" t="n">
        <f aca="false">IF(C16058&gt;0,MIN(C16036,C16058*$C$16033),0)</f>
        <v>91.30725</v>
      </c>
    </row>
    <row r="16070" customFormat="false" ht="15" hidden="false" customHeight="false" outlineLevel="0" collapsed="false">
      <c r="A16070" s="3" t="s">
        <v>558</v>
      </c>
      <c r="C16070" s="16" t="n">
        <f aca="false">IF(C16059&gt;0,MIN(C16037,C16059*$C$16033),0)</f>
        <v>58.3715961</v>
      </c>
    </row>
    <row r="16071" customFormat="false" ht="15" hidden="false" customHeight="false" outlineLevel="0" collapsed="false">
      <c r="A16071" s="3" t="s">
        <v>559</v>
      </c>
      <c r="C16071" s="16" t="n">
        <f aca="false">IF(C16060&gt;0,MIN(C16038,C16060*$C$16033),0)</f>
        <v>0</v>
      </c>
    </row>
    <row r="16072" customFormat="false" ht="15" hidden="false" customHeight="false" outlineLevel="0" collapsed="false">
      <c r="A16072" s="3" t="s">
        <v>560</v>
      </c>
      <c r="C16072" s="16" t="n">
        <f aca="false">IF(C16061&gt;0,MIN(C16039,C16061*$C$16033),0)</f>
        <v>0</v>
      </c>
    </row>
    <row r="16073" customFormat="false" ht="15" hidden="false" customHeight="false" outlineLevel="0" collapsed="false">
      <c r="A16073" s="3" t="s">
        <v>561</v>
      </c>
      <c r="C16073" s="16" t="n">
        <f aca="false">IF(C16062&gt;0,MIN(C16040,C16062*$C$16033),0)</f>
        <v>0</v>
      </c>
    </row>
    <row r="16074" customFormat="false" ht="15" hidden="false" customHeight="false" outlineLevel="0" collapsed="false">
      <c r="A16074" s="3" t="s">
        <v>562</v>
      </c>
      <c r="C16074" s="16" t="n">
        <f aca="false">IF(C16063&gt;0,MIN(C16041,C16063*$C$16033),0)</f>
        <v>0</v>
      </c>
    </row>
    <row r="16075" customFormat="false" ht="15" hidden="false" customHeight="false" outlineLevel="0" collapsed="false">
      <c r="A16075" s="3" t="s">
        <v>563</v>
      </c>
      <c r="C16075" s="16" t="n">
        <f aca="false">IF(C16064&gt;0,MIN(C16042,C16064*$C$16033),0)</f>
        <v>0</v>
      </c>
    </row>
    <row r="16076" customFormat="false" ht="15" hidden="false" customHeight="false" outlineLevel="0" collapsed="false">
      <c r="A16076" s="3" t="s">
        <v>564</v>
      </c>
      <c r="C16076" s="16" t="n">
        <f aca="false">IF(C16065&gt;0,MIN(C16043,C16065*$C$16033),0)</f>
        <v>0</v>
      </c>
    </row>
    <row r="16077" customFormat="false" ht="15" hidden="false" customHeight="false" outlineLevel="0" collapsed="false">
      <c r="A16077" s="3" t="s">
        <v>565</v>
      </c>
      <c r="C16077" s="16" t="n">
        <f aca="false">IF(C16066&gt;0,MIN(C16044,C16066*$C$16033),0)</f>
        <v>0</v>
      </c>
    </row>
    <row r="16078" customFormat="false" ht="15" hidden="false" customHeight="false" outlineLevel="0" collapsed="false">
      <c r="A16078" s="24" t="s">
        <v>569</v>
      </c>
      <c r="B16078" s="25"/>
      <c r="C16078" s="25"/>
      <c r="D16078" s="25"/>
      <c r="E16078" s="25"/>
      <c r="F16078" s="25"/>
      <c r="G16078" s="25"/>
      <c r="H16078" s="25"/>
      <c r="I16078" s="25"/>
      <c r="J16078" s="25"/>
      <c r="K16078" s="25"/>
    </row>
    <row r="16079" customFormat="false" ht="15" hidden="false" customHeight="false" outlineLevel="0" collapsed="false">
      <c r="A16079" s="3" t="s">
        <v>556</v>
      </c>
      <c r="C16079" s="16" t="n">
        <f aca="false">IF(C16057&gt;0,C16035-C16068,0)</f>
        <v>0</v>
      </c>
      <c r="G16079" s="21" t="n">
        <f aca="false">IF(AND(G15770=1,G15767=1),1,0)</f>
        <v>0</v>
      </c>
      <c r="H16079" s="21" t="n">
        <f aca="false">IF(G16079=1,1,IF(AND(H15770=1,H15767=1),1,0))</f>
        <v>0</v>
      </c>
      <c r="I16079" s="21" t="n">
        <f aca="false">IF(H16079=1,1,IF(AND(I15770=1,I15767=1),1,0))</f>
        <v>0</v>
      </c>
      <c r="J16079" s="21" t="n">
        <f aca="false">IF(I16079=1,1,IF(AND(J15770=1,J15767=1),1,0))</f>
        <v>0</v>
      </c>
      <c r="K16079" s="21" t="n">
        <f aca="false">IF(J16079=1,1,IF(AND(K15770=1,K15767=1),1,0))</f>
        <v>0</v>
      </c>
    </row>
    <row r="16080" customFormat="false" ht="15" hidden="false" customHeight="false" outlineLevel="0" collapsed="false">
      <c r="A16080" s="3" t="s">
        <v>557</v>
      </c>
      <c r="C16080" s="16" t="n">
        <f aca="false">IF(C16058&gt;0,C16036-C16069,0)</f>
        <v>0</v>
      </c>
      <c r="G16080" s="21" t="n">
        <f aca="false">IF(AND(G15783=1,G15767=1),1,0)</f>
        <v>0</v>
      </c>
      <c r="H16080" s="21" t="n">
        <f aca="false">IF(G16080=1,1,IF(AND(H15783=1,H15767=1),1,0))</f>
        <v>0</v>
      </c>
      <c r="I16080" s="21" t="n">
        <f aca="false">IF(H16080=1,1,IF(AND(I15783=1,I15767=1),1,0))</f>
        <v>0</v>
      </c>
      <c r="J16080" s="21" t="n">
        <f aca="false">IF(I16080=1,1,IF(AND(J15783=1,J15767=1),1,0))</f>
        <v>0</v>
      </c>
      <c r="K16080" s="21" t="n">
        <f aca="false">IF(J16080=1,1,IF(AND(K15783=1,K15767=1),1,0))</f>
        <v>0</v>
      </c>
    </row>
    <row r="16081" customFormat="false" ht="15" hidden="false" customHeight="false" outlineLevel="0" collapsed="false">
      <c r="A16081" s="3" t="s">
        <v>558</v>
      </c>
      <c r="C16081" s="16" t="n">
        <f aca="false">IF(C16059&gt;0,C16037-C16070,0)</f>
        <v>0</v>
      </c>
      <c r="G16081" s="21" t="n">
        <f aca="false">IF(AND(G15796=1,G15767=1),1,0)</f>
        <v>0</v>
      </c>
      <c r="H16081" s="21" t="n">
        <f aca="false">IF(G16081=1,1,IF(AND(H15796=1,H15767=1),1,0))</f>
        <v>0</v>
      </c>
      <c r="I16081" s="21" t="n">
        <f aca="false">IF(H16081=1,1,IF(AND(I15796=1,I15767=1),1,0))</f>
        <v>0</v>
      </c>
      <c r="J16081" s="21" t="n">
        <f aca="false">IF(I16081=1,1,IF(AND(J15796=1,J15767=1),1,0))</f>
        <v>0</v>
      </c>
      <c r="K16081" s="21" t="n">
        <f aca="false">IF(J16081=1,1,IF(AND(K15796=1,K15767=1),1,0))</f>
        <v>0</v>
      </c>
    </row>
    <row r="16082" customFormat="false" ht="15" hidden="false" customHeight="false" outlineLevel="0" collapsed="false">
      <c r="A16082" s="3" t="s">
        <v>559</v>
      </c>
      <c r="C16082" s="16" t="n">
        <f aca="false">IF(C16060&gt;0,C16038-C16071,0)</f>
        <v>0</v>
      </c>
      <c r="G16082" s="21" t="n">
        <f aca="false">IF(AND(G15809=1,G15767=1),1,0)</f>
        <v>0</v>
      </c>
      <c r="H16082" s="21" t="n">
        <f aca="false">IF(G16082=1,1,IF(AND(H15809=1,H15767=1),1,0))</f>
        <v>0</v>
      </c>
      <c r="I16082" s="21" t="n">
        <f aca="false">IF(H16082=1,1,IF(AND(I15809=1,I15767=1),1,0))</f>
        <v>0</v>
      </c>
      <c r="J16082" s="21" t="n">
        <f aca="false">IF(I16082=1,1,IF(AND(J15809=1,J15767=1),1,0))</f>
        <v>0</v>
      </c>
      <c r="K16082" s="21" t="n">
        <f aca="false">IF(J16082=1,1,IF(AND(K15809=1,K15767=1),1,0))</f>
        <v>0</v>
      </c>
    </row>
    <row r="16083" customFormat="false" ht="15" hidden="false" customHeight="false" outlineLevel="0" collapsed="false">
      <c r="A16083" s="3" t="s">
        <v>560</v>
      </c>
      <c r="C16083" s="16" t="n">
        <f aca="false">IF(C16061&gt;0,C16039-C16072,0)</f>
        <v>0</v>
      </c>
      <c r="G16083" s="21" t="n">
        <f aca="false">IF(AND(G15822=1,G15767=1),1,0)</f>
        <v>0</v>
      </c>
      <c r="H16083" s="21" t="n">
        <f aca="false">IF(G16083=1,1,IF(AND(H15822=1,H15767=1),1,0))</f>
        <v>0</v>
      </c>
      <c r="I16083" s="21" t="n">
        <f aca="false">IF(H16083=1,1,IF(AND(I15822=1,I15767=1),1,0))</f>
        <v>0</v>
      </c>
      <c r="J16083" s="21" t="n">
        <f aca="false">IF(I16083=1,1,IF(AND(J15822=1,J15767=1),1,0))</f>
        <v>0</v>
      </c>
      <c r="K16083" s="21" t="n">
        <f aca="false">IF(J16083=1,1,IF(AND(K15822=1,K15767=1),1,0))</f>
        <v>0</v>
      </c>
    </row>
    <row r="16084" customFormat="false" ht="15" hidden="false" customHeight="false" outlineLevel="0" collapsed="false">
      <c r="A16084" s="3" t="s">
        <v>561</v>
      </c>
      <c r="C16084" s="16" t="n">
        <f aca="false">IF(C16062&gt;0,C16040-C16073,0)</f>
        <v>0</v>
      </c>
      <c r="G16084" s="21" t="n">
        <f aca="false">IF(AND(G15835=1,G15767=1),1,0)</f>
        <v>0</v>
      </c>
      <c r="H16084" s="21" t="n">
        <f aca="false">IF(G16084=1,1,IF(AND(H15835=1,H15767=1),1,0))</f>
        <v>0</v>
      </c>
      <c r="I16084" s="21" t="n">
        <f aca="false">IF(H16084=1,1,IF(AND(I15835=1,I15767=1),1,0))</f>
        <v>0</v>
      </c>
      <c r="J16084" s="21" t="n">
        <f aca="false">IF(I16084=1,1,IF(AND(J15835=1,J15767=1),1,0))</f>
        <v>0</v>
      </c>
      <c r="K16084" s="21" t="n">
        <f aca="false">IF(J16084=1,1,IF(AND(K15835=1,K15767=1),1,0))</f>
        <v>0</v>
      </c>
    </row>
    <row r="16085" customFormat="false" ht="15" hidden="false" customHeight="false" outlineLevel="0" collapsed="false">
      <c r="A16085" s="3" t="s">
        <v>562</v>
      </c>
      <c r="C16085" s="16" t="n">
        <f aca="false">IF(C16063&gt;0,C16041-C16074,0)</f>
        <v>0</v>
      </c>
      <c r="G16085" s="21" t="n">
        <f aca="false">IF(AND(G15848=1,G15767=1),1,0)</f>
        <v>0</v>
      </c>
      <c r="H16085" s="21" t="n">
        <f aca="false">IF(G16085=1,1,IF(AND(H15848=1,H15767=1),1,0))</f>
        <v>0</v>
      </c>
      <c r="I16085" s="21" t="n">
        <f aca="false">IF(H16085=1,1,IF(AND(I15848=1,I15767=1),1,0))</f>
        <v>0</v>
      </c>
      <c r="J16085" s="21" t="n">
        <f aca="false">IF(I16085=1,1,IF(AND(J15848=1,J15767=1),1,0))</f>
        <v>0</v>
      </c>
      <c r="K16085" s="21" t="n">
        <f aca="false">IF(J16085=1,1,IF(AND(K15848=1,K15767=1),1,0))</f>
        <v>0</v>
      </c>
    </row>
    <row r="16086" customFormat="false" ht="15" hidden="false" customHeight="false" outlineLevel="0" collapsed="false">
      <c r="A16086" s="3" t="s">
        <v>563</v>
      </c>
      <c r="C16086" s="16" t="n">
        <f aca="false">IF(C16064&gt;0,C16042-C16075,0)</f>
        <v>0</v>
      </c>
      <c r="G16086" s="21" t="n">
        <f aca="false">IF(AND(G15861=1,G15767=1),1,0)</f>
        <v>0</v>
      </c>
      <c r="H16086" s="21" t="n">
        <f aca="false">IF(G16086=1,1,IF(AND(H15861=1,H15767=1),1,0))</f>
        <v>0</v>
      </c>
      <c r="I16086" s="21" t="n">
        <f aca="false">IF(H16086=1,1,IF(AND(I15861=1,I15767=1),1,0))</f>
        <v>0</v>
      </c>
      <c r="J16086" s="21" t="n">
        <f aca="false">IF(I16086=1,1,IF(AND(J15861=1,J15767=1),1,0))</f>
        <v>0</v>
      </c>
      <c r="K16086" s="21" t="n">
        <f aca="false">IF(J16086=1,1,IF(AND(K15861=1,K15767=1),1,0))</f>
        <v>0</v>
      </c>
    </row>
    <row r="16087" customFormat="false" ht="15" hidden="false" customHeight="false" outlineLevel="0" collapsed="false">
      <c r="A16087" s="3" t="s">
        <v>564</v>
      </c>
      <c r="C16087" s="16" t="n">
        <f aca="false">IF(C16065&gt;0,C16043-C16076,0)</f>
        <v>0</v>
      </c>
      <c r="G16087" s="21" t="n">
        <f aca="false">IF(AND(G15874=1,G15767=1),1,0)</f>
        <v>0</v>
      </c>
      <c r="H16087" s="21" t="n">
        <f aca="false">IF(G16087=1,1,IF(AND(H15874=1,H15767=1),1,0))</f>
        <v>0</v>
      </c>
      <c r="I16087" s="21" t="n">
        <f aca="false">IF(H16087=1,1,IF(AND(I15874=1,I15767=1),1,0))</f>
        <v>0</v>
      </c>
      <c r="J16087" s="21" t="n">
        <f aca="false">IF(I16087=1,1,IF(AND(J15874=1,J15767=1),1,0))</f>
        <v>0</v>
      </c>
      <c r="K16087" s="21" t="n">
        <f aca="false">IF(J16087=1,1,IF(AND(K15874=1,K15767=1),1,0))</f>
        <v>0</v>
      </c>
    </row>
    <row r="16088" customFormat="false" ht="15" hidden="false" customHeight="false" outlineLevel="0" collapsed="false">
      <c r="A16088" s="3" t="s">
        <v>565</v>
      </c>
      <c r="C16088" s="16" t="n">
        <f aca="false">IF(C16066&gt;0,C16044-C16077,0)</f>
        <v>0</v>
      </c>
      <c r="G16088" s="21" t="n">
        <f aca="false">IF(AND(G15887=1,G15767=1),1,0)</f>
        <v>0</v>
      </c>
      <c r="H16088" s="21" t="n">
        <f aca="false">IF(G16088=1,1,IF(AND(H15887=1,H15767=1),1,0))</f>
        <v>0</v>
      </c>
      <c r="I16088" s="21" t="n">
        <f aca="false">IF(H16088=1,1,IF(AND(I15887=1,I15767=1),1,0))</f>
        <v>0</v>
      </c>
      <c r="J16088" s="21" t="n">
        <f aca="false">IF(I16088=1,1,IF(AND(J15887=1,J15767=1),1,0))</f>
        <v>0</v>
      </c>
      <c r="K16088" s="21" t="n">
        <f aca="false">IF(J16088=1,1,IF(AND(K15887=1,K15767=1),1,0))</f>
        <v>0</v>
      </c>
    </row>
    <row r="16089" customFormat="false" ht="15" hidden="false" customHeight="false" outlineLevel="0" collapsed="false">
      <c r="A16089" s="24" t="s">
        <v>570</v>
      </c>
      <c r="B16089" s="25"/>
      <c r="C16089" s="25"/>
      <c r="D16089" s="25"/>
      <c r="E16089" s="25"/>
      <c r="F16089" s="25"/>
      <c r="G16089" s="25"/>
      <c r="H16089" s="25"/>
      <c r="I16089" s="25"/>
      <c r="J16089" s="25"/>
      <c r="K16089" s="25"/>
    </row>
    <row r="16090" customFormat="false" ht="15" hidden="false" customHeight="false" outlineLevel="0" collapsed="false">
      <c r="A16090" s="3" t="s">
        <v>556</v>
      </c>
      <c r="C16090" s="16" t="n">
        <f aca="false">IF(C16057&gt;0,C16079,C16035)</f>
        <v>0</v>
      </c>
    </row>
    <row r="16091" customFormat="false" ht="15" hidden="false" customHeight="false" outlineLevel="0" collapsed="false">
      <c r="A16091" s="3" t="s">
        <v>557</v>
      </c>
      <c r="C16091" s="16" t="n">
        <f aca="false">IF(C16058&gt;0,C16080,C16036)</f>
        <v>0</v>
      </c>
    </row>
    <row r="16092" customFormat="false" ht="15" hidden="false" customHeight="false" outlineLevel="0" collapsed="false">
      <c r="A16092" s="3" t="s">
        <v>558</v>
      </c>
      <c r="C16092" s="16" t="n">
        <f aca="false">IF(C16059&gt;0,C16081,C16037)</f>
        <v>0</v>
      </c>
    </row>
    <row r="16093" customFormat="false" ht="15" hidden="false" customHeight="false" outlineLevel="0" collapsed="false">
      <c r="A16093" s="3" t="s">
        <v>559</v>
      </c>
      <c r="C16093" s="16" t="n">
        <f aca="false">IF(C16060&gt;0,C16082,C16038)</f>
        <v>0</v>
      </c>
    </row>
    <row r="16094" customFormat="false" ht="15" hidden="false" customHeight="false" outlineLevel="0" collapsed="false">
      <c r="A16094" s="3" t="s">
        <v>560</v>
      </c>
      <c r="C16094" s="16" t="n">
        <f aca="false">IF(C16061&gt;0,C16083,C16039)</f>
        <v>424.137661238279</v>
      </c>
    </row>
    <row r="16095" customFormat="false" ht="15" hidden="false" customHeight="false" outlineLevel="0" collapsed="false">
      <c r="A16095" s="3" t="s">
        <v>561</v>
      </c>
      <c r="C16095" s="16" t="n">
        <f aca="false">IF(C16062&gt;0,C16084,C16040)</f>
        <v>357.2625</v>
      </c>
    </row>
    <row r="16096" customFormat="false" ht="15" hidden="false" customHeight="false" outlineLevel="0" collapsed="false">
      <c r="A16096" s="3" t="s">
        <v>562</v>
      </c>
      <c r="C16096" s="16" t="n">
        <f aca="false">IF(C16063&gt;0,C16085,C16041)</f>
        <v>562.203125</v>
      </c>
    </row>
    <row r="16097" customFormat="false" ht="15" hidden="false" customHeight="false" outlineLevel="0" collapsed="false">
      <c r="A16097" s="3" t="s">
        <v>563</v>
      </c>
      <c r="C16097" s="16" t="n">
        <f aca="false">IF(C16064&gt;0,C16086,C16042)</f>
        <v>353.98125</v>
      </c>
    </row>
    <row r="16098" customFormat="false" ht="15" hidden="false" customHeight="false" outlineLevel="0" collapsed="false">
      <c r="A16098" s="3" t="s">
        <v>564</v>
      </c>
      <c r="C16098" s="16" t="n">
        <f aca="false">IF(C16065&gt;0,C16087,C16043)</f>
        <v>304.59375</v>
      </c>
    </row>
    <row r="16099" customFormat="false" ht="15" hidden="false" customHeight="false" outlineLevel="0" collapsed="false">
      <c r="A16099" s="3" t="s">
        <v>565</v>
      </c>
      <c r="C16099" s="16" t="n">
        <f aca="false">IF(C16066&gt;0,C16088,C16044)</f>
        <v>79.938509</v>
      </c>
    </row>
    <row r="16100" customFormat="false" ht="15" hidden="false" customHeight="false" outlineLevel="0" collapsed="false">
      <c r="A16100" s="24" t="s">
        <v>571</v>
      </c>
      <c r="B16100" s="25"/>
      <c r="C16100" s="25"/>
      <c r="D16100" s="25"/>
      <c r="E16100" s="25"/>
      <c r="F16100" s="25"/>
      <c r="G16100" s="25"/>
      <c r="H16100" s="25"/>
      <c r="I16100" s="25"/>
      <c r="J16100" s="25"/>
      <c r="K16100" s="25"/>
    </row>
    <row r="16101" customFormat="false" ht="15" hidden="false" customHeight="false" outlineLevel="0" collapsed="false">
      <c r="A16101" s="3" t="s">
        <v>556</v>
      </c>
      <c r="C16101" s="21" t="n">
        <f aca="false">IF(C16057&gt;0,Assumptions!$C$17,C16046)</f>
        <v>99</v>
      </c>
    </row>
    <row r="16102" customFormat="false" ht="15" hidden="false" customHeight="false" outlineLevel="0" collapsed="false">
      <c r="A16102" s="3" t="s">
        <v>557</v>
      </c>
      <c r="C16102" s="21" t="n">
        <f aca="false">IF(C16058&gt;0,Assumptions!$C$17,C16047)</f>
        <v>99</v>
      </c>
    </row>
    <row r="16103" customFormat="false" ht="15" hidden="false" customHeight="false" outlineLevel="0" collapsed="false">
      <c r="A16103" s="3" t="s">
        <v>558</v>
      </c>
      <c r="C16103" s="21" t="n">
        <f aca="false">IF(C16059&gt;0,Assumptions!$C$17,C16048)</f>
        <v>99</v>
      </c>
    </row>
    <row r="16104" customFormat="false" ht="15" hidden="false" customHeight="false" outlineLevel="0" collapsed="false">
      <c r="A16104" s="3" t="s">
        <v>559</v>
      </c>
      <c r="C16104" s="21" t="n">
        <f aca="false">IF(C16060&gt;0,Assumptions!$C$17,C16049)</f>
        <v>2</v>
      </c>
    </row>
    <row r="16105" customFormat="false" ht="15" hidden="false" customHeight="false" outlineLevel="0" collapsed="false">
      <c r="A16105" s="3" t="s">
        <v>560</v>
      </c>
      <c r="C16105" s="21" t="n">
        <f aca="false">IF(C16061&gt;0,Assumptions!$C$17,C16050)</f>
        <v>2</v>
      </c>
    </row>
    <row r="16106" customFormat="false" ht="15" hidden="false" customHeight="false" outlineLevel="0" collapsed="false">
      <c r="A16106" s="3" t="s">
        <v>561</v>
      </c>
      <c r="C16106" s="21" t="n">
        <f aca="false">IF(C16062&gt;0,Assumptions!$C$17,C16051)</f>
        <v>2</v>
      </c>
    </row>
    <row r="16107" customFormat="false" ht="15" hidden="false" customHeight="false" outlineLevel="0" collapsed="false">
      <c r="A16107" s="3" t="s">
        <v>562</v>
      </c>
      <c r="C16107" s="21" t="n">
        <f aca="false">IF(C16063&gt;0,Assumptions!$C$17,C16052)</f>
        <v>2</v>
      </c>
    </row>
    <row r="16108" customFormat="false" ht="15" hidden="false" customHeight="false" outlineLevel="0" collapsed="false">
      <c r="A16108" s="3" t="s">
        <v>563</v>
      </c>
      <c r="C16108" s="21" t="n">
        <f aca="false">IF(C16064&gt;0,Assumptions!$C$17,C16053)</f>
        <v>2</v>
      </c>
    </row>
    <row r="16109" customFormat="false" ht="15" hidden="false" customHeight="false" outlineLevel="0" collapsed="false">
      <c r="A16109" s="3" t="s">
        <v>564</v>
      </c>
      <c r="C16109" s="21" t="n">
        <f aca="false">IF(C16065&gt;0,Assumptions!$C$17,C16054)</f>
        <v>2</v>
      </c>
    </row>
    <row r="16110" customFormat="false" ht="15" hidden="false" customHeight="false" outlineLevel="0" collapsed="false">
      <c r="A16110" s="3" t="s">
        <v>565</v>
      </c>
      <c r="C16110" s="21" t="n">
        <f aca="false">IF(C16066&gt;0,Assumptions!$C$17,C16055)</f>
        <v>3</v>
      </c>
    </row>
    <row r="16111" customFormat="false" ht="15" hidden="false" customHeight="false" outlineLevel="0" collapsed="false">
      <c r="A16111" s="24" t="s">
        <v>572</v>
      </c>
      <c r="B16111" s="25"/>
      <c r="C16111" s="25"/>
      <c r="D16111" s="25"/>
      <c r="E16111" s="25"/>
      <c r="F16111" s="25"/>
      <c r="G16111" s="25"/>
      <c r="H16111" s="25"/>
      <c r="I16111" s="25"/>
      <c r="J16111" s="25"/>
      <c r="K16111" s="25"/>
    </row>
    <row r="16112" customFormat="false" ht="15" hidden="false" customHeight="false" outlineLevel="0" collapsed="false">
      <c r="A16112" s="3" t="s">
        <v>556</v>
      </c>
      <c r="C16112" s="16" t="n">
        <f aca="false">SUMPRODUCT(($C$16101:$C$16110&lt;C16101)*$C$16090:$C$16099)</f>
        <v>2082.11679523828</v>
      </c>
    </row>
    <row r="16113" customFormat="false" ht="15" hidden="false" customHeight="false" outlineLevel="0" collapsed="false">
      <c r="A16113" s="3" t="s">
        <v>557</v>
      </c>
      <c r="C16113" s="16" t="n">
        <f aca="false">SUMPRODUCT(($C$16101:$C$16110&lt;C16102)*$C$16090:$C$16099)</f>
        <v>2082.11679523828</v>
      </c>
    </row>
    <row r="16114" customFormat="false" ht="15" hidden="false" customHeight="false" outlineLevel="0" collapsed="false">
      <c r="A16114" s="3" t="s">
        <v>558</v>
      </c>
      <c r="C16114" s="16" t="n">
        <f aca="false">SUMPRODUCT(($C$16101:$C$16110&lt;C16103)*$C$16090:$C$16099)</f>
        <v>2082.11679523828</v>
      </c>
    </row>
    <row r="16115" customFormat="false" ht="15" hidden="false" customHeight="false" outlineLevel="0" collapsed="false">
      <c r="A16115" s="3" t="s">
        <v>559</v>
      </c>
      <c r="C16115" s="16" t="n">
        <f aca="false">SUMPRODUCT(($C$16101:$C$16110&lt;C16104)*$C$16090:$C$16099)</f>
        <v>0</v>
      </c>
    </row>
    <row r="16116" customFormat="false" ht="15" hidden="false" customHeight="false" outlineLevel="0" collapsed="false">
      <c r="A16116" s="3" t="s">
        <v>560</v>
      </c>
      <c r="C16116" s="16" t="n">
        <f aca="false">SUMPRODUCT(($C$16101:$C$16110&lt;C16105)*$C$16090:$C$16099)</f>
        <v>0</v>
      </c>
    </row>
    <row r="16117" customFormat="false" ht="15" hidden="false" customHeight="false" outlineLevel="0" collapsed="false">
      <c r="A16117" s="3" t="s">
        <v>561</v>
      </c>
      <c r="C16117" s="16" t="n">
        <f aca="false">SUMPRODUCT(($C$16101:$C$16110&lt;C16106)*$C$16090:$C$16099)</f>
        <v>0</v>
      </c>
    </row>
    <row r="16118" customFormat="false" ht="15" hidden="false" customHeight="false" outlineLevel="0" collapsed="false">
      <c r="A16118" s="3" t="s">
        <v>562</v>
      </c>
      <c r="C16118" s="16" t="n">
        <f aca="false">SUMPRODUCT(($C$16101:$C$16110&lt;C16107)*$C$16090:$C$16099)</f>
        <v>0</v>
      </c>
    </row>
    <row r="16119" customFormat="false" ht="15" hidden="false" customHeight="false" outlineLevel="0" collapsed="false">
      <c r="A16119" s="3" t="s">
        <v>563</v>
      </c>
      <c r="C16119" s="16" t="n">
        <f aca="false">SUMPRODUCT(($C$16101:$C$16110&lt;C16108)*$C$16090:$C$16099)</f>
        <v>0</v>
      </c>
    </row>
    <row r="16120" customFormat="false" ht="15" hidden="false" customHeight="false" outlineLevel="0" collapsed="false">
      <c r="A16120" s="3" t="s">
        <v>564</v>
      </c>
      <c r="C16120" s="16" t="n">
        <f aca="false">SUMPRODUCT(($C$16101:$C$16110&lt;C16109)*$C$16090:$C$16099)</f>
        <v>0</v>
      </c>
    </row>
    <row r="16121" customFormat="false" ht="15" hidden="false" customHeight="false" outlineLevel="0" collapsed="false">
      <c r="A16121" s="3" t="s">
        <v>565</v>
      </c>
      <c r="C16121" s="16" t="n">
        <f aca="false">SUMPRODUCT(($C$16101:$C$16110&lt;C16110)*$C$16090:$C$16099)</f>
        <v>2002.17828623828</v>
      </c>
    </row>
    <row r="16122" customFormat="false" ht="15" hidden="false" customHeight="false" outlineLevel="0" collapsed="false">
      <c r="A16122" s="24" t="s">
        <v>573</v>
      </c>
      <c r="B16122" s="25"/>
      <c r="C16122" s="25"/>
      <c r="D16122" s="25"/>
      <c r="E16122" s="25"/>
      <c r="F16122" s="25"/>
      <c r="G16122" s="25"/>
      <c r="H16122" s="25"/>
      <c r="I16122" s="25"/>
      <c r="J16122" s="25"/>
      <c r="K16122" s="25"/>
    </row>
    <row r="16123" customFormat="false" ht="15" hidden="false" customHeight="false" outlineLevel="0" collapsed="false">
      <c r="A16123" s="3" t="s">
        <v>556</v>
      </c>
      <c r="C16123" s="16" t="n">
        <f aca="false">SUMPRODUCT(($C$16101:$C$16110=C16101)*$C$16090:$C$16099)</f>
        <v>0</v>
      </c>
    </row>
    <row r="16124" customFormat="false" ht="15" hidden="false" customHeight="false" outlineLevel="0" collapsed="false">
      <c r="A16124" s="3" t="s">
        <v>557</v>
      </c>
      <c r="C16124" s="16" t="n">
        <f aca="false">SUMPRODUCT(($C$16101:$C$16110=C16102)*$C$16090:$C$16099)</f>
        <v>0</v>
      </c>
    </row>
    <row r="16125" customFormat="false" ht="15" hidden="false" customHeight="false" outlineLevel="0" collapsed="false">
      <c r="A16125" s="3" t="s">
        <v>558</v>
      </c>
      <c r="C16125" s="16" t="n">
        <f aca="false">SUMPRODUCT(($C$16101:$C$16110=C16103)*$C$16090:$C$16099)</f>
        <v>0</v>
      </c>
    </row>
    <row r="16126" customFormat="false" ht="15" hidden="false" customHeight="false" outlineLevel="0" collapsed="false">
      <c r="A16126" s="3" t="s">
        <v>559</v>
      </c>
      <c r="C16126" s="16" t="n">
        <f aca="false">SUMPRODUCT(($C$16101:$C$16110=C16104)*$C$16090:$C$16099)</f>
        <v>2002.17828623828</v>
      </c>
    </row>
    <row r="16127" customFormat="false" ht="15" hidden="false" customHeight="false" outlineLevel="0" collapsed="false">
      <c r="A16127" s="3" t="s">
        <v>560</v>
      </c>
      <c r="C16127" s="16" t="n">
        <f aca="false">SUMPRODUCT(($C$16101:$C$16110=C16105)*$C$16090:$C$16099)</f>
        <v>2002.17828623828</v>
      </c>
    </row>
    <row r="16128" customFormat="false" ht="15" hidden="false" customHeight="false" outlineLevel="0" collapsed="false">
      <c r="A16128" s="3" t="s">
        <v>561</v>
      </c>
      <c r="C16128" s="16" t="n">
        <f aca="false">SUMPRODUCT(($C$16101:$C$16110=C16106)*$C$16090:$C$16099)</f>
        <v>2002.17828623828</v>
      </c>
    </row>
    <row r="16129" customFormat="false" ht="15" hidden="false" customHeight="false" outlineLevel="0" collapsed="false">
      <c r="A16129" s="3" t="s">
        <v>562</v>
      </c>
      <c r="C16129" s="16" t="n">
        <f aca="false">SUMPRODUCT(($C$16101:$C$16110=C16107)*$C$16090:$C$16099)</f>
        <v>2002.17828623828</v>
      </c>
    </row>
    <row r="16130" customFormat="false" ht="15" hidden="false" customHeight="false" outlineLevel="0" collapsed="false">
      <c r="A16130" s="3" t="s">
        <v>563</v>
      </c>
      <c r="C16130" s="16" t="n">
        <f aca="false">SUMPRODUCT(($C$16101:$C$16110=C16108)*$C$16090:$C$16099)</f>
        <v>2002.17828623828</v>
      </c>
    </row>
    <row r="16131" customFormat="false" ht="15" hidden="false" customHeight="false" outlineLevel="0" collapsed="false">
      <c r="A16131" s="3" t="s">
        <v>564</v>
      </c>
      <c r="C16131" s="16" t="n">
        <f aca="false">SUMPRODUCT(($C$16101:$C$16110=C16109)*$C$16090:$C$16099)</f>
        <v>2002.17828623828</v>
      </c>
    </row>
    <row r="16132" customFormat="false" ht="15" hidden="false" customHeight="false" outlineLevel="0" collapsed="false">
      <c r="A16132" s="3" t="s">
        <v>565</v>
      </c>
      <c r="C16132" s="16" t="n">
        <f aca="false">SUMPRODUCT(($C$16101:$C$16110=C16110)*$C$16090:$C$16099)</f>
        <v>79.938509</v>
      </c>
    </row>
    <row r="16133" customFormat="false" ht="15" hidden="false" customHeight="false" outlineLevel="0" collapsed="false">
      <c r="A16133" s="24" t="s">
        <v>574</v>
      </c>
      <c r="B16133" s="25"/>
      <c r="C16133" s="25"/>
      <c r="D16133" s="25"/>
      <c r="E16133" s="25"/>
      <c r="F16133" s="25"/>
      <c r="G16133" s="25"/>
      <c r="H16133" s="25"/>
      <c r="I16133" s="25"/>
      <c r="J16133" s="25"/>
      <c r="K16133" s="25"/>
    </row>
    <row r="16134" customFormat="false" ht="15" hidden="false" customHeight="false" outlineLevel="0" collapsed="false">
      <c r="A16134" s="3" t="s">
        <v>556</v>
      </c>
      <c r="C16134" s="16" t="n">
        <f aca="false">IF(C16123=0,0,C16090/C16123*MAX(0,MIN(C16123,$C$16033-SUM($C$16068:$C$16077)-C16112)))</f>
        <v>0</v>
      </c>
    </row>
    <row r="16135" customFormat="false" ht="15" hidden="false" customHeight="false" outlineLevel="0" collapsed="false">
      <c r="A16135" s="3" t="s">
        <v>557</v>
      </c>
      <c r="C16135" s="16" t="n">
        <f aca="false">IF(C16124=0,0,C16091/C16124*MAX(0,MIN(C16124,$C$16033-SUM($C$16068:$C$16077)-C16113)))</f>
        <v>0</v>
      </c>
    </row>
    <row r="16136" customFormat="false" ht="15" hidden="false" customHeight="false" outlineLevel="0" collapsed="false">
      <c r="A16136" s="3" t="s">
        <v>558</v>
      </c>
      <c r="C16136" s="16" t="n">
        <f aca="false">IF(C16125=0,0,C16092/C16125*MAX(0,MIN(C16125,$C$16033-SUM($C$16068:$C$16077)-C16114)))</f>
        <v>0</v>
      </c>
    </row>
    <row r="16137" customFormat="false" ht="15" hidden="false" customHeight="false" outlineLevel="0" collapsed="false">
      <c r="A16137" s="3" t="s">
        <v>559</v>
      </c>
      <c r="C16137" s="16" t="n">
        <f aca="false">IF(C16126=0,0,C16093/C16126*MAX(0,MIN(C16126,$C$16033-SUM($C$16068:$C$16077)-C16115)))</f>
        <v>0</v>
      </c>
    </row>
    <row r="16138" customFormat="false" ht="15" hidden="false" customHeight="false" outlineLevel="0" collapsed="false">
      <c r="A16138" s="3" t="s">
        <v>560</v>
      </c>
      <c r="C16138" s="16" t="n">
        <f aca="false">IF(C16127=0,0,C16094/C16127*MAX(0,MIN(C16127,$C$16033-SUM($C$16068:$C$16077)-C16116)))</f>
        <v>424.137661238279</v>
      </c>
    </row>
    <row r="16139" customFormat="false" ht="15" hidden="false" customHeight="false" outlineLevel="0" collapsed="false">
      <c r="A16139" s="3" t="s">
        <v>561</v>
      </c>
      <c r="C16139" s="16" t="n">
        <f aca="false">IF(C16128=0,0,C16095/C16128*MAX(0,MIN(C16128,$C$16033-SUM($C$16068:$C$16077)-C16117)))</f>
        <v>357.2625</v>
      </c>
    </row>
    <row r="16140" customFormat="false" ht="15" hidden="false" customHeight="false" outlineLevel="0" collapsed="false">
      <c r="A16140" s="3" t="s">
        <v>562</v>
      </c>
      <c r="C16140" s="16" t="n">
        <f aca="false">IF(C16129=0,0,C16096/C16129*MAX(0,MIN(C16129,$C$16033-SUM($C$16068:$C$16077)-C16118)))</f>
        <v>562.203125</v>
      </c>
    </row>
    <row r="16141" customFormat="false" ht="15" hidden="false" customHeight="false" outlineLevel="0" collapsed="false">
      <c r="A16141" s="3" t="s">
        <v>563</v>
      </c>
      <c r="C16141" s="16" t="n">
        <f aca="false">IF(C16130=0,0,C16097/C16130*MAX(0,MIN(C16130,$C$16033-SUM($C$16068:$C$16077)-C16119)))</f>
        <v>353.98125</v>
      </c>
    </row>
    <row r="16142" customFormat="false" ht="15" hidden="false" customHeight="false" outlineLevel="0" collapsed="false">
      <c r="A16142" s="3" t="s">
        <v>564</v>
      </c>
      <c r="C16142" s="16" t="n">
        <f aca="false">IF(C16131=0,0,C16098/C16131*MAX(0,MIN(C16131,$C$16033-SUM($C$16068:$C$16077)-C16120)))</f>
        <v>304.59375</v>
      </c>
    </row>
    <row r="16143" customFormat="false" ht="15" hidden="false" customHeight="false" outlineLevel="0" collapsed="false">
      <c r="A16143" s="3" t="s">
        <v>565</v>
      </c>
      <c r="C16143" s="16" t="n">
        <f aca="false">IF(C16132=0,0,C16099/C16132*MAX(0,MIN(C16132,$C$16033-SUM($C$16068:$C$16077)-C16121)))</f>
        <v>79.938509</v>
      </c>
    </row>
    <row r="16144" customFormat="false" ht="15" hidden="false" customHeight="false" outlineLevel="0" collapsed="false">
      <c r="A16144" s="24" t="s">
        <v>575</v>
      </c>
      <c r="B16144" s="25"/>
      <c r="C16144" s="25"/>
      <c r="D16144" s="25"/>
      <c r="E16144" s="25"/>
      <c r="F16144" s="25"/>
      <c r="G16144" s="25"/>
      <c r="H16144" s="25"/>
      <c r="I16144" s="25"/>
      <c r="J16144" s="25"/>
      <c r="K16144" s="25"/>
    </row>
    <row r="16145" customFormat="false" ht="15" hidden="false" customHeight="false" outlineLevel="0" collapsed="false">
      <c r="A16145" s="2" t="s">
        <v>556</v>
      </c>
      <c r="C16145" s="17" t="n">
        <f aca="false">C16068+C16134</f>
        <v>402.29</v>
      </c>
    </row>
    <row r="16146" customFormat="false" ht="15" hidden="false" customHeight="false" outlineLevel="0" collapsed="false">
      <c r="A16146" s="2" t="s">
        <v>557</v>
      </c>
      <c r="C16146" s="17" t="n">
        <f aca="false">C16069+C16135</f>
        <v>91.30725</v>
      </c>
    </row>
    <row r="16147" customFormat="false" ht="15" hidden="false" customHeight="false" outlineLevel="0" collapsed="false">
      <c r="A16147" s="2" t="s">
        <v>558</v>
      </c>
      <c r="C16147" s="17" t="n">
        <f aca="false">C16070+C16136</f>
        <v>58.3715961</v>
      </c>
    </row>
    <row r="16148" customFormat="false" ht="15" hidden="false" customHeight="false" outlineLevel="0" collapsed="false">
      <c r="A16148" s="2" t="s">
        <v>559</v>
      </c>
      <c r="C16148" s="17" t="n">
        <f aca="false">C16071+C16137</f>
        <v>0</v>
      </c>
    </row>
    <row r="16149" customFormat="false" ht="15" hidden="false" customHeight="false" outlineLevel="0" collapsed="false">
      <c r="A16149" s="2" t="s">
        <v>560</v>
      </c>
      <c r="C16149" s="17" t="n">
        <f aca="false">C16072+C16138</f>
        <v>424.137661238279</v>
      </c>
    </row>
    <row r="16150" customFormat="false" ht="15" hidden="false" customHeight="false" outlineLevel="0" collapsed="false">
      <c r="A16150" s="2" t="s">
        <v>561</v>
      </c>
      <c r="C16150" s="17" t="n">
        <f aca="false">C16073+C16139</f>
        <v>357.2625</v>
      </c>
    </row>
    <row r="16151" customFormat="false" ht="15" hidden="false" customHeight="false" outlineLevel="0" collapsed="false">
      <c r="A16151" s="2" t="s">
        <v>562</v>
      </c>
      <c r="C16151" s="17" t="n">
        <f aca="false">C16074+C16140</f>
        <v>562.203125</v>
      </c>
    </row>
    <row r="16152" customFormat="false" ht="15" hidden="false" customHeight="false" outlineLevel="0" collapsed="false">
      <c r="A16152" s="2" t="s">
        <v>563</v>
      </c>
      <c r="C16152" s="17" t="n">
        <f aca="false">C16075+C16141</f>
        <v>353.98125</v>
      </c>
    </row>
    <row r="16153" customFormat="false" ht="15" hidden="false" customHeight="false" outlineLevel="0" collapsed="false">
      <c r="A16153" s="2" t="s">
        <v>564</v>
      </c>
      <c r="C16153" s="17" t="n">
        <f aca="false">C16076+C16142</f>
        <v>304.59375</v>
      </c>
    </row>
    <row r="16154" customFormat="false" ht="15" hidden="false" customHeight="false" outlineLevel="0" collapsed="false">
      <c r="A16154" s="2" t="s">
        <v>565</v>
      </c>
      <c r="C16154" s="17" t="n">
        <f aca="false">C16077+C16143</f>
        <v>79.938509</v>
      </c>
    </row>
    <row r="16155" customFormat="false" ht="15" hidden="false" customHeight="false" outlineLevel="0" collapsed="false">
      <c r="A16155" s="24" t="s">
        <v>576</v>
      </c>
      <c r="B16155" s="25"/>
      <c r="C16155" s="25"/>
      <c r="D16155" s="25"/>
      <c r="E16155" s="25"/>
      <c r="F16155" s="25"/>
      <c r="G16155" s="25"/>
      <c r="H16155" s="25"/>
      <c r="I16155" s="25"/>
      <c r="J16155" s="25"/>
      <c r="K16155" s="25"/>
    </row>
    <row r="16156" customFormat="false" ht="15" hidden="false" customHeight="false" outlineLevel="0" collapsed="false">
      <c r="A16156" s="3" t="s">
        <v>556</v>
      </c>
      <c r="C16156" s="22" t="n">
        <f aca="false">IF(C16035=0,1,C16145/C16035)</f>
        <v>1</v>
      </c>
    </row>
    <row r="16157" customFormat="false" ht="15" hidden="false" customHeight="false" outlineLevel="0" collapsed="false">
      <c r="A16157" s="3" t="s">
        <v>557</v>
      </c>
      <c r="C16157" s="22" t="n">
        <f aca="false">IF(C16036=0,1,C16146/C16036)</f>
        <v>1</v>
      </c>
    </row>
    <row r="16158" customFormat="false" ht="15" hidden="false" customHeight="false" outlineLevel="0" collapsed="false">
      <c r="A16158" s="3" t="s">
        <v>558</v>
      </c>
      <c r="C16158" s="22" t="n">
        <f aca="false">IF(C16037=0,1,C16147/C16037)</f>
        <v>1</v>
      </c>
    </row>
    <row r="16159" customFormat="false" ht="15" hidden="false" customHeight="false" outlineLevel="0" collapsed="false">
      <c r="A16159" s="3" t="s">
        <v>559</v>
      </c>
      <c r="C16159" s="22" t="n">
        <f aca="false">IF(C16038=0,1,C16148/C16038)</f>
        <v>1</v>
      </c>
    </row>
    <row r="16160" customFormat="false" ht="15" hidden="false" customHeight="false" outlineLevel="0" collapsed="false">
      <c r="A16160" s="3" t="s">
        <v>560</v>
      </c>
      <c r="C16160" s="22" t="n">
        <f aca="false">IF(C16039=0,1,C16149/C16039)</f>
        <v>1</v>
      </c>
    </row>
    <row r="16161" customFormat="false" ht="15" hidden="false" customHeight="false" outlineLevel="0" collapsed="false">
      <c r="A16161" s="3" t="s">
        <v>561</v>
      </c>
      <c r="C16161" s="22" t="n">
        <f aca="false">IF(C16040=0,1,C16150/C16040)</f>
        <v>1</v>
      </c>
    </row>
    <row r="16162" customFormat="false" ht="15" hidden="false" customHeight="false" outlineLevel="0" collapsed="false">
      <c r="A16162" s="3" t="s">
        <v>562</v>
      </c>
      <c r="C16162" s="22" t="n">
        <f aca="false">IF(C16041=0,1,C16151/C16041)</f>
        <v>1</v>
      </c>
    </row>
    <row r="16163" customFormat="false" ht="15" hidden="false" customHeight="false" outlineLevel="0" collapsed="false">
      <c r="A16163" s="3" t="s">
        <v>563</v>
      </c>
      <c r="C16163" s="22" t="n">
        <f aca="false">IF(C16042=0,1,C16152/C16042)</f>
        <v>1</v>
      </c>
    </row>
    <row r="16164" customFormat="false" ht="15" hidden="false" customHeight="false" outlineLevel="0" collapsed="false">
      <c r="A16164" s="3" t="s">
        <v>564</v>
      </c>
      <c r="C16164" s="22" t="n">
        <f aca="false">IF(C16043=0,1,C16153/C16043)</f>
        <v>1</v>
      </c>
    </row>
    <row r="16165" customFormat="false" ht="15" hidden="false" customHeight="false" outlineLevel="0" collapsed="false">
      <c r="A16165" s="3" t="s">
        <v>565</v>
      </c>
      <c r="C16165" s="22" t="n">
        <f aca="false">IF(C16044=0,1,C16154/C16044)</f>
        <v>1</v>
      </c>
    </row>
    <row r="16166" customFormat="false" ht="15" hidden="false" customHeight="false" outlineLevel="0" collapsed="false">
      <c r="A16166" s="24" t="s">
        <v>577</v>
      </c>
      <c r="B16166" s="25"/>
      <c r="C16166" s="25"/>
      <c r="D16166" s="25"/>
      <c r="E16166" s="25"/>
      <c r="F16166" s="25"/>
      <c r="G16166" s="25"/>
      <c r="H16166" s="25"/>
      <c r="I16166" s="25"/>
      <c r="J16166" s="25"/>
      <c r="K16166" s="25"/>
    </row>
    <row r="16167" customFormat="false" ht="15" hidden="false" customHeight="false" outlineLevel="0" collapsed="false">
      <c r="A16167" s="3" t="s">
        <v>556</v>
      </c>
      <c r="C16167" s="16" t="n">
        <f aca="false">C16035-C16145</f>
        <v>0</v>
      </c>
    </row>
    <row r="16168" customFormat="false" ht="15" hidden="false" customHeight="false" outlineLevel="0" collapsed="false">
      <c r="A16168" s="3" t="s">
        <v>557</v>
      </c>
      <c r="C16168" s="16" t="n">
        <f aca="false">C16036-C16146</f>
        <v>0</v>
      </c>
    </row>
    <row r="16169" customFormat="false" ht="15" hidden="false" customHeight="false" outlineLevel="0" collapsed="false">
      <c r="A16169" s="3" t="s">
        <v>558</v>
      </c>
      <c r="C16169" s="16" t="n">
        <f aca="false">C16037-C16147</f>
        <v>0</v>
      </c>
    </row>
    <row r="16170" customFormat="false" ht="15" hidden="false" customHeight="false" outlineLevel="0" collapsed="false">
      <c r="A16170" s="3" t="s">
        <v>559</v>
      </c>
      <c r="C16170" s="16" t="n">
        <f aca="false">C16038-C16148</f>
        <v>0</v>
      </c>
    </row>
    <row r="16171" customFormat="false" ht="15" hidden="false" customHeight="false" outlineLevel="0" collapsed="false">
      <c r="A16171" s="3" t="s">
        <v>560</v>
      </c>
      <c r="C16171" s="16" t="n">
        <f aca="false">C16039-C16149</f>
        <v>0</v>
      </c>
    </row>
    <row r="16172" customFormat="false" ht="15" hidden="false" customHeight="false" outlineLevel="0" collapsed="false">
      <c r="A16172" s="3" t="s">
        <v>561</v>
      </c>
      <c r="C16172" s="16" t="n">
        <f aca="false">C16040-C16150</f>
        <v>0</v>
      </c>
    </row>
    <row r="16173" customFormat="false" ht="15" hidden="false" customHeight="false" outlineLevel="0" collapsed="false">
      <c r="A16173" s="3" t="s">
        <v>562</v>
      </c>
      <c r="C16173" s="16" t="n">
        <f aca="false">C16041-C16151</f>
        <v>0</v>
      </c>
    </row>
    <row r="16174" customFormat="false" ht="15" hidden="false" customHeight="false" outlineLevel="0" collapsed="false">
      <c r="A16174" s="3" t="s">
        <v>563</v>
      </c>
      <c r="C16174" s="16" t="n">
        <f aca="false">C16042-C16152</f>
        <v>0</v>
      </c>
    </row>
    <row r="16175" customFormat="false" ht="15" hidden="false" customHeight="false" outlineLevel="0" collapsed="false">
      <c r="A16175" s="3" t="s">
        <v>564</v>
      </c>
      <c r="C16175" s="16" t="n">
        <f aca="false">C16043-C16153</f>
        <v>0</v>
      </c>
    </row>
    <row r="16176" customFormat="false" ht="15" hidden="false" customHeight="false" outlineLevel="0" collapsed="false">
      <c r="A16176" s="3" t="s">
        <v>565</v>
      </c>
      <c r="C16176" s="16" t="n">
        <f aca="false">C16044-C16154</f>
        <v>0</v>
      </c>
    </row>
    <row r="16177" customFormat="false" ht="15" hidden="false" customHeight="false" outlineLevel="0" collapsed="false">
      <c r="A16177" s="24" t="s">
        <v>578</v>
      </c>
      <c r="B16177" s="25"/>
      <c r="C16177" s="25"/>
      <c r="D16177" s="25"/>
      <c r="E16177" s="25"/>
      <c r="F16177" s="25"/>
      <c r="G16177" s="25"/>
      <c r="H16177" s="25"/>
      <c r="I16177" s="25"/>
      <c r="J16177" s="25"/>
      <c r="K16177" s="25"/>
    </row>
    <row r="16178" customFormat="false" ht="15" hidden="false" customHeight="false" outlineLevel="0" collapsed="false">
      <c r="A16178" s="3" t="s">
        <v>556</v>
      </c>
      <c r="C16178" s="22" t="n">
        <f aca="false">IF(C16035=0,0,C16167/C16035)</f>
        <v>0</v>
      </c>
    </row>
    <row r="16179" customFormat="false" ht="15" hidden="false" customHeight="false" outlineLevel="0" collapsed="false">
      <c r="A16179" s="3" t="s">
        <v>557</v>
      </c>
      <c r="C16179" s="22" t="n">
        <f aca="false">IF(C16036=0,0,C16168/C16036)</f>
        <v>0</v>
      </c>
    </row>
    <row r="16180" customFormat="false" ht="15" hidden="false" customHeight="false" outlineLevel="0" collapsed="false">
      <c r="A16180" s="3" t="s">
        <v>558</v>
      </c>
      <c r="C16180" s="22" t="n">
        <f aca="false">IF(C16037=0,0,C16169/C16037)</f>
        <v>0</v>
      </c>
    </row>
    <row r="16181" customFormat="false" ht="15" hidden="false" customHeight="false" outlineLevel="0" collapsed="false">
      <c r="A16181" s="3" t="s">
        <v>559</v>
      </c>
      <c r="C16181" s="22" t="n">
        <f aca="false">IF(C16038=0,0,C16170/C16038)</f>
        <v>0</v>
      </c>
    </row>
    <row r="16182" customFormat="false" ht="15" hidden="false" customHeight="false" outlineLevel="0" collapsed="false">
      <c r="A16182" s="3" t="s">
        <v>560</v>
      </c>
      <c r="C16182" s="22" t="n">
        <f aca="false">IF(C16039=0,0,C16171/C16039)</f>
        <v>0</v>
      </c>
    </row>
    <row r="16183" customFormat="false" ht="15" hidden="false" customHeight="false" outlineLevel="0" collapsed="false">
      <c r="A16183" s="3" t="s">
        <v>561</v>
      </c>
      <c r="C16183" s="22" t="n">
        <f aca="false">IF(C16040=0,0,C16172/C16040)</f>
        <v>0</v>
      </c>
    </row>
    <row r="16184" customFormat="false" ht="15" hidden="false" customHeight="false" outlineLevel="0" collapsed="false">
      <c r="A16184" s="3" t="s">
        <v>562</v>
      </c>
      <c r="C16184" s="22" t="n">
        <f aca="false">IF(C16041=0,0,C16173/C16041)</f>
        <v>0</v>
      </c>
    </row>
    <row r="16185" customFormat="false" ht="15" hidden="false" customHeight="false" outlineLevel="0" collapsed="false">
      <c r="A16185" s="3" t="s">
        <v>563</v>
      </c>
      <c r="C16185" s="22" t="n">
        <f aca="false">IF(C16042=0,0,C16174/C16042)</f>
        <v>0</v>
      </c>
    </row>
    <row r="16186" customFormat="false" ht="15" hidden="false" customHeight="false" outlineLevel="0" collapsed="false">
      <c r="A16186" s="3" t="s">
        <v>564</v>
      </c>
      <c r="C16186" s="22" t="n">
        <f aca="false">IF(C16043=0,0,C16175/C16043)</f>
        <v>0</v>
      </c>
    </row>
    <row r="16187" customFormat="false" ht="15" hidden="false" customHeight="false" outlineLevel="0" collapsed="false">
      <c r="A16187" s="3" t="s">
        <v>565</v>
      </c>
      <c r="C16187" s="22" t="n">
        <f aca="false">IF(C16044=0,0,C16176/C16044)</f>
        <v>0</v>
      </c>
    </row>
    <row r="16188" customFormat="false" ht="15" hidden="false" customHeight="false" outlineLevel="0" collapsed="false">
      <c r="A16188" s="2" t="s">
        <v>579</v>
      </c>
      <c r="C16188" s="17" t="n">
        <f aca="false">MAX(0,$C$16033-SUM($C$16068:$C$16077)-SUM($C$16090:$C$16099))</f>
        <v>499.391541061721</v>
      </c>
    </row>
    <row r="16189" customFormat="false" ht="15" hidden="false" customHeight="false" outlineLevel="0" collapsed="false">
      <c r="A16189" s="3" t="s">
        <v>580</v>
      </c>
      <c r="C16189" s="16" t="n">
        <f aca="false">SUM($C$16145:$C$16154)+C16188+C16032-C16031</f>
        <v>0</v>
      </c>
    </row>
    <row r="16191" customFormat="false" ht="15" hidden="false" customHeight="false" outlineLevel="0" collapsed="false">
      <c r="A16191" s="24" t="s">
        <v>583</v>
      </c>
      <c r="B16191" s="25"/>
      <c r="C16191" s="25"/>
      <c r="D16191" s="25"/>
      <c r="E16191" s="25"/>
      <c r="F16191" s="25"/>
      <c r="G16191" s="25"/>
      <c r="H16191" s="25"/>
      <c r="I16191" s="25"/>
      <c r="J16191" s="25"/>
      <c r="K16191" s="25"/>
    </row>
    <row r="16192" customFormat="false" ht="15" hidden="false" customHeight="false" outlineLevel="0" collapsed="false">
      <c r="A16192" s="3" t="s">
        <v>584</v>
      </c>
      <c r="C16192" s="27" t="n">
        <f aca="false">Assumptions!$C$34</f>
        <v>1</v>
      </c>
    </row>
    <row r="16193" customFormat="false" ht="15" hidden="false" customHeight="false" outlineLevel="0" collapsed="false">
      <c r="A16193" s="3" t="s">
        <v>585</v>
      </c>
      <c r="C16193" s="29" t="n">
        <f aca="false">Assumptions!$C$35</f>
        <v>100</v>
      </c>
    </row>
    <row r="16194" customFormat="false" ht="15" hidden="false" customHeight="false" outlineLevel="0" collapsed="false">
      <c r="A16194" s="3" t="s">
        <v>586</v>
      </c>
      <c r="C16194" s="40" t="n">
        <f aca="false">Assumptions!$C$36</f>
        <v>98</v>
      </c>
    </row>
    <row r="16195" customFormat="false" ht="15" hidden="false" customHeight="false" outlineLevel="0" collapsed="false">
      <c r="A16195" s="3" t="s">
        <v>587</v>
      </c>
      <c r="C16195" s="16" t="n">
        <f aca="false">C16193*C16194/100*(1+Assumptions!$C$37)</f>
        <v>98.49</v>
      </c>
    </row>
    <row r="16196" customFormat="false" ht="15" hidden="false" customHeight="false" outlineLevel="0" collapsed="false">
      <c r="A16196" s="3" t="s">
        <v>588</v>
      </c>
      <c r="C16196" s="27" t="n">
        <f aca="false">Assumptions!$C$38</f>
        <v>3</v>
      </c>
    </row>
    <row r="16197" customFormat="false" ht="15" hidden="false" customHeight="false" outlineLevel="0" collapsed="false">
      <c r="A16197" s="3" t="s">
        <v>589</v>
      </c>
      <c r="C16197" s="21" t="n">
        <f aca="false">IF(C16024=1,SUMPRODUCT($G$15960:$K$15960,$G$15734:$K$15734),0)</f>
        <v>2</v>
      </c>
    </row>
    <row r="16198" customFormat="false" ht="15" hidden="false" customHeight="false" outlineLevel="0" collapsed="false">
      <c r="A16198" s="3" t="s">
        <v>590</v>
      </c>
      <c r="C16198" s="22" t="n">
        <f aca="false">IFERROR(C16193/CHOOSE(C16192,SUMPRODUCT($G$16023:$K$16023,$G$15780:$K$15780),SUMPRODUCT($G$16023:$K$16023,$G$15793:$K$15793),SUMPRODUCT($G$16023:$K$16023,$G$15806:$K$15806),SUMPRODUCT($G$16023:$K$16023,$G$15819:$K$15819),SUMPRODUCT($G$16023:$K$16023,$G$15832:$K$15832),SUMPRODUCT($G$16023:$K$16023,$G$15845:$K$15845),SUMPRODUCT($G$16023:$K$16023,$G$15858:$K$15858),SUMPRODUCT($G$16023:$K$16023,$G$15871:$K$15871),SUMPRODUCT($G$16023:$K$16023,$G$15884:$K$15884),SUMPRODUCT($G$16023:$K$16023,$G$15897:$K$15897)),0)</f>
        <v>0.255102040816327</v>
      </c>
    </row>
    <row r="16199" customFormat="false" ht="15" hidden="false" customHeight="false" outlineLevel="0" collapsed="false">
      <c r="A16199" s="3" t="s">
        <v>591</v>
      </c>
      <c r="C16199" s="16" t="n">
        <f aca="false">CHOOSE(C16192,C16145,C16146,C16147,C16148,C16149,C16150,C16151,C16152,C16153,C16154)*C16198</f>
        <v>102.625</v>
      </c>
    </row>
    <row r="16200" customFormat="false" ht="15" hidden="false" customHeight="false" outlineLevel="0" collapsed="false">
      <c r="A16200" s="3" t="s">
        <v>592</v>
      </c>
      <c r="C16200" s="22" t="n">
        <f aca="false">CHOOSE(C16192,C16156,C16157,C16158,C16159,C16160,C16161,C16162,C16163,C16164,C16165)</f>
        <v>1</v>
      </c>
    </row>
    <row r="16201" customFormat="false" ht="15" hidden="false" customHeight="false" outlineLevel="0" collapsed="false">
      <c r="A16201" s="3" t="s">
        <v>593</v>
      </c>
      <c r="C16201" s="21" t="n">
        <f aca="false">IF(C16024=1,C16197,C16196)</f>
        <v>2</v>
      </c>
    </row>
    <row r="16202" customFormat="false" ht="15" hidden="false" customHeight="false" outlineLevel="0" collapsed="false">
      <c r="A16202" s="3" t="s">
        <v>594</v>
      </c>
      <c r="C16202" s="35" t="n">
        <f aca="false">CHOOSE($C$15726,Assumptions!$C$91,Assumptions!$C$110,Assumptions!$C$129)</f>
        <v>95</v>
      </c>
    </row>
    <row r="16203" customFormat="false" ht="15" hidden="false" customHeight="false" outlineLevel="0" collapsed="false">
      <c r="A16203" s="3" t="s">
        <v>595</v>
      </c>
      <c r="C16203" s="16" t="n">
        <f aca="false">INDEX($G$15743:$K$15743,C16196)*CHOOSE($C$15726,Assumptions!$C$90,Assumptions!$C$109,Assumptions!$C$128)+MAX(0,INDEX($G$15957:$K$15957,C16196))</f>
        <v>2067.8493997821</v>
      </c>
    </row>
    <row r="16204" customFormat="false" ht="15" hidden="false" customHeight="false" outlineLevel="0" collapsed="false">
      <c r="A16204" s="24" t="s">
        <v>596</v>
      </c>
      <c r="B16204" s="25"/>
      <c r="C16204" s="25"/>
      <c r="D16204" s="25"/>
      <c r="E16204" s="25"/>
      <c r="F16204" s="25"/>
      <c r="G16204" s="25"/>
      <c r="H16204" s="25"/>
      <c r="I16204" s="25"/>
      <c r="J16204" s="25"/>
      <c r="K16204" s="25"/>
    </row>
    <row r="16205" customFormat="false" ht="15" hidden="false" customHeight="false" outlineLevel="0" collapsed="false">
      <c r="A16205" s="3" t="s">
        <v>556</v>
      </c>
      <c r="C16205" s="16" t="n">
        <f aca="false">INDEX($G$15780:$K$15780,C16196)</f>
        <v>388</v>
      </c>
    </row>
    <row r="16206" customFormat="false" ht="15" hidden="false" customHeight="false" outlineLevel="0" collapsed="false">
      <c r="A16206" s="3" t="s">
        <v>557</v>
      </c>
      <c r="C16206" s="16" t="n">
        <f aca="false">INDEX($G$15793:$K$15793,C16196)</f>
        <v>90</v>
      </c>
    </row>
    <row r="16207" customFormat="false" ht="15" hidden="false" customHeight="false" outlineLevel="0" collapsed="false">
      <c r="A16207" s="3" t="s">
        <v>558</v>
      </c>
      <c r="C16207" s="16" t="n">
        <f aca="false">INDEX($G$15806:$K$15806,C16196)</f>
        <v>57.324</v>
      </c>
    </row>
    <row r="16208" customFormat="false" ht="15" hidden="false" customHeight="false" outlineLevel="0" collapsed="false">
      <c r="A16208" s="3" t="s">
        <v>559</v>
      </c>
      <c r="C16208" s="16" t="n">
        <f aca="false">INDEX($G$15819:$K$15819,C16196)</f>
        <v>0</v>
      </c>
    </row>
    <row r="16209" customFormat="false" ht="15" hidden="false" customHeight="false" outlineLevel="0" collapsed="false">
      <c r="A16209" s="3" t="s">
        <v>560</v>
      </c>
      <c r="C16209" s="16" t="n">
        <f aca="false">INDEX($G$15832:$K$15832,C16196)</f>
        <v>419.990257446</v>
      </c>
    </row>
    <row r="16210" customFormat="false" ht="15" hidden="false" customHeight="false" outlineLevel="0" collapsed="false">
      <c r="A16210" s="3" t="s">
        <v>561</v>
      </c>
      <c r="C16210" s="16" t="n">
        <f aca="false">INDEX($G$15845:$K$15845,C16196)</f>
        <v>350</v>
      </c>
    </row>
    <row r="16211" customFormat="false" ht="15" hidden="false" customHeight="false" outlineLevel="0" collapsed="false">
      <c r="A16211" s="3" t="s">
        <v>562</v>
      </c>
      <c r="C16211" s="16" t="n">
        <f aca="false">INDEX($G$15858:$K$15858,C16196)</f>
        <v>550</v>
      </c>
    </row>
    <row r="16212" customFormat="false" ht="15" hidden="false" customHeight="false" outlineLevel="0" collapsed="false">
      <c r="A16212" s="3" t="s">
        <v>563</v>
      </c>
      <c r="C16212" s="16" t="n">
        <f aca="false">INDEX($G$15871:$K$15871,C16196)</f>
        <v>350</v>
      </c>
    </row>
    <row r="16213" customFormat="false" ht="15" hidden="false" customHeight="false" outlineLevel="0" collapsed="false">
      <c r="A16213" s="3" t="s">
        <v>564</v>
      </c>
      <c r="C16213" s="16" t="n">
        <f aca="false">INDEX($G$15884:$K$15884,C16196)</f>
        <v>300</v>
      </c>
    </row>
    <row r="16214" customFormat="false" ht="15" hidden="false" customHeight="false" outlineLevel="0" collapsed="false">
      <c r="A16214" s="3" t="s">
        <v>565</v>
      </c>
      <c r="C16214" s="16" t="n">
        <f aca="false">INDEX($G$15897:$K$15897,C16196)</f>
        <v>78.61</v>
      </c>
    </row>
    <row r="16215" customFormat="false" ht="15" hidden="false" customHeight="false" outlineLevel="0" collapsed="false">
      <c r="A16215" s="24" t="s">
        <v>566</v>
      </c>
      <c r="B16215" s="25"/>
      <c r="C16215" s="25"/>
      <c r="D16215" s="25"/>
      <c r="E16215" s="25"/>
      <c r="F16215" s="25"/>
      <c r="G16215" s="25"/>
      <c r="H16215" s="25"/>
      <c r="I16215" s="25"/>
      <c r="J16215" s="25"/>
      <c r="K16215" s="25"/>
    </row>
    <row r="16216" customFormat="false" ht="15" hidden="false" customHeight="false" outlineLevel="0" collapsed="false">
      <c r="A16216" s="3" t="s">
        <v>556</v>
      </c>
      <c r="C16216" s="27" t="n">
        <f aca="false">Assumptions!$M$57</f>
        <v>1</v>
      </c>
    </row>
    <row r="16217" customFormat="false" ht="15" hidden="false" customHeight="false" outlineLevel="0" collapsed="false">
      <c r="A16217" s="3" t="s">
        <v>557</v>
      </c>
      <c r="C16217" s="27" t="n">
        <f aca="false">Assumptions!$M$58</f>
        <v>1</v>
      </c>
    </row>
    <row r="16218" customFormat="false" ht="15" hidden="false" customHeight="false" outlineLevel="0" collapsed="false">
      <c r="A16218" s="3" t="s">
        <v>558</v>
      </c>
      <c r="C16218" s="27" t="n">
        <f aca="false">Assumptions!$M$59</f>
        <v>1</v>
      </c>
    </row>
    <row r="16219" customFormat="false" ht="15" hidden="false" customHeight="false" outlineLevel="0" collapsed="false">
      <c r="A16219" s="3" t="s">
        <v>559</v>
      </c>
      <c r="C16219" s="27" t="n">
        <f aca="false">Assumptions!$M$60</f>
        <v>2</v>
      </c>
    </row>
    <row r="16220" customFormat="false" ht="15" hidden="false" customHeight="false" outlineLevel="0" collapsed="false">
      <c r="A16220" s="3" t="s">
        <v>560</v>
      </c>
      <c r="C16220" s="27" t="n">
        <f aca="false">Assumptions!$M$61</f>
        <v>2</v>
      </c>
    </row>
    <row r="16221" customFormat="false" ht="15" hidden="false" customHeight="false" outlineLevel="0" collapsed="false">
      <c r="A16221" s="3" t="s">
        <v>561</v>
      </c>
      <c r="C16221" s="27" t="n">
        <f aca="false">Assumptions!$M$62</f>
        <v>2</v>
      </c>
    </row>
    <row r="16222" customFormat="false" ht="15" hidden="false" customHeight="false" outlineLevel="0" collapsed="false">
      <c r="A16222" s="3" t="s">
        <v>562</v>
      </c>
      <c r="C16222" s="27" t="n">
        <f aca="false">Assumptions!$M$63</f>
        <v>2</v>
      </c>
    </row>
    <row r="16223" customFormat="false" ht="15" hidden="false" customHeight="false" outlineLevel="0" collapsed="false">
      <c r="A16223" s="3" t="s">
        <v>563</v>
      </c>
      <c r="C16223" s="27" t="n">
        <f aca="false">Assumptions!$M$64</f>
        <v>2</v>
      </c>
    </row>
    <row r="16224" customFormat="false" ht="15" hidden="false" customHeight="false" outlineLevel="0" collapsed="false">
      <c r="A16224" s="3" t="s">
        <v>564</v>
      </c>
      <c r="C16224" s="27" t="n">
        <f aca="false">Assumptions!$M$65</f>
        <v>2</v>
      </c>
    </row>
    <row r="16225" customFormat="false" ht="15" hidden="false" customHeight="false" outlineLevel="0" collapsed="false">
      <c r="A16225" s="3" t="s">
        <v>565</v>
      </c>
      <c r="C16225" s="27" t="n">
        <f aca="false">Assumptions!$M$66</f>
        <v>3</v>
      </c>
    </row>
    <row r="16226" customFormat="false" ht="15" hidden="false" customHeight="false" outlineLevel="0" collapsed="false">
      <c r="A16226" s="24" t="s">
        <v>567</v>
      </c>
      <c r="B16226" s="25"/>
      <c r="C16226" s="25"/>
      <c r="D16226" s="25"/>
      <c r="E16226" s="25"/>
      <c r="F16226" s="25"/>
      <c r="G16226" s="25"/>
      <c r="H16226" s="25"/>
      <c r="I16226" s="25"/>
      <c r="J16226" s="25"/>
      <c r="K16226" s="25"/>
    </row>
    <row r="16227" customFormat="false" ht="15" hidden="false" customHeight="false" outlineLevel="0" collapsed="false">
      <c r="A16227" s="3" t="s">
        <v>556</v>
      </c>
      <c r="C16227" s="33" t="n">
        <f aca="false">Assumptions!$Q$57</f>
        <v>0.3</v>
      </c>
    </row>
    <row r="16228" customFormat="false" ht="15" hidden="false" customHeight="false" outlineLevel="0" collapsed="false">
      <c r="A16228" s="3" t="s">
        <v>557</v>
      </c>
      <c r="C16228" s="33" t="n">
        <f aca="false">Assumptions!$Q$58</f>
        <v>0.033</v>
      </c>
    </row>
    <row r="16229" customFormat="false" ht="15" hidden="false" customHeight="false" outlineLevel="0" collapsed="false">
      <c r="A16229" s="3" t="s">
        <v>558</v>
      </c>
      <c r="C16229" s="33" t="n">
        <f aca="false">Assumptions!$Q$59</f>
        <v>0.021</v>
      </c>
    </row>
    <row r="16230" customFormat="false" ht="15" hidden="false" customHeight="false" outlineLevel="0" collapsed="false">
      <c r="A16230" s="3" t="s">
        <v>559</v>
      </c>
      <c r="C16230" s="33" t="n">
        <f aca="false">Assumptions!$Q$60</f>
        <v>0</v>
      </c>
    </row>
    <row r="16231" customFormat="false" ht="15" hidden="false" customHeight="false" outlineLevel="0" collapsed="false">
      <c r="A16231" s="3" t="s">
        <v>560</v>
      </c>
      <c r="C16231" s="33" t="n">
        <f aca="false">Assumptions!$Q$61</f>
        <v>0</v>
      </c>
    </row>
    <row r="16232" customFormat="false" ht="15" hidden="false" customHeight="false" outlineLevel="0" collapsed="false">
      <c r="A16232" s="3" t="s">
        <v>561</v>
      </c>
      <c r="C16232" s="33" t="n">
        <f aca="false">Assumptions!$Q$62</f>
        <v>0</v>
      </c>
    </row>
    <row r="16233" customFormat="false" ht="15" hidden="false" customHeight="false" outlineLevel="0" collapsed="false">
      <c r="A16233" s="3" t="s">
        <v>562</v>
      </c>
      <c r="C16233" s="33" t="n">
        <f aca="false">Assumptions!$Q$63</f>
        <v>0</v>
      </c>
    </row>
    <row r="16234" customFormat="false" ht="15" hidden="false" customHeight="false" outlineLevel="0" collapsed="false">
      <c r="A16234" s="3" t="s">
        <v>563</v>
      </c>
      <c r="C16234" s="33" t="n">
        <f aca="false">Assumptions!$Q$64</f>
        <v>0</v>
      </c>
    </row>
    <row r="16235" customFormat="false" ht="15" hidden="false" customHeight="false" outlineLevel="0" collapsed="false">
      <c r="A16235" s="3" t="s">
        <v>564</v>
      </c>
      <c r="C16235" s="33" t="n">
        <f aca="false">Assumptions!$Q$65</f>
        <v>0</v>
      </c>
    </row>
    <row r="16236" customFormat="false" ht="15" hidden="false" customHeight="false" outlineLevel="0" collapsed="false">
      <c r="A16236" s="3" t="s">
        <v>565</v>
      </c>
      <c r="C16236" s="33" t="n">
        <f aca="false">Assumptions!$Q$66</f>
        <v>0</v>
      </c>
    </row>
    <row r="16237" customFormat="false" ht="15" hidden="false" customHeight="false" outlineLevel="0" collapsed="false">
      <c r="A16237" s="24" t="s">
        <v>568</v>
      </c>
      <c r="B16237" s="25"/>
      <c r="C16237" s="25"/>
      <c r="D16237" s="25"/>
      <c r="E16237" s="25"/>
      <c r="F16237" s="25"/>
      <c r="G16237" s="25"/>
      <c r="H16237" s="25"/>
      <c r="I16237" s="25"/>
      <c r="J16237" s="25"/>
      <c r="K16237" s="25"/>
    </row>
    <row r="16238" customFormat="false" ht="15" hidden="false" customHeight="false" outlineLevel="0" collapsed="false">
      <c r="A16238" s="3" t="s">
        <v>556</v>
      </c>
      <c r="C16238" s="16" t="n">
        <f aca="false">IF(C16227&gt;0,MIN(C16205,C16227*$C$16203),0)</f>
        <v>388</v>
      </c>
    </row>
    <row r="16239" customFormat="false" ht="15" hidden="false" customHeight="false" outlineLevel="0" collapsed="false">
      <c r="A16239" s="3" t="s">
        <v>557</v>
      </c>
      <c r="C16239" s="16" t="n">
        <f aca="false">IF(C16228&gt;0,MIN(C16206,C16228*$C$16203),0)</f>
        <v>68.2390301928093</v>
      </c>
    </row>
    <row r="16240" customFormat="false" ht="15" hidden="false" customHeight="false" outlineLevel="0" collapsed="false">
      <c r="A16240" s="3" t="s">
        <v>558</v>
      </c>
      <c r="C16240" s="16" t="n">
        <f aca="false">IF(C16229&gt;0,MIN(C16207,C16229*$C$16203),0)</f>
        <v>43.4248373954241</v>
      </c>
    </row>
    <row r="16241" customFormat="false" ht="15" hidden="false" customHeight="false" outlineLevel="0" collapsed="false">
      <c r="A16241" s="3" t="s">
        <v>559</v>
      </c>
      <c r="C16241" s="16" t="n">
        <f aca="false">IF(C16230&gt;0,MIN(C16208,C16230*$C$16203),0)</f>
        <v>0</v>
      </c>
    </row>
    <row r="16242" customFormat="false" ht="15" hidden="false" customHeight="false" outlineLevel="0" collapsed="false">
      <c r="A16242" s="3" t="s">
        <v>560</v>
      </c>
      <c r="C16242" s="16" t="n">
        <f aca="false">IF(C16231&gt;0,MIN(C16209,C16231*$C$16203),0)</f>
        <v>0</v>
      </c>
    </row>
    <row r="16243" customFormat="false" ht="15" hidden="false" customHeight="false" outlineLevel="0" collapsed="false">
      <c r="A16243" s="3" t="s">
        <v>561</v>
      </c>
      <c r="C16243" s="16" t="n">
        <f aca="false">IF(C16232&gt;0,MIN(C16210,C16232*$C$16203),0)</f>
        <v>0</v>
      </c>
    </row>
    <row r="16244" customFormat="false" ht="15" hidden="false" customHeight="false" outlineLevel="0" collapsed="false">
      <c r="A16244" s="3" t="s">
        <v>562</v>
      </c>
      <c r="C16244" s="16" t="n">
        <f aca="false">IF(C16233&gt;0,MIN(C16211,C16233*$C$16203),0)</f>
        <v>0</v>
      </c>
    </row>
    <row r="16245" customFormat="false" ht="15" hidden="false" customHeight="false" outlineLevel="0" collapsed="false">
      <c r="A16245" s="3" t="s">
        <v>563</v>
      </c>
      <c r="C16245" s="16" t="n">
        <f aca="false">IF(C16234&gt;0,MIN(C16212,C16234*$C$16203),0)</f>
        <v>0</v>
      </c>
    </row>
    <row r="16246" customFormat="false" ht="15" hidden="false" customHeight="false" outlineLevel="0" collapsed="false">
      <c r="A16246" s="3" t="s">
        <v>564</v>
      </c>
      <c r="C16246" s="16" t="n">
        <f aca="false">IF(C16235&gt;0,MIN(C16213,C16235*$C$16203),0)</f>
        <v>0</v>
      </c>
    </row>
    <row r="16247" customFormat="false" ht="15" hidden="false" customHeight="false" outlineLevel="0" collapsed="false">
      <c r="A16247" s="3" t="s">
        <v>565</v>
      </c>
      <c r="C16247" s="16" t="n">
        <f aca="false">IF(C16236&gt;0,MIN(C16214,C16236*$C$16203),0)</f>
        <v>0</v>
      </c>
    </row>
    <row r="16248" customFormat="false" ht="15" hidden="false" customHeight="false" outlineLevel="0" collapsed="false">
      <c r="A16248" s="24" t="s">
        <v>569</v>
      </c>
      <c r="B16248" s="25"/>
      <c r="C16248" s="25"/>
      <c r="D16248" s="25"/>
      <c r="E16248" s="25"/>
      <c r="F16248" s="25"/>
      <c r="G16248" s="25"/>
      <c r="H16248" s="25"/>
      <c r="I16248" s="25"/>
      <c r="J16248" s="25"/>
      <c r="K16248" s="25"/>
    </row>
    <row r="16249" customFormat="false" ht="15" hidden="false" customHeight="false" outlineLevel="0" collapsed="false">
      <c r="A16249" s="3" t="s">
        <v>556</v>
      </c>
      <c r="C16249" s="16" t="n">
        <f aca="false">IF(C16227&gt;0,C16205-C16238,0)</f>
        <v>0</v>
      </c>
    </row>
    <row r="16250" customFormat="false" ht="15" hidden="false" customHeight="false" outlineLevel="0" collapsed="false">
      <c r="A16250" s="3" t="s">
        <v>557</v>
      </c>
      <c r="C16250" s="16" t="n">
        <f aca="false">IF(C16228&gt;0,C16206-C16239,0)</f>
        <v>21.7609698071907</v>
      </c>
    </row>
    <row r="16251" customFormat="false" ht="15" hidden="false" customHeight="false" outlineLevel="0" collapsed="false">
      <c r="A16251" s="3" t="s">
        <v>558</v>
      </c>
      <c r="C16251" s="16" t="n">
        <f aca="false">IF(C16229&gt;0,C16207-C16240,0)</f>
        <v>13.8991626045759</v>
      </c>
    </row>
    <row r="16252" customFormat="false" ht="15" hidden="false" customHeight="false" outlineLevel="0" collapsed="false">
      <c r="A16252" s="3" t="s">
        <v>559</v>
      </c>
      <c r="C16252" s="16" t="n">
        <f aca="false">IF(C16230&gt;0,C16208-C16241,0)</f>
        <v>0</v>
      </c>
    </row>
    <row r="16253" customFormat="false" ht="15" hidden="false" customHeight="false" outlineLevel="0" collapsed="false">
      <c r="A16253" s="3" t="s">
        <v>560</v>
      </c>
      <c r="C16253" s="16" t="n">
        <f aca="false">IF(C16231&gt;0,C16209-C16242,0)</f>
        <v>0</v>
      </c>
    </row>
    <row r="16254" customFormat="false" ht="15" hidden="false" customHeight="false" outlineLevel="0" collapsed="false">
      <c r="A16254" s="3" t="s">
        <v>561</v>
      </c>
      <c r="C16254" s="16" t="n">
        <f aca="false">IF(C16232&gt;0,C16210-C16243,0)</f>
        <v>0</v>
      </c>
    </row>
    <row r="16255" customFormat="false" ht="15" hidden="false" customHeight="false" outlineLevel="0" collapsed="false">
      <c r="A16255" s="3" t="s">
        <v>562</v>
      </c>
      <c r="C16255" s="16" t="n">
        <f aca="false">IF(C16233&gt;0,C16211-C16244,0)</f>
        <v>0</v>
      </c>
    </row>
    <row r="16256" customFormat="false" ht="15" hidden="false" customHeight="false" outlineLevel="0" collapsed="false">
      <c r="A16256" s="3" t="s">
        <v>563</v>
      </c>
      <c r="C16256" s="16" t="n">
        <f aca="false">IF(C16234&gt;0,C16212-C16245,0)</f>
        <v>0</v>
      </c>
    </row>
    <row r="16257" customFormat="false" ht="15" hidden="false" customHeight="false" outlineLevel="0" collapsed="false">
      <c r="A16257" s="3" t="s">
        <v>564</v>
      </c>
      <c r="C16257" s="16" t="n">
        <f aca="false">IF(C16235&gt;0,C16213-C16246,0)</f>
        <v>0</v>
      </c>
    </row>
    <row r="16258" customFormat="false" ht="15" hidden="false" customHeight="false" outlineLevel="0" collapsed="false">
      <c r="A16258" s="3" t="s">
        <v>565</v>
      </c>
      <c r="C16258" s="16" t="n">
        <f aca="false">IF(C16236&gt;0,C16214-C16247,0)</f>
        <v>0</v>
      </c>
    </row>
    <row r="16259" customFormat="false" ht="15" hidden="false" customHeight="false" outlineLevel="0" collapsed="false">
      <c r="A16259" s="24" t="s">
        <v>570</v>
      </c>
      <c r="B16259" s="25"/>
      <c r="C16259" s="25"/>
      <c r="D16259" s="25"/>
      <c r="E16259" s="25"/>
      <c r="F16259" s="25"/>
      <c r="G16259" s="25"/>
      <c r="H16259" s="25"/>
      <c r="I16259" s="25"/>
      <c r="J16259" s="25"/>
      <c r="K16259" s="25"/>
    </row>
    <row r="16260" customFormat="false" ht="15" hidden="false" customHeight="false" outlineLevel="0" collapsed="false">
      <c r="A16260" s="3" t="s">
        <v>556</v>
      </c>
      <c r="C16260" s="16" t="n">
        <f aca="false">IF(C16227&gt;0,C16249,C16205)</f>
        <v>0</v>
      </c>
    </row>
    <row r="16261" customFormat="false" ht="15" hidden="false" customHeight="false" outlineLevel="0" collapsed="false">
      <c r="A16261" s="3" t="s">
        <v>557</v>
      </c>
      <c r="C16261" s="16" t="n">
        <f aca="false">IF(C16228&gt;0,C16250,C16206)</f>
        <v>21.7609698071907</v>
      </c>
    </row>
    <row r="16262" customFormat="false" ht="15" hidden="false" customHeight="false" outlineLevel="0" collapsed="false">
      <c r="A16262" s="3" t="s">
        <v>558</v>
      </c>
      <c r="C16262" s="16" t="n">
        <f aca="false">IF(C16229&gt;0,C16251,C16207)</f>
        <v>13.8991626045759</v>
      </c>
    </row>
    <row r="16263" customFormat="false" ht="15" hidden="false" customHeight="false" outlineLevel="0" collapsed="false">
      <c r="A16263" s="3" t="s">
        <v>559</v>
      </c>
      <c r="C16263" s="16" t="n">
        <f aca="false">IF(C16230&gt;0,C16252,C16208)</f>
        <v>0</v>
      </c>
    </row>
    <row r="16264" customFormat="false" ht="15" hidden="false" customHeight="false" outlineLevel="0" collapsed="false">
      <c r="A16264" s="3" t="s">
        <v>560</v>
      </c>
      <c r="C16264" s="16" t="n">
        <f aca="false">IF(C16231&gt;0,C16253,C16209)</f>
        <v>419.990257446</v>
      </c>
    </row>
    <row r="16265" customFormat="false" ht="15" hidden="false" customHeight="false" outlineLevel="0" collapsed="false">
      <c r="A16265" s="3" t="s">
        <v>561</v>
      </c>
      <c r="C16265" s="16" t="n">
        <f aca="false">IF(C16232&gt;0,C16254,C16210)</f>
        <v>350</v>
      </c>
    </row>
    <row r="16266" customFormat="false" ht="15" hidden="false" customHeight="false" outlineLevel="0" collapsed="false">
      <c r="A16266" s="3" t="s">
        <v>562</v>
      </c>
      <c r="C16266" s="16" t="n">
        <f aca="false">IF(C16233&gt;0,C16255,C16211)</f>
        <v>550</v>
      </c>
    </row>
    <row r="16267" customFormat="false" ht="15" hidden="false" customHeight="false" outlineLevel="0" collapsed="false">
      <c r="A16267" s="3" t="s">
        <v>563</v>
      </c>
      <c r="C16267" s="16" t="n">
        <f aca="false">IF(C16234&gt;0,C16256,C16212)</f>
        <v>350</v>
      </c>
    </row>
    <row r="16268" customFormat="false" ht="15" hidden="false" customHeight="false" outlineLevel="0" collapsed="false">
      <c r="A16268" s="3" t="s">
        <v>564</v>
      </c>
      <c r="C16268" s="16" t="n">
        <f aca="false">IF(C16235&gt;0,C16257,C16213)</f>
        <v>300</v>
      </c>
    </row>
    <row r="16269" customFormat="false" ht="15" hidden="false" customHeight="false" outlineLevel="0" collapsed="false">
      <c r="A16269" s="3" t="s">
        <v>565</v>
      </c>
      <c r="C16269" s="16" t="n">
        <f aca="false">IF(C16236&gt;0,C16258,C16214)</f>
        <v>78.61</v>
      </c>
    </row>
    <row r="16270" customFormat="false" ht="15" hidden="false" customHeight="false" outlineLevel="0" collapsed="false">
      <c r="A16270" s="24" t="s">
        <v>571</v>
      </c>
      <c r="B16270" s="25"/>
      <c r="C16270" s="25"/>
      <c r="D16270" s="25"/>
      <c r="E16270" s="25"/>
      <c r="F16270" s="25"/>
      <c r="G16270" s="25"/>
      <c r="H16270" s="25"/>
      <c r="I16270" s="25"/>
      <c r="J16270" s="25"/>
      <c r="K16270" s="25"/>
    </row>
    <row r="16271" customFormat="false" ht="15" hidden="false" customHeight="false" outlineLevel="0" collapsed="false">
      <c r="A16271" s="3" t="s">
        <v>556</v>
      </c>
      <c r="C16271" s="21" t="n">
        <f aca="false">IF(C16227&gt;0,Assumptions!$C$17,C16216)</f>
        <v>99</v>
      </c>
    </row>
    <row r="16272" customFormat="false" ht="15" hidden="false" customHeight="false" outlineLevel="0" collapsed="false">
      <c r="A16272" s="3" t="s">
        <v>557</v>
      </c>
      <c r="C16272" s="21" t="n">
        <f aca="false">IF(C16228&gt;0,Assumptions!$C$17,C16217)</f>
        <v>99</v>
      </c>
    </row>
    <row r="16273" customFormat="false" ht="15" hidden="false" customHeight="false" outlineLevel="0" collapsed="false">
      <c r="A16273" s="3" t="s">
        <v>558</v>
      </c>
      <c r="C16273" s="21" t="n">
        <f aca="false">IF(C16229&gt;0,Assumptions!$C$17,C16218)</f>
        <v>99</v>
      </c>
    </row>
    <row r="16274" customFormat="false" ht="15" hidden="false" customHeight="false" outlineLevel="0" collapsed="false">
      <c r="A16274" s="3" t="s">
        <v>559</v>
      </c>
      <c r="C16274" s="21" t="n">
        <f aca="false">IF(C16230&gt;0,Assumptions!$C$17,C16219)</f>
        <v>2</v>
      </c>
    </row>
    <row r="16275" customFormat="false" ht="15" hidden="false" customHeight="false" outlineLevel="0" collapsed="false">
      <c r="A16275" s="3" t="s">
        <v>560</v>
      </c>
      <c r="C16275" s="21" t="n">
        <f aca="false">IF(C16231&gt;0,Assumptions!$C$17,C16220)</f>
        <v>2</v>
      </c>
    </row>
    <row r="16276" customFormat="false" ht="15" hidden="false" customHeight="false" outlineLevel="0" collapsed="false">
      <c r="A16276" s="3" t="s">
        <v>561</v>
      </c>
      <c r="C16276" s="21" t="n">
        <f aca="false">IF(C16232&gt;0,Assumptions!$C$17,C16221)</f>
        <v>2</v>
      </c>
    </row>
    <row r="16277" customFormat="false" ht="15" hidden="false" customHeight="false" outlineLevel="0" collapsed="false">
      <c r="A16277" s="3" t="s">
        <v>562</v>
      </c>
      <c r="C16277" s="21" t="n">
        <f aca="false">IF(C16233&gt;0,Assumptions!$C$17,C16222)</f>
        <v>2</v>
      </c>
    </row>
    <row r="16278" customFormat="false" ht="15" hidden="false" customHeight="false" outlineLevel="0" collapsed="false">
      <c r="A16278" s="3" t="s">
        <v>563</v>
      </c>
      <c r="C16278" s="21" t="n">
        <f aca="false">IF(C16234&gt;0,Assumptions!$C$17,C16223)</f>
        <v>2</v>
      </c>
    </row>
    <row r="16279" customFormat="false" ht="15" hidden="false" customHeight="false" outlineLevel="0" collapsed="false">
      <c r="A16279" s="3" t="s">
        <v>564</v>
      </c>
      <c r="C16279" s="21" t="n">
        <f aca="false">IF(C16235&gt;0,Assumptions!$C$17,C16224)</f>
        <v>2</v>
      </c>
    </row>
    <row r="16280" customFormat="false" ht="15" hidden="false" customHeight="false" outlineLevel="0" collapsed="false">
      <c r="A16280" s="3" t="s">
        <v>565</v>
      </c>
      <c r="C16280" s="21" t="n">
        <f aca="false">IF(C16236&gt;0,Assumptions!$C$17,C16225)</f>
        <v>3</v>
      </c>
    </row>
    <row r="16281" customFormat="false" ht="15" hidden="false" customHeight="false" outlineLevel="0" collapsed="false">
      <c r="A16281" s="24" t="s">
        <v>572</v>
      </c>
      <c r="B16281" s="25"/>
      <c r="C16281" s="25"/>
      <c r="D16281" s="25"/>
      <c r="E16281" s="25"/>
      <c r="F16281" s="25"/>
      <c r="G16281" s="25"/>
      <c r="H16281" s="25"/>
      <c r="I16281" s="25"/>
      <c r="J16281" s="25"/>
      <c r="K16281" s="25"/>
    </row>
    <row r="16282" customFormat="false" ht="15" hidden="false" customHeight="false" outlineLevel="0" collapsed="false">
      <c r="A16282" s="3" t="s">
        <v>556</v>
      </c>
      <c r="C16282" s="16" t="n">
        <f aca="false">SUMPRODUCT(($C$16271:$C$16280&lt;C16271)*$C$16260:$C$16269)</f>
        <v>2048.600257446</v>
      </c>
    </row>
    <row r="16283" customFormat="false" ht="15" hidden="false" customHeight="false" outlineLevel="0" collapsed="false">
      <c r="A16283" s="3" t="s">
        <v>557</v>
      </c>
      <c r="C16283" s="16" t="n">
        <f aca="false">SUMPRODUCT(($C$16271:$C$16280&lt;C16272)*$C$16260:$C$16269)</f>
        <v>2048.600257446</v>
      </c>
    </row>
    <row r="16284" customFormat="false" ht="15" hidden="false" customHeight="false" outlineLevel="0" collapsed="false">
      <c r="A16284" s="3" t="s">
        <v>558</v>
      </c>
      <c r="C16284" s="16" t="n">
        <f aca="false">SUMPRODUCT(($C$16271:$C$16280&lt;C16273)*$C$16260:$C$16269)</f>
        <v>2048.600257446</v>
      </c>
    </row>
    <row r="16285" customFormat="false" ht="15" hidden="false" customHeight="false" outlineLevel="0" collapsed="false">
      <c r="A16285" s="3" t="s">
        <v>559</v>
      </c>
      <c r="C16285" s="16" t="n">
        <f aca="false">SUMPRODUCT(($C$16271:$C$16280&lt;C16274)*$C$16260:$C$16269)</f>
        <v>0</v>
      </c>
    </row>
    <row r="16286" customFormat="false" ht="15" hidden="false" customHeight="false" outlineLevel="0" collapsed="false">
      <c r="A16286" s="3" t="s">
        <v>560</v>
      </c>
      <c r="C16286" s="16" t="n">
        <f aca="false">SUMPRODUCT(($C$16271:$C$16280&lt;C16275)*$C$16260:$C$16269)</f>
        <v>0</v>
      </c>
    </row>
    <row r="16287" customFormat="false" ht="15" hidden="false" customHeight="false" outlineLevel="0" collapsed="false">
      <c r="A16287" s="3" t="s">
        <v>561</v>
      </c>
      <c r="C16287" s="16" t="n">
        <f aca="false">SUMPRODUCT(($C$16271:$C$16280&lt;C16276)*$C$16260:$C$16269)</f>
        <v>0</v>
      </c>
    </row>
    <row r="16288" customFormat="false" ht="15" hidden="false" customHeight="false" outlineLevel="0" collapsed="false">
      <c r="A16288" s="3" t="s">
        <v>562</v>
      </c>
      <c r="C16288" s="16" t="n">
        <f aca="false">SUMPRODUCT(($C$16271:$C$16280&lt;C16277)*$C$16260:$C$16269)</f>
        <v>0</v>
      </c>
    </row>
    <row r="16289" customFormat="false" ht="15" hidden="false" customHeight="false" outlineLevel="0" collapsed="false">
      <c r="A16289" s="3" t="s">
        <v>563</v>
      </c>
      <c r="C16289" s="16" t="n">
        <f aca="false">SUMPRODUCT(($C$16271:$C$16280&lt;C16278)*$C$16260:$C$16269)</f>
        <v>0</v>
      </c>
    </row>
    <row r="16290" customFormat="false" ht="15" hidden="false" customHeight="false" outlineLevel="0" collapsed="false">
      <c r="A16290" s="3" t="s">
        <v>564</v>
      </c>
      <c r="C16290" s="16" t="n">
        <f aca="false">SUMPRODUCT(($C$16271:$C$16280&lt;C16279)*$C$16260:$C$16269)</f>
        <v>0</v>
      </c>
    </row>
    <row r="16291" customFormat="false" ht="15" hidden="false" customHeight="false" outlineLevel="0" collapsed="false">
      <c r="A16291" s="3" t="s">
        <v>565</v>
      </c>
      <c r="C16291" s="16" t="n">
        <f aca="false">SUMPRODUCT(($C$16271:$C$16280&lt;C16280)*$C$16260:$C$16269)</f>
        <v>1969.990257446</v>
      </c>
    </row>
    <row r="16292" customFormat="false" ht="15" hidden="false" customHeight="false" outlineLevel="0" collapsed="false">
      <c r="A16292" s="24" t="s">
        <v>573</v>
      </c>
      <c r="B16292" s="25"/>
      <c r="C16292" s="25"/>
      <c r="D16292" s="25"/>
      <c r="E16292" s="25"/>
      <c r="F16292" s="25"/>
      <c r="G16292" s="25"/>
      <c r="H16292" s="25"/>
      <c r="I16292" s="25"/>
      <c r="J16292" s="25"/>
      <c r="K16292" s="25"/>
    </row>
    <row r="16293" customFormat="false" ht="15" hidden="false" customHeight="false" outlineLevel="0" collapsed="false">
      <c r="A16293" s="3" t="s">
        <v>556</v>
      </c>
      <c r="C16293" s="16" t="n">
        <f aca="false">SUMPRODUCT(($C$16271:$C$16280=C16271)*$C$16260:$C$16269)</f>
        <v>35.6601324117666</v>
      </c>
    </row>
    <row r="16294" customFormat="false" ht="15" hidden="false" customHeight="false" outlineLevel="0" collapsed="false">
      <c r="A16294" s="3" t="s">
        <v>557</v>
      </c>
      <c r="C16294" s="16" t="n">
        <f aca="false">SUMPRODUCT(($C$16271:$C$16280=C16272)*$C$16260:$C$16269)</f>
        <v>35.6601324117666</v>
      </c>
    </row>
    <row r="16295" customFormat="false" ht="15" hidden="false" customHeight="false" outlineLevel="0" collapsed="false">
      <c r="A16295" s="3" t="s">
        <v>558</v>
      </c>
      <c r="C16295" s="16" t="n">
        <f aca="false">SUMPRODUCT(($C$16271:$C$16280=C16273)*$C$16260:$C$16269)</f>
        <v>35.6601324117666</v>
      </c>
    </row>
    <row r="16296" customFormat="false" ht="15" hidden="false" customHeight="false" outlineLevel="0" collapsed="false">
      <c r="A16296" s="3" t="s">
        <v>559</v>
      </c>
      <c r="C16296" s="16" t="n">
        <f aca="false">SUMPRODUCT(($C$16271:$C$16280=C16274)*$C$16260:$C$16269)</f>
        <v>1969.990257446</v>
      </c>
    </row>
    <row r="16297" customFormat="false" ht="15" hidden="false" customHeight="false" outlineLevel="0" collapsed="false">
      <c r="A16297" s="3" t="s">
        <v>560</v>
      </c>
      <c r="C16297" s="16" t="n">
        <f aca="false">SUMPRODUCT(($C$16271:$C$16280=C16275)*$C$16260:$C$16269)</f>
        <v>1969.990257446</v>
      </c>
    </row>
    <row r="16298" customFormat="false" ht="15" hidden="false" customHeight="false" outlineLevel="0" collapsed="false">
      <c r="A16298" s="3" t="s">
        <v>561</v>
      </c>
      <c r="C16298" s="16" t="n">
        <f aca="false">SUMPRODUCT(($C$16271:$C$16280=C16276)*$C$16260:$C$16269)</f>
        <v>1969.990257446</v>
      </c>
    </row>
    <row r="16299" customFormat="false" ht="15" hidden="false" customHeight="false" outlineLevel="0" collapsed="false">
      <c r="A16299" s="3" t="s">
        <v>562</v>
      </c>
      <c r="C16299" s="16" t="n">
        <f aca="false">SUMPRODUCT(($C$16271:$C$16280=C16277)*$C$16260:$C$16269)</f>
        <v>1969.990257446</v>
      </c>
    </row>
    <row r="16300" customFormat="false" ht="15" hidden="false" customHeight="false" outlineLevel="0" collapsed="false">
      <c r="A16300" s="3" t="s">
        <v>563</v>
      </c>
      <c r="C16300" s="16" t="n">
        <f aca="false">SUMPRODUCT(($C$16271:$C$16280=C16278)*$C$16260:$C$16269)</f>
        <v>1969.990257446</v>
      </c>
    </row>
    <row r="16301" customFormat="false" ht="15" hidden="false" customHeight="false" outlineLevel="0" collapsed="false">
      <c r="A16301" s="3" t="s">
        <v>564</v>
      </c>
      <c r="C16301" s="16" t="n">
        <f aca="false">SUMPRODUCT(($C$16271:$C$16280=C16279)*$C$16260:$C$16269)</f>
        <v>1969.990257446</v>
      </c>
    </row>
    <row r="16302" customFormat="false" ht="15" hidden="false" customHeight="false" outlineLevel="0" collapsed="false">
      <c r="A16302" s="3" t="s">
        <v>565</v>
      </c>
      <c r="C16302" s="16" t="n">
        <f aca="false">SUMPRODUCT(($C$16271:$C$16280=C16280)*$C$16260:$C$16269)</f>
        <v>78.61</v>
      </c>
    </row>
    <row r="16303" customFormat="false" ht="15" hidden="false" customHeight="false" outlineLevel="0" collapsed="false">
      <c r="A16303" s="24" t="s">
        <v>574</v>
      </c>
      <c r="B16303" s="25"/>
      <c r="C16303" s="25"/>
      <c r="D16303" s="25"/>
      <c r="E16303" s="25"/>
      <c r="F16303" s="25"/>
      <c r="G16303" s="25"/>
      <c r="H16303" s="25"/>
      <c r="I16303" s="25"/>
      <c r="J16303" s="25"/>
      <c r="K16303" s="25"/>
    </row>
    <row r="16304" customFormat="false" ht="15" hidden="false" customHeight="false" outlineLevel="0" collapsed="false">
      <c r="A16304" s="3" t="s">
        <v>556</v>
      </c>
      <c r="C16304" s="16" t="n">
        <f aca="false">IF(C16293=0,0,C16260/C16293*MAX(0,MIN(C16293,$C$16203-SUM($C$16238:$C$16247)-C16282)))</f>
        <v>0</v>
      </c>
    </row>
    <row r="16305" customFormat="false" ht="15" hidden="false" customHeight="false" outlineLevel="0" collapsed="false">
      <c r="A16305" s="3" t="s">
        <v>557</v>
      </c>
      <c r="C16305" s="16" t="n">
        <f aca="false">IF(C16294=0,0,C16261/C16294*MAX(0,MIN(C16294,$C$16203-SUM($C$16238:$C$16247)-C16283)))</f>
        <v>0</v>
      </c>
    </row>
    <row r="16306" customFormat="false" ht="15" hidden="false" customHeight="false" outlineLevel="0" collapsed="false">
      <c r="A16306" s="3" t="s">
        <v>558</v>
      </c>
      <c r="C16306" s="16" t="n">
        <f aca="false">IF(C16295=0,0,C16262/C16295*MAX(0,MIN(C16295,$C$16203-SUM($C$16238:$C$16247)-C16284)))</f>
        <v>0</v>
      </c>
    </row>
    <row r="16307" customFormat="false" ht="15" hidden="false" customHeight="false" outlineLevel="0" collapsed="false">
      <c r="A16307" s="3" t="s">
        <v>559</v>
      </c>
      <c r="C16307" s="16" t="n">
        <f aca="false">IF(C16296=0,0,C16263/C16296*MAX(0,MIN(C16296,$C$16203-SUM($C$16238:$C$16247)-C16285)))</f>
        <v>0</v>
      </c>
    </row>
    <row r="16308" customFormat="false" ht="15" hidden="false" customHeight="false" outlineLevel="0" collapsed="false">
      <c r="A16308" s="3" t="s">
        <v>560</v>
      </c>
      <c r="C16308" s="16" t="n">
        <f aca="false">IF(C16297=0,0,C16264/C16297*MAX(0,MIN(C16297,$C$16203-SUM($C$16238:$C$16247)-C16286)))</f>
        <v>334.327869338333</v>
      </c>
    </row>
    <row r="16309" customFormat="false" ht="15" hidden="false" customHeight="false" outlineLevel="0" collapsed="false">
      <c r="A16309" s="3" t="s">
        <v>561</v>
      </c>
      <c r="C16309" s="16" t="n">
        <f aca="false">IF(C16298=0,0,C16265/C16298*MAX(0,MIN(C16298,$C$16203-SUM($C$16238:$C$16247)-C16287)))</f>
        <v>278.613020644798</v>
      </c>
    </row>
    <row r="16310" customFormat="false" ht="15" hidden="false" customHeight="false" outlineLevel="0" collapsed="false">
      <c r="A16310" s="3" t="s">
        <v>562</v>
      </c>
      <c r="C16310" s="16" t="n">
        <f aca="false">IF(C16299=0,0,C16266/C16299*MAX(0,MIN(C16299,$C$16203-SUM($C$16238:$C$16247)-C16288)))</f>
        <v>437.820461013254</v>
      </c>
    </row>
    <row r="16311" customFormat="false" ht="15" hidden="false" customHeight="false" outlineLevel="0" collapsed="false">
      <c r="A16311" s="3" t="s">
        <v>563</v>
      </c>
      <c r="C16311" s="16" t="n">
        <f aca="false">IF(C16300=0,0,C16267/C16300*MAX(0,MIN(C16300,$C$16203-SUM($C$16238:$C$16247)-C16289)))</f>
        <v>278.613020644798</v>
      </c>
    </row>
    <row r="16312" customFormat="false" ht="15" hidden="false" customHeight="false" outlineLevel="0" collapsed="false">
      <c r="A16312" s="3" t="s">
        <v>564</v>
      </c>
      <c r="C16312" s="16" t="n">
        <f aca="false">IF(C16301=0,0,C16268/C16301*MAX(0,MIN(C16301,$C$16203-SUM($C$16238:$C$16247)-C16290)))</f>
        <v>238.811160552684</v>
      </c>
    </row>
    <row r="16313" customFormat="false" ht="15" hidden="false" customHeight="false" outlineLevel="0" collapsed="false">
      <c r="A16313" s="3" t="s">
        <v>565</v>
      </c>
      <c r="C16313" s="16" t="n">
        <f aca="false">IF(C16302=0,0,C16269/C16302*MAX(0,MIN(C16302,$C$16203-SUM($C$16238:$C$16247)-C16291)))</f>
        <v>0</v>
      </c>
    </row>
    <row r="16314" customFormat="false" ht="15" hidden="false" customHeight="false" outlineLevel="0" collapsed="false">
      <c r="A16314" s="24" t="s">
        <v>575</v>
      </c>
      <c r="B16314" s="25"/>
      <c r="C16314" s="25"/>
      <c r="D16314" s="25"/>
      <c r="E16314" s="25"/>
      <c r="F16314" s="25"/>
      <c r="G16314" s="25"/>
      <c r="H16314" s="25"/>
      <c r="I16314" s="25"/>
      <c r="J16314" s="25"/>
      <c r="K16314" s="25"/>
    </row>
    <row r="16315" customFormat="false" ht="15" hidden="false" customHeight="false" outlineLevel="0" collapsed="false">
      <c r="A16315" s="2" t="s">
        <v>556</v>
      </c>
      <c r="C16315" s="17" t="n">
        <f aca="false">C16238+C16304</f>
        <v>388</v>
      </c>
    </row>
    <row r="16316" customFormat="false" ht="15" hidden="false" customHeight="false" outlineLevel="0" collapsed="false">
      <c r="A16316" s="2" t="s">
        <v>557</v>
      </c>
      <c r="C16316" s="17" t="n">
        <f aca="false">C16239+C16305</f>
        <v>68.2390301928093</v>
      </c>
    </row>
    <row r="16317" customFormat="false" ht="15" hidden="false" customHeight="false" outlineLevel="0" collapsed="false">
      <c r="A16317" s="2" t="s">
        <v>558</v>
      </c>
      <c r="C16317" s="17" t="n">
        <f aca="false">C16240+C16306</f>
        <v>43.4248373954241</v>
      </c>
    </row>
    <row r="16318" customFormat="false" ht="15" hidden="false" customHeight="false" outlineLevel="0" collapsed="false">
      <c r="A16318" s="2" t="s">
        <v>559</v>
      </c>
      <c r="C16318" s="17" t="n">
        <f aca="false">C16241+C16307</f>
        <v>0</v>
      </c>
    </row>
    <row r="16319" customFormat="false" ht="15" hidden="false" customHeight="false" outlineLevel="0" collapsed="false">
      <c r="A16319" s="2" t="s">
        <v>560</v>
      </c>
      <c r="C16319" s="17" t="n">
        <f aca="false">C16242+C16308</f>
        <v>334.327869338333</v>
      </c>
    </row>
    <row r="16320" customFormat="false" ht="15" hidden="false" customHeight="false" outlineLevel="0" collapsed="false">
      <c r="A16320" s="2" t="s">
        <v>561</v>
      </c>
      <c r="C16320" s="17" t="n">
        <f aca="false">C16243+C16309</f>
        <v>278.613020644798</v>
      </c>
    </row>
    <row r="16321" customFormat="false" ht="15" hidden="false" customHeight="false" outlineLevel="0" collapsed="false">
      <c r="A16321" s="2" t="s">
        <v>562</v>
      </c>
      <c r="C16321" s="17" t="n">
        <f aca="false">C16244+C16310</f>
        <v>437.820461013254</v>
      </c>
    </row>
    <row r="16322" customFormat="false" ht="15" hidden="false" customHeight="false" outlineLevel="0" collapsed="false">
      <c r="A16322" s="2" t="s">
        <v>563</v>
      </c>
      <c r="C16322" s="17" t="n">
        <f aca="false">C16245+C16311</f>
        <v>278.613020644798</v>
      </c>
    </row>
    <row r="16323" customFormat="false" ht="15" hidden="false" customHeight="false" outlineLevel="0" collapsed="false">
      <c r="A16323" s="2" t="s">
        <v>564</v>
      </c>
      <c r="C16323" s="17" t="n">
        <f aca="false">C16246+C16312</f>
        <v>238.811160552684</v>
      </c>
    </row>
    <row r="16324" customFormat="false" ht="15" hidden="false" customHeight="false" outlineLevel="0" collapsed="false">
      <c r="A16324" s="2" t="s">
        <v>565</v>
      </c>
      <c r="C16324" s="17" t="n">
        <f aca="false">C16247+C16313</f>
        <v>0</v>
      </c>
    </row>
    <row r="16325" customFormat="false" ht="15" hidden="false" customHeight="false" outlineLevel="0" collapsed="false">
      <c r="A16325" s="24" t="s">
        <v>576</v>
      </c>
      <c r="B16325" s="25"/>
      <c r="C16325" s="25"/>
      <c r="D16325" s="25"/>
      <c r="E16325" s="25"/>
      <c r="F16325" s="25"/>
      <c r="G16325" s="25"/>
      <c r="H16325" s="25"/>
      <c r="I16325" s="25"/>
      <c r="J16325" s="25"/>
      <c r="K16325" s="25"/>
    </row>
    <row r="16326" customFormat="false" ht="15" hidden="false" customHeight="false" outlineLevel="0" collapsed="false">
      <c r="A16326" s="3" t="s">
        <v>556</v>
      </c>
      <c r="C16326" s="22" t="n">
        <f aca="false">IF(C16205=0,1,C16315/C16205)</f>
        <v>1</v>
      </c>
    </row>
    <row r="16327" customFormat="false" ht="15" hidden="false" customHeight="false" outlineLevel="0" collapsed="false">
      <c r="A16327" s="3" t="s">
        <v>557</v>
      </c>
      <c r="C16327" s="22" t="n">
        <f aca="false">IF(C16206=0,1,C16316/C16206)</f>
        <v>0.75821144658677</v>
      </c>
    </row>
    <row r="16328" customFormat="false" ht="15" hidden="false" customHeight="false" outlineLevel="0" collapsed="false">
      <c r="A16328" s="3" t="s">
        <v>558</v>
      </c>
      <c r="C16328" s="22" t="n">
        <f aca="false">IF(C16207=0,1,C16317/C16207)</f>
        <v>0.757533273941527</v>
      </c>
    </row>
    <row r="16329" customFormat="false" ht="15" hidden="false" customHeight="false" outlineLevel="0" collapsed="false">
      <c r="A16329" s="3" t="s">
        <v>559</v>
      </c>
      <c r="C16329" s="22" t="n">
        <f aca="false">IF(C16208=0,1,C16318/C16208)</f>
        <v>1</v>
      </c>
    </row>
    <row r="16330" customFormat="false" ht="15" hidden="false" customHeight="false" outlineLevel="0" collapsed="false">
      <c r="A16330" s="3" t="s">
        <v>560</v>
      </c>
      <c r="C16330" s="22" t="n">
        <f aca="false">IF(C16209=0,1,C16319/C16209)</f>
        <v>0.79603720184228</v>
      </c>
    </row>
    <row r="16331" customFormat="false" ht="15" hidden="false" customHeight="false" outlineLevel="0" collapsed="false">
      <c r="A16331" s="3" t="s">
        <v>561</v>
      </c>
      <c r="C16331" s="22" t="n">
        <f aca="false">IF(C16210=0,1,C16320/C16210)</f>
        <v>0.79603720184228</v>
      </c>
    </row>
    <row r="16332" customFormat="false" ht="15" hidden="false" customHeight="false" outlineLevel="0" collapsed="false">
      <c r="A16332" s="3" t="s">
        <v>562</v>
      </c>
      <c r="C16332" s="22" t="n">
        <f aca="false">IF(C16211=0,1,C16321/C16211)</f>
        <v>0.79603720184228</v>
      </c>
    </row>
    <row r="16333" customFormat="false" ht="15" hidden="false" customHeight="false" outlineLevel="0" collapsed="false">
      <c r="A16333" s="3" t="s">
        <v>563</v>
      </c>
      <c r="C16333" s="22" t="n">
        <f aca="false">IF(C16212=0,1,C16322/C16212)</f>
        <v>0.79603720184228</v>
      </c>
    </row>
    <row r="16334" customFormat="false" ht="15" hidden="false" customHeight="false" outlineLevel="0" collapsed="false">
      <c r="A16334" s="3" t="s">
        <v>564</v>
      </c>
      <c r="C16334" s="22" t="n">
        <f aca="false">IF(C16213=0,1,C16323/C16213)</f>
        <v>0.79603720184228</v>
      </c>
    </row>
    <row r="16335" customFormat="false" ht="15" hidden="false" customHeight="false" outlineLevel="0" collapsed="false">
      <c r="A16335" s="3" t="s">
        <v>565</v>
      </c>
      <c r="C16335" s="22" t="n">
        <f aca="false">IF(C16214=0,1,C16324/C16214)</f>
        <v>0</v>
      </c>
    </row>
    <row r="16336" customFormat="false" ht="15" hidden="false" customHeight="false" outlineLevel="0" collapsed="false">
      <c r="A16336" s="24" t="s">
        <v>577</v>
      </c>
      <c r="B16336" s="25"/>
      <c r="C16336" s="25"/>
      <c r="D16336" s="25"/>
      <c r="E16336" s="25"/>
      <c r="F16336" s="25"/>
      <c r="G16336" s="25"/>
      <c r="H16336" s="25"/>
      <c r="I16336" s="25"/>
      <c r="J16336" s="25"/>
      <c r="K16336" s="25"/>
    </row>
    <row r="16337" customFormat="false" ht="15" hidden="false" customHeight="false" outlineLevel="0" collapsed="false">
      <c r="A16337" s="3" t="s">
        <v>556</v>
      </c>
      <c r="C16337" s="16" t="n">
        <f aca="false">C16205-C16315</f>
        <v>0</v>
      </c>
    </row>
    <row r="16338" customFormat="false" ht="15" hidden="false" customHeight="false" outlineLevel="0" collapsed="false">
      <c r="A16338" s="3" t="s">
        <v>557</v>
      </c>
      <c r="C16338" s="16" t="n">
        <f aca="false">C16206-C16316</f>
        <v>21.7609698071907</v>
      </c>
    </row>
    <row r="16339" customFormat="false" ht="15" hidden="false" customHeight="false" outlineLevel="0" collapsed="false">
      <c r="A16339" s="3" t="s">
        <v>558</v>
      </c>
      <c r="C16339" s="16" t="n">
        <f aca="false">C16207-C16317</f>
        <v>13.8991626045759</v>
      </c>
    </row>
    <row r="16340" customFormat="false" ht="15" hidden="false" customHeight="false" outlineLevel="0" collapsed="false">
      <c r="A16340" s="3" t="s">
        <v>559</v>
      </c>
      <c r="C16340" s="16" t="n">
        <f aca="false">C16208-C16318</f>
        <v>0</v>
      </c>
    </row>
    <row r="16341" customFormat="false" ht="15" hidden="false" customHeight="false" outlineLevel="0" collapsed="false">
      <c r="A16341" s="3" t="s">
        <v>560</v>
      </c>
      <c r="C16341" s="16" t="n">
        <f aca="false">C16209-C16319</f>
        <v>85.6623881076674</v>
      </c>
    </row>
    <row r="16342" customFormat="false" ht="15" hidden="false" customHeight="false" outlineLevel="0" collapsed="false">
      <c r="A16342" s="3" t="s">
        <v>561</v>
      </c>
      <c r="C16342" s="16" t="n">
        <f aca="false">C16210-C16320</f>
        <v>71.386979355202</v>
      </c>
    </row>
    <row r="16343" customFormat="false" ht="15" hidden="false" customHeight="false" outlineLevel="0" collapsed="false">
      <c r="A16343" s="3" t="s">
        <v>562</v>
      </c>
      <c r="C16343" s="16" t="n">
        <f aca="false">C16211-C16321</f>
        <v>112.179538986746</v>
      </c>
    </row>
    <row r="16344" customFormat="false" ht="15" hidden="false" customHeight="false" outlineLevel="0" collapsed="false">
      <c r="A16344" s="3" t="s">
        <v>563</v>
      </c>
      <c r="C16344" s="16" t="n">
        <f aca="false">C16212-C16322</f>
        <v>71.386979355202</v>
      </c>
    </row>
    <row r="16345" customFormat="false" ht="15" hidden="false" customHeight="false" outlineLevel="0" collapsed="false">
      <c r="A16345" s="3" t="s">
        <v>564</v>
      </c>
      <c r="C16345" s="16" t="n">
        <f aca="false">C16213-C16323</f>
        <v>61.188839447316</v>
      </c>
    </row>
    <row r="16346" customFormat="false" ht="15" hidden="false" customHeight="false" outlineLevel="0" collapsed="false">
      <c r="A16346" s="3" t="s">
        <v>565</v>
      </c>
      <c r="C16346" s="16" t="n">
        <f aca="false">C16214-C16324</f>
        <v>78.61</v>
      </c>
    </row>
    <row r="16347" customFormat="false" ht="15" hidden="false" customHeight="false" outlineLevel="0" collapsed="false">
      <c r="A16347" s="24" t="s">
        <v>578</v>
      </c>
      <c r="B16347" s="25"/>
      <c r="C16347" s="25"/>
      <c r="D16347" s="25"/>
      <c r="E16347" s="25"/>
      <c r="F16347" s="25"/>
      <c r="G16347" s="25"/>
      <c r="H16347" s="25"/>
      <c r="I16347" s="25"/>
      <c r="J16347" s="25"/>
      <c r="K16347" s="25"/>
    </row>
    <row r="16348" customFormat="false" ht="15" hidden="false" customHeight="false" outlineLevel="0" collapsed="false">
      <c r="A16348" s="3" t="s">
        <v>556</v>
      </c>
      <c r="C16348" s="22" t="n">
        <f aca="false">IF(C16205=0,0,C16337/C16205)</f>
        <v>0</v>
      </c>
    </row>
    <row r="16349" customFormat="false" ht="15" hidden="false" customHeight="false" outlineLevel="0" collapsed="false">
      <c r="A16349" s="3" t="s">
        <v>557</v>
      </c>
      <c r="C16349" s="22" t="n">
        <f aca="false">IF(C16206=0,0,C16338/C16206)</f>
        <v>0.24178855341323</v>
      </c>
    </row>
    <row r="16350" customFormat="false" ht="15" hidden="false" customHeight="false" outlineLevel="0" collapsed="false">
      <c r="A16350" s="3" t="s">
        <v>558</v>
      </c>
      <c r="C16350" s="22" t="n">
        <f aca="false">IF(C16207=0,0,C16339/C16207)</f>
        <v>0.242466726058473</v>
      </c>
    </row>
    <row r="16351" customFormat="false" ht="15" hidden="false" customHeight="false" outlineLevel="0" collapsed="false">
      <c r="A16351" s="3" t="s">
        <v>559</v>
      </c>
      <c r="C16351" s="22" t="n">
        <f aca="false">IF(C16208=0,0,C16340/C16208)</f>
        <v>0</v>
      </c>
    </row>
    <row r="16352" customFormat="false" ht="15" hidden="false" customHeight="false" outlineLevel="0" collapsed="false">
      <c r="A16352" s="3" t="s">
        <v>560</v>
      </c>
      <c r="C16352" s="22" t="n">
        <f aca="false">IF(C16209=0,0,C16341/C16209)</f>
        <v>0.20396279815772</v>
      </c>
    </row>
    <row r="16353" customFormat="false" ht="15" hidden="false" customHeight="false" outlineLevel="0" collapsed="false">
      <c r="A16353" s="3" t="s">
        <v>561</v>
      </c>
      <c r="C16353" s="22" t="n">
        <f aca="false">IF(C16210=0,0,C16342/C16210)</f>
        <v>0.20396279815772</v>
      </c>
    </row>
    <row r="16354" customFormat="false" ht="15" hidden="false" customHeight="false" outlineLevel="0" collapsed="false">
      <c r="A16354" s="3" t="s">
        <v>562</v>
      </c>
      <c r="C16354" s="22" t="n">
        <f aca="false">IF(C16211=0,0,C16343/C16211)</f>
        <v>0.20396279815772</v>
      </c>
    </row>
    <row r="16355" customFormat="false" ht="15" hidden="false" customHeight="false" outlineLevel="0" collapsed="false">
      <c r="A16355" s="3" t="s">
        <v>563</v>
      </c>
      <c r="C16355" s="22" t="n">
        <f aca="false">IF(C16212=0,0,C16344/C16212)</f>
        <v>0.20396279815772</v>
      </c>
    </row>
    <row r="16356" customFormat="false" ht="15" hidden="false" customHeight="false" outlineLevel="0" collapsed="false">
      <c r="A16356" s="3" t="s">
        <v>564</v>
      </c>
      <c r="C16356" s="22" t="n">
        <f aca="false">IF(C16213=0,0,C16345/C16213)</f>
        <v>0.20396279815772</v>
      </c>
    </row>
    <row r="16357" customFormat="false" ht="15" hidden="false" customHeight="false" outlineLevel="0" collapsed="false">
      <c r="A16357" s="3" t="s">
        <v>565</v>
      </c>
      <c r="C16357" s="22" t="n">
        <f aca="false">IF(C16214=0,0,C16346/C16214)</f>
        <v>1</v>
      </c>
    </row>
    <row r="16358" customFormat="false" ht="15" hidden="false" customHeight="false" outlineLevel="0" collapsed="false">
      <c r="A16358" s="2" t="s">
        <v>579</v>
      </c>
      <c r="C16358" s="17" t="n">
        <f aca="false">MAX(0,$C$16203-SUM($C$16238:$C$16247)-SUM($C$16260:$C$16269))</f>
        <v>0</v>
      </c>
    </row>
    <row r="16359" customFormat="false" ht="15" hidden="false" customHeight="false" outlineLevel="0" collapsed="false">
      <c r="A16359" s="3" t="s">
        <v>597</v>
      </c>
      <c r="C16359" s="35" t="n">
        <f aca="false">MIN(C16202,100*CHOOSE(C16192,C16326,C16327,C16328,C16329,C16330,C16331,C16332,C16333,C16334,C16335))</f>
        <v>95</v>
      </c>
    </row>
    <row r="16360" customFormat="false" ht="15" hidden="false" customHeight="false" outlineLevel="0" collapsed="false">
      <c r="A16360" s="3" t="s">
        <v>598</v>
      </c>
      <c r="C16360" s="21" t="n">
        <f aca="false">IF(C16024=1,C16197+Assumptions!$C$40,C16196)</f>
        <v>3</v>
      </c>
    </row>
    <row r="16361" customFormat="false" ht="15" hidden="false" customHeight="false" outlineLevel="0" collapsed="false">
      <c r="A16361" s="24" t="s">
        <v>599</v>
      </c>
      <c r="B16361" s="25"/>
      <c r="C16361" s="25"/>
      <c r="D16361" s="25"/>
      <c r="E16361" s="25"/>
      <c r="F16361" s="25"/>
      <c r="G16361" s="25"/>
      <c r="H16361" s="25"/>
      <c r="I16361" s="25"/>
      <c r="J16361" s="25"/>
      <c r="K16361" s="25"/>
    </row>
    <row r="16362" customFormat="false" ht="15" hidden="false" customHeight="false" outlineLevel="0" collapsed="false">
      <c r="A16362" s="3" t="s">
        <v>600</v>
      </c>
      <c r="C16362" s="21" t="n">
        <f aca="false">COLUMN()-COLUMN($C$1)</f>
        <v>0</v>
      </c>
      <c r="D16362" s="21" t="n">
        <f aca="false">COLUMN()-COLUMN($C$1)</f>
        <v>1</v>
      </c>
      <c r="E16362" s="21" t="n">
        <f aca="false">COLUMN()-COLUMN($C$1)</f>
        <v>2</v>
      </c>
      <c r="F16362" s="21" t="n">
        <f aca="false">COLUMN()-COLUMN($C$1)</f>
        <v>3</v>
      </c>
      <c r="G16362" s="21" t="n">
        <f aca="false">COLUMN()-COLUMN($C$1)</f>
        <v>4</v>
      </c>
      <c r="H16362" s="21" t="n">
        <f aca="false">COLUMN()-COLUMN($C$1)</f>
        <v>5</v>
      </c>
      <c r="I16362" s="21" t="n">
        <f aca="false">COLUMN()-COLUMN($C$1)</f>
        <v>6</v>
      </c>
    </row>
    <row r="16363" customFormat="false" ht="15" hidden="false" customHeight="false" outlineLevel="0" collapsed="false">
      <c r="A16363" s="3" t="s">
        <v>601</v>
      </c>
      <c r="D16363" s="31" t="n">
        <f aca="false">CHOOSE($C$16192,G15772,G15785,G15798,G15811,G15824,G15837,G15850,G15863,G15876,G15889)</f>
        <v>0.1065</v>
      </c>
      <c r="E16363" s="31" t="n">
        <f aca="false">CHOOSE($C$16192,H15772,H15785,H15798,H15811,H15824,H15837,H15850,H15863,H15876,H15889)</f>
        <v>0.105</v>
      </c>
      <c r="F16363" s="31" t="n">
        <f aca="false">CHOOSE($C$16192,I15772,I15785,I15798,I15811,I15824,I15837,I15850,I15863,I15876,I15889)</f>
        <v>0.1025</v>
      </c>
      <c r="G16363" s="31" t="n">
        <f aca="false">CHOOSE($C$16192,J15772,J15785,J15798,J15811,J15824,J15837,J15850,J15863,J15876,J15889)</f>
        <v>0.1025</v>
      </c>
      <c r="H16363" s="31" t="n">
        <f aca="false">CHOOSE($C$16192,K15772,K15785,K15798,K15811,K15824,K15837,K15850,K15863,K15876,K15889)</f>
        <v>0.1025</v>
      </c>
    </row>
    <row r="16364" customFormat="false" ht="15" hidden="false" customHeight="false" outlineLevel="0" collapsed="false">
      <c r="A16364" s="3" t="s">
        <v>602</v>
      </c>
      <c r="D16364" s="16" t="n">
        <f aca="false">IF(D16362&lt;=$C$16201,$C$16193*D16363,0)</f>
        <v>10.65</v>
      </c>
      <c r="E16364" s="16" t="n">
        <f aca="false">IF(E16362&lt;=$C$16201,$C$16193*E16363,0)</f>
        <v>10.5</v>
      </c>
      <c r="F16364" s="16" t="n">
        <f aca="false">IF(F16362&lt;=$C$16201,$C$16193*F16363,0)</f>
        <v>0</v>
      </c>
      <c r="G16364" s="16" t="n">
        <f aca="false">IF(G16362&lt;=$C$16201,$C$16193*G16363,0)</f>
        <v>0</v>
      </c>
      <c r="H16364" s="16" t="n">
        <f aca="false">IF(H16362&lt;=$C$16201,$C$16193*H16363,0)</f>
        <v>0</v>
      </c>
    </row>
    <row r="16365" customFormat="false" ht="15" hidden="false" customHeight="false" outlineLevel="0" collapsed="false">
      <c r="A16365" s="3" t="s">
        <v>603</v>
      </c>
      <c r="D16365" s="16" t="n">
        <f aca="false">IF(AND($C$16024=0,D16362=$C$16196),$C$16193*$C$16359/100,0)+IF(AND($C$16024=1,D16362=$C$16360),$C$16199,0)</f>
        <v>0</v>
      </c>
      <c r="E16365" s="16" t="n">
        <f aca="false">IF(AND($C$16024=0,E16362=$C$16196),$C$16193*$C$16359/100,0)+IF(AND($C$16024=1,E16362=$C$16360),$C$16199,0)</f>
        <v>0</v>
      </c>
      <c r="F16365" s="16" t="n">
        <f aca="false">IF(AND($C$16024=0,F16362=$C$16196),$C$16193*$C$16359/100,0)+IF(AND($C$16024=1,F16362=$C$16360),$C$16199,0)</f>
        <v>102.625</v>
      </c>
      <c r="G16365" s="16" t="n">
        <f aca="false">IF(AND($C$16024=0,G16362=$C$16196),$C$16193*$C$16359/100,0)+IF(AND($C$16024=1,G16362=$C$16360),$C$16199,0)</f>
        <v>0</v>
      </c>
      <c r="H16365" s="16" t="n">
        <f aca="false">IF(AND($C$16024=0,H16362=$C$16196),$C$16193*$C$16359/100,0)+IF(AND($C$16024=1,H16362=$C$16360),$C$16199,0)</f>
        <v>0</v>
      </c>
      <c r="I16365" s="16" t="n">
        <f aca="false">IF(AND($C$16024=0,I16362=$C$16196),$C$16193*$C$16359/100,0)+IF(AND($C$16024=1,I16362=$C$16360),$C$16199,0)</f>
        <v>0</v>
      </c>
    </row>
    <row r="16366" customFormat="false" ht="15" hidden="false" customHeight="false" outlineLevel="0" collapsed="false">
      <c r="A16366" s="2" t="s">
        <v>604</v>
      </c>
      <c r="C16366" s="17" t="n">
        <f aca="false">-$C$16195</f>
        <v>-98.49</v>
      </c>
      <c r="D16366" s="17" t="n">
        <f aca="false">D16364+D16365</f>
        <v>10.65</v>
      </c>
      <c r="E16366" s="17" t="n">
        <f aca="false">E16364+E16365</f>
        <v>10.5</v>
      </c>
      <c r="F16366" s="17" t="n">
        <f aca="false">F16364+F16365</f>
        <v>102.625</v>
      </c>
      <c r="G16366" s="17" t="n">
        <f aca="false">G16364+G16365</f>
        <v>0</v>
      </c>
      <c r="H16366" s="17" t="n">
        <f aca="false">H16364+H16365</f>
        <v>0</v>
      </c>
      <c r="I16366" s="17" t="n">
        <f aca="false">I16364+I16365</f>
        <v>0</v>
      </c>
    </row>
    <row r="16367" customFormat="false" ht="15" hidden="false" customHeight="false" outlineLevel="0" collapsed="false">
      <c r="A16367" s="3" t="s">
        <v>605</v>
      </c>
      <c r="C16367" s="16" t="n">
        <f aca="false">SUM($C$16364:$I$16364)</f>
        <v>21.15</v>
      </c>
    </row>
    <row r="16368" customFormat="false" ht="15" hidden="false" customHeight="false" outlineLevel="0" collapsed="false">
      <c r="A16368" s="3" t="s">
        <v>606</v>
      </c>
      <c r="C16368" s="16" t="n">
        <f aca="false">SUM($C$16365:$I$16365)</f>
        <v>102.625</v>
      </c>
    </row>
    <row r="16369" customFormat="false" ht="15" hidden="false" customHeight="false" outlineLevel="0" collapsed="false">
      <c r="A16369" s="3" t="s">
        <v>607</v>
      </c>
      <c r="C16369" s="16" t="n">
        <f aca="false">C16367+C16368</f>
        <v>123.775</v>
      </c>
    </row>
    <row r="16370" customFormat="false" ht="15" hidden="false" customHeight="false" outlineLevel="0" collapsed="false">
      <c r="A16370" s="3" t="s">
        <v>608</v>
      </c>
      <c r="C16370" s="16" t="n">
        <f aca="false">C16368-C16193*C16194/100</f>
        <v>4.62500000000001</v>
      </c>
    </row>
    <row r="16371" customFormat="false" ht="15" hidden="false" customHeight="false" outlineLevel="0" collapsed="false">
      <c r="A16371" s="3" t="s">
        <v>609</v>
      </c>
      <c r="C16371" s="16" t="n">
        <f aca="false">C16369-C16195</f>
        <v>25.285</v>
      </c>
    </row>
    <row r="16372" customFormat="false" ht="15" hidden="false" customHeight="false" outlineLevel="0" collapsed="false">
      <c r="A16372" s="2" t="s">
        <v>484</v>
      </c>
      <c r="C16372" s="44" t="n">
        <f aca="false">C16369/C16195</f>
        <v>1.25672657122551</v>
      </c>
    </row>
    <row r="16373" customFormat="false" ht="15" hidden="false" customHeight="false" outlineLevel="0" collapsed="false">
      <c r="A16373" s="2" t="s">
        <v>483</v>
      </c>
      <c r="C16373" s="42" t="n">
        <f aca="false">IF(C16369&lt;=0,-1,IFERROR(IRR($C$16366:$I$16366,MAX(-0.9,C16372^(1/C16360)-1)),IRR($C$16366:$I$16366,0.1)))</f>
        <v>0.0873962489027792</v>
      </c>
    </row>
    <row r="16374" customFormat="false" ht="15" hidden="false" customHeight="false" outlineLevel="0" collapsed="false">
      <c r="A16374" s="3" t="s">
        <v>610</v>
      </c>
      <c r="C16374" s="32" t="n">
        <f aca="false">MAX($G$15968:$K$15968)</f>
        <v>16.100280736754</v>
      </c>
    </row>
    <row r="16375" customFormat="false" ht="15" hidden="false" customHeight="false" outlineLevel="0" collapsed="false">
      <c r="A16375" s="3" t="s">
        <v>611</v>
      </c>
      <c r="C16375" s="32" t="n">
        <f aca="false">MIN($G$15969:$K$15969)</f>
        <v>0.968087970265804</v>
      </c>
    </row>
    <row r="16376" customFormat="false" ht="15" hidden="false" customHeight="false" outlineLevel="0" collapsed="false">
      <c r="A16376" s="3" t="s">
        <v>612</v>
      </c>
      <c r="C16376" s="16" t="n">
        <f aca="false">SUM($G$15756:$K$15756)</f>
        <v>-408.792629557769</v>
      </c>
    </row>
    <row r="16380" customFormat="false" ht="15" hidden="false" customHeight="false" outlineLevel="0" collapsed="false">
      <c r="A16380" s="9" t="s">
        <v>1155</v>
      </c>
      <c r="B16380" s="10"/>
      <c r="C16380" s="10"/>
      <c r="D16380" s="10"/>
      <c r="E16380" s="10"/>
      <c r="F16380" s="10"/>
      <c r="G16380" s="10"/>
      <c r="H16380" s="10"/>
      <c r="I16380" s="10"/>
      <c r="J16380" s="10"/>
      <c r="K16380" s="10"/>
    </row>
    <row r="16381" customFormat="false" ht="15" hidden="false" customHeight="false" outlineLevel="0" collapsed="false">
      <c r="A16381" s="3" t="s">
        <v>1126</v>
      </c>
      <c r="C16381" s="11" t="n">
        <v>2</v>
      </c>
    </row>
    <row r="16382" customFormat="false" ht="15" hidden="false" customHeight="false" outlineLevel="0" collapsed="false">
      <c r="A16382" s="3" t="s">
        <v>1127</v>
      </c>
      <c r="C16382" s="30" t="n">
        <f aca="false">Sensitivities!$A$42</f>
        <v>0</v>
      </c>
    </row>
    <row r="16383" customFormat="false" ht="15" hidden="false" customHeight="false" outlineLevel="0" collapsed="false">
      <c r="A16383" s="3" t="s">
        <v>1128</v>
      </c>
      <c r="C16383" s="19" t="n">
        <v>0</v>
      </c>
    </row>
    <row r="16384" customFormat="false" ht="15" hidden="false" customHeight="false" outlineLevel="0" collapsed="false">
      <c r="A16384" s="3" t="s">
        <v>1129</v>
      </c>
      <c r="C16384" s="19" t="n">
        <v>0</v>
      </c>
    </row>
    <row r="16385" customFormat="false" ht="15" hidden="false" customHeight="false" outlineLevel="0" collapsed="false">
      <c r="A16385" s="3" t="s">
        <v>1130</v>
      </c>
      <c r="C16385" s="15" t="n">
        <v>0</v>
      </c>
    </row>
    <row r="16387" customFormat="false" ht="15" hidden="false" customHeight="false" outlineLevel="0" collapsed="false">
      <c r="A16387" s="24" t="s">
        <v>301</v>
      </c>
      <c r="B16387" s="25"/>
      <c r="C16387" s="25"/>
      <c r="D16387" s="25"/>
      <c r="E16387" s="25"/>
      <c r="F16387" s="25"/>
      <c r="G16387" s="25"/>
      <c r="H16387" s="25"/>
      <c r="I16387" s="25"/>
      <c r="J16387" s="25"/>
      <c r="K16387" s="25"/>
    </row>
    <row r="16388" customFormat="false" ht="15" hidden="false" customHeight="false" outlineLevel="0" collapsed="false">
      <c r="A16388" s="3" t="s">
        <v>302</v>
      </c>
      <c r="F16388" s="27" t="n">
        <f aca="false">Assumptions!$C$6</f>
        <v>2026</v>
      </c>
      <c r="G16388" s="21" t="n">
        <f aca="false">F16388+1</f>
        <v>2027</v>
      </c>
      <c r="H16388" s="21" t="n">
        <f aca="false">G16388+1</f>
        <v>2028</v>
      </c>
      <c r="I16388" s="21" t="n">
        <f aca="false">H16388+1</f>
        <v>2029</v>
      </c>
      <c r="J16388" s="21" t="n">
        <f aca="false">I16388+1</f>
        <v>2030</v>
      </c>
      <c r="K16388" s="21" t="n">
        <f aca="false">J16388+1</f>
        <v>2031</v>
      </c>
    </row>
    <row r="16389" customFormat="false" ht="15" hidden="false" customHeight="false" outlineLevel="0" collapsed="false">
      <c r="A16389" s="3" t="s">
        <v>303</v>
      </c>
      <c r="G16389" s="21" t="n">
        <f aca="false">G16388-Assumptions!$C$6</f>
        <v>1</v>
      </c>
      <c r="H16389" s="21" t="n">
        <f aca="false">H16388-Assumptions!$C$6</f>
        <v>2</v>
      </c>
      <c r="I16389" s="21" t="n">
        <f aca="false">I16388-Assumptions!$C$6</f>
        <v>3</v>
      </c>
      <c r="J16389" s="21" t="n">
        <f aca="false">J16388-Assumptions!$C$6</f>
        <v>4</v>
      </c>
      <c r="K16389" s="21" t="n">
        <f aca="false">K16388-Assumptions!$C$6</f>
        <v>5</v>
      </c>
    </row>
    <row r="16390" customFormat="false" ht="15" hidden="false" customHeight="false" outlineLevel="0" collapsed="false">
      <c r="A16390" s="3" t="s">
        <v>180</v>
      </c>
      <c r="G16390" s="22" t="n">
        <f aca="false">CHOOSE($C$16381,Assumptions!$G$79,Assumptions!$G$98,Assumptions!$G$117)+$C$16382</f>
        <v>-0.06</v>
      </c>
      <c r="H16390" s="22" t="n">
        <f aca="false">CHOOSE($C$16381,Assumptions!$H$79,Assumptions!$H$98,Assumptions!$H$117)+$C$16382</f>
        <v>-0.03</v>
      </c>
      <c r="I16390" s="22" t="n">
        <f aca="false">CHOOSE($C$16381,Assumptions!$I$79,Assumptions!$I$98,Assumptions!$I$117)+$C$16382</f>
        <v>0</v>
      </c>
      <c r="J16390" s="22" t="n">
        <f aca="false">CHOOSE($C$16381,Assumptions!$J$79,Assumptions!$J$98,Assumptions!$J$117)+$C$16382</f>
        <v>0.01</v>
      </c>
      <c r="K16390" s="22" t="n">
        <f aca="false">CHOOSE($C$16381,Assumptions!$K$79,Assumptions!$K$98,Assumptions!$K$117)+$C$16382</f>
        <v>0.01</v>
      </c>
    </row>
    <row r="16391" customFormat="false" ht="15" hidden="false" customHeight="false" outlineLevel="0" collapsed="false">
      <c r="A16391" s="3" t="s">
        <v>181</v>
      </c>
      <c r="G16391" s="22" t="n">
        <f aca="false">CHOOSE($C$16381,Assumptions!$G$80,Assumptions!$G$99,Assumptions!$G$118)</f>
        <v>0.573920660818678</v>
      </c>
      <c r="H16391" s="22" t="n">
        <f aca="false">CHOOSE($C$16381,Assumptions!$H$80,Assumptions!$H$99,Assumptions!$H$118)</f>
        <v>0.558920660818678</v>
      </c>
      <c r="I16391" s="22" t="n">
        <f aca="false">CHOOSE($C$16381,Assumptions!$I$80,Assumptions!$I$99,Assumptions!$I$118)</f>
        <v>0.558920660818678</v>
      </c>
      <c r="J16391" s="22" t="n">
        <f aca="false">CHOOSE($C$16381,Assumptions!$J$80,Assumptions!$J$99,Assumptions!$J$118)</f>
        <v>0.563920660818678</v>
      </c>
      <c r="K16391" s="22" t="n">
        <f aca="false">CHOOSE($C$16381,Assumptions!$K$80,Assumptions!$K$99,Assumptions!$K$118)</f>
        <v>0.568920660818678</v>
      </c>
    </row>
    <row r="16392" customFormat="false" ht="15" hidden="false" customHeight="false" outlineLevel="0" collapsed="false">
      <c r="A16392" s="3" t="s">
        <v>182</v>
      </c>
      <c r="G16392" s="22" t="n">
        <f aca="false">CHOOSE($C$16381,Assumptions!$G$81,Assumptions!$G$100,Assumptions!$G$119)+$C$16383</f>
        <v>0.5</v>
      </c>
      <c r="H16392" s="22" t="n">
        <f aca="false">CHOOSE($C$16381,Assumptions!$H$81,Assumptions!$H$100,Assumptions!$H$119)+$C$16383</f>
        <v>0.485</v>
      </c>
      <c r="I16392" s="22" t="n">
        <f aca="false">CHOOSE($C$16381,Assumptions!$I$81,Assumptions!$I$100,Assumptions!$I$119)+$C$16383</f>
        <v>0.485</v>
      </c>
      <c r="J16392" s="22" t="n">
        <f aca="false">CHOOSE($C$16381,Assumptions!$J$81,Assumptions!$J$100,Assumptions!$J$119)+$C$16383</f>
        <v>0.49</v>
      </c>
      <c r="K16392" s="22" t="n">
        <f aca="false">CHOOSE($C$16381,Assumptions!$K$81,Assumptions!$K$100,Assumptions!$K$119)+$C$16383</f>
        <v>0.495</v>
      </c>
    </row>
    <row r="16393" customFormat="false" ht="15" hidden="false" customHeight="false" outlineLevel="0" collapsed="false">
      <c r="A16393" s="24" t="s">
        <v>304</v>
      </c>
      <c r="B16393" s="25"/>
      <c r="C16393" s="25"/>
      <c r="D16393" s="25"/>
      <c r="E16393" s="25"/>
      <c r="F16393" s="25"/>
      <c r="G16393" s="25"/>
      <c r="H16393" s="25"/>
      <c r="I16393" s="25"/>
      <c r="J16393" s="25"/>
      <c r="K16393" s="25"/>
    </row>
    <row r="16394" customFormat="false" ht="15" hidden="false" customHeight="false" outlineLevel="0" collapsed="false">
      <c r="A16394" s="2" t="s">
        <v>275</v>
      </c>
      <c r="F16394" s="28" t="n">
        <f aca="false">'Historical Financials'!G25</f>
        <v>498.291</v>
      </c>
      <c r="G16394" s="17" t="n">
        <f aca="false">F16394*(1+G16390)</f>
        <v>468.39354</v>
      </c>
      <c r="H16394" s="17" t="n">
        <f aca="false">G16394*(1+H16390)</f>
        <v>454.3417338</v>
      </c>
      <c r="I16394" s="17" t="n">
        <f aca="false">H16394*(1+I16390)</f>
        <v>454.3417338</v>
      </c>
      <c r="J16394" s="17" t="n">
        <f aca="false">I16394*(1+J16390)</f>
        <v>458.885151138</v>
      </c>
      <c r="K16394" s="17" t="n">
        <f aca="false">J16394*(1+K16390)</f>
        <v>463.47400264938</v>
      </c>
    </row>
    <row r="16395" customFormat="false" ht="15" hidden="false" customHeight="false" outlineLevel="0" collapsed="false">
      <c r="A16395" s="3" t="s">
        <v>276</v>
      </c>
      <c r="G16395" s="16" t="n">
        <f aca="false">G16394*(1-G16391)</f>
        <v>199.57281</v>
      </c>
      <c r="H16395" s="16" t="n">
        <f aca="false">H16394*(1-H16391)</f>
        <v>200.400751707</v>
      </c>
      <c r="I16395" s="16" t="n">
        <f aca="false">I16394*(1-I16391)</f>
        <v>200.400751707</v>
      </c>
      <c r="J16395" s="16" t="n">
        <f aca="false">J16394*(1-J16391)</f>
        <v>200.11033346838</v>
      </c>
      <c r="K16395" s="16" t="n">
        <f aca="false">K16394*(1-K16391)</f>
        <v>199.794066789817</v>
      </c>
    </row>
    <row r="16396" customFormat="false" ht="15" hidden="false" customHeight="false" outlineLevel="0" collapsed="false">
      <c r="A16396" s="2" t="s">
        <v>277</v>
      </c>
      <c r="G16396" s="17" t="n">
        <f aca="false">G16394-G16395</f>
        <v>268.82073</v>
      </c>
      <c r="H16396" s="17" t="n">
        <f aca="false">H16394-H16395</f>
        <v>253.940982093</v>
      </c>
      <c r="I16396" s="17" t="n">
        <f aca="false">I16394-I16395</f>
        <v>253.940982093</v>
      </c>
      <c r="J16396" s="17" t="n">
        <f aca="false">J16394-J16395</f>
        <v>258.77481766962</v>
      </c>
      <c r="K16396" s="17" t="n">
        <f aca="false">K16394-K16395</f>
        <v>263.679935859563</v>
      </c>
    </row>
    <row r="16397" customFormat="false" ht="15" hidden="false" customHeight="false" outlineLevel="0" collapsed="false">
      <c r="A16397" s="3" t="s">
        <v>305</v>
      </c>
      <c r="G16397" s="16" t="n">
        <f aca="false">G16396-G16398</f>
        <v>34.62396</v>
      </c>
      <c r="H16397" s="16" t="n">
        <f aca="false">H16396-H16398</f>
        <v>33.5852412</v>
      </c>
      <c r="I16397" s="16" t="n">
        <f aca="false">I16396-I16398</f>
        <v>33.5852412</v>
      </c>
      <c r="J16397" s="16" t="n">
        <f aca="false">J16396-J16398</f>
        <v>33.921093612</v>
      </c>
      <c r="K16397" s="16" t="n">
        <f aca="false">K16396-K16398</f>
        <v>34.26030454812</v>
      </c>
    </row>
    <row r="16398" customFormat="false" ht="15" hidden="false" customHeight="false" outlineLevel="0" collapsed="false">
      <c r="A16398" s="2" t="s">
        <v>306</v>
      </c>
      <c r="G16398" s="17" t="n">
        <f aca="false">G16394*G16392</f>
        <v>234.19677</v>
      </c>
      <c r="H16398" s="17" t="n">
        <f aca="false">H16394*H16392</f>
        <v>220.355740893</v>
      </c>
      <c r="I16398" s="17" t="n">
        <f aca="false">I16394*I16392</f>
        <v>220.355740893</v>
      </c>
      <c r="J16398" s="17" t="n">
        <f aca="false">J16394*J16392</f>
        <v>224.85372405762</v>
      </c>
      <c r="K16398" s="17" t="n">
        <f aca="false">K16394*K16392</f>
        <v>229.419631311443</v>
      </c>
    </row>
    <row r="16399" customFormat="false" ht="15" hidden="false" customHeight="false" outlineLevel="0" collapsed="false">
      <c r="A16399" s="3" t="s">
        <v>307</v>
      </c>
      <c r="G16399" s="16" t="n">
        <f aca="false">G16394*'Historical Financials'!G30/'Historical Financials'!G25</f>
        <v>174.17542</v>
      </c>
      <c r="H16399" s="16" t="n">
        <f aca="false">H16394*'Historical Financials'!G30/'Historical Financials'!G25</f>
        <v>168.9501574</v>
      </c>
      <c r="I16399" s="16" t="n">
        <f aca="false">I16394*'Historical Financials'!G30/'Historical Financials'!G25</f>
        <v>168.9501574</v>
      </c>
      <c r="J16399" s="16" t="n">
        <f aca="false">J16394*'Historical Financials'!G30/'Historical Financials'!G25</f>
        <v>170.639658974</v>
      </c>
      <c r="K16399" s="16" t="n">
        <f aca="false">K16394*'Historical Financials'!G30/'Historical Financials'!G25</f>
        <v>172.34605556374</v>
      </c>
    </row>
    <row r="16400" customFormat="false" ht="15" hidden="false" customHeight="false" outlineLevel="0" collapsed="false">
      <c r="A16400" s="3" t="s">
        <v>308</v>
      </c>
      <c r="G16400" s="16" t="n">
        <f aca="false">G16394*'Historical Financials'!G31/'Historical Financials'!G25</f>
        <v>0</v>
      </c>
      <c r="H16400" s="16" t="n">
        <f aca="false">H16394*'Historical Financials'!G31/'Historical Financials'!G25</f>
        <v>0</v>
      </c>
      <c r="I16400" s="16" t="n">
        <f aca="false">I16394*'Historical Financials'!G31/'Historical Financials'!G25</f>
        <v>0</v>
      </c>
      <c r="J16400" s="16" t="n">
        <f aca="false">J16394*'Historical Financials'!G31/'Historical Financials'!G25</f>
        <v>0</v>
      </c>
      <c r="K16400" s="16" t="n">
        <f aca="false">K16394*'Historical Financials'!G31/'Historical Financials'!G25</f>
        <v>0</v>
      </c>
    </row>
    <row r="16401" customFormat="false" ht="15" hidden="false" customHeight="false" outlineLevel="0" collapsed="false">
      <c r="A16401" s="2" t="s">
        <v>309</v>
      </c>
      <c r="G16401" s="17" t="n">
        <f aca="false">G16398-G16399-G16400</f>
        <v>60.02135</v>
      </c>
      <c r="H16401" s="17" t="n">
        <f aca="false">H16398-H16399-H16400</f>
        <v>51.405583493</v>
      </c>
      <c r="I16401" s="17" t="n">
        <f aca="false">I16398-I16399-I16400</f>
        <v>51.405583493</v>
      </c>
      <c r="J16401" s="17" t="n">
        <f aca="false">J16398-J16399-J16400</f>
        <v>54.21406508362</v>
      </c>
      <c r="K16401" s="17" t="n">
        <f aca="false">K16398-K16399-K16400</f>
        <v>57.0735757477031</v>
      </c>
    </row>
    <row r="16402" customFormat="false" ht="15" hidden="false" customHeight="false" outlineLevel="0" collapsed="false">
      <c r="A16402" s="3" t="s">
        <v>310</v>
      </c>
      <c r="G16402" s="16" t="n">
        <f aca="false">G16428+G16441+G16454+G16467+G16480+G16493+G16506+G16519+G16532+G16545</f>
        <v>187.3888354</v>
      </c>
      <c r="H16402" s="16" t="n">
        <f aca="false">H16428+H16441+H16454+H16467+H16480+H16493+H16506+H16519+H16532+H16545</f>
        <v>186.2509204</v>
      </c>
      <c r="I16402" s="16" t="n">
        <f aca="false">I16428+I16441+I16454+I16467+I16480+I16493+I16506+I16519+I16532+I16545</f>
        <v>182.7365265363</v>
      </c>
      <c r="J16402" s="16" t="n">
        <f aca="false">J16428+J16441+J16454+J16467+J16480+J16493+J16506+J16519+J16532+J16545</f>
        <v>182.3265265363</v>
      </c>
      <c r="K16402" s="16" t="n">
        <f aca="false">K16428+K16441+K16454+K16467+K16480+K16493+K16506+K16519+K16532+K16545</f>
        <v>181.9165265363</v>
      </c>
    </row>
    <row r="16403" customFormat="false" ht="15" hidden="false" customHeight="false" outlineLevel="0" collapsed="false">
      <c r="A16403" s="3" t="s">
        <v>311</v>
      </c>
      <c r="G16403" s="16" t="n">
        <f aca="false">G16429+G16442+G16455+G16468+G16481+G16494+G16507+G16520+G16533+G16546</f>
        <v>0</v>
      </c>
      <c r="H16403" s="16" t="n">
        <f aca="false">H16429+H16442+H16455+H16468+H16481+H16494+H16507+H16520+H16533+H16546</f>
        <v>0</v>
      </c>
      <c r="I16403" s="16" t="n">
        <f aca="false">I16429+I16442+I16455+I16468+I16481+I16494+I16507+I16520+I16533+I16546</f>
        <v>0</v>
      </c>
      <c r="J16403" s="16" t="n">
        <f aca="false">J16429+J16442+J16455+J16468+J16481+J16494+J16507+J16520+J16533+J16546</f>
        <v>0</v>
      </c>
      <c r="K16403" s="16" t="n">
        <f aca="false">K16429+K16442+K16455+K16468+K16481+K16494+K16507+K16520+K16533+K16546</f>
        <v>0</v>
      </c>
    </row>
    <row r="16404" customFormat="false" ht="15" hidden="false" customHeight="false" outlineLevel="0" collapsed="false">
      <c r="A16404" s="3" t="s">
        <v>283</v>
      </c>
      <c r="G16404" s="16" t="n">
        <f aca="false">G16402+G16403</f>
        <v>187.3888354</v>
      </c>
      <c r="H16404" s="16" t="n">
        <f aca="false">H16402+H16403</f>
        <v>186.2509204</v>
      </c>
      <c r="I16404" s="16" t="n">
        <f aca="false">I16402+I16403</f>
        <v>182.7365265363</v>
      </c>
      <c r="J16404" s="16" t="n">
        <f aca="false">J16402+J16403</f>
        <v>182.3265265363</v>
      </c>
      <c r="K16404" s="16" t="n">
        <f aca="false">K16402+K16403</f>
        <v>181.9165265363</v>
      </c>
    </row>
    <row r="16405" customFormat="false" ht="15" hidden="false" customHeight="false" outlineLevel="0" collapsed="false">
      <c r="A16405" s="2" t="s">
        <v>284</v>
      </c>
      <c r="G16405" s="17" t="n">
        <f aca="false">G16401-G16404</f>
        <v>-127.3674854</v>
      </c>
      <c r="H16405" s="17" t="n">
        <f aca="false">H16401-H16404</f>
        <v>-134.845336907</v>
      </c>
      <c r="I16405" s="17" t="n">
        <f aca="false">I16401-I16404</f>
        <v>-131.3309430433</v>
      </c>
      <c r="J16405" s="17" t="n">
        <f aca="false">J16401-J16404</f>
        <v>-128.112461452679</v>
      </c>
      <c r="K16405" s="17" t="n">
        <f aca="false">K16401-K16404</f>
        <v>-124.842950788596</v>
      </c>
    </row>
    <row r="16406" customFormat="false" ht="15" hidden="false" customHeight="false" outlineLevel="0" collapsed="false">
      <c r="A16406" s="3" t="s">
        <v>312</v>
      </c>
      <c r="G16406" s="16" t="n">
        <f aca="false">MAX(0,G16405)*Assumptions!$C$9</f>
        <v>0</v>
      </c>
      <c r="H16406" s="16" t="n">
        <f aca="false">MAX(0,H16405)*Assumptions!$C$9</f>
        <v>0</v>
      </c>
      <c r="I16406" s="16" t="n">
        <f aca="false">MAX(0,I16405)*Assumptions!$C$9</f>
        <v>0</v>
      </c>
      <c r="J16406" s="16" t="n">
        <f aca="false">MAX(0,J16405)*Assumptions!$C$9</f>
        <v>0</v>
      </c>
      <c r="K16406" s="16" t="n">
        <f aca="false">MAX(0,K16405)*Assumptions!$C$9</f>
        <v>0</v>
      </c>
    </row>
    <row r="16407" customFormat="false" ht="15" hidden="false" customHeight="false" outlineLevel="0" collapsed="false">
      <c r="A16407" s="2" t="s">
        <v>313</v>
      </c>
      <c r="G16407" s="17" t="n">
        <f aca="false">G16405-G16406</f>
        <v>-127.3674854</v>
      </c>
      <c r="H16407" s="17" t="n">
        <f aca="false">H16405-H16406</f>
        <v>-134.845336907</v>
      </c>
      <c r="I16407" s="17" t="n">
        <f aca="false">I16405-I16406</f>
        <v>-131.3309430433</v>
      </c>
      <c r="J16407" s="17" t="n">
        <f aca="false">J16405-J16406</f>
        <v>-128.112461452679</v>
      </c>
      <c r="K16407" s="17" t="n">
        <f aca="false">K16405-K16406</f>
        <v>-124.842950788596</v>
      </c>
    </row>
    <row r="16408" customFormat="false" ht="15" hidden="false" customHeight="false" outlineLevel="0" collapsed="false">
      <c r="A16408" s="24" t="s">
        <v>314</v>
      </c>
      <c r="B16408" s="25"/>
      <c r="C16408" s="25"/>
      <c r="D16408" s="25"/>
      <c r="E16408" s="25"/>
      <c r="F16408" s="25"/>
      <c r="G16408" s="25"/>
      <c r="H16408" s="25"/>
      <c r="I16408" s="25"/>
      <c r="J16408" s="25"/>
      <c r="K16408" s="25"/>
    </row>
    <row r="16409" customFormat="false" ht="15" hidden="false" customHeight="false" outlineLevel="0" collapsed="false">
      <c r="A16409" s="3" t="s">
        <v>184</v>
      </c>
      <c r="G16409" s="16" t="n">
        <f aca="false">G16394*CHOOSE($C$16381,Assumptions!$C$83,Assumptions!$C$102,Assumptions!$C$121)</f>
        <v>84.3108372</v>
      </c>
      <c r="H16409" s="16" t="n">
        <f aca="false">H16394*CHOOSE($C$16381,Assumptions!$C$83,Assumptions!$C$102,Assumptions!$C$121)</f>
        <v>81.781512084</v>
      </c>
      <c r="I16409" s="16" t="n">
        <f aca="false">I16394*CHOOSE($C$16381,Assumptions!$C$83,Assumptions!$C$102,Assumptions!$C$121)</f>
        <v>81.781512084</v>
      </c>
      <c r="J16409" s="16" t="n">
        <f aca="false">J16394*CHOOSE($C$16381,Assumptions!$C$83,Assumptions!$C$102,Assumptions!$C$121)</f>
        <v>82.59932720484</v>
      </c>
      <c r="K16409" s="16" t="n">
        <f aca="false">K16394*CHOOSE($C$16381,Assumptions!$C$83,Assumptions!$C$102,Assumptions!$C$121)</f>
        <v>83.4253204768884</v>
      </c>
    </row>
    <row r="16410" customFormat="false" ht="15" hidden="false" customHeight="false" outlineLevel="0" collapsed="false">
      <c r="A16410" s="3" t="s">
        <v>315</v>
      </c>
      <c r="G16410" s="16" t="n">
        <f aca="false">CHOOSE($C$16381,Assumptions!$C$84,Assumptions!$C$103,Assumptions!$C$122)*(G16394-F16394)+CHOOSE($C$16381,Assumptions!$C$85,Assumptions!$C$104,Assumptions!$C$123)*G16394</f>
        <v>23.419677</v>
      </c>
      <c r="H16410" s="16" t="n">
        <f aca="false">CHOOSE($C$16381,Assumptions!$C$84,Assumptions!$C$103,Assumptions!$C$122)*(H16394-G16394)+CHOOSE($C$16381,Assumptions!$C$85,Assumptions!$C$104,Assumptions!$C$123)*H16394</f>
        <v>22.71708669</v>
      </c>
      <c r="I16410" s="16" t="n">
        <f aca="false">CHOOSE($C$16381,Assumptions!$C$84,Assumptions!$C$103,Assumptions!$C$122)*(I16394-H16394)+CHOOSE($C$16381,Assumptions!$C$85,Assumptions!$C$104,Assumptions!$C$123)*I16394</f>
        <v>22.71708669</v>
      </c>
      <c r="J16410" s="16" t="n">
        <f aca="false">CHOOSE($C$16381,Assumptions!$C$84,Assumptions!$C$103,Assumptions!$C$122)*(J16394-I16394)+CHOOSE($C$16381,Assumptions!$C$85,Assumptions!$C$104,Assumptions!$C$123)*J16394</f>
        <v>22.9442575569</v>
      </c>
      <c r="K16410" s="16" t="n">
        <f aca="false">CHOOSE($C$16381,Assumptions!$C$84,Assumptions!$C$103,Assumptions!$C$122)*(K16394-J16394)+CHOOSE($C$16381,Assumptions!$C$85,Assumptions!$C$104,Assumptions!$C$123)*K16394</f>
        <v>23.173700132469</v>
      </c>
    </row>
    <row r="16411" customFormat="false" ht="15" hidden="false" customHeight="false" outlineLevel="0" collapsed="false">
      <c r="A16411" s="2" t="s">
        <v>316</v>
      </c>
      <c r="G16411" s="17" t="n">
        <f aca="false">G16407+G16399+G16400+G16403-G16409-G16410</f>
        <v>-60.9225796</v>
      </c>
      <c r="H16411" s="17" t="n">
        <f aca="false">H16407+H16399+H16400+H16403-H16409-H16410</f>
        <v>-70.393778281</v>
      </c>
      <c r="I16411" s="17" t="n">
        <f aca="false">I16407+I16399+I16400+I16403-I16409-I16410</f>
        <v>-66.8793844172995</v>
      </c>
      <c r="J16411" s="17" t="n">
        <f aca="false">J16407+J16399+J16400+J16403-J16409-J16410</f>
        <v>-63.0163872404195</v>
      </c>
      <c r="K16411" s="17" t="n">
        <f aca="false">K16407+K16399+K16400+K16403-K16409-K16410</f>
        <v>-59.0959158342138</v>
      </c>
    </row>
    <row r="16413" customFormat="false" ht="15" hidden="false" customHeight="false" outlineLevel="0" collapsed="false">
      <c r="A16413" s="24" t="s">
        <v>318</v>
      </c>
      <c r="B16413" s="25"/>
      <c r="C16413" s="25"/>
      <c r="D16413" s="25"/>
      <c r="E16413" s="25"/>
      <c r="F16413" s="25"/>
      <c r="G16413" s="25"/>
      <c r="H16413" s="25"/>
      <c r="I16413" s="25"/>
      <c r="J16413" s="25"/>
      <c r="K16413" s="25"/>
    </row>
    <row r="16414" customFormat="false" ht="15" hidden="false" customHeight="false" outlineLevel="0" collapsed="false">
      <c r="A16414" s="3" t="s">
        <v>319</v>
      </c>
      <c r="G16414" s="30" t="n">
        <f aca="false">Assumptions!$G$53</f>
        <v>0.039</v>
      </c>
      <c r="H16414" s="30" t="n">
        <f aca="false">Assumptions!$H$53</f>
        <v>0.0375</v>
      </c>
      <c r="I16414" s="30" t="n">
        <f aca="false">Assumptions!$I$53</f>
        <v>0.035</v>
      </c>
      <c r="J16414" s="30" t="n">
        <f aca="false">Assumptions!$J$53</f>
        <v>0.035</v>
      </c>
      <c r="K16414" s="30" t="n">
        <f aca="false">Assumptions!$K$53</f>
        <v>0.035</v>
      </c>
    </row>
    <row r="16415" customFormat="false" ht="15" hidden="false" customHeight="false" outlineLevel="0" collapsed="false">
      <c r="A16415" s="3" t="s">
        <v>320</v>
      </c>
      <c r="C16415" s="31" t="n">
        <f aca="false">CHOOSE($C$16381,Assumptions!$C$86,Assumptions!$C$105,Assumptions!$C$124)+$C$16384</f>
        <v>0.015</v>
      </c>
    </row>
    <row r="16416" customFormat="false" ht="15" hidden="false" customHeight="false" outlineLevel="0" collapsed="false">
      <c r="A16416" s="3" t="s">
        <v>321</v>
      </c>
      <c r="C16416" s="31" t="n">
        <f aca="false">CHOOSE($C$16381,Assumptions!$C$87,Assumptions!$C$106,Assumptions!$C$125)</f>
        <v>0.1</v>
      </c>
    </row>
    <row r="16417" customFormat="false" ht="15" hidden="false" customHeight="false" outlineLevel="0" collapsed="false">
      <c r="A16417" s="3" t="s">
        <v>322</v>
      </c>
      <c r="C16417" s="32" t="n">
        <f aca="false">CHOOSE($C$16381,Assumptions!$C$88,Assumptions!$C$107,Assumptions!$C$126)</f>
        <v>9.5</v>
      </c>
    </row>
    <row r="16418" customFormat="false" ht="15" hidden="false" customHeight="false" outlineLevel="0" collapsed="false">
      <c r="A16418" s="3" t="s">
        <v>323</v>
      </c>
      <c r="C16418" s="32" t="n">
        <f aca="false">CHOOSE($C$16381,Assumptions!$C$89,Assumptions!$C$108,Assumptions!$C$127)</f>
        <v>1.5</v>
      </c>
    </row>
    <row r="16419" customFormat="false" ht="15" hidden="false" customHeight="false" outlineLevel="0" collapsed="false">
      <c r="A16419" s="3" t="s">
        <v>324</v>
      </c>
      <c r="G16419" s="16" t="n">
        <f aca="false">G16424+G16437+G16450+G16463+G16476+G16489+G16502+G16515+G16528+G16541</f>
        <v>2625.934</v>
      </c>
      <c r="H16419" s="16" t="n">
        <f aca="false">H16424+H16437+H16450+H16463+H16476+H16489+H16502+H16515+H16528+H16541</f>
        <v>2621.934</v>
      </c>
      <c r="I16419" s="16" t="n">
        <f aca="false">I16424+I16437+I16450+I16463+I16476+I16489+I16502+I16515+I16528+I16541</f>
        <v>2569.380357881</v>
      </c>
      <c r="J16419" s="16" t="n">
        <f aca="false">J16424+J16437+J16450+J16463+J16476+J16489+J16502+J16515+J16528+J16541</f>
        <v>2565.380357881</v>
      </c>
      <c r="K16419" s="16" t="n">
        <f aca="false">K16424+K16437+K16450+K16463+K16476+K16489+K16502+K16515+K16528+K16541</f>
        <v>2561.380357881</v>
      </c>
    </row>
    <row r="16420" customFormat="false" ht="15" hidden="false" customHeight="false" outlineLevel="0" collapsed="false">
      <c r="A16420" s="3" t="s">
        <v>325</v>
      </c>
      <c r="G16420" s="16" t="n">
        <f aca="false">F16612</f>
        <v>37.87</v>
      </c>
      <c r="H16420" s="16" t="n">
        <f aca="false">G16612</f>
        <v>122.9474204</v>
      </c>
      <c r="I16420" s="16" t="n">
        <f aca="false">H16612</f>
        <v>0</v>
      </c>
      <c r="J16420" s="16" t="n">
        <f aca="false">I16612</f>
        <v>-70.8793844172995</v>
      </c>
      <c r="K16420" s="16" t="n">
        <f aca="false">J16612</f>
        <v>-137.895771657719</v>
      </c>
    </row>
    <row r="16421" customFormat="false" ht="15" hidden="false" customHeight="false" outlineLevel="0" collapsed="false">
      <c r="A16421" s="3" t="s">
        <v>326</v>
      </c>
      <c r="G16421" s="16" t="n">
        <f aca="false">G16424*IF(G16425=1,$C$16416,IF(Assumptions!$I$57=1,MAX(G16414,Assumptions!$G$57)+Assumptions!$F$57+$C$16415,Assumptions!$E$57))+G16437*IF(G16438=1,$C$16416,IF(Assumptions!$I$58=1,MAX(G16414,Assumptions!$G$58)+Assumptions!$F$58+$C$16415,Assumptions!$E$58))+G16450*IF(G16451=1,$C$16416,IF(Assumptions!$I$59=1,MAX(G16414,Assumptions!$G$59)+Assumptions!$F$59+$C$16415,Assumptions!$E$59))+G16463*IF(G16464=1,$C$16416,IF(Assumptions!$I$60=1,MAX(G16414,Assumptions!$G$60)+Assumptions!$F$60+$C$16415,Assumptions!$E$60))+G16476*IF(G16477=1,$C$16416,IF(Assumptions!$I$61=1,MAX(G16414,Assumptions!$G$61)+Assumptions!$F$61+$C$16415,Assumptions!$E$61))+G16489*IF(G16490=1,$C$16416,IF(Assumptions!$I$62=1,MAX(G16414,Assumptions!$G$62)+Assumptions!$F$62+$C$16415,Assumptions!$E$62))+G16502*IF(G16503=1,$C$16416,IF(Assumptions!$I$63=1,MAX(G16414,Assumptions!$G$63)+Assumptions!$F$63+$C$16415,Assumptions!$E$63))+G16515*IF(G16516=1,$C$16416,IF(Assumptions!$I$64=1,MAX(G16414,Assumptions!$G$64)+Assumptions!$F$64+$C$16415,Assumptions!$E$64))+G16528*IF(G16529=1,$C$16416,IF(Assumptions!$I$65=1,MAX(G16414,Assumptions!$G$65)+Assumptions!$F$65+$C$16415,Assumptions!$E$65))+G16541*IF(G16542=1,$C$16416,IF(Assumptions!$I$66=1,MAX(G16414,Assumptions!$G$66)+Assumptions!$F$66+$C$16415,Assumptions!$E$66))</f>
        <v>187.3888354</v>
      </c>
      <c r="H16421" s="16" t="n">
        <f aca="false">H16424*IF(OR(H16425=1,G16734=1),$C$16416,IF(Assumptions!$I$57=1,MAX(H16414,Assumptions!$G$57)+Assumptions!$F$57+$C$16415,Assumptions!$E$57))+H16437*IF(OR(H16438=1,G16735=1),$C$16416,IF(Assumptions!$I$58=1,MAX(H16414,Assumptions!$G$58)+Assumptions!$F$58+$C$16415,Assumptions!$E$58))+H16450*IF(OR(H16451=1,G16736=1),$C$16416,IF(Assumptions!$I$59=1,MAX(H16414,Assumptions!$G$59)+Assumptions!$F$59+$C$16415,Assumptions!$E$59))+H16463*IF(OR(H16464=1,G16737=1),$C$16416,IF(Assumptions!$I$60=1,MAX(H16414,Assumptions!$G$60)+Assumptions!$F$60+$C$16415,Assumptions!$E$60))+H16476*IF(OR(H16477=1,G16738=1),$C$16416,IF(Assumptions!$I$61=1,MAX(H16414,Assumptions!$G$61)+Assumptions!$F$61+$C$16415,Assumptions!$E$61))+H16489*IF(OR(H16490=1,G16739=1),$C$16416,IF(Assumptions!$I$62=1,MAX(H16414,Assumptions!$G$62)+Assumptions!$F$62+$C$16415,Assumptions!$E$62))+H16502*IF(OR(H16503=1,G16740=1),$C$16416,IF(Assumptions!$I$63=1,MAX(H16414,Assumptions!$G$63)+Assumptions!$F$63+$C$16415,Assumptions!$E$63))+H16515*IF(OR(H16516=1,G16741=1),$C$16416,IF(Assumptions!$I$64=1,MAX(H16414,Assumptions!$G$64)+Assumptions!$F$64+$C$16415,Assumptions!$E$64))+H16528*IF(OR(H16529=1,G16742=1),$C$16416,IF(Assumptions!$I$65=1,MAX(H16414,Assumptions!$G$65)+Assumptions!$F$65+$C$16415,Assumptions!$E$65))+H16541*IF(OR(H16542=1,G16743=1),$C$16416,IF(Assumptions!$I$66=1,MAX(H16414,Assumptions!$G$66)+Assumptions!$F$66+$C$16415,Assumptions!$E$66))</f>
        <v>219.4259204</v>
      </c>
      <c r="I16421" s="16" t="n">
        <f aca="false">I16424*IF(OR(I16425=1,H16734=1),$C$16416,IF(Assumptions!$I$57=1,MAX(I16414,Assumptions!$G$57)+Assumptions!$F$57+$C$16415,Assumptions!$E$57))+I16437*IF(OR(I16438=1,H16735=1),$C$16416,IF(Assumptions!$I$58=1,MAX(I16414,Assumptions!$G$58)+Assumptions!$F$58+$C$16415,Assumptions!$E$58))+I16450*IF(OR(I16451=1,H16736=1),$C$16416,IF(Assumptions!$I$59=1,MAX(I16414,Assumptions!$G$59)+Assumptions!$F$59+$C$16415,Assumptions!$E$59))+I16463*IF(OR(I16464=1,H16737=1),$C$16416,IF(Assumptions!$I$60=1,MAX(I16414,Assumptions!$G$60)+Assumptions!$F$60+$C$16415,Assumptions!$E$60))+I16476*IF(OR(I16477=1,H16738=1),$C$16416,IF(Assumptions!$I$61=1,MAX(I16414,Assumptions!$G$61)+Assumptions!$F$61+$C$16415,Assumptions!$E$61))+I16489*IF(OR(I16490=1,H16739=1),$C$16416,IF(Assumptions!$I$62=1,MAX(I16414,Assumptions!$G$62)+Assumptions!$F$62+$C$16415,Assumptions!$E$62))+I16502*IF(OR(I16503=1,H16740=1),$C$16416,IF(Assumptions!$I$63=1,MAX(I16414,Assumptions!$G$63)+Assumptions!$F$63+$C$16415,Assumptions!$E$63))+I16515*IF(OR(I16516=1,H16741=1),$C$16416,IF(Assumptions!$I$64=1,MAX(I16414,Assumptions!$G$64)+Assumptions!$F$64+$C$16415,Assumptions!$E$64))+I16528*IF(OR(I16529=1,H16742=1),$C$16416,IF(Assumptions!$I$65=1,MAX(I16414,Assumptions!$G$65)+Assumptions!$F$65+$C$16415,Assumptions!$E$65))+I16541*IF(OR(I16542=1,H16743=1),$C$16416,IF(Assumptions!$I$66=1,MAX(I16414,Assumptions!$G$66)+Assumptions!$F$66+$C$16415,Assumptions!$E$66))</f>
        <v>188.9240265363</v>
      </c>
      <c r="J16421" s="16" t="n">
        <f aca="false">J16424*IF(OR(J16425=1,I16734=1),$C$16416,IF(Assumptions!$I$57=1,MAX(J16414,Assumptions!$G$57)+Assumptions!$F$57+$C$16415,Assumptions!$E$57))+J16437*IF(OR(J16438=1,I16735=1),$C$16416,IF(Assumptions!$I$58=1,MAX(J16414,Assumptions!$G$58)+Assumptions!$F$58+$C$16415,Assumptions!$E$58))+J16450*IF(OR(J16451=1,I16736=1),$C$16416,IF(Assumptions!$I$59=1,MAX(J16414,Assumptions!$G$59)+Assumptions!$F$59+$C$16415,Assumptions!$E$59))+J16463*IF(OR(J16464=1,I16737=1),$C$16416,IF(Assumptions!$I$60=1,MAX(J16414,Assumptions!$G$60)+Assumptions!$F$60+$C$16415,Assumptions!$E$60))+J16476*IF(OR(J16477=1,I16738=1),$C$16416,IF(Assumptions!$I$61=1,MAX(J16414,Assumptions!$G$61)+Assumptions!$F$61+$C$16415,Assumptions!$E$61))+J16489*IF(OR(J16490=1,I16739=1),$C$16416,IF(Assumptions!$I$62=1,MAX(J16414,Assumptions!$G$62)+Assumptions!$F$62+$C$16415,Assumptions!$E$62))+J16502*IF(OR(J16503=1,I16740=1),$C$16416,IF(Assumptions!$I$63=1,MAX(J16414,Assumptions!$G$63)+Assumptions!$F$63+$C$16415,Assumptions!$E$63))+J16515*IF(OR(J16516=1,I16741=1),$C$16416,IF(Assumptions!$I$64=1,MAX(J16414,Assumptions!$G$64)+Assumptions!$F$64+$C$16415,Assumptions!$E$64))+J16528*IF(OR(J16529=1,I16742=1),$C$16416,IF(Assumptions!$I$65=1,MAX(J16414,Assumptions!$G$65)+Assumptions!$F$65+$C$16415,Assumptions!$E$65))+J16541*IF(OR(J16542=1,I16743=1),$C$16416,IF(Assumptions!$I$66=1,MAX(J16414,Assumptions!$G$66)+Assumptions!$F$66+$C$16415,Assumptions!$E$66))</f>
        <v>201.401526536299</v>
      </c>
      <c r="K16421" s="16" t="n">
        <f aca="false">K16424*IF(OR(K16425=1,J16734=1),$C$16416,IF(Assumptions!$I$57=1,MAX(K16414,Assumptions!$G$57)+Assumptions!$F$57+$C$16415,Assumptions!$E$57))+K16437*IF(OR(K16438=1,J16735=1),$C$16416,IF(Assumptions!$I$58=1,MAX(K16414,Assumptions!$G$58)+Assumptions!$F$58+$C$16415,Assumptions!$E$58))+K16450*IF(OR(K16451=1,J16736=1),$C$16416,IF(Assumptions!$I$59=1,MAX(K16414,Assumptions!$G$59)+Assumptions!$F$59+$C$16415,Assumptions!$E$59))+K16463*IF(OR(K16464=1,J16737=1),$C$16416,IF(Assumptions!$I$60=1,MAX(K16414,Assumptions!$G$60)+Assumptions!$F$60+$C$16415,Assumptions!$E$60))+K16476*IF(OR(K16477=1,J16738=1),$C$16416,IF(Assumptions!$I$61=1,MAX(K16414,Assumptions!$G$61)+Assumptions!$F$61+$C$16415,Assumptions!$E$61))+K16489*IF(OR(K16490=1,J16739=1),$C$16416,IF(Assumptions!$I$62=1,MAX(K16414,Assumptions!$G$62)+Assumptions!$F$62+$C$16415,Assumptions!$E$62))+K16502*IF(OR(K16503=1,J16740=1),$C$16416,IF(Assumptions!$I$63=1,MAX(K16414,Assumptions!$G$63)+Assumptions!$F$63+$C$16415,Assumptions!$E$63))+K16515*IF(OR(K16516=1,J16741=1),$C$16416,IF(Assumptions!$I$64=1,MAX(K16414,Assumptions!$G$64)+Assumptions!$F$64+$C$16415,Assumptions!$E$64))+K16528*IF(OR(K16529=1,J16742=1),$C$16416,IF(Assumptions!$I$65=1,MAX(K16414,Assumptions!$G$65)+Assumptions!$F$65+$C$16415,Assumptions!$E$65))+K16541*IF(OR(K16542=1,J16743=1),$C$16416,IF(Assumptions!$I$66=1,MAX(K16414,Assumptions!$G$66)+Assumptions!$F$66+$C$16415,Assumptions!$E$66))</f>
        <v>192.5815265363</v>
      </c>
    </row>
    <row r="16422" customFormat="false" ht="15" hidden="false" customHeight="false" outlineLevel="0" collapsed="false">
      <c r="A16422" s="3" t="s">
        <v>327</v>
      </c>
      <c r="G16422" s="21" t="n">
        <f aca="false">IF(G16398&lt;=0,0,IF(AND((G16419-G16420)/G16398&lt;=$C$16417,G16398/G16421&gt;=$C$16418),1,0))</f>
        <v>0</v>
      </c>
      <c r="H16422" s="21" t="n">
        <f aca="false">IF(H16398&lt;=0,0,IF(AND((H16419-H16420)/H16398&lt;=$C$16417,H16398/H16421&gt;=$C$16418),1,0))</f>
        <v>0</v>
      </c>
      <c r="I16422" s="21" t="n">
        <f aca="false">IF(I16398&lt;=0,0,IF(AND((I16419-I16420)/I16398&lt;=$C$16417,I16398/I16421&gt;=$C$16418),1,0))</f>
        <v>0</v>
      </c>
      <c r="J16422" s="21" t="n">
        <f aca="false">IF(J16398&lt;=0,0,IF(AND((J16419-J16420)/J16398&lt;=$C$16417,J16398/J16421&gt;=$C$16418),1,0))</f>
        <v>0</v>
      </c>
      <c r="K16422" s="21" t="n">
        <f aca="false">IF(K16398&lt;=0,0,IF(AND((K16419-K16420)/K16398&lt;=$C$16417,K16398/K16421&gt;=$C$16418),1,0))</f>
        <v>0</v>
      </c>
    </row>
    <row r="16423" customFormat="false" ht="15" hidden="false" customHeight="false" outlineLevel="0" collapsed="false">
      <c r="A16423" s="24" t="s">
        <v>328</v>
      </c>
      <c r="B16423" s="25"/>
      <c r="C16423" s="25"/>
      <c r="D16423" s="25"/>
      <c r="E16423" s="25"/>
      <c r="F16423" s="25"/>
      <c r="G16423" s="25"/>
      <c r="H16423" s="25"/>
      <c r="I16423" s="25"/>
      <c r="J16423" s="25"/>
      <c r="K16423" s="25"/>
    </row>
    <row r="16424" customFormat="false" ht="15" hidden="false" customHeight="false" outlineLevel="0" collapsed="false">
      <c r="A16424" s="3" t="s">
        <v>329</v>
      </c>
      <c r="G16424" s="16" t="n">
        <f aca="false">F16435</f>
        <v>400</v>
      </c>
      <c r="H16424" s="16" t="n">
        <f aca="false">G16435</f>
        <v>396</v>
      </c>
      <c r="I16424" s="16" t="n">
        <f aca="false">H16435</f>
        <v>392</v>
      </c>
      <c r="J16424" s="16" t="n">
        <f aca="false">I16435</f>
        <v>388</v>
      </c>
      <c r="K16424" s="16" t="n">
        <f aca="false">J16435</f>
        <v>384</v>
      </c>
    </row>
    <row r="16425" customFormat="false" ht="15" hidden="false" customHeight="false" outlineLevel="0" collapsed="false">
      <c r="A16425" s="3" t="s">
        <v>330</v>
      </c>
      <c r="G16425" s="21" t="n">
        <f aca="false">IF(G16388=Assumptions!$K$57,1,0)</f>
        <v>0</v>
      </c>
      <c r="H16425" s="21" t="n">
        <f aca="false">IF(H16388=Assumptions!$K$57,1,0)</f>
        <v>0</v>
      </c>
      <c r="I16425" s="21" t="n">
        <f aca="false">IF(I16388=Assumptions!$K$57,1,0)</f>
        <v>0</v>
      </c>
      <c r="J16425" s="21" t="n">
        <f aca="false">IF(J16388=Assumptions!$K$57,1,0)</f>
        <v>0</v>
      </c>
      <c r="K16425" s="21" t="n">
        <f aca="false">IF(K16388=Assumptions!$K$57,1,0)</f>
        <v>1</v>
      </c>
    </row>
    <row r="16427" customFormat="false" ht="15" hidden="false" customHeight="false" outlineLevel="0" collapsed="false">
      <c r="A16427" s="3" t="s">
        <v>331</v>
      </c>
      <c r="G16427" s="31" t="n">
        <f aca="false">IF(Assumptions!$I$57=1,MAX(G16414,Assumptions!$G$57)+Assumptions!$F$57+$C$16415,Assumptions!$E$57)</f>
        <v>0.1065</v>
      </c>
      <c r="H16427" s="31" t="n">
        <f aca="false">IF(G16734=1,$C$16416,IF(Assumptions!$I$57=1,MAX(H16414,Assumptions!$G$57)+Assumptions!$F$57+$C$16415,Assumptions!$E$57))</f>
        <v>0.105</v>
      </c>
      <c r="I16427" s="31" t="n">
        <f aca="false">IF(H16734=1,$C$16416,IF(Assumptions!$I$57=1,MAX(I16414,Assumptions!$G$57)+Assumptions!$F$57+$C$16415,Assumptions!$E$57))</f>
        <v>0.1025</v>
      </c>
      <c r="J16427" s="31" t="n">
        <f aca="false">IF(I16734=1,$C$16416,IF(Assumptions!$I$57=1,MAX(J16414,Assumptions!$G$57)+Assumptions!$F$57+$C$16415,Assumptions!$E$57))</f>
        <v>0.1025</v>
      </c>
      <c r="K16427" s="31" t="n">
        <f aca="false">IF(J16734=1,$C$16416,IF(Assumptions!$I$57=1,MAX(K16414,Assumptions!$G$57)+Assumptions!$F$57+$C$16415,Assumptions!$E$57))</f>
        <v>0.1025</v>
      </c>
    </row>
    <row r="16428" customFormat="false" ht="15" hidden="false" customHeight="false" outlineLevel="0" collapsed="false">
      <c r="A16428" s="3" t="s">
        <v>332</v>
      </c>
      <c r="G16428" s="16" t="n">
        <f aca="false">G16424*G16427</f>
        <v>42.6</v>
      </c>
      <c r="H16428" s="16" t="n">
        <f aca="false">H16424*H16427</f>
        <v>41.58</v>
      </c>
      <c r="I16428" s="16" t="n">
        <f aca="false">I16424*I16427</f>
        <v>40.18</v>
      </c>
      <c r="J16428" s="16" t="n">
        <f aca="false">J16424*J16427</f>
        <v>39.77</v>
      </c>
      <c r="K16428" s="16" t="n">
        <f aca="false">K16424*K16427</f>
        <v>39.36</v>
      </c>
    </row>
    <row r="16429" customFormat="false" ht="15" hidden="false" customHeight="false" outlineLevel="0" collapsed="false">
      <c r="A16429" s="3" t="s">
        <v>333</v>
      </c>
      <c r="G16429" s="16" t="n">
        <f aca="false">G16424*Assumptions!$H$57</f>
        <v>0</v>
      </c>
      <c r="H16429" s="16" t="n">
        <f aca="false">H16424*Assumptions!$H$57</f>
        <v>0</v>
      </c>
      <c r="I16429" s="16" t="n">
        <f aca="false">I16424*Assumptions!$H$57</f>
        <v>0</v>
      </c>
      <c r="J16429" s="16" t="n">
        <f aca="false">J16424*Assumptions!$H$57</f>
        <v>0</v>
      </c>
      <c r="K16429" s="16" t="n">
        <f aca="false">K16424*Assumptions!$H$57</f>
        <v>0</v>
      </c>
    </row>
    <row r="16430" customFormat="false" ht="15" hidden="false" customHeight="false" outlineLevel="0" collapsed="false">
      <c r="A16430" s="3" t="s">
        <v>334</v>
      </c>
      <c r="G16430" s="16" t="n">
        <f aca="false">MIN(G16424,Assumptions!$L$57*Assumptions!$C$57)</f>
        <v>4</v>
      </c>
      <c r="H16430" s="16" t="n">
        <f aca="false">MIN(H16424,Assumptions!$L$57*Assumptions!$C$57)</f>
        <v>4</v>
      </c>
      <c r="I16430" s="16" t="n">
        <f aca="false">MIN(I16424,Assumptions!$L$57*Assumptions!$C$57)</f>
        <v>4</v>
      </c>
      <c r="J16430" s="16" t="n">
        <f aca="false">MIN(J16424,Assumptions!$L$57*Assumptions!$C$57)</f>
        <v>4</v>
      </c>
      <c r="K16430" s="16" t="n">
        <f aca="false">MIN(K16424,Assumptions!$L$57*Assumptions!$C$57)</f>
        <v>4</v>
      </c>
    </row>
    <row r="16431" customFormat="false" ht="15" hidden="false" customHeight="false" outlineLevel="0" collapsed="false">
      <c r="A16431" s="3" t="s">
        <v>335</v>
      </c>
      <c r="G16431" s="16" t="n">
        <f aca="false">IF(AND(Assumptions!$P$57=1,G16388&lt;Assumptions!$K$57),MIN(MAX(0,-G16604),MAX(0,Assumptions!$D$57-G16424)),0)</f>
        <v>0</v>
      </c>
      <c r="H16431" s="16" t="n">
        <f aca="false">IF(AND(Assumptions!$P$57=1,OR(H16388&lt;Assumptions!$K$57,G16734=1)),MIN(MAX(0,-H16604),MAX(0,Assumptions!$D$57-H16424)),0)</f>
        <v>0</v>
      </c>
      <c r="I16431" s="16" t="n">
        <f aca="false">IF(AND(Assumptions!$P$57=1,OR(I16388&lt;Assumptions!$K$57,H16734=1)),MIN(MAX(0,-I16604),MAX(0,Assumptions!$D$57-I16424)),0)</f>
        <v>0</v>
      </c>
      <c r="J16431" s="16" t="n">
        <f aca="false">IF(AND(Assumptions!$P$57=1,OR(J16388&lt;Assumptions!$K$57,I16734=1)),MIN(MAX(0,-J16604),MAX(0,Assumptions!$D$57-J16424)),0)</f>
        <v>0</v>
      </c>
      <c r="K16431" s="16" t="n">
        <f aca="false">IF(AND(Assumptions!$P$57=1,OR(K16388&lt;Assumptions!$K$57,J16734=1)),MIN(MAX(0,-K16604),MAX(0,Assumptions!$D$57-K16424)),0)</f>
        <v>0</v>
      </c>
    </row>
    <row r="16432" customFormat="false" ht="15" hidden="false" customHeight="false" outlineLevel="0" collapsed="false">
      <c r="A16432" s="3" t="s">
        <v>336</v>
      </c>
      <c r="G16432" s="16" t="n">
        <f aca="false">G16425*MIN(G16424-G16430+G16429,MAX(0,G16606-Assumptions!$C$12*G16422))</f>
        <v>0</v>
      </c>
      <c r="H16432" s="16" t="n">
        <f aca="false">H16425*MIN(H16424-H16430+H16429,MAX(0,H16606-Assumptions!$C$12*H16422))</f>
        <v>0</v>
      </c>
      <c r="I16432" s="16" t="n">
        <f aca="false">I16425*MIN(I16424-I16430+I16429,MAX(0,I16606-Assumptions!$C$12*I16422))</f>
        <v>0</v>
      </c>
      <c r="J16432" s="16" t="n">
        <f aca="false">J16425*MIN(J16424-J16430+J16429,MAX(0,J16606-Assumptions!$C$12*J16422))</f>
        <v>0</v>
      </c>
      <c r="K16432" s="16" t="n">
        <f aca="false">K16425*MIN(K16424-K16430+K16429,MAX(0,K16606-Assumptions!$C$12*K16422))</f>
        <v>0</v>
      </c>
    </row>
    <row r="16433" customFormat="false" ht="15" hidden="false" customHeight="false" outlineLevel="0" collapsed="false">
      <c r="A16433" s="3" t="s">
        <v>337</v>
      </c>
      <c r="G16433" s="16" t="n">
        <f aca="false">Assumptions!$N$57*MIN(G16424+G16431+G16429-G16430-G16432,MAX(0,G16610))</f>
        <v>0</v>
      </c>
      <c r="H16433" s="16" t="n">
        <f aca="false">Assumptions!$N$57*MIN(H16424+H16431+H16429-H16430-H16432,MAX(0,H16610))</f>
        <v>0</v>
      </c>
      <c r="I16433" s="16" t="n">
        <f aca="false">Assumptions!$N$57*MIN(I16424+I16431+I16429-I16430-I16432,MAX(0,I16610))</f>
        <v>0</v>
      </c>
      <c r="J16433" s="16" t="n">
        <f aca="false">Assumptions!$N$57*MIN(J16424+J16431+J16429-J16430-J16432,MAX(0,J16610))</f>
        <v>0</v>
      </c>
      <c r="K16433" s="16" t="n">
        <f aca="false">Assumptions!$N$57*MIN(K16424+K16431+K16429-K16430-K16432,MAX(0,K16610))</f>
        <v>0</v>
      </c>
    </row>
    <row r="16434" customFormat="false" ht="15" hidden="false" customHeight="false" outlineLevel="0" collapsed="false">
      <c r="A16434" s="3" t="s">
        <v>338</v>
      </c>
      <c r="G16434" s="16" t="n">
        <f aca="false">G16425*(1-G16422)*(G16424-G16430+G16429-G16432)</f>
        <v>0</v>
      </c>
      <c r="H16434" s="16" t="n">
        <f aca="false">H16425*(1-H16422)*(H16424-H16430+H16429-H16432)</f>
        <v>0</v>
      </c>
      <c r="I16434" s="16" t="n">
        <f aca="false">I16425*(1-I16422)*(I16424-I16430+I16429-I16432)</f>
        <v>0</v>
      </c>
      <c r="J16434" s="16" t="n">
        <f aca="false">J16425*(1-J16422)*(J16424-J16430+J16429-J16432)</f>
        <v>0</v>
      </c>
      <c r="K16434" s="16" t="n">
        <f aca="false">K16425*(1-K16422)*(K16424-K16430+K16429-K16432)</f>
        <v>380</v>
      </c>
    </row>
    <row r="16435" customFormat="false" ht="15" hidden="false" customHeight="false" outlineLevel="0" collapsed="false">
      <c r="A16435" s="2" t="s">
        <v>339</v>
      </c>
      <c r="F16435" s="28" t="n">
        <f aca="false">Assumptions!$C$57</f>
        <v>400</v>
      </c>
      <c r="G16435" s="17" t="n">
        <f aca="false">G16424+G16431+G16429-G16430-G16432-G16433</f>
        <v>396</v>
      </c>
      <c r="H16435" s="17" t="n">
        <f aca="false">H16424+H16431+H16429-H16430-H16432-H16433</f>
        <v>392</v>
      </c>
      <c r="I16435" s="17" t="n">
        <f aca="false">I16424+I16431+I16429-I16430-I16432-I16433</f>
        <v>388</v>
      </c>
      <c r="J16435" s="17" t="n">
        <f aca="false">J16424+J16431+J16429-J16430-J16432-J16433</f>
        <v>384</v>
      </c>
      <c r="K16435" s="17" t="n">
        <f aca="false">K16424+K16431+K16429-K16430-K16432-K16433</f>
        <v>380</v>
      </c>
    </row>
    <row r="16436" customFormat="false" ht="15" hidden="false" customHeight="false" outlineLevel="0" collapsed="false">
      <c r="A16436" s="24" t="s">
        <v>340</v>
      </c>
      <c r="B16436" s="25"/>
      <c r="C16436" s="25"/>
      <c r="D16436" s="25"/>
      <c r="E16436" s="25"/>
      <c r="F16436" s="25"/>
      <c r="G16436" s="25"/>
      <c r="H16436" s="25"/>
      <c r="I16436" s="25"/>
      <c r="J16436" s="25"/>
      <c r="K16436" s="25"/>
    </row>
    <row r="16437" customFormat="false" ht="15" hidden="false" customHeight="false" outlineLevel="0" collapsed="false">
      <c r="A16437" s="3" t="s">
        <v>329</v>
      </c>
      <c r="G16437" s="16" t="n">
        <f aca="false">F16448</f>
        <v>90</v>
      </c>
      <c r="H16437" s="16" t="n">
        <f aca="false">G16448</f>
        <v>90</v>
      </c>
      <c r="I16437" s="16" t="n">
        <f aca="false">H16448</f>
        <v>90</v>
      </c>
      <c r="J16437" s="16" t="n">
        <f aca="false">I16448</f>
        <v>90</v>
      </c>
      <c r="K16437" s="16" t="n">
        <f aca="false">J16448</f>
        <v>90</v>
      </c>
    </row>
    <row r="16438" customFormat="false" ht="15" hidden="false" customHeight="false" outlineLevel="0" collapsed="false">
      <c r="A16438" s="3" t="s">
        <v>330</v>
      </c>
      <c r="G16438" s="21" t="n">
        <f aca="false">IF(G16388=Assumptions!$K$58,1,0)</f>
        <v>0</v>
      </c>
      <c r="H16438" s="21" t="n">
        <f aca="false">IF(H16388=Assumptions!$K$58,1,0)</f>
        <v>0</v>
      </c>
      <c r="I16438" s="21" t="n">
        <f aca="false">IF(I16388=Assumptions!$K$58,1,0)</f>
        <v>0</v>
      </c>
      <c r="J16438" s="21" t="n">
        <f aca="false">IF(J16388=Assumptions!$K$58,1,0)</f>
        <v>0</v>
      </c>
      <c r="K16438" s="21" t="n">
        <f aca="false">IF(K16388=Assumptions!$K$58,1,0)</f>
        <v>0</v>
      </c>
    </row>
    <row r="16440" customFormat="false" ht="15" hidden="false" customHeight="false" outlineLevel="0" collapsed="false">
      <c r="A16440" s="3" t="s">
        <v>331</v>
      </c>
      <c r="G16440" s="31" t="n">
        <f aca="false">IF(Assumptions!$I$58=1,MAX(G16414,Assumptions!$G$58)+Assumptions!$F$58+$C$16415,Assumptions!$E$58)</f>
        <v>0.0581</v>
      </c>
      <c r="H16440" s="31" t="n">
        <f aca="false">IF(G16735=1,$C$16416,IF(Assumptions!$I$58=1,MAX(H16414,Assumptions!$G$58)+Assumptions!$F$58+$C$16415,Assumptions!$E$58))</f>
        <v>0.0581</v>
      </c>
      <c r="I16440" s="31" t="n">
        <f aca="false">IF(H16735=1,$C$16416,IF(Assumptions!$I$58=1,MAX(I16414,Assumptions!$G$58)+Assumptions!$F$58+$C$16415,Assumptions!$E$58))</f>
        <v>0.0581</v>
      </c>
      <c r="J16440" s="31" t="n">
        <f aca="false">IF(I16735=1,$C$16416,IF(Assumptions!$I$58=1,MAX(J16414,Assumptions!$G$58)+Assumptions!$F$58+$C$16415,Assumptions!$E$58))</f>
        <v>0.0581</v>
      </c>
      <c r="K16440" s="31" t="n">
        <f aca="false">IF(J16735=1,$C$16416,IF(Assumptions!$I$58=1,MAX(K16414,Assumptions!$G$58)+Assumptions!$F$58+$C$16415,Assumptions!$E$58))</f>
        <v>0.0581</v>
      </c>
    </row>
    <row r="16441" customFormat="false" ht="15" hidden="false" customHeight="false" outlineLevel="0" collapsed="false">
      <c r="A16441" s="3" t="s">
        <v>332</v>
      </c>
      <c r="G16441" s="16" t="n">
        <f aca="false">G16437*G16440</f>
        <v>5.229</v>
      </c>
      <c r="H16441" s="16" t="n">
        <f aca="false">H16437*H16440</f>
        <v>5.229</v>
      </c>
      <c r="I16441" s="16" t="n">
        <f aca="false">I16437*I16440</f>
        <v>5.229</v>
      </c>
      <c r="J16441" s="16" t="n">
        <f aca="false">J16437*J16440</f>
        <v>5.229</v>
      </c>
      <c r="K16441" s="16" t="n">
        <f aca="false">K16437*K16440</f>
        <v>5.229</v>
      </c>
    </row>
    <row r="16442" customFormat="false" ht="15" hidden="false" customHeight="false" outlineLevel="0" collapsed="false">
      <c r="A16442" s="3" t="s">
        <v>333</v>
      </c>
      <c r="G16442" s="16" t="n">
        <f aca="false">G16437*Assumptions!$H$58</f>
        <v>0</v>
      </c>
      <c r="H16442" s="16" t="n">
        <f aca="false">H16437*Assumptions!$H$58</f>
        <v>0</v>
      </c>
      <c r="I16442" s="16" t="n">
        <f aca="false">I16437*Assumptions!$H$58</f>
        <v>0</v>
      </c>
      <c r="J16442" s="16" t="n">
        <f aca="false">J16437*Assumptions!$H$58</f>
        <v>0</v>
      </c>
      <c r="K16442" s="16" t="n">
        <f aca="false">K16437*Assumptions!$H$58</f>
        <v>0</v>
      </c>
    </row>
    <row r="16443" customFormat="false" ht="15" hidden="false" customHeight="false" outlineLevel="0" collapsed="false">
      <c r="A16443" s="3" t="s">
        <v>334</v>
      </c>
      <c r="G16443" s="16" t="n">
        <f aca="false">MIN(G16437,Assumptions!$L$58*Assumptions!$C$58)</f>
        <v>0</v>
      </c>
      <c r="H16443" s="16" t="n">
        <f aca="false">MIN(H16437,Assumptions!$L$58*Assumptions!$C$58)</f>
        <v>0</v>
      </c>
      <c r="I16443" s="16" t="n">
        <f aca="false">MIN(I16437,Assumptions!$L$58*Assumptions!$C$58)</f>
        <v>0</v>
      </c>
      <c r="J16443" s="16" t="n">
        <f aca="false">MIN(J16437,Assumptions!$L$58*Assumptions!$C$58)</f>
        <v>0</v>
      </c>
      <c r="K16443" s="16" t="n">
        <f aca="false">MIN(K16437,Assumptions!$L$58*Assumptions!$C$58)</f>
        <v>0</v>
      </c>
    </row>
    <row r="16444" customFormat="false" ht="15" hidden="false" customHeight="false" outlineLevel="0" collapsed="false">
      <c r="A16444" s="3" t="s">
        <v>335</v>
      </c>
      <c r="G16444" s="16" t="n">
        <f aca="false">IF(AND(Assumptions!$P$58=1,G16388&lt;Assumptions!$K$58),MIN(MAX(0,-G16604),MAX(0,Assumptions!$D$58-G16437)),0)</f>
        <v>0</v>
      </c>
      <c r="H16444" s="16" t="n">
        <f aca="false">IF(AND(Assumptions!$P$58=1,OR(H16388&lt;Assumptions!$K$58,G16735=1)),MIN(MAX(0,-H16604),MAX(0,Assumptions!$D$58-H16437)),0)</f>
        <v>0</v>
      </c>
      <c r="I16444" s="16" t="n">
        <f aca="false">IF(AND(Assumptions!$P$58=1,OR(I16388&lt;Assumptions!$K$58,H16735=1)),MIN(MAX(0,-I16604),MAX(0,Assumptions!$D$58-I16437)),0)</f>
        <v>0</v>
      </c>
      <c r="J16444" s="16" t="n">
        <f aca="false">IF(AND(Assumptions!$P$58=1,OR(J16388&lt;Assumptions!$K$58,I16735=1)),MIN(MAX(0,-J16604),MAX(0,Assumptions!$D$58-J16437)),0)</f>
        <v>0</v>
      </c>
      <c r="K16444" s="16" t="n">
        <f aca="false">IF(AND(Assumptions!$P$58=1,OR(K16388&lt;Assumptions!$K$58,J16735=1)),MIN(MAX(0,-K16604),MAX(0,Assumptions!$D$58-K16437)),0)</f>
        <v>0</v>
      </c>
    </row>
    <row r="16445" customFormat="false" ht="15" hidden="false" customHeight="false" outlineLevel="0" collapsed="false">
      <c r="A16445" s="3" t="s">
        <v>336</v>
      </c>
      <c r="G16445" s="16" t="n">
        <f aca="false">G16438*MIN(G16437-G16443+G16442,MAX(0,G16606-Assumptions!$C$12*G16422-G16432))</f>
        <v>0</v>
      </c>
      <c r="H16445" s="16" t="n">
        <f aca="false">H16438*MIN(H16437-H16443+H16442,MAX(0,H16606-Assumptions!$C$12*H16422-H16432))</f>
        <v>0</v>
      </c>
      <c r="I16445" s="16" t="n">
        <f aca="false">I16438*MIN(I16437-I16443+I16442,MAX(0,I16606-Assumptions!$C$12*I16422-I16432))</f>
        <v>0</v>
      </c>
      <c r="J16445" s="16" t="n">
        <f aca="false">J16438*MIN(J16437-J16443+J16442,MAX(0,J16606-Assumptions!$C$12*J16422-J16432))</f>
        <v>0</v>
      </c>
      <c r="K16445" s="16" t="n">
        <f aca="false">K16438*MIN(K16437-K16443+K16442,MAX(0,K16606-Assumptions!$C$12*K16422-K16432))</f>
        <v>0</v>
      </c>
    </row>
    <row r="16446" customFormat="false" ht="15" hidden="false" customHeight="false" outlineLevel="0" collapsed="false">
      <c r="A16446" s="3" t="s">
        <v>337</v>
      </c>
      <c r="G16446" s="16" t="n">
        <f aca="false">Assumptions!$N$58*MIN(G16437+G16444+G16442-G16443-G16445,MAX(0,G16610-G16433))</f>
        <v>0</v>
      </c>
      <c r="H16446" s="16" t="n">
        <f aca="false">Assumptions!$N$58*MIN(H16437+H16444+H16442-H16443-H16445,MAX(0,H16610-H16433))</f>
        <v>0</v>
      </c>
      <c r="I16446" s="16" t="n">
        <f aca="false">Assumptions!$N$58*MIN(I16437+I16444+I16442-I16443-I16445,MAX(0,I16610-I16433))</f>
        <v>0</v>
      </c>
      <c r="J16446" s="16" t="n">
        <f aca="false">Assumptions!$N$58*MIN(J16437+J16444+J16442-J16443-J16445,MAX(0,J16610-J16433))</f>
        <v>0</v>
      </c>
      <c r="K16446" s="16" t="n">
        <f aca="false">Assumptions!$N$58*MIN(K16437+K16444+K16442-K16443-K16445,MAX(0,K16610-K16433))</f>
        <v>0</v>
      </c>
    </row>
    <row r="16447" customFormat="false" ht="15" hidden="false" customHeight="false" outlineLevel="0" collapsed="false">
      <c r="A16447" s="3" t="s">
        <v>338</v>
      </c>
      <c r="G16447" s="16" t="n">
        <f aca="false">G16438*(1-G16422)*(G16437-G16443+G16442-G16445)</f>
        <v>0</v>
      </c>
      <c r="H16447" s="16" t="n">
        <f aca="false">H16438*(1-H16422)*(H16437-H16443+H16442-H16445)</f>
        <v>0</v>
      </c>
      <c r="I16447" s="16" t="n">
        <f aca="false">I16438*(1-I16422)*(I16437-I16443+I16442-I16445)</f>
        <v>0</v>
      </c>
      <c r="J16447" s="16" t="n">
        <f aca="false">J16438*(1-J16422)*(J16437-J16443+J16442-J16445)</f>
        <v>0</v>
      </c>
      <c r="K16447" s="16" t="n">
        <f aca="false">K16438*(1-K16422)*(K16437-K16443+K16442-K16445)</f>
        <v>0</v>
      </c>
    </row>
    <row r="16448" customFormat="false" ht="15" hidden="false" customHeight="false" outlineLevel="0" collapsed="false">
      <c r="A16448" s="2" t="s">
        <v>339</v>
      </c>
      <c r="F16448" s="28" t="n">
        <f aca="false">Assumptions!$C$58</f>
        <v>90</v>
      </c>
      <c r="G16448" s="17" t="n">
        <f aca="false">G16437+G16444+G16442-G16443-G16445-G16446</f>
        <v>90</v>
      </c>
      <c r="H16448" s="17" t="n">
        <f aca="false">H16437+H16444+H16442-H16443-H16445-H16446</f>
        <v>90</v>
      </c>
      <c r="I16448" s="17" t="n">
        <f aca="false">I16437+I16444+I16442-I16443-I16445-I16446</f>
        <v>90</v>
      </c>
      <c r="J16448" s="17" t="n">
        <f aca="false">J16437+J16444+J16442-J16443-J16445-J16446</f>
        <v>90</v>
      </c>
      <c r="K16448" s="17" t="n">
        <f aca="false">K16437+K16444+K16442-K16443-K16445-K16446</f>
        <v>90</v>
      </c>
    </row>
    <row r="16449" customFormat="false" ht="15" hidden="false" customHeight="false" outlineLevel="0" collapsed="false">
      <c r="A16449" s="24" t="s">
        <v>341</v>
      </c>
      <c r="B16449" s="25"/>
      <c r="C16449" s="25"/>
      <c r="D16449" s="25"/>
      <c r="E16449" s="25"/>
      <c r="F16449" s="25"/>
      <c r="G16449" s="25"/>
      <c r="H16449" s="25"/>
      <c r="I16449" s="25"/>
      <c r="J16449" s="25"/>
      <c r="K16449" s="25"/>
    </row>
    <row r="16450" customFormat="false" ht="15" hidden="false" customHeight="false" outlineLevel="0" collapsed="false">
      <c r="A16450" s="3" t="s">
        <v>329</v>
      </c>
      <c r="G16450" s="16" t="n">
        <f aca="false">F16461</f>
        <v>57.324</v>
      </c>
      <c r="H16450" s="16" t="n">
        <f aca="false">G16461</f>
        <v>57.324</v>
      </c>
      <c r="I16450" s="16" t="n">
        <f aca="false">H16461</f>
        <v>57.324</v>
      </c>
      <c r="J16450" s="16" t="n">
        <f aca="false">I16461</f>
        <v>57.324</v>
      </c>
      <c r="K16450" s="16" t="n">
        <f aca="false">J16461</f>
        <v>57.324</v>
      </c>
    </row>
    <row r="16451" customFormat="false" ht="15" hidden="false" customHeight="false" outlineLevel="0" collapsed="false">
      <c r="A16451" s="3" t="s">
        <v>330</v>
      </c>
      <c r="G16451" s="21" t="n">
        <f aca="false">IF(G16388=Assumptions!$K$59,1,0)</f>
        <v>0</v>
      </c>
      <c r="H16451" s="21" t="n">
        <f aca="false">IF(H16388=Assumptions!$K$59,1,0)</f>
        <v>0</v>
      </c>
      <c r="I16451" s="21" t="n">
        <f aca="false">IF(I16388=Assumptions!$K$59,1,0)</f>
        <v>0</v>
      </c>
      <c r="J16451" s="21" t="n">
        <f aca="false">IF(J16388=Assumptions!$K$59,1,0)</f>
        <v>0</v>
      </c>
      <c r="K16451" s="21" t="n">
        <f aca="false">IF(K16388=Assumptions!$K$59,1,0)</f>
        <v>0</v>
      </c>
    </row>
    <row r="16453" customFormat="false" ht="15" hidden="false" customHeight="false" outlineLevel="0" collapsed="false">
      <c r="A16453" s="3" t="s">
        <v>331</v>
      </c>
      <c r="G16453" s="31" t="n">
        <f aca="false">IF(Assumptions!$I$59=1,MAX(G16414,Assumptions!$G$59)+Assumptions!$F$59+$C$16415,Assumptions!$E$59)</f>
        <v>0.0731</v>
      </c>
      <c r="H16453" s="31" t="n">
        <f aca="false">IF(G16736=1,$C$16416,IF(Assumptions!$I$59=1,MAX(H16414,Assumptions!$G$59)+Assumptions!$F$59+$C$16415,Assumptions!$E$59))</f>
        <v>0.0731</v>
      </c>
      <c r="I16453" s="31" t="n">
        <f aca="false">IF(H16736=1,$C$16416,IF(Assumptions!$I$59=1,MAX(I16414,Assumptions!$G$59)+Assumptions!$F$59+$C$16415,Assumptions!$E$59))</f>
        <v>0.0731</v>
      </c>
      <c r="J16453" s="31" t="n">
        <f aca="false">IF(I16736=1,$C$16416,IF(Assumptions!$I$59=1,MAX(J16414,Assumptions!$G$59)+Assumptions!$F$59+$C$16415,Assumptions!$E$59))</f>
        <v>0.0731</v>
      </c>
      <c r="K16453" s="31" t="n">
        <f aca="false">IF(J16736=1,$C$16416,IF(Assumptions!$I$59=1,MAX(K16414,Assumptions!$G$59)+Assumptions!$F$59+$C$16415,Assumptions!$E$59))</f>
        <v>0.0731</v>
      </c>
    </row>
    <row r="16454" customFormat="false" ht="15" hidden="false" customHeight="false" outlineLevel="0" collapsed="false">
      <c r="A16454" s="3" t="s">
        <v>332</v>
      </c>
      <c r="G16454" s="16" t="n">
        <f aca="false">G16450*G16453</f>
        <v>4.1903844</v>
      </c>
      <c r="H16454" s="16" t="n">
        <f aca="false">H16450*H16453</f>
        <v>4.1903844</v>
      </c>
      <c r="I16454" s="16" t="n">
        <f aca="false">I16450*I16453</f>
        <v>4.1903844</v>
      </c>
      <c r="J16454" s="16" t="n">
        <f aca="false">J16450*J16453</f>
        <v>4.1903844</v>
      </c>
      <c r="K16454" s="16" t="n">
        <f aca="false">K16450*K16453</f>
        <v>4.1903844</v>
      </c>
    </row>
    <row r="16455" customFormat="false" ht="15" hidden="false" customHeight="false" outlineLevel="0" collapsed="false">
      <c r="A16455" s="3" t="s">
        <v>333</v>
      </c>
      <c r="G16455" s="16" t="n">
        <f aca="false">G16450*Assumptions!$H$59</f>
        <v>0</v>
      </c>
      <c r="H16455" s="16" t="n">
        <f aca="false">H16450*Assumptions!$H$59</f>
        <v>0</v>
      </c>
      <c r="I16455" s="16" t="n">
        <f aca="false">I16450*Assumptions!$H$59</f>
        <v>0</v>
      </c>
      <c r="J16455" s="16" t="n">
        <f aca="false">J16450*Assumptions!$H$59</f>
        <v>0</v>
      </c>
      <c r="K16455" s="16" t="n">
        <f aca="false">K16450*Assumptions!$H$59</f>
        <v>0</v>
      </c>
    </row>
    <row r="16456" customFormat="false" ht="15" hidden="false" customHeight="false" outlineLevel="0" collapsed="false">
      <c r="A16456" s="3" t="s">
        <v>334</v>
      </c>
      <c r="G16456" s="16" t="n">
        <f aca="false">MIN(G16450,Assumptions!$L$59*Assumptions!$C$59)</f>
        <v>0</v>
      </c>
      <c r="H16456" s="16" t="n">
        <f aca="false">MIN(H16450,Assumptions!$L$59*Assumptions!$C$59)</f>
        <v>0</v>
      </c>
      <c r="I16456" s="16" t="n">
        <f aca="false">MIN(I16450,Assumptions!$L$59*Assumptions!$C$59)</f>
        <v>0</v>
      </c>
      <c r="J16456" s="16" t="n">
        <f aca="false">MIN(J16450,Assumptions!$L$59*Assumptions!$C$59)</f>
        <v>0</v>
      </c>
      <c r="K16456" s="16" t="n">
        <f aca="false">MIN(K16450,Assumptions!$L$59*Assumptions!$C$59)</f>
        <v>0</v>
      </c>
    </row>
    <row r="16457" customFormat="false" ht="15" hidden="false" customHeight="false" outlineLevel="0" collapsed="false">
      <c r="A16457" s="3" t="s">
        <v>335</v>
      </c>
      <c r="G16457" s="16" t="n">
        <f aca="false">IF(AND(Assumptions!$P$59=1,G16388&lt;Assumptions!$K$59),MIN(MAX(0,-G16604),MAX(0,Assumptions!$D$59-G16450)),0)</f>
        <v>0</v>
      </c>
      <c r="H16457" s="16" t="n">
        <f aca="false">IF(AND(Assumptions!$P$59=1,OR(H16388&lt;Assumptions!$K$59,G16736=1)),MIN(MAX(0,-H16604),MAX(0,Assumptions!$D$59-H16450)),0)</f>
        <v>0</v>
      </c>
      <c r="I16457" s="16" t="n">
        <f aca="false">IF(AND(Assumptions!$P$59=1,OR(I16388&lt;Assumptions!$K$59,H16736=1)),MIN(MAX(0,-I16604),MAX(0,Assumptions!$D$59-I16450)),0)</f>
        <v>0</v>
      </c>
      <c r="J16457" s="16" t="n">
        <f aca="false">IF(AND(Assumptions!$P$59=1,OR(J16388&lt;Assumptions!$K$59,I16736=1)),MIN(MAX(0,-J16604),MAX(0,Assumptions!$D$59-J16450)),0)</f>
        <v>0</v>
      </c>
      <c r="K16457" s="16" t="n">
        <f aca="false">IF(AND(Assumptions!$P$59=1,OR(K16388&lt;Assumptions!$K$59,J16736=1)),MIN(MAX(0,-K16604),MAX(0,Assumptions!$D$59-K16450)),0)</f>
        <v>0</v>
      </c>
    </row>
    <row r="16458" customFormat="false" ht="15" hidden="false" customHeight="false" outlineLevel="0" collapsed="false">
      <c r="A16458" s="3" t="s">
        <v>336</v>
      </c>
      <c r="G16458" s="16" t="n">
        <f aca="false">G16451*MIN(G16450-G16456+G16455,MAX(0,G16606-Assumptions!$C$12*G16422-G16432-G16445))</f>
        <v>0</v>
      </c>
      <c r="H16458" s="16" t="n">
        <f aca="false">H16451*MIN(H16450-H16456+H16455,MAX(0,H16606-Assumptions!$C$12*H16422-H16432-H16445))</f>
        <v>0</v>
      </c>
      <c r="I16458" s="16" t="n">
        <f aca="false">I16451*MIN(I16450-I16456+I16455,MAX(0,I16606-Assumptions!$C$12*I16422-I16432-I16445))</f>
        <v>0</v>
      </c>
      <c r="J16458" s="16" t="n">
        <f aca="false">J16451*MIN(J16450-J16456+J16455,MAX(0,J16606-Assumptions!$C$12*J16422-J16432-J16445))</f>
        <v>0</v>
      </c>
      <c r="K16458" s="16" t="n">
        <f aca="false">K16451*MIN(K16450-K16456+K16455,MAX(0,K16606-Assumptions!$C$12*K16422-K16432-K16445))</f>
        <v>0</v>
      </c>
    </row>
    <row r="16459" customFormat="false" ht="15" hidden="false" customHeight="false" outlineLevel="0" collapsed="false">
      <c r="A16459" s="3" t="s">
        <v>337</v>
      </c>
      <c r="G16459" s="16" t="n">
        <f aca="false">Assumptions!$N$59*MIN(G16450+G16457+G16455-G16456-G16458,MAX(0,G16610-G16433-G16446))</f>
        <v>0</v>
      </c>
      <c r="H16459" s="16" t="n">
        <f aca="false">Assumptions!$N$59*MIN(H16450+H16457+H16455-H16456-H16458,MAX(0,H16610-H16433-H16446))</f>
        <v>0</v>
      </c>
      <c r="I16459" s="16" t="n">
        <f aca="false">Assumptions!$N$59*MIN(I16450+I16457+I16455-I16456-I16458,MAX(0,I16610-I16433-I16446))</f>
        <v>0</v>
      </c>
      <c r="J16459" s="16" t="n">
        <f aca="false">Assumptions!$N$59*MIN(J16450+J16457+J16455-J16456-J16458,MAX(0,J16610-J16433-J16446))</f>
        <v>0</v>
      </c>
      <c r="K16459" s="16" t="n">
        <f aca="false">Assumptions!$N$59*MIN(K16450+K16457+K16455-K16456-K16458,MAX(0,K16610-K16433-K16446))</f>
        <v>0</v>
      </c>
    </row>
    <row r="16460" customFormat="false" ht="15" hidden="false" customHeight="false" outlineLevel="0" collapsed="false">
      <c r="A16460" s="3" t="s">
        <v>338</v>
      </c>
      <c r="G16460" s="16" t="n">
        <f aca="false">G16451*(1-G16422)*(G16450-G16456+G16455-G16458)</f>
        <v>0</v>
      </c>
      <c r="H16460" s="16" t="n">
        <f aca="false">H16451*(1-H16422)*(H16450-H16456+H16455-H16458)</f>
        <v>0</v>
      </c>
      <c r="I16460" s="16" t="n">
        <f aca="false">I16451*(1-I16422)*(I16450-I16456+I16455-I16458)</f>
        <v>0</v>
      </c>
      <c r="J16460" s="16" t="n">
        <f aca="false">J16451*(1-J16422)*(J16450-J16456+J16455-J16458)</f>
        <v>0</v>
      </c>
      <c r="K16460" s="16" t="n">
        <f aca="false">K16451*(1-K16422)*(K16450-K16456+K16455-K16458)</f>
        <v>0</v>
      </c>
    </row>
    <row r="16461" customFormat="false" ht="15" hidden="false" customHeight="false" outlineLevel="0" collapsed="false">
      <c r="A16461" s="2" t="s">
        <v>339</v>
      </c>
      <c r="F16461" s="28" t="n">
        <f aca="false">Assumptions!$C$59</f>
        <v>57.324</v>
      </c>
      <c r="G16461" s="17" t="n">
        <f aca="false">G16450+G16457+G16455-G16456-G16458-G16459</f>
        <v>57.324</v>
      </c>
      <c r="H16461" s="17" t="n">
        <f aca="false">H16450+H16457+H16455-H16456-H16458-H16459</f>
        <v>57.324</v>
      </c>
      <c r="I16461" s="17" t="n">
        <f aca="false">I16450+I16457+I16455-I16456-I16458-I16459</f>
        <v>57.324</v>
      </c>
      <c r="J16461" s="17" t="n">
        <f aca="false">J16450+J16457+J16455-J16456-J16458-J16459</f>
        <v>57.324</v>
      </c>
      <c r="K16461" s="17" t="n">
        <f aca="false">K16450+K16457+K16455-K16456-K16458-K16459</f>
        <v>57.324</v>
      </c>
    </row>
    <row r="16462" customFormat="false" ht="15" hidden="false" customHeight="false" outlineLevel="0" collapsed="false">
      <c r="A16462" s="24" t="s">
        <v>342</v>
      </c>
      <c r="B16462" s="25"/>
      <c r="C16462" s="25"/>
      <c r="D16462" s="25"/>
      <c r="E16462" s="25"/>
      <c r="F16462" s="25"/>
      <c r="G16462" s="25"/>
      <c r="H16462" s="25"/>
      <c r="I16462" s="25"/>
      <c r="J16462" s="25"/>
      <c r="K16462" s="25"/>
    </row>
    <row r="16463" customFormat="false" ht="15" hidden="false" customHeight="false" outlineLevel="0" collapsed="false">
      <c r="A16463" s="3" t="s">
        <v>329</v>
      </c>
      <c r="G16463" s="16" t="n">
        <f aca="false">F16474</f>
        <v>0</v>
      </c>
      <c r="H16463" s="16" t="n">
        <f aca="false">G16474</f>
        <v>0</v>
      </c>
      <c r="I16463" s="16" t="n">
        <f aca="false">H16474</f>
        <v>0</v>
      </c>
      <c r="J16463" s="16" t="n">
        <f aca="false">I16474</f>
        <v>0</v>
      </c>
      <c r="K16463" s="16" t="n">
        <f aca="false">J16474</f>
        <v>0</v>
      </c>
    </row>
    <row r="16464" customFormat="false" ht="15" hidden="false" customHeight="false" outlineLevel="0" collapsed="false">
      <c r="A16464" s="3" t="s">
        <v>330</v>
      </c>
      <c r="G16464" s="21" t="n">
        <f aca="false">IF(G16388=Assumptions!$K$60,1,0)</f>
        <v>1</v>
      </c>
      <c r="H16464" s="21" t="n">
        <f aca="false">IF(H16388=Assumptions!$K$60,1,0)</f>
        <v>0</v>
      </c>
      <c r="I16464" s="21" t="n">
        <f aca="false">IF(I16388=Assumptions!$K$60,1,0)</f>
        <v>0</v>
      </c>
      <c r="J16464" s="21" t="n">
        <f aca="false">IF(J16388=Assumptions!$K$60,1,0)</f>
        <v>0</v>
      </c>
      <c r="K16464" s="21" t="n">
        <f aca="false">IF(K16388=Assumptions!$K$60,1,0)</f>
        <v>0</v>
      </c>
    </row>
    <row r="16466" customFormat="false" ht="15" hidden="false" customHeight="false" outlineLevel="0" collapsed="false">
      <c r="A16466" s="3" t="s">
        <v>331</v>
      </c>
      <c r="G16466" s="31" t="n">
        <f aca="false">IF(Assumptions!$I$60=1,MAX(G16414,Assumptions!$G$60)+Assumptions!$F$60+$C$16415,Assumptions!$E$60)</f>
        <v>0.069</v>
      </c>
      <c r="H16466" s="31" t="n">
        <f aca="false">IF(G16737=1,$C$16416,IF(Assumptions!$I$60=1,MAX(H16414,Assumptions!$G$60)+Assumptions!$F$60+$C$16415,Assumptions!$E$60))</f>
        <v>0.0675</v>
      </c>
      <c r="I16466" s="31" t="n">
        <f aca="false">IF(H16737=1,$C$16416,IF(Assumptions!$I$60=1,MAX(I16414,Assumptions!$G$60)+Assumptions!$F$60+$C$16415,Assumptions!$E$60))</f>
        <v>0.065</v>
      </c>
      <c r="J16466" s="31" t="n">
        <f aca="false">IF(I16737=1,$C$16416,IF(Assumptions!$I$60=1,MAX(J16414,Assumptions!$G$60)+Assumptions!$F$60+$C$16415,Assumptions!$E$60))</f>
        <v>0.065</v>
      </c>
      <c r="K16466" s="31" t="n">
        <f aca="false">IF(J16737=1,$C$16416,IF(Assumptions!$I$60=1,MAX(K16414,Assumptions!$G$60)+Assumptions!$F$60+$C$16415,Assumptions!$E$60))</f>
        <v>0.065</v>
      </c>
    </row>
    <row r="16467" customFormat="false" ht="15" hidden="false" customHeight="false" outlineLevel="0" collapsed="false">
      <c r="A16467" s="3" t="s">
        <v>332</v>
      </c>
      <c r="G16467" s="16" t="n">
        <f aca="false">G16463*G16466</f>
        <v>0</v>
      </c>
      <c r="H16467" s="16" t="n">
        <f aca="false">H16463*H16466</f>
        <v>0</v>
      </c>
      <c r="I16467" s="16" t="n">
        <f aca="false">I16463*I16466</f>
        <v>0</v>
      </c>
      <c r="J16467" s="16" t="n">
        <f aca="false">J16463*J16466</f>
        <v>0</v>
      </c>
      <c r="K16467" s="16" t="n">
        <f aca="false">K16463*K16466</f>
        <v>0</v>
      </c>
    </row>
    <row r="16468" customFormat="false" ht="15" hidden="false" customHeight="false" outlineLevel="0" collapsed="false">
      <c r="A16468" s="3" t="s">
        <v>333</v>
      </c>
      <c r="G16468" s="16" t="n">
        <f aca="false">G16463*Assumptions!$H$60</f>
        <v>0</v>
      </c>
      <c r="H16468" s="16" t="n">
        <f aca="false">H16463*Assumptions!$H$60</f>
        <v>0</v>
      </c>
      <c r="I16468" s="16" t="n">
        <f aca="false">I16463*Assumptions!$H$60</f>
        <v>0</v>
      </c>
      <c r="J16468" s="16" t="n">
        <f aca="false">J16463*Assumptions!$H$60</f>
        <v>0</v>
      </c>
      <c r="K16468" s="16" t="n">
        <f aca="false">K16463*Assumptions!$H$60</f>
        <v>0</v>
      </c>
    </row>
    <row r="16469" customFormat="false" ht="15" hidden="false" customHeight="false" outlineLevel="0" collapsed="false">
      <c r="A16469" s="3" t="s">
        <v>334</v>
      </c>
      <c r="G16469" s="16" t="n">
        <f aca="false">MIN(G16463,Assumptions!$L$60*Assumptions!$C$60)</f>
        <v>0</v>
      </c>
      <c r="H16469" s="16" t="n">
        <f aca="false">MIN(H16463,Assumptions!$L$60*Assumptions!$C$60)</f>
        <v>0</v>
      </c>
      <c r="I16469" s="16" t="n">
        <f aca="false">MIN(I16463,Assumptions!$L$60*Assumptions!$C$60)</f>
        <v>0</v>
      </c>
      <c r="J16469" s="16" t="n">
        <f aca="false">MIN(J16463,Assumptions!$L$60*Assumptions!$C$60)</f>
        <v>0</v>
      </c>
      <c r="K16469" s="16" t="n">
        <f aca="false">MIN(K16463,Assumptions!$L$60*Assumptions!$C$60)</f>
        <v>0</v>
      </c>
    </row>
    <row r="16470" customFormat="false" ht="15" hidden="false" customHeight="false" outlineLevel="0" collapsed="false">
      <c r="A16470" s="3" t="s">
        <v>335</v>
      </c>
      <c r="G16470" s="16" t="n">
        <f aca="false">IF(AND(Assumptions!$P$60=1,G16388&lt;Assumptions!$K$60),MIN(MAX(0,-G16604),MAX(0,Assumptions!$D$60-G16463)),0)</f>
        <v>0</v>
      </c>
      <c r="H16470" s="16" t="n">
        <f aca="false">IF(AND(Assumptions!$P$60=1,OR(H16388&lt;Assumptions!$K$60,G16737=1)),MIN(MAX(0,-H16604),MAX(0,Assumptions!$D$60-H16463)),0)</f>
        <v>0</v>
      </c>
      <c r="I16470" s="16" t="n">
        <f aca="false">IF(AND(Assumptions!$P$60=1,OR(I16388&lt;Assumptions!$K$60,H16737=1)),MIN(MAX(0,-I16604),MAX(0,Assumptions!$D$60-I16463)),0)</f>
        <v>0</v>
      </c>
      <c r="J16470" s="16" t="n">
        <f aca="false">IF(AND(Assumptions!$P$60=1,OR(J16388&lt;Assumptions!$K$60,I16737=1)),MIN(MAX(0,-J16604),MAX(0,Assumptions!$D$60-J16463)),0)</f>
        <v>0</v>
      </c>
      <c r="K16470" s="16" t="n">
        <f aca="false">IF(AND(Assumptions!$P$60=1,OR(K16388&lt;Assumptions!$K$60,J16737=1)),MIN(MAX(0,-K16604),MAX(0,Assumptions!$D$60-K16463)),0)</f>
        <v>0</v>
      </c>
    </row>
    <row r="16471" customFormat="false" ht="15" hidden="false" customHeight="false" outlineLevel="0" collapsed="false">
      <c r="A16471" s="3" t="s">
        <v>336</v>
      </c>
      <c r="G16471" s="16" t="n">
        <f aca="false">G16464*MIN(G16463-G16469+G16468,MAX(0,G16606-Assumptions!$C$12*G16422-G16432-G16445-G16458))</f>
        <v>0</v>
      </c>
      <c r="H16471" s="16" t="n">
        <f aca="false">H16464*MIN(H16463-H16469+H16468,MAX(0,H16606-Assumptions!$C$12*H16422-H16432-H16445-H16458))</f>
        <v>0</v>
      </c>
      <c r="I16471" s="16" t="n">
        <f aca="false">I16464*MIN(I16463-I16469+I16468,MAX(0,I16606-Assumptions!$C$12*I16422-I16432-I16445-I16458))</f>
        <v>0</v>
      </c>
      <c r="J16471" s="16" t="n">
        <f aca="false">J16464*MIN(J16463-J16469+J16468,MAX(0,J16606-Assumptions!$C$12*J16422-J16432-J16445-J16458))</f>
        <v>0</v>
      </c>
      <c r="K16471" s="16" t="n">
        <f aca="false">K16464*MIN(K16463-K16469+K16468,MAX(0,K16606-Assumptions!$C$12*K16422-K16432-K16445-K16458))</f>
        <v>0</v>
      </c>
    </row>
    <row r="16472" customFormat="false" ht="15" hidden="false" customHeight="false" outlineLevel="0" collapsed="false">
      <c r="A16472" s="3" t="s">
        <v>337</v>
      </c>
      <c r="G16472" s="16" t="n">
        <f aca="false">Assumptions!$N$60*MIN(G16463+G16470+G16468-G16469-G16471,MAX(0,G16610-G16433-G16446-G16459))</f>
        <v>0</v>
      </c>
      <c r="H16472" s="16" t="n">
        <f aca="false">Assumptions!$N$60*MIN(H16463+H16470+H16468-H16469-H16471,MAX(0,H16610-H16433-H16446-H16459))</f>
        <v>0</v>
      </c>
      <c r="I16472" s="16" t="n">
        <f aca="false">Assumptions!$N$60*MIN(I16463+I16470+I16468-I16469-I16471,MAX(0,I16610-I16433-I16446-I16459))</f>
        <v>0</v>
      </c>
      <c r="J16472" s="16" t="n">
        <f aca="false">Assumptions!$N$60*MIN(J16463+J16470+J16468-J16469-J16471,MAX(0,J16610-J16433-J16446-J16459))</f>
        <v>0</v>
      </c>
      <c r="K16472" s="16" t="n">
        <f aca="false">Assumptions!$N$60*MIN(K16463+K16470+K16468-K16469-K16471,MAX(0,K16610-K16433-K16446-K16459))</f>
        <v>0</v>
      </c>
    </row>
    <row r="16473" customFormat="false" ht="15" hidden="false" customHeight="false" outlineLevel="0" collapsed="false">
      <c r="A16473" s="3" t="s">
        <v>338</v>
      </c>
      <c r="G16473" s="16" t="n">
        <f aca="false">G16464*(1-G16422)*(G16463-G16469+G16468-G16471)</f>
        <v>0</v>
      </c>
      <c r="H16473" s="16" t="n">
        <f aca="false">H16464*(1-H16422)*(H16463-H16469+H16468-H16471)</f>
        <v>0</v>
      </c>
      <c r="I16473" s="16" t="n">
        <f aca="false">I16464*(1-I16422)*(I16463-I16469+I16468-I16471)</f>
        <v>0</v>
      </c>
      <c r="J16473" s="16" t="n">
        <f aca="false">J16464*(1-J16422)*(J16463-J16469+J16468-J16471)</f>
        <v>0</v>
      </c>
      <c r="K16473" s="16" t="n">
        <f aca="false">K16464*(1-K16422)*(K16463-K16469+K16468-K16471)</f>
        <v>0</v>
      </c>
    </row>
    <row r="16474" customFormat="false" ht="15" hidden="false" customHeight="false" outlineLevel="0" collapsed="false">
      <c r="A16474" s="2" t="s">
        <v>339</v>
      </c>
      <c r="F16474" s="28" t="n">
        <f aca="false">Assumptions!$C$60</f>
        <v>0</v>
      </c>
      <c r="G16474" s="17" t="n">
        <f aca="false">G16463+G16470+G16468-G16469-G16471-G16472</f>
        <v>0</v>
      </c>
      <c r="H16474" s="17" t="n">
        <f aca="false">H16463+H16470+H16468-H16469-H16471-H16472</f>
        <v>0</v>
      </c>
      <c r="I16474" s="17" t="n">
        <f aca="false">I16463+I16470+I16468-I16469-I16471-I16472</f>
        <v>0</v>
      </c>
      <c r="J16474" s="17" t="n">
        <f aca="false">J16463+J16470+J16468-J16469-J16471-J16472</f>
        <v>0</v>
      </c>
      <c r="K16474" s="17" t="n">
        <f aca="false">K16463+K16470+K16468-K16469-K16471-K16472</f>
        <v>0</v>
      </c>
    </row>
    <row r="16475" customFormat="false" ht="15" hidden="false" customHeight="false" outlineLevel="0" collapsed="false">
      <c r="A16475" s="24" t="s">
        <v>343</v>
      </c>
      <c r="B16475" s="25"/>
      <c r="C16475" s="25"/>
      <c r="D16475" s="25"/>
      <c r="E16475" s="25"/>
      <c r="F16475" s="25"/>
      <c r="G16475" s="25"/>
      <c r="H16475" s="25"/>
      <c r="I16475" s="25"/>
      <c r="J16475" s="25"/>
      <c r="K16475" s="25"/>
    </row>
    <row r="16476" customFormat="false" ht="15" hidden="false" customHeight="false" outlineLevel="0" collapsed="false">
      <c r="A16476" s="3" t="s">
        <v>329</v>
      </c>
      <c r="G16476" s="16" t="n">
        <f aca="false">F16487</f>
        <v>450</v>
      </c>
      <c r="H16476" s="16" t="n">
        <f aca="false">G16487</f>
        <v>450</v>
      </c>
      <c r="I16476" s="16" t="n">
        <f aca="false">H16487</f>
        <v>401.446357881</v>
      </c>
      <c r="J16476" s="16" t="n">
        <f aca="false">I16487</f>
        <v>401.446357881</v>
      </c>
      <c r="K16476" s="16" t="n">
        <f aca="false">J16487</f>
        <v>401.446357881</v>
      </c>
    </row>
    <row r="16477" customFormat="false" ht="15" hidden="false" customHeight="false" outlineLevel="0" collapsed="false">
      <c r="A16477" s="3" t="s">
        <v>330</v>
      </c>
      <c r="G16477" s="21" t="n">
        <f aca="false">IF(G16388=Assumptions!$K$61,1,0)</f>
        <v>0</v>
      </c>
      <c r="H16477" s="21" t="n">
        <f aca="false">IF(H16388=Assumptions!$K$61,1,0)</f>
        <v>1</v>
      </c>
      <c r="I16477" s="21" t="n">
        <f aca="false">IF(I16388=Assumptions!$K$61,1,0)</f>
        <v>0</v>
      </c>
      <c r="J16477" s="21" t="n">
        <f aca="false">IF(J16388=Assumptions!$K$61,1,0)</f>
        <v>0</v>
      </c>
      <c r="K16477" s="21" t="n">
        <f aca="false">IF(K16388=Assumptions!$K$61,1,0)</f>
        <v>0</v>
      </c>
    </row>
    <row r="16479" customFormat="false" ht="15" hidden="false" customHeight="false" outlineLevel="0" collapsed="false">
      <c r="A16479" s="3" t="s">
        <v>331</v>
      </c>
      <c r="G16479" s="31" t="n">
        <f aca="false">IF(Assumptions!$I$61=1,MAX(G16414,Assumptions!$G$61)+Assumptions!$F$61+$C$16415,Assumptions!$E$61)</f>
        <v>0.0395</v>
      </c>
      <c r="H16479" s="31" t="n">
        <f aca="false">IF(G16738=1,$C$16416,IF(Assumptions!$I$61=1,MAX(H16414,Assumptions!$G$61)+Assumptions!$F$61+$C$16415,Assumptions!$E$61))</f>
        <v>0.0395</v>
      </c>
      <c r="I16479" s="31" t="n">
        <f aca="false">IF(H16738=1,$C$16416,IF(Assumptions!$I$61=1,MAX(I16414,Assumptions!$G$61)+Assumptions!$F$61+$C$16415,Assumptions!$E$61))</f>
        <v>0.0395</v>
      </c>
      <c r="J16479" s="31" t="n">
        <f aca="false">IF(I16738=1,$C$16416,IF(Assumptions!$I$61=1,MAX(J16414,Assumptions!$G$61)+Assumptions!$F$61+$C$16415,Assumptions!$E$61))</f>
        <v>0.0395</v>
      </c>
      <c r="K16479" s="31" t="n">
        <f aca="false">IF(J16738=1,$C$16416,IF(Assumptions!$I$61=1,MAX(K16414,Assumptions!$G$61)+Assumptions!$F$61+$C$16415,Assumptions!$E$61))</f>
        <v>0.0395</v>
      </c>
    </row>
    <row r="16480" customFormat="false" ht="15" hidden="false" customHeight="false" outlineLevel="0" collapsed="false">
      <c r="A16480" s="3" t="s">
        <v>332</v>
      </c>
      <c r="G16480" s="16" t="n">
        <f aca="false">G16476*G16479</f>
        <v>17.775</v>
      </c>
      <c r="H16480" s="16" t="n">
        <f aca="false">H16476*H16479</f>
        <v>17.775</v>
      </c>
      <c r="I16480" s="16" t="n">
        <f aca="false">I16476*I16479</f>
        <v>15.8571311362995</v>
      </c>
      <c r="J16480" s="16" t="n">
        <f aca="false">J16476*J16479</f>
        <v>15.8571311362995</v>
      </c>
      <c r="K16480" s="16" t="n">
        <f aca="false">K16476*K16479</f>
        <v>15.8571311362995</v>
      </c>
    </row>
    <row r="16481" customFormat="false" ht="15" hidden="false" customHeight="false" outlineLevel="0" collapsed="false">
      <c r="A16481" s="3" t="s">
        <v>333</v>
      </c>
      <c r="G16481" s="16" t="n">
        <f aca="false">G16476*Assumptions!$H$61</f>
        <v>0</v>
      </c>
      <c r="H16481" s="16" t="n">
        <f aca="false">H16476*Assumptions!$H$61</f>
        <v>0</v>
      </c>
      <c r="I16481" s="16" t="n">
        <f aca="false">I16476*Assumptions!$H$61</f>
        <v>0</v>
      </c>
      <c r="J16481" s="16" t="n">
        <f aca="false">J16476*Assumptions!$H$61</f>
        <v>0</v>
      </c>
      <c r="K16481" s="16" t="n">
        <f aca="false">K16476*Assumptions!$H$61</f>
        <v>0</v>
      </c>
    </row>
    <row r="16482" customFormat="false" ht="15" hidden="false" customHeight="false" outlineLevel="0" collapsed="false">
      <c r="A16482" s="3" t="s">
        <v>334</v>
      </c>
      <c r="G16482" s="16" t="n">
        <f aca="false">MIN(G16476,Assumptions!$L$61*Assumptions!$C$61)</f>
        <v>0</v>
      </c>
      <c r="H16482" s="16" t="n">
        <f aca="false">MIN(H16476,Assumptions!$L$61*Assumptions!$C$61)</f>
        <v>0</v>
      </c>
      <c r="I16482" s="16" t="n">
        <f aca="false">MIN(I16476,Assumptions!$L$61*Assumptions!$C$61)</f>
        <v>0</v>
      </c>
      <c r="J16482" s="16" t="n">
        <f aca="false">MIN(J16476,Assumptions!$L$61*Assumptions!$C$61)</f>
        <v>0</v>
      </c>
      <c r="K16482" s="16" t="n">
        <f aca="false">MIN(K16476,Assumptions!$L$61*Assumptions!$C$61)</f>
        <v>0</v>
      </c>
    </row>
    <row r="16483" customFormat="false" ht="15" hidden="false" customHeight="false" outlineLevel="0" collapsed="false">
      <c r="A16483" s="3" t="s">
        <v>335</v>
      </c>
      <c r="G16483" s="16" t="n">
        <f aca="false">IF(AND(Assumptions!$P$61=1,G16388&lt;Assumptions!$K$61),MIN(MAX(0,-G16604),MAX(0,Assumptions!$D$61-G16476)),0)</f>
        <v>0</v>
      </c>
      <c r="H16483" s="16" t="n">
        <f aca="false">IF(AND(Assumptions!$P$61=1,OR(H16388&lt;Assumptions!$K$61,G16738=1)),MIN(MAX(0,-H16604),MAX(0,Assumptions!$D$61-H16476)),0)</f>
        <v>0</v>
      </c>
      <c r="I16483" s="16" t="n">
        <f aca="false">IF(AND(Assumptions!$P$61=1,OR(I16388&lt;Assumptions!$K$61,H16738=1)),MIN(MAX(0,-I16604),MAX(0,Assumptions!$D$61-I16476)),0)</f>
        <v>0</v>
      </c>
      <c r="J16483" s="16" t="n">
        <f aca="false">IF(AND(Assumptions!$P$61=1,OR(J16388&lt;Assumptions!$K$61,I16738=1)),MIN(MAX(0,-J16604),MAX(0,Assumptions!$D$61-J16476)),0)</f>
        <v>0</v>
      </c>
      <c r="K16483" s="16" t="n">
        <f aca="false">IF(AND(Assumptions!$P$61=1,OR(K16388&lt;Assumptions!$K$61,J16738=1)),MIN(MAX(0,-K16604),MAX(0,Assumptions!$D$61-K16476)),0)</f>
        <v>0</v>
      </c>
    </row>
    <row r="16484" customFormat="false" ht="15" hidden="false" customHeight="false" outlineLevel="0" collapsed="false">
      <c r="A16484" s="3" t="s">
        <v>336</v>
      </c>
      <c r="G16484" s="16" t="n">
        <f aca="false">G16477*MIN(G16476-G16482+G16481,MAX(0,G16606-Assumptions!$C$12*G16422-G16432-G16445-G16458-G16471))</f>
        <v>0</v>
      </c>
      <c r="H16484" s="16" t="n">
        <f aca="false">H16477*MIN(H16476-H16482+H16481,MAX(0,H16606-Assumptions!$C$12*H16422-H16432-H16445-H16458-H16471))</f>
        <v>48.553642119</v>
      </c>
      <c r="I16484" s="16" t="n">
        <f aca="false">I16477*MIN(I16476-I16482+I16481,MAX(0,I16606-Assumptions!$C$12*I16422-I16432-I16445-I16458-I16471))</f>
        <v>0</v>
      </c>
      <c r="J16484" s="16" t="n">
        <f aca="false">J16477*MIN(J16476-J16482+J16481,MAX(0,J16606-Assumptions!$C$12*J16422-J16432-J16445-J16458-J16471))</f>
        <v>0</v>
      </c>
      <c r="K16484" s="16" t="n">
        <f aca="false">K16477*MIN(K16476-K16482+K16481,MAX(0,K16606-Assumptions!$C$12*K16422-K16432-K16445-K16458-K16471))</f>
        <v>0</v>
      </c>
    </row>
    <row r="16485" customFormat="false" ht="15" hidden="false" customHeight="false" outlineLevel="0" collapsed="false">
      <c r="A16485" s="3" t="s">
        <v>337</v>
      </c>
      <c r="G16485" s="16" t="n">
        <f aca="false">Assumptions!$N$61*MIN(G16476+G16483+G16481-G16482-G16484,MAX(0,G16610-G16433-G16446-G16459-G16472))</f>
        <v>0</v>
      </c>
      <c r="H16485" s="16" t="n">
        <f aca="false">Assumptions!$N$61*MIN(H16476+H16483+H16481-H16482-H16484,MAX(0,H16610-H16433-H16446-H16459-H16472))</f>
        <v>0</v>
      </c>
      <c r="I16485" s="16" t="n">
        <f aca="false">Assumptions!$N$61*MIN(I16476+I16483+I16481-I16482-I16484,MAX(0,I16610-I16433-I16446-I16459-I16472))</f>
        <v>0</v>
      </c>
      <c r="J16485" s="16" t="n">
        <f aca="false">Assumptions!$N$61*MIN(J16476+J16483+J16481-J16482-J16484,MAX(0,J16610-J16433-J16446-J16459-J16472))</f>
        <v>0</v>
      </c>
      <c r="K16485" s="16" t="n">
        <f aca="false">Assumptions!$N$61*MIN(K16476+K16483+K16481-K16482-K16484,MAX(0,K16610-K16433-K16446-K16459-K16472))</f>
        <v>0</v>
      </c>
    </row>
    <row r="16486" customFormat="false" ht="15" hidden="false" customHeight="false" outlineLevel="0" collapsed="false">
      <c r="A16486" s="3" t="s">
        <v>338</v>
      </c>
      <c r="G16486" s="16" t="n">
        <f aca="false">G16477*(1-G16422)*(G16476-G16482+G16481-G16484)</f>
        <v>0</v>
      </c>
      <c r="H16486" s="16" t="n">
        <f aca="false">H16477*(1-H16422)*(H16476-H16482+H16481-H16484)</f>
        <v>401.446357881</v>
      </c>
      <c r="I16486" s="16" t="n">
        <f aca="false">I16477*(1-I16422)*(I16476-I16482+I16481-I16484)</f>
        <v>0</v>
      </c>
      <c r="J16486" s="16" t="n">
        <f aca="false">J16477*(1-J16422)*(J16476-J16482+J16481-J16484)</f>
        <v>0</v>
      </c>
      <c r="K16486" s="16" t="n">
        <f aca="false">K16477*(1-K16422)*(K16476-K16482+K16481-K16484)</f>
        <v>0</v>
      </c>
    </row>
    <row r="16487" customFormat="false" ht="15" hidden="false" customHeight="false" outlineLevel="0" collapsed="false">
      <c r="A16487" s="2" t="s">
        <v>339</v>
      </c>
      <c r="F16487" s="28" t="n">
        <f aca="false">Assumptions!$C$61</f>
        <v>450</v>
      </c>
      <c r="G16487" s="17" t="n">
        <f aca="false">G16476+G16483+G16481-G16482-G16484-G16485</f>
        <v>450</v>
      </c>
      <c r="H16487" s="17" t="n">
        <f aca="false">H16476+H16483+H16481-H16482-H16484-H16485</f>
        <v>401.446357881</v>
      </c>
      <c r="I16487" s="17" t="n">
        <f aca="false">I16476+I16483+I16481-I16482-I16484-I16485</f>
        <v>401.446357881</v>
      </c>
      <c r="J16487" s="17" t="n">
        <f aca="false">J16476+J16483+J16481-J16482-J16484-J16485</f>
        <v>401.446357881</v>
      </c>
      <c r="K16487" s="17" t="n">
        <f aca="false">K16476+K16483+K16481-K16482-K16484-K16485</f>
        <v>401.446357881</v>
      </c>
    </row>
    <row r="16488" customFormat="false" ht="15" hidden="false" customHeight="false" outlineLevel="0" collapsed="false">
      <c r="A16488" s="24" t="s">
        <v>344</v>
      </c>
      <c r="B16488" s="25"/>
      <c r="C16488" s="25"/>
      <c r="D16488" s="25"/>
      <c r="E16488" s="25"/>
      <c r="F16488" s="25"/>
      <c r="G16488" s="25"/>
      <c r="H16488" s="25"/>
      <c r="I16488" s="25"/>
      <c r="J16488" s="25"/>
      <c r="K16488" s="25"/>
    </row>
    <row r="16489" customFormat="false" ht="15" hidden="false" customHeight="false" outlineLevel="0" collapsed="false">
      <c r="A16489" s="3" t="s">
        <v>329</v>
      </c>
      <c r="G16489" s="16" t="n">
        <f aca="false">F16500</f>
        <v>350</v>
      </c>
      <c r="H16489" s="16" t="n">
        <f aca="false">G16500</f>
        <v>350</v>
      </c>
      <c r="I16489" s="16" t="n">
        <f aca="false">H16500</f>
        <v>350</v>
      </c>
      <c r="J16489" s="16" t="n">
        <f aca="false">I16500</f>
        <v>350</v>
      </c>
      <c r="K16489" s="16" t="n">
        <f aca="false">J16500</f>
        <v>350</v>
      </c>
    </row>
    <row r="16490" customFormat="false" ht="15" hidden="false" customHeight="false" outlineLevel="0" collapsed="false">
      <c r="A16490" s="3" t="s">
        <v>330</v>
      </c>
      <c r="G16490" s="21" t="n">
        <f aca="false">IF(G16388=Assumptions!$K$62,1,0)</f>
        <v>0</v>
      </c>
      <c r="H16490" s="21" t="n">
        <f aca="false">IF(H16388=Assumptions!$K$62,1,0)</f>
        <v>1</v>
      </c>
      <c r="I16490" s="21" t="n">
        <f aca="false">IF(I16388=Assumptions!$K$62,1,0)</f>
        <v>0</v>
      </c>
      <c r="J16490" s="21" t="n">
        <f aca="false">IF(J16388=Assumptions!$K$62,1,0)</f>
        <v>0</v>
      </c>
      <c r="K16490" s="21" t="n">
        <f aca="false">IF(K16388=Assumptions!$K$62,1,0)</f>
        <v>0</v>
      </c>
    </row>
    <row r="16492" customFormat="false" ht="15" hidden="false" customHeight="false" outlineLevel="0" collapsed="false">
      <c r="A16492" s="3" t="s">
        <v>331</v>
      </c>
      <c r="G16492" s="31" t="n">
        <f aca="false">IF(Assumptions!$I$62=1,MAX(G16414,Assumptions!$G$62)+Assumptions!$F$62+$C$16415,Assumptions!$E$62)</f>
        <v>0.083</v>
      </c>
      <c r="H16492" s="31" t="n">
        <f aca="false">IF(G16739=1,$C$16416,IF(Assumptions!$I$62=1,MAX(H16414,Assumptions!$G$62)+Assumptions!$F$62+$C$16415,Assumptions!$E$62))</f>
        <v>0.083</v>
      </c>
      <c r="I16492" s="31" t="n">
        <f aca="false">IF(H16739=1,$C$16416,IF(Assumptions!$I$62=1,MAX(I16414,Assumptions!$G$62)+Assumptions!$F$62+$C$16415,Assumptions!$E$62))</f>
        <v>0.083</v>
      </c>
      <c r="J16492" s="31" t="n">
        <f aca="false">IF(I16739=1,$C$16416,IF(Assumptions!$I$62=1,MAX(J16414,Assumptions!$G$62)+Assumptions!$F$62+$C$16415,Assumptions!$E$62))</f>
        <v>0.083</v>
      </c>
      <c r="K16492" s="31" t="n">
        <f aca="false">IF(J16739=1,$C$16416,IF(Assumptions!$I$62=1,MAX(K16414,Assumptions!$G$62)+Assumptions!$F$62+$C$16415,Assumptions!$E$62))</f>
        <v>0.083</v>
      </c>
    </row>
    <row r="16493" customFormat="false" ht="15" hidden="false" customHeight="false" outlineLevel="0" collapsed="false">
      <c r="A16493" s="3" t="s">
        <v>332</v>
      </c>
      <c r="G16493" s="16" t="n">
        <f aca="false">G16489*G16492</f>
        <v>29.05</v>
      </c>
      <c r="H16493" s="16" t="n">
        <f aca="false">H16489*H16492</f>
        <v>29.05</v>
      </c>
      <c r="I16493" s="16" t="n">
        <f aca="false">I16489*I16492</f>
        <v>29.05</v>
      </c>
      <c r="J16493" s="16" t="n">
        <f aca="false">J16489*J16492</f>
        <v>29.05</v>
      </c>
      <c r="K16493" s="16" t="n">
        <f aca="false">K16489*K16492</f>
        <v>29.05</v>
      </c>
    </row>
    <row r="16494" customFormat="false" ht="15" hidden="false" customHeight="false" outlineLevel="0" collapsed="false">
      <c r="A16494" s="3" t="s">
        <v>333</v>
      </c>
      <c r="G16494" s="16" t="n">
        <f aca="false">G16489*Assumptions!$H$62</f>
        <v>0</v>
      </c>
      <c r="H16494" s="16" t="n">
        <f aca="false">H16489*Assumptions!$H$62</f>
        <v>0</v>
      </c>
      <c r="I16494" s="16" t="n">
        <f aca="false">I16489*Assumptions!$H$62</f>
        <v>0</v>
      </c>
      <c r="J16494" s="16" t="n">
        <f aca="false">J16489*Assumptions!$H$62</f>
        <v>0</v>
      </c>
      <c r="K16494" s="16" t="n">
        <f aca="false">K16489*Assumptions!$H$62</f>
        <v>0</v>
      </c>
    </row>
    <row r="16495" customFormat="false" ht="15" hidden="false" customHeight="false" outlineLevel="0" collapsed="false">
      <c r="A16495" s="3" t="s">
        <v>334</v>
      </c>
      <c r="G16495" s="16" t="n">
        <f aca="false">MIN(G16489,Assumptions!$L$62*Assumptions!$C$62)</f>
        <v>0</v>
      </c>
      <c r="H16495" s="16" t="n">
        <f aca="false">MIN(H16489,Assumptions!$L$62*Assumptions!$C$62)</f>
        <v>0</v>
      </c>
      <c r="I16495" s="16" t="n">
        <f aca="false">MIN(I16489,Assumptions!$L$62*Assumptions!$C$62)</f>
        <v>0</v>
      </c>
      <c r="J16495" s="16" t="n">
        <f aca="false">MIN(J16489,Assumptions!$L$62*Assumptions!$C$62)</f>
        <v>0</v>
      </c>
      <c r="K16495" s="16" t="n">
        <f aca="false">MIN(K16489,Assumptions!$L$62*Assumptions!$C$62)</f>
        <v>0</v>
      </c>
    </row>
    <row r="16496" customFormat="false" ht="15" hidden="false" customHeight="false" outlineLevel="0" collapsed="false">
      <c r="A16496" s="3" t="s">
        <v>335</v>
      </c>
      <c r="G16496" s="16" t="n">
        <f aca="false">IF(AND(Assumptions!$P$62=1,G16388&lt;Assumptions!$K$62),MIN(MAX(0,-G16604),MAX(0,Assumptions!$D$62-G16489)),0)</f>
        <v>0</v>
      </c>
      <c r="H16496" s="16" t="n">
        <f aca="false">IF(AND(Assumptions!$P$62=1,OR(H16388&lt;Assumptions!$K$62,G16739=1)),MIN(MAX(0,-H16604),MAX(0,Assumptions!$D$62-H16489)),0)</f>
        <v>0</v>
      </c>
      <c r="I16496" s="16" t="n">
        <f aca="false">IF(AND(Assumptions!$P$62=1,OR(I16388&lt;Assumptions!$K$62,H16739=1)),MIN(MAX(0,-I16604),MAX(0,Assumptions!$D$62-I16489)),0)</f>
        <v>0</v>
      </c>
      <c r="J16496" s="16" t="n">
        <f aca="false">IF(AND(Assumptions!$P$62=1,OR(J16388&lt;Assumptions!$K$62,I16739=1)),MIN(MAX(0,-J16604),MAX(0,Assumptions!$D$62-J16489)),0)</f>
        <v>0</v>
      </c>
      <c r="K16496" s="16" t="n">
        <f aca="false">IF(AND(Assumptions!$P$62=1,OR(K16388&lt;Assumptions!$K$62,J16739=1)),MIN(MAX(0,-K16604),MAX(0,Assumptions!$D$62-K16489)),0)</f>
        <v>0</v>
      </c>
    </row>
    <row r="16497" customFormat="false" ht="15" hidden="false" customHeight="false" outlineLevel="0" collapsed="false">
      <c r="A16497" s="3" t="s">
        <v>336</v>
      </c>
      <c r="G16497" s="16" t="n">
        <f aca="false">G16490*MIN(G16489-G16495+G16494,MAX(0,G16606-Assumptions!$C$12*G16422-G16432-G16445-G16458-G16471-G16484))</f>
        <v>0</v>
      </c>
      <c r="H16497" s="16" t="n">
        <f aca="false">H16490*MIN(H16489-H16495+H16494,MAX(0,H16606-Assumptions!$C$12*H16422-H16432-H16445-H16458-H16471-H16484))</f>
        <v>0</v>
      </c>
      <c r="I16497" s="16" t="n">
        <f aca="false">I16490*MIN(I16489-I16495+I16494,MAX(0,I16606-Assumptions!$C$12*I16422-I16432-I16445-I16458-I16471-I16484))</f>
        <v>0</v>
      </c>
      <c r="J16497" s="16" t="n">
        <f aca="false">J16490*MIN(J16489-J16495+J16494,MAX(0,J16606-Assumptions!$C$12*J16422-J16432-J16445-J16458-J16471-J16484))</f>
        <v>0</v>
      </c>
      <c r="K16497" s="16" t="n">
        <f aca="false">K16490*MIN(K16489-K16495+K16494,MAX(0,K16606-Assumptions!$C$12*K16422-K16432-K16445-K16458-K16471-K16484))</f>
        <v>0</v>
      </c>
    </row>
    <row r="16498" customFormat="false" ht="15" hidden="false" customHeight="false" outlineLevel="0" collapsed="false">
      <c r="A16498" s="3" t="s">
        <v>337</v>
      </c>
      <c r="G16498" s="16" t="n">
        <f aca="false">Assumptions!$N$62*MIN(G16489+G16496+G16494-G16495-G16497,MAX(0,G16610-G16433-G16446-G16459-G16472-G16485))</f>
        <v>0</v>
      </c>
      <c r="H16498" s="16" t="n">
        <f aca="false">Assumptions!$N$62*MIN(H16489+H16496+H16494-H16495-H16497,MAX(0,H16610-H16433-H16446-H16459-H16472-H16485))</f>
        <v>0</v>
      </c>
      <c r="I16498" s="16" t="n">
        <f aca="false">Assumptions!$N$62*MIN(I16489+I16496+I16494-I16495-I16497,MAX(0,I16610-I16433-I16446-I16459-I16472-I16485))</f>
        <v>0</v>
      </c>
      <c r="J16498" s="16" t="n">
        <f aca="false">Assumptions!$N$62*MIN(J16489+J16496+J16494-J16495-J16497,MAX(0,J16610-J16433-J16446-J16459-J16472-J16485))</f>
        <v>0</v>
      </c>
      <c r="K16498" s="16" t="n">
        <f aca="false">Assumptions!$N$62*MIN(K16489+K16496+K16494-K16495-K16497,MAX(0,K16610-K16433-K16446-K16459-K16472-K16485))</f>
        <v>0</v>
      </c>
    </row>
    <row r="16499" customFormat="false" ht="15" hidden="false" customHeight="false" outlineLevel="0" collapsed="false">
      <c r="A16499" s="3" t="s">
        <v>338</v>
      </c>
      <c r="G16499" s="16" t="n">
        <f aca="false">G16490*(1-G16422)*(G16489-G16495+G16494-G16497)</f>
        <v>0</v>
      </c>
      <c r="H16499" s="16" t="n">
        <f aca="false">H16490*(1-H16422)*(H16489-H16495+H16494-H16497)</f>
        <v>350</v>
      </c>
      <c r="I16499" s="16" t="n">
        <f aca="false">I16490*(1-I16422)*(I16489-I16495+I16494-I16497)</f>
        <v>0</v>
      </c>
      <c r="J16499" s="16" t="n">
        <f aca="false">J16490*(1-J16422)*(J16489-J16495+J16494-J16497)</f>
        <v>0</v>
      </c>
      <c r="K16499" s="16" t="n">
        <f aca="false">K16490*(1-K16422)*(K16489-K16495+K16494-K16497)</f>
        <v>0</v>
      </c>
    </row>
    <row r="16500" customFormat="false" ht="15" hidden="false" customHeight="false" outlineLevel="0" collapsed="false">
      <c r="A16500" s="2" t="s">
        <v>339</v>
      </c>
      <c r="F16500" s="28" t="n">
        <f aca="false">Assumptions!$C$62</f>
        <v>350</v>
      </c>
      <c r="G16500" s="17" t="n">
        <f aca="false">G16489+G16496+G16494-G16495-G16497-G16498</f>
        <v>350</v>
      </c>
      <c r="H16500" s="17" t="n">
        <f aca="false">H16489+H16496+H16494-H16495-H16497-H16498</f>
        <v>350</v>
      </c>
      <c r="I16500" s="17" t="n">
        <f aca="false">I16489+I16496+I16494-I16495-I16497-I16498</f>
        <v>350</v>
      </c>
      <c r="J16500" s="17" t="n">
        <f aca="false">J16489+J16496+J16494-J16495-J16497-J16498</f>
        <v>350</v>
      </c>
      <c r="K16500" s="17" t="n">
        <f aca="false">K16489+K16496+K16494-K16495-K16497-K16498</f>
        <v>350</v>
      </c>
    </row>
    <row r="16501" customFormat="false" ht="15" hidden="false" customHeight="false" outlineLevel="0" collapsed="false">
      <c r="A16501" s="24" t="s">
        <v>345</v>
      </c>
      <c r="B16501" s="25"/>
      <c r="C16501" s="25"/>
      <c r="D16501" s="25"/>
      <c r="E16501" s="25"/>
      <c r="F16501" s="25"/>
      <c r="G16501" s="25"/>
      <c r="H16501" s="25"/>
      <c r="I16501" s="25"/>
      <c r="J16501" s="25"/>
      <c r="K16501" s="25"/>
    </row>
    <row r="16502" customFormat="false" ht="15" hidden="false" customHeight="false" outlineLevel="0" collapsed="false">
      <c r="A16502" s="3" t="s">
        <v>329</v>
      </c>
      <c r="G16502" s="16" t="n">
        <f aca="false">F16513</f>
        <v>550</v>
      </c>
      <c r="H16502" s="16" t="n">
        <f aca="false">G16513</f>
        <v>550</v>
      </c>
      <c r="I16502" s="16" t="n">
        <f aca="false">H16513</f>
        <v>550</v>
      </c>
      <c r="J16502" s="16" t="n">
        <f aca="false">I16513</f>
        <v>550</v>
      </c>
      <c r="K16502" s="16" t="n">
        <f aca="false">J16513</f>
        <v>550</v>
      </c>
    </row>
    <row r="16503" customFormat="false" ht="15" hidden="false" customHeight="false" outlineLevel="0" collapsed="false">
      <c r="A16503" s="3" t="s">
        <v>330</v>
      </c>
      <c r="G16503" s="21" t="n">
        <f aca="false">IF(G16388=Assumptions!$K$63,1,0)</f>
        <v>0</v>
      </c>
      <c r="H16503" s="21" t="n">
        <f aca="false">IF(H16388=Assumptions!$K$63,1,0)</f>
        <v>0</v>
      </c>
      <c r="I16503" s="21" t="n">
        <f aca="false">IF(I16388=Assumptions!$K$63,1,0)</f>
        <v>1</v>
      </c>
      <c r="J16503" s="21" t="n">
        <f aca="false">IF(J16388=Assumptions!$K$63,1,0)</f>
        <v>0</v>
      </c>
      <c r="K16503" s="21" t="n">
        <f aca="false">IF(K16388=Assumptions!$K$63,1,0)</f>
        <v>0</v>
      </c>
    </row>
    <row r="16505" customFormat="false" ht="15" hidden="false" customHeight="false" outlineLevel="0" collapsed="false">
      <c r="A16505" s="3" t="s">
        <v>331</v>
      </c>
      <c r="G16505" s="31" t="n">
        <f aca="false">IF(Assumptions!$I$63=1,MAX(G16414,Assumptions!$G$63)+Assumptions!$F$63+$C$16415,Assumptions!$E$63)</f>
        <v>0.08875</v>
      </c>
      <c r="H16505" s="31" t="n">
        <f aca="false">IF(G16740=1,$C$16416,IF(Assumptions!$I$63=1,MAX(H16414,Assumptions!$G$63)+Assumptions!$F$63+$C$16415,Assumptions!$E$63))</f>
        <v>0.08875</v>
      </c>
      <c r="I16505" s="31" t="n">
        <f aca="false">IF(H16740=1,$C$16416,IF(Assumptions!$I$63=1,MAX(I16414,Assumptions!$G$63)+Assumptions!$F$63+$C$16415,Assumptions!$E$63))</f>
        <v>0.08875</v>
      </c>
      <c r="J16505" s="31" t="n">
        <f aca="false">IF(I16740=1,$C$16416,IF(Assumptions!$I$63=1,MAX(J16414,Assumptions!$G$63)+Assumptions!$F$63+$C$16415,Assumptions!$E$63))</f>
        <v>0.08875</v>
      </c>
      <c r="K16505" s="31" t="n">
        <f aca="false">IF(J16740=1,$C$16416,IF(Assumptions!$I$63=1,MAX(K16414,Assumptions!$G$63)+Assumptions!$F$63+$C$16415,Assumptions!$E$63))</f>
        <v>0.08875</v>
      </c>
    </row>
    <row r="16506" customFormat="false" ht="15" hidden="false" customHeight="false" outlineLevel="0" collapsed="false">
      <c r="A16506" s="3" t="s">
        <v>332</v>
      </c>
      <c r="G16506" s="16" t="n">
        <f aca="false">G16502*G16505</f>
        <v>48.8125</v>
      </c>
      <c r="H16506" s="16" t="n">
        <f aca="false">H16502*H16505</f>
        <v>48.8125</v>
      </c>
      <c r="I16506" s="16" t="n">
        <f aca="false">I16502*I16505</f>
        <v>48.8125</v>
      </c>
      <c r="J16506" s="16" t="n">
        <f aca="false">J16502*J16505</f>
        <v>48.8125</v>
      </c>
      <c r="K16506" s="16" t="n">
        <f aca="false">K16502*K16505</f>
        <v>48.8125</v>
      </c>
    </row>
    <row r="16507" customFormat="false" ht="15" hidden="false" customHeight="false" outlineLevel="0" collapsed="false">
      <c r="A16507" s="3" t="s">
        <v>333</v>
      </c>
      <c r="G16507" s="16" t="n">
        <f aca="false">G16502*Assumptions!$H$63</f>
        <v>0</v>
      </c>
      <c r="H16507" s="16" t="n">
        <f aca="false">H16502*Assumptions!$H$63</f>
        <v>0</v>
      </c>
      <c r="I16507" s="16" t="n">
        <f aca="false">I16502*Assumptions!$H$63</f>
        <v>0</v>
      </c>
      <c r="J16507" s="16" t="n">
        <f aca="false">J16502*Assumptions!$H$63</f>
        <v>0</v>
      </c>
      <c r="K16507" s="16" t="n">
        <f aca="false">K16502*Assumptions!$H$63</f>
        <v>0</v>
      </c>
    </row>
    <row r="16508" customFormat="false" ht="15" hidden="false" customHeight="false" outlineLevel="0" collapsed="false">
      <c r="A16508" s="3" t="s">
        <v>334</v>
      </c>
      <c r="G16508" s="16" t="n">
        <f aca="false">MIN(G16502,Assumptions!$L$63*Assumptions!$C$63)</f>
        <v>0</v>
      </c>
      <c r="H16508" s="16" t="n">
        <f aca="false">MIN(H16502,Assumptions!$L$63*Assumptions!$C$63)</f>
        <v>0</v>
      </c>
      <c r="I16508" s="16" t="n">
        <f aca="false">MIN(I16502,Assumptions!$L$63*Assumptions!$C$63)</f>
        <v>0</v>
      </c>
      <c r="J16508" s="16" t="n">
        <f aca="false">MIN(J16502,Assumptions!$L$63*Assumptions!$C$63)</f>
        <v>0</v>
      </c>
      <c r="K16508" s="16" t="n">
        <f aca="false">MIN(K16502,Assumptions!$L$63*Assumptions!$C$63)</f>
        <v>0</v>
      </c>
    </row>
    <row r="16509" customFormat="false" ht="15" hidden="false" customHeight="false" outlineLevel="0" collapsed="false">
      <c r="A16509" s="3" t="s">
        <v>335</v>
      </c>
      <c r="G16509" s="16" t="n">
        <f aca="false">IF(AND(Assumptions!$P$63=1,G16388&lt;Assumptions!$K$63),MIN(MAX(0,-G16604),MAX(0,Assumptions!$D$63-G16502)),0)</f>
        <v>0</v>
      </c>
      <c r="H16509" s="16" t="n">
        <f aca="false">IF(AND(Assumptions!$P$63=1,OR(H16388&lt;Assumptions!$K$63,G16740=1)),MIN(MAX(0,-H16604),MAX(0,Assumptions!$D$63-H16502)),0)</f>
        <v>0</v>
      </c>
      <c r="I16509" s="16" t="n">
        <f aca="false">IF(AND(Assumptions!$P$63=1,OR(I16388&lt;Assumptions!$K$63,H16740=1)),MIN(MAX(0,-I16604),MAX(0,Assumptions!$D$63-I16502)),0)</f>
        <v>0</v>
      </c>
      <c r="J16509" s="16" t="n">
        <f aca="false">IF(AND(Assumptions!$P$63=1,OR(J16388&lt;Assumptions!$K$63,I16740=1)),MIN(MAX(0,-J16604),MAX(0,Assumptions!$D$63-J16502)),0)</f>
        <v>0</v>
      </c>
      <c r="K16509" s="16" t="n">
        <f aca="false">IF(AND(Assumptions!$P$63=1,OR(K16388&lt;Assumptions!$K$63,J16740=1)),MIN(MAX(0,-K16604),MAX(0,Assumptions!$D$63-K16502)),0)</f>
        <v>0</v>
      </c>
    </row>
    <row r="16510" customFormat="false" ht="15" hidden="false" customHeight="false" outlineLevel="0" collapsed="false">
      <c r="A16510" s="3" t="s">
        <v>336</v>
      </c>
      <c r="G16510" s="16" t="n">
        <f aca="false">G16503*MIN(G16502-G16508+G16507,MAX(0,G16606-Assumptions!$C$12*G16422-G16432-G16445-G16458-G16471-G16484-G16497))</f>
        <v>0</v>
      </c>
      <c r="H16510" s="16" t="n">
        <f aca="false">H16503*MIN(H16502-H16508+H16507,MAX(0,H16606-Assumptions!$C$12*H16422-H16432-H16445-H16458-H16471-H16484-H16497))</f>
        <v>0</v>
      </c>
      <c r="I16510" s="16" t="n">
        <f aca="false">I16503*MIN(I16502-I16508+I16507,MAX(0,I16606-Assumptions!$C$12*I16422-I16432-I16445-I16458-I16471-I16484-I16497))</f>
        <v>0</v>
      </c>
      <c r="J16510" s="16" t="n">
        <f aca="false">J16503*MIN(J16502-J16508+J16507,MAX(0,J16606-Assumptions!$C$12*J16422-J16432-J16445-J16458-J16471-J16484-J16497))</f>
        <v>0</v>
      </c>
      <c r="K16510" s="16" t="n">
        <f aca="false">K16503*MIN(K16502-K16508+K16507,MAX(0,K16606-Assumptions!$C$12*K16422-K16432-K16445-K16458-K16471-K16484-K16497))</f>
        <v>0</v>
      </c>
    </row>
    <row r="16511" customFormat="false" ht="15" hidden="false" customHeight="false" outlineLevel="0" collapsed="false">
      <c r="A16511" s="3" t="s">
        <v>337</v>
      </c>
      <c r="G16511" s="16" t="n">
        <f aca="false">Assumptions!$N$63*MIN(G16502+G16509+G16507-G16508-G16510,MAX(0,G16610-G16433-G16446-G16459-G16472-G16485-G16498))</f>
        <v>0</v>
      </c>
      <c r="H16511" s="16" t="n">
        <f aca="false">Assumptions!$N$63*MIN(H16502+H16509+H16507-H16508-H16510,MAX(0,H16610-H16433-H16446-H16459-H16472-H16485-H16498))</f>
        <v>0</v>
      </c>
      <c r="I16511" s="16" t="n">
        <f aca="false">Assumptions!$N$63*MIN(I16502+I16509+I16507-I16508-I16510,MAX(0,I16610-I16433-I16446-I16459-I16472-I16485-I16498))</f>
        <v>0</v>
      </c>
      <c r="J16511" s="16" t="n">
        <f aca="false">Assumptions!$N$63*MIN(J16502+J16509+J16507-J16508-J16510,MAX(0,J16610-J16433-J16446-J16459-J16472-J16485-J16498))</f>
        <v>0</v>
      </c>
      <c r="K16511" s="16" t="n">
        <f aca="false">Assumptions!$N$63*MIN(K16502+K16509+K16507-K16508-K16510,MAX(0,K16610-K16433-K16446-K16459-K16472-K16485-K16498))</f>
        <v>0</v>
      </c>
    </row>
    <row r="16512" customFormat="false" ht="15" hidden="false" customHeight="false" outlineLevel="0" collapsed="false">
      <c r="A16512" s="3" t="s">
        <v>338</v>
      </c>
      <c r="G16512" s="16" t="n">
        <f aca="false">G16503*(1-G16422)*(G16502-G16508+G16507-G16510)</f>
        <v>0</v>
      </c>
      <c r="H16512" s="16" t="n">
        <f aca="false">H16503*(1-H16422)*(H16502-H16508+H16507-H16510)</f>
        <v>0</v>
      </c>
      <c r="I16512" s="16" t="n">
        <f aca="false">I16503*(1-I16422)*(I16502-I16508+I16507-I16510)</f>
        <v>550</v>
      </c>
      <c r="J16512" s="16" t="n">
        <f aca="false">J16503*(1-J16422)*(J16502-J16508+J16507-J16510)</f>
        <v>0</v>
      </c>
      <c r="K16512" s="16" t="n">
        <f aca="false">K16503*(1-K16422)*(K16502-K16508+K16507-K16510)</f>
        <v>0</v>
      </c>
    </row>
    <row r="16513" customFormat="false" ht="15" hidden="false" customHeight="false" outlineLevel="0" collapsed="false">
      <c r="A16513" s="2" t="s">
        <v>339</v>
      </c>
      <c r="F16513" s="28" t="n">
        <f aca="false">Assumptions!$C$63</f>
        <v>550</v>
      </c>
      <c r="G16513" s="17" t="n">
        <f aca="false">G16502+G16509+G16507-G16508-G16510-G16511</f>
        <v>550</v>
      </c>
      <c r="H16513" s="17" t="n">
        <f aca="false">H16502+H16509+H16507-H16508-H16510-H16511</f>
        <v>550</v>
      </c>
      <c r="I16513" s="17" t="n">
        <f aca="false">I16502+I16509+I16507-I16508-I16510-I16511</f>
        <v>550</v>
      </c>
      <c r="J16513" s="17" t="n">
        <f aca="false">J16502+J16509+J16507-J16508-J16510-J16511</f>
        <v>550</v>
      </c>
      <c r="K16513" s="17" t="n">
        <f aca="false">K16502+K16509+K16507-K16508-K16510-K16511</f>
        <v>550</v>
      </c>
    </row>
    <row r="16514" customFormat="false" ht="15" hidden="false" customHeight="false" outlineLevel="0" collapsed="false">
      <c r="A16514" s="24" t="s">
        <v>346</v>
      </c>
      <c r="B16514" s="25"/>
      <c r="C16514" s="25"/>
      <c r="D16514" s="25"/>
      <c r="E16514" s="25"/>
      <c r="F16514" s="25"/>
      <c r="G16514" s="25"/>
      <c r="H16514" s="25"/>
      <c r="I16514" s="25"/>
      <c r="J16514" s="25"/>
      <c r="K16514" s="25"/>
    </row>
    <row r="16515" customFormat="false" ht="15" hidden="false" customHeight="false" outlineLevel="0" collapsed="false">
      <c r="A16515" s="3" t="s">
        <v>329</v>
      </c>
      <c r="G16515" s="16" t="n">
        <f aca="false">F16526</f>
        <v>350</v>
      </c>
      <c r="H16515" s="16" t="n">
        <f aca="false">G16526</f>
        <v>350</v>
      </c>
      <c r="I16515" s="16" t="n">
        <f aca="false">H16526</f>
        <v>350</v>
      </c>
      <c r="J16515" s="16" t="n">
        <f aca="false">I16526</f>
        <v>350</v>
      </c>
      <c r="K16515" s="16" t="n">
        <f aca="false">J16526</f>
        <v>350</v>
      </c>
    </row>
    <row r="16516" customFormat="false" ht="15" hidden="false" customHeight="false" outlineLevel="0" collapsed="false">
      <c r="A16516" s="3" t="s">
        <v>330</v>
      </c>
      <c r="G16516" s="21" t="n">
        <f aca="false">IF(G16388=Assumptions!$K$64,1,0)</f>
        <v>0</v>
      </c>
      <c r="H16516" s="21" t="n">
        <f aca="false">IF(H16388=Assumptions!$K$64,1,0)</f>
        <v>0</v>
      </c>
      <c r="I16516" s="21" t="n">
        <f aca="false">IF(I16388=Assumptions!$K$64,1,0)</f>
        <v>0</v>
      </c>
      <c r="J16516" s="21" t="n">
        <f aca="false">IF(J16388=Assumptions!$K$64,1,0)</f>
        <v>1</v>
      </c>
      <c r="K16516" s="21" t="n">
        <f aca="false">IF(K16388=Assumptions!$K$64,1,0)</f>
        <v>0</v>
      </c>
    </row>
    <row r="16518" customFormat="false" ht="15" hidden="false" customHeight="false" outlineLevel="0" collapsed="false">
      <c r="A16518" s="3" t="s">
        <v>331</v>
      </c>
      <c r="G16518" s="31" t="n">
        <f aca="false">IF(Assumptions!$I$64=1,MAX(G16414,Assumptions!$G$64)+Assumptions!$F$64+$C$16415,Assumptions!$E$64)</f>
        <v>0.0455</v>
      </c>
      <c r="H16518" s="31" t="n">
        <f aca="false">IF(G16741=1,$C$16416,IF(Assumptions!$I$64=1,MAX(H16414,Assumptions!$G$64)+Assumptions!$F$64+$C$16415,Assumptions!$E$64))</f>
        <v>0.0455</v>
      </c>
      <c r="I16518" s="31" t="n">
        <f aca="false">IF(H16741=1,$C$16416,IF(Assumptions!$I$64=1,MAX(I16414,Assumptions!$G$64)+Assumptions!$F$64+$C$16415,Assumptions!$E$64))</f>
        <v>0.0455</v>
      </c>
      <c r="J16518" s="31" t="n">
        <f aca="false">IF(I16741=1,$C$16416,IF(Assumptions!$I$64=1,MAX(J16414,Assumptions!$G$64)+Assumptions!$F$64+$C$16415,Assumptions!$E$64))</f>
        <v>0.0455</v>
      </c>
      <c r="K16518" s="31" t="n">
        <f aca="false">IF(J16741=1,$C$16416,IF(Assumptions!$I$64=1,MAX(K16414,Assumptions!$G$64)+Assumptions!$F$64+$C$16415,Assumptions!$E$64))</f>
        <v>0.0455</v>
      </c>
    </row>
    <row r="16519" customFormat="false" ht="15" hidden="false" customHeight="false" outlineLevel="0" collapsed="false">
      <c r="A16519" s="3" t="s">
        <v>332</v>
      </c>
      <c r="G16519" s="16" t="n">
        <f aca="false">G16515*G16518</f>
        <v>15.925</v>
      </c>
      <c r="H16519" s="16" t="n">
        <f aca="false">H16515*H16518</f>
        <v>15.925</v>
      </c>
      <c r="I16519" s="16" t="n">
        <f aca="false">I16515*I16518</f>
        <v>15.925</v>
      </c>
      <c r="J16519" s="16" t="n">
        <f aca="false">J16515*J16518</f>
        <v>15.925</v>
      </c>
      <c r="K16519" s="16" t="n">
        <f aca="false">K16515*K16518</f>
        <v>15.925</v>
      </c>
    </row>
    <row r="16520" customFormat="false" ht="15" hidden="false" customHeight="false" outlineLevel="0" collapsed="false">
      <c r="A16520" s="3" t="s">
        <v>333</v>
      </c>
      <c r="G16520" s="16" t="n">
        <f aca="false">G16515*Assumptions!$H$64</f>
        <v>0</v>
      </c>
      <c r="H16520" s="16" t="n">
        <f aca="false">H16515*Assumptions!$H$64</f>
        <v>0</v>
      </c>
      <c r="I16520" s="16" t="n">
        <f aca="false">I16515*Assumptions!$H$64</f>
        <v>0</v>
      </c>
      <c r="J16520" s="16" t="n">
        <f aca="false">J16515*Assumptions!$H$64</f>
        <v>0</v>
      </c>
      <c r="K16520" s="16" t="n">
        <f aca="false">K16515*Assumptions!$H$64</f>
        <v>0</v>
      </c>
    </row>
    <row r="16521" customFormat="false" ht="15" hidden="false" customHeight="false" outlineLevel="0" collapsed="false">
      <c r="A16521" s="3" t="s">
        <v>334</v>
      </c>
      <c r="G16521" s="16" t="n">
        <f aca="false">MIN(G16515,Assumptions!$L$64*Assumptions!$C$64)</f>
        <v>0</v>
      </c>
      <c r="H16521" s="16" t="n">
        <f aca="false">MIN(H16515,Assumptions!$L$64*Assumptions!$C$64)</f>
        <v>0</v>
      </c>
      <c r="I16521" s="16" t="n">
        <f aca="false">MIN(I16515,Assumptions!$L$64*Assumptions!$C$64)</f>
        <v>0</v>
      </c>
      <c r="J16521" s="16" t="n">
        <f aca="false">MIN(J16515,Assumptions!$L$64*Assumptions!$C$64)</f>
        <v>0</v>
      </c>
      <c r="K16521" s="16" t="n">
        <f aca="false">MIN(K16515,Assumptions!$L$64*Assumptions!$C$64)</f>
        <v>0</v>
      </c>
    </row>
    <row r="16522" customFormat="false" ht="15" hidden="false" customHeight="false" outlineLevel="0" collapsed="false">
      <c r="A16522" s="3" t="s">
        <v>335</v>
      </c>
      <c r="G16522" s="16" t="n">
        <f aca="false">IF(AND(Assumptions!$P$64=1,G16388&lt;Assumptions!$K$64),MIN(MAX(0,-G16604),MAX(0,Assumptions!$D$64-G16515)),0)</f>
        <v>0</v>
      </c>
      <c r="H16522" s="16" t="n">
        <f aca="false">IF(AND(Assumptions!$P$64=1,OR(H16388&lt;Assumptions!$K$64,G16741=1)),MIN(MAX(0,-H16604),MAX(0,Assumptions!$D$64-H16515)),0)</f>
        <v>0</v>
      </c>
      <c r="I16522" s="16" t="n">
        <f aca="false">IF(AND(Assumptions!$P$64=1,OR(I16388&lt;Assumptions!$K$64,H16741=1)),MIN(MAX(0,-I16604),MAX(0,Assumptions!$D$64-I16515)),0)</f>
        <v>0</v>
      </c>
      <c r="J16522" s="16" t="n">
        <f aca="false">IF(AND(Assumptions!$P$64=1,OR(J16388&lt;Assumptions!$K$64,I16741=1)),MIN(MAX(0,-J16604),MAX(0,Assumptions!$D$64-J16515)),0)</f>
        <v>0</v>
      </c>
      <c r="K16522" s="16" t="n">
        <f aca="false">IF(AND(Assumptions!$P$64=1,OR(K16388&lt;Assumptions!$K$64,J16741=1)),MIN(MAX(0,-K16604),MAX(0,Assumptions!$D$64-K16515)),0)</f>
        <v>0</v>
      </c>
    </row>
    <row r="16523" customFormat="false" ht="15" hidden="false" customHeight="false" outlineLevel="0" collapsed="false">
      <c r="A16523" s="3" t="s">
        <v>336</v>
      </c>
      <c r="G16523" s="16" t="n">
        <f aca="false">G16516*MIN(G16515-G16521+G16520,MAX(0,G16606-Assumptions!$C$12*G16422-G16432-G16445-G16458-G16471-G16484-G16497-G16510))</f>
        <v>0</v>
      </c>
      <c r="H16523" s="16" t="n">
        <f aca="false">H16516*MIN(H16515-H16521+H16520,MAX(0,H16606-Assumptions!$C$12*H16422-H16432-H16445-H16458-H16471-H16484-H16497-H16510))</f>
        <v>0</v>
      </c>
      <c r="I16523" s="16" t="n">
        <f aca="false">I16516*MIN(I16515-I16521+I16520,MAX(0,I16606-Assumptions!$C$12*I16422-I16432-I16445-I16458-I16471-I16484-I16497-I16510))</f>
        <v>0</v>
      </c>
      <c r="J16523" s="16" t="n">
        <f aca="false">J16516*MIN(J16515-J16521+J16520,MAX(0,J16606-Assumptions!$C$12*J16422-J16432-J16445-J16458-J16471-J16484-J16497-J16510))</f>
        <v>0</v>
      </c>
      <c r="K16523" s="16" t="n">
        <f aca="false">K16516*MIN(K16515-K16521+K16520,MAX(0,K16606-Assumptions!$C$12*K16422-K16432-K16445-K16458-K16471-K16484-K16497-K16510))</f>
        <v>0</v>
      </c>
    </row>
    <row r="16524" customFormat="false" ht="15" hidden="false" customHeight="false" outlineLevel="0" collapsed="false">
      <c r="A16524" s="3" t="s">
        <v>337</v>
      </c>
      <c r="G16524" s="16" t="n">
        <f aca="false">Assumptions!$N$64*MIN(G16515+G16522+G16520-G16521-G16523,MAX(0,G16610-G16433-G16446-G16459-G16472-G16485-G16498-G16511))</f>
        <v>0</v>
      </c>
      <c r="H16524" s="16" t="n">
        <f aca="false">Assumptions!$N$64*MIN(H16515+H16522+H16520-H16521-H16523,MAX(0,H16610-H16433-H16446-H16459-H16472-H16485-H16498-H16511))</f>
        <v>0</v>
      </c>
      <c r="I16524" s="16" t="n">
        <f aca="false">Assumptions!$N$64*MIN(I16515+I16522+I16520-I16521-I16523,MAX(0,I16610-I16433-I16446-I16459-I16472-I16485-I16498-I16511))</f>
        <v>0</v>
      </c>
      <c r="J16524" s="16" t="n">
        <f aca="false">Assumptions!$N$64*MIN(J16515+J16522+J16520-J16521-J16523,MAX(0,J16610-J16433-J16446-J16459-J16472-J16485-J16498-J16511))</f>
        <v>0</v>
      </c>
      <c r="K16524" s="16" t="n">
        <f aca="false">Assumptions!$N$64*MIN(K16515+K16522+K16520-K16521-K16523,MAX(0,K16610-K16433-K16446-K16459-K16472-K16485-K16498-K16511))</f>
        <v>0</v>
      </c>
    </row>
    <row r="16525" customFormat="false" ht="15" hidden="false" customHeight="false" outlineLevel="0" collapsed="false">
      <c r="A16525" s="3" t="s">
        <v>338</v>
      </c>
      <c r="G16525" s="16" t="n">
        <f aca="false">G16516*(1-G16422)*(G16515-G16521+G16520-G16523)</f>
        <v>0</v>
      </c>
      <c r="H16525" s="16" t="n">
        <f aca="false">H16516*(1-H16422)*(H16515-H16521+H16520-H16523)</f>
        <v>0</v>
      </c>
      <c r="I16525" s="16" t="n">
        <f aca="false">I16516*(1-I16422)*(I16515-I16521+I16520-I16523)</f>
        <v>0</v>
      </c>
      <c r="J16525" s="16" t="n">
        <f aca="false">J16516*(1-J16422)*(J16515-J16521+J16520-J16523)</f>
        <v>350</v>
      </c>
      <c r="K16525" s="16" t="n">
        <f aca="false">K16516*(1-K16422)*(K16515-K16521+K16520-K16523)</f>
        <v>0</v>
      </c>
    </row>
    <row r="16526" customFormat="false" ht="15" hidden="false" customHeight="false" outlineLevel="0" collapsed="false">
      <c r="A16526" s="2" t="s">
        <v>339</v>
      </c>
      <c r="F16526" s="28" t="n">
        <f aca="false">Assumptions!$C$64</f>
        <v>350</v>
      </c>
      <c r="G16526" s="17" t="n">
        <f aca="false">G16515+G16522+G16520-G16521-G16523-G16524</f>
        <v>350</v>
      </c>
      <c r="H16526" s="17" t="n">
        <f aca="false">H16515+H16522+H16520-H16521-H16523-H16524</f>
        <v>350</v>
      </c>
      <c r="I16526" s="17" t="n">
        <f aca="false">I16515+I16522+I16520-I16521-I16523-I16524</f>
        <v>350</v>
      </c>
      <c r="J16526" s="17" t="n">
        <f aca="false">J16515+J16522+J16520-J16521-J16523-J16524</f>
        <v>350</v>
      </c>
      <c r="K16526" s="17" t="n">
        <f aca="false">K16515+K16522+K16520-K16521-K16523-K16524</f>
        <v>350</v>
      </c>
    </row>
    <row r="16527" customFormat="false" ht="15" hidden="false" customHeight="false" outlineLevel="0" collapsed="false">
      <c r="A16527" s="24" t="s">
        <v>347</v>
      </c>
      <c r="B16527" s="25"/>
      <c r="C16527" s="25"/>
      <c r="D16527" s="25"/>
      <c r="E16527" s="25"/>
      <c r="F16527" s="25"/>
      <c r="G16527" s="25"/>
      <c r="H16527" s="25"/>
      <c r="I16527" s="25"/>
      <c r="J16527" s="25"/>
      <c r="K16527" s="25"/>
    </row>
    <row r="16528" customFormat="false" ht="15" hidden="false" customHeight="false" outlineLevel="0" collapsed="false">
      <c r="A16528" s="3" t="s">
        <v>329</v>
      </c>
      <c r="G16528" s="16" t="n">
        <f aca="false">F16539</f>
        <v>300</v>
      </c>
      <c r="H16528" s="16" t="n">
        <f aca="false">G16539</f>
        <v>300</v>
      </c>
      <c r="I16528" s="16" t="n">
        <f aca="false">H16539</f>
        <v>300</v>
      </c>
      <c r="J16528" s="16" t="n">
        <f aca="false">I16539</f>
        <v>300</v>
      </c>
      <c r="K16528" s="16" t="n">
        <f aca="false">J16539</f>
        <v>300</v>
      </c>
    </row>
    <row r="16529" customFormat="false" ht="15" hidden="false" customHeight="false" outlineLevel="0" collapsed="false">
      <c r="A16529" s="3" t="s">
        <v>330</v>
      </c>
      <c r="G16529" s="21" t="n">
        <f aca="false">IF(G16388=Assumptions!$K$65,1,0)</f>
        <v>0</v>
      </c>
      <c r="H16529" s="21" t="n">
        <f aca="false">IF(H16388=Assumptions!$K$65,1,0)</f>
        <v>0</v>
      </c>
      <c r="I16529" s="21" t="n">
        <f aca="false">IF(I16388=Assumptions!$K$65,1,0)</f>
        <v>0</v>
      </c>
      <c r="J16529" s="21" t="n">
        <f aca="false">IF(J16388=Assumptions!$K$65,1,0)</f>
        <v>0</v>
      </c>
      <c r="K16529" s="21" t="n">
        <f aca="false">IF(K16388=Assumptions!$K$65,1,0)</f>
        <v>1</v>
      </c>
    </row>
    <row r="16531" customFormat="false" ht="15" hidden="false" customHeight="false" outlineLevel="0" collapsed="false">
      <c r="A16531" s="3" t="s">
        <v>331</v>
      </c>
      <c r="G16531" s="31" t="n">
        <f aca="false">IF(Assumptions!$I$65=1,MAX(G16414,Assumptions!$G$65)+Assumptions!$F$65+$C$16415,Assumptions!$E$65)</f>
        <v>0.06125</v>
      </c>
      <c r="H16531" s="31" t="n">
        <f aca="false">IF(G16742=1,$C$16416,IF(Assumptions!$I$65=1,MAX(H16414,Assumptions!$G$65)+Assumptions!$F$65+$C$16415,Assumptions!$E$65))</f>
        <v>0.06125</v>
      </c>
      <c r="I16531" s="31" t="n">
        <f aca="false">IF(H16742=1,$C$16416,IF(Assumptions!$I$65=1,MAX(I16414,Assumptions!$G$65)+Assumptions!$F$65+$C$16415,Assumptions!$E$65))</f>
        <v>0.06125</v>
      </c>
      <c r="J16531" s="31" t="n">
        <f aca="false">IF(I16742=1,$C$16416,IF(Assumptions!$I$65=1,MAX(J16414,Assumptions!$G$65)+Assumptions!$F$65+$C$16415,Assumptions!$E$65))</f>
        <v>0.06125</v>
      </c>
      <c r="K16531" s="31" t="n">
        <f aca="false">IF(J16742=1,$C$16416,IF(Assumptions!$I$65=1,MAX(K16414,Assumptions!$G$65)+Assumptions!$F$65+$C$16415,Assumptions!$E$65))</f>
        <v>0.06125</v>
      </c>
    </row>
    <row r="16532" customFormat="false" ht="15" hidden="false" customHeight="false" outlineLevel="0" collapsed="false">
      <c r="A16532" s="3" t="s">
        <v>332</v>
      </c>
      <c r="G16532" s="16" t="n">
        <f aca="false">G16528*G16531</f>
        <v>18.375</v>
      </c>
      <c r="H16532" s="16" t="n">
        <f aca="false">H16528*H16531</f>
        <v>18.375</v>
      </c>
      <c r="I16532" s="16" t="n">
        <f aca="false">I16528*I16531</f>
        <v>18.375</v>
      </c>
      <c r="J16532" s="16" t="n">
        <f aca="false">J16528*J16531</f>
        <v>18.375</v>
      </c>
      <c r="K16532" s="16" t="n">
        <f aca="false">K16528*K16531</f>
        <v>18.375</v>
      </c>
    </row>
    <row r="16533" customFormat="false" ht="15" hidden="false" customHeight="false" outlineLevel="0" collapsed="false">
      <c r="A16533" s="3" t="s">
        <v>333</v>
      </c>
      <c r="G16533" s="16" t="n">
        <f aca="false">G16528*Assumptions!$H$65</f>
        <v>0</v>
      </c>
      <c r="H16533" s="16" t="n">
        <f aca="false">H16528*Assumptions!$H$65</f>
        <v>0</v>
      </c>
      <c r="I16533" s="16" t="n">
        <f aca="false">I16528*Assumptions!$H$65</f>
        <v>0</v>
      </c>
      <c r="J16533" s="16" t="n">
        <f aca="false">J16528*Assumptions!$H$65</f>
        <v>0</v>
      </c>
      <c r="K16533" s="16" t="n">
        <f aca="false">K16528*Assumptions!$H$65</f>
        <v>0</v>
      </c>
    </row>
    <row r="16534" customFormat="false" ht="15" hidden="false" customHeight="false" outlineLevel="0" collapsed="false">
      <c r="A16534" s="3" t="s">
        <v>334</v>
      </c>
      <c r="G16534" s="16" t="n">
        <f aca="false">MIN(G16528,Assumptions!$L$65*Assumptions!$C$65)</f>
        <v>0</v>
      </c>
      <c r="H16534" s="16" t="n">
        <f aca="false">MIN(H16528,Assumptions!$L$65*Assumptions!$C$65)</f>
        <v>0</v>
      </c>
      <c r="I16534" s="16" t="n">
        <f aca="false">MIN(I16528,Assumptions!$L$65*Assumptions!$C$65)</f>
        <v>0</v>
      </c>
      <c r="J16534" s="16" t="n">
        <f aca="false">MIN(J16528,Assumptions!$L$65*Assumptions!$C$65)</f>
        <v>0</v>
      </c>
      <c r="K16534" s="16" t="n">
        <f aca="false">MIN(K16528,Assumptions!$L$65*Assumptions!$C$65)</f>
        <v>0</v>
      </c>
    </row>
    <row r="16535" customFormat="false" ht="15" hidden="false" customHeight="false" outlineLevel="0" collapsed="false">
      <c r="A16535" s="3" t="s">
        <v>335</v>
      </c>
      <c r="G16535" s="16" t="n">
        <f aca="false">IF(AND(Assumptions!$P$65=1,G16388&lt;Assumptions!$K$65),MIN(MAX(0,-G16604),MAX(0,Assumptions!$D$65-G16528)),0)</f>
        <v>0</v>
      </c>
      <c r="H16535" s="16" t="n">
        <f aca="false">IF(AND(Assumptions!$P$65=1,OR(H16388&lt;Assumptions!$K$65,G16742=1)),MIN(MAX(0,-H16604),MAX(0,Assumptions!$D$65-H16528)),0)</f>
        <v>0</v>
      </c>
      <c r="I16535" s="16" t="n">
        <f aca="false">IF(AND(Assumptions!$P$65=1,OR(I16388&lt;Assumptions!$K$65,H16742=1)),MIN(MAX(0,-I16604),MAX(0,Assumptions!$D$65-I16528)),0)</f>
        <v>0</v>
      </c>
      <c r="J16535" s="16" t="n">
        <f aca="false">IF(AND(Assumptions!$P$65=1,OR(J16388&lt;Assumptions!$K$65,I16742=1)),MIN(MAX(0,-J16604),MAX(0,Assumptions!$D$65-J16528)),0)</f>
        <v>0</v>
      </c>
      <c r="K16535" s="16" t="n">
        <f aca="false">IF(AND(Assumptions!$P$65=1,OR(K16388&lt;Assumptions!$K$65,J16742=1)),MIN(MAX(0,-K16604),MAX(0,Assumptions!$D$65-K16528)),0)</f>
        <v>0</v>
      </c>
    </row>
    <row r="16536" customFormat="false" ht="15" hidden="false" customHeight="false" outlineLevel="0" collapsed="false">
      <c r="A16536" s="3" t="s">
        <v>336</v>
      </c>
      <c r="G16536" s="16" t="n">
        <f aca="false">G16529*MIN(G16528-G16534+G16533,MAX(0,G16606-Assumptions!$C$12*G16422-G16432-G16445-G16458-G16471-G16484-G16497-G16510-G16523))</f>
        <v>0</v>
      </c>
      <c r="H16536" s="16" t="n">
        <f aca="false">H16529*MIN(H16528-H16534+H16533,MAX(0,H16606-Assumptions!$C$12*H16422-H16432-H16445-H16458-H16471-H16484-H16497-H16510-H16523))</f>
        <v>0</v>
      </c>
      <c r="I16536" s="16" t="n">
        <f aca="false">I16529*MIN(I16528-I16534+I16533,MAX(0,I16606-Assumptions!$C$12*I16422-I16432-I16445-I16458-I16471-I16484-I16497-I16510-I16523))</f>
        <v>0</v>
      </c>
      <c r="J16536" s="16" t="n">
        <f aca="false">J16529*MIN(J16528-J16534+J16533,MAX(0,J16606-Assumptions!$C$12*J16422-J16432-J16445-J16458-J16471-J16484-J16497-J16510-J16523))</f>
        <v>0</v>
      </c>
      <c r="K16536" s="16" t="n">
        <f aca="false">K16529*MIN(K16528-K16534+K16533,MAX(0,K16606-Assumptions!$C$12*K16422-K16432-K16445-K16458-K16471-K16484-K16497-K16510-K16523))</f>
        <v>0</v>
      </c>
    </row>
    <row r="16537" customFormat="false" ht="15" hidden="false" customHeight="false" outlineLevel="0" collapsed="false">
      <c r="A16537" s="3" t="s">
        <v>337</v>
      </c>
      <c r="G16537" s="16" t="n">
        <f aca="false">Assumptions!$N$65*MIN(G16528+G16535+G16533-G16534-G16536,MAX(0,G16610-G16433-G16446-G16459-G16472-G16485-G16498-G16511-G16524))</f>
        <v>0</v>
      </c>
      <c r="H16537" s="16" t="n">
        <f aca="false">Assumptions!$N$65*MIN(H16528+H16535+H16533-H16534-H16536,MAX(0,H16610-H16433-H16446-H16459-H16472-H16485-H16498-H16511-H16524))</f>
        <v>0</v>
      </c>
      <c r="I16537" s="16" t="n">
        <f aca="false">Assumptions!$N$65*MIN(I16528+I16535+I16533-I16534-I16536,MAX(0,I16610-I16433-I16446-I16459-I16472-I16485-I16498-I16511-I16524))</f>
        <v>0</v>
      </c>
      <c r="J16537" s="16" t="n">
        <f aca="false">Assumptions!$N$65*MIN(J16528+J16535+J16533-J16534-J16536,MAX(0,J16610-J16433-J16446-J16459-J16472-J16485-J16498-J16511-J16524))</f>
        <v>0</v>
      </c>
      <c r="K16537" s="16" t="n">
        <f aca="false">Assumptions!$N$65*MIN(K16528+K16535+K16533-K16534-K16536,MAX(0,K16610-K16433-K16446-K16459-K16472-K16485-K16498-K16511-K16524))</f>
        <v>0</v>
      </c>
    </row>
    <row r="16538" customFormat="false" ht="15" hidden="false" customHeight="false" outlineLevel="0" collapsed="false">
      <c r="A16538" s="3" t="s">
        <v>338</v>
      </c>
      <c r="G16538" s="16" t="n">
        <f aca="false">G16529*(1-G16422)*(G16528-G16534+G16533-G16536)</f>
        <v>0</v>
      </c>
      <c r="H16538" s="16" t="n">
        <f aca="false">H16529*(1-H16422)*(H16528-H16534+H16533-H16536)</f>
        <v>0</v>
      </c>
      <c r="I16538" s="16" t="n">
        <f aca="false">I16529*(1-I16422)*(I16528-I16534+I16533-I16536)</f>
        <v>0</v>
      </c>
      <c r="J16538" s="16" t="n">
        <f aca="false">J16529*(1-J16422)*(J16528-J16534+J16533-J16536)</f>
        <v>0</v>
      </c>
      <c r="K16538" s="16" t="n">
        <f aca="false">K16529*(1-K16422)*(K16528-K16534+K16533-K16536)</f>
        <v>300</v>
      </c>
    </row>
    <row r="16539" customFormat="false" ht="15" hidden="false" customHeight="false" outlineLevel="0" collapsed="false">
      <c r="A16539" s="2" t="s">
        <v>339</v>
      </c>
      <c r="F16539" s="28" t="n">
        <f aca="false">Assumptions!$C$65</f>
        <v>300</v>
      </c>
      <c r="G16539" s="17" t="n">
        <f aca="false">G16528+G16535+G16533-G16534-G16536-G16537</f>
        <v>300</v>
      </c>
      <c r="H16539" s="17" t="n">
        <f aca="false">H16528+H16535+H16533-H16534-H16536-H16537</f>
        <v>300</v>
      </c>
      <c r="I16539" s="17" t="n">
        <f aca="false">I16528+I16535+I16533-I16534-I16536-I16537</f>
        <v>300</v>
      </c>
      <c r="J16539" s="17" t="n">
        <f aca="false">J16528+J16535+J16533-J16534-J16536-J16537</f>
        <v>300</v>
      </c>
      <c r="K16539" s="17" t="n">
        <f aca="false">K16528+K16535+K16533-K16534-K16536-K16537</f>
        <v>300</v>
      </c>
    </row>
    <row r="16540" customFormat="false" ht="15" hidden="false" customHeight="false" outlineLevel="0" collapsed="false">
      <c r="A16540" s="24" t="s">
        <v>348</v>
      </c>
      <c r="B16540" s="25"/>
      <c r="C16540" s="25"/>
      <c r="D16540" s="25"/>
      <c r="E16540" s="25"/>
      <c r="F16540" s="25"/>
      <c r="G16540" s="25"/>
      <c r="H16540" s="25"/>
      <c r="I16540" s="25"/>
      <c r="J16540" s="25"/>
      <c r="K16540" s="25"/>
    </row>
    <row r="16541" customFormat="false" ht="15" hidden="false" customHeight="false" outlineLevel="0" collapsed="false">
      <c r="A16541" s="3" t="s">
        <v>329</v>
      </c>
      <c r="G16541" s="16" t="n">
        <f aca="false">F16552</f>
        <v>78.61</v>
      </c>
      <c r="H16541" s="16" t="n">
        <f aca="false">G16552</f>
        <v>78.61</v>
      </c>
      <c r="I16541" s="16" t="n">
        <f aca="false">H16552</f>
        <v>78.61</v>
      </c>
      <c r="J16541" s="16" t="n">
        <f aca="false">I16552</f>
        <v>78.61</v>
      </c>
      <c r="K16541" s="16" t="n">
        <f aca="false">J16552</f>
        <v>78.61</v>
      </c>
    </row>
    <row r="16542" customFormat="false" ht="15" hidden="false" customHeight="false" outlineLevel="0" collapsed="false">
      <c r="A16542" s="3" t="s">
        <v>330</v>
      </c>
      <c r="G16542" s="21" t="n">
        <f aca="false">IF(G16388=Assumptions!$K$66,1,0)</f>
        <v>0</v>
      </c>
      <c r="H16542" s="21" t="n">
        <f aca="false">IF(H16388=Assumptions!$K$66,1,0)</f>
        <v>0</v>
      </c>
      <c r="I16542" s="21" t="n">
        <f aca="false">IF(I16388=Assumptions!$K$66,1,0)</f>
        <v>0</v>
      </c>
      <c r="J16542" s="21" t="n">
        <f aca="false">IF(J16388=Assumptions!$K$66,1,0)</f>
        <v>0</v>
      </c>
      <c r="K16542" s="21" t="n">
        <f aca="false">IF(K16388=Assumptions!$K$66,1,0)</f>
        <v>0</v>
      </c>
    </row>
    <row r="16544" customFormat="false" ht="15" hidden="false" customHeight="false" outlineLevel="0" collapsed="false">
      <c r="A16544" s="3" t="s">
        <v>331</v>
      </c>
      <c r="G16544" s="31" t="n">
        <f aca="false">IF(Assumptions!$I$66=1,MAX(G16414,Assumptions!$G$66)+Assumptions!$F$66+$C$16415,Assumptions!$E$66)</f>
        <v>0.0691</v>
      </c>
      <c r="H16544" s="31" t="n">
        <f aca="false">IF(G16743=1,$C$16416,IF(Assumptions!$I$66=1,MAX(H16414,Assumptions!$G$66)+Assumptions!$F$66+$C$16415,Assumptions!$E$66))</f>
        <v>0.0676</v>
      </c>
      <c r="I16544" s="31" t="n">
        <f aca="false">IF(H16743=1,$C$16416,IF(Assumptions!$I$66=1,MAX(I16414,Assumptions!$G$66)+Assumptions!$F$66+$C$16415,Assumptions!$E$66))</f>
        <v>0.0651</v>
      </c>
      <c r="J16544" s="31" t="n">
        <f aca="false">IF(I16743=1,$C$16416,IF(Assumptions!$I$66=1,MAX(J16414,Assumptions!$G$66)+Assumptions!$F$66+$C$16415,Assumptions!$E$66))</f>
        <v>0.0651</v>
      </c>
      <c r="K16544" s="31" t="n">
        <f aca="false">IF(J16743=1,$C$16416,IF(Assumptions!$I$66=1,MAX(K16414,Assumptions!$G$66)+Assumptions!$F$66+$C$16415,Assumptions!$E$66))</f>
        <v>0.0651</v>
      </c>
    </row>
    <row r="16545" customFormat="false" ht="15" hidden="false" customHeight="false" outlineLevel="0" collapsed="false">
      <c r="A16545" s="3" t="s">
        <v>332</v>
      </c>
      <c r="G16545" s="16" t="n">
        <f aca="false">G16541*G16544</f>
        <v>5.431951</v>
      </c>
      <c r="H16545" s="16" t="n">
        <f aca="false">H16541*H16544</f>
        <v>5.314036</v>
      </c>
      <c r="I16545" s="16" t="n">
        <f aca="false">I16541*I16544</f>
        <v>5.117511</v>
      </c>
      <c r="J16545" s="16" t="n">
        <f aca="false">J16541*J16544</f>
        <v>5.117511</v>
      </c>
      <c r="K16545" s="16" t="n">
        <f aca="false">K16541*K16544</f>
        <v>5.117511</v>
      </c>
    </row>
    <row r="16546" customFormat="false" ht="15" hidden="false" customHeight="false" outlineLevel="0" collapsed="false">
      <c r="A16546" s="3" t="s">
        <v>333</v>
      </c>
      <c r="G16546" s="16" t="n">
        <f aca="false">G16541*Assumptions!$H$66</f>
        <v>0</v>
      </c>
      <c r="H16546" s="16" t="n">
        <f aca="false">H16541*Assumptions!$H$66</f>
        <v>0</v>
      </c>
      <c r="I16546" s="16" t="n">
        <f aca="false">I16541*Assumptions!$H$66</f>
        <v>0</v>
      </c>
      <c r="J16546" s="16" t="n">
        <f aca="false">J16541*Assumptions!$H$66</f>
        <v>0</v>
      </c>
      <c r="K16546" s="16" t="n">
        <f aca="false">K16541*Assumptions!$H$66</f>
        <v>0</v>
      </c>
    </row>
    <row r="16547" customFormat="false" ht="15" hidden="false" customHeight="false" outlineLevel="0" collapsed="false">
      <c r="A16547" s="3" t="s">
        <v>334</v>
      </c>
      <c r="G16547" s="16" t="n">
        <f aca="false">MIN(G16541,Assumptions!$L$66*Assumptions!$C$66)</f>
        <v>0</v>
      </c>
      <c r="H16547" s="16" t="n">
        <f aca="false">MIN(H16541,Assumptions!$L$66*Assumptions!$C$66)</f>
        <v>0</v>
      </c>
      <c r="I16547" s="16" t="n">
        <f aca="false">MIN(I16541,Assumptions!$L$66*Assumptions!$C$66)</f>
        <v>0</v>
      </c>
      <c r="J16547" s="16" t="n">
        <f aca="false">MIN(J16541,Assumptions!$L$66*Assumptions!$C$66)</f>
        <v>0</v>
      </c>
      <c r="K16547" s="16" t="n">
        <f aca="false">MIN(K16541,Assumptions!$L$66*Assumptions!$C$66)</f>
        <v>0</v>
      </c>
    </row>
    <row r="16548" customFormat="false" ht="15" hidden="false" customHeight="false" outlineLevel="0" collapsed="false">
      <c r="A16548" s="3" t="s">
        <v>335</v>
      </c>
      <c r="G16548" s="16" t="n">
        <f aca="false">IF(AND(Assumptions!$P$66=1,G16388&lt;Assumptions!$K$66),MIN(MAX(0,-G16604),MAX(0,Assumptions!$D$66-G16541)),0)</f>
        <v>0</v>
      </c>
      <c r="H16548" s="16" t="n">
        <f aca="false">IF(AND(Assumptions!$P$66=1,OR(H16388&lt;Assumptions!$K$66,G16743=1)),MIN(MAX(0,-H16604),MAX(0,Assumptions!$D$66-H16541)),0)</f>
        <v>0</v>
      </c>
      <c r="I16548" s="16" t="n">
        <f aca="false">IF(AND(Assumptions!$P$66=1,OR(I16388&lt;Assumptions!$K$66,H16743=1)),MIN(MAX(0,-I16604),MAX(0,Assumptions!$D$66-I16541)),0)</f>
        <v>0</v>
      </c>
      <c r="J16548" s="16" t="n">
        <f aca="false">IF(AND(Assumptions!$P$66=1,OR(J16388&lt;Assumptions!$K$66,I16743=1)),MIN(MAX(0,-J16604),MAX(0,Assumptions!$D$66-J16541)),0)</f>
        <v>0</v>
      </c>
      <c r="K16548" s="16" t="n">
        <f aca="false">IF(AND(Assumptions!$P$66=1,OR(K16388&lt;Assumptions!$K$66,J16743=1)),MIN(MAX(0,-K16604),MAX(0,Assumptions!$D$66-K16541)),0)</f>
        <v>0</v>
      </c>
    </row>
    <row r="16549" customFormat="false" ht="15" hidden="false" customHeight="false" outlineLevel="0" collapsed="false">
      <c r="A16549" s="3" t="s">
        <v>336</v>
      </c>
      <c r="G16549" s="16" t="n">
        <f aca="false">G16542*MIN(G16541-G16547+G16546,MAX(0,G16606-Assumptions!$C$12*G16422-G16432-G16445-G16458-G16471-G16484-G16497-G16510-G16523-G16536))</f>
        <v>0</v>
      </c>
      <c r="H16549" s="16" t="n">
        <f aca="false">H16542*MIN(H16541-H16547+H16546,MAX(0,H16606-Assumptions!$C$12*H16422-H16432-H16445-H16458-H16471-H16484-H16497-H16510-H16523-H16536))</f>
        <v>0</v>
      </c>
      <c r="I16549" s="16" t="n">
        <f aca="false">I16542*MIN(I16541-I16547+I16546,MAX(0,I16606-Assumptions!$C$12*I16422-I16432-I16445-I16458-I16471-I16484-I16497-I16510-I16523-I16536))</f>
        <v>0</v>
      </c>
      <c r="J16549" s="16" t="n">
        <f aca="false">J16542*MIN(J16541-J16547+J16546,MAX(0,J16606-Assumptions!$C$12*J16422-J16432-J16445-J16458-J16471-J16484-J16497-J16510-J16523-J16536))</f>
        <v>0</v>
      </c>
      <c r="K16549" s="16" t="n">
        <f aca="false">K16542*MIN(K16541-K16547+K16546,MAX(0,K16606-Assumptions!$C$12*K16422-K16432-K16445-K16458-K16471-K16484-K16497-K16510-K16523-K16536))</f>
        <v>0</v>
      </c>
    </row>
    <row r="16550" customFormat="false" ht="15" hidden="false" customHeight="false" outlineLevel="0" collapsed="false">
      <c r="A16550" s="3" t="s">
        <v>337</v>
      </c>
      <c r="G16550" s="16" t="n">
        <f aca="false">Assumptions!$N$66*MIN(G16541+G16548+G16546-G16547-G16549,MAX(0,G16610-G16433-G16446-G16459-G16472-G16485-G16498-G16511-G16524-G16537))</f>
        <v>0</v>
      </c>
      <c r="H16550" s="16" t="n">
        <f aca="false">Assumptions!$N$66*MIN(H16541+H16548+H16546-H16547-H16549,MAX(0,H16610-H16433-H16446-H16459-H16472-H16485-H16498-H16511-H16524-H16537))</f>
        <v>0</v>
      </c>
      <c r="I16550" s="16" t="n">
        <f aca="false">Assumptions!$N$66*MIN(I16541+I16548+I16546-I16547-I16549,MAX(0,I16610-I16433-I16446-I16459-I16472-I16485-I16498-I16511-I16524-I16537))</f>
        <v>0</v>
      </c>
      <c r="J16550" s="16" t="n">
        <f aca="false">Assumptions!$N$66*MIN(J16541+J16548+J16546-J16547-J16549,MAX(0,J16610-J16433-J16446-J16459-J16472-J16485-J16498-J16511-J16524-J16537))</f>
        <v>0</v>
      </c>
      <c r="K16550" s="16" t="n">
        <f aca="false">Assumptions!$N$66*MIN(K16541+K16548+K16546-K16547-K16549,MAX(0,K16610-K16433-K16446-K16459-K16472-K16485-K16498-K16511-K16524-K16537))</f>
        <v>0</v>
      </c>
    </row>
    <row r="16551" customFormat="false" ht="15" hidden="false" customHeight="false" outlineLevel="0" collapsed="false">
      <c r="A16551" s="3" t="s">
        <v>338</v>
      </c>
      <c r="G16551" s="16" t="n">
        <f aca="false">G16542*(1-G16422)*(G16541-G16547+G16546-G16549)</f>
        <v>0</v>
      </c>
      <c r="H16551" s="16" t="n">
        <f aca="false">H16542*(1-H16422)*(H16541-H16547+H16546-H16549)</f>
        <v>0</v>
      </c>
      <c r="I16551" s="16" t="n">
        <f aca="false">I16542*(1-I16422)*(I16541-I16547+I16546-I16549)</f>
        <v>0</v>
      </c>
      <c r="J16551" s="16" t="n">
        <f aca="false">J16542*(1-J16422)*(J16541-J16547+J16546-J16549)</f>
        <v>0</v>
      </c>
      <c r="K16551" s="16" t="n">
        <f aca="false">K16542*(1-K16422)*(K16541-K16547+K16546-K16549)</f>
        <v>0</v>
      </c>
    </row>
    <row r="16552" customFormat="false" ht="15" hidden="false" customHeight="false" outlineLevel="0" collapsed="false">
      <c r="A16552" s="2" t="s">
        <v>339</v>
      </c>
      <c r="F16552" s="28" t="n">
        <f aca="false">Assumptions!$C$66</f>
        <v>78.61</v>
      </c>
      <c r="G16552" s="17" t="n">
        <f aca="false">G16541+G16548+G16546-G16547-G16549-G16550</f>
        <v>78.61</v>
      </c>
      <c r="H16552" s="17" t="n">
        <f aca="false">H16541+H16548+H16546-H16547-H16549-H16550</f>
        <v>78.61</v>
      </c>
      <c r="I16552" s="17" t="n">
        <f aca="false">I16541+I16548+I16546-I16547-I16549-I16550</f>
        <v>78.61</v>
      </c>
      <c r="J16552" s="17" t="n">
        <f aca="false">J16541+J16548+J16546-J16547-J16549-J16550</f>
        <v>78.61</v>
      </c>
      <c r="K16552" s="17" t="n">
        <f aca="false">K16541+K16548+K16546-K16547-K16549-K16550</f>
        <v>78.61</v>
      </c>
    </row>
    <row r="16553" customFormat="false" ht="15" hidden="false" customHeight="false" outlineLevel="0" collapsed="false">
      <c r="A16553" s="24" t="s">
        <v>349</v>
      </c>
      <c r="B16553" s="25"/>
      <c r="C16553" s="25"/>
      <c r="D16553" s="25"/>
      <c r="E16553" s="25"/>
      <c r="F16553" s="25"/>
      <c r="G16553" s="25"/>
      <c r="H16553" s="25"/>
      <c r="I16553" s="25"/>
      <c r="J16553" s="25"/>
      <c r="K16553" s="25"/>
    </row>
    <row r="16554" customFormat="false" ht="15" hidden="false" customHeight="false" outlineLevel="0" collapsed="false">
      <c r="A16554" s="2" t="s">
        <v>350</v>
      </c>
      <c r="F16554" s="17" t="n">
        <f aca="false">F16435+F16448+F16461+F16474+F16487+F16500+F16513+F16526+F16539+F16552</f>
        <v>2625.934</v>
      </c>
      <c r="G16554" s="17" t="n">
        <f aca="false">G16435+G16448+G16461+G16474+G16487+G16500+G16513+G16526+G16539+G16552</f>
        <v>2621.934</v>
      </c>
      <c r="H16554" s="17" t="n">
        <f aca="false">H16435+H16448+H16461+H16474+H16487+H16500+H16513+H16526+H16539+H16552</f>
        <v>2569.380357881</v>
      </c>
      <c r="I16554" s="17" t="n">
        <f aca="false">I16435+I16448+I16461+I16474+I16487+I16500+I16513+I16526+I16539+I16552</f>
        <v>2565.380357881</v>
      </c>
      <c r="J16554" s="17" t="n">
        <f aca="false">J16435+J16448+J16461+J16474+J16487+J16500+J16513+J16526+J16539+J16552</f>
        <v>2561.380357881</v>
      </c>
      <c r="K16554" s="17" t="n">
        <f aca="false">K16435+K16448+K16461+K16474+K16487+K16500+K16513+K16526+K16539+K16552</f>
        <v>2557.380357881</v>
      </c>
    </row>
    <row r="16555" customFormat="false" ht="15" hidden="false" customHeight="false" outlineLevel="0" collapsed="false">
      <c r="A16555" s="3" t="s">
        <v>351</v>
      </c>
      <c r="G16555" s="16" t="n">
        <f aca="false">G16425*Assumptions!$C$57+G16438*Assumptions!$C$58+G16451*Assumptions!$C$59+G16464*Assumptions!$C$60+G16477*Assumptions!$C$61+G16490*Assumptions!$C$62+G16503*Assumptions!$C$63+G16516*Assumptions!$C$64+G16529*Assumptions!$C$65+G16542*Assumptions!$C$66</f>
        <v>0</v>
      </c>
      <c r="H16555" s="16" t="n">
        <f aca="false">H16425*Assumptions!$C$57+H16438*Assumptions!$C$58+H16451*Assumptions!$C$59+H16464*Assumptions!$C$60+H16477*Assumptions!$C$61+H16490*Assumptions!$C$62+H16503*Assumptions!$C$63+H16516*Assumptions!$C$64+H16529*Assumptions!$C$65+H16542*Assumptions!$C$66</f>
        <v>800</v>
      </c>
      <c r="I16555" s="16" t="n">
        <f aca="false">I16425*Assumptions!$C$57+I16438*Assumptions!$C$58+I16451*Assumptions!$C$59+I16464*Assumptions!$C$60+I16477*Assumptions!$C$61+I16490*Assumptions!$C$62+I16503*Assumptions!$C$63+I16516*Assumptions!$C$64+I16529*Assumptions!$C$65+I16542*Assumptions!$C$66</f>
        <v>550</v>
      </c>
      <c r="J16555" s="16" t="n">
        <f aca="false">J16425*Assumptions!$C$57+J16438*Assumptions!$C$58+J16451*Assumptions!$C$59+J16464*Assumptions!$C$60+J16477*Assumptions!$C$61+J16490*Assumptions!$C$62+J16503*Assumptions!$C$63+J16516*Assumptions!$C$64+J16529*Assumptions!$C$65+J16542*Assumptions!$C$66</f>
        <v>350</v>
      </c>
      <c r="K16555" s="16" t="n">
        <f aca="false">K16425*Assumptions!$C$57+K16438*Assumptions!$C$58+K16451*Assumptions!$C$59+K16464*Assumptions!$C$60+K16477*Assumptions!$C$61+K16490*Assumptions!$C$62+K16503*Assumptions!$C$63+K16516*Assumptions!$C$64+K16529*Assumptions!$C$65+K16542*Assumptions!$C$66</f>
        <v>700</v>
      </c>
    </row>
    <row r="16556" customFormat="false" ht="15" hidden="false" customHeight="false" outlineLevel="0" collapsed="false">
      <c r="A16556" s="24" t="s">
        <v>352</v>
      </c>
      <c r="B16556" s="25"/>
      <c r="C16556" s="25"/>
      <c r="D16556" s="25"/>
      <c r="E16556" s="25"/>
      <c r="F16556" s="25"/>
      <c r="G16556" s="25"/>
      <c r="H16556" s="25"/>
      <c r="I16556" s="25"/>
      <c r="J16556" s="25"/>
      <c r="K16556" s="25"/>
    </row>
    <row r="16557" customFormat="false" ht="15" hidden="false" customHeight="false" outlineLevel="0" collapsed="false">
      <c r="A16557" s="3" t="s">
        <v>353</v>
      </c>
      <c r="C16557" s="16" t="n">
        <f aca="false">SUMPRODUCT($G$16425:$K$16425,$G$16424:$K$16424-$G$16430:$K$16430+$G$16429:$K$16429)</f>
        <v>380</v>
      </c>
    </row>
    <row r="16558" customFormat="false" ht="15" hidden="false" customHeight="false" outlineLevel="0" collapsed="false">
      <c r="A16558" s="3" t="s">
        <v>354</v>
      </c>
      <c r="C16558" s="16" t="n">
        <f aca="false">SUMPRODUCT($G$16425:$K$16425,$G$16432:$K$16432)</f>
        <v>0</v>
      </c>
    </row>
    <row r="16559" customFormat="false" ht="15" hidden="false" customHeight="false" outlineLevel="0" collapsed="false">
      <c r="A16559" s="3" t="s">
        <v>355</v>
      </c>
      <c r="C16559" s="3" t="str">
        <f aca="false">IF(SUM($G$16425:$K$16425)=0,"n/a (beyond horizon)",IF(SUMPRODUCT($G$16425:$K$16425,$G$16422:$K$16422)&gt;0,"REFINANCING PASS","REFINANCING FAILURE"))</f>
        <v>REFINANCING FAILURE</v>
      </c>
    </row>
    <row r="16560" customFormat="false" ht="15" hidden="false" customHeight="false" outlineLevel="0" collapsed="false">
      <c r="A16560" s="3" t="s">
        <v>356</v>
      </c>
      <c r="C16560" s="3" t="str">
        <f aca="false">IF(SUM($G$16425:$K$16425)=0,"n/a",IF(C16558&gt;=C16557-0.001,"Repaid from cash",IF(SUMPRODUCT($G$16425:$K$16425,$G$16422:$K$16422)&gt;0,IF(C16558&gt;0,"Partly repaid; remainder refinanced","Refinanced"),IF(SUM($G$16434:$K$16434)&gt;0.001,IF(C16558&gt;0,"Partial repayment; PAYMENT DEFAULT","PAYMENT DEFAULT"),"Repaid from cash"))))</f>
        <v>PAYMENT DEFAULT</v>
      </c>
    </row>
    <row r="16561" customFormat="false" ht="15" hidden="false" customHeight="false" outlineLevel="0" collapsed="false">
      <c r="A16561" s="3" t="s">
        <v>357</v>
      </c>
      <c r="C16561" s="16" t="n">
        <f aca="false">SUMPRODUCT($G$16438:$K$16438,$G$16437:$K$16437-$G$16443:$K$16443+$G$16442:$K$16442)</f>
        <v>0</v>
      </c>
    </row>
    <row r="16562" customFormat="false" ht="15" hidden="false" customHeight="false" outlineLevel="0" collapsed="false">
      <c r="A16562" s="3" t="s">
        <v>358</v>
      </c>
      <c r="C16562" s="16" t="n">
        <f aca="false">SUMPRODUCT($G$16438:$K$16438,$G$16445:$K$16445)</f>
        <v>0</v>
      </c>
    </row>
    <row r="16563" customFormat="false" ht="15" hidden="false" customHeight="false" outlineLevel="0" collapsed="false">
      <c r="A16563" s="3" t="s">
        <v>359</v>
      </c>
      <c r="C16563" s="3" t="str">
        <f aca="false">IF(SUM($G$16438:$K$16438)=0,"n/a (beyond horizon)",IF(SUMPRODUCT($G$16438:$K$16438,$G$16422:$K$16422)&gt;0,"REFINANCING PASS","REFINANCING FAILURE"))</f>
        <v>n/a (beyond horizon)</v>
      </c>
    </row>
    <row r="16564" customFormat="false" ht="15" hidden="false" customHeight="false" outlineLevel="0" collapsed="false">
      <c r="A16564" s="3" t="s">
        <v>360</v>
      </c>
      <c r="C16564" s="3" t="str">
        <f aca="false">IF(SUM($G$16438:$K$16438)=0,"n/a",IF(C16562&gt;=C16561-0.001,"Repaid from cash",IF(SUMPRODUCT($G$16438:$K$16438,$G$16422:$K$16422)&gt;0,IF(C16562&gt;0,"Partly repaid; remainder refinanced","Refinanced"),IF(SUM($G$16447:$K$16447)&gt;0.001,IF(C16562&gt;0,"Partial repayment; PAYMENT DEFAULT","PAYMENT DEFAULT"),"Repaid from cash"))))</f>
        <v>n/a</v>
      </c>
    </row>
    <row r="16565" customFormat="false" ht="15" hidden="false" customHeight="false" outlineLevel="0" collapsed="false">
      <c r="A16565" s="3" t="s">
        <v>361</v>
      </c>
      <c r="C16565" s="16" t="n">
        <f aca="false">SUMPRODUCT($G$16451:$K$16451,$G$16450:$K$16450-$G$16456:$K$16456+$G$16455:$K$16455)</f>
        <v>0</v>
      </c>
    </row>
    <row r="16566" customFormat="false" ht="15" hidden="false" customHeight="false" outlineLevel="0" collapsed="false">
      <c r="A16566" s="3" t="s">
        <v>362</v>
      </c>
      <c r="C16566" s="16" t="n">
        <f aca="false">SUMPRODUCT($G$16451:$K$16451,$G$16458:$K$16458)</f>
        <v>0</v>
      </c>
    </row>
    <row r="16567" customFormat="false" ht="15" hidden="false" customHeight="false" outlineLevel="0" collapsed="false">
      <c r="A16567" s="3" t="s">
        <v>363</v>
      </c>
      <c r="C16567" s="3" t="str">
        <f aca="false">IF(SUM($G$16451:$K$16451)=0,"n/a (beyond horizon)",IF(SUMPRODUCT($G$16451:$K$16451,$G$16422:$K$16422)&gt;0,"REFINANCING PASS","REFINANCING FAILURE"))</f>
        <v>n/a (beyond horizon)</v>
      </c>
    </row>
    <row r="16568" customFormat="false" ht="15" hidden="false" customHeight="false" outlineLevel="0" collapsed="false">
      <c r="A16568" s="3" t="s">
        <v>364</v>
      </c>
      <c r="C16568" s="3" t="str">
        <f aca="false">IF(SUM($G$16451:$K$16451)=0,"n/a",IF(C16566&gt;=C16565-0.001,"Repaid from cash",IF(SUMPRODUCT($G$16451:$K$16451,$G$16422:$K$16422)&gt;0,IF(C16566&gt;0,"Partly repaid; remainder refinanced","Refinanced"),IF(SUM($G$16460:$K$16460)&gt;0.001,IF(C16566&gt;0,"Partial repayment; PAYMENT DEFAULT","PAYMENT DEFAULT"),"Repaid from cash"))))</f>
        <v>n/a</v>
      </c>
    </row>
    <row r="16569" customFormat="false" ht="15" hidden="false" customHeight="false" outlineLevel="0" collapsed="false">
      <c r="A16569" s="3" t="s">
        <v>365</v>
      </c>
      <c r="C16569" s="16" t="n">
        <f aca="false">SUMPRODUCT($G$16464:$K$16464,$G$16463:$K$16463-$G$16469:$K$16469+$G$16468:$K$16468)</f>
        <v>0</v>
      </c>
    </row>
    <row r="16570" customFormat="false" ht="15" hidden="false" customHeight="false" outlineLevel="0" collapsed="false">
      <c r="A16570" s="3" t="s">
        <v>366</v>
      </c>
      <c r="C16570" s="16" t="n">
        <f aca="false">SUMPRODUCT($G$16464:$K$16464,$G$16471:$K$16471)</f>
        <v>0</v>
      </c>
    </row>
    <row r="16571" customFormat="false" ht="15" hidden="false" customHeight="false" outlineLevel="0" collapsed="false">
      <c r="A16571" s="3" t="s">
        <v>367</v>
      </c>
      <c r="C16571" s="3" t="str">
        <f aca="false">IF(SUM($G$16464:$K$16464)=0,"n/a (beyond horizon)",IF(SUMPRODUCT($G$16464:$K$16464,$G$16422:$K$16422)&gt;0,"REFINANCING PASS","REFINANCING FAILURE"))</f>
        <v>REFINANCING FAILURE</v>
      </c>
    </row>
    <row r="16572" customFormat="false" ht="15" hidden="false" customHeight="false" outlineLevel="0" collapsed="false">
      <c r="A16572" s="3" t="s">
        <v>368</v>
      </c>
      <c r="C16572" s="3" t="str">
        <f aca="false">IF(SUM($G$16464:$K$16464)=0,"n/a",IF(C16570&gt;=C16569-0.001,"Repaid from cash",IF(SUMPRODUCT($G$16464:$K$16464,$G$16422:$K$16422)&gt;0,IF(C16570&gt;0,"Partly repaid; remainder refinanced","Refinanced"),IF(SUM($G$16473:$K$16473)&gt;0.001,IF(C16570&gt;0,"Partial repayment; PAYMENT DEFAULT","PAYMENT DEFAULT"),"Repaid from cash"))))</f>
        <v>Repaid from cash</v>
      </c>
    </row>
    <row r="16573" customFormat="false" ht="15" hidden="false" customHeight="false" outlineLevel="0" collapsed="false">
      <c r="A16573" s="3" t="s">
        <v>369</v>
      </c>
      <c r="C16573" s="16" t="n">
        <f aca="false">SUMPRODUCT($G$16477:$K$16477,$G$16476:$K$16476-$G$16482:$K$16482+$G$16481:$K$16481)</f>
        <v>450</v>
      </c>
    </row>
    <row r="16574" customFormat="false" ht="15" hidden="false" customHeight="false" outlineLevel="0" collapsed="false">
      <c r="A16574" s="3" t="s">
        <v>370</v>
      </c>
      <c r="C16574" s="16" t="n">
        <f aca="false">SUMPRODUCT($G$16477:$K$16477,$G$16484:$K$16484)</f>
        <v>48.553642119</v>
      </c>
    </row>
    <row r="16575" customFormat="false" ht="15" hidden="false" customHeight="false" outlineLevel="0" collapsed="false">
      <c r="A16575" s="3" t="s">
        <v>371</v>
      </c>
      <c r="C16575" s="3" t="str">
        <f aca="false">IF(SUM($G$16477:$K$16477)=0,"n/a (beyond horizon)",IF(SUMPRODUCT($G$16477:$K$16477,$G$16422:$K$16422)&gt;0,"REFINANCING PASS","REFINANCING FAILURE"))</f>
        <v>REFINANCING FAILURE</v>
      </c>
    </row>
    <row r="16576" customFormat="false" ht="15" hidden="false" customHeight="false" outlineLevel="0" collapsed="false">
      <c r="A16576" s="3" t="s">
        <v>372</v>
      </c>
      <c r="C16576" s="3" t="str">
        <f aca="false">IF(SUM($G$16477:$K$16477)=0,"n/a",IF(C16574&gt;=C16573-0.001,"Repaid from cash",IF(SUMPRODUCT($G$16477:$K$16477,$G$16422:$K$16422)&gt;0,IF(C16574&gt;0,"Partly repaid; remainder refinanced","Refinanced"),IF(SUM($G$16486:$K$16486)&gt;0.001,IF(C16574&gt;0,"Partial repayment; PAYMENT DEFAULT","PAYMENT DEFAULT"),"Repaid from cash"))))</f>
        <v>Partial repayment; PAYMENT DEFAULT</v>
      </c>
    </row>
    <row r="16577" customFormat="false" ht="15" hidden="false" customHeight="false" outlineLevel="0" collapsed="false">
      <c r="A16577" s="3" t="s">
        <v>373</v>
      </c>
      <c r="C16577" s="16" t="n">
        <f aca="false">SUMPRODUCT($G$16490:$K$16490,$G$16489:$K$16489-$G$16495:$K$16495+$G$16494:$K$16494)</f>
        <v>350</v>
      </c>
    </row>
    <row r="16578" customFormat="false" ht="15" hidden="false" customHeight="false" outlineLevel="0" collapsed="false">
      <c r="A16578" s="3" t="s">
        <v>374</v>
      </c>
      <c r="C16578" s="16" t="n">
        <f aca="false">SUMPRODUCT($G$16490:$K$16490,$G$16497:$K$16497)</f>
        <v>0</v>
      </c>
    </row>
    <row r="16579" customFormat="false" ht="15" hidden="false" customHeight="false" outlineLevel="0" collapsed="false">
      <c r="A16579" s="3" t="s">
        <v>375</v>
      </c>
      <c r="C16579" s="3" t="str">
        <f aca="false">IF(SUM($G$16490:$K$16490)=0,"n/a (beyond horizon)",IF(SUMPRODUCT($G$16490:$K$16490,$G$16422:$K$16422)&gt;0,"REFINANCING PASS","REFINANCING FAILURE"))</f>
        <v>REFINANCING FAILURE</v>
      </c>
    </row>
    <row r="16580" customFormat="false" ht="15" hidden="false" customHeight="false" outlineLevel="0" collapsed="false">
      <c r="A16580" s="3" t="s">
        <v>376</v>
      </c>
      <c r="C16580" s="3" t="str">
        <f aca="false">IF(SUM($G$16490:$K$16490)=0,"n/a",IF(C16578&gt;=C16577-0.001,"Repaid from cash",IF(SUMPRODUCT($G$16490:$K$16490,$G$16422:$K$16422)&gt;0,IF(C16578&gt;0,"Partly repaid; remainder refinanced","Refinanced"),IF(SUM($G$16499:$K$16499)&gt;0.001,IF(C16578&gt;0,"Partial repayment; PAYMENT DEFAULT","PAYMENT DEFAULT"),"Repaid from cash"))))</f>
        <v>PAYMENT DEFAULT</v>
      </c>
    </row>
    <row r="16581" customFormat="false" ht="15" hidden="false" customHeight="false" outlineLevel="0" collapsed="false">
      <c r="A16581" s="3" t="s">
        <v>377</v>
      </c>
      <c r="C16581" s="16" t="n">
        <f aca="false">SUMPRODUCT($G$16503:$K$16503,$G$16502:$K$16502-$G$16508:$K$16508+$G$16507:$K$16507)</f>
        <v>550</v>
      </c>
    </row>
    <row r="16582" customFormat="false" ht="15" hidden="false" customHeight="false" outlineLevel="0" collapsed="false">
      <c r="A16582" s="3" t="s">
        <v>378</v>
      </c>
      <c r="C16582" s="16" t="n">
        <f aca="false">SUMPRODUCT($G$16503:$K$16503,$G$16510:$K$16510)</f>
        <v>0</v>
      </c>
    </row>
    <row r="16583" customFormat="false" ht="15" hidden="false" customHeight="false" outlineLevel="0" collapsed="false">
      <c r="A16583" s="3" t="s">
        <v>379</v>
      </c>
      <c r="C16583" s="3" t="str">
        <f aca="false">IF(SUM($G$16503:$K$16503)=0,"n/a (beyond horizon)",IF(SUMPRODUCT($G$16503:$K$16503,$G$16422:$K$16422)&gt;0,"REFINANCING PASS","REFINANCING FAILURE"))</f>
        <v>REFINANCING FAILURE</v>
      </c>
    </row>
    <row r="16584" customFormat="false" ht="15" hidden="false" customHeight="false" outlineLevel="0" collapsed="false">
      <c r="A16584" s="3" t="s">
        <v>380</v>
      </c>
      <c r="C16584" s="3" t="str">
        <f aca="false">IF(SUM($G$16503:$K$16503)=0,"n/a",IF(C16582&gt;=C16581-0.001,"Repaid from cash",IF(SUMPRODUCT($G$16503:$K$16503,$G$16422:$K$16422)&gt;0,IF(C16582&gt;0,"Partly repaid; remainder refinanced","Refinanced"),IF(SUM($G$16512:$K$16512)&gt;0.001,IF(C16582&gt;0,"Partial repayment; PAYMENT DEFAULT","PAYMENT DEFAULT"),"Repaid from cash"))))</f>
        <v>PAYMENT DEFAULT</v>
      </c>
    </row>
    <row r="16585" customFormat="false" ht="15" hidden="false" customHeight="false" outlineLevel="0" collapsed="false">
      <c r="A16585" s="3" t="s">
        <v>381</v>
      </c>
      <c r="C16585" s="16" t="n">
        <f aca="false">SUMPRODUCT($G$16516:$K$16516,$G$16515:$K$16515-$G$16521:$K$16521+$G$16520:$K$16520)</f>
        <v>350</v>
      </c>
    </row>
    <row r="16586" customFormat="false" ht="15" hidden="false" customHeight="false" outlineLevel="0" collapsed="false">
      <c r="A16586" s="3" t="s">
        <v>382</v>
      </c>
      <c r="C16586" s="16" t="n">
        <f aca="false">SUMPRODUCT($G$16516:$K$16516,$G$16523:$K$16523)</f>
        <v>0</v>
      </c>
    </row>
    <row r="16587" customFormat="false" ht="15" hidden="false" customHeight="false" outlineLevel="0" collapsed="false">
      <c r="A16587" s="3" t="s">
        <v>383</v>
      </c>
      <c r="C16587" s="3" t="str">
        <f aca="false">IF(SUM($G$16516:$K$16516)=0,"n/a (beyond horizon)",IF(SUMPRODUCT($G$16516:$K$16516,$G$16422:$K$16422)&gt;0,"REFINANCING PASS","REFINANCING FAILURE"))</f>
        <v>REFINANCING FAILURE</v>
      </c>
    </row>
    <row r="16588" customFormat="false" ht="15" hidden="false" customHeight="false" outlineLevel="0" collapsed="false">
      <c r="A16588" s="3" t="s">
        <v>384</v>
      </c>
      <c r="C16588" s="3" t="str">
        <f aca="false">IF(SUM($G$16516:$K$16516)=0,"n/a",IF(C16586&gt;=C16585-0.001,"Repaid from cash",IF(SUMPRODUCT($G$16516:$K$16516,$G$16422:$K$16422)&gt;0,IF(C16586&gt;0,"Partly repaid; remainder refinanced","Refinanced"),IF(SUM($G$16525:$K$16525)&gt;0.001,IF(C16586&gt;0,"Partial repayment; PAYMENT DEFAULT","PAYMENT DEFAULT"),"Repaid from cash"))))</f>
        <v>PAYMENT DEFAULT</v>
      </c>
    </row>
    <row r="16589" customFormat="false" ht="15" hidden="false" customHeight="false" outlineLevel="0" collapsed="false">
      <c r="A16589" s="3" t="s">
        <v>385</v>
      </c>
      <c r="C16589" s="16" t="n">
        <f aca="false">SUMPRODUCT($G$16529:$K$16529,$G$16528:$K$16528-$G$16534:$K$16534+$G$16533:$K$16533)</f>
        <v>300</v>
      </c>
    </row>
    <row r="16590" customFormat="false" ht="15" hidden="false" customHeight="false" outlineLevel="0" collapsed="false">
      <c r="A16590" s="3" t="s">
        <v>386</v>
      </c>
      <c r="C16590" s="16" t="n">
        <f aca="false">SUMPRODUCT($G$16529:$K$16529,$G$16536:$K$16536)</f>
        <v>0</v>
      </c>
    </row>
    <row r="16591" customFormat="false" ht="15" hidden="false" customHeight="false" outlineLevel="0" collapsed="false">
      <c r="A16591" s="3" t="s">
        <v>387</v>
      </c>
      <c r="C16591" s="3" t="str">
        <f aca="false">IF(SUM($G$16529:$K$16529)=0,"n/a (beyond horizon)",IF(SUMPRODUCT($G$16529:$K$16529,$G$16422:$K$16422)&gt;0,"REFINANCING PASS","REFINANCING FAILURE"))</f>
        <v>REFINANCING FAILURE</v>
      </c>
    </row>
    <row r="16592" customFormat="false" ht="15" hidden="false" customHeight="false" outlineLevel="0" collapsed="false">
      <c r="A16592" s="3" t="s">
        <v>388</v>
      </c>
      <c r="C16592" s="3" t="str">
        <f aca="false">IF(SUM($G$16529:$K$16529)=0,"n/a",IF(C16590&gt;=C16589-0.001,"Repaid from cash",IF(SUMPRODUCT($G$16529:$K$16529,$G$16422:$K$16422)&gt;0,IF(C16590&gt;0,"Partly repaid; remainder refinanced","Refinanced"),IF(SUM($G$16538:$K$16538)&gt;0.001,IF(C16590&gt;0,"Partial repayment; PAYMENT DEFAULT","PAYMENT DEFAULT"),"Repaid from cash"))))</f>
        <v>PAYMENT DEFAULT</v>
      </c>
    </row>
    <row r="16593" customFormat="false" ht="15" hidden="false" customHeight="false" outlineLevel="0" collapsed="false">
      <c r="A16593" s="3" t="s">
        <v>389</v>
      </c>
      <c r="C16593" s="16" t="n">
        <f aca="false">SUMPRODUCT($G$16542:$K$16542,$G$16541:$K$16541-$G$16547:$K$16547+$G$16546:$K$16546)</f>
        <v>0</v>
      </c>
    </row>
    <row r="16594" customFormat="false" ht="15" hidden="false" customHeight="false" outlineLevel="0" collapsed="false">
      <c r="A16594" s="3" t="s">
        <v>390</v>
      </c>
      <c r="C16594" s="16" t="n">
        <f aca="false">SUMPRODUCT($G$16542:$K$16542,$G$16549:$K$16549)</f>
        <v>0</v>
      </c>
    </row>
    <row r="16595" customFormat="false" ht="15" hidden="false" customHeight="false" outlineLevel="0" collapsed="false">
      <c r="A16595" s="3" t="s">
        <v>391</v>
      </c>
      <c r="C16595" s="3" t="str">
        <f aca="false">IF(SUM($G$16542:$K$16542)=0,"n/a (beyond horizon)",IF(SUMPRODUCT($G$16542:$K$16542,$G$16422:$K$16422)&gt;0,"REFINANCING PASS","REFINANCING FAILURE"))</f>
        <v>n/a (beyond horizon)</v>
      </c>
    </row>
    <row r="16596" customFormat="false" ht="15" hidden="false" customHeight="false" outlineLevel="0" collapsed="false">
      <c r="A16596" s="3" t="s">
        <v>392</v>
      </c>
      <c r="C16596" s="3" t="str">
        <f aca="false">IF(SUM($G$16542:$K$16542)=0,"n/a",IF(C16594&gt;=C16593-0.001,"Repaid from cash",IF(SUMPRODUCT($G$16542:$K$16542,$G$16422:$K$16422)&gt;0,IF(C16594&gt;0,"Partly repaid; remainder refinanced","Refinanced"),IF(SUM($G$16551:$K$16551)&gt;0.001,IF(C16594&gt;0,"Partial repayment; PAYMENT DEFAULT","PAYMENT DEFAULT"),"Repaid from cash"))))</f>
        <v>n/a</v>
      </c>
    </row>
    <row r="16597" customFormat="false" ht="15" hidden="false" customHeight="false" outlineLevel="0" collapsed="false">
      <c r="A16597" s="3" t="s">
        <v>393</v>
      </c>
      <c r="C16597" s="21" t="n">
        <f aca="false">IF(C16559="REFINANCING FAILURE",1,0)+IF(C16563="REFINANCING FAILURE",1,0)+IF(C16567="REFINANCING FAILURE",1,0)+IF(C16571="REFINANCING FAILURE",1,0)+IF(C16575="REFINANCING FAILURE",1,0)+IF(C16579="REFINANCING FAILURE",1,0)+IF(C16583="REFINANCING FAILURE",1,0)+IF(C16587="REFINANCING FAILURE",1,0)+IF(C16591="REFINANCING FAILURE",1,0)+IF(C16595="REFINANCING FAILURE",1,0)</f>
        <v>7</v>
      </c>
    </row>
    <row r="16599" customFormat="false" ht="15" hidden="false" customHeight="false" outlineLevel="0" collapsed="false">
      <c r="A16599" s="24" t="s">
        <v>395</v>
      </c>
      <c r="B16599" s="25"/>
      <c r="C16599" s="25"/>
      <c r="D16599" s="25"/>
      <c r="E16599" s="25"/>
      <c r="F16599" s="25"/>
      <c r="G16599" s="25"/>
      <c r="H16599" s="25"/>
      <c r="I16599" s="25"/>
      <c r="J16599" s="25"/>
      <c r="K16599" s="25"/>
    </row>
    <row r="16600" customFormat="false" ht="15" hidden="false" customHeight="false" outlineLevel="0" collapsed="false">
      <c r="A16600" s="3" t="s">
        <v>325</v>
      </c>
      <c r="G16600" s="16" t="n">
        <f aca="false">F16612</f>
        <v>37.87</v>
      </c>
      <c r="H16600" s="16" t="n">
        <f aca="false">G16612</f>
        <v>122.9474204</v>
      </c>
      <c r="I16600" s="16" t="n">
        <f aca="false">H16612</f>
        <v>0</v>
      </c>
      <c r="J16600" s="16" t="n">
        <f aca="false">I16612</f>
        <v>-70.8793844172995</v>
      </c>
      <c r="K16600" s="16" t="n">
        <f aca="false">J16612</f>
        <v>-137.895771657719</v>
      </c>
    </row>
    <row r="16601" customFormat="false" ht="15" hidden="false" customHeight="false" outlineLevel="0" collapsed="false">
      <c r="A16601" s="3" t="s">
        <v>396</v>
      </c>
      <c r="G16601" s="16" t="n">
        <f aca="false">G16411</f>
        <v>-60.9225796</v>
      </c>
      <c r="H16601" s="16" t="n">
        <f aca="false">H16411</f>
        <v>-70.393778281</v>
      </c>
      <c r="I16601" s="16" t="n">
        <f aca="false">I16411</f>
        <v>-66.8793844172995</v>
      </c>
      <c r="J16601" s="16" t="n">
        <f aca="false">J16411</f>
        <v>-63.0163872404195</v>
      </c>
      <c r="K16601" s="16" t="n">
        <f aca="false">K16411</f>
        <v>-59.0959158342138</v>
      </c>
    </row>
    <row r="16602" customFormat="false" ht="15" hidden="false" customHeight="false" outlineLevel="0" collapsed="false">
      <c r="A16602" s="3" t="s">
        <v>397</v>
      </c>
      <c r="G16602" s="16" t="n">
        <f aca="false">CHOOSE($C$16381,Assumptions!$G$82,Assumptions!$G$101,Assumptions!$G$120)</f>
        <v>150</v>
      </c>
      <c r="H16602" s="16" t="n">
        <f aca="false">CHOOSE($C$16381,Assumptions!$H$82,Assumptions!$H$101,Assumptions!$H$120)</f>
        <v>0</v>
      </c>
      <c r="I16602" s="16" t="n">
        <f aca="false">CHOOSE($C$16381,Assumptions!$I$82,Assumptions!$I$101,Assumptions!$I$120)</f>
        <v>0</v>
      </c>
      <c r="J16602" s="16" t="n">
        <f aca="false">CHOOSE($C$16381,Assumptions!$J$82,Assumptions!$J$101,Assumptions!$J$120)</f>
        <v>0</v>
      </c>
      <c r="K16602" s="16" t="n">
        <f aca="false">CHOOSE($C$16381,Assumptions!$K$82,Assumptions!$K$101,Assumptions!$K$120)</f>
        <v>0</v>
      </c>
    </row>
    <row r="16603" customFormat="false" ht="15" hidden="false" customHeight="false" outlineLevel="0" collapsed="false">
      <c r="A16603" s="3" t="s">
        <v>398</v>
      </c>
      <c r="G16603" s="16" t="n">
        <f aca="false">G16430+G16443+G16456+G16469+G16482+G16495+G16508+G16521+G16534+G16547</f>
        <v>4</v>
      </c>
      <c r="H16603" s="16" t="n">
        <f aca="false">H16430+H16443+H16456+H16469+H16482+H16495+H16508+H16521+H16534+H16547</f>
        <v>4</v>
      </c>
      <c r="I16603" s="16" t="n">
        <f aca="false">I16430+I16443+I16456+I16469+I16482+I16495+I16508+I16521+I16534+I16547</f>
        <v>4</v>
      </c>
      <c r="J16603" s="16" t="n">
        <f aca="false">J16430+J16443+J16456+J16469+J16482+J16495+J16508+J16521+J16534+J16547</f>
        <v>4</v>
      </c>
      <c r="K16603" s="16" t="n">
        <f aca="false">K16430+K16443+K16456+K16469+K16482+K16495+K16508+K16521+K16534+K16547</f>
        <v>4</v>
      </c>
    </row>
    <row r="16604" customFormat="false" ht="15" hidden="false" customHeight="false" outlineLevel="0" collapsed="false">
      <c r="A16604" s="2" t="s">
        <v>399</v>
      </c>
      <c r="G16604" s="17" t="n">
        <f aca="false">G16600+G16601+G16602-G16603</f>
        <v>122.9474204</v>
      </c>
      <c r="H16604" s="17" t="n">
        <f aca="false">H16600+H16601+H16602-H16603</f>
        <v>48.553642119</v>
      </c>
      <c r="I16604" s="17" t="n">
        <f aca="false">I16600+I16601+I16602-I16603</f>
        <v>-70.8793844172995</v>
      </c>
      <c r="J16604" s="17" t="n">
        <f aca="false">J16600+J16601+J16602-J16603</f>
        <v>-137.895771657719</v>
      </c>
      <c r="K16604" s="17" t="n">
        <f aca="false">K16600+K16601+K16602-K16603</f>
        <v>-200.991687491933</v>
      </c>
    </row>
    <row r="16605" customFormat="false" ht="15" hidden="false" customHeight="false" outlineLevel="0" collapsed="false">
      <c r="A16605" s="3" t="s">
        <v>400</v>
      </c>
      <c r="G16605" s="16" t="n">
        <f aca="false">G16431+G16444+G16457+G16470+G16483+G16496+G16509+G16522+G16535+G16548</f>
        <v>0</v>
      </c>
      <c r="H16605" s="16" t="n">
        <f aca="false">H16431+H16444+H16457+H16470+H16483+H16496+H16509+H16522+H16535+H16548</f>
        <v>0</v>
      </c>
      <c r="I16605" s="16" t="n">
        <f aca="false">I16431+I16444+I16457+I16470+I16483+I16496+I16509+I16522+I16535+I16548</f>
        <v>0</v>
      </c>
      <c r="J16605" s="16" t="n">
        <f aca="false">J16431+J16444+J16457+J16470+J16483+J16496+J16509+J16522+J16535+J16548</f>
        <v>0</v>
      </c>
      <c r="K16605" s="16" t="n">
        <f aca="false">K16431+K16444+K16457+K16470+K16483+K16496+K16509+K16522+K16535+K16548</f>
        <v>0</v>
      </c>
    </row>
    <row r="16606" customFormat="false" ht="15" hidden="false" customHeight="false" outlineLevel="0" collapsed="false">
      <c r="A16606" s="2" t="s">
        <v>401</v>
      </c>
      <c r="G16606" s="17" t="n">
        <f aca="false">G16604+G16605</f>
        <v>122.9474204</v>
      </c>
      <c r="H16606" s="17" t="n">
        <f aca="false">H16604+H16605</f>
        <v>48.553642119</v>
      </c>
      <c r="I16606" s="17" t="n">
        <f aca="false">I16604+I16605</f>
        <v>-70.8793844172995</v>
      </c>
      <c r="J16606" s="17" t="n">
        <f aca="false">J16604+J16605</f>
        <v>-137.895771657719</v>
      </c>
      <c r="K16606" s="17" t="n">
        <f aca="false">K16604+K16605</f>
        <v>-200.991687491933</v>
      </c>
    </row>
    <row r="16607" customFormat="false" ht="15" hidden="false" customHeight="false" outlineLevel="0" collapsed="false">
      <c r="A16607" s="3" t="s">
        <v>402</v>
      </c>
      <c r="G16607" s="16" t="n">
        <f aca="false">G16432+G16445+G16458+G16471+G16484+G16497+G16510+G16523+G16536+G16549</f>
        <v>0</v>
      </c>
      <c r="H16607" s="16" t="n">
        <f aca="false">H16432+H16445+H16458+H16471+H16484+H16497+H16510+H16523+H16536+H16549</f>
        <v>48.553642119</v>
      </c>
      <c r="I16607" s="16" t="n">
        <f aca="false">I16432+I16445+I16458+I16471+I16484+I16497+I16510+I16523+I16536+I16549</f>
        <v>0</v>
      </c>
      <c r="J16607" s="16" t="n">
        <f aca="false">J16432+J16445+J16458+J16471+J16484+J16497+J16510+J16523+J16536+J16549</f>
        <v>0</v>
      </c>
      <c r="K16607" s="16" t="n">
        <f aca="false">K16432+K16445+K16458+K16471+K16484+K16497+K16510+K16523+K16536+K16549</f>
        <v>0</v>
      </c>
    </row>
    <row r="16608" customFormat="false" ht="15" hidden="false" customHeight="false" outlineLevel="0" collapsed="false">
      <c r="A16608" s="2" t="s">
        <v>403</v>
      </c>
      <c r="G16608" s="17" t="n">
        <f aca="false">G16606-G16607</f>
        <v>122.9474204</v>
      </c>
      <c r="H16608" s="17" t="n">
        <f aca="false">H16606-H16607</f>
        <v>0</v>
      </c>
      <c r="I16608" s="17" t="n">
        <f aca="false">I16606-I16607</f>
        <v>-70.8793844172995</v>
      </c>
      <c r="J16608" s="17" t="n">
        <f aca="false">J16606-J16607</f>
        <v>-137.895771657719</v>
      </c>
      <c r="K16608" s="17" t="n">
        <f aca="false">K16606-K16607</f>
        <v>-200.991687491933</v>
      </c>
    </row>
    <row r="16609" customFormat="false" ht="15" hidden="false" customHeight="false" outlineLevel="0" collapsed="false">
      <c r="A16609" s="3" t="s">
        <v>404</v>
      </c>
      <c r="G16609" s="16" t="n">
        <f aca="false">MAX(0,-G16608)</f>
        <v>0</v>
      </c>
      <c r="H16609" s="16" t="n">
        <f aca="false">MAX(0,-H16608)</f>
        <v>-0</v>
      </c>
      <c r="I16609" s="16" t="n">
        <f aca="false">MAX(0,-I16608)</f>
        <v>70.8793844172995</v>
      </c>
      <c r="J16609" s="16" t="n">
        <f aca="false">MAX(0,-J16608)</f>
        <v>137.895771657719</v>
      </c>
      <c r="K16609" s="16" t="n">
        <f aca="false">MAX(0,-K16608)</f>
        <v>200.991687491933</v>
      </c>
    </row>
    <row r="16610" customFormat="false" ht="15" hidden="false" customHeight="false" outlineLevel="0" collapsed="false">
      <c r="A16610" s="3" t="s">
        <v>405</v>
      </c>
      <c r="G16610" s="16" t="n">
        <f aca="false">MAX(0,G16608-Assumptions!$C$12)*Assumptions!$C$13</f>
        <v>0</v>
      </c>
      <c r="H16610" s="16" t="n">
        <f aca="false">MAX(0,H16608-Assumptions!$C$12)*Assumptions!$C$13</f>
        <v>0</v>
      </c>
      <c r="I16610" s="16" t="n">
        <f aca="false">MAX(0,I16608-Assumptions!$C$12)*Assumptions!$C$13</f>
        <v>0</v>
      </c>
      <c r="J16610" s="16" t="n">
        <f aca="false">MAX(0,J16608-Assumptions!$C$12)*Assumptions!$C$13</f>
        <v>0</v>
      </c>
      <c r="K16610" s="16" t="n">
        <f aca="false">MAX(0,K16608-Assumptions!$C$12)*Assumptions!$C$13</f>
        <v>0</v>
      </c>
    </row>
    <row r="16611" customFormat="false" ht="15" hidden="false" customHeight="false" outlineLevel="0" collapsed="false">
      <c r="A16611" s="3" t="s">
        <v>406</v>
      </c>
      <c r="G16611" s="16" t="n">
        <f aca="false">G16433+G16446+G16459+G16472+G16485+G16498+G16511+G16524+G16537+G16550</f>
        <v>0</v>
      </c>
      <c r="H16611" s="16" t="n">
        <f aca="false">H16433+H16446+H16459+H16472+H16485+H16498+H16511+H16524+H16537+H16550</f>
        <v>0</v>
      </c>
      <c r="I16611" s="16" t="n">
        <f aca="false">I16433+I16446+I16459+I16472+I16485+I16498+I16511+I16524+I16537+I16550</f>
        <v>0</v>
      </c>
      <c r="J16611" s="16" t="n">
        <f aca="false">J16433+J16446+J16459+J16472+J16485+J16498+J16511+J16524+J16537+J16550</f>
        <v>0</v>
      </c>
      <c r="K16611" s="16" t="n">
        <f aca="false">K16433+K16446+K16459+K16472+K16485+K16498+K16511+K16524+K16537+K16550</f>
        <v>0</v>
      </c>
    </row>
    <row r="16612" customFormat="false" ht="15" hidden="false" customHeight="false" outlineLevel="0" collapsed="false">
      <c r="A16612" s="2" t="s">
        <v>407</v>
      </c>
      <c r="F16612" s="28" t="n">
        <f aca="false">Assumptions!$C$11</f>
        <v>37.87</v>
      </c>
      <c r="G16612" s="17" t="n">
        <f aca="false">G16608-G16611</f>
        <v>122.9474204</v>
      </c>
      <c r="H16612" s="17" t="n">
        <f aca="false">H16608-H16611</f>
        <v>0</v>
      </c>
      <c r="I16612" s="17" t="n">
        <f aca="false">I16608-I16611</f>
        <v>-70.8793844172995</v>
      </c>
      <c r="J16612" s="17" t="n">
        <f aca="false">J16608-J16611</f>
        <v>-137.895771657719</v>
      </c>
      <c r="K16612" s="17" t="n">
        <f aca="false">K16608-K16611</f>
        <v>-200.991687491933</v>
      </c>
    </row>
    <row r="16613" customFormat="false" ht="15" hidden="false" customHeight="false" outlineLevel="0" collapsed="false">
      <c r="A16613" s="3" t="s">
        <v>408</v>
      </c>
      <c r="G16613" s="16" t="n">
        <f aca="false">G16434+G16447+G16460+G16473+G16486+G16499+G16512+G16525+G16538+G16551</f>
        <v>0</v>
      </c>
      <c r="H16613" s="16" t="n">
        <f aca="false">H16434+H16447+H16460+H16473+H16486+H16499+H16512+H16525+H16538+H16551</f>
        <v>751.446357881</v>
      </c>
      <c r="I16613" s="16" t="n">
        <f aca="false">I16434+I16447+I16460+I16473+I16486+I16499+I16512+I16525+I16538+I16551</f>
        <v>550</v>
      </c>
      <c r="J16613" s="16" t="n">
        <f aca="false">J16434+J16447+J16460+J16473+J16486+J16499+J16512+J16525+J16538+J16551</f>
        <v>350</v>
      </c>
      <c r="K16613" s="16" t="n">
        <f aca="false">K16434+K16447+K16460+K16473+K16486+K16499+K16512+K16525+K16538+K16551</f>
        <v>680</v>
      </c>
    </row>
    <row r="16614" customFormat="false" ht="15" hidden="false" customHeight="false" outlineLevel="0" collapsed="false">
      <c r="A16614" s="3" t="s">
        <v>409</v>
      </c>
      <c r="G16614" s="21" t="n">
        <f aca="false">IF(OR(G16609&gt;0.001,G16613&gt;0.001),1,0)</f>
        <v>0</v>
      </c>
      <c r="H16614" s="21" t="n">
        <f aca="false">IF(OR(H16609&gt;0.001,H16613&gt;0.001),1,0)</f>
        <v>1</v>
      </c>
      <c r="I16614" s="21" t="n">
        <f aca="false">IF(OR(I16609&gt;0.001,I16613&gt;0.001),1,0)</f>
        <v>1</v>
      </c>
      <c r="J16614" s="21" t="n">
        <f aca="false">IF(OR(J16609&gt;0.001,J16613&gt;0.001),1,0)</f>
        <v>1</v>
      </c>
      <c r="K16614" s="21" t="n">
        <f aca="false">IF(OR(K16609&gt;0.001,K16613&gt;0.001),1,0)</f>
        <v>1</v>
      </c>
    </row>
    <row r="16615" customFormat="false" ht="15" hidden="false" customHeight="false" outlineLevel="0" collapsed="false">
      <c r="A16615" s="3" t="s">
        <v>410</v>
      </c>
      <c r="G16615" s="21" t="n">
        <f aca="false">IF(G16614=1,1,0)</f>
        <v>0</v>
      </c>
      <c r="H16615" s="21" t="n">
        <f aca="false">IF(AND(H16614=1,SUM($G$16614:G16614)=0),1,0)</f>
        <v>1</v>
      </c>
      <c r="I16615" s="21" t="n">
        <f aca="false">IF(AND(I16614=1,SUM($G$16614:H16614)=0),1,0)</f>
        <v>0</v>
      </c>
      <c r="J16615" s="21" t="n">
        <f aca="false">IF(AND(J16614=1,SUM($G$16614:I16614)=0),1,0)</f>
        <v>0</v>
      </c>
      <c r="K16615" s="21" t="n">
        <f aca="false">IF(AND(K16614=1,SUM($G$16614:J16614)=0),1,0)</f>
        <v>0</v>
      </c>
    </row>
    <row r="16616" customFormat="false" ht="15" hidden="false" customHeight="false" outlineLevel="0" collapsed="false">
      <c r="A16616" s="3" t="s">
        <v>411</v>
      </c>
      <c r="G16616" s="16" t="n">
        <f aca="false">(G16554-F16554)-(G16605+G16403-G16603-G16607-G16611)</f>
        <v>0</v>
      </c>
      <c r="H16616" s="16" t="n">
        <f aca="false">(H16554-G16554)-(H16605+H16403-H16603-H16607-H16611)</f>
        <v>-3.83693077310454E-013</v>
      </c>
      <c r="I16616" s="16" t="n">
        <f aca="false">(I16554-H16554)-(I16605+I16403-I16603-I16607-I16611)</f>
        <v>0</v>
      </c>
      <c r="J16616" s="16" t="n">
        <f aca="false">(J16554-I16554)-(J16605+J16403-J16603-J16607-J16611)</f>
        <v>0</v>
      </c>
      <c r="K16616" s="16" t="n">
        <f aca="false">(K16554-J16554)-(K16605+K16403-K16603-K16607-K16611)</f>
        <v>0</v>
      </c>
    </row>
    <row r="16618" customFormat="false" ht="15" hidden="false" customHeight="false" outlineLevel="0" collapsed="false">
      <c r="A16618" s="24" t="s">
        <v>413</v>
      </c>
      <c r="B16618" s="25"/>
      <c r="C16618" s="25"/>
      <c r="D16618" s="25"/>
      <c r="E16618" s="25"/>
      <c r="F16618" s="25"/>
      <c r="G16618" s="25"/>
      <c r="H16618" s="25"/>
      <c r="I16618" s="25"/>
      <c r="J16618" s="25"/>
      <c r="K16618" s="25"/>
    </row>
    <row r="16619" customFormat="false" ht="15" hidden="false" customHeight="false" outlineLevel="0" collapsed="false">
      <c r="A16619" s="3" t="s">
        <v>414</v>
      </c>
      <c r="G16619" s="16" t="n">
        <f aca="false">G16554</f>
        <v>2621.934</v>
      </c>
      <c r="H16619" s="16" t="n">
        <f aca="false">H16554</f>
        <v>2569.380357881</v>
      </c>
      <c r="I16619" s="16" t="n">
        <f aca="false">I16554</f>
        <v>2565.380357881</v>
      </c>
      <c r="J16619" s="16" t="n">
        <f aca="false">J16554</f>
        <v>2561.380357881</v>
      </c>
      <c r="K16619" s="16" t="n">
        <f aca="false">K16554</f>
        <v>2557.380357881</v>
      </c>
    </row>
    <row r="16620" customFormat="false" ht="15" hidden="false" customHeight="false" outlineLevel="0" collapsed="false">
      <c r="A16620" s="3" t="s">
        <v>415</v>
      </c>
      <c r="G16620" s="16" t="n">
        <f aca="false">Assumptions!$O$57*G16435+Assumptions!$O$58*G16448+Assumptions!$O$59*G16461+Assumptions!$O$60*G16474+Assumptions!$O$61*G16487+Assumptions!$O$62*G16500+Assumptions!$O$63*G16513+Assumptions!$O$64*G16526+Assumptions!$O$65*G16539+Assumptions!$O$66*G16552</f>
        <v>543.324</v>
      </c>
      <c r="H16620" s="16" t="n">
        <f aca="false">Assumptions!$O$57*H16435+Assumptions!$O$58*H16448+Assumptions!$O$59*H16461+Assumptions!$O$60*H16474+Assumptions!$O$61*H16487+Assumptions!$O$62*H16500+Assumptions!$O$63*H16513+Assumptions!$O$64*H16526+Assumptions!$O$65*H16539+Assumptions!$O$66*H16552</f>
        <v>539.324</v>
      </c>
      <c r="I16620" s="16" t="n">
        <f aca="false">Assumptions!$O$57*I16435+Assumptions!$O$58*I16448+Assumptions!$O$59*I16461+Assumptions!$O$60*I16474+Assumptions!$O$61*I16487+Assumptions!$O$62*I16500+Assumptions!$O$63*I16513+Assumptions!$O$64*I16526+Assumptions!$O$65*I16539+Assumptions!$O$66*I16552</f>
        <v>535.324</v>
      </c>
      <c r="J16620" s="16" t="n">
        <f aca="false">Assumptions!$O$57*J16435+Assumptions!$O$58*J16448+Assumptions!$O$59*J16461+Assumptions!$O$60*J16474+Assumptions!$O$61*J16487+Assumptions!$O$62*J16500+Assumptions!$O$63*J16513+Assumptions!$O$64*J16526+Assumptions!$O$65*J16539+Assumptions!$O$66*J16552</f>
        <v>531.324</v>
      </c>
      <c r="K16620" s="16" t="n">
        <f aca="false">Assumptions!$O$57*K16435+Assumptions!$O$58*K16448+Assumptions!$O$59*K16461+Assumptions!$O$60*K16474+Assumptions!$O$61*K16487+Assumptions!$O$62*K16500+Assumptions!$O$63*K16513+Assumptions!$O$64*K16526+Assumptions!$O$65*K16539+Assumptions!$O$66*K16552</f>
        <v>527.324</v>
      </c>
    </row>
    <row r="16621" customFormat="false" ht="15" hidden="false" customHeight="false" outlineLevel="0" collapsed="false">
      <c r="A16621" s="3" t="s">
        <v>416</v>
      </c>
      <c r="G16621" s="16" t="n">
        <f aca="false">G16619-G16612</f>
        <v>2498.9865796</v>
      </c>
      <c r="H16621" s="16" t="n">
        <f aca="false">H16619-H16612</f>
        <v>2569.380357881</v>
      </c>
      <c r="I16621" s="16" t="n">
        <f aca="false">I16619-I16612</f>
        <v>2636.2597422983</v>
      </c>
      <c r="J16621" s="16" t="n">
        <f aca="false">J16619-J16612</f>
        <v>2699.27612953872</v>
      </c>
      <c r="K16621" s="16" t="n">
        <f aca="false">K16619-K16612</f>
        <v>2758.37204537293</v>
      </c>
    </row>
    <row r="16622" customFormat="false" ht="15" hidden="false" customHeight="false" outlineLevel="0" collapsed="false">
      <c r="A16622" s="3" t="s">
        <v>417</v>
      </c>
      <c r="G16622" s="32" t="n">
        <f aca="false">IF(G16398&gt;0,G16619/G16398,0)</f>
        <v>11.1954319438308</v>
      </c>
      <c r="H16622" s="32" t="n">
        <f aca="false">IF(H16398&gt;0,H16619/H16398,0)</f>
        <v>11.6601471215067</v>
      </c>
      <c r="I16622" s="32" t="n">
        <f aca="false">IF(I16398&gt;0,I16619/I16398,0)</f>
        <v>11.6419946559354</v>
      </c>
      <c r="J16622" s="32" t="n">
        <f aca="false">IF(J16398&gt;0,J16619/J16398,0)</f>
        <v>11.3913183720481</v>
      </c>
      <c r="K16622" s="32" t="n">
        <f aca="false">IF(K16398&gt;0,K16619/K16398,0)</f>
        <v>11.14717316588</v>
      </c>
    </row>
    <row r="16623" customFormat="false" ht="15" hidden="false" customHeight="false" outlineLevel="0" collapsed="false">
      <c r="A16623" s="3" t="s">
        <v>418</v>
      </c>
      <c r="G16623" s="32" t="n">
        <f aca="false">IF(G16398&gt;0,G16621/G16398,0)</f>
        <v>10.6704570673626</v>
      </c>
      <c r="H16623" s="32" t="n">
        <f aca="false">IF(H16398&gt;0,H16621/H16398,0)</f>
        <v>11.6601471215067</v>
      </c>
      <c r="I16623" s="32" t="n">
        <f aca="false">IF(I16398&gt;0,I16621/I16398,0)</f>
        <v>11.9636535522731</v>
      </c>
      <c r="J16623" s="32" t="n">
        <f aca="false">IF(J16398&gt;0,J16621/J16398,0)</f>
        <v>12.0045871637288</v>
      </c>
      <c r="K16623" s="32" t="n">
        <f aca="false">IF(K16398&gt;0,K16621/K16398,0)</f>
        <v>12.0232607366907</v>
      </c>
    </row>
    <row r="16624" customFormat="false" ht="15" hidden="false" customHeight="false" outlineLevel="0" collapsed="false">
      <c r="A16624" s="3" t="s">
        <v>419</v>
      </c>
      <c r="G16624" s="32" t="n">
        <f aca="false">IF(G16402&gt;0,G16398/G16402,0)</f>
        <v>1.24979041307388</v>
      </c>
      <c r="H16624" s="32" t="n">
        <f aca="false">IF(H16402&gt;0,H16398/H16402,0)</f>
        <v>1.18311222526984</v>
      </c>
      <c r="I16624" s="32" t="n">
        <f aca="false">IF(I16402&gt;0,I16398/I16402,0)</f>
        <v>1.20586587186349</v>
      </c>
      <c r="J16624" s="32" t="n">
        <f aca="false">IF(J16402&gt;0,J16398/J16402,0)</f>
        <v>1.23324745076441</v>
      </c>
      <c r="K16624" s="32" t="n">
        <f aca="false">IF(K16402&gt;0,K16398/K16402,0)</f>
        <v>1.26112583435714</v>
      </c>
    </row>
    <row r="16625" customFormat="false" ht="15" hidden="false" customHeight="false" outlineLevel="0" collapsed="false">
      <c r="A16625" s="3" t="s">
        <v>420</v>
      </c>
      <c r="G16625" s="32" t="n">
        <f aca="false">IF(G16402&gt;0,G16401/G16402,0)</f>
        <v>0.320303767681135</v>
      </c>
      <c r="H16625" s="32" t="n">
        <f aca="false">IF(H16402&gt;0,H16401/H16402,0)</f>
        <v>0.27600176891797</v>
      </c>
      <c r="I16625" s="32" t="n">
        <f aca="false">IF(I16402&gt;0,I16401/I16402,0)</f>
        <v>0.281309842467585</v>
      </c>
      <c r="J16625" s="32" t="n">
        <f aca="false">IF(J16402&gt;0,J16401/J16402,0)</f>
        <v>0.297346009456427</v>
      </c>
      <c r="K16625" s="32" t="n">
        <f aca="false">IF(K16402&gt;0,K16401/K16402,0)</f>
        <v>0.313734968638568</v>
      </c>
    </row>
    <row r="16626" customFormat="false" ht="15" hidden="false" customHeight="false" outlineLevel="0" collapsed="false">
      <c r="A16626" s="3" t="s">
        <v>213</v>
      </c>
      <c r="G16626" s="22" t="n">
        <f aca="false">IF(G16619&gt;0,G16411/G16619,0)</f>
        <v>-0.0232357410979834</v>
      </c>
      <c r="H16626" s="22" t="n">
        <f aca="false">IF(H16619&gt;0,H16411/H16619,0)</f>
        <v>-0.0273971808280867</v>
      </c>
      <c r="I16626" s="22" t="n">
        <f aca="false">IF(I16619&gt;0,I16411/I16619,0)</f>
        <v>-0.0260699682258976</v>
      </c>
      <c r="J16626" s="22" t="n">
        <f aca="false">IF(J16619&gt;0,J16411/J16619,0)</f>
        <v>-0.0246025105355896</v>
      </c>
      <c r="K16626" s="22" t="n">
        <f aca="false">IF(K16619&gt;0,K16411/K16619,0)</f>
        <v>-0.0231079884742603</v>
      </c>
    </row>
    <row r="16627" customFormat="false" ht="15" hidden="false" customHeight="false" outlineLevel="0" collapsed="false">
      <c r="A16627" s="3" t="s">
        <v>421</v>
      </c>
      <c r="G16627" s="32" t="n">
        <f aca="false">IF(G16402+G16603&gt;0,(G16398-G16409-G16406)/(G16402+G16603),0)</f>
        <v>0.783148779220797</v>
      </c>
      <c r="H16627" s="32" t="n">
        <f aca="false">IF(H16402+H16603&gt;0,(H16398-H16409-H16406)/(H16402+H16603),0)</f>
        <v>0.728376128313333</v>
      </c>
      <c r="I16627" s="32" t="n">
        <f aca="false">IF(I16402+I16603&gt;0,(I16398-I16409-I16406)/(I16402+I16603),0)</f>
        <v>0.742084215548814</v>
      </c>
      <c r="J16627" s="32" t="n">
        <f aca="false">IF(J16402+J16603&gt;0,(J16398-J16409-J16406)/(J16402+J16603),0)</f>
        <v>0.763468302110309</v>
      </c>
      <c r="K16627" s="32" t="n">
        <f aca="false">IF(K16402+K16603&gt;0,(K16398-K16409-K16406)/(K16402+K16603),0)</f>
        <v>0.785268063869781</v>
      </c>
    </row>
    <row r="16628" customFormat="false" ht="15" hidden="false" customHeight="false" outlineLevel="0" collapsed="false">
      <c r="A16628" s="3" t="s">
        <v>422</v>
      </c>
      <c r="G16628" s="16" t="n">
        <f aca="false">MAX(0,G16612)+Assumptions!$P$57*MAX(0,Assumptions!$D$57-G16435)+Assumptions!$P$58*MAX(0,Assumptions!$D$58-G16448)+Assumptions!$P$59*MAX(0,Assumptions!$D$59-G16461)+Assumptions!$P$60*MAX(0,Assumptions!$D$60-G16474)+Assumptions!$P$61*MAX(0,Assumptions!$D$61-G16487)+Assumptions!$P$62*MAX(0,Assumptions!$D$62-G16500)+Assumptions!$P$63*MAX(0,Assumptions!$D$63-G16513)+Assumptions!$P$64*MAX(0,Assumptions!$D$64-G16526)+Assumptions!$P$65*MAX(0,Assumptions!$D$65-G16539)+Assumptions!$P$66*MAX(0,Assumptions!$D$66-G16552)</f>
        <v>697.4474204</v>
      </c>
      <c r="H16628" s="16" t="n">
        <f aca="false">MAX(0,H16612)+Assumptions!$P$57*MAX(0,Assumptions!$D$57-H16435)+Assumptions!$P$58*MAX(0,Assumptions!$D$58-H16448)+Assumptions!$P$59*MAX(0,Assumptions!$D$59-H16461)+Assumptions!$P$60*MAX(0,Assumptions!$D$60-H16474)+Assumptions!$P$61*MAX(0,Assumptions!$D$61-H16487)+Assumptions!$P$62*MAX(0,Assumptions!$D$62-H16500)+Assumptions!$P$63*MAX(0,Assumptions!$D$63-H16513)+Assumptions!$P$64*MAX(0,Assumptions!$D$64-H16526)+Assumptions!$P$65*MAX(0,Assumptions!$D$65-H16539)+Assumptions!$P$66*MAX(0,Assumptions!$D$66-H16552)</f>
        <v>574.5</v>
      </c>
      <c r="I16628" s="16" t="n">
        <f aca="false">MAX(0,I16612)+Assumptions!$P$57*MAX(0,Assumptions!$D$57-I16435)+Assumptions!$P$58*MAX(0,Assumptions!$D$58-I16448)+Assumptions!$P$59*MAX(0,Assumptions!$D$59-I16461)+Assumptions!$P$60*MAX(0,Assumptions!$D$60-I16474)+Assumptions!$P$61*MAX(0,Assumptions!$D$61-I16487)+Assumptions!$P$62*MAX(0,Assumptions!$D$62-I16500)+Assumptions!$P$63*MAX(0,Assumptions!$D$63-I16513)+Assumptions!$P$64*MAX(0,Assumptions!$D$64-I16526)+Assumptions!$P$65*MAX(0,Assumptions!$D$65-I16539)+Assumptions!$P$66*MAX(0,Assumptions!$D$66-I16552)</f>
        <v>574.5</v>
      </c>
      <c r="J16628" s="16" t="n">
        <f aca="false">MAX(0,J16612)+Assumptions!$P$57*MAX(0,Assumptions!$D$57-J16435)+Assumptions!$P$58*MAX(0,Assumptions!$D$58-J16448)+Assumptions!$P$59*MAX(0,Assumptions!$D$59-J16461)+Assumptions!$P$60*MAX(0,Assumptions!$D$60-J16474)+Assumptions!$P$61*MAX(0,Assumptions!$D$61-J16487)+Assumptions!$P$62*MAX(0,Assumptions!$D$62-J16500)+Assumptions!$P$63*MAX(0,Assumptions!$D$63-J16513)+Assumptions!$P$64*MAX(0,Assumptions!$D$64-J16526)+Assumptions!$P$65*MAX(0,Assumptions!$D$65-J16539)+Assumptions!$P$66*MAX(0,Assumptions!$D$66-J16552)</f>
        <v>574.5</v>
      </c>
      <c r="K16628" s="16" t="n">
        <f aca="false">MAX(0,K16612)+Assumptions!$P$57*MAX(0,Assumptions!$D$57-K16435)+Assumptions!$P$58*MAX(0,Assumptions!$D$58-K16448)+Assumptions!$P$59*MAX(0,Assumptions!$D$59-K16461)+Assumptions!$P$60*MAX(0,Assumptions!$D$60-K16474)+Assumptions!$P$61*MAX(0,Assumptions!$D$61-K16487)+Assumptions!$P$62*MAX(0,Assumptions!$D$62-K16500)+Assumptions!$P$63*MAX(0,Assumptions!$D$63-K16513)+Assumptions!$P$64*MAX(0,Assumptions!$D$64-K16526)+Assumptions!$P$65*MAX(0,Assumptions!$D$65-K16539)+Assumptions!$P$66*MAX(0,Assumptions!$D$66-K16552)</f>
        <v>574.5</v>
      </c>
    </row>
    <row r="16629" customFormat="false" ht="15" hidden="false" customHeight="false" outlineLevel="0" collapsed="false">
      <c r="A16629" s="3" t="s">
        <v>423</v>
      </c>
      <c r="G16629" s="22" t="n">
        <f aca="false">IF(G16619&gt;0,G16619/(G16619+MAX(0,G16398*CHOOSE($C$16381,Assumptions!$C$90,Assumptions!$C$109,Assumptions!$C$128)-G16621)),0)</f>
        <v>0.971406190801315</v>
      </c>
      <c r="H16629" s="22" t="n">
        <f aca="false">IF(H16619&gt;0,H16619/(H16619+MAX(0,H16398*CHOOSE($C$16381,Assumptions!$C$90,Assumptions!$C$109,Assumptions!$C$128)-H16621)),0)</f>
        <v>1</v>
      </c>
      <c r="I16629" s="22" t="n">
        <f aca="false">IF(I16619&gt;0,I16619/(I16619+MAX(0,I16398*CHOOSE($C$16381,Assumptions!$C$90,Assumptions!$C$109,Assumptions!$C$128)-I16621)),0)</f>
        <v>1</v>
      </c>
      <c r="J16629" s="22" t="n">
        <f aca="false">IF(J16619&gt;0,J16619/(J16619+MAX(0,J16398*CHOOSE($C$16381,Assumptions!$C$90,Assumptions!$C$109,Assumptions!$C$128)-J16621)),0)</f>
        <v>1</v>
      </c>
      <c r="K16629" s="22" t="n">
        <f aca="false">IF(K16619&gt;0,K16619/(K16619+MAX(0,K16398*CHOOSE($C$16381,Assumptions!$C$90,Assumptions!$C$109,Assumptions!$C$128)-K16621)),0)</f>
        <v>1</v>
      </c>
    </row>
    <row r="16630" customFormat="false" ht="15" hidden="false" customHeight="false" outlineLevel="0" collapsed="false">
      <c r="A16630" s="3" t="s">
        <v>424</v>
      </c>
      <c r="G16630" s="22" t="n">
        <f aca="false">IF(G16619&gt;0,MAX(0,G16612)/G16619,0)</f>
        <v>0.0468918822518034</v>
      </c>
      <c r="H16630" s="22" t="n">
        <f aca="false">IF(H16619&gt;0,MAX(0,H16612)/H16619,0)</f>
        <v>0</v>
      </c>
      <c r="I16630" s="22" t="n">
        <f aca="false">IF(I16619&gt;0,MAX(0,I16612)/I16619,0)</f>
        <v>0</v>
      </c>
      <c r="J16630" s="22" t="n">
        <f aca="false">IF(J16619&gt;0,MAX(0,J16612)/J16619,0)</f>
        <v>0</v>
      </c>
      <c r="K16630" s="22" t="n">
        <f aca="false">IF(K16619&gt;0,MAX(0,K16612)/K16619,0)</f>
        <v>0</v>
      </c>
    </row>
    <row r="16631" customFormat="false" ht="15" hidden="false" customHeight="false" outlineLevel="0" collapsed="false">
      <c r="A16631" s="3" t="s">
        <v>425</v>
      </c>
      <c r="G16631" s="16" t="n">
        <f aca="false">Assumptions!$C$31*(1-CHOOSE($C$16381,Assumptions!$C$93,Assumptions!$C$112,Assumptions!$C$131))</f>
        <v>3840.04556666667</v>
      </c>
      <c r="H16631" s="16" t="n">
        <f aca="false">Assumptions!$C$31*(1-CHOOSE($C$16381,Assumptions!$C$93,Assumptions!$C$112,Assumptions!$C$131))</f>
        <v>3840.04556666667</v>
      </c>
      <c r="I16631" s="16" t="n">
        <f aca="false">Assumptions!$C$31*(1-CHOOSE($C$16381,Assumptions!$C$93,Assumptions!$C$112,Assumptions!$C$131))</f>
        <v>3840.04556666667</v>
      </c>
      <c r="J16631" s="16" t="n">
        <f aca="false">Assumptions!$C$31*(1-CHOOSE($C$16381,Assumptions!$C$93,Assumptions!$C$112,Assumptions!$C$131))</f>
        <v>3840.04556666667</v>
      </c>
      <c r="K16631" s="16" t="n">
        <f aca="false">Assumptions!$C$31*(1-CHOOSE($C$16381,Assumptions!$C$93,Assumptions!$C$112,Assumptions!$C$131))</f>
        <v>3840.04556666667</v>
      </c>
    </row>
    <row r="16632" customFormat="false" ht="15" hidden="false" customHeight="false" outlineLevel="0" collapsed="false">
      <c r="A16632" s="24" t="s">
        <v>426</v>
      </c>
      <c r="B16632" s="25"/>
      <c r="C16632" s="25"/>
      <c r="D16632" s="25"/>
      <c r="E16632" s="25"/>
      <c r="F16632" s="25"/>
      <c r="G16632" s="25"/>
      <c r="H16632" s="25"/>
      <c r="I16632" s="25"/>
      <c r="J16632" s="25"/>
      <c r="K16632" s="25"/>
    </row>
    <row r="16633" customFormat="false" ht="15" hidden="false" customHeight="false" outlineLevel="0" collapsed="false">
      <c r="A16633" s="24" t="s">
        <v>427</v>
      </c>
      <c r="B16633" s="25"/>
      <c r="C16633" s="25"/>
      <c r="D16633" s="25"/>
      <c r="E16633" s="25"/>
      <c r="F16633" s="25"/>
      <c r="G16633" s="25"/>
      <c r="H16633" s="25"/>
      <c r="I16633" s="25"/>
      <c r="J16633" s="25"/>
      <c r="K16633" s="25"/>
    </row>
    <row r="16634" customFormat="false" ht="15" hidden="false" customHeight="false" outlineLevel="0" collapsed="false">
      <c r="A16634" s="3" t="s">
        <v>428</v>
      </c>
      <c r="G16634" s="22" t="n">
        <f aca="false">IF(G16631&gt;0,G16619/G16631,99)</f>
        <v>0.68278721032885</v>
      </c>
      <c r="H16634" s="22" t="n">
        <f aca="false">IF(H16631&gt;0,H16619/H16631,99)</f>
        <v>0.6691015284257</v>
      </c>
      <c r="I16634" s="22" t="n">
        <f aca="false">IF(I16631&gt;0,I16619/I16631,99)</f>
        <v>0.668059874119636</v>
      </c>
      <c r="J16634" s="22" t="n">
        <f aca="false">IF(J16631&gt;0,J16619/J16631,99)</f>
        <v>0.667018219813572</v>
      </c>
      <c r="K16634" s="22" t="n">
        <f aca="false">IF(K16631&gt;0,K16619/K16631,99)</f>
        <v>0.665976565507508</v>
      </c>
    </row>
    <row r="16635" customFormat="false" ht="15" hidden="false" customHeight="false" outlineLevel="0" collapsed="false">
      <c r="A16635" s="3" t="s">
        <v>429</v>
      </c>
      <c r="G16635" s="33" t="n">
        <f aca="false">Assumptions!$G$71</f>
        <v>0.6</v>
      </c>
      <c r="H16635" s="33" t="n">
        <f aca="false">Assumptions!$H$71</f>
        <v>0.6</v>
      </c>
      <c r="I16635" s="33" t="n">
        <f aca="false">Assumptions!$I$71</f>
        <v>0.6</v>
      </c>
      <c r="J16635" s="33" t="n">
        <f aca="false">Assumptions!$J$71</f>
        <v>0.6</v>
      </c>
      <c r="K16635" s="33" t="n">
        <f aca="false">Assumptions!$K$71</f>
        <v>0.6</v>
      </c>
    </row>
    <row r="16636" customFormat="false" ht="15" hidden="false" customHeight="false" outlineLevel="0" collapsed="false">
      <c r="A16636" s="3" t="s">
        <v>430</v>
      </c>
      <c r="G16636" s="22" t="n">
        <f aca="false">G16635-G16634</f>
        <v>-0.0827872103288497</v>
      </c>
      <c r="H16636" s="22" t="n">
        <f aca="false">H16635-H16634</f>
        <v>-0.0691015284256999</v>
      </c>
      <c r="I16636" s="22" t="n">
        <f aca="false">I16635-I16634</f>
        <v>-0.0680598741196361</v>
      </c>
      <c r="J16636" s="22" t="n">
        <f aca="false">J16635-J16634</f>
        <v>-0.0670182198135721</v>
      </c>
      <c r="K16636" s="22" t="n">
        <f aca="false">K16635-K16634</f>
        <v>-0.0659765655075082</v>
      </c>
    </row>
    <row r="16637" customFormat="false" ht="15" hidden="false" customHeight="false" outlineLevel="0" collapsed="false">
      <c r="A16637" s="3" t="s">
        <v>431</v>
      </c>
      <c r="G16637" s="22" t="n">
        <f aca="false">IF(G16635=0,0,G16636/ABS(G16635))</f>
        <v>-0.137978683881416</v>
      </c>
      <c r="H16637" s="22" t="n">
        <f aca="false">IF(H16635=0,0,H16636/ABS(H16635))</f>
        <v>-0.115169214042833</v>
      </c>
      <c r="I16637" s="22" t="n">
        <f aca="false">IF(I16635=0,0,I16636/ABS(I16635))</f>
        <v>-0.113433123532727</v>
      </c>
      <c r="J16637" s="22" t="n">
        <f aca="false">IF(J16635=0,0,J16636/ABS(J16635))</f>
        <v>-0.11169703302262</v>
      </c>
      <c r="K16637" s="22" t="n">
        <f aca="false">IF(K16635=0,0,K16636/ABS(K16635))</f>
        <v>-0.109960942512514</v>
      </c>
    </row>
    <row r="16638" customFormat="false" ht="15" hidden="false" customHeight="false" outlineLevel="0" collapsed="false">
      <c r="A16638" s="3" t="s">
        <v>432</v>
      </c>
      <c r="G16638" s="21" t="n">
        <f aca="false">IF(G16636&lt;0,1,0)</f>
        <v>1</v>
      </c>
      <c r="H16638" s="21" t="n">
        <f aca="false">IF(H16636&lt;0,1,0)</f>
        <v>1</v>
      </c>
      <c r="I16638" s="21" t="n">
        <f aca="false">IF(I16636&lt;0,1,0)</f>
        <v>1</v>
      </c>
      <c r="J16638" s="21" t="n">
        <f aca="false">IF(J16636&lt;0,1,0)</f>
        <v>1</v>
      </c>
      <c r="K16638" s="21" t="n">
        <f aca="false">IF(K16636&lt;0,1,0)</f>
        <v>1</v>
      </c>
    </row>
    <row r="16639" customFormat="false" ht="15" hidden="false" customHeight="false" outlineLevel="0" collapsed="false">
      <c r="A16639" s="3" t="s">
        <v>433</v>
      </c>
      <c r="C16639" s="21" t="n">
        <f aca="false">IFERROR(INDEX($G$16388:$K$16388,MATCH(1,$G$16638:$K$16638,0)),0)</f>
        <v>2027</v>
      </c>
    </row>
    <row r="16640" customFormat="false" ht="15" hidden="false" customHeight="false" outlineLevel="0" collapsed="false">
      <c r="A16640" s="3" t="s">
        <v>434</v>
      </c>
      <c r="C16640" s="22" t="n">
        <f aca="false">MIN($G$16637:$K$16637)</f>
        <v>-0.137978683881416</v>
      </c>
    </row>
    <row r="16641" customFormat="false" ht="15" hidden="false" customHeight="false" outlineLevel="0" collapsed="false">
      <c r="A16641" s="24" t="s">
        <v>435</v>
      </c>
      <c r="B16641" s="25"/>
      <c r="C16641" s="25"/>
      <c r="D16641" s="25"/>
      <c r="E16641" s="25"/>
      <c r="F16641" s="25"/>
      <c r="G16641" s="25"/>
      <c r="H16641" s="25"/>
      <c r="I16641" s="25"/>
      <c r="J16641" s="25"/>
      <c r="K16641" s="25"/>
    </row>
    <row r="16642" customFormat="false" ht="15" hidden="false" customHeight="false" outlineLevel="0" collapsed="false">
      <c r="A16642" s="3" t="s">
        <v>428</v>
      </c>
      <c r="G16642" s="32" t="n">
        <f aca="false">IF(G16402&gt;0,G16398/G16402,99)</f>
        <v>1.24979041307388</v>
      </c>
      <c r="H16642" s="32" t="n">
        <f aca="false">IF(H16402&gt;0,H16398/H16402,99)</f>
        <v>1.18311222526984</v>
      </c>
      <c r="I16642" s="32" t="n">
        <f aca="false">IF(I16402&gt;0,I16398/I16402,99)</f>
        <v>1.20586587186349</v>
      </c>
      <c r="J16642" s="32" t="n">
        <f aca="false">IF(J16402&gt;0,J16398/J16402,99)</f>
        <v>1.23324745076441</v>
      </c>
      <c r="K16642" s="32" t="n">
        <f aca="false">IF(K16402&gt;0,K16398/K16402,99)</f>
        <v>1.26112583435714</v>
      </c>
    </row>
    <row r="16643" customFormat="false" ht="15" hidden="false" customHeight="false" outlineLevel="0" collapsed="false">
      <c r="A16643" s="3" t="s">
        <v>429</v>
      </c>
      <c r="G16643" s="34" t="n">
        <f aca="false">Assumptions!$G$72</f>
        <v>1.5</v>
      </c>
      <c r="H16643" s="34" t="n">
        <f aca="false">Assumptions!$H$72</f>
        <v>1.5</v>
      </c>
      <c r="I16643" s="34" t="n">
        <f aca="false">Assumptions!$I$72</f>
        <v>1.5</v>
      </c>
      <c r="J16643" s="34" t="n">
        <f aca="false">Assumptions!$J$72</f>
        <v>1.5</v>
      </c>
      <c r="K16643" s="34" t="n">
        <f aca="false">Assumptions!$K$72</f>
        <v>1.5</v>
      </c>
    </row>
    <row r="16644" customFormat="false" ht="15" hidden="false" customHeight="false" outlineLevel="0" collapsed="false">
      <c r="A16644" s="3" t="s">
        <v>430</v>
      </c>
      <c r="G16644" s="32" t="n">
        <f aca="false">G16642-G16643</f>
        <v>-0.250209586926116</v>
      </c>
      <c r="H16644" s="32" t="n">
        <f aca="false">H16642-H16643</f>
        <v>-0.316887774730159</v>
      </c>
      <c r="I16644" s="32" t="n">
        <f aca="false">I16642-I16643</f>
        <v>-0.294134128136513</v>
      </c>
      <c r="J16644" s="32" t="n">
        <f aca="false">J16642-J16643</f>
        <v>-0.266752549235595</v>
      </c>
      <c r="K16644" s="32" t="n">
        <f aca="false">K16642-K16643</f>
        <v>-0.238874165642862</v>
      </c>
    </row>
    <row r="16645" customFormat="false" ht="15" hidden="false" customHeight="false" outlineLevel="0" collapsed="false">
      <c r="A16645" s="3" t="s">
        <v>431</v>
      </c>
      <c r="G16645" s="22" t="n">
        <f aca="false">IF(G16643=0,0,G16644/ABS(G16643))</f>
        <v>-0.166806391284078</v>
      </c>
      <c r="H16645" s="22" t="n">
        <f aca="false">IF(H16643=0,0,H16644/ABS(H16643))</f>
        <v>-0.211258516486773</v>
      </c>
      <c r="I16645" s="22" t="n">
        <f aca="false">IF(I16643=0,0,I16644/ABS(I16643))</f>
        <v>-0.196089418757675</v>
      </c>
      <c r="J16645" s="22" t="n">
        <f aca="false">IF(J16643=0,0,J16644/ABS(J16643))</f>
        <v>-0.17783503282373</v>
      </c>
      <c r="K16645" s="22" t="n">
        <f aca="false">IF(K16643=0,0,K16644/ABS(K16643))</f>
        <v>-0.159249443761908</v>
      </c>
    </row>
    <row r="16646" customFormat="false" ht="15" hidden="false" customHeight="false" outlineLevel="0" collapsed="false">
      <c r="A16646" s="3" t="s">
        <v>432</v>
      </c>
      <c r="G16646" s="21" t="n">
        <f aca="false">IF(G16644&lt;0,1,0)</f>
        <v>1</v>
      </c>
      <c r="H16646" s="21" t="n">
        <f aca="false">IF(H16644&lt;0,1,0)</f>
        <v>1</v>
      </c>
      <c r="I16646" s="21" t="n">
        <f aca="false">IF(I16644&lt;0,1,0)</f>
        <v>1</v>
      </c>
      <c r="J16646" s="21" t="n">
        <f aca="false">IF(J16644&lt;0,1,0)</f>
        <v>1</v>
      </c>
      <c r="K16646" s="21" t="n">
        <f aca="false">IF(K16644&lt;0,1,0)</f>
        <v>1</v>
      </c>
    </row>
    <row r="16647" customFormat="false" ht="15" hidden="false" customHeight="false" outlineLevel="0" collapsed="false">
      <c r="A16647" s="3" t="s">
        <v>433</v>
      </c>
      <c r="C16647" s="21" t="n">
        <f aca="false">IFERROR(INDEX($G$16388:$K$16388,MATCH(1,$G$16646:$K$16646,0)),0)</f>
        <v>2027</v>
      </c>
    </row>
    <row r="16648" customFormat="false" ht="15" hidden="false" customHeight="false" outlineLevel="0" collapsed="false">
      <c r="A16648" s="3" t="s">
        <v>434</v>
      </c>
      <c r="C16648" s="22" t="n">
        <f aca="false">MIN($G$16645:$K$16645)</f>
        <v>-0.211258516486773</v>
      </c>
    </row>
    <row r="16649" customFormat="false" ht="15" hidden="false" customHeight="false" outlineLevel="0" collapsed="false">
      <c r="A16649" s="24" t="s">
        <v>436</v>
      </c>
      <c r="B16649" s="25"/>
      <c r="C16649" s="25"/>
      <c r="D16649" s="25"/>
      <c r="E16649" s="25"/>
      <c r="F16649" s="25"/>
      <c r="G16649" s="25"/>
      <c r="H16649" s="25"/>
      <c r="I16649" s="25"/>
      <c r="J16649" s="25"/>
      <c r="K16649" s="25"/>
    </row>
    <row r="16650" customFormat="false" ht="15" hidden="false" customHeight="false" outlineLevel="0" collapsed="false">
      <c r="A16650" s="3" t="s">
        <v>428</v>
      </c>
      <c r="G16650" s="22" t="n">
        <f aca="false">IF(G16631&gt;0,G16620/G16631,99)</f>
        <v>0.141488946046968</v>
      </c>
      <c r="H16650" s="22" t="n">
        <f aca="false">IF(H16631&gt;0,H16620/H16631,99)</f>
        <v>0.140447291740904</v>
      </c>
      <c r="I16650" s="22" t="n">
        <f aca="false">IF(I16631&gt;0,I16620/I16631,99)</f>
        <v>0.139405637434841</v>
      </c>
      <c r="J16650" s="22" t="n">
        <f aca="false">IF(J16631&gt;0,J16620/J16631,99)</f>
        <v>0.138363983128777</v>
      </c>
      <c r="K16650" s="22" t="n">
        <f aca="false">IF(K16631&gt;0,K16620/K16631,99)</f>
        <v>0.137322328822713</v>
      </c>
    </row>
    <row r="16651" customFormat="false" ht="15" hidden="false" customHeight="false" outlineLevel="0" collapsed="false">
      <c r="A16651" s="3" t="s">
        <v>429</v>
      </c>
      <c r="G16651" s="33" t="n">
        <f aca="false">Assumptions!$G$73</f>
        <v>0.4</v>
      </c>
      <c r="H16651" s="33" t="n">
        <f aca="false">Assumptions!$H$73</f>
        <v>0.4</v>
      </c>
      <c r="I16651" s="33" t="n">
        <f aca="false">Assumptions!$I$73</f>
        <v>0.4</v>
      </c>
      <c r="J16651" s="33" t="n">
        <f aca="false">Assumptions!$J$73</f>
        <v>0.4</v>
      </c>
      <c r="K16651" s="33" t="n">
        <f aca="false">Assumptions!$K$73</f>
        <v>0.4</v>
      </c>
    </row>
    <row r="16652" customFormat="false" ht="15" hidden="false" customHeight="false" outlineLevel="0" collapsed="false">
      <c r="A16652" s="3" t="s">
        <v>430</v>
      </c>
      <c r="G16652" s="22" t="n">
        <f aca="false">G16651-G16650</f>
        <v>0.258511053953032</v>
      </c>
      <c r="H16652" s="22" t="n">
        <f aca="false">H16651-H16650</f>
        <v>0.259552708259096</v>
      </c>
      <c r="I16652" s="22" t="n">
        <f aca="false">I16651-I16650</f>
        <v>0.26059436256516</v>
      </c>
      <c r="J16652" s="22" t="n">
        <f aca="false">J16651-J16650</f>
        <v>0.261636016871223</v>
      </c>
      <c r="K16652" s="22" t="n">
        <f aca="false">K16651-K16650</f>
        <v>0.262677671177287</v>
      </c>
    </row>
    <row r="16653" customFormat="false" ht="15" hidden="false" customHeight="false" outlineLevel="0" collapsed="false">
      <c r="A16653" s="3" t="s">
        <v>431</v>
      </c>
      <c r="G16653" s="22" t="n">
        <f aca="false">IF(G16651=0,0,G16652/ABS(G16651))</f>
        <v>0.646277634882579</v>
      </c>
      <c r="H16653" s="22" t="n">
        <f aca="false">IF(H16651=0,0,H16652/ABS(H16651))</f>
        <v>0.648881770647739</v>
      </c>
      <c r="I16653" s="22" t="n">
        <f aca="false">IF(I16651=0,0,I16652/ABS(I16651))</f>
        <v>0.651485906412899</v>
      </c>
      <c r="J16653" s="22" t="n">
        <f aca="false">IF(J16651=0,0,J16652/ABS(J16651))</f>
        <v>0.654090042178059</v>
      </c>
      <c r="K16653" s="22" t="n">
        <f aca="false">IF(K16651=0,0,K16652/ABS(K16651))</f>
        <v>0.656694177943218</v>
      </c>
    </row>
    <row r="16654" customFormat="false" ht="15" hidden="false" customHeight="false" outlineLevel="0" collapsed="false">
      <c r="A16654" s="3" t="s">
        <v>432</v>
      </c>
      <c r="G16654" s="21" t="n">
        <f aca="false">IF(G16652&lt;0,1,0)</f>
        <v>0</v>
      </c>
      <c r="H16654" s="21" t="n">
        <f aca="false">IF(H16652&lt;0,1,0)</f>
        <v>0</v>
      </c>
      <c r="I16654" s="21" t="n">
        <f aca="false">IF(I16652&lt;0,1,0)</f>
        <v>0</v>
      </c>
      <c r="J16654" s="21" t="n">
        <f aca="false">IF(J16652&lt;0,1,0)</f>
        <v>0</v>
      </c>
      <c r="K16654" s="21" t="n">
        <f aca="false">IF(K16652&lt;0,1,0)</f>
        <v>0</v>
      </c>
    </row>
    <row r="16655" customFormat="false" ht="15" hidden="false" customHeight="false" outlineLevel="0" collapsed="false">
      <c r="A16655" s="3" t="s">
        <v>433</v>
      </c>
      <c r="C16655" s="21" t="n">
        <f aca="false">IFERROR(INDEX($G$16388:$K$16388,MATCH(1,$G$16654:$K$16654,0)),0)</f>
        <v>0</v>
      </c>
    </row>
    <row r="16656" customFormat="false" ht="15" hidden="false" customHeight="false" outlineLevel="0" collapsed="false">
      <c r="A16656" s="3" t="s">
        <v>434</v>
      </c>
      <c r="C16656" s="22" t="n">
        <f aca="false">MIN($G$16653:$K$16653)</f>
        <v>0.646277634882579</v>
      </c>
    </row>
    <row r="16657" customFormat="false" ht="15" hidden="false" customHeight="false" outlineLevel="0" collapsed="false">
      <c r="A16657" s="24" t="s">
        <v>437</v>
      </c>
      <c r="B16657" s="25"/>
      <c r="C16657" s="25"/>
      <c r="D16657" s="25"/>
      <c r="E16657" s="25"/>
      <c r="F16657" s="25"/>
      <c r="G16657" s="25"/>
      <c r="H16657" s="25"/>
      <c r="I16657" s="25"/>
      <c r="J16657" s="25"/>
      <c r="K16657" s="25"/>
    </row>
    <row r="16658" customFormat="false" ht="15" hidden="false" customHeight="false" outlineLevel="0" collapsed="false">
      <c r="A16658" s="3" t="s">
        <v>428</v>
      </c>
      <c r="G16658" s="16" t="n">
        <f aca="false">G16628</f>
        <v>697.4474204</v>
      </c>
      <c r="H16658" s="16" t="n">
        <f aca="false">H16628</f>
        <v>574.5</v>
      </c>
      <c r="I16658" s="16" t="n">
        <f aca="false">I16628</f>
        <v>574.5</v>
      </c>
      <c r="J16658" s="16" t="n">
        <f aca="false">J16628</f>
        <v>574.5</v>
      </c>
      <c r="K16658" s="16" t="n">
        <f aca="false">K16628</f>
        <v>574.5</v>
      </c>
    </row>
    <row r="16659" customFormat="false" ht="15" hidden="false" customHeight="false" outlineLevel="0" collapsed="false">
      <c r="A16659" s="3" t="s">
        <v>429</v>
      </c>
      <c r="G16659" s="29" t="n">
        <f aca="false">Assumptions!$G$74</f>
        <v>100</v>
      </c>
      <c r="H16659" s="29" t="n">
        <f aca="false">Assumptions!$H$74</f>
        <v>100</v>
      </c>
      <c r="I16659" s="29" t="n">
        <f aca="false">Assumptions!$I$74</f>
        <v>100</v>
      </c>
      <c r="J16659" s="29" t="n">
        <f aca="false">Assumptions!$J$74</f>
        <v>100</v>
      </c>
      <c r="K16659" s="29" t="n">
        <f aca="false">Assumptions!$K$74</f>
        <v>100</v>
      </c>
    </row>
    <row r="16660" customFormat="false" ht="15" hidden="false" customHeight="false" outlineLevel="0" collapsed="false">
      <c r="A16660" s="3" t="s">
        <v>430</v>
      </c>
      <c r="G16660" s="16" t="n">
        <f aca="false">G16658-G16659</f>
        <v>597.4474204</v>
      </c>
      <c r="H16660" s="16" t="n">
        <f aca="false">H16658-H16659</f>
        <v>474.5</v>
      </c>
      <c r="I16660" s="16" t="n">
        <f aca="false">I16658-I16659</f>
        <v>474.5</v>
      </c>
      <c r="J16660" s="16" t="n">
        <f aca="false">J16658-J16659</f>
        <v>474.5</v>
      </c>
      <c r="K16660" s="16" t="n">
        <f aca="false">K16658-K16659</f>
        <v>474.5</v>
      </c>
    </row>
    <row r="16661" customFormat="false" ht="15" hidden="false" customHeight="false" outlineLevel="0" collapsed="false">
      <c r="A16661" s="3" t="s">
        <v>431</v>
      </c>
      <c r="G16661" s="22" t="n">
        <f aca="false">IF(G16659=0,0,G16660/ABS(G16659))</f>
        <v>5.974474204</v>
      </c>
      <c r="H16661" s="22" t="n">
        <f aca="false">IF(H16659=0,0,H16660/ABS(H16659))</f>
        <v>4.745</v>
      </c>
      <c r="I16661" s="22" t="n">
        <f aca="false">IF(I16659=0,0,I16660/ABS(I16659))</f>
        <v>4.745</v>
      </c>
      <c r="J16661" s="22" t="n">
        <f aca="false">IF(J16659=0,0,J16660/ABS(J16659))</f>
        <v>4.745</v>
      </c>
      <c r="K16661" s="22" t="n">
        <f aca="false">IF(K16659=0,0,K16660/ABS(K16659))</f>
        <v>4.745</v>
      </c>
    </row>
    <row r="16662" customFormat="false" ht="15" hidden="false" customHeight="false" outlineLevel="0" collapsed="false">
      <c r="A16662" s="3" t="s">
        <v>432</v>
      </c>
      <c r="G16662" s="21" t="n">
        <f aca="false">IF(G16660&lt;0,1,0)</f>
        <v>0</v>
      </c>
      <c r="H16662" s="21" t="n">
        <f aca="false">IF(H16660&lt;0,1,0)</f>
        <v>0</v>
      </c>
      <c r="I16662" s="21" t="n">
        <f aca="false">IF(I16660&lt;0,1,0)</f>
        <v>0</v>
      </c>
      <c r="J16662" s="21" t="n">
        <f aca="false">IF(J16660&lt;0,1,0)</f>
        <v>0</v>
      </c>
      <c r="K16662" s="21" t="n">
        <f aca="false">IF(K16660&lt;0,1,0)</f>
        <v>0</v>
      </c>
    </row>
    <row r="16663" customFormat="false" ht="15" hidden="false" customHeight="false" outlineLevel="0" collapsed="false">
      <c r="A16663" s="3" t="s">
        <v>433</v>
      </c>
      <c r="C16663" s="21" t="n">
        <f aca="false">IFERROR(INDEX($G$16388:$K$16388,MATCH(1,$G$16662:$K$16662,0)),0)</f>
        <v>0</v>
      </c>
    </row>
    <row r="16664" customFormat="false" ht="15" hidden="false" customHeight="false" outlineLevel="0" collapsed="false">
      <c r="A16664" s="3" t="s">
        <v>434</v>
      </c>
      <c r="C16664" s="22" t="n">
        <f aca="false">MIN($G$16661:$K$16661)</f>
        <v>4.745</v>
      </c>
    </row>
    <row r="16665" customFormat="false" ht="15" hidden="false" customHeight="false" outlineLevel="0" collapsed="false">
      <c r="A16665" s="24" t="s">
        <v>438</v>
      </c>
      <c r="B16665" s="25"/>
      <c r="C16665" s="25"/>
      <c r="D16665" s="25"/>
      <c r="E16665" s="25"/>
      <c r="F16665" s="25"/>
      <c r="G16665" s="25"/>
      <c r="H16665" s="25"/>
      <c r="I16665" s="25"/>
      <c r="J16665" s="25"/>
      <c r="K16665" s="25"/>
    </row>
    <row r="16666" customFormat="false" ht="15" hidden="false" customHeight="false" outlineLevel="0" collapsed="false">
      <c r="A16666" s="3" t="s">
        <v>428</v>
      </c>
      <c r="G16666" s="32" t="n">
        <f aca="false">IF(G16398&gt;0,G16621/G16398,99)</f>
        <v>10.6704570673626</v>
      </c>
      <c r="H16666" s="32" t="n">
        <f aca="false">IF(H16398&gt;0,H16621/H16398,99)</f>
        <v>11.6601471215067</v>
      </c>
      <c r="I16666" s="32" t="n">
        <f aca="false">IF(I16398&gt;0,I16621/I16398,99)</f>
        <v>11.9636535522731</v>
      </c>
      <c r="J16666" s="32" t="n">
        <f aca="false">IF(J16398&gt;0,J16621/J16398,99)</f>
        <v>12.0045871637288</v>
      </c>
      <c r="K16666" s="32" t="n">
        <f aca="false">IF(K16398&gt;0,K16621/K16398,99)</f>
        <v>12.0232607366907</v>
      </c>
    </row>
    <row r="16667" customFormat="false" ht="15" hidden="false" customHeight="false" outlineLevel="0" collapsed="false">
      <c r="A16667" s="3" t="s">
        <v>429</v>
      </c>
      <c r="G16667" s="34" t="n">
        <f aca="false">Assumptions!$G$75</f>
        <v>10.5</v>
      </c>
      <c r="H16667" s="34" t="n">
        <f aca="false">Assumptions!$H$75</f>
        <v>10.5</v>
      </c>
      <c r="I16667" s="34" t="n">
        <f aca="false">Assumptions!$I$75</f>
        <v>10</v>
      </c>
      <c r="J16667" s="34" t="n">
        <f aca="false">Assumptions!$J$75</f>
        <v>10</v>
      </c>
      <c r="K16667" s="34" t="n">
        <f aca="false">Assumptions!$K$75</f>
        <v>9.5</v>
      </c>
    </row>
    <row r="16668" customFormat="false" ht="15" hidden="false" customHeight="false" outlineLevel="0" collapsed="false">
      <c r="A16668" s="3" t="s">
        <v>430</v>
      </c>
      <c r="G16668" s="32" t="n">
        <f aca="false">G16667-G16666</f>
        <v>-0.17045706736263</v>
      </c>
      <c r="H16668" s="32" t="n">
        <f aca="false">H16667-H16666</f>
        <v>-1.16014712150674</v>
      </c>
      <c r="I16668" s="32" t="n">
        <f aca="false">I16667-I16666</f>
        <v>-1.96365355227305</v>
      </c>
      <c r="J16668" s="32" t="n">
        <f aca="false">J16667-J16666</f>
        <v>-2.00458716372878</v>
      </c>
      <c r="K16668" s="32" t="n">
        <f aca="false">K16667-K16666</f>
        <v>-2.52326073669071</v>
      </c>
    </row>
    <row r="16669" customFormat="false" ht="15" hidden="false" customHeight="false" outlineLevel="0" collapsed="false">
      <c r="A16669" s="3" t="s">
        <v>431</v>
      </c>
      <c r="G16669" s="22" t="n">
        <f aca="false">IF(G16667=0,0,G16668/ABS(G16667))</f>
        <v>-0.0162340064154886</v>
      </c>
      <c r="H16669" s="22" t="n">
        <f aca="false">IF(H16667=0,0,H16668/ABS(H16667))</f>
        <v>-0.110490202048261</v>
      </c>
      <c r="I16669" s="22" t="n">
        <f aca="false">IF(I16667=0,0,I16668/ABS(I16667))</f>
        <v>-0.196365355227305</v>
      </c>
      <c r="J16669" s="22" t="n">
        <f aca="false">IF(J16667=0,0,J16668/ABS(J16667))</f>
        <v>-0.200458716372878</v>
      </c>
      <c r="K16669" s="22" t="n">
        <f aca="false">IF(K16667=0,0,K16668/ABS(K16667))</f>
        <v>-0.265606393335864</v>
      </c>
    </row>
    <row r="16670" customFormat="false" ht="15" hidden="false" customHeight="false" outlineLevel="0" collapsed="false">
      <c r="A16670" s="3" t="s">
        <v>432</v>
      </c>
      <c r="G16670" s="21" t="n">
        <f aca="false">IF(G16668&lt;0,1,0)</f>
        <v>1</v>
      </c>
      <c r="H16670" s="21" t="n">
        <f aca="false">IF(H16668&lt;0,1,0)</f>
        <v>1</v>
      </c>
      <c r="I16670" s="21" t="n">
        <f aca="false">IF(I16668&lt;0,1,0)</f>
        <v>1</v>
      </c>
      <c r="J16670" s="21" t="n">
        <f aca="false">IF(J16668&lt;0,1,0)</f>
        <v>1</v>
      </c>
      <c r="K16670" s="21" t="n">
        <f aca="false">IF(K16668&lt;0,1,0)</f>
        <v>1</v>
      </c>
    </row>
    <row r="16671" customFormat="false" ht="15" hidden="false" customHeight="false" outlineLevel="0" collapsed="false">
      <c r="A16671" s="3" t="s">
        <v>433</v>
      </c>
      <c r="C16671" s="21" t="n">
        <f aca="false">IFERROR(INDEX($G$16388:$K$16388,MATCH(1,$G$16670:$K$16670,0)),0)</f>
        <v>2027</v>
      </c>
    </row>
    <row r="16672" customFormat="false" ht="15" hidden="false" customHeight="false" outlineLevel="0" collapsed="false">
      <c r="A16672" s="3" t="s">
        <v>434</v>
      </c>
      <c r="C16672" s="22" t="n">
        <f aca="false">MIN($G$16669:$K$16669)</f>
        <v>-0.265606393335864</v>
      </c>
    </row>
    <row r="16673" customFormat="false" ht="15" hidden="false" customHeight="false" outlineLevel="0" collapsed="false">
      <c r="A16673" s="3" t="s">
        <v>439</v>
      </c>
      <c r="G16673" s="21" t="n">
        <f aca="false">G16638+G16646+G16654+G16662+G16670</f>
        <v>3</v>
      </c>
      <c r="H16673" s="21" t="n">
        <f aca="false">H16638+H16646+H16654+H16662+H16670</f>
        <v>3</v>
      </c>
      <c r="I16673" s="21" t="n">
        <f aca="false">I16638+I16646+I16654+I16662+I16670</f>
        <v>3</v>
      </c>
      <c r="J16673" s="21" t="n">
        <f aca="false">J16638+J16646+J16654+J16662+J16670</f>
        <v>3</v>
      </c>
      <c r="K16673" s="21" t="n">
        <f aca="false">K16638+K16646+K16654+K16662+K16670</f>
        <v>3</v>
      </c>
    </row>
    <row r="16674" customFormat="false" ht="15" hidden="false" customHeight="false" outlineLevel="0" collapsed="false">
      <c r="A16674" s="3" t="s">
        <v>440</v>
      </c>
      <c r="C16674" s="21" t="n">
        <f aca="false">SUM($G$16673:$K$16673)</f>
        <v>15</v>
      </c>
    </row>
    <row r="16675" customFormat="false" ht="15" hidden="false" customHeight="false" outlineLevel="0" collapsed="false">
      <c r="A16675" s="3" t="s">
        <v>441</v>
      </c>
      <c r="C16675" s="22" t="n">
        <f aca="false">MIN(C16640,C16648,C16656,C16664,C16672)</f>
        <v>-0.265606393335864</v>
      </c>
    </row>
    <row r="16677" customFormat="false" ht="15" hidden="false" customHeight="false" outlineLevel="0" collapsed="false">
      <c r="A16677" s="24" t="s">
        <v>543</v>
      </c>
      <c r="B16677" s="25"/>
      <c r="C16677" s="25"/>
      <c r="D16677" s="25"/>
      <c r="E16677" s="25"/>
      <c r="F16677" s="25"/>
      <c r="G16677" s="25"/>
      <c r="H16677" s="25"/>
      <c r="I16677" s="25"/>
      <c r="J16677" s="25"/>
      <c r="K16677" s="25"/>
    </row>
    <row r="16678" customFormat="false" ht="15" hidden="false" customHeight="false" outlineLevel="0" collapsed="false">
      <c r="A16678" s="3" t="s">
        <v>544</v>
      </c>
      <c r="G16678" s="21" t="n">
        <f aca="false">IF($C$16679=1,G16615,IF(G16398=MIN($G$16398:$K$16398),1,0))</f>
        <v>0</v>
      </c>
      <c r="H16678" s="21" t="n">
        <f aca="false">IF($C$16679=1,H16615,IF(AND(H16398=MIN($G$16398:$K$16398),SUM($G$16678:G16678)=0),1,0))</f>
        <v>1</v>
      </c>
      <c r="I16678" s="21" t="n">
        <f aca="false">IF($C$16679=1,I16615,IF(AND(I16398=MIN($G$16398:$K$16398),SUM($G$16678:H16678)=0),1,0))</f>
        <v>0</v>
      </c>
      <c r="J16678" s="21" t="n">
        <f aca="false">IF($C$16679=1,J16615,IF(AND(J16398=MIN($G$16398:$K$16398),SUM($G$16678:I16678)=0),1,0))</f>
        <v>0</v>
      </c>
      <c r="K16678" s="21" t="n">
        <f aca="false">IF($C$16679=1,K16615,IF(AND(K16398=MIN($G$16398:$K$16398),SUM($G$16678:J16678)=0),1,0))</f>
        <v>0</v>
      </c>
    </row>
    <row r="16679" customFormat="false" ht="15" hidden="false" customHeight="false" outlineLevel="0" collapsed="false">
      <c r="A16679" s="3" t="s">
        <v>545</v>
      </c>
      <c r="C16679" s="21" t="n">
        <f aca="false">IF(SUM($G$16615:$K$16615)&gt;0,1,0)</f>
        <v>1</v>
      </c>
    </row>
    <row r="16680" customFormat="false" ht="15" hidden="false" customHeight="false" outlineLevel="0" collapsed="false">
      <c r="A16680" s="3" t="s">
        <v>546</v>
      </c>
      <c r="C16680" s="21" t="n">
        <f aca="false">SUMPRODUCT($G$16678:$K$16678,$G$16388:$K$16388)</f>
        <v>2028</v>
      </c>
    </row>
    <row r="16681" customFormat="false" ht="15" hidden="false" customHeight="false" outlineLevel="0" collapsed="false">
      <c r="A16681" s="3" t="s">
        <v>547</v>
      </c>
      <c r="C16681" s="16" t="n">
        <f aca="false">SUMPRODUCT($G$16678:$K$16678,$G$16398:$K$16398)</f>
        <v>220.355740893</v>
      </c>
    </row>
    <row r="16682" customFormat="false" ht="15" hidden="false" customHeight="false" outlineLevel="0" collapsed="false">
      <c r="A16682" s="3" t="s">
        <v>548</v>
      </c>
      <c r="C16682" s="16" t="n">
        <f aca="false">MAX(0,SUMPRODUCT($G$16678:$K$16678,$G$16612:$K$16612))</f>
        <v>0</v>
      </c>
    </row>
    <row r="16683" customFormat="false" ht="15" hidden="false" customHeight="false" outlineLevel="0" collapsed="false">
      <c r="A16683" s="3" t="s">
        <v>549</v>
      </c>
      <c r="C16683" s="16" t="n">
        <f aca="false">(CHOOSE($C$16381,Assumptions!$C$92,Assumptions!$C$111,Assumptions!$C$130)+$C$16385)*C16681</f>
        <v>1983.201668037</v>
      </c>
    </row>
    <row r="16684" customFormat="false" ht="15" hidden="false" customHeight="false" outlineLevel="0" collapsed="false">
      <c r="A16684" s="3" t="s">
        <v>550</v>
      </c>
      <c r="C16684" s="16" t="n">
        <f aca="false">Assumptions!$C$31*(1-CHOOSE($C$16381,Assumptions!$C$93,Assumptions!$C$112,Assumptions!$C$131))*CHOOSE($C$16381,Assumptions!$C$94,Assumptions!$C$113,Assumptions!$C$132)</f>
        <v>3264.03873166667</v>
      </c>
    </row>
    <row r="16685" customFormat="false" ht="15" hidden="false" customHeight="false" outlineLevel="0" collapsed="false">
      <c r="A16685" s="3" t="s">
        <v>551</v>
      </c>
      <c r="C16685" s="16" t="n">
        <f aca="false">MAX(C16683,C16684)+C16682</f>
        <v>3264.03873166667</v>
      </c>
    </row>
    <row r="16686" customFormat="false" ht="15" hidden="false" customHeight="false" outlineLevel="0" collapsed="false">
      <c r="A16686" s="2" t="s">
        <v>552</v>
      </c>
      <c r="C16686" s="17" t="n">
        <f aca="false">IF(ISNUMBER(Assumptions!$C$14),Assumptions!$C$14,C16685)</f>
        <v>3264.03873166667</v>
      </c>
    </row>
    <row r="16687" customFormat="false" ht="15" hidden="false" customHeight="false" outlineLevel="0" collapsed="false">
      <c r="A16687" s="3" t="s">
        <v>553</v>
      </c>
      <c r="C16687" s="16" t="n">
        <f aca="false">C16686*Assumptions!$C$15</f>
        <v>130.561549266667</v>
      </c>
    </row>
    <row r="16688" customFormat="false" ht="15" hidden="false" customHeight="false" outlineLevel="0" collapsed="false">
      <c r="A16688" s="2" t="s">
        <v>554</v>
      </c>
      <c r="C16688" s="17" t="n">
        <f aca="false">C16686-C16687</f>
        <v>3133.4771824</v>
      </c>
    </row>
    <row r="16689" customFormat="false" ht="15" hidden="false" customHeight="false" outlineLevel="0" collapsed="false">
      <c r="A16689" s="24" t="s">
        <v>555</v>
      </c>
      <c r="B16689" s="25"/>
      <c r="C16689" s="25"/>
      <c r="D16689" s="25"/>
      <c r="E16689" s="25"/>
      <c r="F16689" s="25"/>
      <c r="G16689" s="25"/>
      <c r="H16689" s="25"/>
      <c r="I16689" s="25"/>
      <c r="J16689" s="25"/>
      <c r="K16689" s="25"/>
    </row>
    <row r="16690" customFormat="false" ht="15" hidden="false" customHeight="false" outlineLevel="0" collapsed="false">
      <c r="A16690" s="3" t="s">
        <v>556</v>
      </c>
      <c r="C16690" s="16" t="n">
        <f aca="false">SUMPRODUCT($G$16678:$K$16678,$G$16435:$K$16435)*(1+SUMPRODUCT($G$16678:$K$16678,$G$16427:$K$16427)*Assumptions!$C$16/12)</f>
        <v>402.29</v>
      </c>
    </row>
    <row r="16691" customFormat="false" ht="15" hidden="false" customHeight="false" outlineLevel="0" collapsed="false">
      <c r="A16691" s="3" t="s">
        <v>557</v>
      </c>
      <c r="C16691" s="16" t="n">
        <f aca="false">SUMPRODUCT($G$16678:$K$16678,$G$16448:$K$16448)*(1+SUMPRODUCT($G$16678:$K$16678,$G$16440:$K$16440)*Assumptions!$C$16/12)</f>
        <v>91.30725</v>
      </c>
    </row>
    <row r="16692" customFormat="false" ht="15" hidden="false" customHeight="false" outlineLevel="0" collapsed="false">
      <c r="A16692" s="3" t="s">
        <v>558</v>
      </c>
      <c r="C16692" s="16" t="n">
        <f aca="false">SUMPRODUCT($G$16678:$K$16678,$G$16461:$K$16461)*(1+SUMPRODUCT($G$16678:$K$16678,$G$16453:$K$16453)*Assumptions!$C$16/12)</f>
        <v>58.3715961</v>
      </c>
    </row>
    <row r="16693" customFormat="false" ht="15" hidden="false" customHeight="false" outlineLevel="0" collapsed="false">
      <c r="A16693" s="3" t="s">
        <v>559</v>
      </c>
      <c r="C16693" s="16" t="n">
        <f aca="false">SUMPRODUCT($G$16678:$K$16678,$G$16474:$K$16474)*(1+SUMPRODUCT($G$16678:$K$16678,$G$16466:$K$16466)*Assumptions!$C$16/12)</f>
        <v>0</v>
      </c>
    </row>
    <row r="16694" customFormat="false" ht="15" hidden="false" customHeight="false" outlineLevel="0" collapsed="false">
      <c r="A16694" s="3" t="s">
        <v>560</v>
      </c>
      <c r="C16694" s="16" t="n">
        <f aca="false">SUMPRODUCT($G$16678:$K$16678,$G$16487:$K$16487)*(1+SUMPRODUCT($G$16678:$K$16678,$G$16479:$K$16479)*Assumptions!$C$16/12)</f>
        <v>405.410640665075</v>
      </c>
    </row>
    <row r="16695" customFormat="false" ht="15" hidden="false" customHeight="false" outlineLevel="0" collapsed="false">
      <c r="A16695" s="3" t="s">
        <v>561</v>
      </c>
      <c r="C16695" s="16" t="n">
        <f aca="false">SUMPRODUCT($G$16678:$K$16678,$G$16500:$K$16500)*(1+SUMPRODUCT($G$16678:$K$16678,$G$16492:$K$16492)*Assumptions!$C$16/12)</f>
        <v>357.2625</v>
      </c>
    </row>
    <row r="16696" customFormat="false" ht="15" hidden="false" customHeight="false" outlineLevel="0" collapsed="false">
      <c r="A16696" s="3" t="s">
        <v>562</v>
      </c>
      <c r="C16696" s="16" t="n">
        <f aca="false">SUMPRODUCT($G$16678:$K$16678,$G$16513:$K$16513)*(1+SUMPRODUCT($G$16678:$K$16678,$G$16505:$K$16505)*Assumptions!$C$16/12)</f>
        <v>562.203125</v>
      </c>
    </row>
    <row r="16697" customFormat="false" ht="15" hidden="false" customHeight="false" outlineLevel="0" collapsed="false">
      <c r="A16697" s="3" t="s">
        <v>563</v>
      </c>
      <c r="C16697" s="16" t="n">
        <f aca="false">SUMPRODUCT($G$16678:$K$16678,$G$16526:$K$16526)*(1+SUMPRODUCT($G$16678:$K$16678,$G$16518:$K$16518)*Assumptions!$C$16/12)</f>
        <v>353.98125</v>
      </c>
    </row>
    <row r="16698" customFormat="false" ht="15" hidden="false" customHeight="false" outlineLevel="0" collapsed="false">
      <c r="A16698" s="3" t="s">
        <v>564</v>
      </c>
      <c r="C16698" s="16" t="n">
        <f aca="false">SUMPRODUCT($G$16678:$K$16678,$G$16539:$K$16539)*(1+SUMPRODUCT($G$16678:$K$16678,$G$16531:$K$16531)*Assumptions!$C$16/12)</f>
        <v>304.59375</v>
      </c>
    </row>
    <row r="16699" customFormat="false" ht="15" hidden="false" customHeight="false" outlineLevel="0" collapsed="false">
      <c r="A16699" s="3" t="s">
        <v>565</v>
      </c>
      <c r="C16699" s="16" t="n">
        <f aca="false">SUMPRODUCT($G$16678:$K$16678,$G$16552:$K$16552)*(1+SUMPRODUCT($G$16678:$K$16678,$G$16544:$K$16544)*Assumptions!$C$16/12)</f>
        <v>79.938509</v>
      </c>
    </row>
    <row r="16700" customFormat="false" ht="15" hidden="false" customHeight="false" outlineLevel="0" collapsed="false">
      <c r="A16700" s="24" t="s">
        <v>566</v>
      </c>
      <c r="B16700" s="25"/>
      <c r="C16700" s="25"/>
      <c r="D16700" s="25"/>
      <c r="E16700" s="25"/>
      <c r="F16700" s="25"/>
      <c r="G16700" s="25"/>
      <c r="H16700" s="25"/>
      <c r="I16700" s="25"/>
      <c r="J16700" s="25"/>
      <c r="K16700" s="25"/>
    </row>
    <row r="16701" customFormat="false" ht="15" hidden="false" customHeight="false" outlineLevel="0" collapsed="false">
      <c r="A16701" s="3" t="s">
        <v>556</v>
      </c>
      <c r="C16701" s="27" t="n">
        <f aca="false">Assumptions!$M$57</f>
        <v>1</v>
      </c>
    </row>
    <row r="16702" customFormat="false" ht="15" hidden="false" customHeight="false" outlineLevel="0" collapsed="false">
      <c r="A16702" s="3" t="s">
        <v>557</v>
      </c>
      <c r="C16702" s="27" t="n">
        <f aca="false">Assumptions!$M$58</f>
        <v>1</v>
      </c>
    </row>
    <row r="16703" customFormat="false" ht="15" hidden="false" customHeight="false" outlineLevel="0" collapsed="false">
      <c r="A16703" s="3" t="s">
        <v>558</v>
      </c>
      <c r="C16703" s="27" t="n">
        <f aca="false">Assumptions!$M$59</f>
        <v>1</v>
      </c>
    </row>
    <row r="16704" customFormat="false" ht="15" hidden="false" customHeight="false" outlineLevel="0" collapsed="false">
      <c r="A16704" s="3" t="s">
        <v>559</v>
      </c>
      <c r="C16704" s="27" t="n">
        <f aca="false">Assumptions!$M$60</f>
        <v>2</v>
      </c>
    </row>
    <row r="16705" customFormat="false" ht="15" hidden="false" customHeight="false" outlineLevel="0" collapsed="false">
      <c r="A16705" s="3" t="s">
        <v>560</v>
      </c>
      <c r="C16705" s="27" t="n">
        <f aca="false">Assumptions!$M$61</f>
        <v>2</v>
      </c>
    </row>
    <row r="16706" customFormat="false" ht="15" hidden="false" customHeight="false" outlineLevel="0" collapsed="false">
      <c r="A16706" s="3" t="s">
        <v>561</v>
      </c>
      <c r="C16706" s="27" t="n">
        <f aca="false">Assumptions!$M$62</f>
        <v>2</v>
      </c>
    </row>
    <row r="16707" customFormat="false" ht="15" hidden="false" customHeight="false" outlineLevel="0" collapsed="false">
      <c r="A16707" s="3" t="s">
        <v>562</v>
      </c>
      <c r="C16707" s="27" t="n">
        <f aca="false">Assumptions!$M$63</f>
        <v>2</v>
      </c>
    </row>
    <row r="16708" customFormat="false" ht="15" hidden="false" customHeight="false" outlineLevel="0" collapsed="false">
      <c r="A16708" s="3" t="s">
        <v>563</v>
      </c>
      <c r="C16708" s="27" t="n">
        <f aca="false">Assumptions!$M$64</f>
        <v>2</v>
      </c>
    </row>
    <row r="16709" customFormat="false" ht="15" hidden="false" customHeight="false" outlineLevel="0" collapsed="false">
      <c r="A16709" s="3" t="s">
        <v>564</v>
      </c>
      <c r="C16709" s="27" t="n">
        <f aca="false">Assumptions!$M$65</f>
        <v>2</v>
      </c>
    </row>
    <row r="16710" customFormat="false" ht="15" hidden="false" customHeight="false" outlineLevel="0" collapsed="false">
      <c r="A16710" s="3" t="s">
        <v>565</v>
      </c>
      <c r="C16710" s="27" t="n">
        <f aca="false">Assumptions!$M$66</f>
        <v>3</v>
      </c>
    </row>
    <row r="16711" customFormat="false" ht="15" hidden="false" customHeight="false" outlineLevel="0" collapsed="false">
      <c r="A16711" s="24" t="s">
        <v>567</v>
      </c>
      <c r="B16711" s="25"/>
      <c r="C16711" s="25"/>
      <c r="D16711" s="25"/>
      <c r="E16711" s="25"/>
      <c r="F16711" s="25"/>
      <c r="G16711" s="25"/>
      <c r="H16711" s="25"/>
      <c r="I16711" s="25"/>
      <c r="J16711" s="25"/>
      <c r="K16711" s="25"/>
    </row>
    <row r="16712" customFormat="false" ht="15" hidden="false" customHeight="false" outlineLevel="0" collapsed="false">
      <c r="A16712" s="3" t="s">
        <v>556</v>
      </c>
      <c r="C16712" s="33" t="n">
        <f aca="false">Assumptions!$Q$57</f>
        <v>0.3</v>
      </c>
    </row>
    <row r="16713" customFormat="false" ht="15" hidden="false" customHeight="false" outlineLevel="0" collapsed="false">
      <c r="A16713" s="3" t="s">
        <v>557</v>
      </c>
      <c r="C16713" s="33" t="n">
        <f aca="false">Assumptions!$Q$58</f>
        <v>0.033</v>
      </c>
    </row>
    <row r="16714" customFormat="false" ht="15" hidden="false" customHeight="false" outlineLevel="0" collapsed="false">
      <c r="A16714" s="3" t="s">
        <v>558</v>
      </c>
      <c r="C16714" s="33" t="n">
        <f aca="false">Assumptions!$Q$59</f>
        <v>0.021</v>
      </c>
    </row>
    <row r="16715" customFormat="false" ht="15" hidden="false" customHeight="false" outlineLevel="0" collapsed="false">
      <c r="A16715" s="3" t="s">
        <v>559</v>
      </c>
      <c r="C16715" s="33" t="n">
        <f aca="false">Assumptions!$Q$60</f>
        <v>0</v>
      </c>
    </row>
    <row r="16716" customFormat="false" ht="15" hidden="false" customHeight="false" outlineLevel="0" collapsed="false">
      <c r="A16716" s="3" t="s">
        <v>560</v>
      </c>
      <c r="C16716" s="33" t="n">
        <f aca="false">Assumptions!$Q$61</f>
        <v>0</v>
      </c>
    </row>
    <row r="16717" customFormat="false" ht="15" hidden="false" customHeight="false" outlineLevel="0" collapsed="false">
      <c r="A16717" s="3" t="s">
        <v>561</v>
      </c>
      <c r="C16717" s="33" t="n">
        <f aca="false">Assumptions!$Q$62</f>
        <v>0</v>
      </c>
    </row>
    <row r="16718" customFormat="false" ht="15" hidden="false" customHeight="false" outlineLevel="0" collapsed="false">
      <c r="A16718" s="3" t="s">
        <v>562</v>
      </c>
      <c r="C16718" s="33" t="n">
        <f aca="false">Assumptions!$Q$63</f>
        <v>0</v>
      </c>
    </row>
    <row r="16719" customFormat="false" ht="15" hidden="false" customHeight="false" outlineLevel="0" collapsed="false">
      <c r="A16719" s="3" t="s">
        <v>563</v>
      </c>
      <c r="C16719" s="33" t="n">
        <f aca="false">Assumptions!$Q$64</f>
        <v>0</v>
      </c>
    </row>
    <row r="16720" customFormat="false" ht="15" hidden="false" customHeight="false" outlineLevel="0" collapsed="false">
      <c r="A16720" s="3" t="s">
        <v>564</v>
      </c>
      <c r="C16720" s="33" t="n">
        <f aca="false">Assumptions!$Q$65</f>
        <v>0</v>
      </c>
    </row>
    <row r="16721" customFormat="false" ht="15" hidden="false" customHeight="false" outlineLevel="0" collapsed="false">
      <c r="A16721" s="3" t="s">
        <v>565</v>
      </c>
      <c r="C16721" s="33" t="n">
        <f aca="false">Assumptions!$Q$66</f>
        <v>0</v>
      </c>
    </row>
    <row r="16722" customFormat="false" ht="15" hidden="false" customHeight="false" outlineLevel="0" collapsed="false">
      <c r="A16722" s="24" t="s">
        <v>568</v>
      </c>
      <c r="B16722" s="25"/>
      <c r="C16722" s="25"/>
      <c r="D16722" s="25"/>
      <c r="E16722" s="25"/>
      <c r="F16722" s="25"/>
      <c r="G16722" s="25"/>
      <c r="H16722" s="25"/>
      <c r="I16722" s="25"/>
      <c r="J16722" s="25"/>
      <c r="K16722" s="25"/>
    </row>
    <row r="16723" customFormat="false" ht="15" hidden="false" customHeight="false" outlineLevel="0" collapsed="false">
      <c r="A16723" s="3" t="s">
        <v>556</v>
      </c>
      <c r="C16723" s="16" t="n">
        <f aca="false">IF(C16712&gt;0,MIN(C16690,C16712*$C$16688),0)</f>
        <v>402.29</v>
      </c>
    </row>
    <row r="16724" customFormat="false" ht="15" hidden="false" customHeight="false" outlineLevel="0" collapsed="false">
      <c r="A16724" s="3" t="s">
        <v>557</v>
      </c>
      <c r="C16724" s="16" t="n">
        <f aca="false">IF(C16713&gt;0,MIN(C16691,C16713*$C$16688),0)</f>
        <v>91.30725</v>
      </c>
    </row>
    <row r="16725" customFormat="false" ht="15" hidden="false" customHeight="false" outlineLevel="0" collapsed="false">
      <c r="A16725" s="3" t="s">
        <v>558</v>
      </c>
      <c r="C16725" s="16" t="n">
        <f aca="false">IF(C16714&gt;0,MIN(C16692,C16714*$C$16688),0)</f>
        <v>58.3715961</v>
      </c>
    </row>
    <row r="16726" customFormat="false" ht="15" hidden="false" customHeight="false" outlineLevel="0" collapsed="false">
      <c r="A16726" s="3" t="s">
        <v>559</v>
      </c>
      <c r="C16726" s="16" t="n">
        <f aca="false">IF(C16715&gt;0,MIN(C16693,C16715*$C$16688),0)</f>
        <v>0</v>
      </c>
    </row>
    <row r="16727" customFormat="false" ht="15" hidden="false" customHeight="false" outlineLevel="0" collapsed="false">
      <c r="A16727" s="3" t="s">
        <v>560</v>
      </c>
      <c r="C16727" s="16" t="n">
        <f aca="false">IF(C16716&gt;0,MIN(C16694,C16716*$C$16688),0)</f>
        <v>0</v>
      </c>
    </row>
    <row r="16728" customFormat="false" ht="15" hidden="false" customHeight="false" outlineLevel="0" collapsed="false">
      <c r="A16728" s="3" t="s">
        <v>561</v>
      </c>
      <c r="C16728" s="16" t="n">
        <f aca="false">IF(C16717&gt;0,MIN(C16695,C16717*$C$16688),0)</f>
        <v>0</v>
      </c>
    </row>
    <row r="16729" customFormat="false" ht="15" hidden="false" customHeight="false" outlineLevel="0" collapsed="false">
      <c r="A16729" s="3" t="s">
        <v>562</v>
      </c>
      <c r="C16729" s="16" t="n">
        <f aca="false">IF(C16718&gt;0,MIN(C16696,C16718*$C$16688),0)</f>
        <v>0</v>
      </c>
    </row>
    <row r="16730" customFormat="false" ht="15" hidden="false" customHeight="false" outlineLevel="0" collapsed="false">
      <c r="A16730" s="3" t="s">
        <v>563</v>
      </c>
      <c r="C16730" s="16" t="n">
        <f aca="false">IF(C16719&gt;0,MIN(C16697,C16719*$C$16688),0)</f>
        <v>0</v>
      </c>
    </row>
    <row r="16731" customFormat="false" ht="15" hidden="false" customHeight="false" outlineLevel="0" collapsed="false">
      <c r="A16731" s="3" t="s">
        <v>564</v>
      </c>
      <c r="C16731" s="16" t="n">
        <f aca="false">IF(C16720&gt;0,MIN(C16698,C16720*$C$16688),0)</f>
        <v>0</v>
      </c>
    </row>
    <row r="16732" customFormat="false" ht="15" hidden="false" customHeight="false" outlineLevel="0" collapsed="false">
      <c r="A16732" s="3" t="s">
        <v>565</v>
      </c>
      <c r="C16732" s="16" t="n">
        <f aca="false">IF(C16721&gt;0,MIN(C16699,C16721*$C$16688),0)</f>
        <v>0</v>
      </c>
    </row>
    <row r="16733" customFormat="false" ht="15" hidden="false" customHeight="false" outlineLevel="0" collapsed="false">
      <c r="A16733" s="24" t="s">
        <v>569</v>
      </c>
      <c r="B16733" s="25"/>
      <c r="C16733" s="25"/>
      <c r="D16733" s="25"/>
      <c r="E16733" s="25"/>
      <c r="F16733" s="25"/>
      <c r="G16733" s="25"/>
      <c r="H16733" s="25"/>
      <c r="I16733" s="25"/>
      <c r="J16733" s="25"/>
      <c r="K16733" s="25"/>
    </row>
    <row r="16734" customFormat="false" ht="15" hidden="false" customHeight="false" outlineLevel="0" collapsed="false">
      <c r="A16734" s="3" t="s">
        <v>556</v>
      </c>
      <c r="C16734" s="16" t="n">
        <f aca="false">IF(C16712&gt;0,C16690-C16723,0)</f>
        <v>0</v>
      </c>
      <c r="G16734" s="21" t="n">
        <f aca="false">IF(AND(G16425=1,G16422=1),1,0)</f>
        <v>0</v>
      </c>
      <c r="H16734" s="21" t="n">
        <f aca="false">IF(G16734=1,1,IF(AND(H16425=1,H16422=1),1,0))</f>
        <v>0</v>
      </c>
      <c r="I16734" s="21" t="n">
        <f aca="false">IF(H16734=1,1,IF(AND(I16425=1,I16422=1),1,0))</f>
        <v>0</v>
      </c>
      <c r="J16734" s="21" t="n">
        <f aca="false">IF(I16734=1,1,IF(AND(J16425=1,J16422=1),1,0))</f>
        <v>0</v>
      </c>
      <c r="K16734" s="21" t="n">
        <f aca="false">IF(J16734=1,1,IF(AND(K16425=1,K16422=1),1,0))</f>
        <v>0</v>
      </c>
    </row>
    <row r="16735" customFormat="false" ht="15" hidden="false" customHeight="false" outlineLevel="0" collapsed="false">
      <c r="A16735" s="3" t="s">
        <v>557</v>
      </c>
      <c r="C16735" s="16" t="n">
        <f aca="false">IF(C16713&gt;0,C16691-C16724,0)</f>
        <v>0</v>
      </c>
      <c r="G16735" s="21" t="n">
        <f aca="false">IF(AND(G16438=1,G16422=1),1,0)</f>
        <v>0</v>
      </c>
      <c r="H16735" s="21" t="n">
        <f aca="false">IF(G16735=1,1,IF(AND(H16438=1,H16422=1),1,0))</f>
        <v>0</v>
      </c>
      <c r="I16735" s="21" t="n">
        <f aca="false">IF(H16735=1,1,IF(AND(I16438=1,I16422=1),1,0))</f>
        <v>0</v>
      </c>
      <c r="J16735" s="21" t="n">
        <f aca="false">IF(I16735=1,1,IF(AND(J16438=1,J16422=1),1,0))</f>
        <v>0</v>
      </c>
      <c r="K16735" s="21" t="n">
        <f aca="false">IF(J16735=1,1,IF(AND(K16438=1,K16422=1),1,0))</f>
        <v>0</v>
      </c>
    </row>
    <row r="16736" customFormat="false" ht="15" hidden="false" customHeight="false" outlineLevel="0" collapsed="false">
      <c r="A16736" s="3" t="s">
        <v>558</v>
      </c>
      <c r="C16736" s="16" t="n">
        <f aca="false">IF(C16714&gt;0,C16692-C16725,0)</f>
        <v>0</v>
      </c>
      <c r="G16736" s="21" t="n">
        <f aca="false">IF(AND(G16451=1,G16422=1),1,0)</f>
        <v>0</v>
      </c>
      <c r="H16736" s="21" t="n">
        <f aca="false">IF(G16736=1,1,IF(AND(H16451=1,H16422=1),1,0))</f>
        <v>0</v>
      </c>
      <c r="I16736" s="21" t="n">
        <f aca="false">IF(H16736=1,1,IF(AND(I16451=1,I16422=1),1,0))</f>
        <v>0</v>
      </c>
      <c r="J16736" s="21" t="n">
        <f aca="false">IF(I16736=1,1,IF(AND(J16451=1,J16422=1),1,0))</f>
        <v>0</v>
      </c>
      <c r="K16736" s="21" t="n">
        <f aca="false">IF(J16736=1,1,IF(AND(K16451=1,K16422=1),1,0))</f>
        <v>0</v>
      </c>
    </row>
    <row r="16737" customFormat="false" ht="15" hidden="false" customHeight="false" outlineLevel="0" collapsed="false">
      <c r="A16737" s="3" t="s">
        <v>559</v>
      </c>
      <c r="C16737" s="16" t="n">
        <f aca="false">IF(C16715&gt;0,C16693-C16726,0)</f>
        <v>0</v>
      </c>
      <c r="G16737" s="21" t="n">
        <f aca="false">IF(AND(G16464=1,G16422=1),1,0)</f>
        <v>0</v>
      </c>
      <c r="H16737" s="21" t="n">
        <f aca="false">IF(G16737=1,1,IF(AND(H16464=1,H16422=1),1,0))</f>
        <v>0</v>
      </c>
      <c r="I16737" s="21" t="n">
        <f aca="false">IF(H16737=1,1,IF(AND(I16464=1,I16422=1),1,0))</f>
        <v>0</v>
      </c>
      <c r="J16737" s="21" t="n">
        <f aca="false">IF(I16737=1,1,IF(AND(J16464=1,J16422=1),1,0))</f>
        <v>0</v>
      </c>
      <c r="K16737" s="21" t="n">
        <f aca="false">IF(J16737=1,1,IF(AND(K16464=1,K16422=1),1,0))</f>
        <v>0</v>
      </c>
    </row>
    <row r="16738" customFormat="false" ht="15" hidden="false" customHeight="false" outlineLevel="0" collapsed="false">
      <c r="A16738" s="3" t="s">
        <v>560</v>
      </c>
      <c r="C16738" s="16" t="n">
        <f aca="false">IF(C16716&gt;0,C16694-C16727,0)</f>
        <v>0</v>
      </c>
      <c r="G16738" s="21" t="n">
        <f aca="false">IF(AND(G16477=1,G16422=1),1,0)</f>
        <v>0</v>
      </c>
      <c r="H16738" s="21" t="n">
        <f aca="false">IF(G16738=1,1,IF(AND(H16477=1,H16422=1),1,0))</f>
        <v>0</v>
      </c>
      <c r="I16738" s="21" t="n">
        <f aca="false">IF(H16738=1,1,IF(AND(I16477=1,I16422=1),1,0))</f>
        <v>0</v>
      </c>
      <c r="J16738" s="21" t="n">
        <f aca="false">IF(I16738=1,1,IF(AND(J16477=1,J16422=1),1,0))</f>
        <v>0</v>
      </c>
      <c r="K16738" s="21" t="n">
        <f aca="false">IF(J16738=1,1,IF(AND(K16477=1,K16422=1),1,0))</f>
        <v>0</v>
      </c>
    </row>
    <row r="16739" customFormat="false" ht="15" hidden="false" customHeight="false" outlineLevel="0" collapsed="false">
      <c r="A16739" s="3" t="s">
        <v>561</v>
      </c>
      <c r="C16739" s="16" t="n">
        <f aca="false">IF(C16717&gt;0,C16695-C16728,0)</f>
        <v>0</v>
      </c>
      <c r="G16739" s="21" t="n">
        <f aca="false">IF(AND(G16490=1,G16422=1),1,0)</f>
        <v>0</v>
      </c>
      <c r="H16739" s="21" t="n">
        <f aca="false">IF(G16739=1,1,IF(AND(H16490=1,H16422=1),1,0))</f>
        <v>0</v>
      </c>
      <c r="I16739" s="21" t="n">
        <f aca="false">IF(H16739=1,1,IF(AND(I16490=1,I16422=1),1,0))</f>
        <v>0</v>
      </c>
      <c r="J16739" s="21" t="n">
        <f aca="false">IF(I16739=1,1,IF(AND(J16490=1,J16422=1),1,0))</f>
        <v>0</v>
      </c>
      <c r="K16739" s="21" t="n">
        <f aca="false">IF(J16739=1,1,IF(AND(K16490=1,K16422=1),1,0))</f>
        <v>0</v>
      </c>
    </row>
    <row r="16740" customFormat="false" ht="15" hidden="false" customHeight="false" outlineLevel="0" collapsed="false">
      <c r="A16740" s="3" t="s">
        <v>562</v>
      </c>
      <c r="C16740" s="16" t="n">
        <f aca="false">IF(C16718&gt;0,C16696-C16729,0)</f>
        <v>0</v>
      </c>
      <c r="G16740" s="21" t="n">
        <f aca="false">IF(AND(G16503=1,G16422=1),1,0)</f>
        <v>0</v>
      </c>
      <c r="H16740" s="21" t="n">
        <f aca="false">IF(G16740=1,1,IF(AND(H16503=1,H16422=1),1,0))</f>
        <v>0</v>
      </c>
      <c r="I16740" s="21" t="n">
        <f aca="false">IF(H16740=1,1,IF(AND(I16503=1,I16422=1),1,0))</f>
        <v>0</v>
      </c>
      <c r="J16740" s="21" t="n">
        <f aca="false">IF(I16740=1,1,IF(AND(J16503=1,J16422=1),1,0))</f>
        <v>0</v>
      </c>
      <c r="K16740" s="21" t="n">
        <f aca="false">IF(J16740=1,1,IF(AND(K16503=1,K16422=1),1,0))</f>
        <v>0</v>
      </c>
    </row>
    <row r="16741" customFormat="false" ht="15" hidden="false" customHeight="false" outlineLevel="0" collapsed="false">
      <c r="A16741" s="3" t="s">
        <v>563</v>
      </c>
      <c r="C16741" s="16" t="n">
        <f aca="false">IF(C16719&gt;0,C16697-C16730,0)</f>
        <v>0</v>
      </c>
      <c r="G16741" s="21" t="n">
        <f aca="false">IF(AND(G16516=1,G16422=1),1,0)</f>
        <v>0</v>
      </c>
      <c r="H16741" s="21" t="n">
        <f aca="false">IF(G16741=1,1,IF(AND(H16516=1,H16422=1),1,0))</f>
        <v>0</v>
      </c>
      <c r="I16741" s="21" t="n">
        <f aca="false">IF(H16741=1,1,IF(AND(I16516=1,I16422=1),1,0))</f>
        <v>0</v>
      </c>
      <c r="J16741" s="21" t="n">
        <f aca="false">IF(I16741=1,1,IF(AND(J16516=1,J16422=1),1,0))</f>
        <v>0</v>
      </c>
      <c r="K16741" s="21" t="n">
        <f aca="false">IF(J16741=1,1,IF(AND(K16516=1,K16422=1),1,0))</f>
        <v>0</v>
      </c>
    </row>
    <row r="16742" customFormat="false" ht="15" hidden="false" customHeight="false" outlineLevel="0" collapsed="false">
      <c r="A16742" s="3" t="s">
        <v>564</v>
      </c>
      <c r="C16742" s="16" t="n">
        <f aca="false">IF(C16720&gt;0,C16698-C16731,0)</f>
        <v>0</v>
      </c>
      <c r="G16742" s="21" t="n">
        <f aca="false">IF(AND(G16529=1,G16422=1),1,0)</f>
        <v>0</v>
      </c>
      <c r="H16742" s="21" t="n">
        <f aca="false">IF(G16742=1,1,IF(AND(H16529=1,H16422=1),1,0))</f>
        <v>0</v>
      </c>
      <c r="I16742" s="21" t="n">
        <f aca="false">IF(H16742=1,1,IF(AND(I16529=1,I16422=1),1,0))</f>
        <v>0</v>
      </c>
      <c r="J16742" s="21" t="n">
        <f aca="false">IF(I16742=1,1,IF(AND(J16529=1,J16422=1),1,0))</f>
        <v>0</v>
      </c>
      <c r="K16742" s="21" t="n">
        <f aca="false">IF(J16742=1,1,IF(AND(K16529=1,K16422=1),1,0))</f>
        <v>0</v>
      </c>
    </row>
    <row r="16743" customFormat="false" ht="15" hidden="false" customHeight="false" outlineLevel="0" collapsed="false">
      <c r="A16743" s="3" t="s">
        <v>565</v>
      </c>
      <c r="C16743" s="16" t="n">
        <f aca="false">IF(C16721&gt;0,C16699-C16732,0)</f>
        <v>0</v>
      </c>
      <c r="G16743" s="21" t="n">
        <f aca="false">IF(AND(G16542=1,G16422=1),1,0)</f>
        <v>0</v>
      </c>
      <c r="H16743" s="21" t="n">
        <f aca="false">IF(G16743=1,1,IF(AND(H16542=1,H16422=1),1,0))</f>
        <v>0</v>
      </c>
      <c r="I16743" s="21" t="n">
        <f aca="false">IF(H16743=1,1,IF(AND(I16542=1,I16422=1),1,0))</f>
        <v>0</v>
      </c>
      <c r="J16743" s="21" t="n">
        <f aca="false">IF(I16743=1,1,IF(AND(J16542=1,J16422=1),1,0))</f>
        <v>0</v>
      </c>
      <c r="K16743" s="21" t="n">
        <f aca="false">IF(J16743=1,1,IF(AND(K16542=1,K16422=1),1,0))</f>
        <v>0</v>
      </c>
    </row>
    <row r="16744" customFormat="false" ht="15" hidden="false" customHeight="false" outlineLevel="0" collapsed="false">
      <c r="A16744" s="24" t="s">
        <v>570</v>
      </c>
      <c r="B16744" s="25"/>
      <c r="C16744" s="25"/>
      <c r="D16744" s="25"/>
      <c r="E16744" s="25"/>
      <c r="F16744" s="25"/>
      <c r="G16744" s="25"/>
      <c r="H16744" s="25"/>
      <c r="I16744" s="25"/>
      <c r="J16744" s="25"/>
      <c r="K16744" s="25"/>
    </row>
    <row r="16745" customFormat="false" ht="15" hidden="false" customHeight="false" outlineLevel="0" collapsed="false">
      <c r="A16745" s="3" t="s">
        <v>556</v>
      </c>
      <c r="C16745" s="16" t="n">
        <f aca="false">IF(C16712&gt;0,C16734,C16690)</f>
        <v>0</v>
      </c>
    </row>
    <row r="16746" customFormat="false" ht="15" hidden="false" customHeight="false" outlineLevel="0" collapsed="false">
      <c r="A16746" s="3" t="s">
        <v>557</v>
      </c>
      <c r="C16746" s="16" t="n">
        <f aca="false">IF(C16713&gt;0,C16735,C16691)</f>
        <v>0</v>
      </c>
    </row>
    <row r="16747" customFormat="false" ht="15" hidden="false" customHeight="false" outlineLevel="0" collapsed="false">
      <c r="A16747" s="3" t="s">
        <v>558</v>
      </c>
      <c r="C16747" s="16" t="n">
        <f aca="false">IF(C16714&gt;0,C16736,C16692)</f>
        <v>0</v>
      </c>
    </row>
    <row r="16748" customFormat="false" ht="15" hidden="false" customHeight="false" outlineLevel="0" collapsed="false">
      <c r="A16748" s="3" t="s">
        <v>559</v>
      </c>
      <c r="C16748" s="16" t="n">
        <f aca="false">IF(C16715&gt;0,C16737,C16693)</f>
        <v>0</v>
      </c>
    </row>
    <row r="16749" customFormat="false" ht="15" hidden="false" customHeight="false" outlineLevel="0" collapsed="false">
      <c r="A16749" s="3" t="s">
        <v>560</v>
      </c>
      <c r="C16749" s="16" t="n">
        <f aca="false">IF(C16716&gt;0,C16738,C16694)</f>
        <v>405.410640665075</v>
      </c>
    </row>
    <row r="16750" customFormat="false" ht="15" hidden="false" customHeight="false" outlineLevel="0" collapsed="false">
      <c r="A16750" s="3" t="s">
        <v>561</v>
      </c>
      <c r="C16750" s="16" t="n">
        <f aca="false">IF(C16717&gt;0,C16739,C16695)</f>
        <v>357.2625</v>
      </c>
    </row>
    <row r="16751" customFormat="false" ht="15" hidden="false" customHeight="false" outlineLevel="0" collapsed="false">
      <c r="A16751" s="3" t="s">
        <v>562</v>
      </c>
      <c r="C16751" s="16" t="n">
        <f aca="false">IF(C16718&gt;0,C16740,C16696)</f>
        <v>562.203125</v>
      </c>
    </row>
    <row r="16752" customFormat="false" ht="15" hidden="false" customHeight="false" outlineLevel="0" collapsed="false">
      <c r="A16752" s="3" t="s">
        <v>563</v>
      </c>
      <c r="C16752" s="16" t="n">
        <f aca="false">IF(C16719&gt;0,C16741,C16697)</f>
        <v>353.98125</v>
      </c>
    </row>
    <row r="16753" customFormat="false" ht="15" hidden="false" customHeight="false" outlineLevel="0" collapsed="false">
      <c r="A16753" s="3" t="s">
        <v>564</v>
      </c>
      <c r="C16753" s="16" t="n">
        <f aca="false">IF(C16720&gt;0,C16742,C16698)</f>
        <v>304.59375</v>
      </c>
    </row>
    <row r="16754" customFormat="false" ht="15" hidden="false" customHeight="false" outlineLevel="0" collapsed="false">
      <c r="A16754" s="3" t="s">
        <v>565</v>
      </c>
      <c r="C16754" s="16" t="n">
        <f aca="false">IF(C16721&gt;0,C16743,C16699)</f>
        <v>79.938509</v>
      </c>
    </row>
    <row r="16755" customFormat="false" ht="15" hidden="false" customHeight="false" outlineLevel="0" collapsed="false">
      <c r="A16755" s="24" t="s">
        <v>571</v>
      </c>
      <c r="B16755" s="25"/>
      <c r="C16755" s="25"/>
      <c r="D16755" s="25"/>
      <c r="E16755" s="25"/>
      <c r="F16755" s="25"/>
      <c r="G16755" s="25"/>
      <c r="H16755" s="25"/>
      <c r="I16755" s="25"/>
      <c r="J16755" s="25"/>
      <c r="K16755" s="25"/>
    </row>
    <row r="16756" customFormat="false" ht="15" hidden="false" customHeight="false" outlineLevel="0" collapsed="false">
      <c r="A16756" s="3" t="s">
        <v>556</v>
      </c>
      <c r="C16756" s="21" t="n">
        <f aca="false">IF(C16712&gt;0,Assumptions!$C$17,C16701)</f>
        <v>99</v>
      </c>
    </row>
    <row r="16757" customFormat="false" ht="15" hidden="false" customHeight="false" outlineLevel="0" collapsed="false">
      <c r="A16757" s="3" t="s">
        <v>557</v>
      </c>
      <c r="C16757" s="21" t="n">
        <f aca="false">IF(C16713&gt;0,Assumptions!$C$17,C16702)</f>
        <v>99</v>
      </c>
    </row>
    <row r="16758" customFormat="false" ht="15" hidden="false" customHeight="false" outlineLevel="0" collapsed="false">
      <c r="A16758" s="3" t="s">
        <v>558</v>
      </c>
      <c r="C16758" s="21" t="n">
        <f aca="false">IF(C16714&gt;0,Assumptions!$C$17,C16703)</f>
        <v>99</v>
      </c>
    </row>
    <row r="16759" customFormat="false" ht="15" hidden="false" customHeight="false" outlineLevel="0" collapsed="false">
      <c r="A16759" s="3" t="s">
        <v>559</v>
      </c>
      <c r="C16759" s="21" t="n">
        <f aca="false">IF(C16715&gt;0,Assumptions!$C$17,C16704)</f>
        <v>2</v>
      </c>
    </row>
    <row r="16760" customFormat="false" ht="15" hidden="false" customHeight="false" outlineLevel="0" collapsed="false">
      <c r="A16760" s="3" t="s">
        <v>560</v>
      </c>
      <c r="C16760" s="21" t="n">
        <f aca="false">IF(C16716&gt;0,Assumptions!$C$17,C16705)</f>
        <v>2</v>
      </c>
    </row>
    <row r="16761" customFormat="false" ht="15" hidden="false" customHeight="false" outlineLevel="0" collapsed="false">
      <c r="A16761" s="3" t="s">
        <v>561</v>
      </c>
      <c r="C16761" s="21" t="n">
        <f aca="false">IF(C16717&gt;0,Assumptions!$C$17,C16706)</f>
        <v>2</v>
      </c>
    </row>
    <row r="16762" customFormat="false" ht="15" hidden="false" customHeight="false" outlineLevel="0" collapsed="false">
      <c r="A16762" s="3" t="s">
        <v>562</v>
      </c>
      <c r="C16762" s="21" t="n">
        <f aca="false">IF(C16718&gt;0,Assumptions!$C$17,C16707)</f>
        <v>2</v>
      </c>
    </row>
    <row r="16763" customFormat="false" ht="15" hidden="false" customHeight="false" outlineLevel="0" collapsed="false">
      <c r="A16763" s="3" t="s">
        <v>563</v>
      </c>
      <c r="C16763" s="21" t="n">
        <f aca="false">IF(C16719&gt;0,Assumptions!$C$17,C16708)</f>
        <v>2</v>
      </c>
    </row>
    <row r="16764" customFormat="false" ht="15" hidden="false" customHeight="false" outlineLevel="0" collapsed="false">
      <c r="A16764" s="3" t="s">
        <v>564</v>
      </c>
      <c r="C16764" s="21" t="n">
        <f aca="false">IF(C16720&gt;0,Assumptions!$C$17,C16709)</f>
        <v>2</v>
      </c>
    </row>
    <row r="16765" customFormat="false" ht="15" hidden="false" customHeight="false" outlineLevel="0" collapsed="false">
      <c r="A16765" s="3" t="s">
        <v>565</v>
      </c>
      <c r="C16765" s="21" t="n">
        <f aca="false">IF(C16721&gt;0,Assumptions!$C$17,C16710)</f>
        <v>3</v>
      </c>
    </row>
    <row r="16766" customFormat="false" ht="15" hidden="false" customHeight="false" outlineLevel="0" collapsed="false">
      <c r="A16766" s="24" t="s">
        <v>572</v>
      </c>
      <c r="B16766" s="25"/>
      <c r="C16766" s="25"/>
      <c r="D16766" s="25"/>
      <c r="E16766" s="25"/>
      <c r="F16766" s="25"/>
      <c r="G16766" s="25"/>
      <c r="H16766" s="25"/>
      <c r="I16766" s="25"/>
      <c r="J16766" s="25"/>
      <c r="K16766" s="25"/>
    </row>
    <row r="16767" customFormat="false" ht="15" hidden="false" customHeight="false" outlineLevel="0" collapsed="false">
      <c r="A16767" s="3" t="s">
        <v>556</v>
      </c>
      <c r="C16767" s="16" t="n">
        <f aca="false">SUMPRODUCT(($C$16756:$C$16765&lt;C16756)*$C$16745:$C$16754)</f>
        <v>2063.38977466508</v>
      </c>
    </row>
    <row r="16768" customFormat="false" ht="15" hidden="false" customHeight="false" outlineLevel="0" collapsed="false">
      <c r="A16768" s="3" t="s">
        <v>557</v>
      </c>
      <c r="C16768" s="16" t="n">
        <f aca="false">SUMPRODUCT(($C$16756:$C$16765&lt;C16757)*$C$16745:$C$16754)</f>
        <v>2063.38977466508</v>
      </c>
    </row>
    <row r="16769" customFormat="false" ht="15" hidden="false" customHeight="false" outlineLevel="0" collapsed="false">
      <c r="A16769" s="3" t="s">
        <v>558</v>
      </c>
      <c r="C16769" s="16" t="n">
        <f aca="false">SUMPRODUCT(($C$16756:$C$16765&lt;C16758)*$C$16745:$C$16754)</f>
        <v>2063.38977466508</v>
      </c>
    </row>
    <row r="16770" customFormat="false" ht="15" hidden="false" customHeight="false" outlineLevel="0" collapsed="false">
      <c r="A16770" s="3" t="s">
        <v>559</v>
      </c>
      <c r="C16770" s="16" t="n">
        <f aca="false">SUMPRODUCT(($C$16756:$C$16765&lt;C16759)*$C$16745:$C$16754)</f>
        <v>0</v>
      </c>
    </row>
    <row r="16771" customFormat="false" ht="15" hidden="false" customHeight="false" outlineLevel="0" collapsed="false">
      <c r="A16771" s="3" t="s">
        <v>560</v>
      </c>
      <c r="C16771" s="16" t="n">
        <f aca="false">SUMPRODUCT(($C$16756:$C$16765&lt;C16760)*$C$16745:$C$16754)</f>
        <v>0</v>
      </c>
    </row>
    <row r="16772" customFormat="false" ht="15" hidden="false" customHeight="false" outlineLevel="0" collapsed="false">
      <c r="A16772" s="3" t="s">
        <v>561</v>
      </c>
      <c r="C16772" s="16" t="n">
        <f aca="false">SUMPRODUCT(($C$16756:$C$16765&lt;C16761)*$C$16745:$C$16754)</f>
        <v>0</v>
      </c>
    </row>
    <row r="16773" customFormat="false" ht="15" hidden="false" customHeight="false" outlineLevel="0" collapsed="false">
      <c r="A16773" s="3" t="s">
        <v>562</v>
      </c>
      <c r="C16773" s="16" t="n">
        <f aca="false">SUMPRODUCT(($C$16756:$C$16765&lt;C16762)*$C$16745:$C$16754)</f>
        <v>0</v>
      </c>
    </row>
    <row r="16774" customFormat="false" ht="15" hidden="false" customHeight="false" outlineLevel="0" collapsed="false">
      <c r="A16774" s="3" t="s">
        <v>563</v>
      </c>
      <c r="C16774" s="16" t="n">
        <f aca="false">SUMPRODUCT(($C$16756:$C$16765&lt;C16763)*$C$16745:$C$16754)</f>
        <v>0</v>
      </c>
    </row>
    <row r="16775" customFormat="false" ht="15" hidden="false" customHeight="false" outlineLevel="0" collapsed="false">
      <c r="A16775" s="3" t="s">
        <v>564</v>
      </c>
      <c r="C16775" s="16" t="n">
        <f aca="false">SUMPRODUCT(($C$16756:$C$16765&lt;C16764)*$C$16745:$C$16754)</f>
        <v>0</v>
      </c>
    </row>
    <row r="16776" customFormat="false" ht="15" hidden="false" customHeight="false" outlineLevel="0" collapsed="false">
      <c r="A16776" s="3" t="s">
        <v>565</v>
      </c>
      <c r="C16776" s="16" t="n">
        <f aca="false">SUMPRODUCT(($C$16756:$C$16765&lt;C16765)*$C$16745:$C$16754)</f>
        <v>1983.45126566508</v>
      </c>
    </row>
    <row r="16777" customFormat="false" ht="15" hidden="false" customHeight="false" outlineLevel="0" collapsed="false">
      <c r="A16777" s="24" t="s">
        <v>573</v>
      </c>
      <c r="B16777" s="25"/>
      <c r="C16777" s="25"/>
      <c r="D16777" s="25"/>
      <c r="E16777" s="25"/>
      <c r="F16777" s="25"/>
      <c r="G16777" s="25"/>
      <c r="H16777" s="25"/>
      <c r="I16777" s="25"/>
      <c r="J16777" s="25"/>
      <c r="K16777" s="25"/>
    </row>
    <row r="16778" customFormat="false" ht="15" hidden="false" customHeight="false" outlineLevel="0" collapsed="false">
      <c r="A16778" s="3" t="s">
        <v>556</v>
      </c>
      <c r="C16778" s="16" t="n">
        <f aca="false">SUMPRODUCT(($C$16756:$C$16765=C16756)*$C$16745:$C$16754)</f>
        <v>0</v>
      </c>
    </row>
    <row r="16779" customFormat="false" ht="15" hidden="false" customHeight="false" outlineLevel="0" collapsed="false">
      <c r="A16779" s="3" t="s">
        <v>557</v>
      </c>
      <c r="C16779" s="16" t="n">
        <f aca="false">SUMPRODUCT(($C$16756:$C$16765=C16757)*$C$16745:$C$16754)</f>
        <v>0</v>
      </c>
    </row>
    <row r="16780" customFormat="false" ht="15" hidden="false" customHeight="false" outlineLevel="0" collapsed="false">
      <c r="A16780" s="3" t="s">
        <v>558</v>
      </c>
      <c r="C16780" s="16" t="n">
        <f aca="false">SUMPRODUCT(($C$16756:$C$16765=C16758)*$C$16745:$C$16754)</f>
        <v>0</v>
      </c>
    </row>
    <row r="16781" customFormat="false" ht="15" hidden="false" customHeight="false" outlineLevel="0" collapsed="false">
      <c r="A16781" s="3" t="s">
        <v>559</v>
      </c>
      <c r="C16781" s="16" t="n">
        <f aca="false">SUMPRODUCT(($C$16756:$C$16765=C16759)*$C$16745:$C$16754)</f>
        <v>1983.45126566508</v>
      </c>
    </row>
    <row r="16782" customFormat="false" ht="15" hidden="false" customHeight="false" outlineLevel="0" collapsed="false">
      <c r="A16782" s="3" t="s">
        <v>560</v>
      </c>
      <c r="C16782" s="16" t="n">
        <f aca="false">SUMPRODUCT(($C$16756:$C$16765=C16760)*$C$16745:$C$16754)</f>
        <v>1983.45126566508</v>
      </c>
    </row>
    <row r="16783" customFormat="false" ht="15" hidden="false" customHeight="false" outlineLevel="0" collapsed="false">
      <c r="A16783" s="3" t="s">
        <v>561</v>
      </c>
      <c r="C16783" s="16" t="n">
        <f aca="false">SUMPRODUCT(($C$16756:$C$16765=C16761)*$C$16745:$C$16754)</f>
        <v>1983.45126566508</v>
      </c>
    </row>
    <row r="16784" customFormat="false" ht="15" hidden="false" customHeight="false" outlineLevel="0" collapsed="false">
      <c r="A16784" s="3" t="s">
        <v>562</v>
      </c>
      <c r="C16784" s="16" t="n">
        <f aca="false">SUMPRODUCT(($C$16756:$C$16765=C16762)*$C$16745:$C$16754)</f>
        <v>1983.45126566508</v>
      </c>
    </row>
    <row r="16785" customFormat="false" ht="15" hidden="false" customHeight="false" outlineLevel="0" collapsed="false">
      <c r="A16785" s="3" t="s">
        <v>563</v>
      </c>
      <c r="C16785" s="16" t="n">
        <f aca="false">SUMPRODUCT(($C$16756:$C$16765=C16763)*$C$16745:$C$16754)</f>
        <v>1983.45126566508</v>
      </c>
    </row>
    <row r="16786" customFormat="false" ht="15" hidden="false" customHeight="false" outlineLevel="0" collapsed="false">
      <c r="A16786" s="3" t="s">
        <v>564</v>
      </c>
      <c r="C16786" s="16" t="n">
        <f aca="false">SUMPRODUCT(($C$16756:$C$16765=C16764)*$C$16745:$C$16754)</f>
        <v>1983.45126566508</v>
      </c>
    </row>
    <row r="16787" customFormat="false" ht="15" hidden="false" customHeight="false" outlineLevel="0" collapsed="false">
      <c r="A16787" s="3" t="s">
        <v>565</v>
      </c>
      <c r="C16787" s="16" t="n">
        <f aca="false">SUMPRODUCT(($C$16756:$C$16765=C16765)*$C$16745:$C$16754)</f>
        <v>79.938509</v>
      </c>
    </row>
    <row r="16788" customFormat="false" ht="15" hidden="false" customHeight="false" outlineLevel="0" collapsed="false">
      <c r="A16788" s="24" t="s">
        <v>574</v>
      </c>
      <c r="B16788" s="25"/>
      <c r="C16788" s="25"/>
      <c r="D16788" s="25"/>
      <c r="E16788" s="25"/>
      <c r="F16788" s="25"/>
      <c r="G16788" s="25"/>
      <c r="H16788" s="25"/>
      <c r="I16788" s="25"/>
      <c r="J16788" s="25"/>
      <c r="K16788" s="25"/>
    </row>
    <row r="16789" customFormat="false" ht="15" hidden="false" customHeight="false" outlineLevel="0" collapsed="false">
      <c r="A16789" s="3" t="s">
        <v>556</v>
      </c>
      <c r="C16789" s="16" t="n">
        <f aca="false">IF(C16778=0,0,C16745/C16778*MAX(0,MIN(C16778,$C$16688-SUM($C$16723:$C$16732)-C16767)))</f>
        <v>0</v>
      </c>
    </row>
    <row r="16790" customFormat="false" ht="15" hidden="false" customHeight="false" outlineLevel="0" collapsed="false">
      <c r="A16790" s="3" t="s">
        <v>557</v>
      </c>
      <c r="C16790" s="16" t="n">
        <f aca="false">IF(C16779=0,0,C16746/C16779*MAX(0,MIN(C16779,$C$16688-SUM($C$16723:$C$16732)-C16768)))</f>
        <v>0</v>
      </c>
    </row>
    <row r="16791" customFormat="false" ht="15" hidden="false" customHeight="false" outlineLevel="0" collapsed="false">
      <c r="A16791" s="3" t="s">
        <v>558</v>
      </c>
      <c r="C16791" s="16" t="n">
        <f aca="false">IF(C16780=0,0,C16747/C16780*MAX(0,MIN(C16780,$C$16688-SUM($C$16723:$C$16732)-C16769)))</f>
        <v>0</v>
      </c>
    </row>
    <row r="16792" customFormat="false" ht="15" hidden="false" customHeight="false" outlineLevel="0" collapsed="false">
      <c r="A16792" s="3" t="s">
        <v>559</v>
      </c>
      <c r="C16792" s="16" t="n">
        <f aca="false">IF(C16781=0,0,C16748/C16781*MAX(0,MIN(C16781,$C$16688-SUM($C$16723:$C$16732)-C16770)))</f>
        <v>0</v>
      </c>
    </row>
    <row r="16793" customFormat="false" ht="15" hidden="false" customHeight="false" outlineLevel="0" collapsed="false">
      <c r="A16793" s="3" t="s">
        <v>560</v>
      </c>
      <c r="C16793" s="16" t="n">
        <f aca="false">IF(C16782=0,0,C16749/C16782*MAX(0,MIN(C16782,$C$16688-SUM($C$16723:$C$16732)-C16771)))</f>
        <v>405.410640665075</v>
      </c>
    </row>
    <row r="16794" customFormat="false" ht="15" hidden="false" customHeight="false" outlineLevel="0" collapsed="false">
      <c r="A16794" s="3" t="s">
        <v>561</v>
      </c>
      <c r="C16794" s="16" t="n">
        <f aca="false">IF(C16783=0,0,C16750/C16783*MAX(0,MIN(C16783,$C$16688-SUM($C$16723:$C$16732)-C16772)))</f>
        <v>357.2625</v>
      </c>
    </row>
    <row r="16795" customFormat="false" ht="15" hidden="false" customHeight="false" outlineLevel="0" collapsed="false">
      <c r="A16795" s="3" t="s">
        <v>562</v>
      </c>
      <c r="C16795" s="16" t="n">
        <f aca="false">IF(C16784=0,0,C16751/C16784*MAX(0,MIN(C16784,$C$16688-SUM($C$16723:$C$16732)-C16773)))</f>
        <v>562.203125</v>
      </c>
    </row>
    <row r="16796" customFormat="false" ht="15" hidden="false" customHeight="false" outlineLevel="0" collapsed="false">
      <c r="A16796" s="3" t="s">
        <v>563</v>
      </c>
      <c r="C16796" s="16" t="n">
        <f aca="false">IF(C16785=0,0,C16752/C16785*MAX(0,MIN(C16785,$C$16688-SUM($C$16723:$C$16732)-C16774)))</f>
        <v>353.98125</v>
      </c>
    </row>
    <row r="16797" customFormat="false" ht="15" hidden="false" customHeight="false" outlineLevel="0" collapsed="false">
      <c r="A16797" s="3" t="s">
        <v>564</v>
      </c>
      <c r="C16797" s="16" t="n">
        <f aca="false">IF(C16786=0,0,C16753/C16786*MAX(0,MIN(C16786,$C$16688-SUM($C$16723:$C$16732)-C16775)))</f>
        <v>304.59375</v>
      </c>
    </row>
    <row r="16798" customFormat="false" ht="15" hidden="false" customHeight="false" outlineLevel="0" collapsed="false">
      <c r="A16798" s="3" t="s">
        <v>565</v>
      </c>
      <c r="C16798" s="16" t="n">
        <f aca="false">IF(C16787=0,0,C16754/C16787*MAX(0,MIN(C16787,$C$16688-SUM($C$16723:$C$16732)-C16776)))</f>
        <v>79.938509</v>
      </c>
    </row>
    <row r="16799" customFormat="false" ht="15" hidden="false" customHeight="false" outlineLevel="0" collapsed="false">
      <c r="A16799" s="24" t="s">
        <v>575</v>
      </c>
      <c r="B16799" s="25"/>
      <c r="C16799" s="25"/>
      <c r="D16799" s="25"/>
      <c r="E16799" s="25"/>
      <c r="F16799" s="25"/>
      <c r="G16799" s="25"/>
      <c r="H16799" s="25"/>
      <c r="I16799" s="25"/>
      <c r="J16799" s="25"/>
      <c r="K16799" s="25"/>
    </row>
    <row r="16800" customFormat="false" ht="15" hidden="false" customHeight="false" outlineLevel="0" collapsed="false">
      <c r="A16800" s="2" t="s">
        <v>556</v>
      </c>
      <c r="C16800" s="17" t="n">
        <f aca="false">C16723+C16789</f>
        <v>402.29</v>
      </c>
    </row>
    <row r="16801" customFormat="false" ht="15" hidden="false" customHeight="false" outlineLevel="0" collapsed="false">
      <c r="A16801" s="2" t="s">
        <v>557</v>
      </c>
      <c r="C16801" s="17" t="n">
        <f aca="false">C16724+C16790</f>
        <v>91.30725</v>
      </c>
    </row>
    <row r="16802" customFormat="false" ht="15" hidden="false" customHeight="false" outlineLevel="0" collapsed="false">
      <c r="A16802" s="2" t="s">
        <v>558</v>
      </c>
      <c r="C16802" s="17" t="n">
        <f aca="false">C16725+C16791</f>
        <v>58.3715961</v>
      </c>
    </row>
    <row r="16803" customFormat="false" ht="15" hidden="false" customHeight="false" outlineLevel="0" collapsed="false">
      <c r="A16803" s="2" t="s">
        <v>559</v>
      </c>
      <c r="C16803" s="17" t="n">
        <f aca="false">C16726+C16792</f>
        <v>0</v>
      </c>
    </row>
    <row r="16804" customFormat="false" ht="15" hidden="false" customHeight="false" outlineLevel="0" collapsed="false">
      <c r="A16804" s="2" t="s">
        <v>560</v>
      </c>
      <c r="C16804" s="17" t="n">
        <f aca="false">C16727+C16793</f>
        <v>405.410640665075</v>
      </c>
    </row>
    <row r="16805" customFormat="false" ht="15" hidden="false" customHeight="false" outlineLevel="0" collapsed="false">
      <c r="A16805" s="2" t="s">
        <v>561</v>
      </c>
      <c r="C16805" s="17" t="n">
        <f aca="false">C16728+C16794</f>
        <v>357.2625</v>
      </c>
    </row>
    <row r="16806" customFormat="false" ht="15" hidden="false" customHeight="false" outlineLevel="0" collapsed="false">
      <c r="A16806" s="2" t="s">
        <v>562</v>
      </c>
      <c r="C16806" s="17" t="n">
        <f aca="false">C16729+C16795</f>
        <v>562.203125</v>
      </c>
    </row>
    <row r="16807" customFormat="false" ht="15" hidden="false" customHeight="false" outlineLevel="0" collapsed="false">
      <c r="A16807" s="2" t="s">
        <v>563</v>
      </c>
      <c r="C16807" s="17" t="n">
        <f aca="false">C16730+C16796</f>
        <v>353.98125</v>
      </c>
    </row>
    <row r="16808" customFormat="false" ht="15" hidden="false" customHeight="false" outlineLevel="0" collapsed="false">
      <c r="A16808" s="2" t="s">
        <v>564</v>
      </c>
      <c r="C16808" s="17" t="n">
        <f aca="false">C16731+C16797</f>
        <v>304.59375</v>
      </c>
    </row>
    <row r="16809" customFormat="false" ht="15" hidden="false" customHeight="false" outlineLevel="0" collapsed="false">
      <c r="A16809" s="2" t="s">
        <v>565</v>
      </c>
      <c r="C16809" s="17" t="n">
        <f aca="false">C16732+C16798</f>
        <v>79.938509</v>
      </c>
    </row>
    <row r="16810" customFormat="false" ht="15" hidden="false" customHeight="false" outlineLevel="0" collapsed="false">
      <c r="A16810" s="24" t="s">
        <v>576</v>
      </c>
      <c r="B16810" s="25"/>
      <c r="C16810" s="25"/>
      <c r="D16810" s="25"/>
      <c r="E16810" s="25"/>
      <c r="F16810" s="25"/>
      <c r="G16810" s="25"/>
      <c r="H16810" s="25"/>
      <c r="I16810" s="25"/>
      <c r="J16810" s="25"/>
      <c r="K16810" s="25"/>
    </row>
    <row r="16811" customFormat="false" ht="15" hidden="false" customHeight="false" outlineLevel="0" collapsed="false">
      <c r="A16811" s="3" t="s">
        <v>556</v>
      </c>
      <c r="C16811" s="22" t="n">
        <f aca="false">IF(C16690=0,1,C16800/C16690)</f>
        <v>1</v>
      </c>
    </row>
    <row r="16812" customFormat="false" ht="15" hidden="false" customHeight="false" outlineLevel="0" collapsed="false">
      <c r="A16812" s="3" t="s">
        <v>557</v>
      </c>
      <c r="C16812" s="22" t="n">
        <f aca="false">IF(C16691=0,1,C16801/C16691)</f>
        <v>1</v>
      </c>
    </row>
    <row r="16813" customFormat="false" ht="15" hidden="false" customHeight="false" outlineLevel="0" collapsed="false">
      <c r="A16813" s="3" t="s">
        <v>558</v>
      </c>
      <c r="C16813" s="22" t="n">
        <f aca="false">IF(C16692=0,1,C16802/C16692)</f>
        <v>1</v>
      </c>
    </row>
    <row r="16814" customFormat="false" ht="15" hidden="false" customHeight="false" outlineLevel="0" collapsed="false">
      <c r="A16814" s="3" t="s">
        <v>559</v>
      </c>
      <c r="C16814" s="22" t="n">
        <f aca="false">IF(C16693=0,1,C16803/C16693)</f>
        <v>1</v>
      </c>
    </row>
    <row r="16815" customFormat="false" ht="15" hidden="false" customHeight="false" outlineLevel="0" collapsed="false">
      <c r="A16815" s="3" t="s">
        <v>560</v>
      </c>
      <c r="C16815" s="22" t="n">
        <f aca="false">IF(C16694=0,1,C16804/C16694)</f>
        <v>1</v>
      </c>
    </row>
    <row r="16816" customFormat="false" ht="15" hidden="false" customHeight="false" outlineLevel="0" collapsed="false">
      <c r="A16816" s="3" t="s">
        <v>561</v>
      </c>
      <c r="C16816" s="22" t="n">
        <f aca="false">IF(C16695=0,1,C16805/C16695)</f>
        <v>1</v>
      </c>
    </row>
    <row r="16817" customFormat="false" ht="15" hidden="false" customHeight="false" outlineLevel="0" collapsed="false">
      <c r="A16817" s="3" t="s">
        <v>562</v>
      </c>
      <c r="C16817" s="22" t="n">
        <f aca="false">IF(C16696=0,1,C16806/C16696)</f>
        <v>1</v>
      </c>
    </row>
    <row r="16818" customFormat="false" ht="15" hidden="false" customHeight="false" outlineLevel="0" collapsed="false">
      <c r="A16818" s="3" t="s">
        <v>563</v>
      </c>
      <c r="C16818" s="22" t="n">
        <f aca="false">IF(C16697=0,1,C16807/C16697)</f>
        <v>1</v>
      </c>
    </row>
    <row r="16819" customFormat="false" ht="15" hidden="false" customHeight="false" outlineLevel="0" collapsed="false">
      <c r="A16819" s="3" t="s">
        <v>564</v>
      </c>
      <c r="C16819" s="22" t="n">
        <f aca="false">IF(C16698=0,1,C16808/C16698)</f>
        <v>1</v>
      </c>
    </row>
    <row r="16820" customFormat="false" ht="15" hidden="false" customHeight="false" outlineLevel="0" collapsed="false">
      <c r="A16820" s="3" t="s">
        <v>565</v>
      </c>
      <c r="C16820" s="22" t="n">
        <f aca="false">IF(C16699=0,1,C16809/C16699)</f>
        <v>1</v>
      </c>
    </row>
    <row r="16821" customFormat="false" ht="15" hidden="false" customHeight="false" outlineLevel="0" collapsed="false">
      <c r="A16821" s="24" t="s">
        <v>577</v>
      </c>
      <c r="B16821" s="25"/>
      <c r="C16821" s="25"/>
      <c r="D16821" s="25"/>
      <c r="E16821" s="25"/>
      <c r="F16821" s="25"/>
      <c r="G16821" s="25"/>
      <c r="H16821" s="25"/>
      <c r="I16821" s="25"/>
      <c r="J16821" s="25"/>
      <c r="K16821" s="25"/>
    </row>
    <row r="16822" customFormat="false" ht="15" hidden="false" customHeight="false" outlineLevel="0" collapsed="false">
      <c r="A16822" s="3" t="s">
        <v>556</v>
      </c>
      <c r="C16822" s="16" t="n">
        <f aca="false">C16690-C16800</f>
        <v>0</v>
      </c>
    </row>
    <row r="16823" customFormat="false" ht="15" hidden="false" customHeight="false" outlineLevel="0" collapsed="false">
      <c r="A16823" s="3" t="s">
        <v>557</v>
      </c>
      <c r="C16823" s="16" t="n">
        <f aca="false">C16691-C16801</f>
        <v>0</v>
      </c>
    </row>
    <row r="16824" customFormat="false" ht="15" hidden="false" customHeight="false" outlineLevel="0" collapsed="false">
      <c r="A16824" s="3" t="s">
        <v>558</v>
      </c>
      <c r="C16824" s="16" t="n">
        <f aca="false">C16692-C16802</f>
        <v>0</v>
      </c>
    </row>
    <row r="16825" customFormat="false" ht="15" hidden="false" customHeight="false" outlineLevel="0" collapsed="false">
      <c r="A16825" s="3" t="s">
        <v>559</v>
      </c>
      <c r="C16825" s="16" t="n">
        <f aca="false">C16693-C16803</f>
        <v>0</v>
      </c>
    </row>
    <row r="16826" customFormat="false" ht="15" hidden="false" customHeight="false" outlineLevel="0" collapsed="false">
      <c r="A16826" s="3" t="s">
        <v>560</v>
      </c>
      <c r="C16826" s="16" t="n">
        <f aca="false">C16694-C16804</f>
        <v>0</v>
      </c>
    </row>
    <row r="16827" customFormat="false" ht="15" hidden="false" customHeight="false" outlineLevel="0" collapsed="false">
      <c r="A16827" s="3" t="s">
        <v>561</v>
      </c>
      <c r="C16827" s="16" t="n">
        <f aca="false">C16695-C16805</f>
        <v>0</v>
      </c>
    </row>
    <row r="16828" customFormat="false" ht="15" hidden="false" customHeight="false" outlineLevel="0" collapsed="false">
      <c r="A16828" s="3" t="s">
        <v>562</v>
      </c>
      <c r="C16828" s="16" t="n">
        <f aca="false">C16696-C16806</f>
        <v>0</v>
      </c>
    </row>
    <row r="16829" customFormat="false" ht="15" hidden="false" customHeight="false" outlineLevel="0" collapsed="false">
      <c r="A16829" s="3" t="s">
        <v>563</v>
      </c>
      <c r="C16829" s="16" t="n">
        <f aca="false">C16697-C16807</f>
        <v>0</v>
      </c>
    </row>
    <row r="16830" customFormat="false" ht="15" hidden="false" customHeight="false" outlineLevel="0" collapsed="false">
      <c r="A16830" s="3" t="s">
        <v>564</v>
      </c>
      <c r="C16830" s="16" t="n">
        <f aca="false">C16698-C16808</f>
        <v>0</v>
      </c>
    </row>
    <row r="16831" customFormat="false" ht="15" hidden="false" customHeight="false" outlineLevel="0" collapsed="false">
      <c r="A16831" s="3" t="s">
        <v>565</v>
      </c>
      <c r="C16831" s="16" t="n">
        <f aca="false">C16699-C16809</f>
        <v>0</v>
      </c>
    </row>
    <row r="16832" customFormat="false" ht="15" hidden="false" customHeight="false" outlineLevel="0" collapsed="false">
      <c r="A16832" s="24" t="s">
        <v>578</v>
      </c>
      <c r="B16832" s="25"/>
      <c r="C16832" s="25"/>
      <c r="D16832" s="25"/>
      <c r="E16832" s="25"/>
      <c r="F16832" s="25"/>
      <c r="G16832" s="25"/>
      <c r="H16832" s="25"/>
      <c r="I16832" s="25"/>
      <c r="J16832" s="25"/>
      <c r="K16832" s="25"/>
    </row>
    <row r="16833" customFormat="false" ht="15" hidden="false" customHeight="false" outlineLevel="0" collapsed="false">
      <c r="A16833" s="3" t="s">
        <v>556</v>
      </c>
      <c r="C16833" s="22" t="n">
        <f aca="false">IF(C16690=0,0,C16822/C16690)</f>
        <v>0</v>
      </c>
    </row>
    <row r="16834" customFormat="false" ht="15" hidden="false" customHeight="false" outlineLevel="0" collapsed="false">
      <c r="A16834" s="3" t="s">
        <v>557</v>
      </c>
      <c r="C16834" s="22" t="n">
        <f aca="false">IF(C16691=0,0,C16823/C16691)</f>
        <v>0</v>
      </c>
    </row>
    <row r="16835" customFormat="false" ht="15" hidden="false" customHeight="false" outlineLevel="0" collapsed="false">
      <c r="A16835" s="3" t="s">
        <v>558</v>
      </c>
      <c r="C16835" s="22" t="n">
        <f aca="false">IF(C16692=0,0,C16824/C16692)</f>
        <v>0</v>
      </c>
    </row>
    <row r="16836" customFormat="false" ht="15" hidden="false" customHeight="false" outlineLevel="0" collapsed="false">
      <c r="A16836" s="3" t="s">
        <v>559</v>
      </c>
      <c r="C16836" s="22" t="n">
        <f aca="false">IF(C16693=0,0,C16825/C16693)</f>
        <v>0</v>
      </c>
    </row>
    <row r="16837" customFormat="false" ht="15" hidden="false" customHeight="false" outlineLevel="0" collapsed="false">
      <c r="A16837" s="3" t="s">
        <v>560</v>
      </c>
      <c r="C16837" s="22" t="n">
        <f aca="false">IF(C16694=0,0,C16826/C16694)</f>
        <v>0</v>
      </c>
    </row>
    <row r="16838" customFormat="false" ht="15" hidden="false" customHeight="false" outlineLevel="0" collapsed="false">
      <c r="A16838" s="3" t="s">
        <v>561</v>
      </c>
      <c r="C16838" s="22" t="n">
        <f aca="false">IF(C16695=0,0,C16827/C16695)</f>
        <v>0</v>
      </c>
    </row>
    <row r="16839" customFormat="false" ht="15" hidden="false" customHeight="false" outlineLevel="0" collapsed="false">
      <c r="A16839" s="3" t="s">
        <v>562</v>
      </c>
      <c r="C16839" s="22" t="n">
        <f aca="false">IF(C16696=0,0,C16828/C16696)</f>
        <v>0</v>
      </c>
    </row>
    <row r="16840" customFormat="false" ht="15" hidden="false" customHeight="false" outlineLevel="0" collapsed="false">
      <c r="A16840" s="3" t="s">
        <v>563</v>
      </c>
      <c r="C16840" s="22" t="n">
        <f aca="false">IF(C16697=0,0,C16829/C16697)</f>
        <v>0</v>
      </c>
    </row>
    <row r="16841" customFormat="false" ht="15" hidden="false" customHeight="false" outlineLevel="0" collapsed="false">
      <c r="A16841" s="3" t="s">
        <v>564</v>
      </c>
      <c r="C16841" s="22" t="n">
        <f aca="false">IF(C16698=0,0,C16830/C16698)</f>
        <v>0</v>
      </c>
    </row>
    <row r="16842" customFormat="false" ht="15" hidden="false" customHeight="false" outlineLevel="0" collapsed="false">
      <c r="A16842" s="3" t="s">
        <v>565</v>
      </c>
      <c r="C16842" s="22" t="n">
        <f aca="false">IF(C16699=0,0,C16831/C16699)</f>
        <v>0</v>
      </c>
    </row>
    <row r="16843" customFormat="false" ht="15" hidden="false" customHeight="false" outlineLevel="0" collapsed="false">
      <c r="A16843" s="2" t="s">
        <v>579</v>
      </c>
      <c r="C16843" s="17" t="n">
        <f aca="false">MAX(0,$C$16688-SUM($C$16723:$C$16732)-SUM($C$16745:$C$16754))</f>
        <v>518.118561634925</v>
      </c>
    </row>
    <row r="16844" customFormat="false" ht="15" hidden="false" customHeight="false" outlineLevel="0" collapsed="false">
      <c r="A16844" s="3" t="s">
        <v>580</v>
      </c>
      <c r="C16844" s="16" t="n">
        <f aca="false">SUM($C$16800:$C$16809)+C16843+C16687-C16686</f>
        <v>0</v>
      </c>
    </row>
    <row r="16846" customFormat="false" ht="15" hidden="false" customHeight="false" outlineLevel="0" collapsed="false">
      <c r="A16846" s="24" t="s">
        <v>583</v>
      </c>
      <c r="B16846" s="25"/>
      <c r="C16846" s="25"/>
      <c r="D16846" s="25"/>
      <c r="E16846" s="25"/>
      <c r="F16846" s="25"/>
      <c r="G16846" s="25"/>
      <c r="H16846" s="25"/>
      <c r="I16846" s="25"/>
      <c r="J16846" s="25"/>
      <c r="K16846" s="25"/>
    </row>
    <row r="16847" customFormat="false" ht="15" hidden="false" customHeight="false" outlineLevel="0" collapsed="false">
      <c r="A16847" s="3" t="s">
        <v>584</v>
      </c>
      <c r="C16847" s="27" t="n">
        <f aca="false">Assumptions!$C$34</f>
        <v>1</v>
      </c>
    </row>
    <row r="16848" customFormat="false" ht="15" hidden="false" customHeight="false" outlineLevel="0" collapsed="false">
      <c r="A16848" s="3" t="s">
        <v>585</v>
      </c>
      <c r="C16848" s="29" t="n">
        <f aca="false">Assumptions!$C$35</f>
        <v>100</v>
      </c>
    </row>
    <row r="16849" customFormat="false" ht="15" hidden="false" customHeight="false" outlineLevel="0" collapsed="false">
      <c r="A16849" s="3" t="s">
        <v>586</v>
      </c>
      <c r="C16849" s="40" t="n">
        <f aca="false">Assumptions!$C$36</f>
        <v>98</v>
      </c>
    </row>
    <row r="16850" customFormat="false" ht="15" hidden="false" customHeight="false" outlineLevel="0" collapsed="false">
      <c r="A16850" s="3" t="s">
        <v>587</v>
      </c>
      <c r="C16850" s="16" t="n">
        <f aca="false">C16848*C16849/100*(1+Assumptions!$C$37)</f>
        <v>98.49</v>
      </c>
    </row>
    <row r="16851" customFormat="false" ht="15" hidden="false" customHeight="false" outlineLevel="0" collapsed="false">
      <c r="A16851" s="3" t="s">
        <v>588</v>
      </c>
      <c r="C16851" s="27" t="n">
        <f aca="false">Assumptions!$C$38</f>
        <v>3</v>
      </c>
    </row>
    <row r="16852" customFormat="false" ht="15" hidden="false" customHeight="false" outlineLevel="0" collapsed="false">
      <c r="A16852" s="3" t="s">
        <v>589</v>
      </c>
      <c r="C16852" s="21" t="n">
        <f aca="false">IF(C16679=1,SUMPRODUCT($G$16615:$K$16615,$G$16389:$K$16389),0)</f>
        <v>2</v>
      </c>
    </row>
    <row r="16853" customFormat="false" ht="15" hidden="false" customHeight="false" outlineLevel="0" collapsed="false">
      <c r="A16853" s="3" t="s">
        <v>590</v>
      </c>
      <c r="C16853" s="22" t="n">
        <f aca="false">IFERROR(C16848/CHOOSE(C16847,SUMPRODUCT($G$16678:$K$16678,$G$16435:$K$16435),SUMPRODUCT($G$16678:$K$16678,$G$16448:$K$16448),SUMPRODUCT($G$16678:$K$16678,$G$16461:$K$16461),SUMPRODUCT($G$16678:$K$16678,$G$16474:$K$16474),SUMPRODUCT($G$16678:$K$16678,$G$16487:$K$16487),SUMPRODUCT($G$16678:$K$16678,$G$16500:$K$16500),SUMPRODUCT($G$16678:$K$16678,$G$16513:$K$16513),SUMPRODUCT($G$16678:$K$16678,$G$16526:$K$16526),SUMPRODUCT($G$16678:$K$16678,$G$16539:$K$16539),SUMPRODUCT($G$16678:$K$16678,$G$16552:$K$16552)),0)</f>
        <v>0.255102040816327</v>
      </c>
    </row>
    <row r="16854" customFormat="false" ht="15" hidden="false" customHeight="false" outlineLevel="0" collapsed="false">
      <c r="A16854" s="3" t="s">
        <v>591</v>
      </c>
      <c r="C16854" s="16" t="n">
        <f aca="false">CHOOSE(C16847,C16800,C16801,C16802,C16803,C16804,C16805,C16806,C16807,C16808,C16809)*C16853</f>
        <v>102.625</v>
      </c>
    </row>
    <row r="16855" customFormat="false" ht="15" hidden="false" customHeight="false" outlineLevel="0" collapsed="false">
      <c r="A16855" s="3" t="s">
        <v>592</v>
      </c>
      <c r="C16855" s="22" t="n">
        <f aca="false">CHOOSE(C16847,C16811,C16812,C16813,C16814,C16815,C16816,C16817,C16818,C16819,C16820)</f>
        <v>1</v>
      </c>
    </row>
    <row r="16856" customFormat="false" ht="15" hidden="false" customHeight="false" outlineLevel="0" collapsed="false">
      <c r="A16856" s="3" t="s">
        <v>593</v>
      </c>
      <c r="C16856" s="21" t="n">
        <f aca="false">IF(C16679=1,C16852,C16851)</f>
        <v>2</v>
      </c>
    </row>
    <row r="16857" customFormat="false" ht="15" hidden="false" customHeight="false" outlineLevel="0" collapsed="false">
      <c r="A16857" s="3" t="s">
        <v>594</v>
      </c>
      <c r="C16857" s="35" t="n">
        <f aca="false">CHOOSE($C$16381,Assumptions!$C$91,Assumptions!$C$110,Assumptions!$C$129)</f>
        <v>95</v>
      </c>
    </row>
    <row r="16858" customFormat="false" ht="15" hidden="false" customHeight="false" outlineLevel="0" collapsed="false">
      <c r="A16858" s="3" t="s">
        <v>595</v>
      </c>
      <c r="C16858" s="16" t="n">
        <f aca="false">INDEX($G$16398:$K$16398,C16851)*CHOOSE($C$16381,Assumptions!$C$90,Assumptions!$C$109,Assumptions!$C$128)+MAX(0,INDEX($G$16612:$K$16612,C16851))</f>
        <v>2423.913149823</v>
      </c>
    </row>
    <row r="16859" customFormat="false" ht="15" hidden="false" customHeight="false" outlineLevel="0" collapsed="false">
      <c r="A16859" s="24" t="s">
        <v>596</v>
      </c>
      <c r="B16859" s="25"/>
      <c r="C16859" s="25"/>
      <c r="D16859" s="25"/>
      <c r="E16859" s="25"/>
      <c r="F16859" s="25"/>
      <c r="G16859" s="25"/>
      <c r="H16859" s="25"/>
      <c r="I16859" s="25"/>
      <c r="J16859" s="25"/>
      <c r="K16859" s="25"/>
    </row>
    <row r="16860" customFormat="false" ht="15" hidden="false" customHeight="false" outlineLevel="0" collapsed="false">
      <c r="A16860" s="3" t="s">
        <v>556</v>
      </c>
      <c r="C16860" s="16" t="n">
        <f aca="false">INDEX($G$16435:$K$16435,C16851)</f>
        <v>388</v>
      </c>
    </row>
    <row r="16861" customFormat="false" ht="15" hidden="false" customHeight="false" outlineLevel="0" collapsed="false">
      <c r="A16861" s="3" t="s">
        <v>557</v>
      </c>
      <c r="C16861" s="16" t="n">
        <f aca="false">INDEX($G$16448:$K$16448,C16851)</f>
        <v>90</v>
      </c>
    </row>
    <row r="16862" customFormat="false" ht="15" hidden="false" customHeight="false" outlineLevel="0" collapsed="false">
      <c r="A16862" s="3" t="s">
        <v>558</v>
      </c>
      <c r="C16862" s="16" t="n">
        <f aca="false">INDEX($G$16461:$K$16461,C16851)</f>
        <v>57.324</v>
      </c>
    </row>
    <row r="16863" customFormat="false" ht="15" hidden="false" customHeight="false" outlineLevel="0" collapsed="false">
      <c r="A16863" s="3" t="s">
        <v>559</v>
      </c>
      <c r="C16863" s="16" t="n">
        <f aca="false">INDEX($G$16474:$K$16474,C16851)</f>
        <v>0</v>
      </c>
    </row>
    <row r="16864" customFormat="false" ht="15" hidden="false" customHeight="false" outlineLevel="0" collapsed="false">
      <c r="A16864" s="3" t="s">
        <v>560</v>
      </c>
      <c r="C16864" s="16" t="n">
        <f aca="false">INDEX($G$16487:$K$16487,C16851)</f>
        <v>401.446357881</v>
      </c>
    </row>
    <row r="16865" customFormat="false" ht="15" hidden="false" customHeight="false" outlineLevel="0" collapsed="false">
      <c r="A16865" s="3" t="s">
        <v>561</v>
      </c>
      <c r="C16865" s="16" t="n">
        <f aca="false">INDEX($G$16500:$K$16500,C16851)</f>
        <v>350</v>
      </c>
    </row>
    <row r="16866" customFormat="false" ht="15" hidden="false" customHeight="false" outlineLevel="0" collapsed="false">
      <c r="A16866" s="3" t="s">
        <v>562</v>
      </c>
      <c r="C16866" s="16" t="n">
        <f aca="false">INDEX($G$16513:$K$16513,C16851)</f>
        <v>550</v>
      </c>
    </row>
    <row r="16867" customFormat="false" ht="15" hidden="false" customHeight="false" outlineLevel="0" collapsed="false">
      <c r="A16867" s="3" t="s">
        <v>563</v>
      </c>
      <c r="C16867" s="16" t="n">
        <f aca="false">INDEX($G$16526:$K$16526,C16851)</f>
        <v>350</v>
      </c>
    </row>
    <row r="16868" customFormat="false" ht="15" hidden="false" customHeight="false" outlineLevel="0" collapsed="false">
      <c r="A16868" s="3" t="s">
        <v>564</v>
      </c>
      <c r="C16868" s="16" t="n">
        <f aca="false">INDEX($G$16539:$K$16539,C16851)</f>
        <v>300</v>
      </c>
    </row>
    <row r="16869" customFormat="false" ht="15" hidden="false" customHeight="false" outlineLevel="0" collapsed="false">
      <c r="A16869" s="3" t="s">
        <v>565</v>
      </c>
      <c r="C16869" s="16" t="n">
        <f aca="false">INDEX($G$16552:$K$16552,C16851)</f>
        <v>78.61</v>
      </c>
    </row>
    <row r="16870" customFormat="false" ht="15" hidden="false" customHeight="false" outlineLevel="0" collapsed="false">
      <c r="A16870" s="24" t="s">
        <v>566</v>
      </c>
      <c r="B16870" s="25"/>
      <c r="C16870" s="25"/>
      <c r="D16870" s="25"/>
      <c r="E16870" s="25"/>
      <c r="F16870" s="25"/>
      <c r="G16870" s="25"/>
      <c r="H16870" s="25"/>
      <c r="I16870" s="25"/>
      <c r="J16870" s="25"/>
      <c r="K16870" s="25"/>
    </row>
    <row r="16871" customFormat="false" ht="15" hidden="false" customHeight="false" outlineLevel="0" collapsed="false">
      <c r="A16871" s="3" t="s">
        <v>556</v>
      </c>
      <c r="C16871" s="27" t="n">
        <f aca="false">Assumptions!$M$57</f>
        <v>1</v>
      </c>
    </row>
    <row r="16872" customFormat="false" ht="15" hidden="false" customHeight="false" outlineLevel="0" collapsed="false">
      <c r="A16872" s="3" t="s">
        <v>557</v>
      </c>
      <c r="C16872" s="27" t="n">
        <f aca="false">Assumptions!$M$58</f>
        <v>1</v>
      </c>
    </row>
    <row r="16873" customFormat="false" ht="15" hidden="false" customHeight="false" outlineLevel="0" collapsed="false">
      <c r="A16873" s="3" t="s">
        <v>558</v>
      </c>
      <c r="C16873" s="27" t="n">
        <f aca="false">Assumptions!$M$59</f>
        <v>1</v>
      </c>
    </row>
    <row r="16874" customFormat="false" ht="15" hidden="false" customHeight="false" outlineLevel="0" collapsed="false">
      <c r="A16874" s="3" t="s">
        <v>559</v>
      </c>
      <c r="C16874" s="27" t="n">
        <f aca="false">Assumptions!$M$60</f>
        <v>2</v>
      </c>
    </row>
    <row r="16875" customFormat="false" ht="15" hidden="false" customHeight="false" outlineLevel="0" collapsed="false">
      <c r="A16875" s="3" t="s">
        <v>560</v>
      </c>
      <c r="C16875" s="27" t="n">
        <f aca="false">Assumptions!$M$61</f>
        <v>2</v>
      </c>
    </row>
    <row r="16876" customFormat="false" ht="15" hidden="false" customHeight="false" outlineLevel="0" collapsed="false">
      <c r="A16876" s="3" t="s">
        <v>561</v>
      </c>
      <c r="C16876" s="27" t="n">
        <f aca="false">Assumptions!$M$62</f>
        <v>2</v>
      </c>
    </row>
    <row r="16877" customFormat="false" ht="15" hidden="false" customHeight="false" outlineLevel="0" collapsed="false">
      <c r="A16877" s="3" t="s">
        <v>562</v>
      </c>
      <c r="C16877" s="27" t="n">
        <f aca="false">Assumptions!$M$63</f>
        <v>2</v>
      </c>
    </row>
    <row r="16878" customFormat="false" ht="15" hidden="false" customHeight="false" outlineLevel="0" collapsed="false">
      <c r="A16878" s="3" t="s">
        <v>563</v>
      </c>
      <c r="C16878" s="27" t="n">
        <f aca="false">Assumptions!$M$64</f>
        <v>2</v>
      </c>
    </row>
    <row r="16879" customFormat="false" ht="15" hidden="false" customHeight="false" outlineLevel="0" collapsed="false">
      <c r="A16879" s="3" t="s">
        <v>564</v>
      </c>
      <c r="C16879" s="27" t="n">
        <f aca="false">Assumptions!$M$65</f>
        <v>2</v>
      </c>
    </row>
    <row r="16880" customFormat="false" ht="15" hidden="false" customHeight="false" outlineLevel="0" collapsed="false">
      <c r="A16880" s="3" t="s">
        <v>565</v>
      </c>
      <c r="C16880" s="27" t="n">
        <f aca="false">Assumptions!$M$66</f>
        <v>3</v>
      </c>
    </row>
    <row r="16881" customFormat="false" ht="15" hidden="false" customHeight="false" outlineLevel="0" collapsed="false">
      <c r="A16881" s="24" t="s">
        <v>567</v>
      </c>
      <c r="B16881" s="25"/>
      <c r="C16881" s="25"/>
      <c r="D16881" s="25"/>
      <c r="E16881" s="25"/>
      <c r="F16881" s="25"/>
      <c r="G16881" s="25"/>
      <c r="H16881" s="25"/>
      <c r="I16881" s="25"/>
      <c r="J16881" s="25"/>
      <c r="K16881" s="25"/>
    </row>
    <row r="16882" customFormat="false" ht="15" hidden="false" customHeight="false" outlineLevel="0" collapsed="false">
      <c r="A16882" s="3" t="s">
        <v>556</v>
      </c>
      <c r="C16882" s="33" t="n">
        <f aca="false">Assumptions!$Q$57</f>
        <v>0.3</v>
      </c>
    </row>
    <row r="16883" customFormat="false" ht="15" hidden="false" customHeight="false" outlineLevel="0" collapsed="false">
      <c r="A16883" s="3" t="s">
        <v>557</v>
      </c>
      <c r="C16883" s="33" t="n">
        <f aca="false">Assumptions!$Q$58</f>
        <v>0.033</v>
      </c>
    </row>
    <row r="16884" customFormat="false" ht="15" hidden="false" customHeight="false" outlineLevel="0" collapsed="false">
      <c r="A16884" s="3" t="s">
        <v>558</v>
      </c>
      <c r="C16884" s="33" t="n">
        <f aca="false">Assumptions!$Q$59</f>
        <v>0.021</v>
      </c>
    </row>
    <row r="16885" customFormat="false" ht="15" hidden="false" customHeight="false" outlineLevel="0" collapsed="false">
      <c r="A16885" s="3" t="s">
        <v>559</v>
      </c>
      <c r="C16885" s="33" t="n">
        <f aca="false">Assumptions!$Q$60</f>
        <v>0</v>
      </c>
    </row>
    <row r="16886" customFormat="false" ht="15" hidden="false" customHeight="false" outlineLevel="0" collapsed="false">
      <c r="A16886" s="3" t="s">
        <v>560</v>
      </c>
      <c r="C16886" s="33" t="n">
        <f aca="false">Assumptions!$Q$61</f>
        <v>0</v>
      </c>
    </row>
    <row r="16887" customFormat="false" ht="15" hidden="false" customHeight="false" outlineLevel="0" collapsed="false">
      <c r="A16887" s="3" t="s">
        <v>561</v>
      </c>
      <c r="C16887" s="33" t="n">
        <f aca="false">Assumptions!$Q$62</f>
        <v>0</v>
      </c>
    </row>
    <row r="16888" customFormat="false" ht="15" hidden="false" customHeight="false" outlineLevel="0" collapsed="false">
      <c r="A16888" s="3" t="s">
        <v>562</v>
      </c>
      <c r="C16888" s="33" t="n">
        <f aca="false">Assumptions!$Q$63</f>
        <v>0</v>
      </c>
    </row>
    <row r="16889" customFormat="false" ht="15" hidden="false" customHeight="false" outlineLevel="0" collapsed="false">
      <c r="A16889" s="3" t="s">
        <v>563</v>
      </c>
      <c r="C16889" s="33" t="n">
        <f aca="false">Assumptions!$Q$64</f>
        <v>0</v>
      </c>
    </row>
    <row r="16890" customFormat="false" ht="15" hidden="false" customHeight="false" outlineLevel="0" collapsed="false">
      <c r="A16890" s="3" t="s">
        <v>564</v>
      </c>
      <c r="C16890" s="33" t="n">
        <f aca="false">Assumptions!$Q$65</f>
        <v>0</v>
      </c>
    </row>
    <row r="16891" customFormat="false" ht="15" hidden="false" customHeight="false" outlineLevel="0" collapsed="false">
      <c r="A16891" s="3" t="s">
        <v>565</v>
      </c>
      <c r="C16891" s="33" t="n">
        <f aca="false">Assumptions!$Q$66</f>
        <v>0</v>
      </c>
    </row>
    <row r="16892" customFormat="false" ht="15" hidden="false" customHeight="false" outlineLevel="0" collapsed="false">
      <c r="A16892" s="24" t="s">
        <v>568</v>
      </c>
      <c r="B16892" s="25"/>
      <c r="C16892" s="25"/>
      <c r="D16892" s="25"/>
      <c r="E16892" s="25"/>
      <c r="F16892" s="25"/>
      <c r="G16892" s="25"/>
      <c r="H16892" s="25"/>
      <c r="I16892" s="25"/>
      <c r="J16892" s="25"/>
      <c r="K16892" s="25"/>
    </row>
    <row r="16893" customFormat="false" ht="15" hidden="false" customHeight="false" outlineLevel="0" collapsed="false">
      <c r="A16893" s="3" t="s">
        <v>556</v>
      </c>
      <c r="C16893" s="16" t="n">
        <f aca="false">IF(C16882&gt;0,MIN(C16860,C16882*$C$16858),0)</f>
        <v>388</v>
      </c>
    </row>
    <row r="16894" customFormat="false" ht="15" hidden="false" customHeight="false" outlineLevel="0" collapsed="false">
      <c r="A16894" s="3" t="s">
        <v>557</v>
      </c>
      <c r="C16894" s="16" t="n">
        <f aca="false">IF(C16883&gt;0,MIN(C16861,C16883*$C$16858),0)</f>
        <v>79.989133944159</v>
      </c>
    </row>
    <row r="16895" customFormat="false" ht="15" hidden="false" customHeight="false" outlineLevel="0" collapsed="false">
      <c r="A16895" s="3" t="s">
        <v>558</v>
      </c>
      <c r="C16895" s="16" t="n">
        <f aca="false">IF(C16884&gt;0,MIN(C16862,C16884*$C$16858),0)</f>
        <v>50.902176146283</v>
      </c>
    </row>
    <row r="16896" customFormat="false" ht="15" hidden="false" customHeight="false" outlineLevel="0" collapsed="false">
      <c r="A16896" s="3" t="s">
        <v>559</v>
      </c>
      <c r="C16896" s="16" t="n">
        <f aca="false">IF(C16885&gt;0,MIN(C16863,C16885*$C$16858),0)</f>
        <v>0</v>
      </c>
    </row>
    <row r="16897" customFormat="false" ht="15" hidden="false" customHeight="false" outlineLevel="0" collapsed="false">
      <c r="A16897" s="3" t="s">
        <v>560</v>
      </c>
      <c r="C16897" s="16" t="n">
        <f aca="false">IF(C16886&gt;0,MIN(C16864,C16886*$C$16858),0)</f>
        <v>0</v>
      </c>
    </row>
    <row r="16898" customFormat="false" ht="15" hidden="false" customHeight="false" outlineLevel="0" collapsed="false">
      <c r="A16898" s="3" t="s">
        <v>561</v>
      </c>
      <c r="C16898" s="16" t="n">
        <f aca="false">IF(C16887&gt;0,MIN(C16865,C16887*$C$16858),0)</f>
        <v>0</v>
      </c>
    </row>
    <row r="16899" customFormat="false" ht="15" hidden="false" customHeight="false" outlineLevel="0" collapsed="false">
      <c r="A16899" s="3" t="s">
        <v>562</v>
      </c>
      <c r="C16899" s="16" t="n">
        <f aca="false">IF(C16888&gt;0,MIN(C16866,C16888*$C$16858),0)</f>
        <v>0</v>
      </c>
    </row>
    <row r="16900" customFormat="false" ht="15" hidden="false" customHeight="false" outlineLevel="0" collapsed="false">
      <c r="A16900" s="3" t="s">
        <v>563</v>
      </c>
      <c r="C16900" s="16" t="n">
        <f aca="false">IF(C16889&gt;0,MIN(C16867,C16889*$C$16858),0)</f>
        <v>0</v>
      </c>
    </row>
    <row r="16901" customFormat="false" ht="15" hidden="false" customHeight="false" outlineLevel="0" collapsed="false">
      <c r="A16901" s="3" t="s">
        <v>564</v>
      </c>
      <c r="C16901" s="16" t="n">
        <f aca="false">IF(C16890&gt;0,MIN(C16868,C16890*$C$16858),0)</f>
        <v>0</v>
      </c>
    </row>
    <row r="16902" customFormat="false" ht="15" hidden="false" customHeight="false" outlineLevel="0" collapsed="false">
      <c r="A16902" s="3" t="s">
        <v>565</v>
      </c>
      <c r="C16902" s="16" t="n">
        <f aca="false">IF(C16891&gt;0,MIN(C16869,C16891*$C$16858),0)</f>
        <v>0</v>
      </c>
    </row>
    <row r="16903" customFormat="false" ht="15" hidden="false" customHeight="false" outlineLevel="0" collapsed="false">
      <c r="A16903" s="24" t="s">
        <v>569</v>
      </c>
      <c r="B16903" s="25"/>
      <c r="C16903" s="25"/>
      <c r="D16903" s="25"/>
      <c r="E16903" s="25"/>
      <c r="F16903" s="25"/>
      <c r="G16903" s="25"/>
      <c r="H16903" s="25"/>
      <c r="I16903" s="25"/>
      <c r="J16903" s="25"/>
      <c r="K16903" s="25"/>
    </row>
    <row r="16904" customFormat="false" ht="15" hidden="false" customHeight="false" outlineLevel="0" collapsed="false">
      <c r="A16904" s="3" t="s">
        <v>556</v>
      </c>
      <c r="C16904" s="16" t="n">
        <f aca="false">IF(C16882&gt;0,C16860-C16893,0)</f>
        <v>0</v>
      </c>
    </row>
    <row r="16905" customFormat="false" ht="15" hidden="false" customHeight="false" outlineLevel="0" collapsed="false">
      <c r="A16905" s="3" t="s">
        <v>557</v>
      </c>
      <c r="C16905" s="16" t="n">
        <f aca="false">IF(C16883&gt;0,C16861-C16894,0)</f>
        <v>10.010866055841</v>
      </c>
    </row>
    <row r="16906" customFormat="false" ht="15" hidden="false" customHeight="false" outlineLevel="0" collapsed="false">
      <c r="A16906" s="3" t="s">
        <v>558</v>
      </c>
      <c r="C16906" s="16" t="n">
        <f aca="false">IF(C16884&gt;0,C16862-C16895,0)</f>
        <v>6.42182385371699</v>
      </c>
    </row>
    <row r="16907" customFormat="false" ht="15" hidden="false" customHeight="false" outlineLevel="0" collapsed="false">
      <c r="A16907" s="3" t="s">
        <v>559</v>
      </c>
      <c r="C16907" s="16" t="n">
        <f aca="false">IF(C16885&gt;0,C16863-C16896,0)</f>
        <v>0</v>
      </c>
    </row>
    <row r="16908" customFormat="false" ht="15" hidden="false" customHeight="false" outlineLevel="0" collapsed="false">
      <c r="A16908" s="3" t="s">
        <v>560</v>
      </c>
      <c r="C16908" s="16" t="n">
        <f aca="false">IF(C16886&gt;0,C16864-C16897,0)</f>
        <v>0</v>
      </c>
    </row>
    <row r="16909" customFormat="false" ht="15" hidden="false" customHeight="false" outlineLevel="0" collapsed="false">
      <c r="A16909" s="3" t="s">
        <v>561</v>
      </c>
      <c r="C16909" s="16" t="n">
        <f aca="false">IF(C16887&gt;0,C16865-C16898,0)</f>
        <v>0</v>
      </c>
    </row>
    <row r="16910" customFormat="false" ht="15" hidden="false" customHeight="false" outlineLevel="0" collapsed="false">
      <c r="A16910" s="3" t="s">
        <v>562</v>
      </c>
      <c r="C16910" s="16" t="n">
        <f aca="false">IF(C16888&gt;0,C16866-C16899,0)</f>
        <v>0</v>
      </c>
    </row>
    <row r="16911" customFormat="false" ht="15" hidden="false" customHeight="false" outlineLevel="0" collapsed="false">
      <c r="A16911" s="3" t="s">
        <v>563</v>
      </c>
      <c r="C16911" s="16" t="n">
        <f aca="false">IF(C16889&gt;0,C16867-C16900,0)</f>
        <v>0</v>
      </c>
    </row>
    <row r="16912" customFormat="false" ht="15" hidden="false" customHeight="false" outlineLevel="0" collapsed="false">
      <c r="A16912" s="3" t="s">
        <v>564</v>
      </c>
      <c r="C16912" s="16" t="n">
        <f aca="false">IF(C16890&gt;0,C16868-C16901,0)</f>
        <v>0</v>
      </c>
    </row>
    <row r="16913" customFormat="false" ht="15" hidden="false" customHeight="false" outlineLevel="0" collapsed="false">
      <c r="A16913" s="3" t="s">
        <v>565</v>
      </c>
      <c r="C16913" s="16" t="n">
        <f aca="false">IF(C16891&gt;0,C16869-C16902,0)</f>
        <v>0</v>
      </c>
    </row>
    <row r="16914" customFormat="false" ht="15" hidden="false" customHeight="false" outlineLevel="0" collapsed="false">
      <c r="A16914" s="24" t="s">
        <v>570</v>
      </c>
      <c r="B16914" s="25"/>
      <c r="C16914" s="25"/>
      <c r="D16914" s="25"/>
      <c r="E16914" s="25"/>
      <c r="F16914" s="25"/>
      <c r="G16914" s="25"/>
      <c r="H16914" s="25"/>
      <c r="I16914" s="25"/>
      <c r="J16914" s="25"/>
      <c r="K16914" s="25"/>
    </row>
    <row r="16915" customFormat="false" ht="15" hidden="false" customHeight="false" outlineLevel="0" collapsed="false">
      <c r="A16915" s="3" t="s">
        <v>556</v>
      </c>
      <c r="C16915" s="16" t="n">
        <f aca="false">IF(C16882&gt;0,C16904,C16860)</f>
        <v>0</v>
      </c>
    </row>
    <row r="16916" customFormat="false" ht="15" hidden="false" customHeight="false" outlineLevel="0" collapsed="false">
      <c r="A16916" s="3" t="s">
        <v>557</v>
      </c>
      <c r="C16916" s="16" t="n">
        <f aca="false">IF(C16883&gt;0,C16905,C16861)</f>
        <v>10.010866055841</v>
      </c>
    </row>
    <row r="16917" customFormat="false" ht="15" hidden="false" customHeight="false" outlineLevel="0" collapsed="false">
      <c r="A16917" s="3" t="s">
        <v>558</v>
      </c>
      <c r="C16917" s="16" t="n">
        <f aca="false">IF(C16884&gt;0,C16906,C16862)</f>
        <v>6.42182385371699</v>
      </c>
    </row>
    <row r="16918" customFormat="false" ht="15" hidden="false" customHeight="false" outlineLevel="0" collapsed="false">
      <c r="A16918" s="3" t="s">
        <v>559</v>
      </c>
      <c r="C16918" s="16" t="n">
        <f aca="false">IF(C16885&gt;0,C16907,C16863)</f>
        <v>0</v>
      </c>
    </row>
    <row r="16919" customFormat="false" ht="15" hidden="false" customHeight="false" outlineLevel="0" collapsed="false">
      <c r="A16919" s="3" t="s">
        <v>560</v>
      </c>
      <c r="C16919" s="16" t="n">
        <f aca="false">IF(C16886&gt;0,C16908,C16864)</f>
        <v>401.446357881</v>
      </c>
    </row>
    <row r="16920" customFormat="false" ht="15" hidden="false" customHeight="false" outlineLevel="0" collapsed="false">
      <c r="A16920" s="3" t="s">
        <v>561</v>
      </c>
      <c r="C16920" s="16" t="n">
        <f aca="false">IF(C16887&gt;0,C16909,C16865)</f>
        <v>350</v>
      </c>
    </row>
    <row r="16921" customFormat="false" ht="15" hidden="false" customHeight="false" outlineLevel="0" collapsed="false">
      <c r="A16921" s="3" t="s">
        <v>562</v>
      </c>
      <c r="C16921" s="16" t="n">
        <f aca="false">IF(C16888&gt;0,C16910,C16866)</f>
        <v>550</v>
      </c>
    </row>
    <row r="16922" customFormat="false" ht="15" hidden="false" customHeight="false" outlineLevel="0" collapsed="false">
      <c r="A16922" s="3" t="s">
        <v>563</v>
      </c>
      <c r="C16922" s="16" t="n">
        <f aca="false">IF(C16889&gt;0,C16911,C16867)</f>
        <v>350</v>
      </c>
    </row>
    <row r="16923" customFormat="false" ht="15" hidden="false" customHeight="false" outlineLevel="0" collapsed="false">
      <c r="A16923" s="3" t="s">
        <v>564</v>
      </c>
      <c r="C16923" s="16" t="n">
        <f aca="false">IF(C16890&gt;0,C16912,C16868)</f>
        <v>300</v>
      </c>
    </row>
    <row r="16924" customFormat="false" ht="15" hidden="false" customHeight="false" outlineLevel="0" collapsed="false">
      <c r="A16924" s="3" t="s">
        <v>565</v>
      </c>
      <c r="C16924" s="16" t="n">
        <f aca="false">IF(C16891&gt;0,C16913,C16869)</f>
        <v>78.61</v>
      </c>
    </row>
    <row r="16925" customFormat="false" ht="15" hidden="false" customHeight="false" outlineLevel="0" collapsed="false">
      <c r="A16925" s="24" t="s">
        <v>571</v>
      </c>
      <c r="B16925" s="25"/>
      <c r="C16925" s="25"/>
      <c r="D16925" s="25"/>
      <c r="E16925" s="25"/>
      <c r="F16925" s="25"/>
      <c r="G16925" s="25"/>
      <c r="H16925" s="25"/>
      <c r="I16925" s="25"/>
      <c r="J16925" s="25"/>
      <c r="K16925" s="25"/>
    </row>
    <row r="16926" customFormat="false" ht="15" hidden="false" customHeight="false" outlineLevel="0" collapsed="false">
      <c r="A16926" s="3" t="s">
        <v>556</v>
      </c>
      <c r="C16926" s="21" t="n">
        <f aca="false">IF(C16882&gt;0,Assumptions!$C$17,C16871)</f>
        <v>99</v>
      </c>
    </row>
    <row r="16927" customFormat="false" ht="15" hidden="false" customHeight="false" outlineLevel="0" collapsed="false">
      <c r="A16927" s="3" t="s">
        <v>557</v>
      </c>
      <c r="C16927" s="21" t="n">
        <f aca="false">IF(C16883&gt;0,Assumptions!$C$17,C16872)</f>
        <v>99</v>
      </c>
    </row>
    <row r="16928" customFormat="false" ht="15" hidden="false" customHeight="false" outlineLevel="0" collapsed="false">
      <c r="A16928" s="3" t="s">
        <v>558</v>
      </c>
      <c r="C16928" s="21" t="n">
        <f aca="false">IF(C16884&gt;0,Assumptions!$C$17,C16873)</f>
        <v>99</v>
      </c>
    </row>
    <row r="16929" customFormat="false" ht="15" hidden="false" customHeight="false" outlineLevel="0" collapsed="false">
      <c r="A16929" s="3" t="s">
        <v>559</v>
      </c>
      <c r="C16929" s="21" t="n">
        <f aca="false">IF(C16885&gt;0,Assumptions!$C$17,C16874)</f>
        <v>2</v>
      </c>
    </row>
    <row r="16930" customFormat="false" ht="15" hidden="false" customHeight="false" outlineLevel="0" collapsed="false">
      <c r="A16930" s="3" t="s">
        <v>560</v>
      </c>
      <c r="C16930" s="21" t="n">
        <f aca="false">IF(C16886&gt;0,Assumptions!$C$17,C16875)</f>
        <v>2</v>
      </c>
    </row>
    <row r="16931" customFormat="false" ht="15" hidden="false" customHeight="false" outlineLevel="0" collapsed="false">
      <c r="A16931" s="3" t="s">
        <v>561</v>
      </c>
      <c r="C16931" s="21" t="n">
        <f aca="false">IF(C16887&gt;0,Assumptions!$C$17,C16876)</f>
        <v>2</v>
      </c>
    </row>
    <row r="16932" customFormat="false" ht="15" hidden="false" customHeight="false" outlineLevel="0" collapsed="false">
      <c r="A16932" s="3" t="s">
        <v>562</v>
      </c>
      <c r="C16932" s="21" t="n">
        <f aca="false">IF(C16888&gt;0,Assumptions!$C$17,C16877)</f>
        <v>2</v>
      </c>
    </row>
    <row r="16933" customFormat="false" ht="15" hidden="false" customHeight="false" outlineLevel="0" collapsed="false">
      <c r="A16933" s="3" t="s">
        <v>563</v>
      </c>
      <c r="C16933" s="21" t="n">
        <f aca="false">IF(C16889&gt;0,Assumptions!$C$17,C16878)</f>
        <v>2</v>
      </c>
    </row>
    <row r="16934" customFormat="false" ht="15" hidden="false" customHeight="false" outlineLevel="0" collapsed="false">
      <c r="A16934" s="3" t="s">
        <v>564</v>
      </c>
      <c r="C16934" s="21" t="n">
        <f aca="false">IF(C16890&gt;0,Assumptions!$C$17,C16879)</f>
        <v>2</v>
      </c>
    </row>
    <row r="16935" customFormat="false" ht="15" hidden="false" customHeight="false" outlineLevel="0" collapsed="false">
      <c r="A16935" s="3" t="s">
        <v>565</v>
      </c>
      <c r="C16935" s="21" t="n">
        <f aca="false">IF(C16891&gt;0,Assumptions!$C$17,C16880)</f>
        <v>3</v>
      </c>
    </row>
    <row r="16936" customFormat="false" ht="15" hidden="false" customHeight="false" outlineLevel="0" collapsed="false">
      <c r="A16936" s="24" t="s">
        <v>572</v>
      </c>
      <c r="B16936" s="25"/>
      <c r="C16936" s="25"/>
      <c r="D16936" s="25"/>
      <c r="E16936" s="25"/>
      <c r="F16936" s="25"/>
      <c r="G16936" s="25"/>
      <c r="H16936" s="25"/>
      <c r="I16936" s="25"/>
      <c r="J16936" s="25"/>
      <c r="K16936" s="25"/>
    </row>
    <row r="16937" customFormat="false" ht="15" hidden="false" customHeight="false" outlineLevel="0" collapsed="false">
      <c r="A16937" s="3" t="s">
        <v>556</v>
      </c>
      <c r="C16937" s="16" t="n">
        <f aca="false">SUMPRODUCT(($C$16926:$C$16935&lt;C16926)*$C$16915:$C$16924)</f>
        <v>2030.056357881</v>
      </c>
    </row>
    <row r="16938" customFormat="false" ht="15" hidden="false" customHeight="false" outlineLevel="0" collapsed="false">
      <c r="A16938" s="3" t="s">
        <v>557</v>
      </c>
      <c r="C16938" s="16" t="n">
        <f aca="false">SUMPRODUCT(($C$16926:$C$16935&lt;C16927)*$C$16915:$C$16924)</f>
        <v>2030.056357881</v>
      </c>
    </row>
    <row r="16939" customFormat="false" ht="15" hidden="false" customHeight="false" outlineLevel="0" collapsed="false">
      <c r="A16939" s="3" t="s">
        <v>558</v>
      </c>
      <c r="C16939" s="16" t="n">
        <f aca="false">SUMPRODUCT(($C$16926:$C$16935&lt;C16928)*$C$16915:$C$16924)</f>
        <v>2030.056357881</v>
      </c>
    </row>
    <row r="16940" customFormat="false" ht="15" hidden="false" customHeight="false" outlineLevel="0" collapsed="false">
      <c r="A16940" s="3" t="s">
        <v>559</v>
      </c>
      <c r="C16940" s="16" t="n">
        <f aca="false">SUMPRODUCT(($C$16926:$C$16935&lt;C16929)*$C$16915:$C$16924)</f>
        <v>0</v>
      </c>
    </row>
    <row r="16941" customFormat="false" ht="15" hidden="false" customHeight="false" outlineLevel="0" collapsed="false">
      <c r="A16941" s="3" t="s">
        <v>560</v>
      </c>
      <c r="C16941" s="16" t="n">
        <f aca="false">SUMPRODUCT(($C$16926:$C$16935&lt;C16930)*$C$16915:$C$16924)</f>
        <v>0</v>
      </c>
    </row>
    <row r="16942" customFormat="false" ht="15" hidden="false" customHeight="false" outlineLevel="0" collapsed="false">
      <c r="A16942" s="3" t="s">
        <v>561</v>
      </c>
      <c r="C16942" s="16" t="n">
        <f aca="false">SUMPRODUCT(($C$16926:$C$16935&lt;C16931)*$C$16915:$C$16924)</f>
        <v>0</v>
      </c>
    </row>
    <row r="16943" customFormat="false" ht="15" hidden="false" customHeight="false" outlineLevel="0" collapsed="false">
      <c r="A16943" s="3" t="s">
        <v>562</v>
      </c>
      <c r="C16943" s="16" t="n">
        <f aca="false">SUMPRODUCT(($C$16926:$C$16935&lt;C16932)*$C$16915:$C$16924)</f>
        <v>0</v>
      </c>
    </row>
    <row r="16944" customFormat="false" ht="15" hidden="false" customHeight="false" outlineLevel="0" collapsed="false">
      <c r="A16944" s="3" t="s">
        <v>563</v>
      </c>
      <c r="C16944" s="16" t="n">
        <f aca="false">SUMPRODUCT(($C$16926:$C$16935&lt;C16933)*$C$16915:$C$16924)</f>
        <v>0</v>
      </c>
    </row>
    <row r="16945" customFormat="false" ht="15" hidden="false" customHeight="false" outlineLevel="0" collapsed="false">
      <c r="A16945" s="3" t="s">
        <v>564</v>
      </c>
      <c r="C16945" s="16" t="n">
        <f aca="false">SUMPRODUCT(($C$16926:$C$16935&lt;C16934)*$C$16915:$C$16924)</f>
        <v>0</v>
      </c>
    </row>
    <row r="16946" customFormat="false" ht="15" hidden="false" customHeight="false" outlineLevel="0" collapsed="false">
      <c r="A16946" s="3" t="s">
        <v>565</v>
      </c>
      <c r="C16946" s="16" t="n">
        <f aca="false">SUMPRODUCT(($C$16926:$C$16935&lt;C16935)*$C$16915:$C$16924)</f>
        <v>1951.446357881</v>
      </c>
    </row>
    <row r="16947" customFormat="false" ht="15" hidden="false" customHeight="false" outlineLevel="0" collapsed="false">
      <c r="A16947" s="24" t="s">
        <v>573</v>
      </c>
      <c r="B16947" s="25"/>
      <c r="C16947" s="25"/>
      <c r="D16947" s="25"/>
      <c r="E16947" s="25"/>
      <c r="F16947" s="25"/>
      <c r="G16947" s="25"/>
      <c r="H16947" s="25"/>
      <c r="I16947" s="25"/>
      <c r="J16947" s="25"/>
      <c r="K16947" s="25"/>
    </row>
    <row r="16948" customFormat="false" ht="15" hidden="false" customHeight="false" outlineLevel="0" collapsed="false">
      <c r="A16948" s="3" t="s">
        <v>556</v>
      </c>
      <c r="C16948" s="16" t="n">
        <f aca="false">SUMPRODUCT(($C$16926:$C$16935=C16926)*$C$16915:$C$16924)</f>
        <v>16.432689909558</v>
      </c>
    </row>
    <row r="16949" customFormat="false" ht="15" hidden="false" customHeight="false" outlineLevel="0" collapsed="false">
      <c r="A16949" s="3" t="s">
        <v>557</v>
      </c>
      <c r="C16949" s="16" t="n">
        <f aca="false">SUMPRODUCT(($C$16926:$C$16935=C16927)*$C$16915:$C$16924)</f>
        <v>16.432689909558</v>
      </c>
    </row>
    <row r="16950" customFormat="false" ht="15" hidden="false" customHeight="false" outlineLevel="0" collapsed="false">
      <c r="A16950" s="3" t="s">
        <v>558</v>
      </c>
      <c r="C16950" s="16" t="n">
        <f aca="false">SUMPRODUCT(($C$16926:$C$16935=C16928)*$C$16915:$C$16924)</f>
        <v>16.432689909558</v>
      </c>
    </row>
    <row r="16951" customFormat="false" ht="15" hidden="false" customHeight="false" outlineLevel="0" collapsed="false">
      <c r="A16951" s="3" t="s">
        <v>559</v>
      </c>
      <c r="C16951" s="16" t="n">
        <f aca="false">SUMPRODUCT(($C$16926:$C$16935=C16929)*$C$16915:$C$16924)</f>
        <v>1951.446357881</v>
      </c>
    </row>
    <row r="16952" customFormat="false" ht="15" hidden="false" customHeight="false" outlineLevel="0" collapsed="false">
      <c r="A16952" s="3" t="s">
        <v>560</v>
      </c>
      <c r="C16952" s="16" t="n">
        <f aca="false">SUMPRODUCT(($C$16926:$C$16935=C16930)*$C$16915:$C$16924)</f>
        <v>1951.446357881</v>
      </c>
    </row>
    <row r="16953" customFormat="false" ht="15" hidden="false" customHeight="false" outlineLevel="0" collapsed="false">
      <c r="A16953" s="3" t="s">
        <v>561</v>
      </c>
      <c r="C16953" s="16" t="n">
        <f aca="false">SUMPRODUCT(($C$16926:$C$16935=C16931)*$C$16915:$C$16924)</f>
        <v>1951.446357881</v>
      </c>
    </row>
    <row r="16954" customFormat="false" ht="15" hidden="false" customHeight="false" outlineLevel="0" collapsed="false">
      <c r="A16954" s="3" t="s">
        <v>562</v>
      </c>
      <c r="C16954" s="16" t="n">
        <f aca="false">SUMPRODUCT(($C$16926:$C$16935=C16932)*$C$16915:$C$16924)</f>
        <v>1951.446357881</v>
      </c>
    </row>
    <row r="16955" customFormat="false" ht="15" hidden="false" customHeight="false" outlineLevel="0" collapsed="false">
      <c r="A16955" s="3" t="s">
        <v>563</v>
      </c>
      <c r="C16955" s="16" t="n">
        <f aca="false">SUMPRODUCT(($C$16926:$C$16935=C16933)*$C$16915:$C$16924)</f>
        <v>1951.446357881</v>
      </c>
    </row>
    <row r="16956" customFormat="false" ht="15" hidden="false" customHeight="false" outlineLevel="0" collapsed="false">
      <c r="A16956" s="3" t="s">
        <v>564</v>
      </c>
      <c r="C16956" s="16" t="n">
        <f aca="false">SUMPRODUCT(($C$16926:$C$16935=C16934)*$C$16915:$C$16924)</f>
        <v>1951.446357881</v>
      </c>
    </row>
    <row r="16957" customFormat="false" ht="15" hidden="false" customHeight="false" outlineLevel="0" collapsed="false">
      <c r="A16957" s="3" t="s">
        <v>565</v>
      </c>
      <c r="C16957" s="16" t="n">
        <f aca="false">SUMPRODUCT(($C$16926:$C$16935=C16935)*$C$16915:$C$16924)</f>
        <v>78.61</v>
      </c>
    </row>
    <row r="16958" customFormat="false" ht="15" hidden="false" customHeight="false" outlineLevel="0" collapsed="false">
      <c r="A16958" s="24" t="s">
        <v>574</v>
      </c>
      <c r="B16958" s="25"/>
      <c r="C16958" s="25"/>
      <c r="D16958" s="25"/>
      <c r="E16958" s="25"/>
      <c r="F16958" s="25"/>
      <c r="G16958" s="25"/>
      <c r="H16958" s="25"/>
      <c r="I16958" s="25"/>
      <c r="J16958" s="25"/>
      <c r="K16958" s="25"/>
    </row>
    <row r="16959" customFormat="false" ht="15" hidden="false" customHeight="false" outlineLevel="0" collapsed="false">
      <c r="A16959" s="3" t="s">
        <v>556</v>
      </c>
      <c r="C16959" s="16" t="n">
        <f aca="false">IF(C16948=0,0,C16915/C16948*MAX(0,MIN(C16948,$C$16858-SUM($C$16893:$C$16902)-C16937)))</f>
        <v>0</v>
      </c>
    </row>
    <row r="16960" customFormat="false" ht="15" hidden="false" customHeight="false" outlineLevel="0" collapsed="false">
      <c r="A16960" s="3" t="s">
        <v>557</v>
      </c>
      <c r="C16960" s="16" t="n">
        <f aca="false">IF(C16949=0,0,C16916/C16949*MAX(0,MIN(C16949,$C$16858-SUM($C$16893:$C$16902)-C16938)))</f>
        <v>0</v>
      </c>
    </row>
    <row r="16961" customFormat="false" ht="15" hidden="false" customHeight="false" outlineLevel="0" collapsed="false">
      <c r="A16961" s="3" t="s">
        <v>558</v>
      </c>
      <c r="C16961" s="16" t="n">
        <f aca="false">IF(C16950=0,0,C16917/C16950*MAX(0,MIN(C16950,$C$16858-SUM($C$16893:$C$16902)-C16939)))</f>
        <v>0</v>
      </c>
    </row>
    <row r="16962" customFormat="false" ht="15" hidden="false" customHeight="false" outlineLevel="0" collapsed="false">
      <c r="A16962" s="3" t="s">
        <v>559</v>
      </c>
      <c r="C16962" s="16" t="n">
        <f aca="false">IF(C16951=0,0,C16918/C16951*MAX(0,MIN(C16951,$C$16858-SUM($C$16893:$C$16902)-C16940)))</f>
        <v>0</v>
      </c>
    </row>
    <row r="16963" customFormat="false" ht="15" hidden="false" customHeight="false" outlineLevel="0" collapsed="false">
      <c r="A16963" s="3" t="s">
        <v>560</v>
      </c>
      <c r="C16963" s="16" t="n">
        <f aca="false">IF(C16952=0,0,C16919/C16952*MAX(0,MIN(C16952,$C$16858-SUM($C$16893:$C$16902)-C16941)))</f>
        <v>391.896029401918</v>
      </c>
    </row>
    <row r="16964" customFormat="false" ht="15" hidden="false" customHeight="false" outlineLevel="0" collapsed="false">
      <c r="A16964" s="3" t="s">
        <v>561</v>
      </c>
      <c r="C16964" s="16" t="n">
        <f aca="false">IF(C16953=0,0,C16920/C16953*MAX(0,MIN(C16953,$C$16858-SUM($C$16893:$C$16902)-C16942)))</f>
        <v>341.673570074661</v>
      </c>
    </row>
    <row r="16965" customFormat="false" ht="15" hidden="false" customHeight="false" outlineLevel="0" collapsed="false">
      <c r="A16965" s="3" t="s">
        <v>562</v>
      </c>
      <c r="C16965" s="16" t="n">
        <f aca="false">IF(C16954=0,0,C16921/C16954*MAX(0,MIN(C16954,$C$16858-SUM($C$16893:$C$16902)-C16943)))</f>
        <v>536.915610117324</v>
      </c>
    </row>
    <row r="16966" customFormat="false" ht="15" hidden="false" customHeight="false" outlineLevel="0" collapsed="false">
      <c r="A16966" s="3" t="s">
        <v>563</v>
      </c>
      <c r="C16966" s="16" t="n">
        <f aca="false">IF(C16955=0,0,C16922/C16955*MAX(0,MIN(C16955,$C$16858-SUM($C$16893:$C$16902)-C16944)))</f>
        <v>341.673570074661</v>
      </c>
    </row>
    <row r="16967" customFormat="false" ht="15" hidden="false" customHeight="false" outlineLevel="0" collapsed="false">
      <c r="A16967" s="3" t="s">
        <v>564</v>
      </c>
      <c r="C16967" s="16" t="n">
        <f aca="false">IF(C16956=0,0,C16923/C16956*MAX(0,MIN(C16956,$C$16858-SUM($C$16893:$C$16902)-C16945)))</f>
        <v>292.863060063995</v>
      </c>
    </row>
    <row r="16968" customFormat="false" ht="15" hidden="false" customHeight="false" outlineLevel="0" collapsed="false">
      <c r="A16968" s="3" t="s">
        <v>565</v>
      </c>
      <c r="C16968" s="16" t="n">
        <f aca="false">IF(C16957=0,0,C16924/C16957*MAX(0,MIN(C16957,$C$16858-SUM($C$16893:$C$16902)-C16946)))</f>
        <v>0</v>
      </c>
    </row>
    <row r="16969" customFormat="false" ht="15" hidden="false" customHeight="false" outlineLevel="0" collapsed="false">
      <c r="A16969" s="24" t="s">
        <v>575</v>
      </c>
      <c r="B16969" s="25"/>
      <c r="C16969" s="25"/>
      <c r="D16969" s="25"/>
      <c r="E16969" s="25"/>
      <c r="F16969" s="25"/>
      <c r="G16969" s="25"/>
      <c r="H16969" s="25"/>
      <c r="I16969" s="25"/>
      <c r="J16969" s="25"/>
      <c r="K16969" s="25"/>
    </row>
    <row r="16970" customFormat="false" ht="15" hidden="false" customHeight="false" outlineLevel="0" collapsed="false">
      <c r="A16970" s="2" t="s">
        <v>556</v>
      </c>
      <c r="C16970" s="17" t="n">
        <f aca="false">C16893+C16959</f>
        <v>388</v>
      </c>
    </row>
    <row r="16971" customFormat="false" ht="15" hidden="false" customHeight="false" outlineLevel="0" collapsed="false">
      <c r="A16971" s="2" t="s">
        <v>557</v>
      </c>
      <c r="C16971" s="17" t="n">
        <f aca="false">C16894+C16960</f>
        <v>79.989133944159</v>
      </c>
    </row>
    <row r="16972" customFormat="false" ht="15" hidden="false" customHeight="false" outlineLevel="0" collapsed="false">
      <c r="A16972" s="2" t="s">
        <v>558</v>
      </c>
      <c r="C16972" s="17" t="n">
        <f aca="false">C16895+C16961</f>
        <v>50.902176146283</v>
      </c>
    </row>
    <row r="16973" customFormat="false" ht="15" hidden="false" customHeight="false" outlineLevel="0" collapsed="false">
      <c r="A16973" s="2" t="s">
        <v>559</v>
      </c>
      <c r="C16973" s="17" t="n">
        <f aca="false">C16896+C16962</f>
        <v>0</v>
      </c>
    </row>
    <row r="16974" customFormat="false" ht="15" hidden="false" customHeight="false" outlineLevel="0" collapsed="false">
      <c r="A16974" s="2" t="s">
        <v>560</v>
      </c>
      <c r="C16974" s="17" t="n">
        <f aca="false">C16897+C16963</f>
        <v>391.896029401918</v>
      </c>
    </row>
    <row r="16975" customFormat="false" ht="15" hidden="false" customHeight="false" outlineLevel="0" collapsed="false">
      <c r="A16975" s="2" t="s">
        <v>561</v>
      </c>
      <c r="C16975" s="17" t="n">
        <f aca="false">C16898+C16964</f>
        <v>341.673570074661</v>
      </c>
    </row>
    <row r="16976" customFormat="false" ht="15" hidden="false" customHeight="false" outlineLevel="0" collapsed="false">
      <c r="A16976" s="2" t="s">
        <v>562</v>
      </c>
      <c r="C16976" s="17" t="n">
        <f aca="false">C16899+C16965</f>
        <v>536.915610117324</v>
      </c>
    </row>
    <row r="16977" customFormat="false" ht="15" hidden="false" customHeight="false" outlineLevel="0" collapsed="false">
      <c r="A16977" s="2" t="s">
        <v>563</v>
      </c>
      <c r="C16977" s="17" t="n">
        <f aca="false">C16900+C16966</f>
        <v>341.673570074661</v>
      </c>
    </row>
    <row r="16978" customFormat="false" ht="15" hidden="false" customHeight="false" outlineLevel="0" collapsed="false">
      <c r="A16978" s="2" t="s">
        <v>564</v>
      </c>
      <c r="C16978" s="17" t="n">
        <f aca="false">C16901+C16967</f>
        <v>292.863060063995</v>
      </c>
    </row>
    <row r="16979" customFormat="false" ht="15" hidden="false" customHeight="false" outlineLevel="0" collapsed="false">
      <c r="A16979" s="2" t="s">
        <v>565</v>
      </c>
      <c r="C16979" s="17" t="n">
        <f aca="false">C16902+C16968</f>
        <v>0</v>
      </c>
    </row>
    <row r="16980" customFormat="false" ht="15" hidden="false" customHeight="false" outlineLevel="0" collapsed="false">
      <c r="A16980" s="24" t="s">
        <v>576</v>
      </c>
      <c r="B16980" s="25"/>
      <c r="C16980" s="25"/>
      <c r="D16980" s="25"/>
      <c r="E16980" s="25"/>
      <c r="F16980" s="25"/>
      <c r="G16980" s="25"/>
      <c r="H16980" s="25"/>
      <c r="I16980" s="25"/>
      <c r="J16980" s="25"/>
      <c r="K16980" s="25"/>
    </row>
    <row r="16981" customFormat="false" ht="15" hidden="false" customHeight="false" outlineLevel="0" collapsed="false">
      <c r="A16981" s="3" t="s">
        <v>556</v>
      </c>
      <c r="C16981" s="22" t="n">
        <f aca="false">IF(C16860=0,1,C16970/C16860)</f>
        <v>1</v>
      </c>
    </row>
    <row r="16982" customFormat="false" ht="15" hidden="false" customHeight="false" outlineLevel="0" collapsed="false">
      <c r="A16982" s="3" t="s">
        <v>557</v>
      </c>
      <c r="C16982" s="22" t="n">
        <f aca="false">IF(C16861=0,1,C16971/C16861)</f>
        <v>0.8887681549351</v>
      </c>
    </row>
    <row r="16983" customFormat="false" ht="15" hidden="false" customHeight="false" outlineLevel="0" collapsed="false">
      <c r="A16983" s="3" t="s">
        <v>558</v>
      </c>
      <c r="C16983" s="22" t="n">
        <f aca="false">IF(C16862=0,1,C16972/C16862)</f>
        <v>0.887973207492202</v>
      </c>
    </row>
    <row r="16984" customFormat="false" ht="15" hidden="false" customHeight="false" outlineLevel="0" collapsed="false">
      <c r="A16984" s="3" t="s">
        <v>559</v>
      </c>
      <c r="C16984" s="22" t="n">
        <f aca="false">IF(C16863=0,1,C16973/C16863)</f>
        <v>1</v>
      </c>
    </row>
    <row r="16985" customFormat="false" ht="15" hidden="false" customHeight="false" outlineLevel="0" collapsed="false">
      <c r="A16985" s="3" t="s">
        <v>560</v>
      </c>
      <c r="C16985" s="22" t="n">
        <f aca="false">IF(C16864=0,1,C16974/C16864)</f>
        <v>0.976210200213317</v>
      </c>
    </row>
    <row r="16986" customFormat="false" ht="15" hidden="false" customHeight="false" outlineLevel="0" collapsed="false">
      <c r="A16986" s="3" t="s">
        <v>561</v>
      </c>
      <c r="C16986" s="22" t="n">
        <f aca="false">IF(C16865=0,1,C16975/C16865)</f>
        <v>0.976210200213316</v>
      </c>
    </row>
    <row r="16987" customFormat="false" ht="15" hidden="false" customHeight="false" outlineLevel="0" collapsed="false">
      <c r="A16987" s="3" t="s">
        <v>562</v>
      </c>
      <c r="C16987" s="22" t="n">
        <f aca="false">IF(C16866=0,1,C16976/C16866)</f>
        <v>0.976210200213317</v>
      </c>
    </row>
    <row r="16988" customFormat="false" ht="15" hidden="false" customHeight="false" outlineLevel="0" collapsed="false">
      <c r="A16988" s="3" t="s">
        <v>563</v>
      </c>
      <c r="C16988" s="22" t="n">
        <f aca="false">IF(C16867=0,1,C16977/C16867)</f>
        <v>0.976210200213316</v>
      </c>
    </row>
    <row r="16989" customFormat="false" ht="15" hidden="false" customHeight="false" outlineLevel="0" collapsed="false">
      <c r="A16989" s="3" t="s">
        <v>564</v>
      </c>
      <c r="C16989" s="22" t="n">
        <f aca="false">IF(C16868=0,1,C16978/C16868)</f>
        <v>0.976210200213317</v>
      </c>
    </row>
    <row r="16990" customFormat="false" ht="15" hidden="false" customHeight="false" outlineLevel="0" collapsed="false">
      <c r="A16990" s="3" t="s">
        <v>565</v>
      </c>
      <c r="C16990" s="22" t="n">
        <f aca="false">IF(C16869=0,1,C16979/C16869)</f>
        <v>0</v>
      </c>
    </row>
    <row r="16991" customFormat="false" ht="15" hidden="false" customHeight="false" outlineLevel="0" collapsed="false">
      <c r="A16991" s="24" t="s">
        <v>577</v>
      </c>
      <c r="B16991" s="25"/>
      <c r="C16991" s="25"/>
      <c r="D16991" s="25"/>
      <c r="E16991" s="25"/>
      <c r="F16991" s="25"/>
      <c r="G16991" s="25"/>
      <c r="H16991" s="25"/>
      <c r="I16991" s="25"/>
      <c r="J16991" s="25"/>
      <c r="K16991" s="25"/>
    </row>
    <row r="16992" customFormat="false" ht="15" hidden="false" customHeight="false" outlineLevel="0" collapsed="false">
      <c r="A16992" s="3" t="s">
        <v>556</v>
      </c>
      <c r="C16992" s="16" t="n">
        <f aca="false">C16860-C16970</f>
        <v>0</v>
      </c>
    </row>
    <row r="16993" customFormat="false" ht="15" hidden="false" customHeight="false" outlineLevel="0" collapsed="false">
      <c r="A16993" s="3" t="s">
        <v>557</v>
      </c>
      <c r="C16993" s="16" t="n">
        <f aca="false">C16861-C16971</f>
        <v>10.010866055841</v>
      </c>
    </row>
    <row r="16994" customFormat="false" ht="15" hidden="false" customHeight="false" outlineLevel="0" collapsed="false">
      <c r="A16994" s="3" t="s">
        <v>558</v>
      </c>
      <c r="C16994" s="16" t="n">
        <f aca="false">C16862-C16972</f>
        <v>6.42182385371699</v>
      </c>
    </row>
    <row r="16995" customFormat="false" ht="15" hidden="false" customHeight="false" outlineLevel="0" collapsed="false">
      <c r="A16995" s="3" t="s">
        <v>559</v>
      </c>
      <c r="C16995" s="16" t="n">
        <f aca="false">C16863-C16973</f>
        <v>0</v>
      </c>
    </row>
    <row r="16996" customFormat="false" ht="15" hidden="false" customHeight="false" outlineLevel="0" collapsed="false">
      <c r="A16996" s="3" t="s">
        <v>560</v>
      </c>
      <c r="C16996" s="16" t="n">
        <f aca="false">C16864-C16974</f>
        <v>9.55032847908228</v>
      </c>
    </row>
    <row r="16997" customFormat="false" ht="15" hidden="false" customHeight="false" outlineLevel="0" collapsed="false">
      <c r="A16997" s="3" t="s">
        <v>561</v>
      </c>
      <c r="C16997" s="16" t="n">
        <f aca="false">C16865-C16975</f>
        <v>8.32642992533926</v>
      </c>
    </row>
    <row r="16998" customFormat="false" ht="15" hidden="false" customHeight="false" outlineLevel="0" collapsed="false">
      <c r="A16998" s="3" t="s">
        <v>562</v>
      </c>
      <c r="C16998" s="16" t="n">
        <f aca="false">C16866-C16976</f>
        <v>13.0843898826759</v>
      </c>
    </row>
    <row r="16999" customFormat="false" ht="15" hidden="false" customHeight="false" outlineLevel="0" collapsed="false">
      <c r="A16999" s="3" t="s">
        <v>563</v>
      </c>
      <c r="C16999" s="16" t="n">
        <f aca="false">C16867-C16977</f>
        <v>8.32642992533926</v>
      </c>
    </row>
    <row r="17000" customFormat="false" ht="15" hidden="false" customHeight="false" outlineLevel="0" collapsed="false">
      <c r="A17000" s="3" t="s">
        <v>564</v>
      </c>
      <c r="C17000" s="16" t="n">
        <f aca="false">C16868-C16978</f>
        <v>7.13693993600504</v>
      </c>
    </row>
    <row r="17001" customFormat="false" ht="15" hidden="false" customHeight="false" outlineLevel="0" collapsed="false">
      <c r="A17001" s="3" t="s">
        <v>565</v>
      </c>
      <c r="C17001" s="16" t="n">
        <f aca="false">C16869-C16979</f>
        <v>78.61</v>
      </c>
    </row>
    <row r="17002" customFormat="false" ht="15" hidden="false" customHeight="false" outlineLevel="0" collapsed="false">
      <c r="A17002" s="24" t="s">
        <v>578</v>
      </c>
      <c r="B17002" s="25"/>
      <c r="C17002" s="25"/>
      <c r="D17002" s="25"/>
      <c r="E17002" s="25"/>
      <c r="F17002" s="25"/>
      <c r="G17002" s="25"/>
      <c r="H17002" s="25"/>
      <c r="I17002" s="25"/>
      <c r="J17002" s="25"/>
      <c r="K17002" s="25"/>
    </row>
    <row r="17003" customFormat="false" ht="15" hidden="false" customHeight="false" outlineLevel="0" collapsed="false">
      <c r="A17003" s="3" t="s">
        <v>556</v>
      </c>
      <c r="C17003" s="22" t="n">
        <f aca="false">IF(C16860=0,0,C16992/C16860)</f>
        <v>0</v>
      </c>
    </row>
    <row r="17004" customFormat="false" ht="15" hidden="false" customHeight="false" outlineLevel="0" collapsed="false">
      <c r="A17004" s="3" t="s">
        <v>557</v>
      </c>
      <c r="C17004" s="22" t="n">
        <f aca="false">IF(C16861=0,0,C16993/C16861)</f>
        <v>0.1112318450649</v>
      </c>
    </row>
    <row r="17005" customFormat="false" ht="15" hidden="false" customHeight="false" outlineLevel="0" collapsed="false">
      <c r="A17005" s="3" t="s">
        <v>558</v>
      </c>
      <c r="C17005" s="22" t="n">
        <f aca="false">IF(C16862=0,0,C16994/C16862)</f>
        <v>0.112026792507798</v>
      </c>
    </row>
    <row r="17006" customFormat="false" ht="15" hidden="false" customHeight="false" outlineLevel="0" collapsed="false">
      <c r="A17006" s="3" t="s">
        <v>559</v>
      </c>
      <c r="C17006" s="22" t="n">
        <f aca="false">IF(C16863=0,0,C16995/C16863)</f>
        <v>0</v>
      </c>
    </row>
    <row r="17007" customFormat="false" ht="15" hidden="false" customHeight="false" outlineLevel="0" collapsed="false">
      <c r="A17007" s="3" t="s">
        <v>560</v>
      </c>
      <c r="C17007" s="22" t="n">
        <f aca="false">IF(C16864=0,0,C16996/C16864)</f>
        <v>0.0237897997866835</v>
      </c>
    </row>
    <row r="17008" customFormat="false" ht="15" hidden="false" customHeight="false" outlineLevel="0" collapsed="false">
      <c r="A17008" s="3" t="s">
        <v>561</v>
      </c>
      <c r="C17008" s="22" t="n">
        <f aca="false">IF(C16865=0,0,C16997/C16865)</f>
        <v>0.0237897997866836</v>
      </c>
    </row>
    <row r="17009" customFormat="false" ht="15" hidden="false" customHeight="false" outlineLevel="0" collapsed="false">
      <c r="A17009" s="3" t="s">
        <v>562</v>
      </c>
      <c r="C17009" s="22" t="n">
        <f aca="false">IF(C16866=0,0,C16998/C16866)</f>
        <v>0.0237897997866834</v>
      </c>
    </row>
    <row r="17010" customFormat="false" ht="15" hidden="false" customHeight="false" outlineLevel="0" collapsed="false">
      <c r="A17010" s="3" t="s">
        <v>563</v>
      </c>
      <c r="C17010" s="22" t="n">
        <f aca="false">IF(C16867=0,0,C16999/C16867)</f>
        <v>0.0237897997866836</v>
      </c>
    </row>
    <row r="17011" customFormat="false" ht="15" hidden="false" customHeight="false" outlineLevel="0" collapsed="false">
      <c r="A17011" s="3" t="s">
        <v>564</v>
      </c>
      <c r="C17011" s="22" t="n">
        <f aca="false">IF(C16868=0,0,C17000/C16868)</f>
        <v>0.0237897997866835</v>
      </c>
    </row>
    <row r="17012" customFormat="false" ht="15" hidden="false" customHeight="false" outlineLevel="0" collapsed="false">
      <c r="A17012" s="3" t="s">
        <v>565</v>
      </c>
      <c r="C17012" s="22" t="n">
        <f aca="false">IF(C16869=0,0,C17001/C16869)</f>
        <v>1</v>
      </c>
    </row>
    <row r="17013" customFormat="false" ht="15" hidden="false" customHeight="false" outlineLevel="0" collapsed="false">
      <c r="A17013" s="2" t="s">
        <v>579</v>
      </c>
      <c r="C17013" s="17" t="n">
        <f aca="false">MAX(0,$C$16858-SUM($C$16893:$C$16902)-SUM($C$16915:$C$16924))</f>
        <v>0</v>
      </c>
    </row>
    <row r="17014" customFormat="false" ht="15" hidden="false" customHeight="false" outlineLevel="0" collapsed="false">
      <c r="A17014" s="3" t="s">
        <v>597</v>
      </c>
      <c r="C17014" s="35" t="n">
        <f aca="false">MIN(C16857,100*CHOOSE(C16847,C16981,C16982,C16983,C16984,C16985,C16986,C16987,C16988,C16989,C16990))</f>
        <v>95</v>
      </c>
    </row>
    <row r="17015" customFormat="false" ht="15" hidden="false" customHeight="false" outlineLevel="0" collapsed="false">
      <c r="A17015" s="3" t="s">
        <v>598</v>
      </c>
      <c r="C17015" s="21" t="n">
        <f aca="false">IF(C16679=1,C16852+Assumptions!$C$40,C16851)</f>
        <v>3</v>
      </c>
    </row>
    <row r="17016" customFormat="false" ht="15" hidden="false" customHeight="false" outlineLevel="0" collapsed="false">
      <c r="A17016" s="24" t="s">
        <v>599</v>
      </c>
      <c r="B17016" s="25"/>
      <c r="C17016" s="25"/>
      <c r="D17016" s="25"/>
      <c r="E17016" s="25"/>
      <c r="F17016" s="25"/>
      <c r="G17016" s="25"/>
      <c r="H17016" s="25"/>
      <c r="I17016" s="25"/>
      <c r="J17016" s="25"/>
      <c r="K17016" s="25"/>
    </row>
    <row r="17017" customFormat="false" ht="15" hidden="false" customHeight="false" outlineLevel="0" collapsed="false">
      <c r="A17017" s="3" t="s">
        <v>600</v>
      </c>
      <c r="C17017" s="21" t="n">
        <f aca="false">COLUMN()-COLUMN($C$1)</f>
        <v>0</v>
      </c>
      <c r="D17017" s="21" t="n">
        <f aca="false">COLUMN()-COLUMN($C$1)</f>
        <v>1</v>
      </c>
      <c r="E17017" s="21" t="n">
        <f aca="false">COLUMN()-COLUMN($C$1)</f>
        <v>2</v>
      </c>
      <c r="F17017" s="21" t="n">
        <f aca="false">COLUMN()-COLUMN($C$1)</f>
        <v>3</v>
      </c>
      <c r="G17017" s="21" t="n">
        <f aca="false">COLUMN()-COLUMN($C$1)</f>
        <v>4</v>
      </c>
      <c r="H17017" s="21" t="n">
        <f aca="false">COLUMN()-COLUMN($C$1)</f>
        <v>5</v>
      </c>
      <c r="I17017" s="21" t="n">
        <f aca="false">COLUMN()-COLUMN($C$1)</f>
        <v>6</v>
      </c>
    </row>
    <row r="17018" customFormat="false" ht="15" hidden="false" customHeight="false" outlineLevel="0" collapsed="false">
      <c r="A17018" s="3" t="s">
        <v>601</v>
      </c>
      <c r="D17018" s="31" t="n">
        <f aca="false">CHOOSE($C$16847,G16427,G16440,G16453,G16466,G16479,G16492,G16505,G16518,G16531,G16544)</f>
        <v>0.1065</v>
      </c>
      <c r="E17018" s="31" t="n">
        <f aca="false">CHOOSE($C$16847,H16427,H16440,H16453,H16466,H16479,H16492,H16505,H16518,H16531,H16544)</f>
        <v>0.105</v>
      </c>
      <c r="F17018" s="31" t="n">
        <f aca="false">CHOOSE($C$16847,I16427,I16440,I16453,I16466,I16479,I16492,I16505,I16518,I16531,I16544)</f>
        <v>0.1025</v>
      </c>
      <c r="G17018" s="31" t="n">
        <f aca="false">CHOOSE($C$16847,J16427,J16440,J16453,J16466,J16479,J16492,J16505,J16518,J16531,J16544)</f>
        <v>0.1025</v>
      </c>
      <c r="H17018" s="31" t="n">
        <f aca="false">CHOOSE($C$16847,K16427,K16440,K16453,K16466,K16479,K16492,K16505,K16518,K16531,K16544)</f>
        <v>0.1025</v>
      </c>
    </row>
    <row r="17019" customFormat="false" ht="15" hidden="false" customHeight="false" outlineLevel="0" collapsed="false">
      <c r="A17019" s="3" t="s">
        <v>602</v>
      </c>
      <c r="D17019" s="16" t="n">
        <f aca="false">IF(D17017&lt;=$C$16856,$C$16848*D17018,0)</f>
        <v>10.65</v>
      </c>
      <c r="E17019" s="16" t="n">
        <f aca="false">IF(E17017&lt;=$C$16856,$C$16848*E17018,0)</f>
        <v>10.5</v>
      </c>
      <c r="F17019" s="16" t="n">
        <f aca="false">IF(F17017&lt;=$C$16856,$C$16848*F17018,0)</f>
        <v>0</v>
      </c>
      <c r="G17019" s="16" t="n">
        <f aca="false">IF(G17017&lt;=$C$16856,$C$16848*G17018,0)</f>
        <v>0</v>
      </c>
      <c r="H17019" s="16" t="n">
        <f aca="false">IF(H17017&lt;=$C$16856,$C$16848*H17018,0)</f>
        <v>0</v>
      </c>
    </row>
    <row r="17020" customFormat="false" ht="15" hidden="false" customHeight="false" outlineLevel="0" collapsed="false">
      <c r="A17020" s="3" t="s">
        <v>603</v>
      </c>
      <c r="D17020" s="16" t="n">
        <f aca="false">IF(AND($C$16679=0,D17017=$C$16851),$C$16848*$C$17014/100,0)+IF(AND($C$16679=1,D17017=$C$17015),$C$16854,0)</f>
        <v>0</v>
      </c>
      <c r="E17020" s="16" t="n">
        <f aca="false">IF(AND($C$16679=0,E17017=$C$16851),$C$16848*$C$17014/100,0)+IF(AND($C$16679=1,E17017=$C$17015),$C$16854,0)</f>
        <v>0</v>
      </c>
      <c r="F17020" s="16" t="n">
        <f aca="false">IF(AND($C$16679=0,F17017=$C$16851),$C$16848*$C$17014/100,0)+IF(AND($C$16679=1,F17017=$C$17015),$C$16854,0)</f>
        <v>102.625</v>
      </c>
      <c r="G17020" s="16" t="n">
        <f aca="false">IF(AND($C$16679=0,G17017=$C$16851),$C$16848*$C$17014/100,0)+IF(AND($C$16679=1,G17017=$C$17015),$C$16854,0)</f>
        <v>0</v>
      </c>
      <c r="H17020" s="16" t="n">
        <f aca="false">IF(AND($C$16679=0,H17017=$C$16851),$C$16848*$C$17014/100,0)+IF(AND($C$16679=1,H17017=$C$17015),$C$16854,0)</f>
        <v>0</v>
      </c>
      <c r="I17020" s="16" t="n">
        <f aca="false">IF(AND($C$16679=0,I17017=$C$16851),$C$16848*$C$17014/100,0)+IF(AND($C$16679=1,I17017=$C$17015),$C$16854,0)</f>
        <v>0</v>
      </c>
    </row>
    <row r="17021" customFormat="false" ht="15" hidden="false" customHeight="false" outlineLevel="0" collapsed="false">
      <c r="A17021" s="2" t="s">
        <v>604</v>
      </c>
      <c r="C17021" s="17" t="n">
        <f aca="false">-$C$16850</f>
        <v>-98.49</v>
      </c>
      <c r="D17021" s="17" t="n">
        <f aca="false">D17019+D17020</f>
        <v>10.65</v>
      </c>
      <c r="E17021" s="17" t="n">
        <f aca="false">E17019+E17020</f>
        <v>10.5</v>
      </c>
      <c r="F17021" s="17" t="n">
        <f aca="false">F17019+F17020</f>
        <v>102.625</v>
      </c>
      <c r="G17021" s="17" t="n">
        <f aca="false">G17019+G17020</f>
        <v>0</v>
      </c>
      <c r="H17021" s="17" t="n">
        <f aca="false">H17019+H17020</f>
        <v>0</v>
      </c>
      <c r="I17021" s="17" t="n">
        <f aca="false">I17019+I17020</f>
        <v>0</v>
      </c>
    </row>
    <row r="17022" customFormat="false" ht="15" hidden="false" customHeight="false" outlineLevel="0" collapsed="false">
      <c r="A17022" s="3" t="s">
        <v>605</v>
      </c>
      <c r="C17022" s="16" t="n">
        <f aca="false">SUM($C$17019:$I$17019)</f>
        <v>21.15</v>
      </c>
    </row>
    <row r="17023" customFormat="false" ht="15" hidden="false" customHeight="false" outlineLevel="0" collapsed="false">
      <c r="A17023" s="3" t="s">
        <v>606</v>
      </c>
      <c r="C17023" s="16" t="n">
        <f aca="false">SUM($C$17020:$I$17020)</f>
        <v>102.625</v>
      </c>
    </row>
    <row r="17024" customFormat="false" ht="15" hidden="false" customHeight="false" outlineLevel="0" collapsed="false">
      <c r="A17024" s="3" t="s">
        <v>607</v>
      </c>
      <c r="C17024" s="16" t="n">
        <f aca="false">C17022+C17023</f>
        <v>123.775</v>
      </c>
    </row>
    <row r="17025" customFormat="false" ht="15" hidden="false" customHeight="false" outlineLevel="0" collapsed="false">
      <c r="A17025" s="3" t="s">
        <v>608</v>
      </c>
      <c r="C17025" s="16" t="n">
        <f aca="false">C17023-C16848*C16849/100</f>
        <v>4.62500000000001</v>
      </c>
    </row>
    <row r="17026" customFormat="false" ht="15" hidden="false" customHeight="false" outlineLevel="0" collapsed="false">
      <c r="A17026" s="3" t="s">
        <v>609</v>
      </c>
      <c r="C17026" s="16" t="n">
        <f aca="false">C17024-C16850</f>
        <v>25.285</v>
      </c>
    </row>
    <row r="17027" customFormat="false" ht="15" hidden="false" customHeight="false" outlineLevel="0" collapsed="false">
      <c r="A17027" s="2" t="s">
        <v>484</v>
      </c>
      <c r="C17027" s="44" t="n">
        <f aca="false">C17024/C16850</f>
        <v>1.25672657122551</v>
      </c>
    </row>
    <row r="17028" customFormat="false" ht="15" hidden="false" customHeight="false" outlineLevel="0" collapsed="false">
      <c r="A17028" s="2" t="s">
        <v>483</v>
      </c>
      <c r="C17028" s="42" t="n">
        <f aca="false">IF(C17024&lt;=0,-1,IFERROR(IRR($C$17021:$I$17021,MAX(-0.9,C17027^(1/C17015)-1)),IRR($C$17021:$I$17021,0.1)))</f>
        <v>0.0873962489027792</v>
      </c>
    </row>
    <row r="17029" customFormat="false" ht="15" hidden="false" customHeight="false" outlineLevel="0" collapsed="false">
      <c r="A17029" s="3" t="s">
        <v>610</v>
      </c>
      <c r="C17029" s="32" t="n">
        <f aca="false">MAX($G$16623:$K$16623)</f>
        <v>12.0232607366907</v>
      </c>
    </row>
    <row r="17030" customFormat="false" ht="15" hidden="false" customHeight="false" outlineLevel="0" collapsed="false">
      <c r="A17030" s="3" t="s">
        <v>611</v>
      </c>
      <c r="C17030" s="32" t="n">
        <f aca="false">MIN($G$16624:$K$16624)</f>
        <v>1.18311222526984</v>
      </c>
    </row>
    <row r="17031" customFormat="false" ht="15" hidden="false" customHeight="false" outlineLevel="0" collapsed="false">
      <c r="A17031" s="3" t="s">
        <v>612</v>
      </c>
      <c r="C17031" s="16" t="n">
        <f aca="false">SUM($G$16411:$K$16411)</f>
        <v>-320.308045372933</v>
      </c>
    </row>
    <row r="17035" customFormat="false" ht="15" hidden="false" customHeight="false" outlineLevel="0" collapsed="false">
      <c r="A17035" s="9" t="s">
        <v>1156</v>
      </c>
      <c r="B17035" s="10"/>
      <c r="C17035" s="10"/>
      <c r="D17035" s="10"/>
      <c r="E17035" s="10"/>
      <c r="F17035" s="10"/>
      <c r="G17035" s="10"/>
      <c r="H17035" s="10"/>
      <c r="I17035" s="10"/>
      <c r="J17035" s="10"/>
      <c r="K17035" s="10"/>
    </row>
    <row r="17036" customFormat="false" ht="15" hidden="false" customHeight="false" outlineLevel="0" collapsed="false">
      <c r="A17036" s="3" t="s">
        <v>1126</v>
      </c>
      <c r="C17036" s="11" t="n">
        <v>2</v>
      </c>
    </row>
    <row r="17037" customFormat="false" ht="15" hidden="false" customHeight="false" outlineLevel="0" collapsed="false">
      <c r="A17037" s="3" t="s">
        <v>1127</v>
      </c>
      <c r="C17037" s="30" t="n">
        <f aca="false">Sensitivities!$A$43</f>
        <v>0.05</v>
      </c>
    </row>
    <row r="17038" customFormat="false" ht="15" hidden="false" customHeight="false" outlineLevel="0" collapsed="false">
      <c r="A17038" s="3" t="s">
        <v>1128</v>
      </c>
      <c r="C17038" s="19" t="n">
        <v>0</v>
      </c>
    </row>
    <row r="17039" customFormat="false" ht="15" hidden="false" customHeight="false" outlineLevel="0" collapsed="false">
      <c r="A17039" s="3" t="s">
        <v>1129</v>
      </c>
      <c r="C17039" s="19" t="n">
        <v>0</v>
      </c>
    </row>
    <row r="17040" customFormat="false" ht="15" hidden="false" customHeight="false" outlineLevel="0" collapsed="false">
      <c r="A17040" s="3" t="s">
        <v>1130</v>
      </c>
      <c r="C17040" s="15" t="n">
        <v>0</v>
      </c>
    </row>
    <row r="17042" customFormat="false" ht="15" hidden="false" customHeight="false" outlineLevel="0" collapsed="false">
      <c r="A17042" s="24" t="s">
        <v>301</v>
      </c>
      <c r="B17042" s="25"/>
      <c r="C17042" s="25"/>
      <c r="D17042" s="25"/>
      <c r="E17042" s="25"/>
      <c r="F17042" s="25"/>
      <c r="G17042" s="25"/>
      <c r="H17042" s="25"/>
      <c r="I17042" s="25"/>
      <c r="J17042" s="25"/>
      <c r="K17042" s="25"/>
    </row>
    <row r="17043" customFormat="false" ht="15" hidden="false" customHeight="false" outlineLevel="0" collapsed="false">
      <c r="A17043" s="3" t="s">
        <v>302</v>
      </c>
      <c r="F17043" s="27" t="n">
        <f aca="false">Assumptions!$C$6</f>
        <v>2026</v>
      </c>
      <c r="G17043" s="21" t="n">
        <f aca="false">F17043+1</f>
        <v>2027</v>
      </c>
      <c r="H17043" s="21" t="n">
        <f aca="false">G17043+1</f>
        <v>2028</v>
      </c>
      <c r="I17043" s="21" t="n">
        <f aca="false">H17043+1</f>
        <v>2029</v>
      </c>
      <c r="J17043" s="21" t="n">
        <f aca="false">I17043+1</f>
        <v>2030</v>
      </c>
      <c r="K17043" s="21" t="n">
        <f aca="false">J17043+1</f>
        <v>2031</v>
      </c>
    </row>
    <row r="17044" customFormat="false" ht="15" hidden="false" customHeight="false" outlineLevel="0" collapsed="false">
      <c r="A17044" s="3" t="s">
        <v>303</v>
      </c>
      <c r="G17044" s="21" t="n">
        <f aca="false">G17043-Assumptions!$C$6</f>
        <v>1</v>
      </c>
      <c r="H17044" s="21" t="n">
        <f aca="false">H17043-Assumptions!$C$6</f>
        <v>2</v>
      </c>
      <c r="I17044" s="21" t="n">
        <f aca="false">I17043-Assumptions!$C$6</f>
        <v>3</v>
      </c>
      <c r="J17044" s="21" t="n">
        <f aca="false">J17043-Assumptions!$C$6</f>
        <v>4</v>
      </c>
      <c r="K17044" s="21" t="n">
        <f aca="false">K17043-Assumptions!$C$6</f>
        <v>5</v>
      </c>
    </row>
    <row r="17045" customFormat="false" ht="15" hidden="false" customHeight="false" outlineLevel="0" collapsed="false">
      <c r="A17045" s="3" t="s">
        <v>180</v>
      </c>
      <c r="G17045" s="22" t="n">
        <f aca="false">CHOOSE($C$17036,Assumptions!$G$79,Assumptions!$G$98,Assumptions!$G$117)+$C$17037</f>
        <v>-0.01</v>
      </c>
      <c r="H17045" s="22" t="n">
        <f aca="false">CHOOSE($C$17036,Assumptions!$H$79,Assumptions!$H$98,Assumptions!$H$117)+$C$17037</f>
        <v>0.02</v>
      </c>
      <c r="I17045" s="22" t="n">
        <f aca="false">CHOOSE($C$17036,Assumptions!$I$79,Assumptions!$I$98,Assumptions!$I$117)+$C$17037</f>
        <v>0.05</v>
      </c>
      <c r="J17045" s="22" t="n">
        <f aca="false">CHOOSE($C$17036,Assumptions!$J$79,Assumptions!$J$98,Assumptions!$J$117)+$C$17037</f>
        <v>0.06</v>
      </c>
      <c r="K17045" s="22" t="n">
        <f aca="false">CHOOSE($C$17036,Assumptions!$K$79,Assumptions!$K$98,Assumptions!$K$117)+$C$17037</f>
        <v>0.06</v>
      </c>
    </row>
    <row r="17046" customFormat="false" ht="15" hidden="false" customHeight="false" outlineLevel="0" collapsed="false">
      <c r="A17046" s="3" t="s">
        <v>181</v>
      </c>
      <c r="G17046" s="22" t="n">
        <f aca="false">CHOOSE($C$17036,Assumptions!$G$80,Assumptions!$G$99,Assumptions!$G$118)</f>
        <v>0.573920660818678</v>
      </c>
      <c r="H17046" s="22" t="n">
        <f aca="false">CHOOSE($C$17036,Assumptions!$H$80,Assumptions!$H$99,Assumptions!$H$118)</f>
        <v>0.558920660818678</v>
      </c>
      <c r="I17046" s="22" t="n">
        <f aca="false">CHOOSE($C$17036,Assumptions!$I$80,Assumptions!$I$99,Assumptions!$I$118)</f>
        <v>0.558920660818678</v>
      </c>
      <c r="J17046" s="22" t="n">
        <f aca="false">CHOOSE($C$17036,Assumptions!$J$80,Assumptions!$J$99,Assumptions!$J$118)</f>
        <v>0.563920660818678</v>
      </c>
      <c r="K17046" s="22" t="n">
        <f aca="false">CHOOSE($C$17036,Assumptions!$K$80,Assumptions!$K$99,Assumptions!$K$118)</f>
        <v>0.568920660818678</v>
      </c>
    </row>
    <row r="17047" customFormat="false" ht="15" hidden="false" customHeight="false" outlineLevel="0" collapsed="false">
      <c r="A17047" s="3" t="s">
        <v>182</v>
      </c>
      <c r="G17047" s="22" t="n">
        <f aca="false">CHOOSE($C$17036,Assumptions!$G$81,Assumptions!$G$100,Assumptions!$G$119)+$C$17038</f>
        <v>0.5</v>
      </c>
      <c r="H17047" s="22" t="n">
        <f aca="false">CHOOSE($C$17036,Assumptions!$H$81,Assumptions!$H$100,Assumptions!$H$119)+$C$17038</f>
        <v>0.485</v>
      </c>
      <c r="I17047" s="22" t="n">
        <f aca="false">CHOOSE($C$17036,Assumptions!$I$81,Assumptions!$I$100,Assumptions!$I$119)+$C$17038</f>
        <v>0.485</v>
      </c>
      <c r="J17047" s="22" t="n">
        <f aca="false">CHOOSE($C$17036,Assumptions!$J$81,Assumptions!$J$100,Assumptions!$J$119)+$C$17038</f>
        <v>0.49</v>
      </c>
      <c r="K17047" s="22" t="n">
        <f aca="false">CHOOSE($C$17036,Assumptions!$K$81,Assumptions!$K$100,Assumptions!$K$119)+$C$17038</f>
        <v>0.495</v>
      </c>
    </row>
    <row r="17048" customFormat="false" ht="15" hidden="false" customHeight="false" outlineLevel="0" collapsed="false">
      <c r="A17048" s="24" t="s">
        <v>304</v>
      </c>
      <c r="B17048" s="25"/>
      <c r="C17048" s="25"/>
      <c r="D17048" s="25"/>
      <c r="E17048" s="25"/>
      <c r="F17048" s="25"/>
      <c r="G17048" s="25"/>
      <c r="H17048" s="25"/>
      <c r="I17048" s="25"/>
      <c r="J17048" s="25"/>
      <c r="K17048" s="25"/>
    </row>
    <row r="17049" customFormat="false" ht="15" hidden="false" customHeight="false" outlineLevel="0" collapsed="false">
      <c r="A17049" s="2" t="s">
        <v>275</v>
      </c>
      <c r="F17049" s="28" t="n">
        <f aca="false">'Historical Financials'!G25</f>
        <v>498.291</v>
      </c>
      <c r="G17049" s="17" t="n">
        <f aca="false">F17049*(1+G17045)</f>
        <v>493.30809</v>
      </c>
      <c r="H17049" s="17" t="n">
        <f aca="false">G17049*(1+H17045)</f>
        <v>503.1742518</v>
      </c>
      <c r="I17049" s="17" t="n">
        <f aca="false">H17049*(1+I17045)</f>
        <v>528.33296439</v>
      </c>
      <c r="J17049" s="17" t="n">
        <f aca="false">I17049*(1+J17045)</f>
        <v>560.0329422534</v>
      </c>
      <c r="K17049" s="17" t="n">
        <f aca="false">J17049*(1+K17045)</f>
        <v>593.634918788604</v>
      </c>
    </row>
    <row r="17050" customFormat="false" ht="15" hidden="false" customHeight="false" outlineLevel="0" collapsed="false">
      <c r="A17050" s="3" t="s">
        <v>276</v>
      </c>
      <c r="G17050" s="16" t="n">
        <f aca="false">G17049*(1-G17046)</f>
        <v>210.188385</v>
      </c>
      <c r="H17050" s="16" t="n">
        <f aca="false">H17049*(1-H17046)</f>
        <v>221.939766477</v>
      </c>
      <c r="I17050" s="16" t="n">
        <f aca="false">I17049*(1-I17046)</f>
        <v>233.03675480085</v>
      </c>
      <c r="J17050" s="16" t="n">
        <f aca="false">J17049*(1-J17046)</f>
        <v>244.218795377634</v>
      </c>
      <c r="K17050" s="16" t="n">
        <f aca="false">K17049*(1-K17046)</f>
        <v>255.903748506349</v>
      </c>
    </row>
    <row r="17051" customFormat="false" ht="15" hidden="false" customHeight="false" outlineLevel="0" collapsed="false">
      <c r="A17051" s="2" t="s">
        <v>277</v>
      </c>
      <c r="G17051" s="17" t="n">
        <f aca="false">G17049-G17050</f>
        <v>283.119705</v>
      </c>
      <c r="H17051" s="17" t="n">
        <f aca="false">H17049-H17050</f>
        <v>281.234485323</v>
      </c>
      <c r="I17051" s="17" t="n">
        <f aca="false">I17049-I17050</f>
        <v>295.29620958915</v>
      </c>
      <c r="J17051" s="17" t="n">
        <f aca="false">J17049-J17050</f>
        <v>315.814146875766</v>
      </c>
      <c r="K17051" s="17" t="n">
        <f aca="false">K17049-K17050</f>
        <v>337.731170282255</v>
      </c>
    </row>
    <row r="17052" customFormat="false" ht="15" hidden="false" customHeight="false" outlineLevel="0" collapsed="false">
      <c r="A17052" s="3" t="s">
        <v>305</v>
      </c>
      <c r="G17052" s="16" t="n">
        <f aca="false">G17051-G17053</f>
        <v>36.46566</v>
      </c>
      <c r="H17052" s="16" t="n">
        <f aca="false">H17051-H17053</f>
        <v>37.1949732</v>
      </c>
      <c r="I17052" s="16" t="n">
        <f aca="false">I17051-I17053</f>
        <v>39.05472186</v>
      </c>
      <c r="J17052" s="16" t="n">
        <f aca="false">J17051-J17053</f>
        <v>41.3980051716</v>
      </c>
      <c r="K17052" s="16" t="n">
        <f aca="false">K17051-K17053</f>
        <v>43.881885481896</v>
      </c>
    </row>
    <row r="17053" customFormat="false" ht="15" hidden="false" customHeight="false" outlineLevel="0" collapsed="false">
      <c r="A17053" s="2" t="s">
        <v>306</v>
      </c>
      <c r="G17053" s="17" t="n">
        <f aca="false">G17049*G17047</f>
        <v>246.654045</v>
      </c>
      <c r="H17053" s="17" t="n">
        <f aca="false">H17049*H17047</f>
        <v>244.039512123</v>
      </c>
      <c r="I17053" s="17" t="n">
        <f aca="false">I17049*I17047</f>
        <v>256.24148772915</v>
      </c>
      <c r="J17053" s="17" t="n">
        <f aca="false">J17049*J17047</f>
        <v>274.416141704166</v>
      </c>
      <c r="K17053" s="17" t="n">
        <f aca="false">K17049*K17047</f>
        <v>293.849284800359</v>
      </c>
    </row>
    <row r="17054" customFormat="false" ht="15" hidden="false" customHeight="false" outlineLevel="0" collapsed="false">
      <c r="A17054" s="3" t="s">
        <v>307</v>
      </c>
      <c r="G17054" s="16" t="n">
        <f aca="false">G17049*'Historical Financials'!G30/'Historical Financials'!G25</f>
        <v>183.44007</v>
      </c>
      <c r="H17054" s="16" t="n">
        <f aca="false">H17049*'Historical Financials'!G30/'Historical Financials'!G25</f>
        <v>187.1088714</v>
      </c>
      <c r="I17054" s="16" t="n">
        <f aca="false">I17049*'Historical Financials'!G30/'Historical Financials'!G25</f>
        <v>196.46431497</v>
      </c>
      <c r="J17054" s="16" t="n">
        <f aca="false">J17049*'Historical Financials'!G30/'Historical Financials'!G25</f>
        <v>208.2521738682</v>
      </c>
      <c r="K17054" s="16" t="n">
        <f aca="false">K17049*'Historical Financials'!G30/'Historical Financials'!G25</f>
        <v>220.747304300292</v>
      </c>
    </row>
    <row r="17055" customFormat="false" ht="15" hidden="false" customHeight="false" outlineLevel="0" collapsed="false">
      <c r="A17055" s="3" t="s">
        <v>308</v>
      </c>
      <c r="G17055" s="16" t="n">
        <f aca="false">G17049*'Historical Financials'!G31/'Historical Financials'!G25</f>
        <v>0</v>
      </c>
      <c r="H17055" s="16" t="n">
        <f aca="false">H17049*'Historical Financials'!G31/'Historical Financials'!G25</f>
        <v>0</v>
      </c>
      <c r="I17055" s="16" t="n">
        <f aca="false">I17049*'Historical Financials'!G31/'Historical Financials'!G25</f>
        <v>0</v>
      </c>
      <c r="J17055" s="16" t="n">
        <f aca="false">J17049*'Historical Financials'!G31/'Historical Financials'!G25</f>
        <v>0</v>
      </c>
      <c r="K17055" s="16" t="n">
        <f aca="false">K17049*'Historical Financials'!G31/'Historical Financials'!G25</f>
        <v>0</v>
      </c>
    </row>
    <row r="17056" customFormat="false" ht="15" hidden="false" customHeight="false" outlineLevel="0" collapsed="false">
      <c r="A17056" s="2" t="s">
        <v>309</v>
      </c>
      <c r="G17056" s="17" t="n">
        <f aca="false">G17053-G17054-G17055</f>
        <v>63.213975</v>
      </c>
      <c r="H17056" s="17" t="n">
        <f aca="false">H17053-H17054-H17055</f>
        <v>56.930640723</v>
      </c>
      <c r="I17056" s="17" t="n">
        <f aca="false">I17053-I17054-I17055</f>
        <v>59.77717275915</v>
      </c>
      <c r="J17056" s="17" t="n">
        <f aca="false">J17053-J17054-J17055</f>
        <v>66.163967835966</v>
      </c>
      <c r="K17056" s="17" t="n">
        <f aca="false">K17053-K17054-K17055</f>
        <v>73.101980500067</v>
      </c>
    </row>
    <row r="17057" customFormat="false" ht="15" hidden="false" customHeight="false" outlineLevel="0" collapsed="false">
      <c r="A17057" s="3" t="s">
        <v>310</v>
      </c>
      <c r="G17057" s="16" t="n">
        <f aca="false">G17083+G17096+G17109+G17122+G17135+G17148+G17161+G17174+G17187+G17200</f>
        <v>187.3888354</v>
      </c>
      <c r="H17057" s="16" t="n">
        <f aca="false">H17083+H17096+H17109+H17122+H17135+H17148+H17161+H17174+H17187+H17200</f>
        <v>186.2509204</v>
      </c>
      <c r="I17057" s="16" t="n">
        <f aca="false">I17083+I17096+I17109+I17122+I17135+I17148+I17161+I17174+I17187+I17200</f>
        <v>181.978947322995</v>
      </c>
      <c r="J17057" s="16" t="n">
        <f aca="false">J17083+J17096+J17109+J17122+J17135+J17148+J17161+J17174+J17187+J17200</f>
        <v>181.568947322995</v>
      </c>
      <c r="K17057" s="16" t="n">
        <f aca="false">K17083+K17096+K17109+K17122+K17135+K17148+K17161+K17174+K17187+K17200</f>
        <v>181.158947322995</v>
      </c>
    </row>
    <row r="17058" customFormat="false" ht="15" hidden="false" customHeight="false" outlineLevel="0" collapsed="false">
      <c r="A17058" s="3" t="s">
        <v>311</v>
      </c>
      <c r="G17058" s="16" t="n">
        <f aca="false">G17084+G17097+G17110+G17123+G17136+G17149+G17162+G17175+G17188+G17201</f>
        <v>0</v>
      </c>
      <c r="H17058" s="16" t="n">
        <f aca="false">H17084+H17097+H17110+H17123+H17136+H17149+H17162+H17175+H17188+H17201</f>
        <v>0</v>
      </c>
      <c r="I17058" s="16" t="n">
        <f aca="false">I17084+I17097+I17110+I17123+I17136+I17149+I17162+I17175+I17188+I17201</f>
        <v>0</v>
      </c>
      <c r="J17058" s="16" t="n">
        <f aca="false">J17084+J17097+J17110+J17123+J17136+J17149+J17162+J17175+J17188+J17201</f>
        <v>0</v>
      </c>
      <c r="K17058" s="16" t="n">
        <f aca="false">K17084+K17097+K17110+K17123+K17136+K17149+K17162+K17175+K17188+K17201</f>
        <v>0</v>
      </c>
    </row>
    <row r="17059" customFormat="false" ht="15" hidden="false" customHeight="false" outlineLevel="0" collapsed="false">
      <c r="A17059" s="3" t="s">
        <v>283</v>
      </c>
      <c r="G17059" s="16" t="n">
        <f aca="false">G17057+G17058</f>
        <v>187.3888354</v>
      </c>
      <c r="H17059" s="16" t="n">
        <f aca="false">H17057+H17058</f>
        <v>186.2509204</v>
      </c>
      <c r="I17059" s="16" t="n">
        <f aca="false">I17057+I17058</f>
        <v>181.978947322995</v>
      </c>
      <c r="J17059" s="16" t="n">
        <f aca="false">J17057+J17058</f>
        <v>181.568947322995</v>
      </c>
      <c r="K17059" s="16" t="n">
        <f aca="false">K17057+K17058</f>
        <v>181.158947322995</v>
      </c>
    </row>
    <row r="17060" customFormat="false" ht="15" hidden="false" customHeight="false" outlineLevel="0" collapsed="false">
      <c r="A17060" s="2" t="s">
        <v>284</v>
      </c>
      <c r="G17060" s="17" t="n">
        <f aca="false">G17056-G17059</f>
        <v>-124.1748604</v>
      </c>
      <c r="H17060" s="17" t="n">
        <f aca="false">H17056-H17059</f>
        <v>-129.320279677</v>
      </c>
      <c r="I17060" s="17" t="n">
        <f aca="false">I17056-I17059</f>
        <v>-122.201774563845</v>
      </c>
      <c r="J17060" s="17" t="n">
        <f aca="false">J17056-J17059</f>
        <v>-115.404979487028</v>
      </c>
      <c r="K17060" s="17" t="n">
        <f aca="false">K17056-K17059</f>
        <v>-108.056966822928</v>
      </c>
    </row>
    <row r="17061" customFormat="false" ht="15" hidden="false" customHeight="false" outlineLevel="0" collapsed="false">
      <c r="A17061" s="3" t="s">
        <v>312</v>
      </c>
      <c r="G17061" s="16" t="n">
        <f aca="false">MAX(0,G17060)*Assumptions!$C$9</f>
        <v>0</v>
      </c>
      <c r="H17061" s="16" t="n">
        <f aca="false">MAX(0,H17060)*Assumptions!$C$9</f>
        <v>0</v>
      </c>
      <c r="I17061" s="16" t="n">
        <f aca="false">MAX(0,I17060)*Assumptions!$C$9</f>
        <v>0</v>
      </c>
      <c r="J17061" s="16" t="n">
        <f aca="false">MAX(0,J17060)*Assumptions!$C$9</f>
        <v>0</v>
      </c>
      <c r="K17061" s="16" t="n">
        <f aca="false">MAX(0,K17060)*Assumptions!$C$9</f>
        <v>0</v>
      </c>
    </row>
    <row r="17062" customFormat="false" ht="15" hidden="false" customHeight="false" outlineLevel="0" collapsed="false">
      <c r="A17062" s="2" t="s">
        <v>313</v>
      </c>
      <c r="G17062" s="17" t="n">
        <f aca="false">G17060-G17061</f>
        <v>-124.1748604</v>
      </c>
      <c r="H17062" s="17" t="n">
        <f aca="false">H17060-H17061</f>
        <v>-129.320279677</v>
      </c>
      <c r="I17062" s="17" t="n">
        <f aca="false">I17060-I17061</f>
        <v>-122.201774563845</v>
      </c>
      <c r="J17062" s="17" t="n">
        <f aca="false">J17060-J17061</f>
        <v>-115.404979487028</v>
      </c>
      <c r="K17062" s="17" t="n">
        <f aca="false">K17060-K17061</f>
        <v>-108.056966822928</v>
      </c>
    </row>
    <row r="17063" customFormat="false" ht="15" hidden="false" customHeight="false" outlineLevel="0" collapsed="false">
      <c r="A17063" s="24" t="s">
        <v>314</v>
      </c>
      <c r="B17063" s="25"/>
      <c r="C17063" s="25"/>
      <c r="D17063" s="25"/>
      <c r="E17063" s="25"/>
      <c r="F17063" s="25"/>
      <c r="G17063" s="25"/>
      <c r="H17063" s="25"/>
      <c r="I17063" s="25"/>
      <c r="J17063" s="25"/>
      <c r="K17063" s="25"/>
    </row>
    <row r="17064" customFormat="false" ht="15" hidden="false" customHeight="false" outlineLevel="0" collapsed="false">
      <c r="A17064" s="3" t="s">
        <v>184</v>
      </c>
      <c r="G17064" s="16" t="n">
        <f aca="false">G17049*CHOOSE($C$17036,Assumptions!$C$83,Assumptions!$C$102,Assumptions!$C$121)</f>
        <v>88.7954562</v>
      </c>
      <c r="H17064" s="16" t="n">
        <f aca="false">H17049*CHOOSE($C$17036,Assumptions!$C$83,Assumptions!$C$102,Assumptions!$C$121)</f>
        <v>90.571365324</v>
      </c>
      <c r="I17064" s="16" t="n">
        <f aca="false">I17049*CHOOSE($C$17036,Assumptions!$C$83,Assumptions!$C$102,Assumptions!$C$121)</f>
        <v>95.0999335902</v>
      </c>
      <c r="J17064" s="16" t="n">
        <f aca="false">J17049*CHOOSE($C$17036,Assumptions!$C$83,Assumptions!$C$102,Assumptions!$C$121)</f>
        <v>100.805929605612</v>
      </c>
      <c r="K17064" s="16" t="n">
        <f aca="false">K17049*CHOOSE($C$17036,Assumptions!$C$83,Assumptions!$C$102,Assumptions!$C$121)</f>
        <v>106.854285381949</v>
      </c>
    </row>
    <row r="17065" customFormat="false" ht="15" hidden="false" customHeight="false" outlineLevel="0" collapsed="false">
      <c r="A17065" s="3" t="s">
        <v>315</v>
      </c>
      <c r="G17065" s="16" t="n">
        <f aca="false">CHOOSE($C$17036,Assumptions!$C$84,Assumptions!$C$103,Assumptions!$C$122)*(G17049-F17049)+CHOOSE($C$17036,Assumptions!$C$85,Assumptions!$C$104,Assumptions!$C$123)*G17049</f>
        <v>24.6654045</v>
      </c>
      <c r="H17065" s="16" t="n">
        <f aca="false">CHOOSE($C$17036,Assumptions!$C$84,Assumptions!$C$103,Assumptions!$C$122)*(H17049-G17049)+CHOOSE($C$17036,Assumptions!$C$85,Assumptions!$C$104,Assumptions!$C$123)*H17049</f>
        <v>25.15871259</v>
      </c>
      <c r="I17065" s="16" t="n">
        <f aca="false">CHOOSE($C$17036,Assumptions!$C$84,Assumptions!$C$103,Assumptions!$C$122)*(I17049-H17049)+CHOOSE($C$17036,Assumptions!$C$85,Assumptions!$C$104,Assumptions!$C$123)*I17049</f>
        <v>26.4166482195</v>
      </c>
      <c r="J17065" s="16" t="n">
        <f aca="false">CHOOSE($C$17036,Assumptions!$C$84,Assumptions!$C$103,Assumptions!$C$122)*(J17049-I17049)+CHOOSE($C$17036,Assumptions!$C$85,Assumptions!$C$104,Assumptions!$C$123)*J17049</f>
        <v>28.00164711267</v>
      </c>
      <c r="K17065" s="16" t="n">
        <f aca="false">CHOOSE($C$17036,Assumptions!$C$84,Assumptions!$C$103,Assumptions!$C$122)*(K17049-J17049)+CHOOSE($C$17036,Assumptions!$C$85,Assumptions!$C$104,Assumptions!$C$123)*K17049</f>
        <v>29.6817459394302</v>
      </c>
    </row>
    <row r="17066" customFormat="false" ht="15" hidden="false" customHeight="false" outlineLevel="0" collapsed="false">
      <c r="A17066" s="2" t="s">
        <v>316</v>
      </c>
      <c r="G17066" s="17" t="n">
        <f aca="false">G17062+G17054+G17055+G17058-G17064-G17065</f>
        <v>-54.1956511</v>
      </c>
      <c r="H17066" s="17" t="n">
        <f aca="false">H17062+H17054+H17055+H17058-H17064-H17065</f>
        <v>-57.941486191</v>
      </c>
      <c r="I17066" s="17" t="n">
        <f aca="false">I17062+I17054+I17055+I17058-I17064-I17065</f>
        <v>-47.2540414035445</v>
      </c>
      <c r="J17066" s="17" t="n">
        <f aca="false">J17062+J17054+J17055+J17058-J17064-J17065</f>
        <v>-35.9603823371105</v>
      </c>
      <c r="K17066" s="17" t="n">
        <f aca="false">K17062+K17054+K17055+K17058-K17064-K17065</f>
        <v>-23.8456938440145</v>
      </c>
    </row>
    <row r="17068" customFormat="false" ht="15" hidden="false" customHeight="false" outlineLevel="0" collapsed="false">
      <c r="A17068" s="24" t="s">
        <v>318</v>
      </c>
      <c r="B17068" s="25"/>
      <c r="C17068" s="25"/>
      <c r="D17068" s="25"/>
      <c r="E17068" s="25"/>
      <c r="F17068" s="25"/>
      <c r="G17068" s="25"/>
      <c r="H17068" s="25"/>
      <c r="I17068" s="25"/>
      <c r="J17068" s="25"/>
      <c r="K17068" s="25"/>
    </row>
    <row r="17069" customFormat="false" ht="15" hidden="false" customHeight="false" outlineLevel="0" collapsed="false">
      <c r="A17069" s="3" t="s">
        <v>319</v>
      </c>
      <c r="G17069" s="30" t="n">
        <f aca="false">Assumptions!$G$53</f>
        <v>0.039</v>
      </c>
      <c r="H17069" s="30" t="n">
        <f aca="false">Assumptions!$H$53</f>
        <v>0.0375</v>
      </c>
      <c r="I17069" s="30" t="n">
        <f aca="false">Assumptions!$I$53</f>
        <v>0.035</v>
      </c>
      <c r="J17069" s="30" t="n">
        <f aca="false">Assumptions!$J$53</f>
        <v>0.035</v>
      </c>
      <c r="K17069" s="30" t="n">
        <f aca="false">Assumptions!$K$53</f>
        <v>0.035</v>
      </c>
    </row>
    <row r="17070" customFormat="false" ht="15" hidden="false" customHeight="false" outlineLevel="0" collapsed="false">
      <c r="A17070" s="3" t="s">
        <v>320</v>
      </c>
      <c r="C17070" s="31" t="n">
        <f aca="false">CHOOSE($C$17036,Assumptions!$C$86,Assumptions!$C$105,Assumptions!$C$124)+$C$17039</f>
        <v>0.015</v>
      </c>
    </row>
    <row r="17071" customFormat="false" ht="15" hidden="false" customHeight="false" outlineLevel="0" collapsed="false">
      <c r="A17071" s="3" t="s">
        <v>321</v>
      </c>
      <c r="C17071" s="31" t="n">
        <f aca="false">CHOOSE($C$17036,Assumptions!$C$87,Assumptions!$C$106,Assumptions!$C$125)</f>
        <v>0.1</v>
      </c>
    </row>
    <row r="17072" customFormat="false" ht="15" hidden="false" customHeight="false" outlineLevel="0" collapsed="false">
      <c r="A17072" s="3" t="s">
        <v>322</v>
      </c>
      <c r="C17072" s="32" t="n">
        <f aca="false">CHOOSE($C$17036,Assumptions!$C$88,Assumptions!$C$107,Assumptions!$C$126)</f>
        <v>9.5</v>
      </c>
    </row>
    <row r="17073" customFormat="false" ht="15" hidden="false" customHeight="false" outlineLevel="0" collapsed="false">
      <c r="A17073" s="3" t="s">
        <v>323</v>
      </c>
      <c r="C17073" s="32" t="n">
        <f aca="false">CHOOSE($C$17036,Assumptions!$C$89,Assumptions!$C$108,Assumptions!$C$127)</f>
        <v>1.5</v>
      </c>
    </row>
    <row r="17074" customFormat="false" ht="15" hidden="false" customHeight="false" outlineLevel="0" collapsed="false">
      <c r="A17074" s="3" t="s">
        <v>324</v>
      </c>
      <c r="G17074" s="16" t="n">
        <f aca="false">G17079+G17092+G17105+G17118+G17131+G17144+G17157+G17170+G17183+G17196</f>
        <v>2625.934</v>
      </c>
      <c r="H17074" s="16" t="n">
        <f aca="false">H17079+H17092+H17105+H17118+H17131+H17144+H17157+H17170+H17183+H17196</f>
        <v>2621.934</v>
      </c>
      <c r="I17074" s="16" t="n">
        <f aca="false">I17079+I17092+I17105+I17118+I17131+I17144+I17157+I17170+I17183+I17196</f>
        <v>2550.201137291</v>
      </c>
      <c r="J17074" s="16" t="n">
        <f aca="false">J17079+J17092+J17105+J17118+J17131+J17144+J17157+J17170+J17183+J17196</f>
        <v>2546.201137291</v>
      </c>
      <c r="K17074" s="16" t="n">
        <f aca="false">K17079+K17092+K17105+K17118+K17131+K17144+K17157+K17170+K17183+K17196</f>
        <v>2542.201137291</v>
      </c>
    </row>
    <row r="17075" customFormat="false" ht="15" hidden="false" customHeight="false" outlineLevel="0" collapsed="false">
      <c r="A17075" s="3" t="s">
        <v>325</v>
      </c>
      <c r="G17075" s="16" t="n">
        <f aca="false">F17267</f>
        <v>37.87</v>
      </c>
      <c r="H17075" s="16" t="n">
        <f aca="false">G17267</f>
        <v>129.6743489</v>
      </c>
      <c r="I17075" s="16" t="n">
        <f aca="false">H17267</f>
        <v>0</v>
      </c>
      <c r="J17075" s="16" t="n">
        <f aca="false">I17267</f>
        <v>-51.2540414035445</v>
      </c>
      <c r="K17075" s="16" t="n">
        <f aca="false">J17267</f>
        <v>-91.214423740655</v>
      </c>
    </row>
    <row r="17076" customFormat="false" ht="15" hidden="false" customHeight="false" outlineLevel="0" collapsed="false">
      <c r="A17076" s="3" t="s">
        <v>326</v>
      </c>
      <c r="G17076" s="16" t="n">
        <f aca="false">G17079*IF(G17080=1,$C$17071,IF(Assumptions!$I$57=1,MAX(G17069,Assumptions!$G$57)+Assumptions!$F$57+$C$17070,Assumptions!$E$57))+G17092*IF(G17093=1,$C$17071,IF(Assumptions!$I$58=1,MAX(G17069,Assumptions!$G$58)+Assumptions!$F$58+$C$17070,Assumptions!$E$58))+G17105*IF(G17106=1,$C$17071,IF(Assumptions!$I$59=1,MAX(G17069,Assumptions!$G$59)+Assumptions!$F$59+$C$17070,Assumptions!$E$59))+G17118*IF(G17119=1,$C$17071,IF(Assumptions!$I$60=1,MAX(G17069,Assumptions!$G$60)+Assumptions!$F$60+$C$17070,Assumptions!$E$60))+G17131*IF(G17132=1,$C$17071,IF(Assumptions!$I$61=1,MAX(G17069,Assumptions!$G$61)+Assumptions!$F$61+$C$17070,Assumptions!$E$61))+G17144*IF(G17145=1,$C$17071,IF(Assumptions!$I$62=1,MAX(G17069,Assumptions!$G$62)+Assumptions!$F$62+$C$17070,Assumptions!$E$62))+G17157*IF(G17158=1,$C$17071,IF(Assumptions!$I$63=1,MAX(G17069,Assumptions!$G$63)+Assumptions!$F$63+$C$17070,Assumptions!$E$63))+G17170*IF(G17171=1,$C$17071,IF(Assumptions!$I$64=1,MAX(G17069,Assumptions!$G$64)+Assumptions!$F$64+$C$17070,Assumptions!$E$64))+G17183*IF(G17184=1,$C$17071,IF(Assumptions!$I$65=1,MAX(G17069,Assumptions!$G$65)+Assumptions!$F$65+$C$17070,Assumptions!$E$65))+G17196*IF(G17197=1,$C$17071,IF(Assumptions!$I$66=1,MAX(G17069,Assumptions!$G$66)+Assumptions!$F$66+$C$17070,Assumptions!$E$66))</f>
        <v>187.3888354</v>
      </c>
      <c r="H17076" s="16" t="n">
        <f aca="false">H17079*IF(OR(H17080=1,G17389=1),$C$17071,IF(Assumptions!$I$57=1,MAX(H17069,Assumptions!$G$57)+Assumptions!$F$57+$C$17070,Assumptions!$E$57))+H17092*IF(OR(H17093=1,G17390=1),$C$17071,IF(Assumptions!$I$58=1,MAX(H17069,Assumptions!$G$58)+Assumptions!$F$58+$C$17070,Assumptions!$E$58))+H17105*IF(OR(H17106=1,G17391=1),$C$17071,IF(Assumptions!$I$59=1,MAX(H17069,Assumptions!$G$59)+Assumptions!$F$59+$C$17070,Assumptions!$E$59))+H17118*IF(OR(H17119=1,G17392=1),$C$17071,IF(Assumptions!$I$60=1,MAX(H17069,Assumptions!$G$60)+Assumptions!$F$60+$C$17070,Assumptions!$E$60))+H17131*IF(OR(H17132=1,G17393=1),$C$17071,IF(Assumptions!$I$61=1,MAX(H17069,Assumptions!$G$61)+Assumptions!$F$61+$C$17070,Assumptions!$E$61))+H17144*IF(OR(H17145=1,G17394=1),$C$17071,IF(Assumptions!$I$62=1,MAX(H17069,Assumptions!$G$62)+Assumptions!$F$62+$C$17070,Assumptions!$E$62))+H17157*IF(OR(H17158=1,G17395=1),$C$17071,IF(Assumptions!$I$63=1,MAX(H17069,Assumptions!$G$63)+Assumptions!$F$63+$C$17070,Assumptions!$E$63))+H17170*IF(OR(H17171=1,G17396=1),$C$17071,IF(Assumptions!$I$64=1,MAX(H17069,Assumptions!$G$64)+Assumptions!$F$64+$C$17070,Assumptions!$E$64))+H17183*IF(OR(H17184=1,G17397=1),$C$17071,IF(Assumptions!$I$65=1,MAX(H17069,Assumptions!$G$65)+Assumptions!$F$65+$C$17070,Assumptions!$E$65))+H17196*IF(OR(H17197=1,G17398=1),$C$17071,IF(Assumptions!$I$66=1,MAX(H17069,Assumptions!$G$66)+Assumptions!$F$66+$C$17070,Assumptions!$E$66))</f>
        <v>219.4259204</v>
      </c>
      <c r="I17076" s="16" t="n">
        <f aca="false">I17079*IF(OR(I17080=1,H17389=1),$C$17071,IF(Assumptions!$I$57=1,MAX(I17069,Assumptions!$G$57)+Assumptions!$F$57+$C$17070,Assumptions!$E$57))+I17092*IF(OR(I17093=1,H17390=1),$C$17071,IF(Assumptions!$I$58=1,MAX(I17069,Assumptions!$G$58)+Assumptions!$F$58+$C$17070,Assumptions!$E$58))+I17105*IF(OR(I17106=1,H17391=1),$C$17071,IF(Assumptions!$I$59=1,MAX(I17069,Assumptions!$G$59)+Assumptions!$F$59+$C$17070,Assumptions!$E$59))+I17118*IF(OR(I17119=1,H17392=1),$C$17071,IF(Assumptions!$I$60=1,MAX(I17069,Assumptions!$G$60)+Assumptions!$F$60+$C$17070,Assumptions!$E$60))+I17131*IF(OR(I17132=1,H17393=1),$C$17071,IF(Assumptions!$I$61=1,MAX(I17069,Assumptions!$G$61)+Assumptions!$F$61+$C$17070,Assumptions!$E$61))+I17144*IF(OR(I17145=1,H17394=1),$C$17071,IF(Assumptions!$I$62=1,MAX(I17069,Assumptions!$G$62)+Assumptions!$F$62+$C$17070,Assumptions!$E$62))+I17157*IF(OR(I17158=1,H17395=1),$C$17071,IF(Assumptions!$I$63=1,MAX(I17069,Assumptions!$G$63)+Assumptions!$F$63+$C$17070,Assumptions!$E$63))+I17170*IF(OR(I17171=1,H17396=1),$C$17071,IF(Assumptions!$I$64=1,MAX(I17069,Assumptions!$G$64)+Assumptions!$F$64+$C$17070,Assumptions!$E$64))+I17183*IF(OR(I17184=1,H17397=1),$C$17071,IF(Assumptions!$I$65=1,MAX(I17069,Assumptions!$G$65)+Assumptions!$F$65+$C$17070,Assumptions!$E$65))+I17196*IF(OR(I17197=1,H17398=1),$C$17071,IF(Assumptions!$I$66=1,MAX(I17069,Assumptions!$G$66)+Assumptions!$F$66+$C$17070,Assumptions!$E$66))</f>
        <v>188.166447322995</v>
      </c>
      <c r="J17076" s="16" t="n">
        <f aca="false">J17079*IF(OR(J17080=1,I17389=1),$C$17071,IF(Assumptions!$I$57=1,MAX(J17069,Assumptions!$G$57)+Assumptions!$F$57+$C$17070,Assumptions!$E$57))+J17092*IF(OR(J17093=1,I17390=1),$C$17071,IF(Assumptions!$I$58=1,MAX(J17069,Assumptions!$G$58)+Assumptions!$F$58+$C$17070,Assumptions!$E$58))+J17105*IF(OR(J17106=1,I17391=1),$C$17071,IF(Assumptions!$I$59=1,MAX(J17069,Assumptions!$G$59)+Assumptions!$F$59+$C$17070,Assumptions!$E$59))+J17118*IF(OR(J17119=1,I17392=1),$C$17071,IF(Assumptions!$I$60=1,MAX(J17069,Assumptions!$G$60)+Assumptions!$F$60+$C$17070,Assumptions!$E$60))+J17131*IF(OR(J17132=1,I17393=1),$C$17071,IF(Assumptions!$I$61=1,MAX(J17069,Assumptions!$G$61)+Assumptions!$F$61+$C$17070,Assumptions!$E$61))+J17144*IF(OR(J17145=1,I17394=1),$C$17071,IF(Assumptions!$I$62=1,MAX(J17069,Assumptions!$G$62)+Assumptions!$F$62+$C$17070,Assumptions!$E$62))+J17157*IF(OR(J17158=1,I17395=1),$C$17071,IF(Assumptions!$I$63=1,MAX(J17069,Assumptions!$G$63)+Assumptions!$F$63+$C$17070,Assumptions!$E$63))+J17170*IF(OR(J17171=1,I17396=1),$C$17071,IF(Assumptions!$I$64=1,MAX(J17069,Assumptions!$G$64)+Assumptions!$F$64+$C$17070,Assumptions!$E$64))+J17183*IF(OR(J17184=1,I17397=1),$C$17071,IF(Assumptions!$I$65=1,MAX(J17069,Assumptions!$G$65)+Assumptions!$F$65+$C$17070,Assumptions!$E$65))+J17196*IF(OR(J17197=1,I17398=1),$C$17071,IF(Assumptions!$I$66=1,MAX(J17069,Assumptions!$G$66)+Assumptions!$F$66+$C$17070,Assumptions!$E$66))</f>
        <v>200.643947322994</v>
      </c>
      <c r="K17076" s="16" t="n">
        <f aca="false">K17079*IF(OR(K17080=1,J17389=1),$C$17071,IF(Assumptions!$I$57=1,MAX(K17069,Assumptions!$G$57)+Assumptions!$F$57+$C$17070,Assumptions!$E$57))+K17092*IF(OR(K17093=1,J17390=1),$C$17071,IF(Assumptions!$I$58=1,MAX(K17069,Assumptions!$G$58)+Assumptions!$F$58+$C$17070,Assumptions!$E$58))+K17105*IF(OR(K17106=1,J17391=1),$C$17071,IF(Assumptions!$I$59=1,MAX(K17069,Assumptions!$G$59)+Assumptions!$F$59+$C$17070,Assumptions!$E$59))+K17118*IF(OR(K17119=1,J17392=1),$C$17071,IF(Assumptions!$I$60=1,MAX(K17069,Assumptions!$G$60)+Assumptions!$F$60+$C$17070,Assumptions!$E$60))+K17131*IF(OR(K17132=1,J17393=1),$C$17071,IF(Assumptions!$I$61=1,MAX(K17069,Assumptions!$G$61)+Assumptions!$F$61+$C$17070,Assumptions!$E$61))+K17144*IF(OR(K17145=1,J17394=1),$C$17071,IF(Assumptions!$I$62=1,MAX(K17069,Assumptions!$G$62)+Assumptions!$F$62+$C$17070,Assumptions!$E$62))+K17157*IF(OR(K17158=1,J17395=1),$C$17071,IF(Assumptions!$I$63=1,MAX(K17069,Assumptions!$G$63)+Assumptions!$F$63+$C$17070,Assumptions!$E$63))+K17170*IF(OR(K17171=1,J17396=1),$C$17071,IF(Assumptions!$I$64=1,MAX(K17069,Assumptions!$G$64)+Assumptions!$F$64+$C$17070,Assumptions!$E$64))+K17183*IF(OR(K17184=1,J17397=1),$C$17071,IF(Assumptions!$I$65=1,MAX(K17069,Assumptions!$G$65)+Assumptions!$F$65+$C$17070,Assumptions!$E$65))+K17196*IF(OR(K17197=1,J17398=1),$C$17071,IF(Assumptions!$I$66=1,MAX(K17069,Assumptions!$G$66)+Assumptions!$F$66+$C$17070,Assumptions!$E$66))</f>
        <v>191.823947322995</v>
      </c>
    </row>
    <row r="17077" customFormat="false" ht="15" hidden="false" customHeight="false" outlineLevel="0" collapsed="false">
      <c r="A17077" s="3" t="s">
        <v>327</v>
      </c>
      <c r="G17077" s="21" t="n">
        <f aca="false">IF(G17053&lt;=0,0,IF(AND((G17074-G17075)/G17053&lt;=$C$17072,G17053/G17076&gt;=$C$17073),1,0))</f>
        <v>0</v>
      </c>
      <c r="H17077" s="21" t="n">
        <f aca="false">IF(H17053&lt;=0,0,IF(AND((H17074-H17075)/H17053&lt;=$C$17072,H17053/H17076&gt;=$C$17073),1,0))</f>
        <v>0</v>
      </c>
      <c r="I17077" s="21" t="n">
        <f aca="false">IF(I17053&lt;=0,0,IF(AND((I17074-I17075)/I17053&lt;=$C$17072,I17053/I17076&gt;=$C$17073),1,0))</f>
        <v>0</v>
      </c>
      <c r="J17077" s="21" t="n">
        <f aca="false">IF(J17053&lt;=0,0,IF(AND((J17074-J17075)/J17053&lt;=$C$17072,J17053/J17076&gt;=$C$17073),1,0))</f>
        <v>0</v>
      </c>
      <c r="K17077" s="21" t="n">
        <f aca="false">IF(K17053&lt;=0,0,IF(AND((K17074-K17075)/K17053&lt;=$C$17072,K17053/K17076&gt;=$C$17073),1,0))</f>
        <v>1</v>
      </c>
    </row>
    <row r="17078" customFormat="false" ht="15" hidden="false" customHeight="false" outlineLevel="0" collapsed="false">
      <c r="A17078" s="24" t="s">
        <v>328</v>
      </c>
      <c r="B17078" s="25"/>
      <c r="C17078" s="25"/>
      <c r="D17078" s="25"/>
      <c r="E17078" s="25"/>
      <c r="F17078" s="25"/>
      <c r="G17078" s="25"/>
      <c r="H17078" s="25"/>
      <c r="I17078" s="25"/>
      <c r="J17078" s="25"/>
      <c r="K17078" s="25"/>
    </row>
    <row r="17079" customFormat="false" ht="15" hidden="false" customHeight="false" outlineLevel="0" collapsed="false">
      <c r="A17079" s="3" t="s">
        <v>329</v>
      </c>
      <c r="G17079" s="16" t="n">
        <f aca="false">F17090</f>
        <v>400</v>
      </c>
      <c r="H17079" s="16" t="n">
        <f aca="false">G17090</f>
        <v>396</v>
      </c>
      <c r="I17079" s="16" t="n">
        <f aca="false">H17090</f>
        <v>392</v>
      </c>
      <c r="J17079" s="16" t="n">
        <f aca="false">I17090</f>
        <v>388</v>
      </c>
      <c r="K17079" s="16" t="n">
        <f aca="false">J17090</f>
        <v>384</v>
      </c>
    </row>
    <row r="17080" customFormat="false" ht="15" hidden="false" customHeight="false" outlineLevel="0" collapsed="false">
      <c r="A17080" s="3" t="s">
        <v>330</v>
      </c>
      <c r="G17080" s="21" t="n">
        <f aca="false">IF(G17043=Assumptions!$K$57,1,0)</f>
        <v>0</v>
      </c>
      <c r="H17080" s="21" t="n">
        <f aca="false">IF(H17043=Assumptions!$K$57,1,0)</f>
        <v>0</v>
      </c>
      <c r="I17080" s="21" t="n">
        <f aca="false">IF(I17043=Assumptions!$K$57,1,0)</f>
        <v>0</v>
      </c>
      <c r="J17080" s="21" t="n">
        <f aca="false">IF(J17043=Assumptions!$K$57,1,0)</f>
        <v>0</v>
      </c>
      <c r="K17080" s="21" t="n">
        <f aca="false">IF(K17043=Assumptions!$K$57,1,0)</f>
        <v>1</v>
      </c>
    </row>
    <row r="17082" customFormat="false" ht="15" hidden="false" customHeight="false" outlineLevel="0" collapsed="false">
      <c r="A17082" s="3" t="s">
        <v>331</v>
      </c>
      <c r="G17082" s="31" t="n">
        <f aca="false">IF(Assumptions!$I$57=1,MAX(G17069,Assumptions!$G$57)+Assumptions!$F$57+$C$17070,Assumptions!$E$57)</f>
        <v>0.1065</v>
      </c>
      <c r="H17082" s="31" t="n">
        <f aca="false">IF(G17389=1,$C$17071,IF(Assumptions!$I$57=1,MAX(H17069,Assumptions!$G$57)+Assumptions!$F$57+$C$17070,Assumptions!$E$57))</f>
        <v>0.105</v>
      </c>
      <c r="I17082" s="31" t="n">
        <f aca="false">IF(H17389=1,$C$17071,IF(Assumptions!$I$57=1,MAX(I17069,Assumptions!$G$57)+Assumptions!$F$57+$C$17070,Assumptions!$E$57))</f>
        <v>0.1025</v>
      </c>
      <c r="J17082" s="31" t="n">
        <f aca="false">IF(I17389=1,$C$17071,IF(Assumptions!$I$57=1,MAX(J17069,Assumptions!$G$57)+Assumptions!$F$57+$C$17070,Assumptions!$E$57))</f>
        <v>0.1025</v>
      </c>
      <c r="K17082" s="31" t="n">
        <f aca="false">IF(J17389=1,$C$17071,IF(Assumptions!$I$57=1,MAX(K17069,Assumptions!$G$57)+Assumptions!$F$57+$C$17070,Assumptions!$E$57))</f>
        <v>0.1025</v>
      </c>
    </row>
    <row r="17083" customFormat="false" ht="15" hidden="false" customHeight="false" outlineLevel="0" collapsed="false">
      <c r="A17083" s="3" t="s">
        <v>332</v>
      </c>
      <c r="G17083" s="16" t="n">
        <f aca="false">G17079*G17082</f>
        <v>42.6</v>
      </c>
      <c r="H17083" s="16" t="n">
        <f aca="false">H17079*H17082</f>
        <v>41.58</v>
      </c>
      <c r="I17083" s="16" t="n">
        <f aca="false">I17079*I17082</f>
        <v>40.18</v>
      </c>
      <c r="J17083" s="16" t="n">
        <f aca="false">J17079*J17082</f>
        <v>39.77</v>
      </c>
      <c r="K17083" s="16" t="n">
        <f aca="false">K17079*K17082</f>
        <v>39.36</v>
      </c>
    </row>
    <row r="17084" customFormat="false" ht="15" hidden="false" customHeight="false" outlineLevel="0" collapsed="false">
      <c r="A17084" s="3" t="s">
        <v>333</v>
      </c>
      <c r="G17084" s="16" t="n">
        <f aca="false">G17079*Assumptions!$H$57</f>
        <v>0</v>
      </c>
      <c r="H17084" s="16" t="n">
        <f aca="false">H17079*Assumptions!$H$57</f>
        <v>0</v>
      </c>
      <c r="I17084" s="16" t="n">
        <f aca="false">I17079*Assumptions!$H$57</f>
        <v>0</v>
      </c>
      <c r="J17084" s="16" t="n">
        <f aca="false">J17079*Assumptions!$H$57</f>
        <v>0</v>
      </c>
      <c r="K17084" s="16" t="n">
        <f aca="false">K17079*Assumptions!$H$57</f>
        <v>0</v>
      </c>
    </row>
    <row r="17085" customFormat="false" ht="15" hidden="false" customHeight="false" outlineLevel="0" collapsed="false">
      <c r="A17085" s="3" t="s">
        <v>334</v>
      </c>
      <c r="G17085" s="16" t="n">
        <f aca="false">MIN(G17079,Assumptions!$L$57*Assumptions!$C$57)</f>
        <v>4</v>
      </c>
      <c r="H17085" s="16" t="n">
        <f aca="false">MIN(H17079,Assumptions!$L$57*Assumptions!$C$57)</f>
        <v>4</v>
      </c>
      <c r="I17085" s="16" t="n">
        <f aca="false">MIN(I17079,Assumptions!$L$57*Assumptions!$C$57)</f>
        <v>4</v>
      </c>
      <c r="J17085" s="16" t="n">
        <f aca="false">MIN(J17079,Assumptions!$L$57*Assumptions!$C$57)</f>
        <v>4</v>
      </c>
      <c r="K17085" s="16" t="n">
        <f aca="false">MIN(K17079,Assumptions!$L$57*Assumptions!$C$57)</f>
        <v>4</v>
      </c>
    </row>
    <row r="17086" customFormat="false" ht="15" hidden="false" customHeight="false" outlineLevel="0" collapsed="false">
      <c r="A17086" s="3" t="s">
        <v>335</v>
      </c>
      <c r="G17086" s="16" t="n">
        <f aca="false">IF(AND(Assumptions!$P$57=1,G17043&lt;Assumptions!$K$57),MIN(MAX(0,-G17259),MAX(0,Assumptions!$D$57-G17079)),0)</f>
        <v>0</v>
      </c>
      <c r="H17086" s="16" t="n">
        <f aca="false">IF(AND(Assumptions!$P$57=1,OR(H17043&lt;Assumptions!$K$57,G17389=1)),MIN(MAX(0,-H17259),MAX(0,Assumptions!$D$57-H17079)),0)</f>
        <v>0</v>
      </c>
      <c r="I17086" s="16" t="n">
        <f aca="false">IF(AND(Assumptions!$P$57=1,OR(I17043&lt;Assumptions!$K$57,H17389=1)),MIN(MAX(0,-I17259),MAX(0,Assumptions!$D$57-I17079)),0)</f>
        <v>0</v>
      </c>
      <c r="J17086" s="16" t="n">
        <f aca="false">IF(AND(Assumptions!$P$57=1,OR(J17043&lt;Assumptions!$K$57,I17389=1)),MIN(MAX(0,-J17259),MAX(0,Assumptions!$D$57-J17079)),0)</f>
        <v>0</v>
      </c>
      <c r="K17086" s="16" t="n">
        <f aca="false">IF(AND(Assumptions!$P$57=1,OR(K17043&lt;Assumptions!$K$57,J17389=1)),MIN(MAX(0,-K17259),MAX(0,Assumptions!$D$57-K17079)),0)</f>
        <v>0</v>
      </c>
    </row>
    <row r="17087" customFormat="false" ht="15" hidden="false" customHeight="false" outlineLevel="0" collapsed="false">
      <c r="A17087" s="3" t="s">
        <v>336</v>
      </c>
      <c r="G17087" s="16" t="n">
        <f aca="false">G17080*MIN(G17079-G17085+G17084,MAX(0,G17261-Assumptions!$C$12*G17077))</f>
        <v>0</v>
      </c>
      <c r="H17087" s="16" t="n">
        <f aca="false">H17080*MIN(H17079-H17085+H17084,MAX(0,H17261-Assumptions!$C$12*H17077))</f>
        <v>0</v>
      </c>
      <c r="I17087" s="16" t="n">
        <f aca="false">I17080*MIN(I17079-I17085+I17084,MAX(0,I17261-Assumptions!$C$12*I17077))</f>
        <v>0</v>
      </c>
      <c r="J17087" s="16" t="n">
        <f aca="false">J17080*MIN(J17079-J17085+J17084,MAX(0,J17261-Assumptions!$C$12*J17077))</f>
        <v>0</v>
      </c>
      <c r="K17087" s="16" t="n">
        <f aca="false">K17080*MIN(K17079-K17085+K17084,MAX(0,K17261-Assumptions!$C$12*K17077))</f>
        <v>0</v>
      </c>
    </row>
    <row r="17088" customFormat="false" ht="15" hidden="false" customHeight="false" outlineLevel="0" collapsed="false">
      <c r="A17088" s="3" t="s">
        <v>337</v>
      </c>
      <c r="G17088" s="16" t="n">
        <f aca="false">Assumptions!$N$57*MIN(G17079+G17086+G17084-G17085-G17087,MAX(0,G17265))</f>
        <v>0</v>
      </c>
      <c r="H17088" s="16" t="n">
        <f aca="false">Assumptions!$N$57*MIN(H17079+H17086+H17084-H17085-H17087,MAX(0,H17265))</f>
        <v>0</v>
      </c>
      <c r="I17088" s="16" t="n">
        <f aca="false">Assumptions!$N$57*MIN(I17079+I17086+I17084-I17085-I17087,MAX(0,I17265))</f>
        <v>0</v>
      </c>
      <c r="J17088" s="16" t="n">
        <f aca="false">Assumptions!$N$57*MIN(J17079+J17086+J17084-J17085-J17087,MAX(0,J17265))</f>
        <v>0</v>
      </c>
      <c r="K17088" s="16" t="n">
        <f aca="false">Assumptions!$N$57*MIN(K17079+K17086+K17084-K17085-K17087,MAX(0,K17265))</f>
        <v>0</v>
      </c>
    </row>
    <row r="17089" customFormat="false" ht="15" hidden="false" customHeight="false" outlineLevel="0" collapsed="false">
      <c r="A17089" s="3" t="s">
        <v>338</v>
      </c>
      <c r="G17089" s="16" t="n">
        <f aca="false">G17080*(1-G17077)*(G17079-G17085+G17084-G17087)</f>
        <v>0</v>
      </c>
      <c r="H17089" s="16" t="n">
        <f aca="false">H17080*(1-H17077)*(H17079-H17085+H17084-H17087)</f>
        <v>0</v>
      </c>
      <c r="I17089" s="16" t="n">
        <f aca="false">I17080*(1-I17077)*(I17079-I17085+I17084-I17087)</f>
        <v>0</v>
      </c>
      <c r="J17089" s="16" t="n">
        <f aca="false">J17080*(1-J17077)*(J17079-J17085+J17084-J17087)</f>
        <v>0</v>
      </c>
      <c r="K17089" s="16" t="n">
        <f aca="false">K17080*(1-K17077)*(K17079-K17085+K17084-K17087)</f>
        <v>0</v>
      </c>
    </row>
    <row r="17090" customFormat="false" ht="15" hidden="false" customHeight="false" outlineLevel="0" collapsed="false">
      <c r="A17090" s="2" t="s">
        <v>339</v>
      </c>
      <c r="F17090" s="28" t="n">
        <f aca="false">Assumptions!$C$57</f>
        <v>400</v>
      </c>
      <c r="G17090" s="17" t="n">
        <f aca="false">G17079+G17086+G17084-G17085-G17087-G17088</f>
        <v>396</v>
      </c>
      <c r="H17090" s="17" t="n">
        <f aca="false">H17079+H17086+H17084-H17085-H17087-H17088</f>
        <v>392</v>
      </c>
      <c r="I17090" s="17" t="n">
        <f aca="false">I17079+I17086+I17084-I17085-I17087-I17088</f>
        <v>388</v>
      </c>
      <c r="J17090" s="17" t="n">
        <f aca="false">J17079+J17086+J17084-J17085-J17087-J17088</f>
        <v>384</v>
      </c>
      <c r="K17090" s="17" t="n">
        <f aca="false">K17079+K17086+K17084-K17085-K17087-K17088</f>
        <v>380</v>
      </c>
    </row>
    <row r="17091" customFormat="false" ht="15" hidden="false" customHeight="false" outlineLevel="0" collapsed="false">
      <c r="A17091" s="24" t="s">
        <v>340</v>
      </c>
      <c r="B17091" s="25"/>
      <c r="C17091" s="25"/>
      <c r="D17091" s="25"/>
      <c r="E17091" s="25"/>
      <c r="F17091" s="25"/>
      <c r="G17091" s="25"/>
      <c r="H17091" s="25"/>
      <c r="I17091" s="25"/>
      <c r="J17091" s="25"/>
      <c r="K17091" s="25"/>
    </row>
    <row r="17092" customFormat="false" ht="15" hidden="false" customHeight="false" outlineLevel="0" collapsed="false">
      <c r="A17092" s="3" t="s">
        <v>329</v>
      </c>
      <c r="G17092" s="16" t="n">
        <f aca="false">F17103</f>
        <v>90</v>
      </c>
      <c r="H17092" s="16" t="n">
        <f aca="false">G17103</f>
        <v>90</v>
      </c>
      <c r="I17092" s="16" t="n">
        <f aca="false">H17103</f>
        <v>90</v>
      </c>
      <c r="J17092" s="16" t="n">
        <f aca="false">I17103</f>
        <v>90</v>
      </c>
      <c r="K17092" s="16" t="n">
        <f aca="false">J17103</f>
        <v>90</v>
      </c>
    </row>
    <row r="17093" customFormat="false" ht="15" hidden="false" customHeight="false" outlineLevel="0" collapsed="false">
      <c r="A17093" s="3" t="s">
        <v>330</v>
      </c>
      <c r="G17093" s="21" t="n">
        <f aca="false">IF(G17043=Assumptions!$K$58,1,0)</f>
        <v>0</v>
      </c>
      <c r="H17093" s="21" t="n">
        <f aca="false">IF(H17043=Assumptions!$K$58,1,0)</f>
        <v>0</v>
      </c>
      <c r="I17093" s="21" t="n">
        <f aca="false">IF(I17043=Assumptions!$K$58,1,0)</f>
        <v>0</v>
      </c>
      <c r="J17093" s="21" t="n">
        <f aca="false">IF(J17043=Assumptions!$K$58,1,0)</f>
        <v>0</v>
      </c>
      <c r="K17093" s="21" t="n">
        <f aca="false">IF(K17043=Assumptions!$K$58,1,0)</f>
        <v>0</v>
      </c>
    </row>
    <row r="17095" customFormat="false" ht="15" hidden="false" customHeight="false" outlineLevel="0" collapsed="false">
      <c r="A17095" s="3" t="s">
        <v>331</v>
      </c>
      <c r="G17095" s="31" t="n">
        <f aca="false">IF(Assumptions!$I$58=1,MAX(G17069,Assumptions!$G$58)+Assumptions!$F$58+$C$17070,Assumptions!$E$58)</f>
        <v>0.0581</v>
      </c>
      <c r="H17095" s="31" t="n">
        <f aca="false">IF(G17390=1,$C$17071,IF(Assumptions!$I$58=1,MAX(H17069,Assumptions!$G$58)+Assumptions!$F$58+$C$17070,Assumptions!$E$58))</f>
        <v>0.0581</v>
      </c>
      <c r="I17095" s="31" t="n">
        <f aca="false">IF(H17390=1,$C$17071,IF(Assumptions!$I$58=1,MAX(I17069,Assumptions!$G$58)+Assumptions!$F$58+$C$17070,Assumptions!$E$58))</f>
        <v>0.0581</v>
      </c>
      <c r="J17095" s="31" t="n">
        <f aca="false">IF(I17390=1,$C$17071,IF(Assumptions!$I$58=1,MAX(J17069,Assumptions!$G$58)+Assumptions!$F$58+$C$17070,Assumptions!$E$58))</f>
        <v>0.0581</v>
      </c>
      <c r="K17095" s="31" t="n">
        <f aca="false">IF(J17390=1,$C$17071,IF(Assumptions!$I$58=1,MAX(K17069,Assumptions!$G$58)+Assumptions!$F$58+$C$17070,Assumptions!$E$58))</f>
        <v>0.0581</v>
      </c>
    </row>
    <row r="17096" customFormat="false" ht="15" hidden="false" customHeight="false" outlineLevel="0" collapsed="false">
      <c r="A17096" s="3" t="s">
        <v>332</v>
      </c>
      <c r="G17096" s="16" t="n">
        <f aca="false">G17092*G17095</f>
        <v>5.229</v>
      </c>
      <c r="H17096" s="16" t="n">
        <f aca="false">H17092*H17095</f>
        <v>5.229</v>
      </c>
      <c r="I17096" s="16" t="n">
        <f aca="false">I17092*I17095</f>
        <v>5.229</v>
      </c>
      <c r="J17096" s="16" t="n">
        <f aca="false">J17092*J17095</f>
        <v>5.229</v>
      </c>
      <c r="K17096" s="16" t="n">
        <f aca="false">K17092*K17095</f>
        <v>5.229</v>
      </c>
    </row>
    <row r="17097" customFormat="false" ht="15" hidden="false" customHeight="false" outlineLevel="0" collapsed="false">
      <c r="A17097" s="3" t="s">
        <v>333</v>
      </c>
      <c r="G17097" s="16" t="n">
        <f aca="false">G17092*Assumptions!$H$58</f>
        <v>0</v>
      </c>
      <c r="H17097" s="16" t="n">
        <f aca="false">H17092*Assumptions!$H$58</f>
        <v>0</v>
      </c>
      <c r="I17097" s="16" t="n">
        <f aca="false">I17092*Assumptions!$H$58</f>
        <v>0</v>
      </c>
      <c r="J17097" s="16" t="n">
        <f aca="false">J17092*Assumptions!$H$58</f>
        <v>0</v>
      </c>
      <c r="K17097" s="16" t="n">
        <f aca="false">K17092*Assumptions!$H$58</f>
        <v>0</v>
      </c>
    </row>
    <row r="17098" customFormat="false" ht="15" hidden="false" customHeight="false" outlineLevel="0" collapsed="false">
      <c r="A17098" s="3" t="s">
        <v>334</v>
      </c>
      <c r="G17098" s="16" t="n">
        <f aca="false">MIN(G17092,Assumptions!$L$58*Assumptions!$C$58)</f>
        <v>0</v>
      </c>
      <c r="H17098" s="16" t="n">
        <f aca="false">MIN(H17092,Assumptions!$L$58*Assumptions!$C$58)</f>
        <v>0</v>
      </c>
      <c r="I17098" s="16" t="n">
        <f aca="false">MIN(I17092,Assumptions!$L$58*Assumptions!$C$58)</f>
        <v>0</v>
      </c>
      <c r="J17098" s="16" t="n">
        <f aca="false">MIN(J17092,Assumptions!$L$58*Assumptions!$C$58)</f>
        <v>0</v>
      </c>
      <c r="K17098" s="16" t="n">
        <f aca="false">MIN(K17092,Assumptions!$L$58*Assumptions!$C$58)</f>
        <v>0</v>
      </c>
    </row>
    <row r="17099" customFormat="false" ht="15" hidden="false" customHeight="false" outlineLevel="0" collapsed="false">
      <c r="A17099" s="3" t="s">
        <v>335</v>
      </c>
      <c r="G17099" s="16" t="n">
        <f aca="false">IF(AND(Assumptions!$P$58=1,G17043&lt;Assumptions!$K$58),MIN(MAX(0,-G17259),MAX(0,Assumptions!$D$58-G17092)),0)</f>
        <v>0</v>
      </c>
      <c r="H17099" s="16" t="n">
        <f aca="false">IF(AND(Assumptions!$P$58=1,OR(H17043&lt;Assumptions!$K$58,G17390=1)),MIN(MAX(0,-H17259),MAX(0,Assumptions!$D$58-H17092)),0)</f>
        <v>0</v>
      </c>
      <c r="I17099" s="16" t="n">
        <f aca="false">IF(AND(Assumptions!$P$58=1,OR(I17043&lt;Assumptions!$K$58,H17390=1)),MIN(MAX(0,-I17259),MAX(0,Assumptions!$D$58-I17092)),0)</f>
        <v>0</v>
      </c>
      <c r="J17099" s="16" t="n">
        <f aca="false">IF(AND(Assumptions!$P$58=1,OR(J17043&lt;Assumptions!$K$58,I17390=1)),MIN(MAX(0,-J17259),MAX(0,Assumptions!$D$58-J17092)),0)</f>
        <v>0</v>
      </c>
      <c r="K17099" s="16" t="n">
        <f aca="false">IF(AND(Assumptions!$P$58=1,OR(K17043&lt;Assumptions!$K$58,J17390=1)),MIN(MAX(0,-K17259),MAX(0,Assumptions!$D$58-K17092)),0)</f>
        <v>0</v>
      </c>
    </row>
    <row r="17100" customFormat="false" ht="15" hidden="false" customHeight="false" outlineLevel="0" collapsed="false">
      <c r="A17100" s="3" t="s">
        <v>336</v>
      </c>
      <c r="G17100" s="16" t="n">
        <f aca="false">G17093*MIN(G17092-G17098+G17097,MAX(0,G17261-Assumptions!$C$12*G17077-G17087))</f>
        <v>0</v>
      </c>
      <c r="H17100" s="16" t="n">
        <f aca="false">H17093*MIN(H17092-H17098+H17097,MAX(0,H17261-Assumptions!$C$12*H17077-H17087))</f>
        <v>0</v>
      </c>
      <c r="I17100" s="16" t="n">
        <f aca="false">I17093*MIN(I17092-I17098+I17097,MAX(0,I17261-Assumptions!$C$12*I17077-I17087))</f>
        <v>0</v>
      </c>
      <c r="J17100" s="16" t="n">
        <f aca="false">J17093*MIN(J17092-J17098+J17097,MAX(0,J17261-Assumptions!$C$12*J17077-J17087))</f>
        <v>0</v>
      </c>
      <c r="K17100" s="16" t="n">
        <f aca="false">K17093*MIN(K17092-K17098+K17097,MAX(0,K17261-Assumptions!$C$12*K17077-K17087))</f>
        <v>0</v>
      </c>
    </row>
    <row r="17101" customFormat="false" ht="15" hidden="false" customHeight="false" outlineLevel="0" collapsed="false">
      <c r="A17101" s="3" t="s">
        <v>337</v>
      </c>
      <c r="G17101" s="16" t="n">
        <f aca="false">Assumptions!$N$58*MIN(G17092+G17099+G17097-G17098-G17100,MAX(0,G17265-G17088))</f>
        <v>0</v>
      </c>
      <c r="H17101" s="16" t="n">
        <f aca="false">Assumptions!$N$58*MIN(H17092+H17099+H17097-H17098-H17100,MAX(0,H17265-H17088))</f>
        <v>0</v>
      </c>
      <c r="I17101" s="16" t="n">
        <f aca="false">Assumptions!$N$58*MIN(I17092+I17099+I17097-I17098-I17100,MAX(0,I17265-I17088))</f>
        <v>0</v>
      </c>
      <c r="J17101" s="16" t="n">
        <f aca="false">Assumptions!$N$58*MIN(J17092+J17099+J17097-J17098-J17100,MAX(0,J17265-J17088))</f>
        <v>0</v>
      </c>
      <c r="K17101" s="16" t="n">
        <f aca="false">Assumptions!$N$58*MIN(K17092+K17099+K17097-K17098-K17100,MAX(0,K17265-K17088))</f>
        <v>0</v>
      </c>
    </row>
    <row r="17102" customFormat="false" ht="15" hidden="false" customHeight="false" outlineLevel="0" collapsed="false">
      <c r="A17102" s="3" t="s">
        <v>338</v>
      </c>
      <c r="G17102" s="16" t="n">
        <f aca="false">G17093*(1-G17077)*(G17092-G17098+G17097-G17100)</f>
        <v>0</v>
      </c>
      <c r="H17102" s="16" t="n">
        <f aca="false">H17093*(1-H17077)*(H17092-H17098+H17097-H17100)</f>
        <v>0</v>
      </c>
      <c r="I17102" s="16" t="n">
        <f aca="false">I17093*(1-I17077)*(I17092-I17098+I17097-I17100)</f>
        <v>0</v>
      </c>
      <c r="J17102" s="16" t="n">
        <f aca="false">J17093*(1-J17077)*(J17092-J17098+J17097-J17100)</f>
        <v>0</v>
      </c>
      <c r="K17102" s="16" t="n">
        <f aca="false">K17093*(1-K17077)*(K17092-K17098+K17097-K17100)</f>
        <v>0</v>
      </c>
    </row>
    <row r="17103" customFormat="false" ht="15" hidden="false" customHeight="false" outlineLevel="0" collapsed="false">
      <c r="A17103" s="2" t="s">
        <v>339</v>
      </c>
      <c r="F17103" s="28" t="n">
        <f aca="false">Assumptions!$C$58</f>
        <v>90</v>
      </c>
      <c r="G17103" s="17" t="n">
        <f aca="false">G17092+G17099+G17097-G17098-G17100-G17101</f>
        <v>90</v>
      </c>
      <c r="H17103" s="17" t="n">
        <f aca="false">H17092+H17099+H17097-H17098-H17100-H17101</f>
        <v>90</v>
      </c>
      <c r="I17103" s="17" t="n">
        <f aca="false">I17092+I17099+I17097-I17098-I17100-I17101</f>
        <v>90</v>
      </c>
      <c r="J17103" s="17" t="n">
        <f aca="false">J17092+J17099+J17097-J17098-J17100-J17101</f>
        <v>90</v>
      </c>
      <c r="K17103" s="17" t="n">
        <f aca="false">K17092+K17099+K17097-K17098-K17100-K17101</f>
        <v>90</v>
      </c>
    </row>
    <row r="17104" customFormat="false" ht="15" hidden="false" customHeight="false" outlineLevel="0" collapsed="false">
      <c r="A17104" s="24" t="s">
        <v>341</v>
      </c>
      <c r="B17104" s="25"/>
      <c r="C17104" s="25"/>
      <c r="D17104" s="25"/>
      <c r="E17104" s="25"/>
      <c r="F17104" s="25"/>
      <c r="G17104" s="25"/>
      <c r="H17104" s="25"/>
      <c r="I17104" s="25"/>
      <c r="J17104" s="25"/>
      <c r="K17104" s="25"/>
    </row>
    <row r="17105" customFormat="false" ht="15" hidden="false" customHeight="false" outlineLevel="0" collapsed="false">
      <c r="A17105" s="3" t="s">
        <v>329</v>
      </c>
      <c r="G17105" s="16" t="n">
        <f aca="false">F17116</f>
        <v>57.324</v>
      </c>
      <c r="H17105" s="16" t="n">
        <f aca="false">G17116</f>
        <v>57.324</v>
      </c>
      <c r="I17105" s="16" t="n">
        <f aca="false">H17116</f>
        <v>57.324</v>
      </c>
      <c r="J17105" s="16" t="n">
        <f aca="false">I17116</f>
        <v>57.324</v>
      </c>
      <c r="K17105" s="16" t="n">
        <f aca="false">J17116</f>
        <v>57.324</v>
      </c>
    </row>
    <row r="17106" customFormat="false" ht="15" hidden="false" customHeight="false" outlineLevel="0" collapsed="false">
      <c r="A17106" s="3" t="s">
        <v>330</v>
      </c>
      <c r="G17106" s="21" t="n">
        <f aca="false">IF(G17043=Assumptions!$K$59,1,0)</f>
        <v>0</v>
      </c>
      <c r="H17106" s="21" t="n">
        <f aca="false">IF(H17043=Assumptions!$K$59,1,0)</f>
        <v>0</v>
      </c>
      <c r="I17106" s="21" t="n">
        <f aca="false">IF(I17043=Assumptions!$K$59,1,0)</f>
        <v>0</v>
      </c>
      <c r="J17106" s="21" t="n">
        <f aca="false">IF(J17043=Assumptions!$K$59,1,0)</f>
        <v>0</v>
      </c>
      <c r="K17106" s="21" t="n">
        <f aca="false">IF(K17043=Assumptions!$K$59,1,0)</f>
        <v>0</v>
      </c>
    </row>
    <row r="17108" customFormat="false" ht="15" hidden="false" customHeight="false" outlineLevel="0" collapsed="false">
      <c r="A17108" s="3" t="s">
        <v>331</v>
      </c>
      <c r="G17108" s="31" t="n">
        <f aca="false">IF(Assumptions!$I$59=1,MAX(G17069,Assumptions!$G$59)+Assumptions!$F$59+$C$17070,Assumptions!$E$59)</f>
        <v>0.0731</v>
      </c>
      <c r="H17108" s="31" t="n">
        <f aca="false">IF(G17391=1,$C$17071,IF(Assumptions!$I$59=1,MAX(H17069,Assumptions!$G$59)+Assumptions!$F$59+$C$17070,Assumptions!$E$59))</f>
        <v>0.0731</v>
      </c>
      <c r="I17108" s="31" t="n">
        <f aca="false">IF(H17391=1,$C$17071,IF(Assumptions!$I$59=1,MAX(I17069,Assumptions!$G$59)+Assumptions!$F$59+$C$17070,Assumptions!$E$59))</f>
        <v>0.0731</v>
      </c>
      <c r="J17108" s="31" t="n">
        <f aca="false">IF(I17391=1,$C$17071,IF(Assumptions!$I$59=1,MAX(J17069,Assumptions!$G$59)+Assumptions!$F$59+$C$17070,Assumptions!$E$59))</f>
        <v>0.0731</v>
      </c>
      <c r="K17108" s="31" t="n">
        <f aca="false">IF(J17391=1,$C$17071,IF(Assumptions!$I$59=1,MAX(K17069,Assumptions!$G$59)+Assumptions!$F$59+$C$17070,Assumptions!$E$59))</f>
        <v>0.0731</v>
      </c>
    </row>
    <row r="17109" customFormat="false" ht="15" hidden="false" customHeight="false" outlineLevel="0" collapsed="false">
      <c r="A17109" s="3" t="s">
        <v>332</v>
      </c>
      <c r="G17109" s="16" t="n">
        <f aca="false">G17105*G17108</f>
        <v>4.1903844</v>
      </c>
      <c r="H17109" s="16" t="n">
        <f aca="false">H17105*H17108</f>
        <v>4.1903844</v>
      </c>
      <c r="I17109" s="16" t="n">
        <f aca="false">I17105*I17108</f>
        <v>4.1903844</v>
      </c>
      <c r="J17109" s="16" t="n">
        <f aca="false">J17105*J17108</f>
        <v>4.1903844</v>
      </c>
      <c r="K17109" s="16" t="n">
        <f aca="false">K17105*K17108</f>
        <v>4.1903844</v>
      </c>
    </row>
    <row r="17110" customFormat="false" ht="15" hidden="false" customHeight="false" outlineLevel="0" collapsed="false">
      <c r="A17110" s="3" t="s">
        <v>333</v>
      </c>
      <c r="G17110" s="16" t="n">
        <f aca="false">G17105*Assumptions!$H$59</f>
        <v>0</v>
      </c>
      <c r="H17110" s="16" t="n">
        <f aca="false">H17105*Assumptions!$H$59</f>
        <v>0</v>
      </c>
      <c r="I17110" s="16" t="n">
        <f aca="false">I17105*Assumptions!$H$59</f>
        <v>0</v>
      </c>
      <c r="J17110" s="16" t="n">
        <f aca="false">J17105*Assumptions!$H$59</f>
        <v>0</v>
      </c>
      <c r="K17110" s="16" t="n">
        <f aca="false">K17105*Assumptions!$H$59</f>
        <v>0</v>
      </c>
    </row>
    <row r="17111" customFormat="false" ht="15" hidden="false" customHeight="false" outlineLevel="0" collapsed="false">
      <c r="A17111" s="3" t="s">
        <v>334</v>
      </c>
      <c r="G17111" s="16" t="n">
        <f aca="false">MIN(G17105,Assumptions!$L$59*Assumptions!$C$59)</f>
        <v>0</v>
      </c>
      <c r="H17111" s="16" t="n">
        <f aca="false">MIN(H17105,Assumptions!$L$59*Assumptions!$C$59)</f>
        <v>0</v>
      </c>
      <c r="I17111" s="16" t="n">
        <f aca="false">MIN(I17105,Assumptions!$L$59*Assumptions!$C$59)</f>
        <v>0</v>
      </c>
      <c r="J17111" s="16" t="n">
        <f aca="false">MIN(J17105,Assumptions!$L$59*Assumptions!$C$59)</f>
        <v>0</v>
      </c>
      <c r="K17111" s="16" t="n">
        <f aca="false">MIN(K17105,Assumptions!$L$59*Assumptions!$C$59)</f>
        <v>0</v>
      </c>
    </row>
    <row r="17112" customFormat="false" ht="15" hidden="false" customHeight="false" outlineLevel="0" collapsed="false">
      <c r="A17112" s="3" t="s">
        <v>335</v>
      </c>
      <c r="G17112" s="16" t="n">
        <f aca="false">IF(AND(Assumptions!$P$59=1,G17043&lt;Assumptions!$K$59),MIN(MAX(0,-G17259),MAX(0,Assumptions!$D$59-G17105)),0)</f>
        <v>0</v>
      </c>
      <c r="H17112" s="16" t="n">
        <f aca="false">IF(AND(Assumptions!$P$59=1,OR(H17043&lt;Assumptions!$K$59,G17391=1)),MIN(MAX(0,-H17259),MAX(0,Assumptions!$D$59-H17105)),0)</f>
        <v>0</v>
      </c>
      <c r="I17112" s="16" t="n">
        <f aca="false">IF(AND(Assumptions!$P$59=1,OR(I17043&lt;Assumptions!$K$59,H17391=1)),MIN(MAX(0,-I17259),MAX(0,Assumptions!$D$59-I17105)),0)</f>
        <v>0</v>
      </c>
      <c r="J17112" s="16" t="n">
        <f aca="false">IF(AND(Assumptions!$P$59=1,OR(J17043&lt;Assumptions!$K$59,I17391=1)),MIN(MAX(0,-J17259),MAX(0,Assumptions!$D$59-J17105)),0)</f>
        <v>0</v>
      </c>
      <c r="K17112" s="16" t="n">
        <f aca="false">IF(AND(Assumptions!$P$59=1,OR(K17043&lt;Assumptions!$K$59,J17391=1)),MIN(MAX(0,-K17259),MAX(0,Assumptions!$D$59-K17105)),0)</f>
        <v>0</v>
      </c>
    </row>
    <row r="17113" customFormat="false" ht="15" hidden="false" customHeight="false" outlineLevel="0" collapsed="false">
      <c r="A17113" s="3" t="s">
        <v>336</v>
      </c>
      <c r="G17113" s="16" t="n">
        <f aca="false">G17106*MIN(G17105-G17111+G17110,MAX(0,G17261-Assumptions!$C$12*G17077-G17087-G17100))</f>
        <v>0</v>
      </c>
      <c r="H17113" s="16" t="n">
        <f aca="false">H17106*MIN(H17105-H17111+H17110,MAX(0,H17261-Assumptions!$C$12*H17077-H17087-H17100))</f>
        <v>0</v>
      </c>
      <c r="I17113" s="16" t="n">
        <f aca="false">I17106*MIN(I17105-I17111+I17110,MAX(0,I17261-Assumptions!$C$12*I17077-I17087-I17100))</f>
        <v>0</v>
      </c>
      <c r="J17113" s="16" t="n">
        <f aca="false">J17106*MIN(J17105-J17111+J17110,MAX(0,J17261-Assumptions!$C$12*J17077-J17087-J17100))</f>
        <v>0</v>
      </c>
      <c r="K17113" s="16" t="n">
        <f aca="false">K17106*MIN(K17105-K17111+K17110,MAX(0,K17261-Assumptions!$C$12*K17077-K17087-K17100))</f>
        <v>0</v>
      </c>
    </row>
    <row r="17114" customFormat="false" ht="15" hidden="false" customHeight="false" outlineLevel="0" collapsed="false">
      <c r="A17114" s="3" t="s">
        <v>337</v>
      </c>
      <c r="G17114" s="16" t="n">
        <f aca="false">Assumptions!$N$59*MIN(G17105+G17112+G17110-G17111-G17113,MAX(0,G17265-G17088-G17101))</f>
        <v>0</v>
      </c>
      <c r="H17114" s="16" t="n">
        <f aca="false">Assumptions!$N$59*MIN(H17105+H17112+H17110-H17111-H17113,MAX(0,H17265-H17088-H17101))</f>
        <v>0</v>
      </c>
      <c r="I17114" s="16" t="n">
        <f aca="false">Assumptions!$N$59*MIN(I17105+I17112+I17110-I17111-I17113,MAX(0,I17265-I17088-I17101))</f>
        <v>0</v>
      </c>
      <c r="J17114" s="16" t="n">
        <f aca="false">Assumptions!$N$59*MIN(J17105+J17112+J17110-J17111-J17113,MAX(0,J17265-J17088-J17101))</f>
        <v>0</v>
      </c>
      <c r="K17114" s="16" t="n">
        <f aca="false">Assumptions!$N$59*MIN(K17105+K17112+K17110-K17111-K17113,MAX(0,K17265-K17088-K17101))</f>
        <v>0</v>
      </c>
    </row>
    <row r="17115" customFormat="false" ht="15" hidden="false" customHeight="false" outlineLevel="0" collapsed="false">
      <c r="A17115" s="3" t="s">
        <v>338</v>
      </c>
      <c r="G17115" s="16" t="n">
        <f aca="false">G17106*(1-G17077)*(G17105-G17111+G17110-G17113)</f>
        <v>0</v>
      </c>
      <c r="H17115" s="16" t="n">
        <f aca="false">H17106*(1-H17077)*(H17105-H17111+H17110-H17113)</f>
        <v>0</v>
      </c>
      <c r="I17115" s="16" t="n">
        <f aca="false">I17106*(1-I17077)*(I17105-I17111+I17110-I17113)</f>
        <v>0</v>
      </c>
      <c r="J17115" s="16" t="n">
        <f aca="false">J17106*(1-J17077)*(J17105-J17111+J17110-J17113)</f>
        <v>0</v>
      </c>
      <c r="K17115" s="16" t="n">
        <f aca="false">K17106*(1-K17077)*(K17105-K17111+K17110-K17113)</f>
        <v>0</v>
      </c>
    </row>
    <row r="17116" customFormat="false" ht="15" hidden="false" customHeight="false" outlineLevel="0" collapsed="false">
      <c r="A17116" s="2" t="s">
        <v>339</v>
      </c>
      <c r="F17116" s="28" t="n">
        <f aca="false">Assumptions!$C$59</f>
        <v>57.324</v>
      </c>
      <c r="G17116" s="17" t="n">
        <f aca="false">G17105+G17112+G17110-G17111-G17113-G17114</f>
        <v>57.324</v>
      </c>
      <c r="H17116" s="17" t="n">
        <f aca="false">H17105+H17112+H17110-H17111-H17113-H17114</f>
        <v>57.324</v>
      </c>
      <c r="I17116" s="17" t="n">
        <f aca="false">I17105+I17112+I17110-I17111-I17113-I17114</f>
        <v>57.324</v>
      </c>
      <c r="J17116" s="17" t="n">
        <f aca="false">J17105+J17112+J17110-J17111-J17113-J17114</f>
        <v>57.324</v>
      </c>
      <c r="K17116" s="17" t="n">
        <f aca="false">K17105+K17112+K17110-K17111-K17113-K17114</f>
        <v>57.324</v>
      </c>
    </row>
    <row r="17117" customFormat="false" ht="15" hidden="false" customHeight="false" outlineLevel="0" collapsed="false">
      <c r="A17117" s="24" t="s">
        <v>342</v>
      </c>
      <c r="B17117" s="25"/>
      <c r="C17117" s="25"/>
      <c r="D17117" s="25"/>
      <c r="E17117" s="25"/>
      <c r="F17117" s="25"/>
      <c r="G17117" s="25"/>
      <c r="H17117" s="25"/>
      <c r="I17117" s="25"/>
      <c r="J17117" s="25"/>
      <c r="K17117" s="25"/>
    </row>
    <row r="17118" customFormat="false" ht="15" hidden="false" customHeight="false" outlineLevel="0" collapsed="false">
      <c r="A17118" s="3" t="s">
        <v>329</v>
      </c>
      <c r="G17118" s="16" t="n">
        <f aca="false">F17129</f>
        <v>0</v>
      </c>
      <c r="H17118" s="16" t="n">
        <f aca="false">G17129</f>
        <v>0</v>
      </c>
      <c r="I17118" s="16" t="n">
        <f aca="false">H17129</f>
        <v>0</v>
      </c>
      <c r="J17118" s="16" t="n">
        <f aca="false">I17129</f>
        <v>0</v>
      </c>
      <c r="K17118" s="16" t="n">
        <f aca="false">J17129</f>
        <v>0</v>
      </c>
    </row>
    <row r="17119" customFormat="false" ht="15" hidden="false" customHeight="false" outlineLevel="0" collapsed="false">
      <c r="A17119" s="3" t="s">
        <v>330</v>
      </c>
      <c r="G17119" s="21" t="n">
        <f aca="false">IF(G17043=Assumptions!$K$60,1,0)</f>
        <v>1</v>
      </c>
      <c r="H17119" s="21" t="n">
        <f aca="false">IF(H17043=Assumptions!$K$60,1,0)</f>
        <v>0</v>
      </c>
      <c r="I17119" s="21" t="n">
        <f aca="false">IF(I17043=Assumptions!$K$60,1,0)</f>
        <v>0</v>
      </c>
      <c r="J17119" s="21" t="n">
        <f aca="false">IF(J17043=Assumptions!$K$60,1,0)</f>
        <v>0</v>
      </c>
      <c r="K17119" s="21" t="n">
        <f aca="false">IF(K17043=Assumptions!$K$60,1,0)</f>
        <v>0</v>
      </c>
    </row>
    <row r="17121" customFormat="false" ht="15" hidden="false" customHeight="false" outlineLevel="0" collapsed="false">
      <c r="A17121" s="3" t="s">
        <v>331</v>
      </c>
      <c r="G17121" s="31" t="n">
        <f aca="false">IF(Assumptions!$I$60=1,MAX(G17069,Assumptions!$G$60)+Assumptions!$F$60+$C$17070,Assumptions!$E$60)</f>
        <v>0.069</v>
      </c>
      <c r="H17121" s="31" t="n">
        <f aca="false">IF(G17392=1,$C$17071,IF(Assumptions!$I$60=1,MAX(H17069,Assumptions!$G$60)+Assumptions!$F$60+$C$17070,Assumptions!$E$60))</f>
        <v>0.0675</v>
      </c>
      <c r="I17121" s="31" t="n">
        <f aca="false">IF(H17392=1,$C$17071,IF(Assumptions!$I$60=1,MAX(I17069,Assumptions!$G$60)+Assumptions!$F$60+$C$17070,Assumptions!$E$60))</f>
        <v>0.065</v>
      </c>
      <c r="J17121" s="31" t="n">
        <f aca="false">IF(I17392=1,$C$17071,IF(Assumptions!$I$60=1,MAX(J17069,Assumptions!$G$60)+Assumptions!$F$60+$C$17070,Assumptions!$E$60))</f>
        <v>0.065</v>
      </c>
      <c r="K17121" s="31" t="n">
        <f aca="false">IF(J17392=1,$C$17071,IF(Assumptions!$I$60=1,MAX(K17069,Assumptions!$G$60)+Assumptions!$F$60+$C$17070,Assumptions!$E$60))</f>
        <v>0.065</v>
      </c>
    </row>
    <row r="17122" customFormat="false" ht="15" hidden="false" customHeight="false" outlineLevel="0" collapsed="false">
      <c r="A17122" s="3" t="s">
        <v>332</v>
      </c>
      <c r="G17122" s="16" t="n">
        <f aca="false">G17118*G17121</f>
        <v>0</v>
      </c>
      <c r="H17122" s="16" t="n">
        <f aca="false">H17118*H17121</f>
        <v>0</v>
      </c>
      <c r="I17122" s="16" t="n">
        <f aca="false">I17118*I17121</f>
        <v>0</v>
      </c>
      <c r="J17122" s="16" t="n">
        <f aca="false">J17118*J17121</f>
        <v>0</v>
      </c>
      <c r="K17122" s="16" t="n">
        <f aca="false">K17118*K17121</f>
        <v>0</v>
      </c>
    </row>
    <row r="17123" customFormat="false" ht="15" hidden="false" customHeight="false" outlineLevel="0" collapsed="false">
      <c r="A17123" s="3" t="s">
        <v>333</v>
      </c>
      <c r="G17123" s="16" t="n">
        <f aca="false">G17118*Assumptions!$H$60</f>
        <v>0</v>
      </c>
      <c r="H17123" s="16" t="n">
        <f aca="false">H17118*Assumptions!$H$60</f>
        <v>0</v>
      </c>
      <c r="I17123" s="16" t="n">
        <f aca="false">I17118*Assumptions!$H$60</f>
        <v>0</v>
      </c>
      <c r="J17123" s="16" t="n">
        <f aca="false">J17118*Assumptions!$H$60</f>
        <v>0</v>
      </c>
      <c r="K17123" s="16" t="n">
        <f aca="false">K17118*Assumptions!$H$60</f>
        <v>0</v>
      </c>
    </row>
    <row r="17124" customFormat="false" ht="15" hidden="false" customHeight="false" outlineLevel="0" collapsed="false">
      <c r="A17124" s="3" t="s">
        <v>334</v>
      </c>
      <c r="G17124" s="16" t="n">
        <f aca="false">MIN(G17118,Assumptions!$L$60*Assumptions!$C$60)</f>
        <v>0</v>
      </c>
      <c r="H17124" s="16" t="n">
        <f aca="false">MIN(H17118,Assumptions!$L$60*Assumptions!$C$60)</f>
        <v>0</v>
      </c>
      <c r="I17124" s="16" t="n">
        <f aca="false">MIN(I17118,Assumptions!$L$60*Assumptions!$C$60)</f>
        <v>0</v>
      </c>
      <c r="J17124" s="16" t="n">
        <f aca="false">MIN(J17118,Assumptions!$L$60*Assumptions!$C$60)</f>
        <v>0</v>
      </c>
      <c r="K17124" s="16" t="n">
        <f aca="false">MIN(K17118,Assumptions!$L$60*Assumptions!$C$60)</f>
        <v>0</v>
      </c>
    </row>
    <row r="17125" customFormat="false" ht="15" hidden="false" customHeight="false" outlineLevel="0" collapsed="false">
      <c r="A17125" s="3" t="s">
        <v>335</v>
      </c>
      <c r="G17125" s="16" t="n">
        <f aca="false">IF(AND(Assumptions!$P$60=1,G17043&lt;Assumptions!$K$60),MIN(MAX(0,-G17259),MAX(0,Assumptions!$D$60-G17118)),0)</f>
        <v>0</v>
      </c>
      <c r="H17125" s="16" t="n">
        <f aca="false">IF(AND(Assumptions!$P$60=1,OR(H17043&lt;Assumptions!$K$60,G17392=1)),MIN(MAX(0,-H17259),MAX(0,Assumptions!$D$60-H17118)),0)</f>
        <v>0</v>
      </c>
      <c r="I17125" s="16" t="n">
        <f aca="false">IF(AND(Assumptions!$P$60=1,OR(I17043&lt;Assumptions!$K$60,H17392=1)),MIN(MAX(0,-I17259),MAX(0,Assumptions!$D$60-I17118)),0)</f>
        <v>0</v>
      </c>
      <c r="J17125" s="16" t="n">
        <f aca="false">IF(AND(Assumptions!$P$60=1,OR(J17043&lt;Assumptions!$K$60,I17392=1)),MIN(MAX(0,-J17259),MAX(0,Assumptions!$D$60-J17118)),0)</f>
        <v>0</v>
      </c>
      <c r="K17125" s="16" t="n">
        <f aca="false">IF(AND(Assumptions!$P$60=1,OR(K17043&lt;Assumptions!$K$60,J17392=1)),MIN(MAX(0,-K17259),MAX(0,Assumptions!$D$60-K17118)),0)</f>
        <v>0</v>
      </c>
    </row>
    <row r="17126" customFormat="false" ht="15" hidden="false" customHeight="false" outlineLevel="0" collapsed="false">
      <c r="A17126" s="3" t="s">
        <v>336</v>
      </c>
      <c r="G17126" s="16" t="n">
        <f aca="false">G17119*MIN(G17118-G17124+G17123,MAX(0,G17261-Assumptions!$C$12*G17077-G17087-G17100-G17113))</f>
        <v>0</v>
      </c>
      <c r="H17126" s="16" t="n">
        <f aca="false">H17119*MIN(H17118-H17124+H17123,MAX(0,H17261-Assumptions!$C$12*H17077-H17087-H17100-H17113))</f>
        <v>0</v>
      </c>
      <c r="I17126" s="16" t="n">
        <f aca="false">I17119*MIN(I17118-I17124+I17123,MAX(0,I17261-Assumptions!$C$12*I17077-I17087-I17100-I17113))</f>
        <v>0</v>
      </c>
      <c r="J17126" s="16" t="n">
        <f aca="false">J17119*MIN(J17118-J17124+J17123,MAX(0,J17261-Assumptions!$C$12*J17077-J17087-J17100-J17113))</f>
        <v>0</v>
      </c>
      <c r="K17126" s="16" t="n">
        <f aca="false">K17119*MIN(K17118-K17124+K17123,MAX(0,K17261-Assumptions!$C$12*K17077-K17087-K17100-K17113))</f>
        <v>0</v>
      </c>
    </row>
    <row r="17127" customFormat="false" ht="15" hidden="false" customHeight="false" outlineLevel="0" collapsed="false">
      <c r="A17127" s="3" t="s">
        <v>337</v>
      </c>
      <c r="G17127" s="16" t="n">
        <f aca="false">Assumptions!$N$60*MIN(G17118+G17125+G17123-G17124-G17126,MAX(0,G17265-G17088-G17101-G17114))</f>
        <v>0</v>
      </c>
      <c r="H17127" s="16" t="n">
        <f aca="false">Assumptions!$N$60*MIN(H17118+H17125+H17123-H17124-H17126,MAX(0,H17265-H17088-H17101-H17114))</f>
        <v>0</v>
      </c>
      <c r="I17127" s="16" t="n">
        <f aca="false">Assumptions!$N$60*MIN(I17118+I17125+I17123-I17124-I17126,MAX(0,I17265-I17088-I17101-I17114))</f>
        <v>0</v>
      </c>
      <c r="J17127" s="16" t="n">
        <f aca="false">Assumptions!$N$60*MIN(J17118+J17125+J17123-J17124-J17126,MAX(0,J17265-J17088-J17101-J17114))</f>
        <v>0</v>
      </c>
      <c r="K17127" s="16" t="n">
        <f aca="false">Assumptions!$N$60*MIN(K17118+K17125+K17123-K17124-K17126,MAX(0,K17265-K17088-K17101-K17114))</f>
        <v>0</v>
      </c>
    </row>
    <row r="17128" customFormat="false" ht="15" hidden="false" customHeight="false" outlineLevel="0" collapsed="false">
      <c r="A17128" s="3" t="s">
        <v>338</v>
      </c>
      <c r="G17128" s="16" t="n">
        <f aca="false">G17119*(1-G17077)*(G17118-G17124+G17123-G17126)</f>
        <v>0</v>
      </c>
      <c r="H17128" s="16" t="n">
        <f aca="false">H17119*(1-H17077)*(H17118-H17124+H17123-H17126)</f>
        <v>0</v>
      </c>
      <c r="I17128" s="16" t="n">
        <f aca="false">I17119*(1-I17077)*(I17118-I17124+I17123-I17126)</f>
        <v>0</v>
      </c>
      <c r="J17128" s="16" t="n">
        <f aca="false">J17119*(1-J17077)*(J17118-J17124+J17123-J17126)</f>
        <v>0</v>
      </c>
      <c r="K17128" s="16" t="n">
        <f aca="false">K17119*(1-K17077)*(K17118-K17124+K17123-K17126)</f>
        <v>0</v>
      </c>
    </row>
    <row r="17129" customFormat="false" ht="15" hidden="false" customHeight="false" outlineLevel="0" collapsed="false">
      <c r="A17129" s="2" t="s">
        <v>339</v>
      </c>
      <c r="F17129" s="28" t="n">
        <f aca="false">Assumptions!$C$60</f>
        <v>0</v>
      </c>
      <c r="G17129" s="17" t="n">
        <f aca="false">G17118+G17125+G17123-G17124-G17126-G17127</f>
        <v>0</v>
      </c>
      <c r="H17129" s="17" t="n">
        <f aca="false">H17118+H17125+H17123-H17124-H17126-H17127</f>
        <v>0</v>
      </c>
      <c r="I17129" s="17" t="n">
        <f aca="false">I17118+I17125+I17123-I17124-I17126-I17127</f>
        <v>0</v>
      </c>
      <c r="J17129" s="17" t="n">
        <f aca="false">J17118+J17125+J17123-J17124-J17126-J17127</f>
        <v>0</v>
      </c>
      <c r="K17129" s="17" t="n">
        <f aca="false">K17118+K17125+K17123-K17124-K17126-K17127</f>
        <v>0</v>
      </c>
    </row>
    <row r="17130" customFormat="false" ht="15" hidden="false" customHeight="false" outlineLevel="0" collapsed="false">
      <c r="A17130" s="24" t="s">
        <v>343</v>
      </c>
      <c r="B17130" s="25"/>
      <c r="C17130" s="25"/>
      <c r="D17130" s="25"/>
      <c r="E17130" s="25"/>
      <c r="F17130" s="25"/>
      <c r="G17130" s="25"/>
      <c r="H17130" s="25"/>
      <c r="I17130" s="25"/>
      <c r="J17130" s="25"/>
      <c r="K17130" s="25"/>
    </row>
    <row r="17131" customFormat="false" ht="15" hidden="false" customHeight="false" outlineLevel="0" collapsed="false">
      <c r="A17131" s="3" t="s">
        <v>329</v>
      </c>
      <c r="G17131" s="16" t="n">
        <f aca="false">F17142</f>
        <v>450</v>
      </c>
      <c r="H17131" s="16" t="n">
        <f aca="false">G17142</f>
        <v>450</v>
      </c>
      <c r="I17131" s="16" t="n">
        <f aca="false">H17142</f>
        <v>382.267137291</v>
      </c>
      <c r="J17131" s="16" t="n">
        <f aca="false">I17142</f>
        <v>382.267137291</v>
      </c>
      <c r="K17131" s="16" t="n">
        <f aca="false">J17142</f>
        <v>382.267137291</v>
      </c>
    </row>
    <row r="17132" customFormat="false" ht="15" hidden="false" customHeight="false" outlineLevel="0" collapsed="false">
      <c r="A17132" s="3" t="s">
        <v>330</v>
      </c>
      <c r="G17132" s="21" t="n">
        <f aca="false">IF(G17043=Assumptions!$K$61,1,0)</f>
        <v>0</v>
      </c>
      <c r="H17132" s="21" t="n">
        <f aca="false">IF(H17043=Assumptions!$K$61,1,0)</f>
        <v>1</v>
      </c>
      <c r="I17132" s="21" t="n">
        <f aca="false">IF(I17043=Assumptions!$K$61,1,0)</f>
        <v>0</v>
      </c>
      <c r="J17132" s="21" t="n">
        <f aca="false">IF(J17043=Assumptions!$K$61,1,0)</f>
        <v>0</v>
      </c>
      <c r="K17132" s="21" t="n">
        <f aca="false">IF(K17043=Assumptions!$K$61,1,0)</f>
        <v>0</v>
      </c>
    </row>
    <row r="17134" customFormat="false" ht="15" hidden="false" customHeight="false" outlineLevel="0" collapsed="false">
      <c r="A17134" s="3" t="s">
        <v>331</v>
      </c>
      <c r="G17134" s="31" t="n">
        <f aca="false">IF(Assumptions!$I$61=1,MAX(G17069,Assumptions!$G$61)+Assumptions!$F$61+$C$17070,Assumptions!$E$61)</f>
        <v>0.0395</v>
      </c>
      <c r="H17134" s="31" t="n">
        <f aca="false">IF(G17393=1,$C$17071,IF(Assumptions!$I$61=1,MAX(H17069,Assumptions!$G$61)+Assumptions!$F$61+$C$17070,Assumptions!$E$61))</f>
        <v>0.0395</v>
      </c>
      <c r="I17134" s="31" t="n">
        <f aca="false">IF(H17393=1,$C$17071,IF(Assumptions!$I$61=1,MAX(I17069,Assumptions!$G$61)+Assumptions!$F$61+$C$17070,Assumptions!$E$61))</f>
        <v>0.0395</v>
      </c>
      <c r="J17134" s="31" t="n">
        <f aca="false">IF(I17393=1,$C$17071,IF(Assumptions!$I$61=1,MAX(J17069,Assumptions!$G$61)+Assumptions!$F$61+$C$17070,Assumptions!$E$61))</f>
        <v>0.0395</v>
      </c>
      <c r="K17134" s="31" t="n">
        <f aca="false">IF(J17393=1,$C$17071,IF(Assumptions!$I$61=1,MAX(K17069,Assumptions!$G$61)+Assumptions!$F$61+$C$17070,Assumptions!$E$61))</f>
        <v>0.0395</v>
      </c>
    </row>
    <row r="17135" customFormat="false" ht="15" hidden="false" customHeight="false" outlineLevel="0" collapsed="false">
      <c r="A17135" s="3" t="s">
        <v>332</v>
      </c>
      <c r="G17135" s="16" t="n">
        <f aca="false">G17131*G17134</f>
        <v>17.775</v>
      </c>
      <c r="H17135" s="16" t="n">
        <f aca="false">H17131*H17134</f>
        <v>17.775</v>
      </c>
      <c r="I17135" s="16" t="n">
        <f aca="false">I17131*I17134</f>
        <v>15.0995519229945</v>
      </c>
      <c r="J17135" s="16" t="n">
        <f aca="false">J17131*J17134</f>
        <v>15.0995519229945</v>
      </c>
      <c r="K17135" s="16" t="n">
        <f aca="false">K17131*K17134</f>
        <v>15.0995519229945</v>
      </c>
    </row>
    <row r="17136" customFormat="false" ht="15" hidden="false" customHeight="false" outlineLevel="0" collapsed="false">
      <c r="A17136" s="3" t="s">
        <v>333</v>
      </c>
      <c r="G17136" s="16" t="n">
        <f aca="false">G17131*Assumptions!$H$61</f>
        <v>0</v>
      </c>
      <c r="H17136" s="16" t="n">
        <f aca="false">H17131*Assumptions!$H$61</f>
        <v>0</v>
      </c>
      <c r="I17136" s="16" t="n">
        <f aca="false">I17131*Assumptions!$H$61</f>
        <v>0</v>
      </c>
      <c r="J17136" s="16" t="n">
        <f aca="false">J17131*Assumptions!$H$61</f>
        <v>0</v>
      </c>
      <c r="K17136" s="16" t="n">
        <f aca="false">K17131*Assumptions!$H$61</f>
        <v>0</v>
      </c>
    </row>
    <row r="17137" customFormat="false" ht="15" hidden="false" customHeight="false" outlineLevel="0" collapsed="false">
      <c r="A17137" s="3" t="s">
        <v>334</v>
      </c>
      <c r="G17137" s="16" t="n">
        <f aca="false">MIN(G17131,Assumptions!$L$61*Assumptions!$C$61)</f>
        <v>0</v>
      </c>
      <c r="H17137" s="16" t="n">
        <f aca="false">MIN(H17131,Assumptions!$L$61*Assumptions!$C$61)</f>
        <v>0</v>
      </c>
      <c r="I17137" s="16" t="n">
        <f aca="false">MIN(I17131,Assumptions!$L$61*Assumptions!$C$61)</f>
        <v>0</v>
      </c>
      <c r="J17137" s="16" t="n">
        <f aca="false">MIN(J17131,Assumptions!$L$61*Assumptions!$C$61)</f>
        <v>0</v>
      </c>
      <c r="K17137" s="16" t="n">
        <f aca="false">MIN(K17131,Assumptions!$L$61*Assumptions!$C$61)</f>
        <v>0</v>
      </c>
    </row>
    <row r="17138" customFormat="false" ht="15" hidden="false" customHeight="false" outlineLevel="0" collapsed="false">
      <c r="A17138" s="3" t="s">
        <v>335</v>
      </c>
      <c r="G17138" s="16" t="n">
        <f aca="false">IF(AND(Assumptions!$P$61=1,G17043&lt;Assumptions!$K$61),MIN(MAX(0,-G17259),MAX(0,Assumptions!$D$61-G17131)),0)</f>
        <v>0</v>
      </c>
      <c r="H17138" s="16" t="n">
        <f aca="false">IF(AND(Assumptions!$P$61=1,OR(H17043&lt;Assumptions!$K$61,G17393=1)),MIN(MAX(0,-H17259),MAX(0,Assumptions!$D$61-H17131)),0)</f>
        <v>0</v>
      </c>
      <c r="I17138" s="16" t="n">
        <f aca="false">IF(AND(Assumptions!$P$61=1,OR(I17043&lt;Assumptions!$K$61,H17393=1)),MIN(MAX(0,-I17259),MAX(0,Assumptions!$D$61-I17131)),0)</f>
        <v>0</v>
      </c>
      <c r="J17138" s="16" t="n">
        <f aca="false">IF(AND(Assumptions!$P$61=1,OR(J17043&lt;Assumptions!$K$61,I17393=1)),MIN(MAX(0,-J17259),MAX(0,Assumptions!$D$61-J17131)),0)</f>
        <v>0</v>
      </c>
      <c r="K17138" s="16" t="n">
        <f aca="false">IF(AND(Assumptions!$P$61=1,OR(K17043&lt;Assumptions!$K$61,J17393=1)),MIN(MAX(0,-K17259),MAX(0,Assumptions!$D$61-K17131)),0)</f>
        <v>0</v>
      </c>
    </row>
    <row r="17139" customFormat="false" ht="15" hidden="false" customHeight="false" outlineLevel="0" collapsed="false">
      <c r="A17139" s="3" t="s">
        <v>336</v>
      </c>
      <c r="G17139" s="16" t="n">
        <f aca="false">G17132*MIN(G17131-G17137+G17136,MAX(0,G17261-Assumptions!$C$12*G17077-G17087-G17100-G17113-G17126))</f>
        <v>0</v>
      </c>
      <c r="H17139" s="16" t="n">
        <f aca="false">H17132*MIN(H17131-H17137+H17136,MAX(0,H17261-Assumptions!$C$12*H17077-H17087-H17100-H17113-H17126))</f>
        <v>67.732862709</v>
      </c>
      <c r="I17139" s="16" t="n">
        <f aca="false">I17132*MIN(I17131-I17137+I17136,MAX(0,I17261-Assumptions!$C$12*I17077-I17087-I17100-I17113-I17126))</f>
        <v>0</v>
      </c>
      <c r="J17139" s="16" t="n">
        <f aca="false">J17132*MIN(J17131-J17137+J17136,MAX(0,J17261-Assumptions!$C$12*J17077-J17087-J17100-J17113-J17126))</f>
        <v>0</v>
      </c>
      <c r="K17139" s="16" t="n">
        <f aca="false">K17132*MIN(K17131-K17137+K17136,MAX(0,K17261-Assumptions!$C$12*K17077-K17087-K17100-K17113-K17126))</f>
        <v>0</v>
      </c>
    </row>
    <row r="17140" customFormat="false" ht="15" hidden="false" customHeight="false" outlineLevel="0" collapsed="false">
      <c r="A17140" s="3" t="s">
        <v>337</v>
      </c>
      <c r="G17140" s="16" t="n">
        <f aca="false">Assumptions!$N$61*MIN(G17131+G17138+G17136-G17137-G17139,MAX(0,G17265-G17088-G17101-G17114-G17127))</f>
        <v>0</v>
      </c>
      <c r="H17140" s="16" t="n">
        <f aca="false">Assumptions!$N$61*MIN(H17131+H17138+H17136-H17137-H17139,MAX(0,H17265-H17088-H17101-H17114-H17127))</f>
        <v>0</v>
      </c>
      <c r="I17140" s="16" t="n">
        <f aca="false">Assumptions!$N$61*MIN(I17131+I17138+I17136-I17137-I17139,MAX(0,I17265-I17088-I17101-I17114-I17127))</f>
        <v>0</v>
      </c>
      <c r="J17140" s="16" t="n">
        <f aca="false">Assumptions!$N$61*MIN(J17131+J17138+J17136-J17137-J17139,MAX(0,J17265-J17088-J17101-J17114-J17127))</f>
        <v>0</v>
      </c>
      <c r="K17140" s="16" t="n">
        <f aca="false">Assumptions!$N$61*MIN(K17131+K17138+K17136-K17137-K17139,MAX(0,K17265-K17088-K17101-K17114-K17127))</f>
        <v>0</v>
      </c>
    </row>
    <row r="17141" customFormat="false" ht="15" hidden="false" customHeight="false" outlineLevel="0" collapsed="false">
      <c r="A17141" s="3" t="s">
        <v>338</v>
      </c>
      <c r="G17141" s="16" t="n">
        <f aca="false">G17132*(1-G17077)*(G17131-G17137+G17136-G17139)</f>
        <v>0</v>
      </c>
      <c r="H17141" s="16" t="n">
        <f aca="false">H17132*(1-H17077)*(H17131-H17137+H17136-H17139)</f>
        <v>382.267137291</v>
      </c>
      <c r="I17141" s="16" t="n">
        <f aca="false">I17132*(1-I17077)*(I17131-I17137+I17136-I17139)</f>
        <v>0</v>
      </c>
      <c r="J17141" s="16" t="n">
        <f aca="false">J17132*(1-J17077)*(J17131-J17137+J17136-J17139)</f>
        <v>0</v>
      </c>
      <c r="K17141" s="16" t="n">
        <f aca="false">K17132*(1-K17077)*(K17131-K17137+K17136-K17139)</f>
        <v>0</v>
      </c>
    </row>
    <row r="17142" customFormat="false" ht="15" hidden="false" customHeight="false" outlineLevel="0" collapsed="false">
      <c r="A17142" s="2" t="s">
        <v>339</v>
      </c>
      <c r="F17142" s="28" t="n">
        <f aca="false">Assumptions!$C$61</f>
        <v>450</v>
      </c>
      <c r="G17142" s="17" t="n">
        <f aca="false">G17131+G17138+G17136-G17137-G17139-G17140</f>
        <v>450</v>
      </c>
      <c r="H17142" s="17" t="n">
        <f aca="false">H17131+H17138+H17136-H17137-H17139-H17140</f>
        <v>382.267137291</v>
      </c>
      <c r="I17142" s="17" t="n">
        <f aca="false">I17131+I17138+I17136-I17137-I17139-I17140</f>
        <v>382.267137291</v>
      </c>
      <c r="J17142" s="17" t="n">
        <f aca="false">J17131+J17138+J17136-J17137-J17139-J17140</f>
        <v>382.267137291</v>
      </c>
      <c r="K17142" s="17" t="n">
        <f aca="false">K17131+K17138+K17136-K17137-K17139-K17140</f>
        <v>382.267137291</v>
      </c>
    </row>
    <row r="17143" customFormat="false" ht="15" hidden="false" customHeight="false" outlineLevel="0" collapsed="false">
      <c r="A17143" s="24" t="s">
        <v>344</v>
      </c>
      <c r="B17143" s="25"/>
      <c r="C17143" s="25"/>
      <c r="D17143" s="25"/>
      <c r="E17143" s="25"/>
      <c r="F17143" s="25"/>
      <c r="G17143" s="25"/>
      <c r="H17143" s="25"/>
      <c r="I17143" s="25"/>
      <c r="J17143" s="25"/>
      <c r="K17143" s="25"/>
    </row>
    <row r="17144" customFormat="false" ht="15" hidden="false" customHeight="false" outlineLevel="0" collapsed="false">
      <c r="A17144" s="3" t="s">
        <v>329</v>
      </c>
      <c r="G17144" s="16" t="n">
        <f aca="false">F17155</f>
        <v>350</v>
      </c>
      <c r="H17144" s="16" t="n">
        <f aca="false">G17155</f>
        <v>350</v>
      </c>
      <c r="I17144" s="16" t="n">
        <f aca="false">H17155</f>
        <v>350</v>
      </c>
      <c r="J17144" s="16" t="n">
        <f aca="false">I17155</f>
        <v>350</v>
      </c>
      <c r="K17144" s="16" t="n">
        <f aca="false">J17155</f>
        <v>350</v>
      </c>
    </row>
    <row r="17145" customFormat="false" ht="15" hidden="false" customHeight="false" outlineLevel="0" collapsed="false">
      <c r="A17145" s="3" t="s">
        <v>330</v>
      </c>
      <c r="G17145" s="21" t="n">
        <f aca="false">IF(G17043=Assumptions!$K$62,1,0)</f>
        <v>0</v>
      </c>
      <c r="H17145" s="21" t="n">
        <f aca="false">IF(H17043=Assumptions!$K$62,1,0)</f>
        <v>1</v>
      </c>
      <c r="I17145" s="21" t="n">
        <f aca="false">IF(I17043=Assumptions!$K$62,1,0)</f>
        <v>0</v>
      </c>
      <c r="J17145" s="21" t="n">
        <f aca="false">IF(J17043=Assumptions!$K$62,1,0)</f>
        <v>0</v>
      </c>
      <c r="K17145" s="21" t="n">
        <f aca="false">IF(K17043=Assumptions!$K$62,1,0)</f>
        <v>0</v>
      </c>
    </row>
    <row r="17147" customFormat="false" ht="15" hidden="false" customHeight="false" outlineLevel="0" collapsed="false">
      <c r="A17147" s="3" t="s">
        <v>331</v>
      </c>
      <c r="G17147" s="31" t="n">
        <f aca="false">IF(Assumptions!$I$62=1,MAX(G17069,Assumptions!$G$62)+Assumptions!$F$62+$C$17070,Assumptions!$E$62)</f>
        <v>0.083</v>
      </c>
      <c r="H17147" s="31" t="n">
        <f aca="false">IF(G17394=1,$C$17071,IF(Assumptions!$I$62=1,MAX(H17069,Assumptions!$G$62)+Assumptions!$F$62+$C$17070,Assumptions!$E$62))</f>
        <v>0.083</v>
      </c>
      <c r="I17147" s="31" t="n">
        <f aca="false">IF(H17394=1,$C$17071,IF(Assumptions!$I$62=1,MAX(I17069,Assumptions!$G$62)+Assumptions!$F$62+$C$17070,Assumptions!$E$62))</f>
        <v>0.083</v>
      </c>
      <c r="J17147" s="31" t="n">
        <f aca="false">IF(I17394=1,$C$17071,IF(Assumptions!$I$62=1,MAX(J17069,Assumptions!$G$62)+Assumptions!$F$62+$C$17070,Assumptions!$E$62))</f>
        <v>0.083</v>
      </c>
      <c r="K17147" s="31" t="n">
        <f aca="false">IF(J17394=1,$C$17071,IF(Assumptions!$I$62=1,MAX(K17069,Assumptions!$G$62)+Assumptions!$F$62+$C$17070,Assumptions!$E$62))</f>
        <v>0.083</v>
      </c>
    </row>
    <row r="17148" customFormat="false" ht="15" hidden="false" customHeight="false" outlineLevel="0" collapsed="false">
      <c r="A17148" s="3" t="s">
        <v>332</v>
      </c>
      <c r="G17148" s="16" t="n">
        <f aca="false">G17144*G17147</f>
        <v>29.05</v>
      </c>
      <c r="H17148" s="16" t="n">
        <f aca="false">H17144*H17147</f>
        <v>29.05</v>
      </c>
      <c r="I17148" s="16" t="n">
        <f aca="false">I17144*I17147</f>
        <v>29.05</v>
      </c>
      <c r="J17148" s="16" t="n">
        <f aca="false">J17144*J17147</f>
        <v>29.05</v>
      </c>
      <c r="K17148" s="16" t="n">
        <f aca="false">K17144*K17147</f>
        <v>29.05</v>
      </c>
    </row>
    <row r="17149" customFormat="false" ht="15" hidden="false" customHeight="false" outlineLevel="0" collapsed="false">
      <c r="A17149" s="3" t="s">
        <v>333</v>
      </c>
      <c r="G17149" s="16" t="n">
        <f aca="false">G17144*Assumptions!$H$62</f>
        <v>0</v>
      </c>
      <c r="H17149" s="16" t="n">
        <f aca="false">H17144*Assumptions!$H$62</f>
        <v>0</v>
      </c>
      <c r="I17149" s="16" t="n">
        <f aca="false">I17144*Assumptions!$H$62</f>
        <v>0</v>
      </c>
      <c r="J17149" s="16" t="n">
        <f aca="false">J17144*Assumptions!$H$62</f>
        <v>0</v>
      </c>
      <c r="K17149" s="16" t="n">
        <f aca="false">K17144*Assumptions!$H$62</f>
        <v>0</v>
      </c>
    </row>
    <row r="17150" customFormat="false" ht="15" hidden="false" customHeight="false" outlineLevel="0" collapsed="false">
      <c r="A17150" s="3" t="s">
        <v>334</v>
      </c>
      <c r="G17150" s="16" t="n">
        <f aca="false">MIN(G17144,Assumptions!$L$62*Assumptions!$C$62)</f>
        <v>0</v>
      </c>
      <c r="H17150" s="16" t="n">
        <f aca="false">MIN(H17144,Assumptions!$L$62*Assumptions!$C$62)</f>
        <v>0</v>
      </c>
      <c r="I17150" s="16" t="n">
        <f aca="false">MIN(I17144,Assumptions!$L$62*Assumptions!$C$62)</f>
        <v>0</v>
      </c>
      <c r="J17150" s="16" t="n">
        <f aca="false">MIN(J17144,Assumptions!$L$62*Assumptions!$C$62)</f>
        <v>0</v>
      </c>
      <c r="K17150" s="16" t="n">
        <f aca="false">MIN(K17144,Assumptions!$L$62*Assumptions!$C$62)</f>
        <v>0</v>
      </c>
    </row>
    <row r="17151" customFormat="false" ht="15" hidden="false" customHeight="false" outlineLevel="0" collapsed="false">
      <c r="A17151" s="3" t="s">
        <v>335</v>
      </c>
      <c r="G17151" s="16" t="n">
        <f aca="false">IF(AND(Assumptions!$P$62=1,G17043&lt;Assumptions!$K$62),MIN(MAX(0,-G17259),MAX(0,Assumptions!$D$62-G17144)),0)</f>
        <v>0</v>
      </c>
      <c r="H17151" s="16" t="n">
        <f aca="false">IF(AND(Assumptions!$P$62=1,OR(H17043&lt;Assumptions!$K$62,G17394=1)),MIN(MAX(0,-H17259),MAX(0,Assumptions!$D$62-H17144)),0)</f>
        <v>0</v>
      </c>
      <c r="I17151" s="16" t="n">
        <f aca="false">IF(AND(Assumptions!$P$62=1,OR(I17043&lt;Assumptions!$K$62,H17394=1)),MIN(MAX(0,-I17259),MAX(0,Assumptions!$D$62-I17144)),0)</f>
        <v>0</v>
      </c>
      <c r="J17151" s="16" t="n">
        <f aca="false">IF(AND(Assumptions!$P$62=1,OR(J17043&lt;Assumptions!$K$62,I17394=1)),MIN(MAX(0,-J17259),MAX(0,Assumptions!$D$62-J17144)),0)</f>
        <v>0</v>
      </c>
      <c r="K17151" s="16" t="n">
        <f aca="false">IF(AND(Assumptions!$P$62=1,OR(K17043&lt;Assumptions!$K$62,J17394=1)),MIN(MAX(0,-K17259),MAX(0,Assumptions!$D$62-K17144)),0)</f>
        <v>0</v>
      </c>
    </row>
    <row r="17152" customFormat="false" ht="15" hidden="false" customHeight="false" outlineLevel="0" collapsed="false">
      <c r="A17152" s="3" t="s">
        <v>336</v>
      </c>
      <c r="G17152" s="16" t="n">
        <f aca="false">G17145*MIN(G17144-G17150+G17149,MAX(0,G17261-Assumptions!$C$12*G17077-G17087-G17100-G17113-G17126-G17139))</f>
        <v>0</v>
      </c>
      <c r="H17152" s="16" t="n">
        <f aca="false">H17145*MIN(H17144-H17150+H17149,MAX(0,H17261-Assumptions!$C$12*H17077-H17087-H17100-H17113-H17126-H17139))</f>
        <v>0</v>
      </c>
      <c r="I17152" s="16" t="n">
        <f aca="false">I17145*MIN(I17144-I17150+I17149,MAX(0,I17261-Assumptions!$C$12*I17077-I17087-I17100-I17113-I17126-I17139))</f>
        <v>0</v>
      </c>
      <c r="J17152" s="16" t="n">
        <f aca="false">J17145*MIN(J17144-J17150+J17149,MAX(0,J17261-Assumptions!$C$12*J17077-J17087-J17100-J17113-J17126-J17139))</f>
        <v>0</v>
      </c>
      <c r="K17152" s="16" t="n">
        <f aca="false">K17145*MIN(K17144-K17150+K17149,MAX(0,K17261-Assumptions!$C$12*K17077-K17087-K17100-K17113-K17126-K17139))</f>
        <v>0</v>
      </c>
    </row>
    <row r="17153" customFormat="false" ht="15" hidden="false" customHeight="false" outlineLevel="0" collapsed="false">
      <c r="A17153" s="3" t="s">
        <v>337</v>
      </c>
      <c r="G17153" s="16" t="n">
        <f aca="false">Assumptions!$N$62*MIN(G17144+G17151+G17149-G17150-G17152,MAX(0,G17265-G17088-G17101-G17114-G17127-G17140))</f>
        <v>0</v>
      </c>
      <c r="H17153" s="16" t="n">
        <f aca="false">Assumptions!$N$62*MIN(H17144+H17151+H17149-H17150-H17152,MAX(0,H17265-H17088-H17101-H17114-H17127-H17140))</f>
        <v>0</v>
      </c>
      <c r="I17153" s="16" t="n">
        <f aca="false">Assumptions!$N$62*MIN(I17144+I17151+I17149-I17150-I17152,MAX(0,I17265-I17088-I17101-I17114-I17127-I17140))</f>
        <v>0</v>
      </c>
      <c r="J17153" s="16" t="n">
        <f aca="false">Assumptions!$N$62*MIN(J17144+J17151+J17149-J17150-J17152,MAX(0,J17265-J17088-J17101-J17114-J17127-J17140))</f>
        <v>0</v>
      </c>
      <c r="K17153" s="16" t="n">
        <f aca="false">Assumptions!$N$62*MIN(K17144+K17151+K17149-K17150-K17152,MAX(0,K17265-K17088-K17101-K17114-K17127-K17140))</f>
        <v>0</v>
      </c>
    </row>
    <row r="17154" customFormat="false" ht="15" hidden="false" customHeight="false" outlineLevel="0" collapsed="false">
      <c r="A17154" s="3" t="s">
        <v>338</v>
      </c>
      <c r="G17154" s="16" t="n">
        <f aca="false">G17145*(1-G17077)*(G17144-G17150+G17149-G17152)</f>
        <v>0</v>
      </c>
      <c r="H17154" s="16" t="n">
        <f aca="false">H17145*(1-H17077)*(H17144-H17150+H17149-H17152)</f>
        <v>350</v>
      </c>
      <c r="I17154" s="16" t="n">
        <f aca="false">I17145*(1-I17077)*(I17144-I17150+I17149-I17152)</f>
        <v>0</v>
      </c>
      <c r="J17154" s="16" t="n">
        <f aca="false">J17145*(1-J17077)*(J17144-J17150+J17149-J17152)</f>
        <v>0</v>
      </c>
      <c r="K17154" s="16" t="n">
        <f aca="false">K17145*(1-K17077)*(K17144-K17150+K17149-K17152)</f>
        <v>0</v>
      </c>
    </row>
    <row r="17155" customFormat="false" ht="15" hidden="false" customHeight="false" outlineLevel="0" collapsed="false">
      <c r="A17155" s="2" t="s">
        <v>339</v>
      </c>
      <c r="F17155" s="28" t="n">
        <f aca="false">Assumptions!$C$62</f>
        <v>350</v>
      </c>
      <c r="G17155" s="17" t="n">
        <f aca="false">G17144+G17151+G17149-G17150-G17152-G17153</f>
        <v>350</v>
      </c>
      <c r="H17155" s="17" t="n">
        <f aca="false">H17144+H17151+H17149-H17150-H17152-H17153</f>
        <v>350</v>
      </c>
      <c r="I17155" s="17" t="n">
        <f aca="false">I17144+I17151+I17149-I17150-I17152-I17153</f>
        <v>350</v>
      </c>
      <c r="J17155" s="17" t="n">
        <f aca="false">J17144+J17151+J17149-J17150-J17152-J17153</f>
        <v>350</v>
      </c>
      <c r="K17155" s="17" t="n">
        <f aca="false">K17144+K17151+K17149-K17150-K17152-K17153</f>
        <v>350</v>
      </c>
    </row>
    <row r="17156" customFormat="false" ht="15" hidden="false" customHeight="false" outlineLevel="0" collapsed="false">
      <c r="A17156" s="24" t="s">
        <v>345</v>
      </c>
      <c r="B17156" s="25"/>
      <c r="C17156" s="25"/>
      <c r="D17156" s="25"/>
      <c r="E17156" s="25"/>
      <c r="F17156" s="25"/>
      <c r="G17156" s="25"/>
      <c r="H17156" s="25"/>
      <c r="I17156" s="25"/>
      <c r="J17156" s="25"/>
      <c r="K17156" s="25"/>
    </row>
    <row r="17157" customFormat="false" ht="15" hidden="false" customHeight="false" outlineLevel="0" collapsed="false">
      <c r="A17157" s="3" t="s">
        <v>329</v>
      </c>
      <c r="G17157" s="16" t="n">
        <f aca="false">F17168</f>
        <v>550</v>
      </c>
      <c r="H17157" s="16" t="n">
        <f aca="false">G17168</f>
        <v>550</v>
      </c>
      <c r="I17157" s="16" t="n">
        <f aca="false">H17168</f>
        <v>550</v>
      </c>
      <c r="J17157" s="16" t="n">
        <f aca="false">I17168</f>
        <v>550</v>
      </c>
      <c r="K17157" s="16" t="n">
        <f aca="false">J17168</f>
        <v>550</v>
      </c>
    </row>
    <row r="17158" customFormat="false" ht="15" hidden="false" customHeight="false" outlineLevel="0" collapsed="false">
      <c r="A17158" s="3" t="s">
        <v>330</v>
      </c>
      <c r="G17158" s="21" t="n">
        <f aca="false">IF(G17043=Assumptions!$K$63,1,0)</f>
        <v>0</v>
      </c>
      <c r="H17158" s="21" t="n">
        <f aca="false">IF(H17043=Assumptions!$K$63,1,0)</f>
        <v>0</v>
      </c>
      <c r="I17158" s="21" t="n">
        <f aca="false">IF(I17043=Assumptions!$K$63,1,0)</f>
        <v>1</v>
      </c>
      <c r="J17158" s="21" t="n">
        <f aca="false">IF(J17043=Assumptions!$K$63,1,0)</f>
        <v>0</v>
      </c>
      <c r="K17158" s="21" t="n">
        <f aca="false">IF(K17043=Assumptions!$K$63,1,0)</f>
        <v>0</v>
      </c>
    </row>
    <row r="17160" customFormat="false" ht="15" hidden="false" customHeight="false" outlineLevel="0" collapsed="false">
      <c r="A17160" s="3" t="s">
        <v>331</v>
      </c>
      <c r="G17160" s="31" t="n">
        <f aca="false">IF(Assumptions!$I$63=1,MAX(G17069,Assumptions!$G$63)+Assumptions!$F$63+$C$17070,Assumptions!$E$63)</f>
        <v>0.08875</v>
      </c>
      <c r="H17160" s="31" t="n">
        <f aca="false">IF(G17395=1,$C$17071,IF(Assumptions!$I$63=1,MAX(H17069,Assumptions!$G$63)+Assumptions!$F$63+$C$17070,Assumptions!$E$63))</f>
        <v>0.08875</v>
      </c>
      <c r="I17160" s="31" t="n">
        <f aca="false">IF(H17395=1,$C$17071,IF(Assumptions!$I$63=1,MAX(I17069,Assumptions!$G$63)+Assumptions!$F$63+$C$17070,Assumptions!$E$63))</f>
        <v>0.08875</v>
      </c>
      <c r="J17160" s="31" t="n">
        <f aca="false">IF(I17395=1,$C$17071,IF(Assumptions!$I$63=1,MAX(J17069,Assumptions!$G$63)+Assumptions!$F$63+$C$17070,Assumptions!$E$63))</f>
        <v>0.08875</v>
      </c>
      <c r="K17160" s="31" t="n">
        <f aca="false">IF(J17395=1,$C$17071,IF(Assumptions!$I$63=1,MAX(K17069,Assumptions!$G$63)+Assumptions!$F$63+$C$17070,Assumptions!$E$63))</f>
        <v>0.08875</v>
      </c>
    </row>
    <row r="17161" customFormat="false" ht="15" hidden="false" customHeight="false" outlineLevel="0" collapsed="false">
      <c r="A17161" s="3" t="s">
        <v>332</v>
      </c>
      <c r="G17161" s="16" t="n">
        <f aca="false">G17157*G17160</f>
        <v>48.8125</v>
      </c>
      <c r="H17161" s="16" t="n">
        <f aca="false">H17157*H17160</f>
        <v>48.8125</v>
      </c>
      <c r="I17161" s="16" t="n">
        <f aca="false">I17157*I17160</f>
        <v>48.8125</v>
      </c>
      <c r="J17161" s="16" t="n">
        <f aca="false">J17157*J17160</f>
        <v>48.8125</v>
      </c>
      <c r="K17161" s="16" t="n">
        <f aca="false">K17157*K17160</f>
        <v>48.8125</v>
      </c>
    </row>
    <row r="17162" customFormat="false" ht="15" hidden="false" customHeight="false" outlineLevel="0" collapsed="false">
      <c r="A17162" s="3" t="s">
        <v>333</v>
      </c>
      <c r="G17162" s="16" t="n">
        <f aca="false">G17157*Assumptions!$H$63</f>
        <v>0</v>
      </c>
      <c r="H17162" s="16" t="n">
        <f aca="false">H17157*Assumptions!$H$63</f>
        <v>0</v>
      </c>
      <c r="I17162" s="16" t="n">
        <f aca="false">I17157*Assumptions!$H$63</f>
        <v>0</v>
      </c>
      <c r="J17162" s="16" t="n">
        <f aca="false">J17157*Assumptions!$H$63</f>
        <v>0</v>
      </c>
      <c r="K17162" s="16" t="n">
        <f aca="false">K17157*Assumptions!$H$63</f>
        <v>0</v>
      </c>
    </row>
    <row r="17163" customFormat="false" ht="15" hidden="false" customHeight="false" outlineLevel="0" collapsed="false">
      <c r="A17163" s="3" t="s">
        <v>334</v>
      </c>
      <c r="G17163" s="16" t="n">
        <f aca="false">MIN(G17157,Assumptions!$L$63*Assumptions!$C$63)</f>
        <v>0</v>
      </c>
      <c r="H17163" s="16" t="n">
        <f aca="false">MIN(H17157,Assumptions!$L$63*Assumptions!$C$63)</f>
        <v>0</v>
      </c>
      <c r="I17163" s="16" t="n">
        <f aca="false">MIN(I17157,Assumptions!$L$63*Assumptions!$C$63)</f>
        <v>0</v>
      </c>
      <c r="J17163" s="16" t="n">
        <f aca="false">MIN(J17157,Assumptions!$L$63*Assumptions!$C$63)</f>
        <v>0</v>
      </c>
      <c r="K17163" s="16" t="n">
        <f aca="false">MIN(K17157,Assumptions!$L$63*Assumptions!$C$63)</f>
        <v>0</v>
      </c>
    </row>
    <row r="17164" customFormat="false" ht="15" hidden="false" customHeight="false" outlineLevel="0" collapsed="false">
      <c r="A17164" s="3" t="s">
        <v>335</v>
      </c>
      <c r="G17164" s="16" t="n">
        <f aca="false">IF(AND(Assumptions!$P$63=1,G17043&lt;Assumptions!$K$63),MIN(MAX(0,-G17259),MAX(0,Assumptions!$D$63-G17157)),0)</f>
        <v>0</v>
      </c>
      <c r="H17164" s="16" t="n">
        <f aca="false">IF(AND(Assumptions!$P$63=1,OR(H17043&lt;Assumptions!$K$63,G17395=1)),MIN(MAX(0,-H17259),MAX(0,Assumptions!$D$63-H17157)),0)</f>
        <v>0</v>
      </c>
      <c r="I17164" s="16" t="n">
        <f aca="false">IF(AND(Assumptions!$P$63=1,OR(I17043&lt;Assumptions!$K$63,H17395=1)),MIN(MAX(0,-I17259),MAX(0,Assumptions!$D$63-I17157)),0)</f>
        <v>0</v>
      </c>
      <c r="J17164" s="16" t="n">
        <f aca="false">IF(AND(Assumptions!$P$63=1,OR(J17043&lt;Assumptions!$K$63,I17395=1)),MIN(MAX(0,-J17259),MAX(0,Assumptions!$D$63-J17157)),0)</f>
        <v>0</v>
      </c>
      <c r="K17164" s="16" t="n">
        <f aca="false">IF(AND(Assumptions!$P$63=1,OR(K17043&lt;Assumptions!$K$63,J17395=1)),MIN(MAX(0,-K17259),MAX(0,Assumptions!$D$63-K17157)),0)</f>
        <v>0</v>
      </c>
    </row>
    <row r="17165" customFormat="false" ht="15" hidden="false" customHeight="false" outlineLevel="0" collapsed="false">
      <c r="A17165" s="3" t="s">
        <v>336</v>
      </c>
      <c r="G17165" s="16" t="n">
        <f aca="false">G17158*MIN(G17157-G17163+G17162,MAX(0,G17261-Assumptions!$C$12*G17077-G17087-G17100-G17113-G17126-G17139-G17152))</f>
        <v>0</v>
      </c>
      <c r="H17165" s="16" t="n">
        <f aca="false">H17158*MIN(H17157-H17163+H17162,MAX(0,H17261-Assumptions!$C$12*H17077-H17087-H17100-H17113-H17126-H17139-H17152))</f>
        <v>0</v>
      </c>
      <c r="I17165" s="16" t="n">
        <f aca="false">I17158*MIN(I17157-I17163+I17162,MAX(0,I17261-Assumptions!$C$12*I17077-I17087-I17100-I17113-I17126-I17139-I17152))</f>
        <v>0</v>
      </c>
      <c r="J17165" s="16" t="n">
        <f aca="false">J17158*MIN(J17157-J17163+J17162,MAX(0,J17261-Assumptions!$C$12*J17077-J17087-J17100-J17113-J17126-J17139-J17152))</f>
        <v>0</v>
      </c>
      <c r="K17165" s="16" t="n">
        <f aca="false">K17158*MIN(K17157-K17163+K17162,MAX(0,K17261-Assumptions!$C$12*K17077-K17087-K17100-K17113-K17126-K17139-K17152))</f>
        <v>0</v>
      </c>
    </row>
    <row r="17166" customFormat="false" ht="15" hidden="false" customHeight="false" outlineLevel="0" collapsed="false">
      <c r="A17166" s="3" t="s">
        <v>337</v>
      </c>
      <c r="G17166" s="16" t="n">
        <f aca="false">Assumptions!$N$63*MIN(G17157+G17164+G17162-G17163-G17165,MAX(0,G17265-G17088-G17101-G17114-G17127-G17140-G17153))</f>
        <v>0</v>
      </c>
      <c r="H17166" s="16" t="n">
        <f aca="false">Assumptions!$N$63*MIN(H17157+H17164+H17162-H17163-H17165,MAX(0,H17265-H17088-H17101-H17114-H17127-H17140-H17153))</f>
        <v>0</v>
      </c>
      <c r="I17166" s="16" t="n">
        <f aca="false">Assumptions!$N$63*MIN(I17157+I17164+I17162-I17163-I17165,MAX(0,I17265-I17088-I17101-I17114-I17127-I17140-I17153))</f>
        <v>0</v>
      </c>
      <c r="J17166" s="16" t="n">
        <f aca="false">Assumptions!$N$63*MIN(J17157+J17164+J17162-J17163-J17165,MAX(0,J17265-J17088-J17101-J17114-J17127-J17140-J17153))</f>
        <v>0</v>
      </c>
      <c r="K17166" s="16" t="n">
        <f aca="false">Assumptions!$N$63*MIN(K17157+K17164+K17162-K17163-K17165,MAX(0,K17265-K17088-K17101-K17114-K17127-K17140-K17153))</f>
        <v>0</v>
      </c>
    </row>
    <row r="17167" customFormat="false" ht="15" hidden="false" customHeight="false" outlineLevel="0" collapsed="false">
      <c r="A17167" s="3" t="s">
        <v>338</v>
      </c>
      <c r="G17167" s="16" t="n">
        <f aca="false">G17158*(1-G17077)*(G17157-G17163+G17162-G17165)</f>
        <v>0</v>
      </c>
      <c r="H17167" s="16" t="n">
        <f aca="false">H17158*(1-H17077)*(H17157-H17163+H17162-H17165)</f>
        <v>0</v>
      </c>
      <c r="I17167" s="16" t="n">
        <f aca="false">I17158*(1-I17077)*(I17157-I17163+I17162-I17165)</f>
        <v>550</v>
      </c>
      <c r="J17167" s="16" t="n">
        <f aca="false">J17158*(1-J17077)*(J17157-J17163+J17162-J17165)</f>
        <v>0</v>
      </c>
      <c r="K17167" s="16" t="n">
        <f aca="false">K17158*(1-K17077)*(K17157-K17163+K17162-K17165)</f>
        <v>0</v>
      </c>
    </row>
    <row r="17168" customFormat="false" ht="15" hidden="false" customHeight="false" outlineLevel="0" collapsed="false">
      <c r="A17168" s="2" t="s">
        <v>339</v>
      </c>
      <c r="F17168" s="28" t="n">
        <f aca="false">Assumptions!$C$63</f>
        <v>550</v>
      </c>
      <c r="G17168" s="17" t="n">
        <f aca="false">G17157+G17164+G17162-G17163-G17165-G17166</f>
        <v>550</v>
      </c>
      <c r="H17168" s="17" t="n">
        <f aca="false">H17157+H17164+H17162-H17163-H17165-H17166</f>
        <v>550</v>
      </c>
      <c r="I17168" s="17" t="n">
        <f aca="false">I17157+I17164+I17162-I17163-I17165-I17166</f>
        <v>550</v>
      </c>
      <c r="J17168" s="17" t="n">
        <f aca="false">J17157+J17164+J17162-J17163-J17165-J17166</f>
        <v>550</v>
      </c>
      <c r="K17168" s="17" t="n">
        <f aca="false">K17157+K17164+K17162-K17163-K17165-K17166</f>
        <v>550</v>
      </c>
    </row>
    <row r="17169" customFormat="false" ht="15" hidden="false" customHeight="false" outlineLevel="0" collapsed="false">
      <c r="A17169" s="24" t="s">
        <v>346</v>
      </c>
      <c r="B17169" s="25"/>
      <c r="C17169" s="25"/>
      <c r="D17169" s="25"/>
      <c r="E17169" s="25"/>
      <c r="F17169" s="25"/>
      <c r="G17169" s="25"/>
      <c r="H17169" s="25"/>
      <c r="I17169" s="25"/>
      <c r="J17169" s="25"/>
      <c r="K17169" s="25"/>
    </row>
    <row r="17170" customFormat="false" ht="15" hidden="false" customHeight="false" outlineLevel="0" collapsed="false">
      <c r="A17170" s="3" t="s">
        <v>329</v>
      </c>
      <c r="G17170" s="16" t="n">
        <f aca="false">F17181</f>
        <v>350</v>
      </c>
      <c r="H17170" s="16" t="n">
        <f aca="false">G17181</f>
        <v>350</v>
      </c>
      <c r="I17170" s="16" t="n">
        <f aca="false">H17181</f>
        <v>350</v>
      </c>
      <c r="J17170" s="16" t="n">
        <f aca="false">I17181</f>
        <v>350</v>
      </c>
      <c r="K17170" s="16" t="n">
        <f aca="false">J17181</f>
        <v>350</v>
      </c>
    </row>
    <row r="17171" customFormat="false" ht="15" hidden="false" customHeight="false" outlineLevel="0" collapsed="false">
      <c r="A17171" s="3" t="s">
        <v>330</v>
      </c>
      <c r="G17171" s="21" t="n">
        <f aca="false">IF(G17043=Assumptions!$K$64,1,0)</f>
        <v>0</v>
      </c>
      <c r="H17171" s="21" t="n">
        <f aca="false">IF(H17043=Assumptions!$K$64,1,0)</f>
        <v>0</v>
      </c>
      <c r="I17171" s="21" t="n">
        <f aca="false">IF(I17043=Assumptions!$K$64,1,0)</f>
        <v>0</v>
      </c>
      <c r="J17171" s="21" t="n">
        <f aca="false">IF(J17043=Assumptions!$K$64,1,0)</f>
        <v>1</v>
      </c>
      <c r="K17171" s="21" t="n">
        <f aca="false">IF(K17043=Assumptions!$K$64,1,0)</f>
        <v>0</v>
      </c>
    </row>
    <row r="17173" customFormat="false" ht="15" hidden="false" customHeight="false" outlineLevel="0" collapsed="false">
      <c r="A17173" s="3" t="s">
        <v>331</v>
      </c>
      <c r="G17173" s="31" t="n">
        <f aca="false">IF(Assumptions!$I$64=1,MAX(G17069,Assumptions!$G$64)+Assumptions!$F$64+$C$17070,Assumptions!$E$64)</f>
        <v>0.0455</v>
      </c>
      <c r="H17173" s="31" t="n">
        <f aca="false">IF(G17396=1,$C$17071,IF(Assumptions!$I$64=1,MAX(H17069,Assumptions!$G$64)+Assumptions!$F$64+$C$17070,Assumptions!$E$64))</f>
        <v>0.0455</v>
      </c>
      <c r="I17173" s="31" t="n">
        <f aca="false">IF(H17396=1,$C$17071,IF(Assumptions!$I$64=1,MAX(I17069,Assumptions!$G$64)+Assumptions!$F$64+$C$17070,Assumptions!$E$64))</f>
        <v>0.0455</v>
      </c>
      <c r="J17173" s="31" t="n">
        <f aca="false">IF(I17396=1,$C$17071,IF(Assumptions!$I$64=1,MAX(J17069,Assumptions!$G$64)+Assumptions!$F$64+$C$17070,Assumptions!$E$64))</f>
        <v>0.0455</v>
      </c>
      <c r="K17173" s="31" t="n">
        <f aca="false">IF(J17396=1,$C$17071,IF(Assumptions!$I$64=1,MAX(K17069,Assumptions!$G$64)+Assumptions!$F$64+$C$17070,Assumptions!$E$64))</f>
        <v>0.0455</v>
      </c>
    </row>
    <row r="17174" customFormat="false" ht="15" hidden="false" customHeight="false" outlineLevel="0" collapsed="false">
      <c r="A17174" s="3" t="s">
        <v>332</v>
      </c>
      <c r="G17174" s="16" t="n">
        <f aca="false">G17170*G17173</f>
        <v>15.925</v>
      </c>
      <c r="H17174" s="16" t="n">
        <f aca="false">H17170*H17173</f>
        <v>15.925</v>
      </c>
      <c r="I17174" s="16" t="n">
        <f aca="false">I17170*I17173</f>
        <v>15.925</v>
      </c>
      <c r="J17174" s="16" t="n">
        <f aca="false">J17170*J17173</f>
        <v>15.925</v>
      </c>
      <c r="K17174" s="16" t="n">
        <f aca="false">K17170*K17173</f>
        <v>15.925</v>
      </c>
    </row>
    <row r="17175" customFormat="false" ht="15" hidden="false" customHeight="false" outlineLevel="0" collapsed="false">
      <c r="A17175" s="3" t="s">
        <v>333</v>
      </c>
      <c r="G17175" s="16" t="n">
        <f aca="false">G17170*Assumptions!$H$64</f>
        <v>0</v>
      </c>
      <c r="H17175" s="16" t="n">
        <f aca="false">H17170*Assumptions!$H$64</f>
        <v>0</v>
      </c>
      <c r="I17175" s="16" t="n">
        <f aca="false">I17170*Assumptions!$H$64</f>
        <v>0</v>
      </c>
      <c r="J17175" s="16" t="n">
        <f aca="false">J17170*Assumptions!$H$64</f>
        <v>0</v>
      </c>
      <c r="K17175" s="16" t="n">
        <f aca="false">K17170*Assumptions!$H$64</f>
        <v>0</v>
      </c>
    </row>
    <row r="17176" customFormat="false" ht="15" hidden="false" customHeight="false" outlineLevel="0" collapsed="false">
      <c r="A17176" s="3" t="s">
        <v>334</v>
      </c>
      <c r="G17176" s="16" t="n">
        <f aca="false">MIN(G17170,Assumptions!$L$64*Assumptions!$C$64)</f>
        <v>0</v>
      </c>
      <c r="H17176" s="16" t="n">
        <f aca="false">MIN(H17170,Assumptions!$L$64*Assumptions!$C$64)</f>
        <v>0</v>
      </c>
      <c r="I17176" s="16" t="n">
        <f aca="false">MIN(I17170,Assumptions!$L$64*Assumptions!$C$64)</f>
        <v>0</v>
      </c>
      <c r="J17176" s="16" t="n">
        <f aca="false">MIN(J17170,Assumptions!$L$64*Assumptions!$C$64)</f>
        <v>0</v>
      </c>
      <c r="K17176" s="16" t="n">
        <f aca="false">MIN(K17170,Assumptions!$L$64*Assumptions!$C$64)</f>
        <v>0</v>
      </c>
    </row>
    <row r="17177" customFormat="false" ht="15" hidden="false" customHeight="false" outlineLevel="0" collapsed="false">
      <c r="A17177" s="3" t="s">
        <v>335</v>
      </c>
      <c r="G17177" s="16" t="n">
        <f aca="false">IF(AND(Assumptions!$P$64=1,G17043&lt;Assumptions!$K$64),MIN(MAX(0,-G17259),MAX(0,Assumptions!$D$64-G17170)),0)</f>
        <v>0</v>
      </c>
      <c r="H17177" s="16" t="n">
        <f aca="false">IF(AND(Assumptions!$P$64=1,OR(H17043&lt;Assumptions!$K$64,G17396=1)),MIN(MAX(0,-H17259),MAX(0,Assumptions!$D$64-H17170)),0)</f>
        <v>0</v>
      </c>
      <c r="I17177" s="16" t="n">
        <f aca="false">IF(AND(Assumptions!$P$64=1,OR(I17043&lt;Assumptions!$K$64,H17396=1)),MIN(MAX(0,-I17259),MAX(0,Assumptions!$D$64-I17170)),0)</f>
        <v>0</v>
      </c>
      <c r="J17177" s="16" t="n">
        <f aca="false">IF(AND(Assumptions!$P$64=1,OR(J17043&lt;Assumptions!$K$64,I17396=1)),MIN(MAX(0,-J17259),MAX(0,Assumptions!$D$64-J17170)),0)</f>
        <v>0</v>
      </c>
      <c r="K17177" s="16" t="n">
        <f aca="false">IF(AND(Assumptions!$P$64=1,OR(K17043&lt;Assumptions!$K$64,J17396=1)),MIN(MAX(0,-K17259),MAX(0,Assumptions!$D$64-K17170)),0)</f>
        <v>0</v>
      </c>
    </row>
    <row r="17178" customFormat="false" ht="15" hidden="false" customHeight="false" outlineLevel="0" collapsed="false">
      <c r="A17178" s="3" t="s">
        <v>336</v>
      </c>
      <c r="G17178" s="16" t="n">
        <f aca="false">G17171*MIN(G17170-G17176+G17175,MAX(0,G17261-Assumptions!$C$12*G17077-G17087-G17100-G17113-G17126-G17139-G17152-G17165))</f>
        <v>0</v>
      </c>
      <c r="H17178" s="16" t="n">
        <f aca="false">H17171*MIN(H17170-H17176+H17175,MAX(0,H17261-Assumptions!$C$12*H17077-H17087-H17100-H17113-H17126-H17139-H17152-H17165))</f>
        <v>0</v>
      </c>
      <c r="I17178" s="16" t="n">
        <f aca="false">I17171*MIN(I17170-I17176+I17175,MAX(0,I17261-Assumptions!$C$12*I17077-I17087-I17100-I17113-I17126-I17139-I17152-I17165))</f>
        <v>0</v>
      </c>
      <c r="J17178" s="16" t="n">
        <f aca="false">J17171*MIN(J17170-J17176+J17175,MAX(0,J17261-Assumptions!$C$12*J17077-J17087-J17100-J17113-J17126-J17139-J17152-J17165))</f>
        <v>0</v>
      </c>
      <c r="K17178" s="16" t="n">
        <f aca="false">K17171*MIN(K17170-K17176+K17175,MAX(0,K17261-Assumptions!$C$12*K17077-K17087-K17100-K17113-K17126-K17139-K17152-K17165))</f>
        <v>0</v>
      </c>
    </row>
    <row r="17179" customFormat="false" ht="15" hidden="false" customHeight="false" outlineLevel="0" collapsed="false">
      <c r="A17179" s="3" t="s">
        <v>337</v>
      </c>
      <c r="G17179" s="16" t="n">
        <f aca="false">Assumptions!$N$64*MIN(G17170+G17177+G17175-G17176-G17178,MAX(0,G17265-G17088-G17101-G17114-G17127-G17140-G17153-G17166))</f>
        <v>0</v>
      </c>
      <c r="H17179" s="16" t="n">
        <f aca="false">Assumptions!$N$64*MIN(H17170+H17177+H17175-H17176-H17178,MAX(0,H17265-H17088-H17101-H17114-H17127-H17140-H17153-H17166))</f>
        <v>0</v>
      </c>
      <c r="I17179" s="16" t="n">
        <f aca="false">Assumptions!$N$64*MIN(I17170+I17177+I17175-I17176-I17178,MAX(0,I17265-I17088-I17101-I17114-I17127-I17140-I17153-I17166))</f>
        <v>0</v>
      </c>
      <c r="J17179" s="16" t="n">
        <f aca="false">Assumptions!$N$64*MIN(J17170+J17177+J17175-J17176-J17178,MAX(0,J17265-J17088-J17101-J17114-J17127-J17140-J17153-J17166))</f>
        <v>0</v>
      </c>
      <c r="K17179" s="16" t="n">
        <f aca="false">Assumptions!$N$64*MIN(K17170+K17177+K17175-K17176-K17178,MAX(0,K17265-K17088-K17101-K17114-K17127-K17140-K17153-K17166))</f>
        <v>0</v>
      </c>
    </row>
    <row r="17180" customFormat="false" ht="15" hidden="false" customHeight="false" outlineLevel="0" collapsed="false">
      <c r="A17180" s="3" t="s">
        <v>338</v>
      </c>
      <c r="G17180" s="16" t="n">
        <f aca="false">G17171*(1-G17077)*(G17170-G17176+G17175-G17178)</f>
        <v>0</v>
      </c>
      <c r="H17180" s="16" t="n">
        <f aca="false">H17171*(1-H17077)*(H17170-H17176+H17175-H17178)</f>
        <v>0</v>
      </c>
      <c r="I17180" s="16" t="n">
        <f aca="false">I17171*(1-I17077)*(I17170-I17176+I17175-I17178)</f>
        <v>0</v>
      </c>
      <c r="J17180" s="16" t="n">
        <f aca="false">J17171*(1-J17077)*(J17170-J17176+J17175-J17178)</f>
        <v>350</v>
      </c>
      <c r="K17180" s="16" t="n">
        <f aca="false">K17171*(1-K17077)*(K17170-K17176+K17175-K17178)</f>
        <v>0</v>
      </c>
    </row>
    <row r="17181" customFormat="false" ht="15" hidden="false" customHeight="false" outlineLevel="0" collapsed="false">
      <c r="A17181" s="2" t="s">
        <v>339</v>
      </c>
      <c r="F17181" s="28" t="n">
        <f aca="false">Assumptions!$C$64</f>
        <v>350</v>
      </c>
      <c r="G17181" s="17" t="n">
        <f aca="false">G17170+G17177+G17175-G17176-G17178-G17179</f>
        <v>350</v>
      </c>
      <c r="H17181" s="17" t="n">
        <f aca="false">H17170+H17177+H17175-H17176-H17178-H17179</f>
        <v>350</v>
      </c>
      <c r="I17181" s="17" t="n">
        <f aca="false">I17170+I17177+I17175-I17176-I17178-I17179</f>
        <v>350</v>
      </c>
      <c r="J17181" s="17" t="n">
        <f aca="false">J17170+J17177+J17175-J17176-J17178-J17179</f>
        <v>350</v>
      </c>
      <c r="K17181" s="17" t="n">
        <f aca="false">K17170+K17177+K17175-K17176-K17178-K17179</f>
        <v>350</v>
      </c>
    </row>
    <row r="17182" customFormat="false" ht="15" hidden="false" customHeight="false" outlineLevel="0" collapsed="false">
      <c r="A17182" s="24" t="s">
        <v>347</v>
      </c>
      <c r="B17182" s="25"/>
      <c r="C17182" s="25"/>
      <c r="D17182" s="25"/>
      <c r="E17182" s="25"/>
      <c r="F17182" s="25"/>
      <c r="G17182" s="25"/>
      <c r="H17182" s="25"/>
      <c r="I17182" s="25"/>
      <c r="J17182" s="25"/>
      <c r="K17182" s="25"/>
    </row>
    <row r="17183" customFormat="false" ht="15" hidden="false" customHeight="false" outlineLevel="0" collapsed="false">
      <c r="A17183" s="3" t="s">
        <v>329</v>
      </c>
      <c r="G17183" s="16" t="n">
        <f aca="false">F17194</f>
        <v>300</v>
      </c>
      <c r="H17183" s="16" t="n">
        <f aca="false">G17194</f>
        <v>300</v>
      </c>
      <c r="I17183" s="16" t="n">
        <f aca="false">H17194</f>
        <v>300</v>
      </c>
      <c r="J17183" s="16" t="n">
        <f aca="false">I17194</f>
        <v>300</v>
      </c>
      <c r="K17183" s="16" t="n">
        <f aca="false">J17194</f>
        <v>300</v>
      </c>
    </row>
    <row r="17184" customFormat="false" ht="15" hidden="false" customHeight="false" outlineLevel="0" collapsed="false">
      <c r="A17184" s="3" t="s">
        <v>330</v>
      </c>
      <c r="G17184" s="21" t="n">
        <f aca="false">IF(G17043=Assumptions!$K$65,1,0)</f>
        <v>0</v>
      </c>
      <c r="H17184" s="21" t="n">
        <f aca="false">IF(H17043=Assumptions!$K$65,1,0)</f>
        <v>0</v>
      </c>
      <c r="I17184" s="21" t="n">
        <f aca="false">IF(I17043=Assumptions!$K$65,1,0)</f>
        <v>0</v>
      </c>
      <c r="J17184" s="21" t="n">
        <f aca="false">IF(J17043=Assumptions!$K$65,1,0)</f>
        <v>0</v>
      </c>
      <c r="K17184" s="21" t="n">
        <f aca="false">IF(K17043=Assumptions!$K$65,1,0)</f>
        <v>1</v>
      </c>
    </row>
    <row r="17186" customFormat="false" ht="15" hidden="false" customHeight="false" outlineLevel="0" collapsed="false">
      <c r="A17186" s="3" t="s">
        <v>331</v>
      </c>
      <c r="G17186" s="31" t="n">
        <f aca="false">IF(Assumptions!$I$65=1,MAX(G17069,Assumptions!$G$65)+Assumptions!$F$65+$C$17070,Assumptions!$E$65)</f>
        <v>0.06125</v>
      </c>
      <c r="H17186" s="31" t="n">
        <f aca="false">IF(G17397=1,$C$17071,IF(Assumptions!$I$65=1,MAX(H17069,Assumptions!$G$65)+Assumptions!$F$65+$C$17070,Assumptions!$E$65))</f>
        <v>0.06125</v>
      </c>
      <c r="I17186" s="31" t="n">
        <f aca="false">IF(H17397=1,$C$17071,IF(Assumptions!$I$65=1,MAX(I17069,Assumptions!$G$65)+Assumptions!$F$65+$C$17070,Assumptions!$E$65))</f>
        <v>0.06125</v>
      </c>
      <c r="J17186" s="31" t="n">
        <f aca="false">IF(I17397=1,$C$17071,IF(Assumptions!$I$65=1,MAX(J17069,Assumptions!$G$65)+Assumptions!$F$65+$C$17070,Assumptions!$E$65))</f>
        <v>0.06125</v>
      </c>
      <c r="K17186" s="31" t="n">
        <f aca="false">IF(J17397=1,$C$17071,IF(Assumptions!$I$65=1,MAX(K17069,Assumptions!$G$65)+Assumptions!$F$65+$C$17070,Assumptions!$E$65))</f>
        <v>0.06125</v>
      </c>
    </row>
    <row r="17187" customFormat="false" ht="15" hidden="false" customHeight="false" outlineLevel="0" collapsed="false">
      <c r="A17187" s="3" t="s">
        <v>332</v>
      </c>
      <c r="G17187" s="16" t="n">
        <f aca="false">G17183*G17186</f>
        <v>18.375</v>
      </c>
      <c r="H17187" s="16" t="n">
        <f aca="false">H17183*H17186</f>
        <v>18.375</v>
      </c>
      <c r="I17187" s="16" t="n">
        <f aca="false">I17183*I17186</f>
        <v>18.375</v>
      </c>
      <c r="J17187" s="16" t="n">
        <f aca="false">J17183*J17186</f>
        <v>18.375</v>
      </c>
      <c r="K17187" s="16" t="n">
        <f aca="false">K17183*K17186</f>
        <v>18.375</v>
      </c>
    </row>
    <row r="17188" customFormat="false" ht="15" hidden="false" customHeight="false" outlineLevel="0" collapsed="false">
      <c r="A17188" s="3" t="s">
        <v>333</v>
      </c>
      <c r="G17188" s="16" t="n">
        <f aca="false">G17183*Assumptions!$H$65</f>
        <v>0</v>
      </c>
      <c r="H17188" s="16" t="n">
        <f aca="false">H17183*Assumptions!$H$65</f>
        <v>0</v>
      </c>
      <c r="I17188" s="16" t="n">
        <f aca="false">I17183*Assumptions!$H$65</f>
        <v>0</v>
      </c>
      <c r="J17188" s="16" t="n">
        <f aca="false">J17183*Assumptions!$H$65</f>
        <v>0</v>
      </c>
      <c r="K17188" s="16" t="n">
        <f aca="false">K17183*Assumptions!$H$65</f>
        <v>0</v>
      </c>
    </row>
    <row r="17189" customFormat="false" ht="15" hidden="false" customHeight="false" outlineLevel="0" collapsed="false">
      <c r="A17189" s="3" t="s">
        <v>334</v>
      </c>
      <c r="G17189" s="16" t="n">
        <f aca="false">MIN(G17183,Assumptions!$L$65*Assumptions!$C$65)</f>
        <v>0</v>
      </c>
      <c r="H17189" s="16" t="n">
        <f aca="false">MIN(H17183,Assumptions!$L$65*Assumptions!$C$65)</f>
        <v>0</v>
      </c>
      <c r="I17189" s="16" t="n">
        <f aca="false">MIN(I17183,Assumptions!$L$65*Assumptions!$C$65)</f>
        <v>0</v>
      </c>
      <c r="J17189" s="16" t="n">
        <f aca="false">MIN(J17183,Assumptions!$L$65*Assumptions!$C$65)</f>
        <v>0</v>
      </c>
      <c r="K17189" s="16" t="n">
        <f aca="false">MIN(K17183,Assumptions!$L$65*Assumptions!$C$65)</f>
        <v>0</v>
      </c>
    </row>
    <row r="17190" customFormat="false" ht="15" hidden="false" customHeight="false" outlineLevel="0" collapsed="false">
      <c r="A17190" s="3" t="s">
        <v>335</v>
      </c>
      <c r="G17190" s="16" t="n">
        <f aca="false">IF(AND(Assumptions!$P$65=1,G17043&lt;Assumptions!$K$65),MIN(MAX(0,-G17259),MAX(0,Assumptions!$D$65-G17183)),0)</f>
        <v>0</v>
      </c>
      <c r="H17190" s="16" t="n">
        <f aca="false">IF(AND(Assumptions!$P$65=1,OR(H17043&lt;Assumptions!$K$65,G17397=1)),MIN(MAX(0,-H17259),MAX(0,Assumptions!$D$65-H17183)),0)</f>
        <v>0</v>
      </c>
      <c r="I17190" s="16" t="n">
        <f aca="false">IF(AND(Assumptions!$P$65=1,OR(I17043&lt;Assumptions!$K$65,H17397=1)),MIN(MAX(0,-I17259),MAX(0,Assumptions!$D$65-I17183)),0)</f>
        <v>0</v>
      </c>
      <c r="J17190" s="16" t="n">
        <f aca="false">IF(AND(Assumptions!$P$65=1,OR(J17043&lt;Assumptions!$K$65,I17397=1)),MIN(MAX(0,-J17259),MAX(0,Assumptions!$D$65-J17183)),0)</f>
        <v>0</v>
      </c>
      <c r="K17190" s="16" t="n">
        <f aca="false">IF(AND(Assumptions!$P$65=1,OR(K17043&lt;Assumptions!$K$65,J17397=1)),MIN(MAX(0,-K17259),MAX(0,Assumptions!$D$65-K17183)),0)</f>
        <v>0</v>
      </c>
    </row>
    <row r="17191" customFormat="false" ht="15" hidden="false" customHeight="false" outlineLevel="0" collapsed="false">
      <c r="A17191" s="3" t="s">
        <v>336</v>
      </c>
      <c r="G17191" s="16" t="n">
        <f aca="false">G17184*MIN(G17183-G17189+G17188,MAX(0,G17261-Assumptions!$C$12*G17077-G17087-G17100-G17113-G17126-G17139-G17152-G17165-G17178))</f>
        <v>0</v>
      </c>
      <c r="H17191" s="16" t="n">
        <f aca="false">H17184*MIN(H17183-H17189+H17188,MAX(0,H17261-Assumptions!$C$12*H17077-H17087-H17100-H17113-H17126-H17139-H17152-H17165-H17178))</f>
        <v>0</v>
      </c>
      <c r="I17191" s="16" t="n">
        <f aca="false">I17184*MIN(I17183-I17189+I17188,MAX(0,I17261-Assumptions!$C$12*I17077-I17087-I17100-I17113-I17126-I17139-I17152-I17165-I17178))</f>
        <v>0</v>
      </c>
      <c r="J17191" s="16" t="n">
        <f aca="false">J17184*MIN(J17183-J17189+J17188,MAX(0,J17261-Assumptions!$C$12*J17077-J17087-J17100-J17113-J17126-J17139-J17152-J17165-J17178))</f>
        <v>0</v>
      </c>
      <c r="K17191" s="16" t="n">
        <f aca="false">K17184*MIN(K17183-K17189+K17188,MAX(0,K17261-Assumptions!$C$12*K17077-K17087-K17100-K17113-K17126-K17139-K17152-K17165-K17178))</f>
        <v>0</v>
      </c>
    </row>
    <row r="17192" customFormat="false" ht="15" hidden="false" customHeight="false" outlineLevel="0" collapsed="false">
      <c r="A17192" s="3" t="s">
        <v>337</v>
      </c>
      <c r="G17192" s="16" t="n">
        <f aca="false">Assumptions!$N$65*MIN(G17183+G17190+G17188-G17189-G17191,MAX(0,G17265-G17088-G17101-G17114-G17127-G17140-G17153-G17166-G17179))</f>
        <v>0</v>
      </c>
      <c r="H17192" s="16" t="n">
        <f aca="false">Assumptions!$N$65*MIN(H17183+H17190+H17188-H17189-H17191,MAX(0,H17265-H17088-H17101-H17114-H17127-H17140-H17153-H17166-H17179))</f>
        <v>0</v>
      </c>
      <c r="I17192" s="16" t="n">
        <f aca="false">Assumptions!$N$65*MIN(I17183+I17190+I17188-I17189-I17191,MAX(0,I17265-I17088-I17101-I17114-I17127-I17140-I17153-I17166-I17179))</f>
        <v>0</v>
      </c>
      <c r="J17192" s="16" t="n">
        <f aca="false">Assumptions!$N$65*MIN(J17183+J17190+J17188-J17189-J17191,MAX(0,J17265-J17088-J17101-J17114-J17127-J17140-J17153-J17166-J17179))</f>
        <v>0</v>
      </c>
      <c r="K17192" s="16" t="n">
        <f aca="false">Assumptions!$N$65*MIN(K17183+K17190+K17188-K17189-K17191,MAX(0,K17265-K17088-K17101-K17114-K17127-K17140-K17153-K17166-K17179))</f>
        <v>0</v>
      </c>
    </row>
    <row r="17193" customFormat="false" ht="15" hidden="false" customHeight="false" outlineLevel="0" collapsed="false">
      <c r="A17193" s="3" t="s">
        <v>338</v>
      </c>
      <c r="G17193" s="16" t="n">
        <f aca="false">G17184*(1-G17077)*(G17183-G17189+G17188-G17191)</f>
        <v>0</v>
      </c>
      <c r="H17193" s="16" t="n">
        <f aca="false">H17184*(1-H17077)*(H17183-H17189+H17188-H17191)</f>
        <v>0</v>
      </c>
      <c r="I17193" s="16" t="n">
        <f aca="false">I17184*(1-I17077)*(I17183-I17189+I17188-I17191)</f>
        <v>0</v>
      </c>
      <c r="J17193" s="16" t="n">
        <f aca="false">J17184*(1-J17077)*(J17183-J17189+J17188-J17191)</f>
        <v>0</v>
      </c>
      <c r="K17193" s="16" t="n">
        <f aca="false">K17184*(1-K17077)*(K17183-K17189+K17188-K17191)</f>
        <v>0</v>
      </c>
    </row>
    <row r="17194" customFormat="false" ht="15" hidden="false" customHeight="false" outlineLevel="0" collapsed="false">
      <c r="A17194" s="2" t="s">
        <v>339</v>
      </c>
      <c r="F17194" s="28" t="n">
        <f aca="false">Assumptions!$C$65</f>
        <v>300</v>
      </c>
      <c r="G17194" s="17" t="n">
        <f aca="false">G17183+G17190+G17188-G17189-G17191-G17192</f>
        <v>300</v>
      </c>
      <c r="H17194" s="17" t="n">
        <f aca="false">H17183+H17190+H17188-H17189-H17191-H17192</f>
        <v>300</v>
      </c>
      <c r="I17194" s="17" t="n">
        <f aca="false">I17183+I17190+I17188-I17189-I17191-I17192</f>
        <v>300</v>
      </c>
      <c r="J17194" s="17" t="n">
        <f aca="false">J17183+J17190+J17188-J17189-J17191-J17192</f>
        <v>300</v>
      </c>
      <c r="K17194" s="17" t="n">
        <f aca="false">K17183+K17190+K17188-K17189-K17191-K17192</f>
        <v>300</v>
      </c>
    </row>
    <row r="17195" customFormat="false" ht="15" hidden="false" customHeight="false" outlineLevel="0" collapsed="false">
      <c r="A17195" s="24" t="s">
        <v>348</v>
      </c>
      <c r="B17195" s="25"/>
      <c r="C17195" s="25"/>
      <c r="D17195" s="25"/>
      <c r="E17195" s="25"/>
      <c r="F17195" s="25"/>
      <c r="G17195" s="25"/>
      <c r="H17195" s="25"/>
      <c r="I17195" s="25"/>
      <c r="J17195" s="25"/>
      <c r="K17195" s="25"/>
    </row>
    <row r="17196" customFormat="false" ht="15" hidden="false" customHeight="false" outlineLevel="0" collapsed="false">
      <c r="A17196" s="3" t="s">
        <v>329</v>
      </c>
      <c r="G17196" s="16" t="n">
        <f aca="false">F17207</f>
        <v>78.61</v>
      </c>
      <c r="H17196" s="16" t="n">
        <f aca="false">G17207</f>
        <v>78.61</v>
      </c>
      <c r="I17196" s="16" t="n">
        <f aca="false">H17207</f>
        <v>78.61</v>
      </c>
      <c r="J17196" s="16" t="n">
        <f aca="false">I17207</f>
        <v>78.61</v>
      </c>
      <c r="K17196" s="16" t="n">
        <f aca="false">J17207</f>
        <v>78.61</v>
      </c>
    </row>
    <row r="17197" customFormat="false" ht="15" hidden="false" customHeight="false" outlineLevel="0" collapsed="false">
      <c r="A17197" s="3" t="s">
        <v>330</v>
      </c>
      <c r="G17197" s="21" t="n">
        <f aca="false">IF(G17043=Assumptions!$K$66,1,0)</f>
        <v>0</v>
      </c>
      <c r="H17197" s="21" t="n">
        <f aca="false">IF(H17043=Assumptions!$K$66,1,0)</f>
        <v>0</v>
      </c>
      <c r="I17197" s="21" t="n">
        <f aca="false">IF(I17043=Assumptions!$K$66,1,0)</f>
        <v>0</v>
      </c>
      <c r="J17197" s="21" t="n">
        <f aca="false">IF(J17043=Assumptions!$K$66,1,0)</f>
        <v>0</v>
      </c>
      <c r="K17197" s="21" t="n">
        <f aca="false">IF(K17043=Assumptions!$K$66,1,0)</f>
        <v>0</v>
      </c>
    </row>
    <row r="17199" customFormat="false" ht="15" hidden="false" customHeight="false" outlineLevel="0" collapsed="false">
      <c r="A17199" s="3" t="s">
        <v>331</v>
      </c>
      <c r="G17199" s="31" t="n">
        <f aca="false">IF(Assumptions!$I$66=1,MAX(G17069,Assumptions!$G$66)+Assumptions!$F$66+$C$17070,Assumptions!$E$66)</f>
        <v>0.0691</v>
      </c>
      <c r="H17199" s="31" t="n">
        <f aca="false">IF(G17398=1,$C$17071,IF(Assumptions!$I$66=1,MAX(H17069,Assumptions!$G$66)+Assumptions!$F$66+$C$17070,Assumptions!$E$66))</f>
        <v>0.0676</v>
      </c>
      <c r="I17199" s="31" t="n">
        <f aca="false">IF(H17398=1,$C$17071,IF(Assumptions!$I$66=1,MAX(I17069,Assumptions!$G$66)+Assumptions!$F$66+$C$17070,Assumptions!$E$66))</f>
        <v>0.0651</v>
      </c>
      <c r="J17199" s="31" t="n">
        <f aca="false">IF(I17398=1,$C$17071,IF(Assumptions!$I$66=1,MAX(J17069,Assumptions!$G$66)+Assumptions!$F$66+$C$17070,Assumptions!$E$66))</f>
        <v>0.0651</v>
      </c>
      <c r="K17199" s="31" t="n">
        <f aca="false">IF(J17398=1,$C$17071,IF(Assumptions!$I$66=1,MAX(K17069,Assumptions!$G$66)+Assumptions!$F$66+$C$17070,Assumptions!$E$66))</f>
        <v>0.0651</v>
      </c>
    </row>
    <row r="17200" customFormat="false" ht="15" hidden="false" customHeight="false" outlineLevel="0" collapsed="false">
      <c r="A17200" s="3" t="s">
        <v>332</v>
      </c>
      <c r="G17200" s="16" t="n">
        <f aca="false">G17196*G17199</f>
        <v>5.431951</v>
      </c>
      <c r="H17200" s="16" t="n">
        <f aca="false">H17196*H17199</f>
        <v>5.314036</v>
      </c>
      <c r="I17200" s="16" t="n">
        <f aca="false">I17196*I17199</f>
        <v>5.117511</v>
      </c>
      <c r="J17200" s="16" t="n">
        <f aca="false">J17196*J17199</f>
        <v>5.117511</v>
      </c>
      <c r="K17200" s="16" t="n">
        <f aca="false">K17196*K17199</f>
        <v>5.117511</v>
      </c>
    </row>
    <row r="17201" customFormat="false" ht="15" hidden="false" customHeight="false" outlineLevel="0" collapsed="false">
      <c r="A17201" s="3" t="s">
        <v>333</v>
      </c>
      <c r="G17201" s="16" t="n">
        <f aca="false">G17196*Assumptions!$H$66</f>
        <v>0</v>
      </c>
      <c r="H17201" s="16" t="n">
        <f aca="false">H17196*Assumptions!$H$66</f>
        <v>0</v>
      </c>
      <c r="I17201" s="16" t="n">
        <f aca="false">I17196*Assumptions!$H$66</f>
        <v>0</v>
      </c>
      <c r="J17201" s="16" t="n">
        <f aca="false">J17196*Assumptions!$H$66</f>
        <v>0</v>
      </c>
      <c r="K17201" s="16" t="n">
        <f aca="false">K17196*Assumptions!$H$66</f>
        <v>0</v>
      </c>
    </row>
    <row r="17202" customFormat="false" ht="15" hidden="false" customHeight="false" outlineLevel="0" collapsed="false">
      <c r="A17202" s="3" t="s">
        <v>334</v>
      </c>
      <c r="G17202" s="16" t="n">
        <f aca="false">MIN(G17196,Assumptions!$L$66*Assumptions!$C$66)</f>
        <v>0</v>
      </c>
      <c r="H17202" s="16" t="n">
        <f aca="false">MIN(H17196,Assumptions!$L$66*Assumptions!$C$66)</f>
        <v>0</v>
      </c>
      <c r="I17202" s="16" t="n">
        <f aca="false">MIN(I17196,Assumptions!$L$66*Assumptions!$C$66)</f>
        <v>0</v>
      </c>
      <c r="J17202" s="16" t="n">
        <f aca="false">MIN(J17196,Assumptions!$L$66*Assumptions!$C$66)</f>
        <v>0</v>
      </c>
      <c r="K17202" s="16" t="n">
        <f aca="false">MIN(K17196,Assumptions!$L$66*Assumptions!$C$66)</f>
        <v>0</v>
      </c>
    </row>
    <row r="17203" customFormat="false" ht="15" hidden="false" customHeight="false" outlineLevel="0" collapsed="false">
      <c r="A17203" s="3" t="s">
        <v>335</v>
      </c>
      <c r="G17203" s="16" t="n">
        <f aca="false">IF(AND(Assumptions!$P$66=1,G17043&lt;Assumptions!$K$66),MIN(MAX(0,-G17259),MAX(0,Assumptions!$D$66-G17196)),0)</f>
        <v>0</v>
      </c>
      <c r="H17203" s="16" t="n">
        <f aca="false">IF(AND(Assumptions!$P$66=1,OR(H17043&lt;Assumptions!$K$66,G17398=1)),MIN(MAX(0,-H17259),MAX(0,Assumptions!$D$66-H17196)),0)</f>
        <v>0</v>
      </c>
      <c r="I17203" s="16" t="n">
        <f aca="false">IF(AND(Assumptions!$P$66=1,OR(I17043&lt;Assumptions!$K$66,H17398=1)),MIN(MAX(0,-I17259),MAX(0,Assumptions!$D$66-I17196)),0)</f>
        <v>0</v>
      </c>
      <c r="J17203" s="16" t="n">
        <f aca="false">IF(AND(Assumptions!$P$66=1,OR(J17043&lt;Assumptions!$K$66,I17398=1)),MIN(MAX(0,-J17259),MAX(0,Assumptions!$D$66-J17196)),0)</f>
        <v>0</v>
      </c>
      <c r="K17203" s="16" t="n">
        <f aca="false">IF(AND(Assumptions!$P$66=1,OR(K17043&lt;Assumptions!$K$66,J17398=1)),MIN(MAX(0,-K17259),MAX(0,Assumptions!$D$66-K17196)),0)</f>
        <v>0</v>
      </c>
    </row>
    <row r="17204" customFormat="false" ht="15" hidden="false" customHeight="false" outlineLevel="0" collapsed="false">
      <c r="A17204" s="3" t="s">
        <v>336</v>
      </c>
      <c r="G17204" s="16" t="n">
        <f aca="false">G17197*MIN(G17196-G17202+G17201,MAX(0,G17261-Assumptions!$C$12*G17077-G17087-G17100-G17113-G17126-G17139-G17152-G17165-G17178-G17191))</f>
        <v>0</v>
      </c>
      <c r="H17204" s="16" t="n">
        <f aca="false">H17197*MIN(H17196-H17202+H17201,MAX(0,H17261-Assumptions!$C$12*H17077-H17087-H17100-H17113-H17126-H17139-H17152-H17165-H17178-H17191))</f>
        <v>0</v>
      </c>
      <c r="I17204" s="16" t="n">
        <f aca="false">I17197*MIN(I17196-I17202+I17201,MAX(0,I17261-Assumptions!$C$12*I17077-I17087-I17100-I17113-I17126-I17139-I17152-I17165-I17178-I17191))</f>
        <v>0</v>
      </c>
      <c r="J17204" s="16" t="n">
        <f aca="false">J17197*MIN(J17196-J17202+J17201,MAX(0,J17261-Assumptions!$C$12*J17077-J17087-J17100-J17113-J17126-J17139-J17152-J17165-J17178-J17191))</f>
        <v>0</v>
      </c>
      <c r="K17204" s="16" t="n">
        <f aca="false">K17197*MIN(K17196-K17202+K17201,MAX(0,K17261-Assumptions!$C$12*K17077-K17087-K17100-K17113-K17126-K17139-K17152-K17165-K17178-K17191))</f>
        <v>0</v>
      </c>
    </row>
    <row r="17205" customFormat="false" ht="15" hidden="false" customHeight="false" outlineLevel="0" collapsed="false">
      <c r="A17205" s="3" t="s">
        <v>337</v>
      </c>
      <c r="G17205" s="16" t="n">
        <f aca="false">Assumptions!$N$66*MIN(G17196+G17203+G17201-G17202-G17204,MAX(0,G17265-G17088-G17101-G17114-G17127-G17140-G17153-G17166-G17179-G17192))</f>
        <v>0</v>
      </c>
      <c r="H17205" s="16" t="n">
        <f aca="false">Assumptions!$N$66*MIN(H17196+H17203+H17201-H17202-H17204,MAX(0,H17265-H17088-H17101-H17114-H17127-H17140-H17153-H17166-H17179-H17192))</f>
        <v>0</v>
      </c>
      <c r="I17205" s="16" t="n">
        <f aca="false">Assumptions!$N$66*MIN(I17196+I17203+I17201-I17202-I17204,MAX(0,I17265-I17088-I17101-I17114-I17127-I17140-I17153-I17166-I17179-I17192))</f>
        <v>0</v>
      </c>
      <c r="J17205" s="16" t="n">
        <f aca="false">Assumptions!$N$66*MIN(J17196+J17203+J17201-J17202-J17204,MAX(0,J17265-J17088-J17101-J17114-J17127-J17140-J17153-J17166-J17179-J17192))</f>
        <v>0</v>
      </c>
      <c r="K17205" s="16" t="n">
        <f aca="false">Assumptions!$N$66*MIN(K17196+K17203+K17201-K17202-K17204,MAX(0,K17265-K17088-K17101-K17114-K17127-K17140-K17153-K17166-K17179-K17192))</f>
        <v>0</v>
      </c>
    </row>
    <row r="17206" customFormat="false" ht="15" hidden="false" customHeight="false" outlineLevel="0" collapsed="false">
      <c r="A17206" s="3" t="s">
        <v>338</v>
      </c>
      <c r="G17206" s="16" t="n">
        <f aca="false">G17197*(1-G17077)*(G17196-G17202+G17201-G17204)</f>
        <v>0</v>
      </c>
      <c r="H17206" s="16" t="n">
        <f aca="false">H17197*(1-H17077)*(H17196-H17202+H17201-H17204)</f>
        <v>0</v>
      </c>
      <c r="I17206" s="16" t="n">
        <f aca="false">I17197*(1-I17077)*(I17196-I17202+I17201-I17204)</f>
        <v>0</v>
      </c>
      <c r="J17206" s="16" t="n">
        <f aca="false">J17197*(1-J17077)*(J17196-J17202+J17201-J17204)</f>
        <v>0</v>
      </c>
      <c r="K17206" s="16" t="n">
        <f aca="false">K17197*(1-K17077)*(K17196-K17202+K17201-K17204)</f>
        <v>0</v>
      </c>
    </row>
    <row r="17207" customFormat="false" ht="15" hidden="false" customHeight="false" outlineLevel="0" collapsed="false">
      <c r="A17207" s="2" t="s">
        <v>339</v>
      </c>
      <c r="F17207" s="28" t="n">
        <f aca="false">Assumptions!$C$66</f>
        <v>78.61</v>
      </c>
      <c r="G17207" s="17" t="n">
        <f aca="false">G17196+G17203+G17201-G17202-G17204-G17205</f>
        <v>78.61</v>
      </c>
      <c r="H17207" s="17" t="n">
        <f aca="false">H17196+H17203+H17201-H17202-H17204-H17205</f>
        <v>78.61</v>
      </c>
      <c r="I17207" s="17" t="n">
        <f aca="false">I17196+I17203+I17201-I17202-I17204-I17205</f>
        <v>78.61</v>
      </c>
      <c r="J17207" s="17" t="n">
        <f aca="false">J17196+J17203+J17201-J17202-J17204-J17205</f>
        <v>78.61</v>
      </c>
      <c r="K17207" s="17" t="n">
        <f aca="false">K17196+K17203+K17201-K17202-K17204-K17205</f>
        <v>78.61</v>
      </c>
    </row>
    <row r="17208" customFormat="false" ht="15" hidden="false" customHeight="false" outlineLevel="0" collapsed="false">
      <c r="A17208" s="24" t="s">
        <v>349</v>
      </c>
      <c r="B17208" s="25"/>
      <c r="C17208" s="25"/>
      <c r="D17208" s="25"/>
      <c r="E17208" s="25"/>
      <c r="F17208" s="25"/>
      <c r="G17208" s="25"/>
      <c r="H17208" s="25"/>
      <c r="I17208" s="25"/>
      <c r="J17208" s="25"/>
      <c r="K17208" s="25"/>
    </row>
    <row r="17209" customFormat="false" ht="15" hidden="false" customHeight="false" outlineLevel="0" collapsed="false">
      <c r="A17209" s="2" t="s">
        <v>350</v>
      </c>
      <c r="F17209" s="17" t="n">
        <f aca="false">F17090+F17103+F17116+F17129+F17142+F17155+F17168+F17181+F17194+F17207</f>
        <v>2625.934</v>
      </c>
      <c r="G17209" s="17" t="n">
        <f aca="false">G17090+G17103+G17116+G17129+G17142+G17155+G17168+G17181+G17194+G17207</f>
        <v>2621.934</v>
      </c>
      <c r="H17209" s="17" t="n">
        <f aca="false">H17090+H17103+H17116+H17129+H17142+H17155+H17168+H17181+H17194+H17207</f>
        <v>2550.201137291</v>
      </c>
      <c r="I17209" s="17" t="n">
        <f aca="false">I17090+I17103+I17116+I17129+I17142+I17155+I17168+I17181+I17194+I17207</f>
        <v>2546.201137291</v>
      </c>
      <c r="J17209" s="17" t="n">
        <f aca="false">J17090+J17103+J17116+J17129+J17142+J17155+J17168+J17181+J17194+J17207</f>
        <v>2542.201137291</v>
      </c>
      <c r="K17209" s="17" t="n">
        <f aca="false">K17090+K17103+K17116+K17129+K17142+K17155+K17168+K17181+K17194+K17207</f>
        <v>2538.201137291</v>
      </c>
    </row>
    <row r="17210" customFormat="false" ht="15" hidden="false" customHeight="false" outlineLevel="0" collapsed="false">
      <c r="A17210" s="3" t="s">
        <v>351</v>
      </c>
      <c r="G17210" s="16" t="n">
        <f aca="false">G17080*Assumptions!$C$57+G17093*Assumptions!$C$58+G17106*Assumptions!$C$59+G17119*Assumptions!$C$60+G17132*Assumptions!$C$61+G17145*Assumptions!$C$62+G17158*Assumptions!$C$63+G17171*Assumptions!$C$64+G17184*Assumptions!$C$65+G17197*Assumptions!$C$66</f>
        <v>0</v>
      </c>
      <c r="H17210" s="16" t="n">
        <f aca="false">H17080*Assumptions!$C$57+H17093*Assumptions!$C$58+H17106*Assumptions!$C$59+H17119*Assumptions!$C$60+H17132*Assumptions!$C$61+H17145*Assumptions!$C$62+H17158*Assumptions!$C$63+H17171*Assumptions!$C$64+H17184*Assumptions!$C$65+H17197*Assumptions!$C$66</f>
        <v>800</v>
      </c>
      <c r="I17210" s="16" t="n">
        <f aca="false">I17080*Assumptions!$C$57+I17093*Assumptions!$C$58+I17106*Assumptions!$C$59+I17119*Assumptions!$C$60+I17132*Assumptions!$C$61+I17145*Assumptions!$C$62+I17158*Assumptions!$C$63+I17171*Assumptions!$C$64+I17184*Assumptions!$C$65+I17197*Assumptions!$C$66</f>
        <v>550</v>
      </c>
      <c r="J17210" s="16" t="n">
        <f aca="false">J17080*Assumptions!$C$57+J17093*Assumptions!$C$58+J17106*Assumptions!$C$59+J17119*Assumptions!$C$60+J17132*Assumptions!$C$61+J17145*Assumptions!$C$62+J17158*Assumptions!$C$63+J17171*Assumptions!$C$64+J17184*Assumptions!$C$65+J17197*Assumptions!$C$66</f>
        <v>350</v>
      </c>
      <c r="K17210" s="16" t="n">
        <f aca="false">K17080*Assumptions!$C$57+K17093*Assumptions!$C$58+K17106*Assumptions!$C$59+K17119*Assumptions!$C$60+K17132*Assumptions!$C$61+K17145*Assumptions!$C$62+K17158*Assumptions!$C$63+K17171*Assumptions!$C$64+K17184*Assumptions!$C$65+K17197*Assumptions!$C$66</f>
        <v>700</v>
      </c>
    </row>
    <row r="17211" customFormat="false" ht="15" hidden="false" customHeight="false" outlineLevel="0" collapsed="false">
      <c r="A17211" s="24" t="s">
        <v>352</v>
      </c>
      <c r="B17211" s="25"/>
      <c r="C17211" s="25"/>
      <c r="D17211" s="25"/>
      <c r="E17211" s="25"/>
      <c r="F17211" s="25"/>
      <c r="G17211" s="25"/>
      <c r="H17211" s="25"/>
      <c r="I17211" s="25"/>
      <c r="J17211" s="25"/>
      <c r="K17211" s="25"/>
    </row>
    <row r="17212" customFormat="false" ht="15" hidden="false" customHeight="false" outlineLevel="0" collapsed="false">
      <c r="A17212" s="3" t="s">
        <v>353</v>
      </c>
      <c r="C17212" s="16" t="n">
        <f aca="false">SUMPRODUCT($G$17080:$K$17080,$G$17079:$K$17079-$G$17085:$K$17085+$G$17084:$K$17084)</f>
        <v>380</v>
      </c>
    </row>
    <row r="17213" customFormat="false" ht="15" hidden="false" customHeight="false" outlineLevel="0" collapsed="false">
      <c r="A17213" s="3" t="s">
        <v>354</v>
      </c>
      <c r="C17213" s="16" t="n">
        <f aca="false">SUMPRODUCT($G$17080:$K$17080,$G$17087:$K$17087)</f>
        <v>0</v>
      </c>
    </row>
    <row r="17214" customFormat="false" ht="15" hidden="false" customHeight="false" outlineLevel="0" collapsed="false">
      <c r="A17214" s="3" t="s">
        <v>355</v>
      </c>
      <c r="C17214" s="3" t="str">
        <f aca="false">IF(SUM($G$17080:$K$17080)=0,"n/a (beyond horizon)",IF(SUMPRODUCT($G$17080:$K$17080,$G$17077:$K$17077)&gt;0,"REFINANCING PASS","REFINANCING FAILURE"))</f>
        <v>REFINANCING PASS</v>
      </c>
    </row>
    <row r="17215" customFormat="false" ht="15" hidden="false" customHeight="false" outlineLevel="0" collapsed="false">
      <c r="A17215" s="3" t="s">
        <v>356</v>
      </c>
      <c r="C17215" s="3" t="str">
        <f aca="false">IF(SUM($G$17080:$K$17080)=0,"n/a",IF(C17213&gt;=C17212-0.001,"Repaid from cash",IF(SUMPRODUCT($G$17080:$K$17080,$G$17077:$K$17077)&gt;0,IF(C17213&gt;0,"Partly repaid; remainder refinanced","Refinanced"),IF(SUM($G$17089:$K$17089)&gt;0.001,IF(C17213&gt;0,"Partial repayment; PAYMENT DEFAULT","PAYMENT DEFAULT"),"Repaid from cash"))))</f>
        <v>Refinanced</v>
      </c>
    </row>
    <row r="17216" customFormat="false" ht="15" hidden="false" customHeight="false" outlineLevel="0" collapsed="false">
      <c r="A17216" s="3" t="s">
        <v>357</v>
      </c>
      <c r="C17216" s="16" t="n">
        <f aca="false">SUMPRODUCT($G$17093:$K$17093,$G$17092:$K$17092-$G$17098:$K$17098+$G$17097:$K$17097)</f>
        <v>0</v>
      </c>
    </row>
    <row r="17217" customFormat="false" ht="15" hidden="false" customHeight="false" outlineLevel="0" collapsed="false">
      <c r="A17217" s="3" t="s">
        <v>358</v>
      </c>
      <c r="C17217" s="16" t="n">
        <f aca="false">SUMPRODUCT($G$17093:$K$17093,$G$17100:$K$17100)</f>
        <v>0</v>
      </c>
    </row>
    <row r="17218" customFormat="false" ht="15" hidden="false" customHeight="false" outlineLevel="0" collapsed="false">
      <c r="A17218" s="3" t="s">
        <v>359</v>
      </c>
      <c r="C17218" s="3" t="str">
        <f aca="false">IF(SUM($G$17093:$K$17093)=0,"n/a (beyond horizon)",IF(SUMPRODUCT($G$17093:$K$17093,$G$17077:$K$17077)&gt;0,"REFINANCING PASS","REFINANCING FAILURE"))</f>
        <v>n/a (beyond horizon)</v>
      </c>
    </row>
    <row r="17219" customFormat="false" ht="15" hidden="false" customHeight="false" outlineLevel="0" collapsed="false">
      <c r="A17219" s="3" t="s">
        <v>360</v>
      </c>
      <c r="C17219" s="3" t="str">
        <f aca="false">IF(SUM($G$17093:$K$17093)=0,"n/a",IF(C17217&gt;=C17216-0.001,"Repaid from cash",IF(SUMPRODUCT($G$17093:$K$17093,$G$17077:$K$17077)&gt;0,IF(C17217&gt;0,"Partly repaid; remainder refinanced","Refinanced"),IF(SUM($G$17102:$K$17102)&gt;0.001,IF(C17217&gt;0,"Partial repayment; PAYMENT DEFAULT","PAYMENT DEFAULT"),"Repaid from cash"))))</f>
        <v>n/a</v>
      </c>
    </row>
    <row r="17220" customFormat="false" ht="15" hidden="false" customHeight="false" outlineLevel="0" collapsed="false">
      <c r="A17220" s="3" t="s">
        <v>361</v>
      </c>
      <c r="C17220" s="16" t="n">
        <f aca="false">SUMPRODUCT($G$17106:$K$17106,$G$17105:$K$17105-$G$17111:$K$17111+$G$17110:$K$17110)</f>
        <v>0</v>
      </c>
    </row>
    <row r="17221" customFormat="false" ht="15" hidden="false" customHeight="false" outlineLevel="0" collapsed="false">
      <c r="A17221" s="3" t="s">
        <v>362</v>
      </c>
      <c r="C17221" s="16" t="n">
        <f aca="false">SUMPRODUCT($G$17106:$K$17106,$G$17113:$K$17113)</f>
        <v>0</v>
      </c>
    </row>
    <row r="17222" customFormat="false" ht="15" hidden="false" customHeight="false" outlineLevel="0" collapsed="false">
      <c r="A17222" s="3" t="s">
        <v>363</v>
      </c>
      <c r="C17222" s="3" t="str">
        <f aca="false">IF(SUM($G$17106:$K$17106)=0,"n/a (beyond horizon)",IF(SUMPRODUCT($G$17106:$K$17106,$G$17077:$K$17077)&gt;0,"REFINANCING PASS","REFINANCING FAILURE"))</f>
        <v>n/a (beyond horizon)</v>
      </c>
    </row>
    <row r="17223" customFormat="false" ht="15" hidden="false" customHeight="false" outlineLevel="0" collapsed="false">
      <c r="A17223" s="3" t="s">
        <v>364</v>
      </c>
      <c r="C17223" s="3" t="str">
        <f aca="false">IF(SUM($G$17106:$K$17106)=0,"n/a",IF(C17221&gt;=C17220-0.001,"Repaid from cash",IF(SUMPRODUCT($G$17106:$K$17106,$G$17077:$K$17077)&gt;0,IF(C17221&gt;0,"Partly repaid; remainder refinanced","Refinanced"),IF(SUM($G$17115:$K$17115)&gt;0.001,IF(C17221&gt;0,"Partial repayment; PAYMENT DEFAULT","PAYMENT DEFAULT"),"Repaid from cash"))))</f>
        <v>n/a</v>
      </c>
    </row>
    <row r="17224" customFormat="false" ht="15" hidden="false" customHeight="false" outlineLevel="0" collapsed="false">
      <c r="A17224" s="3" t="s">
        <v>365</v>
      </c>
      <c r="C17224" s="16" t="n">
        <f aca="false">SUMPRODUCT($G$17119:$K$17119,$G$17118:$K$17118-$G$17124:$K$17124+$G$17123:$K$17123)</f>
        <v>0</v>
      </c>
    </row>
    <row r="17225" customFormat="false" ht="15" hidden="false" customHeight="false" outlineLevel="0" collapsed="false">
      <c r="A17225" s="3" t="s">
        <v>366</v>
      </c>
      <c r="C17225" s="16" t="n">
        <f aca="false">SUMPRODUCT($G$17119:$K$17119,$G$17126:$K$17126)</f>
        <v>0</v>
      </c>
    </row>
    <row r="17226" customFormat="false" ht="15" hidden="false" customHeight="false" outlineLevel="0" collapsed="false">
      <c r="A17226" s="3" t="s">
        <v>367</v>
      </c>
      <c r="C17226" s="3" t="str">
        <f aca="false">IF(SUM($G$17119:$K$17119)=0,"n/a (beyond horizon)",IF(SUMPRODUCT($G$17119:$K$17119,$G$17077:$K$17077)&gt;0,"REFINANCING PASS","REFINANCING FAILURE"))</f>
        <v>REFINANCING FAILURE</v>
      </c>
    </row>
    <row r="17227" customFormat="false" ht="15" hidden="false" customHeight="false" outlineLevel="0" collapsed="false">
      <c r="A17227" s="3" t="s">
        <v>368</v>
      </c>
      <c r="C17227" s="3" t="str">
        <f aca="false">IF(SUM($G$17119:$K$17119)=0,"n/a",IF(C17225&gt;=C17224-0.001,"Repaid from cash",IF(SUMPRODUCT($G$17119:$K$17119,$G$17077:$K$17077)&gt;0,IF(C17225&gt;0,"Partly repaid; remainder refinanced","Refinanced"),IF(SUM($G$17128:$K$17128)&gt;0.001,IF(C17225&gt;0,"Partial repayment; PAYMENT DEFAULT","PAYMENT DEFAULT"),"Repaid from cash"))))</f>
        <v>Repaid from cash</v>
      </c>
    </row>
    <row r="17228" customFormat="false" ht="15" hidden="false" customHeight="false" outlineLevel="0" collapsed="false">
      <c r="A17228" s="3" t="s">
        <v>369</v>
      </c>
      <c r="C17228" s="16" t="n">
        <f aca="false">SUMPRODUCT($G$17132:$K$17132,$G$17131:$K$17131-$G$17137:$K$17137+$G$17136:$K$17136)</f>
        <v>450</v>
      </c>
    </row>
    <row r="17229" customFormat="false" ht="15" hidden="false" customHeight="false" outlineLevel="0" collapsed="false">
      <c r="A17229" s="3" t="s">
        <v>370</v>
      </c>
      <c r="C17229" s="16" t="n">
        <f aca="false">SUMPRODUCT($G$17132:$K$17132,$G$17139:$K$17139)</f>
        <v>67.732862709</v>
      </c>
    </row>
    <row r="17230" customFormat="false" ht="15" hidden="false" customHeight="false" outlineLevel="0" collapsed="false">
      <c r="A17230" s="3" t="s">
        <v>371</v>
      </c>
      <c r="C17230" s="3" t="str">
        <f aca="false">IF(SUM($G$17132:$K$17132)=0,"n/a (beyond horizon)",IF(SUMPRODUCT($G$17132:$K$17132,$G$17077:$K$17077)&gt;0,"REFINANCING PASS","REFINANCING FAILURE"))</f>
        <v>REFINANCING FAILURE</v>
      </c>
    </row>
    <row r="17231" customFormat="false" ht="15" hidden="false" customHeight="false" outlineLevel="0" collapsed="false">
      <c r="A17231" s="3" t="s">
        <v>372</v>
      </c>
      <c r="C17231" s="3" t="str">
        <f aca="false">IF(SUM($G$17132:$K$17132)=0,"n/a",IF(C17229&gt;=C17228-0.001,"Repaid from cash",IF(SUMPRODUCT($G$17132:$K$17132,$G$17077:$K$17077)&gt;0,IF(C17229&gt;0,"Partly repaid; remainder refinanced","Refinanced"),IF(SUM($G$17141:$K$17141)&gt;0.001,IF(C17229&gt;0,"Partial repayment; PAYMENT DEFAULT","PAYMENT DEFAULT"),"Repaid from cash"))))</f>
        <v>Partial repayment; PAYMENT DEFAULT</v>
      </c>
    </row>
    <row r="17232" customFormat="false" ht="15" hidden="false" customHeight="false" outlineLevel="0" collapsed="false">
      <c r="A17232" s="3" t="s">
        <v>373</v>
      </c>
      <c r="C17232" s="16" t="n">
        <f aca="false">SUMPRODUCT($G$17145:$K$17145,$G$17144:$K$17144-$G$17150:$K$17150+$G$17149:$K$17149)</f>
        <v>350</v>
      </c>
    </row>
    <row r="17233" customFormat="false" ht="15" hidden="false" customHeight="false" outlineLevel="0" collapsed="false">
      <c r="A17233" s="3" t="s">
        <v>374</v>
      </c>
      <c r="C17233" s="16" t="n">
        <f aca="false">SUMPRODUCT($G$17145:$K$17145,$G$17152:$K$17152)</f>
        <v>0</v>
      </c>
    </row>
    <row r="17234" customFormat="false" ht="15" hidden="false" customHeight="false" outlineLevel="0" collapsed="false">
      <c r="A17234" s="3" t="s">
        <v>375</v>
      </c>
      <c r="C17234" s="3" t="str">
        <f aca="false">IF(SUM($G$17145:$K$17145)=0,"n/a (beyond horizon)",IF(SUMPRODUCT($G$17145:$K$17145,$G$17077:$K$17077)&gt;0,"REFINANCING PASS","REFINANCING FAILURE"))</f>
        <v>REFINANCING FAILURE</v>
      </c>
    </row>
    <row r="17235" customFormat="false" ht="15" hidden="false" customHeight="false" outlineLevel="0" collapsed="false">
      <c r="A17235" s="3" t="s">
        <v>376</v>
      </c>
      <c r="C17235" s="3" t="str">
        <f aca="false">IF(SUM($G$17145:$K$17145)=0,"n/a",IF(C17233&gt;=C17232-0.001,"Repaid from cash",IF(SUMPRODUCT($G$17145:$K$17145,$G$17077:$K$17077)&gt;0,IF(C17233&gt;0,"Partly repaid; remainder refinanced","Refinanced"),IF(SUM($G$17154:$K$17154)&gt;0.001,IF(C17233&gt;0,"Partial repayment; PAYMENT DEFAULT","PAYMENT DEFAULT"),"Repaid from cash"))))</f>
        <v>PAYMENT DEFAULT</v>
      </c>
    </row>
    <row r="17236" customFormat="false" ht="15" hidden="false" customHeight="false" outlineLevel="0" collapsed="false">
      <c r="A17236" s="3" t="s">
        <v>377</v>
      </c>
      <c r="C17236" s="16" t="n">
        <f aca="false">SUMPRODUCT($G$17158:$K$17158,$G$17157:$K$17157-$G$17163:$K$17163+$G$17162:$K$17162)</f>
        <v>550</v>
      </c>
    </row>
    <row r="17237" customFormat="false" ht="15" hidden="false" customHeight="false" outlineLevel="0" collapsed="false">
      <c r="A17237" s="3" t="s">
        <v>378</v>
      </c>
      <c r="C17237" s="16" t="n">
        <f aca="false">SUMPRODUCT($G$17158:$K$17158,$G$17165:$K$17165)</f>
        <v>0</v>
      </c>
    </row>
    <row r="17238" customFormat="false" ht="15" hidden="false" customHeight="false" outlineLevel="0" collapsed="false">
      <c r="A17238" s="3" t="s">
        <v>379</v>
      </c>
      <c r="C17238" s="3" t="str">
        <f aca="false">IF(SUM($G$17158:$K$17158)=0,"n/a (beyond horizon)",IF(SUMPRODUCT($G$17158:$K$17158,$G$17077:$K$17077)&gt;0,"REFINANCING PASS","REFINANCING FAILURE"))</f>
        <v>REFINANCING FAILURE</v>
      </c>
    </row>
    <row r="17239" customFormat="false" ht="15" hidden="false" customHeight="false" outlineLevel="0" collapsed="false">
      <c r="A17239" s="3" t="s">
        <v>380</v>
      </c>
      <c r="C17239" s="3" t="str">
        <f aca="false">IF(SUM($G$17158:$K$17158)=0,"n/a",IF(C17237&gt;=C17236-0.001,"Repaid from cash",IF(SUMPRODUCT($G$17158:$K$17158,$G$17077:$K$17077)&gt;0,IF(C17237&gt;0,"Partly repaid; remainder refinanced","Refinanced"),IF(SUM($G$17167:$K$17167)&gt;0.001,IF(C17237&gt;0,"Partial repayment; PAYMENT DEFAULT","PAYMENT DEFAULT"),"Repaid from cash"))))</f>
        <v>PAYMENT DEFAULT</v>
      </c>
    </row>
    <row r="17240" customFormat="false" ht="15" hidden="false" customHeight="false" outlineLevel="0" collapsed="false">
      <c r="A17240" s="3" t="s">
        <v>381</v>
      </c>
      <c r="C17240" s="16" t="n">
        <f aca="false">SUMPRODUCT($G$17171:$K$17171,$G$17170:$K$17170-$G$17176:$K$17176+$G$17175:$K$17175)</f>
        <v>350</v>
      </c>
    </row>
    <row r="17241" customFormat="false" ht="15" hidden="false" customHeight="false" outlineLevel="0" collapsed="false">
      <c r="A17241" s="3" t="s">
        <v>382</v>
      </c>
      <c r="C17241" s="16" t="n">
        <f aca="false">SUMPRODUCT($G$17171:$K$17171,$G$17178:$K$17178)</f>
        <v>0</v>
      </c>
    </row>
    <row r="17242" customFormat="false" ht="15" hidden="false" customHeight="false" outlineLevel="0" collapsed="false">
      <c r="A17242" s="3" t="s">
        <v>383</v>
      </c>
      <c r="C17242" s="3" t="str">
        <f aca="false">IF(SUM($G$17171:$K$17171)=0,"n/a (beyond horizon)",IF(SUMPRODUCT($G$17171:$K$17171,$G$17077:$K$17077)&gt;0,"REFINANCING PASS","REFINANCING FAILURE"))</f>
        <v>REFINANCING FAILURE</v>
      </c>
    </row>
    <row r="17243" customFormat="false" ht="15" hidden="false" customHeight="false" outlineLevel="0" collapsed="false">
      <c r="A17243" s="3" t="s">
        <v>384</v>
      </c>
      <c r="C17243" s="3" t="str">
        <f aca="false">IF(SUM($G$17171:$K$17171)=0,"n/a",IF(C17241&gt;=C17240-0.001,"Repaid from cash",IF(SUMPRODUCT($G$17171:$K$17171,$G$17077:$K$17077)&gt;0,IF(C17241&gt;0,"Partly repaid; remainder refinanced","Refinanced"),IF(SUM($G$17180:$K$17180)&gt;0.001,IF(C17241&gt;0,"Partial repayment; PAYMENT DEFAULT","PAYMENT DEFAULT"),"Repaid from cash"))))</f>
        <v>PAYMENT DEFAULT</v>
      </c>
    </row>
    <row r="17244" customFormat="false" ht="15" hidden="false" customHeight="false" outlineLevel="0" collapsed="false">
      <c r="A17244" s="3" t="s">
        <v>385</v>
      </c>
      <c r="C17244" s="16" t="n">
        <f aca="false">SUMPRODUCT($G$17184:$K$17184,$G$17183:$K$17183-$G$17189:$K$17189+$G$17188:$K$17188)</f>
        <v>300</v>
      </c>
    </row>
    <row r="17245" customFormat="false" ht="15" hidden="false" customHeight="false" outlineLevel="0" collapsed="false">
      <c r="A17245" s="3" t="s">
        <v>386</v>
      </c>
      <c r="C17245" s="16" t="n">
        <f aca="false">SUMPRODUCT($G$17184:$K$17184,$G$17191:$K$17191)</f>
        <v>0</v>
      </c>
    </row>
    <row r="17246" customFormat="false" ht="15" hidden="false" customHeight="false" outlineLevel="0" collapsed="false">
      <c r="A17246" s="3" t="s">
        <v>387</v>
      </c>
      <c r="C17246" s="3" t="str">
        <f aca="false">IF(SUM($G$17184:$K$17184)=0,"n/a (beyond horizon)",IF(SUMPRODUCT($G$17184:$K$17184,$G$17077:$K$17077)&gt;0,"REFINANCING PASS","REFINANCING FAILURE"))</f>
        <v>REFINANCING PASS</v>
      </c>
    </row>
    <row r="17247" customFormat="false" ht="15" hidden="false" customHeight="false" outlineLevel="0" collapsed="false">
      <c r="A17247" s="3" t="s">
        <v>388</v>
      </c>
      <c r="C17247" s="3" t="str">
        <f aca="false">IF(SUM($G$17184:$K$17184)=0,"n/a",IF(C17245&gt;=C17244-0.001,"Repaid from cash",IF(SUMPRODUCT($G$17184:$K$17184,$G$17077:$K$17077)&gt;0,IF(C17245&gt;0,"Partly repaid; remainder refinanced","Refinanced"),IF(SUM($G$17193:$K$17193)&gt;0.001,IF(C17245&gt;0,"Partial repayment; PAYMENT DEFAULT","PAYMENT DEFAULT"),"Repaid from cash"))))</f>
        <v>Refinanced</v>
      </c>
    </row>
    <row r="17248" customFormat="false" ht="15" hidden="false" customHeight="false" outlineLevel="0" collapsed="false">
      <c r="A17248" s="3" t="s">
        <v>389</v>
      </c>
      <c r="C17248" s="16" t="n">
        <f aca="false">SUMPRODUCT($G$17197:$K$17197,$G$17196:$K$17196-$G$17202:$K$17202+$G$17201:$K$17201)</f>
        <v>0</v>
      </c>
    </row>
    <row r="17249" customFormat="false" ht="15" hidden="false" customHeight="false" outlineLevel="0" collapsed="false">
      <c r="A17249" s="3" t="s">
        <v>390</v>
      </c>
      <c r="C17249" s="16" t="n">
        <f aca="false">SUMPRODUCT($G$17197:$K$17197,$G$17204:$K$17204)</f>
        <v>0</v>
      </c>
    </row>
    <row r="17250" customFormat="false" ht="15" hidden="false" customHeight="false" outlineLevel="0" collapsed="false">
      <c r="A17250" s="3" t="s">
        <v>391</v>
      </c>
      <c r="C17250" s="3" t="str">
        <f aca="false">IF(SUM($G$17197:$K$17197)=0,"n/a (beyond horizon)",IF(SUMPRODUCT($G$17197:$K$17197,$G$17077:$K$17077)&gt;0,"REFINANCING PASS","REFINANCING FAILURE"))</f>
        <v>n/a (beyond horizon)</v>
      </c>
    </row>
    <row r="17251" customFormat="false" ht="15" hidden="false" customHeight="false" outlineLevel="0" collapsed="false">
      <c r="A17251" s="3" t="s">
        <v>392</v>
      </c>
      <c r="C17251" s="3" t="str">
        <f aca="false">IF(SUM($G$17197:$K$17197)=0,"n/a",IF(C17249&gt;=C17248-0.001,"Repaid from cash",IF(SUMPRODUCT($G$17197:$K$17197,$G$17077:$K$17077)&gt;0,IF(C17249&gt;0,"Partly repaid; remainder refinanced","Refinanced"),IF(SUM($G$17206:$K$17206)&gt;0.001,IF(C17249&gt;0,"Partial repayment; PAYMENT DEFAULT","PAYMENT DEFAULT"),"Repaid from cash"))))</f>
        <v>n/a</v>
      </c>
    </row>
    <row r="17252" customFormat="false" ht="15" hidden="false" customHeight="false" outlineLevel="0" collapsed="false">
      <c r="A17252" s="3" t="s">
        <v>393</v>
      </c>
      <c r="C17252" s="21" t="n">
        <f aca="false">IF(C17214="REFINANCING FAILURE",1,0)+IF(C17218="REFINANCING FAILURE",1,0)+IF(C17222="REFINANCING FAILURE",1,0)+IF(C17226="REFINANCING FAILURE",1,0)+IF(C17230="REFINANCING FAILURE",1,0)+IF(C17234="REFINANCING FAILURE",1,0)+IF(C17238="REFINANCING FAILURE",1,0)+IF(C17242="REFINANCING FAILURE",1,0)+IF(C17246="REFINANCING FAILURE",1,0)+IF(C17250="REFINANCING FAILURE",1,0)</f>
        <v>5</v>
      </c>
    </row>
    <row r="17254" customFormat="false" ht="15" hidden="false" customHeight="false" outlineLevel="0" collapsed="false">
      <c r="A17254" s="24" t="s">
        <v>395</v>
      </c>
      <c r="B17254" s="25"/>
      <c r="C17254" s="25"/>
      <c r="D17254" s="25"/>
      <c r="E17254" s="25"/>
      <c r="F17254" s="25"/>
      <c r="G17254" s="25"/>
      <c r="H17254" s="25"/>
      <c r="I17254" s="25"/>
      <c r="J17254" s="25"/>
      <c r="K17254" s="25"/>
    </row>
    <row r="17255" customFormat="false" ht="15" hidden="false" customHeight="false" outlineLevel="0" collapsed="false">
      <c r="A17255" s="3" t="s">
        <v>325</v>
      </c>
      <c r="G17255" s="16" t="n">
        <f aca="false">F17267</f>
        <v>37.87</v>
      </c>
      <c r="H17255" s="16" t="n">
        <f aca="false">G17267</f>
        <v>129.6743489</v>
      </c>
      <c r="I17255" s="16" t="n">
        <f aca="false">H17267</f>
        <v>0</v>
      </c>
      <c r="J17255" s="16" t="n">
        <f aca="false">I17267</f>
        <v>-51.2540414035445</v>
      </c>
      <c r="K17255" s="16" t="n">
        <f aca="false">J17267</f>
        <v>-91.214423740655</v>
      </c>
    </row>
    <row r="17256" customFormat="false" ht="15" hidden="false" customHeight="false" outlineLevel="0" collapsed="false">
      <c r="A17256" s="3" t="s">
        <v>396</v>
      </c>
      <c r="G17256" s="16" t="n">
        <f aca="false">G17066</f>
        <v>-54.1956511</v>
      </c>
      <c r="H17256" s="16" t="n">
        <f aca="false">H17066</f>
        <v>-57.941486191</v>
      </c>
      <c r="I17256" s="16" t="n">
        <f aca="false">I17066</f>
        <v>-47.2540414035445</v>
      </c>
      <c r="J17256" s="16" t="n">
        <f aca="false">J17066</f>
        <v>-35.9603823371105</v>
      </c>
      <c r="K17256" s="16" t="n">
        <f aca="false">K17066</f>
        <v>-23.8456938440145</v>
      </c>
    </row>
    <row r="17257" customFormat="false" ht="15" hidden="false" customHeight="false" outlineLevel="0" collapsed="false">
      <c r="A17257" s="3" t="s">
        <v>397</v>
      </c>
      <c r="G17257" s="16" t="n">
        <f aca="false">CHOOSE($C$17036,Assumptions!$G$82,Assumptions!$G$101,Assumptions!$G$120)</f>
        <v>150</v>
      </c>
      <c r="H17257" s="16" t="n">
        <f aca="false">CHOOSE($C$17036,Assumptions!$H$82,Assumptions!$H$101,Assumptions!$H$120)</f>
        <v>0</v>
      </c>
      <c r="I17257" s="16" t="n">
        <f aca="false">CHOOSE($C$17036,Assumptions!$I$82,Assumptions!$I$101,Assumptions!$I$120)</f>
        <v>0</v>
      </c>
      <c r="J17257" s="16" t="n">
        <f aca="false">CHOOSE($C$17036,Assumptions!$J$82,Assumptions!$J$101,Assumptions!$J$120)</f>
        <v>0</v>
      </c>
      <c r="K17257" s="16" t="n">
        <f aca="false">CHOOSE($C$17036,Assumptions!$K$82,Assumptions!$K$101,Assumptions!$K$120)</f>
        <v>0</v>
      </c>
    </row>
    <row r="17258" customFormat="false" ht="15" hidden="false" customHeight="false" outlineLevel="0" collapsed="false">
      <c r="A17258" s="3" t="s">
        <v>398</v>
      </c>
      <c r="G17258" s="16" t="n">
        <f aca="false">G17085+G17098+G17111+G17124+G17137+G17150+G17163+G17176+G17189+G17202</f>
        <v>4</v>
      </c>
      <c r="H17258" s="16" t="n">
        <f aca="false">H17085+H17098+H17111+H17124+H17137+H17150+H17163+H17176+H17189+H17202</f>
        <v>4</v>
      </c>
      <c r="I17258" s="16" t="n">
        <f aca="false">I17085+I17098+I17111+I17124+I17137+I17150+I17163+I17176+I17189+I17202</f>
        <v>4</v>
      </c>
      <c r="J17258" s="16" t="n">
        <f aca="false">J17085+J17098+J17111+J17124+J17137+J17150+J17163+J17176+J17189+J17202</f>
        <v>4</v>
      </c>
      <c r="K17258" s="16" t="n">
        <f aca="false">K17085+K17098+K17111+K17124+K17137+K17150+K17163+K17176+K17189+K17202</f>
        <v>4</v>
      </c>
    </row>
    <row r="17259" customFormat="false" ht="15" hidden="false" customHeight="false" outlineLevel="0" collapsed="false">
      <c r="A17259" s="2" t="s">
        <v>399</v>
      </c>
      <c r="G17259" s="17" t="n">
        <f aca="false">G17255+G17256+G17257-G17258</f>
        <v>129.6743489</v>
      </c>
      <c r="H17259" s="17" t="n">
        <f aca="false">H17255+H17256+H17257-H17258</f>
        <v>67.732862709</v>
      </c>
      <c r="I17259" s="17" t="n">
        <f aca="false">I17255+I17256+I17257-I17258</f>
        <v>-51.2540414035445</v>
      </c>
      <c r="J17259" s="17" t="n">
        <f aca="false">J17255+J17256+J17257-J17258</f>
        <v>-91.214423740655</v>
      </c>
      <c r="K17259" s="17" t="n">
        <f aca="false">K17255+K17256+K17257-K17258</f>
        <v>-119.060117584669</v>
      </c>
    </row>
    <row r="17260" customFormat="false" ht="15" hidden="false" customHeight="false" outlineLevel="0" collapsed="false">
      <c r="A17260" s="3" t="s">
        <v>400</v>
      </c>
      <c r="G17260" s="16" t="n">
        <f aca="false">G17086+G17099+G17112+G17125+G17138+G17151+G17164+G17177+G17190+G17203</f>
        <v>0</v>
      </c>
      <c r="H17260" s="16" t="n">
        <f aca="false">H17086+H17099+H17112+H17125+H17138+H17151+H17164+H17177+H17190+H17203</f>
        <v>0</v>
      </c>
      <c r="I17260" s="16" t="n">
        <f aca="false">I17086+I17099+I17112+I17125+I17138+I17151+I17164+I17177+I17190+I17203</f>
        <v>0</v>
      </c>
      <c r="J17260" s="16" t="n">
        <f aca="false">J17086+J17099+J17112+J17125+J17138+J17151+J17164+J17177+J17190+J17203</f>
        <v>0</v>
      </c>
      <c r="K17260" s="16" t="n">
        <f aca="false">K17086+K17099+K17112+K17125+K17138+K17151+K17164+K17177+K17190+K17203</f>
        <v>0</v>
      </c>
    </row>
    <row r="17261" customFormat="false" ht="15" hidden="false" customHeight="false" outlineLevel="0" collapsed="false">
      <c r="A17261" s="2" t="s">
        <v>401</v>
      </c>
      <c r="G17261" s="17" t="n">
        <f aca="false">G17259+G17260</f>
        <v>129.6743489</v>
      </c>
      <c r="H17261" s="17" t="n">
        <f aca="false">H17259+H17260</f>
        <v>67.732862709</v>
      </c>
      <c r="I17261" s="17" t="n">
        <f aca="false">I17259+I17260</f>
        <v>-51.2540414035445</v>
      </c>
      <c r="J17261" s="17" t="n">
        <f aca="false">J17259+J17260</f>
        <v>-91.214423740655</v>
      </c>
      <c r="K17261" s="17" t="n">
        <f aca="false">K17259+K17260</f>
        <v>-119.060117584669</v>
      </c>
    </row>
    <row r="17262" customFormat="false" ht="15" hidden="false" customHeight="false" outlineLevel="0" collapsed="false">
      <c r="A17262" s="3" t="s">
        <v>402</v>
      </c>
      <c r="G17262" s="16" t="n">
        <f aca="false">G17087+G17100+G17113+G17126+G17139+G17152+G17165+G17178+G17191+G17204</f>
        <v>0</v>
      </c>
      <c r="H17262" s="16" t="n">
        <f aca="false">H17087+H17100+H17113+H17126+H17139+H17152+H17165+H17178+H17191+H17204</f>
        <v>67.732862709</v>
      </c>
      <c r="I17262" s="16" t="n">
        <f aca="false">I17087+I17100+I17113+I17126+I17139+I17152+I17165+I17178+I17191+I17204</f>
        <v>0</v>
      </c>
      <c r="J17262" s="16" t="n">
        <f aca="false">J17087+J17100+J17113+J17126+J17139+J17152+J17165+J17178+J17191+J17204</f>
        <v>0</v>
      </c>
      <c r="K17262" s="16" t="n">
        <f aca="false">K17087+K17100+K17113+K17126+K17139+K17152+K17165+K17178+K17191+K17204</f>
        <v>0</v>
      </c>
    </row>
    <row r="17263" customFormat="false" ht="15" hidden="false" customHeight="false" outlineLevel="0" collapsed="false">
      <c r="A17263" s="2" t="s">
        <v>403</v>
      </c>
      <c r="G17263" s="17" t="n">
        <f aca="false">G17261-G17262</f>
        <v>129.6743489</v>
      </c>
      <c r="H17263" s="17" t="n">
        <f aca="false">H17261-H17262</f>
        <v>0</v>
      </c>
      <c r="I17263" s="17" t="n">
        <f aca="false">I17261-I17262</f>
        <v>-51.2540414035445</v>
      </c>
      <c r="J17263" s="17" t="n">
        <f aca="false">J17261-J17262</f>
        <v>-91.214423740655</v>
      </c>
      <c r="K17263" s="17" t="n">
        <f aca="false">K17261-K17262</f>
        <v>-119.060117584669</v>
      </c>
    </row>
    <row r="17264" customFormat="false" ht="15" hidden="false" customHeight="false" outlineLevel="0" collapsed="false">
      <c r="A17264" s="3" t="s">
        <v>404</v>
      </c>
      <c r="G17264" s="16" t="n">
        <f aca="false">MAX(0,-G17263)</f>
        <v>0</v>
      </c>
      <c r="H17264" s="16" t="n">
        <f aca="false">MAX(0,-H17263)</f>
        <v>-0</v>
      </c>
      <c r="I17264" s="16" t="n">
        <f aca="false">MAX(0,-I17263)</f>
        <v>51.2540414035445</v>
      </c>
      <c r="J17264" s="16" t="n">
        <f aca="false">MAX(0,-J17263)</f>
        <v>91.214423740655</v>
      </c>
      <c r="K17264" s="16" t="n">
        <f aca="false">MAX(0,-K17263)</f>
        <v>119.060117584669</v>
      </c>
    </row>
    <row r="17265" customFormat="false" ht="15" hidden="false" customHeight="false" outlineLevel="0" collapsed="false">
      <c r="A17265" s="3" t="s">
        <v>405</v>
      </c>
      <c r="G17265" s="16" t="n">
        <f aca="false">MAX(0,G17263-Assumptions!$C$12)*Assumptions!$C$13</f>
        <v>0</v>
      </c>
      <c r="H17265" s="16" t="n">
        <f aca="false">MAX(0,H17263-Assumptions!$C$12)*Assumptions!$C$13</f>
        <v>0</v>
      </c>
      <c r="I17265" s="16" t="n">
        <f aca="false">MAX(0,I17263-Assumptions!$C$12)*Assumptions!$C$13</f>
        <v>0</v>
      </c>
      <c r="J17265" s="16" t="n">
        <f aca="false">MAX(0,J17263-Assumptions!$C$12)*Assumptions!$C$13</f>
        <v>0</v>
      </c>
      <c r="K17265" s="16" t="n">
        <f aca="false">MAX(0,K17263-Assumptions!$C$12)*Assumptions!$C$13</f>
        <v>0</v>
      </c>
    </row>
    <row r="17266" customFormat="false" ht="15" hidden="false" customHeight="false" outlineLevel="0" collapsed="false">
      <c r="A17266" s="3" t="s">
        <v>406</v>
      </c>
      <c r="G17266" s="16" t="n">
        <f aca="false">G17088+G17101+G17114+G17127+G17140+G17153+G17166+G17179+G17192+G17205</f>
        <v>0</v>
      </c>
      <c r="H17266" s="16" t="n">
        <f aca="false">H17088+H17101+H17114+H17127+H17140+H17153+H17166+H17179+H17192+H17205</f>
        <v>0</v>
      </c>
      <c r="I17266" s="16" t="n">
        <f aca="false">I17088+I17101+I17114+I17127+I17140+I17153+I17166+I17179+I17192+I17205</f>
        <v>0</v>
      </c>
      <c r="J17266" s="16" t="n">
        <f aca="false">J17088+J17101+J17114+J17127+J17140+J17153+J17166+J17179+J17192+J17205</f>
        <v>0</v>
      </c>
      <c r="K17266" s="16" t="n">
        <f aca="false">K17088+K17101+K17114+K17127+K17140+K17153+K17166+K17179+K17192+K17205</f>
        <v>0</v>
      </c>
    </row>
    <row r="17267" customFormat="false" ht="15" hidden="false" customHeight="false" outlineLevel="0" collapsed="false">
      <c r="A17267" s="2" t="s">
        <v>407</v>
      </c>
      <c r="F17267" s="28" t="n">
        <f aca="false">Assumptions!$C$11</f>
        <v>37.87</v>
      </c>
      <c r="G17267" s="17" t="n">
        <f aca="false">G17263-G17266</f>
        <v>129.6743489</v>
      </c>
      <c r="H17267" s="17" t="n">
        <f aca="false">H17263-H17266</f>
        <v>0</v>
      </c>
      <c r="I17267" s="17" t="n">
        <f aca="false">I17263-I17266</f>
        <v>-51.2540414035445</v>
      </c>
      <c r="J17267" s="17" t="n">
        <f aca="false">J17263-J17266</f>
        <v>-91.214423740655</v>
      </c>
      <c r="K17267" s="17" t="n">
        <f aca="false">K17263-K17266</f>
        <v>-119.060117584669</v>
      </c>
    </row>
    <row r="17268" customFormat="false" ht="15" hidden="false" customHeight="false" outlineLevel="0" collapsed="false">
      <c r="A17268" s="3" t="s">
        <v>408</v>
      </c>
      <c r="G17268" s="16" t="n">
        <f aca="false">G17089+G17102+G17115+G17128+G17141+G17154+G17167+G17180+G17193+G17206</f>
        <v>0</v>
      </c>
      <c r="H17268" s="16" t="n">
        <f aca="false">H17089+H17102+H17115+H17128+H17141+H17154+H17167+H17180+H17193+H17206</f>
        <v>732.267137291</v>
      </c>
      <c r="I17268" s="16" t="n">
        <f aca="false">I17089+I17102+I17115+I17128+I17141+I17154+I17167+I17180+I17193+I17206</f>
        <v>550</v>
      </c>
      <c r="J17268" s="16" t="n">
        <f aca="false">J17089+J17102+J17115+J17128+J17141+J17154+J17167+J17180+J17193+J17206</f>
        <v>350</v>
      </c>
      <c r="K17268" s="16" t="n">
        <f aca="false">K17089+K17102+K17115+K17128+K17141+K17154+K17167+K17180+K17193+K17206</f>
        <v>0</v>
      </c>
    </row>
    <row r="17269" customFormat="false" ht="15" hidden="false" customHeight="false" outlineLevel="0" collapsed="false">
      <c r="A17269" s="3" t="s">
        <v>409</v>
      </c>
      <c r="G17269" s="21" t="n">
        <f aca="false">IF(OR(G17264&gt;0.001,G17268&gt;0.001),1,0)</f>
        <v>0</v>
      </c>
      <c r="H17269" s="21" t="n">
        <f aca="false">IF(OR(H17264&gt;0.001,H17268&gt;0.001),1,0)</f>
        <v>1</v>
      </c>
      <c r="I17269" s="21" t="n">
        <f aca="false">IF(OR(I17264&gt;0.001,I17268&gt;0.001),1,0)</f>
        <v>1</v>
      </c>
      <c r="J17269" s="21" t="n">
        <f aca="false">IF(OR(J17264&gt;0.001,J17268&gt;0.001),1,0)</f>
        <v>1</v>
      </c>
      <c r="K17269" s="21" t="n">
        <f aca="false">IF(OR(K17264&gt;0.001,K17268&gt;0.001),1,0)</f>
        <v>1</v>
      </c>
    </row>
    <row r="17270" customFormat="false" ht="15" hidden="false" customHeight="false" outlineLevel="0" collapsed="false">
      <c r="A17270" s="3" t="s">
        <v>410</v>
      </c>
      <c r="G17270" s="21" t="n">
        <f aca="false">IF(G17269=1,1,0)</f>
        <v>0</v>
      </c>
      <c r="H17270" s="21" t="n">
        <f aca="false">IF(AND(H17269=1,SUM($G$17269:G17269)=0),1,0)</f>
        <v>1</v>
      </c>
      <c r="I17270" s="21" t="n">
        <f aca="false">IF(AND(I17269=1,SUM($G$17269:H17269)=0),1,0)</f>
        <v>0</v>
      </c>
      <c r="J17270" s="21" t="n">
        <f aca="false">IF(AND(J17269=1,SUM($G$17269:I17269)=0),1,0)</f>
        <v>0</v>
      </c>
      <c r="K17270" s="21" t="n">
        <f aca="false">IF(AND(K17269=1,SUM($G$17269:J17269)=0),1,0)</f>
        <v>0</v>
      </c>
    </row>
    <row r="17271" customFormat="false" ht="15" hidden="false" customHeight="false" outlineLevel="0" collapsed="false">
      <c r="A17271" s="3" t="s">
        <v>411</v>
      </c>
      <c r="G17271" s="16" t="n">
        <f aca="false">(G17209-F17209)-(G17260+G17058-G17258-G17262-G17266)</f>
        <v>0</v>
      </c>
      <c r="H17271" s="16" t="n">
        <f aca="false">(H17209-G17209)-(H17260+H17058-H17258-H17262-H17266)</f>
        <v>0</v>
      </c>
      <c r="I17271" s="16" t="n">
        <f aca="false">(I17209-H17209)-(I17260+I17058-I17258-I17262-I17266)</f>
        <v>0</v>
      </c>
      <c r="J17271" s="16" t="n">
        <f aca="false">(J17209-I17209)-(J17260+J17058-J17258-J17262-J17266)</f>
        <v>0</v>
      </c>
      <c r="K17271" s="16" t="n">
        <f aca="false">(K17209-J17209)-(K17260+K17058-K17258-K17262-K17266)</f>
        <v>0</v>
      </c>
    </row>
    <row r="17273" customFormat="false" ht="15" hidden="false" customHeight="false" outlineLevel="0" collapsed="false">
      <c r="A17273" s="24" t="s">
        <v>413</v>
      </c>
      <c r="B17273" s="25"/>
      <c r="C17273" s="25"/>
      <c r="D17273" s="25"/>
      <c r="E17273" s="25"/>
      <c r="F17273" s="25"/>
      <c r="G17273" s="25"/>
      <c r="H17273" s="25"/>
      <c r="I17273" s="25"/>
      <c r="J17273" s="25"/>
      <c r="K17273" s="25"/>
    </row>
    <row r="17274" customFormat="false" ht="15" hidden="false" customHeight="false" outlineLevel="0" collapsed="false">
      <c r="A17274" s="3" t="s">
        <v>414</v>
      </c>
      <c r="G17274" s="16" t="n">
        <f aca="false">G17209</f>
        <v>2621.934</v>
      </c>
      <c r="H17274" s="16" t="n">
        <f aca="false">H17209</f>
        <v>2550.201137291</v>
      </c>
      <c r="I17274" s="16" t="n">
        <f aca="false">I17209</f>
        <v>2546.201137291</v>
      </c>
      <c r="J17274" s="16" t="n">
        <f aca="false">J17209</f>
        <v>2542.201137291</v>
      </c>
      <c r="K17274" s="16" t="n">
        <f aca="false">K17209</f>
        <v>2538.201137291</v>
      </c>
    </row>
    <row r="17275" customFormat="false" ht="15" hidden="false" customHeight="false" outlineLevel="0" collapsed="false">
      <c r="A17275" s="3" t="s">
        <v>415</v>
      </c>
      <c r="G17275" s="16" t="n">
        <f aca="false">Assumptions!$O$57*G17090+Assumptions!$O$58*G17103+Assumptions!$O$59*G17116+Assumptions!$O$60*G17129+Assumptions!$O$61*G17142+Assumptions!$O$62*G17155+Assumptions!$O$63*G17168+Assumptions!$O$64*G17181+Assumptions!$O$65*G17194+Assumptions!$O$66*G17207</f>
        <v>543.324</v>
      </c>
      <c r="H17275" s="16" t="n">
        <f aca="false">Assumptions!$O$57*H17090+Assumptions!$O$58*H17103+Assumptions!$O$59*H17116+Assumptions!$O$60*H17129+Assumptions!$O$61*H17142+Assumptions!$O$62*H17155+Assumptions!$O$63*H17168+Assumptions!$O$64*H17181+Assumptions!$O$65*H17194+Assumptions!$O$66*H17207</f>
        <v>539.324</v>
      </c>
      <c r="I17275" s="16" t="n">
        <f aca="false">Assumptions!$O$57*I17090+Assumptions!$O$58*I17103+Assumptions!$O$59*I17116+Assumptions!$O$60*I17129+Assumptions!$O$61*I17142+Assumptions!$O$62*I17155+Assumptions!$O$63*I17168+Assumptions!$O$64*I17181+Assumptions!$O$65*I17194+Assumptions!$O$66*I17207</f>
        <v>535.324</v>
      </c>
      <c r="J17275" s="16" t="n">
        <f aca="false">Assumptions!$O$57*J17090+Assumptions!$O$58*J17103+Assumptions!$O$59*J17116+Assumptions!$O$60*J17129+Assumptions!$O$61*J17142+Assumptions!$O$62*J17155+Assumptions!$O$63*J17168+Assumptions!$O$64*J17181+Assumptions!$O$65*J17194+Assumptions!$O$66*J17207</f>
        <v>531.324</v>
      </c>
      <c r="K17275" s="16" t="n">
        <f aca="false">Assumptions!$O$57*K17090+Assumptions!$O$58*K17103+Assumptions!$O$59*K17116+Assumptions!$O$60*K17129+Assumptions!$O$61*K17142+Assumptions!$O$62*K17155+Assumptions!$O$63*K17168+Assumptions!$O$64*K17181+Assumptions!$O$65*K17194+Assumptions!$O$66*K17207</f>
        <v>527.324</v>
      </c>
    </row>
    <row r="17276" customFormat="false" ht="15" hidden="false" customHeight="false" outlineLevel="0" collapsed="false">
      <c r="A17276" s="3" t="s">
        <v>416</v>
      </c>
      <c r="G17276" s="16" t="n">
        <f aca="false">G17274-G17267</f>
        <v>2492.2596511</v>
      </c>
      <c r="H17276" s="16" t="n">
        <f aca="false">H17274-H17267</f>
        <v>2550.201137291</v>
      </c>
      <c r="I17276" s="16" t="n">
        <f aca="false">I17274-I17267</f>
        <v>2597.45517869455</v>
      </c>
      <c r="J17276" s="16" t="n">
        <f aca="false">J17274-J17267</f>
        <v>2633.41556103166</v>
      </c>
      <c r="K17276" s="16" t="n">
        <f aca="false">K17274-K17267</f>
        <v>2657.26125487567</v>
      </c>
    </row>
    <row r="17277" customFormat="false" ht="15" hidden="false" customHeight="false" outlineLevel="0" collapsed="false">
      <c r="A17277" s="3" t="s">
        <v>417</v>
      </c>
      <c r="G17277" s="32" t="n">
        <f aca="false">IF(G17053&gt;0,G17274/G17053,0)</f>
        <v>10.6300060880818</v>
      </c>
      <c r="H17277" s="32" t="n">
        <f aca="false">IF(H17053&gt;0,H17274/H17053,0)</f>
        <v>10.4499517930754</v>
      </c>
      <c r="I17277" s="32" t="n">
        <f aca="false">IF(I17053&gt;0,I17274/I17053,0)</f>
        <v>9.93672476637492</v>
      </c>
      <c r="J17277" s="32" t="n">
        <f aca="false">IF(J17053&gt;0,J17274/J17053,0)</f>
        <v>9.26403644298599</v>
      </c>
      <c r="K17277" s="32" t="n">
        <f aca="false">IF(K17053&gt;0,K17274/K17053,0)</f>
        <v>8.63776523742589</v>
      </c>
    </row>
    <row r="17278" customFormat="false" ht="15" hidden="false" customHeight="false" outlineLevel="0" collapsed="false">
      <c r="A17278" s="3" t="s">
        <v>418</v>
      </c>
      <c r="G17278" s="32" t="n">
        <f aca="false">IF(G17053&gt;0,G17276/G17053,0)</f>
        <v>10.1042723669908</v>
      </c>
      <c r="H17278" s="32" t="n">
        <f aca="false">IF(H17053&gt;0,H17276/H17053,0)</f>
        <v>10.4499517930754</v>
      </c>
      <c r="I17278" s="32" t="n">
        <f aca="false">IF(I17053&gt;0,I17276/I17053,0)</f>
        <v>10.136747182174</v>
      </c>
      <c r="J17278" s="32" t="n">
        <f aca="false">IF(J17053&gt;0,J17276/J17053,0)</f>
        <v>9.59643097041502</v>
      </c>
      <c r="K17278" s="32" t="n">
        <f aca="false">IF(K17053&gt;0,K17276/K17053,0)</f>
        <v>9.04293933089206</v>
      </c>
    </row>
    <row r="17279" customFormat="false" ht="15" hidden="false" customHeight="false" outlineLevel="0" collapsed="false">
      <c r="A17279" s="3" t="s">
        <v>419</v>
      </c>
      <c r="G17279" s="32" t="n">
        <f aca="false">IF(G17057&gt;0,G17053/G17057,0)</f>
        <v>1.31626862653526</v>
      </c>
      <c r="H17279" s="32" t="n">
        <f aca="false">IF(H17057&gt;0,H17053/H17057,0)</f>
        <v>1.31027278468687</v>
      </c>
      <c r="I17279" s="32" t="n">
        <f aca="false">IF(I17057&gt;0,I17053/I17057,0)</f>
        <v>1.40808314092699</v>
      </c>
      <c r="J17279" s="32" t="n">
        <f aca="false">IF(J17057&gt;0,J17053/J17057,0)</f>
        <v>1.5113605368654</v>
      </c>
      <c r="K17279" s="32" t="n">
        <f aca="false">IF(K17057&gt;0,K17053/K17057,0)</f>
        <v>1.6220522869149</v>
      </c>
    </row>
    <row r="17280" customFormat="false" ht="15" hidden="false" customHeight="false" outlineLevel="0" collapsed="false">
      <c r="A17280" s="3" t="s">
        <v>420</v>
      </c>
      <c r="G17280" s="32" t="n">
        <f aca="false">IF(G17057&gt;0,G17056/G17057,0)</f>
        <v>0.337341202132259</v>
      </c>
      <c r="H17280" s="32" t="n">
        <f aca="false">IF(H17057&gt;0,H17056/H17057,0)</f>
        <v>0.3056663591285</v>
      </c>
      <c r="I17280" s="32" t="n">
        <f aca="false">IF(I17057&gt;0,I17056/I17057,0)</f>
        <v>0.328484001245768</v>
      </c>
      <c r="J17280" s="32" t="n">
        <f aca="false">IF(J17057&gt;0,J17056/J17057,0)</f>
        <v>0.3644013407109</v>
      </c>
      <c r="K17280" s="32" t="n">
        <f aca="false">IF(K17057&gt;0,K17056/K17057,0)</f>
        <v>0.403523985871539</v>
      </c>
    </row>
    <row r="17281" customFormat="false" ht="15" hidden="false" customHeight="false" outlineLevel="0" collapsed="false">
      <c r="A17281" s="3" t="s">
        <v>213</v>
      </c>
      <c r="G17281" s="22" t="n">
        <f aca="false">IF(G17274&gt;0,G17066/G17274,0)</f>
        <v>-0.0206701050064571</v>
      </c>
      <c r="H17281" s="22" t="n">
        <f aca="false">IF(H17274&gt;0,H17066/H17274,0)</f>
        <v>-0.0227203593252842</v>
      </c>
      <c r="I17281" s="22" t="n">
        <f aca="false">IF(I17274&gt;0,I17066/I17274,0)</f>
        <v>-0.0185586443708135</v>
      </c>
      <c r="J17281" s="22" t="n">
        <f aca="false">IF(J17274&gt;0,J17066/J17274,0)</f>
        <v>-0.0141453726102217</v>
      </c>
      <c r="K17281" s="22" t="n">
        <f aca="false">IF(K17274&gt;0,K17066/K17274,0)</f>
        <v>-0.00939472191296265</v>
      </c>
    </row>
    <row r="17282" customFormat="false" ht="15" hidden="false" customHeight="false" outlineLevel="0" collapsed="false">
      <c r="A17282" s="3" t="s">
        <v>421</v>
      </c>
      <c r="G17282" s="32" t="n">
        <f aca="false">IF(G17057+G17258&gt;0,(G17053-G17064-G17061)/(G17057+G17258),0)</f>
        <v>0.82480562917935</v>
      </c>
      <c r="H17282" s="32" t="n">
        <f aca="false">IF(H17057+H17258&gt;0,(H17053-H17064-H17061)/(H17057+H17258),0)</f>
        <v>0.80666178369248</v>
      </c>
      <c r="I17282" s="32" t="n">
        <f aca="false">IF(I17057+I17258&gt;0,(I17053-I17064-I17061)/(I17057+I17258),0)</f>
        <v>0.866450512052266</v>
      </c>
      <c r="J17282" s="32" t="n">
        <f aca="false">IF(J17057+J17258&gt;0,(J17053-J17064-J17061)/(J17057+J17258),0)</f>
        <v>0.935556377309047</v>
      </c>
      <c r="K17282" s="32" t="n">
        <f aca="false">IF(K17057+K17258&gt;0,(K17053-K17064-K17061)/(K17057+K17258),0)</f>
        <v>1.00991608627053</v>
      </c>
    </row>
    <row r="17283" customFormat="false" ht="15" hidden="false" customHeight="false" outlineLevel="0" collapsed="false">
      <c r="A17283" s="3" t="s">
        <v>422</v>
      </c>
      <c r="G17283" s="16" t="n">
        <f aca="false">MAX(0,G17267)+Assumptions!$P$57*MAX(0,Assumptions!$D$57-G17090)+Assumptions!$P$58*MAX(0,Assumptions!$D$58-G17103)+Assumptions!$P$59*MAX(0,Assumptions!$D$59-G17116)+Assumptions!$P$60*MAX(0,Assumptions!$D$60-G17129)+Assumptions!$P$61*MAX(0,Assumptions!$D$61-G17142)+Assumptions!$P$62*MAX(0,Assumptions!$D$62-G17155)+Assumptions!$P$63*MAX(0,Assumptions!$D$63-G17168)+Assumptions!$P$64*MAX(0,Assumptions!$D$64-G17181)+Assumptions!$P$65*MAX(0,Assumptions!$D$65-G17194)+Assumptions!$P$66*MAX(0,Assumptions!$D$66-G17207)</f>
        <v>704.1743489</v>
      </c>
      <c r="H17283" s="16" t="n">
        <f aca="false">MAX(0,H17267)+Assumptions!$P$57*MAX(0,Assumptions!$D$57-H17090)+Assumptions!$P$58*MAX(0,Assumptions!$D$58-H17103)+Assumptions!$P$59*MAX(0,Assumptions!$D$59-H17116)+Assumptions!$P$60*MAX(0,Assumptions!$D$60-H17129)+Assumptions!$P$61*MAX(0,Assumptions!$D$61-H17142)+Assumptions!$P$62*MAX(0,Assumptions!$D$62-H17155)+Assumptions!$P$63*MAX(0,Assumptions!$D$63-H17168)+Assumptions!$P$64*MAX(0,Assumptions!$D$64-H17181)+Assumptions!$P$65*MAX(0,Assumptions!$D$65-H17194)+Assumptions!$P$66*MAX(0,Assumptions!$D$66-H17207)</f>
        <v>574.5</v>
      </c>
      <c r="I17283" s="16" t="n">
        <f aca="false">MAX(0,I17267)+Assumptions!$P$57*MAX(0,Assumptions!$D$57-I17090)+Assumptions!$P$58*MAX(0,Assumptions!$D$58-I17103)+Assumptions!$P$59*MAX(0,Assumptions!$D$59-I17116)+Assumptions!$P$60*MAX(0,Assumptions!$D$60-I17129)+Assumptions!$P$61*MAX(0,Assumptions!$D$61-I17142)+Assumptions!$P$62*MAX(0,Assumptions!$D$62-I17155)+Assumptions!$P$63*MAX(0,Assumptions!$D$63-I17168)+Assumptions!$P$64*MAX(0,Assumptions!$D$64-I17181)+Assumptions!$P$65*MAX(0,Assumptions!$D$65-I17194)+Assumptions!$P$66*MAX(0,Assumptions!$D$66-I17207)</f>
        <v>574.5</v>
      </c>
      <c r="J17283" s="16" t="n">
        <f aca="false">MAX(0,J17267)+Assumptions!$P$57*MAX(0,Assumptions!$D$57-J17090)+Assumptions!$P$58*MAX(0,Assumptions!$D$58-J17103)+Assumptions!$P$59*MAX(0,Assumptions!$D$59-J17116)+Assumptions!$P$60*MAX(0,Assumptions!$D$60-J17129)+Assumptions!$P$61*MAX(0,Assumptions!$D$61-J17142)+Assumptions!$P$62*MAX(0,Assumptions!$D$62-J17155)+Assumptions!$P$63*MAX(0,Assumptions!$D$63-J17168)+Assumptions!$P$64*MAX(0,Assumptions!$D$64-J17181)+Assumptions!$P$65*MAX(0,Assumptions!$D$65-J17194)+Assumptions!$P$66*MAX(0,Assumptions!$D$66-J17207)</f>
        <v>574.5</v>
      </c>
      <c r="K17283" s="16" t="n">
        <f aca="false">MAX(0,K17267)+Assumptions!$P$57*MAX(0,Assumptions!$D$57-K17090)+Assumptions!$P$58*MAX(0,Assumptions!$D$58-K17103)+Assumptions!$P$59*MAX(0,Assumptions!$D$59-K17116)+Assumptions!$P$60*MAX(0,Assumptions!$D$60-K17129)+Assumptions!$P$61*MAX(0,Assumptions!$D$61-K17142)+Assumptions!$P$62*MAX(0,Assumptions!$D$62-K17155)+Assumptions!$P$63*MAX(0,Assumptions!$D$63-K17168)+Assumptions!$P$64*MAX(0,Assumptions!$D$64-K17181)+Assumptions!$P$65*MAX(0,Assumptions!$D$65-K17194)+Assumptions!$P$66*MAX(0,Assumptions!$D$66-K17207)</f>
        <v>574.5</v>
      </c>
    </row>
    <row r="17284" customFormat="false" ht="15" hidden="false" customHeight="false" outlineLevel="0" collapsed="false">
      <c r="A17284" s="3" t="s">
        <v>423</v>
      </c>
      <c r="G17284" s="22" t="n">
        <f aca="false">IF(G17274&gt;0,G17274/(G17274+MAX(0,G17053*CHOOSE($C$17036,Assumptions!$C$90,Assumptions!$C$109,Assumptions!$C$128)-G17276)),0)</f>
        <v>0.922284545636333</v>
      </c>
      <c r="H17284" s="22" t="n">
        <f aca="false">IF(H17274&gt;0,H17274/(H17274+MAX(0,H17053*CHOOSE($C$17036,Assumptions!$C$90,Assumptions!$C$109,Assumptions!$C$128)-H17276)),0)</f>
        <v>0.949995617552313</v>
      </c>
      <c r="I17284" s="22" t="n">
        <f aca="false">IF(I17274&gt;0,I17274/(I17274+MAX(0,I17053*CHOOSE($C$17036,Assumptions!$C$90,Assumptions!$C$109,Assumptions!$C$128)-I17276)),0)</f>
        <v>0.920069017634926</v>
      </c>
      <c r="J17284" s="22" t="n">
        <f aca="false">IF(J17274&gt;0,J17274/(J17274+MAX(0,J17053*CHOOSE($C$17036,Assumptions!$C$90,Assumptions!$C$109,Assumptions!$C$128)-J17276)),0)</f>
        <v>0.868426983619342</v>
      </c>
      <c r="K17284" s="22" t="n">
        <f aca="false">IF(K17274&gt;0,K17274/(K17274+MAX(0,K17053*CHOOSE($C$17036,Assumptions!$C$90,Assumptions!$C$109,Assumptions!$C$128)-K17276)),0)</f>
        <v>0.815281469806784</v>
      </c>
    </row>
    <row r="17285" customFormat="false" ht="15" hidden="false" customHeight="false" outlineLevel="0" collapsed="false">
      <c r="A17285" s="3" t="s">
        <v>424</v>
      </c>
      <c r="G17285" s="22" t="n">
        <f aca="false">IF(G17274&gt;0,MAX(0,G17267)/G17274,0)</f>
        <v>0.0494575183433298</v>
      </c>
      <c r="H17285" s="22" t="n">
        <f aca="false">IF(H17274&gt;0,MAX(0,H17267)/H17274,0)</f>
        <v>0</v>
      </c>
      <c r="I17285" s="22" t="n">
        <f aca="false">IF(I17274&gt;0,MAX(0,I17267)/I17274,0)</f>
        <v>0</v>
      </c>
      <c r="J17285" s="22" t="n">
        <f aca="false">IF(J17274&gt;0,MAX(0,J17267)/J17274,0)</f>
        <v>0</v>
      </c>
      <c r="K17285" s="22" t="n">
        <f aca="false">IF(K17274&gt;0,MAX(0,K17267)/K17274,0)</f>
        <v>0</v>
      </c>
    </row>
    <row r="17286" customFormat="false" ht="15" hidden="false" customHeight="false" outlineLevel="0" collapsed="false">
      <c r="A17286" s="3" t="s">
        <v>425</v>
      </c>
      <c r="G17286" s="16" t="n">
        <f aca="false">Assumptions!$C$31*(1-CHOOSE($C$17036,Assumptions!$C$93,Assumptions!$C$112,Assumptions!$C$131))</f>
        <v>3840.04556666667</v>
      </c>
      <c r="H17286" s="16" t="n">
        <f aca="false">Assumptions!$C$31*(1-CHOOSE($C$17036,Assumptions!$C$93,Assumptions!$C$112,Assumptions!$C$131))</f>
        <v>3840.04556666667</v>
      </c>
      <c r="I17286" s="16" t="n">
        <f aca="false">Assumptions!$C$31*(1-CHOOSE($C$17036,Assumptions!$C$93,Assumptions!$C$112,Assumptions!$C$131))</f>
        <v>3840.04556666667</v>
      </c>
      <c r="J17286" s="16" t="n">
        <f aca="false">Assumptions!$C$31*(1-CHOOSE($C$17036,Assumptions!$C$93,Assumptions!$C$112,Assumptions!$C$131))</f>
        <v>3840.04556666667</v>
      </c>
      <c r="K17286" s="16" t="n">
        <f aca="false">Assumptions!$C$31*(1-CHOOSE($C$17036,Assumptions!$C$93,Assumptions!$C$112,Assumptions!$C$131))</f>
        <v>3840.04556666667</v>
      </c>
    </row>
    <row r="17287" customFormat="false" ht="15" hidden="false" customHeight="false" outlineLevel="0" collapsed="false">
      <c r="A17287" s="24" t="s">
        <v>426</v>
      </c>
      <c r="B17287" s="25"/>
      <c r="C17287" s="25"/>
      <c r="D17287" s="25"/>
      <c r="E17287" s="25"/>
      <c r="F17287" s="25"/>
      <c r="G17287" s="25"/>
      <c r="H17287" s="25"/>
      <c r="I17287" s="25"/>
      <c r="J17287" s="25"/>
      <c r="K17287" s="25"/>
    </row>
    <row r="17288" customFormat="false" ht="15" hidden="false" customHeight="false" outlineLevel="0" collapsed="false">
      <c r="A17288" s="24" t="s">
        <v>427</v>
      </c>
      <c r="B17288" s="25"/>
      <c r="C17288" s="25"/>
      <c r="D17288" s="25"/>
      <c r="E17288" s="25"/>
      <c r="F17288" s="25"/>
      <c r="G17288" s="25"/>
      <c r="H17288" s="25"/>
      <c r="I17288" s="25"/>
      <c r="J17288" s="25"/>
      <c r="K17288" s="25"/>
    </row>
    <row r="17289" customFormat="false" ht="15" hidden="false" customHeight="false" outlineLevel="0" collapsed="false">
      <c r="A17289" s="3" t="s">
        <v>428</v>
      </c>
      <c r="G17289" s="22" t="n">
        <f aca="false">IF(G17286&gt;0,G17274/G17286,99)</f>
        <v>0.68278721032885</v>
      </c>
      <c r="H17289" s="22" t="n">
        <f aca="false">IF(H17286&gt;0,H17274/H17286,99)</f>
        <v>0.664106998997069</v>
      </c>
      <c r="I17289" s="22" t="n">
        <f aca="false">IF(I17286&gt;0,I17274/I17286,99)</f>
        <v>0.663065344691005</v>
      </c>
      <c r="J17289" s="22" t="n">
        <f aca="false">IF(J17286&gt;0,J17274/J17286,99)</f>
        <v>0.662023690384941</v>
      </c>
      <c r="K17289" s="22" t="n">
        <f aca="false">IF(K17286&gt;0,K17274/K17286,99)</f>
        <v>0.660982036078878</v>
      </c>
    </row>
    <row r="17290" customFormat="false" ht="15" hidden="false" customHeight="false" outlineLevel="0" collapsed="false">
      <c r="A17290" s="3" t="s">
        <v>429</v>
      </c>
      <c r="G17290" s="33" t="n">
        <f aca="false">Assumptions!$G$71</f>
        <v>0.6</v>
      </c>
      <c r="H17290" s="33" t="n">
        <f aca="false">Assumptions!$H$71</f>
        <v>0.6</v>
      </c>
      <c r="I17290" s="33" t="n">
        <f aca="false">Assumptions!$I$71</f>
        <v>0.6</v>
      </c>
      <c r="J17290" s="33" t="n">
        <f aca="false">Assumptions!$J$71</f>
        <v>0.6</v>
      </c>
      <c r="K17290" s="33" t="n">
        <f aca="false">Assumptions!$K$71</f>
        <v>0.6</v>
      </c>
    </row>
    <row r="17291" customFormat="false" ht="15" hidden="false" customHeight="false" outlineLevel="0" collapsed="false">
      <c r="A17291" s="3" t="s">
        <v>430</v>
      </c>
      <c r="G17291" s="22" t="n">
        <f aca="false">G17290-G17289</f>
        <v>-0.0827872103288497</v>
      </c>
      <c r="H17291" s="22" t="n">
        <f aca="false">H17290-H17289</f>
        <v>-0.0641069989970693</v>
      </c>
      <c r="I17291" s="22" t="n">
        <f aca="false">I17290-I17289</f>
        <v>-0.0630653446910053</v>
      </c>
      <c r="J17291" s="22" t="n">
        <f aca="false">J17290-J17289</f>
        <v>-0.0620236903849414</v>
      </c>
      <c r="K17291" s="22" t="n">
        <f aca="false">K17290-K17289</f>
        <v>-0.0609820360788775</v>
      </c>
    </row>
    <row r="17292" customFormat="false" ht="15" hidden="false" customHeight="false" outlineLevel="0" collapsed="false">
      <c r="A17292" s="3" t="s">
        <v>431</v>
      </c>
      <c r="G17292" s="22" t="n">
        <f aca="false">IF(G17290=0,0,G17291/ABS(G17290))</f>
        <v>-0.137978683881416</v>
      </c>
      <c r="H17292" s="22" t="n">
        <f aca="false">IF(H17290=0,0,H17291/ABS(H17290))</f>
        <v>-0.106844998328449</v>
      </c>
      <c r="I17292" s="22" t="n">
        <f aca="false">IF(I17290=0,0,I17291/ABS(I17290))</f>
        <v>-0.105108907818342</v>
      </c>
      <c r="J17292" s="22" t="n">
        <f aca="false">IF(J17290=0,0,J17291/ABS(J17290))</f>
        <v>-0.103372817308236</v>
      </c>
      <c r="K17292" s="22" t="n">
        <f aca="false">IF(K17290=0,0,K17291/ABS(K17290))</f>
        <v>-0.101636726798129</v>
      </c>
    </row>
    <row r="17293" customFormat="false" ht="15" hidden="false" customHeight="false" outlineLevel="0" collapsed="false">
      <c r="A17293" s="3" t="s">
        <v>432</v>
      </c>
      <c r="G17293" s="21" t="n">
        <f aca="false">IF(G17291&lt;0,1,0)</f>
        <v>1</v>
      </c>
      <c r="H17293" s="21" t="n">
        <f aca="false">IF(H17291&lt;0,1,0)</f>
        <v>1</v>
      </c>
      <c r="I17293" s="21" t="n">
        <f aca="false">IF(I17291&lt;0,1,0)</f>
        <v>1</v>
      </c>
      <c r="J17293" s="21" t="n">
        <f aca="false">IF(J17291&lt;0,1,0)</f>
        <v>1</v>
      </c>
      <c r="K17293" s="21" t="n">
        <f aca="false">IF(K17291&lt;0,1,0)</f>
        <v>1</v>
      </c>
    </row>
    <row r="17294" customFormat="false" ht="15" hidden="false" customHeight="false" outlineLevel="0" collapsed="false">
      <c r="A17294" s="3" t="s">
        <v>433</v>
      </c>
      <c r="C17294" s="21" t="n">
        <f aca="false">IFERROR(INDEX($G$17043:$K$17043,MATCH(1,$G$17293:$K$17293,0)),0)</f>
        <v>2027</v>
      </c>
    </row>
    <row r="17295" customFormat="false" ht="15" hidden="false" customHeight="false" outlineLevel="0" collapsed="false">
      <c r="A17295" s="3" t="s">
        <v>434</v>
      </c>
      <c r="C17295" s="22" t="n">
        <f aca="false">MIN($G$17292:$K$17292)</f>
        <v>-0.137978683881416</v>
      </c>
    </row>
    <row r="17296" customFormat="false" ht="15" hidden="false" customHeight="false" outlineLevel="0" collapsed="false">
      <c r="A17296" s="24" t="s">
        <v>435</v>
      </c>
      <c r="B17296" s="25"/>
      <c r="C17296" s="25"/>
      <c r="D17296" s="25"/>
      <c r="E17296" s="25"/>
      <c r="F17296" s="25"/>
      <c r="G17296" s="25"/>
      <c r="H17296" s="25"/>
      <c r="I17296" s="25"/>
      <c r="J17296" s="25"/>
      <c r="K17296" s="25"/>
    </row>
    <row r="17297" customFormat="false" ht="15" hidden="false" customHeight="false" outlineLevel="0" collapsed="false">
      <c r="A17297" s="3" t="s">
        <v>428</v>
      </c>
      <c r="G17297" s="32" t="n">
        <f aca="false">IF(G17057&gt;0,G17053/G17057,99)</f>
        <v>1.31626862653526</v>
      </c>
      <c r="H17297" s="32" t="n">
        <f aca="false">IF(H17057&gt;0,H17053/H17057,99)</f>
        <v>1.31027278468687</v>
      </c>
      <c r="I17297" s="32" t="n">
        <f aca="false">IF(I17057&gt;0,I17053/I17057,99)</f>
        <v>1.40808314092699</v>
      </c>
      <c r="J17297" s="32" t="n">
        <f aca="false">IF(J17057&gt;0,J17053/J17057,99)</f>
        <v>1.5113605368654</v>
      </c>
      <c r="K17297" s="32" t="n">
        <f aca="false">IF(K17057&gt;0,K17053/K17057,99)</f>
        <v>1.6220522869149</v>
      </c>
    </row>
    <row r="17298" customFormat="false" ht="15" hidden="false" customHeight="false" outlineLevel="0" collapsed="false">
      <c r="A17298" s="3" t="s">
        <v>429</v>
      </c>
      <c r="G17298" s="34" t="n">
        <f aca="false">Assumptions!$G$72</f>
        <v>1.5</v>
      </c>
      <c r="H17298" s="34" t="n">
        <f aca="false">Assumptions!$H$72</f>
        <v>1.5</v>
      </c>
      <c r="I17298" s="34" t="n">
        <f aca="false">Assumptions!$I$72</f>
        <v>1.5</v>
      </c>
      <c r="J17298" s="34" t="n">
        <f aca="false">Assumptions!$J$72</f>
        <v>1.5</v>
      </c>
      <c r="K17298" s="34" t="n">
        <f aca="false">Assumptions!$K$72</f>
        <v>1.5</v>
      </c>
    </row>
    <row r="17299" customFormat="false" ht="15" hidden="false" customHeight="false" outlineLevel="0" collapsed="false">
      <c r="A17299" s="3" t="s">
        <v>430</v>
      </c>
      <c r="G17299" s="32" t="n">
        <f aca="false">G17297-G17298</f>
        <v>-0.183731373464739</v>
      </c>
      <c r="H17299" s="32" t="n">
        <f aca="false">H17297-H17298</f>
        <v>-0.189727215313133</v>
      </c>
      <c r="I17299" s="32" t="n">
        <f aca="false">I17297-I17298</f>
        <v>-0.0919168590730066</v>
      </c>
      <c r="J17299" s="32" t="n">
        <f aca="false">J17297-J17298</f>
        <v>0.0113605368653975</v>
      </c>
      <c r="K17299" s="32" t="n">
        <f aca="false">K17297-K17298</f>
        <v>0.122052286914899</v>
      </c>
    </row>
    <row r="17300" customFormat="false" ht="15" hidden="false" customHeight="false" outlineLevel="0" collapsed="false">
      <c r="A17300" s="3" t="s">
        <v>431</v>
      </c>
      <c r="G17300" s="22" t="n">
        <f aca="false">IF(G17298=0,0,G17299/ABS(G17298))</f>
        <v>-0.122487582309826</v>
      </c>
      <c r="H17300" s="22" t="n">
        <f aca="false">IF(H17298=0,0,H17299/ABS(H17298))</f>
        <v>-0.126484810208755</v>
      </c>
      <c r="I17300" s="22" t="n">
        <f aca="false">IF(I17298=0,0,I17299/ABS(I17298))</f>
        <v>-0.0612779060486711</v>
      </c>
      <c r="J17300" s="22" t="n">
        <f aca="false">IF(J17298=0,0,J17299/ABS(J17298))</f>
        <v>0.00757369124359834</v>
      </c>
      <c r="K17300" s="22" t="n">
        <f aca="false">IF(K17298=0,0,K17299/ABS(K17298))</f>
        <v>0.0813681912765993</v>
      </c>
    </row>
    <row r="17301" customFormat="false" ht="15" hidden="false" customHeight="false" outlineLevel="0" collapsed="false">
      <c r="A17301" s="3" t="s">
        <v>432</v>
      </c>
      <c r="G17301" s="21" t="n">
        <f aca="false">IF(G17299&lt;0,1,0)</f>
        <v>1</v>
      </c>
      <c r="H17301" s="21" t="n">
        <f aca="false">IF(H17299&lt;0,1,0)</f>
        <v>1</v>
      </c>
      <c r="I17301" s="21" t="n">
        <f aca="false">IF(I17299&lt;0,1,0)</f>
        <v>1</v>
      </c>
      <c r="J17301" s="21" t="n">
        <f aca="false">IF(J17299&lt;0,1,0)</f>
        <v>0</v>
      </c>
      <c r="K17301" s="21" t="n">
        <f aca="false">IF(K17299&lt;0,1,0)</f>
        <v>0</v>
      </c>
    </row>
    <row r="17302" customFormat="false" ht="15" hidden="false" customHeight="false" outlineLevel="0" collapsed="false">
      <c r="A17302" s="3" t="s">
        <v>433</v>
      </c>
      <c r="C17302" s="21" t="n">
        <f aca="false">IFERROR(INDEX($G$17043:$K$17043,MATCH(1,$G$17301:$K$17301,0)),0)</f>
        <v>2027</v>
      </c>
    </row>
    <row r="17303" customFormat="false" ht="15" hidden="false" customHeight="false" outlineLevel="0" collapsed="false">
      <c r="A17303" s="3" t="s">
        <v>434</v>
      </c>
      <c r="C17303" s="22" t="n">
        <f aca="false">MIN($G$17300:$K$17300)</f>
        <v>-0.126484810208755</v>
      </c>
    </row>
    <row r="17304" customFormat="false" ht="15" hidden="false" customHeight="false" outlineLevel="0" collapsed="false">
      <c r="A17304" s="24" t="s">
        <v>436</v>
      </c>
      <c r="B17304" s="25"/>
      <c r="C17304" s="25"/>
      <c r="D17304" s="25"/>
      <c r="E17304" s="25"/>
      <c r="F17304" s="25"/>
      <c r="G17304" s="25"/>
      <c r="H17304" s="25"/>
      <c r="I17304" s="25"/>
      <c r="J17304" s="25"/>
      <c r="K17304" s="25"/>
    </row>
    <row r="17305" customFormat="false" ht="15" hidden="false" customHeight="false" outlineLevel="0" collapsed="false">
      <c r="A17305" s="3" t="s">
        <v>428</v>
      </c>
      <c r="G17305" s="22" t="n">
        <f aca="false">IF(G17286&gt;0,G17275/G17286,99)</f>
        <v>0.141488946046968</v>
      </c>
      <c r="H17305" s="22" t="n">
        <f aca="false">IF(H17286&gt;0,H17275/H17286,99)</f>
        <v>0.140447291740904</v>
      </c>
      <c r="I17305" s="22" t="n">
        <f aca="false">IF(I17286&gt;0,I17275/I17286,99)</f>
        <v>0.139405637434841</v>
      </c>
      <c r="J17305" s="22" t="n">
        <f aca="false">IF(J17286&gt;0,J17275/J17286,99)</f>
        <v>0.138363983128777</v>
      </c>
      <c r="K17305" s="22" t="n">
        <f aca="false">IF(K17286&gt;0,K17275/K17286,99)</f>
        <v>0.137322328822713</v>
      </c>
    </row>
    <row r="17306" customFormat="false" ht="15" hidden="false" customHeight="false" outlineLevel="0" collapsed="false">
      <c r="A17306" s="3" t="s">
        <v>429</v>
      </c>
      <c r="G17306" s="33" t="n">
        <f aca="false">Assumptions!$G$73</f>
        <v>0.4</v>
      </c>
      <c r="H17306" s="33" t="n">
        <f aca="false">Assumptions!$H$73</f>
        <v>0.4</v>
      </c>
      <c r="I17306" s="33" t="n">
        <f aca="false">Assumptions!$I$73</f>
        <v>0.4</v>
      </c>
      <c r="J17306" s="33" t="n">
        <f aca="false">Assumptions!$J$73</f>
        <v>0.4</v>
      </c>
      <c r="K17306" s="33" t="n">
        <f aca="false">Assumptions!$K$73</f>
        <v>0.4</v>
      </c>
    </row>
    <row r="17307" customFormat="false" ht="15" hidden="false" customHeight="false" outlineLevel="0" collapsed="false">
      <c r="A17307" s="3" t="s">
        <v>430</v>
      </c>
      <c r="G17307" s="22" t="n">
        <f aca="false">G17306-G17305</f>
        <v>0.258511053953032</v>
      </c>
      <c r="H17307" s="22" t="n">
        <f aca="false">H17306-H17305</f>
        <v>0.259552708259096</v>
      </c>
      <c r="I17307" s="22" t="n">
        <f aca="false">I17306-I17305</f>
        <v>0.26059436256516</v>
      </c>
      <c r="J17307" s="22" t="n">
        <f aca="false">J17306-J17305</f>
        <v>0.261636016871223</v>
      </c>
      <c r="K17307" s="22" t="n">
        <f aca="false">K17306-K17305</f>
        <v>0.262677671177287</v>
      </c>
    </row>
    <row r="17308" customFormat="false" ht="15" hidden="false" customHeight="false" outlineLevel="0" collapsed="false">
      <c r="A17308" s="3" t="s">
        <v>431</v>
      </c>
      <c r="G17308" s="22" t="n">
        <f aca="false">IF(G17306=0,0,G17307/ABS(G17306))</f>
        <v>0.646277634882579</v>
      </c>
      <c r="H17308" s="22" t="n">
        <f aca="false">IF(H17306=0,0,H17307/ABS(H17306))</f>
        <v>0.648881770647739</v>
      </c>
      <c r="I17308" s="22" t="n">
        <f aca="false">IF(I17306=0,0,I17307/ABS(I17306))</f>
        <v>0.651485906412899</v>
      </c>
      <c r="J17308" s="22" t="n">
        <f aca="false">IF(J17306=0,0,J17307/ABS(J17306))</f>
        <v>0.654090042178059</v>
      </c>
      <c r="K17308" s="22" t="n">
        <f aca="false">IF(K17306=0,0,K17307/ABS(K17306))</f>
        <v>0.656694177943218</v>
      </c>
    </row>
    <row r="17309" customFormat="false" ht="15" hidden="false" customHeight="false" outlineLevel="0" collapsed="false">
      <c r="A17309" s="3" t="s">
        <v>432</v>
      </c>
      <c r="G17309" s="21" t="n">
        <f aca="false">IF(G17307&lt;0,1,0)</f>
        <v>0</v>
      </c>
      <c r="H17309" s="21" t="n">
        <f aca="false">IF(H17307&lt;0,1,0)</f>
        <v>0</v>
      </c>
      <c r="I17309" s="21" t="n">
        <f aca="false">IF(I17307&lt;0,1,0)</f>
        <v>0</v>
      </c>
      <c r="J17309" s="21" t="n">
        <f aca="false">IF(J17307&lt;0,1,0)</f>
        <v>0</v>
      </c>
      <c r="K17309" s="21" t="n">
        <f aca="false">IF(K17307&lt;0,1,0)</f>
        <v>0</v>
      </c>
    </row>
    <row r="17310" customFormat="false" ht="15" hidden="false" customHeight="false" outlineLevel="0" collapsed="false">
      <c r="A17310" s="3" t="s">
        <v>433</v>
      </c>
      <c r="C17310" s="21" t="n">
        <f aca="false">IFERROR(INDEX($G$17043:$K$17043,MATCH(1,$G$17309:$K$17309,0)),0)</f>
        <v>0</v>
      </c>
    </row>
    <row r="17311" customFormat="false" ht="15" hidden="false" customHeight="false" outlineLevel="0" collapsed="false">
      <c r="A17311" s="3" t="s">
        <v>434</v>
      </c>
      <c r="C17311" s="22" t="n">
        <f aca="false">MIN($G$17308:$K$17308)</f>
        <v>0.646277634882579</v>
      </c>
    </row>
    <row r="17312" customFormat="false" ht="15" hidden="false" customHeight="false" outlineLevel="0" collapsed="false">
      <c r="A17312" s="24" t="s">
        <v>437</v>
      </c>
      <c r="B17312" s="25"/>
      <c r="C17312" s="25"/>
      <c r="D17312" s="25"/>
      <c r="E17312" s="25"/>
      <c r="F17312" s="25"/>
      <c r="G17312" s="25"/>
      <c r="H17312" s="25"/>
      <c r="I17312" s="25"/>
      <c r="J17312" s="25"/>
      <c r="K17312" s="25"/>
    </row>
    <row r="17313" customFormat="false" ht="15" hidden="false" customHeight="false" outlineLevel="0" collapsed="false">
      <c r="A17313" s="3" t="s">
        <v>428</v>
      </c>
      <c r="G17313" s="16" t="n">
        <f aca="false">G17283</f>
        <v>704.1743489</v>
      </c>
      <c r="H17313" s="16" t="n">
        <f aca="false">H17283</f>
        <v>574.5</v>
      </c>
      <c r="I17313" s="16" t="n">
        <f aca="false">I17283</f>
        <v>574.5</v>
      </c>
      <c r="J17313" s="16" t="n">
        <f aca="false">J17283</f>
        <v>574.5</v>
      </c>
      <c r="K17313" s="16" t="n">
        <f aca="false">K17283</f>
        <v>574.5</v>
      </c>
    </row>
    <row r="17314" customFormat="false" ht="15" hidden="false" customHeight="false" outlineLevel="0" collapsed="false">
      <c r="A17314" s="3" t="s">
        <v>429</v>
      </c>
      <c r="G17314" s="29" t="n">
        <f aca="false">Assumptions!$G$74</f>
        <v>100</v>
      </c>
      <c r="H17314" s="29" t="n">
        <f aca="false">Assumptions!$H$74</f>
        <v>100</v>
      </c>
      <c r="I17314" s="29" t="n">
        <f aca="false">Assumptions!$I$74</f>
        <v>100</v>
      </c>
      <c r="J17314" s="29" t="n">
        <f aca="false">Assumptions!$J$74</f>
        <v>100</v>
      </c>
      <c r="K17314" s="29" t="n">
        <f aca="false">Assumptions!$K$74</f>
        <v>100</v>
      </c>
    </row>
    <row r="17315" customFormat="false" ht="15" hidden="false" customHeight="false" outlineLevel="0" collapsed="false">
      <c r="A17315" s="3" t="s">
        <v>430</v>
      </c>
      <c r="G17315" s="16" t="n">
        <f aca="false">G17313-G17314</f>
        <v>604.1743489</v>
      </c>
      <c r="H17315" s="16" t="n">
        <f aca="false">H17313-H17314</f>
        <v>474.5</v>
      </c>
      <c r="I17315" s="16" t="n">
        <f aca="false">I17313-I17314</f>
        <v>474.5</v>
      </c>
      <c r="J17315" s="16" t="n">
        <f aca="false">J17313-J17314</f>
        <v>474.5</v>
      </c>
      <c r="K17315" s="16" t="n">
        <f aca="false">K17313-K17314</f>
        <v>474.5</v>
      </c>
    </row>
    <row r="17316" customFormat="false" ht="15" hidden="false" customHeight="false" outlineLevel="0" collapsed="false">
      <c r="A17316" s="3" t="s">
        <v>431</v>
      </c>
      <c r="G17316" s="22" t="n">
        <f aca="false">IF(G17314=0,0,G17315/ABS(G17314))</f>
        <v>6.041743489</v>
      </c>
      <c r="H17316" s="22" t="n">
        <f aca="false">IF(H17314=0,0,H17315/ABS(H17314))</f>
        <v>4.745</v>
      </c>
      <c r="I17316" s="22" t="n">
        <f aca="false">IF(I17314=0,0,I17315/ABS(I17314))</f>
        <v>4.745</v>
      </c>
      <c r="J17316" s="22" t="n">
        <f aca="false">IF(J17314=0,0,J17315/ABS(J17314))</f>
        <v>4.745</v>
      </c>
      <c r="K17316" s="22" t="n">
        <f aca="false">IF(K17314=0,0,K17315/ABS(K17314))</f>
        <v>4.745</v>
      </c>
    </row>
    <row r="17317" customFormat="false" ht="15" hidden="false" customHeight="false" outlineLevel="0" collapsed="false">
      <c r="A17317" s="3" t="s">
        <v>432</v>
      </c>
      <c r="G17317" s="21" t="n">
        <f aca="false">IF(G17315&lt;0,1,0)</f>
        <v>0</v>
      </c>
      <c r="H17317" s="21" t="n">
        <f aca="false">IF(H17315&lt;0,1,0)</f>
        <v>0</v>
      </c>
      <c r="I17317" s="21" t="n">
        <f aca="false">IF(I17315&lt;0,1,0)</f>
        <v>0</v>
      </c>
      <c r="J17317" s="21" t="n">
        <f aca="false">IF(J17315&lt;0,1,0)</f>
        <v>0</v>
      </c>
      <c r="K17317" s="21" t="n">
        <f aca="false">IF(K17315&lt;0,1,0)</f>
        <v>0</v>
      </c>
    </row>
    <row r="17318" customFormat="false" ht="15" hidden="false" customHeight="false" outlineLevel="0" collapsed="false">
      <c r="A17318" s="3" t="s">
        <v>433</v>
      </c>
      <c r="C17318" s="21" t="n">
        <f aca="false">IFERROR(INDEX($G$17043:$K$17043,MATCH(1,$G$17317:$K$17317,0)),0)</f>
        <v>0</v>
      </c>
    </row>
    <row r="17319" customFormat="false" ht="15" hidden="false" customHeight="false" outlineLevel="0" collapsed="false">
      <c r="A17319" s="3" t="s">
        <v>434</v>
      </c>
      <c r="C17319" s="22" t="n">
        <f aca="false">MIN($G$17316:$K$17316)</f>
        <v>4.745</v>
      </c>
    </row>
    <row r="17320" customFormat="false" ht="15" hidden="false" customHeight="false" outlineLevel="0" collapsed="false">
      <c r="A17320" s="24" t="s">
        <v>438</v>
      </c>
      <c r="B17320" s="25"/>
      <c r="C17320" s="25"/>
      <c r="D17320" s="25"/>
      <c r="E17320" s="25"/>
      <c r="F17320" s="25"/>
      <c r="G17320" s="25"/>
      <c r="H17320" s="25"/>
      <c r="I17320" s="25"/>
      <c r="J17320" s="25"/>
      <c r="K17320" s="25"/>
    </row>
    <row r="17321" customFormat="false" ht="15" hidden="false" customHeight="false" outlineLevel="0" collapsed="false">
      <c r="A17321" s="3" t="s">
        <v>428</v>
      </c>
      <c r="G17321" s="32" t="n">
        <f aca="false">IF(G17053&gt;0,G17276/G17053,99)</f>
        <v>10.1042723669908</v>
      </c>
      <c r="H17321" s="32" t="n">
        <f aca="false">IF(H17053&gt;0,H17276/H17053,99)</f>
        <v>10.4499517930754</v>
      </c>
      <c r="I17321" s="32" t="n">
        <f aca="false">IF(I17053&gt;0,I17276/I17053,99)</f>
        <v>10.136747182174</v>
      </c>
      <c r="J17321" s="32" t="n">
        <f aca="false">IF(J17053&gt;0,J17276/J17053,99)</f>
        <v>9.59643097041502</v>
      </c>
      <c r="K17321" s="32" t="n">
        <f aca="false">IF(K17053&gt;0,K17276/K17053,99)</f>
        <v>9.04293933089206</v>
      </c>
    </row>
    <row r="17322" customFormat="false" ht="15" hidden="false" customHeight="false" outlineLevel="0" collapsed="false">
      <c r="A17322" s="3" t="s">
        <v>429</v>
      </c>
      <c r="G17322" s="34" t="n">
        <f aca="false">Assumptions!$G$75</f>
        <v>10.5</v>
      </c>
      <c r="H17322" s="34" t="n">
        <f aca="false">Assumptions!$H$75</f>
        <v>10.5</v>
      </c>
      <c r="I17322" s="34" t="n">
        <f aca="false">Assumptions!$I$75</f>
        <v>10</v>
      </c>
      <c r="J17322" s="34" t="n">
        <f aca="false">Assumptions!$J$75</f>
        <v>10</v>
      </c>
      <c r="K17322" s="34" t="n">
        <f aca="false">Assumptions!$K$75</f>
        <v>9.5</v>
      </c>
    </row>
    <row r="17323" customFormat="false" ht="15" hidden="false" customHeight="false" outlineLevel="0" collapsed="false">
      <c r="A17323" s="3" t="s">
        <v>430</v>
      </c>
      <c r="G17323" s="32" t="n">
        <f aca="false">G17322-G17321</f>
        <v>0.395727633009221</v>
      </c>
      <c r="H17323" s="32" t="n">
        <f aca="false">H17322-H17321</f>
        <v>0.0500482069245578</v>
      </c>
      <c r="I17323" s="32" t="n">
        <f aca="false">I17322-I17321</f>
        <v>-0.136747182174039</v>
      </c>
      <c r="J17323" s="32" t="n">
        <f aca="false">J17322-J17321</f>
        <v>0.403569029584981</v>
      </c>
      <c r="K17323" s="32" t="n">
        <f aca="false">K17322-K17321</f>
        <v>0.457060669107937</v>
      </c>
    </row>
    <row r="17324" customFormat="false" ht="15" hidden="false" customHeight="false" outlineLevel="0" collapsed="false">
      <c r="A17324" s="3" t="s">
        <v>431</v>
      </c>
      <c r="G17324" s="22" t="n">
        <f aca="false">IF(G17322=0,0,G17323/ABS(G17322))</f>
        <v>0.0376883460008782</v>
      </c>
      <c r="H17324" s="22" t="n">
        <f aca="false">IF(H17322=0,0,H17323/ABS(H17322))</f>
        <v>0.00476649589757693</v>
      </c>
      <c r="I17324" s="22" t="n">
        <f aca="false">IF(I17322=0,0,I17323/ABS(I17322))</f>
        <v>-0.0136747182174039</v>
      </c>
      <c r="J17324" s="22" t="n">
        <f aca="false">IF(J17322=0,0,J17323/ABS(J17322))</f>
        <v>0.0403569029584981</v>
      </c>
      <c r="K17324" s="22" t="n">
        <f aca="false">IF(K17322=0,0,K17323/ABS(K17322))</f>
        <v>0.0481116493797829</v>
      </c>
    </row>
    <row r="17325" customFormat="false" ht="15" hidden="false" customHeight="false" outlineLevel="0" collapsed="false">
      <c r="A17325" s="3" t="s">
        <v>432</v>
      </c>
      <c r="G17325" s="21" t="n">
        <f aca="false">IF(G17323&lt;0,1,0)</f>
        <v>0</v>
      </c>
      <c r="H17325" s="21" t="n">
        <f aca="false">IF(H17323&lt;0,1,0)</f>
        <v>0</v>
      </c>
      <c r="I17325" s="21" t="n">
        <f aca="false">IF(I17323&lt;0,1,0)</f>
        <v>1</v>
      </c>
      <c r="J17325" s="21" t="n">
        <f aca="false">IF(J17323&lt;0,1,0)</f>
        <v>0</v>
      </c>
      <c r="K17325" s="21" t="n">
        <f aca="false">IF(K17323&lt;0,1,0)</f>
        <v>0</v>
      </c>
    </row>
    <row r="17326" customFormat="false" ht="15" hidden="false" customHeight="false" outlineLevel="0" collapsed="false">
      <c r="A17326" s="3" t="s">
        <v>433</v>
      </c>
      <c r="C17326" s="21" t="n">
        <f aca="false">IFERROR(INDEX($G$17043:$K$17043,MATCH(1,$G$17325:$K$17325,0)),0)</f>
        <v>2029</v>
      </c>
    </row>
    <row r="17327" customFormat="false" ht="15" hidden="false" customHeight="false" outlineLevel="0" collapsed="false">
      <c r="A17327" s="3" t="s">
        <v>434</v>
      </c>
      <c r="C17327" s="22" t="n">
        <f aca="false">MIN($G$17324:$K$17324)</f>
        <v>-0.0136747182174039</v>
      </c>
    </row>
    <row r="17328" customFormat="false" ht="15" hidden="false" customHeight="false" outlineLevel="0" collapsed="false">
      <c r="A17328" s="3" t="s">
        <v>439</v>
      </c>
      <c r="G17328" s="21" t="n">
        <f aca="false">G17293+G17301+G17309+G17317+G17325</f>
        <v>2</v>
      </c>
      <c r="H17328" s="21" t="n">
        <f aca="false">H17293+H17301+H17309+H17317+H17325</f>
        <v>2</v>
      </c>
      <c r="I17328" s="21" t="n">
        <f aca="false">I17293+I17301+I17309+I17317+I17325</f>
        <v>3</v>
      </c>
      <c r="J17328" s="21" t="n">
        <f aca="false">J17293+J17301+J17309+J17317+J17325</f>
        <v>1</v>
      </c>
      <c r="K17328" s="21" t="n">
        <f aca="false">K17293+K17301+K17309+K17317+K17325</f>
        <v>1</v>
      </c>
    </row>
    <row r="17329" customFormat="false" ht="15" hidden="false" customHeight="false" outlineLevel="0" collapsed="false">
      <c r="A17329" s="3" t="s">
        <v>440</v>
      </c>
      <c r="C17329" s="21" t="n">
        <f aca="false">SUM($G$17328:$K$17328)</f>
        <v>9</v>
      </c>
    </row>
    <row r="17330" customFormat="false" ht="15" hidden="false" customHeight="false" outlineLevel="0" collapsed="false">
      <c r="A17330" s="3" t="s">
        <v>441</v>
      </c>
      <c r="C17330" s="22" t="n">
        <f aca="false">MIN(C17295,C17303,C17311,C17319,C17327)</f>
        <v>-0.137978683881416</v>
      </c>
    </row>
    <row r="17332" customFormat="false" ht="15" hidden="false" customHeight="false" outlineLevel="0" collapsed="false">
      <c r="A17332" s="24" t="s">
        <v>543</v>
      </c>
      <c r="B17332" s="25"/>
      <c r="C17332" s="25"/>
      <c r="D17332" s="25"/>
      <c r="E17332" s="25"/>
      <c r="F17332" s="25"/>
      <c r="G17332" s="25"/>
      <c r="H17332" s="25"/>
      <c r="I17332" s="25"/>
      <c r="J17332" s="25"/>
      <c r="K17332" s="25"/>
    </row>
    <row r="17333" customFormat="false" ht="15" hidden="false" customHeight="false" outlineLevel="0" collapsed="false">
      <c r="A17333" s="3" t="s">
        <v>544</v>
      </c>
      <c r="G17333" s="21" t="n">
        <f aca="false">IF($C$17334=1,G17270,IF(G17053=MIN($G$17053:$K$17053),1,0))</f>
        <v>0</v>
      </c>
      <c r="H17333" s="21" t="n">
        <f aca="false">IF($C$17334=1,H17270,IF(AND(H17053=MIN($G$17053:$K$17053),SUM($G$17333:G17333)=0),1,0))</f>
        <v>1</v>
      </c>
      <c r="I17333" s="21" t="n">
        <f aca="false">IF($C$17334=1,I17270,IF(AND(I17053=MIN($G$17053:$K$17053),SUM($G$17333:H17333)=0),1,0))</f>
        <v>0</v>
      </c>
      <c r="J17333" s="21" t="n">
        <f aca="false">IF($C$17334=1,J17270,IF(AND(J17053=MIN($G$17053:$K$17053),SUM($G$17333:I17333)=0),1,0))</f>
        <v>0</v>
      </c>
      <c r="K17333" s="21" t="n">
        <f aca="false">IF($C$17334=1,K17270,IF(AND(K17053=MIN($G$17053:$K$17053),SUM($G$17333:J17333)=0),1,0))</f>
        <v>0</v>
      </c>
    </row>
    <row r="17334" customFormat="false" ht="15" hidden="false" customHeight="false" outlineLevel="0" collapsed="false">
      <c r="A17334" s="3" t="s">
        <v>545</v>
      </c>
      <c r="C17334" s="21" t="n">
        <f aca="false">IF(SUM($G$17270:$K$17270)&gt;0,1,0)</f>
        <v>1</v>
      </c>
    </row>
    <row r="17335" customFormat="false" ht="15" hidden="false" customHeight="false" outlineLevel="0" collapsed="false">
      <c r="A17335" s="3" t="s">
        <v>546</v>
      </c>
      <c r="C17335" s="21" t="n">
        <f aca="false">SUMPRODUCT($G$17333:$K$17333,$G$17043:$K$17043)</f>
        <v>2028</v>
      </c>
    </row>
    <row r="17336" customFormat="false" ht="15" hidden="false" customHeight="false" outlineLevel="0" collapsed="false">
      <c r="A17336" s="3" t="s">
        <v>547</v>
      </c>
      <c r="C17336" s="16" t="n">
        <f aca="false">SUMPRODUCT($G$17333:$K$17333,$G$17053:$K$17053)</f>
        <v>244.039512123</v>
      </c>
    </row>
    <row r="17337" customFormat="false" ht="15" hidden="false" customHeight="false" outlineLevel="0" collapsed="false">
      <c r="A17337" s="3" t="s">
        <v>548</v>
      </c>
      <c r="C17337" s="16" t="n">
        <f aca="false">MAX(0,SUMPRODUCT($G$17333:$K$17333,$G$17267:$K$17267))</f>
        <v>0</v>
      </c>
    </row>
    <row r="17338" customFormat="false" ht="15" hidden="false" customHeight="false" outlineLevel="0" collapsed="false">
      <c r="A17338" s="3" t="s">
        <v>549</v>
      </c>
      <c r="C17338" s="16" t="n">
        <f aca="false">(CHOOSE($C$17036,Assumptions!$C$92,Assumptions!$C$111,Assumptions!$C$130)+$C$17040)*C17336</f>
        <v>2196.355609107</v>
      </c>
    </row>
    <row r="17339" customFormat="false" ht="15" hidden="false" customHeight="false" outlineLevel="0" collapsed="false">
      <c r="A17339" s="3" t="s">
        <v>550</v>
      </c>
      <c r="C17339" s="16" t="n">
        <f aca="false">Assumptions!$C$31*(1-CHOOSE($C$17036,Assumptions!$C$93,Assumptions!$C$112,Assumptions!$C$131))*CHOOSE($C$17036,Assumptions!$C$94,Assumptions!$C$113,Assumptions!$C$132)</f>
        <v>3264.03873166667</v>
      </c>
    </row>
    <row r="17340" customFormat="false" ht="15" hidden="false" customHeight="false" outlineLevel="0" collapsed="false">
      <c r="A17340" s="3" t="s">
        <v>551</v>
      </c>
      <c r="C17340" s="16" t="n">
        <f aca="false">MAX(C17338,C17339)+C17337</f>
        <v>3264.03873166667</v>
      </c>
    </row>
    <row r="17341" customFormat="false" ht="15" hidden="false" customHeight="false" outlineLevel="0" collapsed="false">
      <c r="A17341" s="2" t="s">
        <v>552</v>
      </c>
      <c r="C17341" s="17" t="n">
        <f aca="false">IF(ISNUMBER(Assumptions!$C$14),Assumptions!$C$14,C17340)</f>
        <v>3264.03873166667</v>
      </c>
    </row>
    <row r="17342" customFormat="false" ht="15" hidden="false" customHeight="false" outlineLevel="0" collapsed="false">
      <c r="A17342" s="3" t="s">
        <v>553</v>
      </c>
      <c r="C17342" s="16" t="n">
        <f aca="false">C17341*Assumptions!$C$15</f>
        <v>130.561549266667</v>
      </c>
    </row>
    <row r="17343" customFormat="false" ht="15" hidden="false" customHeight="false" outlineLevel="0" collapsed="false">
      <c r="A17343" s="2" t="s">
        <v>554</v>
      </c>
      <c r="C17343" s="17" t="n">
        <f aca="false">C17341-C17342</f>
        <v>3133.4771824</v>
      </c>
    </row>
    <row r="17344" customFormat="false" ht="15" hidden="false" customHeight="false" outlineLevel="0" collapsed="false">
      <c r="A17344" s="24" t="s">
        <v>555</v>
      </c>
      <c r="B17344" s="25"/>
      <c r="C17344" s="25"/>
      <c r="D17344" s="25"/>
      <c r="E17344" s="25"/>
      <c r="F17344" s="25"/>
      <c r="G17344" s="25"/>
      <c r="H17344" s="25"/>
      <c r="I17344" s="25"/>
      <c r="J17344" s="25"/>
      <c r="K17344" s="25"/>
    </row>
    <row r="17345" customFormat="false" ht="15" hidden="false" customHeight="false" outlineLevel="0" collapsed="false">
      <c r="A17345" s="3" t="s">
        <v>556</v>
      </c>
      <c r="C17345" s="16" t="n">
        <f aca="false">SUMPRODUCT($G$17333:$K$17333,$G$17090:$K$17090)*(1+SUMPRODUCT($G$17333:$K$17333,$G$17082:$K$17082)*Assumptions!$C$16/12)</f>
        <v>402.29</v>
      </c>
    </row>
    <row r="17346" customFormat="false" ht="15" hidden="false" customHeight="false" outlineLevel="0" collapsed="false">
      <c r="A17346" s="3" t="s">
        <v>557</v>
      </c>
      <c r="C17346" s="16" t="n">
        <f aca="false">SUMPRODUCT($G$17333:$K$17333,$G$17103:$K$17103)*(1+SUMPRODUCT($G$17333:$K$17333,$G$17095:$K$17095)*Assumptions!$C$16/12)</f>
        <v>91.30725</v>
      </c>
    </row>
    <row r="17347" customFormat="false" ht="15" hidden="false" customHeight="false" outlineLevel="0" collapsed="false">
      <c r="A17347" s="3" t="s">
        <v>558</v>
      </c>
      <c r="C17347" s="16" t="n">
        <f aca="false">SUMPRODUCT($G$17333:$K$17333,$G$17116:$K$17116)*(1+SUMPRODUCT($G$17333:$K$17333,$G$17108:$K$17108)*Assumptions!$C$16/12)</f>
        <v>58.3715961</v>
      </c>
    </row>
    <row r="17348" customFormat="false" ht="15" hidden="false" customHeight="false" outlineLevel="0" collapsed="false">
      <c r="A17348" s="3" t="s">
        <v>559</v>
      </c>
      <c r="C17348" s="16" t="n">
        <f aca="false">SUMPRODUCT($G$17333:$K$17333,$G$17129:$K$17129)*(1+SUMPRODUCT($G$17333:$K$17333,$G$17121:$K$17121)*Assumptions!$C$16/12)</f>
        <v>0</v>
      </c>
    </row>
    <row r="17349" customFormat="false" ht="15" hidden="false" customHeight="false" outlineLevel="0" collapsed="false">
      <c r="A17349" s="3" t="s">
        <v>560</v>
      </c>
      <c r="C17349" s="16" t="n">
        <f aca="false">SUMPRODUCT($G$17333:$K$17333,$G$17142:$K$17142)*(1+SUMPRODUCT($G$17333:$K$17333,$G$17134:$K$17134)*Assumptions!$C$16/12)</f>
        <v>386.042025271749</v>
      </c>
    </row>
    <row r="17350" customFormat="false" ht="15" hidden="false" customHeight="false" outlineLevel="0" collapsed="false">
      <c r="A17350" s="3" t="s">
        <v>561</v>
      </c>
      <c r="C17350" s="16" t="n">
        <f aca="false">SUMPRODUCT($G$17333:$K$17333,$G$17155:$K$17155)*(1+SUMPRODUCT($G$17333:$K$17333,$G$17147:$K$17147)*Assumptions!$C$16/12)</f>
        <v>357.2625</v>
      </c>
    </row>
    <row r="17351" customFormat="false" ht="15" hidden="false" customHeight="false" outlineLevel="0" collapsed="false">
      <c r="A17351" s="3" t="s">
        <v>562</v>
      </c>
      <c r="C17351" s="16" t="n">
        <f aca="false">SUMPRODUCT($G$17333:$K$17333,$G$17168:$K$17168)*(1+SUMPRODUCT($G$17333:$K$17333,$G$17160:$K$17160)*Assumptions!$C$16/12)</f>
        <v>562.203125</v>
      </c>
    </row>
    <row r="17352" customFormat="false" ht="15" hidden="false" customHeight="false" outlineLevel="0" collapsed="false">
      <c r="A17352" s="3" t="s">
        <v>563</v>
      </c>
      <c r="C17352" s="16" t="n">
        <f aca="false">SUMPRODUCT($G$17333:$K$17333,$G$17181:$K$17181)*(1+SUMPRODUCT($G$17333:$K$17333,$G$17173:$K$17173)*Assumptions!$C$16/12)</f>
        <v>353.98125</v>
      </c>
    </row>
    <row r="17353" customFormat="false" ht="15" hidden="false" customHeight="false" outlineLevel="0" collapsed="false">
      <c r="A17353" s="3" t="s">
        <v>564</v>
      </c>
      <c r="C17353" s="16" t="n">
        <f aca="false">SUMPRODUCT($G$17333:$K$17333,$G$17194:$K$17194)*(1+SUMPRODUCT($G$17333:$K$17333,$G$17186:$K$17186)*Assumptions!$C$16/12)</f>
        <v>304.59375</v>
      </c>
    </row>
    <row r="17354" customFormat="false" ht="15" hidden="false" customHeight="false" outlineLevel="0" collapsed="false">
      <c r="A17354" s="3" t="s">
        <v>565</v>
      </c>
      <c r="C17354" s="16" t="n">
        <f aca="false">SUMPRODUCT($G$17333:$K$17333,$G$17207:$K$17207)*(1+SUMPRODUCT($G$17333:$K$17333,$G$17199:$K$17199)*Assumptions!$C$16/12)</f>
        <v>79.938509</v>
      </c>
    </row>
    <row r="17355" customFormat="false" ht="15" hidden="false" customHeight="false" outlineLevel="0" collapsed="false">
      <c r="A17355" s="24" t="s">
        <v>566</v>
      </c>
      <c r="B17355" s="25"/>
      <c r="C17355" s="25"/>
      <c r="D17355" s="25"/>
      <c r="E17355" s="25"/>
      <c r="F17355" s="25"/>
      <c r="G17355" s="25"/>
      <c r="H17355" s="25"/>
      <c r="I17355" s="25"/>
      <c r="J17355" s="25"/>
      <c r="K17355" s="25"/>
    </row>
    <row r="17356" customFormat="false" ht="15" hidden="false" customHeight="false" outlineLevel="0" collapsed="false">
      <c r="A17356" s="3" t="s">
        <v>556</v>
      </c>
      <c r="C17356" s="27" t="n">
        <f aca="false">Assumptions!$M$57</f>
        <v>1</v>
      </c>
    </row>
    <row r="17357" customFormat="false" ht="15" hidden="false" customHeight="false" outlineLevel="0" collapsed="false">
      <c r="A17357" s="3" t="s">
        <v>557</v>
      </c>
      <c r="C17357" s="27" t="n">
        <f aca="false">Assumptions!$M$58</f>
        <v>1</v>
      </c>
    </row>
    <row r="17358" customFormat="false" ht="15" hidden="false" customHeight="false" outlineLevel="0" collapsed="false">
      <c r="A17358" s="3" t="s">
        <v>558</v>
      </c>
      <c r="C17358" s="27" t="n">
        <f aca="false">Assumptions!$M$59</f>
        <v>1</v>
      </c>
    </row>
    <row r="17359" customFormat="false" ht="15" hidden="false" customHeight="false" outlineLevel="0" collapsed="false">
      <c r="A17359" s="3" t="s">
        <v>559</v>
      </c>
      <c r="C17359" s="27" t="n">
        <f aca="false">Assumptions!$M$60</f>
        <v>2</v>
      </c>
    </row>
    <row r="17360" customFormat="false" ht="15" hidden="false" customHeight="false" outlineLevel="0" collapsed="false">
      <c r="A17360" s="3" t="s">
        <v>560</v>
      </c>
      <c r="C17360" s="27" t="n">
        <f aca="false">Assumptions!$M$61</f>
        <v>2</v>
      </c>
    </row>
    <row r="17361" customFormat="false" ht="15" hidden="false" customHeight="false" outlineLevel="0" collapsed="false">
      <c r="A17361" s="3" t="s">
        <v>561</v>
      </c>
      <c r="C17361" s="27" t="n">
        <f aca="false">Assumptions!$M$62</f>
        <v>2</v>
      </c>
    </row>
    <row r="17362" customFormat="false" ht="15" hidden="false" customHeight="false" outlineLevel="0" collapsed="false">
      <c r="A17362" s="3" t="s">
        <v>562</v>
      </c>
      <c r="C17362" s="27" t="n">
        <f aca="false">Assumptions!$M$63</f>
        <v>2</v>
      </c>
    </row>
    <row r="17363" customFormat="false" ht="15" hidden="false" customHeight="false" outlineLevel="0" collapsed="false">
      <c r="A17363" s="3" t="s">
        <v>563</v>
      </c>
      <c r="C17363" s="27" t="n">
        <f aca="false">Assumptions!$M$64</f>
        <v>2</v>
      </c>
    </row>
    <row r="17364" customFormat="false" ht="15" hidden="false" customHeight="false" outlineLevel="0" collapsed="false">
      <c r="A17364" s="3" t="s">
        <v>564</v>
      </c>
      <c r="C17364" s="27" t="n">
        <f aca="false">Assumptions!$M$65</f>
        <v>2</v>
      </c>
    </row>
    <row r="17365" customFormat="false" ht="15" hidden="false" customHeight="false" outlineLevel="0" collapsed="false">
      <c r="A17365" s="3" t="s">
        <v>565</v>
      </c>
      <c r="C17365" s="27" t="n">
        <f aca="false">Assumptions!$M$66</f>
        <v>3</v>
      </c>
    </row>
    <row r="17366" customFormat="false" ht="15" hidden="false" customHeight="false" outlineLevel="0" collapsed="false">
      <c r="A17366" s="24" t="s">
        <v>567</v>
      </c>
      <c r="B17366" s="25"/>
      <c r="C17366" s="25"/>
      <c r="D17366" s="25"/>
      <c r="E17366" s="25"/>
      <c r="F17366" s="25"/>
      <c r="G17366" s="25"/>
      <c r="H17366" s="25"/>
      <c r="I17366" s="25"/>
      <c r="J17366" s="25"/>
      <c r="K17366" s="25"/>
    </row>
    <row r="17367" customFormat="false" ht="15" hidden="false" customHeight="false" outlineLevel="0" collapsed="false">
      <c r="A17367" s="3" t="s">
        <v>556</v>
      </c>
      <c r="C17367" s="33" t="n">
        <f aca="false">Assumptions!$Q$57</f>
        <v>0.3</v>
      </c>
    </row>
    <row r="17368" customFormat="false" ht="15" hidden="false" customHeight="false" outlineLevel="0" collapsed="false">
      <c r="A17368" s="3" t="s">
        <v>557</v>
      </c>
      <c r="C17368" s="33" t="n">
        <f aca="false">Assumptions!$Q$58</f>
        <v>0.033</v>
      </c>
    </row>
    <row r="17369" customFormat="false" ht="15" hidden="false" customHeight="false" outlineLevel="0" collapsed="false">
      <c r="A17369" s="3" t="s">
        <v>558</v>
      </c>
      <c r="C17369" s="33" t="n">
        <f aca="false">Assumptions!$Q$59</f>
        <v>0.021</v>
      </c>
    </row>
    <row r="17370" customFormat="false" ht="15" hidden="false" customHeight="false" outlineLevel="0" collapsed="false">
      <c r="A17370" s="3" t="s">
        <v>559</v>
      </c>
      <c r="C17370" s="33" t="n">
        <f aca="false">Assumptions!$Q$60</f>
        <v>0</v>
      </c>
    </row>
    <row r="17371" customFormat="false" ht="15" hidden="false" customHeight="false" outlineLevel="0" collapsed="false">
      <c r="A17371" s="3" t="s">
        <v>560</v>
      </c>
      <c r="C17371" s="33" t="n">
        <f aca="false">Assumptions!$Q$61</f>
        <v>0</v>
      </c>
    </row>
    <row r="17372" customFormat="false" ht="15" hidden="false" customHeight="false" outlineLevel="0" collapsed="false">
      <c r="A17372" s="3" t="s">
        <v>561</v>
      </c>
      <c r="C17372" s="33" t="n">
        <f aca="false">Assumptions!$Q$62</f>
        <v>0</v>
      </c>
    </row>
    <row r="17373" customFormat="false" ht="15" hidden="false" customHeight="false" outlineLevel="0" collapsed="false">
      <c r="A17373" s="3" t="s">
        <v>562</v>
      </c>
      <c r="C17373" s="33" t="n">
        <f aca="false">Assumptions!$Q$63</f>
        <v>0</v>
      </c>
    </row>
    <row r="17374" customFormat="false" ht="15" hidden="false" customHeight="false" outlineLevel="0" collapsed="false">
      <c r="A17374" s="3" t="s">
        <v>563</v>
      </c>
      <c r="C17374" s="33" t="n">
        <f aca="false">Assumptions!$Q$64</f>
        <v>0</v>
      </c>
    </row>
    <row r="17375" customFormat="false" ht="15" hidden="false" customHeight="false" outlineLevel="0" collapsed="false">
      <c r="A17375" s="3" t="s">
        <v>564</v>
      </c>
      <c r="C17375" s="33" t="n">
        <f aca="false">Assumptions!$Q$65</f>
        <v>0</v>
      </c>
    </row>
    <row r="17376" customFormat="false" ht="15" hidden="false" customHeight="false" outlineLevel="0" collapsed="false">
      <c r="A17376" s="3" t="s">
        <v>565</v>
      </c>
      <c r="C17376" s="33" t="n">
        <f aca="false">Assumptions!$Q$66</f>
        <v>0</v>
      </c>
    </row>
    <row r="17377" customFormat="false" ht="15" hidden="false" customHeight="false" outlineLevel="0" collapsed="false">
      <c r="A17377" s="24" t="s">
        <v>568</v>
      </c>
      <c r="B17377" s="25"/>
      <c r="C17377" s="25"/>
      <c r="D17377" s="25"/>
      <c r="E17377" s="25"/>
      <c r="F17377" s="25"/>
      <c r="G17377" s="25"/>
      <c r="H17377" s="25"/>
      <c r="I17377" s="25"/>
      <c r="J17377" s="25"/>
      <c r="K17377" s="25"/>
    </row>
    <row r="17378" customFormat="false" ht="15" hidden="false" customHeight="false" outlineLevel="0" collapsed="false">
      <c r="A17378" s="3" t="s">
        <v>556</v>
      </c>
      <c r="C17378" s="16" t="n">
        <f aca="false">IF(C17367&gt;0,MIN(C17345,C17367*$C$17343),0)</f>
        <v>402.29</v>
      </c>
    </row>
    <row r="17379" customFormat="false" ht="15" hidden="false" customHeight="false" outlineLevel="0" collapsed="false">
      <c r="A17379" s="3" t="s">
        <v>557</v>
      </c>
      <c r="C17379" s="16" t="n">
        <f aca="false">IF(C17368&gt;0,MIN(C17346,C17368*$C$17343),0)</f>
        <v>91.30725</v>
      </c>
    </row>
    <row r="17380" customFormat="false" ht="15" hidden="false" customHeight="false" outlineLevel="0" collapsed="false">
      <c r="A17380" s="3" t="s">
        <v>558</v>
      </c>
      <c r="C17380" s="16" t="n">
        <f aca="false">IF(C17369&gt;0,MIN(C17347,C17369*$C$17343),0)</f>
        <v>58.3715961</v>
      </c>
    </row>
    <row r="17381" customFormat="false" ht="15" hidden="false" customHeight="false" outlineLevel="0" collapsed="false">
      <c r="A17381" s="3" t="s">
        <v>559</v>
      </c>
      <c r="C17381" s="16" t="n">
        <f aca="false">IF(C17370&gt;0,MIN(C17348,C17370*$C$17343),0)</f>
        <v>0</v>
      </c>
    </row>
    <row r="17382" customFormat="false" ht="15" hidden="false" customHeight="false" outlineLevel="0" collapsed="false">
      <c r="A17382" s="3" t="s">
        <v>560</v>
      </c>
      <c r="C17382" s="16" t="n">
        <f aca="false">IF(C17371&gt;0,MIN(C17349,C17371*$C$17343),0)</f>
        <v>0</v>
      </c>
    </row>
    <row r="17383" customFormat="false" ht="15" hidden="false" customHeight="false" outlineLevel="0" collapsed="false">
      <c r="A17383" s="3" t="s">
        <v>561</v>
      </c>
      <c r="C17383" s="16" t="n">
        <f aca="false">IF(C17372&gt;0,MIN(C17350,C17372*$C$17343),0)</f>
        <v>0</v>
      </c>
    </row>
    <row r="17384" customFormat="false" ht="15" hidden="false" customHeight="false" outlineLevel="0" collapsed="false">
      <c r="A17384" s="3" t="s">
        <v>562</v>
      </c>
      <c r="C17384" s="16" t="n">
        <f aca="false">IF(C17373&gt;0,MIN(C17351,C17373*$C$17343),0)</f>
        <v>0</v>
      </c>
    </row>
    <row r="17385" customFormat="false" ht="15" hidden="false" customHeight="false" outlineLevel="0" collapsed="false">
      <c r="A17385" s="3" t="s">
        <v>563</v>
      </c>
      <c r="C17385" s="16" t="n">
        <f aca="false">IF(C17374&gt;0,MIN(C17352,C17374*$C$17343),0)</f>
        <v>0</v>
      </c>
    </row>
    <row r="17386" customFormat="false" ht="15" hidden="false" customHeight="false" outlineLevel="0" collapsed="false">
      <c r="A17386" s="3" t="s">
        <v>564</v>
      </c>
      <c r="C17386" s="16" t="n">
        <f aca="false">IF(C17375&gt;0,MIN(C17353,C17375*$C$17343),0)</f>
        <v>0</v>
      </c>
    </row>
    <row r="17387" customFormat="false" ht="15" hidden="false" customHeight="false" outlineLevel="0" collapsed="false">
      <c r="A17387" s="3" t="s">
        <v>565</v>
      </c>
      <c r="C17387" s="16" t="n">
        <f aca="false">IF(C17376&gt;0,MIN(C17354,C17376*$C$17343),0)</f>
        <v>0</v>
      </c>
    </row>
    <row r="17388" customFormat="false" ht="15" hidden="false" customHeight="false" outlineLevel="0" collapsed="false">
      <c r="A17388" s="24" t="s">
        <v>569</v>
      </c>
      <c r="B17388" s="25"/>
      <c r="C17388" s="25"/>
      <c r="D17388" s="25"/>
      <c r="E17388" s="25"/>
      <c r="F17388" s="25"/>
      <c r="G17388" s="25"/>
      <c r="H17388" s="25"/>
      <c r="I17388" s="25"/>
      <c r="J17388" s="25"/>
      <c r="K17388" s="25"/>
    </row>
    <row r="17389" customFormat="false" ht="15" hidden="false" customHeight="false" outlineLevel="0" collapsed="false">
      <c r="A17389" s="3" t="s">
        <v>556</v>
      </c>
      <c r="C17389" s="16" t="n">
        <f aca="false">IF(C17367&gt;0,C17345-C17378,0)</f>
        <v>0</v>
      </c>
      <c r="G17389" s="21" t="n">
        <f aca="false">IF(AND(G17080=1,G17077=1),1,0)</f>
        <v>0</v>
      </c>
      <c r="H17389" s="21" t="n">
        <f aca="false">IF(G17389=1,1,IF(AND(H17080=1,H17077=1),1,0))</f>
        <v>0</v>
      </c>
      <c r="I17389" s="21" t="n">
        <f aca="false">IF(H17389=1,1,IF(AND(I17080=1,I17077=1),1,0))</f>
        <v>0</v>
      </c>
      <c r="J17389" s="21" t="n">
        <f aca="false">IF(I17389=1,1,IF(AND(J17080=1,J17077=1),1,0))</f>
        <v>0</v>
      </c>
      <c r="K17389" s="21" t="n">
        <f aca="false">IF(J17389=1,1,IF(AND(K17080=1,K17077=1),1,0))</f>
        <v>1</v>
      </c>
    </row>
    <row r="17390" customFormat="false" ht="15" hidden="false" customHeight="false" outlineLevel="0" collapsed="false">
      <c r="A17390" s="3" t="s">
        <v>557</v>
      </c>
      <c r="C17390" s="16" t="n">
        <f aca="false">IF(C17368&gt;0,C17346-C17379,0)</f>
        <v>0</v>
      </c>
      <c r="G17390" s="21" t="n">
        <f aca="false">IF(AND(G17093=1,G17077=1),1,0)</f>
        <v>0</v>
      </c>
      <c r="H17390" s="21" t="n">
        <f aca="false">IF(G17390=1,1,IF(AND(H17093=1,H17077=1),1,0))</f>
        <v>0</v>
      </c>
      <c r="I17390" s="21" t="n">
        <f aca="false">IF(H17390=1,1,IF(AND(I17093=1,I17077=1),1,0))</f>
        <v>0</v>
      </c>
      <c r="J17390" s="21" t="n">
        <f aca="false">IF(I17390=1,1,IF(AND(J17093=1,J17077=1),1,0))</f>
        <v>0</v>
      </c>
      <c r="K17390" s="21" t="n">
        <f aca="false">IF(J17390=1,1,IF(AND(K17093=1,K17077=1),1,0))</f>
        <v>0</v>
      </c>
    </row>
    <row r="17391" customFormat="false" ht="15" hidden="false" customHeight="false" outlineLevel="0" collapsed="false">
      <c r="A17391" s="3" t="s">
        <v>558</v>
      </c>
      <c r="C17391" s="16" t="n">
        <f aca="false">IF(C17369&gt;0,C17347-C17380,0)</f>
        <v>0</v>
      </c>
      <c r="G17391" s="21" t="n">
        <f aca="false">IF(AND(G17106=1,G17077=1),1,0)</f>
        <v>0</v>
      </c>
      <c r="H17391" s="21" t="n">
        <f aca="false">IF(G17391=1,1,IF(AND(H17106=1,H17077=1),1,0))</f>
        <v>0</v>
      </c>
      <c r="I17391" s="21" t="n">
        <f aca="false">IF(H17391=1,1,IF(AND(I17106=1,I17077=1),1,0))</f>
        <v>0</v>
      </c>
      <c r="J17391" s="21" t="n">
        <f aca="false">IF(I17391=1,1,IF(AND(J17106=1,J17077=1),1,0))</f>
        <v>0</v>
      </c>
      <c r="K17391" s="21" t="n">
        <f aca="false">IF(J17391=1,1,IF(AND(K17106=1,K17077=1),1,0))</f>
        <v>0</v>
      </c>
    </row>
    <row r="17392" customFormat="false" ht="15" hidden="false" customHeight="false" outlineLevel="0" collapsed="false">
      <c r="A17392" s="3" t="s">
        <v>559</v>
      </c>
      <c r="C17392" s="16" t="n">
        <f aca="false">IF(C17370&gt;0,C17348-C17381,0)</f>
        <v>0</v>
      </c>
      <c r="G17392" s="21" t="n">
        <f aca="false">IF(AND(G17119=1,G17077=1),1,0)</f>
        <v>0</v>
      </c>
      <c r="H17392" s="21" t="n">
        <f aca="false">IF(G17392=1,1,IF(AND(H17119=1,H17077=1),1,0))</f>
        <v>0</v>
      </c>
      <c r="I17392" s="21" t="n">
        <f aca="false">IF(H17392=1,1,IF(AND(I17119=1,I17077=1),1,0))</f>
        <v>0</v>
      </c>
      <c r="J17392" s="21" t="n">
        <f aca="false">IF(I17392=1,1,IF(AND(J17119=1,J17077=1),1,0))</f>
        <v>0</v>
      </c>
      <c r="K17392" s="21" t="n">
        <f aca="false">IF(J17392=1,1,IF(AND(K17119=1,K17077=1),1,0))</f>
        <v>0</v>
      </c>
    </row>
    <row r="17393" customFormat="false" ht="15" hidden="false" customHeight="false" outlineLevel="0" collapsed="false">
      <c r="A17393" s="3" t="s">
        <v>560</v>
      </c>
      <c r="C17393" s="16" t="n">
        <f aca="false">IF(C17371&gt;0,C17349-C17382,0)</f>
        <v>0</v>
      </c>
      <c r="G17393" s="21" t="n">
        <f aca="false">IF(AND(G17132=1,G17077=1),1,0)</f>
        <v>0</v>
      </c>
      <c r="H17393" s="21" t="n">
        <f aca="false">IF(G17393=1,1,IF(AND(H17132=1,H17077=1),1,0))</f>
        <v>0</v>
      </c>
      <c r="I17393" s="21" t="n">
        <f aca="false">IF(H17393=1,1,IF(AND(I17132=1,I17077=1),1,0))</f>
        <v>0</v>
      </c>
      <c r="J17393" s="21" t="n">
        <f aca="false">IF(I17393=1,1,IF(AND(J17132=1,J17077=1),1,0))</f>
        <v>0</v>
      </c>
      <c r="K17393" s="21" t="n">
        <f aca="false">IF(J17393=1,1,IF(AND(K17132=1,K17077=1),1,0))</f>
        <v>0</v>
      </c>
    </row>
    <row r="17394" customFormat="false" ht="15" hidden="false" customHeight="false" outlineLevel="0" collapsed="false">
      <c r="A17394" s="3" t="s">
        <v>561</v>
      </c>
      <c r="C17394" s="16" t="n">
        <f aca="false">IF(C17372&gt;0,C17350-C17383,0)</f>
        <v>0</v>
      </c>
      <c r="G17394" s="21" t="n">
        <f aca="false">IF(AND(G17145=1,G17077=1),1,0)</f>
        <v>0</v>
      </c>
      <c r="H17394" s="21" t="n">
        <f aca="false">IF(G17394=1,1,IF(AND(H17145=1,H17077=1),1,0))</f>
        <v>0</v>
      </c>
      <c r="I17394" s="21" t="n">
        <f aca="false">IF(H17394=1,1,IF(AND(I17145=1,I17077=1),1,0))</f>
        <v>0</v>
      </c>
      <c r="J17394" s="21" t="n">
        <f aca="false">IF(I17394=1,1,IF(AND(J17145=1,J17077=1),1,0))</f>
        <v>0</v>
      </c>
      <c r="K17394" s="21" t="n">
        <f aca="false">IF(J17394=1,1,IF(AND(K17145=1,K17077=1),1,0))</f>
        <v>0</v>
      </c>
    </row>
    <row r="17395" customFormat="false" ht="15" hidden="false" customHeight="false" outlineLevel="0" collapsed="false">
      <c r="A17395" s="3" t="s">
        <v>562</v>
      </c>
      <c r="C17395" s="16" t="n">
        <f aca="false">IF(C17373&gt;0,C17351-C17384,0)</f>
        <v>0</v>
      </c>
      <c r="G17395" s="21" t="n">
        <f aca="false">IF(AND(G17158=1,G17077=1),1,0)</f>
        <v>0</v>
      </c>
      <c r="H17395" s="21" t="n">
        <f aca="false">IF(G17395=1,1,IF(AND(H17158=1,H17077=1),1,0))</f>
        <v>0</v>
      </c>
      <c r="I17395" s="21" t="n">
        <f aca="false">IF(H17395=1,1,IF(AND(I17158=1,I17077=1),1,0))</f>
        <v>0</v>
      </c>
      <c r="J17395" s="21" t="n">
        <f aca="false">IF(I17395=1,1,IF(AND(J17158=1,J17077=1),1,0))</f>
        <v>0</v>
      </c>
      <c r="K17395" s="21" t="n">
        <f aca="false">IF(J17395=1,1,IF(AND(K17158=1,K17077=1),1,0))</f>
        <v>0</v>
      </c>
    </row>
    <row r="17396" customFormat="false" ht="15" hidden="false" customHeight="false" outlineLevel="0" collapsed="false">
      <c r="A17396" s="3" t="s">
        <v>563</v>
      </c>
      <c r="C17396" s="16" t="n">
        <f aca="false">IF(C17374&gt;0,C17352-C17385,0)</f>
        <v>0</v>
      </c>
      <c r="G17396" s="21" t="n">
        <f aca="false">IF(AND(G17171=1,G17077=1),1,0)</f>
        <v>0</v>
      </c>
      <c r="H17396" s="21" t="n">
        <f aca="false">IF(G17396=1,1,IF(AND(H17171=1,H17077=1),1,0))</f>
        <v>0</v>
      </c>
      <c r="I17396" s="21" t="n">
        <f aca="false">IF(H17396=1,1,IF(AND(I17171=1,I17077=1),1,0))</f>
        <v>0</v>
      </c>
      <c r="J17396" s="21" t="n">
        <f aca="false">IF(I17396=1,1,IF(AND(J17171=1,J17077=1),1,0))</f>
        <v>0</v>
      </c>
      <c r="K17396" s="21" t="n">
        <f aca="false">IF(J17396=1,1,IF(AND(K17171=1,K17077=1),1,0))</f>
        <v>0</v>
      </c>
    </row>
    <row r="17397" customFormat="false" ht="15" hidden="false" customHeight="false" outlineLevel="0" collapsed="false">
      <c r="A17397" s="3" t="s">
        <v>564</v>
      </c>
      <c r="C17397" s="16" t="n">
        <f aca="false">IF(C17375&gt;0,C17353-C17386,0)</f>
        <v>0</v>
      </c>
      <c r="G17397" s="21" t="n">
        <f aca="false">IF(AND(G17184=1,G17077=1),1,0)</f>
        <v>0</v>
      </c>
      <c r="H17397" s="21" t="n">
        <f aca="false">IF(G17397=1,1,IF(AND(H17184=1,H17077=1),1,0))</f>
        <v>0</v>
      </c>
      <c r="I17397" s="21" t="n">
        <f aca="false">IF(H17397=1,1,IF(AND(I17184=1,I17077=1),1,0))</f>
        <v>0</v>
      </c>
      <c r="J17397" s="21" t="n">
        <f aca="false">IF(I17397=1,1,IF(AND(J17184=1,J17077=1),1,0))</f>
        <v>0</v>
      </c>
      <c r="K17397" s="21" t="n">
        <f aca="false">IF(J17397=1,1,IF(AND(K17184=1,K17077=1),1,0))</f>
        <v>1</v>
      </c>
    </row>
    <row r="17398" customFormat="false" ht="15" hidden="false" customHeight="false" outlineLevel="0" collapsed="false">
      <c r="A17398" s="3" t="s">
        <v>565</v>
      </c>
      <c r="C17398" s="16" t="n">
        <f aca="false">IF(C17376&gt;0,C17354-C17387,0)</f>
        <v>0</v>
      </c>
      <c r="G17398" s="21" t="n">
        <f aca="false">IF(AND(G17197=1,G17077=1),1,0)</f>
        <v>0</v>
      </c>
      <c r="H17398" s="21" t="n">
        <f aca="false">IF(G17398=1,1,IF(AND(H17197=1,H17077=1),1,0))</f>
        <v>0</v>
      </c>
      <c r="I17398" s="21" t="n">
        <f aca="false">IF(H17398=1,1,IF(AND(I17197=1,I17077=1),1,0))</f>
        <v>0</v>
      </c>
      <c r="J17398" s="21" t="n">
        <f aca="false">IF(I17398=1,1,IF(AND(J17197=1,J17077=1),1,0))</f>
        <v>0</v>
      </c>
      <c r="K17398" s="21" t="n">
        <f aca="false">IF(J17398=1,1,IF(AND(K17197=1,K17077=1),1,0))</f>
        <v>0</v>
      </c>
    </row>
    <row r="17399" customFormat="false" ht="15" hidden="false" customHeight="false" outlineLevel="0" collapsed="false">
      <c r="A17399" s="24" t="s">
        <v>570</v>
      </c>
      <c r="B17399" s="25"/>
      <c r="C17399" s="25"/>
      <c r="D17399" s="25"/>
      <c r="E17399" s="25"/>
      <c r="F17399" s="25"/>
      <c r="G17399" s="25"/>
      <c r="H17399" s="25"/>
      <c r="I17399" s="25"/>
      <c r="J17399" s="25"/>
      <c r="K17399" s="25"/>
    </row>
    <row r="17400" customFormat="false" ht="15" hidden="false" customHeight="false" outlineLevel="0" collapsed="false">
      <c r="A17400" s="3" t="s">
        <v>556</v>
      </c>
      <c r="C17400" s="16" t="n">
        <f aca="false">IF(C17367&gt;0,C17389,C17345)</f>
        <v>0</v>
      </c>
    </row>
    <row r="17401" customFormat="false" ht="15" hidden="false" customHeight="false" outlineLevel="0" collapsed="false">
      <c r="A17401" s="3" t="s">
        <v>557</v>
      </c>
      <c r="C17401" s="16" t="n">
        <f aca="false">IF(C17368&gt;0,C17390,C17346)</f>
        <v>0</v>
      </c>
    </row>
    <row r="17402" customFormat="false" ht="15" hidden="false" customHeight="false" outlineLevel="0" collapsed="false">
      <c r="A17402" s="3" t="s">
        <v>558</v>
      </c>
      <c r="C17402" s="16" t="n">
        <f aca="false">IF(C17369&gt;0,C17391,C17347)</f>
        <v>0</v>
      </c>
    </row>
    <row r="17403" customFormat="false" ht="15" hidden="false" customHeight="false" outlineLevel="0" collapsed="false">
      <c r="A17403" s="3" t="s">
        <v>559</v>
      </c>
      <c r="C17403" s="16" t="n">
        <f aca="false">IF(C17370&gt;0,C17392,C17348)</f>
        <v>0</v>
      </c>
    </row>
    <row r="17404" customFormat="false" ht="15" hidden="false" customHeight="false" outlineLevel="0" collapsed="false">
      <c r="A17404" s="3" t="s">
        <v>560</v>
      </c>
      <c r="C17404" s="16" t="n">
        <f aca="false">IF(C17371&gt;0,C17393,C17349)</f>
        <v>386.042025271749</v>
      </c>
    </row>
    <row r="17405" customFormat="false" ht="15" hidden="false" customHeight="false" outlineLevel="0" collapsed="false">
      <c r="A17405" s="3" t="s">
        <v>561</v>
      </c>
      <c r="C17405" s="16" t="n">
        <f aca="false">IF(C17372&gt;0,C17394,C17350)</f>
        <v>357.2625</v>
      </c>
    </row>
    <row r="17406" customFormat="false" ht="15" hidden="false" customHeight="false" outlineLevel="0" collapsed="false">
      <c r="A17406" s="3" t="s">
        <v>562</v>
      </c>
      <c r="C17406" s="16" t="n">
        <f aca="false">IF(C17373&gt;0,C17395,C17351)</f>
        <v>562.203125</v>
      </c>
    </row>
    <row r="17407" customFormat="false" ht="15" hidden="false" customHeight="false" outlineLevel="0" collapsed="false">
      <c r="A17407" s="3" t="s">
        <v>563</v>
      </c>
      <c r="C17407" s="16" t="n">
        <f aca="false">IF(C17374&gt;0,C17396,C17352)</f>
        <v>353.98125</v>
      </c>
    </row>
    <row r="17408" customFormat="false" ht="15" hidden="false" customHeight="false" outlineLevel="0" collapsed="false">
      <c r="A17408" s="3" t="s">
        <v>564</v>
      </c>
      <c r="C17408" s="16" t="n">
        <f aca="false">IF(C17375&gt;0,C17397,C17353)</f>
        <v>304.59375</v>
      </c>
    </row>
    <row r="17409" customFormat="false" ht="15" hidden="false" customHeight="false" outlineLevel="0" collapsed="false">
      <c r="A17409" s="3" t="s">
        <v>565</v>
      </c>
      <c r="C17409" s="16" t="n">
        <f aca="false">IF(C17376&gt;0,C17398,C17354)</f>
        <v>79.938509</v>
      </c>
    </row>
    <row r="17410" customFormat="false" ht="15" hidden="false" customHeight="false" outlineLevel="0" collapsed="false">
      <c r="A17410" s="24" t="s">
        <v>571</v>
      </c>
      <c r="B17410" s="25"/>
      <c r="C17410" s="25"/>
      <c r="D17410" s="25"/>
      <c r="E17410" s="25"/>
      <c r="F17410" s="25"/>
      <c r="G17410" s="25"/>
      <c r="H17410" s="25"/>
      <c r="I17410" s="25"/>
      <c r="J17410" s="25"/>
      <c r="K17410" s="25"/>
    </row>
    <row r="17411" customFormat="false" ht="15" hidden="false" customHeight="false" outlineLevel="0" collapsed="false">
      <c r="A17411" s="3" t="s">
        <v>556</v>
      </c>
      <c r="C17411" s="21" t="n">
        <f aca="false">IF(C17367&gt;0,Assumptions!$C$17,C17356)</f>
        <v>99</v>
      </c>
    </row>
    <row r="17412" customFormat="false" ht="15" hidden="false" customHeight="false" outlineLevel="0" collapsed="false">
      <c r="A17412" s="3" t="s">
        <v>557</v>
      </c>
      <c r="C17412" s="21" t="n">
        <f aca="false">IF(C17368&gt;0,Assumptions!$C$17,C17357)</f>
        <v>99</v>
      </c>
    </row>
    <row r="17413" customFormat="false" ht="15" hidden="false" customHeight="false" outlineLevel="0" collapsed="false">
      <c r="A17413" s="3" t="s">
        <v>558</v>
      </c>
      <c r="C17413" s="21" t="n">
        <f aca="false">IF(C17369&gt;0,Assumptions!$C$17,C17358)</f>
        <v>99</v>
      </c>
    </row>
    <row r="17414" customFormat="false" ht="15" hidden="false" customHeight="false" outlineLevel="0" collapsed="false">
      <c r="A17414" s="3" t="s">
        <v>559</v>
      </c>
      <c r="C17414" s="21" t="n">
        <f aca="false">IF(C17370&gt;0,Assumptions!$C$17,C17359)</f>
        <v>2</v>
      </c>
    </row>
    <row r="17415" customFormat="false" ht="15" hidden="false" customHeight="false" outlineLevel="0" collapsed="false">
      <c r="A17415" s="3" t="s">
        <v>560</v>
      </c>
      <c r="C17415" s="21" t="n">
        <f aca="false">IF(C17371&gt;0,Assumptions!$C$17,C17360)</f>
        <v>2</v>
      </c>
    </row>
    <row r="17416" customFormat="false" ht="15" hidden="false" customHeight="false" outlineLevel="0" collapsed="false">
      <c r="A17416" s="3" t="s">
        <v>561</v>
      </c>
      <c r="C17416" s="21" t="n">
        <f aca="false">IF(C17372&gt;0,Assumptions!$C$17,C17361)</f>
        <v>2</v>
      </c>
    </row>
    <row r="17417" customFormat="false" ht="15" hidden="false" customHeight="false" outlineLevel="0" collapsed="false">
      <c r="A17417" s="3" t="s">
        <v>562</v>
      </c>
      <c r="C17417" s="21" t="n">
        <f aca="false">IF(C17373&gt;0,Assumptions!$C$17,C17362)</f>
        <v>2</v>
      </c>
    </row>
    <row r="17418" customFormat="false" ht="15" hidden="false" customHeight="false" outlineLevel="0" collapsed="false">
      <c r="A17418" s="3" t="s">
        <v>563</v>
      </c>
      <c r="C17418" s="21" t="n">
        <f aca="false">IF(C17374&gt;0,Assumptions!$C$17,C17363)</f>
        <v>2</v>
      </c>
    </row>
    <row r="17419" customFormat="false" ht="15" hidden="false" customHeight="false" outlineLevel="0" collapsed="false">
      <c r="A17419" s="3" t="s">
        <v>564</v>
      </c>
      <c r="C17419" s="21" t="n">
        <f aca="false">IF(C17375&gt;0,Assumptions!$C$17,C17364)</f>
        <v>2</v>
      </c>
    </row>
    <row r="17420" customFormat="false" ht="15" hidden="false" customHeight="false" outlineLevel="0" collapsed="false">
      <c r="A17420" s="3" t="s">
        <v>565</v>
      </c>
      <c r="C17420" s="21" t="n">
        <f aca="false">IF(C17376&gt;0,Assumptions!$C$17,C17365)</f>
        <v>3</v>
      </c>
    </row>
    <row r="17421" customFormat="false" ht="15" hidden="false" customHeight="false" outlineLevel="0" collapsed="false">
      <c r="A17421" s="24" t="s">
        <v>572</v>
      </c>
      <c r="B17421" s="25"/>
      <c r="C17421" s="25"/>
      <c r="D17421" s="25"/>
      <c r="E17421" s="25"/>
      <c r="F17421" s="25"/>
      <c r="G17421" s="25"/>
      <c r="H17421" s="25"/>
      <c r="I17421" s="25"/>
      <c r="J17421" s="25"/>
      <c r="K17421" s="25"/>
    </row>
    <row r="17422" customFormat="false" ht="15" hidden="false" customHeight="false" outlineLevel="0" collapsed="false">
      <c r="A17422" s="3" t="s">
        <v>556</v>
      </c>
      <c r="C17422" s="16" t="n">
        <f aca="false">SUMPRODUCT(($C$17411:$C$17420&lt;C17411)*$C$17400:$C$17409)</f>
        <v>2044.02115927175</v>
      </c>
    </row>
    <row r="17423" customFormat="false" ht="15" hidden="false" customHeight="false" outlineLevel="0" collapsed="false">
      <c r="A17423" s="3" t="s">
        <v>557</v>
      </c>
      <c r="C17423" s="16" t="n">
        <f aca="false">SUMPRODUCT(($C$17411:$C$17420&lt;C17412)*$C$17400:$C$17409)</f>
        <v>2044.02115927175</v>
      </c>
    </row>
    <row r="17424" customFormat="false" ht="15" hidden="false" customHeight="false" outlineLevel="0" collapsed="false">
      <c r="A17424" s="3" t="s">
        <v>558</v>
      </c>
      <c r="C17424" s="16" t="n">
        <f aca="false">SUMPRODUCT(($C$17411:$C$17420&lt;C17413)*$C$17400:$C$17409)</f>
        <v>2044.02115927175</v>
      </c>
    </row>
    <row r="17425" customFormat="false" ht="15" hidden="false" customHeight="false" outlineLevel="0" collapsed="false">
      <c r="A17425" s="3" t="s">
        <v>559</v>
      </c>
      <c r="C17425" s="16" t="n">
        <f aca="false">SUMPRODUCT(($C$17411:$C$17420&lt;C17414)*$C$17400:$C$17409)</f>
        <v>0</v>
      </c>
    </row>
    <row r="17426" customFormat="false" ht="15" hidden="false" customHeight="false" outlineLevel="0" collapsed="false">
      <c r="A17426" s="3" t="s">
        <v>560</v>
      </c>
      <c r="C17426" s="16" t="n">
        <f aca="false">SUMPRODUCT(($C$17411:$C$17420&lt;C17415)*$C$17400:$C$17409)</f>
        <v>0</v>
      </c>
    </row>
    <row r="17427" customFormat="false" ht="15" hidden="false" customHeight="false" outlineLevel="0" collapsed="false">
      <c r="A17427" s="3" t="s">
        <v>561</v>
      </c>
      <c r="C17427" s="16" t="n">
        <f aca="false">SUMPRODUCT(($C$17411:$C$17420&lt;C17416)*$C$17400:$C$17409)</f>
        <v>0</v>
      </c>
    </row>
    <row r="17428" customFormat="false" ht="15" hidden="false" customHeight="false" outlineLevel="0" collapsed="false">
      <c r="A17428" s="3" t="s">
        <v>562</v>
      </c>
      <c r="C17428" s="16" t="n">
        <f aca="false">SUMPRODUCT(($C$17411:$C$17420&lt;C17417)*$C$17400:$C$17409)</f>
        <v>0</v>
      </c>
    </row>
    <row r="17429" customFormat="false" ht="15" hidden="false" customHeight="false" outlineLevel="0" collapsed="false">
      <c r="A17429" s="3" t="s">
        <v>563</v>
      </c>
      <c r="C17429" s="16" t="n">
        <f aca="false">SUMPRODUCT(($C$17411:$C$17420&lt;C17418)*$C$17400:$C$17409)</f>
        <v>0</v>
      </c>
    </row>
    <row r="17430" customFormat="false" ht="15" hidden="false" customHeight="false" outlineLevel="0" collapsed="false">
      <c r="A17430" s="3" t="s">
        <v>564</v>
      </c>
      <c r="C17430" s="16" t="n">
        <f aca="false">SUMPRODUCT(($C$17411:$C$17420&lt;C17419)*$C$17400:$C$17409)</f>
        <v>0</v>
      </c>
    </row>
    <row r="17431" customFormat="false" ht="15" hidden="false" customHeight="false" outlineLevel="0" collapsed="false">
      <c r="A17431" s="3" t="s">
        <v>565</v>
      </c>
      <c r="C17431" s="16" t="n">
        <f aca="false">SUMPRODUCT(($C$17411:$C$17420&lt;C17420)*$C$17400:$C$17409)</f>
        <v>1964.08265027175</v>
      </c>
    </row>
    <row r="17432" customFormat="false" ht="15" hidden="false" customHeight="false" outlineLevel="0" collapsed="false">
      <c r="A17432" s="24" t="s">
        <v>573</v>
      </c>
      <c r="B17432" s="25"/>
      <c r="C17432" s="25"/>
      <c r="D17432" s="25"/>
      <c r="E17432" s="25"/>
      <c r="F17432" s="25"/>
      <c r="G17432" s="25"/>
      <c r="H17432" s="25"/>
      <c r="I17432" s="25"/>
      <c r="J17432" s="25"/>
      <c r="K17432" s="25"/>
    </row>
    <row r="17433" customFormat="false" ht="15" hidden="false" customHeight="false" outlineLevel="0" collapsed="false">
      <c r="A17433" s="3" t="s">
        <v>556</v>
      </c>
      <c r="C17433" s="16" t="n">
        <f aca="false">SUMPRODUCT(($C$17411:$C$17420=C17411)*$C$17400:$C$17409)</f>
        <v>0</v>
      </c>
    </row>
    <row r="17434" customFormat="false" ht="15" hidden="false" customHeight="false" outlineLevel="0" collapsed="false">
      <c r="A17434" s="3" t="s">
        <v>557</v>
      </c>
      <c r="C17434" s="16" t="n">
        <f aca="false">SUMPRODUCT(($C$17411:$C$17420=C17412)*$C$17400:$C$17409)</f>
        <v>0</v>
      </c>
    </row>
    <row r="17435" customFormat="false" ht="15" hidden="false" customHeight="false" outlineLevel="0" collapsed="false">
      <c r="A17435" s="3" t="s">
        <v>558</v>
      </c>
      <c r="C17435" s="16" t="n">
        <f aca="false">SUMPRODUCT(($C$17411:$C$17420=C17413)*$C$17400:$C$17409)</f>
        <v>0</v>
      </c>
    </row>
    <row r="17436" customFormat="false" ht="15" hidden="false" customHeight="false" outlineLevel="0" collapsed="false">
      <c r="A17436" s="3" t="s">
        <v>559</v>
      </c>
      <c r="C17436" s="16" t="n">
        <f aca="false">SUMPRODUCT(($C$17411:$C$17420=C17414)*$C$17400:$C$17409)</f>
        <v>1964.08265027175</v>
      </c>
    </row>
    <row r="17437" customFormat="false" ht="15" hidden="false" customHeight="false" outlineLevel="0" collapsed="false">
      <c r="A17437" s="3" t="s">
        <v>560</v>
      </c>
      <c r="C17437" s="16" t="n">
        <f aca="false">SUMPRODUCT(($C$17411:$C$17420=C17415)*$C$17400:$C$17409)</f>
        <v>1964.08265027175</v>
      </c>
    </row>
    <row r="17438" customFormat="false" ht="15" hidden="false" customHeight="false" outlineLevel="0" collapsed="false">
      <c r="A17438" s="3" t="s">
        <v>561</v>
      </c>
      <c r="C17438" s="16" t="n">
        <f aca="false">SUMPRODUCT(($C$17411:$C$17420=C17416)*$C$17400:$C$17409)</f>
        <v>1964.08265027175</v>
      </c>
    </row>
    <row r="17439" customFormat="false" ht="15" hidden="false" customHeight="false" outlineLevel="0" collapsed="false">
      <c r="A17439" s="3" t="s">
        <v>562</v>
      </c>
      <c r="C17439" s="16" t="n">
        <f aca="false">SUMPRODUCT(($C$17411:$C$17420=C17417)*$C$17400:$C$17409)</f>
        <v>1964.08265027175</v>
      </c>
    </row>
    <row r="17440" customFormat="false" ht="15" hidden="false" customHeight="false" outlineLevel="0" collapsed="false">
      <c r="A17440" s="3" t="s">
        <v>563</v>
      </c>
      <c r="C17440" s="16" t="n">
        <f aca="false">SUMPRODUCT(($C$17411:$C$17420=C17418)*$C$17400:$C$17409)</f>
        <v>1964.08265027175</v>
      </c>
    </row>
    <row r="17441" customFormat="false" ht="15" hidden="false" customHeight="false" outlineLevel="0" collapsed="false">
      <c r="A17441" s="3" t="s">
        <v>564</v>
      </c>
      <c r="C17441" s="16" t="n">
        <f aca="false">SUMPRODUCT(($C$17411:$C$17420=C17419)*$C$17400:$C$17409)</f>
        <v>1964.08265027175</v>
      </c>
    </row>
    <row r="17442" customFormat="false" ht="15" hidden="false" customHeight="false" outlineLevel="0" collapsed="false">
      <c r="A17442" s="3" t="s">
        <v>565</v>
      </c>
      <c r="C17442" s="16" t="n">
        <f aca="false">SUMPRODUCT(($C$17411:$C$17420=C17420)*$C$17400:$C$17409)</f>
        <v>79.938509</v>
      </c>
    </row>
    <row r="17443" customFormat="false" ht="15" hidden="false" customHeight="false" outlineLevel="0" collapsed="false">
      <c r="A17443" s="24" t="s">
        <v>574</v>
      </c>
      <c r="B17443" s="25"/>
      <c r="C17443" s="25"/>
      <c r="D17443" s="25"/>
      <c r="E17443" s="25"/>
      <c r="F17443" s="25"/>
      <c r="G17443" s="25"/>
      <c r="H17443" s="25"/>
      <c r="I17443" s="25"/>
      <c r="J17443" s="25"/>
      <c r="K17443" s="25"/>
    </row>
    <row r="17444" customFormat="false" ht="15" hidden="false" customHeight="false" outlineLevel="0" collapsed="false">
      <c r="A17444" s="3" t="s">
        <v>556</v>
      </c>
      <c r="C17444" s="16" t="n">
        <f aca="false">IF(C17433=0,0,C17400/C17433*MAX(0,MIN(C17433,$C$17343-SUM($C$17378:$C$17387)-C17422)))</f>
        <v>0</v>
      </c>
    </row>
    <row r="17445" customFormat="false" ht="15" hidden="false" customHeight="false" outlineLevel="0" collapsed="false">
      <c r="A17445" s="3" t="s">
        <v>557</v>
      </c>
      <c r="C17445" s="16" t="n">
        <f aca="false">IF(C17434=0,0,C17401/C17434*MAX(0,MIN(C17434,$C$17343-SUM($C$17378:$C$17387)-C17423)))</f>
        <v>0</v>
      </c>
    </row>
    <row r="17446" customFormat="false" ht="15" hidden="false" customHeight="false" outlineLevel="0" collapsed="false">
      <c r="A17446" s="3" t="s">
        <v>558</v>
      </c>
      <c r="C17446" s="16" t="n">
        <f aca="false">IF(C17435=0,0,C17402/C17435*MAX(0,MIN(C17435,$C$17343-SUM($C$17378:$C$17387)-C17424)))</f>
        <v>0</v>
      </c>
    </row>
    <row r="17447" customFormat="false" ht="15" hidden="false" customHeight="false" outlineLevel="0" collapsed="false">
      <c r="A17447" s="3" t="s">
        <v>559</v>
      </c>
      <c r="C17447" s="16" t="n">
        <f aca="false">IF(C17436=0,0,C17403/C17436*MAX(0,MIN(C17436,$C$17343-SUM($C$17378:$C$17387)-C17425)))</f>
        <v>0</v>
      </c>
    </row>
    <row r="17448" customFormat="false" ht="15" hidden="false" customHeight="false" outlineLevel="0" collapsed="false">
      <c r="A17448" s="3" t="s">
        <v>560</v>
      </c>
      <c r="C17448" s="16" t="n">
        <f aca="false">IF(C17437=0,0,C17404/C17437*MAX(0,MIN(C17437,$C$17343-SUM($C$17378:$C$17387)-C17426)))</f>
        <v>386.042025271749</v>
      </c>
    </row>
    <row r="17449" customFormat="false" ht="15" hidden="false" customHeight="false" outlineLevel="0" collapsed="false">
      <c r="A17449" s="3" t="s">
        <v>561</v>
      </c>
      <c r="C17449" s="16" t="n">
        <f aca="false">IF(C17438=0,0,C17405/C17438*MAX(0,MIN(C17438,$C$17343-SUM($C$17378:$C$17387)-C17427)))</f>
        <v>357.2625</v>
      </c>
    </row>
    <row r="17450" customFormat="false" ht="15" hidden="false" customHeight="false" outlineLevel="0" collapsed="false">
      <c r="A17450" s="3" t="s">
        <v>562</v>
      </c>
      <c r="C17450" s="16" t="n">
        <f aca="false">IF(C17439=0,0,C17406/C17439*MAX(0,MIN(C17439,$C$17343-SUM($C$17378:$C$17387)-C17428)))</f>
        <v>562.203125</v>
      </c>
    </row>
    <row r="17451" customFormat="false" ht="15" hidden="false" customHeight="false" outlineLevel="0" collapsed="false">
      <c r="A17451" s="3" t="s">
        <v>563</v>
      </c>
      <c r="C17451" s="16" t="n">
        <f aca="false">IF(C17440=0,0,C17407/C17440*MAX(0,MIN(C17440,$C$17343-SUM($C$17378:$C$17387)-C17429)))</f>
        <v>353.98125</v>
      </c>
    </row>
    <row r="17452" customFormat="false" ht="15" hidden="false" customHeight="false" outlineLevel="0" collapsed="false">
      <c r="A17452" s="3" t="s">
        <v>564</v>
      </c>
      <c r="C17452" s="16" t="n">
        <f aca="false">IF(C17441=0,0,C17408/C17441*MAX(0,MIN(C17441,$C$17343-SUM($C$17378:$C$17387)-C17430)))</f>
        <v>304.59375</v>
      </c>
    </row>
    <row r="17453" customFormat="false" ht="15" hidden="false" customHeight="false" outlineLevel="0" collapsed="false">
      <c r="A17453" s="3" t="s">
        <v>565</v>
      </c>
      <c r="C17453" s="16" t="n">
        <f aca="false">IF(C17442=0,0,C17409/C17442*MAX(0,MIN(C17442,$C$17343-SUM($C$17378:$C$17387)-C17431)))</f>
        <v>79.938509</v>
      </c>
    </row>
    <row r="17454" customFormat="false" ht="15" hidden="false" customHeight="false" outlineLevel="0" collapsed="false">
      <c r="A17454" s="24" t="s">
        <v>575</v>
      </c>
      <c r="B17454" s="25"/>
      <c r="C17454" s="25"/>
      <c r="D17454" s="25"/>
      <c r="E17454" s="25"/>
      <c r="F17454" s="25"/>
      <c r="G17454" s="25"/>
      <c r="H17454" s="25"/>
      <c r="I17454" s="25"/>
      <c r="J17454" s="25"/>
      <c r="K17454" s="25"/>
    </row>
    <row r="17455" customFormat="false" ht="15" hidden="false" customHeight="false" outlineLevel="0" collapsed="false">
      <c r="A17455" s="2" t="s">
        <v>556</v>
      </c>
      <c r="C17455" s="17" t="n">
        <f aca="false">C17378+C17444</f>
        <v>402.29</v>
      </c>
    </row>
    <row r="17456" customFormat="false" ht="15" hidden="false" customHeight="false" outlineLevel="0" collapsed="false">
      <c r="A17456" s="2" t="s">
        <v>557</v>
      </c>
      <c r="C17456" s="17" t="n">
        <f aca="false">C17379+C17445</f>
        <v>91.30725</v>
      </c>
    </row>
    <row r="17457" customFormat="false" ht="15" hidden="false" customHeight="false" outlineLevel="0" collapsed="false">
      <c r="A17457" s="2" t="s">
        <v>558</v>
      </c>
      <c r="C17457" s="17" t="n">
        <f aca="false">C17380+C17446</f>
        <v>58.3715961</v>
      </c>
    </row>
    <row r="17458" customFormat="false" ht="15" hidden="false" customHeight="false" outlineLevel="0" collapsed="false">
      <c r="A17458" s="2" t="s">
        <v>559</v>
      </c>
      <c r="C17458" s="17" t="n">
        <f aca="false">C17381+C17447</f>
        <v>0</v>
      </c>
    </row>
    <row r="17459" customFormat="false" ht="15" hidden="false" customHeight="false" outlineLevel="0" collapsed="false">
      <c r="A17459" s="2" t="s">
        <v>560</v>
      </c>
      <c r="C17459" s="17" t="n">
        <f aca="false">C17382+C17448</f>
        <v>386.042025271749</v>
      </c>
    </row>
    <row r="17460" customFormat="false" ht="15" hidden="false" customHeight="false" outlineLevel="0" collapsed="false">
      <c r="A17460" s="2" t="s">
        <v>561</v>
      </c>
      <c r="C17460" s="17" t="n">
        <f aca="false">C17383+C17449</f>
        <v>357.2625</v>
      </c>
    </row>
    <row r="17461" customFormat="false" ht="15" hidden="false" customHeight="false" outlineLevel="0" collapsed="false">
      <c r="A17461" s="2" t="s">
        <v>562</v>
      </c>
      <c r="C17461" s="17" t="n">
        <f aca="false">C17384+C17450</f>
        <v>562.203125</v>
      </c>
    </row>
    <row r="17462" customFormat="false" ht="15" hidden="false" customHeight="false" outlineLevel="0" collapsed="false">
      <c r="A17462" s="2" t="s">
        <v>563</v>
      </c>
      <c r="C17462" s="17" t="n">
        <f aca="false">C17385+C17451</f>
        <v>353.98125</v>
      </c>
    </row>
    <row r="17463" customFormat="false" ht="15" hidden="false" customHeight="false" outlineLevel="0" collapsed="false">
      <c r="A17463" s="2" t="s">
        <v>564</v>
      </c>
      <c r="C17463" s="17" t="n">
        <f aca="false">C17386+C17452</f>
        <v>304.59375</v>
      </c>
    </row>
    <row r="17464" customFormat="false" ht="15" hidden="false" customHeight="false" outlineLevel="0" collapsed="false">
      <c r="A17464" s="2" t="s">
        <v>565</v>
      </c>
      <c r="C17464" s="17" t="n">
        <f aca="false">C17387+C17453</f>
        <v>79.938509</v>
      </c>
    </row>
    <row r="17465" customFormat="false" ht="15" hidden="false" customHeight="false" outlineLevel="0" collapsed="false">
      <c r="A17465" s="24" t="s">
        <v>576</v>
      </c>
      <c r="B17465" s="25"/>
      <c r="C17465" s="25"/>
      <c r="D17465" s="25"/>
      <c r="E17465" s="25"/>
      <c r="F17465" s="25"/>
      <c r="G17465" s="25"/>
      <c r="H17465" s="25"/>
      <c r="I17465" s="25"/>
      <c r="J17465" s="25"/>
      <c r="K17465" s="25"/>
    </row>
    <row r="17466" customFormat="false" ht="15" hidden="false" customHeight="false" outlineLevel="0" collapsed="false">
      <c r="A17466" s="3" t="s">
        <v>556</v>
      </c>
      <c r="C17466" s="22" t="n">
        <f aca="false">IF(C17345=0,1,C17455/C17345)</f>
        <v>1</v>
      </c>
    </row>
    <row r="17467" customFormat="false" ht="15" hidden="false" customHeight="false" outlineLevel="0" collapsed="false">
      <c r="A17467" s="3" t="s">
        <v>557</v>
      </c>
      <c r="C17467" s="22" t="n">
        <f aca="false">IF(C17346=0,1,C17456/C17346)</f>
        <v>1</v>
      </c>
    </row>
    <row r="17468" customFormat="false" ht="15" hidden="false" customHeight="false" outlineLevel="0" collapsed="false">
      <c r="A17468" s="3" t="s">
        <v>558</v>
      </c>
      <c r="C17468" s="22" t="n">
        <f aca="false">IF(C17347=0,1,C17457/C17347)</f>
        <v>1</v>
      </c>
    </row>
    <row r="17469" customFormat="false" ht="15" hidden="false" customHeight="false" outlineLevel="0" collapsed="false">
      <c r="A17469" s="3" t="s">
        <v>559</v>
      </c>
      <c r="C17469" s="22" t="n">
        <f aca="false">IF(C17348=0,1,C17458/C17348)</f>
        <v>1</v>
      </c>
    </row>
    <row r="17470" customFormat="false" ht="15" hidden="false" customHeight="false" outlineLevel="0" collapsed="false">
      <c r="A17470" s="3" t="s">
        <v>560</v>
      </c>
      <c r="C17470" s="22" t="n">
        <f aca="false">IF(C17349=0,1,C17459/C17349)</f>
        <v>1</v>
      </c>
    </row>
    <row r="17471" customFormat="false" ht="15" hidden="false" customHeight="false" outlineLevel="0" collapsed="false">
      <c r="A17471" s="3" t="s">
        <v>561</v>
      </c>
      <c r="C17471" s="22" t="n">
        <f aca="false">IF(C17350=0,1,C17460/C17350)</f>
        <v>1</v>
      </c>
    </row>
    <row r="17472" customFormat="false" ht="15" hidden="false" customHeight="false" outlineLevel="0" collapsed="false">
      <c r="A17472" s="3" t="s">
        <v>562</v>
      </c>
      <c r="C17472" s="22" t="n">
        <f aca="false">IF(C17351=0,1,C17461/C17351)</f>
        <v>1</v>
      </c>
    </row>
    <row r="17473" customFormat="false" ht="15" hidden="false" customHeight="false" outlineLevel="0" collapsed="false">
      <c r="A17473" s="3" t="s">
        <v>563</v>
      </c>
      <c r="C17473" s="22" t="n">
        <f aca="false">IF(C17352=0,1,C17462/C17352)</f>
        <v>1</v>
      </c>
    </row>
    <row r="17474" customFormat="false" ht="15" hidden="false" customHeight="false" outlineLevel="0" collapsed="false">
      <c r="A17474" s="3" t="s">
        <v>564</v>
      </c>
      <c r="C17474" s="22" t="n">
        <f aca="false">IF(C17353=0,1,C17463/C17353)</f>
        <v>1</v>
      </c>
    </row>
    <row r="17475" customFormat="false" ht="15" hidden="false" customHeight="false" outlineLevel="0" collapsed="false">
      <c r="A17475" s="3" t="s">
        <v>565</v>
      </c>
      <c r="C17475" s="22" t="n">
        <f aca="false">IF(C17354=0,1,C17464/C17354)</f>
        <v>1</v>
      </c>
    </row>
    <row r="17476" customFormat="false" ht="15" hidden="false" customHeight="false" outlineLevel="0" collapsed="false">
      <c r="A17476" s="24" t="s">
        <v>577</v>
      </c>
      <c r="B17476" s="25"/>
      <c r="C17476" s="25"/>
      <c r="D17476" s="25"/>
      <c r="E17476" s="25"/>
      <c r="F17476" s="25"/>
      <c r="G17476" s="25"/>
      <c r="H17476" s="25"/>
      <c r="I17476" s="25"/>
      <c r="J17476" s="25"/>
      <c r="K17476" s="25"/>
    </row>
    <row r="17477" customFormat="false" ht="15" hidden="false" customHeight="false" outlineLevel="0" collapsed="false">
      <c r="A17477" s="3" t="s">
        <v>556</v>
      </c>
      <c r="C17477" s="16" t="n">
        <f aca="false">C17345-C17455</f>
        <v>0</v>
      </c>
    </row>
    <row r="17478" customFormat="false" ht="15" hidden="false" customHeight="false" outlineLevel="0" collapsed="false">
      <c r="A17478" s="3" t="s">
        <v>557</v>
      </c>
      <c r="C17478" s="16" t="n">
        <f aca="false">C17346-C17456</f>
        <v>0</v>
      </c>
    </row>
    <row r="17479" customFormat="false" ht="15" hidden="false" customHeight="false" outlineLevel="0" collapsed="false">
      <c r="A17479" s="3" t="s">
        <v>558</v>
      </c>
      <c r="C17479" s="16" t="n">
        <f aca="false">C17347-C17457</f>
        <v>0</v>
      </c>
    </row>
    <row r="17480" customFormat="false" ht="15" hidden="false" customHeight="false" outlineLevel="0" collapsed="false">
      <c r="A17480" s="3" t="s">
        <v>559</v>
      </c>
      <c r="C17480" s="16" t="n">
        <f aca="false">C17348-C17458</f>
        <v>0</v>
      </c>
    </row>
    <row r="17481" customFormat="false" ht="15" hidden="false" customHeight="false" outlineLevel="0" collapsed="false">
      <c r="A17481" s="3" t="s">
        <v>560</v>
      </c>
      <c r="C17481" s="16" t="n">
        <f aca="false">C17349-C17459</f>
        <v>0</v>
      </c>
    </row>
    <row r="17482" customFormat="false" ht="15" hidden="false" customHeight="false" outlineLevel="0" collapsed="false">
      <c r="A17482" s="3" t="s">
        <v>561</v>
      </c>
      <c r="C17482" s="16" t="n">
        <f aca="false">C17350-C17460</f>
        <v>0</v>
      </c>
    </row>
    <row r="17483" customFormat="false" ht="15" hidden="false" customHeight="false" outlineLevel="0" collapsed="false">
      <c r="A17483" s="3" t="s">
        <v>562</v>
      </c>
      <c r="C17483" s="16" t="n">
        <f aca="false">C17351-C17461</f>
        <v>0</v>
      </c>
    </row>
    <row r="17484" customFormat="false" ht="15" hidden="false" customHeight="false" outlineLevel="0" collapsed="false">
      <c r="A17484" s="3" t="s">
        <v>563</v>
      </c>
      <c r="C17484" s="16" t="n">
        <f aca="false">C17352-C17462</f>
        <v>0</v>
      </c>
    </row>
    <row r="17485" customFormat="false" ht="15" hidden="false" customHeight="false" outlineLevel="0" collapsed="false">
      <c r="A17485" s="3" t="s">
        <v>564</v>
      </c>
      <c r="C17485" s="16" t="n">
        <f aca="false">C17353-C17463</f>
        <v>0</v>
      </c>
    </row>
    <row r="17486" customFormat="false" ht="15" hidden="false" customHeight="false" outlineLevel="0" collapsed="false">
      <c r="A17486" s="3" t="s">
        <v>565</v>
      </c>
      <c r="C17486" s="16" t="n">
        <f aca="false">C17354-C17464</f>
        <v>0</v>
      </c>
    </row>
    <row r="17487" customFormat="false" ht="15" hidden="false" customHeight="false" outlineLevel="0" collapsed="false">
      <c r="A17487" s="24" t="s">
        <v>578</v>
      </c>
      <c r="B17487" s="25"/>
      <c r="C17487" s="25"/>
      <c r="D17487" s="25"/>
      <c r="E17487" s="25"/>
      <c r="F17487" s="25"/>
      <c r="G17487" s="25"/>
      <c r="H17487" s="25"/>
      <c r="I17487" s="25"/>
      <c r="J17487" s="25"/>
      <c r="K17487" s="25"/>
    </row>
    <row r="17488" customFormat="false" ht="15" hidden="false" customHeight="false" outlineLevel="0" collapsed="false">
      <c r="A17488" s="3" t="s">
        <v>556</v>
      </c>
      <c r="C17488" s="22" t="n">
        <f aca="false">IF(C17345=0,0,C17477/C17345)</f>
        <v>0</v>
      </c>
    </row>
    <row r="17489" customFormat="false" ht="15" hidden="false" customHeight="false" outlineLevel="0" collapsed="false">
      <c r="A17489" s="3" t="s">
        <v>557</v>
      </c>
      <c r="C17489" s="22" t="n">
        <f aca="false">IF(C17346=0,0,C17478/C17346)</f>
        <v>0</v>
      </c>
    </row>
    <row r="17490" customFormat="false" ht="15" hidden="false" customHeight="false" outlineLevel="0" collapsed="false">
      <c r="A17490" s="3" t="s">
        <v>558</v>
      </c>
      <c r="C17490" s="22" t="n">
        <f aca="false">IF(C17347=0,0,C17479/C17347)</f>
        <v>0</v>
      </c>
    </row>
    <row r="17491" customFormat="false" ht="15" hidden="false" customHeight="false" outlineLevel="0" collapsed="false">
      <c r="A17491" s="3" t="s">
        <v>559</v>
      </c>
      <c r="C17491" s="22" t="n">
        <f aca="false">IF(C17348=0,0,C17480/C17348)</f>
        <v>0</v>
      </c>
    </row>
    <row r="17492" customFormat="false" ht="15" hidden="false" customHeight="false" outlineLevel="0" collapsed="false">
      <c r="A17492" s="3" t="s">
        <v>560</v>
      </c>
      <c r="C17492" s="22" t="n">
        <f aca="false">IF(C17349=0,0,C17481/C17349)</f>
        <v>0</v>
      </c>
    </row>
    <row r="17493" customFormat="false" ht="15" hidden="false" customHeight="false" outlineLevel="0" collapsed="false">
      <c r="A17493" s="3" t="s">
        <v>561</v>
      </c>
      <c r="C17493" s="22" t="n">
        <f aca="false">IF(C17350=0,0,C17482/C17350)</f>
        <v>0</v>
      </c>
    </row>
    <row r="17494" customFormat="false" ht="15" hidden="false" customHeight="false" outlineLevel="0" collapsed="false">
      <c r="A17494" s="3" t="s">
        <v>562</v>
      </c>
      <c r="C17494" s="22" t="n">
        <f aca="false">IF(C17351=0,0,C17483/C17351)</f>
        <v>0</v>
      </c>
    </row>
    <row r="17495" customFormat="false" ht="15" hidden="false" customHeight="false" outlineLevel="0" collapsed="false">
      <c r="A17495" s="3" t="s">
        <v>563</v>
      </c>
      <c r="C17495" s="22" t="n">
        <f aca="false">IF(C17352=0,0,C17484/C17352)</f>
        <v>0</v>
      </c>
    </row>
    <row r="17496" customFormat="false" ht="15" hidden="false" customHeight="false" outlineLevel="0" collapsed="false">
      <c r="A17496" s="3" t="s">
        <v>564</v>
      </c>
      <c r="C17496" s="22" t="n">
        <f aca="false">IF(C17353=0,0,C17485/C17353)</f>
        <v>0</v>
      </c>
    </row>
    <row r="17497" customFormat="false" ht="15" hidden="false" customHeight="false" outlineLevel="0" collapsed="false">
      <c r="A17497" s="3" t="s">
        <v>565</v>
      </c>
      <c r="C17497" s="22" t="n">
        <f aca="false">IF(C17354=0,0,C17486/C17354)</f>
        <v>0</v>
      </c>
    </row>
    <row r="17498" customFormat="false" ht="15" hidden="false" customHeight="false" outlineLevel="0" collapsed="false">
      <c r="A17498" s="2" t="s">
        <v>579</v>
      </c>
      <c r="C17498" s="17" t="n">
        <f aca="false">MAX(0,$C$17343-SUM($C$17378:$C$17387)-SUM($C$17400:$C$17409))</f>
        <v>537.487177028251</v>
      </c>
    </row>
    <row r="17499" customFormat="false" ht="15" hidden="false" customHeight="false" outlineLevel="0" collapsed="false">
      <c r="A17499" s="3" t="s">
        <v>580</v>
      </c>
      <c r="C17499" s="16" t="n">
        <f aca="false">SUM($C$17455:$C$17464)+C17498+C17342-C17341</f>
        <v>0</v>
      </c>
    </row>
    <row r="17501" customFormat="false" ht="15" hidden="false" customHeight="false" outlineLevel="0" collapsed="false">
      <c r="A17501" s="24" t="s">
        <v>583</v>
      </c>
      <c r="B17501" s="25"/>
      <c r="C17501" s="25"/>
      <c r="D17501" s="25"/>
      <c r="E17501" s="25"/>
      <c r="F17501" s="25"/>
      <c r="G17501" s="25"/>
      <c r="H17501" s="25"/>
      <c r="I17501" s="25"/>
      <c r="J17501" s="25"/>
      <c r="K17501" s="25"/>
    </row>
    <row r="17502" customFormat="false" ht="15" hidden="false" customHeight="false" outlineLevel="0" collapsed="false">
      <c r="A17502" s="3" t="s">
        <v>584</v>
      </c>
      <c r="C17502" s="27" t="n">
        <f aca="false">Assumptions!$C$34</f>
        <v>1</v>
      </c>
    </row>
    <row r="17503" customFormat="false" ht="15" hidden="false" customHeight="false" outlineLevel="0" collapsed="false">
      <c r="A17503" s="3" t="s">
        <v>585</v>
      </c>
      <c r="C17503" s="29" t="n">
        <f aca="false">Assumptions!$C$35</f>
        <v>100</v>
      </c>
    </row>
    <row r="17504" customFormat="false" ht="15" hidden="false" customHeight="false" outlineLevel="0" collapsed="false">
      <c r="A17504" s="3" t="s">
        <v>586</v>
      </c>
      <c r="C17504" s="40" t="n">
        <f aca="false">Assumptions!$C$36</f>
        <v>98</v>
      </c>
    </row>
    <row r="17505" customFormat="false" ht="15" hidden="false" customHeight="false" outlineLevel="0" collapsed="false">
      <c r="A17505" s="3" t="s">
        <v>587</v>
      </c>
      <c r="C17505" s="16" t="n">
        <f aca="false">C17503*C17504/100*(1+Assumptions!$C$37)</f>
        <v>98.49</v>
      </c>
    </row>
    <row r="17506" customFormat="false" ht="15" hidden="false" customHeight="false" outlineLevel="0" collapsed="false">
      <c r="A17506" s="3" t="s">
        <v>588</v>
      </c>
      <c r="C17506" s="27" t="n">
        <f aca="false">Assumptions!$C$38</f>
        <v>3</v>
      </c>
    </row>
    <row r="17507" customFormat="false" ht="15" hidden="false" customHeight="false" outlineLevel="0" collapsed="false">
      <c r="A17507" s="3" t="s">
        <v>589</v>
      </c>
      <c r="C17507" s="21" t="n">
        <f aca="false">IF(C17334=1,SUMPRODUCT($G$17270:$K$17270,$G$17044:$K$17044),0)</f>
        <v>2</v>
      </c>
    </row>
    <row r="17508" customFormat="false" ht="15" hidden="false" customHeight="false" outlineLevel="0" collapsed="false">
      <c r="A17508" s="3" t="s">
        <v>590</v>
      </c>
      <c r="C17508" s="22" t="n">
        <f aca="false">IFERROR(C17503/CHOOSE(C17502,SUMPRODUCT($G$17333:$K$17333,$G$17090:$K$17090),SUMPRODUCT($G$17333:$K$17333,$G$17103:$K$17103),SUMPRODUCT($G$17333:$K$17333,$G$17116:$K$17116),SUMPRODUCT($G$17333:$K$17333,$G$17129:$K$17129),SUMPRODUCT($G$17333:$K$17333,$G$17142:$K$17142),SUMPRODUCT($G$17333:$K$17333,$G$17155:$K$17155),SUMPRODUCT($G$17333:$K$17333,$G$17168:$K$17168),SUMPRODUCT($G$17333:$K$17333,$G$17181:$K$17181),SUMPRODUCT($G$17333:$K$17333,$G$17194:$K$17194),SUMPRODUCT($G$17333:$K$17333,$G$17207:$K$17207)),0)</f>
        <v>0.255102040816327</v>
      </c>
    </row>
    <row r="17509" customFormat="false" ht="15" hidden="false" customHeight="false" outlineLevel="0" collapsed="false">
      <c r="A17509" s="3" t="s">
        <v>591</v>
      </c>
      <c r="C17509" s="16" t="n">
        <f aca="false">CHOOSE(C17502,C17455,C17456,C17457,C17458,C17459,C17460,C17461,C17462,C17463,C17464)*C17508</f>
        <v>102.625</v>
      </c>
    </row>
    <row r="17510" customFormat="false" ht="15" hidden="false" customHeight="false" outlineLevel="0" collapsed="false">
      <c r="A17510" s="3" t="s">
        <v>592</v>
      </c>
      <c r="C17510" s="22" t="n">
        <f aca="false">CHOOSE(C17502,C17466,C17467,C17468,C17469,C17470,C17471,C17472,C17473,C17474,C17475)</f>
        <v>1</v>
      </c>
    </row>
    <row r="17511" customFormat="false" ht="15" hidden="false" customHeight="false" outlineLevel="0" collapsed="false">
      <c r="A17511" s="3" t="s">
        <v>593</v>
      </c>
      <c r="C17511" s="21" t="n">
        <f aca="false">IF(C17334=1,C17507,C17506)</f>
        <v>2</v>
      </c>
    </row>
    <row r="17512" customFormat="false" ht="15" hidden="false" customHeight="false" outlineLevel="0" collapsed="false">
      <c r="A17512" s="3" t="s">
        <v>594</v>
      </c>
      <c r="C17512" s="35" t="n">
        <f aca="false">CHOOSE($C$17036,Assumptions!$C$91,Assumptions!$C$110,Assumptions!$C$129)</f>
        <v>95</v>
      </c>
    </row>
    <row r="17513" customFormat="false" ht="15" hidden="false" customHeight="false" outlineLevel="0" collapsed="false">
      <c r="A17513" s="3" t="s">
        <v>595</v>
      </c>
      <c r="C17513" s="16" t="n">
        <f aca="false">INDEX($G$17053:$K$17053,C17506)*CHOOSE($C$17036,Assumptions!$C$90,Assumptions!$C$109,Assumptions!$C$128)+MAX(0,INDEX($G$17267:$K$17267,C17506))</f>
        <v>2818.65636502065</v>
      </c>
    </row>
    <row r="17514" customFormat="false" ht="15" hidden="false" customHeight="false" outlineLevel="0" collapsed="false">
      <c r="A17514" s="24" t="s">
        <v>596</v>
      </c>
      <c r="B17514" s="25"/>
      <c r="C17514" s="25"/>
      <c r="D17514" s="25"/>
      <c r="E17514" s="25"/>
      <c r="F17514" s="25"/>
      <c r="G17514" s="25"/>
      <c r="H17514" s="25"/>
      <c r="I17514" s="25"/>
      <c r="J17514" s="25"/>
      <c r="K17514" s="25"/>
    </row>
    <row r="17515" customFormat="false" ht="15" hidden="false" customHeight="false" outlineLevel="0" collapsed="false">
      <c r="A17515" s="3" t="s">
        <v>556</v>
      </c>
      <c r="C17515" s="16" t="n">
        <f aca="false">INDEX($G$17090:$K$17090,C17506)</f>
        <v>388</v>
      </c>
    </row>
    <row r="17516" customFormat="false" ht="15" hidden="false" customHeight="false" outlineLevel="0" collapsed="false">
      <c r="A17516" s="3" t="s">
        <v>557</v>
      </c>
      <c r="C17516" s="16" t="n">
        <f aca="false">INDEX($G$17103:$K$17103,C17506)</f>
        <v>90</v>
      </c>
    </row>
    <row r="17517" customFormat="false" ht="15" hidden="false" customHeight="false" outlineLevel="0" collapsed="false">
      <c r="A17517" s="3" t="s">
        <v>558</v>
      </c>
      <c r="C17517" s="16" t="n">
        <f aca="false">INDEX($G$17116:$K$17116,C17506)</f>
        <v>57.324</v>
      </c>
    </row>
    <row r="17518" customFormat="false" ht="15" hidden="false" customHeight="false" outlineLevel="0" collapsed="false">
      <c r="A17518" s="3" t="s">
        <v>559</v>
      </c>
      <c r="C17518" s="16" t="n">
        <f aca="false">INDEX($G$17129:$K$17129,C17506)</f>
        <v>0</v>
      </c>
    </row>
    <row r="17519" customFormat="false" ht="15" hidden="false" customHeight="false" outlineLevel="0" collapsed="false">
      <c r="A17519" s="3" t="s">
        <v>560</v>
      </c>
      <c r="C17519" s="16" t="n">
        <f aca="false">INDEX($G$17142:$K$17142,C17506)</f>
        <v>382.267137291</v>
      </c>
    </row>
    <row r="17520" customFormat="false" ht="15" hidden="false" customHeight="false" outlineLevel="0" collapsed="false">
      <c r="A17520" s="3" t="s">
        <v>561</v>
      </c>
      <c r="C17520" s="16" t="n">
        <f aca="false">INDEX($G$17155:$K$17155,C17506)</f>
        <v>350</v>
      </c>
    </row>
    <row r="17521" customFormat="false" ht="15" hidden="false" customHeight="false" outlineLevel="0" collapsed="false">
      <c r="A17521" s="3" t="s">
        <v>562</v>
      </c>
      <c r="C17521" s="16" t="n">
        <f aca="false">INDEX($G$17168:$K$17168,C17506)</f>
        <v>550</v>
      </c>
    </row>
    <row r="17522" customFormat="false" ht="15" hidden="false" customHeight="false" outlineLevel="0" collapsed="false">
      <c r="A17522" s="3" t="s">
        <v>563</v>
      </c>
      <c r="C17522" s="16" t="n">
        <f aca="false">INDEX($G$17181:$K$17181,C17506)</f>
        <v>350</v>
      </c>
    </row>
    <row r="17523" customFormat="false" ht="15" hidden="false" customHeight="false" outlineLevel="0" collapsed="false">
      <c r="A17523" s="3" t="s">
        <v>564</v>
      </c>
      <c r="C17523" s="16" t="n">
        <f aca="false">INDEX($G$17194:$K$17194,C17506)</f>
        <v>300</v>
      </c>
    </row>
    <row r="17524" customFormat="false" ht="15" hidden="false" customHeight="false" outlineLevel="0" collapsed="false">
      <c r="A17524" s="3" t="s">
        <v>565</v>
      </c>
      <c r="C17524" s="16" t="n">
        <f aca="false">INDEX($G$17207:$K$17207,C17506)</f>
        <v>78.61</v>
      </c>
    </row>
    <row r="17525" customFormat="false" ht="15" hidden="false" customHeight="false" outlineLevel="0" collapsed="false">
      <c r="A17525" s="24" t="s">
        <v>566</v>
      </c>
      <c r="B17525" s="25"/>
      <c r="C17525" s="25"/>
      <c r="D17525" s="25"/>
      <c r="E17525" s="25"/>
      <c r="F17525" s="25"/>
      <c r="G17525" s="25"/>
      <c r="H17525" s="25"/>
      <c r="I17525" s="25"/>
      <c r="J17525" s="25"/>
      <c r="K17525" s="25"/>
    </row>
    <row r="17526" customFormat="false" ht="15" hidden="false" customHeight="false" outlineLevel="0" collapsed="false">
      <c r="A17526" s="3" t="s">
        <v>556</v>
      </c>
      <c r="C17526" s="27" t="n">
        <f aca="false">Assumptions!$M$57</f>
        <v>1</v>
      </c>
    </row>
    <row r="17527" customFormat="false" ht="15" hidden="false" customHeight="false" outlineLevel="0" collapsed="false">
      <c r="A17527" s="3" t="s">
        <v>557</v>
      </c>
      <c r="C17527" s="27" t="n">
        <f aca="false">Assumptions!$M$58</f>
        <v>1</v>
      </c>
    </row>
    <row r="17528" customFormat="false" ht="15" hidden="false" customHeight="false" outlineLevel="0" collapsed="false">
      <c r="A17528" s="3" t="s">
        <v>558</v>
      </c>
      <c r="C17528" s="27" t="n">
        <f aca="false">Assumptions!$M$59</f>
        <v>1</v>
      </c>
    </row>
    <row r="17529" customFormat="false" ht="15" hidden="false" customHeight="false" outlineLevel="0" collapsed="false">
      <c r="A17529" s="3" t="s">
        <v>559</v>
      </c>
      <c r="C17529" s="27" t="n">
        <f aca="false">Assumptions!$M$60</f>
        <v>2</v>
      </c>
    </row>
    <row r="17530" customFormat="false" ht="15" hidden="false" customHeight="false" outlineLevel="0" collapsed="false">
      <c r="A17530" s="3" t="s">
        <v>560</v>
      </c>
      <c r="C17530" s="27" t="n">
        <f aca="false">Assumptions!$M$61</f>
        <v>2</v>
      </c>
    </row>
    <row r="17531" customFormat="false" ht="15" hidden="false" customHeight="false" outlineLevel="0" collapsed="false">
      <c r="A17531" s="3" t="s">
        <v>561</v>
      </c>
      <c r="C17531" s="27" t="n">
        <f aca="false">Assumptions!$M$62</f>
        <v>2</v>
      </c>
    </row>
    <row r="17532" customFormat="false" ht="15" hidden="false" customHeight="false" outlineLevel="0" collapsed="false">
      <c r="A17532" s="3" t="s">
        <v>562</v>
      </c>
      <c r="C17532" s="27" t="n">
        <f aca="false">Assumptions!$M$63</f>
        <v>2</v>
      </c>
    </row>
    <row r="17533" customFormat="false" ht="15" hidden="false" customHeight="false" outlineLevel="0" collapsed="false">
      <c r="A17533" s="3" t="s">
        <v>563</v>
      </c>
      <c r="C17533" s="27" t="n">
        <f aca="false">Assumptions!$M$64</f>
        <v>2</v>
      </c>
    </row>
    <row r="17534" customFormat="false" ht="15" hidden="false" customHeight="false" outlineLevel="0" collapsed="false">
      <c r="A17534" s="3" t="s">
        <v>564</v>
      </c>
      <c r="C17534" s="27" t="n">
        <f aca="false">Assumptions!$M$65</f>
        <v>2</v>
      </c>
    </row>
    <row r="17535" customFormat="false" ht="15" hidden="false" customHeight="false" outlineLevel="0" collapsed="false">
      <c r="A17535" s="3" t="s">
        <v>565</v>
      </c>
      <c r="C17535" s="27" t="n">
        <f aca="false">Assumptions!$M$66</f>
        <v>3</v>
      </c>
    </row>
    <row r="17536" customFormat="false" ht="15" hidden="false" customHeight="false" outlineLevel="0" collapsed="false">
      <c r="A17536" s="24" t="s">
        <v>567</v>
      </c>
      <c r="B17536" s="25"/>
      <c r="C17536" s="25"/>
      <c r="D17536" s="25"/>
      <c r="E17536" s="25"/>
      <c r="F17536" s="25"/>
      <c r="G17536" s="25"/>
      <c r="H17536" s="25"/>
      <c r="I17536" s="25"/>
      <c r="J17536" s="25"/>
      <c r="K17536" s="25"/>
    </row>
    <row r="17537" customFormat="false" ht="15" hidden="false" customHeight="false" outlineLevel="0" collapsed="false">
      <c r="A17537" s="3" t="s">
        <v>556</v>
      </c>
      <c r="C17537" s="33" t="n">
        <f aca="false">Assumptions!$Q$57</f>
        <v>0.3</v>
      </c>
    </row>
    <row r="17538" customFormat="false" ht="15" hidden="false" customHeight="false" outlineLevel="0" collapsed="false">
      <c r="A17538" s="3" t="s">
        <v>557</v>
      </c>
      <c r="C17538" s="33" t="n">
        <f aca="false">Assumptions!$Q$58</f>
        <v>0.033</v>
      </c>
    </row>
    <row r="17539" customFormat="false" ht="15" hidden="false" customHeight="false" outlineLevel="0" collapsed="false">
      <c r="A17539" s="3" t="s">
        <v>558</v>
      </c>
      <c r="C17539" s="33" t="n">
        <f aca="false">Assumptions!$Q$59</f>
        <v>0.021</v>
      </c>
    </row>
    <row r="17540" customFormat="false" ht="15" hidden="false" customHeight="false" outlineLevel="0" collapsed="false">
      <c r="A17540" s="3" t="s">
        <v>559</v>
      </c>
      <c r="C17540" s="33" t="n">
        <f aca="false">Assumptions!$Q$60</f>
        <v>0</v>
      </c>
    </row>
    <row r="17541" customFormat="false" ht="15" hidden="false" customHeight="false" outlineLevel="0" collapsed="false">
      <c r="A17541" s="3" t="s">
        <v>560</v>
      </c>
      <c r="C17541" s="33" t="n">
        <f aca="false">Assumptions!$Q$61</f>
        <v>0</v>
      </c>
    </row>
    <row r="17542" customFormat="false" ht="15" hidden="false" customHeight="false" outlineLevel="0" collapsed="false">
      <c r="A17542" s="3" t="s">
        <v>561</v>
      </c>
      <c r="C17542" s="33" t="n">
        <f aca="false">Assumptions!$Q$62</f>
        <v>0</v>
      </c>
    </row>
    <row r="17543" customFormat="false" ht="15" hidden="false" customHeight="false" outlineLevel="0" collapsed="false">
      <c r="A17543" s="3" t="s">
        <v>562</v>
      </c>
      <c r="C17543" s="33" t="n">
        <f aca="false">Assumptions!$Q$63</f>
        <v>0</v>
      </c>
    </row>
    <row r="17544" customFormat="false" ht="15" hidden="false" customHeight="false" outlineLevel="0" collapsed="false">
      <c r="A17544" s="3" t="s">
        <v>563</v>
      </c>
      <c r="C17544" s="33" t="n">
        <f aca="false">Assumptions!$Q$64</f>
        <v>0</v>
      </c>
    </row>
    <row r="17545" customFormat="false" ht="15" hidden="false" customHeight="false" outlineLevel="0" collapsed="false">
      <c r="A17545" s="3" t="s">
        <v>564</v>
      </c>
      <c r="C17545" s="33" t="n">
        <f aca="false">Assumptions!$Q$65</f>
        <v>0</v>
      </c>
    </row>
    <row r="17546" customFormat="false" ht="15" hidden="false" customHeight="false" outlineLevel="0" collapsed="false">
      <c r="A17546" s="3" t="s">
        <v>565</v>
      </c>
      <c r="C17546" s="33" t="n">
        <f aca="false">Assumptions!$Q$66</f>
        <v>0</v>
      </c>
    </row>
    <row r="17547" customFormat="false" ht="15" hidden="false" customHeight="false" outlineLevel="0" collapsed="false">
      <c r="A17547" s="24" t="s">
        <v>568</v>
      </c>
      <c r="B17547" s="25"/>
      <c r="C17547" s="25"/>
      <c r="D17547" s="25"/>
      <c r="E17547" s="25"/>
      <c r="F17547" s="25"/>
      <c r="G17547" s="25"/>
      <c r="H17547" s="25"/>
      <c r="I17547" s="25"/>
      <c r="J17547" s="25"/>
      <c r="K17547" s="25"/>
    </row>
    <row r="17548" customFormat="false" ht="15" hidden="false" customHeight="false" outlineLevel="0" collapsed="false">
      <c r="A17548" s="3" t="s">
        <v>556</v>
      </c>
      <c r="C17548" s="16" t="n">
        <f aca="false">IF(C17537&gt;0,MIN(C17515,C17537*$C$17513),0)</f>
        <v>388</v>
      </c>
    </row>
    <row r="17549" customFormat="false" ht="15" hidden="false" customHeight="false" outlineLevel="0" collapsed="false">
      <c r="A17549" s="3" t="s">
        <v>557</v>
      </c>
      <c r="C17549" s="16" t="n">
        <f aca="false">IF(C17538&gt;0,MIN(C17516,C17538*$C$17513),0)</f>
        <v>90</v>
      </c>
    </row>
    <row r="17550" customFormat="false" ht="15" hidden="false" customHeight="false" outlineLevel="0" collapsed="false">
      <c r="A17550" s="3" t="s">
        <v>558</v>
      </c>
      <c r="C17550" s="16" t="n">
        <f aca="false">IF(C17539&gt;0,MIN(C17517,C17539*$C$17513),0)</f>
        <v>57.324</v>
      </c>
    </row>
    <row r="17551" customFormat="false" ht="15" hidden="false" customHeight="false" outlineLevel="0" collapsed="false">
      <c r="A17551" s="3" t="s">
        <v>559</v>
      </c>
      <c r="C17551" s="16" t="n">
        <f aca="false">IF(C17540&gt;0,MIN(C17518,C17540*$C$17513),0)</f>
        <v>0</v>
      </c>
    </row>
    <row r="17552" customFormat="false" ht="15" hidden="false" customHeight="false" outlineLevel="0" collapsed="false">
      <c r="A17552" s="3" t="s">
        <v>560</v>
      </c>
      <c r="C17552" s="16" t="n">
        <f aca="false">IF(C17541&gt;0,MIN(C17519,C17541*$C$17513),0)</f>
        <v>0</v>
      </c>
    </row>
    <row r="17553" customFormat="false" ht="15" hidden="false" customHeight="false" outlineLevel="0" collapsed="false">
      <c r="A17553" s="3" t="s">
        <v>561</v>
      </c>
      <c r="C17553" s="16" t="n">
        <f aca="false">IF(C17542&gt;0,MIN(C17520,C17542*$C$17513),0)</f>
        <v>0</v>
      </c>
    </row>
    <row r="17554" customFormat="false" ht="15" hidden="false" customHeight="false" outlineLevel="0" collapsed="false">
      <c r="A17554" s="3" t="s">
        <v>562</v>
      </c>
      <c r="C17554" s="16" t="n">
        <f aca="false">IF(C17543&gt;0,MIN(C17521,C17543*$C$17513),0)</f>
        <v>0</v>
      </c>
    </row>
    <row r="17555" customFormat="false" ht="15" hidden="false" customHeight="false" outlineLevel="0" collapsed="false">
      <c r="A17555" s="3" t="s">
        <v>563</v>
      </c>
      <c r="C17555" s="16" t="n">
        <f aca="false">IF(C17544&gt;0,MIN(C17522,C17544*$C$17513),0)</f>
        <v>0</v>
      </c>
    </row>
    <row r="17556" customFormat="false" ht="15" hidden="false" customHeight="false" outlineLevel="0" collapsed="false">
      <c r="A17556" s="3" t="s">
        <v>564</v>
      </c>
      <c r="C17556" s="16" t="n">
        <f aca="false">IF(C17545&gt;0,MIN(C17523,C17545*$C$17513),0)</f>
        <v>0</v>
      </c>
    </row>
    <row r="17557" customFormat="false" ht="15" hidden="false" customHeight="false" outlineLevel="0" collapsed="false">
      <c r="A17557" s="3" t="s">
        <v>565</v>
      </c>
      <c r="C17557" s="16" t="n">
        <f aca="false">IF(C17546&gt;0,MIN(C17524,C17546*$C$17513),0)</f>
        <v>0</v>
      </c>
    </row>
    <row r="17558" customFormat="false" ht="15" hidden="false" customHeight="false" outlineLevel="0" collapsed="false">
      <c r="A17558" s="24" t="s">
        <v>569</v>
      </c>
      <c r="B17558" s="25"/>
      <c r="C17558" s="25"/>
      <c r="D17558" s="25"/>
      <c r="E17558" s="25"/>
      <c r="F17558" s="25"/>
      <c r="G17558" s="25"/>
      <c r="H17558" s="25"/>
      <c r="I17558" s="25"/>
      <c r="J17558" s="25"/>
      <c r="K17558" s="25"/>
    </row>
    <row r="17559" customFormat="false" ht="15" hidden="false" customHeight="false" outlineLevel="0" collapsed="false">
      <c r="A17559" s="3" t="s">
        <v>556</v>
      </c>
      <c r="C17559" s="16" t="n">
        <f aca="false">IF(C17537&gt;0,C17515-C17548,0)</f>
        <v>0</v>
      </c>
    </row>
    <row r="17560" customFormat="false" ht="15" hidden="false" customHeight="false" outlineLevel="0" collapsed="false">
      <c r="A17560" s="3" t="s">
        <v>557</v>
      </c>
      <c r="C17560" s="16" t="n">
        <f aca="false">IF(C17538&gt;0,C17516-C17549,0)</f>
        <v>0</v>
      </c>
    </row>
    <row r="17561" customFormat="false" ht="15" hidden="false" customHeight="false" outlineLevel="0" collapsed="false">
      <c r="A17561" s="3" t="s">
        <v>558</v>
      </c>
      <c r="C17561" s="16" t="n">
        <f aca="false">IF(C17539&gt;0,C17517-C17550,0)</f>
        <v>0</v>
      </c>
    </row>
    <row r="17562" customFormat="false" ht="15" hidden="false" customHeight="false" outlineLevel="0" collapsed="false">
      <c r="A17562" s="3" t="s">
        <v>559</v>
      </c>
      <c r="C17562" s="16" t="n">
        <f aca="false">IF(C17540&gt;0,C17518-C17551,0)</f>
        <v>0</v>
      </c>
    </row>
    <row r="17563" customFormat="false" ht="15" hidden="false" customHeight="false" outlineLevel="0" collapsed="false">
      <c r="A17563" s="3" t="s">
        <v>560</v>
      </c>
      <c r="C17563" s="16" t="n">
        <f aca="false">IF(C17541&gt;0,C17519-C17552,0)</f>
        <v>0</v>
      </c>
    </row>
    <row r="17564" customFormat="false" ht="15" hidden="false" customHeight="false" outlineLevel="0" collapsed="false">
      <c r="A17564" s="3" t="s">
        <v>561</v>
      </c>
      <c r="C17564" s="16" t="n">
        <f aca="false">IF(C17542&gt;0,C17520-C17553,0)</f>
        <v>0</v>
      </c>
    </row>
    <row r="17565" customFormat="false" ht="15" hidden="false" customHeight="false" outlineLevel="0" collapsed="false">
      <c r="A17565" s="3" t="s">
        <v>562</v>
      </c>
      <c r="C17565" s="16" t="n">
        <f aca="false">IF(C17543&gt;0,C17521-C17554,0)</f>
        <v>0</v>
      </c>
    </row>
    <row r="17566" customFormat="false" ht="15" hidden="false" customHeight="false" outlineLevel="0" collapsed="false">
      <c r="A17566" s="3" t="s">
        <v>563</v>
      </c>
      <c r="C17566" s="16" t="n">
        <f aca="false">IF(C17544&gt;0,C17522-C17555,0)</f>
        <v>0</v>
      </c>
    </row>
    <row r="17567" customFormat="false" ht="15" hidden="false" customHeight="false" outlineLevel="0" collapsed="false">
      <c r="A17567" s="3" t="s">
        <v>564</v>
      </c>
      <c r="C17567" s="16" t="n">
        <f aca="false">IF(C17545&gt;0,C17523-C17556,0)</f>
        <v>0</v>
      </c>
    </row>
    <row r="17568" customFormat="false" ht="15" hidden="false" customHeight="false" outlineLevel="0" collapsed="false">
      <c r="A17568" s="3" t="s">
        <v>565</v>
      </c>
      <c r="C17568" s="16" t="n">
        <f aca="false">IF(C17546&gt;0,C17524-C17557,0)</f>
        <v>0</v>
      </c>
    </row>
    <row r="17569" customFormat="false" ht="15" hidden="false" customHeight="false" outlineLevel="0" collapsed="false">
      <c r="A17569" s="24" t="s">
        <v>570</v>
      </c>
      <c r="B17569" s="25"/>
      <c r="C17569" s="25"/>
      <c r="D17569" s="25"/>
      <c r="E17569" s="25"/>
      <c r="F17569" s="25"/>
      <c r="G17569" s="25"/>
      <c r="H17569" s="25"/>
      <c r="I17569" s="25"/>
      <c r="J17569" s="25"/>
      <c r="K17569" s="25"/>
    </row>
    <row r="17570" customFormat="false" ht="15" hidden="false" customHeight="false" outlineLevel="0" collapsed="false">
      <c r="A17570" s="3" t="s">
        <v>556</v>
      </c>
      <c r="C17570" s="16" t="n">
        <f aca="false">IF(C17537&gt;0,C17559,C17515)</f>
        <v>0</v>
      </c>
    </row>
    <row r="17571" customFormat="false" ht="15" hidden="false" customHeight="false" outlineLevel="0" collapsed="false">
      <c r="A17571" s="3" t="s">
        <v>557</v>
      </c>
      <c r="C17571" s="16" t="n">
        <f aca="false">IF(C17538&gt;0,C17560,C17516)</f>
        <v>0</v>
      </c>
    </row>
    <row r="17572" customFormat="false" ht="15" hidden="false" customHeight="false" outlineLevel="0" collapsed="false">
      <c r="A17572" s="3" t="s">
        <v>558</v>
      </c>
      <c r="C17572" s="16" t="n">
        <f aca="false">IF(C17539&gt;0,C17561,C17517)</f>
        <v>0</v>
      </c>
    </row>
    <row r="17573" customFormat="false" ht="15" hidden="false" customHeight="false" outlineLevel="0" collapsed="false">
      <c r="A17573" s="3" t="s">
        <v>559</v>
      </c>
      <c r="C17573" s="16" t="n">
        <f aca="false">IF(C17540&gt;0,C17562,C17518)</f>
        <v>0</v>
      </c>
    </row>
    <row r="17574" customFormat="false" ht="15" hidden="false" customHeight="false" outlineLevel="0" collapsed="false">
      <c r="A17574" s="3" t="s">
        <v>560</v>
      </c>
      <c r="C17574" s="16" t="n">
        <f aca="false">IF(C17541&gt;0,C17563,C17519)</f>
        <v>382.267137291</v>
      </c>
    </row>
    <row r="17575" customFormat="false" ht="15" hidden="false" customHeight="false" outlineLevel="0" collapsed="false">
      <c r="A17575" s="3" t="s">
        <v>561</v>
      </c>
      <c r="C17575" s="16" t="n">
        <f aca="false">IF(C17542&gt;0,C17564,C17520)</f>
        <v>350</v>
      </c>
    </row>
    <row r="17576" customFormat="false" ht="15" hidden="false" customHeight="false" outlineLevel="0" collapsed="false">
      <c r="A17576" s="3" t="s">
        <v>562</v>
      </c>
      <c r="C17576" s="16" t="n">
        <f aca="false">IF(C17543&gt;0,C17565,C17521)</f>
        <v>550</v>
      </c>
    </row>
    <row r="17577" customFormat="false" ht="15" hidden="false" customHeight="false" outlineLevel="0" collapsed="false">
      <c r="A17577" s="3" t="s">
        <v>563</v>
      </c>
      <c r="C17577" s="16" t="n">
        <f aca="false">IF(C17544&gt;0,C17566,C17522)</f>
        <v>350</v>
      </c>
    </row>
    <row r="17578" customFormat="false" ht="15" hidden="false" customHeight="false" outlineLevel="0" collapsed="false">
      <c r="A17578" s="3" t="s">
        <v>564</v>
      </c>
      <c r="C17578" s="16" t="n">
        <f aca="false">IF(C17545&gt;0,C17567,C17523)</f>
        <v>300</v>
      </c>
    </row>
    <row r="17579" customFormat="false" ht="15" hidden="false" customHeight="false" outlineLevel="0" collapsed="false">
      <c r="A17579" s="3" t="s">
        <v>565</v>
      </c>
      <c r="C17579" s="16" t="n">
        <f aca="false">IF(C17546&gt;0,C17568,C17524)</f>
        <v>78.61</v>
      </c>
    </row>
    <row r="17580" customFormat="false" ht="15" hidden="false" customHeight="false" outlineLevel="0" collapsed="false">
      <c r="A17580" s="24" t="s">
        <v>571</v>
      </c>
      <c r="B17580" s="25"/>
      <c r="C17580" s="25"/>
      <c r="D17580" s="25"/>
      <c r="E17580" s="25"/>
      <c r="F17580" s="25"/>
      <c r="G17580" s="25"/>
      <c r="H17580" s="25"/>
      <c r="I17580" s="25"/>
      <c r="J17580" s="25"/>
      <c r="K17580" s="25"/>
    </row>
    <row r="17581" customFormat="false" ht="15" hidden="false" customHeight="false" outlineLevel="0" collapsed="false">
      <c r="A17581" s="3" t="s">
        <v>556</v>
      </c>
      <c r="C17581" s="21" t="n">
        <f aca="false">IF(C17537&gt;0,Assumptions!$C$17,C17526)</f>
        <v>99</v>
      </c>
    </row>
    <row r="17582" customFormat="false" ht="15" hidden="false" customHeight="false" outlineLevel="0" collapsed="false">
      <c r="A17582" s="3" t="s">
        <v>557</v>
      </c>
      <c r="C17582" s="21" t="n">
        <f aca="false">IF(C17538&gt;0,Assumptions!$C$17,C17527)</f>
        <v>99</v>
      </c>
    </row>
    <row r="17583" customFormat="false" ht="15" hidden="false" customHeight="false" outlineLevel="0" collapsed="false">
      <c r="A17583" s="3" t="s">
        <v>558</v>
      </c>
      <c r="C17583" s="21" t="n">
        <f aca="false">IF(C17539&gt;0,Assumptions!$C$17,C17528)</f>
        <v>99</v>
      </c>
    </row>
    <row r="17584" customFormat="false" ht="15" hidden="false" customHeight="false" outlineLevel="0" collapsed="false">
      <c r="A17584" s="3" t="s">
        <v>559</v>
      </c>
      <c r="C17584" s="21" t="n">
        <f aca="false">IF(C17540&gt;0,Assumptions!$C$17,C17529)</f>
        <v>2</v>
      </c>
    </row>
    <row r="17585" customFormat="false" ht="15" hidden="false" customHeight="false" outlineLevel="0" collapsed="false">
      <c r="A17585" s="3" t="s">
        <v>560</v>
      </c>
      <c r="C17585" s="21" t="n">
        <f aca="false">IF(C17541&gt;0,Assumptions!$C$17,C17530)</f>
        <v>2</v>
      </c>
    </row>
    <row r="17586" customFormat="false" ht="15" hidden="false" customHeight="false" outlineLevel="0" collapsed="false">
      <c r="A17586" s="3" t="s">
        <v>561</v>
      </c>
      <c r="C17586" s="21" t="n">
        <f aca="false">IF(C17542&gt;0,Assumptions!$C$17,C17531)</f>
        <v>2</v>
      </c>
    </row>
    <row r="17587" customFormat="false" ht="15" hidden="false" customHeight="false" outlineLevel="0" collapsed="false">
      <c r="A17587" s="3" t="s">
        <v>562</v>
      </c>
      <c r="C17587" s="21" t="n">
        <f aca="false">IF(C17543&gt;0,Assumptions!$C$17,C17532)</f>
        <v>2</v>
      </c>
    </row>
    <row r="17588" customFormat="false" ht="15" hidden="false" customHeight="false" outlineLevel="0" collapsed="false">
      <c r="A17588" s="3" t="s">
        <v>563</v>
      </c>
      <c r="C17588" s="21" t="n">
        <f aca="false">IF(C17544&gt;0,Assumptions!$C$17,C17533)</f>
        <v>2</v>
      </c>
    </row>
    <row r="17589" customFormat="false" ht="15" hidden="false" customHeight="false" outlineLevel="0" collapsed="false">
      <c r="A17589" s="3" t="s">
        <v>564</v>
      </c>
      <c r="C17589" s="21" t="n">
        <f aca="false">IF(C17545&gt;0,Assumptions!$C$17,C17534)</f>
        <v>2</v>
      </c>
    </row>
    <row r="17590" customFormat="false" ht="15" hidden="false" customHeight="false" outlineLevel="0" collapsed="false">
      <c r="A17590" s="3" t="s">
        <v>565</v>
      </c>
      <c r="C17590" s="21" t="n">
        <f aca="false">IF(C17546&gt;0,Assumptions!$C$17,C17535)</f>
        <v>3</v>
      </c>
    </row>
    <row r="17591" customFormat="false" ht="15" hidden="false" customHeight="false" outlineLevel="0" collapsed="false">
      <c r="A17591" s="24" t="s">
        <v>572</v>
      </c>
      <c r="B17591" s="25"/>
      <c r="C17591" s="25"/>
      <c r="D17591" s="25"/>
      <c r="E17591" s="25"/>
      <c r="F17591" s="25"/>
      <c r="G17591" s="25"/>
      <c r="H17591" s="25"/>
      <c r="I17591" s="25"/>
      <c r="J17591" s="25"/>
      <c r="K17591" s="25"/>
    </row>
    <row r="17592" customFormat="false" ht="15" hidden="false" customHeight="false" outlineLevel="0" collapsed="false">
      <c r="A17592" s="3" t="s">
        <v>556</v>
      </c>
      <c r="C17592" s="16" t="n">
        <f aca="false">SUMPRODUCT(($C$17581:$C$17590&lt;C17581)*$C$17570:$C$17579)</f>
        <v>2010.877137291</v>
      </c>
    </row>
    <row r="17593" customFormat="false" ht="15" hidden="false" customHeight="false" outlineLevel="0" collapsed="false">
      <c r="A17593" s="3" t="s">
        <v>557</v>
      </c>
      <c r="C17593" s="16" t="n">
        <f aca="false">SUMPRODUCT(($C$17581:$C$17590&lt;C17582)*$C$17570:$C$17579)</f>
        <v>2010.877137291</v>
      </c>
    </row>
    <row r="17594" customFormat="false" ht="15" hidden="false" customHeight="false" outlineLevel="0" collapsed="false">
      <c r="A17594" s="3" t="s">
        <v>558</v>
      </c>
      <c r="C17594" s="16" t="n">
        <f aca="false">SUMPRODUCT(($C$17581:$C$17590&lt;C17583)*$C$17570:$C$17579)</f>
        <v>2010.877137291</v>
      </c>
    </row>
    <row r="17595" customFormat="false" ht="15" hidden="false" customHeight="false" outlineLevel="0" collapsed="false">
      <c r="A17595" s="3" t="s">
        <v>559</v>
      </c>
      <c r="C17595" s="16" t="n">
        <f aca="false">SUMPRODUCT(($C$17581:$C$17590&lt;C17584)*$C$17570:$C$17579)</f>
        <v>0</v>
      </c>
    </row>
    <row r="17596" customFormat="false" ht="15" hidden="false" customHeight="false" outlineLevel="0" collapsed="false">
      <c r="A17596" s="3" t="s">
        <v>560</v>
      </c>
      <c r="C17596" s="16" t="n">
        <f aca="false">SUMPRODUCT(($C$17581:$C$17590&lt;C17585)*$C$17570:$C$17579)</f>
        <v>0</v>
      </c>
    </row>
    <row r="17597" customFormat="false" ht="15" hidden="false" customHeight="false" outlineLevel="0" collapsed="false">
      <c r="A17597" s="3" t="s">
        <v>561</v>
      </c>
      <c r="C17597" s="16" t="n">
        <f aca="false">SUMPRODUCT(($C$17581:$C$17590&lt;C17586)*$C$17570:$C$17579)</f>
        <v>0</v>
      </c>
    </row>
    <row r="17598" customFormat="false" ht="15" hidden="false" customHeight="false" outlineLevel="0" collapsed="false">
      <c r="A17598" s="3" t="s">
        <v>562</v>
      </c>
      <c r="C17598" s="16" t="n">
        <f aca="false">SUMPRODUCT(($C$17581:$C$17590&lt;C17587)*$C$17570:$C$17579)</f>
        <v>0</v>
      </c>
    </row>
    <row r="17599" customFormat="false" ht="15" hidden="false" customHeight="false" outlineLevel="0" collapsed="false">
      <c r="A17599" s="3" t="s">
        <v>563</v>
      </c>
      <c r="C17599" s="16" t="n">
        <f aca="false">SUMPRODUCT(($C$17581:$C$17590&lt;C17588)*$C$17570:$C$17579)</f>
        <v>0</v>
      </c>
    </row>
    <row r="17600" customFormat="false" ht="15" hidden="false" customHeight="false" outlineLevel="0" collapsed="false">
      <c r="A17600" s="3" t="s">
        <v>564</v>
      </c>
      <c r="C17600" s="16" t="n">
        <f aca="false">SUMPRODUCT(($C$17581:$C$17590&lt;C17589)*$C$17570:$C$17579)</f>
        <v>0</v>
      </c>
    </row>
    <row r="17601" customFormat="false" ht="15" hidden="false" customHeight="false" outlineLevel="0" collapsed="false">
      <c r="A17601" s="3" t="s">
        <v>565</v>
      </c>
      <c r="C17601" s="16" t="n">
        <f aca="false">SUMPRODUCT(($C$17581:$C$17590&lt;C17590)*$C$17570:$C$17579)</f>
        <v>1932.267137291</v>
      </c>
    </row>
    <row r="17602" customFormat="false" ht="15" hidden="false" customHeight="false" outlineLevel="0" collapsed="false">
      <c r="A17602" s="24" t="s">
        <v>573</v>
      </c>
      <c r="B17602" s="25"/>
      <c r="C17602" s="25"/>
      <c r="D17602" s="25"/>
      <c r="E17602" s="25"/>
      <c r="F17602" s="25"/>
      <c r="G17602" s="25"/>
      <c r="H17602" s="25"/>
      <c r="I17602" s="25"/>
      <c r="J17602" s="25"/>
      <c r="K17602" s="25"/>
    </row>
    <row r="17603" customFormat="false" ht="15" hidden="false" customHeight="false" outlineLevel="0" collapsed="false">
      <c r="A17603" s="3" t="s">
        <v>556</v>
      </c>
      <c r="C17603" s="16" t="n">
        <f aca="false">SUMPRODUCT(($C$17581:$C$17590=C17581)*$C$17570:$C$17579)</f>
        <v>0</v>
      </c>
    </row>
    <row r="17604" customFormat="false" ht="15" hidden="false" customHeight="false" outlineLevel="0" collapsed="false">
      <c r="A17604" s="3" t="s">
        <v>557</v>
      </c>
      <c r="C17604" s="16" t="n">
        <f aca="false">SUMPRODUCT(($C$17581:$C$17590=C17582)*$C$17570:$C$17579)</f>
        <v>0</v>
      </c>
    </row>
    <row r="17605" customFormat="false" ht="15" hidden="false" customHeight="false" outlineLevel="0" collapsed="false">
      <c r="A17605" s="3" t="s">
        <v>558</v>
      </c>
      <c r="C17605" s="16" t="n">
        <f aca="false">SUMPRODUCT(($C$17581:$C$17590=C17583)*$C$17570:$C$17579)</f>
        <v>0</v>
      </c>
    </row>
    <row r="17606" customFormat="false" ht="15" hidden="false" customHeight="false" outlineLevel="0" collapsed="false">
      <c r="A17606" s="3" t="s">
        <v>559</v>
      </c>
      <c r="C17606" s="16" t="n">
        <f aca="false">SUMPRODUCT(($C$17581:$C$17590=C17584)*$C$17570:$C$17579)</f>
        <v>1932.267137291</v>
      </c>
    </row>
    <row r="17607" customFormat="false" ht="15" hidden="false" customHeight="false" outlineLevel="0" collapsed="false">
      <c r="A17607" s="3" t="s">
        <v>560</v>
      </c>
      <c r="C17607" s="16" t="n">
        <f aca="false">SUMPRODUCT(($C$17581:$C$17590=C17585)*$C$17570:$C$17579)</f>
        <v>1932.267137291</v>
      </c>
    </row>
    <row r="17608" customFormat="false" ht="15" hidden="false" customHeight="false" outlineLevel="0" collapsed="false">
      <c r="A17608" s="3" t="s">
        <v>561</v>
      </c>
      <c r="C17608" s="16" t="n">
        <f aca="false">SUMPRODUCT(($C$17581:$C$17590=C17586)*$C$17570:$C$17579)</f>
        <v>1932.267137291</v>
      </c>
    </row>
    <row r="17609" customFormat="false" ht="15" hidden="false" customHeight="false" outlineLevel="0" collapsed="false">
      <c r="A17609" s="3" t="s">
        <v>562</v>
      </c>
      <c r="C17609" s="16" t="n">
        <f aca="false">SUMPRODUCT(($C$17581:$C$17590=C17587)*$C$17570:$C$17579)</f>
        <v>1932.267137291</v>
      </c>
    </row>
    <row r="17610" customFormat="false" ht="15" hidden="false" customHeight="false" outlineLevel="0" collapsed="false">
      <c r="A17610" s="3" t="s">
        <v>563</v>
      </c>
      <c r="C17610" s="16" t="n">
        <f aca="false">SUMPRODUCT(($C$17581:$C$17590=C17588)*$C$17570:$C$17579)</f>
        <v>1932.267137291</v>
      </c>
    </row>
    <row r="17611" customFormat="false" ht="15" hidden="false" customHeight="false" outlineLevel="0" collapsed="false">
      <c r="A17611" s="3" t="s">
        <v>564</v>
      </c>
      <c r="C17611" s="16" t="n">
        <f aca="false">SUMPRODUCT(($C$17581:$C$17590=C17589)*$C$17570:$C$17579)</f>
        <v>1932.267137291</v>
      </c>
    </row>
    <row r="17612" customFormat="false" ht="15" hidden="false" customHeight="false" outlineLevel="0" collapsed="false">
      <c r="A17612" s="3" t="s">
        <v>565</v>
      </c>
      <c r="C17612" s="16" t="n">
        <f aca="false">SUMPRODUCT(($C$17581:$C$17590=C17590)*$C$17570:$C$17579)</f>
        <v>78.61</v>
      </c>
    </row>
    <row r="17613" customFormat="false" ht="15" hidden="false" customHeight="false" outlineLevel="0" collapsed="false">
      <c r="A17613" s="24" t="s">
        <v>574</v>
      </c>
      <c r="B17613" s="25"/>
      <c r="C17613" s="25"/>
      <c r="D17613" s="25"/>
      <c r="E17613" s="25"/>
      <c r="F17613" s="25"/>
      <c r="G17613" s="25"/>
      <c r="H17613" s="25"/>
      <c r="I17613" s="25"/>
      <c r="J17613" s="25"/>
      <c r="K17613" s="25"/>
    </row>
    <row r="17614" customFormat="false" ht="15" hidden="false" customHeight="false" outlineLevel="0" collapsed="false">
      <c r="A17614" s="3" t="s">
        <v>556</v>
      </c>
      <c r="C17614" s="16" t="n">
        <f aca="false">IF(C17603=0,0,C17570/C17603*MAX(0,MIN(C17603,$C$17513-SUM($C$17548:$C$17557)-C17592)))</f>
        <v>0</v>
      </c>
    </row>
    <row r="17615" customFormat="false" ht="15" hidden="false" customHeight="false" outlineLevel="0" collapsed="false">
      <c r="A17615" s="3" t="s">
        <v>557</v>
      </c>
      <c r="C17615" s="16" t="n">
        <f aca="false">IF(C17604=0,0,C17571/C17604*MAX(0,MIN(C17604,$C$17513-SUM($C$17548:$C$17557)-C17593)))</f>
        <v>0</v>
      </c>
    </row>
    <row r="17616" customFormat="false" ht="15" hidden="false" customHeight="false" outlineLevel="0" collapsed="false">
      <c r="A17616" s="3" t="s">
        <v>558</v>
      </c>
      <c r="C17616" s="16" t="n">
        <f aca="false">IF(C17605=0,0,C17572/C17605*MAX(0,MIN(C17605,$C$17513-SUM($C$17548:$C$17557)-C17594)))</f>
        <v>0</v>
      </c>
    </row>
    <row r="17617" customFormat="false" ht="15" hidden="false" customHeight="false" outlineLevel="0" collapsed="false">
      <c r="A17617" s="3" t="s">
        <v>559</v>
      </c>
      <c r="C17617" s="16" t="n">
        <f aca="false">IF(C17606=0,0,C17573/C17606*MAX(0,MIN(C17606,$C$17513-SUM($C$17548:$C$17557)-C17595)))</f>
        <v>0</v>
      </c>
    </row>
    <row r="17618" customFormat="false" ht="15" hidden="false" customHeight="false" outlineLevel="0" collapsed="false">
      <c r="A17618" s="3" t="s">
        <v>560</v>
      </c>
      <c r="C17618" s="16" t="n">
        <f aca="false">IF(C17607=0,0,C17574/C17607*MAX(0,MIN(C17607,$C$17513-SUM($C$17548:$C$17557)-C17596)))</f>
        <v>382.267137291</v>
      </c>
    </row>
    <row r="17619" customFormat="false" ht="15" hidden="false" customHeight="false" outlineLevel="0" collapsed="false">
      <c r="A17619" s="3" t="s">
        <v>561</v>
      </c>
      <c r="C17619" s="16" t="n">
        <f aca="false">IF(C17608=0,0,C17575/C17608*MAX(0,MIN(C17608,$C$17513-SUM($C$17548:$C$17557)-C17597)))</f>
        <v>350</v>
      </c>
    </row>
    <row r="17620" customFormat="false" ht="15" hidden="false" customHeight="false" outlineLevel="0" collapsed="false">
      <c r="A17620" s="3" t="s">
        <v>562</v>
      </c>
      <c r="C17620" s="16" t="n">
        <f aca="false">IF(C17609=0,0,C17576/C17609*MAX(0,MIN(C17609,$C$17513-SUM($C$17548:$C$17557)-C17598)))</f>
        <v>550</v>
      </c>
    </row>
    <row r="17621" customFormat="false" ht="15" hidden="false" customHeight="false" outlineLevel="0" collapsed="false">
      <c r="A17621" s="3" t="s">
        <v>563</v>
      </c>
      <c r="C17621" s="16" t="n">
        <f aca="false">IF(C17610=0,0,C17577/C17610*MAX(0,MIN(C17610,$C$17513-SUM($C$17548:$C$17557)-C17599)))</f>
        <v>350</v>
      </c>
    </row>
    <row r="17622" customFormat="false" ht="15" hidden="false" customHeight="false" outlineLevel="0" collapsed="false">
      <c r="A17622" s="3" t="s">
        <v>564</v>
      </c>
      <c r="C17622" s="16" t="n">
        <f aca="false">IF(C17611=0,0,C17578/C17611*MAX(0,MIN(C17611,$C$17513-SUM($C$17548:$C$17557)-C17600)))</f>
        <v>300</v>
      </c>
    </row>
    <row r="17623" customFormat="false" ht="15" hidden="false" customHeight="false" outlineLevel="0" collapsed="false">
      <c r="A17623" s="3" t="s">
        <v>565</v>
      </c>
      <c r="C17623" s="16" t="n">
        <f aca="false">IF(C17612=0,0,C17579/C17612*MAX(0,MIN(C17612,$C$17513-SUM($C$17548:$C$17557)-C17601)))</f>
        <v>78.61</v>
      </c>
    </row>
    <row r="17624" customFormat="false" ht="15" hidden="false" customHeight="false" outlineLevel="0" collapsed="false">
      <c r="A17624" s="24" t="s">
        <v>575</v>
      </c>
      <c r="B17624" s="25"/>
      <c r="C17624" s="25"/>
      <c r="D17624" s="25"/>
      <c r="E17624" s="25"/>
      <c r="F17624" s="25"/>
      <c r="G17624" s="25"/>
      <c r="H17624" s="25"/>
      <c r="I17624" s="25"/>
      <c r="J17624" s="25"/>
      <c r="K17624" s="25"/>
    </row>
    <row r="17625" customFormat="false" ht="15" hidden="false" customHeight="false" outlineLevel="0" collapsed="false">
      <c r="A17625" s="2" t="s">
        <v>556</v>
      </c>
      <c r="C17625" s="17" t="n">
        <f aca="false">C17548+C17614</f>
        <v>388</v>
      </c>
    </row>
    <row r="17626" customFormat="false" ht="15" hidden="false" customHeight="false" outlineLevel="0" collapsed="false">
      <c r="A17626" s="2" t="s">
        <v>557</v>
      </c>
      <c r="C17626" s="17" t="n">
        <f aca="false">C17549+C17615</f>
        <v>90</v>
      </c>
    </row>
    <row r="17627" customFormat="false" ht="15" hidden="false" customHeight="false" outlineLevel="0" collapsed="false">
      <c r="A17627" s="2" t="s">
        <v>558</v>
      </c>
      <c r="C17627" s="17" t="n">
        <f aca="false">C17550+C17616</f>
        <v>57.324</v>
      </c>
    </row>
    <row r="17628" customFormat="false" ht="15" hidden="false" customHeight="false" outlineLevel="0" collapsed="false">
      <c r="A17628" s="2" t="s">
        <v>559</v>
      </c>
      <c r="C17628" s="17" t="n">
        <f aca="false">C17551+C17617</f>
        <v>0</v>
      </c>
    </row>
    <row r="17629" customFormat="false" ht="15" hidden="false" customHeight="false" outlineLevel="0" collapsed="false">
      <c r="A17629" s="2" t="s">
        <v>560</v>
      </c>
      <c r="C17629" s="17" t="n">
        <f aca="false">C17552+C17618</f>
        <v>382.267137291</v>
      </c>
    </row>
    <row r="17630" customFormat="false" ht="15" hidden="false" customHeight="false" outlineLevel="0" collapsed="false">
      <c r="A17630" s="2" t="s">
        <v>561</v>
      </c>
      <c r="C17630" s="17" t="n">
        <f aca="false">C17553+C17619</f>
        <v>350</v>
      </c>
    </row>
    <row r="17631" customFormat="false" ht="15" hidden="false" customHeight="false" outlineLevel="0" collapsed="false">
      <c r="A17631" s="2" t="s">
        <v>562</v>
      </c>
      <c r="C17631" s="17" t="n">
        <f aca="false">C17554+C17620</f>
        <v>550</v>
      </c>
    </row>
    <row r="17632" customFormat="false" ht="15" hidden="false" customHeight="false" outlineLevel="0" collapsed="false">
      <c r="A17632" s="2" t="s">
        <v>563</v>
      </c>
      <c r="C17632" s="17" t="n">
        <f aca="false">C17555+C17621</f>
        <v>350</v>
      </c>
    </row>
    <row r="17633" customFormat="false" ht="15" hidden="false" customHeight="false" outlineLevel="0" collapsed="false">
      <c r="A17633" s="2" t="s">
        <v>564</v>
      </c>
      <c r="C17633" s="17" t="n">
        <f aca="false">C17556+C17622</f>
        <v>300</v>
      </c>
    </row>
    <row r="17634" customFormat="false" ht="15" hidden="false" customHeight="false" outlineLevel="0" collapsed="false">
      <c r="A17634" s="2" t="s">
        <v>565</v>
      </c>
      <c r="C17634" s="17" t="n">
        <f aca="false">C17557+C17623</f>
        <v>78.61</v>
      </c>
    </row>
    <row r="17635" customFormat="false" ht="15" hidden="false" customHeight="false" outlineLevel="0" collapsed="false">
      <c r="A17635" s="24" t="s">
        <v>576</v>
      </c>
      <c r="B17635" s="25"/>
      <c r="C17635" s="25"/>
      <c r="D17635" s="25"/>
      <c r="E17635" s="25"/>
      <c r="F17635" s="25"/>
      <c r="G17635" s="25"/>
      <c r="H17635" s="25"/>
      <c r="I17635" s="25"/>
      <c r="J17635" s="25"/>
      <c r="K17635" s="25"/>
    </row>
    <row r="17636" customFormat="false" ht="15" hidden="false" customHeight="false" outlineLevel="0" collapsed="false">
      <c r="A17636" s="3" t="s">
        <v>556</v>
      </c>
      <c r="C17636" s="22" t="n">
        <f aca="false">IF(C17515=0,1,C17625/C17515)</f>
        <v>1</v>
      </c>
    </row>
    <row r="17637" customFormat="false" ht="15" hidden="false" customHeight="false" outlineLevel="0" collapsed="false">
      <c r="A17637" s="3" t="s">
        <v>557</v>
      </c>
      <c r="C17637" s="22" t="n">
        <f aca="false">IF(C17516=0,1,C17626/C17516)</f>
        <v>1</v>
      </c>
    </row>
    <row r="17638" customFormat="false" ht="15" hidden="false" customHeight="false" outlineLevel="0" collapsed="false">
      <c r="A17638" s="3" t="s">
        <v>558</v>
      </c>
      <c r="C17638" s="22" t="n">
        <f aca="false">IF(C17517=0,1,C17627/C17517)</f>
        <v>1</v>
      </c>
    </row>
    <row r="17639" customFormat="false" ht="15" hidden="false" customHeight="false" outlineLevel="0" collapsed="false">
      <c r="A17639" s="3" t="s">
        <v>559</v>
      </c>
      <c r="C17639" s="22" t="n">
        <f aca="false">IF(C17518=0,1,C17628/C17518)</f>
        <v>1</v>
      </c>
    </row>
    <row r="17640" customFormat="false" ht="15" hidden="false" customHeight="false" outlineLevel="0" collapsed="false">
      <c r="A17640" s="3" t="s">
        <v>560</v>
      </c>
      <c r="C17640" s="22" t="n">
        <f aca="false">IF(C17519=0,1,C17629/C17519)</f>
        <v>1</v>
      </c>
    </row>
    <row r="17641" customFormat="false" ht="15" hidden="false" customHeight="false" outlineLevel="0" collapsed="false">
      <c r="A17641" s="3" t="s">
        <v>561</v>
      </c>
      <c r="C17641" s="22" t="n">
        <f aca="false">IF(C17520=0,1,C17630/C17520)</f>
        <v>1</v>
      </c>
    </row>
    <row r="17642" customFormat="false" ht="15" hidden="false" customHeight="false" outlineLevel="0" collapsed="false">
      <c r="A17642" s="3" t="s">
        <v>562</v>
      </c>
      <c r="C17642" s="22" t="n">
        <f aca="false">IF(C17521=0,1,C17631/C17521)</f>
        <v>1</v>
      </c>
    </row>
    <row r="17643" customFormat="false" ht="15" hidden="false" customHeight="false" outlineLevel="0" collapsed="false">
      <c r="A17643" s="3" t="s">
        <v>563</v>
      </c>
      <c r="C17643" s="22" t="n">
        <f aca="false">IF(C17522=0,1,C17632/C17522)</f>
        <v>1</v>
      </c>
    </row>
    <row r="17644" customFormat="false" ht="15" hidden="false" customHeight="false" outlineLevel="0" collapsed="false">
      <c r="A17644" s="3" t="s">
        <v>564</v>
      </c>
      <c r="C17644" s="22" t="n">
        <f aca="false">IF(C17523=0,1,C17633/C17523)</f>
        <v>1</v>
      </c>
    </row>
    <row r="17645" customFormat="false" ht="15" hidden="false" customHeight="false" outlineLevel="0" collapsed="false">
      <c r="A17645" s="3" t="s">
        <v>565</v>
      </c>
      <c r="C17645" s="22" t="n">
        <f aca="false">IF(C17524=0,1,C17634/C17524)</f>
        <v>1</v>
      </c>
    </row>
    <row r="17646" customFormat="false" ht="15" hidden="false" customHeight="false" outlineLevel="0" collapsed="false">
      <c r="A17646" s="24" t="s">
        <v>577</v>
      </c>
      <c r="B17646" s="25"/>
      <c r="C17646" s="25"/>
      <c r="D17646" s="25"/>
      <c r="E17646" s="25"/>
      <c r="F17646" s="25"/>
      <c r="G17646" s="25"/>
      <c r="H17646" s="25"/>
      <c r="I17646" s="25"/>
      <c r="J17646" s="25"/>
      <c r="K17646" s="25"/>
    </row>
    <row r="17647" customFormat="false" ht="15" hidden="false" customHeight="false" outlineLevel="0" collapsed="false">
      <c r="A17647" s="3" t="s">
        <v>556</v>
      </c>
      <c r="C17647" s="16" t="n">
        <f aca="false">C17515-C17625</f>
        <v>0</v>
      </c>
    </row>
    <row r="17648" customFormat="false" ht="15" hidden="false" customHeight="false" outlineLevel="0" collapsed="false">
      <c r="A17648" s="3" t="s">
        <v>557</v>
      </c>
      <c r="C17648" s="16" t="n">
        <f aca="false">C17516-C17626</f>
        <v>0</v>
      </c>
    </row>
    <row r="17649" customFormat="false" ht="15" hidden="false" customHeight="false" outlineLevel="0" collapsed="false">
      <c r="A17649" s="3" t="s">
        <v>558</v>
      </c>
      <c r="C17649" s="16" t="n">
        <f aca="false">C17517-C17627</f>
        <v>0</v>
      </c>
    </row>
    <row r="17650" customFormat="false" ht="15" hidden="false" customHeight="false" outlineLevel="0" collapsed="false">
      <c r="A17650" s="3" t="s">
        <v>559</v>
      </c>
      <c r="C17650" s="16" t="n">
        <f aca="false">C17518-C17628</f>
        <v>0</v>
      </c>
    </row>
    <row r="17651" customFormat="false" ht="15" hidden="false" customHeight="false" outlineLevel="0" collapsed="false">
      <c r="A17651" s="3" t="s">
        <v>560</v>
      </c>
      <c r="C17651" s="16" t="n">
        <f aca="false">C17519-C17629</f>
        <v>0</v>
      </c>
    </row>
    <row r="17652" customFormat="false" ht="15" hidden="false" customHeight="false" outlineLevel="0" collapsed="false">
      <c r="A17652" s="3" t="s">
        <v>561</v>
      </c>
      <c r="C17652" s="16" t="n">
        <f aca="false">C17520-C17630</f>
        <v>0</v>
      </c>
    </row>
    <row r="17653" customFormat="false" ht="15" hidden="false" customHeight="false" outlineLevel="0" collapsed="false">
      <c r="A17653" s="3" t="s">
        <v>562</v>
      </c>
      <c r="C17653" s="16" t="n">
        <f aca="false">C17521-C17631</f>
        <v>0</v>
      </c>
    </row>
    <row r="17654" customFormat="false" ht="15" hidden="false" customHeight="false" outlineLevel="0" collapsed="false">
      <c r="A17654" s="3" t="s">
        <v>563</v>
      </c>
      <c r="C17654" s="16" t="n">
        <f aca="false">C17522-C17632</f>
        <v>0</v>
      </c>
    </row>
    <row r="17655" customFormat="false" ht="15" hidden="false" customHeight="false" outlineLevel="0" collapsed="false">
      <c r="A17655" s="3" t="s">
        <v>564</v>
      </c>
      <c r="C17655" s="16" t="n">
        <f aca="false">C17523-C17633</f>
        <v>0</v>
      </c>
    </row>
    <row r="17656" customFormat="false" ht="15" hidden="false" customHeight="false" outlineLevel="0" collapsed="false">
      <c r="A17656" s="3" t="s">
        <v>565</v>
      </c>
      <c r="C17656" s="16" t="n">
        <f aca="false">C17524-C17634</f>
        <v>0</v>
      </c>
    </row>
    <row r="17657" customFormat="false" ht="15" hidden="false" customHeight="false" outlineLevel="0" collapsed="false">
      <c r="A17657" s="24" t="s">
        <v>578</v>
      </c>
      <c r="B17657" s="25"/>
      <c r="C17657" s="25"/>
      <c r="D17657" s="25"/>
      <c r="E17657" s="25"/>
      <c r="F17657" s="25"/>
      <c r="G17657" s="25"/>
      <c r="H17657" s="25"/>
      <c r="I17657" s="25"/>
      <c r="J17657" s="25"/>
      <c r="K17657" s="25"/>
    </row>
    <row r="17658" customFormat="false" ht="15" hidden="false" customHeight="false" outlineLevel="0" collapsed="false">
      <c r="A17658" s="3" t="s">
        <v>556</v>
      </c>
      <c r="C17658" s="22" t="n">
        <f aca="false">IF(C17515=0,0,C17647/C17515)</f>
        <v>0</v>
      </c>
    </row>
    <row r="17659" customFormat="false" ht="15" hidden="false" customHeight="false" outlineLevel="0" collapsed="false">
      <c r="A17659" s="3" t="s">
        <v>557</v>
      </c>
      <c r="C17659" s="22" t="n">
        <f aca="false">IF(C17516=0,0,C17648/C17516)</f>
        <v>0</v>
      </c>
    </row>
    <row r="17660" customFormat="false" ht="15" hidden="false" customHeight="false" outlineLevel="0" collapsed="false">
      <c r="A17660" s="3" t="s">
        <v>558</v>
      </c>
      <c r="C17660" s="22" t="n">
        <f aca="false">IF(C17517=0,0,C17649/C17517)</f>
        <v>0</v>
      </c>
    </row>
    <row r="17661" customFormat="false" ht="15" hidden="false" customHeight="false" outlineLevel="0" collapsed="false">
      <c r="A17661" s="3" t="s">
        <v>559</v>
      </c>
      <c r="C17661" s="22" t="n">
        <f aca="false">IF(C17518=0,0,C17650/C17518)</f>
        <v>0</v>
      </c>
    </row>
    <row r="17662" customFormat="false" ht="15" hidden="false" customHeight="false" outlineLevel="0" collapsed="false">
      <c r="A17662" s="3" t="s">
        <v>560</v>
      </c>
      <c r="C17662" s="22" t="n">
        <f aca="false">IF(C17519=0,0,C17651/C17519)</f>
        <v>0</v>
      </c>
    </row>
    <row r="17663" customFormat="false" ht="15" hidden="false" customHeight="false" outlineLevel="0" collapsed="false">
      <c r="A17663" s="3" t="s">
        <v>561</v>
      </c>
      <c r="C17663" s="22" t="n">
        <f aca="false">IF(C17520=0,0,C17652/C17520)</f>
        <v>0</v>
      </c>
    </row>
    <row r="17664" customFormat="false" ht="15" hidden="false" customHeight="false" outlineLevel="0" collapsed="false">
      <c r="A17664" s="3" t="s">
        <v>562</v>
      </c>
      <c r="C17664" s="22" t="n">
        <f aca="false">IF(C17521=0,0,C17653/C17521)</f>
        <v>0</v>
      </c>
    </row>
    <row r="17665" customFormat="false" ht="15" hidden="false" customHeight="false" outlineLevel="0" collapsed="false">
      <c r="A17665" s="3" t="s">
        <v>563</v>
      </c>
      <c r="C17665" s="22" t="n">
        <f aca="false">IF(C17522=0,0,C17654/C17522)</f>
        <v>0</v>
      </c>
    </row>
    <row r="17666" customFormat="false" ht="15" hidden="false" customHeight="false" outlineLevel="0" collapsed="false">
      <c r="A17666" s="3" t="s">
        <v>564</v>
      </c>
      <c r="C17666" s="22" t="n">
        <f aca="false">IF(C17523=0,0,C17655/C17523)</f>
        <v>0</v>
      </c>
    </row>
    <row r="17667" customFormat="false" ht="15" hidden="false" customHeight="false" outlineLevel="0" collapsed="false">
      <c r="A17667" s="3" t="s">
        <v>565</v>
      </c>
      <c r="C17667" s="22" t="n">
        <f aca="false">IF(C17524=0,0,C17656/C17524)</f>
        <v>0</v>
      </c>
    </row>
    <row r="17668" customFormat="false" ht="15" hidden="false" customHeight="false" outlineLevel="0" collapsed="false">
      <c r="A17668" s="2" t="s">
        <v>579</v>
      </c>
      <c r="C17668" s="17" t="n">
        <f aca="false">MAX(0,$C$17513-SUM($C$17548:$C$17557)-SUM($C$17570:$C$17579))</f>
        <v>272.45522772965</v>
      </c>
    </row>
    <row r="17669" customFormat="false" ht="15" hidden="false" customHeight="false" outlineLevel="0" collapsed="false">
      <c r="A17669" s="3" t="s">
        <v>597</v>
      </c>
      <c r="C17669" s="35" t="n">
        <f aca="false">MIN(C17512,100*CHOOSE(C17502,C17636,C17637,C17638,C17639,C17640,C17641,C17642,C17643,C17644,C17645))</f>
        <v>95</v>
      </c>
    </row>
    <row r="17670" customFormat="false" ht="15" hidden="false" customHeight="false" outlineLevel="0" collapsed="false">
      <c r="A17670" s="3" t="s">
        <v>598</v>
      </c>
      <c r="C17670" s="21" t="n">
        <f aca="false">IF(C17334=1,C17507+Assumptions!$C$40,C17506)</f>
        <v>3</v>
      </c>
    </row>
    <row r="17671" customFormat="false" ht="15" hidden="false" customHeight="false" outlineLevel="0" collapsed="false">
      <c r="A17671" s="24" t="s">
        <v>599</v>
      </c>
      <c r="B17671" s="25"/>
      <c r="C17671" s="25"/>
      <c r="D17671" s="25"/>
      <c r="E17671" s="25"/>
      <c r="F17671" s="25"/>
      <c r="G17671" s="25"/>
      <c r="H17671" s="25"/>
      <c r="I17671" s="25"/>
      <c r="J17671" s="25"/>
      <c r="K17671" s="25"/>
    </row>
    <row r="17672" customFormat="false" ht="15" hidden="false" customHeight="false" outlineLevel="0" collapsed="false">
      <c r="A17672" s="3" t="s">
        <v>600</v>
      </c>
      <c r="C17672" s="21" t="n">
        <f aca="false">COLUMN()-COLUMN($C$1)</f>
        <v>0</v>
      </c>
      <c r="D17672" s="21" t="n">
        <f aca="false">COLUMN()-COLUMN($C$1)</f>
        <v>1</v>
      </c>
      <c r="E17672" s="21" t="n">
        <f aca="false">COLUMN()-COLUMN($C$1)</f>
        <v>2</v>
      </c>
      <c r="F17672" s="21" t="n">
        <f aca="false">COLUMN()-COLUMN($C$1)</f>
        <v>3</v>
      </c>
      <c r="G17672" s="21" t="n">
        <f aca="false">COLUMN()-COLUMN($C$1)</f>
        <v>4</v>
      </c>
      <c r="H17672" s="21" t="n">
        <f aca="false">COLUMN()-COLUMN($C$1)</f>
        <v>5</v>
      </c>
      <c r="I17672" s="21" t="n">
        <f aca="false">COLUMN()-COLUMN($C$1)</f>
        <v>6</v>
      </c>
    </row>
    <row r="17673" customFormat="false" ht="15" hidden="false" customHeight="false" outlineLevel="0" collapsed="false">
      <c r="A17673" s="3" t="s">
        <v>601</v>
      </c>
      <c r="D17673" s="31" t="n">
        <f aca="false">CHOOSE($C$17502,G17082,G17095,G17108,G17121,G17134,G17147,G17160,G17173,G17186,G17199)</f>
        <v>0.1065</v>
      </c>
      <c r="E17673" s="31" t="n">
        <f aca="false">CHOOSE($C$17502,H17082,H17095,H17108,H17121,H17134,H17147,H17160,H17173,H17186,H17199)</f>
        <v>0.105</v>
      </c>
      <c r="F17673" s="31" t="n">
        <f aca="false">CHOOSE($C$17502,I17082,I17095,I17108,I17121,I17134,I17147,I17160,I17173,I17186,I17199)</f>
        <v>0.1025</v>
      </c>
      <c r="G17673" s="31" t="n">
        <f aca="false">CHOOSE($C$17502,J17082,J17095,J17108,J17121,J17134,J17147,J17160,J17173,J17186,J17199)</f>
        <v>0.1025</v>
      </c>
      <c r="H17673" s="31" t="n">
        <f aca="false">CHOOSE($C$17502,K17082,K17095,K17108,K17121,K17134,K17147,K17160,K17173,K17186,K17199)</f>
        <v>0.1025</v>
      </c>
    </row>
    <row r="17674" customFormat="false" ht="15" hidden="false" customHeight="false" outlineLevel="0" collapsed="false">
      <c r="A17674" s="3" t="s">
        <v>602</v>
      </c>
      <c r="D17674" s="16" t="n">
        <f aca="false">IF(D17672&lt;=$C$17511,$C$17503*D17673,0)</f>
        <v>10.65</v>
      </c>
      <c r="E17674" s="16" t="n">
        <f aca="false">IF(E17672&lt;=$C$17511,$C$17503*E17673,0)</f>
        <v>10.5</v>
      </c>
      <c r="F17674" s="16" t="n">
        <f aca="false">IF(F17672&lt;=$C$17511,$C$17503*F17673,0)</f>
        <v>0</v>
      </c>
      <c r="G17674" s="16" t="n">
        <f aca="false">IF(G17672&lt;=$C$17511,$C$17503*G17673,0)</f>
        <v>0</v>
      </c>
      <c r="H17674" s="16" t="n">
        <f aca="false">IF(H17672&lt;=$C$17511,$C$17503*H17673,0)</f>
        <v>0</v>
      </c>
    </row>
    <row r="17675" customFormat="false" ht="15" hidden="false" customHeight="false" outlineLevel="0" collapsed="false">
      <c r="A17675" s="3" t="s">
        <v>603</v>
      </c>
      <c r="D17675" s="16" t="n">
        <f aca="false">IF(AND($C$17334=0,D17672=$C$17506),$C$17503*$C$17669/100,0)+IF(AND($C$17334=1,D17672=$C$17670),$C$17509,0)</f>
        <v>0</v>
      </c>
      <c r="E17675" s="16" t="n">
        <f aca="false">IF(AND($C$17334=0,E17672=$C$17506),$C$17503*$C$17669/100,0)+IF(AND($C$17334=1,E17672=$C$17670),$C$17509,0)</f>
        <v>0</v>
      </c>
      <c r="F17675" s="16" t="n">
        <f aca="false">IF(AND($C$17334=0,F17672=$C$17506),$C$17503*$C$17669/100,0)+IF(AND($C$17334=1,F17672=$C$17670),$C$17509,0)</f>
        <v>102.625</v>
      </c>
      <c r="G17675" s="16" t="n">
        <f aca="false">IF(AND($C$17334=0,G17672=$C$17506),$C$17503*$C$17669/100,0)+IF(AND($C$17334=1,G17672=$C$17670),$C$17509,0)</f>
        <v>0</v>
      </c>
      <c r="H17675" s="16" t="n">
        <f aca="false">IF(AND($C$17334=0,H17672=$C$17506),$C$17503*$C$17669/100,0)+IF(AND($C$17334=1,H17672=$C$17670),$C$17509,0)</f>
        <v>0</v>
      </c>
      <c r="I17675" s="16" t="n">
        <f aca="false">IF(AND($C$17334=0,I17672=$C$17506),$C$17503*$C$17669/100,0)+IF(AND($C$17334=1,I17672=$C$17670),$C$17509,0)</f>
        <v>0</v>
      </c>
    </row>
    <row r="17676" customFormat="false" ht="15" hidden="false" customHeight="false" outlineLevel="0" collapsed="false">
      <c r="A17676" s="2" t="s">
        <v>604</v>
      </c>
      <c r="C17676" s="17" t="n">
        <f aca="false">-$C$17505</f>
        <v>-98.49</v>
      </c>
      <c r="D17676" s="17" t="n">
        <f aca="false">D17674+D17675</f>
        <v>10.65</v>
      </c>
      <c r="E17676" s="17" t="n">
        <f aca="false">E17674+E17675</f>
        <v>10.5</v>
      </c>
      <c r="F17676" s="17" t="n">
        <f aca="false">F17674+F17675</f>
        <v>102.625</v>
      </c>
      <c r="G17676" s="17" t="n">
        <f aca="false">G17674+G17675</f>
        <v>0</v>
      </c>
      <c r="H17676" s="17" t="n">
        <f aca="false">H17674+H17675</f>
        <v>0</v>
      </c>
      <c r="I17676" s="17" t="n">
        <f aca="false">I17674+I17675</f>
        <v>0</v>
      </c>
    </row>
    <row r="17677" customFormat="false" ht="15" hidden="false" customHeight="false" outlineLevel="0" collapsed="false">
      <c r="A17677" s="3" t="s">
        <v>605</v>
      </c>
      <c r="C17677" s="16" t="n">
        <f aca="false">SUM($C$17674:$I$17674)</f>
        <v>21.15</v>
      </c>
    </row>
    <row r="17678" customFormat="false" ht="15" hidden="false" customHeight="false" outlineLevel="0" collapsed="false">
      <c r="A17678" s="3" t="s">
        <v>606</v>
      </c>
      <c r="C17678" s="16" t="n">
        <f aca="false">SUM($C$17675:$I$17675)</f>
        <v>102.625</v>
      </c>
    </row>
    <row r="17679" customFormat="false" ht="15" hidden="false" customHeight="false" outlineLevel="0" collapsed="false">
      <c r="A17679" s="3" t="s">
        <v>607</v>
      </c>
      <c r="C17679" s="16" t="n">
        <f aca="false">C17677+C17678</f>
        <v>123.775</v>
      </c>
    </row>
    <row r="17680" customFormat="false" ht="15" hidden="false" customHeight="false" outlineLevel="0" collapsed="false">
      <c r="A17680" s="3" t="s">
        <v>608</v>
      </c>
      <c r="C17680" s="16" t="n">
        <f aca="false">C17678-C17503*C17504/100</f>
        <v>4.62500000000001</v>
      </c>
    </row>
    <row r="17681" customFormat="false" ht="15" hidden="false" customHeight="false" outlineLevel="0" collapsed="false">
      <c r="A17681" s="3" t="s">
        <v>609</v>
      </c>
      <c r="C17681" s="16" t="n">
        <f aca="false">C17679-C17505</f>
        <v>25.285</v>
      </c>
    </row>
    <row r="17682" customFormat="false" ht="15" hidden="false" customHeight="false" outlineLevel="0" collapsed="false">
      <c r="A17682" s="2" t="s">
        <v>484</v>
      </c>
      <c r="C17682" s="44" t="n">
        <f aca="false">C17679/C17505</f>
        <v>1.25672657122551</v>
      </c>
    </row>
    <row r="17683" customFormat="false" ht="15" hidden="false" customHeight="false" outlineLevel="0" collapsed="false">
      <c r="A17683" s="2" t="s">
        <v>483</v>
      </c>
      <c r="C17683" s="42" t="n">
        <f aca="false">IF(C17679&lt;=0,-1,IFERROR(IRR($C$17676:$I$17676,MAX(-0.9,C17682^(1/C17670)-1)),IRR($C$17676:$I$17676,0.1)))</f>
        <v>0.0873962489027792</v>
      </c>
    </row>
    <row r="17684" customFormat="false" ht="15" hidden="false" customHeight="false" outlineLevel="0" collapsed="false">
      <c r="A17684" s="3" t="s">
        <v>610</v>
      </c>
      <c r="C17684" s="32" t="n">
        <f aca="false">MAX($G$17278:$K$17278)</f>
        <v>10.4499517930754</v>
      </c>
    </row>
    <row r="17685" customFormat="false" ht="15" hidden="false" customHeight="false" outlineLevel="0" collapsed="false">
      <c r="A17685" s="3" t="s">
        <v>611</v>
      </c>
      <c r="C17685" s="32" t="n">
        <f aca="false">MIN($G$17279:$K$17279)</f>
        <v>1.31027278468687</v>
      </c>
    </row>
    <row r="17686" customFormat="false" ht="15" hidden="false" customHeight="false" outlineLevel="0" collapsed="false">
      <c r="A17686" s="3" t="s">
        <v>612</v>
      </c>
      <c r="C17686" s="16" t="n">
        <f aca="false">SUM($G$17066:$K$17066)</f>
        <v>-219.197254875669</v>
      </c>
    </row>
    <row r="17690" customFormat="false" ht="15" hidden="false" customHeight="false" outlineLevel="0" collapsed="false">
      <c r="A17690" s="9" t="s">
        <v>1157</v>
      </c>
      <c r="B17690" s="10"/>
      <c r="C17690" s="10"/>
      <c r="D17690" s="10"/>
      <c r="E17690" s="10"/>
      <c r="F17690" s="10"/>
      <c r="G17690" s="10"/>
      <c r="H17690" s="10"/>
      <c r="I17690" s="10"/>
      <c r="J17690" s="10"/>
      <c r="K17690" s="10"/>
    </row>
    <row r="17691" customFormat="false" ht="15" hidden="false" customHeight="false" outlineLevel="0" collapsed="false">
      <c r="A17691" s="3" t="s">
        <v>1126</v>
      </c>
      <c r="C17691" s="11" t="n">
        <v>2</v>
      </c>
    </row>
    <row r="17692" customFormat="false" ht="15" hidden="false" customHeight="false" outlineLevel="0" collapsed="false">
      <c r="A17692" s="3" t="s">
        <v>1127</v>
      </c>
      <c r="C17692" s="30" t="n">
        <f aca="false">Sensitivities!$A$44</f>
        <v>0.1</v>
      </c>
    </row>
    <row r="17693" customFormat="false" ht="15" hidden="false" customHeight="false" outlineLevel="0" collapsed="false">
      <c r="A17693" s="3" t="s">
        <v>1128</v>
      </c>
      <c r="C17693" s="19" t="n">
        <v>0</v>
      </c>
    </row>
    <row r="17694" customFormat="false" ht="15" hidden="false" customHeight="false" outlineLevel="0" collapsed="false">
      <c r="A17694" s="3" t="s">
        <v>1129</v>
      </c>
      <c r="C17694" s="19" t="n">
        <v>0</v>
      </c>
    </row>
    <row r="17695" customFormat="false" ht="15" hidden="false" customHeight="false" outlineLevel="0" collapsed="false">
      <c r="A17695" s="3" t="s">
        <v>1130</v>
      </c>
      <c r="C17695" s="15" t="n">
        <v>0</v>
      </c>
    </row>
    <row r="17697" customFormat="false" ht="15" hidden="false" customHeight="false" outlineLevel="0" collapsed="false">
      <c r="A17697" s="24" t="s">
        <v>301</v>
      </c>
      <c r="B17697" s="25"/>
      <c r="C17697" s="25"/>
      <c r="D17697" s="25"/>
      <c r="E17697" s="25"/>
      <c r="F17697" s="25"/>
      <c r="G17697" s="25"/>
      <c r="H17697" s="25"/>
      <c r="I17697" s="25"/>
      <c r="J17697" s="25"/>
      <c r="K17697" s="25"/>
    </row>
    <row r="17698" customFormat="false" ht="15" hidden="false" customHeight="false" outlineLevel="0" collapsed="false">
      <c r="A17698" s="3" t="s">
        <v>302</v>
      </c>
      <c r="F17698" s="27" t="n">
        <f aca="false">Assumptions!$C$6</f>
        <v>2026</v>
      </c>
      <c r="G17698" s="21" t="n">
        <f aca="false">F17698+1</f>
        <v>2027</v>
      </c>
      <c r="H17698" s="21" t="n">
        <f aca="false">G17698+1</f>
        <v>2028</v>
      </c>
      <c r="I17698" s="21" t="n">
        <f aca="false">H17698+1</f>
        <v>2029</v>
      </c>
      <c r="J17698" s="21" t="n">
        <f aca="false">I17698+1</f>
        <v>2030</v>
      </c>
      <c r="K17698" s="21" t="n">
        <f aca="false">J17698+1</f>
        <v>2031</v>
      </c>
    </row>
    <row r="17699" customFormat="false" ht="15" hidden="false" customHeight="false" outlineLevel="0" collapsed="false">
      <c r="A17699" s="3" t="s">
        <v>303</v>
      </c>
      <c r="G17699" s="21" t="n">
        <f aca="false">G17698-Assumptions!$C$6</f>
        <v>1</v>
      </c>
      <c r="H17699" s="21" t="n">
        <f aca="false">H17698-Assumptions!$C$6</f>
        <v>2</v>
      </c>
      <c r="I17699" s="21" t="n">
        <f aca="false">I17698-Assumptions!$C$6</f>
        <v>3</v>
      </c>
      <c r="J17699" s="21" t="n">
        <f aca="false">J17698-Assumptions!$C$6</f>
        <v>4</v>
      </c>
      <c r="K17699" s="21" t="n">
        <f aca="false">K17698-Assumptions!$C$6</f>
        <v>5</v>
      </c>
    </row>
    <row r="17700" customFormat="false" ht="15" hidden="false" customHeight="false" outlineLevel="0" collapsed="false">
      <c r="A17700" s="3" t="s">
        <v>180</v>
      </c>
      <c r="G17700" s="22" t="n">
        <f aca="false">CHOOSE($C$17691,Assumptions!$G$79,Assumptions!$G$98,Assumptions!$G$117)+$C$17692</f>
        <v>0.04</v>
      </c>
      <c r="H17700" s="22" t="n">
        <f aca="false">CHOOSE($C$17691,Assumptions!$H$79,Assumptions!$H$98,Assumptions!$H$117)+$C$17692</f>
        <v>0.07</v>
      </c>
      <c r="I17700" s="22" t="n">
        <f aca="false">CHOOSE($C$17691,Assumptions!$I$79,Assumptions!$I$98,Assumptions!$I$117)+$C$17692</f>
        <v>0.1</v>
      </c>
      <c r="J17700" s="22" t="n">
        <f aca="false">CHOOSE($C$17691,Assumptions!$J$79,Assumptions!$J$98,Assumptions!$J$117)+$C$17692</f>
        <v>0.11</v>
      </c>
      <c r="K17700" s="22" t="n">
        <f aca="false">CHOOSE($C$17691,Assumptions!$K$79,Assumptions!$K$98,Assumptions!$K$117)+$C$17692</f>
        <v>0.11</v>
      </c>
    </row>
    <row r="17701" customFormat="false" ht="15" hidden="false" customHeight="false" outlineLevel="0" collapsed="false">
      <c r="A17701" s="3" t="s">
        <v>181</v>
      </c>
      <c r="G17701" s="22" t="n">
        <f aca="false">CHOOSE($C$17691,Assumptions!$G$80,Assumptions!$G$99,Assumptions!$G$118)</f>
        <v>0.573920660818678</v>
      </c>
      <c r="H17701" s="22" t="n">
        <f aca="false">CHOOSE($C$17691,Assumptions!$H$80,Assumptions!$H$99,Assumptions!$H$118)</f>
        <v>0.558920660818678</v>
      </c>
      <c r="I17701" s="22" t="n">
        <f aca="false">CHOOSE($C$17691,Assumptions!$I$80,Assumptions!$I$99,Assumptions!$I$118)</f>
        <v>0.558920660818678</v>
      </c>
      <c r="J17701" s="22" t="n">
        <f aca="false">CHOOSE($C$17691,Assumptions!$J$80,Assumptions!$J$99,Assumptions!$J$118)</f>
        <v>0.563920660818678</v>
      </c>
      <c r="K17701" s="22" t="n">
        <f aca="false">CHOOSE($C$17691,Assumptions!$K$80,Assumptions!$K$99,Assumptions!$K$118)</f>
        <v>0.568920660818678</v>
      </c>
    </row>
    <row r="17702" customFormat="false" ht="15" hidden="false" customHeight="false" outlineLevel="0" collapsed="false">
      <c r="A17702" s="3" t="s">
        <v>182</v>
      </c>
      <c r="G17702" s="22" t="n">
        <f aca="false">CHOOSE($C$17691,Assumptions!$G$81,Assumptions!$G$100,Assumptions!$G$119)+$C$17693</f>
        <v>0.5</v>
      </c>
      <c r="H17702" s="22" t="n">
        <f aca="false">CHOOSE($C$17691,Assumptions!$H$81,Assumptions!$H$100,Assumptions!$H$119)+$C$17693</f>
        <v>0.485</v>
      </c>
      <c r="I17702" s="22" t="n">
        <f aca="false">CHOOSE($C$17691,Assumptions!$I$81,Assumptions!$I$100,Assumptions!$I$119)+$C$17693</f>
        <v>0.485</v>
      </c>
      <c r="J17702" s="22" t="n">
        <f aca="false">CHOOSE($C$17691,Assumptions!$J$81,Assumptions!$J$100,Assumptions!$J$119)+$C$17693</f>
        <v>0.49</v>
      </c>
      <c r="K17702" s="22" t="n">
        <f aca="false">CHOOSE($C$17691,Assumptions!$K$81,Assumptions!$K$100,Assumptions!$K$119)+$C$17693</f>
        <v>0.495</v>
      </c>
    </row>
    <row r="17703" customFormat="false" ht="15" hidden="false" customHeight="false" outlineLevel="0" collapsed="false">
      <c r="A17703" s="24" t="s">
        <v>304</v>
      </c>
      <c r="B17703" s="25"/>
      <c r="C17703" s="25"/>
      <c r="D17703" s="25"/>
      <c r="E17703" s="25"/>
      <c r="F17703" s="25"/>
      <c r="G17703" s="25"/>
      <c r="H17703" s="25"/>
      <c r="I17703" s="25"/>
      <c r="J17703" s="25"/>
      <c r="K17703" s="25"/>
    </row>
    <row r="17704" customFormat="false" ht="15" hidden="false" customHeight="false" outlineLevel="0" collapsed="false">
      <c r="A17704" s="2" t="s">
        <v>275</v>
      </c>
      <c r="F17704" s="28" t="n">
        <f aca="false">'Historical Financials'!G25</f>
        <v>498.291</v>
      </c>
      <c r="G17704" s="17" t="n">
        <f aca="false">F17704*(1+G17700)</f>
        <v>518.22264</v>
      </c>
      <c r="H17704" s="17" t="n">
        <f aca="false">G17704*(1+H17700)</f>
        <v>554.4982248</v>
      </c>
      <c r="I17704" s="17" t="n">
        <f aca="false">H17704*(1+I17700)</f>
        <v>609.94804728</v>
      </c>
      <c r="J17704" s="17" t="n">
        <f aca="false">I17704*(1+J17700)</f>
        <v>677.0423324808</v>
      </c>
      <c r="K17704" s="17" t="n">
        <f aca="false">J17704*(1+K17700)</f>
        <v>751.516989053688</v>
      </c>
    </row>
    <row r="17705" customFormat="false" ht="15" hidden="false" customHeight="false" outlineLevel="0" collapsed="false">
      <c r="A17705" s="3" t="s">
        <v>276</v>
      </c>
      <c r="G17705" s="16" t="n">
        <f aca="false">G17704*(1-G17701)</f>
        <v>220.80396</v>
      </c>
      <c r="H17705" s="16" t="n">
        <f aca="false">H17704*(1-H17701)</f>
        <v>244.577710572</v>
      </c>
      <c r="I17705" s="16" t="n">
        <f aca="false">I17704*(1-I17701)</f>
        <v>269.0354816292</v>
      </c>
      <c r="J17705" s="16" t="n">
        <f aca="false">J17704*(1-J17701)</f>
        <v>295.244172946008</v>
      </c>
      <c r="K17705" s="16" t="n">
        <f aca="false">K17704*(1-K17701)</f>
        <v>323.963447024801</v>
      </c>
    </row>
    <row r="17706" customFormat="false" ht="15" hidden="false" customHeight="false" outlineLevel="0" collapsed="false">
      <c r="A17706" s="2" t="s">
        <v>277</v>
      </c>
      <c r="G17706" s="17" t="n">
        <f aca="false">G17704-G17705</f>
        <v>297.41868</v>
      </c>
      <c r="H17706" s="17" t="n">
        <f aca="false">H17704-H17705</f>
        <v>309.920514228</v>
      </c>
      <c r="I17706" s="17" t="n">
        <f aca="false">I17704-I17705</f>
        <v>340.9125656508</v>
      </c>
      <c r="J17706" s="17" t="n">
        <f aca="false">J17704-J17705</f>
        <v>381.798159534792</v>
      </c>
      <c r="K17706" s="17" t="n">
        <f aca="false">K17704-K17705</f>
        <v>427.553542028888</v>
      </c>
    </row>
    <row r="17707" customFormat="false" ht="15" hidden="false" customHeight="false" outlineLevel="0" collapsed="false">
      <c r="A17707" s="3" t="s">
        <v>305</v>
      </c>
      <c r="G17707" s="16" t="n">
        <f aca="false">G17706-G17708</f>
        <v>38.30736</v>
      </c>
      <c r="H17707" s="16" t="n">
        <f aca="false">H17706-H17708</f>
        <v>40.9888751999999</v>
      </c>
      <c r="I17707" s="16" t="n">
        <f aca="false">I17706-I17708</f>
        <v>45.08776272</v>
      </c>
      <c r="J17707" s="16" t="n">
        <f aca="false">J17706-J17708</f>
        <v>50.0474166192</v>
      </c>
      <c r="K17707" s="16" t="n">
        <f aca="false">K17706-K17708</f>
        <v>55.552632447312</v>
      </c>
    </row>
    <row r="17708" customFormat="false" ht="15" hidden="false" customHeight="false" outlineLevel="0" collapsed="false">
      <c r="A17708" s="2" t="s">
        <v>306</v>
      </c>
      <c r="G17708" s="17" t="n">
        <f aca="false">G17704*G17702</f>
        <v>259.11132</v>
      </c>
      <c r="H17708" s="17" t="n">
        <f aca="false">H17704*H17702</f>
        <v>268.931639028</v>
      </c>
      <c r="I17708" s="17" t="n">
        <f aca="false">I17704*I17702</f>
        <v>295.8248029308</v>
      </c>
      <c r="J17708" s="17" t="n">
        <f aca="false">J17704*J17702</f>
        <v>331.750742915592</v>
      </c>
      <c r="K17708" s="17" t="n">
        <f aca="false">K17704*K17702</f>
        <v>372.000909581576</v>
      </c>
    </row>
    <row r="17709" customFormat="false" ht="15" hidden="false" customHeight="false" outlineLevel="0" collapsed="false">
      <c r="A17709" s="3" t="s">
        <v>307</v>
      </c>
      <c r="G17709" s="16" t="n">
        <f aca="false">G17704*'Historical Financials'!G30/'Historical Financials'!G25</f>
        <v>192.70472</v>
      </c>
      <c r="H17709" s="16" t="n">
        <f aca="false">H17704*'Historical Financials'!G30/'Historical Financials'!G25</f>
        <v>206.1940504</v>
      </c>
      <c r="I17709" s="16" t="n">
        <f aca="false">I17704*'Historical Financials'!G30/'Historical Financials'!G25</f>
        <v>226.81345544</v>
      </c>
      <c r="J17709" s="16" t="n">
        <f aca="false">J17704*'Historical Financials'!G30/'Historical Financials'!G25</f>
        <v>251.7629355384</v>
      </c>
      <c r="K17709" s="16" t="n">
        <f aca="false">K17704*'Historical Financials'!G30/'Historical Financials'!G25</f>
        <v>279.456858447624</v>
      </c>
    </row>
    <row r="17710" customFormat="false" ht="15" hidden="false" customHeight="false" outlineLevel="0" collapsed="false">
      <c r="A17710" s="3" t="s">
        <v>308</v>
      </c>
      <c r="G17710" s="16" t="n">
        <f aca="false">G17704*'Historical Financials'!G31/'Historical Financials'!G25</f>
        <v>0</v>
      </c>
      <c r="H17710" s="16" t="n">
        <f aca="false">H17704*'Historical Financials'!G31/'Historical Financials'!G25</f>
        <v>0</v>
      </c>
      <c r="I17710" s="16" t="n">
        <f aca="false">I17704*'Historical Financials'!G31/'Historical Financials'!G25</f>
        <v>0</v>
      </c>
      <c r="J17710" s="16" t="n">
        <f aca="false">J17704*'Historical Financials'!G31/'Historical Financials'!G25</f>
        <v>0</v>
      </c>
      <c r="K17710" s="16" t="n">
        <f aca="false">K17704*'Historical Financials'!G31/'Historical Financials'!G25</f>
        <v>0</v>
      </c>
    </row>
    <row r="17711" customFormat="false" ht="15" hidden="false" customHeight="false" outlineLevel="0" collapsed="false">
      <c r="A17711" s="2" t="s">
        <v>309</v>
      </c>
      <c r="G17711" s="17" t="n">
        <f aca="false">G17708-G17709-G17710</f>
        <v>66.4066</v>
      </c>
      <c r="H17711" s="17" t="n">
        <f aca="false">H17708-H17709-H17710</f>
        <v>62.737588628</v>
      </c>
      <c r="I17711" s="17" t="n">
        <f aca="false">I17708-I17709-I17710</f>
        <v>69.0113474908</v>
      </c>
      <c r="J17711" s="17" t="n">
        <f aca="false">J17708-J17709-J17710</f>
        <v>79.987807377192</v>
      </c>
      <c r="K17711" s="17" t="n">
        <f aca="false">K17708-K17709-K17710</f>
        <v>92.5440511339517</v>
      </c>
    </row>
    <row r="17712" customFormat="false" ht="15" hidden="false" customHeight="false" outlineLevel="0" collapsed="false">
      <c r="A17712" s="3" t="s">
        <v>310</v>
      </c>
      <c r="G17712" s="16" t="n">
        <f aca="false">G17738+G17751+G17764+G17777+G17790+G17803+G17816+G17829+G17842+G17855</f>
        <v>187.3888354</v>
      </c>
      <c r="H17712" s="16" t="n">
        <f aca="false">H17738+H17751+H17764+H17777+H17790+H17803+H17816+H17829+H17842+H17855</f>
        <v>186.2509204</v>
      </c>
      <c r="I17712" s="16" t="n">
        <f aca="false">I17738+I17751+I17764+I17777+I17790+I17803+I17816+I17829+I17842+I17855</f>
        <v>181.196272929202</v>
      </c>
      <c r="J17712" s="16" t="n">
        <f aca="false">J17738+J17751+J17764+J17777+J17790+J17803+J17816+J17829+J17842+J17855</f>
        <v>186.973772929202</v>
      </c>
      <c r="K17712" s="16" t="n">
        <f aca="false">K17738+K17751+K17764+K17777+K17790+K17803+K17816+K17829+K17842+K17855</f>
        <v>205.638772929202</v>
      </c>
    </row>
    <row r="17713" customFormat="false" ht="15" hidden="false" customHeight="false" outlineLevel="0" collapsed="false">
      <c r="A17713" s="3" t="s">
        <v>311</v>
      </c>
      <c r="G17713" s="16" t="n">
        <f aca="false">G17739+G17752+G17765+G17778+G17791+G17804+G17817+G17830+G17843+G17856</f>
        <v>0</v>
      </c>
      <c r="H17713" s="16" t="n">
        <f aca="false">H17739+H17752+H17765+H17778+H17791+H17804+H17817+H17830+H17843+H17856</f>
        <v>0</v>
      </c>
      <c r="I17713" s="16" t="n">
        <f aca="false">I17739+I17752+I17765+I17778+I17791+I17804+I17817+I17830+I17843+I17856</f>
        <v>0</v>
      </c>
      <c r="J17713" s="16" t="n">
        <f aca="false">J17739+J17752+J17765+J17778+J17791+J17804+J17817+J17830+J17843+J17856</f>
        <v>0</v>
      </c>
      <c r="K17713" s="16" t="n">
        <f aca="false">K17739+K17752+K17765+K17778+K17791+K17804+K17817+K17830+K17843+K17856</f>
        <v>0</v>
      </c>
    </row>
    <row r="17714" customFormat="false" ht="15" hidden="false" customHeight="false" outlineLevel="0" collapsed="false">
      <c r="A17714" s="3" t="s">
        <v>283</v>
      </c>
      <c r="G17714" s="16" t="n">
        <f aca="false">G17712+G17713</f>
        <v>187.3888354</v>
      </c>
      <c r="H17714" s="16" t="n">
        <f aca="false">H17712+H17713</f>
        <v>186.2509204</v>
      </c>
      <c r="I17714" s="16" t="n">
        <f aca="false">I17712+I17713</f>
        <v>181.196272929202</v>
      </c>
      <c r="J17714" s="16" t="n">
        <f aca="false">J17712+J17713</f>
        <v>186.973772929202</v>
      </c>
      <c r="K17714" s="16" t="n">
        <f aca="false">K17712+K17713</f>
        <v>205.638772929202</v>
      </c>
    </row>
    <row r="17715" customFormat="false" ht="15" hidden="false" customHeight="false" outlineLevel="0" collapsed="false">
      <c r="A17715" s="2" t="s">
        <v>284</v>
      </c>
      <c r="G17715" s="17" t="n">
        <f aca="false">G17711-G17714</f>
        <v>-120.9822354</v>
      </c>
      <c r="H17715" s="17" t="n">
        <f aca="false">H17711-H17714</f>
        <v>-123.513331772</v>
      </c>
      <c r="I17715" s="17" t="n">
        <f aca="false">I17711-I17714</f>
        <v>-112.184925438402</v>
      </c>
      <c r="J17715" s="17" t="n">
        <f aca="false">J17711-J17714</f>
        <v>-106.98596555201</v>
      </c>
      <c r="K17715" s="17" t="n">
        <f aca="false">K17711-K17714</f>
        <v>-113.09472179525</v>
      </c>
    </row>
    <row r="17716" customFormat="false" ht="15" hidden="false" customHeight="false" outlineLevel="0" collapsed="false">
      <c r="A17716" s="3" t="s">
        <v>312</v>
      </c>
      <c r="G17716" s="16" t="n">
        <f aca="false">MAX(0,G17715)*Assumptions!$C$9</f>
        <v>0</v>
      </c>
      <c r="H17716" s="16" t="n">
        <f aca="false">MAX(0,H17715)*Assumptions!$C$9</f>
        <v>0</v>
      </c>
      <c r="I17716" s="16" t="n">
        <f aca="false">MAX(0,I17715)*Assumptions!$C$9</f>
        <v>0</v>
      </c>
      <c r="J17716" s="16" t="n">
        <f aca="false">MAX(0,J17715)*Assumptions!$C$9</f>
        <v>0</v>
      </c>
      <c r="K17716" s="16" t="n">
        <f aca="false">MAX(0,K17715)*Assumptions!$C$9</f>
        <v>0</v>
      </c>
    </row>
    <row r="17717" customFormat="false" ht="15" hidden="false" customHeight="false" outlineLevel="0" collapsed="false">
      <c r="A17717" s="2" t="s">
        <v>313</v>
      </c>
      <c r="G17717" s="17" t="n">
        <f aca="false">G17715-G17716</f>
        <v>-120.9822354</v>
      </c>
      <c r="H17717" s="17" t="n">
        <f aca="false">H17715-H17716</f>
        <v>-123.513331772</v>
      </c>
      <c r="I17717" s="17" t="n">
        <f aca="false">I17715-I17716</f>
        <v>-112.184925438402</v>
      </c>
      <c r="J17717" s="17" t="n">
        <f aca="false">J17715-J17716</f>
        <v>-106.98596555201</v>
      </c>
      <c r="K17717" s="17" t="n">
        <f aca="false">K17715-K17716</f>
        <v>-113.09472179525</v>
      </c>
    </row>
    <row r="17718" customFormat="false" ht="15" hidden="false" customHeight="false" outlineLevel="0" collapsed="false">
      <c r="A17718" s="24" t="s">
        <v>314</v>
      </c>
      <c r="B17718" s="25"/>
      <c r="C17718" s="25"/>
      <c r="D17718" s="25"/>
      <c r="E17718" s="25"/>
      <c r="F17718" s="25"/>
      <c r="G17718" s="25"/>
      <c r="H17718" s="25"/>
      <c r="I17718" s="25"/>
      <c r="J17718" s="25"/>
      <c r="K17718" s="25"/>
    </row>
    <row r="17719" customFormat="false" ht="15" hidden="false" customHeight="false" outlineLevel="0" collapsed="false">
      <c r="A17719" s="3" t="s">
        <v>184</v>
      </c>
      <c r="G17719" s="16" t="n">
        <f aca="false">G17704*CHOOSE($C$17691,Assumptions!$C$83,Assumptions!$C$102,Assumptions!$C$121)</f>
        <v>93.2800752</v>
      </c>
      <c r="H17719" s="16" t="n">
        <f aca="false">H17704*CHOOSE($C$17691,Assumptions!$C$83,Assumptions!$C$102,Assumptions!$C$121)</f>
        <v>99.809680464</v>
      </c>
      <c r="I17719" s="16" t="n">
        <f aca="false">I17704*CHOOSE($C$17691,Assumptions!$C$83,Assumptions!$C$102,Assumptions!$C$121)</f>
        <v>109.7906485104</v>
      </c>
      <c r="J17719" s="16" t="n">
        <f aca="false">J17704*CHOOSE($C$17691,Assumptions!$C$83,Assumptions!$C$102,Assumptions!$C$121)</f>
        <v>121.867619846544</v>
      </c>
      <c r="K17719" s="16" t="n">
        <f aca="false">K17704*CHOOSE($C$17691,Assumptions!$C$83,Assumptions!$C$102,Assumptions!$C$121)</f>
        <v>135.273058029664</v>
      </c>
    </row>
    <row r="17720" customFormat="false" ht="15" hidden="false" customHeight="false" outlineLevel="0" collapsed="false">
      <c r="A17720" s="3" t="s">
        <v>315</v>
      </c>
      <c r="G17720" s="16" t="n">
        <f aca="false">CHOOSE($C$17691,Assumptions!$C$84,Assumptions!$C$103,Assumptions!$C$122)*(G17704-F17704)+CHOOSE($C$17691,Assumptions!$C$85,Assumptions!$C$104,Assumptions!$C$123)*G17704</f>
        <v>25.911132</v>
      </c>
      <c r="H17720" s="16" t="n">
        <f aca="false">CHOOSE($C$17691,Assumptions!$C$84,Assumptions!$C$103,Assumptions!$C$122)*(H17704-G17704)+CHOOSE($C$17691,Assumptions!$C$85,Assumptions!$C$104,Assumptions!$C$123)*H17704</f>
        <v>27.72491124</v>
      </c>
      <c r="I17720" s="16" t="n">
        <f aca="false">CHOOSE($C$17691,Assumptions!$C$84,Assumptions!$C$103,Assumptions!$C$122)*(I17704-H17704)+CHOOSE($C$17691,Assumptions!$C$85,Assumptions!$C$104,Assumptions!$C$123)*I17704</f>
        <v>30.497402364</v>
      </c>
      <c r="J17720" s="16" t="n">
        <f aca="false">CHOOSE($C$17691,Assumptions!$C$84,Assumptions!$C$103,Assumptions!$C$122)*(J17704-I17704)+CHOOSE($C$17691,Assumptions!$C$85,Assumptions!$C$104,Assumptions!$C$123)*J17704</f>
        <v>33.85211662404</v>
      </c>
      <c r="K17720" s="16" t="n">
        <f aca="false">CHOOSE($C$17691,Assumptions!$C$84,Assumptions!$C$103,Assumptions!$C$122)*(K17704-J17704)+CHOOSE($C$17691,Assumptions!$C$85,Assumptions!$C$104,Assumptions!$C$123)*K17704</f>
        <v>37.5758494526844</v>
      </c>
    </row>
    <row r="17721" customFormat="false" ht="15" hidden="false" customHeight="false" outlineLevel="0" collapsed="false">
      <c r="A17721" s="2" t="s">
        <v>316</v>
      </c>
      <c r="G17721" s="17" t="n">
        <f aca="false">G17717+G17709+G17710+G17713-G17719-G17720</f>
        <v>-47.4687226</v>
      </c>
      <c r="H17721" s="17" t="n">
        <f aca="false">H17717+H17709+H17710+H17713-H17719-H17720</f>
        <v>-44.853873076</v>
      </c>
      <c r="I17721" s="17" t="n">
        <f aca="false">I17717+I17709+I17710+I17713-I17719-I17720</f>
        <v>-25.659520872802</v>
      </c>
      <c r="J17721" s="17" t="n">
        <f aca="false">J17717+J17709+J17710+J17713-J17719-J17720</f>
        <v>-10.9427664841939</v>
      </c>
      <c r="K17721" s="17" t="n">
        <f aca="false">K17717+K17709+K17710+K17713-K17719-K17720</f>
        <v>-6.4867708299746</v>
      </c>
    </row>
    <row r="17723" customFormat="false" ht="15" hidden="false" customHeight="false" outlineLevel="0" collapsed="false">
      <c r="A17723" s="24" t="s">
        <v>318</v>
      </c>
      <c r="B17723" s="25"/>
      <c r="C17723" s="25"/>
      <c r="D17723" s="25"/>
      <c r="E17723" s="25"/>
      <c r="F17723" s="25"/>
      <c r="G17723" s="25"/>
      <c r="H17723" s="25"/>
      <c r="I17723" s="25"/>
      <c r="J17723" s="25"/>
      <c r="K17723" s="25"/>
    </row>
    <row r="17724" customFormat="false" ht="15" hidden="false" customHeight="false" outlineLevel="0" collapsed="false">
      <c r="A17724" s="3" t="s">
        <v>319</v>
      </c>
      <c r="G17724" s="30" t="n">
        <f aca="false">Assumptions!$G$53</f>
        <v>0.039</v>
      </c>
      <c r="H17724" s="30" t="n">
        <f aca="false">Assumptions!$H$53</f>
        <v>0.0375</v>
      </c>
      <c r="I17724" s="30" t="n">
        <f aca="false">Assumptions!$I$53</f>
        <v>0.035</v>
      </c>
      <c r="J17724" s="30" t="n">
        <f aca="false">Assumptions!$J$53</f>
        <v>0.035</v>
      </c>
      <c r="K17724" s="30" t="n">
        <f aca="false">Assumptions!$K$53</f>
        <v>0.035</v>
      </c>
    </row>
    <row r="17725" customFormat="false" ht="15" hidden="false" customHeight="false" outlineLevel="0" collapsed="false">
      <c r="A17725" s="3" t="s">
        <v>320</v>
      </c>
      <c r="C17725" s="31" t="n">
        <f aca="false">CHOOSE($C$17691,Assumptions!$C$86,Assumptions!$C$105,Assumptions!$C$124)+$C$17694</f>
        <v>0.015</v>
      </c>
    </row>
    <row r="17726" customFormat="false" ht="15" hidden="false" customHeight="false" outlineLevel="0" collapsed="false">
      <c r="A17726" s="3" t="s">
        <v>321</v>
      </c>
      <c r="C17726" s="31" t="n">
        <f aca="false">CHOOSE($C$17691,Assumptions!$C$87,Assumptions!$C$106,Assumptions!$C$125)</f>
        <v>0.1</v>
      </c>
    </row>
    <row r="17727" customFormat="false" ht="15" hidden="false" customHeight="false" outlineLevel="0" collapsed="false">
      <c r="A17727" s="3" t="s">
        <v>322</v>
      </c>
      <c r="C17727" s="32" t="n">
        <f aca="false">CHOOSE($C$17691,Assumptions!$C$88,Assumptions!$C$107,Assumptions!$C$126)</f>
        <v>9.5</v>
      </c>
    </row>
    <row r="17728" customFormat="false" ht="15" hidden="false" customHeight="false" outlineLevel="0" collapsed="false">
      <c r="A17728" s="3" t="s">
        <v>323</v>
      </c>
      <c r="C17728" s="32" t="n">
        <f aca="false">CHOOSE($C$17691,Assumptions!$C$89,Assumptions!$C$108,Assumptions!$C$127)</f>
        <v>1.5</v>
      </c>
    </row>
    <row r="17729" customFormat="false" ht="15" hidden="false" customHeight="false" outlineLevel="0" collapsed="false">
      <c r="A17729" s="3" t="s">
        <v>324</v>
      </c>
      <c r="G17729" s="16" t="n">
        <f aca="false">G17734+G17747+G17760+G17773+G17786+G17799+G17812+G17825+G17838+G17851</f>
        <v>2625.934</v>
      </c>
      <c r="H17729" s="16" t="n">
        <f aca="false">H17734+H17747+H17760+H17773+H17786+H17799+H17812+H17825+H17838+H17851</f>
        <v>2621.934</v>
      </c>
      <c r="I17729" s="16" t="n">
        <f aca="false">I17734+I17747+I17760+I17773+I17786+I17799+I17812+I17825+I17838+I17851</f>
        <v>2530.386595676</v>
      </c>
      <c r="J17729" s="16" t="n">
        <f aca="false">J17734+J17747+J17760+J17773+J17786+J17799+J17812+J17825+J17838+J17851</f>
        <v>2526.386595676</v>
      </c>
      <c r="K17729" s="16" t="n">
        <f aca="false">K17734+K17747+K17760+K17773+K17786+K17799+K17812+K17825+K17838+K17851</f>
        <v>2522.386595676</v>
      </c>
    </row>
    <row r="17730" customFormat="false" ht="15" hidden="false" customHeight="false" outlineLevel="0" collapsed="false">
      <c r="A17730" s="3" t="s">
        <v>325</v>
      </c>
      <c r="G17730" s="16" t="n">
        <f aca="false">F17922</f>
        <v>37.87</v>
      </c>
      <c r="H17730" s="16" t="n">
        <f aca="false">G17922</f>
        <v>136.4012774</v>
      </c>
      <c r="I17730" s="16" t="n">
        <f aca="false">H17922</f>
        <v>0</v>
      </c>
      <c r="J17730" s="16" t="n">
        <f aca="false">I17922</f>
        <v>-29.659520872802</v>
      </c>
      <c r="K17730" s="16" t="n">
        <f aca="false">J17922</f>
        <v>-44.6022873569959</v>
      </c>
    </row>
    <row r="17731" customFormat="false" ht="15" hidden="false" customHeight="false" outlineLevel="0" collapsed="false">
      <c r="A17731" s="3" t="s">
        <v>326</v>
      </c>
      <c r="G17731" s="16" t="n">
        <f aca="false">G17734*IF(G17735=1,$C$17726,IF(Assumptions!$I$57=1,MAX(G17724,Assumptions!$G$57)+Assumptions!$F$57+$C$17725,Assumptions!$E$57))+G17747*IF(G17748=1,$C$17726,IF(Assumptions!$I$58=1,MAX(G17724,Assumptions!$G$58)+Assumptions!$F$58+$C$17725,Assumptions!$E$58))+G17760*IF(G17761=1,$C$17726,IF(Assumptions!$I$59=1,MAX(G17724,Assumptions!$G$59)+Assumptions!$F$59+$C$17725,Assumptions!$E$59))+G17773*IF(G17774=1,$C$17726,IF(Assumptions!$I$60=1,MAX(G17724,Assumptions!$G$60)+Assumptions!$F$60+$C$17725,Assumptions!$E$60))+G17786*IF(G17787=1,$C$17726,IF(Assumptions!$I$61=1,MAX(G17724,Assumptions!$G$61)+Assumptions!$F$61+$C$17725,Assumptions!$E$61))+G17799*IF(G17800=1,$C$17726,IF(Assumptions!$I$62=1,MAX(G17724,Assumptions!$G$62)+Assumptions!$F$62+$C$17725,Assumptions!$E$62))+G17812*IF(G17813=1,$C$17726,IF(Assumptions!$I$63=1,MAX(G17724,Assumptions!$G$63)+Assumptions!$F$63+$C$17725,Assumptions!$E$63))+G17825*IF(G17826=1,$C$17726,IF(Assumptions!$I$64=1,MAX(G17724,Assumptions!$G$64)+Assumptions!$F$64+$C$17725,Assumptions!$E$64))+G17838*IF(G17839=1,$C$17726,IF(Assumptions!$I$65=1,MAX(G17724,Assumptions!$G$65)+Assumptions!$F$65+$C$17725,Assumptions!$E$65))+G17851*IF(G17852=1,$C$17726,IF(Assumptions!$I$66=1,MAX(G17724,Assumptions!$G$66)+Assumptions!$F$66+$C$17725,Assumptions!$E$66))</f>
        <v>187.3888354</v>
      </c>
      <c r="H17731" s="16" t="n">
        <f aca="false">H17734*IF(OR(H17735=1,G18044=1),$C$17726,IF(Assumptions!$I$57=1,MAX(H17724,Assumptions!$G$57)+Assumptions!$F$57+$C$17725,Assumptions!$E$57))+H17747*IF(OR(H17748=1,G18045=1),$C$17726,IF(Assumptions!$I$58=1,MAX(H17724,Assumptions!$G$58)+Assumptions!$F$58+$C$17725,Assumptions!$E$58))+H17760*IF(OR(H17761=1,G18046=1),$C$17726,IF(Assumptions!$I$59=1,MAX(H17724,Assumptions!$G$59)+Assumptions!$F$59+$C$17725,Assumptions!$E$59))+H17773*IF(OR(H17774=1,G18047=1),$C$17726,IF(Assumptions!$I$60=1,MAX(H17724,Assumptions!$G$60)+Assumptions!$F$60+$C$17725,Assumptions!$E$60))+H17786*IF(OR(H17787=1,G18048=1),$C$17726,IF(Assumptions!$I$61=1,MAX(H17724,Assumptions!$G$61)+Assumptions!$F$61+$C$17725,Assumptions!$E$61))+H17799*IF(OR(H17800=1,G18049=1),$C$17726,IF(Assumptions!$I$62=1,MAX(H17724,Assumptions!$G$62)+Assumptions!$F$62+$C$17725,Assumptions!$E$62))+H17812*IF(OR(H17813=1,G18050=1),$C$17726,IF(Assumptions!$I$63=1,MAX(H17724,Assumptions!$G$63)+Assumptions!$F$63+$C$17725,Assumptions!$E$63))+H17825*IF(OR(H17826=1,G18051=1),$C$17726,IF(Assumptions!$I$64=1,MAX(H17724,Assumptions!$G$64)+Assumptions!$F$64+$C$17725,Assumptions!$E$64))+H17838*IF(OR(H17839=1,G18052=1),$C$17726,IF(Assumptions!$I$65=1,MAX(H17724,Assumptions!$G$65)+Assumptions!$F$65+$C$17725,Assumptions!$E$65))+H17851*IF(OR(H17852=1,G18053=1),$C$17726,IF(Assumptions!$I$66=1,MAX(H17724,Assumptions!$G$66)+Assumptions!$F$66+$C$17725,Assumptions!$E$66))</f>
        <v>219.4259204</v>
      </c>
      <c r="I17731" s="16" t="n">
        <f aca="false">I17734*IF(OR(I17735=1,H18044=1),$C$17726,IF(Assumptions!$I$57=1,MAX(I17724,Assumptions!$G$57)+Assumptions!$F$57+$C$17725,Assumptions!$E$57))+I17747*IF(OR(I17748=1,H18045=1),$C$17726,IF(Assumptions!$I$58=1,MAX(I17724,Assumptions!$G$58)+Assumptions!$F$58+$C$17725,Assumptions!$E$58))+I17760*IF(OR(I17761=1,H18046=1),$C$17726,IF(Assumptions!$I$59=1,MAX(I17724,Assumptions!$G$59)+Assumptions!$F$59+$C$17725,Assumptions!$E$59))+I17773*IF(OR(I17774=1,H18047=1),$C$17726,IF(Assumptions!$I$60=1,MAX(I17724,Assumptions!$G$60)+Assumptions!$F$60+$C$17725,Assumptions!$E$60))+I17786*IF(OR(I17787=1,H18048=1),$C$17726,IF(Assumptions!$I$61=1,MAX(I17724,Assumptions!$G$61)+Assumptions!$F$61+$C$17725,Assumptions!$E$61))+I17799*IF(OR(I17800=1,H18049=1),$C$17726,IF(Assumptions!$I$62=1,MAX(I17724,Assumptions!$G$62)+Assumptions!$F$62+$C$17725,Assumptions!$E$62))+I17812*IF(OR(I17813=1,H18050=1),$C$17726,IF(Assumptions!$I$63=1,MAX(I17724,Assumptions!$G$63)+Assumptions!$F$63+$C$17725,Assumptions!$E$63))+I17825*IF(OR(I17826=1,H18051=1),$C$17726,IF(Assumptions!$I$64=1,MAX(I17724,Assumptions!$G$64)+Assumptions!$F$64+$C$17725,Assumptions!$E$64))+I17838*IF(OR(I17839=1,H18052=1),$C$17726,IF(Assumptions!$I$65=1,MAX(I17724,Assumptions!$G$65)+Assumptions!$F$65+$C$17725,Assumptions!$E$65))+I17851*IF(OR(I17852=1,H18053=1),$C$17726,IF(Assumptions!$I$66=1,MAX(I17724,Assumptions!$G$66)+Assumptions!$F$66+$C$17725,Assumptions!$E$66))</f>
        <v>187.383772929202</v>
      </c>
      <c r="J17731" s="16" t="n">
        <f aca="false">J17734*IF(OR(J17735=1,I18044=1),$C$17726,IF(Assumptions!$I$57=1,MAX(J17724,Assumptions!$G$57)+Assumptions!$F$57+$C$17725,Assumptions!$E$57))+J17747*IF(OR(J17748=1,I18045=1),$C$17726,IF(Assumptions!$I$58=1,MAX(J17724,Assumptions!$G$58)+Assumptions!$F$58+$C$17725,Assumptions!$E$58))+J17760*IF(OR(J17761=1,I18046=1),$C$17726,IF(Assumptions!$I$59=1,MAX(J17724,Assumptions!$G$59)+Assumptions!$F$59+$C$17725,Assumptions!$E$59))+J17773*IF(OR(J17774=1,I18047=1),$C$17726,IF(Assumptions!$I$60=1,MAX(J17724,Assumptions!$G$60)+Assumptions!$F$60+$C$17725,Assumptions!$E$60))+J17786*IF(OR(J17787=1,I18048=1),$C$17726,IF(Assumptions!$I$61=1,MAX(J17724,Assumptions!$G$61)+Assumptions!$F$61+$C$17725,Assumptions!$E$61))+J17799*IF(OR(J17800=1,I18049=1),$C$17726,IF(Assumptions!$I$62=1,MAX(J17724,Assumptions!$G$62)+Assumptions!$F$62+$C$17725,Assumptions!$E$62))+J17812*IF(OR(J17813=1,I18050=1),$C$17726,IF(Assumptions!$I$63=1,MAX(J17724,Assumptions!$G$63)+Assumptions!$F$63+$C$17725,Assumptions!$E$63))+J17825*IF(OR(J17826=1,I18051=1),$C$17726,IF(Assumptions!$I$64=1,MAX(J17724,Assumptions!$G$64)+Assumptions!$F$64+$C$17725,Assumptions!$E$64))+J17838*IF(OR(J17839=1,I18052=1),$C$17726,IF(Assumptions!$I$65=1,MAX(J17724,Assumptions!$G$65)+Assumptions!$F$65+$C$17725,Assumptions!$E$65))+J17851*IF(OR(J17852=1,I18053=1),$C$17726,IF(Assumptions!$I$66=1,MAX(J17724,Assumptions!$G$66)+Assumptions!$F$66+$C$17725,Assumptions!$E$66))</f>
        <v>206.048772929202</v>
      </c>
      <c r="K17731" s="16" t="n">
        <f aca="false">K17734*IF(OR(K17735=1,J18044=1),$C$17726,IF(Assumptions!$I$57=1,MAX(K17724,Assumptions!$G$57)+Assumptions!$F$57+$C$17725,Assumptions!$E$57))+K17747*IF(OR(K17748=1,J18045=1),$C$17726,IF(Assumptions!$I$58=1,MAX(K17724,Assumptions!$G$58)+Assumptions!$F$58+$C$17725,Assumptions!$E$58))+K17760*IF(OR(K17761=1,J18046=1),$C$17726,IF(Assumptions!$I$59=1,MAX(K17724,Assumptions!$G$59)+Assumptions!$F$59+$C$17725,Assumptions!$E$59))+K17773*IF(OR(K17774=1,J18047=1),$C$17726,IF(Assumptions!$I$60=1,MAX(K17724,Assumptions!$G$60)+Assumptions!$F$60+$C$17725,Assumptions!$E$60))+K17786*IF(OR(K17787=1,J18048=1),$C$17726,IF(Assumptions!$I$61=1,MAX(K17724,Assumptions!$G$61)+Assumptions!$F$61+$C$17725,Assumptions!$E$61))+K17799*IF(OR(K17800=1,J18049=1),$C$17726,IF(Assumptions!$I$62=1,MAX(K17724,Assumptions!$G$62)+Assumptions!$F$62+$C$17725,Assumptions!$E$62))+K17812*IF(OR(K17813=1,J18050=1),$C$17726,IF(Assumptions!$I$63=1,MAX(K17724,Assumptions!$G$63)+Assumptions!$F$63+$C$17725,Assumptions!$E$63))+K17825*IF(OR(K17826=1,J18051=1),$C$17726,IF(Assumptions!$I$64=1,MAX(K17724,Assumptions!$G$64)+Assumptions!$F$64+$C$17725,Assumptions!$E$64))+K17838*IF(OR(K17839=1,J18052=1),$C$17726,IF(Assumptions!$I$65=1,MAX(K17724,Assumptions!$G$65)+Assumptions!$F$65+$C$17725,Assumptions!$E$65))+K17851*IF(OR(K17852=1,J18053=1),$C$17726,IF(Assumptions!$I$66=1,MAX(K17724,Assumptions!$G$66)+Assumptions!$F$66+$C$17725,Assumptions!$E$66))</f>
        <v>216.303772929202</v>
      </c>
    </row>
    <row r="17732" customFormat="false" ht="15" hidden="false" customHeight="false" outlineLevel="0" collapsed="false">
      <c r="A17732" s="3" t="s">
        <v>327</v>
      </c>
      <c r="G17732" s="21" t="n">
        <f aca="false">IF(G17708&lt;=0,0,IF(AND((G17729-G17730)/G17708&lt;=$C$17727,G17708/G17731&gt;=$C$17728),1,0))</f>
        <v>0</v>
      </c>
      <c r="H17732" s="21" t="n">
        <f aca="false">IF(H17708&lt;=0,0,IF(AND((H17729-H17730)/H17708&lt;=$C$17727,H17708/H17731&gt;=$C$17728),1,0))</f>
        <v>0</v>
      </c>
      <c r="I17732" s="21" t="n">
        <f aca="false">IF(I17708&lt;=0,0,IF(AND((I17729-I17730)/I17708&lt;=$C$17727,I17708/I17731&gt;=$C$17728),1,0))</f>
        <v>1</v>
      </c>
      <c r="J17732" s="21" t="n">
        <f aca="false">IF(J17708&lt;=0,0,IF(AND((J17729-J17730)/J17708&lt;=$C$17727,J17708/J17731&gt;=$C$17728),1,0))</f>
        <v>1</v>
      </c>
      <c r="K17732" s="21" t="n">
        <f aca="false">IF(K17708&lt;=0,0,IF(AND((K17729-K17730)/K17708&lt;=$C$17727,K17708/K17731&gt;=$C$17728),1,0))</f>
        <v>1</v>
      </c>
    </row>
    <row r="17733" customFormat="false" ht="15" hidden="false" customHeight="false" outlineLevel="0" collapsed="false">
      <c r="A17733" s="24" t="s">
        <v>328</v>
      </c>
      <c r="B17733" s="25"/>
      <c r="C17733" s="25"/>
      <c r="D17733" s="25"/>
      <c r="E17733" s="25"/>
      <c r="F17733" s="25"/>
      <c r="G17733" s="25"/>
      <c r="H17733" s="25"/>
      <c r="I17733" s="25"/>
      <c r="J17733" s="25"/>
      <c r="K17733" s="25"/>
    </row>
    <row r="17734" customFormat="false" ht="15" hidden="false" customHeight="false" outlineLevel="0" collapsed="false">
      <c r="A17734" s="3" t="s">
        <v>329</v>
      </c>
      <c r="G17734" s="16" t="n">
        <f aca="false">F17745</f>
        <v>400</v>
      </c>
      <c r="H17734" s="16" t="n">
        <f aca="false">G17745</f>
        <v>396</v>
      </c>
      <c r="I17734" s="16" t="n">
        <f aca="false">H17745</f>
        <v>392</v>
      </c>
      <c r="J17734" s="16" t="n">
        <f aca="false">I17745</f>
        <v>388</v>
      </c>
      <c r="K17734" s="16" t="n">
        <f aca="false">J17745</f>
        <v>384</v>
      </c>
    </row>
    <row r="17735" customFormat="false" ht="15" hidden="false" customHeight="false" outlineLevel="0" collapsed="false">
      <c r="A17735" s="3" t="s">
        <v>330</v>
      </c>
      <c r="G17735" s="21" t="n">
        <f aca="false">IF(G17698=Assumptions!$K$57,1,0)</f>
        <v>0</v>
      </c>
      <c r="H17735" s="21" t="n">
        <f aca="false">IF(H17698=Assumptions!$K$57,1,0)</f>
        <v>0</v>
      </c>
      <c r="I17735" s="21" t="n">
        <f aca="false">IF(I17698=Assumptions!$K$57,1,0)</f>
        <v>0</v>
      </c>
      <c r="J17735" s="21" t="n">
        <f aca="false">IF(J17698=Assumptions!$K$57,1,0)</f>
        <v>0</v>
      </c>
      <c r="K17735" s="21" t="n">
        <f aca="false">IF(K17698=Assumptions!$K$57,1,0)</f>
        <v>1</v>
      </c>
    </row>
    <row r="17737" customFormat="false" ht="15" hidden="false" customHeight="false" outlineLevel="0" collapsed="false">
      <c r="A17737" s="3" t="s">
        <v>331</v>
      </c>
      <c r="G17737" s="31" t="n">
        <f aca="false">IF(Assumptions!$I$57=1,MAX(G17724,Assumptions!$G$57)+Assumptions!$F$57+$C$17725,Assumptions!$E$57)</f>
        <v>0.1065</v>
      </c>
      <c r="H17737" s="31" t="n">
        <f aca="false">IF(G18044=1,$C$17726,IF(Assumptions!$I$57=1,MAX(H17724,Assumptions!$G$57)+Assumptions!$F$57+$C$17725,Assumptions!$E$57))</f>
        <v>0.105</v>
      </c>
      <c r="I17737" s="31" t="n">
        <f aca="false">IF(H18044=1,$C$17726,IF(Assumptions!$I$57=1,MAX(I17724,Assumptions!$G$57)+Assumptions!$F$57+$C$17725,Assumptions!$E$57))</f>
        <v>0.1025</v>
      </c>
      <c r="J17737" s="31" t="n">
        <f aca="false">IF(I18044=1,$C$17726,IF(Assumptions!$I$57=1,MAX(J17724,Assumptions!$G$57)+Assumptions!$F$57+$C$17725,Assumptions!$E$57))</f>
        <v>0.1025</v>
      </c>
      <c r="K17737" s="31" t="n">
        <f aca="false">IF(J18044=1,$C$17726,IF(Assumptions!$I$57=1,MAX(K17724,Assumptions!$G$57)+Assumptions!$F$57+$C$17725,Assumptions!$E$57))</f>
        <v>0.1025</v>
      </c>
    </row>
    <row r="17738" customFormat="false" ht="15" hidden="false" customHeight="false" outlineLevel="0" collapsed="false">
      <c r="A17738" s="3" t="s">
        <v>332</v>
      </c>
      <c r="G17738" s="16" t="n">
        <f aca="false">G17734*G17737</f>
        <v>42.6</v>
      </c>
      <c r="H17738" s="16" t="n">
        <f aca="false">H17734*H17737</f>
        <v>41.58</v>
      </c>
      <c r="I17738" s="16" t="n">
        <f aca="false">I17734*I17737</f>
        <v>40.18</v>
      </c>
      <c r="J17738" s="16" t="n">
        <f aca="false">J17734*J17737</f>
        <v>39.77</v>
      </c>
      <c r="K17738" s="16" t="n">
        <f aca="false">K17734*K17737</f>
        <v>39.36</v>
      </c>
    </row>
    <row r="17739" customFormat="false" ht="15" hidden="false" customHeight="false" outlineLevel="0" collapsed="false">
      <c r="A17739" s="3" t="s">
        <v>333</v>
      </c>
      <c r="G17739" s="16" t="n">
        <f aca="false">G17734*Assumptions!$H$57</f>
        <v>0</v>
      </c>
      <c r="H17739" s="16" t="n">
        <f aca="false">H17734*Assumptions!$H$57</f>
        <v>0</v>
      </c>
      <c r="I17739" s="16" t="n">
        <f aca="false">I17734*Assumptions!$H$57</f>
        <v>0</v>
      </c>
      <c r="J17739" s="16" t="n">
        <f aca="false">J17734*Assumptions!$H$57</f>
        <v>0</v>
      </c>
      <c r="K17739" s="16" t="n">
        <f aca="false">K17734*Assumptions!$H$57</f>
        <v>0</v>
      </c>
    </row>
    <row r="17740" customFormat="false" ht="15" hidden="false" customHeight="false" outlineLevel="0" collapsed="false">
      <c r="A17740" s="3" t="s">
        <v>334</v>
      </c>
      <c r="G17740" s="16" t="n">
        <f aca="false">MIN(G17734,Assumptions!$L$57*Assumptions!$C$57)</f>
        <v>4</v>
      </c>
      <c r="H17740" s="16" t="n">
        <f aca="false">MIN(H17734,Assumptions!$L$57*Assumptions!$C$57)</f>
        <v>4</v>
      </c>
      <c r="I17740" s="16" t="n">
        <f aca="false">MIN(I17734,Assumptions!$L$57*Assumptions!$C$57)</f>
        <v>4</v>
      </c>
      <c r="J17740" s="16" t="n">
        <f aca="false">MIN(J17734,Assumptions!$L$57*Assumptions!$C$57)</f>
        <v>4</v>
      </c>
      <c r="K17740" s="16" t="n">
        <f aca="false">MIN(K17734,Assumptions!$L$57*Assumptions!$C$57)</f>
        <v>4</v>
      </c>
    </row>
    <row r="17741" customFormat="false" ht="15" hidden="false" customHeight="false" outlineLevel="0" collapsed="false">
      <c r="A17741" s="3" t="s">
        <v>335</v>
      </c>
      <c r="G17741" s="16" t="n">
        <f aca="false">IF(AND(Assumptions!$P$57=1,G17698&lt;Assumptions!$K$57),MIN(MAX(0,-G17914),MAX(0,Assumptions!$D$57-G17734)),0)</f>
        <v>0</v>
      </c>
      <c r="H17741" s="16" t="n">
        <f aca="false">IF(AND(Assumptions!$P$57=1,OR(H17698&lt;Assumptions!$K$57,G18044=1)),MIN(MAX(0,-H17914),MAX(0,Assumptions!$D$57-H17734)),0)</f>
        <v>0</v>
      </c>
      <c r="I17741" s="16" t="n">
        <f aca="false">IF(AND(Assumptions!$P$57=1,OR(I17698&lt;Assumptions!$K$57,H18044=1)),MIN(MAX(0,-I17914),MAX(0,Assumptions!$D$57-I17734)),0)</f>
        <v>0</v>
      </c>
      <c r="J17741" s="16" t="n">
        <f aca="false">IF(AND(Assumptions!$P$57=1,OR(J17698&lt;Assumptions!$K$57,I18044=1)),MIN(MAX(0,-J17914),MAX(0,Assumptions!$D$57-J17734)),0)</f>
        <v>0</v>
      </c>
      <c r="K17741" s="16" t="n">
        <f aca="false">IF(AND(Assumptions!$P$57=1,OR(K17698&lt;Assumptions!$K$57,J18044=1)),MIN(MAX(0,-K17914),MAX(0,Assumptions!$D$57-K17734)),0)</f>
        <v>0</v>
      </c>
    </row>
    <row r="17742" customFormat="false" ht="15" hidden="false" customHeight="false" outlineLevel="0" collapsed="false">
      <c r="A17742" s="3" t="s">
        <v>336</v>
      </c>
      <c r="G17742" s="16" t="n">
        <f aca="false">G17735*MIN(G17734-G17740+G17739,MAX(0,G17916-Assumptions!$C$12*G17732))</f>
        <v>0</v>
      </c>
      <c r="H17742" s="16" t="n">
        <f aca="false">H17735*MIN(H17734-H17740+H17739,MAX(0,H17916-Assumptions!$C$12*H17732))</f>
        <v>0</v>
      </c>
      <c r="I17742" s="16" t="n">
        <f aca="false">I17735*MIN(I17734-I17740+I17739,MAX(0,I17916-Assumptions!$C$12*I17732))</f>
        <v>0</v>
      </c>
      <c r="J17742" s="16" t="n">
        <f aca="false">J17735*MIN(J17734-J17740+J17739,MAX(0,J17916-Assumptions!$C$12*J17732))</f>
        <v>0</v>
      </c>
      <c r="K17742" s="16" t="n">
        <f aca="false">K17735*MIN(K17734-K17740+K17739,MAX(0,K17916-Assumptions!$C$12*K17732))</f>
        <v>0</v>
      </c>
    </row>
    <row r="17743" customFormat="false" ht="15" hidden="false" customHeight="false" outlineLevel="0" collapsed="false">
      <c r="A17743" s="3" t="s">
        <v>337</v>
      </c>
      <c r="G17743" s="16" t="n">
        <f aca="false">Assumptions!$N$57*MIN(G17734+G17741+G17739-G17740-G17742,MAX(0,G17920))</f>
        <v>0</v>
      </c>
      <c r="H17743" s="16" t="n">
        <f aca="false">Assumptions!$N$57*MIN(H17734+H17741+H17739-H17740-H17742,MAX(0,H17920))</f>
        <v>0</v>
      </c>
      <c r="I17743" s="16" t="n">
        <f aca="false">Assumptions!$N$57*MIN(I17734+I17741+I17739-I17740-I17742,MAX(0,I17920))</f>
        <v>0</v>
      </c>
      <c r="J17743" s="16" t="n">
        <f aca="false">Assumptions!$N$57*MIN(J17734+J17741+J17739-J17740-J17742,MAX(0,J17920))</f>
        <v>0</v>
      </c>
      <c r="K17743" s="16" t="n">
        <f aca="false">Assumptions!$N$57*MIN(K17734+K17741+K17739-K17740-K17742,MAX(0,K17920))</f>
        <v>0</v>
      </c>
    </row>
    <row r="17744" customFormat="false" ht="15" hidden="false" customHeight="false" outlineLevel="0" collapsed="false">
      <c r="A17744" s="3" t="s">
        <v>338</v>
      </c>
      <c r="G17744" s="16" t="n">
        <f aca="false">G17735*(1-G17732)*(G17734-G17740+G17739-G17742)</f>
        <v>0</v>
      </c>
      <c r="H17744" s="16" t="n">
        <f aca="false">H17735*(1-H17732)*(H17734-H17740+H17739-H17742)</f>
        <v>0</v>
      </c>
      <c r="I17744" s="16" t="n">
        <f aca="false">I17735*(1-I17732)*(I17734-I17740+I17739-I17742)</f>
        <v>0</v>
      </c>
      <c r="J17744" s="16" t="n">
        <f aca="false">J17735*(1-J17732)*(J17734-J17740+J17739-J17742)</f>
        <v>0</v>
      </c>
      <c r="K17744" s="16" t="n">
        <f aca="false">K17735*(1-K17732)*(K17734-K17740+K17739-K17742)</f>
        <v>0</v>
      </c>
    </row>
    <row r="17745" customFormat="false" ht="15" hidden="false" customHeight="false" outlineLevel="0" collapsed="false">
      <c r="A17745" s="2" t="s">
        <v>339</v>
      </c>
      <c r="F17745" s="28" t="n">
        <f aca="false">Assumptions!$C$57</f>
        <v>400</v>
      </c>
      <c r="G17745" s="17" t="n">
        <f aca="false">G17734+G17741+G17739-G17740-G17742-G17743</f>
        <v>396</v>
      </c>
      <c r="H17745" s="17" t="n">
        <f aca="false">H17734+H17741+H17739-H17740-H17742-H17743</f>
        <v>392</v>
      </c>
      <c r="I17745" s="17" t="n">
        <f aca="false">I17734+I17741+I17739-I17740-I17742-I17743</f>
        <v>388</v>
      </c>
      <c r="J17745" s="17" t="n">
        <f aca="false">J17734+J17741+J17739-J17740-J17742-J17743</f>
        <v>384</v>
      </c>
      <c r="K17745" s="17" t="n">
        <f aca="false">K17734+K17741+K17739-K17740-K17742-K17743</f>
        <v>380</v>
      </c>
    </row>
    <row r="17746" customFormat="false" ht="15" hidden="false" customHeight="false" outlineLevel="0" collapsed="false">
      <c r="A17746" s="24" t="s">
        <v>340</v>
      </c>
      <c r="B17746" s="25"/>
      <c r="C17746" s="25"/>
      <c r="D17746" s="25"/>
      <c r="E17746" s="25"/>
      <c r="F17746" s="25"/>
      <c r="G17746" s="25"/>
      <c r="H17746" s="25"/>
      <c r="I17746" s="25"/>
      <c r="J17746" s="25"/>
      <c r="K17746" s="25"/>
    </row>
    <row r="17747" customFormat="false" ht="15" hidden="false" customHeight="false" outlineLevel="0" collapsed="false">
      <c r="A17747" s="3" t="s">
        <v>329</v>
      </c>
      <c r="G17747" s="16" t="n">
        <f aca="false">F17758</f>
        <v>90</v>
      </c>
      <c r="H17747" s="16" t="n">
        <f aca="false">G17758</f>
        <v>90</v>
      </c>
      <c r="I17747" s="16" t="n">
        <f aca="false">H17758</f>
        <v>90</v>
      </c>
      <c r="J17747" s="16" t="n">
        <f aca="false">I17758</f>
        <v>90</v>
      </c>
      <c r="K17747" s="16" t="n">
        <f aca="false">J17758</f>
        <v>90</v>
      </c>
    </row>
    <row r="17748" customFormat="false" ht="15" hidden="false" customHeight="false" outlineLevel="0" collapsed="false">
      <c r="A17748" s="3" t="s">
        <v>330</v>
      </c>
      <c r="G17748" s="21" t="n">
        <f aca="false">IF(G17698=Assumptions!$K$58,1,0)</f>
        <v>0</v>
      </c>
      <c r="H17748" s="21" t="n">
        <f aca="false">IF(H17698=Assumptions!$K$58,1,0)</f>
        <v>0</v>
      </c>
      <c r="I17748" s="21" t="n">
        <f aca="false">IF(I17698=Assumptions!$K$58,1,0)</f>
        <v>0</v>
      </c>
      <c r="J17748" s="21" t="n">
        <f aca="false">IF(J17698=Assumptions!$K$58,1,0)</f>
        <v>0</v>
      </c>
      <c r="K17748" s="21" t="n">
        <f aca="false">IF(K17698=Assumptions!$K$58,1,0)</f>
        <v>0</v>
      </c>
    </row>
    <row r="17750" customFormat="false" ht="15" hidden="false" customHeight="false" outlineLevel="0" collapsed="false">
      <c r="A17750" s="3" t="s">
        <v>331</v>
      </c>
      <c r="G17750" s="31" t="n">
        <f aca="false">IF(Assumptions!$I$58=1,MAX(G17724,Assumptions!$G$58)+Assumptions!$F$58+$C$17725,Assumptions!$E$58)</f>
        <v>0.0581</v>
      </c>
      <c r="H17750" s="31" t="n">
        <f aca="false">IF(G18045=1,$C$17726,IF(Assumptions!$I$58=1,MAX(H17724,Assumptions!$G$58)+Assumptions!$F$58+$C$17725,Assumptions!$E$58))</f>
        <v>0.0581</v>
      </c>
      <c r="I17750" s="31" t="n">
        <f aca="false">IF(H18045=1,$C$17726,IF(Assumptions!$I$58=1,MAX(I17724,Assumptions!$G$58)+Assumptions!$F$58+$C$17725,Assumptions!$E$58))</f>
        <v>0.0581</v>
      </c>
      <c r="J17750" s="31" t="n">
        <f aca="false">IF(I18045=1,$C$17726,IF(Assumptions!$I$58=1,MAX(J17724,Assumptions!$G$58)+Assumptions!$F$58+$C$17725,Assumptions!$E$58))</f>
        <v>0.0581</v>
      </c>
      <c r="K17750" s="31" t="n">
        <f aca="false">IF(J18045=1,$C$17726,IF(Assumptions!$I$58=1,MAX(K17724,Assumptions!$G$58)+Assumptions!$F$58+$C$17725,Assumptions!$E$58))</f>
        <v>0.0581</v>
      </c>
    </row>
    <row r="17751" customFormat="false" ht="15" hidden="false" customHeight="false" outlineLevel="0" collapsed="false">
      <c r="A17751" s="3" t="s">
        <v>332</v>
      </c>
      <c r="G17751" s="16" t="n">
        <f aca="false">G17747*G17750</f>
        <v>5.229</v>
      </c>
      <c r="H17751" s="16" t="n">
        <f aca="false">H17747*H17750</f>
        <v>5.229</v>
      </c>
      <c r="I17751" s="16" t="n">
        <f aca="false">I17747*I17750</f>
        <v>5.229</v>
      </c>
      <c r="J17751" s="16" t="n">
        <f aca="false">J17747*J17750</f>
        <v>5.229</v>
      </c>
      <c r="K17751" s="16" t="n">
        <f aca="false">K17747*K17750</f>
        <v>5.229</v>
      </c>
    </row>
    <row r="17752" customFormat="false" ht="15" hidden="false" customHeight="false" outlineLevel="0" collapsed="false">
      <c r="A17752" s="3" t="s">
        <v>333</v>
      </c>
      <c r="G17752" s="16" t="n">
        <f aca="false">G17747*Assumptions!$H$58</f>
        <v>0</v>
      </c>
      <c r="H17752" s="16" t="n">
        <f aca="false">H17747*Assumptions!$H$58</f>
        <v>0</v>
      </c>
      <c r="I17752" s="16" t="n">
        <f aca="false">I17747*Assumptions!$H$58</f>
        <v>0</v>
      </c>
      <c r="J17752" s="16" t="n">
        <f aca="false">J17747*Assumptions!$H$58</f>
        <v>0</v>
      </c>
      <c r="K17752" s="16" t="n">
        <f aca="false">K17747*Assumptions!$H$58</f>
        <v>0</v>
      </c>
    </row>
    <row r="17753" customFormat="false" ht="15" hidden="false" customHeight="false" outlineLevel="0" collapsed="false">
      <c r="A17753" s="3" t="s">
        <v>334</v>
      </c>
      <c r="G17753" s="16" t="n">
        <f aca="false">MIN(G17747,Assumptions!$L$58*Assumptions!$C$58)</f>
        <v>0</v>
      </c>
      <c r="H17753" s="16" t="n">
        <f aca="false">MIN(H17747,Assumptions!$L$58*Assumptions!$C$58)</f>
        <v>0</v>
      </c>
      <c r="I17753" s="16" t="n">
        <f aca="false">MIN(I17747,Assumptions!$L$58*Assumptions!$C$58)</f>
        <v>0</v>
      </c>
      <c r="J17753" s="16" t="n">
        <f aca="false">MIN(J17747,Assumptions!$L$58*Assumptions!$C$58)</f>
        <v>0</v>
      </c>
      <c r="K17753" s="16" t="n">
        <f aca="false">MIN(K17747,Assumptions!$L$58*Assumptions!$C$58)</f>
        <v>0</v>
      </c>
    </row>
    <row r="17754" customFormat="false" ht="15" hidden="false" customHeight="false" outlineLevel="0" collapsed="false">
      <c r="A17754" s="3" t="s">
        <v>335</v>
      </c>
      <c r="G17754" s="16" t="n">
        <f aca="false">IF(AND(Assumptions!$P$58=1,G17698&lt;Assumptions!$K$58),MIN(MAX(0,-G17914),MAX(0,Assumptions!$D$58-G17747)),0)</f>
        <v>0</v>
      </c>
      <c r="H17754" s="16" t="n">
        <f aca="false">IF(AND(Assumptions!$P$58=1,OR(H17698&lt;Assumptions!$K$58,G18045=1)),MIN(MAX(0,-H17914),MAX(0,Assumptions!$D$58-H17747)),0)</f>
        <v>0</v>
      </c>
      <c r="I17754" s="16" t="n">
        <f aca="false">IF(AND(Assumptions!$P$58=1,OR(I17698&lt;Assumptions!$K$58,H18045=1)),MIN(MAX(0,-I17914),MAX(0,Assumptions!$D$58-I17747)),0)</f>
        <v>0</v>
      </c>
      <c r="J17754" s="16" t="n">
        <f aca="false">IF(AND(Assumptions!$P$58=1,OR(J17698&lt;Assumptions!$K$58,I18045=1)),MIN(MAX(0,-J17914),MAX(0,Assumptions!$D$58-J17747)),0)</f>
        <v>0</v>
      </c>
      <c r="K17754" s="16" t="n">
        <f aca="false">IF(AND(Assumptions!$P$58=1,OR(K17698&lt;Assumptions!$K$58,J18045=1)),MIN(MAX(0,-K17914),MAX(0,Assumptions!$D$58-K17747)),0)</f>
        <v>0</v>
      </c>
    </row>
    <row r="17755" customFormat="false" ht="15" hidden="false" customHeight="false" outlineLevel="0" collapsed="false">
      <c r="A17755" s="3" t="s">
        <v>336</v>
      </c>
      <c r="G17755" s="16" t="n">
        <f aca="false">G17748*MIN(G17747-G17753+G17752,MAX(0,G17916-Assumptions!$C$12*G17732-G17742))</f>
        <v>0</v>
      </c>
      <c r="H17755" s="16" t="n">
        <f aca="false">H17748*MIN(H17747-H17753+H17752,MAX(0,H17916-Assumptions!$C$12*H17732-H17742))</f>
        <v>0</v>
      </c>
      <c r="I17755" s="16" t="n">
        <f aca="false">I17748*MIN(I17747-I17753+I17752,MAX(0,I17916-Assumptions!$C$12*I17732-I17742))</f>
        <v>0</v>
      </c>
      <c r="J17755" s="16" t="n">
        <f aca="false">J17748*MIN(J17747-J17753+J17752,MAX(0,J17916-Assumptions!$C$12*J17732-J17742))</f>
        <v>0</v>
      </c>
      <c r="K17755" s="16" t="n">
        <f aca="false">K17748*MIN(K17747-K17753+K17752,MAX(0,K17916-Assumptions!$C$12*K17732-K17742))</f>
        <v>0</v>
      </c>
    </row>
    <row r="17756" customFormat="false" ht="15" hidden="false" customHeight="false" outlineLevel="0" collapsed="false">
      <c r="A17756" s="3" t="s">
        <v>337</v>
      </c>
      <c r="G17756" s="16" t="n">
        <f aca="false">Assumptions!$N$58*MIN(G17747+G17754+G17752-G17753-G17755,MAX(0,G17920-G17743))</f>
        <v>0</v>
      </c>
      <c r="H17756" s="16" t="n">
        <f aca="false">Assumptions!$N$58*MIN(H17747+H17754+H17752-H17753-H17755,MAX(0,H17920-H17743))</f>
        <v>0</v>
      </c>
      <c r="I17756" s="16" t="n">
        <f aca="false">Assumptions!$N$58*MIN(I17747+I17754+I17752-I17753-I17755,MAX(0,I17920-I17743))</f>
        <v>0</v>
      </c>
      <c r="J17756" s="16" t="n">
        <f aca="false">Assumptions!$N$58*MIN(J17747+J17754+J17752-J17753-J17755,MAX(0,J17920-J17743))</f>
        <v>0</v>
      </c>
      <c r="K17756" s="16" t="n">
        <f aca="false">Assumptions!$N$58*MIN(K17747+K17754+K17752-K17753-K17755,MAX(0,K17920-K17743))</f>
        <v>0</v>
      </c>
    </row>
    <row r="17757" customFormat="false" ht="15" hidden="false" customHeight="false" outlineLevel="0" collapsed="false">
      <c r="A17757" s="3" t="s">
        <v>338</v>
      </c>
      <c r="G17757" s="16" t="n">
        <f aca="false">G17748*(1-G17732)*(G17747-G17753+G17752-G17755)</f>
        <v>0</v>
      </c>
      <c r="H17757" s="16" t="n">
        <f aca="false">H17748*(1-H17732)*(H17747-H17753+H17752-H17755)</f>
        <v>0</v>
      </c>
      <c r="I17757" s="16" t="n">
        <f aca="false">I17748*(1-I17732)*(I17747-I17753+I17752-I17755)</f>
        <v>0</v>
      </c>
      <c r="J17757" s="16" t="n">
        <f aca="false">J17748*(1-J17732)*(J17747-J17753+J17752-J17755)</f>
        <v>0</v>
      </c>
      <c r="K17757" s="16" t="n">
        <f aca="false">K17748*(1-K17732)*(K17747-K17753+K17752-K17755)</f>
        <v>0</v>
      </c>
    </row>
    <row r="17758" customFormat="false" ht="15" hidden="false" customHeight="false" outlineLevel="0" collapsed="false">
      <c r="A17758" s="2" t="s">
        <v>339</v>
      </c>
      <c r="F17758" s="28" t="n">
        <f aca="false">Assumptions!$C$58</f>
        <v>90</v>
      </c>
      <c r="G17758" s="17" t="n">
        <f aca="false">G17747+G17754+G17752-G17753-G17755-G17756</f>
        <v>90</v>
      </c>
      <c r="H17758" s="17" t="n">
        <f aca="false">H17747+H17754+H17752-H17753-H17755-H17756</f>
        <v>90</v>
      </c>
      <c r="I17758" s="17" t="n">
        <f aca="false">I17747+I17754+I17752-I17753-I17755-I17756</f>
        <v>90</v>
      </c>
      <c r="J17758" s="17" t="n">
        <f aca="false">J17747+J17754+J17752-J17753-J17755-J17756</f>
        <v>90</v>
      </c>
      <c r="K17758" s="17" t="n">
        <f aca="false">K17747+K17754+K17752-K17753-K17755-K17756</f>
        <v>90</v>
      </c>
    </row>
    <row r="17759" customFormat="false" ht="15" hidden="false" customHeight="false" outlineLevel="0" collapsed="false">
      <c r="A17759" s="24" t="s">
        <v>341</v>
      </c>
      <c r="B17759" s="25"/>
      <c r="C17759" s="25"/>
      <c r="D17759" s="25"/>
      <c r="E17759" s="25"/>
      <c r="F17759" s="25"/>
      <c r="G17759" s="25"/>
      <c r="H17759" s="25"/>
      <c r="I17759" s="25"/>
      <c r="J17759" s="25"/>
      <c r="K17759" s="25"/>
    </row>
    <row r="17760" customFormat="false" ht="15" hidden="false" customHeight="false" outlineLevel="0" collapsed="false">
      <c r="A17760" s="3" t="s">
        <v>329</v>
      </c>
      <c r="G17760" s="16" t="n">
        <f aca="false">F17771</f>
        <v>57.324</v>
      </c>
      <c r="H17760" s="16" t="n">
        <f aca="false">G17771</f>
        <v>57.324</v>
      </c>
      <c r="I17760" s="16" t="n">
        <f aca="false">H17771</f>
        <v>57.324</v>
      </c>
      <c r="J17760" s="16" t="n">
        <f aca="false">I17771</f>
        <v>57.324</v>
      </c>
      <c r="K17760" s="16" t="n">
        <f aca="false">J17771</f>
        <v>57.324</v>
      </c>
    </row>
    <row r="17761" customFormat="false" ht="15" hidden="false" customHeight="false" outlineLevel="0" collapsed="false">
      <c r="A17761" s="3" t="s">
        <v>330</v>
      </c>
      <c r="G17761" s="21" t="n">
        <f aca="false">IF(G17698=Assumptions!$K$59,1,0)</f>
        <v>0</v>
      </c>
      <c r="H17761" s="21" t="n">
        <f aca="false">IF(H17698=Assumptions!$K$59,1,0)</f>
        <v>0</v>
      </c>
      <c r="I17761" s="21" t="n">
        <f aca="false">IF(I17698=Assumptions!$K$59,1,0)</f>
        <v>0</v>
      </c>
      <c r="J17761" s="21" t="n">
        <f aca="false">IF(J17698=Assumptions!$K$59,1,0)</f>
        <v>0</v>
      </c>
      <c r="K17761" s="21" t="n">
        <f aca="false">IF(K17698=Assumptions!$K$59,1,0)</f>
        <v>0</v>
      </c>
    </row>
    <row r="17763" customFormat="false" ht="15" hidden="false" customHeight="false" outlineLevel="0" collapsed="false">
      <c r="A17763" s="3" t="s">
        <v>331</v>
      </c>
      <c r="G17763" s="31" t="n">
        <f aca="false">IF(Assumptions!$I$59=1,MAX(G17724,Assumptions!$G$59)+Assumptions!$F$59+$C$17725,Assumptions!$E$59)</f>
        <v>0.0731</v>
      </c>
      <c r="H17763" s="31" t="n">
        <f aca="false">IF(G18046=1,$C$17726,IF(Assumptions!$I$59=1,MAX(H17724,Assumptions!$G$59)+Assumptions!$F$59+$C$17725,Assumptions!$E$59))</f>
        <v>0.0731</v>
      </c>
      <c r="I17763" s="31" t="n">
        <f aca="false">IF(H18046=1,$C$17726,IF(Assumptions!$I$59=1,MAX(I17724,Assumptions!$G$59)+Assumptions!$F$59+$C$17725,Assumptions!$E$59))</f>
        <v>0.0731</v>
      </c>
      <c r="J17763" s="31" t="n">
        <f aca="false">IF(I18046=1,$C$17726,IF(Assumptions!$I$59=1,MAX(J17724,Assumptions!$G$59)+Assumptions!$F$59+$C$17725,Assumptions!$E$59))</f>
        <v>0.0731</v>
      </c>
      <c r="K17763" s="31" t="n">
        <f aca="false">IF(J18046=1,$C$17726,IF(Assumptions!$I$59=1,MAX(K17724,Assumptions!$G$59)+Assumptions!$F$59+$C$17725,Assumptions!$E$59))</f>
        <v>0.0731</v>
      </c>
    </row>
    <row r="17764" customFormat="false" ht="15" hidden="false" customHeight="false" outlineLevel="0" collapsed="false">
      <c r="A17764" s="3" t="s">
        <v>332</v>
      </c>
      <c r="G17764" s="16" t="n">
        <f aca="false">G17760*G17763</f>
        <v>4.1903844</v>
      </c>
      <c r="H17764" s="16" t="n">
        <f aca="false">H17760*H17763</f>
        <v>4.1903844</v>
      </c>
      <c r="I17764" s="16" t="n">
        <f aca="false">I17760*I17763</f>
        <v>4.1903844</v>
      </c>
      <c r="J17764" s="16" t="n">
        <f aca="false">J17760*J17763</f>
        <v>4.1903844</v>
      </c>
      <c r="K17764" s="16" t="n">
        <f aca="false">K17760*K17763</f>
        <v>4.1903844</v>
      </c>
    </row>
    <row r="17765" customFormat="false" ht="15" hidden="false" customHeight="false" outlineLevel="0" collapsed="false">
      <c r="A17765" s="3" t="s">
        <v>333</v>
      </c>
      <c r="G17765" s="16" t="n">
        <f aca="false">G17760*Assumptions!$H$59</f>
        <v>0</v>
      </c>
      <c r="H17765" s="16" t="n">
        <f aca="false">H17760*Assumptions!$H$59</f>
        <v>0</v>
      </c>
      <c r="I17765" s="16" t="n">
        <f aca="false">I17760*Assumptions!$H$59</f>
        <v>0</v>
      </c>
      <c r="J17765" s="16" t="n">
        <f aca="false">J17760*Assumptions!$H$59</f>
        <v>0</v>
      </c>
      <c r="K17765" s="16" t="n">
        <f aca="false">K17760*Assumptions!$H$59</f>
        <v>0</v>
      </c>
    </row>
    <row r="17766" customFormat="false" ht="15" hidden="false" customHeight="false" outlineLevel="0" collapsed="false">
      <c r="A17766" s="3" t="s">
        <v>334</v>
      </c>
      <c r="G17766" s="16" t="n">
        <f aca="false">MIN(G17760,Assumptions!$L$59*Assumptions!$C$59)</f>
        <v>0</v>
      </c>
      <c r="H17766" s="16" t="n">
        <f aca="false">MIN(H17760,Assumptions!$L$59*Assumptions!$C$59)</f>
        <v>0</v>
      </c>
      <c r="I17766" s="16" t="n">
        <f aca="false">MIN(I17760,Assumptions!$L$59*Assumptions!$C$59)</f>
        <v>0</v>
      </c>
      <c r="J17766" s="16" t="n">
        <f aca="false">MIN(J17760,Assumptions!$L$59*Assumptions!$C$59)</f>
        <v>0</v>
      </c>
      <c r="K17766" s="16" t="n">
        <f aca="false">MIN(K17760,Assumptions!$L$59*Assumptions!$C$59)</f>
        <v>0</v>
      </c>
    </row>
    <row r="17767" customFormat="false" ht="15" hidden="false" customHeight="false" outlineLevel="0" collapsed="false">
      <c r="A17767" s="3" t="s">
        <v>335</v>
      </c>
      <c r="G17767" s="16" t="n">
        <f aca="false">IF(AND(Assumptions!$P$59=1,G17698&lt;Assumptions!$K$59),MIN(MAX(0,-G17914),MAX(0,Assumptions!$D$59-G17760)),0)</f>
        <v>0</v>
      </c>
      <c r="H17767" s="16" t="n">
        <f aca="false">IF(AND(Assumptions!$P$59=1,OR(H17698&lt;Assumptions!$K$59,G18046=1)),MIN(MAX(0,-H17914),MAX(0,Assumptions!$D$59-H17760)),0)</f>
        <v>0</v>
      </c>
      <c r="I17767" s="16" t="n">
        <f aca="false">IF(AND(Assumptions!$P$59=1,OR(I17698&lt;Assumptions!$K$59,H18046=1)),MIN(MAX(0,-I17914),MAX(0,Assumptions!$D$59-I17760)),0)</f>
        <v>0</v>
      </c>
      <c r="J17767" s="16" t="n">
        <f aca="false">IF(AND(Assumptions!$P$59=1,OR(J17698&lt;Assumptions!$K$59,I18046=1)),MIN(MAX(0,-J17914),MAX(0,Assumptions!$D$59-J17760)),0)</f>
        <v>0</v>
      </c>
      <c r="K17767" s="16" t="n">
        <f aca="false">IF(AND(Assumptions!$P$59=1,OR(K17698&lt;Assumptions!$K$59,J18046=1)),MIN(MAX(0,-K17914),MAX(0,Assumptions!$D$59-K17760)),0)</f>
        <v>0</v>
      </c>
    </row>
    <row r="17768" customFormat="false" ht="15" hidden="false" customHeight="false" outlineLevel="0" collapsed="false">
      <c r="A17768" s="3" t="s">
        <v>336</v>
      </c>
      <c r="G17768" s="16" t="n">
        <f aca="false">G17761*MIN(G17760-G17766+G17765,MAX(0,G17916-Assumptions!$C$12*G17732-G17742-G17755))</f>
        <v>0</v>
      </c>
      <c r="H17768" s="16" t="n">
        <f aca="false">H17761*MIN(H17760-H17766+H17765,MAX(0,H17916-Assumptions!$C$12*H17732-H17742-H17755))</f>
        <v>0</v>
      </c>
      <c r="I17768" s="16" t="n">
        <f aca="false">I17761*MIN(I17760-I17766+I17765,MAX(0,I17916-Assumptions!$C$12*I17732-I17742-I17755))</f>
        <v>0</v>
      </c>
      <c r="J17768" s="16" t="n">
        <f aca="false">J17761*MIN(J17760-J17766+J17765,MAX(0,J17916-Assumptions!$C$12*J17732-J17742-J17755))</f>
        <v>0</v>
      </c>
      <c r="K17768" s="16" t="n">
        <f aca="false">K17761*MIN(K17760-K17766+K17765,MAX(0,K17916-Assumptions!$C$12*K17732-K17742-K17755))</f>
        <v>0</v>
      </c>
    </row>
    <row r="17769" customFormat="false" ht="15" hidden="false" customHeight="false" outlineLevel="0" collapsed="false">
      <c r="A17769" s="3" t="s">
        <v>337</v>
      </c>
      <c r="G17769" s="16" t="n">
        <f aca="false">Assumptions!$N$59*MIN(G17760+G17767+G17765-G17766-G17768,MAX(0,G17920-G17743-G17756))</f>
        <v>0</v>
      </c>
      <c r="H17769" s="16" t="n">
        <f aca="false">Assumptions!$N$59*MIN(H17760+H17767+H17765-H17766-H17768,MAX(0,H17920-H17743-H17756))</f>
        <v>0</v>
      </c>
      <c r="I17769" s="16" t="n">
        <f aca="false">Assumptions!$N$59*MIN(I17760+I17767+I17765-I17766-I17768,MAX(0,I17920-I17743-I17756))</f>
        <v>0</v>
      </c>
      <c r="J17769" s="16" t="n">
        <f aca="false">Assumptions!$N$59*MIN(J17760+J17767+J17765-J17766-J17768,MAX(0,J17920-J17743-J17756))</f>
        <v>0</v>
      </c>
      <c r="K17769" s="16" t="n">
        <f aca="false">Assumptions!$N$59*MIN(K17760+K17767+K17765-K17766-K17768,MAX(0,K17920-K17743-K17756))</f>
        <v>0</v>
      </c>
    </row>
    <row r="17770" customFormat="false" ht="15" hidden="false" customHeight="false" outlineLevel="0" collapsed="false">
      <c r="A17770" s="3" t="s">
        <v>338</v>
      </c>
      <c r="G17770" s="16" t="n">
        <f aca="false">G17761*(1-G17732)*(G17760-G17766+G17765-G17768)</f>
        <v>0</v>
      </c>
      <c r="H17770" s="16" t="n">
        <f aca="false">H17761*(1-H17732)*(H17760-H17766+H17765-H17768)</f>
        <v>0</v>
      </c>
      <c r="I17770" s="16" t="n">
        <f aca="false">I17761*(1-I17732)*(I17760-I17766+I17765-I17768)</f>
        <v>0</v>
      </c>
      <c r="J17770" s="16" t="n">
        <f aca="false">J17761*(1-J17732)*(J17760-J17766+J17765-J17768)</f>
        <v>0</v>
      </c>
      <c r="K17770" s="16" t="n">
        <f aca="false">K17761*(1-K17732)*(K17760-K17766+K17765-K17768)</f>
        <v>0</v>
      </c>
    </row>
    <row r="17771" customFormat="false" ht="15" hidden="false" customHeight="false" outlineLevel="0" collapsed="false">
      <c r="A17771" s="2" t="s">
        <v>339</v>
      </c>
      <c r="F17771" s="28" t="n">
        <f aca="false">Assumptions!$C$59</f>
        <v>57.324</v>
      </c>
      <c r="G17771" s="17" t="n">
        <f aca="false">G17760+G17767+G17765-G17766-G17768-G17769</f>
        <v>57.324</v>
      </c>
      <c r="H17771" s="17" t="n">
        <f aca="false">H17760+H17767+H17765-H17766-H17768-H17769</f>
        <v>57.324</v>
      </c>
      <c r="I17771" s="17" t="n">
        <f aca="false">I17760+I17767+I17765-I17766-I17768-I17769</f>
        <v>57.324</v>
      </c>
      <c r="J17771" s="17" t="n">
        <f aca="false">J17760+J17767+J17765-J17766-J17768-J17769</f>
        <v>57.324</v>
      </c>
      <c r="K17771" s="17" t="n">
        <f aca="false">K17760+K17767+K17765-K17766-K17768-K17769</f>
        <v>57.324</v>
      </c>
    </row>
    <row r="17772" customFormat="false" ht="15" hidden="false" customHeight="false" outlineLevel="0" collapsed="false">
      <c r="A17772" s="24" t="s">
        <v>342</v>
      </c>
      <c r="B17772" s="25"/>
      <c r="C17772" s="25"/>
      <c r="D17772" s="25"/>
      <c r="E17772" s="25"/>
      <c r="F17772" s="25"/>
      <c r="G17772" s="25"/>
      <c r="H17772" s="25"/>
      <c r="I17772" s="25"/>
      <c r="J17772" s="25"/>
      <c r="K17772" s="25"/>
    </row>
    <row r="17773" customFormat="false" ht="15" hidden="false" customHeight="false" outlineLevel="0" collapsed="false">
      <c r="A17773" s="3" t="s">
        <v>329</v>
      </c>
      <c r="G17773" s="16" t="n">
        <f aca="false">F17784</f>
        <v>0</v>
      </c>
      <c r="H17773" s="16" t="n">
        <f aca="false">G17784</f>
        <v>0</v>
      </c>
      <c r="I17773" s="16" t="n">
        <f aca="false">H17784</f>
        <v>0</v>
      </c>
      <c r="J17773" s="16" t="n">
        <f aca="false">I17784</f>
        <v>0</v>
      </c>
      <c r="K17773" s="16" t="n">
        <f aca="false">J17784</f>
        <v>0</v>
      </c>
    </row>
    <row r="17774" customFormat="false" ht="15" hidden="false" customHeight="false" outlineLevel="0" collapsed="false">
      <c r="A17774" s="3" t="s">
        <v>330</v>
      </c>
      <c r="G17774" s="21" t="n">
        <f aca="false">IF(G17698=Assumptions!$K$60,1,0)</f>
        <v>1</v>
      </c>
      <c r="H17774" s="21" t="n">
        <f aca="false">IF(H17698=Assumptions!$K$60,1,0)</f>
        <v>0</v>
      </c>
      <c r="I17774" s="21" t="n">
        <f aca="false">IF(I17698=Assumptions!$K$60,1,0)</f>
        <v>0</v>
      </c>
      <c r="J17774" s="21" t="n">
        <f aca="false">IF(J17698=Assumptions!$K$60,1,0)</f>
        <v>0</v>
      </c>
      <c r="K17774" s="21" t="n">
        <f aca="false">IF(K17698=Assumptions!$K$60,1,0)</f>
        <v>0</v>
      </c>
    </row>
    <row r="17776" customFormat="false" ht="15" hidden="false" customHeight="false" outlineLevel="0" collapsed="false">
      <c r="A17776" s="3" t="s">
        <v>331</v>
      </c>
      <c r="G17776" s="31" t="n">
        <f aca="false">IF(Assumptions!$I$60=1,MAX(G17724,Assumptions!$G$60)+Assumptions!$F$60+$C$17725,Assumptions!$E$60)</f>
        <v>0.069</v>
      </c>
      <c r="H17776" s="31" t="n">
        <f aca="false">IF(G18047=1,$C$17726,IF(Assumptions!$I$60=1,MAX(H17724,Assumptions!$G$60)+Assumptions!$F$60+$C$17725,Assumptions!$E$60))</f>
        <v>0.0675</v>
      </c>
      <c r="I17776" s="31" t="n">
        <f aca="false">IF(H18047=1,$C$17726,IF(Assumptions!$I$60=1,MAX(I17724,Assumptions!$G$60)+Assumptions!$F$60+$C$17725,Assumptions!$E$60))</f>
        <v>0.065</v>
      </c>
      <c r="J17776" s="31" t="n">
        <f aca="false">IF(I18047=1,$C$17726,IF(Assumptions!$I$60=1,MAX(J17724,Assumptions!$G$60)+Assumptions!$F$60+$C$17725,Assumptions!$E$60))</f>
        <v>0.065</v>
      </c>
      <c r="K17776" s="31" t="n">
        <f aca="false">IF(J18047=1,$C$17726,IF(Assumptions!$I$60=1,MAX(K17724,Assumptions!$G$60)+Assumptions!$F$60+$C$17725,Assumptions!$E$60))</f>
        <v>0.065</v>
      </c>
    </row>
    <row r="17777" customFormat="false" ht="15" hidden="false" customHeight="false" outlineLevel="0" collapsed="false">
      <c r="A17777" s="3" t="s">
        <v>332</v>
      </c>
      <c r="G17777" s="16" t="n">
        <f aca="false">G17773*G17776</f>
        <v>0</v>
      </c>
      <c r="H17777" s="16" t="n">
        <f aca="false">H17773*H17776</f>
        <v>0</v>
      </c>
      <c r="I17777" s="16" t="n">
        <f aca="false">I17773*I17776</f>
        <v>0</v>
      </c>
      <c r="J17777" s="16" t="n">
        <f aca="false">J17773*J17776</f>
        <v>0</v>
      </c>
      <c r="K17777" s="16" t="n">
        <f aca="false">K17773*K17776</f>
        <v>0</v>
      </c>
    </row>
    <row r="17778" customFormat="false" ht="15" hidden="false" customHeight="false" outlineLevel="0" collapsed="false">
      <c r="A17778" s="3" t="s">
        <v>333</v>
      </c>
      <c r="G17778" s="16" t="n">
        <f aca="false">G17773*Assumptions!$H$60</f>
        <v>0</v>
      </c>
      <c r="H17778" s="16" t="n">
        <f aca="false">H17773*Assumptions!$H$60</f>
        <v>0</v>
      </c>
      <c r="I17778" s="16" t="n">
        <f aca="false">I17773*Assumptions!$H$60</f>
        <v>0</v>
      </c>
      <c r="J17778" s="16" t="n">
        <f aca="false">J17773*Assumptions!$H$60</f>
        <v>0</v>
      </c>
      <c r="K17778" s="16" t="n">
        <f aca="false">K17773*Assumptions!$H$60</f>
        <v>0</v>
      </c>
    </row>
    <row r="17779" customFormat="false" ht="15" hidden="false" customHeight="false" outlineLevel="0" collapsed="false">
      <c r="A17779" s="3" t="s">
        <v>334</v>
      </c>
      <c r="G17779" s="16" t="n">
        <f aca="false">MIN(G17773,Assumptions!$L$60*Assumptions!$C$60)</f>
        <v>0</v>
      </c>
      <c r="H17779" s="16" t="n">
        <f aca="false">MIN(H17773,Assumptions!$L$60*Assumptions!$C$60)</f>
        <v>0</v>
      </c>
      <c r="I17779" s="16" t="n">
        <f aca="false">MIN(I17773,Assumptions!$L$60*Assumptions!$C$60)</f>
        <v>0</v>
      </c>
      <c r="J17779" s="16" t="n">
        <f aca="false">MIN(J17773,Assumptions!$L$60*Assumptions!$C$60)</f>
        <v>0</v>
      </c>
      <c r="K17779" s="16" t="n">
        <f aca="false">MIN(K17773,Assumptions!$L$60*Assumptions!$C$60)</f>
        <v>0</v>
      </c>
    </row>
    <row r="17780" customFormat="false" ht="15" hidden="false" customHeight="false" outlineLevel="0" collapsed="false">
      <c r="A17780" s="3" t="s">
        <v>335</v>
      </c>
      <c r="G17780" s="16" t="n">
        <f aca="false">IF(AND(Assumptions!$P$60=1,G17698&lt;Assumptions!$K$60),MIN(MAX(0,-G17914),MAX(0,Assumptions!$D$60-G17773)),0)</f>
        <v>0</v>
      </c>
      <c r="H17780" s="16" t="n">
        <f aca="false">IF(AND(Assumptions!$P$60=1,OR(H17698&lt;Assumptions!$K$60,G18047=1)),MIN(MAX(0,-H17914),MAX(0,Assumptions!$D$60-H17773)),0)</f>
        <v>0</v>
      </c>
      <c r="I17780" s="16" t="n">
        <f aca="false">IF(AND(Assumptions!$P$60=1,OR(I17698&lt;Assumptions!$K$60,H18047=1)),MIN(MAX(0,-I17914),MAX(0,Assumptions!$D$60-I17773)),0)</f>
        <v>0</v>
      </c>
      <c r="J17780" s="16" t="n">
        <f aca="false">IF(AND(Assumptions!$P$60=1,OR(J17698&lt;Assumptions!$K$60,I18047=1)),MIN(MAX(0,-J17914),MAX(0,Assumptions!$D$60-J17773)),0)</f>
        <v>0</v>
      </c>
      <c r="K17780" s="16" t="n">
        <f aca="false">IF(AND(Assumptions!$P$60=1,OR(K17698&lt;Assumptions!$K$60,J18047=1)),MIN(MAX(0,-K17914),MAX(0,Assumptions!$D$60-K17773)),0)</f>
        <v>0</v>
      </c>
    </row>
    <row r="17781" customFormat="false" ht="15" hidden="false" customHeight="false" outlineLevel="0" collapsed="false">
      <c r="A17781" s="3" t="s">
        <v>336</v>
      </c>
      <c r="G17781" s="16" t="n">
        <f aca="false">G17774*MIN(G17773-G17779+G17778,MAX(0,G17916-Assumptions!$C$12*G17732-G17742-G17755-G17768))</f>
        <v>0</v>
      </c>
      <c r="H17781" s="16" t="n">
        <f aca="false">H17774*MIN(H17773-H17779+H17778,MAX(0,H17916-Assumptions!$C$12*H17732-H17742-H17755-H17768))</f>
        <v>0</v>
      </c>
      <c r="I17781" s="16" t="n">
        <f aca="false">I17774*MIN(I17773-I17779+I17778,MAX(0,I17916-Assumptions!$C$12*I17732-I17742-I17755-I17768))</f>
        <v>0</v>
      </c>
      <c r="J17781" s="16" t="n">
        <f aca="false">J17774*MIN(J17773-J17779+J17778,MAX(0,J17916-Assumptions!$C$12*J17732-J17742-J17755-J17768))</f>
        <v>0</v>
      </c>
      <c r="K17781" s="16" t="n">
        <f aca="false">K17774*MIN(K17773-K17779+K17778,MAX(0,K17916-Assumptions!$C$12*K17732-K17742-K17755-K17768))</f>
        <v>0</v>
      </c>
    </row>
    <row r="17782" customFormat="false" ht="15" hidden="false" customHeight="false" outlineLevel="0" collapsed="false">
      <c r="A17782" s="3" t="s">
        <v>337</v>
      </c>
      <c r="G17782" s="16" t="n">
        <f aca="false">Assumptions!$N$60*MIN(G17773+G17780+G17778-G17779-G17781,MAX(0,G17920-G17743-G17756-G17769))</f>
        <v>0</v>
      </c>
      <c r="H17782" s="16" t="n">
        <f aca="false">Assumptions!$N$60*MIN(H17773+H17780+H17778-H17779-H17781,MAX(0,H17920-H17743-H17756-H17769))</f>
        <v>0</v>
      </c>
      <c r="I17782" s="16" t="n">
        <f aca="false">Assumptions!$N$60*MIN(I17773+I17780+I17778-I17779-I17781,MAX(0,I17920-I17743-I17756-I17769))</f>
        <v>0</v>
      </c>
      <c r="J17782" s="16" t="n">
        <f aca="false">Assumptions!$N$60*MIN(J17773+J17780+J17778-J17779-J17781,MAX(0,J17920-J17743-J17756-J17769))</f>
        <v>0</v>
      </c>
      <c r="K17782" s="16" t="n">
        <f aca="false">Assumptions!$N$60*MIN(K17773+K17780+K17778-K17779-K17781,MAX(0,K17920-K17743-K17756-K17769))</f>
        <v>0</v>
      </c>
    </row>
    <row r="17783" customFormat="false" ht="15" hidden="false" customHeight="false" outlineLevel="0" collapsed="false">
      <c r="A17783" s="3" t="s">
        <v>338</v>
      </c>
      <c r="G17783" s="16" t="n">
        <f aca="false">G17774*(1-G17732)*(G17773-G17779+G17778-G17781)</f>
        <v>0</v>
      </c>
      <c r="H17783" s="16" t="n">
        <f aca="false">H17774*(1-H17732)*(H17773-H17779+H17778-H17781)</f>
        <v>0</v>
      </c>
      <c r="I17783" s="16" t="n">
        <f aca="false">I17774*(1-I17732)*(I17773-I17779+I17778-I17781)</f>
        <v>0</v>
      </c>
      <c r="J17783" s="16" t="n">
        <f aca="false">J17774*(1-J17732)*(J17773-J17779+J17778-J17781)</f>
        <v>0</v>
      </c>
      <c r="K17783" s="16" t="n">
        <f aca="false">K17774*(1-K17732)*(K17773-K17779+K17778-K17781)</f>
        <v>0</v>
      </c>
    </row>
    <row r="17784" customFormat="false" ht="15" hidden="false" customHeight="false" outlineLevel="0" collapsed="false">
      <c r="A17784" s="2" t="s">
        <v>339</v>
      </c>
      <c r="F17784" s="28" t="n">
        <f aca="false">Assumptions!$C$60</f>
        <v>0</v>
      </c>
      <c r="G17784" s="17" t="n">
        <f aca="false">G17773+G17780+G17778-G17779-G17781-G17782</f>
        <v>0</v>
      </c>
      <c r="H17784" s="17" t="n">
        <f aca="false">H17773+H17780+H17778-H17779-H17781-H17782</f>
        <v>0</v>
      </c>
      <c r="I17784" s="17" t="n">
        <f aca="false">I17773+I17780+I17778-I17779-I17781-I17782</f>
        <v>0</v>
      </c>
      <c r="J17784" s="17" t="n">
        <f aca="false">J17773+J17780+J17778-J17779-J17781-J17782</f>
        <v>0</v>
      </c>
      <c r="K17784" s="17" t="n">
        <f aca="false">K17773+K17780+K17778-K17779-K17781-K17782</f>
        <v>0</v>
      </c>
    </row>
    <row r="17785" customFormat="false" ht="15" hidden="false" customHeight="false" outlineLevel="0" collapsed="false">
      <c r="A17785" s="24" t="s">
        <v>343</v>
      </c>
      <c r="B17785" s="25"/>
      <c r="C17785" s="25"/>
      <c r="D17785" s="25"/>
      <c r="E17785" s="25"/>
      <c r="F17785" s="25"/>
      <c r="G17785" s="25"/>
      <c r="H17785" s="25"/>
      <c r="I17785" s="25"/>
      <c r="J17785" s="25"/>
      <c r="K17785" s="25"/>
    </row>
    <row r="17786" customFormat="false" ht="15" hidden="false" customHeight="false" outlineLevel="0" collapsed="false">
      <c r="A17786" s="3" t="s">
        <v>329</v>
      </c>
      <c r="G17786" s="16" t="n">
        <f aca="false">F17797</f>
        <v>450</v>
      </c>
      <c r="H17786" s="16" t="n">
        <f aca="false">G17797</f>
        <v>450</v>
      </c>
      <c r="I17786" s="16" t="n">
        <f aca="false">H17797</f>
        <v>362.452595676</v>
      </c>
      <c r="J17786" s="16" t="n">
        <f aca="false">I17797</f>
        <v>362.452595676</v>
      </c>
      <c r="K17786" s="16" t="n">
        <f aca="false">J17797</f>
        <v>362.452595676</v>
      </c>
    </row>
    <row r="17787" customFormat="false" ht="15" hidden="false" customHeight="false" outlineLevel="0" collapsed="false">
      <c r="A17787" s="3" t="s">
        <v>330</v>
      </c>
      <c r="G17787" s="21" t="n">
        <f aca="false">IF(G17698=Assumptions!$K$61,1,0)</f>
        <v>0</v>
      </c>
      <c r="H17787" s="21" t="n">
        <f aca="false">IF(H17698=Assumptions!$K$61,1,0)</f>
        <v>1</v>
      </c>
      <c r="I17787" s="21" t="n">
        <f aca="false">IF(I17698=Assumptions!$K$61,1,0)</f>
        <v>0</v>
      </c>
      <c r="J17787" s="21" t="n">
        <f aca="false">IF(J17698=Assumptions!$K$61,1,0)</f>
        <v>0</v>
      </c>
      <c r="K17787" s="21" t="n">
        <f aca="false">IF(K17698=Assumptions!$K$61,1,0)</f>
        <v>0</v>
      </c>
    </row>
    <row r="17789" customFormat="false" ht="15" hidden="false" customHeight="false" outlineLevel="0" collapsed="false">
      <c r="A17789" s="3" t="s">
        <v>331</v>
      </c>
      <c r="G17789" s="31" t="n">
        <f aca="false">IF(Assumptions!$I$61=1,MAX(G17724,Assumptions!$G$61)+Assumptions!$F$61+$C$17725,Assumptions!$E$61)</f>
        <v>0.0395</v>
      </c>
      <c r="H17789" s="31" t="n">
        <f aca="false">IF(G18048=1,$C$17726,IF(Assumptions!$I$61=1,MAX(H17724,Assumptions!$G$61)+Assumptions!$F$61+$C$17725,Assumptions!$E$61))</f>
        <v>0.0395</v>
      </c>
      <c r="I17789" s="31" t="n">
        <f aca="false">IF(H18048=1,$C$17726,IF(Assumptions!$I$61=1,MAX(I17724,Assumptions!$G$61)+Assumptions!$F$61+$C$17725,Assumptions!$E$61))</f>
        <v>0.0395</v>
      </c>
      <c r="J17789" s="31" t="n">
        <f aca="false">IF(I18048=1,$C$17726,IF(Assumptions!$I$61=1,MAX(J17724,Assumptions!$G$61)+Assumptions!$F$61+$C$17725,Assumptions!$E$61))</f>
        <v>0.0395</v>
      </c>
      <c r="K17789" s="31" t="n">
        <f aca="false">IF(J18048=1,$C$17726,IF(Assumptions!$I$61=1,MAX(K17724,Assumptions!$G$61)+Assumptions!$F$61+$C$17725,Assumptions!$E$61))</f>
        <v>0.0395</v>
      </c>
    </row>
    <row r="17790" customFormat="false" ht="15" hidden="false" customHeight="false" outlineLevel="0" collapsed="false">
      <c r="A17790" s="3" t="s">
        <v>332</v>
      </c>
      <c r="G17790" s="16" t="n">
        <f aca="false">G17786*G17789</f>
        <v>17.775</v>
      </c>
      <c r="H17790" s="16" t="n">
        <f aca="false">H17786*H17789</f>
        <v>17.775</v>
      </c>
      <c r="I17790" s="16" t="n">
        <f aca="false">I17786*I17789</f>
        <v>14.316877529202</v>
      </c>
      <c r="J17790" s="16" t="n">
        <f aca="false">J17786*J17789</f>
        <v>14.316877529202</v>
      </c>
      <c r="K17790" s="16" t="n">
        <f aca="false">K17786*K17789</f>
        <v>14.316877529202</v>
      </c>
    </row>
    <row r="17791" customFormat="false" ht="15" hidden="false" customHeight="false" outlineLevel="0" collapsed="false">
      <c r="A17791" s="3" t="s">
        <v>333</v>
      </c>
      <c r="G17791" s="16" t="n">
        <f aca="false">G17786*Assumptions!$H$61</f>
        <v>0</v>
      </c>
      <c r="H17791" s="16" t="n">
        <f aca="false">H17786*Assumptions!$H$61</f>
        <v>0</v>
      </c>
      <c r="I17791" s="16" t="n">
        <f aca="false">I17786*Assumptions!$H$61</f>
        <v>0</v>
      </c>
      <c r="J17791" s="16" t="n">
        <f aca="false">J17786*Assumptions!$H$61</f>
        <v>0</v>
      </c>
      <c r="K17791" s="16" t="n">
        <f aca="false">K17786*Assumptions!$H$61</f>
        <v>0</v>
      </c>
    </row>
    <row r="17792" customFormat="false" ht="15" hidden="false" customHeight="false" outlineLevel="0" collapsed="false">
      <c r="A17792" s="3" t="s">
        <v>334</v>
      </c>
      <c r="G17792" s="16" t="n">
        <f aca="false">MIN(G17786,Assumptions!$L$61*Assumptions!$C$61)</f>
        <v>0</v>
      </c>
      <c r="H17792" s="16" t="n">
        <f aca="false">MIN(H17786,Assumptions!$L$61*Assumptions!$C$61)</f>
        <v>0</v>
      </c>
      <c r="I17792" s="16" t="n">
        <f aca="false">MIN(I17786,Assumptions!$L$61*Assumptions!$C$61)</f>
        <v>0</v>
      </c>
      <c r="J17792" s="16" t="n">
        <f aca="false">MIN(J17786,Assumptions!$L$61*Assumptions!$C$61)</f>
        <v>0</v>
      </c>
      <c r="K17792" s="16" t="n">
        <f aca="false">MIN(K17786,Assumptions!$L$61*Assumptions!$C$61)</f>
        <v>0</v>
      </c>
    </row>
    <row r="17793" customFormat="false" ht="15" hidden="false" customHeight="false" outlineLevel="0" collapsed="false">
      <c r="A17793" s="3" t="s">
        <v>335</v>
      </c>
      <c r="G17793" s="16" t="n">
        <f aca="false">IF(AND(Assumptions!$P$61=1,G17698&lt;Assumptions!$K$61),MIN(MAX(0,-G17914),MAX(0,Assumptions!$D$61-G17786)),0)</f>
        <v>0</v>
      </c>
      <c r="H17793" s="16" t="n">
        <f aca="false">IF(AND(Assumptions!$P$61=1,OR(H17698&lt;Assumptions!$K$61,G18048=1)),MIN(MAX(0,-H17914),MAX(0,Assumptions!$D$61-H17786)),0)</f>
        <v>0</v>
      </c>
      <c r="I17793" s="16" t="n">
        <f aca="false">IF(AND(Assumptions!$P$61=1,OR(I17698&lt;Assumptions!$K$61,H18048=1)),MIN(MAX(0,-I17914),MAX(0,Assumptions!$D$61-I17786)),0)</f>
        <v>0</v>
      </c>
      <c r="J17793" s="16" t="n">
        <f aca="false">IF(AND(Assumptions!$P$61=1,OR(J17698&lt;Assumptions!$K$61,I18048=1)),MIN(MAX(0,-J17914),MAX(0,Assumptions!$D$61-J17786)),0)</f>
        <v>0</v>
      </c>
      <c r="K17793" s="16" t="n">
        <f aca="false">IF(AND(Assumptions!$P$61=1,OR(K17698&lt;Assumptions!$K$61,J18048=1)),MIN(MAX(0,-K17914),MAX(0,Assumptions!$D$61-K17786)),0)</f>
        <v>0</v>
      </c>
    </row>
    <row r="17794" customFormat="false" ht="15" hidden="false" customHeight="false" outlineLevel="0" collapsed="false">
      <c r="A17794" s="3" t="s">
        <v>336</v>
      </c>
      <c r="G17794" s="16" t="n">
        <f aca="false">G17787*MIN(G17786-G17792+G17791,MAX(0,G17916-Assumptions!$C$12*G17732-G17742-G17755-G17768-G17781))</f>
        <v>0</v>
      </c>
      <c r="H17794" s="16" t="n">
        <f aca="false">H17787*MIN(H17786-H17792+H17791,MAX(0,H17916-Assumptions!$C$12*H17732-H17742-H17755-H17768-H17781))</f>
        <v>87.547404324</v>
      </c>
      <c r="I17794" s="16" t="n">
        <f aca="false">I17787*MIN(I17786-I17792+I17791,MAX(0,I17916-Assumptions!$C$12*I17732-I17742-I17755-I17768-I17781))</f>
        <v>0</v>
      </c>
      <c r="J17794" s="16" t="n">
        <f aca="false">J17787*MIN(J17786-J17792+J17791,MAX(0,J17916-Assumptions!$C$12*J17732-J17742-J17755-J17768-J17781))</f>
        <v>0</v>
      </c>
      <c r="K17794" s="16" t="n">
        <f aca="false">K17787*MIN(K17786-K17792+K17791,MAX(0,K17916-Assumptions!$C$12*K17732-K17742-K17755-K17768-K17781))</f>
        <v>0</v>
      </c>
    </row>
    <row r="17795" customFormat="false" ht="15" hidden="false" customHeight="false" outlineLevel="0" collapsed="false">
      <c r="A17795" s="3" t="s">
        <v>337</v>
      </c>
      <c r="G17795" s="16" t="n">
        <f aca="false">Assumptions!$N$61*MIN(G17786+G17793+G17791-G17792-G17794,MAX(0,G17920-G17743-G17756-G17769-G17782))</f>
        <v>0</v>
      </c>
      <c r="H17795" s="16" t="n">
        <f aca="false">Assumptions!$N$61*MIN(H17786+H17793+H17791-H17792-H17794,MAX(0,H17920-H17743-H17756-H17769-H17782))</f>
        <v>0</v>
      </c>
      <c r="I17795" s="16" t="n">
        <f aca="false">Assumptions!$N$61*MIN(I17786+I17793+I17791-I17792-I17794,MAX(0,I17920-I17743-I17756-I17769-I17782))</f>
        <v>0</v>
      </c>
      <c r="J17795" s="16" t="n">
        <f aca="false">Assumptions!$N$61*MIN(J17786+J17793+J17791-J17792-J17794,MAX(0,J17920-J17743-J17756-J17769-J17782))</f>
        <v>0</v>
      </c>
      <c r="K17795" s="16" t="n">
        <f aca="false">Assumptions!$N$61*MIN(K17786+K17793+K17791-K17792-K17794,MAX(0,K17920-K17743-K17756-K17769-K17782))</f>
        <v>0</v>
      </c>
    </row>
    <row r="17796" customFormat="false" ht="15" hidden="false" customHeight="false" outlineLevel="0" collapsed="false">
      <c r="A17796" s="3" t="s">
        <v>338</v>
      </c>
      <c r="G17796" s="16" t="n">
        <f aca="false">G17787*(1-G17732)*(G17786-G17792+G17791-G17794)</f>
        <v>0</v>
      </c>
      <c r="H17796" s="16" t="n">
        <f aca="false">H17787*(1-H17732)*(H17786-H17792+H17791-H17794)</f>
        <v>362.452595676</v>
      </c>
      <c r="I17796" s="16" t="n">
        <f aca="false">I17787*(1-I17732)*(I17786-I17792+I17791-I17794)</f>
        <v>0</v>
      </c>
      <c r="J17796" s="16" t="n">
        <f aca="false">J17787*(1-J17732)*(J17786-J17792+J17791-J17794)</f>
        <v>0</v>
      </c>
      <c r="K17796" s="16" t="n">
        <f aca="false">K17787*(1-K17732)*(K17786-K17792+K17791-K17794)</f>
        <v>0</v>
      </c>
    </row>
    <row r="17797" customFormat="false" ht="15" hidden="false" customHeight="false" outlineLevel="0" collapsed="false">
      <c r="A17797" s="2" t="s">
        <v>339</v>
      </c>
      <c r="F17797" s="28" t="n">
        <f aca="false">Assumptions!$C$61</f>
        <v>450</v>
      </c>
      <c r="G17797" s="17" t="n">
        <f aca="false">G17786+G17793+G17791-G17792-G17794-G17795</f>
        <v>450</v>
      </c>
      <c r="H17797" s="17" t="n">
        <f aca="false">H17786+H17793+H17791-H17792-H17794-H17795</f>
        <v>362.452595676</v>
      </c>
      <c r="I17797" s="17" t="n">
        <f aca="false">I17786+I17793+I17791-I17792-I17794-I17795</f>
        <v>362.452595676</v>
      </c>
      <c r="J17797" s="17" t="n">
        <f aca="false">J17786+J17793+J17791-J17792-J17794-J17795</f>
        <v>362.452595676</v>
      </c>
      <c r="K17797" s="17" t="n">
        <f aca="false">K17786+K17793+K17791-K17792-K17794-K17795</f>
        <v>362.452595676</v>
      </c>
    </row>
    <row r="17798" customFormat="false" ht="15" hidden="false" customHeight="false" outlineLevel="0" collapsed="false">
      <c r="A17798" s="24" t="s">
        <v>344</v>
      </c>
      <c r="B17798" s="25"/>
      <c r="C17798" s="25"/>
      <c r="D17798" s="25"/>
      <c r="E17798" s="25"/>
      <c r="F17798" s="25"/>
      <c r="G17798" s="25"/>
      <c r="H17798" s="25"/>
      <c r="I17798" s="25"/>
      <c r="J17798" s="25"/>
      <c r="K17798" s="25"/>
    </row>
    <row r="17799" customFormat="false" ht="15" hidden="false" customHeight="false" outlineLevel="0" collapsed="false">
      <c r="A17799" s="3" t="s">
        <v>329</v>
      </c>
      <c r="G17799" s="16" t="n">
        <f aca="false">F17810</f>
        <v>350</v>
      </c>
      <c r="H17799" s="16" t="n">
        <f aca="false">G17810</f>
        <v>350</v>
      </c>
      <c r="I17799" s="16" t="n">
        <f aca="false">H17810</f>
        <v>350</v>
      </c>
      <c r="J17799" s="16" t="n">
        <f aca="false">I17810</f>
        <v>350</v>
      </c>
      <c r="K17799" s="16" t="n">
        <f aca="false">J17810</f>
        <v>350</v>
      </c>
    </row>
    <row r="17800" customFormat="false" ht="15" hidden="false" customHeight="false" outlineLevel="0" collapsed="false">
      <c r="A17800" s="3" t="s">
        <v>330</v>
      </c>
      <c r="G17800" s="21" t="n">
        <f aca="false">IF(G17698=Assumptions!$K$62,1,0)</f>
        <v>0</v>
      </c>
      <c r="H17800" s="21" t="n">
        <f aca="false">IF(H17698=Assumptions!$K$62,1,0)</f>
        <v>1</v>
      </c>
      <c r="I17800" s="21" t="n">
        <f aca="false">IF(I17698=Assumptions!$K$62,1,0)</f>
        <v>0</v>
      </c>
      <c r="J17800" s="21" t="n">
        <f aca="false">IF(J17698=Assumptions!$K$62,1,0)</f>
        <v>0</v>
      </c>
      <c r="K17800" s="21" t="n">
        <f aca="false">IF(K17698=Assumptions!$K$62,1,0)</f>
        <v>0</v>
      </c>
    </row>
    <row r="17802" customFormat="false" ht="15" hidden="false" customHeight="false" outlineLevel="0" collapsed="false">
      <c r="A17802" s="3" t="s">
        <v>331</v>
      </c>
      <c r="G17802" s="31" t="n">
        <f aca="false">IF(Assumptions!$I$62=1,MAX(G17724,Assumptions!$G$62)+Assumptions!$F$62+$C$17725,Assumptions!$E$62)</f>
        <v>0.083</v>
      </c>
      <c r="H17802" s="31" t="n">
        <f aca="false">IF(G18049=1,$C$17726,IF(Assumptions!$I$62=1,MAX(H17724,Assumptions!$G$62)+Assumptions!$F$62+$C$17725,Assumptions!$E$62))</f>
        <v>0.083</v>
      </c>
      <c r="I17802" s="31" t="n">
        <f aca="false">IF(H18049=1,$C$17726,IF(Assumptions!$I$62=1,MAX(I17724,Assumptions!$G$62)+Assumptions!$F$62+$C$17725,Assumptions!$E$62))</f>
        <v>0.083</v>
      </c>
      <c r="J17802" s="31" t="n">
        <f aca="false">IF(I18049=1,$C$17726,IF(Assumptions!$I$62=1,MAX(J17724,Assumptions!$G$62)+Assumptions!$F$62+$C$17725,Assumptions!$E$62))</f>
        <v>0.083</v>
      </c>
      <c r="K17802" s="31" t="n">
        <f aca="false">IF(J18049=1,$C$17726,IF(Assumptions!$I$62=1,MAX(K17724,Assumptions!$G$62)+Assumptions!$F$62+$C$17725,Assumptions!$E$62))</f>
        <v>0.083</v>
      </c>
    </row>
    <row r="17803" customFormat="false" ht="15" hidden="false" customHeight="false" outlineLevel="0" collapsed="false">
      <c r="A17803" s="3" t="s">
        <v>332</v>
      </c>
      <c r="G17803" s="16" t="n">
        <f aca="false">G17799*G17802</f>
        <v>29.05</v>
      </c>
      <c r="H17803" s="16" t="n">
        <f aca="false">H17799*H17802</f>
        <v>29.05</v>
      </c>
      <c r="I17803" s="16" t="n">
        <f aca="false">I17799*I17802</f>
        <v>29.05</v>
      </c>
      <c r="J17803" s="16" t="n">
        <f aca="false">J17799*J17802</f>
        <v>29.05</v>
      </c>
      <c r="K17803" s="16" t="n">
        <f aca="false">K17799*K17802</f>
        <v>29.05</v>
      </c>
    </row>
    <row r="17804" customFormat="false" ht="15" hidden="false" customHeight="false" outlineLevel="0" collapsed="false">
      <c r="A17804" s="3" t="s">
        <v>333</v>
      </c>
      <c r="G17804" s="16" t="n">
        <f aca="false">G17799*Assumptions!$H$62</f>
        <v>0</v>
      </c>
      <c r="H17804" s="16" t="n">
        <f aca="false">H17799*Assumptions!$H$62</f>
        <v>0</v>
      </c>
      <c r="I17804" s="16" t="n">
        <f aca="false">I17799*Assumptions!$H$62</f>
        <v>0</v>
      </c>
      <c r="J17804" s="16" t="n">
        <f aca="false">J17799*Assumptions!$H$62</f>
        <v>0</v>
      </c>
      <c r="K17804" s="16" t="n">
        <f aca="false">K17799*Assumptions!$H$62</f>
        <v>0</v>
      </c>
    </row>
    <row r="17805" customFormat="false" ht="15" hidden="false" customHeight="false" outlineLevel="0" collapsed="false">
      <c r="A17805" s="3" t="s">
        <v>334</v>
      </c>
      <c r="G17805" s="16" t="n">
        <f aca="false">MIN(G17799,Assumptions!$L$62*Assumptions!$C$62)</f>
        <v>0</v>
      </c>
      <c r="H17805" s="16" t="n">
        <f aca="false">MIN(H17799,Assumptions!$L$62*Assumptions!$C$62)</f>
        <v>0</v>
      </c>
      <c r="I17805" s="16" t="n">
        <f aca="false">MIN(I17799,Assumptions!$L$62*Assumptions!$C$62)</f>
        <v>0</v>
      </c>
      <c r="J17805" s="16" t="n">
        <f aca="false">MIN(J17799,Assumptions!$L$62*Assumptions!$C$62)</f>
        <v>0</v>
      </c>
      <c r="K17805" s="16" t="n">
        <f aca="false">MIN(K17799,Assumptions!$L$62*Assumptions!$C$62)</f>
        <v>0</v>
      </c>
    </row>
    <row r="17806" customFormat="false" ht="15" hidden="false" customHeight="false" outlineLevel="0" collapsed="false">
      <c r="A17806" s="3" t="s">
        <v>335</v>
      </c>
      <c r="G17806" s="16" t="n">
        <f aca="false">IF(AND(Assumptions!$P$62=1,G17698&lt;Assumptions!$K$62),MIN(MAX(0,-G17914),MAX(0,Assumptions!$D$62-G17799)),0)</f>
        <v>0</v>
      </c>
      <c r="H17806" s="16" t="n">
        <f aca="false">IF(AND(Assumptions!$P$62=1,OR(H17698&lt;Assumptions!$K$62,G18049=1)),MIN(MAX(0,-H17914),MAX(0,Assumptions!$D$62-H17799)),0)</f>
        <v>0</v>
      </c>
      <c r="I17806" s="16" t="n">
        <f aca="false">IF(AND(Assumptions!$P$62=1,OR(I17698&lt;Assumptions!$K$62,H18049=1)),MIN(MAX(0,-I17914),MAX(0,Assumptions!$D$62-I17799)),0)</f>
        <v>0</v>
      </c>
      <c r="J17806" s="16" t="n">
        <f aca="false">IF(AND(Assumptions!$P$62=1,OR(J17698&lt;Assumptions!$K$62,I18049=1)),MIN(MAX(0,-J17914),MAX(0,Assumptions!$D$62-J17799)),0)</f>
        <v>0</v>
      </c>
      <c r="K17806" s="16" t="n">
        <f aca="false">IF(AND(Assumptions!$P$62=1,OR(K17698&lt;Assumptions!$K$62,J18049=1)),MIN(MAX(0,-K17914),MAX(0,Assumptions!$D$62-K17799)),0)</f>
        <v>0</v>
      </c>
    </row>
    <row r="17807" customFormat="false" ht="15" hidden="false" customHeight="false" outlineLevel="0" collapsed="false">
      <c r="A17807" s="3" t="s">
        <v>336</v>
      </c>
      <c r="G17807" s="16" t="n">
        <f aca="false">G17800*MIN(G17799-G17805+G17804,MAX(0,G17916-Assumptions!$C$12*G17732-G17742-G17755-G17768-G17781-G17794))</f>
        <v>0</v>
      </c>
      <c r="H17807" s="16" t="n">
        <f aca="false">H17800*MIN(H17799-H17805+H17804,MAX(0,H17916-Assumptions!$C$12*H17732-H17742-H17755-H17768-H17781-H17794))</f>
        <v>0</v>
      </c>
      <c r="I17807" s="16" t="n">
        <f aca="false">I17800*MIN(I17799-I17805+I17804,MAX(0,I17916-Assumptions!$C$12*I17732-I17742-I17755-I17768-I17781-I17794))</f>
        <v>0</v>
      </c>
      <c r="J17807" s="16" t="n">
        <f aca="false">J17800*MIN(J17799-J17805+J17804,MAX(0,J17916-Assumptions!$C$12*J17732-J17742-J17755-J17768-J17781-J17794))</f>
        <v>0</v>
      </c>
      <c r="K17807" s="16" t="n">
        <f aca="false">K17800*MIN(K17799-K17805+K17804,MAX(0,K17916-Assumptions!$C$12*K17732-K17742-K17755-K17768-K17781-K17794))</f>
        <v>0</v>
      </c>
    </row>
    <row r="17808" customFormat="false" ht="15" hidden="false" customHeight="false" outlineLevel="0" collapsed="false">
      <c r="A17808" s="3" t="s">
        <v>337</v>
      </c>
      <c r="G17808" s="16" t="n">
        <f aca="false">Assumptions!$N$62*MIN(G17799+G17806+G17804-G17805-G17807,MAX(0,G17920-G17743-G17756-G17769-G17782-G17795))</f>
        <v>0</v>
      </c>
      <c r="H17808" s="16" t="n">
        <f aca="false">Assumptions!$N$62*MIN(H17799+H17806+H17804-H17805-H17807,MAX(0,H17920-H17743-H17756-H17769-H17782-H17795))</f>
        <v>0</v>
      </c>
      <c r="I17808" s="16" t="n">
        <f aca="false">Assumptions!$N$62*MIN(I17799+I17806+I17804-I17805-I17807,MAX(0,I17920-I17743-I17756-I17769-I17782-I17795))</f>
        <v>0</v>
      </c>
      <c r="J17808" s="16" t="n">
        <f aca="false">Assumptions!$N$62*MIN(J17799+J17806+J17804-J17805-J17807,MAX(0,J17920-J17743-J17756-J17769-J17782-J17795))</f>
        <v>0</v>
      </c>
      <c r="K17808" s="16" t="n">
        <f aca="false">Assumptions!$N$62*MIN(K17799+K17806+K17804-K17805-K17807,MAX(0,K17920-K17743-K17756-K17769-K17782-K17795))</f>
        <v>0</v>
      </c>
    </row>
    <row r="17809" customFormat="false" ht="15" hidden="false" customHeight="false" outlineLevel="0" collapsed="false">
      <c r="A17809" s="3" t="s">
        <v>338</v>
      </c>
      <c r="G17809" s="16" t="n">
        <f aca="false">G17800*(1-G17732)*(G17799-G17805+G17804-G17807)</f>
        <v>0</v>
      </c>
      <c r="H17809" s="16" t="n">
        <f aca="false">H17800*(1-H17732)*(H17799-H17805+H17804-H17807)</f>
        <v>350</v>
      </c>
      <c r="I17809" s="16" t="n">
        <f aca="false">I17800*(1-I17732)*(I17799-I17805+I17804-I17807)</f>
        <v>0</v>
      </c>
      <c r="J17809" s="16" t="n">
        <f aca="false">J17800*(1-J17732)*(J17799-J17805+J17804-J17807)</f>
        <v>0</v>
      </c>
      <c r="K17809" s="16" t="n">
        <f aca="false">K17800*(1-K17732)*(K17799-K17805+K17804-K17807)</f>
        <v>0</v>
      </c>
    </row>
    <row r="17810" customFormat="false" ht="15" hidden="false" customHeight="false" outlineLevel="0" collapsed="false">
      <c r="A17810" s="2" t="s">
        <v>339</v>
      </c>
      <c r="F17810" s="28" t="n">
        <f aca="false">Assumptions!$C$62</f>
        <v>350</v>
      </c>
      <c r="G17810" s="17" t="n">
        <f aca="false">G17799+G17806+G17804-G17805-G17807-G17808</f>
        <v>350</v>
      </c>
      <c r="H17810" s="17" t="n">
        <f aca="false">H17799+H17806+H17804-H17805-H17807-H17808</f>
        <v>350</v>
      </c>
      <c r="I17810" s="17" t="n">
        <f aca="false">I17799+I17806+I17804-I17805-I17807-I17808</f>
        <v>350</v>
      </c>
      <c r="J17810" s="17" t="n">
        <f aca="false">J17799+J17806+J17804-J17805-J17807-J17808</f>
        <v>350</v>
      </c>
      <c r="K17810" s="17" t="n">
        <f aca="false">K17799+K17806+K17804-K17805-K17807-K17808</f>
        <v>350</v>
      </c>
    </row>
    <row r="17811" customFormat="false" ht="15" hidden="false" customHeight="false" outlineLevel="0" collapsed="false">
      <c r="A17811" s="24" t="s">
        <v>345</v>
      </c>
      <c r="B17811" s="25"/>
      <c r="C17811" s="25"/>
      <c r="D17811" s="25"/>
      <c r="E17811" s="25"/>
      <c r="F17811" s="25"/>
      <c r="G17811" s="25"/>
      <c r="H17811" s="25"/>
      <c r="I17811" s="25"/>
      <c r="J17811" s="25"/>
      <c r="K17811" s="25"/>
    </row>
    <row r="17812" customFormat="false" ht="15" hidden="false" customHeight="false" outlineLevel="0" collapsed="false">
      <c r="A17812" s="3" t="s">
        <v>329</v>
      </c>
      <c r="G17812" s="16" t="n">
        <f aca="false">F17823</f>
        <v>550</v>
      </c>
      <c r="H17812" s="16" t="n">
        <f aca="false">G17823</f>
        <v>550</v>
      </c>
      <c r="I17812" s="16" t="n">
        <f aca="false">H17823</f>
        <v>550</v>
      </c>
      <c r="J17812" s="16" t="n">
        <f aca="false">I17823</f>
        <v>550</v>
      </c>
      <c r="K17812" s="16" t="n">
        <f aca="false">J17823</f>
        <v>550</v>
      </c>
    </row>
    <row r="17813" customFormat="false" ht="15" hidden="false" customHeight="false" outlineLevel="0" collapsed="false">
      <c r="A17813" s="3" t="s">
        <v>330</v>
      </c>
      <c r="G17813" s="21" t="n">
        <f aca="false">IF(G17698=Assumptions!$K$63,1,0)</f>
        <v>0</v>
      </c>
      <c r="H17813" s="21" t="n">
        <f aca="false">IF(H17698=Assumptions!$K$63,1,0)</f>
        <v>0</v>
      </c>
      <c r="I17813" s="21" t="n">
        <f aca="false">IF(I17698=Assumptions!$K$63,1,0)</f>
        <v>1</v>
      </c>
      <c r="J17813" s="21" t="n">
        <f aca="false">IF(J17698=Assumptions!$K$63,1,0)</f>
        <v>0</v>
      </c>
      <c r="K17813" s="21" t="n">
        <f aca="false">IF(K17698=Assumptions!$K$63,1,0)</f>
        <v>0</v>
      </c>
    </row>
    <row r="17815" customFormat="false" ht="15" hidden="false" customHeight="false" outlineLevel="0" collapsed="false">
      <c r="A17815" s="3" t="s">
        <v>331</v>
      </c>
      <c r="G17815" s="31" t="n">
        <f aca="false">IF(Assumptions!$I$63=1,MAX(G17724,Assumptions!$G$63)+Assumptions!$F$63+$C$17725,Assumptions!$E$63)</f>
        <v>0.08875</v>
      </c>
      <c r="H17815" s="31" t="n">
        <f aca="false">IF(G18050=1,$C$17726,IF(Assumptions!$I$63=1,MAX(H17724,Assumptions!$G$63)+Assumptions!$F$63+$C$17725,Assumptions!$E$63))</f>
        <v>0.08875</v>
      </c>
      <c r="I17815" s="31" t="n">
        <f aca="false">IF(H18050=1,$C$17726,IF(Assumptions!$I$63=1,MAX(I17724,Assumptions!$G$63)+Assumptions!$F$63+$C$17725,Assumptions!$E$63))</f>
        <v>0.08875</v>
      </c>
      <c r="J17815" s="31" t="n">
        <f aca="false">IF(I18050=1,$C$17726,IF(Assumptions!$I$63=1,MAX(J17724,Assumptions!$G$63)+Assumptions!$F$63+$C$17725,Assumptions!$E$63))</f>
        <v>0.1</v>
      </c>
      <c r="K17815" s="31" t="n">
        <f aca="false">IF(J18050=1,$C$17726,IF(Assumptions!$I$63=1,MAX(K17724,Assumptions!$G$63)+Assumptions!$F$63+$C$17725,Assumptions!$E$63))</f>
        <v>0.1</v>
      </c>
    </row>
    <row r="17816" customFormat="false" ht="15" hidden="false" customHeight="false" outlineLevel="0" collapsed="false">
      <c r="A17816" s="3" t="s">
        <v>332</v>
      </c>
      <c r="G17816" s="16" t="n">
        <f aca="false">G17812*G17815</f>
        <v>48.8125</v>
      </c>
      <c r="H17816" s="16" t="n">
        <f aca="false">H17812*H17815</f>
        <v>48.8125</v>
      </c>
      <c r="I17816" s="16" t="n">
        <f aca="false">I17812*I17815</f>
        <v>48.8125</v>
      </c>
      <c r="J17816" s="16" t="n">
        <f aca="false">J17812*J17815</f>
        <v>55</v>
      </c>
      <c r="K17816" s="16" t="n">
        <f aca="false">K17812*K17815</f>
        <v>55</v>
      </c>
    </row>
    <row r="17817" customFormat="false" ht="15" hidden="false" customHeight="false" outlineLevel="0" collapsed="false">
      <c r="A17817" s="3" t="s">
        <v>333</v>
      </c>
      <c r="G17817" s="16" t="n">
        <f aca="false">G17812*Assumptions!$H$63</f>
        <v>0</v>
      </c>
      <c r="H17817" s="16" t="n">
        <f aca="false">H17812*Assumptions!$H$63</f>
        <v>0</v>
      </c>
      <c r="I17817" s="16" t="n">
        <f aca="false">I17812*Assumptions!$H$63</f>
        <v>0</v>
      </c>
      <c r="J17817" s="16" t="n">
        <f aca="false">J17812*Assumptions!$H$63</f>
        <v>0</v>
      </c>
      <c r="K17817" s="16" t="n">
        <f aca="false">K17812*Assumptions!$H$63</f>
        <v>0</v>
      </c>
    </row>
    <row r="17818" customFormat="false" ht="15" hidden="false" customHeight="false" outlineLevel="0" collapsed="false">
      <c r="A17818" s="3" t="s">
        <v>334</v>
      </c>
      <c r="G17818" s="16" t="n">
        <f aca="false">MIN(G17812,Assumptions!$L$63*Assumptions!$C$63)</f>
        <v>0</v>
      </c>
      <c r="H17818" s="16" t="n">
        <f aca="false">MIN(H17812,Assumptions!$L$63*Assumptions!$C$63)</f>
        <v>0</v>
      </c>
      <c r="I17818" s="16" t="n">
        <f aca="false">MIN(I17812,Assumptions!$L$63*Assumptions!$C$63)</f>
        <v>0</v>
      </c>
      <c r="J17818" s="16" t="n">
        <f aca="false">MIN(J17812,Assumptions!$L$63*Assumptions!$C$63)</f>
        <v>0</v>
      </c>
      <c r="K17818" s="16" t="n">
        <f aca="false">MIN(K17812,Assumptions!$L$63*Assumptions!$C$63)</f>
        <v>0</v>
      </c>
    </row>
    <row r="17819" customFormat="false" ht="15" hidden="false" customHeight="false" outlineLevel="0" collapsed="false">
      <c r="A17819" s="3" t="s">
        <v>335</v>
      </c>
      <c r="G17819" s="16" t="n">
        <f aca="false">IF(AND(Assumptions!$P$63=1,G17698&lt;Assumptions!$K$63),MIN(MAX(0,-G17914),MAX(0,Assumptions!$D$63-G17812)),0)</f>
        <v>0</v>
      </c>
      <c r="H17819" s="16" t="n">
        <f aca="false">IF(AND(Assumptions!$P$63=1,OR(H17698&lt;Assumptions!$K$63,G18050=1)),MIN(MAX(0,-H17914),MAX(0,Assumptions!$D$63-H17812)),0)</f>
        <v>0</v>
      </c>
      <c r="I17819" s="16" t="n">
        <f aca="false">IF(AND(Assumptions!$P$63=1,OR(I17698&lt;Assumptions!$K$63,H18050=1)),MIN(MAX(0,-I17914),MAX(0,Assumptions!$D$63-I17812)),0)</f>
        <v>0</v>
      </c>
      <c r="J17819" s="16" t="n">
        <f aca="false">IF(AND(Assumptions!$P$63=1,OR(J17698&lt;Assumptions!$K$63,I18050=1)),MIN(MAX(0,-J17914),MAX(0,Assumptions!$D$63-J17812)),0)</f>
        <v>0</v>
      </c>
      <c r="K17819" s="16" t="n">
        <f aca="false">IF(AND(Assumptions!$P$63=1,OR(K17698&lt;Assumptions!$K$63,J18050=1)),MIN(MAX(0,-K17914),MAX(0,Assumptions!$D$63-K17812)),0)</f>
        <v>0</v>
      </c>
    </row>
    <row r="17820" customFormat="false" ht="15" hidden="false" customHeight="false" outlineLevel="0" collapsed="false">
      <c r="A17820" s="3" t="s">
        <v>336</v>
      </c>
      <c r="G17820" s="16" t="n">
        <f aca="false">G17813*MIN(G17812-G17818+G17817,MAX(0,G17916-Assumptions!$C$12*G17732-G17742-G17755-G17768-G17781-G17794-G17807))</f>
        <v>0</v>
      </c>
      <c r="H17820" s="16" t="n">
        <f aca="false">H17813*MIN(H17812-H17818+H17817,MAX(0,H17916-Assumptions!$C$12*H17732-H17742-H17755-H17768-H17781-H17794-H17807))</f>
        <v>0</v>
      </c>
      <c r="I17820" s="16" t="n">
        <f aca="false">I17813*MIN(I17812-I17818+I17817,MAX(0,I17916-Assumptions!$C$12*I17732-I17742-I17755-I17768-I17781-I17794-I17807))</f>
        <v>0</v>
      </c>
      <c r="J17820" s="16" t="n">
        <f aca="false">J17813*MIN(J17812-J17818+J17817,MAX(0,J17916-Assumptions!$C$12*J17732-J17742-J17755-J17768-J17781-J17794-J17807))</f>
        <v>0</v>
      </c>
      <c r="K17820" s="16" t="n">
        <f aca="false">K17813*MIN(K17812-K17818+K17817,MAX(0,K17916-Assumptions!$C$12*K17732-K17742-K17755-K17768-K17781-K17794-K17807))</f>
        <v>0</v>
      </c>
    </row>
    <row r="17821" customFormat="false" ht="15" hidden="false" customHeight="false" outlineLevel="0" collapsed="false">
      <c r="A17821" s="3" t="s">
        <v>337</v>
      </c>
      <c r="G17821" s="16" t="n">
        <f aca="false">Assumptions!$N$63*MIN(G17812+G17819+G17817-G17818-G17820,MAX(0,G17920-G17743-G17756-G17769-G17782-G17795-G17808))</f>
        <v>0</v>
      </c>
      <c r="H17821" s="16" t="n">
        <f aca="false">Assumptions!$N$63*MIN(H17812+H17819+H17817-H17818-H17820,MAX(0,H17920-H17743-H17756-H17769-H17782-H17795-H17808))</f>
        <v>0</v>
      </c>
      <c r="I17821" s="16" t="n">
        <f aca="false">Assumptions!$N$63*MIN(I17812+I17819+I17817-I17818-I17820,MAX(0,I17920-I17743-I17756-I17769-I17782-I17795-I17808))</f>
        <v>0</v>
      </c>
      <c r="J17821" s="16" t="n">
        <f aca="false">Assumptions!$N$63*MIN(J17812+J17819+J17817-J17818-J17820,MAX(0,J17920-J17743-J17756-J17769-J17782-J17795-J17808))</f>
        <v>0</v>
      </c>
      <c r="K17821" s="16" t="n">
        <f aca="false">Assumptions!$N$63*MIN(K17812+K17819+K17817-K17818-K17820,MAX(0,K17920-K17743-K17756-K17769-K17782-K17795-K17808))</f>
        <v>0</v>
      </c>
    </row>
    <row r="17822" customFormat="false" ht="15" hidden="false" customHeight="false" outlineLevel="0" collapsed="false">
      <c r="A17822" s="3" t="s">
        <v>338</v>
      </c>
      <c r="G17822" s="16" t="n">
        <f aca="false">G17813*(1-G17732)*(G17812-G17818+G17817-G17820)</f>
        <v>0</v>
      </c>
      <c r="H17822" s="16" t="n">
        <f aca="false">H17813*(1-H17732)*(H17812-H17818+H17817-H17820)</f>
        <v>0</v>
      </c>
      <c r="I17822" s="16" t="n">
        <f aca="false">I17813*(1-I17732)*(I17812-I17818+I17817-I17820)</f>
        <v>0</v>
      </c>
      <c r="J17822" s="16" t="n">
        <f aca="false">J17813*(1-J17732)*(J17812-J17818+J17817-J17820)</f>
        <v>0</v>
      </c>
      <c r="K17822" s="16" t="n">
        <f aca="false">K17813*(1-K17732)*(K17812-K17818+K17817-K17820)</f>
        <v>0</v>
      </c>
    </row>
    <row r="17823" customFormat="false" ht="15" hidden="false" customHeight="false" outlineLevel="0" collapsed="false">
      <c r="A17823" s="2" t="s">
        <v>339</v>
      </c>
      <c r="F17823" s="28" t="n">
        <f aca="false">Assumptions!$C$63</f>
        <v>550</v>
      </c>
      <c r="G17823" s="17" t="n">
        <f aca="false">G17812+G17819+G17817-G17818-G17820-G17821</f>
        <v>550</v>
      </c>
      <c r="H17823" s="17" t="n">
        <f aca="false">H17812+H17819+H17817-H17818-H17820-H17821</f>
        <v>550</v>
      </c>
      <c r="I17823" s="17" t="n">
        <f aca="false">I17812+I17819+I17817-I17818-I17820-I17821</f>
        <v>550</v>
      </c>
      <c r="J17823" s="17" t="n">
        <f aca="false">J17812+J17819+J17817-J17818-J17820-J17821</f>
        <v>550</v>
      </c>
      <c r="K17823" s="17" t="n">
        <f aca="false">K17812+K17819+K17817-K17818-K17820-K17821</f>
        <v>550</v>
      </c>
    </row>
    <row r="17824" customFormat="false" ht="15" hidden="false" customHeight="false" outlineLevel="0" collapsed="false">
      <c r="A17824" s="24" t="s">
        <v>346</v>
      </c>
      <c r="B17824" s="25"/>
      <c r="C17824" s="25"/>
      <c r="D17824" s="25"/>
      <c r="E17824" s="25"/>
      <c r="F17824" s="25"/>
      <c r="G17824" s="25"/>
      <c r="H17824" s="25"/>
      <c r="I17824" s="25"/>
      <c r="J17824" s="25"/>
      <c r="K17824" s="25"/>
    </row>
    <row r="17825" customFormat="false" ht="15" hidden="false" customHeight="false" outlineLevel="0" collapsed="false">
      <c r="A17825" s="3" t="s">
        <v>329</v>
      </c>
      <c r="G17825" s="16" t="n">
        <f aca="false">F17836</f>
        <v>350</v>
      </c>
      <c r="H17825" s="16" t="n">
        <f aca="false">G17836</f>
        <v>350</v>
      </c>
      <c r="I17825" s="16" t="n">
        <f aca="false">H17836</f>
        <v>350</v>
      </c>
      <c r="J17825" s="16" t="n">
        <f aca="false">I17836</f>
        <v>350</v>
      </c>
      <c r="K17825" s="16" t="n">
        <f aca="false">J17836</f>
        <v>350</v>
      </c>
    </row>
    <row r="17826" customFormat="false" ht="15" hidden="false" customHeight="false" outlineLevel="0" collapsed="false">
      <c r="A17826" s="3" t="s">
        <v>330</v>
      </c>
      <c r="G17826" s="21" t="n">
        <f aca="false">IF(G17698=Assumptions!$K$64,1,0)</f>
        <v>0</v>
      </c>
      <c r="H17826" s="21" t="n">
        <f aca="false">IF(H17698=Assumptions!$K$64,1,0)</f>
        <v>0</v>
      </c>
      <c r="I17826" s="21" t="n">
        <f aca="false">IF(I17698=Assumptions!$K$64,1,0)</f>
        <v>0</v>
      </c>
      <c r="J17826" s="21" t="n">
        <f aca="false">IF(J17698=Assumptions!$K$64,1,0)</f>
        <v>1</v>
      </c>
      <c r="K17826" s="21" t="n">
        <f aca="false">IF(K17698=Assumptions!$K$64,1,0)</f>
        <v>0</v>
      </c>
    </row>
    <row r="17828" customFormat="false" ht="15" hidden="false" customHeight="false" outlineLevel="0" collapsed="false">
      <c r="A17828" s="3" t="s">
        <v>331</v>
      </c>
      <c r="G17828" s="31" t="n">
        <f aca="false">IF(Assumptions!$I$64=1,MAX(G17724,Assumptions!$G$64)+Assumptions!$F$64+$C$17725,Assumptions!$E$64)</f>
        <v>0.0455</v>
      </c>
      <c r="H17828" s="31" t="n">
        <f aca="false">IF(G18051=1,$C$17726,IF(Assumptions!$I$64=1,MAX(H17724,Assumptions!$G$64)+Assumptions!$F$64+$C$17725,Assumptions!$E$64))</f>
        <v>0.0455</v>
      </c>
      <c r="I17828" s="31" t="n">
        <f aca="false">IF(H18051=1,$C$17726,IF(Assumptions!$I$64=1,MAX(I17724,Assumptions!$G$64)+Assumptions!$F$64+$C$17725,Assumptions!$E$64))</f>
        <v>0.0455</v>
      </c>
      <c r="J17828" s="31" t="n">
        <f aca="false">IF(I18051=1,$C$17726,IF(Assumptions!$I$64=1,MAX(J17724,Assumptions!$G$64)+Assumptions!$F$64+$C$17725,Assumptions!$E$64))</f>
        <v>0.0455</v>
      </c>
      <c r="K17828" s="31" t="n">
        <f aca="false">IF(J18051=1,$C$17726,IF(Assumptions!$I$64=1,MAX(K17724,Assumptions!$G$64)+Assumptions!$F$64+$C$17725,Assumptions!$E$64))</f>
        <v>0.1</v>
      </c>
    </row>
    <row r="17829" customFormat="false" ht="15" hidden="false" customHeight="false" outlineLevel="0" collapsed="false">
      <c r="A17829" s="3" t="s">
        <v>332</v>
      </c>
      <c r="G17829" s="16" t="n">
        <f aca="false">G17825*G17828</f>
        <v>15.925</v>
      </c>
      <c r="H17829" s="16" t="n">
        <f aca="false">H17825*H17828</f>
        <v>15.925</v>
      </c>
      <c r="I17829" s="16" t="n">
        <f aca="false">I17825*I17828</f>
        <v>15.925</v>
      </c>
      <c r="J17829" s="16" t="n">
        <f aca="false">J17825*J17828</f>
        <v>15.925</v>
      </c>
      <c r="K17829" s="16" t="n">
        <f aca="false">K17825*K17828</f>
        <v>35</v>
      </c>
    </row>
    <row r="17830" customFormat="false" ht="15" hidden="false" customHeight="false" outlineLevel="0" collapsed="false">
      <c r="A17830" s="3" t="s">
        <v>333</v>
      </c>
      <c r="G17830" s="16" t="n">
        <f aca="false">G17825*Assumptions!$H$64</f>
        <v>0</v>
      </c>
      <c r="H17830" s="16" t="n">
        <f aca="false">H17825*Assumptions!$H$64</f>
        <v>0</v>
      </c>
      <c r="I17830" s="16" t="n">
        <f aca="false">I17825*Assumptions!$H$64</f>
        <v>0</v>
      </c>
      <c r="J17830" s="16" t="n">
        <f aca="false">J17825*Assumptions!$H$64</f>
        <v>0</v>
      </c>
      <c r="K17830" s="16" t="n">
        <f aca="false">K17825*Assumptions!$H$64</f>
        <v>0</v>
      </c>
    </row>
    <row r="17831" customFormat="false" ht="15" hidden="false" customHeight="false" outlineLevel="0" collapsed="false">
      <c r="A17831" s="3" t="s">
        <v>334</v>
      </c>
      <c r="G17831" s="16" t="n">
        <f aca="false">MIN(G17825,Assumptions!$L$64*Assumptions!$C$64)</f>
        <v>0</v>
      </c>
      <c r="H17831" s="16" t="n">
        <f aca="false">MIN(H17825,Assumptions!$L$64*Assumptions!$C$64)</f>
        <v>0</v>
      </c>
      <c r="I17831" s="16" t="n">
        <f aca="false">MIN(I17825,Assumptions!$L$64*Assumptions!$C$64)</f>
        <v>0</v>
      </c>
      <c r="J17831" s="16" t="n">
        <f aca="false">MIN(J17825,Assumptions!$L$64*Assumptions!$C$64)</f>
        <v>0</v>
      </c>
      <c r="K17831" s="16" t="n">
        <f aca="false">MIN(K17825,Assumptions!$L$64*Assumptions!$C$64)</f>
        <v>0</v>
      </c>
    </row>
    <row r="17832" customFormat="false" ht="15" hidden="false" customHeight="false" outlineLevel="0" collapsed="false">
      <c r="A17832" s="3" t="s">
        <v>335</v>
      </c>
      <c r="G17832" s="16" t="n">
        <f aca="false">IF(AND(Assumptions!$P$64=1,G17698&lt;Assumptions!$K$64),MIN(MAX(0,-G17914),MAX(0,Assumptions!$D$64-G17825)),0)</f>
        <v>0</v>
      </c>
      <c r="H17832" s="16" t="n">
        <f aca="false">IF(AND(Assumptions!$P$64=1,OR(H17698&lt;Assumptions!$K$64,G18051=1)),MIN(MAX(0,-H17914),MAX(0,Assumptions!$D$64-H17825)),0)</f>
        <v>0</v>
      </c>
      <c r="I17832" s="16" t="n">
        <f aca="false">IF(AND(Assumptions!$P$64=1,OR(I17698&lt;Assumptions!$K$64,H18051=1)),MIN(MAX(0,-I17914),MAX(0,Assumptions!$D$64-I17825)),0)</f>
        <v>0</v>
      </c>
      <c r="J17832" s="16" t="n">
        <f aca="false">IF(AND(Assumptions!$P$64=1,OR(J17698&lt;Assumptions!$K$64,I18051=1)),MIN(MAX(0,-J17914),MAX(0,Assumptions!$D$64-J17825)),0)</f>
        <v>0</v>
      </c>
      <c r="K17832" s="16" t="n">
        <f aca="false">IF(AND(Assumptions!$P$64=1,OR(K17698&lt;Assumptions!$K$64,J18051=1)),MIN(MAX(0,-K17914),MAX(0,Assumptions!$D$64-K17825)),0)</f>
        <v>0</v>
      </c>
    </row>
    <row r="17833" customFormat="false" ht="15" hidden="false" customHeight="false" outlineLevel="0" collapsed="false">
      <c r="A17833" s="3" t="s">
        <v>336</v>
      </c>
      <c r="G17833" s="16" t="n">
        <f aca="false">G17826*MIN(G17825-G17831+G17830,MAX(0,G17916-Assumptions!$C$12*G17732-G17742-G17755-G17768-G17781-G17794-G17807-G17820))</f>
        <v>0</v>
      </c>
      <c r="H17833" s="16" t="n">
        <f aca="false">H17826*MIN(H17825-H17831+H17830,MAX(0,H17916-Assumptions!$C$12*H17732-H17742-H17755-H17768-H17781-H17794-H17807-H17820))</f>
        <v>0</v>
      </c>
      <c r="I17833" s="16" t="n">
        <f aca="false">I17826*MIN(I17825-I17831+I17830,MAX(0,I17916-Assumptions!$C$12*I17732-I17742-I17755-I17768-I17781-I17794-I17807-I17820))</f>
        <v>0</v>
      </c>
      <c r="J17833" s="16" t="n">
        <f aca="false">J17826*MIN(J17825-J17831+J17830,MAX(0,J17916-Assumptions!$C$12*J17732-J17742-J17755-J17768-J17781-J17794-J17807-J17820))</f>
        <v>0</v>
      </c>
      <c r="K17833" s="16" t="n">
        <f aca="false">K17826*MIN(K17825-K17831+K17830,MAX(0,K17916-Assumptions!$C$12*K17732-K17742-K17755-K17768-K17781-K17794-K17807-K17820))</f>
        <v>0</v>
      </c>
    </row>
    <row r="17834" customFormat="false" ht="15" hidden="false" customHeight="false" outlineLevel="0" collapsed="false">
      <c r="A17834" s="3" t="s">
        <v>337</v>
      </c>
      <c r="G17834" s="16" t="n">
        <f aca="false">Assumptions!$N$64*MIN(G17825+G17832+G17830-G17831-G17833,MAX(0,G17920-G17743-G17756-G17769-G17782-G17795-G17808-G17821))</f>
        <v>0</v>
      </c>
      <c r="H17834" s="16" t="n">
        <f aca="false">Assumptions!$N$64*MIN(H17825+H17832+H17830-H17831-H17833,MAX(0,H17920-H17743-H17756-H17769-H17782-H17795-H17808-H17821))</f>
        <v>0</v>
      </c>
      <c r="I17834" s="16" t="n">
        <f aca="false">Assumptions!$N$64*MIN(I17825+I17832+I17830-I17831-I17833,MAX(0,I17920-I17743-I17756-I17769-I17782-I17795-I17808-I17821))</f>
        <v>0</v>
      </c>
      <c r="J17834" s="16" t="n">
        <f aca="false">Assumptions!$N$64*MIN(J17825+J17832+J17830-J17831-J17833,MAX(0,J17920-J17743-J17756-J17769-J17782-J17795-J17808-J17821))</f>
        <v>0</v>
      </c>
      <c r="K17834" s="16" t="n">
        <f aca="false">Assumptions!$N$64*MIN(K17825+K17832+K17830-K17831-K17833,MAX(0,K17920-K17743-K17756-K17769-K17782-K17795-K17808-K17821))</f>
        <v>0</v>
      </c>
    </row>
    <row r="17835" customFormat="false" ht="15" hidden="false" customHeight="false" outlineLevel="0" collapsed="false">
      <c r="A17835" s="3" t="s">
        <v>338</v>
      </c>
      <c r="G17835" s="16" t="n">
        <f aca="false">G17826*(1-G17732)*(G17825-G17831+G17830-G17833)</f>
        <v>0</v>
      </c>
      <c r="H17835" s="16" t="n">
        <f aca="false">H17826*(1-H17732)*(H17825-H17831+H17830-H17833)</f>
        <v>0</v>
      </c>
      <c r="I17835" s="16" t="n">
        <f aca="false">I17826*(1-I17732)*(I17825-I17831+I17830-I17833)</f>
        <v>0</v>
      </c>
      <c r="J17835" s="16" t="n">
        <f aca="false">J17826*(1-J17732)*(J17825-J17831+J17830-J17833)</f>
        <v>0</v>
      </c>
      <c r="K17835" s="16" t="n">
        <f aca="false">K17826*(1-K17732)*(K17825-K17831+K17830-K17833)</f>
        <v>0</v>
      </c>
    </row>
    <row r="17836" customFormat="false" ht="15" hidden="false" customHeight="false" outlineLevel="0" collapsed="false">
      <c r="A17836" s="2" t="s">
        <v>339</v>
      </c>
      <c r="F17836" s="28" t="n">
        <f aca="false">Assumptions!$C$64</f>
        <v>350</v>
      </c>
      <c r="G17836" s="17" t="n">
        <f aca="false">G17825+G17832+G17830-G17831-G17833-G17834</f>
        <v>350</v>
      </c>
      <c r="H17836" s="17" t="n">
        <f aca="false">H17825+H17832+H17830-H17831-H17833-H17834</f>
        <v>350</v>
      </c>
      <c r="I17836" s="17" t="n">
        <f aca="false">I17825+I17832+I17830-I17831-I17833-I17834</f>
        <v>350</v>
      </c>
      <c r="J17836" s="17" t="n">
        <f aca="false">J17825+J17832+J17830-J17831-J17833-J17834</f>
        <v>350</v>
      </c>
      <c r="K17836" s="17" t="n">
        <f aca="false">K17825+K17832+K17830-K17831-K17833-K17834</f>
        <v>350</v>
      </c>
    </row>
    <row r="17837" customFormat="false" ht="15" hidden="false" customHeight="false" outlineLevel="0" collapsed="false">
      <c r="A17837" s="24" t="s">
        <v>347</v>
      </c>
      <c r="B17837" s="25"/>
      <c r="C17837" s="25"/>
      <c r="D17837" s="25"/>
      <c r="E17837" s="25"/>
      <c r="F17837" s="25"/>
      <c r="G17837" s="25"/>
      <c r="H17837" s="25"/>
      <c r="I17837" s="25"/>
      <c r="J17837" s="25"/>
      <c r="K17837" s="25"/>
    </row>
    <row r="17838" customFormat="false" ht="15" hidden="false" customHeight="false" outlineLevel="0" collapsed="false">
      <c r="A17838" s="3" t="s">
        <v>329</v>
      </c>
      <c r="G17838" s="16" t="n">
        <f aca="false">F17849</f>
        <v>300</v>
      </c>
      <c r="H17838" s="16" t="n">
        <f aca="false">G17849</f>
        <v>300</v>
      </c>
      <c r="I17838" s="16" t="n">
        <f aca="false">H17849</f>
        <v>300</v>
      </c>
      <c r="J17838" s="16" t="n">
        <f aca="false">I17849</f>
        <v>300</v>
      </c>
      <c r="K17838" s="16" t="n">
        <f aca="false">J17849</f>
        <v>300</v>
      </c>
    </row>
    <row r="17839" customFormat="false" ht="15" hidden="false" customHeight="false" outlineLevel="0" collapsed="false">
      <c r="A17839" s="3" t="s">
        <v>330</v>
      </c>
      <c r="G17839" s="21" t="n">
        <f aca="false">IF(G17698=Assumptions!$K$65,1,0)</f>
        <v>0</v>
      </c>
      <c r="H17839" s="21" t="n">
        <f aca="false">IF(H17698=Assumptions!$K$65,1,0)</f>
        <v>0</v>
      </c>
      <c r="I17839" s="21" t="n">
        <f aca="false">IF(I17698=Assumptions!$K$65,1,0)</f>
        <v>0</v>
      </c>
      <c r="J17839" s="21" t="n">
        <f aca="false">IF(J17698=Assumptions!$K$65,1,0)</f>
        <v>0</v>
      </c>
      <c r="K17839" s="21" t="n">
        <f aca="false">IF(K17698=Assumptions!$K$65,1,0)</f>
        <v>1</v>
      </c>
    </row>
    <row r="17841" customFormat="false" ht="15" hidden="false" customHeight="false" outlineLevel="0" collapsed="false">
      <c r="A17841" s="3" t="s">
        <v>331</v>
      </c>
      <c r="G17841" s="31" t="n">
        <f aca="false">IF(Assumptions!$I$65=1,MAX(G17724,Assumptions!$G$65)+Assumptions!$F$65+$C$17725,Assumptions!$E$65)</f>
        <v>0.06125</v>
      </c>
      <c r="H17841" s="31" t="n">
        <f aca="false">IF(G18052=1,$C$17726,IF(Assumptions!$I$65=1,MAX(H17724,Assumptions!$G$65)+Assumptions!$F$65+$C$17725,Assumptions!$E$65))</f>
        <v>0.06125</v>
      </c>
      <c r="I17841" s="31" t="n">
        <f aca="false">IF(H18052=1,$C$17726,IF(Assumptions!$I$65=1,MAX(I17724,Assumptions!$G$65)+Assumptions!$F$65+$C$17725,Assumptions!$E$65))</f>
        <v>0.06125</v>
      </c>
      <c r="J17841" s="31" t="n">
        <f aca="false">IF(I18052=1,$C$17726,IF(Assumptions!$I$65=1,MAX(J17724,Assumptions!$G$65)+Assumptions!$F$65+$C$17725,Assumptions!$E$65))</f>
        <v>0.06125</v>
      </c>
      <c r="K17841" s="31" t="n">
        <f aca="false">IF(J18052=1,$C$17726,IF(Assumptions!$I$65=1,MAX(K17724,Assumptions!$G$65)+Assumptions!$F$65+$C$17725,Assumptions!$E$65))</f>
        <v>0.06125</v>
      </c>
    </row>
    <row r="17842" customFormat="false" ht="15" hidden="false" customHeight="false" outlineLevel="0" collapsed="false">
      <c r="A17842" s="3" t="s">
        <v>332</v>
      </c>
      <c r="G17842" s="16" t="n">
        <f aca="false">G17838*G17841</f>
        <v>18.375</v>
      </c>
      <c r="H17842" s="16" t="n">
        <f aca="false">H17838*H17841</f>
        <v>18.375</v>
      </c>
      <c r="I17842" s="16" t="n">
        <f aca="false">I17838*I17841</f>
        <v>18.375</v>
      </c>
      <c r="J17842" s="16" t="n">
        <f aca="false">J17838*J17841</f>
        <v>18.375</v>
      </c>
      <c r="K17842" s="16" t="n">
        <f aca="false">K17838*K17841</f>
        <v>18.375</v>
      </c>
    </row>
    <row r="17843" customFormat="false" ht="15" hidden="false" customHeight="false" outlineLevel="0" collapsed="false">
      <c r="A17843" s="3" t="s">
        <v>333</v>
      </c>
      <c r="G17843" s="16" t="n">
        <f aca="false">G17838*Assumptions!$H$65</f>
        <v>0</v>
      </c>
      <c r="H17843" s="16" t="n">
        <f aca="false">H17838*Assumptions!$H$65</f>
        <v>0</v>
      </c>
      <c r="I17843" s="16" t="n">
        <f aca="false">I17838*Assumptions!$H$65</f>
        <v>0</v>
      </c>
      <c r="J17843" s="16" t="n">
        <f aca="false">J17838*Assumptions!$H$65</f>
        <v>0</v>
      </c>
      <c r="K17843" s="16" t="n">
        <f aca="false">K17838*Assumptions!$H$65</f>
        <v>0</v>
      </c>
    </row>
    <row r="17844" customFormat="false" ht="15" hidden="false" customHeight="false" outlineLevel="0" collapsed="false">
      <c r="A17844" s="3" t="s">
        <v>334</v>
      </c>
      <c r="G17844" s="16" t="n">
        <f aca="false">MIN(G17838,Assumptions!$L$65*Assumptions!$C$65)</f>
        <v>0</v>
      </c>
      <c r="H17844" s="16" t="n">
        <f aca="false">MIN(H17838,Assumptions!$L$65*Assumptions!$C$65)</f>
        <v>0</v>
      </c>
      <c r="I17844" s="16" t="n">
        <f aca="false">MIN(I17838,Assumptions!$L$65*Assumptions!$C$65)</f>
        <v>0</v>
      </c>
      <c r="J17844" s="16" t="n">
        <f aca="false">MIN(J17838,Assumptions!$L$65*Assumptions!$C$65)</f>
        <v>0</v>
      </c>
      <c r="K17844" s="16" t="n">
        <f aca="false">MIN(K17838,Assumptions!$L$65*Assumptions!$C$65)</f>
        <v>0</v>
      </c>
    </row>
    <row r="17845" customFormat="false" ht="15" hidden="false" customHeight="false" outlineLevel="0" collapsed="false">
      <c r="A17845" s="3" t="s">
        <v>335</v>
      </c>
      <c r="G17845" s="16" t="n">
        <f aca="false">IF(AND(Assumptions!$P$65=1,G17698&lt;Assumptions!$K$65),MIN(MAX(0,-G17914),MAX(0,Assumptions!$D$65-G17838)),0)</f>
        <v>0</v>
      </c>
      <c r="H17845" s="16" t="n">
        <f aca="false">IF(AND(Assumptions!$P$65=1,OR(H17698&lt;Assumptions!$K$65,G18052=1)),MIN(MAX(0,-H17914),MAX(0,Assumptions!$D$65-H17838)),0)</f>
        <v>0</v>
      </c>
      <c r="I17845" s="16" t="n">
        <f aca="false">IF(AND(Assumptions!$P$65=1,OR(I17698&lt;Assumptions!$K$65,H18052=1)),MIN(MAX(0,-I17914),MAX(0,Assumptions!$D$65-I17838)),0)</f>
        <v>0</v>
      </c>
      <c r="J17845" s="16" t="n">
        <f aca="false">IF(AND(Assumptions!$P$65=1,OR(J17698&lt;Assumptions!$K$65,I18052=1)),MIN(MAX(0,-J17914),MAX(0,Assumptions!$D$65-J17838)),0)</f>
        <v>0</v>
      </c>
      <c r="K17845" s="16" t="n">
        <f aca="false">IF(AND(Assumptions!$P$65=1,OR(K17698&lt;Assumptions!$K$65,J18052=1)),MIN(MAX(0,-K17914),MAX(0,Assumptions!$D$65-K17838)),0)</f>
        <v>0</v>
      </c>
    </row>
    <row r="17846" customFormat="false" ht="15" hidden="false" customHeight="false" outlineLevel="0" collapsed="false">
      <c r="A17846" s="3" t="s">
        <v>336</v>
      </c>
      <c r="G17846" s="16" t="n">
        <f aca="false">G17839*MIN(G17838-G17844+G17843,MAX(0,G17916-Assumptions!$C$12*G17732-G17742-G17755-G17768-G17781-G17794-G17807-G17820-G17833))</f>
        <v>0</v>
      </c>
      <c r="H17846" s="16" t="n">
        <f aca="false">H17839*MIN(H17838-H17844+H17843,MAX(0,H17916-Assumptions!$C$12*H17732-H17742-H17755-H17768-H17781-H17794-H17807-H17820-H17833))</f>
        <v>0</v>
      </c>
      <c r="I17846" s="16" t="n">
        <f aca="false">I17839*MIN(I17838-I17844+I17843,MAX(0,I17916-Assumptions!$C$12*I17732-I17742-I17755-I17768-I17781-I17794-I17807-I17820-I17833))</f>
        <v>0</v>
      </c>
      <c r="J17846" s="16" t="n">
        <f aca="false">J17839*MIN(J17838-J17844+J17843,MAX(0,J17916-Assumptions!$C$12*J17732-J17742-J17755-J17768-J17781-J17794-J17807-J17820-J17833))</f>
        <v>0</v>
      </c>
      <c r="K17846" s="16" t="n">
        <f aca="false">K17839*MIN(K17838-K17844+K17843,MAX(0,K17916-Assumptions!$C$12*K17732-K17742-K17755-K17768-K17781-K17794-K17807-K17820-K17833))</f>
        <v>0</v>
      </c>
    </row>
    <row r="17847" customFormat="false" ht="15" hidden="false" customHeight="false" outlineLevel="0" collapsed="false">
      <c r="A17847" s="3" t="s">
        <v>337</v>
      </c>
      <c r="G17847" s="16" t="n">
        <f aca="false">Assumptions!$N$65*MIN(G17838+G17845+G17843-G17844-G17846,MAX(0,G17920-G17743-G17756-G17769-G17782-G17795-G17808-G17821-G17834))</f>
        <v>0</v>
      </c>
      <c r="H17847" s="16" t="n">
        <f aca="false">Assumptions!$N$65*MIN(H17838+H17845+H17843-H17844-H17846,MAX(0,H17920-H17743-H17756-H17769-H17782-H17795-H17808-H17821-H17834))</f>
        <v>0</v>
      </c>
      <c r="I17847" s="16" t="n">
        <f aca="false">Assumptions!$N$65*MIN(I17838+I17845+I17843-I17844-I17846,MAX(0,I17920-I17743-I17756-I17769-I17782-I17795-I17808-I17821-I17834))</f>
        <v>0</v>
      </c>
      <c r="J17847" s="16" t="n">
        <f aca="false">Assumptions!$N$65*MIN(J17838+J17845+J17843-J17844-J17846,MAX(0,J17920-J17743-J17756-J17769-J17782-J17795-J17808-J17821-J17834))</f>
        <v>0</v>
      </c>
      <c r="K17847" s="16" t="n">
        <f aca="false">Assumptions!$N$65*MIN(K17838+K17845+K17843-K17844-K17846,MAX(0,K17920-K17743-K17756-K17769-K17782-K17795-K17808-K17821-K17834))</f>
        <v>0</v>
      </c>
    </row>
    <row r="17848" customFormat="false" ht="15" hidden="false" customHeight="false" outlineLevel="0" collapsed="false">
      <c r="A17848" s="3" t="s">
        <v>338</v>
      </c>
      <c r="G17848" s="16" t="n">
        <f aca="false">G17839*(1-G17732)*(G17838-G17844+G17843-G17846)</f>
        <v>0</v>
      </c>
      <c r="H17848" s="16" t="n">
        <f aca="false">H17839*(1-H17732)*(H17838-H17844+H17843-H17846)</f>
        <v>0</v>
      </c>
      <c r="I17848" s="16" t="n">
        <f aca="false">I17839*(1-I17732)*(I17838-I17844+I17843-I17846)</f>
        <v>0</v>
      </c>
      <c r="J17848" s="16" t="n">
        <f aca="false">J17839*(1-J17732)*(J17838-J17844+J17843-J17846)</f>
        <v>0</v>
      </c>
      <c r="K17848" s="16" t="n">
        <f aca="false">K17839*(1-K17732)*(K17838-K17844+K17843-K17846)</f>
        <v>0</v>
      </c>
    </row>
    <row r="17849" customFormat="false" ht="15" hidden="false" customHeight="false" outlineLevel="0" collapsed="false">
      <c r="A17849" s="2" t="s">
        <v>339</v>
      </c>
      <c r="F17849" s="28" t="n">
        <f aca="false">Assumptions!$C$65</f>
        <v>300</v>
      </c>
      <c r="G17849" s="17" t="n">
        <f aca="false">G17838+G17845+G17843-G17844-G17846-G17847</f>
        <v>300</v>
      </c>
      <c r="H17849" s="17" t="n">
        <f aca="false">H17838+H17845+H17843-H17844-H17846-H17847</f>
        <v>300</v>
      </c>
      <c r="I17849" s="17" t="n">
        <f aca="false">I17838+I17845+I17843-I17844-I17846-I17847</f>
        <v>300</v>
      </c>
      <c r="J17849" s="17" t="n">
        <f aca="false">J17838+J17845+J17843-J17844-J17846-J17847</f>
        <v>300</v>
      </c>
      <c r="K17849" s="17" t="n">
        <f aca="false">K17838+K17845+K17843-K17844-K17846-K17847</f>
        <v>300</v>
      </c>
    </row>
    <row r="17850" customFormat="false" ht="15" hidden="false" customHeight="false" outlineLevel="0" collapsed="false">
      <c r="A17850" s="24" t="s">
        <v>348</v>
      </c>
      <c r="B17850" s="25"/>
      <c r="C17850" s="25"/>
      <c r="D17850" s="25"/>
      <c r="E17850" s="25"/>
      <c r="F17850" s="25"/>
      <c r="G17850" s="25"/>
      <c r="H17850" s="25"/>
      <c r="I17850" s="25"/>
      <c r="J17850" s="25"/>
      <c r="K17850" s="25"/>
    </row>
    <row r="17851" customFormat="false" ht="15" hidden="false" customHeight="false" outlineLevel="0" collapsed="false">
      <c r="A17851" s="3" t="s">
        <v>329</v>
      </c>
      <c r="G17851" s="16" t="n">
        <f aca="false">F17862</f>
        <v>78.61</v>
      </c>
      <c r="H17851" s="16" t="n">
        <f aca="false">G17862</f>
        <v>78.61</v>
      </c>
      <c r="I17851" s="16" t="n">
        <f aca="false">H17862</f>
        <v>78.61</v>
      </c>
      <c r="J17851" s="16" t="n">
        <f aca="false">I17862</f>
        <v>78.61</v>
      </c>
      <c r="K17851" s="16" t="n">
        <f aca="false">J17862</f>
        <v>78.61</v>
      </c>
    </row>
    <row r="17852" customFormat="false" ht="15" hidden="false" customHeight="false" outlineLevel="0" collapsed="false">
      <c r="A17852" s="3" t="s">
        <v>330</v>
      </c>
      <c r="G17852" s="21" t="n">
        <f aca="false">IF(G17698=Assumptions!$K$66,1,0)</f>
        <v>0</v>
      </c>
      <c r="H17852" s="21" t="n">
        <f aca="false">IF(H17698=Assumptions!$K$66,1,0)</f>
        <v>0</v>
      </c>
      <c r="I17852" s="21" t="n">
        <f aca="false">IF(I17698=Assumptions!$K$66,1,0)</f>
        <v>0</v>
      </c>
      <c r="J17852" s="21" t="n">
        <f aca="false">IF(J17698=Assumptions!$K$66,1,0)</f>
        <v>0</v>
      </c>
      <c r="K17852" s="21" t="n">
        <f aca="false">IF(K17698=Assumptions!$K$66,1,0)</f>
        <v>0</v>
      </c>
    </row>
    <row r="17854" customFormat="false" ht="15" hidden="false" customHeight="false" outlineLevel="0" collapsed="false">
      <c r="A17854" s="3" t="s">
        <v>331</v>
      </c>
      <c r="G17854" s="31" t="n">
        <f aca="false">IF(Assumptions!$I$66=1,MAX(G17724,Assumptions!$G$66)+Assumptions!$F$66+$C$17725,Assumptions!$E$66)</f>
        <v>0.0691</v>
      </c>
      <c r="H17854" s="31" t="n">
        <f aca="false">IF(G18053=1,$C$17726,IF(Assumptions!$I$66=1,MAX(H17724,Assumptions!$G$66)+Assumptions!$F$66+$C$17725,Assumptions!$E$66))</f>
        <v>0.0676</v>
      </c>
      <c r="I17854" s="31" t="n">
        <f aca="false">IF(H18053=1,$C$17726,IF(Assumptions!$I$66=1,MAX(I17724,Assumptions!$G$66)+Assumptions!$F$66+$C$17725,Assumptions!$E$66))</f>
        <v>0.0651</v>
      </c>
      <c r="J17854" s="31" t="n">
        <f aca="false">IF(I18053=1,$C$17726,IF(Assumptions!$I$66=1,MAX(J17724,Assumptions!$G$66)+Assumptions!$F$66+$C$17725,Assumptions!$E$66))</f>
        <v>0.0651</v>
      </c>
      <c r="K17854" s="31" t="n">
        <f aca="false">IF(J18053=1,$C$17726,IF(Assumptions!$I$66=1,MAX(K17724,Assumptions!$G$66)+Assumptions!$F$66+$C$17725,Assumptions!$E$66))</f>
        <v>0.0651</v>
      </c>
    </row>
    <row r="17855" customFormat="false" ht="15" hidden="false" customHeight="false" outlineLevel="0" collapsed="false">
      <c r="A17855" s="3" t="s">
        <v>332</v>
      </c>
      <c r="G17855" s="16" t="n">
        <f aca="false">G17851*G17854</f>
        <v>5.431951</v>
      </c>
      <c r="H17855" s="16" t="n">
        <f aca="false">H17851*H17854</f>
        <v>5.314036</v>
      </c>
      <c r="I17855" s="16" t="n">
        <f aca="false">I17851*I17854</f>
        <v>5.117511</v>
      </c>
      <c r="J17855" s="16" t="n">
        <f aca="false">J17851*J17854</f>
        <v>5.117511</v>
      </c>
      <c r="K17855" s="16" t="n">
        <f aca="false">K17851*K17854</f>
        <v>5.117511</v>
      </c>
    </row>
    <row r="17856" customFormat="false" ht="15" hidden="false" customHeight="false" outlineLevel="0" collapsed="false">
      <c r="A17856" s="3" t="s">
        <v>333</v>
      </c>
      <c r="G17856" s="16" t="n">
        <f aca="false">G17851*Assumptions!$H$66</f>
        <v>0</v>
      </c>
      <c r="H17856" s="16" t="n">
        <f aca="false">H17851*Assumptions!$H$66</f>
        <v>0</v>
      </c>
      <c r="I17856" s="16" t="n">
        <f aca="false">I17851*Assumptions!$H$66</f>
        <v>0</v>
      </c>
      <c r="J17856" s="16" t="n">
        <f aca="false">J17851*Assumptions!$H$66</f>
        <v>0</v>
      </c>
      <c r="K17856" s="16" t="n">
        <f aca="false">K17851*Assumptions!$H$66</f>
        <v>0</v>
      </c>
    </row>
    <row r="17857" customFormat="false" ht="15" hidden="false" customHeight="false" outlineLevel="0" collapsed="false">
      <c r="A17857" s="3" t="s">
        <v>334</v>
      </c>
      <c r="G17857" s="16" t="n">
        <f aca="false">MIN(G17851,Assumptions!$L$66*Assumptions!$C$66)</f>
        <v>0</v>
      </c>
      <c r="H17857" s="16" t="n">
        <f aca="false">MIN(H17851,Assumptions!$L$66*Assumptions!$C$66)</f>
        <v>0</v>
      </c>
      <c r="I17857" s="16" t="n">
        <f aca="false">MIN(I17851,Assumptions!$L$66*Assumptions!$C$66)</f>
        <v>0</v>
      </c>
      <c r="J17857" s="16" t="n">
        <f aca="false">MIN(J17851,Assumptions!$L$66*Assumptions!$C$66)</f>
        <v>0</v>
      </c>
      <c r="K17857" s="16" t="n">
        <f aca="false">MIN(K17851,Assumptions!$L$66*Assumptions!$C$66)</f>
        <v>0</v>
      </c>
    </row>
    <row r="17858" customFormat="false" ht="15" hidden="false" customHeight="false" outlineLevel="0" collapsed="false">
      <c r="A17858" s="3" t="s">
        <v>335</v>
      </c>
      <c r="G17858" s="16" t="n">
        <f aca="false">IF(AND(Assumptions!$P$66=1,G17698&lt;Assumptions!$K$66),MIN(MAX(0,-G17914),MAX(0,Assumptions!$D$66-G17851)),0)</f>
        <v>0</v>
      </c>
      <c r="H17858" s="16" t="n">
        <f aca="false">IF(AND(Assumptions!$P$66=1,OR(H17698&lt;Assumptions!$K$66,G18053=1)),MIN(MAX(0,-H17914),MAX(0,Assumptions!$D$66-H17851)),0)</f>
        <v>0</v>
      </c>
      <c r="I17858" s="16" t="n">
        <f aca="false">IF(AND(Assumptions!$P$66=1,OR(I17698&lt;Assumptions!$K$66,H18053=1)),MIN(MAX(0,-I17914),MAX(0,Assumptions!$D$66-I17851)),0)</f>
        <v>0</v>
      </c>
      <c r="J17858" s="16" t="n">
        <f aca="false">IF(AND(Assumptions!$P$66=1,OR(J17698&lt;Assumptions!$K$66,I18053=1)),MIN(MAX(0,-J17914),MAX(0,Assumptions!$D$66-J17851)),0)</f>
        <v>0</v>
      </c>
      <c r="K17858" s="16" t="n">
        <f aca="false">IF(AND(Assumptions!$P$66=1,OR(K17698&lt;Assumptions!$K$66,J18053=1)),MIN(MAX(0,-K17914),MAX(0,Assumptions!$D$66-K17851)),0)</f>
        <v>0</v>
      </c>
    </row>
    <row r="17859" customFormat="false" ht="15" hidden="false" customHeight="false" outlineLevel="0" collapsed="false">
      <c r="A17859" s="3" t="s">
        <v>336</v>
      </c>
      <c r="G17859" s="16" t="n">
        <f aca="false">G17852*MIN(G17851-G17857+G17856,MAX(0,G17916-Assumptions!$C$12*G17732-G17742-G17755-G17768-G17781-G17794-G17807-G17820-G17833-G17846))</f>
        <v>0</v>
      </c>
      <c r="H17859" s="16" t="n">
        <f aca="false">H17852*MIN(H17851-H17857+H17856,MAX(0,H17916-Assumptions!$C$12*H17732-H17742-H17755-H17768-H17781-H17794-H17807-H17820-H17833-H17846))</f>
        <v>0</v>
      </c>
      <c r="I17859" s="16" t="n">
        <f aca="false">I17852*MIN(I17851-I17857+I17856,MAX(0,I17916-Assumptions!$C$12*I17732-I17742-I17755-I17768-I17781-I17794-I17807-I17820-I17833-I17846))</f>
        <v>0</v>
      </c>
      <c r="J17859" s="16" t="n">
        <f aca="false">J17852*MIN(J17851-J17857+J17856,MAX(0,J17916-Assumptions!$C$12*J17732-J17742-J17755-J17768-J17781-J17794-J17807-J17820-J17833-J17846))</f>
        <v>0</v>
      </c>
      <c r="K17859" s="16" t="n">
        <f aca="false">K17852*MIN(K17851-K17857+K17856,MAX(0,K17916-Assumptions!$C$12*K17732-K17742-K17755-K17768-K17781-K17794-K17807-K17820-K17833-K17846))</f>
        <v>0</v>
      </c>
    </row>
    <row r="17860" customFormat="false" ht="15" hidden="false" customHeight="false" outlineLevel="0" collapsed="false">
      <c r="A17860" s="3" t="s">
        <v>337</v>
      </c>
      <c r="G17860" s="16" t="n">
        <f aca="false">Assumptions!$N$66*MIN(G17851+G17858+G17856-G17857-G17859,MAX(0,G17920-G17743-G17756-G17769-G17782-G17795-G17808-G17821-G17834-G17847))</f>
        <v>0</v>
      </c>
      <c r="H17860" s="16" t="n">
        <f aca="false">Assumptions!$N$66*MIN(H17851+H17858+H17856-H17857-H17859,MAX(0,H17920-H17743-H17756-H17769-H17782-H17795-H17808-H17821-H17834-H17847))</f>
        <v>0</v>
      </c>
      <c r="I17860" s="16" t="n">
        <f aca="false">Assumptions!$N$66*MIN(I17851+I17858+I17856-I17857-I17859,MAX(0,I17920-I17743-I17756-I17769-I17782-I17795-I17808-I17821-I17834-I17847))</f>
        <v>0</v>
      </c>
      <c r="J17860" s="16" t="n">
        <f aca="false">Assumptions!$N$66*MIN(J17851+J17858+J17856-J17857-J17859,MAX(0,J17920-J17743-J17756-J17769-J17782-J17795-J17808-J17821-J17834-J17847))</f>
        <v>0</v>
      </c>
      <c r="K17860" s="16" t="n">
        <f aca="false">Assumptions!$N$66*MIN(K17851+K17858+K17856-K17857-K17859,MAX(0,K17920-K17743-K17756-K17769-K17782-K17795-K17808-K17821-K17834-K17847))</f>
        <v>0</v>
      </c>
    </row>
    <row r="17861" customFormat="false" ht="15" hidden="false" customHeight="false" outlineLevel="0" collapsed="false">
      <c r="A17861" s="3" t="s">
        <v>338</v>
      </c>
      <c r="G17861" s="16" t="n">
        <f aca="false">G17852*(1-G17732)*(G17851-G17857+G17856-G17859)</f>
        <v>0</v>
      </c>
      <c r="H17861" s="16" t="n">
        <f aca="false">H17852*(1-H17732)*(H17851-H17857+H17856-H17859)</f>
        <v>0</v>
      </c>
      <c r="I17861" s="16" t="n">
        <f aca="false">I17852*(1-I17732)*(I17851-I17857+I17856-I17859)</f>
        <v>0</v>
      </c>
      <c r="J17861" s="16" t="n">
        <f aca="false">J17852*(1-J17732)*(J17851-J17857+J17856-J17859)</f>
        <v>0</v>
      </c>
      <c r="K17861" s="16" t="n">
        <f aca="false">K17852*(1-K17732)*(K17851-K17857+K17856-K17859)</f>
        <v>0</v>
      </c>
    </row>
    <row r="17862" customFormat="false" ht="15" hidden="false" customHeight="false" outlineLevel="0" collapsed="false">
      <c r="A17862" s="2" t="s">
        <v>339</v>
      </c>
      <c r="F17862" s="28" t="n">
        <f aca="false">Assumptions!$C$66</f>
        <v>78.61</v>
      </c>
      <c r="G17862" s="17" t="n">
        <f aca="false">G17851+G17858+G17856-G17857-G17859-G17860</f>
        <v>78.61</v>
      </c>
      <c r="H17862" s="17" t="n">
        <f aca="false">H17851+H17858+H17856-H17857-H17859-H17860</f>
        <v>78.61</v>
      </c>
      <c r="I17862" s="17" t="n">
        <f aca="false">I17851+I17858+I17856-I17857-I17859-I17860</f>
        <v>78.61</v>
      </c>
      <c r="J17862" s="17" t="n">
        <f aca="false">J17851+J17858+J17856-J17857-J17859-J17860</f>
        <v>78.61</v>
      </c>
      <c r="K17862" s="17" t="n">
        <f aca="false">K17851+K17858+K17856-K17857-K17859-K17860</f>
        <v>78.61</v>
      </c>
    </row>
    <row r="17863" customFormat="false" ht="15" hidden="false" customHeight="false" outlineLevel="0" collapsed="false">
      <c r="A17863" s="24" t="s">
        <v>349</v>
      </c>
      <c r="B17863" s="25"/>
      <c r="C17863" s="25"/>
      <c r="D17863" s="25"/>
      <c r="E17863" s="25"/>
      <c r="F17863" s="25"/>
      <c r="G17863" s="25"/>
      <c r="H17863" s="25"/>
      <c r="I17863" s="25"/>
      <c r="J17863" s="25"/>
      <c r="K17863" s="25"/>
    </row>
    <row r="17864" customFormat="false" ht="15" hidden="false" customHeight="false" outlineLevel="0" collapsed="false">
      <c r="A17864" s="2" t="s">
        <v>350</v>
      </c>
      <c r="F17864" s="17" t="n">
        <f aca="false">F17745+F17758+F17771+F17784+F17797+F17810+F17823+F17836+F17849+F17862</f>
        <v>2625.934</v>
      </c>
      <c r="G17864" s="17" t="n">
        <f aca="false">G17745+G17758+G17771+G17784+G17797+G17810+G17823+G17836+G17849+G17862</f>
        <v>2621.934</v>
      </c>
      <c r="H17864" s="17" t="n">
        <f aca="false">H17745+H17758+H17771+H17784+H17797+H17810+H17823+H17836+H17849+H17862</f>
        <v>2530.386595676</v>
      </c>
      <c r="I17864" s="17" t="n">
        <f aca="false">I17745+I17758+I17771+I17784+I17797+I17810+I17823+I17836+I17849+I17862</f>
        <v>2526.386595676</v>
      </c>
      <c r="J17864" s="17" t="n">
        <f aca="false">J17745+J17758+J17771+J17784+J17797+J17810+J17823+J17836+J17849+J17862</f>
        <v>2522.386595676</v>
      </c>
      <c r="K17864" s="17" t="n">
        <f aca="false">K17745+K17758+K17771+K17784+K17797+K17810+K17823+K17836+K17849+K17862</f>
        <v>2518.386595676</v>
      </c>
    </row>
    <row r="17865" customFormat="false" ht="15" hidden="false" customHeight="false" outlineLevel="0" collapsed="false">
      <c r="A17865" s="3" t="s">
        <v>351</v>
      </c>
      <c r="G17865" s="16" t="n">
        <f aca="false">G17735*Assumptions!$C$57+G17748*Assumptions!$C$58+G17761*Assumptions!$C$59+G17774*Assumptions!$C$60+G17787*Assumptions!$C$61+G17800*Assumptions!$C$62+G17813*Assumptions!$C$63+G17826*Assumptions!$C$64+G17839*Assumptions!$C$65+G17852*Assumptions!$C$66</f>
        <v>0</v>
      </c>
      <c r="H17865" s="16" t="n">
        <f aca="false">H17735*Assumptions!$C$57+H17748*Assumptions!$C$58+H17761*Assumptions!$C$59+H17774*Assumptions!$C$60+H17787*Assumptions!$C$61+H17800*Assumptions!$C$62+H17813*Assumptions!$C$63+H17826*Assumptions!$C$64+H17839*Assumptions!$C$65+H17852*Assumptions!$C$66</f>
        <v>800</v>
      </c>
      <c r="I17865" s="16" t="n">
        <f aca="false">I17735*Assumptions!$C$57+I17748*Assumptions!$C$58+I17761*Assumptions!$C$59+I17774*Assumptions!$C$60+I17787*Assumptions!$C$61+I17800*Assumptions!$C$62+I17813*Assumptions!$C$63+I17826*Assumptions!$C$64+I17839*Assumptions!$C$65+I17852*Assumptions!$C$66</f>
        <v>550</v>
      </c>
      <c r="J17865" s="16" t="n">
        <f aca="false">J17735*Assumptions!$C$57+J17748*Assumptions!$C$58+J17761*Assumptions!$C$59+J17774*Assumptions!$C$60+J17787*Assumptions!$C$61+J17800*Assumptions!$C$62+J17813*Assumptions!$C$63+J17826*Assumptions!$C$64+J17839*Assumptions!$C$65+J17852*Assumptions!$C$66</f>
        <v>350</v>
      </c>
      <c r="K17865" s="16" t="n">
        <f aca="false">K17735*Assumptions!$C$57+K17748*Assumptions!$C$58+K17761*Assumptions!$C$59+K17774*Assumptions!$C$60+K17787*Assumptions!$C$61+K17800*Assumptions!$C$62+K17813*Assumptions!$C$63+K17826*Assumptions!$C$64+K17839*Assumptions!$C$65+K17852*Assumptions!$C$66</f>
        <v>700</v>
      </c>
    </row>
    <row r="17866" customFormat="false" ht="15" hidden="false" customHeight="false" outlineLevel="0" collapsed="false">
      <c r="A17866" s="24" t="s">
        <v>352</v>
      </c>
      <c r="B17866" s="25"/>
      <c r="C17866" s="25"/>
      <c r="D17866" s="25"/>
      <c r="E17866" s="25"/>
      <c r="F17866" s="25"/>
      <c r="G17866" s="25"/>
      <c r="H17866" s="25"/>
      <c r="I17866" s="25"/>
      <c r="J17866" s="25"/>
      <c r="K17866" s="25"/>
    </row>
    <row r="17867" customFormat="false" ht="15" hidden="false" customHeight="false" outlineLevel="0" collapsed="false">
      <c r="A17867" s="3" t="s">
        <v>353</v>
      </c>
      <c r="C17867" s="16" t="n">
        <f aca="false">SUMPRODUCT($G$17735:$K$17735,$G$17734:$K$17734-$G$17740:$K$17740+$G$17739:$K$17739)</f>
        <v>380</v>
      </c>
    </row>
    <row r="17868" customFormat="false" ht="15" hidden="false" customHeight="false" outlineLevel="0" collapsed="false">
      <c r="A17868" s="3" t="s">
        <v>354</v>
      </c>
      <c r="C17868" s="16" t="n">
        <f aca="false">SUMPRODUCT($G$17735:$K$17735,$G$17742:$K$17742)</f>
        <v>0</v>
      </c>
    </row>
    <row r="17869" customFormat="false" ht="15" hidden="false" customHeight="false" outlineLevel="0" collapsed="false">
      <c r="A17869" s="3" t="s">
        <v>355</v>
      </c>
      <c r="C17869" s="3" t="str">
        <f aca="false">IF(SUM($G$17735:$K$17735)=0,"n/a (beyond horizon)",IF(SUMPRODUCT($G$17735:$K$17735,$G$17732:$K$17732)&gt;0,"REFINANCING PASS","REFINANCING FAILURE"))</f>
        <v>REFINANCING PASS</v>
      </c>
    </row>
    <row r="17870" customFormat="false" ht="15" hidden="false" customHeight="false" outlineLevel="0" collapsed="false">
      <c r="A17870" s="3" t="s">
        <v>356</v>
      </c>
      <c r="C17870" s="3" t="str">
        <f aca="false">IF(SUM($G$17735:$K$17735)=0,"n/a",IF(C17868&gt;=C17867-0.001,"Repaid from cash",IF(SUMPRODUCT($G$17735:$K$17735,$G$17732:$K$17732)&gt;0,IF(C17868&gt;0,"Partly repaid; remainder refinanced","Refinanced"),IF(SUM($G$17744:$K$17744)&gt;0.001,IF(C17868&gt;0,"Partial repayment; PAYMENT DEFAULT","PAYMENT DEFAULT"),"Repaid from cash"))))</f>
        <v>Refinanced</v>
      </c>
    </row>
    <row r="17871" customFormat="false" ht="15" hidden="false" customHeight="false" outlineLevel="0" collapsed="false">
      <c r="A17871" s="3" t="s">
        <v>357</v>
      </c>
      <c r="C17871" s="16" t="n">
        <f aca="false">SUMPRODUCT($G$17748:$K$17748,$G$17747:$K$17747-$G$17753:$K$17753+$G$17752:$K$17752)</f>
        <v>0</v>
      </c>
    </row>
    <row r="17872" customFormat="false" ht="15" hidden="false" customHeight="false" outlineLevel="0" collapsed="false">
      <c r="A17872" s="3" t="s">
        <v>358</v>
      </c>
      <c r="C17872" s="16" t="n">
        <f aca="false">SUMPRODUCT($G$17748:$K$17748,$G$17755:$K$17755)</f>
        <v>0</v>
      </c>
    </row>
    <row r="17873" customFormat="false" ht="15" hidden="false" customHeight="false" outlineLevel="0" collapsed="false">
      <c r="A17873" s="3" t="s">
        <v>359</v>
      </c>
      <c r="C17873" s="3" t="str">
        <f aca="false">IF(SUM($G$17748:$K$17748)=0,"n/a (beyond horizon)",IF(SUMPRODUCT($G$17748:$K$17748,$G$17732:$K$17732)&gt;0,"REFINANCING PASS","REFINANCING FAILURE"))</f>
        <v>n/a (beyond horizon)</v>
      </c>
    </row>
    <row r="17874" customFormat="false" ht="15" hidden="false" customHeight="false" outlineLevel="0" collapsed="false">
      <c r="A17874" s="3" t="s">
        <v>360</v>
      </c>
      <c r="C17874" s="3" t="str">
        <f aca="false">IF(SUM($G$17748:$K$17748)=0,"n/a",IF(C17872&gt;=C17871-0.001,"Repaid from cash",IF(SUMPRODUCT($G$17748:$K$17748,$G$17732:$K$17732)&gt;0,IF(C17872&gt;0,"Partly repaid; remainder refinanced","Refinanced"),IF(SUM($G$17757:$K$17757)&gt;0.001,IF(C17872&gt;0,"Partial repayment; PAYMENT DEFAULT","PAYMENT DEFAULT"),"Repaid from cash"))))</f>
        <v>n/a</v>
      </c>
    </row>
    <row r="17875" customFormat="false" ht="15" hidden="false" customHeight="false" outlineLevel="0" collapsed="false">
      <c r="A17875" s="3" t="s">
        <v>361</v>
      </c>
      <c r="C17875" s="16" t="n">
        <f aca="false">SUMPRODUCT($G$17761:$K$17761,$G$17760:$K$17760-$G$17766:$K$17766+$G$17765:$K$17765)</f>
        <v>0</v>
      </c>
    </row>
    <row r="17876" customFormat="false" ht="15" hidden="false" customHeight="false" outlineLevel="0" collapsed="false">
      <c r="A17876" s="3" t="s">
        <v>362</v>
      </c>
      <c r="C17876" s="16" t="n">
        <f aca="false">SUMPRODUCT($G$17761:$K$17761,$G$17768:$K$17768)</f>
        <v>0</v>
      </c>
    </row>
    <row r="17877" customFormat="false" ht="15" hidden="false" customHeight="false" outlineLevel="0" collapsed="false">
      <c r="A17877" s="3" t="s">
        <v>363</v>
      </c>
      <c r="C17877" s="3" t="str">
        <f aca="false">IF(SUM($G$17761:$K$17761)=0,"n/a (beyond horizon)",IF(SUMPRODUCT($G$17761:$K$17761,$G$17732:$K$17732)&gt;0,"REFINANCING PASS","REFINANCING FAILURE"))</f>
        <v>n/a (beyond horizon)</v>
      </c>
    </row>
    <row r="17878" customFormat="false" ht="15" hidden="false" customHeight="false" outlineLevel="0" collapsed="false">
      <c r="A17878" s="3" t="s">
        <v>364</v>
      </c>
      <c r="C17878" s="3" t="str">
        <f aca="false">IF(SUM($G$17761:$K$17761)=0,"n/a",IF(C17876&gt;=C17875-0.001,"Repaid from cash",IF(SUMPRODUCT($G$17761:$K$17761,$G$17732:$K$17732)&gt;0,IF(C17876&gt;0,"Partly repaid; remainder refinanced","Refinanced"),IF(SUM($G$17770:$K$17770)&gt;0.001,IF(C17876&gt;0,"Partial repayment; PAYMENT DEFAULT","PAYMENT DEFAULT"),"Repaid from cash"))))</f>
        <v>n/a</v>
      </c>
    </row>
    <row r="17879" customFormat="false" ht="15" hidden="false" customHeight="false" outlineLevel="0" collapsed="false">
      <c r="A17879" s="3" t="s">
        <v>365</v>
      </c>
      <c r="C17879" s="16" t="n">
        <f aca="false">SUMPRODUCT($G$17774:$K$17774,$G$17773:$K$17773-$G$17779:$K$17779+$G$17778:$K$17778)</f>
        <v>0</v>
      </c>
    </row>
    <row r="17880" customFormat="false" ht="15" hidden="false" customHeight="false" outlineLevel="0" collapsed="false">
      <c r="A17880" s="3" t="s">
        <v>366</v>
      </c>
      <c r="C17880" s="16" t="n">
        <f aca="false">SUMPRODUCT($G$17774:$K$17774,$G$17781:$K$17781)</f>
        <v>0</v>
      </c>
    </row>
    <row r="17881" customFormat="false" ht="15" hidden="false" customHeight="false" outlineLevel="0" collapsed="false">
      <c r="A17881" s="3" t="s">
        <v>367</v>
      </c>
      <c r="C17881" s="3" t="str">
        <f aca="false">IF(SUM($G$17774:$K$17774)=0,"n/a (beyond horizon)",IF(SUMPRODUCT($G$17774:$K$17774,$G$17732:$K$17732)&gt;0,"REFINANCING PASS","REFINANCING FAILURE"))</f>
        <v>REFINANCING FAILURE</v>
      </c>
    </row>
    <row r="17882" customFormat="false" ht="15" hidden="false" customHeight="false" outlineLevel="0" collapsed="false">
      <c r="A17882" s="3" t="s">
        <v>368</v>
      </c>
      <c r="C17882" s="3" t="str">
        <f aca="false">IF(SUM($G$17774:$K$17774)=0,"n/a",IF(C17880&gt;=C17879-0.001,"Repaid from cash",IF(SUMPRODUCT($G$17774:$K$17774,$G$17732:$K$17732)&gt;0,IF(C17880&gt;0,"Partly repaid; remainder refinanced","Refinanced"),IF(SUM($G$17783:$K$17783)&gt;0.001,IF(C17880&gt;0,"Partial repayment; PAYMENT DEFAULT","PAYMENT DEFAULT"),"Repaid from cash"))))</f>
        <v>Repaid from cash</v>
      </c>
    </row>
    <row r="17883" customFormat="false" ht="15" hidden="false" customHeight="false" outlineLevel="0" collapsed="false">
      <c r="A17883" s="3" t="s">
        <v>369</v>
      </c>
      <c r="C17883" s="16" t="n">
        <f aca="false">SUMPRODUCT($G$17787:$K$17787,$G$17786:$K$17786-$G$17792:$K$17792+$G$17791:$K$17791)</f>
        <v>450</v>
      </c>
    </row>
    <row r="17884" customFormat="false" ht="15" hidden="false" customHeight="false" outlineLevel="0" collapsed="false">
      <c r="A17884" s="3" t="s">
        <v>370</v>
      </c>
      <c r="C17884" s="16" t="n">
        <f aca="false">SUMPRODUCT($G$17787:$K$17787,$G$17794:$K$17794)</f>
        <v>87.547404324</v>
      </c>
    </row>
    <row r="17885" customFormat="false" ht="15" hidden="false" customHeight="false" outlineLevel="0" collapsed="false">
      <c r="A17885" s="3" t="s">
        <v>371</v>
      </c>
      <c r="C17885" s="3" t="str">
        <f aca="false">IF(SUM($G$17787:$K$17787)=0,"n/a (beyond horizon)",IF(SUMPRODUCT($G$17787:$K$17787,$G$17732:$K$17732)&gt;0,"REFINANCING PASS","REFINANCING FAILURE"))</f>
        <v>REFINANCING FAILURE</v>
      </c>
    </row>
    <row r="17886" customFormat="false" ht="15" hidden="false" customHeight="false" outlineLevel="0" collapsed="false">
      <c r="A17886" s="3" t="s">
        <v>372</v>
      </c>
      <c r="C17886" s="3" t="str">
        <f aca="false">IF(SUM($G$17787:$K$17787)=0,"n/a",IF(C17884&gt;=C17883-0.001,"Repaid from cash",IF(SUMPRODUCT($G$17787:$K$17787,$G$17732:$K$17732)&gt;0,IF(C17884&gt;0,"Partly repaid; remainder refinanced","Refinanced"),IF(SUM($G$17796:$K$17796)&gt;0.001,IF(C17884&gt;0,"Partial repayment; PAYMENT DEFAULT","PAYMENT DEFAULT"),"Repaid from cash"))))</f>
        <v>Partial repayment; PAYMENT DEFAULT</v>
      </c>
    </row>
    <row r="17887" customFormat="false" ht="15" hidden="false" customHeight="false" outlineLevel="0" collapsed="false">
      <c r="A17887" s="3" t="s">
        <v>373</v>
      </c>
      <c r="C17887" s="16" t="n">
        <f aca="false">SUMPRODUCT($G$17800:$K$17800,$G$17799:$K$17799-$G$17805:$K$17805+$G$17804:$K$17804)</f>
        <v>350</v>
      </c>
    </row>
    <row r="17888" customFormat="false" ht="15" hidden="false" customHeight="false" outlineLevel="0" collapsed="false">
      <c r="A17888" s="3" t="s">
        <v>374</v>
      </c>
      <c r="C17888" s="16" t="n">
        <f aca="false">SUMPRODUCT($G$17800:$K$17800,$G$17807:$K$17807)</f>
        <v>0</v>
      </c>
    </row>
    <row r="17889" customFormat="false" ht="15" hidden="false" customHeight="false" outlineLevel="0" collapsed="false">
      <c r="A17889" s="3" t="s">
        <v>375</v>
      </c>
      <c r="C17889" s="3" t="str">
        <f aca="false">IF(SUM($G$17800:$K$17800)=0,"n/a (beyond horizon)",IF(SUMPRODUCT($G$17800:$K$17800,$G$17732:$K$17732)&gt;0,"REFINANCING PASS","REFINANCING FAILURE"))</f>
        <v>REFINANCING FAILURE</v>
      </c>
    </row>
    <row r="17890" customFormat="false" ht="15" hidden="false" customHeight="false" outlineLevel="0" collapsed="false">
      <c r="A17890" s="3" t="s">
        <v>376</v>
      </c>
      <c r="C17890" s="3" t="str">
        <f aca="false">IF(SUM($G$17800:$K$17800)=0,"n/a",IF(C17888&gt;=C17887-0.001,"Repaid from cash",IF(SUMPRODUCT($G$17800:$K$17800,$G$17732:$K$17732)&gt;0,IF(C17888&gt;0,"Partly repaid; remainder refinanced","Refinanced"),IF(SUM($G$17809:$K$17809)&gt;0.001,IF(C17888&gt;0,"Partial repayment; PAYMENT DEFAULT","PAYMENT DEFAULT"),"Repaid from cash"))))</f>
        <v>PAYMENT DEFAULT</v>
      </c>
    </row>
    <row r="17891" customFormat="false" ht="15" hidden="false" customHeight="false" outlineLevel="0" collapsed="false">
      <c r="A17891" s="3" t="s">
        <v>377</v>
      </c>
      <c r="C17891" s="16" t="n">
        <f aca="false">SUMPRODUCT($G$17813:$K$17813,$G$17812:$K$17812-$G$17818:$K$17818+$G$17817:$K$17817)</f>
        <v>550</v>
      </c>
    </row>
    <row r="17892" customFormat="false" ht="15" hidden="false" customHeight="false" outlineLevel="0" collapsed="false">
      <c r="A17892" s="3" t="s">
        <v>378</v>
      </c>
      <c r="C17892" s="16" t="n">
        <f aca="false">SUMPRODUCT($G$17813:$K$17813,$G$17820:$K$17820)</f>
        <v>0</v>
      </c>
    </row>
    <row r="17893" customFormat="false" ht="15" hidden="false" customHeight="false" outlineLevel="0" collapsed="false">
      <c r="A17893" s="3" t="s">
        <v>379</v>
      </c>
      <c r="C17893" s="3" t="str">
        <f aca="false">IF(SUM($G$17813:$K$17813)=0,"n/a (beyond horizon)",IF(SUMPRODUCT($G$17813:$K$17813,$G$17732:$K$17732)&gt;0,"REFINANCING PASS","REFINANCING FAILURE"))</f>
        <v>REFINANCING PASS</v>
      </c>
    </row>
    <row r="17894" customFormat="false" ht="15" hidden="false" customHeight="false" outlineLevel="0" collapsed="false">
      <c r="A17894" s="3" t="s">
        <v>380</v>
      </c>
      <c r="C17894" s="3" t="str">
        <f aca="false">IF(SUM($G$17813:$K$17813)=0,"n/a",IF(C17892&gt;=C17891-0.001,"Repaid from cash",IF(SUMPRODUCT($G$17813:$K$17813,$G$17732:$K$17732)&gt;0,IF(C17892&gt;0,"Partly repaid; remainder refinanced","Refinanced"),IF(SUM($G$17822:$K$17822)&gt;0.001,IF(C17892&gt;0,"Partial repayment; PAYMENT DEFAULT","PAYMENT DEFAULT"),"Repaid from cash"))))</f>
        <v>Refinanced</v>
      </c>
    </row>
    <row r="17895" customFormat="false" ht="15" hidden="false" customHeight="false" outlineLevel="0" collapsed="false">
      <c r="A17895" s="3" t="s">
        <v>381</v>
      </c>
      <c r="C17895" s="16" t="n">
        <f aca="false">SUMPRODUCT($G$17826:$K$17826,$G$17825:$K$17825-$G$17831:$K$17831+$G$17830:$K$17830)</f>
        <v>350</v>
      </c>
    </row>
    <row r="17896" customFormat="false" ht="15" hidden="false" customHeight="false" outlineLevel="0" collapsed="false">
      <c r="A17896" s="3" t="s">
        <v>382</v>
      </c>
      <c r="C17896" s="16" t="n">
        <f aca="false">SUMPRODUCT($G$17826:$K$17826,$G$17833:$K$17833)</f>
        <v>0</v>
      </c>
    </row>
    <row r="17897" customFormat="false" ht="15" hidden="false" customHeight="false" outlineLevel="0" collapsed="false">
      <c r="A17897" s="3" t="s">
        <v>383</v>
      </c>
      <c r="C17897" s="3" t="str">
        <f aca="false">IF(SUM($G$17826:$K$17826)=0,"n/a (beyond horizon)",IF(SUMPRODUCT($G$17826:$K$17826,$G$17732:$K$17732)&gt;0,"REFINANCING PASS","REFINANCING FAILURE"))</f>
        <v>REFINANCING PASS</v>
      </c>
    </row>
    <row r="17898" customFormat="false" ht="15" hidden="false" customHeight="false" outlineLevel="0" collapsed="false">
      <c r="A17898" s="3" t="s">
        <v>384</v>
      </c>
      <c r="C17898" s="3" t="str">
        <f aca="false">IF(SUM($G$17826:$K$17826)=0,"n/a",IF(C17896&gt;=C17895-0.001,"Repaid from cash",IF(SUMPRODUCT($G$17826:$K$17826,$G$17732:$K$17732)&gt;0,IF(C17896&gt;0,"Partly repaid; remainder refinanced","Refinanced"),IF(SUM($G$17835:$K$17835)&gt;0.001,IF(C17896&gt;0,"Partial repayment; PAYMENT DEFAULT","PAYMENT DEFAULT"),"Repaid from cash"))))</f>
        <v>Refinanced</v>
      </c>
    </row>
    <row r="17899" customFormat="false" ht="15" hidden="false" customHeight="false" outlineLevel="0" collapsed="false">
      <c r="A17899" s="3" t="s">
        <v>385</v>
      </c>
      <c r="C17899" s="16" t="n">
        <f aca="false">SUMPRODUCT($G$17839:$K$17839,$G$17838:$K$17838-$G$17844:$K$17844+$G$17843:$K$17843)</f>
        <v>300</v>
      </c>
    </row>
    <row r="17900" customFormat="false" ht="15" hidden="false" customHeight="false" outlineLevel="0" collapsed="false">
      <c r="A17900" s="3" t="s">
        <v>386</v>
      </c>
      <c r="C17900" s="16" t="n">
        <f aca="false">SUMPRODUCT($G$17839:$K$17839,$G$17846:$K$17846)</f>
        <v>0</v>
      </c>
    </row>
    <row r="17901" customFormat="false" ht="15" hidden="false" customHeight="false" outlineLevel="0" collapsed="false">
      <c r="A17901" s="3" t="s">
        <v>387</v>
      </c>
      <c r="C17901" s="3" t="str">
        <f aca="false">IF(SUM($G$17839:$K$17839)=0,"n/a (beyond horizon)",IF(SUMPRODUCT($G$17839:$K$17839,$G$17732:$K$17732)&gt;0,"REFINANCING PASS","REFINANCING FAILURE"))</f>
        <v>REFINANCING PASS</v>
      </c>
    </row>
    <row r="17902" customFormat="false" ht="15" hidden="false" customHeight="false" outlineLevel="0" collapsed="false">
      <c r="A17902" s="3" t="s">
        <v>388</v>
      </c>
      <c r="C17902" s="3" t="str">
        <f aca="false">IF(SUM($G$17839:$K$17839)=0,"n/a",IF(C17900&gt;=C17899-0.001,"Repaid from cash",IF(SUMPRODUCT($G$17839:$K$17839,$G$17732:$K$17732)&gt;0,IF(C17900&gt;0,"Partly repaid; remainder refinanced","Refinanced"),IF(SUM($G$17848:$K$17848)&gt;0.001,IF(C17900&gt;0,"Partial repayment; PAYMENT DEFAULT","PAYMENT DEFAULT"),"Repaid from cash"))))</f>
        <v>Refinanced</v>
      </c>
    </row>
    <row r="17903" customFormat="false" ht="15" hidden="false" customHeight="false" outlineLevel="0" collapsed="false">
      <c r="A17903" s="3" t="s">
        <v>389</v>
      </c>
      <c r="C17903" s="16" t="n">
        <f aca="false">SUMPRODUCT($G$17852:$K$17852,$G$17851:$K$17851-$G$17857:$K$17857+$G$17856:$K$17856)</f>
        <v>0</v>
      </c>
    </row>
    <row r="17904" customFormat="false" ht="15" hidden="false" customHeight="false" outlineLevel="0" collapsed="false">
      <c r="A17904" s="3" t="s">
        <v>390</v>
      </c>
      <c r="C17904" s="16" t="n">
        <f aca="false">SUMPRODUCT($G$17852:$K$17852,$G$17859:$K$17859)</f>
        <v>0</v>
      </c>
    </row>
    <row r="17905" customFormat="false" ht="15" hidden="false" customHeight="false" outlineLevel="0" collapsed="false">
      <c r="A17905" s="3" t="s">
        <v>391</v>
      </c>
      <c r="C17905" s="3" t="str">
        <f aca="false">IF(SUM($G$17852:$K$17852)=0,"n/a (beyond horizon)",IF(SUMPRODUCT($G$17852:$K$17852,$G$17732:$K$17732)&gt;0,"REFINANCING PASS","REFINANCING FAILURE"))</f>
        <v>n/a (beyond horizon)</v>
      </c>
    </row>
    <row r="17906" customFormat="false" ht="15" hidden="false" customHeight="false" outlineLevel="0" collapsed="false">
      <c r="A17906" s="3" t="s">
        <v>392</v>
      </c>
      <c r="C17906" s="3" t="str">
        <f aca="false">IF(SUM($G$17852:$K$17852)=0,"n/a",IF(C17904&gt;=C17903-0.001,"Repaid from cash",IF(SUMPRODUCT($G$17852:$K$17852,$G$17732:$K$17732)&gt;0,IF(C17904&gt;0,"Partly repaid; remainder refinanced","Refinanced"),IF(SUM($G$17861:$K$17861)&gt;0.001,IF(C17904&gt;0,"Partial repayment; PAYMENT DEFAULT","PAYMENT DEFAULT"),"Repaid from cash"))))</f>
        <v>n/a</v>
      </c>
    </row>
    <row r="17907" customFormat="false" ht="15" hidden="false" customHeight="false" outlineLevel="0" collapsed="false">
      <c r="A17907" s="3" t="s">
        <v>393</v>
      </c>
      <c r="C17907" s="21" t="n">
        <f aca="false">IF(C17869="REFINANCING FAILURE",1,0)+IF(C17873="REFINANCING FAILURE",1,0)+IF(C17877="REFINANCING FAILURE",1,0)+IF(C17881="REFINANCING FAILURE",1,0)+IF(C17885="REFINANCING FAILURE",1,0)+IF(C17889="REFINANCING FAILURE",1,0)+IF(C17893="REFINANCING FAILURE",1,0)+IF(C17897="REFINANCING FAILURE",1,0)+IF(C17901="REFINANCING FAILURE",1,0)+IF(C17905="REFINANCING FAILURE",1,0)</f>
        <v>3</v>
      </c>
    </row>
    <row r="17909" customFormat="false" ht="15" hidden="false" customHeight="false" outlineLevel="0" collapsed="false">
      <c r="A17909" s="24" t="s">
        <v>395</v>
      </c>
      <c r="B17909" s="25"/>
      <c r="C17909" s="25"/>
      <c r="D17909" s="25"/>
      <c r="E17909" s="25"/>
      <c r="F17909" s="25"/>
      <c r="G17909" s="25"/>
      <c r="H17909" s="25"/>
      <c r="I17909" s="25"/>
      <c r="J17909" s="25"/>
      <c r="K17909" s="25"/>
    </row>
    <row r="17910" customFormat="false" ht="15" hidden="false" customHeight="false" outlineLevel="0" collapsed="false">
      <c r="A17910" s="3" t="s">
        <v>325</v>
      </c>
      <c r="G17910" s="16" t="n">
        <f aca="false">F17922</f>
        <v>37.87</v>
      </c>
      <c r="H17910" s="16" t="n">
        <f aca="false">G17922</f>
        <v>136.4012774</v>
      </c>
      <c r="I17910" s="16" t="n">
        <f aca="false">H17922</f>
        <v>0</v>
      </c>
      <c r="J17910" s="16" t="n">
        <f aca="false">I17922</f>
        <v>-29.659520872802</v>
      </c>
      <c r="K17910" s="16" t="n">
        <f aca="false">J17922</f>
        <v>-44.6022873569959</v>
      </c>
    </row>
    <row r="17911" customFormat="false" ht="15" hidden="false" customHeight="false" outlineLevel="0" collapsed="false">
      <c r="A17911" s="3" t="s">
        <v>396</v>
      </c>
      <c r="G17911" s="16" t="n">
        <f aca="false">G17721</f>
        <v>-47.4687226</v>
      </c>
      <c r="H17911" s="16" t="n">
        <f aca="false">H17721</f>
        <v>-44.853873076</v>
      </c>
      <c r="I17911" s="16" t="n">
        <f aca="false">I17721</f>
        <v>-25.659520872802</v>
      </c>
      <c r="J17911" s="16" t="n">
        <f aca="false">J17721</f>
        <v>-10.9427664841939</v>
      </c>
      <c r="K17911" s="16" t="n">
        <f aca="false">K17721</f>
        <v>-6.4867708299746</v>
      </c>
    </row>
    <row r="17912" customFormat="false" ht="15" hidden="false" customHeight="false" outlineLevel="0" collapsed="false">
      <c r="A17912" s="3" t="s">
        <v>397</v>
      </c>
      <c r="G17912" s="16" t="n">
        <f aca="false">CHOOSE($C$17691,Assumptions!$G$82,Assumptions!$G$101,Assumptions!$G$120)</f>
        <v>150</v>
      </c>
      <c r="H17912" s="16" t="n">
        <f aca="false">CHOOSE($C$17691,Assumptions!$H$82,Assumptions!$H$101,Assumptions!$H$120)</f>
        <v>0</v>
      </c>
      <c r="I17912" s="16" t="n">
        <f aca="false">CHOOSE($C$17691,Assumptions!$I$82,Assumptions!$I$101,Assumptions!$I$120)</f>
        <v>0</v>
      </c>
      <c r="J17912" s="16" t="n">
        <f aca="false">CHOOSE($C$17691,Assumptions!$J$82,Assumptions!$J$101,Assumptions!$J$120)</f>
        <v>0</v>
      </c>
      <c r="K17912" s="16" t="n">
        <f aca="false">CHOOSE($C$17691,Assumptions!$K$82,Assumptions!$K$101,Assumptions!$K$120)</f>
        <v>0</v>
      </c>
    </row>
    <row r="17913" customFormat="false" ht="15" hidden="false" customHeight="false" outlineLevel="0" collapsed="false">
      <c r="A17913" s="3" t="s">
        <v>398</v>
      </c>
      <c r="G17913" s="16" t="n">
        <f aca="false">G17740+G17753+G17766+G17779+G17792+G17805+G17818+G17831+G17844+G17857</f>
        <v>4</v>
      </c>
      <c r="H17913" s="16" t="n">
        <f aca="false">H17740+H17753+H17766+H17779+H17792+H17805+H17818+H17831+H17844+H17857</f>
        <v>4</v>
      </c>
      <c r="I17913" s="16" t="n">
        <f aca="false">I17740+I17753+I17766+I17779+I17792+I17805+I17818+I17831+I17844+I17857</f>
        <v>4</v>
      </c>
      <c r="J17913" s="16" t="n">
        <f aca="false">J17740+J17753+J17766+J17779+J17792+J17805+J17818+J17831+J17844+J17857</f>
        <v>4</v>
      </c>
      <c r="K17913" s="16" t="n">
        <f aca="false">K17740+K17753+K17766+K17779+K17792+K17805+K17818+K17831+K17844+K17857</f>
        <v>4</v>
      </c>
    </row>
    <row r="17914" customFormat="false" ht="15" hidden="false" customHeight="false" outlineLevel="0" collapsed="false">
      <c r="A17914" s="2" t="s">
        <v>399</v>
      </c>
      <c r="G17914" s="17" t="n">
        <f aca="false">G17910+G17911+G17912-G17913</f>
        <v>136.4012774</v>
      </c>
      <c r="H17914" s="17" t="n">
        <f aca="false">H17910+H17911+H17912-H17913</f>
        <v>87.547404324</v>
      </c>
      <c r="I17914" s="17" t="n">
        <f aca="false">I17910+I17911+I17912-I17913</f>
        <v>-29.659520872802</v>
      </c>
      <c r="J17914" s="17" t="n">
        <f aca="false">J17910+J17911+J17912-J17913</f>
        <v>-44.6022873569959</v>
      </c>
      <c r="K17914" s="17" t="n">
        <f aca="false">K17910+K17911+K17912-K17913</f>
        <v>-55.0890581869705</v>
      </c>
    </row>
    <row r="17915" customFormat="false" ht="15" hidden="false" customHeight="false" outlineLevel="0" collapsed="false">
      <c r="A17915" s="3" t="s">
        <v>400</v>
      </c>
      <c r="G17915" s="16" t="n">
        <f aca="false">G17741+G17754+G17767+G17780+G17793+G17806+G17819+G17832+G17845+G17858</f>
        <v>0</v>
      </c>
      <c r="H17915" s="16" t="n">
        <f aca="false">H17741+H17754+H17767+H17780+H17793+H17806+H17819+H17832+H17845+H17858</f>
        <v>0</v>
      </c>
      <c r="I17915" s="16" t="n">
        <f aca="false">I17741+I17754+I17767+I17780+I17793+I17806+I17819+I17832+I17845+I17858</f>
        <v>0</v>
      </c>
      <c r="J17915" s="16" t="n">
        <f aca="false">J17741+J17754+J17767+J17780+J17793+J17806+J17819+J17832+J17845+J17858</f>
        <v>0</v>
      </c>
      <c r="K17915" s="16" t="n">
        <f aca="false">K17741+K17754+K17767+K17780+K17793+K17806+K17819+K17832+K17845+K17858</f>
        <v>0</v>
      </c>
    </row>
    <row r="17916" customFormat="false" ht="15" hidden="false" customHeight="false" outlineLevel="0" collapsed="false">
      <c r="A17916" s="2" t="s">
        <v>401</v>
      </c>
      <c r="G17916" s="17" t="n">
        <f aca="false">G17914+G17915</f>
        <v>136.4012774</v>
      </c>
      <c r="H17916" s="17" t="n">
        <f aca="false">H17914+H17915</f>
        <v>87.547404324</v>
      </c>
      <c r="I17916" s="17" t="n">
        <f aca="false">I17914+I17915</f>
        <v>-29.659520872802</v>
      </c>
      <c r="J17916" s="17" t="n">
        <f aca="false">J17914+J17915</f>
        <v>-44.6022873569959</v>
      </c>
      <c r="K17916" s="17" t="n">
        <f aca="false">K17914+K17915</f>
        <v>-55.0890581869705</v>
      </c>
    </row>
    <row r="17917" customFormat="false" ht="15" hidden="false" customHeight="false" outlineLevel="0" collapsed="false">
      <c r="A17917" s="3" t="s">
        <v>402</v>
      </c>
      <c r="G17917" s="16" t="n">
        <f aca="false">G17742+G17755+G17768+G17781+G17794+G17807+G17820+G17833+G17846+G17859</f>
        <v>0</v>
      </c>
      <c r="H17917" s="16" t="n">
        <f aca="false">H17742+H17755+H17768+H17781+H17794+H17807+H17820+H17833+H17846+H17859</f>
        <v>87.547404324</v>
      </c>
      <c r="I17917" s="16" t="n">
        <f aca="false">I17742+I17755+I17768+I17781+I17794+I17807+I17820+I17833+I17846+I17859</f>
        <v>0</v>
      </c>
      <c r="J17917" s="16" t="n">
        <f aca="false">J17742+J17755+J17768+J17781+J17794+J17807+J17820+J17833+J17846+J17859</f>
        <v>0</v>
      </c>
      <c r="K17917" s="16" t="n">
        <f aca="false">K17742+K17755+K17768+K17781+K17794+K17807+K17820+K17833+K17846+K17859</f>
        <v>0</v>
      </c>
    </row>
    <row r="17918" customFormat="false" ht="15" hidden="false" customHeight="false" outlineLevel="0" collapsed="false">
      <c r="A17918" s="2" t="s">
        <v>403</v>
      </c>
      <c r="G17918" s="17" t="n">
        <f aca="false">G17916-G17917</f>
        <v>136.4012774</v>
      </c>
      <c r="H17918" s="17" t="n">
        <f aca="false">H17916-H17917</f>
        <v>0</v>
      </c>
      <c r="I17918" s="17" t="n">
        <f aca="false">I17916-I17917</f>
        <v>-29.659520872802</v>
      </c>
      <c r="J17918" s="17" t="n">
        <f aca="false">J17916-J17917</f>
        <v>-44.6022873569959</v>
      </c>
      <c r="K17918" s="17" t="n">
        <f aca="false">K17916-K17917</f>
        <v>-55.0890581869705</v>
      </c>
    </row>
    <row r="17919" customFormat="false" ht="15" hidden="false" customHeight="false" outlineLevel="0" collapsed="false">
      <c r="A17919" s="3" t="s">
        <v>404</v>
      </c>
      <c r="G17919" s="16" t="n">
        <f aca="false">MAX(0,-G17918)</f>
        <v>0</v>
      </c>
      <c r="H17919" s="16" t="n">
        <f aca="false">MAX(0,-H17918)</f>
        <v>-0</v>
      </c>
      <c r="I17919" s="16" t="n">
        <f aca="false">MAX(0,-I17918)</f>
        <v>29.659520872802</v>
      </c>
      <c r="J17919" s="16" t="n">
        <f aca="false">MAX(0,-J17918)</f>
        <v>44.6022873569959</v>
      </c>
      <c r="K17919" s="16" t="n">
        <f aca="false">MAX(0,-K17918)</f>
        <v>55.0890581869705</v>
      </c>
    </row>
    <row r="17920" customFormat="false" ht="15" hidden="false" customHeight="false" outlineLevel="0" collapsed="false">
      <c r="A17920" s="3" t="s">
        <v>405</v>
      </c>
      <c r="G17920" s="16" t="n">
        <f aca="false">MAX(0,G17918-Assumptions!$C$12)*Assumptions!$C$13</f>
        <v>0</v>
      </c>
      <c r="H17920" s="16" t="n">
        <f aca="false">MAX(0,H17918-Assumptions!$C$12)*Assumptions!$C$13</f>
        <v>0</v>
      </c>
      <c r="I17920" s="16" t="n">
        <f aca="false">MAX(0,I17918-Assumptions!$C$12)*Assumptions!$C$13</f>
        <v>0</v>
      </c>
      <c r="J17920" s="16" t="n">
        <f aca="false">MAX(0,J17918-Assumptions!$C$12)*Assumptions!$C$13</f>
        <v>0</v>
      </c>
      <c r="K17920" s="16" t="n">
        <f aca="false">MAX(0,K17918-Assumptions!$C$12)*Assumptions!$C$13</f>
        <v>0</v>
      </c>
    </row>
    <row r="17921" customFormat="false" ht="15" hidden="false" customHeight="false" outlineLevel="0" collapsed="false">
      <c r="A17921" s="3" t="s">
        <v>406</v>
      </c>
      <c r="G17921" s="16" t="n">
        <f aca="false">G17743+G17756+G17769+G17782+G17795+G17808+G17821+G17834+G17847+G17860</f>
        <v>0</v>
      </c>
      <c r="H17921" s="16" t="n">
        <f aca="false">H17743+H17756+H17769+H17782+H17795+H17808+H17821+H17834+H17847+H17860</f>
        <v>0</v>
      </c>
      <c r="I17921" s="16" t="n">
        <f aca="false">I17743+I17756+I17769+I17782+I17795+I17808+I17821+I17834+I17847+I17860</f>
        <v>0</v>
      </c>
      <c r="J17921" s="16" t="n">
        <f aca="false">J17743+J17756+J17769+J17782+J17795+J17808+J17821+J17834+J17847+J17860</f>
        <v>0</v>
      </c>
      <c r="K17921" s="16" t="n">
        <f aca="false">K17743+K17756+K17769+K17782+K17795+K17808+K17821+K17834+K17847+K17860</f>
        <v>0</v>
      </c>
    </row>
    <row r="17922" customFormat="false" ht="15" hidden="false" customHeight="false" outlineLevel="0" collapsed="false">
      <c r="A17922" s="2" t="s">
        <v>407</v>
      </c>
      <c r="F17922" s="28" t="n">
        <f aca="false">Assumptions!$C$11</f>
        <v>37.87</v>
      </c>
      <c r="G17922" s="17" t="n">
        <f aca="false">G17918-G17921</f>
        <v>136.4012774</v>
      </c>
      <c r="H17922" s="17" t="n">
        <f aca="false">H17918-H17921</f>
        <v>0</v>
      </c>
      <c r="I17922" s="17" t="n">
        <f aca="false">I17918-I17921</f>
        <v>-29.659520872802</v>
      </c>
      <c r="J17922" s="17" t="n">
        <f aca="false">J17918-J17921</f>
        <v>-44.6022873569959</v>
      </c>
      <c r="K17922" s="17" t="n">
        <f aca="false">K17918-K17921</f>
        <v>-55.0890581869705</v>
      </c>
    </row>
    <row r="17923" customFormat="false" ht="15" hidden="false" customHeight="false" outlineLevel="0" collapsed="false">
      <c r="A17923" s="3" t="s">
        <v>408</v>
      </c>
      <c r="G17923" s="16" t="n">
        <f aca="false">G17744+G17757+G17770+G17783+G17796+G17809+G17822+G17835+G17848+G17861</f>
        <v>0</v>
      </c>
      <c r="H17923" s="16" t="n">
        <f aca="false">H17744+H17757+H17770+H17783+H17796+H17809+H17822+H17835+H17848+H17861</f>
        <v>712.452595676</v>
      </c>
      <c r="I17923" s="16" t="n">
        <f aca="false">I17744+I17757+I17770+I17783+I17796+I17809+I17822+I17835+I17848+I17861</f>
        <v>0</v>
      </c>
      <c r="J17923" s="16" t="n">
        <f aca="false">J17744+J17757+J17770+J17783+J17796+J17809+J17822+J17835+J17848+J17861</f>
        <v>0</v>
      </c>
      <c r="K17923" s="16" t="n">
        <f aca="false">K17744+K17757+K17770+K17783+K17796+K17809+K17822+K17835+K17848+K17861</f>
        <v>0</v>
      </c>
    </row>
    <row r="17924" customFormat="false" ht="15" hidden="false" customHeight="false" outlineLevel="0" collapsed="false">
      <c r="A17924" s="3" t="s">
        <v>409</v>
      </c>
      <c r="G17924" s="21" t="n">
        <f aca="false">IF(OR(G17919&gt;0.001,G17923&gt;0.001),1,0)</f>
        <v>0</v>
      </c>
      <c r="H17924" s="21" t="n">
        <f aca="false">IF(OR(H17919&gt;0.001,H17923&gt;0.001),1,0)</f>
        <v>1</v>
      </c>
      <c r="I17924" s="21" t="n">
        <f aca="false">IF(OR(I17919&gt;0.001,I17923&gt;0.001),1,0)</f>
        <v>1</v>
      </c>
      <c r="J17924" s="21" t="n">
        <f aca="false">IF(OR(J17919&gt;0.001,J17923&gt;0.001),1,0)</f>
        <v>1</v>
      </c>
      <c r="K17924" s="21" t="n">
        <f aca="false">IF(OR(K17919&gt;0.001,K17923&gt;0.001),1,0)</f>
        <v>1</v>
      </c>
    </row>
    <row r="17925" customFormat="false" ht="15" hidden="false" customHeight="false" outlineLevel="0" collapsed="false">
      <c r="A17925" s="3" t="s">
        <v>410</v>
      </c>
      <c r="G17925" s="21" t="n">
        <f aca="false">IF(G17924=1,1,0)</f>
        <v>0</v>
      </c>
      <c r="H17925" s="21" t="n">
        <f aca="false">IF(AND(H17924=1,SUM($G$17924:G17924)=0),1,0)</f>
        <v>1</v>
      </c>
      <c r="I17925" s="21" t="n">
        <f aca="false">IF(AND(I17924=1,SUM($G$17924:H17924)=0),1,0)</f>
        <v>0</v>
      </c>
      <c r="J17925" s="21" t="n">
        <f aca="false">IF(AND(J17924=1,SUM($G$17924:I17924)=0),1,0)</f>
        <v>0</v>
      </c>
      <c r="K17925" s="21" t="n">
        <f aca="false">IF(AND(K17924=1,SUM($G$17924:J17924)=0),1,0)</f>
        <v>0</v>
      </c>
    </row>
    <row r="17926" customFormat="false" ht="15" hidden="false" customHeight="false" outlineLevel="0" collapsed="false">
      <c r="A17926" s="3" t="s">
        <v>411</v>
      </c>
      <c r="G17926" s="16" t="n">
        <f aca="false">(G17864-F17864)-(G17915+G17713-G17913-G17917-G17921)</f>
        <v>0</v>
      </c>
      <c r="H17926" s="16" t="n">
        <f aca="false">(H17864-G17864)-(H17915+H17713-H17913-H17917-H17921)</f>
        <v>0</v>
      </c>
      <c r="I17926" s="16" t="n">
        <f aca="false">(I17864-H17864)-(I17915+I17713-I17913-I17917-I17921)</f>
        <v>0</v>
      </c>
      <c r="J17926" s="16" t="n">
        <f aca="false">(J17864-I17864)-(J17915+J17713-J17913-J17917-J17921)</f>
        <v>0</v>
      </c>
      <c r="K17926" s="16" t="n">
        <f aca="false">(K17864-J17864)-(K17915+K17713-K17913-K17917-K17921)</f>
        <v>0</v>
      </c>
    </row>
    <row r="17928" customFormat="false" ht="15" hidden="false" customHeight="false" outlineLevel="0" collapsed="false">
      <c r="A17928" s="24" t="s">
        <v>413</v>
      </c>
      <c r="B17928" s="25"/>
      <c r="C17928" s="25"/>
      <c r="D17928" s="25"/>
      <c r="E17928" s="25"/>
      <c r="F17928" s="25"/>
      <c r="G17928" s="25"/>
      <c r="H17928" s="25"/>
      <c r="I17928" s="25"/>
      <c r="J17928" s="25"/>
      <c r="K17928" s="25"/>
    </row>
    <row r="17929" customFormat="false" ht="15" hidden="false" customHeight="false" outlineLevel="0" collapsed="false">
      <c r="A17929" s="3" t="s">
        <v>414</v>
      </c>
      <c r="G17929" s="16" t="n">
        <f aca="false">G17864</f>
        <v>2621.934</v>
      </c>
      <c r="H17929" s="16" t="n">
        <f aca="false">H17864</f>
        <v>2530.386595676</v>
      </c>
      <c r="I17929" s="16" t="n">
        <f aca="false">I17864</f>
        <v>2526.386595676</v>
      </c>
      <c r="J17929" s="16" t="n">
        <f aca="false">J17864</f>
        <v>2522.386595676</v>
      </c>
      <c r="K17929" s="16" t="n">
        <f aca="false">K17864</f>
        <v>2518.386595676</v>
      </c>
    </row>
    <row r="17930" customFormat="false" ht="15" hidden="false" customHeight="false" outlineLevel="0" collapsed="false">
      <c r="A17930" s="3" t="s">
        <v>415</v>
      </c>
      <c r="G17930" s="16" t="n">
        <f aca="false">Assumptions!$O$57*G17745+Assumptions!$O$58*G17758+Assumptions!$O$59*G17771+Assumptions!$O$60*G17784+Assumptions!$O$61*G17797+Assumptions!$O$62*G17810+Assumptions!$O$63*G17823+Assumptions!$O$64*G17836+Assumptions!$O$65*G17849+Assumptions!$O$66*G17862</f>
        <v>543.324</v>
      </c>
      <c r="H17930" s="16" t="n">
        <f aca="false">Assumptions!$O$57*H17745+Assumptions!$O$58*H17758+Assumptions!$O$59*H17771+Assumptions!$O$60*H17784+Assumptions!$O$61*H17797+Assumptions!$O$62*H17810+Assumptions!$O$63*H17823+Assumptions!$O$64*H17836+Assumptions!$O$65*H17849+Assumptions!$O$66*H17862</f>
        <v>539.324</v>
      </c>
      <c r="I17930" s="16" t="n">
        <f aca="false">Assumptions!$O$57*I17745+Assumptions!$O$58*I17758+Assumptions!$O$59*I17771+Assumptions!$O$60*I17784+Assumptions!$O$61*I17797+Assumptions!$O$62*I17810+Assumptions!$O$63*I17823+Assumptions!$O$64*I17836+Assumptions!$O$65*I17849+Assumptions!$O$66*I17862</f>
        <v>535.324</v>
      </c>
      <c r="J17930" s="16" t="n">
        <f aca="false">Assumptions!$O$57*J17745+Assumptions!$O$58*J17758+Assumptions!$O$59*J17771+Assumptions!$O$60*J17784+Assumptions!$O$61*J17797+Assumptions!$O$62*J17810+Assumptions!$O$63*J17823+Assumptions!$O$64*J17836+Assumptions!$O$65*J17849+Assumptions!$O$66*J17862</f>
        <v>531.324</v>
      </c>
      <c r="K17930" s="16" t="n">
        <f aca="false">Assumptions!$O$57*K17745+Assumptions!$O$58*K17758+Assumptions!$O$59*K17771+Assumptions!$O$60*K17784+Assumptions!$O$61*K17797+Assumptions!$O$62*K17810+Assumptions!$O$63*K17823+Assumptions!$O$64*K17836+Assumptions!$O$65*K17849+Assumptions!$O$66*K17862</f>
        <v>527.324</v>
      </c>
    </row>
    <row r="17931" customFormat="false" ht="15" hidden="false" customHeight="false" outlineLevel="0" collapsed="false">
      <c r="A17931" s="3" t="s">
        <v>416</v>
      </c>
      <c r="G17931" s="16" t="n">
        <f aca="false">G17929-G17922</f>
        <v>2485.5327226</v>
      </c>
      <c r="H17931" s="16" t="n">
        <f aca="false">H17929-H17922</f>
        <v>2530.386595676</v>
      </c>
      <c r="I17931" s="16" t="n">
        <f aca="false">I17929-I17922</f>
        <v>2556.0461165488</v>
      </c>
      <c r="J17931" s="16" t="n">
        <f aca="false">J17929-J17922</f>
        <v>2566.988883033</v>
      </c>
      <c r="K17931" s="16" t="n">
        <f aca="false">K17929-K17922</f>
        <v>2573.47565386297</v>
      </c>
    </row>
    <row r="17932" customFormat="false" ht="15" hidden="false" customHeight="false" outlineLevel="0" collapsed="false">
      <c r="A17932" s="3" t="s">
        <v>417</v>
      </c>
      <c r="G17932" s="32" t="n">
        <f aca="false">IF(G17708&gt;0,G17929/G17708,0)</f>
        <v>10.1189481030779</v>
      </c>
      <c r="H17932" s="32" t="n">
        <f aca="false">IF(H17708&gt;0,H17929/H17708,0)</f>
        <v>9.40903273717284</v>
      </c>
      <c r="I17932" s="32" t="n">
        <f aca="false">IF(I17708&gt;0,I17929/I17708,0)</f>
        <v>8.54014460804687</v>
      </c>
      <c r="J17932" s="32" t="n">
        <f aca="false">IF(J17708&gt;0,J17929/J17708,0)</f>
        <v>7.60325831830247</v>
      </c>
      <c r="K17932" s="32" t="n">
        <f aca="false">IF(K17708&gt;0,K17929/K17708,0)</f>
        <v>6.76983988697411</v>
      </c>
    </row>
    <row r="17933" customFormat="false" ht="15" hidden="false" customHeight="false" outlineLevel="0" collapsed="false">
      <c r="A17933" s="3" t="s">
        <v>418</v>
      </c>
      <c r="G17933" s="32" t="n">
        <f aca="false">IF(G17708&gt;0,G17931/G17708,0)</f>
        <v>9.59252850319315</v>
      </c>
      <c r="H17933" s="32" t="n">
        <f aca="false">IF(H17708&gt;0,H17931/H17708,0)</f>
        <v>9.40903273717284</v>
      </c>
      <c r="I17933" s="32" t="n">
        <f aca="false">IF(I17708&gt;0,I17931/I17708,0)</f>
        <v>8.64040503441734</v>
      </c>
      <c r="J17933" s="32" t="n">
        <f aca="false">IF(J17708&gt;0,J17931/J17708,0)</f>
        <v>7.73770349532004</v>
      </c>
      <c r="K17933" s="32" t="n">
        <f aca="false">IF(K17708&gt;0,K17931/K17708,0)</f>
        <v>6.91792839097517</v>
      </c>
    </row>
    <row r="17934" customFormat="false" ht="15" hidden="false" customHeight="false" outlineLevel="0" collapsed="false">
      <c r="A17934" s="3" t="s">
        <v>419</v>
      </c>
      <c r="G17934" s="32" t="n">
        <f aca="false">IF(G17712&gt;0,G17708/G17712,0)</f>
        <v>1.38274683999664</v>
      </c>
      <c r="H17934" s="32" t="n">
        <f aca="false">IF(H17712&gt;0,H17708/H17712,0)</f>
        <v>1.44392112774762</v>
      </c>
      <c r="I17934" s="32" t="n">
        <f aca="false">IF(I17712&gt;0,I17708/I17712,0)</f>
        <v>1.63262079373115</v>
      </c>
      <c r="J17934" s="32" t="n">
        <f aca="false">IF(J17712&gt;0,J17708/J17712,0)</f>
        <v>1.77431699493602</v>
      </c>
      <c r="K17934" s="32" t="n">
        <f aca="false">IF(K17712&gt;0,K17708/K17712,0)</f>
        <v>1.80900179612358</v>
      </c>
    </row>
    <row r="17935" customFormat="false" ht="15" hidden="false" customHeight="false" outlineLevel="0" collapsed="false">
      <c r="A17935" s="3" t="s">
        <v>420</v>
      </c>
      <c r="G17935" s="32" t="n">
        <f aca="false">IF(G17712&gt;0,G17711/G17712,0)</f>
        <v>0.354378636583383</v>
      </c>
      <c r="H17935" s="32" t="n">
        <f aca="false">IF(H17712&gt;0,H17711/H17712,0)</f>
        <v>0.336844448839567</v>
      </c>
      <c r="I17935" s="32" t="n">
        <f aca="false">IF(I17712&gt;0,I17711/I17712,0)</f>
        <v>0.38086516005638</v>
      </c>
      <c r="J17935" s="32" t="n">
        <f aca="false">IF(J17712&gt;0,J17711/J17712,0)</f>
        <v>0.427802285443957</v>
      </c>
      <c r="K17935" s="32" t="n">
        <f aca="false">IF(K17712&gt;0,K17711/K17712,0)</f>
        <v>0.450032111239124</v>
      </c>
    </row>
    <row r="17936" customFormat="false" ht="15" hidden="false" customHeight="false" outlineLevel="0" collapsed="false">
      <c r="A17936" s="3" t="s">
        <v>213</v>
      </c>
      <c r="G17936" s="22" t="n">
        <f aca="false">IF(G17929&gt;0,G17721/G17929,0)</f>
        <v>-0.0181044689149307</v>
      </c>
      <c r="H17936" s="22" t="n">
        <f aca="false">IF(H17929&gt;0,H17721/H17929,0)</f>
        <v>-0.0177260949582359</v>
      </c>
      <c r="I17936" s="22" t="n">
        <f aca="false">IF(I17929&gt;0,I17721/I17929,0)</f>
        <v>-0.0101566090149145</v>
      </c>
      <c r="J17936" s="22" t="n">
        <f aca="false">IF(J17929&gt;0,J17721/J17929,0)</f>
        <v>-0.00433825905313348</v>
      </c>
      <c r="K17936" s="22" t="n">
        <f aca="false">IF(K17929&gt;0,K17721/K17929,0)</f>
        <v>-0.00257576451570708</v>
      </c>
    </row>
    <row r="17937" customFormat="false" ht="15" hidden="false" customHeight="false" outlineLevel="0" collapsed="false">
      <c r="A17937" s="3" t="s">
        <v>421</v>
      </c>
      <c r="G17937" s="32" t="n">
        <f aca="false">IF(G17712+G17913&gt;0,(G17708-G17719-G17716)/(G17712+G17913),0)</f>
        <v>0.866462479137903</v>
      </c>
      <c r="H17937" s="32" t="n">
        <f aca="false">IF(H17712+H17913&gt;0,(H17708-H17719-H17716)/(H17712+H17913),0)</f>
        <v>0.8889416051624</v>
      </c>
      <c r="I17937" s="32" t="n">
        <f aca="false">IF(I17712+I17913&gt;0,(I17708-I17719-I17716)/(I17712+I17913),0)</f>
        <v>1.004524289166</v>
      </c>
      <c r="J17937" s="32" t="n">
        <f aca="false">IF(J17712+J17913&gt;0,(J17708-J17719-J17716)/(J17712+J17913),0)</f>
        <v>1.09901542944777</v>
      </c>
      <c r="K17937" s="32" t="n">
        <f aca="false">IF(K17712+K17913&gt;0,(K17708-K17719-K17716)/(K17712+K17913),0)</f>
        <v>1.12921788390671</v>
      </c>
    </row>
    <row r="17938" customFormat="false" ht="15" hidden="false" customHeight="false" outlineLevel="0" collapsed="false">
      <c r="A17938" s="3" t="s">
        <v>422</v>
      </c>
      <c r="G17938" s="16" t="n">
        <f aca="false">MAX(0,G17922)+Assumptions!$P$57*MAX(0,Assumptions!$D$57-G17745)+Assumptions!$P$58*MAX(0,Assumptions!$D$58-G17758)+Assumptions!$P$59*MAX(0,Assumptions!$D$59-G17771)+Assumptions!$P$60*MAX(0,Assumptions!$D$60-G17784)+Assumptions!$P$61*MAX(0,Assumptions!$D$61-G17797)+Assumptions!$P$62*MAX(0,Assumptions!$D$62-G17810)+Assumptions!$P$63*MAX(0,Assumptions!$D$63-G17823)+Assumptions!$P$64*MAX(0,Assumptions!$D$64-G17836)+Assumptions!$P$65*MAX(0,Assumptions!$D$65-G17849)+Assumptions!$P$66*MAX(0,Assumptions!$D$66-G17862)</f>
        <v>710.9012774</v>
      </c>
      <c r="H17938" s="16" t="n">
        <f aca="false">MAX(0,H17922)+Assumptions!$P$57*MAX(0,Assumptions!$D$57-H17745)+Assumptions!$P$58*MAX(0,Assumptions!$D$58-H17758)+Assumptions!$P$59*MAX(0,Assumptions!$D$59-H17771)+Assumptions!$P$60*MAX(0,Assumptions!$D$60-H17784)+Assumptions!$P$61*MAX(0,Assumptions!$D$61-H17797)+Assumptions!$P$62*MAX(0,Assumptions!$D$62-H17810)+Assumptions!$P$63*MAX(0,Assumptions!$D$63-H17823)+Assumptions!$P$64*MAX(0,Assumptions!$D$64-H17836)+Assumptions!$P$65*MAX(0,Assumptions!$D$65-H17849)+Assumptions!$P$66*MAX(0,Assumptions!$D$66-H17862)</f>
        <v>574.5</v>
      </c>
      <c r="I17938" s="16" t="n">
        <f aca="false">MAX(0,I17922)+Assumptions!$P$57*MAX(0,Assumptions!$D$57-I17745)+Assumptions!$P$58*MAX(0,Assumptions!$D$58-I17758)+Assumptions!$P$59*MAX(0,Assumptions!$D$59-I17771)+Assumptions!$P$60*MAX(0,Assumptions!$D$60-I17784)+Assumptions!$P$61*MAX(0,Assumptions!$D$61-I17797)+Assumptions!$P$62*MAX(0,Assumptions!$D$62-I17810)+Assumptions!$P$63*MAX(0,Assumptions!$D$63-I17823)+Assumptions!$P$64*MAX(0,Assumptions!$D$64-I17836)+Assumptions!$P$65*MAX(0,Assumptions!$D$65-I17849)+Assumptions!$P$66*MAX(0,Assumptions!$D$66-I17862)</f>
        <v>574.5</v>
      </c>
      <c r="J17938" s="16" t="n">
        <f aca="false">MAX(0,J17922)+Assumptions!$P$57*MAX(0,Assumptions!$D$57-J17745)+Assumptions!$P$58*MAX(0,Assumptions!$D$58-J17758)+Assumptions!$P$59*MAX(0,Assumptions!$D$59-J17771)+Assumptions!$P$60*MAX(0,Assumptions!$D$60-J17784)+Assumptions!$P$61*MAX(0,Assumptions!$D$61-J17797)+Assumptions!$P$62*MAX(0,Assumptions!$D$62-J17810)+Assumptions!$P$63*MAX(0,Assumptions!$D$63-J17823)+Assumptions!$P$64*MAX(0,Assumptions!$D$64-J17836)+Assumptions!$P$65*MAX(0,Assumptions!$D$65-J17849)+Assumptions!$P$66*MAX(0,Assumptions!$D$66-J17862)</f>
        <v>574.5</v>
      </c>
      <c r="K17938" s="16" t="n">
        <f aca="false">MAX(0,K17922)+Assumptions!$P$57*MAX(0,Assumptions!$D$57-K17745)+Assumptions!$P$58*MAX(0,Assumptions!$D$58-K17758)+Assumptions!$P$59*MAX(0,Assumptions!$D$59-K17771)+Assumptions!$P$60*MAX(0,Assumptions!$D$60-K17784)+Assumptions!$P$61*MAX(0,Assumptions!$D$61-K17797)+Assumptions!$P$62*MAX(0,Assumptions!$D$62-K17810)+Assumptions!$P$63*MAX(0,Assumptions!$D$63-K17823)+Assumptions!$P$64*MAX(0,Assumptions!$D$64-K17836)+Assumptions!$P$65*MAX(0,Assumptions!$D$65-K17849)+Assumptions!$P$66*MAX(0,Assumptions!$D$66-K17862)</f>
        <v>574.5</v>
      </c>
    </row>
    <row r="17939" customFormat="false" ht="15" hidden="false" customHeight="false" outlineLevel="0" collapsed="false">
      <c r="A17939" s="3" t="s">
        <v>423</v>
      </c>
      <c r="G17939" s="22" t="n">
        <f aca="false">IF(G17929&gt;0,G17929/(G17929+MAX(0,G17708*CHOOSE($C$17691,Assumptions!$C$90,Assumptions!$C$109,Assumptions!$C$128)-G17931)),0)</f>
        <v>0.877891700487727</v>
      </c>
      <c r="H17939" s="22" t="n">
        <f aca="false">IF(H17929&gt;0,H17929/(H17929+MAX(0,H17708*CHOOSE($C$17691,Assumptions!$C$90,Assumptions!$C$109,Assumptions!$C$128)-H17931)),0)</f>
        <v>0.855366612470258</v>
      </c>
      <c r="I17939" s="22" t="n">
        <f aca="false">IF(I17929&gt;0,I17929/(I17929+MAX(0,I17708*CHOOSE($C$17691,Assumptions!$C$90,Assumptions!$C$109,Assumptions!$C$128)-I17931)),0)</f>
        <v>0.783518225399496</v>
      </c>
      <c r="J17939" s="22" t="n">
        <f aca="false">IF(J17929&gt;0,J17929/(J17929+MAX(0,J17708*CHOOSE($C$17691,Assumptions!$C$90,Assumptions!$C$109,Assumptions!$C$128)-J17931)),0)</f>
        <v>0.699757945376184</v>
      </c>
      <c r="K17939" s="22" t="n">
        <f aca="false">IF(K17929&gt;0,K17929/(K17929+MAX(0,K17708*CHOOSE($C$17691,Assumptions!$C$90,Assumptions!$C$109,Assumptions!$C$128)-K17931)),0)</f>
        <v>0.623838472094997</v>
      </c>
    </row>
    <row r="17940" customFormat="false" ht="15" hidden="false" customHeight="false" outlineLevel="0" collapsed="false">
      <c r="A17940" s="3" t="s">
        <v>424</v>
      </c>
      <c r="G17940" s="22" t="n">
        <f aca="false">IF(G17929&gt;0,MAX(0,G17922)/G17929,0)</f>
        <v>0.0520231544348561</v>
      </c>
      <c r="H17940" s="22" t="n">
        <f aca="false">IF(H17929&gt;0,MAX(0,H17922)/H17929,0)</f>
        <v>0</v>
      </c>
      <c r="I17940" s="22" t="n">
        <f aca="false">IF(I17929&gt;0,MAX(0,I17922)/I17929,0)</f>
        <v>0</v>
      </c>
      <c r="J17940" s="22" t="n">
        <f aca="false">IF(J17929&gt;0,MAX(0,J17922)/J17929,0)</f>
        <v>0</v>
      </c>
      <c r="K17940" s="22" t="n">
        <f aca="false">IF(K17929&gt;0,MAX(0,K17922)/K17929,0)</f>
        <v>0</v>
      </c>
    </row>
    <row r="17941" customFormat="false" ht="15" hidden="false" customHeight="false" outlineLevel="0" collapsed="false">
      <c r="A17941" s="3" t="s">
        <v>425</v>
      </c>
      <c r="G17941" s="16" t="n">
        <f aca="false">Assumptions!$C$31*(1-CHOOSE($C$17691,Assumptions!$C$93,Assumptions!$C$112,Assumptions!$C$131))</f>
        <v>3840.04556666667</v>
      </c>
      <c r="H17941" s="16" t="n">
        <f aca="false">Assumptions!$C$31*(1-CHOOSE($C$17691,Assumptions!$C$93,Assumptions!$C$112,Assumptions!$C$131))</f>
        <v>3840.04556666667</v>
      </c>
      <c r="I17941" s="16" t="n">
        <f aca="false">Assumptions!$C$31*(1-CHOOSE($C$17691,Assumptions!$C$93,Assumptions!$C$112,Assumptions!$C$131))</f>
        <v>3840.04556666667</v>
      </c>
      <c r="J17941" s="16" t="n">
        <f aca="false">Assumptions!$C$31*(1-CHOOSE($C$17691,Assumptions!$C$93,Assumptions!$C$112,Assumptions!$C$131))</f>
        <v>3840.04556666667</v>
      </c>
      <c r="K17941" s="16" t="n">
        <f aca="false">Assumptions!$C$31*(1-CHOOSE($C$17691,Assumptions!$C$93,Assumptions!$C$112,Assumptions!$C$131))</f>
        <v>3840.04556666667</v>
      </c>
    </row>
    <row r="17942" customFormat="false" ht="15" hidden="false" customHeight="false" outlineLevel="0" collapsed="false">
      <c r="A17942" s="24" t="s">
        <v>426</v>
      </c>
      <c r="B17942" s="25"/>
      <c r="C17942" s="25"/>
      <c r="D17942" s="25"/>
      <c r="E17942" s="25"/>
      <c r="F17942" s="25"/>
      <c r="G17942" s="25"/>
      <c r="H17942" s="25"/>
      <c r="I17942" s="25"/>
      <c r="J17942" s="25"/>
      <c r="K17942" s="25"/>
    </row>
    <row r="17943" customFormat="false" ht="15" hidden="false" customHeight="false" outlineLevel="0" collapsed="false">
      <c r="A17943" s="24" t="s">
        <v>427</v>
      </c>
      <c r="B17943" s="25"/>
      <c r="C17943" s="25"/>
      <c r="D17943" s="25"/>
      <c r="E17943" s="25"/>
      <c r="F17943" s="25"/>
      <c r="G17943" s="25"/>
      <c r="H17943" s="25"/>
      <c r="I17943" s="25"/>
      <c r="J17943" s="25"/>
      <c r="K17943" s="25"/>
    </row>
    <row r="17944" customFormat="false" ht="15" hidden="false" customHeight="false" outlineLevel="0" collapsed="false">
      <c r="A17944" s="3" t="s">
        <v>428</v>
      </c>
      <c r="G17944" s="22" t="n">
        <f aca="false">IF(G17941&gt;0,G17929/G17941,99)</f>
        <v>0.68278721032885</v>
      </c>
      <c r="H17944" s="22" t="n">
        <f aca="false">IF(H17941&gt;0,H17929/H17941,99)</f>
        <v>0.658947023348082</v>
      </c>
      <c r="I17944" s="22" t="n">
        <f aca="false">IF(I17941&gt;0,I17929/I17941,99)</f>
        <v>0.657905369042019</v>
      </c>
      <c r="J17944" s="22" t="n">
        <f aca="false">IF(J17941&gt;0,J17929/J17941,99)</f>
        <v>0.656863714735955</v>
      </c>
      <c r="K17944" s="22" t="n">
        <f aca="false">IF(K17941&gt;0,K17929/K17941,99)</f>
        <v>0.655822060429891</v>
      </c>
    </row>
    <row r="17945" customFormat="false" ht="15" hidden="false" customHeight="false" outlineLevel="0" collapsed="false">
      <c r="A17945" s="3" t="s">
        <v>429</v>
      </c>
      <c r="G17945" s="33" t="n">
        <f aca="false">Assumptions!$G$71</f>
        <v>0.6</v>
      </c>
      <c r="H17945" s="33" t="n">
        <f aca="false">Assumptions!$H$71</f>
        <v>0.6</v>
      </c>
      <c r="I17945" s="33" t="n">
        <f aca="false">Assumptions!$I$71</f>
        <v>0.6</v>
      </c>
      <c r="J17945" s="33" t="n">
        <f aca="false">Assumptions!$J$71</f>
        <v>0.6</v>
      </c>
      <c r="K17945" s="33" t="n">
        <f aca="false">Assumptions!$K$71</f>
        <v>0.6</v>
      </c>
    </row>
    <row r="17946" customFormat="false" ht="15" hidden="false" customHeight="false" outlineLevel="0" collapsed="false">
      <c r="A17946" s="3" t="s">
        <v>430</v>
      </c>
      <c r="G17946" s="22" t="n">
        <f aca="false">G17945-G17944</f>
        <v>-0.0827872103288497</v>
      </c>
      <c r="H17946" s="22" t="n">
        <f aca="false">H17945-H17944</f>
        <v>-0.0589470233480823</v>
      </c>
      <c r="I17946" s="22" t="n">
        <f aca="false">I17945-I17944</f>
        <v>-0.0579053690420185</v>
      </c>
      <c r="J17946" s="22" t="n">
        <f aca="false">J17945-J17944</f>
        <v>-0.0568637147359545</v>
      </c>
      <c r="K17946" s="22" t="n">
        <f aca="false">K17945-K17944</f>
        <v>-0.0558220604298906</v>
      </c>
    </row>
    <row r="17947" customFormat="false" ht="15" hidden="false" customHeight="false" outlineLevel="0" collapsed="false">
      <c r="A17947" s="3" t="s">
        <v>431</v>
      </c>
      <c r="G17947" s="22" t="n">
        <f aca="false">IF(G17945=0,0,G17946/ABS(G17945))</f>
        <v>-0.137978683881416</v>
      </c>
      <c r="H17947" s="22" t="n">
        <f aca="false">IF(H17945=0,0,H17946/ABS(H17945))</f>
        <v>-0.0982450389134706</v>
      </c>
      <c r="I17947" s="22" t="n">
        <f aca="false">IF(I17945=0,0,I17946/ABS(I17945))</f>
        <v>-0.0965089484033641</v>
      </c>
      <c r="J17947" s="22" t="n">
        <f aca="false">IF(J17945=0,0,J17946/ABS(J17945))</f>
        <v>-0.0947728578932576</v>
      </c>
      <c r="K17947" s="22" t="n">
        <f aca="false">IF(K17945=0,0,K17946/ABS(K17945))</f>
        <v>-0.093036767383151</v>
      </c>
    </row>
    <row r="17948" customFormat="false" ht="15" hidden="false" customHeight="false" outlineLevel="0" collapsed="false">
      <c r="A17948" s="3" t="s">
        <v>432</v>
      </c>
      <c r="G17948" s="21" t="n">
        <f aca="false">IF(G17946&lt;0,1,0)</f>
        <v>1</v>
      </c>
      <c r="H17948" s="21" t="n">
        <f aca="false">IF(H17946&lt;0,1,0)</f>
        <v>1</v>
      </c>
      <c r="I17948" s="21" t="n">
        <f aca="false">IF(I17946&lt;0,1,0)</f>
        <v>1</v>
      </c>
      <c r="J17948" s="21" t="n">
        <f aca="false">IF(J17946&lt;0,1,0)</f>
        <v>1</v>
      </c>
      <c r="K17948" s="21" t="n">
        <f aca="false">IF(K17946&lt;0,1,0)</f>
        <v>1</v>
      </c>
    </row>
    <row r="17949" customFormat="false" ht="15" hidden="false" customHeight="false" outlineLevel="0" collapsed="false">
      <c r="A17949" s="3" t="s">
        <v>433</v>
      </c>
      <c r="C17949" s="21" t="n">
        <f aca="false">IFERROR(INDEX($G$17698:$K$17698,MATCH(1,$G$17948:$K$17948,0)),0)</f>
        <v>2027</v>
      </c>
    </row>
    <row r="17950" customFormat="false" ht="15" hidden="false" customHeight="false" outlineLevel="0" collapsed="false">
      <c r="A17950" s="3" t="s">
        <v>434</v>
      </c>
      <c r="C17950" s="22" t="n">
        <f aca="false">MIN($G$17947:$K$17947)</f>
        <v>-0.137978683881416</v>
      </c>
    </row>
    <row r="17951" customFormat="false" ht="15" hidden="false" customHeight="false" outlineLevel="0" collapsed="false">
      <c r="A17951" s="24" t="s">
        <v>435</v>
      </c>
      <c r="B17951" s="25"/>
      <c r="C17951" s="25"/>
      <c r="D17951" s="25"/>
      <c r="E17951" s="25"/>
      <c r="F17951" s="25"/>
      <c r="G17951" s="25"/>
      <c r="H17951" s="25"/>
      <c r="I17951" s="25"/>
      <c r="J17951" s="25"/>
      <c r="K17951" s="25"/>
    </row>
    <row r="17952" customFormat="false" ht="15" hidden="false" customHeight="false" outlineLevel="0" collapsed="false">
      <c r="A17952" s="3" t="s">
        <v>428</v>
      </c>
      <c r="G17952" s="32" t="n">
        <f aca="false">IF(G17712&gt;0,G17708/G17712,99)</f>
        <v>1.38274683999664</v>
      </c>
      <c r="H17952" s="32" t="n">
        <f aca="false">IF(H17712&gt;0,H17708/H17712,99)</f>
        <v>1.44392112774762</v>
      </c>
      <c r="I17952" s="32" t="n">
        <f aca="false">IF(I17712&gt;0,I17708/I17712,99)</f>
        <v>1.63262079373115</v>
      </c>
      <c r="J17952" s="32" t="n">
        <f aca="false">IF(J17712&gt;0,J17708/J17712,99)</f>
        <v>1.77431699493602</v>
      </c>
      <c r="K17952" s="32" t="n">
        <f aca="false">IF(K17712&gt;0,K17708/K17712,99)</f>
        <v>1.80900179612358</v>
      </c>
    </row>
    <row r="17953" customFormat="false" ht="15" hidden="false" customHeight="false" outlineLevel="0" collapsed="false">
      <c r="A17953" s="3" t="s">
        <v>429</v>
      </c>
      <c r="G17953" s="34" t="n">
        <f aca="false">Assumptions!$G$72</f>
        <v>1.5</v>
      </c>
      <c r="H17953" s="34" t="n">
        <f aca="false">Assumptions!$H$72</f>
        <v>1.5</v>
      </c>
      <c r="I17953" s="34" t="n">
        <f aca="false">Assumptions!$I$72</f>
        <v>1.5</v>
      </c>
      <c r="J17953" s="34" t="n">
        <f aca="false">Assumptions!$J$72</f>
        <v>1.5</v>
      </c>
      <c r="K17953" s="34" t="n">
        <f aca="false">Assumptions!$K$72</f>
        <v>1.5</v>
      </c>
    </row>
    <row r="17954" customFormat="false" ht="15" hidden="false" customHeight="false" outlineLevel="0" collapsed="false">
      <c r="A17954" s="3" t="s">
        <v>430</v>
      </c>
      <c r="G17954" s="32" t="n">
        <f aca="false">G17952-G17953</f>
        <v>-0.117253160003363</v>
      </c>
      <c r="H17954" s="32" t="n">
        <f aca="false">H17952-H17953</f>
        <v>-0.0560788722523806</v>
      </c>
      <c r="I17954" s="32" t="n">
        <f aca="false">I17952-I17953</f>
        <v>0.132620793731151</v>
      </c>
      <c r="J17954" s="32" t="n">
        <f aca="false">J17952-J17953</f>
        <v>0.274316994936024</v>
      </c>
      <c r="K17954" s="32" t="n">
        <f aca="false">K17952-K17953</f>
        <v>0.309001796123581</v>
      </c>
    </row>
    <row r="17955" customFormat="false" ht="15" hidden="false" customHeight="false" outlineLevel="0" collapsed="false">
      <c r="A17955" s="3" t="s">
        <v>431</v>
      </c>
      <c r="G17955" s="22" t="n">
        <f aca="false">IF(G17953=0,0,G17954/ABS(G17953))</f>
        <v>-0.0781687733355751</v>
      </c>
      <c r="H17955" s="22" t="n">
        <f aca="false">IF(H17953=0,0,H17954/ABS(H17953))</f>
        <v>-0.0373859148349204</v>
      </c>
      <c r="I17955" s="22" t="n">
        <f aca="false">IF(I17953=0,0,I17954/ABS(I17953))</f>
        <v>0.0884138624874341</v>
      </c>
      <c r="J17955" s="22" t="n">
        <f aca="false">IF(J17953=0,0,J17954/ABS(J17953))</f>
        <v>0.182877996624016</v>
      </c>
      <c r="K17955" s="22" t="n">
        <f aca="false">IF(K17953=0,0,K17954/ABS(K17953))</f>
        <v>0.206001197415721</v>
      </c>
    </row>
    <row r="17956" customFormat="false" ht="15" hidden="false" customHeight="false" outlineLevel="0" collapsed="false">
      <c r="A17956" s="3" t="s">
        <v>432</v>
      </c>
      <c r="G17956" s="21" t="n">
        <f aca="false">IF(G17954&lt;0,1,0)</f>
        <v>1</v>
      </c>
      <c r="H17956" s="21" t="n">
        <f aca="false">IF(H17954&lt;0,1,0)</f>
        <v>1</v>
      </c>
      <c r="I17956" s="21" t="n">
        <f aca="false">IF(I17954&lt;0,1,0)</f>
        <v>0</v>
      </c>
      <c r="J17956" s="21" t="n">
        <f aca="false">IF(J17954&lt;0,1,0)</f>
        <v>0</v>
      </c>
      <c r="K17956" s="21" t="n">
        <f aca="false">IF(K17954&lt;0,1,0)</f>
        <v>0</v>
      </c>
    </row>
    <row r="17957" customFormat="false" ht="15" hidden="false" customHeight="false" outlineLevel="0" collapsed="false">
      <c r="A17957" s="3" t="s">
        <v>433</v>
      </c>
      <c r="C17957" s="21" t="n">
        <f aca="false">IFERROR(INDEX($G$17698:$K$17698,MATCH(1,$G$17956:$K$17956,0)),0)</f>
        <v>2027</v>
      </c>
    </row>
    <row r="17958" customFormat="false" ht="15" hidden="false" customHeight="false" outlineLevel="0" collapsed="false">
      <c r="A17958" s="3" t="s">
        <v>434</v>
      </c>
      <c r="C17958" s="22" t="n">
        <f aca="false">MIN($G$17955:$K$17955)</f>
        <v>-0.0781687733355751</v>
      </c>
    </row>
    <row r="17959" customFormat="false" ht="15" hidden="false" customHeight="false" outlineLevel="0" collapsed="false">
      <c r="A17959" s="24" t="s">
        <v>436</v>
      </c>
      <c r="B17959" s="25"/>
      <c r="C17959" s="25"/>
      <c r="D17959" s="25"/>
      <c r="E17959" s="25"/>
      <c r="F17959" s="25"/>
      <c r="G17959" s="25"/>
      <c r="H17959" s="25"/>
      <c r="I17959" s="25"/>
      <c r="J17959" s="25"/>
      <c r="K17959" s="25"/>
    </row>
    <row r="17960" customFormat="false" ht="15" hidden="false" customHeight="false" outlineLevel="0" collapsed="false">
      <c r="A17960" s="3" t="s">
        <v>428</v>
      </c>
      <c r="G17960" s="22" t="n">
        <f aca="false">IF(G17941&gt;0,G17930/G17941,99)</f>
        <v>0.141488946046968</v>
      </c>
      <c r="H17960" s="22" t="n">
        <f aca="false">IF(H17941&gt;0,H17930/H17941,99)</f>
        <v>0.140447291740904</v>
      </c>
      <c r="I17960" s="22" t="n">
        <f aca="false">IF(I17941&gt;0,I17930/I17941,99)</f>
        <v>0.139405637434841</v>
      </c>
      <c r="J17960" s="22" t="n">
        <f aca="false">IF(J17941&gt;0,J17930/J17941,99)</f>
        <v>0.138363983128777</v>
      </c>
      <c r="K17960" s="22" t="n">
        <f aca="false">IF(K17941&gt;0,K17930/K17941,99)</f>
        <v>0.137322328822713</v>
      </c>
    </row>
    <row r="17961" customFormat="false" ht="15" hidden="false" customHeight="false" outlineLevel="0" collapsed="false">
      <c r="A17961" s="3" t="s">
        <v>429</v>
      </c>
      <c r="G17961" s="33" t="n">
        <f aca="false">Assumptions!$G$73</f>
        <v>0.4</v>
      </c>
      <c r="H17961" s="33" t="n">
        <f aca="false">Assumptions!$H$73</f>
        <v>0.4</v>
      </c>
      <c r="I17961" s="33" t="n">
        <f aca="false">Assumptions!$I$73</f>
        <v>0.4</v>
      </c>
      <c r="J17961" s="33" t="n">
        <f aca="false">Assumptions!$J$73</f>
        <v>0.4</v>
      </c>
      <c r="K17961" s="33" t="n">
        <f aca="false">Assumptions!$K$73</f>
        <v>0.4</v>
      </c>
    </row>
    <row r="17962" customFormat="false" ht="15" hidden="false" customHeight="false" outlineLevel="0" collapsed="false">
      <c r="A17962" s="3" t="s">
        <v>430</v>
      </c>
      <c r="G17962" s="22" t="n">
        <f aca="false">G17961-G17960</f>
        <v>0.258511053953032</v>
      </c>
      <c r="H17962" s="22" t="n">
        <f aca="false">H17961-H17960</f>
        <v>0.259552708259096</v>
      </c>
      <c r="I17962" s="22" t="n">
        <f aca="false">I17961-I17960</f>
        <v>0.26059436256516</v>
      </c>
      <c r="J17962" s="22" t="n">
        <f aca="false">J17961-J17960</f>
        <v>0.261636016871223</v>
      </c>
      <c r="K17962" s="22" t="n">
        <f aca="false">K17961-K17960</f>
        <v>0.262677671177287</v>
      </c>
    </row>
    <row r="17963" customFormat="false" ht="15" hidden="false" customHeight="false" outlineLevel="0" collapsed="false">
      <c r="A17963" s="3" t="s">
        <v>431</v>
      </c>
      <c r="G17963" s="22" t="n">
        <f aca="false">IF(G17961=0,0,G17962/ABS(G17961))</f>
        <v>0.646277634882579</v>
      </c>
      <c r="H17963" s="22" t="n">
        <f aca="false">IF(H17961=0,0,H17962/ABS(H17961))</f>
        <v>0.648881770647739</v>
      </c>
      <c r="I17963" s="22" t="n">
        <f aca="false">IF(I17961=0,0,I17962/ABS(I17961))</f>
        <v>0.651485906412899</v>
      </c>
      <c r="J17963" s="22" t="n">
        <f aca="false">IF(J17961=0,0,J17962/ABS(J17961))</f>
        <v>0.654090042178059</v>
      </c>
      <c r="K17963" s="22" t="n">
        <f aca="false">IF(K17961=0,0,K17962/ABS(K17961))</f>
        <v>0.656694177943218</v>
      </c>
    </row>
    <row r="17964" customFormat="false" ht="15" hidden="false" customHeight="false" outlineLevel="0" collapsed="false">
      <c r="A17964" s="3" t="s">
        <v>432</v>
      </c>
      <c r="G17964" s="21" t="n">
        <f aca="false">IF(G17962&lt;0,1,0)</f>
        <v>0</v>
      </c>
      <c r="H17964" s="21" t="n">
        <f aca="false">IF(H17962&lt;0,1,0)</f>
        <v>0</v>
      </c>
      <c r="I17964" s="21" t="n">
        <f aca="false">IF(I17962&lt;0,1,0)</f>
        <v>0</v>
      </c>
      <c r="J17964" s="21" t="n">
        <f aca="false">IF(J17962&lt;0,1,0)</f>
        <v>0</v>
      </c>
      <c r="K17964" s="21" t="n">
        <f aca="false">IF(K17962&lt;0,1,0)</f>
        <v>0</v>
      </c>
    </row>
    <row r="17965" customFormat="false" ht="15" hidden="false" customHeight="false" outlineLevel="0" collapsed="false">
      <c r="A17965" s="3" t="s">
        <v>433</v>
      </c>
      <c r="C17965" s="21" t="n">
        <f aca="false">IFERROR(INDEX($G$17698:$K$17698,MATCH(1,$G$17964:$K$17964,0)),0)</f>
        <v>0</v>
      </c>
    </row>
    <row r="17966" customFormat="false" ht="15" hidden="false" customHeight="false" outlineLevel="0" collapsed="false">
      <c r="A17966" s="3" t="s">
        <v>434</v>
      </c>
      <c r="C17966" s="22" t="n">
        <f aca="false">MIN($G$17963:$K$17963)</f>
        <v>0.646277634882579</v>
      </c>
    </row>
    <row r="17967" customFormat="false" ht="15" hidden="false" customHeight="false" outlineLevel="0" collapsed="false">
      <c r="A17967" s="24" t="s">
        <v>437</v>
      </c>
      <c r="B17967" s="25"/>
      <c r="C17967" s="25"/>
      <c r="D17967" s="25"/>
      <c r="E17967" s="25"/>
      <c r="F17967" s="25"/>
      <c r="G17967" s="25"/>
      <c r="H17967" s="25"/>
      <c r="I17967" s="25"/>
      <c r="J17967" s="25"/>
      <c r="K17967" s="25"/>
    </row>
    <row r="17968" customFormat="false" ht="15" hidden="false" customHeight="false" outlineLevel="0" collapsed="false">
      <c r="A17968" s="3" t="s">
        <v>428</v>
      </c>
      <c r="G17968" s="16" t="n">
        <f aca="false">G17938</f>
        <v>710.9012774</v>
      </c>
      <c r="H17968" s="16" t="n">
        <f aca="false">H17938</f>
        <v>574.5</v>
      </c>
      <c r="I17968" s="16" t="n">
        <f aca="false">I17938</f>
        <v>574.5</v>
      </c>
      <c r="J17968" s="16" t="n">
        <f aca="false">J17938</f>
        <v>574.5</v>
      </c>
      <c r="K17968" s="16" t="n">
        <f aca="false">K17938</f>
        <v>574.5</v>
      </c>
    </row>
    <row r="17969" customFormat="false" ht="15" hidden="false" customHeight="false" outlineLevel="0" collapsed="false">
      <c r="A17969" s="3" t="s">
        <v>429</v>
      </c>
      <c r="G17969" s="29" t="n">
        <f aca="false">Assumptions!$G$74</f>
        <v>100</v>
      </c>
      <c r="H17969" s="29" t="n">
        <f aca="false">Assumptions!$H$74</f>
        <v>100</v>
      </c>
      <c r="I17969" s="29" t="n">
        <f aca="false">Assumptions!$I$74</f>
        <v>100</v>
      </c>
      <c r="J17969" s="29" t="n">
        <f aca="false">Assumptions!$J$74</f>
        <v>100</v>
      </c>
      <c r="K17969" s="29" t="n">
        <f aca="false">Assumptions!$K$74</f>
        <v>100</v>
      </c>
    </row>
    <row r="17970" customFormat="false" ht="15" hidden="false" customHeight="false" outlineLevel="0" collapsed="false">
      <c r="A17970" s="3" t="s">
        <v>430</v>
      </c>
      <c r="G17970" s="16" t="n">
        <f aca="false">G17968-G17969</f>
        <v>610.9012774</v>
      </c>
      <c r="H17970" s="16" t="n">
        <f aca="false">H17968-H17969</f>
        <v>474.5</v>
      </c>
      <c r="I17970" s="16" t="n">
        <f aca="false">I17968-I17969</f>
        <v>474.5</v>
      </c>
      <c r="J17970" s="16" t="n">
        <f aca="false">J17968-J17969</f>
        <v>474.5</v>
      </c>
      <c r="K17970" s="16" t="n">
        <f aca="false">K17968-K17969</f>
        <v>474.5</v>
      </c>
    </row>
    <row r="17971" customFormat="false" ht="15" hidden="false" customHeight="false" outlineLevel="0" collapsed="false">
      <c r="A17971" s="3" t="s">
        <v>431</v>
      </c>
      <c r="G17971" s="22" t="n">
        <f aca="false">IF(G17969=0,0,G17970/ABS(G17969))</f>
        <v>6.109012774</v>
      </c>
      <c r="H17971" s="22" t="n">
        <f aca="false">IF(H17969=0,0,H17970/ABS(H17969))</f>
        <v>4.745</v>
      </c>
      <c r="I17971" s="22" t="n">
        <f aca="false">IF(I17969=0,0,I17970/ABS(I17969))</f>
        <v>4.745</v>
      </c>
      <c r="J17971" s="22" t="n">
        <f aca="false">IF(J17969=0,0,J17970/ABS(J17969))</f>
        <v>4.745</v>
      </c>
      <c r="K17971" s="22" t="n">
        <f aca="false">IF(K17969=0,0,K17970/ABS(K17969))</f>
        <v>4.745</v>
      </c>
    </row>
    <row r="17972" customFormat="false" ht="15" hidden="false" customHeight="false" outlineLevel="0" collapsed="false">
      <c r="A17972" s="3" t="s">
        <v>432</v>
      </c>
      <c r="G17972" s="21" t="n">
        <f aca="false">IF(G17970&lt;0,1,0)</f>
        <v>0</v>
      </c>
      <c r="H17972" s="21" t="n">
        <f aca="false">IF(H17970&lt;0,1,0)</f>
        <v>0</v>
      </c>
      <c r="I17972" s="21" t="n">
        <f aca="false">IF(I17970&lt;0,1,0)</f>
        <v>0</v>
      </c>
      <c r="J17972" s="21" t="n">
        <f aca="false">IF(J17970&lt;0,1,0)</f>
        <v>0</v>
      </c>
      <c r="K17972" s="21" t="n">
        <f aca="false">IF(K17970&lt;0,1,0)</f>
        <v>0</v>
      </c>
    </row>
    <row r="17973" customFormat="false" ht="15" hidden="false" customHeight="false" outlineLevel="0" collapsed="false">
      <c r="A17973" s="3" t="s">
        <v>433</v>
      </c>
      <c r="C17973" s="21" t="n">
        <f aca="false">IFERROR(INDEX($G$17698:$K$17698,MATCH(1,$G$17972:$K$17972,0)),0)</f>
        <v>0</v>
      </c>
    </row>
    <row r="17974" customFormat="false" ht="15" hidden="false" customHeight="false" outlineLevel="0" collapsed="false">
      <c r="A17974" s="3" t="s">
        <v>434</v>
      </c>
      <c r="C17974" s="22" t="n">
        <f aca="false">MIN($G$17971:$K$17971)</f>
        <v>4.745</v>
      </c>
    </row>
    <row r="17975" customFormat="false" ht="15" hidden="false" customHeight="false" outlineLevel="0" collapsed="false">
      <c r="A17975" s="24" t="s">
        <v>438</v>
      </c>
      <c r="B17975" s="25"/>
      <c r="C17975" s="25"/>
      <c r="D17975" s="25"/>
      <c r="E17975" s="25"/>
      <c r="F17975" s="25"/>
      <c r="G17975" s="25"/>
      <c r="H17975" s="25"/>
      <c r="I17975" s="25"/>
      <c r="J17975" s="25"/>
      <c r="K17975" s="25"/>
    </row>
    <row r="17976" customFormat="false" ht="15" hidden="false" customHeight="false" outlineLevel="0" collapsed="false">
      <c r="A17976" s="3" t="s">
        <v>428</v>
      </c>
      <c r="G17976" s="32" t="n">
        <f aca="false">IF(G17708&gt;0,G17931/G17708,99)</f>
        <v>9.59252850319315</v>
      </c>
      <c r="H17976" s="32" t="n">
        <f aca="false">IF(H17708&gt;0,H17931/H17708,99)</f>
        <v>9.40903273717284</v>
      </c>
      <c r="I17976" s="32" t="n">
        <f aca="false">IF(I17708&gt;0,I17931/I17708,99)</f>
        <v>8.64040503441734</v>
      </c>
      <c r="J17976" s="32" t="n">
        <f aca="false">IF(J17708&gt;0,J17931/J17708,99)</f>
        <v>7.73770349532004</v>
      </c>
      <c r="K17976" s="32" t="n">
        <f aca="false">IF(K17708&gt;0,K17931/K17708,99)</f>
        <v>6.91792839097517</v>
      </c>
    </row>
    <row r="17977" customFormat="false" ht="15" hidden="false" customHeight="false" outlineLevel="0" collapsed="false">
      <c r="A17977" s="3" t="s">
        <v>429</v>
      </c>
      <c r="G17977" s="34" t="n">
        <f aca="false">Assumptions!$G$75</f>
        <v>10.5</v>
      </c>
      <c r="H17977" s="34" t="n">
        <f aca="false">Assumptions!$H$75</f>
        <v>10.5</v>
      </c>
      <c r="I17977" s="34" t="n">
        <f aca="false">Assumptions!$I$75</f>
        <v>10</v>
      </c>
      <c r="J17977" s="34" t="n">
        <f aca="false">Assumptions!$J$75</f>
        <v>10</v>
      </c>
      <c r="K17977" s="34" t="n">
        <f aca="false">Assumptions!$K$75</f>
        <v>9.5</v>
      </c>
    </row>
    <row r="17978" customFormat="false" ht="15" hidden="false" customHeight="false" outlineLevel="0" collapsed="false">
      <c r="A17978" s="3" t="s">
        <v>430</v>
      </c>
      <c r="G17978" s="32" t="n">
        <f aca="false">G17977-G17976</f>
        <v>0.907471496806855</v>
      </c>
      <c r="H17978" s="32" t="n">
        <f aca="false">H17977-H17976</f>
        <v>1.09096726282717</v>
      </c>
      <c r="I17978" s="32" t="n">
        <f aca="false">I17977-I17976</f>
        <v>1.35959496558266</v>
      </c>
      <c r="J17978" s="32" t="n">
        <f aca="false">J17977-J17976</f>
        <v>2.26229650467996</v>
      </c>
      <c r="K17978" s="32" t="n">
        <f aca="false">K17977-K17976</f>
        <v>2.58207160902483</v>
      </c>
    </row>
    <row r="17979" customFormat="false" ht="15" hidden="false" customHeight="false" outlineLevel="0" collapsed="false">
      <c r="A17979" s="3" t="s">
        <v>431</v>
      </c>
      <c r="G17979" s="22" t="n">
        <f aca="false">IF(G17977=0,0,G17978/ABS(G17977))</f>
        <v>0.086425856838748</v>
      </c>
      <c r="H17979" s="22" t="n">
        <f aca="false">IF(H17977=0,0,H17978/ABS(H17977))</f>
        <v>0.103901644078778</v>
      </c>
      <c r="I17979" s="22" t="n">
        <f aca="false">IF(I17977=0,0,I17978/ABS(I17977))</f>
        <v>0.135959496558266</v>
      </c>
      <c r="J17979" s="22" t="n">
        <f aca="false">IF(J17977=0,0,J17978/ABS(J17977))</f>
        <v>0.226229650467996</v>
      </c>
      <c r="K17979" s="22" t="n">
        <f aca="false">IF(K17977=0,0,K17978/ABS(K17977))</f>
        <v>0.271797011476298</v>
      </c>
    </row>
    <row r="17980" customFormat="false" ht="15" hidden="false" customHeight="false" outlineLevel="0" collapsed="false">
      <c r="A17980" s="3" t="s">
        <v>432</v>
      </c>
      <c r="G17980" s="21" t="n">
        <f aca="false">IF(G17978&lt;0,1,0)</f>
        <v>0</v>
      </c>
      <c r="H17980" s="21" t="n">
        <f aca="false">IF(H17978&lt;0,1,0)</f>
        <v>0</v>
      </c>
      <c r="I17980" s="21" t="n">
        <f aca="false">IF(I17978&lt;0,1,0)</f>
        <v>0</v>
      </c>
      <c r="J17980" s="21" t="n">
        <f aca="false">IF(J17978&lt;0,1,0)</f>
        <v>0</v>
      </c>
      <c r="K17980" s="21" t="n">
        <f aca="false">IF(K17978&lt;0,1,0)</f>
        <v>0</v>
      </c>
    </row>
    <row r="17981" customFormat="false" ht="15" hidden="false" customHeight="false" outlineLevel="0" collapsed="false">
      <c r="A17981" s="3" t="s">
        <v>433</v>
      </c>
      <c r="C17981" s="21" t="n">
        <f aca="false">IFERROR(INDEX($G$17698:$K$17698,MATCH(1,$G$17980:$K$17980,0)),0)</f>
        <v>0</v>
      </c>
    </row>
    <row r="17982" customFormat="false" ht="15" hidden="false" customHeight="false" outlineLevel="0" collapsed="false">
      <c r="A17982" s="3" t="s">
        <v>434</v>
      </c>
      <c r="C17982" s="22" t="n">
        <f aca="false">MIN($G$17979:$K$17979)</f>
        <v>0.086425856838748</v>
      </c>
    </row>
    <row r="17983" customFormat="false" ht="15" hidden="false" customHeight="false" outlineLevel="0" collapsed="false">
      <c r="A17983" s="3" t="s">
        <v>439</v>
      </c>
      <c r="G17983" s="21" t="n">
        <f aca="false">G17948+G17956+G17964+G17972+G17980</f>
        <v>2</v>
      </c>
      <c r="H17983" s="21" t="n">
        <f aca="false">H17948+H17956+H17964+H17972+H17980</f>
        <v>2</v>
      </c>
      <c r="I17983" s="21" t="n">
        <f aca="false">I17948+I17956+I17964+I17972+I17980</f>
        <v>1</v>
      </c>
      <c r="J17983" s="21" t="n">
        <f aca="false">J17948+J17956+J17964+J17972+J17980</f>
        <v>1</v>
      </c>
      <c r="K17983" s="21" t="n">
        <f aca="false">K17948+K17956+K17964+K17972+K17980</f>
        <v>1</v>
      </c>
    </row>
    <row r="17984" customFormat="false" ht="15" hidden="false" customHeight="false" outlineLevel="0" collapsed="false">
      <c r="A17984" s="3" t="s">
        <v>440</v>
      </c>
      <c r="C17984" s="21" t="n">
        <f aca="false">SUM($G$17983:$K$17983)</f>
        <v>7</v>
      </c>
    </row>
    <row r="17985" customFormat="false" ht="15" hidden="false" customHeight="false" outlineLevel="0" collapsed="false">
      <c r="A17985" s="3" t="s">
        <v>441</v>
      </c>
      <c r="C17985" s="22" t="n">
        <f aca="false">MIN(C17950,C17958,C17966,C17974,C17982)</f>
        <v>-0.137978683881416</v>
      </c>
    </row>
    <row r="17987" customFormat="false" ht="15" hidden="false" customHeight="false" outlineLevel="0" collapsed="false">
      <c r="A17987" s="24" t="s">
        <v>543</v>
      </c>
      <c r="B17987" s="25"/>
      <c r="C17987" s="25"/>
      <c r="D17987" s="25"/>
      <c r="E17987" s="25"/>
      <c r="F17987" s="25"/>
      <c r="G17987" s="25"/>
      <c r="H17987" s="25"/>
      <c r="I17987" s="25"/>
      <c r="J17987" s="25"/>
      <c r="K17987" s="25"/>
    </row>
    <row r="17988" customFormat="false" ht="15" hidden="false" customHeight="false" outlineLevel="0" collapsed="false">
      <c r="A17988" s="3" t="s">
        <v>544</v>
      </c>
      <c r="G17988" s="21" t="n">
        <f aca="false">IF($C$17989=1,G17925,IF(G17708=MIN($G$17708:$K$17708),1,0))</f>
        <v>0</v>
      </c>
      <c r="H17988" s="21" t="n">
        <f aca="false">IF($C$17989=1,H17925,IF(AND(H17708=MIN($G$17708:$K$17708),SUM($G$17988:G17988)=0),1,0))</f>
        <v>1</v>
      </c>
      <c r="I17988" s="21" t="n">
        <f aca="false">IF($C$17989=1,I17925,IF(AND(I17708=MIN($G$17708:$K$17708),SUM($G$17988:H17988)=0),1,0))</f>
        <v>0</v>
      </c>
      <c r="J17988" s="21" t="n">
        <f aca="false">IF($C$17989=1,J17925,IF(AND(J17708=MIN($G$17708:$K$17708),SUM($G$17988:I17988)=0),1,0))</f>
        <v>0</v>
      </c>
      <c r="K17988" s="21" t="n">
        <f aca="false">IF($C$17989=1,K17925,IF(AND(K17708=MIN($G$17708:$K$17708),SUM($G$17988:J17988)=0),1,0))</f>
        <v>0</v>
      </c>
    </row>
    <row r="17989" customFormat="false" ht="15" hidden="false" customHeight="false" outlineLevel="0" collapsed="false">
      <c r="A17989" s="3" t="s">
        <v>545</v>
      </c>
      <c r="C17989" s="21" t="n">
        <f aca="false">IF(SUM($G$17925:$K$17925)&gt;0,1,0)</f>
        <v>1</v>
      </c>
    </row>
    <row r="17990" customFormat="false" ht="15" hidden="false" customHeight="false" outlineLevel="0" collapsed="false">
      <c r="A17990" s="3" t="s">
        <v>546</v>
      </c>
      <c r="C17990" s="21" t="n">
        <f aca="false">SUMPRODUCT($G$17988:$K$17988,$G$17698:$K$17698)</f>
        <v>2028</v>
      </c>
    </row>
    <row r="17991" customFormat="false" ht="15" hidden="false" customHeight="false" outlineLevel="0" collapsed="false">
      <c r="A17991" s="3" t="s">
        <v>547</v>
      </c>
      <c r="C17991" s="16" t="n">
        <f aca="false">SUMPRODUCT($G$17988:$K$17988,$G$17708:$K$17708)</f>
        <v>268.931639028</v>
      </c>
    </row>
    <row r="17992" customFormat="false" ht="15" hidden="false" customHeight="false" outlineLevel="0" collapsed="false">
      <c r="A17992" s="3" t="s">
        <v>548</v>
      </c>
      <c r="C17992" s="16" t="n">
        <f aca="false">MAX(0,SUMPRODUCT($G$17988:$K$17988,$G$17922:$K$17922))</f>
        <v>0</v>
      </c>
    </row>
    <row r="17993" customFormat="false" ht="15" hidden="false" customHeight="false" outlineLevel="0" collapsed="false">
      <c r="A17993" s="3" t="s">
        <v>549</v>
      </c>
      <c r="C17993" s="16" t="n">
        <f aca="false">(CHOOSE($C$17691,Assumptions!$C$92,Assumptions!$C$111,Assumptions!$C$130)+$C$17695)*C17991</f>
        <v>2420.384751252</v>
      </c>
    </row>
    <row r="17994" customFormat="false" ht="15" hidden="false" customHeight="false" outlineLevel="0" collapsed="false">
      <c r="A17994" s="3" t="s">
        <v>550</v>
      </c>
      <c r="C17994" s="16" t="n">
        <f aca="false">Assumptions!$C$31*(1-CHOOSE($C$17691,Assumptions!$C$93,Assumptions!$C$112,Assumptions!$C$131))*CHOOSE($C$17691,Assumptions!$C$94,Assumptions!$C$113,Assumptions!$C$132)</f>
        <v>3264.03873166667</v>
      </c>
    </row>
    <row r="17995" customFormat="false" ht="15" hidden="false" customHeight="false" outlineLevel="0" collapsed="false">
      <c r="A17995" s="3" t="s">
        <v>551</v>
      </c>
      <c r="C17995" s="16" t="n">
        <f aca="false">MAX(C17993,C17994)+C17992</f>
        <v>3264.03873166667</v>
      </c>
    </row>
    <row r="17996" customFormat="false" ht="15" hidden="false" customHeight="false" outlineLevel="0" collapsed="false">
      <c r="A17996" s="2" t="s">
        <v>552</v>
      </c>
      <c r="C17996" s="17" t="n">
        <f aca="false">IF(ISNUMBER(Assumptions!$C$14),Assumptions!$C$14,C17995)</f>
        <v>3264.03873166667</v>
      </c>
    </row>
    <row r="17997" customFormat="false" ht="15" hidden="false" customHeight="false" outlineLevel="0" collapsed="false">
      <c r="A17997" s="3" t="s">
        <v>553</v>
      </c>
      <c r="C17997" s="16" t="n">
        <f aca="false">C17996*Assumptions!$C$15</f>
        <v>130.561549266667</v>
      </c>
    </row>
    <row r="17998" customFormat="false" ht="15" hidden="false" customHeight="false" outlineLevel="0" collapsed="false">
      <c r="A17998" s="2" t="s">
        <v>554</v>
      </c>
      <c r="C17998" s="17" t="n">
        <f aca="false">C17996-C17997</f>
        <v>3133.4771824</v>
      </c>
    </row>
    <row r="17999" customFormat="false" ht="15" hidden="false" customHeight="false" outlineLevel="0" collapsed="false">
      <c r="A17999" s="24" t="s">
        <v>555</v>
      </c>
      <c r="B17999" s="25"/>
      <c r="C17999" s="25"/>
      <c r="D17999" s="25"/>
      <c r="E17999" s="25"/>
      <c r="F17999" s="25"/>
      <c r="G17999" s="25"/>
      <c r="H17999" s="25"/>
      <c r="I17999" s="25"/>
      <c r="J17999" s="25"/>
      <c r="K17999" s="25"/>
    </row>
    <row r="18000" customFormat="false" ht="15" hidden="false" customHeight="false" outlineLevel="0" collapsed="false">
      <c r="A18000" s="3" t="s">
        <v>556</v>
      </c>
      <c r="C18000" s="16" t="n">
        <f aca="false">SUMPRODUCT($G$17988:$K$17988,$G$17745:$K$17745)*(1+SUMPRODUCT($G$17988:$K$17988,$G$17737:$K$17737)*Assumptions!$C$16/12)</f>
        <v>402.29</v>
      </c>
    </row>
    <row r="18001" customFormat="false" ht="15" hidden="false" customHeight="false" outlineLevel="0" collapsed="false">
      <c r="A18001" s="3" t="s">
        <v>557</v>
      </c>
      <c r="C18001" s="16" t="n">
        <f aca="false">SUMPRODUCT($G$17988:$K$17988,$G$17758:$K$17758)*(1+SUMPRODUCT($G$17988:$K$17988,$G$17750:$K$17750)*Assumptions!$C$16/12)</f>
        <v>91.30725</v>
      </c>
    </row>
    <row r="18002" customFormat="false" ht="15" hidden="false" customHeight="false" outlineLevel="0" collapsed="false">
      <c r="A18002" s="3" t="s">
        <v>558</v>
      </c>
      <c r="C18002" s="16" t="n">
        <f aca="false">SUMPRODUCT($G$17988:$K$17988,$G$17771:$K$17771)*(1+SUMPRODUCT($G$17988:$K$17988,$G$17763:$K$17763)*Assumptions!$C$16/12)</f>
        <v>58.3715961</v>
      </c>
    </row>
    <row r="18003" customFormat="false" ht="15" hidden="false" customHeight="false" outlineLevel="0" collapsed="false">
      <c r="A18003" s="3" t="s">
        <v>559</v>
      </c>
      <c r="C18003" s="16" t="n">
        <f aca="false">SUMPRODUCT($G$17988:$K$17988,$G$17784:$K$17784)*(1+SUMPRODUCT($G$17988:$K$17988,$G$17776:$K$17776)*Assumptions!$C$16/12)</f>
        <v>0</v>
      </c>
    </row>
    <row r="18004" customFormat="false" ht="15" hidden="false" customHeight="false" outlineLevel="0" collapsed="false">
      <c r="A18004" s="3" t="s">
        <v>560</v>
      </c>
      <c r="C18004" s="16" t="n">
        <f aca="false">SUMPRODUCT($G$17988:$K$17988,$G$17797:$K$17797)*(1+SUMPRODUCT($G$17988:$K$17988,$G$17789:$K$17789)*Assumptions!$C$16/12)</f>
        <v>366.031815058301</v>
      </c>
    </row>
    <row r="18005" customFormat="false" ht="15" hidden="false" customHeight="false" outlineLevel="0" collapsed="false">
      <c r="A18005" s="3" t="s">
        <v>561</v>
      </c>
      <c r="C18005" s="16" t="n">
        <f aca="false">SUMPRODUCT($G$17988:$K$17988,$G$17810:$K$17810)*(1+SUMPRODUCT($G$17988:$K$17988,$G$17802:$K$17802)*Assumptions!$C$16/12)</f>
        <v>357.2625</v>
      </c>
    </row>
    <row r="18006" customFormat="false" ht="15" hidden="false" customHeight="false" outlineLevel="0" collapsed="false">
      <c r="A18006" s="3" t="s">
        <v>562</v>
      </c>
      <c r="C18006" s="16" t="n">
        <f aca="false">SUMPRODUCT($G$17988:$K$17988,$G$17823:$K$17823)*(1+SUMPRODUCT($G$17988:$K$17988,$G$17815:$K$17815)*Assumptions!$C$16/12)</f>
        <v>562.203125</v>
      </c>
    </row>
    <row r="18007" customFormat="false" ht="15" hidden="false" customHeight="false" outlineLevel="0" collapsed="false">
      <c r="A18007" s="3" t="s">
        <v>563</v>
      </c>
      <c r="C18007" s="16" t="n">
        <f aca="false">SUMPRODUCT($G$17988:$K$17988,$G$17836:$K$17836)*(1+SUMPRODUCT($G$17988:$K$17988,$G$17828:$K$17828)*Assumptions!$C$16/12)</f>
        <v>353.98125</v>
      </c>
    </row>
    <row r="18008" customFormat="false" ht="15" hidden="false" customHeight="false" outlineLevel="0" collapsed="false">
      <c r="A18008" s="3" t="s">
        <v>564</v>
      </c>
      <c r="C18008" s="16" t="n">
        <f aca="false">SUMPRODUCT($G$17988:$K$17988,$G$17849:$K$17849)*(1+SUMPRODUCT($G$17988:$K$17988,$G$17841:$K$17841)*Assumptions!$C$16/12)</f>
        <v>304.59375</v>
      </c>
    </row>
    <row r="18009" customFormat="false" ht="15" hidden="false" customHeight="false" outlineLevel="0" collapsed="false">
      <c r="A18009" s="3" t="s">
        <v>565</v>
      </c>
      <c r="C18009" s="16" t="n">
        <f aca="false">SUMPRODUCT($G$17988:$K$17988,$G$17862:$K$17862)*(1+SUMPRODUCT($G$17988:$K$17988,$G$17854:$K$17854)*Assumptions!$C$16/12)</f>
        <v>79.938509</v>
      </c>
    </row>
    <row r="18010" customFormat="false" ht="15" hidden="false" customHeight="false" outlineLevel="0" collapsed="false">
      <c r="A18010" s="24" t="s">
        <v>566</v>
      </c>
      <c r="B18010" s="25"/>
      <c r="C18010" s="25"/>
      <c r="D18010" s="25"/>
      <c r="E18010" s="25"/>
      <c r="F18010" s="25"/>
      <c r="G18010" s="25"/>
      <c r="H18010" s="25"/>
      <c r="I18010" s="25"/>
      <c r="J18010" s="25"/>
      <c r="K18010" s="25"/>
    </row>
    <row r="18011" customFormat="false" ht="15" hidden="false" customHeight="false" outlineLevel="0" collapsed="false">
      <c r="A18011" s="3" t="s">
        <v>556</v>
      </c>
      <c r="C18011" s="27" t="n">
        <f aca="false">Assumptions!$M$57</f>
        <v>1</v>
      </c>
    </row>
    <row r="18012" customFormat="false" ht="15" hidden="false" customHeight="false" outlineLevel="0" collapsed="false">
      <c r="A18012" s="3" t="s">
        <v>557</v>
      </c>
      <c r="C18012" s="27" t="n">
        <f aca="false">Assumptions!$M$58</f>
        <v>1</v>
      </c>
    </row>
    <row r="18013" customFormat="false" ht="15" hidden="false" customHeight="false" outlineLevel="0" collapsed="false">
      <c r="A18013" s="3" t="s">
        <v>558</v>
      </c>
      <c r="C18013" s="27" t="n">
        <f aca="false">Assumptions!$M$59</f>
        <v>1</v>
      </c>
    </row>
    <row r="18014" customFormat="false" ht="15" hidden="false" customHeight="false" outlineLevel="0" collapsed="false">
      <c r="A18014" s="3" t="s">
        <v>559</v>
      </c>
      <c r="C18014" s="27" t="n">
        <f aca="false">Assumptions!$M$60</f>
        <v>2</v>
      </c>
    </row>
    <row r="18015" customFormat="false" ht="15" hidden="false" customHeight="false" outlineLevel="0" collapsed="false">
      <c r="A18015" s="3" t="s">
        <v>560</v>
      </c>
      <c r="C18015" s="27" t="n">
        <f aca="false">Assumptions!$M$61</f>
        <v>2</v>
      </c>
    </row>
    <row r="18016" customFormat="false" ht="15" hidden="false" customHeight="false" outlineLevel="0" collapsed="false">
      <c r="A18016" s="3" t="s">
        <v>561</v>
      </c>
      <c r="C18016" s="27" t="n">
        <f aca="false">Assumptions!$M$62</f>
        <v>2</v>
      </c>
    </row>
    <row r="18017" customFormat="false" ht="15" hidden="false" customHeight="false" outlineLevel="0" collapsed="false">
      <c r="A18017" s="3" t="s">
        <v>562</v>
      </c>
      <c r="C18017" s="27" t="n">
        <f aca="false">Assumptions!$M$63</f>
        <v>2</v>
      </c>
    </row>
    <row r="18018" customFormat="false" ht="15" hidden="false" customHeight="false" outlineLevel="0" collapsed="false">
      <c r="A18018" s="3" t="s">
        <v>563</v>
      </c>
      <c r="C18018" s="27" t="n">
        <f aca="false">Assumptions!$M$64</f>
        <v>2</v>
      </c>
    </row>
    <row r="18019" customFormat="false" ht="15" hidden="false" customHeight="false" outlineLevel="0" collapsed="false">
      <c r="A18019" s="3" t="s">
        <v>564</v>
      </c>
      <c r="C18019" s="27" t="n">
        <f aca="false">Assumptions!$M$65</f>
        <v>2</v>
      </c>
    </row>
    <row r="18020" customFormat="false" ht="15" hidden="false" customHeight="false" outlineLevel="0" collapsed="false">
      <c r="A18020" s="3" t="s">
        <v>565</v>
      </c>
      <c r="C18020" s="27" t="n">
        <f aca="false">Assumptions!$M$66</f>
        <v>3</v>
      </c>
    </row>
    <row r="18021" customFormat="false" ht="15" hidden="false" customHeight="false" outlineLevel="0" collapsed="false">
      <c r="A18021" s="24" t="s">
        <v>567</v>
      </c>
      <c r="B18021" s="25"/>
      <c r="C18021" s="25"/>
      <c r="D18021" s="25"/>
      <c r="E18021" s="25"/>
      <c r="F18021" s="25"/>
      <c r="G18021" s="25"/>
      <c r="H18021" s="25"/>
      <c r="I18021" s="25"/>
      <c r="J18021" s="25"/>
      <c r="K18021" s="25"/>
    </row>
    <row r="18022" customFormat="false" ht="15" hidden="false" customHeight="false" outlineLevel="0" collapsed="false">
      <c r="A18022" s="3" t="s">
        <v>556</v>
      </c>
      <c r="C18022" s="33" t="n">
        <f aca="false">Assumptions!$Q$57</f>
        <v>0.3</v>
      </c>
    </row>
    <row r="18023" customFormat="false" ht="15" hidden="false" customHeight="false" outlineLevel="0" collapsed="false">
      <c r="A18023" s="3" t="s">
        <v>557</v>
      </c>
      <c r="C18023" s="33" t="n">
        <f aca="false">Assumptions!$Q$58</f>
        <v>0.033</v>
      </c>
    </row>
    <row r="18024" customFormat="false" ht="15" hidden="false" customHeight="false" outlineLevel="0" collapsed="false">
      <c r="A18024" s="3" t="s">
        <v>558</v>
      </c>
      <c r="C18024" s="33" t="n">
        <f aca="false">Assumptions!$Q$59</f>
        <v>0.021</v>
      </c>
    </row>
    <row r="18025" customFormat="false" ht="15" hidden="false" customHeight="false" outlineLevel="0" collapsed="false">
      <c r="A18025" s="3" t="s">
        <v>559</v>
      </c>
      <c r="C18025" s="33" t="n">
        <f aca="false">Assumptions!$Q$60</f>
        <v>0</v>
      </c>
    </row>
    <row r="18026" customFormat="false" ht="15" hidden="false" customHeight="false" outlineLevel="0" collapsed="false">
      <c r="A18026" s="3" t="s">
        <v>560</v>
      </c>
      <c r="C18026" s="33" t="n">
        <f aca="false">Assumptions!$Q$61</f>
        <v>0</v>
      </c>
    </row>
    <row r="18027" customFormat="false" ht="15" hidden="false" customHeight="false" outlineLevel="0" collapsed="false">
      <c r="A18027" s="3" t="s">
        <v>561</v>
      </c>
      <c r="C18027" s="33" t="n">
        <f aca="false">Assumptions!$Q$62</f>
        <v>0</v>
      </c>
    </row>
    <row r="18028" customFormat="false" ht="15" hidden="false" customHeight="false" outlineLevel="0" collapsed="false">
      <c r="A18028" s="3" t="s">
        <v>562</v>
      </c>
      <c r="C18028" s="33" t="n">
        <f aca="false">Assumptions!$Q$63</f>
        <v>0</v>
      </c>
    </row>
    <row r="18029" customFormat="false" ht="15" hidden="false" customHeight="false" outlineLevel="0" collapsed="false">
      <c r="A18029" s="3" t="s">
        <v>563</v>
      </c>
      <c r="C18029" s="33" t="n">
        <f aca="false">Assumptions!$Q$64</f>
        <v>0</v>
      </c>
    </row>
    <row r="18030" customFormat="false" ht="15" hidden="false" customHeight="false" outlineLevel="0" collapsed="false">
      <c r="A18030" s="3" t="s">
        <v>564</v>
      </c>
      <c r="C18030" s="33" t="n">
        <f aca="false">Assumptions!$Q$65</f>
        <v>0</v>
      </c>
    </row>
    <row r="18031" customFormat="false" ht="15" hidden="false" customHeight="false" outlineLevel="0" collapsed="false">
      <c r="A18031" s="3" t="s">
        <v>565</v>
      </c>
      <c r="C18031" s="33" t="n">
        <f aca="false">Assumptions!$Q$66</f>
        <v>0</v>
      </c>
    </row>
    <row r="18032" customFormat="false" ht="15" hidden="false" customHeight="false" outlineLevel="0" collapsed="false">
      <c r="A18032" s="24" t="s">
        <v>568</v>
      </c>
      <c r="B18032" s="25"/>
      <c r="C18032" s="25"/>
      <c r="D18032" s="25"/>
      <c r="E18032" s="25"/>
      <c r="F18032" s="25"/>
      <c r="G18032" s="25"/>
      <c r="H18032" s="25"/>
      <c r="I18032" s="25"/>
      <c r="J18032" s="25"/>
      <c r="K18032" s="25"/>
    </row>
    <row r="18033" customFormat="false" ht="15" hidden="false" customHeight="false" outlineLevel="0" collapsed="false">
      <c r="A18033" s="3" t="s">
        <v>556</v>
      </c>
      <c r="C18033" s="16" t="n">
        <f aca="false">IF(C18022&gt;0,MIN(C18000,C18022*$C$17998),0)</f>
        <v>402.29</v>
      </c>
    </row>
    <row r="18034" customFormat="false" ht="15" hidden="false" customHeight="false" outlineLevel="0" collapsed="false">
      <c r="A18034" s="3" t="s">
        <v>557</v>
      </c>
      <c r="C18034" s="16" t="n">
        <f aca="false">IF(C18023&gt;0,MIN(C18001,C18023*$C$17998),0)</f>
        <v>91.30725</v>
      </c>
    </row>
    <row r="18035" customFormat="false" ht="15" hidden="false" customHeight="false" outlineLevel="0" collapsed="false">
      <c r="A18035" s="3" t="s">
        <v>558</v>
      </c>
      <c r="C18035" s="16" t="n">
        <f aca="false">IF(C18024&gt;0,MIN(C18002,C18024*$C$17998),0)</f>
        <v>58.3715961</v>
      </c>
    </row>
    <row r="18036" customFormat="false" ht="15" hidden="false" customHeight="false" outlineLevel="0" collapsed="false">
      <c r="A18036" s="3" t="s">
        <v>559</v>
      </c>
      <c r="C18036" s="16" t="n">
        <f aca="false">IF(C18025&gt;0,MIN(C18003,C18025*$C$17998),0)</f>
        <v>0</v>
      </c>
    </row>
    <row r="18037" customFormat="false" ht="15" hidden="false" customHeight="false" outlineLevel="0" collapsed="false">
      <c r="A18037" s="3" t="s">
        <v>560</v>
      </c>
      <c r="C18037" s="16" t="n">
        <f aca="false">IF(C18026&gt;0,MIN(C18004,C18026*$C$17998),0)</f>
        <v>0</v>
      </c>
    </row>
    <row r="18038" customFormat="false" ht="15" hidden="false" customHeight="false" outlineLevel="0" collapsed="false">
      <c r="A18038" s="3" t="s">
        <v>561</v>
      </c>
      <c r="C18038" s="16" t="n">
        <f aca="false">IF(C18027&gt;0,MIN(C18005,C18027*$C$17998),0)</f>
        <v>0</v>
      </c>
    </row>
    <row r="18039" customFormat="false" ht="15" hidden="false" customHeight="false" outlineLevel="0" collapsed="false">
      <c r="A18039" s="3" t="s">
        <v>562</v>
      </c>
      <c r="C18039" s="16" t="n">
        <f aca="false">IF(C18028&gt;0,MIN(C18006,C18028*$C$17998),0)</f>
        <v>0</v>
      </c>
    </row>
    <row r="18040" customFormat="false" ht="15" hidden="false" customHeight="false" outlineLevel="0" collapsed="false">
      <c r="A18040" s="3" t="s">
        <v>563</v>
      </c>
      <c r="C18040" s="16" t="n">
        <f aca="false">IF(C18029&gt;0,MIN(C18007,C18029*$C$17998),0)</f>
        <v>0</v>
      </c>
    </row>
    <row r="18041" customFormat="false" ht="15" hidden="false" customHeight="false" outlineLevel="0" collapsed="false">
      <c r="A18041" s="3" t="s">
        <v>564</v>
      </c>
      <c r="C18041" s="16" t="n">
        <f aca="false">IF(C18030&gt;0,MIN(C18008,C18030*$C$17998),0)</f>
        <v>0</v>
      </c>
    </row>
    <row r="18042" customFormat="false" ht="15" hidden="false" customHeight="false" outlineLevel="0" collapsed="false">
      <c r="A18042" s="3" t="s">
        <v>565</v>
      </c>
      <c r="C18042" s="16" t="n">
        <f aca="false">IF(C18031&gt;0,MIN(C18009,C18031*$C$17998),0)</f>
        <v>0</v>
      </c>
    </row>
    <row r="18043" customFormat="false" ht="15" hidden="false" customHeight="false" outlineLevel="0" collapsed="false">
      <c r="A18043" s="24" t="s">
        <v>569</v>
      </c>
      <c r="B18043" s="25"/>
      <c r="C18043" s="25"/>
      <c r="D18043" s="25"/>
      <c r="E18043" s="25"/>
      <c r="F18043" s="25"/>
      <c r="G18043" s="25"/>
      <c r="H18043" s="25"/>
      <c r="I18043" s="25"/>
      <c r="J18043" s="25"/>
      <c r="K18043" s="25"/>
    </row>
    <row r="18044" customFormat="false" ht="15" hidden="false" customHeight="false" outlineLevel="0" collapsed="false">
      <c r="A18044" s="3" t="s">
        <v>556</v>
      </c>
      <c r="C18044" s="16" t="n">
        <f aca="false">IF(C18022&gt;0,C18000-C18033,0)</f>
        <v>0</v>
      </c>
      <c r="G18044" s="21" t="n">
        <f aca="false">IF(AND(G17735=1,G17732=1),1,0)</f>
        <v>0</v>
      </c>
      <c r="H18044" s="21" t="n">
        <f aca="false">IF(G18044=1,1,IF(AND(H17735=1,H17732=1),1,0))</f>
        <v>0</v>
      </c>
      <c r="I18044" s="21" t="n">
        <f aca="false">IF(H18044=1,1,IF(AND(I17735=1,I17732=1),1,0))</f>
        <v>0</v>
      </c>
      <c r="J18044" s="21" t="n">
        <f aca="false">IF(I18044=1,1,IF(AND(J17735=1,J17732=1),1,0))</f>
        <v>0</v>
      </c>
      <c r="K18044" s="21" t="n">
        <f aca="false">IF(J18044=1,1,IF(AND(K17735=1,K17732=1),1,0))</f>
        <v>1</v>
      </c>
    </row>
    <row r="18045" customFormat="false" ht="15" hidden="false" customHeight="false" outlineLevel="0" collapsed="false">
      <c r="A18045" s="3" t="s">
        <v>557</v>
      </c>
      <c r="C18045" s="16" t="n">
        <f aca="false">IF(C18023&gt;0,C18001-C18034,0)</f>
        <v>0</v>
      </c>
      <c r="G18045" s="21" t="n">
        <f aca="false">IF(AND(G17748=1,G17732=1),1,0)</f>
        <v>0</v>
      </c>
      <c r="H18045" s="21" t="n">
        <f aca="false">IF(G18045=1,1,IF(AND(H17748=1,H17732=1),1,0))</f>
        <v>0</v>
      </c>
      <c r="I18045" s="21" t="n">
        <f aca="false">IF(H18045=1,1,IF(AND(I17748=1,I17732=1),1,0))</f>
        <v>0</v>
      </c>
      <c r="J18045" s="21" t="n">
        <f aca="false">IF(I18045=1,1,IF(AND(J17748=1,J17732=1),1,0))</f>
        <v>0</v>
      </c>
      <c r="K18045" s="21" t="n">
        <f aca="false">IF(J18045=1,1,IF(AND(K17748=1,K17732=1),1,0))</f>
        <v>0</v>
      </c>
    </row>
    <row r="18046" customFormat="false" ht="15" hidden="false" customHeight="false" outlineLevel="0" collapsed="false">
      <c r="A18046" s="3" t="s">
        <v>558</v>
      </c>
      <c r="C18046" s="16" t="n">
        <f aca="false">IF(C18024&gt;0,C18002-C18035,0)</f>
        <v>0</v>
      </c>
      <c r="G18046" s="21" t="n">
        <f aca="false">IF(AND(G17761=1,G17732=1),1,0)</f>
        <v>0</v>
      </c>
      <c r="H18046" s="21" t="n">
        <f aca="false">IF(G18046=1,1,IF(AND(H17761=1,H17732=1),1,0))</f>
        <v>0</v>
      </c>
      <c r="I18046" s="21" t="n">
        <f aca="false">IF(H18046=1,1,IF(AND(I17761=1,I17732=1),1,0))</f>
        <v>0</v>
      </c>
      <c r="J18046" s="21" t="n">
        <f aca="false">IF(I18046=1,1,IF(AND(J17761=1,J17732=1),1,0))</f>
        <v>0</v>
      </c>
      <c r="K18046" s="21" t="n">
        <f aca="false">IF(J18046=1,1,IF(AND(K17761=1,K17732=1),1,0))</f>
        <v>0</v>
      </c>
    </row>
    <row r="18047" customFormat="false" ht="15" hidden="false" customHeight="false" outlineLevel="0" collapsed="false">
      <c r="A18047" s="3" t="s">
        <v>559</v>
      </c>
      <c r="C18047" s="16" t="n">
        <f aca="false">IF(C18025&gt;0,C18003-C18036,0)</f>
        <v>0</v>
      </c>
      <c r="G18047" s="21" t="n">
        <f aca="false">IF(AND(G17774=1,G17732=1),1,0)</f>
        <v>0</v>
      </c>
      <c r="H18047" s="21" t="n">
        <f aca="false">IF(G18047=1,1,IF(AND(H17774=1,H17732=1),1,0))</f>
        <v>0</v>
      </c>
      <c r="I18047" s="21" t="n">
        <f aca="false">IF(H18047=1,1,IF(AND(I17774=1,I17732=1),1,0))</f>
        <v>0</v>
      </c>
      <c r="J18047" s="21" t="n">
        <f aca="false">IF(I18047=1,1,IF(AND(J17774=1,J17732=1),1,0))</f>
        <v>0</v>
      </c>
      <c r="K18047" s="21" t="n">
        <f aca="false">IF(J18047=1,1,IF(AND(K17774=1,K17732=1),1,0))</f>
        <v>0</v>
      </c>
    </row>
    <row r="18048" customFormat="false" ht="15" hidden="false" customHeight="false" outlineLevel="0" collapsed="false">
      <c r="A18048" s="3" t="s">
        <v>560</v>
      </c>
      <c r="C18048" s="16" t="n">
        <f aca="false">IF(C18026&gt;0,C18004-C18037,0)</f>
        <v>0</v>
      </c>
      <c r="G18048" s="21" t="n">
        <f aca="false">IF(AND(G17787=1,G17732=1),1,0)</f>
        <v>0</v>
      </c>
      <c r="H18048" s="21" t="n">
        <f aca="false">IF(G18048=1,1,IF(AND(H17787=1,H17732=1),1,0))</f>
        <v>0</v>
      </c>
      <c r="I18048" s="21" t="n">
        <f aca="false">IF(H18048=1,1,IF(AND(I17787=1,I17732=1),1,0))</f>
        <v>0</v>
      </c>
      <c r="J18048" s="21" t="n">
        <f aca="false">IF(I18048=1,1,IF(AND(J17787=1,J17732=1),1,0))</f>
        <v>0</v>
      </c>
      <c r="K18048" s="21" t="n">
        <f aca="false">IF(J18048=1,1,IF(AND(K17787=1,K17732=1),1,0))</f>
        <v>0</v>
      </c>
    </row>
    <row r="18049" customFormat="false" ht="15" hidden="false" customHeight="false" outlineLevel="0" collapsed="false">
      <c r="A18049" s="3" t="s">
        <v>561</v>
      </c>
      <c r="C18049" s="16" t="n">
        <f aca="false">IF(C18027&gt;0,C18005-C18038,0)</f>
        <v>0</v>
      </c>
      <c r="G18049" s="21" t="n">
        <f aca="false">IF(AND(G17800=1,G17732=1),1,0)</f>
        <v>0</v>
      </c>
      <c r="H18049" s="21" t="n">
        <f aca="false">IF(G18049=1,1,IF(AND(H17800=1,H17732=1),1,0))</f>
        <v>0</v>
      </c>
      <c r="I18049" s="21" t="n">
        <f aca="false">IF(H18049=1,1,IF(AND(I17800=1,I17732=1),1,0))</f>
        <v>0</v>
      </c>
      <c r="J18049" s="21" t="n">
        <f aca="false">IF(I18049=1,1,IF(AND(J17800=1,J17732=1),1,0))</f>
        <v>0</v>
      </c>
      <c r="K18049" s="21" t="n">
        <f aca="false">IF(J18049=1,1,IF(AND(K17800=1,K17732=1),1,0))</f>
        <v>0</v>
      </c>
    </row>
    <row r="18050" customFormat="false" ht="15" hidden="false" customHeight="false" outlineLevel="0" collapsed="false">
      <c r="A18050" s="3" t="s">
        <v>562</v>
      </c>
      <c r="C18050" s="16" t="n">
        <f aca="false">IF(C18028&gt;0,C18006-C18039,0)</f>
        <v>0</v>
      </c>
      <c r="G18050" s="21" t="n">
        <f aca="false">IF(AND(G17813=1,G17732=1),1,0)</f>
        <v>0</v>
      </c>
      <c r="H18050" s="21" t="n">
        <f aca="false">IF(G18050=1,1,IF(AND(H17813=1,H17732=1),1,0))</f>
        <v>0</v>
      </c>
      <c r="I18050" s="21" t="n">
        <f aca="false">IF(H18050=1,1,IF(AND(I17813=1,I17732=1),1,0))</f>
        <v>1</v>
      </c>
      <c r="J18050" s="21" t="n">
        <f aca="false">IF(I18050=1,1,IF(AND(J17813=1,J17732=1),1,0))</f>
        <v>1</v>
      </c>
      <c r="K18050" s="21" t="n">
        <f aca="false">IF(J18050=1,1,IF(AND(K17813=1,K17732=1),1,0))</f>
        <v>1</v>
      </c>
    </row>
    <row r="18051" customFormat="false" ht="15" hidden="false" customHeight="false" outlineLevel="0" collapsed="false">
      <c r="A18051" s="3" t="s">
        <v>563</v>
      </c>
      <c r="C18051" s="16" t="n">
        <f aca="false">IF(C18029&gt;0,C18007-C18040,0)</f>
        <v>0</v>
      </c>
      <c r="G18051" s="21" t="n">
        <f aca="false">IF(AND(G17826=1,G17732=1),1,0)</f>
        <v>0</v>
      </c>
      <c r="H18051" s="21" t="n">
        <f aca="false">IF(G18051=1,1,IF(AND(H17826=1,H17732=1),1,0))</f>
        <v>0</v>
      </c>
      <c r="I18051" s="21" t="n">
        <f aca="false">IF(H18051=1,1,IF(AND(I17826=1,I17732=1),1,0))</f>
        <v>0</v>
      </c>
      <c r="J18051" s="21" t="n">
        <f aca="false">IF(I18051=1,1,IF(AND(J17826=1,J17732=1),1,0))</f>
        <v>1</v>
      </c>
      <c r="K18051" s="21" t="n">
        <f aca="false">IF(J18051=1,1,IF(AND(K17826=1,K17732=1),1,0))</f>
        <v>1</v>
      </c>
    </row>
    <row r="18052" customFormat="false" ht="15" hidden="false" customHeight="false" outlineLevel="0" collapsed="false">
      <c r="A18052" s="3" t="s">
        <v>564</v>
      </c>
      <c r="C18052" s="16" t="n">
        <f aca="false">IF(C18030&gt;0,C18008-C18041,0)</f>
        <v>0</v>
      </c>
      <c r="G18052" s="21" t="n">
        <f aca="false">IF(AND(G17839=1,G17732=1),1,0)</f>
        <v>0</v>
      </c>
      <c r="H18052" s="21" t="n">
        <f aca="false">IF(G18052=1,1,IF(AND(H17839=1,H17732=1),1,0))</f>
        <v>0</v>
      </c>
      <c r="I18052" s="21" t="n">
        <f aca="false">IF(H18052=1,1,IF(AND(I17839=1,I17732=1),1,0))</f>
        <v>0</v>
      </c>
      <c r="J18052" s="21" t="n">
        <f aca="false">IF(I18052=1,1,IF(AND(J17839=1,J17732=1),1,0))</f>
        <v>0</v>
      </c>
      <c r="K18052" s="21" t="n">
        <f aca="false">IF(J18052=1,1,IF(AND(K17839=1,K17732=1),1,0))</f>
        <v>1</v>
      </c>
    </row>
    <row r="18053" customFormat="false" ht="15" hidden="false" customHeight="false" outlineLevel="0" collapsed="false">
      <c r="A18053" s="3" t="s">
        <v>565</v>
      </c>
      <c r="C18053" s="16" t="n">
        <f aca="false">IF(C18031&gt;0,C18009-C18042,0)</f>
        <v>0</v>
      </c>
      <c r="G18053" s="21" t="n">
        <f aca="false">IF(AND(G17852=1,G17732=1),1,0)</f>
        <v>0</v>
      </c>
      <c r="H18053" s="21" t="n">
        <f aca="false">IF(G18053=1,1,IF(AND(H17852=1,H17732=1),1,0))</f>
        <v>0</v>
      </c>
      <c r="I18053" s="21" t="n">
        <f aca="false">IF(H18053=1,1,IF(AND(I17852=1,I17732=1),1,0))</f>
        <v>0</v>
      </c>
      <c r="J18053" s="21" t="n">
        <f aca="false">IF(I18053=1,1,IF(AND(J17852=1,J17732=1),1,0))</f>
        <v>0</v>
      </c>
      <c r="K18053" s="21" t="n">
        <f aca="false">IF(J18053=1,1,IF(AND(K17852=1,K17732=1),1,0))</f>
        <v>0</v>
      </c>
    </row>
    <row r="18054" customFormat="false" ht="15" hidden="false" customHeight="false" outlineLevel="0" collapsed="false">
      <c r="A18054" s="24" t="s">
        <v>570</v>
      </c>
      <c r="B18054" s="25"/>
      <c r="C18054" s="25"/>
      <c r="D18054" s="25"/>
      <c r="E18054" s="25"/>
      <c r="F18054" s="25"/>
      <c r="G18054" s="25"/>
      <c r="H18054" s="25"/>
      <c r="I18054" s="25"/>
      <c r="J18054" s="25"/>
      <c r="K18054" s="25"/>
    </row>
    <row r="18055" customFormat="false" ht="15" hidden="false" customHeight="false" outlineLevel="0" collapsed="false">
      <c r="A18055" s="3" t="s">
        <v>556</v>
      </c>
      <c r="C18055" s="16" t="n">
        <f aca="false">IF(C18022&gt;0,C18044,C18000)</f>
        <v>0</v>
      </c>
    </row>
    <row r="18056" customFormat="false" ht="15" hidden="false" customHeight="false" outlineLevel="0" collapsed="false">
      <c r="A18056" s="3" t="s">
        <v>557</v>
      </c>
      <c r="C18056" s="16" t="n">
        <f aca="false">IF(C18023&gt;0,C18045,C18001)</f>
        <v>0</v>
      </c>
    </row>
    <row r="18057" customFormat="false" ht="15" hidden="false" customHeight="false" outlineLevel="0" collapsed="false">
      <c r="A18057" s="3" t="s">
        <v>558</v>
      </c>
      <c r="C18057" s="16" t="n">
        <f aca="false">IF(C18024&gt;0,C18046,C18002)</f>
        <v>0</v>
      </c>
    </row>
    <row r="18058" customFormat="false" ht="15" hidden="false" customHeight="false" outlineLevel="0" collapsed="false">
      <c r="A18058" s="3" t="s">
        <v>559</v>
      </c>
      <c r="C18058" s="16" t="n">
        <f aca="false">IF(C18025&gt;0,C18047,C18003)</f>
        <v>0</v>
      </c>
    </row>
    <row r="18059" customFormat="false" ht="15" hidden="false" customHeight="false" outlineLevel="0" collapsed="false">
      <c r="A18059" s="3" t="s">
        <v>560</v>
      </c>
      <c r="C18059" s="16" t="n">
        <f aca="false">IF(C18026&gt;0,C18048,C18004)</f>
        <v>366.031815058301</v>
      </c>
    </row>
    <row r="18060" customFormat="false" ht="15" hidden="false" customHeight="false" outlineLevel="0" collapsed="false">
      <c r="A18060" s="3" t="s">
        <v>561</v>
      </c>
      <c r="C18060" s="16" t="n">
        <f aca="false">IF(C18027&gt;0,C18049,C18005)</f>
        <v>357.2625</v>
      </c>
    </row>
    <row r="18061" customFormat="false" ht="15" hidden="false" customHeight="false" outlineLevel="0" collapsed="false">
      <c r="A18061" s="3" t="s">
        <v>562</v>
      </c>
      <c r="C18061" s="16" t="n">
        <f aca="false">IF(C18028&gt;0,C18050,C18006)</f>
        <v>562.203125</v>
      </c>
    </row>
    <row r="18062" customFormat="false" ht="15" hidden="false" customHeight="false" outlineLevel="0" collapsed="false">
      <c r="A18062" s="3" t="s">
        <v>563</v>
      </c>
      <c r="C18062" s="16" t="n">
        <f aca="false">IF(C18029&gt;0,C18051,C18007)</f>
        <v>353.98125</v>
      </c>
    </row>
    <row r="18063" customFormat="false" ht="15" hidden="false" customHeight="false" outlineLevel="0" collapsed="false">
      <c r="A18063" s="3" t="s">
        <v>564</v>
      </c>
      <c r="C18063" s="16" t="n">
        <f aca="false">IF(C18030&gt;0,C18052,C18008)</f>
        <v>304.59375</v>
      </c>
    </row>
    <row r="18064" customFormat="false" ht="15" hidden="false" customHeight="false" outlineLevel="0" collapsed="false">
      <c r="A18064" s="3" t="s">
        <v>565</v>
      </c>
      <c r="C18064" s="16" t="n">
        <f aca="false">IF(C18031&gt;0,C18053,C18009)</f>
        <v>79.938509</v>
      </c>
    </row>
    <row r="18065" customFormat="false" ht="15" hidden="false" customHeight="false" outlineLevel="0" collapsed="false">
      <c r="A18065" s="24" t="s">
        <v>571</v>
      </c>
      <c r="B18065" s="25"/>
      <c r="C18065" s="25"/>
      <c r="D18065" s="25"/>
      <c r="E18065" s="25"/>
      <c r="F18065" s="25"/>
      <c r="G18065" s="25"/>
      <c r="H18065" s="25"/>
      <c r="I18065" s="25"/>
      <c r="J18065" s="25"/>
      <c r="K18065" s="25"/>
    </row>
    <row r="18066" customFormat="false" ht="15" hidden="false" customHeight="false" outlineLevel="0" collapsed="false">
      <c r="A18066" s="3" t="s">
        <v>556</v>
      </c>
      <c r="C18066" s="21" t="n">
        <f aca="false">IF(C18022&gt;0,Assumptions!$C$17,C18011)</f>
        <v>99</v>
      </c>
    </row>
    <row r="18067" customFormat="false" ht="15" hidden="false" customHeight="false" outlineLevel="0" collapsed="false">
      <c r="A18067" s="3" t="s">
        <v>557</v>
      </c>
      <c r="C18067" s="21" t="n">
        <f aca="false">IF(C18023&gt;0,Assumptions!$C$17,C18012)</f>
        <v>99</v>
      </c>
    </row>
    <row r="18068" customFormat="false" ht="15" hidden="false" customHeight="false" outlineLevel="0" collapsed="false">
      <c r="A18068" s="3" t="s">
        <v>558</v>
      </c>
      <c r="C18068" s="21" t="n">
        <f aca="false">IF(C18024&gt;0,Assumptions!$C$17,C18013)</f>
        <v>99</v>
      </c>
    </row>
    <row r="18069" customFormat="false" ht="15" hidden="false" customHeight="false" outlineLevel="0" collapsed="false">
      <c r="A18069" s="3" t="s">
        <v>559</v>
      </c>
      <c r="C18069" s="21" t="n">
        <f aca="false">IF(C18025&gt;0,Assumptions!$C$17,C18014)</f>
        <v>2</v>
      </c>
    </row>
    <row r="18070" customFormat="false" ht="15" hidden="false" customHeight="false" outlineLevel="0" collapsed="false">
      <c r="A18070" s="3" t="s">
        <v>560</v>
      </c>
      <c r="C18070" s="21" t="n">
        <f aca="false">IF(C18026&gt;0,Assumptions!$C$17,C18015)</f>
        <v>2</v>
      </c>
    </row>
    <row r="18071" customFormat="false" ht="15" hidden="false" customHeight="false" outlineLevel="0" collapsed="false">
      <c r="A18071" s="3" t="s">
        <v>561</v>
      </c>
      <c r="C18071" s="21" t="n">
        <f aca="false">IF(C18027&gt;0,Assumptions!$C$17,C18016)</f>
        <v>2</v>
      </c>
    </row>
    <row r="18072" customFormat="false" ht="15" hidden="false" customHeight="false" outlineLevel="0" collapsed="false">
      <c r="A18072" s="3" t="s">
        <v>562</v>
      </c>
      <c r="C18072" s="21" t="n">
        <f aca="false">IF(C18028&gt;0,Assumptions!$C$17,C18017)</f>
        <v>2</v>
      </c>
    </row>
    <row r="18073" customFormat="false" ht="15" hidden="false" customHeight="false" outlineLevel="0" collapsed="false">
      <c r="A18073" s="3" t="s">
        <v>563</v>
      </c>
      <c r="C18073" s="21" t="n">
        <f aca="false">IF(C18029&gt;0,Assumptions!$C$17,C18018)</f>
        <v>2</v>
      </c>
    </row>
    <row r="18074" customFormat="false" ht="15" hidden="false" customHeight="false" outlineLevel="0" collapsed="false">
      <c r="A18074" s="3" t="s">
        <v>564</v>
      </c>
      <c r="C18074" s="21" t="n">
        <f aca="false">IF(C18030&gt;0,Assumptions!$C$17,C18019)</f>
        <v>2</v>
      </c>
    </row>
    <row r="18075" customFormat="false" ht="15" hidden="false" customHeight="false" outlineLevel="0" collapsed="false">
      <c r="A18075" s="3" t="s">
        <v>565</v>
      </c>
      <c r="C18075" s="21" t="n">
        <f aca="false">IF(C18031&gt;0,Assumptions!$C$17,C18020)</f>
        <v>3</v>
      </c>
    </row>
    <row r="18076" customFormat="false" ht="15" hidden="false" customHeight="false" outlineLevel="0" collapsed="false">
      <c r="A18076" s="24" t="s">
        <v>572</v>
      </c>
      <c r="B18076" s="25"/>
      <c r="C18076" s="25"/>
      <c r="D18076" s="25"/>
      <c r="E18076" s="25"/>
      <c r="F18076" s="25"/>
      <c r="G18076" s="25"/>
      <c r="H18076" s="25"/>
      <c r="I18076" s="25"/>
      <c r="J18076" s="25"/>
      <c r="K18076" s="25"/>
    </row>
    <row r="18077" customFormat="false" ht="15" hidden="false" customHeight="false" outlineLevel="0" collapsed="false">
      <c r="A18077" s="3" t="s">
        <v>556</v>
      </c>
      <c r="C18077" s="16" t="n">
        <f aca="false">SUMPRODUCT(($C$18066:$C$18075&lt;C18066)*$C$18055:$C$18064)</f>
        <v>2024.0109490583</v>
      </c>
    </row>
    <row r="18078" customFormat="false" ht="15" hidden="false" customHeight="false" outlineLevel="0" collapsed="false">
      <c r="A18078" s="3" t="s">
        <v>557</v>
      </c>
      <c r="C18078" s="16" t="n">
        <f aca="false">SUMPRODUCT(($C$18066:$C$18075&lt;C18067)*$C$18055:$C$18064)</f>
        <v>2024.0109490583</v>
      </c>
    </row>
    <row r="18079" customFormat="false" ht="15" hidden="false" customHeight="false" outlineLevel="0" collapsed="false">
      <c r="A18079" s="3" t="s">
        <v>558</v>
      </c>
      <c r="C18079" s="16" t="n">
        <f aca="false">SUMPRODUCT(($C$18066:$C$18075&lt;C18068)*$C$18055:$C$18064)</f>
        <v>2024.0109490583</v>
      </c>
    </row>
    <row r="18080" customFormat="false" ht="15" hidden="false" customHeight="false" outlineLevel="0" collapsed="false">
      <c r="A18080" s="3" t="s">
        <v>559</v>
      </c>
      <c r="C18080" s="16" t="n">
        <f aca="false">SUMPRODUCT(($C$18066:$C$18075&lt;C18069)*$C$18055:$C$18064)</f>
        <v>0</v>
      </c>
    </row>
    <row r="18081" customFormat="false" ht="15" hidden="false" customHeight="false" outlineLevel="0" collapsed="false">
      <c r="A18081" s="3" t="s">
        <v>560</v>
      </c>
      <c r="C18081" s="16" t="n">
        <f aca="false">SUMPRODUCT(($C$18066:$C$18075&lt;C18070)*$C$18055:$C$18064)</f>
        <v>0</v>
      </c>
    </row>
    <row r="18082" customFormat="false" ht="15" hidden="false" customHeight="false" outlineLevel="0" collapsed="false">
      <c r="A18082" s="3" t="s">
        <v>561</v>
      </c>
      <c r="C18082" s="16" t="n">
        <f aca="false">SUMPRODUCT(($C$18066:$C$18075&lt;C18071)*$C$18055:$C$18064)</f>
        <v>0</v>
      </c>
    </row>
    <row r="18083" customFormat="false" ht="15" hidden="false" customHeight="false" outlineLevel="0" collapsed="false">
      <c r="A18083" s="3" t="s">
        <v>562</v>
      </c>
      <c r="C18083" s="16" t="n">
        <f aca="false">SUMPRODUCT(($C$18066:$C$18075&lt;C18072)*$C$18055:$C$18064)</f>
        <v>0</v>
      </c>
    </row>
    <row r="18084" customFormat="false" ht="15" hidden="false" customHeight="false" outlineLevel="0" collapsed="false">
      <c r="A18084" s="3" t="s">
        <v>563</v>
      </c>
      <c r="C18084" s="16" t="n">
        <f aca="false">SUMPRODUCT(($C$18066:$C$18075&lt;C18073)*$C$18055:$C$18064)</f>
        <v>0</v>
      </c>
    </row>
    <row r="18085" customFormat="false" ht="15" hidden="false" customHeight="false" outlineLevel="0" collapsed="false">
      <c r="A18085" s="3" t="s">
        <v>564</v>
      </c>
      <c r="C18085" s="16" t="n">
        <f aca="false">SUMPRODUCT(($C$18066:$C$18075&lt;C18074)*$C$18055:$C$18064)</f>
        <v>0</v>
      </c>
    </row>
    <row r="18086" customFormat="false" ht="15" hidden="false" customHeight="false" outlineLevel="0" collapsed="false">
      <c r="A18086" s="3" t="s">
        <v>565</v>
      </c>
      <c r="C18086" s="16" t="n">
        <f aca="false">SUMPRODUCT(($C$18066:$C$18075&lt;C18075)*$C$18055:$C$18064)</f>
        <v>1944.0724400583</v>
      </c>
    </row>
    <row r="18087" customFormat="false" ht="15" hidden="false" customHeight="false" outlineLevel="0" collapsed="false">
      <c r="A18087" s="24" t="s">
        <v>573</v>
      </c>
      <c r="B18087" s="25"/>
      <c r="C18087" s="25"/>
      <c r="D18087" s="25"/>
      <c r="E18087" s="25"/>
      <c r="F18087" s="25"/>
      <c r="G18087" s="25"/>
      <c r="H18087" s="25"/>
      <c r="I18087" s="25"/>
      <c r="J18087" s="25"/>
      <c r="K18087" s="25"/>
    </row>
    <row r="18088" customFormat="false" ht="15" hidden="false" customHeight="false" outlineLevel="0" collapsed="false">
      <c r="A18088" s="3" t="s">
        <v>556</v>
      </c>
      <c r="C18088" s="16" t="n">
        <f aca="false">SUMPRODUCT(($C$18066:$C$18075=C18066)*$C$18055:$C$18064)</f>
        <v>0</v>
      </c>
    </row>
    <row r="18089" customFormat="false" ht="15" hidden="false" customHeight="false" outlineLevel="0" collapsed="false">
      <c r="A18089" s="3" t="s">
        <v>557</v>
      </c>
      <c r="C18089" s="16" t="n">
        <f aca="false">SUMPRODUCT(($C$18066:$C$18075=C18067)*$C$18055:$C$18064)</f>
        <v>0</v>
      </c>
    </row>
    <row r="18090" customFormat="false" ht="15" hidden="false" customHeight="false" outlineLevel="0" collapsed="false">
      <c r="A18090" s="3" t="s">
        <v>558</v>
      </c>
      <c r="C18090" s="16" t="n">
        <f aca="false">SUMPRODUCT(($C$18066:$C$18075=C18068)*$C$18055:$C$18064)</f>
        <v>0</v>
      </c>
    </row>
    <row r="18091" customFormat="false" ht="15" hidden="false" customHeight="false" outlineLevel="0" collapsed="false">
      <c r="A18091" s="3" t="s">
        <v>559</v>
      </c>
      <c r="C18091" s="16" t="n">
        <f aca="false">SUMPRODUCT(($C$18066:$C$18075=C18069)*$C$18055:$C$18064)</f>
        <v>1944.0724400583</v>
      </c>
    </row>
    <row r="18092" customFormat="false" ht="15" hidden="false" customHeight="false" outlineLevel="0" collapsed="false">
      <c r="A18092" s="3" t="s">
        <v>560</v>
      </c>
      <c r="C18092" s="16" t="n">
        <f aca="false">SUMPRODUCT(($C$18066:$C$18075=C18070)*$C$18055:$C$18064)</f>
        <v>1944.0724400583</v>
      </c>
    </row>
    <row r="18093" customFormat="false" ht="15" hidden="false" customHeight="false" outlineLevel="0" collapsed="false">
      <c r="A18093" s="3" t="s">
        <v>561</v>
      </c>
      <c r="C18093" s="16" t="n">
        <f aca="false">SUMPRODUCT(($C$18066:$C$18075=C18071)*$C$18055:$C$18064)</f>
        <v>1944.0724400583</v>
      </c>
    </row>
    <row r="18094" customFormat="false" ht="15" hidden="false" customHeight="false" outlineLevel="0" collapsed="false">
      <c r="A18094" s="3" t="s">
        <v>562</v>
      </c>
      <c r="C18094" s="16" t="n">
        <f aca="false">SUMPRODUCT(($C$18066:$C$18075=C18072)*$C$18055:$C$18064)</f>
        <v>1944.0724400583</v>
      </c>
    </row>
    <row r="18095" customFormat="false" ht="15" hidden="false" customHeight="false" outlineLevel="0" collapsed="false">
      <c r="A18095" s="3" t="s">
        <v>563</v>
      </c>
      <c r="C18095" s="16" t="n">
        <f aca="false">SUMPRODUCT(($C$18066:$C$18075=C18073)*$C$18055:$C$18064)</f>
        <v>1944.0724400583</v>
      </c>
    </row>
    <row r="18096" customFormat="false" ht="15" hidden="false" customHeight="false" outlineLevel="0" collapsed="false">
      <c r="A18096" s="3" t="s">
        <v>564</v>
      </c>
      <c r="C18096" s="16" t="n">
        <f aca="false">SUMPRODUCT(($C$18066:$C$18075=C18074)*$C$18055:$C$18064)</f>
        <v>1944.0724400583</v>
      </c>
    </row>
    <row r="18097" customFormat="false" ht="15" hidden="false" customHeight="false" outlineLevel="0" collapsed="false">
      <c r="A18097" s="3" t="s">
        <v>565</v>
      </c>
      <c r="C18097" s="16" t="n">
        <f aca="false">SUMPRODUCT(($C$18066:$C$18075=C18075)*$C$18055:$C$18064)</f>
        <v>79.938509</v>
      </c>
    </row>
    <row r="18098" customFormat="false" ht="15" hidden="false" customHeight="false" outlineLevel="0" collapsed="false">
      <c r="A18098" s="24" t="s">
        <v>574</v>
      </c>
      <c r="B18098" s="25"/>
      <c r="C18098" s="25"/>
      <c r="D18098" s="25"/>
      <c r="E18098" s="25"/>
      <c r="F18098" s="25"/>
      <c r="G18098" s="25"/>
      <c r="H18098" s="25"/>
      <c r="I18098" s="25"/>
      <c r="J18098" s="25"/>
      <c r="K18098" s="25"/>
    </row>
    <row r="18099" customFormat="false" ht="15" hidden="false" customHeight="false" outlineLevel="0" collapsed="false">
      <c r="A18099" s="3" t="s">
        <v>556</v>
      </c>
      <c r="C18099" s="16" t="n">
        <f aca="false">IF(C18088=0,0,C18055/C18088*MAX(0,MIN(C18088,$C$17998-SUM($C$18033:$C$18042)-C18077)))</f>
        <v>0</v>
      </c>
    </row>
    <row r="18100" customFormat="false" ht="15" hidden="false" customHeight="false" outlineLevel="0" collapsed="false">
      <c r="A18100" s="3" t="s">
        <v>557</v>
      </c>
      <c r="C18100" s="16" t="n">
        <f aca="false">IF(C18089=0,0,C18056/C18089*MAX(0,MIN(C18089,$C$17998-SUM($C$18033:$C$18042)-C18078)))</f>
        <v>0</v>
      </c>
    </row>
    <row r="18101" customFormat="false" ht="15" hidden="false" customHeight="false" outlineLevel="0" collapsed="false">
      <c r="A18101" s="3" t="s">
        <v>558</v>
      </c>
      <c r="C18101" s="16" t="n">
        <f aca="false">IF(C18090=0,0,C18057/C18090*MAX(0,MIN(C18090,$C$17998-SUM($C$18033:$C$18042)-C18079)))</f>
        <v>0</v>
      </c>
    </row>
    <row r="18102" customFormat="false" ht="15" hidden="false" customHeight="false" outlineLevel="0" collapsed="false">
      <c r="A18102" s="3" t="s">
        <v>559</v>
      </c>
      <c r="C18102" s="16" t="n">
        <f aca="false">IF(C18091=0,0,C18058/C18091*MAX(0,MIN(C18091,$C$17998-SUM($C$18033:$C$18042)-C18080)))</f>
        <v>0</v>
      </c>
    </row>
    <row r="18103" customFormat="false" ht="15" hidden="false" customHeight="false" outlineLevel="0" collapsed="false">
      <c r="A18103" s="3" t="s">
        <v>560</v>
      </c>
      <c r="C18103" s="16" t="n">
        <f aca="false">IF(C18092=0,0,C18059/C18092*MAX(0,MIN(C18092,$C$17998-SUM($C$18033:$C$18042)-C18081)))</f>
        <v>366.031815058301</v>
      </c>
    </row>
    <row r="18104" customFormat="false" ht="15" hidden="false" customHeight="false" outlineLevel="0" collapsed="false">
      <c r="A18104" s="3" t="s">
        <v>561</v>
      </c>
      <c r="C18104" s="16" t="n">
        <f aca="false">IF(C18093=0,0,C18060/C18093*MAX(0,MIN(C18093,$C$17998-SUM($C$18033:$C$18042)-C18082)))</f>
        <v>357.2625</v>
      </c>
    </row>
    <row r="18105" customFormat="false" ht="15" hidden="false" customHeight="false" outlineLevel="0" collapsed="false">
      <c r="A18105" s="3" t="s">
        <v>562</v>
      </c>
      <c r="C18105" s="16" t="n">
        <f aca="false">IF(C18094=0,0,C18061/C18094*MAX(0,MIN(C18094,$C$17998-SUM($C$18033:$C$18042)-C18083)))</f>
        <v>562.203125</v>
      </c>
    </row>
    <row r="18106" customFormat="false" ht="15" hidden="false" customHeight="false" outlineLevel="0" collapsed="false">
      <c r="A18106" s="3" t="s">
        <v>563</v>
      </c>
      <c r="C18106" s="16" t="n">
        <f aca="false">IF(C18095=0,0,C18062/C18095*MAX(0,MIN(C18095,$C$17998-SUM($C$18033:$C$18042)-C18084)))</f>
        <v>353.98125</v>
      </c>
    </row>
    <row r="18107" customFormat="false" ht="15" hidden="false" customHeight="false" outlineLevel="0" collapsed="false">
      <c r="A18107" s="3" t="s">
        <v>564</v>
      </c>
      <c r="C18107" s="16" t="n">
        <f aca="false">IF(C18096=0,0,C18063/C18096*MAX(0,MIN(C18096,$C$17998-SUM($C$18033:$C$18042)-C18085)))</f>
        <v>304.59375</v>
      </c>
    </row>
    <row r="18108" customFormat="false" ht="15" hidden="false" customHeight="false" outlineLevel="0" collapsed="false">
      <c r="A18108" s="3" t="s">
        <v>565</v>
      </c>
      <c r="C18108" s="16" t="n">
        <f aca="false">IF(C18097=0,0,C18064/C18097*MAX(0,MIN(C18097,$C$17998-SUM($C$18033:$C$18042)-C18086)))</f>
        <v>79.938509</v>
      </c>
    </row>
    <row r="18109" customFormat="false" ht="15" hidden="false" customHeight="false" outlineLevel="0" collapsed="false">
      <c r="A18109" s="24" t="s">
        <v>575</v>
      </c>
      <c r="B18109" s="25"/>
      <c r="C18109" s="25"/>
      <c r="D18109" s="25"/>
      <c r="E18109" s="25"/>
      <c r="F18109" s="25"/>
      <c r="G18109" s="25"/>
      <c r="H18109" s="25"/>
      <c r="I18109" s="25"/>
      <c r="J18109" s="25"/>
      <c r="K18109" s="25"/>
    </row>
    <row r="18110" customFormat="false" ht="15" hidden="false" customHeight="false" outlineLevel="0" collapsed="false">
      <c r="A18110" s="2" t="s">
        <v>556</v>
      </c>
      <c r="C18110" s="17" t="n">
        <f aca="false">C18033+C18099</f>
        <v>402.29</v>
      </c>
    </row>
    <row r="18111" customFormat="false" ht="15" hidden="false" customHeight="false" outlineLevel="0" collapsed="false">
      <c r="A18111" s="2" t="s">
        <v>557</v>
      </c>
      <c r="C18111" s="17" t="n">
        <f aca="false">C18034+C18100</f>
        <v>91.30725</v>
      </c>
    </row>
    <row r="18112" customFormat="false" ht="15" hidden="false" customHeight="false" outlineLevel="0" collapsed="false">
      <c r="A18112" s="2" t="s">
        <v>558</v>
      </c>
      <c r="C18112" s="17" t="n">
        <f aca="false">C18035+C18101</f>
        <v>58.3715961</v>
      </c>
    </row>
    <row r="18113" customFormat="false" ht="15" hidden="false" customHeight="false" outlineLevel="0" collapsed="false">
      <c r="A18113" s="2" t="s">
        <v>559</v>
      </c>
      <c r="C18113" s="17" t="n">
        <f aca="false">C18036+C18102</f>
        <v>0</v>
      </c>
    </row>
    <row r="18114" customFormat="false" ht="15" hidden="false" customHeight="false" outlineLevel="0" collapsed="false">
      <c r="A18114" s="2" t="s">
        <v>560</v>
      </c>
      <c r="C18114" s="17" t="n">
        <f aca="false">C18037+C18103</f>
        <v>366.031815058301</v>
      </c>
    </row>
    <row r="18115" customFormat="false" ht="15" hidden="false" customHeight="false" outlineLevel="0" collapsed="false">
      <c r="A18115" s="2" t="s">
        <v>561</v>
      </c>
      <c r="C18115" s="17" t="n">
        <f aca="false">C18038+C18104</f>
        <v>357.2625</v>
      </c>
    </row>
    <row r="18116" customFormat="false" ht="15" hidden="false" customHeight="false" outlineLevel="0" collapsed="false">
      <c r="A18116" s="2" t="s">
        <v>562</v>
      </c>
      <c r="C18116" s="17" t="n">
        <f aca="false">C18039+C18105</f>
        <v>562.203125</v>
      </c>
    </row>
    <row r="18117" customFormat="false" ht="15" hidden="false" customHeight="false" outlineLevel="0" collapsed="false">
      <c r="A18117" s="2" t="s">
        <v>563</v>
      </c>
      <c r="C18117" s="17" t="n">
        <f aca="false">C18040+C18106</f>
        <v>353.98125</v>
      </c>
    </row>
    <row r="18118" customFormat="false" ht="15" hidden="false" customHeight="false" outlineLevel="0" collapsed="false">
      <c r="A18118" s="2" t="s">
        <v>564</v>
      </c>
      <c r="C18118" s="17" t="n">
        <f aca="false">C18041+C18107</f>
        <v>304.59375</v>
      </c>
    </row>
    <row r="18119" customFormat="false" ht="15" hidden="false" customHeight="false" outlineLevel="0" collapsed="false">
      <c r="A18119" s="2" t="s">
        <v>565</v>
      </c>
      <c r="C18119" s="17" t="n">
        <f aca="false">C18042+C18108</f>
        <v>79.938509</v>
      </c>
    </row>
    <row r="18120" customFormat="false" ht="15" hidden="false" customHeight="false" outlineLevel="0" collapsed="false">
      <c r="A18120" s="24" t="s">
        <v>576</v>
      </c>
      <c r="B18120" s="25"/>
      <c r="C18120" s="25"/>
      <c r="D18120" s="25"/>
      <c r="E18120" s="25"/>
      <c r="F18120" s="25"/>
      <c r="G18120" s="25"/>
      <c r="H18120" s="25"/>
      <c r="I18120" s="25"/>
      <c r="J18120" s="25"/>
      <c r="K18120" s="25"/>
    </row>
    <row r="18121" customFormat="false" ht="15" hidden="false" customHeight="false" outlineLevel="0" collapsed="false">
      <c r="A18121" s="3" t="s">
        <v>556</v>
      </c>
      <c r="C18121" s="22" t="n">
        <f aca="false">IF(C18000=0,1,C18110/C18000)</f>
        <v>1</v>
      </c>
    </row>
    <row r="18122" customFormat="false" ht="15" hidden="false" customHeight="false" outlineLevel="0" collapsed="false">
      <c r="A18122" s="3" t="s">
        <v>557</v>
      </c>
      <c r="C18122" s="22" t="n">
        <f aca="false">IF(C18001=0,1,C18111/C18001)</f>
        <v>1</v>
      </c>
    </row>
    <row r="18123" customFormat="false" ht="15" hidden="false" customHeight="false" outlineLevel="0" collapsed="false">
      <c r="A18123" s="3" t="s">
        <v>558</v>
      </c>
      <c r="C18123" s="22" t="n">
        <f aca="false">IF(C18002=0,1,C18112/C18002)</f>
        <v>1</v>
      </c>
    </row>
    <row r="18124" customFormat="false" ht="15" hidden="false" customHeight="false" outlineLevel="0" collapsed="false">
      <c r="A18124" s="3" t="s">
        <v>559</v>
      </c>
      <c r="C18124" s="22" t="n">
        <f aca="false">IF(C18003=0,1,C18113/C18003)</f>
        <v>1</v>
      </c>
    </row>
    <row r="18125" customFormat="false" ht="15" hidden="false" customHeight="false" outlineLevel="0" collapsed="false">
      <c r="A18125" s="3" t="s">
        <v>560</v>
      </c>
      <c r="C18125" s="22" t="n">
        <f aca="false">IF(C18004=0,1,C18114/C18004)</f>
        <v>1</v>
      </c>
    </row>
    <row r="18126" customFormat="false" ht="15" hidden="false" customHeight="false" outlineLevel="0" collapsed="false">
      <c r="A18126" s="3" t="s">
        <v>561</v>
      </c>
      <c r="C18126" s="22" t="n">
        <f aca="false">IF(C18005=0,1,C18115/C18005)</f>
        <v>1</v>
      </c>
    </row>
    <row r="18127" customFormat="false" ht="15" hidden="false" customHeight="false" outlineLevel="0" collapsed="false">
      <c r="A18127" s="3" t="s">
        <v>562</v>
      </c>
      <c r="C18127" s="22" t="n">
        <f aca="false">IF(C18006=0,1,C18116/C18006)</f>
        <v>1</v>
      </c>
    </row>
    <row r="18128" customFormat="false" ht="15" hidden="false" customHeight="false" outlineLevel="0" collapsed="false">
      <c r="A18128" s="3" t="s">
        <v>563</v>
      </c>
      <c r="C18128" s="22" t="n">
        <f aca="false">IF(C18007=0,1,C18117/C18007)</f>
        <v>1</v>
      </c>
    </row>
    <row r="18129" customFormat="false" ht="15" hidden="false" customHeight="false" outlineLevel="0" collapsed="false">
      <c r="A18129" s="3" t="s">
        <v>564</v>
      </c>
      <c r="C18129" s="22" t="n">
        <f aca="false">IF(C18008=0,1,C18118/C18008)</f>
        <v>1</v>
      </c>
    </row>
    <row r="18130" customFormat="false" ht="15" hidden="false" customHeight="false" outlineLevel="0" collapsed="false">
      <c r="A18130" s="3" t="s">
        <v>565</v>
      </c>
      <c r="C18130" s="22" t="n">
        <f aca="false">IF(C18009=0,1,C18119/C18009)</f>
        <v>1</v>
      </c>
    </row>
    <row r="18131" customFormat="false" ht="15" hidden="false" customHeight="false" outlineLevel="0" collapsed="false">
      <c r="A18131" s="24" t="s">
        <v>577</v>
      </c>
      <c r="B18131" s="25"/>
      <c r="C18131" s="25"/>
      <c r="D18131" s="25"/>
      <c r="E18131" s="25"/>
      <c r="F18131" s="25"/>
      <c r="G18131" s="25"/>
      <c r="H18131" s="25"/>
      <c r="I18131" s="25"/>
      <c r="J18131" s="25"/>
      <c r="K18131" s="25"/>
    </row>
    <row r="18132" customFormat="false" ht="15" hidden="false" customHeight="false" outlineLevel="0" collapsed="false">
      <c r="A18132" s="3" t="s">
        <v>556</v>
      </c>
      <c r="C18132" s="16" t="n">
        <f aca="false">C18000-C18110</f>
        <v>0</v>
      </c>
    </row>
    <row r="18133" customFormat="false" ht="15" hidden="false" customHeight="false" outlineLevel="0" collapsed="false">
      <c r="A18133" s="3" t="s">
        <v>557</v>
      </c>
      <c r="C18133" s="16" t="n">
        <f aca="false">C18001-C18111</f>
        <v>0</v>
      </c>
    </row>
    <row r="18134" customFormat="false" ht="15" hidden="false" customHeight="false" outlineLevel="0" collapsed="false">
      <c r="A18134" s="3" t="s">
        <v>558</v>
      </c>
      <c r="C18134" s="16" t="n">
        <f aca="false">C18002-C18112</f>
        <v>0</v>
      </c>
    </row>
    <row r="18135" customFormat="false" ht="15" hidden="false" customHeight="false" outlineLevel="0" collapsed="false">
      <c r="A18135" s="3" t="s">
        <v>559</v>
      </c>
      <c r="C18135" s="16" t="n">
        <f aca="false">C18003-C18113</f>
        <v>0</v>
      </c>
    </row>
    <row r="18136" customFormat="false" ht="15" hidden="false" customHeight="false" outlineLevel="0" collapsed="false">
      <c r="A18136" s="3" t="s">
        <v>560</v>
      </c>
      <c r="C18136" s="16" t="n">
        <f aca="false">C18004-C18114</f>
        <v>0</v>
      </c>
    </row>
    <row r="18137" customFormat="false" ht="15" hidden="false" customHeight="false" outlineLevel="0" collapsed="false">
      <c r="A18137" s="3" t="s">
        <v>561</v>
      </c>
      <c r="C18137" s="16" t="n">
        <f aca="false">C18005-C18115</f>
        <v>0</v>
      </c>
    </row>
    <row r="18138" customFormat="false" ht="15" hidden="false" customHeight="false" outlineLevel="0" collapsed="false">
      <c r="A18138" s="3" t="s">
        <v>562</v>
      </c>
      <c r="C18138" s="16" t="n">
        <f aca="false">C18006-C18116</f>
        <v>0</v>
      </c>
    </row>
    <row r="18139" customFormat="false" ht="15" hidden="false" customHeight="false" outlineLevel="0" collapsed="false">
      <c r="A18139" s="3" t="s">
        <v>563</v>
      </c>
      <c r="C18139" s="16" t="n">
        <f aca="false">C18007-C18117</f>
        <v>0</v>
      </c>
    </row>
    <row r="18140" customFormat="false" ht="15" hidden="false" customHeight="false" outlineLevel="0" collapsed="false">
      <c r="A18140" s="3" t="s">
        <v>564</v>
      </c>
      <c r="C18140" s="16" t="n">
        <f aca="false">C18008-C18118</f>
        <v>0</v>
      </c>
    </row>
    <row r="18141" customFormat="false" ht="15" hidden="false" customHeight="false" outlineLevel="0" collapsed="false">
      <c r="A18141" s="3" t="s">
        <v>565</v>
      </c>
      <c r="C18141" s="16" t="n">
        <f aca="false">C18009-C18119</f>
        <v>0</v>
      </c>
    </row>
    <row r="18142" customFormat="false" ht="15" hidden="false" customHeight="false" outlineLevel="0" collapsed="false">
      <c r="A18142" s="24" t="s">
        <v>578</v>
      </c>
      <c r="B18142" s="25"/>
      <c r="C18142" s="25"/>
      <c r="D18142" s="25"/>
      <c r="E18142" s="25"/>
      <c r="F18142" s="25"/>
      <c r="G18142" s="25"/>
      <c r="H18142" s="25"/>
      <c r="I18142" s="25"/>
      <c r="J18142" s="25"/>
      <c r="K18142" s="25"/>
    </row>
    <row r="18143" customFormat="false" ht="15" hidden="false" customHeight="false" outlineLevel="0" collapsed="false">
      <c r="A18143" s="3" t="s">
        <v>556</v>
      </c>
      <c r="C18143" s="22" t="n">
        <f aca="false">IF(C18000=0,0,C18132/C18000)</f>
        <v>0</v>
      </c>
    </row>
    <row r="18144" customFormat="false" ht="15" hidden="false" customHeight="false" outlineLevel="0" collapsed="false">
      <c r="A18144" s="3" t="s">
        <v>557</v>
      </c>
      <c r="C18144" s="22" t="n">
        <f aca="false">IF(C18001=0,0,C18133/C18001)</f>
        <v>0</v>
      </c>
    </row>
    <row r="18145" customFormat="false" ht="15" hidden="false" customHeight="false" outlineLevel="0" collapsed="false">
      <c r="A18145" s="3" t="s">
        <v>558</v>
      </c>
      <c r="C18145" s="22" t="n">
        <f aca="false">IF(C18002=0,0,C18134/C18002)</f>
        <v>0</v>
      </c>
    </row>
    <row r="18146" customFormat="false" ht="15" hidden="false" customHeight="false" outlineLevel="0" collapsed="false">
      <c r="A18146" s="3" t="s">
        <v>559</v>
      </c>
      <c r="C18146" s="22" t="n">
        <f aca="false">IF(C18003=0,0,C18135/C18003)</f>
        <v>0</v>
      </c>
    </row>
    <row r="18147" customFormat="false" ht="15" hidden="false" customHeight="false" outlineLevel="0" collapsed="false">
      <c r="A18147" s="3" t="s">
        <v>560</v>
      </c>
      <c r="C18147" s="22" t="n">
        <f aca="false">IF(C18004=0,0,C18136/C18004)</f>
        <v>0</v>
      </c>
    </row>
    <row r="18148" customFormat="false" ht="15" hidden="false" customHeight="false" outlineLevel="0" collapsed="false">
      <c r="A18148" s="3" t="s">
        <v>561</v>
      </c>
      <c r="C18148" s="22" t="n">
        <f aca="false">IF(C18005=0,0,C18137/C18005)</f>
        <v>0</v>
      </c>
    </row>
    <row r="18149" customFormat="false" ht="15" hidden="false" customHeight="false" outlineLevel="0" collapsed="false">
      <c r="A18149" s="3" t="s">
        <v>562</v>
      </c>
      <c r="C18149" s="22" t="n">
        <f aca="false">IF(C18006=0,0,C18138/C18006)</f>
        <v>0</v>
      </c>
    </row>
    <row r="18150" customFormat="false" ht="15" hidden="false" customHeight="false" outlineLevel="0" collapsed="false">
      <c r="A18150" s="3" t="s">
        <v>563</v>
      </c>
      <c r="C18150" s="22" t="n">
        <f aca="false">IF(C18007=0,0,C18139/C18007)</f>
        <v>0</v>
      </c>
    </row>
    <row r="18151" customFormat="false" ht="15" hidden="false" customHeight="false" outlineLevel="0" collapsed="false">
      <c r="A18151" s="3" t="s">
        <v>564</v>
      </c>
      <c r="C18151" s="22" t="n">
        <f aca="false">IF(C18008=0,0,C18140/C18008)</f>
        <v>0</v>
      </c>
    </row>
    <row r="18152" customFormat="false" ht="15" hidden="false" customHeight="false" outlineLevel="0" collapsed="false">
      <c r="A18152" s="3" t="s">
        <v>565</v>
      </c>
      <c r="C18152" s="22" t="n">
        <f aca="false">IF(C18009=0,0,C18141/C18009)</f>
        <v>0</v>
      </c>
    </row>
    <row r="18153" customFormat="false" ht="15" hidden="false" customHeight="false" outlineLevel="0" collapsed="false">
      <c r="A18153" s="2" t="s">
        <v>579</v>
      </c>
      <c r="C18153" s="17" t="n">
        <f aca="false">MAX(0,$C$17998-SUM($C$18033:$C$18042)-SUM($C$18055:$C$18064))</f>
        <v>557.4973872417</v>
      </c>
    </row>
    <row r="18154" customFormat="false" ht="15" hidden="false" customHeight="false" outlineLevel="0" collapsed="false">
      <c r="A18154" s="3" t="s">
        <v>580</v>
      </c>
      <c r="C18154" s="16" t="n">
        <f aca="false">SUM($C$18110:$C$18119)+C18153+C17997-C17996</f>
        <v>0</v>
      </c>
    </row>
    <row r="18156" customFormat="false" ht="15" hidden="false" customHeight="false" outlineLevel="0" collapsed="false">
      <c r="A18156" s="24" t="s">
        <v>583</v>
      </c>
      <c r="B18156" s="25"/>
      <c r="C18156" s="25"/>
      <c r="D18156" s="25"/>
      <c r="E18156" s="25"/>
      <c r="F18156" s="25"/>
      <c r="G18156" s="25"/>
      <c r="H18156" s="25"/>
      <c r="I18156" s="25"/>
      <c r="J18156" s="25"/>
      <c r="K18156" s="25"/>
    </row>
    <row r="18157" customFormat="false" ht="15" hidden="false" customHeight="false" outlineLevel="0" collapsed="false">
      <c r="A18157" s="3" t="s">
        <v>584</v>
      </c>
      <c r="C18157" s="27" t="n">
        <f aca="false">Assumptions!$C$34</f>
        <v>1</v>
      </c>
    </row>
    <row r="18158" customFormat="false" ht="15" hidden="false" customHeight="false" outlineLevel="0" collapsed="false">
      <c r="A18158" s="3" t="s">
        <v>585</v>
      </c>
      <c r="C18158" s="29" t="n">
        <f aca="false">Assumptions!$C$35</f>
        <v>100</v>
      </c>
    </row>
    <row r="18159" customFormat="false" ht="15" hidden="false" customHeight="false" outlineLevel="0" collapsed="false">
      <c r="A18159" s="3" t="s">
        <v>586</v>
      </c>
      <c r="C18159" s="40" t="n">
        <f aca="false">Assumptions!$C$36</f>
        <v>98</v>
      </c>
    </row>
    <row r="18160" customFormat="false" ht="15" hidden="false" customHeight="false" outlineLevel="0" collapsed="false">
      <c r="A18160" s="3" t="s">
        <v>587</v>
      </c>
      <c r="C18160" s="16" t="n">
        <f aca="false">C18158*C18159/100*(1+Assumptions!$C$37)</f>
        <v>98.49</v>
      </c>
    </row>
    <row r="18161" customFormat="false" ht="15" hidden="false" customHeight="false" outlineLevel="0" collapsed="false">
      <c r="A18161" s="3" t="s">
        <v>588</v>
      </c>
      <c r="C18161" s="27" t="n">
        <f aca="false">Assumptions!$C$38</f>
        <v>3</v>
      </c>
    </row>
    <row r="18162" customFormat="false" ht="15" hidden="false" customHeight="false" outlineLevel="0" collapsed="false">
      <c r="A18162" s="3" t="s">
        <v>589</v>
      </c>
      <c r="C18162" s="21" t="n">
        <f aca="false">IF(C17989=1,SUMPRODUCT($G$17925:$K$17925,$G$17699:$K$17699),0)</f>
        <v>2</v>
      </c>
    </row>
    <row r="18163" customFormat="false" ht="15" hidden="false" customHeight="false" outlineLevel="0" collapsed="false">
      <c r="A18163" s="3" t="s">
        <v>590</v>
      </c>
      <c r="C18163" s="22" t="n">
        <f aca="false">IFERROR(C18158/CHOOSE(C18157,SUMPRODUCT($G$17988:$K$17988,$G$17745:$K$17745),SUMPRODUCT($G$17988:$K$17988,$G$17758:$K$17758),SUMPRODUCT($G$17988:$K$17988,$G$17771:$K$17771),SUMPRODUCT($G$17988:$K$17988,$G$17784:$K$17784),SUMPRODUCT($G$17988:$K$17988,$G$17797:$K$17797),SUMPRODUCT($G$17988:$K$17988,$G$17810:$K$17810),SUMPRODUCT($G$17988:$K$17988,$G$17823:$K$17823),SUMPRODUCT($G$17988:$K$17988,$G$17836:$K$17836),SUMPRODUCT($G$17988:$K$17988,$G$17849:$K$17849),SUMPRODUCT($G$17988:$K$17988,$G$17862:$K$17862)),0)</f>
        <v>0.255102040816327</v>
      </c>
    </row>
    <row r="18164" customFormat="false" ht="15" hidden="false" customHeight="false" outlineLevel="0" collapsed="false">
      <c r="A18164" s="3" t="s">
        <v>591</v>
      </c>
      <c r="C18164" s="16" t="n">
        <f aca="false">CHOOSE(C18157,C18110,C18111,C18112,C18113,C18114,C18115,C18116,C18117,C18118,C18119)*C18163</f>
        <v>102.625</v>
      </c>
    </row>
    <row r="18165" customFormat="false" ht="15" hidden="false" customHeight="false" outlineLevel="0" collapsed="false">
      <c r="A18165" s="3" t="s">
        <v>592</v>
      </c>
      <c r="C18165" s="22" t="n">
        <f aca="false">CHOOSE(C18157,C18121,C18122,C18123,C18124,C18125,C18126,C18127,C18128,C18129,C18130)</f>
        <v>1</v>
      </c>
    </row>
    <row r="18166" customFormat="false" ht="15" hidden="false" customHeight="false" outlineLevel="0" collapsed="false">
      <c r="A18166" s="3" t="s">
        <v>593</v>
      </c>
      <c r="C18166" s="21" t="n">
        <f aca="false">IF(C17989=1,C18162,C18161)</f>
        <v>2</v>
      </c>
    </row>
    <row r="18167" customFormat="false" ht="15" hidden="false" customHeight="false" outlineLevel="0" collapsed="false">
      <c r="A18167" s="3" t="s">
        <v>594</v>
      </c>
      <c r="C18167" s="35" t="n">
        <f aca="false">CHOOSE($C$17691,Assumptions!$C$91,Assumptions!$C$110,Assumptions!$C$129)</f>
        <v>95</v>
      </c>
    </row>
    <row r="18168" customFormat="false" ht="15" hidden="false" customHeight="false" outlineLevel="0" collapsed="false">
      <c r="A18168" s="3" t="s">
        <v>595</v>
      </c>
      <c r="C18168" s="16" t="n">
        <f aca="false">INDEX($G$17708:$K$17708,C18161)*CHOOSE($C$17691,Assumptions!$C$90,Assumptions!$C$109,Assumptions!$C$128)+MAX(0,INDEX($G$17922:$K$17922,C18161))</f>
        <v>3254.0728322388</v>
      </c>
    </row>
    <row r="18169" customFormat="false" ht="15" hidden="false" customHeight="false" outlineLevel="0" collapsed="false">
      <c r="A18169" s="24" t="s">
        <v>596</v>
      </c>
      <c r="B18169" s="25"/>
      <c r="C18169" s="25"/>
      <c r="D18169" s="25"/>
      <c r="E18169" s="25"/>
      <c r="F18169" s="25"/>
      <c r="G18169" s="25"/>
      <c r="H18169" s="25"/>
      <c r="I18169" s="25"/>
      <c r="J18169" s="25"/>
      <c r="K18169" s="25"/>
    </row>
    <row r="18170" customFormat="false" ht="15" hidden="false" customHeight="false" outlineLevel="0" collapsed="false">
      <c r="A18170" s="3" t="s">
        <v>556</v>
      </c>
      <c r="C18170" s="16" t="n">
        <f aca="false">INDEX($G$17745:$K$17745,C18161)</f>
        <v>388</v>
      </c>
    </row>
    <row r="18171" customFormat="false" ht="15" hidden="false" customHeight="false" outlineLevel="0" collapsed="false">
      <c r="A18171" s="3" t="s">
        <v>557</v>
      </c>
      <c r="C18171" s="16" t="n">
        <f aca="false">INDEX($G$17758:$K$17758,C18161)</f>
        <v>90</v>
      </c>
    </row>
    <row r="18172" customFormat="false" ht="15" hidden="false" customHeight="false" outlineLevel="0" collapsed="false">
      <c r="A18172" s="3" t="s">
        <v>558</v>
      </c>
      <c r="C18172" s="16" t="n">
        <f aca="false">INDEX($G$17771:$K$17771,C18161)</f>
        <v>57.324</v>
      </c>
    </row>
    <row r="18173" customFormat="false" ht="15" hidden="false" customHeight="false" outlineLevel="0" collapsed="false">
      <c r="A18173" s="3" t="s">
        <v>559</v>
      </c>
      <c r="C18173" s="16" t="n">
        <f aca="false">INDEX($G$17784:$K$17784,C18161)</f>
        <v>0</v>
      </c>
    </row>
    <row r="18174" customFormat="false" ht="15" hidden="false" customHeight="false" outlineLevel="0" collapsed="false">
      <c r="A18174" s="3" t="s">
        <v>560</v>
      </c>
      <c r="C18174" s="16" t="n">
        <f aca="false">INDEX($G$17797:$K$17797,C18161)</f>
        <v>362.452595676</v>
      </c>
    </row>
    <row r="18175" customFormat="false" ht="15" hidden="false" customHeight="false" outlineLevel="0" collapsed="false">
      <c r="A18175" s="3" t="s">
        <v>561</v>
      </c>
      <c r="C18175" s="16" t="n">
        <f aca="false">INDEX($G$17810:$K$17810,C18161)</f>
        <v>350</v>
      </c>
    </row>
    <row r="18176" customFormat="false" ht="15" hidden="false" customHeight="false" outlineLevel="0" collapsed="false">
      <c r="A18176" s="3" t="s">
        <v>562</v>
      </c>
      <c r="C18176" s="16" t="n">
        <f aca="false">INDEX($G$17823:$K$17823,C18161)</f>
        <v>550</v>
      </c>
    </row>
    <row r="18177" customFormat="false" ht="15" hidden="false" customHeight="false" outlineLevel="0" collapsed="false">
      <c r="A18177" s="3" t="s">
        <v>563</v>
      </c>
      <c r="C18177" s="16" t="n">
        <f aca="false">INDEX($G$17836:$K$17836,C18161)</f>
        <v>350</v>
      </c>
    </row>
    <row r="18178" customFormat="false" ht="15" hidden="false" customHeight="false" outlineLevel="0" collapsed="false">
      <c r="A18178" s="3" t="s">
        <v>564</v>
      </c>
      <c r="C18178" s="16" t="n">
        <f aca="false">INDEX($G$17849:$K$17849,C18161)</f>
        <v>300</v>
      </c>
    </row>
    <row r="18179" customFormat="false" ht="15" hidden="false" customHeight="false" outlineLevel="0" collapsed="false">
      <c r="A18179" s="3" t="s">
        <v>565</v>
      </c>
      <c r="C18179" s="16" t="n">
        <f aca="false">INDEX($G$17862:$K$17862,C18161)</f>
        <v>78.61</v>
      </c>
    </row>
    <row r="18180" customFormat="false" ht="15" hidden="false" customHeight="false" outlineLevel="0" collapsed="false">
      <c r="A18180" s="24" t="s">
        <v>566</v>
      </c>
      <c r="B18180" s="25"/>
      <c r="C18180" s="25"/>
      <c r="D18180" s="25"/>
      <c r="E18180" s="25"/>
      <c r="F18180" s="25"/>
      <c r="G18180" s="25"/>
      <c r="H18180" s="25"/>
      <c r="I18180" s="25"/>
      <c r="J18180" s="25"/>
      <c r="K18180" s="25"/>
    </row>
    <row r="18181" customFormat="false" ht="15" hidden="false" customHeight="false" outlineLevel="0" collapsed="false">
      <c r="A18181" s="3" t="s">
        <v>556</v>
      </c>
      <c r="C18181" s="27" t="n">
        <f aca="false">Assumptions!$M$57</f>
        <v>1</v>
      </c>
    </row>
    <row r="18182" customFormat="false" ht="15" hidden="false" customHeight="false" outlineLevel="0" collapsed="false">
      <c r="A18182" s="3" t="s">
        <v>557</v>
      </c>
      <c r="C18182" s="27" t="n">
        <f aca="false">Assumptions!$M$58</f>
        <v>1</v>
      </c>
    </row>
    <row r="18183" customFormat="false" ht="15" hidden="false" customHeight="false" outlineLevel="0" collapsed="false">
      <c r="A18183" s="3" t="s">
        <v>558</v>
      </c>
      <c r="C18183" s="27" t="n">
        <f aca="false">Assumptions!$M$59</f>
        <v>1</v>
      </c>
    </row>
    <row r="18184" customFormat="false" ht="15" hidden="false" customHeight="false" outlineLevel="0" collapsed="false">
      <c r="A18184" s="3" t="s">
        <v>559</v>
      </c>
      <c r="C18184" s="27" t="n">
        <f aca="false">Assumptions!$M$60</f>
        <v>2</v>
      </c>
    </row>
    <row r="18185" customFormat="false" ht="15" hidden="false" customHeight="false" outlineLevel="0" collapsed="false">
      <c r="A18185" s="3" t="s">
        <v>560</v>
      </c>
      <c r="C18185" s="27" t="n">
        <f aca="false">Assumptions!$M$61</f>
        <v>2</v>
      </c>
    </row>
    <row r="18186" customFormat="false" ht="15" hidden="false" customHeight="false" outlineLevel="0" collapsed="false">
      <c r="A18186" s="3" t="s">
        <v>561</v>
      </c>
      <c r="C18186" s="27" t="n">
        <f aca="false">Assumptions!$M$62</f>
        <v>2</v>
      </c>
    </row>
    <row r="18187" customFormat="false" ht="15" hidden="false" customHeight="false" outlineLevel="0" collapsed="false">
      <c r="A18187" s="3" t="s">
        <v>562</v>
      </c>
      <c r="C18187" s="27" t="n">
        <f aca="false">Assumptions!$M$63</f>
        <v>2</v>
      </c>
    </row>
    <row r="18188" customFormat="false" ht="15" hidden="false" customHeight="false" outlineLevel="0" collapsed="false">
      <c r="A18188" s="3" t="s">
        <v>563</v>
      </c>
      <c r="C18188" s="27" t="n">
        <f aca="false">Assumptions!$M$64</f>
        <v>2</v>
      </c>
    </row>
    <row r="18189" customFormat="false" ht="15" hidden="false" customHeight="false" outlineLevel="0" collapsed="false">
      <c r="A18189" s="3" t="s">
        <v>564</v>
      </c>
      <c r="C18189" s="27" t="n">
        <f aca="false">Assumptions!$M$65</f>
        <v>2</v>
      </c>
    </row>
    <row r="18190" customFormat="false" ht="15" hidden="false" customHeight="false" outlineLevel="0" collapsed="false">
      <c r="A18190" s="3" t="s">
        <v>565</v>
      </c>
      <c r="C18190" s="27" t="n">
        <f aca="false">Assumptions!$M$66</f>
        <v>3</v>
      </c>
    </row>
    <row r="18191" customFormat="false" ht="15" hidden="false" customHeight="false" outlineLevel="0" collapsed="false">
      <c r="A18191" s="24" t="s">
        <v>567</v>
      </c>
      <c r="B18191" s="25"/>
      <c r="C18191" s="25"/>
      <c r="D18191" s="25"/>
      <c r="E18191" s="25"/>
      <c r="F18191" s="25"/>
      <c r="G18191" s="25"/>
      <c r="H18191" s="25"/>
      <c r="I18191" s="25"/>
      <c r="J18191" s="25"/>
      <c r="K18191" s="25"/>
    </row>
    <row r="18192" customFormat="false" ht="15" hidden="false" customHeight="false" outlineLevel="0" collapsed="false">
      <c r="A18192" s="3" t="s">
        <v>556</v>
      </c>
      <c r="C18192" s="33" t="n">
        <f aca="false">Assumptions!$Q$57</f>
        <v>0.3</v>
      </c>
    </row>
    <row r="18193" customFormat="false" ht="15" hidden="false" customHeight="false" outlineLevel="0" collapsed="false">
      <c r="A18193" s="3" t="s">
        <v>557</v>
      </c>
      <c r="C18193" s="33" t="n">
        <f aca="false">Assumptions!$Q$58</f>
        <v>0.033</v>
      </c>
    </row>
    <row r="18194" customFormat="false" ht="15" hidden="false" customHeight="false" outlineLevel="0" collapsed="false">
      <c r="A18194" s="3" t="s">
        <v>558</v>
      </c>
      <c r="C18194" s="33" t="n">
        <f aca="false">Assumptions!$Q$59</f>
        <v>0.021</v>
      </c>
    </row>
    <row r="18195" customFormat="false" ht="15" hidden="false" customHeight="false" outlineLevel="0" collapsed="false">
      <c r="A18195" s="3" t="s">
        <v>559</v>
      </c>
      <c r="C18195" s="33" t="n">
        <f aca="false">Assumptions!$Q$60</f>
        <v>0</v>
      </c>
    </row>
    <row r="18196" customFormat="false" ht="15" hidden="false" customHeight="false" outlineLevel="0" collapsed="false">
      <c r="A18196" s="3" t="s">
        <v>560</v>
      </c>
      <c r="C18196" s="33" t="n">
        <f aca="false">Assumptions!$Q$61</f>
        <v>0</v>
      </c>
    </row>
    <row r="18197" customFormat="false" ht="15" hidden="false" customHeight="false" outlineLevel="0" collapsed="false">
      <c r="A18197" s="3" t="s">
        <v>561</v>
      </c>
      <c r="C18197" s="33" t="n">
        <f aca="false">Assumptions!$Q$62</f>
        <v>0</v>
      </c>
    </row>
    <row r="18198" customFormat="false" ht="15" hidden="false" customHeight="false" outlineLevel="0" collapsed="false">
      <c r="A18198" s="3" t="s">
        <v>562</v>
      </c>
      <c r="C18198" s="33" t="n">
        <f aca="false">Assumptions!$Q$63</f>
        <v>0</v>
      </c>
    </row>
    <row r="18199" customFormat="false" ht="15" hidden="false" customHeight="false" outlineLevel="0" collapsed="false">
      <c r="A18199" s="3" t="s">
        <v>563</v>
      </c>
      <c r="C18199" s="33" t="n">
        <f aca="false">Assumptions!$Q$64</f>
        <v>0</v>
      </c>
    </row>
    <row r="18200" customFormat="false" ht="15" hidden="false" customHeight="false" outlineLevel="0" collapsed="false">
      <c r="A18200" s="3" t="s">
        <v>564</v>
      </c>
      <c r="C18200" s="33" t="n">
        <f aca="false">Assumptions!$Q$65</f>
        <v>0</v>
      </c>
    </row>
    <row r="18201" customFormat="false" ht="15" hidden="false" customHeight="false" outlineLevel="0" collapsed="false">
      <c r="A18201" s="3" t="s">
        <v>565</v>
      </c>
      <c r="C18201" s="33" t="n">
        <f aca="false">Assumptions!$Q$66</f>
        <v>0</v>
      </c>
    </row>
    <row r="18202" customFormat="false" ht="15" hidden="false" customHeight="false" outlineLevel="0" collapsed="false">
      <c r="A18202" s="24" t="s">
        <v>568</v>
      </c>
      <c r="B18202" s="25"/>
      <c r="C18202" s="25"/>
      <c r="D18202" s="25"/>
      <c r="E18202" s="25"/>
      <c r="F18202" s="25"/>
      <c r="G18202" s="25"/>
      <c r="H18202" s="25"/>
      <c r="I18202" s="25"/>
      <c r="J18202" s="25"/>
      <c r="K18202" s="25"/>
    </row>
    <row r="18203" customFormat="false" ht="15" hidden="false" customHeight="false" outlineLevel="0" collapsed="false">
      <c r="A18203" s="3" t="s">
        <v>556</v>
      </c>
      <c r="C18203" s="16" t="n">
        <f aca="false">IF(C18192&gt;0,MIN(C18170,C18192*$C$18168),0)</f>
        <v>388</v>
      </c>
    </row>
    <row r="18204" customFormat="false" ht="15" hidden="false" customHeight="false" outlineLevel="0" collapsed="false">
      <c r="A18204" s="3" t="s">
        <v>557</v>
      </c>
      <c r="C18204" s="16" t="n">
        <f aca="false">IF(C18193&gt;0,MIN(C18171,C18193*$C$18168),0)</f>
        <v>90</v>
      </c>
    </row>
    <row r="18205" customFormat="false" ht="15" hidden="false" customHeight="false" outlineLevel="0" collapsed="false">
      <c r="A18205" s="3" t="s">
        <v>558</v>
      </c>
      <c r="C18205" s="16" t="n">
        <f aca="false">IF(C18194&gt;0,MIN(C18172,C18194*$C$18168),0)</f>
        <v>57.324</v>
      </c>
    </row>
    <row r="18206" customFormat="false" ht="15" hidden="false" customHeight="false" outlineLevel="0" collapsed="false">
      <c r="A18206" s="3" t="s">
        <v>559</v>
      </c>
      <c r="C18206" s="16" t="n">
        <f aca="false">IF(C18195&gt;0,MIN(C18173,C18195*$C$18168),0)</f>
        <v>0</v>
      </c>
    </row>
    <row r="18207" customFormat="false" ht="15" hidden="false" customHeight="false" outlineLevel="0" collapsed="false">
      <c r="A18207" s="3" t="s">
        <v>560</v>
      </c>
      <c r="C18207" s="16" t="n">
        <f aca="false">IF(C18196&gt;0,MIN(C18174,C18196*$C$18168),0)</f>
        <v>0</v>
      </c>
    </row>
    <row r="18208" customFormat="false" ht="15" hidden="false" customHeight="false" outlineLevel="0" collapsed="false">
      <c r="A18208" s="3" t="s">
        <v>561</v>
      </c>
      <c r="C18208" s="16" t="n">
        <f aca="false">IF(C18197&gt;0,MIN(C18175,C18197*$C$18168),0)</f>
        <v>0</v>
      </c>
    </row>
    <row r="18209" customFormat="false" ht="15" hidden="false" customHeight="false" outlineLevel="0" collapsed="false">
      <c r="A18209" s="3" t="s">
        <v>562</v>
      </c>
      <c r="C18209" s="16" t="n">
        <f aca="false">IF(C18198&gt;0,MIN(C18176,C18198*$C$18168),0)</f>
        <v>0</v>
      </c>
    </row>
    <row r="18210" customFormat="false" ht="15" hidden="false" customHeight="false" outlineLevel="0" collapsed="false">
      <c r="A18210" s="3" t="s">
        <v>563</v>
      </c>
      <c r="C18210" s="16" t="n">
        <f aca="false">IF(C18199&gt;0,MIN(C18177,C18199*$C$18168),0)</f>
        <v>0</v>
      </c>
    </row>
    <row r="18211" customFormat="false" ht="15" hidden="false" customHeight="false" outlineLevel="0" collapsed="false">
      <c r="A18211" s="3" t="s">
        <v>564</v>
      </c>
      <c r="C18211" s="16" t="n">
        <f aca="false">IF(C18200&gt;0,MIN(C18178,C18200*$C$18168),0)</f>
        <v>0</v>
      </c>
    </row>
    <row r="18212" customFormat="false" ht="15" hidden="false" customHeight="false" outlineLevel="0" collapsed="false">
      <c r="A18212" s="3" t="s">
        <v>565</v>
      </c>
      <c r="C18212" s="16" t="n">
        <f aca="false">IF(C18201&gt;0,MIN(C18179,C18201*$C$18168),0)</f>
        <v>0</v>
      </c>
    </row>
    <row r="18213" customFormat="false" ht="15" hidden="false" customHeight="false" outlineLevel="0" collapsed="false">
      <c r="A18213" s="24" t="s">
        <v>569</v>
      </c>
      <c r="B18213" s="25"/>
      <c r="C18213" s="25"/>
      <c r="D18213" s="25"/>
      <c r="E18213" s="25"/>
      <c r="F18213" s="25"/>
      <c r="G18213" s="25"/>
      <c r="H18213" s="25"/>
      <c r="I18213" s="25"/>
      <c r="J18213" s="25"/>
      <c r="K18213" s="25"/>
    </row>
    <row r="18214" customFormat="false" ht="15" hidden="false" customHeight="false" outlineLevel="0" collapsed="false">
      <c r="A18214" s="3" t="s">
        <v>556</v>
      </c>
      <c r="C18214" s="16" t="n">
        <f aca="false">IF(C18192&gt;0,C18170-C18203,0)</f>
        <v>0</v>
      </c>
    </row>
    <row r="18215" customFormat="false" ht="15" hidden="false" customHeight="false" outlineLevel="0" collapsed="false">
      <c r="A18215" s="3" t="s">
        <v>557</v>
      </c>
      <c r="C18215" s="16" t="n">
        <f aca="false">IF(C18193&gt;0,C18171-C18204,0)</f>
        <v>0</v>
      </c>
    </row>
    <row r="18216" customFormat="false" ht="15" hidden="false" customHeight="false" outlineLevel="0" collapsed="false">
      <c r="A18216" s="3" t="s">
        <v>558</v>
      </c>
      <c r="C18216" s="16" t="n">
        <f aca="false">IF(C18194&gt;0,C18172-C18205,0)</f>
        <v>0</v>
      </c>
    </row>
    <row r="18217" customFormat="false" ht="15" hidden="false" customHeight="false" outlineLevel="0" collapsed="false">
      <c r="A18217" s="3" t="s">
        <v>559</v>
      </c>
      <c r="C18217" s="16" t="n">
        <f aca="false">IF(C18195&gt;0,C18173-C18206,0)</f>
        <v>0</v>
      </c>
    </row>
    <row r="18218" customFormat="false" ht="15" hidden="false" customHeight="false" outlineLevel="0" collapsed="false">
      <c r="A18218" s="3" t="s">
        <v>560</v>
      </c>
      <c r="C18218" s="16" t="n">
        <f aca="false">IF(C18196&gt;0,C18174-C18207,0)</f>
        <v>0</v>
      </c>
    </row>
    <row r="18219" customFormat="false" ht="15" hidden="false" customHeight="false" outlineLevel="0" collapsed="false">
      <c r="A18219" s="3" t="s">
        <v>561</v>
      </c>
      <c r="C18219" s="16" t="n">
        <f aca="false">IF(C18197&gt;0,C18175-C18208,0)</f>
        <v>0</v>
      </c>
    </row>
    <row r="18220" customFormat="false" ht="15" hidden="false" customHeight="false" outlineLevel="0" collapsed="false">
      <c r="A18220" s="3" t="s">
        <v>562</v>
      </c>
      <c r="C18220" s="16" t="n">
        <f aca="false">IF(C18198&gt;0,C18176-C18209,0)</f>
        <v>0</v>
      </c>
    </row>
    <row r="18221" customFormat="false" ht="15" hidden="false" customHeight="false" outlineLevel="0" collapsed="false">
      <c r="A18221" s="3" t="s">
        <v>563</v>
      </c>
      <c r="C18221" s="16" t="n">
        <f aca="false">IF(C18199&gt;0,C18177-C18210,0)</f>
        <v>0</v>
      </c>
    </row>
    <row r="18222" customFormat="false" ht="15" hidden="false" customHeight="false" outlineLevel="0" collapsed="false">
      <c r="A18222" s="3" t="s">
        <v>564</v>
      </c>
      <c r="C18222" s="16" t="n">
        <f aca="false">IF(C18200&gt;0,C18178-C18211,0)</f>
        <v>0</v>
      </c>
    </row>
    <row r="18223" customFormat="false" ht="15" hidden="false" customHeight="false" outlineLevel="0" collapsed="false">
      <c r="A18223" s="3" t="s">
        <v>565</v>
      </c>
      <c r="C18223" s="16" t="n">
        <f aca="false">IF(C18201&gt;0,C18179-C18212,0)</f>
        <v>0</v>
      </c>
    </row>
    <row r="18224" customFormat="false" ht="15" hidden="false" customHeight="false" outlineLevel="0" collapsed="false">
      <c r="A18224" s="24" t="s">
        <v>570</v>
      </c>
      <c r="B18224" s="25"/>
      <c r="C18224" s="25"/>
      <c r="D18224" s="25"/>
      <c r="E18224" s="25"/>
      <c r="F18224" s="25"/>
      <c r="G18224" s="25"/>
      <c r="H18224" s="25"/>
      <c r="I18224" s="25"/>
      <c r="J18224" s="25"/>
      <c r="K18224" s="25"/>
    </row>
    <row r="18225" customFormat="false" ht="15" hidden="false" customHeight="false" outlineLevel="0" collapsed="false">
      <c r="A18225" s="3" t="s">
        <v>556</v>
      </c>
      <c r="C18225" s="16" t="n">
        <f aca="false">IF(C18192&gt;0,C18214,C18170)</f>
        <v>0</v>
      </c>
    </row>
    <row r="18226" customFormat="false" ht="15" hidden="false" customHeight="false" outlineLevel="0" collapsed="false">
      <c r="A18226" s="3" t="s">
        <v>557</v>
      </c>
      <c r="C18226" s="16" t="n">
        <f aca="false">IF(C18193&gt;0,C18215,C18171)</f>
        <v>0</v>
      </c>
    </row>
    <row r="18227" customFormat="false" ht="15" hidden="false" customHeight="false" outlineLevel="0" collapsed="false">
      <c r="A18227" s="3" t="s">
        <v>558</v>
      </c>
      <c r="C18227" s="16" t="n">
        <f aca="false">IF(C18194&gt;0,C18216,C18172)</f>
        <v>0</v>
      </c>
    </row>
    <row r="18228" customFormat="false" ht="15" hidden="false" customHeight="false" outlineLevel="0" collapsed="false">
      <c r="A18228" s="3" t="s">
        <v>559</v>
      </c>
      <c r="C18228" s="16" t="n">
        <f aca="false">IF(C18195&gt;0,C18217,C18173)</f>
        <v>0</v>
      </c>
    </row>
    <row r="18229" customFormat="false" ht="15" hidden="false" customHeight="false" outlineLevel="0" collapsed="false">
      <c r="A18229" s="3" t="s">
        <v>560</v>
      </c>
      <c r="C18229" s="16" t="n">
        <f aca="false">IF(C18196&gt;0,C18218,C18174)</f>
        <v>362.452595676</v>
      </c>
    </row>
    <row r="18230" customFormat="false" ht="15" hidden="false" customHeight="false" outlineLevel="0" collapsed="false">
      <c r="A18230" s="3" t="s">
        <v>561</v>
      </c>
      <c r="C18230" s="16" t="n">
        <f aca="false">IF(C18197&gt;0,C18219,C18175)</f>
        <v>350</v>
      </c>
    </row>
    <row r="18231" customFormat="false" ht="15" hidden="false" customHeight="false" outlineLevel="0" collapsed="false">
      <c r="A18231" s="3" t="s">
        <v>562</v>
      </c>
      <c r="C18231" s="16" t="n">
        <f aca="false">IF(C18198&gt;0,C18220,C18176)</f>
        <v>550</v>
      </c>
    </row>
    <row r="18232" customFormat="false" ht="15" hidden="false" customHeight="false" outlineLevel="0" collapsed="false">
      <c r="A18232" s="3" t="s">
        <v>563</v>
      </c>
      <c r="C18232" s="16" t="n">
        <f aca="false">IF(C18199&gt;0,C18221,C18177)</f>
        <v>350</v>
      </c>
    </row>
    <row r="18233" customFormat="false" ht="15" hidden="false" customHeight="false" outlineLevel="0" collapsed="false">
      <c r="A18233" s="3" t="s">
        <v>564</v>
      </c>
      <c r="C18233" s="16" t="n">
        <f aca="false">IF(C18200&gt;0,C18222,C18178)</f>
        <v>300</v>
      </c>
    </row>
    <row r="18234" customFormat="false" ht="15" hidden="false" customHeight="false" outlineLevel="0" collapsed="false">
      <c r="A18234" s="3" t="s">
        <v>565</v>
      </c>
      <c r="C18234" s="16" t="n">
        <f aca="false">IF(C18201&gt;0,C18223,C18179)</f>
        <v>78.61</v>
      </c>
    </row>
    <row r="18235" customFormat="false" ht="15" hidden="false" customHeight="false" outlineLevel="0" collapsed="false">
      <c r="A18235" s="24" t="s">
        <v>571</v>
      </c>
      <c r="B18235" s="25"/>
      <c r="C18235" s="25"/>
      <c r="D18235" s="25"/>
      <c r="E18235" s="25"/>
      <c r="F18235" s="25"/>
      <c r="G18235" s="25"/>
      <c r="H18235" s="25"/>
      <c r="I18235" s="25"/>
      <c r="J18235" s="25"/>
      <c r="K18235" s="25"/>
    </row>
    <row r="18236" customFormat="false" ht="15" hidden="false" customHeight="false" outlineLevel="0" collapsed="false">
      <c r="A18236" s="3" t="s">
        <v>556</v>
      </c>
      <c r="C18236" s="21" t="n">
        <f aca="false">IF(C18192&gt;0,Assumptions!$C$17,C18181)</f>
        <v>99</v>
      </c>
    </row>
    <row r="18237" customFormat="false" ht="15" hidden="false" customHeight="false" outlineLevel="0" collapsed="false">
      <c r="A18237" s="3" t="s">
        <v>557</v>
      </c>
      <c r="C18237" s="21" t="n">
        <f aca="false">IF(C18193&gt;0,Assumptions!$C$17,C18182)</f>
        <v>99</v>
      </c>
    </row>
    <row r="18238" customFormat="false" ht="15" hidden="false" customHeight="false" outlineLevel="0" collapsed="false">
      <c r="A18238" s="3" t="s">
        <v>558</v>
      </c>
      <c r="C18238" s="21" t="n">
        <f aca="false">IF(C18194&gt;0,Assumptions!$C$17,C18183)</f>
        <v>99</v>
      </c>
    </row>
    <row r="18239" customFormat="false" ht="15" hidden="false" customHeight="false" outlineLevel="0" collapsed="false">
      <c r="A18239" s="3" t="s">
        <v>559</v>
      </c>
      <c r="C18239" s="21" t="n">
        <f aca="false">IF(C18195&gt;0,Assumptions!$C$17,C18184)</f>
        <v>2</v>
      </c>
    </row>
    <row r="18240" customFormat="false" ht="15" hidden="false" customHeight="false" outlineLevel="0" collapsed="false">
      <c r="A18240" s="3" t="s">
        <v>560</v>
      </c>
      <c r="C18240" s="21" t="n">
        <f aca="false">IF(C18196&gt;0,Assumptions!$C$17,C18185)</f>
        <v>2</v>
      </c>
    </row>
    <row r="18241" customFormat="false" ht="15" hidden="false" customHeight="false" outlineLevel="0" collapsed="false">
      <c r="A18241" s="3" t="s">
        <v>561</v>
      </c>
      <c r="C18241" s="21" t="n">
        <f aca="false">IF(C18197&gt;0,Assumptions!$C$17,C18186)</f>
        <v>2</v>
      </c>
    </row>
    <row r="18242" customFormat="false" ht="15" hidden="false" customHeight="false" outlineLevel="0" collapsed="false">
      <c r="A18242" s="3" t="s">
        <v>562</v>
      </c>
      <c r="C18242" s="21" t="n">
        <f aca="false">IF(C18198&gt;0,Assumptions!$C$17,C18187)</f>
        <v>2</v>
      </c>
    </row>
    <row r="18243" customFormat="false" ht="15" hidden="false" customHeight="false" outlineLevel="0" collapsed="false">
      <c r="A18243" s="3" t="s">
        <v>563</v>
      </c>
      <c r="C18243" s="21" t="n">
        <f aca="false">IF(C18199&gt;0,Assumptions!$C$17,C18188)</f>
        <v>2</v>
      </c>
    </row>
    <row r="18244" customFormat="false" ht="15" hidden="false" customHeight="false" outlineLevel="0" collapsed="false">
      <c r="A18244" s="3" t="s">
        <v>564</v>
      </c>
      <c r="C18244" s="21" t="n">
        <f aca="false">IF(C18200&gt;0,Assumptions!$C$17,C18189)</f>
        <v>2</v>
      </c>
    </row>
    <row r="18245" customFormat="false" ht="15" hidden="false" customHeight="false" outlineLevel="0" collapsed="false">
      <c r="A18245" s="3" t="s">
        <v>565</v>
      </c>
      <c r="C18245" s="21" t="n">
        <f aca="false">IF(C18201&gt;0,Assumptions!$C$17,C18190)</f>
        <v>3</v>
      </c>
    </row>
    <row r="18246" customFormat="false" ht="15" hidden="false" customHeight="false" outlineLevel="0" collapsed="false">
      <c r="A18246" s="24" t="s">
        <v>572</v>
      </c>
      <c r="B18246" s="25"/>
      <c r="C18246" s="25"/>
      <c r="D18246" s="25"/>
      <c r="E18246" s="25"/>
      <c r="F18246" s="25"/>
      <c r="G18246" s="25"/>
      <c r="H18246" s="25"/>
      <c r="I18246" s="25"/>
      <c r="J18246" s="25"/>
      <c r="K18246" s="25"/>
    </row>
    <row r="18247" customFormat="false" ht="15" hidden="false" customHeight="false" outlineLevel="0" collapsed="false">
      <c r="A18247" s="3" t="s">
        <v>556</v>
      </c>
      <c r="C18247" s="16" t="n">
        <f aca="false">SUMPRODUCT(($C$18236:$C$18245&lt;C18236)*$C$18225:$C$18234)</f>
        <v>1991.062595676</v>
      </c>
    </row>
    <row r="18248" customFormat="false" ht="15" hidden="false" customHeight="false" outlineLevel="0" collapsed="false">
      <c r="A18248" s="3" t="s">
        <v>557</v>
      </c>
      <c r="C18248" s="16" t="n">
        <f aca="false">SUMPRODUCT(($C$18236:$C$18245&lt;C18237)*$C$18225:$C$18234)</f>
        <v>1991.062595676</v>
      </c>
    </row>
    <row r="18249" customFormat="false" ht="15" hidden="false" customHeight="false" outlineLevel="0" collapsed="false">
      <c r="A18249" s="3" t="s">
        <v>558</v>
      </c>
      <c r="C18249" s="16" t="n">
        <f aca="false">SUMPRODUCT(($C$18236:$C$18245&lt;C18238)*$C$18225:$C$18234)</f>
        <v>1991.062595676</v>
      </c>
    </row>
    <row r="18250" customFormat="false" ht="15" hidden="false" customHeight="false" outlineLevel="0" collapsed="false">
      <c r="A18250" s="3" t="s">
        <v>559</v>
      </c>
      <c r="C18250" s="16" t="n">
        <f aca="false">SUMPRODUCT(($C$18236:$C$18245&lt;C18239)*$C$18225:$C$18234)</f>
        <v>0</v>
      </c>
    </row>
    <row r="18251" customFormat="false" ht="15" hidden="false" customHeight="false" outlineLevel="0" collapsed="false">
      <c r="A18251" s="3" t="s">
        <v>560</v>
      </c>
      <c r="C18251" s="16" t="n">
        <f aca="false">SUMPRODUCT(($C$18236:$C$18245&lt;C18240)*$C$18225:$C$18234)</f>
        <v>0</v>
      </c>
    </row>
    <row r="18252" customFormat="false" ht="15" hidden="false" customHeight="false" outlineLevel="0" collapsed="false">
      <c r="A18252" s="3" t="s">
        <v>561</v>
      </c>
      <c r="C18252" s="16" t="n">
        <f aca="false">SUMPRODUCT(($C$18236:$C$18245&lt;C18241)*$C$18225:$C$18234)</f>
        <v>0</v>
      </c>
    </row>
    <row r="18253" customFormat="false" ht="15" hidden="false" customHeight="false" outlineLevel="0" collapsed="false">
      <c r="A18253" s="3" t="s">
        <v>562</v>
      </c>
      <c r="C18253" s="16" t="n">
        <f aca="false">SUMPRODUCT(($C$18236:$C$18245&lt;C18242)*$C$18225:$C$18234)</f>
        <v>0</v>
      </c>
    </row>
    <row r="18254" customFormat="false" ht="15" hidden="false" customHeight="false" outlineLevel="0" collapsed="false">
      <c r="A18254" s="3" t="s">
        <v>563</v>
      </c>
      <c r="C18254" s="16" t="n">
        <f aca="false">SUMPRODUCT(($C$18236:$C$18245&lt;C18243)*$C$18225:$C$18234)</f>
        <v>0</v>
      </c>
    </row>
    <row r="18255" customFormat="false" ht="15" hidden="false" customHeight="false" outlineLevel="0" collapsed="false">
      <c r="A18255" s="3" t="s">
        <v>564</v>
      </c>
      <c r="C18255" s="16" t="n">
        <f aca="false">SUMPRODUCT(($C$18236:$C$18245&lt;C18244)*$C$18225:$C$18234)</f>
        <v>0</v>
      </c>
    </row>
    <row r="18256" customFormat="false" ht="15" hidden="false" customHeight="false" outlineLevel="0" collapsed="false">
      <c r="A18256" s="3" t="s">
        <v>565</v>
      </c>
      <c r="C18256" s="16" t="n">
        <f aca="false">SUMPRODUCT(($C$18236:$C$18245&lt;C18245)*$C$18225:$C$18234)</f>
        <v>1912.452595676</v>
      </c>
    </row>
    <row r="18257" customFormat="false" ht="15" hidden="false" customHeight="false" outlineLevel="0" collapsed="false">
      <c r="A18257" s="24" t="s">
        <v>573</v>
      </c>
      <c r="B18257" s="25"/>
      <c r="C18257" s="25"/>
      <c r="D18257" s="25"/>
      <c r="E18257" s="25"/>
      <c r="F18257" s="25"/>
      <c r="G18257" s="25"/>
      <c r="H18257" s="25"/>
      <c r="I18257" s="25"/>
      <c r="J18257" s="25"/>
      <c r="K18257" s="25"/>
    </row>
    <row r="18258" customFormat="false" ht="15" hidden="false" customHeight="false" outlineLevel="0" collapsed="false">
      <c r="A18258" s="3" t="s">
        <v>556</v>
      </c>
      <c r="C18258" s="16" t="n">
        <f aca="false">SUMPRODUCT(($C$18236:$C$18245=C18236)*$C$18225:$C$18234)</f>
        <v>0</v>
      </c>
    </row>
    <row r="18259" customFormat="false" ht="15" hidden="false" customHeight="false" outlineLevel="0" collapsed="false">
      <c r="A18259" s="3" t="s">
        <v>557</v>
      </c>
      <c r="C18259" s="16" t="n">
        <f aca="false">SUMPRODUCT(($C$18236:$C$18245=C18237)*$C$18225:$C$18234)</f>
        <v>0</v>
      </c>
    </row>
    <row r="18260" customFormat="false" ht="15" hidden="false" customHeight="false" outlineLevel="0" collapsed="false">
      <c r="A18260" s="3" t="s">
        <v>558</v>
      </c>
      <c r="C18260" s="16" t="n">
        <f aca="false">SUMPRODUCT(($C$18236:$C$18245=C18238)*$C$18225:$C$18234)</f>
        <v>0</v>
      </c>
    </row>
    <row r="18261" customFormat="false" ht="15" hidden="false" customHeight="false" outlineLevel="0" collapsed="false">
      <c r="A18261" s="3" t="s">
        <v>559</v>
      </c>
      <c r="C18261" s="16" t="n">
        <f aca="false">SUMPRODUCT(($C$18236:$C$18245=C18239)*$C$18225:$C$18234)</f>
        <v>1912.452595676</v>
      </c>
    </row>
    <row r="18262" customFormat="false" ht="15" hidden="false" customHeight="false" outlineLevel="0" collapsed="false">
      <c r="A18262" s="3" t="s">
        <v>560</v>
      </c>
      <c r="C18262" s="16" t="n">
        <f aca="false">SUMPRODUCT(($C$18236:$C$18245=C18240)*$C$18225:$C$18234)</f>
        <v>1912.452595676</v>
      </c>
    </row>
    <row r="18263" customFormat="false" ht="15" hidden="false" customHeight="false" outlineLevel="0" collapsed="false">
      <c r="A18263" s="3" t="s">
        <v>561</v>
      </c>
      <c r="C18263" s="16" t="n">
        <f aca="false">SUMPRODUCT(($C$18236:$C$18245=C18241)*$C$18225:$C$18234)</f>
        <v>1912.452595676</v>
      </c>
    </row>
    <row r="18264" customFormat="false" ht="15" hidden="false" customHeight="false" outlineLevel="0" collapsed="false">
      <c r="A18264" s="3" t="s">
        <v>562</v>
      </c>
      <c r="C18264" s="16" t="n">
        <f aca="false">SUMPRODUCT(($C$18236:$C$18245=C18242)*$C$18225:$C$18234)</f>
        <v>1912.452595676</v>
      </c>
    </row>
    <row r="18265" customFormat="false" ht="15" hidden="false" customHeight="false" outlineLevel="0" collapsed="false">
      <c r="A18265" s="3" t="s">
        <v>563</v>
      </c>
      <c r="C18265" s="16" t="n">
        <f aca="false">SUMPRODUCT(($C$18236:$C$18245=C18243)*$C$18225:$C$18234)</f>
        <v>1912.452595676</v>
      </c>
    </row>
    <row r="18266" customFormat="false" ht="15" hidden="false" customHeight="false" outlineLevel="0" collapsed="false">
      <c r="A18266" s="3" t="s">
        <v>564</v>
      </c>
      <c r="C18266" s="16" t="n">
        <f aca="false">SUMPRODUCT(($C$18236:$C$18245=C18244)*$C$18225:$C$18234)</f>
        <v>1912.452595676</v>
      </c>
    </row>
    <row r="18267" customFormat="false" ht="15" hidden="false" customHeight="false" outlineLevel="0" collapsed="false">
      <c r="A18267" s="3" t="s">
        <v>565</v>
      </c>
      <c r="C18267" s="16" t="n">
        <f aca="false">SUMPRODUCT(($C$18236:$C$18245=C18245)*$C$18225:$C$18234)</f>
        <v>78.61</v>
      </c>
    </row>
    <row r="18268" customFormat="false" ht="15" hidden="false" customHeight="false" outlineLevel="0" collapsed="false">
      <c r="A18268" s="24" t="s">
        <v>574</v>
      </c>
      <c r="B18268" s="25"/>
      <c r="C18268" s="25"/>
      <c r="D18268" s="25"/>
      <c r="E18268" s="25"/>
      <c r="F18268" s="25"/>
      <c r="G18268" s="25"/>
      <c r="H18268" s="25"/>
      <c r="I18268" s="25"/>
      <c r="J18268" s="25"/>
      <c r="K18268" s="25"/>
    </row>
    <row r="18269" customFormat="false" ht="15" hidden="false" customHeight="false" outlineLevel="0" collapsed="false">
      <c r="A18269" s="3" t="s">
        <v>556</v>
      </c>
      <c r="C18269" s="16" t="n">
        <f aca="false">IF(C18258=0,0,C18225/C18258*MAX(0,MIN(C18258,$C$18168-SUM($C$18203:$C$18212)-C18247)))</f>
        <v>0</v>
      </c>
    </row>
    <row r="18270" customFormat="false" ht="15" hidden="false" customHeight="false" outlineLevel="0" collapsed="false">
      <c r="A18270" s="3" t="s">
        <v>557</v>
      </c>
      <c r="C18270" s="16" t="n">
        <f aca="false">IF(C18259=0,0,C18226/C18259*MAX(0,MIN(C18259,$C$18168-SUM($C$18203:$C$18212)-C18248)))</f>
        <v>0</v>
      </c>
    </row>
    <row r="18271" customFormat="false" ht="15" hidden="false" customHeight="false" outlineLevel="0" collapsed="false">
      <c r="A18271" s="3" t="s">
        <v>558</v>
      </c>
      <c r="C18271" s="16" t="n">
        <f aca="false">IF(C18260=0,0,C18227/C18260*MAX(0,MIN(C18260,$C$18168-SUM($C$18203:$C$18212)-C18249)))</f>
        <v>0</v>
      </c>
    </row>
    <row r="18272" customFormat="false" ht="15" hidden="false" customHeight="false" outlineLevel="0" collapsed="false">
      <c r="A18272" s="3" t="s">
        <v>559</v>
      </c>
      <c r="C18272" s="16" t="n">
        <f aca="false">IF(C18261=0,0,C18228/C18261*MAX(0,MIN(C18261,$C$18168-SUM($C$18203:$C$18212)-C18250)))</f>
        <v>0</v>
      </c>
    </row>
    <row r="18273" customFormat="false" ht="15" hidden="false" customHeight="false" outlineLevel="0" collapsed="false">
      <c r="A18273" s="3" t="s">
        <v>560</v>
      </c>
      <c r="C18273" s="16" t="n">
        <f aca="false">IF(C18262=0,0,C18229/C18262*MAX(0,MIN(C18262,$C$18168-SUM($C$18203:$C$18212)-C18251)))</f>
        <v>362.452595676</v>
      </c>
    </row>
    <row r="18274" customFormat="false" ht="15" hidden="false" customHeight="false" outlineLevel="0" collapsed="false">
      <c r="A18274" s="3" t="s">
        <v>561</v>
      </c>
      <c r="C18274" s="16" t="n">
        <f aca="false">IF(C18263=0,0,C18230/C18263*MAX(0,MIN(C18263,$C$18168-SUM($C$18203:$C$18212)-C18252)))</f>
        <v>350</v>
      </c>
    </row>
    <row r="18275" customFormat="false" ht="15" hidden="false" customHeight="false" outlineLevel="0" collapsed="false">
      <c r="A18275" s="3" t="s">
        <v>562</v>
      </c>
      <c r="C18275" s="16" t="n">
        <f aca="false">IF(C18264=0,0,C18231/C18264*MAX(0,MIN(C18264,$C$18168-SUM($C$18203:$C$18212)-C18253)))</f>
        <v>550</v>
      </c>
    </row>
    <row r="18276" customFormat="false" ht="15" hidden="false" customHeight="false" outlineLevel="0" collapsed="false">
      <c r="A18276" s="3" t="s">
        <v>563</v>
      </c>
      <c r="C18276" s="16" t="n">
        <f aca="false">IF(C18265=0,0,C18232/C18265*MAX(0,MIN(C18265,$C$18168-SUM($C$18203:$C$18212)-C18254)))</f>
        <v>350</v>
      </c>
    </row>
    <row r="18277" customFormat="false" ht="15" hidden="false" customHeight="false" outlineLevel="0" collapsed="false">
      <c r="A18277" s="3" t="s">
        <v>564</v>
      </c>
      <c r="C18277" s="16" t="n">
        <f aca="false">IF(C18266=0,0,C18233/C18266*MAX(0,MIN(C18266,$C$18168-SUM($C$18203:$C$18212)-C18255)))</f>
        <v>300</v>
      </c>
    </row>
    <row r="18278" customFormat="false" ht="15" hidden="false" customHeight="false" outlineLevel="0" collapsed="false">
      <c r="A18278" s="3" t="s">
        <v>565</v>
      </c>
      <c r="C18278" s="16" t="n">
        <f aca="false">IF(C18267=0,0,C18234/C18267*MAX(0,MIN(C18267,$C$18168-SUM($C$18203:$C$18212)-C18256)))</f>
        <v>78.61</v>
      </c>
    </row>
    <row r="18279" customFormat="false" ht="15" hidden="false" customHeight="false" outlineLevel="0" collapsed="false">
      <c r="A18279" s="24" t="s">
        <v>575</v>
      </c>
      <c r="B18279" s="25"/>
      <c r="C18279" s="25"/>
      <c r="D18279" s="25"/>
      <c r="E18279" s="25"/>
      <c r="F18279" s="25"/>
      <c r="G18279" s="25"/>
      <c r="H18279" s="25"/>
      <c r="I18279" s="25"/>
      <c r="J18279" s="25"/>
      <c r="K18279" s="25"/>
    </row>
    <row r="18280" customFormat="false" ht="15" hidden="false" customHeight="false" outlineLevel="0" collapsed="false">
      <c r="A18280" s="2" t="s">
        <v>556</v>
      </c>
      <c r="C18280" s="17" t="n">
        <f aca="false">C18203+C18269</f>
        <v>388</v>
      </c>
    </row>
    <row r="18281" customFormat="false" ht="15" hidden="false" customHeight="false" outlineLevel="0" collapsed="false">
      <c r="A18281" s="2" t="s">
        <v>557</v>
      </c>
      <c r="C18281" s="17" t="n">
        <f aca="false">C18204+C18270</f>
        <v>90</v>
      </c>
    </row>
    <row r="18282" customFormat="false" ht="15" hidden="false" customHeight="false" outlineLevel="0" collapsed="false">
      <c r="A18282" s="2" t="s">
        <v>558</v>
      </c>
      <c r="C18282" s="17" t="n">
        <f aca="false">C18205+C18271</f>
        <v>57.324</v>
      </c>
    </row>
    <row r="18283" customFormat="false" ht="15" hidden="false" customHeight="false" outlineLevel="0" collapsed="false">
      <c r="A18283" s="2" t="s">
        <v>559</v>
      </c>
      <c r="C18283" s="17" t="n">
        <f aca="false">C18206+C18272</f>
        <v>0</v>
      </c>
    </row>
    <row r="18284" customFormat="false" ht="15" hidden="false" customHeight="false" outlineLevel="0" collapsed="false">
      <c r="A18284" s="2" t="s">
        <v>560</v>
      </c>
      <c r="C18284" s="17" t="n">
        <f aca="false">C18207+C18273</f>
        <v>362.452595676</v>
      </c>
    </row>
    <row r="18285" customFormat="false" ht="15" hidden="false" customHeight="false" outlineLevel="0" collapsed="false">
      <c r="A18285" s="2" t="s">
        <v>561</v>
      </c>
      <c r="C18285" s="17" t="n">
        <f aca="false">C18208+C18274</f>
        <v>350</v>
      </c>
    </row>
    <row r="18286" customFormat="false" ht="15" hidden="false" customHeight="false" outlineLevel="0" collapsed="false">
      <c r="A18286" s="2" t="s">
        <v>562</v>
      </c>
      <c r="C18286" s="17" t="n">
        <f aca="false">C18209+C18275</f>
        <v>550</v>
      </c>
    </row>
    <row r="18287" customFormat="false" ht="15" hidden="false" customHeight="false" outlineLevel="0" collapsed="false">
      <c r="A18287" s="2" t="s">
        <v>563</v>
      </c>
      <c r="C18287" s="17" t="n">
        <f aca="false">C18210+C18276</f>
        <v>350</v>
      </c>
    </row>
    <row r="18288" customFormat="false" ht="15" hidden="false" customHeight="false" outlineLevel="0" collapsed="false">
      <c r="A18288" s="2" t="s">
        <v>564</v>
      </c>
      <c r="C18288" s="17" t="n">
        <f aca="false">C18211+C18277</f>
        <v>300</v>
      </c>
    </row>
    <row r="18289" customFormat="false" ht="15" hidden="false" customHeight="false" outlineLevel="0" collapsed="false">
      <c r="A18289" s="2" t="s">
        <v>565</v>
      </c>
      <c r="C18289" s="17" t="n">
        <f aca="false">C18212+C18278</f>
        <v>78.61</v>
      </c>
    </row>
    <row r="18290" customFormat="false" ht="15" hidden="false" customHeight="false" outlineLevel="0" collapsed="false">
      <c r="A18290" s="24" t="s">
        <v>576</v>
      </c>
      <c r="B18290" s="25"/>
      <c r="C18290" s="25"/>
      <c r="D18290" s="25"/>
      <c r="E18290" s="25"/>
      <c r="F18290" s="25"/>
      <c r="G18290" s="25"/>
      <c r="H18290" s="25"/>
      <c r="I18290" s="25"/>
      <c r="J18290" s="25"/>
      <c r="K18290" s="25"/>
    </row>
    <row r="18291" customFormat="false" ht="15" hidden="false" customHeight="false" outlineLevel="0" collapsed="false">
      <c r="A18291" s="3" t="s">
        <v>556</v>
      </c>
      <c r="C18291" s="22" t="n">
        <f aca="false">IF(C18170=0,1,C18280/C18170)</f>
        <v>1</v>
      </c>
    </row>
    <row r="18292" customFormat="false" ht="15" hidden="false" customHeight="false" outlineLevel="0" collapsed="false">
      <c r="A18292" s="3" t="s">
        <v>557</v>
      </c>
      <c r="C18292" s="22" t="n">
        <f aca="false">IF(C18171=0,1,C18281/C18171)</f>
        <v>1</v>
      </c>
    </row>
    <row r="18293" customFormat="false" ht="15" hidden="false" customHeight="false" outlineLevel="0" collapsed="false">
      <c r="A18293" s="3" t="s">
        <v>558</v>
      </c>
      <c r="C18293" s="22" t="n">
        <f aca="false">IF(C18172=0,1,C18282/C18172)</f>
        <v>1</v>
      </c>
    </row>
    <row r="18294" customFormat="false" ht="15" hidden="false" customHeight="false" outlineLevel="0" collapsed="false">
      <c r="A18294" s="3" t="s">
        <v>559</v>
      </c>
      <c r="C18294" s="22" t="n">
        <f aca="false">IF(C18173=0,1,C18283/C18173)</f>
        <v>1</v>
      </c>
    </row>
    <row r="18295" customFormat="false" ht="15" hidden="false" customHeight="false" outlineLevel="0" collapsed="false">
      <c r="A18295" s="3" t="s">
        <v>560</v>
      </c>
      <c r="C18295" s="22" t="n">
        <f aca="false">IF(C18174=0,1,C18284/C18174)</f>
        <v>1</v>
      </c>
    </row>
    <row r="18296" customFormat="false" ht="15" hidden="false" customHeight="false" outlineLevel="0" collapsed="false">
      <c r="A18296" s="3" t="s">
        <v>561</v>
      </c>
      <c r="C18296" s="22" t="n">
        <f aca="false">IF(C18175=0,1,C18285/C18175)</f>
        <v>1</v>
      </c>
    </row>
    <row r="18297" customFormat="false" ht="15" hidden="false" customHeight="false" outlineLevel="0" collapsed="false">
      <c r="A18297" s="3" t="s">
        <v>562</v>
      </c>
      <c r="C18297" s="22" t="n">
        <f aca="false">IF(C18176=0,1,C18286/C18176)</f>
        <v>1</v>
      </c>
    </row>
    <row r="18298" customFormat="false" ht="15" hidden="false" customHeight="false" outlineLevel="0" collapsed="false">
      <c r="A18298" s="3" t="s">
        <v>563</v>
      </c>
      <c r="C18298" s="22" t="n">
        <f aca="false">IF(C18177=0,1,C18287/C18177)</f>
        <v>1</v>
      </c>
    </row>
    <row r="18299" customFormat="false" ht="15" hidden="false" customHeight="false" outlineLevel="0" collapsed="false">
      <c r="A18299" s="3" t="s">
        <v>564</v>
      </c>
      <c r="C18299" s="22" t="n">
        <f aca="false">IF(C18178=0,1,C18288/C18178)</f>
        <v>1</v>
      </c>
    </row>
    <row r="18300" customFormat="false" ht="15" hidden="false" customHeight="false" outlineLevel="0" collapsed="false">
      <c r="A18300" s="3" t="s">
        <v>565</v>
      </c>
      <c r="C18300" s="22" t="n">
        <f aca="false">IF(C18179=0,1,C18289/C18179)</f>
        <v>1</v>
      </c>
    </row>
    <row r="18301" customFormat="false" ht="15" hidden="false" customHeight="false" outlineLevel="0" collapsed="false">
      <c r="A18301" s="24" t="s">
        <v>577</v>
      </c>
      <c r="B18301" s="25"/>
      <c r="C18301" s="25"/>
      <c r="D18301" s="25"/>
      <c r="E18301" s="25"/>
      <c r="F18301" s="25"/>
      <c r="G18301" s="25"/>
      <c r="H18301" s="25"/>
      <c r="I18301" s="25"/>
      <c r="J18301" s="25"/>
      <c r="K18301" s="25"/>
    </row>
    <row r="18302" customFormat="false" ht="15" hidden="false" customHeight="false" outlineLevel="0" collapsed="false">
      <c r="A18302" s="3" t="s">
        <v>556</v>
      </c>
      <c r="C18302" s="16" t="n">
        <f aca="false">C18170-C18280</f>
        <v>0</v>
      </c>
    </row>
    <row r="18303" customFormat="false" ht="15" hidden="false" customHeight="false" outlineLevel="0" collapsed="false">
      <c r="A18303" s="3" t="s">
        <v>557</v>
      </c>
      <c r="C18303" s="16" t="n">
        <f aca="false">C18171-C18281</f>
        <v>0</v>
      </c>
    </row>
    <row r="18304" customFormat="false" ht="15" hidden="false" customHeight="false" outlineLevel="0" collapsed="false">
      <c r="A18304" s="3" t="s">
        <v>558</v>
      </c>
      <c r="C18304" s="16" t="n">
        <f aca="false">C18172-C18282</f>
        <v>0</v>
      </c>
    </row>
    <row r="18305" customFormat="false" ht="15" hidden="false" customHeight="false" outlineLevel="0" collapsed="false">
      <c r="A18305" s="3" t="s">
        <v>559</v>
      </c>
      <c r="C18305" s="16" t="n">
        <f aca="false">C18173-C18283</f>
        <v>0</v>
      </c>
    </row>
    <row r="18306" customFormat="false" ht="15" hidden="false" customHeight="false" outlineLevel="0" collapsed="false">
      <c r="A18306" s="3" t="s">
        <v>560</v>
      </c>
      <c r="C18306" s="16" t="n">
        <f aca="false">C18174-C18284</f>
        <v>0</v>
      </c>
    </row>
    <row r="18307" customFormat="false" ht="15" hidden="false" customHeight="false" outlineLevel="0" collapsed="false">
      <c r="A18307" s="3" t="s">
        <v>561</v>
      </c>
      <c r="C18307" s="16" t="n">
        <f aca="false">C18175-C18285</f>
        <v>0</v>
      </c>
    </row>
    <row r="18308" customFormat="false" ht="15" hidden="false" customHeight="false" outlineLevel="0" collapsed="false">
      <c r="A18308" s="3" t="s">
        <v>562</v>
      </c>
      <c r="C18308" s="16" t="n">
        <f aca="false">C18176-C18286</f>
        <v>0</v>
      </c>
    </row>
    <row r="18309" customFormat="false" ht="15" hidden="false" customHeight="false" outlineLevel="0" collapsed="false">
      <c r="A18309" s="3" t="s">
        <v>563</v>
      </c>
      <c r="C18309" s="16" t="n">
        <f aca="false">C18177-C18287</f>
        <v>0</v>
      </c>
    </row>
    <row r="18310" customFormat="false" ht="15" hidden="false" customHeight="false" outlineLevel="0" collapsed="false">
      <c r="A18310" s="3" t="s">
        <v>564</v>
      </c>
      <c r="C18310" s="16" t="n">
        <f aca="false">C18178-C18288</f>
        <v>0</v>
      </c>
    </row>
    <row r="18311" customFormat="false" ht="15" hidden="false" customHeight="false" outlineLevel="0" collapsed="false">
      <c r="A18311" s="3" t="s">
        <v>565</v>
      </c>
      <c r="C18311" s="16" t="n">
        <f aca="false">C18179-C18289</f>
        <v>0</v>
      </c>
    </row>
    <row r="18312" customFormat="false" ht="15" hidden="false" customHeight="false" outlineLevel="0" collapsed="false">
      <c r="A18312" s="24" t="s">
        <v>578</v>
      </c>
      <c r="B18312" s="25"/>
      <c r="C18312" s="25"/>
      <c r="D18312" s="25"/>
      <c r="E18312" s="25"/>
      <c r="F18312" s="25"/>
      <c r="G18312" s="25"/>
      <c r="H18312" s="25"/>
      <c r="I18312" s="25"/>
      <c r="J18312" s="25"/>
      <c r="K18312" s="25"/>
    </row>
    <row r="18313" customFormat="false" ht="15" hidden="false" customHeight="false" outlineLevel="0" collapsed="false">
      <c r="A18313" s="3" t="s">
        <v>556</v>
      </c>
      <c r="C18313" s="22" t="n">
        <f aca="false">IF(C18170=0,0,C18302/C18170)</f>
        <v>0</v>
      </c>
    </row>
    <row r="18314" customFormat="false" ht="15" hidden="false" customHeight="false" outlineLevel="0" collapsed="false">
      <c r="A18314" s="3" t="s">
        <v>557</v>
      </c>
      <c r="C18314" s="22" t="n">
        <f aca="false">IF(C18171=0,0,C18303/C18171)</f>
        <v>0</v>
      </c>
    </row>
    <row r="18315" customFormat="false" ht="15" hidden="false" customHeight="false" outlineLevel="0" collapsed="false">
      <c r="A18315" s="3" t="s">
        <v>558</v>
      </c>
      <c r="C18315" s="22" t="n">
        <f aca="false">IF(C18172=0,0,C18304/C18172)</f>
        <v>0</v>
      </c>
    </row>
    <row r="18316" customFormat="false" ht="15" hidden="false" customHeight="false" outlineLevel="0" collapsed="false">
      <c r="A18316" s="3" t="s">
        <v>559</v>
      </c>
      <c r="C18316" s="22" t="n">
        <f aca="false">IF(C18173=0,0,C18305/C18173)</f>
        <v>0</v>
      </c>
    </row>
    <row r="18317" customFormat="false" ht="15" hidden="false" customHeight="false" outlineLevel="0" collapsed="false">
      <c r="A18317" s="3" t="s">
        <v>560</v>
      </c>
      <c r="C18317" s="22" t="n">
        <f aca="false">IF(C18174=0,0,C18306/C18174)</f>
        <v>0</v>
      </c>
    </row>
    <row r="18318" customFormat="false" ht="15" hidden="false" customHeight="false" outlineLevel="0" collapsed="false">
      <c r="A18318" s="3" t="s">
        <v>561</v>
      </c>
      <c r="C18318" s="22" t="n">
        <f aca="false">IF(C18175=0,0,C18307/C18175)</f>
        <v>0</v>
      </c>
    </row>
    <row r="18319" customFormat="false" ht="15" hidden="false" customHeight="false" outlineLevel="0" collapsed="false">
      <c r="A18319" s="3" t="s">
        <v>562</v>
      </c>
      <c r="C18319" s="22" t="n">
        <f aca="false">IF(C18176=0,0,C18308/C18176)</f>
        <v>0</v>
      </c>
    </row>
    <row r="18320" customFormat="false" ht="15" hidden="false" customHeight="false" outlineLevel="0" collapsed="false">
      <c r="A18320" s="3" t="s">
        <v>563</v>
      </c>
      <c r="C18320" s="22" t="n">
        <f aca="false">IF(C18177=0,0,C18309/C18177)</f>
        <v>0</v>
      </c>
    </row>
    <row r="18321" customFormat="false" ht="15" hidden="false" customHeight="false" outlineLevel="0" collapsed="false">
      <c r="A18321" s="3" t="s">
        <v>564</v>
      </c>
      <c r="C18321" s="22" t="n">
        <f aca="false">IF(C18178=0,0,C18310/C18178)</f>
        <v>0</v>
      </c>
    </row>
    <row r="18322" customFormat="false" ht="15" hidden="false" customHeight="false" outlineLevel="0" collapsed="false">
      <c r="A18322" s="3" t="s">
        <v>565</v>
      </c>
      <c r="C18322" s="22" t="n">
        <f aca="false">IF(C18179=0,0,C18311/C18179)</f>
        <v>0</v>
      </c>
    </row>
    <row r="18323" customFormat="false" ht="15" hidden="false" customHeight="false" outlineLevel="0" collapsed="false">
      <c r="A18323" s="2" t="s">
        <v>579</v>
      </c>
      <c r="C18323" s="17" t="n">
        <f aca="false">MAX(0,$C$18168-SUM($C$18203:$C$18212)-SUM($C$18225:$C$18234))</f>
        <v>727.686236562801</v>
      </c>
    </row>
    <row r="18324" customFormat="false" ht="15" hidden="false" customHeight="false" outlineLevel="0" collapsed="false">
      <c r="A18324" s="3" t="s">
        <v>597</v>
      </c>
      <c r="C18324" s="35" t="n">
        <f aca="false">MIN(C18167,100*CHOOSE(C18157,C18291,C18292,C18293,C18294,C18295,C18296,C18297,C18298,C18299,C18300))</f>
        <v>95</v>
      </c>
    </row>
    <row r="18325" customFormat="false" ht="15" hidden="false" customHeight="false" outlineLevel="0" collapsed="false">
      <c r="A18325" s="3" t="s">
        <v>598</v>
      </c>
      <c r="C18325" s="21" t="n">
        <f aca="false">IF(C17989=1,C18162+Assumptions!$C$40,C18161)</f>
        <v>3</v>
      </c>
    </row>
    <row r="18326" customFormat="false" ht="15" hidden="false" customHeight="false" outlineLevel="0" collapsed="false">
      <c r="A18326" s="24" t="s">
        <v>599</v>
      </c>
      <c r="B18326" s="25"/>
      <c r="C18326" s="25"/>
      <c r="D18326" s="25"/>
      <c r="E18326" s="25"/>
      <c r="F18326" s="25"/>
      <c r="G18326" s="25"/>
      <c r="H18326" s="25"/>
      <c r="I18326" s="25"/>
      <c r="J18326" s="25"/>
      <c r="K18326" s="25"/>
    </row>
    <row r="18327" customFormat="false" ht="15" hidden="false" customHeight="false" outlineLevel="0" collapsed="false">
      <c r="A18327" s="3" t="s">
        <v>600</v>
      </c>
      <c r="C18327" s="21" t="n">
        <f aca="false">COLUMN()-COLUMN($C$1)</f>
        <v>0</v>
      </c>
      <c r="D18327" s="21" t="n">
        <f aca="false">COLUMN()-COLUMN($C$1)</f>
        <v>1</v>
      </c>
      <c r="E18327" s="21" t="n">
        <f aca="false">COLUMN()-COLUMN($C$1)</f>
        <v>2</v>
      </c>
      <c r="F18327" s="21" t="n">
        <f aca="false">COLUMN()-COLUMN($C$1)</f>
        <v>3</v>
      </c>
      <c r="G18327" s="21" t="n">
        <f aca="false">COLUMN()-COLUMN($C$1)</f>
        <v>4</v>
      </c>
      <c r="H18327" s="21" t="n">
        <f aca="false">COLUMN()-COLUMN($C$1)</f>
        <v>5</v>
      </c>
      <c r="I18327" s="21" t="n">
        <f aca="false">COLUMN()-COLUMN($C$1)</f>
        <v>6</v>
      </c>
    </row>
    <row r="18328" customFormat="false" ht="15" hidden="false" customHeight="false" outlineLevel="0" collapsed="false">
      <c r="A18328" s="3" t="s">
        <v>601</v>
      </c>
      <c r="D18328" s="31" t="n">
        <f aca="false">CHOOSE($C$18157,G17737,G17750,G17763,G17776,G17789,G17802,G17815,G17828,G17841,G17854)</f>
        <v>0.1065</v>
      </c>
      <c r="E18328" s="31" t="n">
        <f aca="false">CHOOSE($C$18157,H17737,H17750,H17763,H17776,H17789,H17802,H17815,H17828,H17841,H17854)</f>
        <v>0.105</v>
      </c>
      <c r="F18328" s="31" t="n">
        <f aca="false">CHOOSE($C$18157,I17737,I17750,I17763,I17776,I17789,I17802,I17815,I17828,I17841,I17854)</f>
        <v>0.1025</v>
      </c>
      <c r="G18328" s="31" t="n">
        <f aca="false">CHOOSE($C$18157,J17737,J17750,J17763,J17776,J17789,J17802,J17815,J17828,J17841,J17854)</f>
        <v>0.1025</v>
      </c>
      <c r="H18328" s="31" t="n">
        <f aca="false">CHOOSE($C$18157,K17737,K17750,K17763,K17776,K17789,K17802,K17815,K17828,K17841,K17854)</f>
        <v>0.1025</v>
      </c>
    </row>
    <row r="18329" customFormat="false" ht="15" hidden="false" customHeight="false" outlineLevel="0" collapsed="false">
      <c r="A18329" s="3" t="s">
        <v>602</v>
      </c>
      <c r="D18329" s="16" t="n">
        <f aca="false">IF(D18327&lt;=$C$18166,$C$18158*D18328,0)</f>
        <v>10.65</v>
      </c>
      <c r="E18329" s="16" t="n">
        <f aca="false">IF(E18327&lt;=$C$18166,$C$18158*E18328,0)</f>
        <v>10.5</v>
      </c>
      <c r="F18329" s="16" t="n">
        <f aca="false">IF(F18327&lt;=$C$18166,$C$18158*F18328,0)</f>
        <v>0</v>
      </c>
      <c r="G18329" s="16" t="n">
        <f aca="false">IF(G18327&lt;=$C$18166,$C$18158*G18328,0)</f>
        <v>0</v>
      </c>
      <c r="H18329" s="16" t="n">
        <f aca="false">IF(H18327&lt;=$C$18166,$C$18158*H18328,0)</f>
        <v>0</v>
      </c>
    </row>
    <row r="18330" customFormat="false" ht="15" hidden="false" customHeight="false" outlineLevel="0" collapsed="false">
      <c r="A18330" s="3" t="s">
        <v>603</v>
      </c>
      <c r="D18330" s="16" t="n">
        <f aca="false">IF(AND($C$17989=0,D18327=$C$18161),$C$18158*$C$18324/100,0)+IF(AND($C$17989=1,D18327=$C$18325),$C$18164,0)</f>
        <v>0</v>
      </c>
      <c r="E18330" s="16" t="n">
        <f aca="false">IF(AND($C$17989=0,E18327=$C$18161),$C$18158*$C$18324/100,0)+IF(AND($C$17989=1,E18327=$C$18325),$C$18164,0)</f>
        <v>0</v>
      </c>
      <c r="F18330" s="16" t="n">
        <f aca="false">IF(AND($C$17989=0,F18327=$C$18161),$C$18158*$C$18324/100,0)+IF(AND($C$17989=1,F18327=$C$18325),$C$18164,0)</f>
        <v>102.625</v>
      </c>
      <c r="G18330" s="16" t="n">
        <f aca="false">IF(AND($C$17989=0,G18327=$C$18161),$C$18158*$C$18324/100,0)+IF(AND($C$17989=1,G18327=$C$18325),$C$18164,0)</f>
        <v>0</v>
      </c>
      <c r="H18330" s="16" t="n">
        <f aca="false">IF(AND($C$17989=0,H18327=$C$18161),$C$18158*$C$18324/100,0)+IF(AND($C$17989=1,H18327=$C$18325),$C$18164,0)</f>
        <v>0</v>
      </c>
      <c r="I18330" s="16" t="n">
        <f aca="false">IF(AND($C$17989=0,I18327=$C$18161),$C$18158*$C$18324/100,0)+IF(AND($C$17989=1,I18327=$C$18325),$C$18164,0)</f>
        <v>0</v>
      </c>
    </row>
    <row r="18331" customFormat="false" ht="15" hidden="false" customHeight="false" outlineLevel="0" collapsed="false">
      <c r="A18331" s="2" t="s">
        <v>604</v>
      </c>
      <c r="C18331" s="17" t="n">
        <f aca="false">-$C$18160</f>
        <v>-98.49</v>
      </c>
      <c r="D18331" s="17" t="n">
        <f aca="false">D18329+D18330</f>
        <v>10.65</v>
      </c>
      <c r="E18331" s="17" t="n">
        <f aca="false">E18329+E18330</f>
        <v>10.5</v>
      </c>
      <c r="F18331" s="17" t="n">
        <f aca="false">F18329+F18330</f>
        <v>102.625</v>
      </c>
      <c r="G18331" s="17" t="n">
        <f aca="false">G18329+G18330</f>
        <v>0</v>
      </c>
      <c r="H18331" s="17" t="n">
        <f aca="false">H18329+H18330</f>
        <v>0</v>
      </c>
      <c r="I18331" s="17" t="n">
        <f aca="false">I18329+I18330</f>
        <v>0</v>
      </c>
    </row>
    <row r="18332" customFormat="false" ht="15" hidden="false" customHeight="false" outlineLevel="0" collapsed="false">
      <c r="A18332" s="3" t="s">
        <v>605</v>
      </c>
      <c r="C18332" s="16" t="n">
        <f aca="false">SUM($C$18329:$I$18329)</f>
        <v>21.15</v>
      </c>
    </row>
    <row r="18333" customFormat="false" ht="15" hidden="false" customHeight="false" outlineLevel="0" collapsed="false">
      <c r="A18333" s="3" t="s">
        <v>606</v>
      </c>
      <c r="C18333" s="16" t="n">
        <f aca="false">SUM($C$18330:$I$18330)</f>
        <v>102.625</v>
      </c>
    </row>
    <row r="18334" customFormat="false" ht="15" hidden="false" customHeight="false" outlineLevel="0" collapsed="false">
      <c r="A18334" s="3" t="s">
        <v>607</v>
      </c>
      <c r="C18334" s="16" t="n">
        <f aca="false">C18332+C18333</f>
        <v>123.775</v>
      </c>
    </row>
    <row r="18335" customFormat="false" ht="15" hidden="false" customHeight="false" outlineLevel="0" collapsed="false">
      <c r="A18335" s="3" t="s">
        <v>608</v>
      </c>
      <c r="C18335" s="16" t="n">
        <f aca="false">C18333-C18158*C18159/100</f>
        <v>4.62500000000001</v>
      </c>
    </row>
    <row r="18336" customFormat="false" ht="15" hidden="false" customHeight="false" outlineLevel="0" collapsed="false">
      <c r="A18336" s="3" t="s">
        <v>609</v>
      </c>
      <c r="C18336" s="16" t="n">
        <f aca="false">C18334-C18160</f>
        <v>25.285</v>
      </c>
    </row>
    <row r="18337" customFormat="false" ht="15" hidden="false" customHeight="false" outlineLevel="0" collapsed="false">
      <c r="A18337" s="2" t="s">
        <v>484</v>
      </c>
      <c r="C18337" s="44" t="n">
        <f aca="false">C18334/C18160</f>
        <v>1.25672657122551</v>
      </c>
    </row>
    <row r="18338" customFormat="false" ht="15" hidden="false" customHeight="false" outlineLevel="0" collapsed="false">
      <c r="A18338" s="2" t="s">
        <v>483</v>
      </c>
      <c r="C18338" s="42" t="n">
        <f aca="false">IF(C18334&lt;=0,-1,IFERROR(IRR($C$18331:$I$18331,MAX(-0.9,C18337^(1/C18325)-1)),IRR($C$18331:$I$18331,0.1)))</f>
        <v>0.0873962489027792</v>
      </c>
    </row>
    <row r="18339" customFormat="false" ht="15" hidden="false" customHeight="false" outlineLevel="0" collapsed="false">
      <c r="A18339" s="3" t="s">
        <v>610</v>
      </c>
      <c r="C18339" s="32" t="n">
        <f aca="false">MAX($G$17933:$K$17933)</f>
        <v>9.59252850319315</v>
      </c>
    </row>
    <row r="18340" customFormat="false" ht="15" hidden="false" customHeight="false" outlineLevel="0" collapsed="false">
      <c r="A18340" s="3" t="s">
        <v>611</v>
      </c>
      <c r="C18340" s="32" t="n">
        <f aca="false">MIN($G$17934:$K$17934)</f>
        <v>1.38274683999664</v>
      </c>
    </row>
    <row r="18341" customFormat="false" ht="15" hidden="false" customHeight="false" outlineLevel="0" collapsed="false">
      <c r="A18341" s="3" t="s">
        <v>612</v>
      </c>
      <c r="C18341" s="16" t="n">
        <f aca="false">SUM($G$17721:$K$17721)</f>
        <v>-135.41165386297</v>
      </c>
    </row>
    <row r="18345" customFormat="false" ht="15" hidden="false" customHeight="false" outlineLevel="0" collapsed="false">
      <c r="A18345" s="9" t="s">
        <v>1158</v>
      </c>
      <c r="B18345" s="10"/>
      <c r="C18345" s="10"/>
      <c r="D18345" s="10"/>
      <c r="E18345" s="10"/>
      <c r="F18345" s="10"/>
      <c r="G18345" s="10"/>
      <c r="H18345" s="10"/>
      <c r="I18345" s="10"/>
      <c r="J18345" s="10"/>
      <c r="K18345" s="10"/>
    </row>
    <row r="18346" customFormat="false" ht="15" hidden="false" customHeight="false" outlineLevel="0" collapsed="false">
      <c r="A18346" s="3" t="s">
        <v>1126</v>
      </c>
      <c r="C18346" s="11" t="n">
        <v>3</v>
      </c>
    </row>
    <row r="18347" customFormat="false" ht="15" hidden="false" customHeight="false" outlineLevel="0" collapsed="false">
      <c r="A18347" s="3" t="s">
        <v>1127</v>
      </c>
      <c r="C18347" s="30" t="n">
        <f aca="false">Sensitivities!$A$40</f>
        <v>-0.1</v>
      </c>
    </row>
    <row r="18348" customFormat="false" ht="15" hidden="false" customHeight="false" outlineLevel="0" collapsed="false">
      <c r="A18348" s="3" t="s">
        <v>1128</v>
      </c>
      <c r="C18348" s="19" t="n">
        <v>0</v>
      </c>
    </row>
    <row r="18349" customFormat="false" ht="15" hidden="false" customHeight="false" outlineLevel="0" collapsed="false">
      <c r="A18349" s="3" t="s">
        <v>1129</v>
      </c>
      <c r="C18349" s="19" t="n">
        <v>0</v>
      </c>
    </row>
    <row r="18350" customFormat="false" ht="15" hidden="false" customHeight="false" outlineLevel="0" collapsed="false">
      <c r="A18350" s="3" t="s">
        <v>1130</v>
      </c>
      <c r="C18350" s="15" t="n">
        <v>0</v>
      </c>
    </row>
    <row r="18352" customFormat="false" ht="15" hidden="false" customHeight="false" outlineLevel="0" collapsed="false">
      <c r="A18352" s="24" t="s">
        <v>301</v>
      </c>
      <c r="B18352" s="25"/>
      <c r="C18352" s="25"/>
      <c r="D18352" s="25"/>
      <c r="E18352" s="25"/>
      <c r="F18352" s="25"/>
      <c r="G18352" s="25"/>
      <c r="H18352" s="25"/>
      <c r="I18352" s="25"/>
      <c r="J18352" s="25"/>
      <c r="K18352" s="25"/>
    </row>
    <row r="18353" customFormat="false" ht="15" hidden="false" customHeight="false" outlineLevel="0" collapsed="false">
      <c r="A18353" s="3" t="s">
        <v>302</v>
      </c>
      <c r="F18353" s="27" t="n">
        <f aca="false">Assumptions!$C$6</f>
        <v>2026</v>
      </c>
      <c r="G18353" s="21" t="n">
        <f aca="false">F18353+1</f>
        <v>2027</v>
      </c>
      <c r="H18353" s="21" t="n">
        <f aca="false">G18353+1</f>
        <v>2028</v>
      </c>
      <c r="I18353" s="21" t="n">
        <f aca="false">H18353+1</f>
        <v>2029</v>
      </c>
      <c r="J18353" s="21" t="n">
        <f aca="false">I18353+1</f>
        <v>2030</v>
      </c>
      <c r="K18353" s="21" t="n">
        <f aca="false">J18353+1</f>
        <v>2031</v>
      </c>
    </row>
    <row r="18354" customFormat="false" ht="15" hidden="false" customHeight="false" outlineLevel="0" collapsed="false">
      <c r="A18354" s="3" t="s">
        <v>303</v>
      </c>
      <c r="G18354" s="21" t="n">
        <f aca="false">G18353-Assumptions!$C$6</f>
        <v>1</v>
      </c>
      <c r="H18354" s="21" t="n">
        <f aca="false">H18353-Assumptions!$C$6</f>
        <v>2</v>
      </c>
      <c r="I18354" s="21" t="n">
        <f aca="false">I18353-Assumptions!$C$6</f>
        <v>3</v>
      </c>
      <c r="J18354" s="21" t="n">
        <f aca="false">J18353-Assumptions!$C$6</f>
        <v>4</v>
      </c>
      <c r="K18354" s="21" t="n">
        <f aca="false">K18353-Assumptions!$C$6</f>
        <v>5</v>
      </c>
    </row>
    <row r="18355" customFormat="false" ht="15" hidden="false" customHeight="false" outlineLevel="0" collapsed="false">
      <c r="A18355" s="3" t="s">
        <v>180</v>
      </c>
      <c r="G18355" s="22" t="n">
        <f aca="false">CHOOSE($C$18346,Assumptions!$G$79,Assumptions!$G$98,Assumptions!$G$117)+$C$18347</f>
        <v>-0.2</v>
      </c>
      <c r="H18355" s="22" t="n">
        <f aca="false">CHOOSE($C$18346,Assumptions!$H$79,Assumptions!$H$98,Assumptions!$H$117)+$C$18347</f>
        <v>-0.17</v>
      </c>
      <c r="I18355" s="22" t="n">
        <f aca="false">CHOOSE($C$18346,Assumptions!$I$79,Assumptions!$I$98,Assumptions!$I$117)+$C$18347</f>
        <v>-0.13</v>
      </c>
      <c r="J18355" s="22" t="n">
        <f aca="false">CHOOSE($C$18346,Assumptions!$J$79,Assumptions!$J$98,Assumptions!$J$117)+$C$18347</f>
        <v>-0.1</v>
      </c>
      <c r="K18355" s="22" t="n">
        <f aca="false">CHOOSE($C$18346,Assumptions!$K$79,Assumptions!$K$98,Assumptions!$K$117)+$C$18347</f>
        <v>-0.09</v>
      </c>
    </row>
    <row r="18356" customFormat="false" ht="15" hidden="false" customHeight="false" outlineLevel="0" collapsed="false">
      <c r="A18356" s="3" t="s">
        <v>181</v>
      </c>
      <c r="G18356" s="22" t="n">
        <f aca="false">CHOOSE($C$18346,Assumptions!$G$80,Assumptions!$G$99,Assumptions!$G$118)</f>
        <v>0.533920660818678</v>
      </c>
      <c r="H18356" s="22" t="n">
        <f aca="false">CHOOSE($C$18346,Assumptions!$H$80,Assumptions!$H$99,Assumptions!$H$118)</f>
        <v>0.503920660818678</v>
      </c>
      <c r="I18356" s="22" t="n">
        <f aca="false">CHOOSE($C$18346,Assumptions!$I$80,Assumptions!$I$99,Assumptions!$I$118)</f>
        <v>0.498920660818678</v>
      </c>
      <c r="J18356" s="22" t="n">
        <f aca="false">CHOOSE($C$18346,Assumptions!$J$80,Assumptions!$J$99,Assumptions!$J$118)</f>
        <v>0.503920660818678</v>
      </c>
      <c r="K18356" s="22" t="n">
        <f aca="false">CHOOSE($C$18346,Assumptions!$K$80,Assumptions!$K$99,Assumptions!$K$118)</f>
        <v>0.513920660818678</v>
      </c>
    </row>
    <row r="18357" customFormat="false" ht="15" hidden="false" customHeight="false" outlineLevel="0" collapsed="false">
      <c r="A18357" s="3" t="s">
        <v>182</v>
      </c>
      <c r="G18357" s="22" t="n">
        <f aca="false">CHOOSE($C$18346,Assumptions!$G$81,Assumptions!$G$100,Assumptions!$G$119)+$C$18348</f>
        <v>0.46</v>
      </c>
      <c r="H18357" s="22" t="n">
        <f aca="false">CHOOSE($C$18346,Assumptions!$H$81,Assumptions!$H$100,Assumptions!$H$119)+$C$18348</f>
        <v>0.43</v>
      </c>
      <c r="I18357" s="22" t="n">
        <f aca="false">CHOOSE($C$18346,Assumptions!$I$81,Assumptions!$I$100,Assumptions!$I$119)+$C$18348</f>
        <v>0.425</v>
      </c>
      <c r="J18357" s="22" t="n">
        <f aca="false">CHOOSE($C$18346,Assumptions!$J$81,Assumptions!$J$100,Assumptions!$J$119)+$C$18348</f>
        <v>0.43</v>
      </c>
      <c r="K18357" s="22" t="n">
        <f aca="false">CHOOSE($C$18346,Assumptions!$K$81,Assumptions!$K$100,Assumptions!$K$119)+$C$18348</f>
        <v>0.44</v>
      </c>
    </row>
    <row r="18358" customFormat="false" ht="15" hidden="false" customHeight="false" outlineLevel="0" collapsed="false">
      <c r="A18358" s="24" t="s">
        <v>304</v>
      </c>
      <c r="B18358" s="25"/>
      <c r="C18358" s="25"/>
      <c r="D18358" s="25"/>
      <c r="E18358" s="25"/>
      <c r="F18358" s="25"/>
      <c r="G18358" s="25"/>
      <c r="H18358" s="25"/>
      <c r="I18358" s="25"/>
      <c r="J18358" s="25"/>
      <c r="K18358" s="25"/>
    </row>
    <row r="18359" customFormat="false" ht="15" hidden="false" customHeight="false" outlineLevel="0" collapsed="false">
      <c r="A18359" s="2" t="s">
        <v>275</v>
      </c>
      <c r="F18359" s="28" t="n">
        <f aca="false">'Historical Financials'!G25</f>
        <v>498.291</v>
      </c>
      <c r="G18359" s="17" t="n">
        <f aca="false">F18359*(1+G18355)</f>
        <v>398.6328</v>
      </c>
      <c r="H18359" s="17" t="n">
        <f aca="false">G18359*(1+H18355)</f>
        <v>330.865224</v>
      </c>
      <c r="I18359" s="17" t="n">
        <f aca="false">H18359*(1+I18355)</f>
        <v>287.85274488</v>
      </c>
      <c r="J18359" s="17" t="n">
        <f aca="false">I18359*(1+J18355)</f>
        <v>259.067470392</v>
      </c>
      <c r="K18359" s="17" t="n">
        <f aca="false">J18359*(1+K18355)</f>
        <v>235.75139805672</v>
      </c>
    </row>
    <row r="18360" customFormat="false" ht="15" hidden="false" customHeight="false" outlineLevel="0" collapsed="false">
      <c r="A18360" s="3" t="s">
        <v>276</v>
      </c>
      <c r="G18360" s="16" t="n">
        <f aca="false">G18359*(1-G18356)</f>
        <v>185.794512</v>
      </c>
      <c r="H18360" s="16" t="n">
        <f aca="false">H18359*(1-H18356)</f>
        <v>164.13540168</v>
      </c>
      <c r="I18360" s="16" t="n">
        <f aca="false">I18359*(1-I18356)</f>
        <v>144.237063186</v>
      </c>
      <c r="J18360" s="16" t="n">
        <f aca="false">J18359*(1-J18356)</f>
        <v>128.51801951544</v>
      </c>
      <c r="K18360" s="16" t="n">
        <f aca="false">K18359*(1-K18356)</f>
        <v>114.593883778483</v>
      </c>
    </row>
    <row r="18361" customFormat="false" ht="15" hidden="false" customHeight="false" outlineLevel="0" collapsed="false">
      <c r="A18361" s="2" t="s">
        <v>277</v>
      </c>
      <c r="G18361" s="17" t="n">
        <f aca="false">G18359-G18360</f>
        <v>212.838288</v>
      </c>
      <c r="H18361" s="17" t="n">
        <f aca="false">H18359-H18360</f>
        <v>166.72982232</v>
      </c>
      <c r="I18361" s="17" t="n">
        <f aca="false">I18359-I18360</f>
        <v>143.615681694</v>
      </c>
      <c r="J18361" s="17" t="n">
        <f aca="false">J18359-J18360</f>
        <v>130.54945087656</v>
      </c>
      <c r="K18361" s="17" t="n">
        <f aca="false">K18359-K18360</f>
        <v>121.157514278237</v>
      </c>
    </row>
    <row r="18362" customFormat="false" ht="15" hidden="false" customHeight="false" outlineLevel="0" collapsed="false">
      <c r="A18362" s="3" t="s">
        <v>305</v>
      </c>
      <c r="G18362" s="16" t="n">
        <f aca="false">G18361-G18363</f>
        <v>29.4672</v>
      </c>
      <c r="H18362" s="16" t="n">
        <f aca="false">H18361-H18363</f>
        <v>24.457776</v>
      </c>
      <c r="I18362" s="16" t="n">
        <f aca="false">I18361-I18363</f>
        <v>21.27826512</v>
      </c>
      <c r="J18362" s="16" t="n">
        <f aca="false">J18361-J18363</f>
        <v>19.150438608</v>
      </c>
      <c r="K18362" s="16" t="n">
        <f aca="false">K18361-K18363</f>
        <v>17.42689913328</v>
      </c>
    </row>
    <row r="18363" customFormat="false" ht="15" hidden="false" customHeight="false" outlineLevel="0" collapsed="false">
      <c r="A18363" s="2" t="s">
        <v>306</v>
      </c>
      <c r="G18363" s="17" t="n">
        <f aca="false">G18359*G18357</f>
        <v>183.371088</v>
      </c>
      <c r="H18363" s="17" t="n">
        <f aca="false">H18359*H18357</f>
        <v>142.27204632</v>
      </c>
      <c r="I18363" s="17" t="n">
        <f aca="false">I18359*I18357</f>
        <v>122.337416574</v>
      </c>
      <c r="J18363" s="17" t="n">
        <f aca="false">J18359*J18357</f>
        <v>111.39901226856</v>
      </c>
      <c r="K18363" s="17" t="n">
        <f aca="false">K18359*K18357</f>
        <v>103.730615144957</v>
      </c>
    </row>
    <row r="18364" customFormat="false" ht="15" hidden="false" customHeight="false" outlineLevel="0" collapsed="false">
      <c r="A18364" s="3" t="s">
        <v>307</v>
      </c>
      <c r="G18364" s="16" t="n">
        <f aca="false">G18359*'Historical Financials'!G30/'Historical Financials'!G25</f>
        <v>148.2344</v>
      </c>
      <c r="H18364" s="16" t="n">
        <f aca="false">H18359*'Historical Financials'!G30/'Historical Financials'!G25</f>
        <v>123.034552</v>
      </c>
      <c r="I18364" s="16" t="n">
        <f aca="false">I18359*'Historical Financials'!G30/'Historical Financials'!G25</f>
        <v>107.04006024</v>
      </c>
      <c r="J18364" s="16" t="n">
        <f aca="false">J18359*'Historical Financials'!G30/'Historical Financials'!G25</f>
        <v>96.336054216</v>
      </c>
      <c r="K18364" s="16" t="n">
        <f aca="false">K18359*'Historical Financials'!G30/'Historical Financials'!G25</f>
        <v>87.66580933656</v>
      </c>
    </row>
    <row r="18365" customFormat="false" ht="15" hidden="false" customHeight="false" outlineLevel="0" collapsed="false">
      <c r="A18365" s="3" t="s">
        <v>308</v>
      </c>
      <c r="G18365" s="16" t="n">
        <f aca="false">G18359*'Historical Financials'!G31/'Historical Financials'!G25</f>
        <v>0</v>
      </c>
      <c r="H18365" s="16" t="n">
        <f aca="false">H18359*'Historical Financials'!G31/'Historical Financials'!G25</f>
        <v>0</v>
      </c>
      <c r="I18365" s="16" t="n">
        <f aca="false">I18359*'Historical Financials'!G31/'Historical Financials'!G25</f>
        <v>0</v>
      </c>
      <c r="J18365" s="16" t="n">
        <f aca="false">J18359*'Historical Financials'!G31/'Historical Financials'!G25</f>
        <v>0</v>
      </c>
      <c r="K18365" s="16" t="n">
        <f aca="false">K18359*'Historical Financials'!G31/'Historical Financials'!G25</f>
        <v>0</v>
      </c>
    </row>
    <row r="18366" customFormat="false" ht="15" hidden="false" customHeight="false" outlineLevel="0" collapsed="false">
      <c r="A18366" s="2" t="s">
        <v>309</v>
      </c>
      <c r="G18366" s="17" t="n">
        <f aca="false">G18363-G18364-G18365</f>
        <v>35.136688</v>
      </c>
      <c r="H18366" s="17" t="n">
        <f aca="false">H18363-H18364-H18365</f>
        <v>19.23749432</v>
      </c>
      <c r="I18366" s="17" t="n">
        <f aca="false">I18363-I18364-I18365</f>
        <v>15.297356334</v>
      </c>
      <c r="J18366" s="17" t="n">
        <f aca="false">J18363-J18364-J18365</f>
        <v>15.06295805256</v>
      </c>
      <c r="K18366" s="17" t="n">
        <f aca="false">K18363-K18364-K18365</f>
        <v>16.0648058083968</v>
      </c>
    </row>
    <row r="18367" customFormat="false" ht="15" hidden="false" customHeight="false" outlineLevel="0" collapsed="false">
      <c r="A18367" s="3" t="s">
        <v>310</v>
      </c>
      <c r="G18367" s="16" t="n">
        <f aca="false">G18393+G18406+G18419+G18432+G18445+G18458+G18471+G18484+G18497+G18510</f>
        <v>194.5679854</v>
      </c>
      <c r="H18367" s="16" t="n">
        <f aca="false">H18393+H18406+H18419+H18432+H18445+H18458+H18471+H18484+H18497+H18510</f>
        <v>193.3700704</v>
      </c>
      <c r="I18367" s="16" t="n">
        <f aca="false">I18393+I18406+I18419+I18432+I18445+I18458+I18471+I18484+I18497+I18510</f>
        <v>191.7135454</v>
      </c>
      <c r="J18367" s="16" t="n">
        <f aca="false">J18393+J18406+J18419+J18432+J18445+J18458+J18471+J18484+J18497+J18510</f>
        <v>191.2435454</v>
      </c>
      <c r="K18367" s="16" t="n">
        <f aca="false">K18393+K18406+K18419+K18432+K18445+K18458+K18471+K18484+K18497+K18510</f>
        <v>190.7735454</v>
      </c>
    </row>
    <row r="18368" customFormat="false" ht="15" hidden="false" customHeight="false" outlineLevel="0" collapsed="false">
      <c r="A18368" s="3" t="s">
        <v>311</v>
      </c>
      <c r="G18368" s="16" t="n">
        <f aca="false">G18394+G18407+G18420+G18433+G18446+G18459+G18472+G18485+G18498+G18511</f>
        <v>0</v>
      </c>
      <c r="H18368" s="16" t="n">
        <f aca="false">H18394+H18407+H18420+H18433+H18446+H18459+H18472+H18485+H18498+H18511</f>
        <v>0</v>
      </c>
      <c r="I18368" s="16" t="n">
        <f aca="false">I18394+I18407+I18420+I18433+I18446+I18459+I18472+I18485+I18498+I18511</f>
        <v>0</v>
      </c>
      <c r="J18368" s="16" t="n">
        <f aca="false">J18394+J18407+J18420+J18433+J18446+J18459+J18472+J18485+J18498+J18511</f>
        <v>0</v>
      </c>
      <c r="K18368" s="16" t="n">
        <f aca="false">K18394+K18407+K18420+K18433+K18446+K18459+K18472+K18485+K18498+K18511</f>
        <v>0</v>
      </c>
    </row>
    <row r="18369" customFormat="false" ht="15" hidden="false" customHeight="false" outlineLevel="0" collapsed="false">
      <c r="A18369" s="3" t="s">
        <v>283</v>
      </c>
      <c r="G18369" s="16" t="n">
        <f aca="false">G18367+G18368</f>
        <v>194.5679854</v>
      </c>
      <c r="H18369" s="16" t="n">
        <f aca="false">H18367+H18368</f>
        <v>193.3700704</v>
      </c>
      <c r="I18369" s="16" t="n">
        <f aca="false">I18367+I18368</f>
        <v>191.7135454</v>
      </c>
      <c r="J18369" s="16" t="n">
        <f aca="false">J18367+J18368</f>
        <v>191.2435454</v>
      </c>
      <c r="K18369" s="16" t="n">
        <f aca="false">K18367+K18368</f>
        <v>190.7735454</v>
      </c>
    </row>
    <row r="18370" customFormat="false" ht="15" hidden="false" customHeight="false" outlineLevel="0" collapsed="false">
      <c r="A18370" s="2" t="s">
        <v>284</v>
      </c>
      <c r="G18370" s="17" t="n">
        <f aca="false">G18366-G18369</f>
        <v>-159.4312974</v>
      </c>
      <c r="H18370" s="17" t="n">
        <f aca="false">H18366-H18369</f>
        <v>-174.13257608</v>
      </c>
      <c r="I18370" s="17" t="n">
        <f aca="false">I18366-I18369</f>
        <v>-176.416189066</v>
      </c>
      <c r="J18370" s="17" t="n">
        <f aca="false">J18366-J18369</f>
        <v>-176.18058734744</v>
      </c>
      <c r="K18370" s="17" t="n">
        <f aca="false">K18366-K18369</f>
        <v>-174.708739591603</v>
      </c>
    </row>
    <row r="18371" customFormat="false" ht="15" hidden="false" customHeight="false" outlineLevel="0" collapsed="false">
      <c r="A18371" s="3" t="s">
        <v>312</v>
      </c>
      <c r="G18371" s="16" t="n">
        <f aca="false">MAX(0,G18370)*Assumptions!$C$9</f>
        <v>0</v>
      </c>
      <c r="H18371" s="16" t="n">
        <f aca="false">MAX(0,H18370)*Assumptions!$C$9</f>
        <v>0</v>
      </c>
      <c r="I18371" s="16" t="n">
        <f aca="false">MAX(0,I18370)*Assumptions!$C$9</f>
        <v>0</v>
      </c>
      <c r="J18371" s="16" t="n">
        <f aca="false">MAX(0,J18370)*Assumptions!$C$9</f>
        <v>0</v>
      </c>
      <c r="K18371" s="16" t="n">
        <f aca="false">MAX(0,K18370)*Assumptions!$C$9</f>
        <v>0</v>
      </c>
    </row>
    <row r="18372" customFormat="false" ht="15" hidden="false" customHeight="false" outlineLevel="0" collapsed="false">
      <c r="A18372" s="2" t="s">
        <v>313</v>
      </c>
      <c r="G18372" s="17" t="n">
        <f aca="false">G18370-G18371</f>
        <v>-159.4312974</v>
      </c>
      <c r="H18372" s="17" t="n">
        <f aca="false">H18370-H18371</f>
        <v>-174.13257608</v>
      </c>
      <c r="I18372" s="17" t="n">
        <f aca="false">I18370-I18371</f>
        <v>-176.416189066</v>
      </c>
      <c r="J18372" s="17" t="n">
        <f aca="false">J18370-J18371</f>
        <v>-176.18058734744</v>
      </c>
      <c r="K18372" s="17" t="n">
        <f aca="false">K18370-K18371</f>
        <v>-174.708739591603</v>
      </c>
    </row>
    <row r="18373" customFormat="false" ht="15" hidden="false" customHeight="false" outlineLevel="0" collapsed="false">
      <c r="A18373" s="24" t="s">
        <v>314</v>
      </c>
      <c r="B18373" s="25"/>
      <c r="C18373" s="25"/>
      <c r="D18373" s="25"/>
      <c r="E18373" s="25"/>
      <c r="F18373" s="25"/>
      <c r="G18373" s="25"/>
      <c r="H18373" s="25"/>
      <c r="I18373" s="25"/>
      <c r="J18373" s="25"/>
      <c r="K18373" s="25"/>
    </row>
    <row r="18374" customFormat="false" ht="15" hidden="false" customHeight="false" outlineLevel="0" collapsed="false">
      <c r="A18374" s="3" t="s">
        <v>184</v>
      </c>
      <c r="G18374" s="16" t="n">
        <f aca="false">G18359*CHOOSE($C$18346,Assumptions!$C$83,Assumptions!$C$102,Assumptions!$C$121)</f>
        <v>51.822264</v>
      </c>
      <c r="H18374" s="16" t="n">
        <f aca="false">H18359*CHOOSE($C$18346,Assumptions!$C$83,Assumptions!$C$102,Assumptions!$C$121)</f>
        <v>43.01247912</v>
      </c>
      <c r="I18374" s="16" t="n">
        <f aca="false">I18359*CHOOSE($C$18346,Assumptions!$C$83,Assumptions!$C$102,Assumptions!$C$121)</f>
        <v>37.4208568344</v>
      </c>
      <c r="J18374" s="16" t="n">
        <f aca="false">J18359*CHOOSE($C$18346,Assumptions!$C$83,Assumptions!$C$102,Assumptions!$C$121)</f>
        <v>33.67877115096</v>
      </c>
      <c r="K18374" s="16" t="n">
        <f aca="false">K18359*CHOOSE($C$18346,Assumptions!$C$83,Assumptions!$C$102,Assumptions!$C$121)</f>
        <v>30.6476817473736</v>
      </c>
    </row>
    <row r="18375" customFormat="false" ht="15" hidden="false" customHeight="false" outlineLevel="0" collapsed="false">
      <c r="A18375" s="3" t="s">
        <v>315</v>
      </c>
      <c r="G18375" s="16" t="n">
        <f aca="false">CHOOSE($C$18346,Assumptions!$C$84,Assumptions!$C$103,Assumptions!$C$122)*(G18359-F18359)+CHOOSE($C$18346,Assumptions!$C$85,Assumptions!$C$104,Assumptions!$C$123)*G18359</f>
        <v>0</v>
      </c>
      <c r="H18375" s="16" t="n">
        <f aca="false">CHOOSE($C$18346,Assumptions!$C$84,Assumptions!$C$103,Assumptions!$C$122)*(H18359-G18359)+CHOOSE($C$18346,Assumptions!$C$85,Assumptions!$C$104,Assumptions!$C$123)*H18359</f>
        <v>0</v>
      </c>
      <c r="I18375" s="16" t="n">
        <f aca="false">CHOOSE($C$18346,Assumptions!$C$84,Assumptions!$C$103,Assumptions!$C$122)*(I18359-H18359)+CHOOSE($C$18346,Assumptions!$C$85,Assumptions!$C$104,Assumptions!$C$123)*I18359</f>
        <v>0</v>
      </c>
      <c r="J18375" s="16" t="n">
        <f aca="false">CHOOSE($C$18346,Assumptions!$C$84,Assumptions!$C$103,Assumptions!$C$122)*(J18359-I18359)+CHOOSE($C$18346,Assumptions!$C$85,Assumptions!$C$104,Assumptions!$C$123)*J18359</f>
        <v>0</v>
      </c>
      <c r="K18375" s="16" t="n">
        <f aca="false">CHOOSE($C$18346,Assumptions!$C$84,Assumptions!$C$103,Assumptions!$C$122)*(K18359-J18359)+CHOOSE($C$18346,Assumptions!$C$85,Assumptions!$C$104,Assumptions!$C$123)*K18359</f>
        <v>0</v>
      </c>
    </row>
    <row r="18376" customFormat="false" ht="15" hidden="false" customHeight="false" outlineLevel="0" collapsed="false">
      <c r="A18376" s="2" t="s">
        <v>316</v>
      </c>
      <c r="G18376" s="17" t="n">
        <f aca="false">G18372+G18364+G18365+G18368-G18374-G18375</f>
        <v>-63.0191614</v>
      </c>
      <c r="H18376" s="17" t="n">
        <f aca="false">H18372+H18364+H18365+H18368-H18374-H18375</f>
        <v>-94.1105032</v>
      </c>
      <c r="I18376" s="17" t="n">
        <f aca="false">I18372+I18364+I18365+I18368-I18374-I18375</f>
        <v>-106.7969856604</v>
      </c>
      <c r="J18376" s="17" t="n">
        <f aca="false">J18372+J18364+J18365+J18368-J18374-J18375</f>
        <v>-113.5233042824</v>
      </c>
      <c r="K18376" s="17" t="n">
        <f aca="false">K18372+K18364+K18365+K18368-K18374-K18375</f>
        <v>-117.690612002417</v>
      </c>
    </row>
    <row r="18378" customFormat="false" ht="15" hidden="false" customHeight="false" outlineLevel="0" collapsed="false">
      <c r="A18378" s="24" t="s">
        <v>318</v>
      </c>
      <c r="B18378" s="25"/>
      <c r="C18378" s="25"/>
      <c r="D18378" s="25"/>
      <c r="E18378" s="25"/>
      <c r="F18378" s="25"/>
      <c r="G18378" s="25"/>
      <c r="H18378" s="25"/>
      <c r="I18378" s="25"/>
      <c r="J18378" s="25"/>
      <c r="K18378" s="25"/>
    </row>
    <row r="18379" customFormat="false" ht="15" hidden="false" customHeight="false" outlineLevel="0" collapsed="false">
      <c r="A18379" s="3" t="s">
        <v>319</v>
      </c>
      <c r="G18379" s="30" t="n">
        <f aca="false">Assumptions!$G$53</f>
        <v>0.039</v>
      </c>
      <c r="H18379" s="30" t="n">
        <f aca="false">Assumptions!$H$53</f>
        <v>0.0375</v>
      </c>
      <c r="I18379" s="30" t="n">
        <f aca="false">Assumptions!$I$53</f>
        <v>0.035</v>
      </c>
      <c r="J18379" s="30" t="n">
        <f aca="false">Assumptions!$J$53</f>
        <v>0.035</v>
      </c>
      <c r="K18379" s="30" t="n">
        <f aca="false">Assumptions!$K$53</f>
        <v>0.035</v>
      </c>
    </row>
    <row r="18380" customFormat="false" ht="15" hidden="false" customHeight="false" outlineLevel="0" collapsed="false">
      <c r="A18380" s="3" t="s">
        <v>320</v>
      </c>
      <c r="C18380" s="31" t="n">
        <f aca="false">CHOOSE($C$18346,Assumptions!$C$86,Assumptions!$C$105,Assumptions!$C$124)+$C$18349</f>
        <v>0.03</v>
      </c>
    </row>
    <row r="18381" customFormat="false" ht="15" hidden="false" customHeight="false" outlineLevel="0" collapsed="false">
      <c r="A18381" s="3" t="s">
        <v>321</v>
      </c>
      <c r="C18381" s="31" t="n">
        <f aca="false">CHOOSE($C$18346,Assumptions!$C$87,Assumptions!$C$106,Assumptions!$C$125)</f>
        <v>0.12</v>
      </c>
    </row>
    <row r="18382" customFormat="false" ht="15" hidden="false" customHeight="false" outlineLevel="0" collapsed="false">
      <c r="A18382" s="3" t="s">
        <v>322</v>
      </c>
      <c r="C18382" s="32" t="n">
        <f aca="false">CHOOSE($C$18346,Assumptions!$C$88,Assumptions!$C$107,Assumptions!$C$126)</f>
        <v>9</v>
      </c>
    </row>
    <row r="18383" customFormat="false" ht="15" hidden="false" customHeight="false" outlineLevel="0" collapsed="false">
      <c r="A18383" s="3" t="s">
        <v>323</v>
      </c>
      <c r="C18383" s="32" t="n">
        <f aca="false">CHOOSE($C$18346,Assumptions!$C$89,Assumptions!$C$108,Assumptions!$C$127)</f>
        <v>1.75</v>
      </c>
    </row>
    <row r="18384" customFormat="false" ht="15" hidden="false" customHeight="false" outlineLevel="0" collapsed="false">
      <c r="A18384" s="3" t="s">
        <v>324</v>
      </c>
      <c r="G18384" s="16" t="n">
        <f aca="false">G18389+G18402+G18415+G18428+G18441+G18454+G18467+G18480+G18493+G18506</f>
        <v>2625.934</v>
      </c>
      <c r="H18384" s="16" t="n">
        <f aca="false">H18389+H18402+H18415+H18428+H18441+H18454+H18467+H18480+H18493+H18506</f>
        <v>2621.934</v>
      </c>
      <c r="I18384" s="16" t="n">
        <f aca="false">I18389+I18402+I18415+I18428+I18441+I18454+I18467+I18480+I18493+I18506</f>
        <v>2617.934</v>
      </c>
      <c r="J18384" s="16" t="n">
        <f aca="false">J18389+J18402+J18415+J18428+J18441+J18454+J18467+J18480+J18493+J18506</f>
        <v>2613.934</v>
      </c>
      <c r="K18384" s="16" t="n">
        <f aca="false">K18389+K18402+K18415+K18428+K18441+K18454+K18467+K18480+K18493+K18506</f>
        <v>2609.934</v>
      </c>
    </row>
    <row r="18385" customFormat="false" ht="15" hidden="false" customHeight="false" outlineLevel="0" collapsed="false">
      <c r="A18385" s="3" t="s">
        <v>325</v>
      </c>
      <c r="G18385" s="16" t="n">
        <f aca="false">F18577</f>
        <v>37.87</v>
      </c>
      <c r="H18385" s="16" t="n">
        <f aca="false">G18577</f>
        <v>70.8508386</v>
      </c>
      <c r="I18385" s="16" t="n">
        <f aca="false">H18577</f>
        <v>-27.2596646</v>
      </c>
      <c r="J18385" s="16" t="n">
        <f aca="false">I18577</f>
        <v>-138.0566502604</v>
      </c>
      <c r="K18385" s="16" t="n">
        <f aca="false">J18577</f>
        <v>-255.5799545428</v>
      </c>
    </row>
    <row r="18386" customFormat="false" ht="15" hidden="false" customHeight="false" outlineLevel="0" collapsed="false">
      <c r="A18386" s="3" t="s">
        <v>326</v>
      </c>
      <c r="G18386" s="16" t="n">
        <f aca="false">G18389*IF(G18390=1,$C$18381,IF(Assumptions!$I$57=1,MAX(G18379,Assumptions!$G$57)+Assumptions!$F$57+$C$18380,Assumptions!$E$57))+G18402*IF(G18403=1,$C$18381,IF(Assumptions!$I$58=1,MAX(G18379,Assumptions!$G$58)+Assumptions!$F$58+$C$18380,Assumptions!$E$58))+G18415*IF(G18416=1,$C$18381,IF(Assumptions!$I$59=1,MAX(G18379,Assumptions!$G$59)+Assumptions!$F$59+$C$18380,Assumptions!$E$59))+G18428*IF(G18429=1,$C$18381,IF(Assumptions!$I$60=1,MAX(G18379,Assumptions!$G$60)+Assumptions!$F$60+$C$18380,Assumptions!$E$60))+G18441*IF(G18442=1,$C$18381,IF(Assumptions!$I$61=1,MAX(G18379,Assumptions!$G$61)+Assumptions!$F$61+$C$18380,Assumptions!$E$61))+G18454*IF(G18455=1,$C$18381,IF(Assumptions!$I$62=1,MAX(G18379,Assumptions!$G$62)+Assumptions!$F$62+$C$18380,Assumptions!$E$62))+G18467*IF(G18468=1,$C$18381,IF(Assumptions!$I$63=1,MAX(G18379,Assumptions!$G$63)+Assumptions!$F$63+$C$18380,Assumptions!$E$63))+G18480*IF(G18481=1,$C$18381,IF(Assumptions!$I$64=1,MAX(G18379,Assumptions!$G$64)+Assumptions!$F$64+$C$18380,Assumptions!$E$64))+G18493*IF(G18494=1,$C$18381,IF(Assumptions!$I$65=1,MAX(G18379,Assumptions!$G$65)+Assumptions!$F$65+$C$18380,Assumptions!$E$65))+G18506*IF(G18507=1,$C$18381,IF(Assumptions!$I$66=1,MAX(G18379,Assumptions!$G$66)+Assumptions!$F$66+$C$18380,Assumptions!$E$66))</f>
        <v>194.5679854</v>
      </c>
      <c r="H18386" s="16" t="n">
        <f aca="false">H18389*IF(OR(H18390=1,G18699=1),$C$18381,IF(Assumptions!$I$57=1,MAX(H18379,Assumptions!$G$57)+Assumptions!$F$57+$C$18380,Assumptions!$E$57))+H18402*IF(OR(H18403=1,G18700=1),$C$18381,IF(Assumptions!$I$58=1,MAX(H18379,Assumptions!$G$58)+Assumptions!$F$58+$C$18380,Assumptions!$E$58))+H18415*IF(OR(H18416=1,G18701=1),$C$18381,IF(Assumptions!$I$59=1,MAX(H18379,Assumptions!$G$59)+Assumptions!$F$59+$C$18380,Assumptions!$E$59))+H18428*IF(OR(H18429=1,G18702=1),$C$18381,IF(Assumptions!$I$60=1,MAX(H18379,Assumptions!$G$60)+Assumptions!$F$60+$C$18380,Assumptions!$E$60))+H18441*IF(OR(H18442=1,G18703=1),$C$18381,IF(Assumptions!$I$61=1,MAX(H18379,Assumptions!$G$61)+Assumptions!$F$61+$C$18380,Assumptions!$E$61))+H18454*IF(OR(H18455=1,G18704=1),$C$18381,IF(Assumptions!$I$62=1,MAX(H18379,Assumptions!$G$62)+Assumptions!$F$62+$C$18380,Assumptions!$E$62))+H18467*IF(OR(H18468=1,G18705=1),$C$18381,IF(Assumptions!$I$63=1,MAX(H18379,Assumptions!$G$63)+Assumptions!$F$63+$C$18380,Assumptions!$E$63))+H18480*IF(OR(H18481=1,G18706=1),$C$18381,IF(Assumptions!$I$64=1,MAX(H18379,Assumptions!$G$64)+Assumptions!$F$64+$C$18380,Assumptions!$E$64))+H18493*IF(OR(H18494=1,G18707=1),$C$18381,IF(Assumptions!$I$65=1,MAX(H18379,Assumptions!$G$65)+Assumptions!$F$65+$C$18380,Assumptions!$E$65))+H18506*IF(OR(H18507=1,G18708=1),$C$18381,IF(Assumptions!$I$66=1,MAX(H18379,Assumptions!$G$66)+Assumptions!$F$66+$C$18380,Assumptions!$E$66))</f>
        <v>242.5450704</v>
      </c>
      <c r="I18386" s="16" t="n">
        <f aca="false">I18389*IF(OR(I18390=1,H18699=1),$C$18381,IF(Assumptions!$I$57=1,MAX(I18379,Assumptions!$G$57)+Assumptions!$F$57+$C$18380,Assumptions!$E$57))+I18402*IF(OR(I18403=1,H18700=1),$C$18381,IF(Assumptions!$I$58=1,MAX(I18379,Assumptions!$G$58)+Assumptions!$F$58+$C$18380,Assumptions!$E$58))+I18415*IF(OR(I18416=1,H18701=1),$C$18381,IF(Assumptions!$I$59=1,MAX(I18379,Assumptions!$G$59)+Assumptions!$F$59+$C$18380,Assumptions!$E$59))+I18428*IF(OR(I18429=1,H18702=1),$C$18381,IF(Assumptions!$I$60=1,MAX(I18379,Assumptions!$G$60)+Assumptions!$F$60+$C$18380,Assumptions!$E$60))+I18441*IF(OR(I18442=1,H18703=1),$C$18381,IF(Assumptions!$I$61=1,MAX(I18379,Assumptions!$G$61)+Assumptions!$F$61+$C$18380,Assumptions!$E$61))+I18454*IF(OR(I18455=1,H18704=1),$C$18381,IF(Assumptions!$I$62=1,MAX(I18379,Assumptions!$G$62)+Assumptions!$F$62+$C$18380,Assumptions!$E$62))+I18467*IF(OR(I18468=1,H18705=1),$C$18381,IF(Assumptions!$I$63=1,MAX(I18379,Assumptions!$G$63)+Assumptions!$F$63+$C$18380,Assumptions!$E$63))+I18480*IF(OR(I18481=1,H18706=1),$C$18381,IF(Assumptions!$I$64=1,MAX(I18379,Assumptions!$G$64)+Assumptions!$F$64+$C$18380,Assumptions!$E$64))+I18493*IF(OR(I18494=1,H18707=1),$C$18381,IF(Assumptions!$I$65=1,MAX(I18379,Assumptions!$G$65)+Assumptions!$F$65+$C$18380,Assumptions!$E$65))+I18506*IF(OR(I18507=1,H18708=1),$C$18381,IF(Assumptions!$I$66=1,MAX(I18379,Assumptions!$G$66)+Assumptions!$F$66+$C$18380,Assumptions!$E$66))</f>
        <v>208.9010454</v>
      </c>
      <c r="J18386" s="16" t="n">
        <f aca="false">J18389*IF(OR(J18390=1,I18699=1),$C$18381,IF(Assumptions!$I$57=1,MAX(J18379,Assumptions!$G$57)+Assumptions!$F$57+$C$18380,Assumptions!$E$57))+J18402*IF(OR(J18403=1,I18700=1),$C$18381,IF(Assumptions!$I$58=1,MAX(J18379,Assumptions!$G$58)+Assumptions!$F$58+$C$18380,Assumptions!$E$58))+J18415*IF(OR(J18416=1,I18701=1),$C$18381,IF(Assumptions!$I$59=1,MAX(J18379,Assumptions!$G$59)+Assumptions!$F$59+$C$18380,Assumptions!$E$59))+J18428*IF(OR(J18429=1,I18702=1),$C$18381,IF(Assumptions!$I$60=1,MAX(J18379,Assumptions!$G$60)+Assumptions!$F$60+$C$18380,Assumptions!$E$60))+J18441*IF(OR(J18442=1,I18703=1),$C$18381,IF(Assumptions!$I$61=1,MAX(J18379,Assumptions!$G$61)+Assumptions!$F$61+$C$18380,Assumptions!$E$61))+J18454*IF(OR(J18455=1,I18704=1),$C$18381,IF(Assumptions!$I$62=1,MAX(J18379,Assumptions!$G$62)+Assumptions!$F$62+$C$18380,Assumptions!$E$62))+J18467*IF(OR(J18468=1,I18705=1),$C$18381,IF(Assumptions!$I$63=1,MAX(J18379,Assumptions!$G$63)+Assumptions!$F$63+$C$18380,Assumptions!$E$63))+J18480*IF(OR(J18481=1,I18706=1),$C$18381,IF(Assumptions!$I$64=1,MAX(J18379,Assumptions!$G$64)+Assumptions!$F$64+$C$18380,Assumptions!$E$64))+J18493*IF(OR(J18494=1,I18707=1),$C$18381,IF(Assumptions!$I$65=1,MAX(J18379,Assumptions!$G$65)+Assumptions!$F$65+$C$18380,Assumptions!$E$65))+J18506*IF(OR(J18507=1,I18708=1),$C$18381,IF(Assumptions!$I$66=1,MAX(J18379,Assumptions!$G$66)+Assumptions!$F$66+$C$18380,Assumptions!$E$66))</f>
        <v>217.3185454</v>
      </c>
      <c r="K18386" s="16" t="n">
        <f aca="false">K18389*IF(OR(K18390=1,J18699=1),$C$18381,IF(Assumptions!$I$57=1,MAX(K18379,Assumptions!$G$57)+Assumptions!$F$57+$C$18380,Assumptions!$E$57))+K18402*IF(OR(K18403=1,J18700=1),$C$18381,IF(Assumptions!$I$58=1,MAX(K18379,Assumptions!$G$58)+Assumptions!$F$58+$C$18380,Assumptions!$E$58))+K18415*IF(OR(K18416=1,J18701=1),$C$18381,IF(Assumptions!$I$59=1,MAX(K18379,Assumptions!$G$59)+Assumptions!$F$59+$C$18380,Assumptions!$E$59))+K18428*IF(OR(K18429=1,J18702=1),$C$18381,IF(Assumptions!$I$60=1,MAX(K18379,Assumptions!$G$60)+Assumptions!$F$60+$C$18380,Assumptions!$E$60))+K18441*IF(OR(K18442=1,J18703=1),$C$18381,IF(Assumptions!$I$61=1,MAX(K18379,Assumptions!$G$61)+Assumptions!$F$61+$C$18380,Assumptions!$E$61))+K18454*IF(OR(K18455=1,J18704=1),$C$18381,IF(Assumptions!$I$62=1,MAX(K18379,Assumptions!$G$62)+Assumptions!$F$62+$C$18380,Assumptions!$E$62))+K18467*IF(OR(K18468=1,J18705=1),$C$18381,IF(Assumptions!$I$63=1,MAX(K18379,Assumptions!$G$63)+Assumptions!$F$63+$C$18380,Assumptions!$E$63))+K18480*IF(OR(K18481=1,J18706=1),$C$18381,IF(Assumptions!$I$64=1,MAX(K18379,Assumptions!$G$64)+Assumptions!$F$64+$C$18380,Assumptions!$E$64))+K18493*IF(OR(K18494=1,J18707=1),$C$18381,IF(Assumptions!$I$65=1,MAX(K18379,Assumptions!$G$65)+Assumptions!$F$65+$C$18380,Assumptions!$E$65))+K18506*IF(OR(K18507=1,J18708=1),$C$18381,IF(Assumptions!$I$66=1,MAX(K18379,Assumptions!$G$66)+Assumptions!$F$66+$C$18380,Assumptions!$E$66))</f>
        <v>209.3585454</v>
      </c>
    </row>
    <row r="18387" customFormat="false" ht="15" hidden="false" customHeight="false" outlineLevel="0" collapsed="false">
      <c r="A18387" s="3" t="s">
        <v>327</v>
      </c>
      <c r="G18387" s="21" t="n">
        <f aca="false">IF(G18363&lt;=0,0,IF(AND((G18384-G18385)/G18363&lt;=$C$18382,G18363/G18386&gt;=$C$18383),1,0))</f>
        <v>0</v>
      </c>
      <c r="H18387" s="21" t="n">
        <f aca="false">IF(H18363&lt;=0,0,IF(AND((H18384-H18385)/H18363&lt;=$C$18382,H18363/H18386&gt;=$C$18383),1,0))</f>
        <v>0</v>
      </c>
      <c r="I18387" s="21" t="n">
        <f aca="false">IF(I18363&lt;=0,0,IF(AND((I18384-I18385)/I18363&lt;=$C$18382,I18363/I18386&gt;=$C$18383),1,0))</f>
        <v>0</v>
      </c>
      <c r="J18387" s="21" t="n">
        <f aca="false">IF(J18363&lt;=0,0,IF(AND((J18384-J18385)/J18363&lt;=$C$18382,J18363/J18386&gt;=$C$18383),1,0))</f>
        <v>0</v>
      </c>
      <c r="K18387" s="21" t="n">
        <f aca="false">IF(K18363&lt;=0,0,IF(AND((K18384-K18385)/K18363&lt;=$C$18382,K18363/K18386&gt;=$C$18383),1,0))</f>
        <v>0</v>
      </c>
    </row>
    <row r="18388" customFormat="false" ht="15" hidden="false" customHeight="false" outlineLevel="0" collapsed="false">
      <c r="A18388" s="24" t="s">
        <v>328</v>
      </c>
      <c r="B18388" s="25"/>
      <c r="C18388" s="25"/>
      <c r="D18388" s="25"/>
      <c r="E18388" s="25"/>
      <c r="F18388" s="25"/>
      <c r="G18388" s="25"/>
      <c r="H18388" s="25"/>
      <c r="I18388" s="25"/>
      <c r="J18388" s="25"/>
      <c r="K18388" s="25"/>
    </row>
    <row r="18389" customFormat="false" ht="15" hidden="false" customHeight="false" outlineLevel="0" collapsed="false">
      <c r="A18389" s="3" t="s">
        <v>329</v>
      </c>
      <c r="G18389" s="16" t="n">
        <f aca="false">F18400</f>
        <v>400</v>
      </c>
      <c r="H18389" s="16" t="n">
        <f aca="false">G18400</f>
        <v>396</v>
      </c>
      <c r="I18389" s="16" t="n">
        <f aca="false">H18400</f>
        <v>392</v>
      </c>
      <c r="J18389" s="16" t="n">
        <f aca="false">I18400</f>
        <v>388</v>
      </c>
      <c r="K18389" s="16" t="n">
        <f aca="false">J18400</f>
        <v>384</v>
      </c>
    </row>
    <row r="18390" customFormat="false" ht="15" hidden="false" customHeight="false" outlineLevel="0" collapsed="false">
      <c r="A18390" s="3" t="s">
        <v>330</v>
      </c>
      <c r="G18390" s="21" t="n">
        <f aca="false">IF(G18353=Assumptions!$K$57,1,0)</f>
        <v>0</v>
      </c>
      <c r="H18390" s="21" t="n">
        <f aca="false">IF(H18353=Assumptions!$K$57,1,0)</f>
        <v>0</v>
      </c>
      <c r="I18390" s="21" t="n">
        <f aca="false">IF(I18353=Assumptions!$K$57,1,0)</f>
        <v>0</v>
      </c>
      <c r="J18390" s="21" t="n">
        <f aca="false">IF(J18353=Assumptions!$K$57,1,0)</f>
        <v>0</v>
      </c>
      <c r="K18390" s="21" t="n">
        <f aca="false">IF(K18353=Assumptions!$K$57,1,0)</f>
        <v>1</v>
      </c>
    </row>
    <row r="18392" customFormat="false" ht="15" hidden="false" customHeight="false" outlineLevel="0" collapsed="false">
      <c r="A18392" s="3" t="s">
        <v>331</v>
      </c>
      <c r="G18392" s="31" t="n">
        <f aca="false">IF(Assumptions!$I$57=1,MAX(G18379,Assumptions!$G$57)+Assumptions!$F$57+$C$18380,Assumptions!$E$57)</f>
        <v>0.1215</v>
      </c>
      <c r="H18392" s="31" t="n">
        <f aca="false">IF(G18699=1,$C$18381,IF(Assumptions!$I$57=1,MAX(H18379,Assumptions!$G$57)+Assumptions!$F$57+$C$18380,Assumptions!$E$57))</f>
        <v>0.12</v>
      </c>
      <c r="I18392" s="31" t="n">
        <f aca="false">IF(H18699=1,$C$18381,IF(Assumptions!$I$57=1,MAX(I18379,Assumptions!$G$57)+Assumptions!$F$57+$C$18380,Assumptions!$E$57))</f>
        <v>0.1175</v>
      </c>
      <c r="J18392" s="31" t="n">
        <f aca="false">IF(I18699=1,$C$18381,IF(Assumptions!$I$57=1,MAX(J18379,Assumptions!$G$57)+Assumptions!$F$57+$C$18380,Assumptions!$E$57))</f>
        <v>0.1175</v>
      </c>
      <c r="K18392" s="31" t="n">
        <f aca="false">IF(J18699=1,$C$18381,IF(Assumptions!$I$57=1,MAX(K18379,Assumptions!$G$57)+Assumptions!$F$57+$C$18380,Assumptions!$E$57))</f>
        <v>0.1175</v>
      </c>
    </row>
    <row r="18393" customFormat="false" ht="15" hidden="false" customHeight="false" outlineLevel="0" collapsed="false">
      <c r="A18393" s="3" t="s">
        <v>332</v>
      </c>
      <c r="G18393" s="16" t="n">
        <f aca="false">G18389*G18392</f>
        <v>48.6</v>
      </c>
      <c r="H18393" s="16" t="n">
        <f aca="false">H18389*H18392</f>
        <v>47.52</v>
      </c>
      <c r="I18393" s="16" t="n">
        <f aca="false">I18389*I18392</f>
        <v>46.06</v>
      </c>
      <c r="J18393" s="16" t="n">
        <f aca="false">J18389*J18392</f>
        <v>45.59</v>
      </c>
      <c r="K18393" s="16" t="n">
        <f aca="false">K18389*K18392</f>
        <v>45.12</v>
      </c>
    </row>
    <row r="18394" customFormat="false" ht="15" hidden="false" customHeight="false" outlineLevel="0" collapsed="false">
      <c r="A18394" s="3" t="s">
        <v>333</v>
      </c>
      <c r="G18394" s="16" t="n">
        <f aca="false">G18389*Assumptions!$H$57</f>
        <v>0</v>
      </c>
      <c r="H18394" s="16" t="n">
        <f aca="false">H18389*Assumptions!$H$57</f>
        <v>0</v>
      </c>
      <c r="I18394" s="16" t="n">
        <f aca="false">I18389*Assumptions!$H$57</f>
        <v>0</v>
      </c>
      <c r="J18394" s="16" t="n">
        <f aca="false">J18389*Assumptions!$H$57</f>
        <v>0</v>
      </c>
      <c r="K18394" s="16" t="n">
        <f aca="false">K18389*Assumptions!$H$57</f>
        <v>0</v>
      </c>
    </row>
    <row r="18395" customFormat="false" ht="15" hidden="false" customHeight="false" outlineLevel="0" collapsed="false">
      <c r="A18395" s="3" t="s">
        <v>334</v>
      </c>
      <c r="G18395" s="16" t="n">
        <f aca="false">MIN(G18389,Assumptions!$L$57*Assumptions!$C$57)</f>
        <v>4</v>
      </c>
      <c r="H18395" s="16" t="n">
        <f aca="false">MIN(H18389,Assumptions!$L$57*Assumptions!$C$57)</f>
        <v>4</v>
      </c>
      <c r="I18395" s="16" t="n">
        <f aca="false">MIN(I18389,Assumptions!$L$57*Assumptions!$C$57)</f>
        <v>4</v>
      </c>
      <c r="J18395" s="16" t="n">
        <f aca="false">MIN(J18389,Assumptions!$L$57*Assumptions!$C$57)</f>
        <v>4</v>
      </c>
      <c r="K18395" s="16" t="n">
        <f aca="false">MIN(K18389,Assumptions!$L$57*Assumptions!$C$57)</f>
        <v>4</v>
      </c>
    </row>
    <row r="18396" customFormat="false" ht="15" hidden="false" customHeight="false" outlineLevel="0" collapsed="false">
      <c r="A18396" s="3" t="s">
        <v>335</v>
      </c>
      <c r="G18396" s="16" t="n">
        <f aca="false">IF(AND(Assumptions!$P$57=1,G18353&lt;Assumptions!$K$57),MIN(MAX(0,-G18569),MAX(0,Assumptions!$D$57-G18389)),0)</f>
        <v>0</v>
      </c>
      <c r="H18396" s="16" t="n">
        <f aca="false">IF(AND(Assumptions!$P$57=1,OR(H18353&lt;Assumptions!$K$57,G18699=1)),MIN(MAX(0,-H18569),MAX(0,Assumptions!$D$57-H18389)),0)</f>
        <v>0</v>
      </c>
      <c r="I18396" s="16" t="n">
        <f aca="false">IF(AND(Assumptions!$P$57=1,OR(I18353&lt;Assumptions!$K$57,H18699=1)),MIN(MAX(0,-I18569),MAX(0,Assumptions!$D$57-I18389)),0)</f>
        <v>0</v>
      </c>
      <c r="J18396" s="16" t="n">
        <f aca="false">IF(AND(Assumptions!$P$57=1,OR(J18353&lt;Assumptions!$K$57,I18699=1)),MIN(MAX(0,-J18569),MAX(0,Assumptions!$D$57-J18389)),0)</f>
        <v>0</v>
      </c>
      <c r="K18396" s="16" t="n">
        <f aca="false">IF(AND(Assumptions!$P$57=1,OR(K18353&lt;Assumptions!$K$57,J18699=1)),MIN(MAX(0,-K18569),MAX(0,Assumptions!$D$57-K18389)),0)</f>
        <v>0</v>
      </c>
    </row>
    <row r="18397" customFormat="false" ht="15" hidden="false" customHeight="false" outlineLevel="0" collapsed="false">
      <c r="A18397" s="3" t="s">
        <v>336</v>
      </c>
      <c r="G18397" s="16" t="n">
        <f aca="false">G18390*MIN(G18389-G18395+G18394,MAX(0,G18571-Assumptions!$C$12*G18387))</f>
        <v>0</v>
      </c>
      <c r="H18397" s="16" t="n">
        <f aca="false">H18390*MIN(H18389-H18395+H18394,MAX(0,H18571-Assumptions!$C$12*H18387))</f>
        <v>0</v>
      </c>
      <c r="I18397" s="16" t="n">
        <f aca="false">I18390*MIN(I18389-I18395+I18394,MAX(0,I18571-Assumptions!$C$12*I18387))</f>
        <v>0</v>
      </c>
      <c r="J18397" s="16" t="n">
        <f aca="false">J18390*MIN(J18389-J18395+J18394,MAX(0,J18571-Assumptions!$C$12*J18387))</f>
        <v>0</v>
      </c>
      <c r="K18397" s="16" t="n">
        <f aca="false">K18390*MIN(K18389-K18395+K18394,MAX(0,K18571-Assumptions!$C$12*K18387))</f>
        <v>0</v>
      </c>
    </row>
    <row r="18398" customFormat="false" ht="15" hidden="false" customHeight="false" outlineLevel="0" collapsed="false">
      <c r="A18398" s="3" t="s">
        <v>337</v>
      </c>
      <c r="G18398" s="16" t="n">
        <f aca="false">Assumptions!$N$57*MIN(G18389+G18396+G18394-G18395-G18397,MAX(0,G18575))</f>
        <v>0</v>
      </c>
      <c r="H18398" s="16" t="n">
        <f aca="false">Assumptions!$N$57*MIN(H18389+H18396+H18394-H18395-H18397,MAX(0,H18575))</f>
        <v>0</v>
      </c>
      <c r="I18398" s="16" t="n">
        <f aca="false">Assumptions!$N$57*MIN(I18389+I18396+I18394-I18395-I18397,MAX(0,I18575))</f>
        <v>0</v>
      </c>
      <c r="J18398" s="16" t="n">
        <f aca="false">Assumptions!$N$57*MIN(J18389+J18396+J18394-J18395-J18397,MAX(0,J18575))</f>
        <v>0</v>
      </c>
      <c r="K18398" s="16" t="n">
        <f aca="false">Assumptions!$N$57*MIN(K18389+K18396+K18394-K18395-K18397,MAX(0,K18575))</f>
        <v>0</v>
      </c>
    </row>
    <row r="18399" customFormat="false" ht="15" hidden="false" customHeight="false" outlineLevel="0" collapsed="false">
      <c r="A18399" s="3" t="s">
        <v>338</v>
      </c>
      <c r="G18399" s="16" t="n">
        <f aca="false">G18390*(1-G18387)*(G18389-G18395+G18394-G18397)</f>
        <v>0</v>
      </c>
      <c r="H18399" s="16" t="n">
        <f aca="false">H18390*(1-H18387)*(H18389-H18395+H18394-H18397)</f>
        <v>0</v>
      </c>
      <c r="I18399" s="16" t="n">
        <f aca="false">I18390*(1-I18387)*(I18389-I18395+I18394-I18397)</f>
        <v>0</v>
      </c>
      <c r="J18399" s="16" t="n">
        <f aca="false">J18390*(1-J18387)*(J18389-J18395+J18394-J18397)</f>
        <v>0</v>
      </c>
      <c r="K18399" s="16" t="n">
        <f aca="false">K18390*(1-K18387)*(K18389-K18395+K18394-K18397)</f>
        <v>380</v>
      </c>
    </row>
    <row r="18400" customFormat="false" ht="15" hidden="false" customHeight="false" outlineLevel="0" collapsed="false">
      <c r="A18400" s="2" t="s">
        <v>339</v>
      </c>
      <c r="F18400" s="28" t="n">
        <f aca="false">Assumptions!$C$57</f>
        <v>400</v>
      </c>
      <c r="G18400" s="17" t="n">
        <f aca="false">G18389+G18396+G18394-G18395-G18397-G18398</f>
        <v>396</v>
      </c>
      <c r="H18400" s="17" t="n">
        <f aca="false">H18389+H18396+H18394-H18395-H18397-H18398</f>
        <v>392</v>
      </c>
      <c r="I18400" s="17" t="n">
        <f aca="false">I18389+I18396+I18394-I18395-I18397-I18398</f>
        <v>388</v>
      </c>
      <c r="J18400" s="17" t="n">
        <f aca="false">J18389+J18396+J18394-J18395-J18397-J18398</f>
        <v>384</v>
      </c>
      <c r="K18400" s="17" t="n">
        <f aca="false">K18389+K18396+K18394-K18395-K18397-K18398</f>
        <v>380</v>
      </c>
    </row>
    <row r="18401" customFormat="false" ht="15" hidden="false" customHeight="false" outlineLevel="0" collapsed="false">
      <c r="A18401" s="24" t="s">
        <v>340</v>
      </c>
      <c r="B18401" s="25"/>
      <c r="C18401" s="25"/>
      <c r="D18401" s="25"/>
      <c r="E18401" s="25"/>
      <c r="F18401" s="25"/>
      <c r="G18401" s="25"/>
      <c r="H18401" s="25"/>
      <c r="I18401" s="25"/>
      <c r="J18401" s="25"/>
      <c r="K18401" s="25"/>
    </row>
    <row r="18402" customFormat="false" ht="15" hidden="false" customHeight="false" outlineLevel="0" collapsed="false">
      <c r="A18402" s="3" t="s">
        <v>329</v>
      </c>
      <c r="G18402" s="16" t="n">
        <f aca="false">F18413</f>
        <v>90</v>
      </c>
      <c r="H18402" s="16" t="n">
        <f aca="false">G18413</f>
        <v>90</v>
      </c>
      <c r="I18402" s="16" t="n">
        <f aca="false">H18413</f>
        <v>90</v>
      </c>
      <c r="J18402" s="16" t="n">
        <f aca="false">I18413</f>
        <v>90</v>
      </c>
      <c r="K18402" s="16" t="n">
        <f aca="false">J18413</f>
        <v>90</v>
      </c>
    </row>
    <row r="18403" customFormat="false" ht="15" hidden="false" customHeight="false" outlineLevel="0" collapsed="false">
      <c r="A18403" s="3" t="s">
        <v>330</v>
      </c>
      <c r="G18403" s="21" t="n">
        <f aca="false">IF(G18353=Assumptions!$K$58,1,0)</f>
        <v>0</v>
      </c>
      <c r="H18403" s="21" t="n">
        <f aca="false">IF(H18353=Assumptions!$K$58,1,0)</f>
        <v>0</v>
      </c>
      <c r="I18403" s="21" t="n">
        <f aca="false">IF(I18353=Assumptions!$K$58,1,0)</f>
        <v>0</v>
      </c>
      <c r="J18403" s="21" t="n">
        <f aca="false">IF(J18353=Assumptions!$K$58,1,0)</f>
        <v>0</v>
      </c>
      <c r="K18403" s="21" t="n">
        <f aca="false">IF(K18353=Assumptions!$K$58,1,0)</f>
        <v>0</v>
      </c>
    </row>
    <row r="18405" customFormat="false" ht="15" hidden="false" customHeight="false" outlineLevel="0" collapsed="false">
      <c r="A18405" s="3" t="s">
        <v>331</v>
      </c>
      <c r="G18405" s="31" t="n">
        <f aca="false">IF(Assumptions!$I$58=1,MAX(G18379,Assumptions!$G$58)+Assumptions!$F$58+$C$18380,Assumptions!$E$58)</f>
        <v>0.0581</v>
      </c>
      <c r="H18405" s="31" t="n">
        <f aca="false">IF(G18700=1,$C$18381,IF(Assumptions!$I$58=1,MAX(H18379,Assumptions!$G$58)+Assumptions!$F$58+$C$18380,Assumptions!$E$58))</f>
        <v>0.0581</v>
      </c>
      <c r="I18405" s="31" t="n">
        <f aca="false">IF(H18700=1,$C$18381,IF(Assumptions!$I$58=1,MAX(I18379,Assumptions!$G$58)+Assumptions!$F$58+$C$18380,Assumptions!$E$58))</f>
        <v>0.0581</v>
      </c>
      <c r="J18405" s="31" t="n">
        <f aca="false">IF(I18700=1,$C$18381,IF(Assumptions!$I$58=1,MAX(J18379,Assumptions!$G$58)+Assumptions!$F$58+$C$18380,Assumptions!$E$58))</f>
        <v>0.0581</v>
      </c>
      <c r="K18405" s="31" t="n">
        <f aca="false">IF(J18700=1,$C$18381,IF(Assumptions!$I$58=1,MAX(K18379,Assumptions!$G$58)+Assumptions!$F$58+$C$18380,Assumptions!$E$58))</f>
        <v>0.0581</v>
      </c>
    </row>
    <row r="18406" customFormat="false" ht="15" hidden="false" customHeight="false" outlineLevel="0" collapsed="false">
      <c r="A18406" s="3" t="s">
        <v>332</v>
      </c>
      <c r="G18406" s="16" t="n">
        <f aca="false">G18402*G18405</f>
        <v>5.229</v>
      </c>
      <c r="H18406" s="16" t="n">
        <f aca="false">H18402*H18405</f>
        <v>5.229</v>
      </c>
      <c r="I18406" s="16" t="n">
        <f aca="false">I18402*I18405</f>
        <v>5.229</v>
      </c>
      <c r="J18406" s="16" t="n">
        <f aca="false">J18402*J18405</f>
        <v>5.229</v>
      </c>
      <c r="K18406" s="16" t="n">
        <f aca="false">K18402*K18405</f>
        <v>5.229</v>
      </c>
    </row>
    <row r="18407" customFormat="false" ht="15" hidden="false" customHeight="false" outlineLevel="0" collapsed="false">
      <c r="A18407" s="3" t="s">
        <v>333</v>
      </c>
      <c r="G18407" s="16" t="n">
        <f aca="false">G18402*Assumptions!$H$58</f>
        <v>0</v>
      </c>
      <c r="H18407" s="16" t="n">
        <f aca="false">H18402*Assumptions!$H$58</f>
        <v>0</v>
      </c>
      <c r="I18407" s="16" t="n">
        <f aca="false">I18402*Assumptions!$H$58</f>
        <v>0</v>
      </c>
      <c r="J18407" s="16" t="n">
        <f aca="false">J18402*Assumptions!$H$58</f>
        <v>0</v>
      </c>
      <c r="K18407" s="16" t="n">
        <f aca="false">K18402*Assumptions!$H$58</f>
        <v>0</v>
      </c>
    </row>
    <row r="18408" customFormat="false" ht="15" hidden="false" customHeight="false" outlineLevel="0" collapsed="false">
      <c r="A18408" s="3" t="s">
        <v>334</v>
      </c>
      <c r="G18408" s="16" t="n">
        <f aca="false">MIN(G18402,Assumptions!$L$58*Assumptions!$C$58)</f>
        <v>0</v>
      </c>
      <c r="H18408" s="16" t="n">
        <f aca="false">MIN(H18402,Assumptions!$L$58*Assumptions!$C$58)</f>
        <v>0</v>
      </c>
      <c r="I18408" s="16" t="n">
        <f aca="false">MIN(I18402,Assumptions!$L$58*Assumptions!$C$58)</f>
        <v>0</v>
      </c>
      <c r="J18408" s="16" t="n">
        <f aca="false">MIN(J18402,Assumptions!$L$58*Assumptions!$C$58)</f>
        <v>0</v>
      </c>
      <c r="K18408" s="16" t="n">
        <f aca="false">MIN(K18402,Assumptions!$L$58*Assumptions!$C$58)</f>
        <v>0</v>
      </c>
    </row>
    <row r="18409" customFormat="false" ht="15" hidden="false" customHeight="false" outlineLevel="0" collapsed="false">
      <c r="A18409" s="3" t="s">
        <v>335</v>
      </c>
      <c r="G18409" s="16" t="n">
        <f aca="false">IF(AND(Assumptions!$P$58=1,G18353&lt;Assumptions!$K$58),MIN(MAX(0,-G18569),MAX(0,Assumptions!$D$58-G18402)),0)</f>
        <v>0</v>
      </c>
      <c r="H18409" s="16" t="n">
        <f aca="false">IF(AND(Assumptions!$P$58=1,OR(H18353&lt;Assumptions!$K$58,G18700=1)),MIN(MAX(0,-H18569),MAX(0,Assumptions!$D$58-H18402)),0)</f>
        <v>0</v>
      </c>
      <c r="I18409" s="16" t="n">
        <f aca="false">IF(AND(Assumptions!$P$58=1,OR(I18353&lt;Assumptions!$K$58,H18700=1)),MIN(MAX(0,-I18569),MAX(0,Assumptions!$D$58-I18402)),0)</f>
        <v>0</v>
      </c>
      <c r="J18409" s="16" t="n">
        <f aca="false">IF(AND(Assumptions!$P$58=1,OR(J18353&lt;Assumptions!$K$58,I18700=1)),MIN(MAX(0,-J18569),MAX(0,Assumptions!$D$58-J18402)),0)</f>
        <v>0</v>
      </c>
      <c r="K18409" s="16" t="n">
        <f aca="false">IF(AND(Assumptions!$P$58=1,OR(K18353&lt;Assumptions!$K$58,J18700=1)),MIN(MAX(0,-K18569),MAX(0,Assumptions!$D$58-K18402)),0)</f>
        <v>0</v>
      </c>
    </row>
    <row r="18410" customFormat="false" ht="15" hidden="false" customHeight="false" outlineLevel="0" collapsed="false">
      <c r="A18410" s="3" t="s">
        <v>336</v>
      </c>
      <c r="G18410" s="16" t="n">
        <f aca="false">G18403*MIN(G18402-G18408+G18407,MAX(0,G18571-Assumptions!$C$12*G18387-G18397))</f>
        <v>0</v>
      </c>
      <c r="H18410" s="16" t="n">
        <f aca="false">H18403*MIN(H18402-H18408+H18407,MAX(0,H18571-Assumptions!$C$12*H18387-H18397))</f>
        <v>0</v>
      </c>
      <c r="I18410" s="16" t="n">
        <f aca="false">I18403*MIN(I18402-I18408+I18407,MAX(0,I18571-Assumptions!$C$12*I18387-I18397))</f>
        <v>0</v>
      </c>
      <c r="J18410" s="16" t="n">
        <f aca="false">J18403*MIN(J18402-J18408+J18407,MAX(0,J18571-Assumptions!$C$12*J18387-J18397))</f>
        <v>0</v>
      </c>
      <c r="K18410" s="16" t="n">
        <f aca="false">K18403*MIN(K18402-K18408+K18407,MAX(0,K18571-Assumptions!$C$12*K18387-K18397))</f>
        <v>0</v>
      </c>
    </row>
    <row r="18411" customFormat="false" ht="15" hidden="false" customHeight="false" outlineLevel="0" collapsed="false">
      <c r="A18411" s="3" t="s">
        <v>337</v>
      </c>
      <c r="G18411" s="16" t="n">
        <f aca="false">Assumptions!$N$58*MIN(G18402+G18409+G18407-G18408-G18410,MAX(0,G18575-G18398))</f>
        <v>0</v>
      </c>
      <c r="H18411" s="16" t="n">
        <f aca="false">Assumptions!$N$58*MIN(H18402+H18409+H18407-H18408-H18410,MAX(0,H18575-H18398))</f>
        <v>0</v>
      </c>
      <c r="I18411" s="16" t="n">
        <f aca="false">Assumptions!$N$58*MIN(I18402+I18409+I18407-I18408-I18410,MAX(0,I18575-I18398))</f>
        <v>0</v>
      </c>
      <c r="J18411" s="16" t="n">
        <f aca="false">Assumptions!$N$58*MIN(J18402+J18409+J18407-J18408-J18410,MAX(0,J18575-J18398))</f>
        <v>0</v>
      </c>
      <c r="K18411" s="16" t="n">
        <f aca="false">Assumptions!$N$58*MIN(K18402+K18409+K18407-K18408-K18410,MAX(0,K18575-K18398))</f>
        <v>0</v>
      </c>
    </row>
    <row r="18412" customFormat="false" ht="15" hidden="false" customHeight="false" outlineLevel="0" collapsed="false">
      <c r="A18412" s="3" t="s">
        <v>338</v>
      </c>
      <c r="G18412" s="16" t="n">
        <f aca="false">G18403*(1-G18387)*(G18402-G18408+G18407-G18410)</f>
        <v>0</v>
      </c>
      <c r="H18412" s="16" t="n">
        <f aca="false">H18403*(1-H18387)*(H18402-H18408+H18407-H18410)</f>
        <v>0</v>
      </c>
      <c r="I18412" s="16" t="n">
        <f aca="false">I18403*(1-I18387)*(I18402-I18408+I18407-I18410)</f>
        <v>0</v>
      </c>
      <c r="J18412" s="16" t="n">
        <f aca="false">J18403*(1-J18387)*(J18402-J18408+J18407-J18410)</f>
        <v>0</v>
      </c>
      <c r="K18412" s="16" t="n">
        <f aca="false">K18403*(1-K18387)*(K18402-K18408+K18407-K18410)</f>
        <v>0</v>
      </c>
    </row>
    <row r="18413" customFormat="false" ht="15" hidden="false" customHeight="false" outlineLevel="0" collapsed="false">
      <c r="A18413" s="2" t="s">
        <v>339</v>
      </c>
      <c r="F18413" s="28" t="n">
        <f aca="false">Assumptions!$C$58</f>
        <v>90</v>
      </c>
      <c r="G18413" s="17" t="n">
        <f aca="false">G18402+G18409+G18407-G18408-G18410-G18411</f>
        <v>90</v>
      </c>
      <c r="H18413" s="17" t="n">
        <f aca="false">H18402+H18409+H18407-H18408-H18410-H18411</f>
        <v>90</v>
      </c>
      <c r="I18413" s="17" t="n">
        <f aca="false">I18402+I18409+I18407-I18408-I18410-I18411</f>
        <v>90</v>
      </c>
      <c r="J18413" s="17" t="n">
        <f aca="false">J18402+J18409+J18407-J18408-J18410-J18411</f>
        <v>90</v>
      </c>
      <c r="K18413" s="17" t="n">
        <f aca="false">K18402+K18409+K18407-K18408-K18410-K18411</f>
        <v>90</v>
      </c>
    </row>
    <row r="18414" customFormat="false" ht="15" hidden="false" customHeight="false" outlineLevel="0" collapsed="false">
      <c r="A18414" s="24" t="s">
        <v>341</v>
      </c>
      <c r="B18414" s="25"/>
      <c r="C18414" s="25"/>
      <c r="D18414" s="25"/>
      <c r="E18414" s="25"/>
      <c r="F18414" s="25"/>
      <c r="G18414" s="25"/>
      <c r="H18414" s="25"/>
      <c r="I18414" s="25"/>
      <c r="J18414" s="25"/>
      <c r="K18414" s="25"/>
    </row>
    <row r="18415" customFormat="false" ht="15" hidden="false" customHeight="false" outlineLevel="0" collapsed="false">
      <c r="A18415" s="3" t="s">
        <v>329</v>
      </c>
      <c r="G18415" s="16" t="n">
        <f aca="false">F18426</f>
        <v>57.324</v>
      </c>
      <c r="H18415" s="16" t="n">
        <f aca="false">G18426</f>
        <v>57.324</v>
      </c>
      <c r="I18415" s="16" t="n">
        <f aca="false">H18426</f>
        <v>57.324</v>
      </c>
      <c r="J18415" s="16" t="n">
        <f aca="false">I18426</f>
        <v>57.324</v>
      </c>
      <c r="K18415" s="16" t="n">
        <f aca="false">J18426</f>
        <v>57.324</v>
      </c>
    </row>
    <row r="18416" customFormat="false" ht="15" hidden="false" customHeight="false" outlineLevel="0" collapsed="false">
      <c r="A18416" s="3" t="s">
        <v>330</v>
      </c>
      <c r="G18416" s="21" t="n">
        <f aca="false">IF(G18353=Assumptions!$K$59,1,0)</f>
        <v>0</v>
      </c>
      <c r="H18416" s="21" t="n">
        <f aca="false">IF(H18353=Assumptions!$K$59,1,0)</f>
        <v>0</v>
      </c>
      <c r="I18416" s="21" t="n">
        <f aca="false">IF(I18353=Assumptions!$K$59,1,0)</f>
        <v>0</v>
      </c>
      <c r="J18416" s="21" t="n">
        <f aca="false">IF(J18353=Assumptions!$K$59,1,0)</f>
        <v>0</v>
      </c>
      <c r="K18416" s="21" t="n">
        <f aca="false">IF(K18353=Assumptions!$K$59,1,0)</f>
        <v>0</v>
      </c>
    </row>
    <row r="18418" customFormat="false" ht="15" hidden="false" customHeight="false" outlineLevel="0" collapsed="false">
      <c r="A18418" s="3" t="s">
        <v>331</v>
      </c>
      <c r="G18418" s="31" t="n">
        <f aca="false">IF(Assumptions!$I$59=1,MAX(G18379,Assumptions!$G$59)+Assumptions!$F$59+$C$18380,Assumptions!$E$59)</f>
        <v>0.0731</v>
      </c>
      <c r="H18418" s="31" t="n">
        <f aca="false">IF(G18701=1,$C$18381,IF(Assumptions!$I$59=1,MAX(H18379,Assumptions!$G$59)+Assumptions!$F$59+$C$18380,Assumptions!$E$59))</f>
        <v>0.0731</v>
      </c>
      <c r="I18418" s="31" t="n">
        <f aca="false">IF(H18701=1,$C$18381,IF(Assumptions!$I$59=1,MAX(I18379,Assumptions!$G$59)+Assumptions!$F$59+$C$18380,Assumptions!$E$59))</f>
        <v>0.0731</v>
      </c>
      <c r="J18418" s="31" t="n">
        <f aca="false">IF(I18701=1,$C$18381,IF(Assumptions!$I$59=1,MAX(J18379,Assumptions!$G$59)+Assumptions!$F$59+$C$18380,Assumptions!$E$59))</f>
        <v>0.0731</v>
      </c>
      <c r="K18418" s="31" t="n">
        <f aca="false">IF(J18701=1,$C$18381,IF(Assumptions!$I$59=1,MAX(K18379,Assumptions!$G$59)+Assumptions!$F$59+$C$18380,Assumptions!$E$59))</f>
        <v>0.0731</v>
      </c>
    </row>
    <row r="18419" customFormat="false" ht="15" hidden="false" customHeight="false" outlineLevel="0" collapsed="false">
      <c r="A18419" s="3" t="s">
        <v>332</v>
      </c>
      <c r="G18419" s="16" t="n">
        <f aca="false">G18415*G18418</f>
        <v>4.1903844</v>
      </c>
      <c r="H18419" s="16" t="n">
        <f aca="false">H18415*H18418</f>
        <v>4.1903844</v>
      </c>
      <c r="I18419" s="16" t="n">
        <f aca="false">I18415*I18418</f>
        <v>4.1903844</v>
      </c>
      <c r="J18419" s="16" t="n">
        <f aca="false">J18415*J18418</f>
        <v>4.1903844</v>
      </c>
      <c r="K18419" s="16" t="n">
        <f aca="false">K18415*K18418</f>
        <v>4.1903844</v>
      </c>
    </row>
    <row r="18420" customFormat="false" ht="15" hidden="false" customHeight="false" outlineLevel="0" collapsed="false">
      <c r="A18420" s="3" t="s">
        <v>333</v>
      </c>
      <c r="G18420" s="16" t="n">
        <f aca="false">G18415*Assumptions!$H$59</f>
        <v>0</v>
      </c>
      <c r="H18420" s="16" t="n">
        <f aca="false">H18415*Assumptions!$H$59</f>
        <v>0</v>
      </c>
      <c r="I18420" s="16" t="n">
        <f aca="false">I18415*Assumptions!$H$59</f>
        <v>0</v>
      </c>
      <c r="J18420" s="16" t="n">
        <f aca="false">J18415*Assumptions!$H$59</f>
        <v>0</v>
      </c>
      <c r="K18420" s="16" t="n">
        <f aca="false">K18415*Assumptions!$H$59</f>
        <v>0</v>
      </c>
    </row>
    <row r="18421" customFormat="false" ht="15" hidden="false" customHeight="false" outlineLevel="0" collapsed="false">
      <c r="A18421" s="3" t="s">
        <v>334</v>
      </c>
      <c r="G18421" s="16" t="n">
        <f aca="false">MIN(G18415,Assumptions!$L$59*Assumptions!$C$59)</f>
        <v>0</v>
      </c>
      <c r="H18421" s="16" t="n">
        <f aca="false">MIN(H18415,Assumptions!$L$59*Assumptions!$C$59)</f>
        <v>0</v>
      </c>
      <c r="I18421" s="16" t="n">
        <f aca="false">MIN(I18415,Assumptions!$L$59*Assumptions!$C$59)</f>
        <v>0</v>
      </c>
      <c r="J18421" s="16" t="n">
        <f aca="false">MIN(J18415,Assumptions!$L$59*Assumptions!$C$59)</f>
        <v>0</v>
      </c>
      <c r="K18421" s="16" t="n">
        <f aca="false">MIN(K18415,Assumptions!$L$59*Assumptions!$C$59)</f>
        <v>0</v>
      </c>
    </row>
    <row r="18422" customFormat="false" ht="15" hidden="false" customHeight="false" outlineLevel="0" collapsed="false">
      <c r="A18422" s="3" t="s">
        <v>335</v>
      </c>
      <c r="G18422" s="16" t="n">
        <f aca="false">IF(AND(Assumptions!$P$59=1,G18353&lt;Assumptions!$K$59),MIN(MAX(0,-G18569),MAX(0,Assumptions!$D$59-G18415)),0)</f>
        <v>0</v>
      </c>
      <c r="H18422" s="16" t="n">
        <f aca="false">IF(AND(Assumptions!$P$59=1,OR(H18353&lt;Assumptions!$K$59,G18701=1)),MIN(MAX(0,-H18569),MAX(0,Assumptions!$D$59-H18415)),0)</f>
        <v>0</v>
      </c>
      <c r="I18422" s="16" t="n">
        <f aca="false">IF(AND(Assumptions!$P$59=1,OR(I18353&lt;Assumptions!$K$59,H18701=1)),MIN(MAX(0,-I18569),MAX(0,Assumptions!$D$59-I18415)),0)</f>
        <v>0</v>
      </c>
      <c r="J18422" s="16" t="n">
        <f aca="false">IF(AND(Assumptions!$P$59=1,OR(J18353&lt;Assumptions!$K$59,I18701=1)),MIN(MAX(0,-J18569),MAX(0,Assumptions!$D$59-J18415)),0)</f>
        <v>0</v>
      </c>
      <c r="K18422" s="16" t="n">
        <f aca="false">IF(AND(Assumptions!$P$59=1,OR(K18353&lt;Assumptions!$K$59,J18701=1)),MIN(MAX(0,-K18569),MAX(0,Assumptions!$D$59-K18415)),0)</f>
        <v>0</v>
      </c>
    </row>
    <row r="18423" customFormat="false" ht="15" hidden="false" customHeight="false" outlineLevel="0" collapsed="false">
      <c r="A18423" s="3" t="s">
        <v>336</v>
      </c>
      <c r="G18423" s="16" t="n">
        <f aca="false">G18416*MIN(G18415-G18421+G18420,MAX(0,G18571-Assumptions!$C$12*G18387-G18397-G18410))</f>
        <v>0</v>
      </c>
      <c r="H18423" s="16" t="n">
        <f aca="false">H18416*MIN(H18415-H18421+H18420,MAX(0,H18571-Assumptions!$C$12*H18387-H18397-H18410))</f>
        <v>0</v>
      </c>
      <c r="I18423" s="16" t="n">
        <f aca="false">I18416*MIN(I18415-I18421+I18420,MAX(0,I18571-Assumptions!$C$12*I18387-I18397-I18410))</f>
        <v>0</v>
      </c>
      <c r="J18423" s="16" t="n">
        <f aca="false">J18416*MIN(J18415-J18421+J18420,MAX(0,J18571-Assumptions!$C$12*J18387-J18397-J18410))</f>
        <v>0</v>
      </c>
      <c r="K18423" s="16" t="n">
        <f aca="false">K18416*MIN(K18415-K18421+K18420,MAX(0,K18571-Assumptions!$C$12*K18387-K18397-K18410))</f>
        <v>0</v>
      </c>
    </row>
    <row r="18424" customFormat="false" ht="15" hidden="false" customHeight="false" outlineLevel="0" collapsed="false">
      <c r="A18424" s="3" t="s">
        <v>337</v>
      </c>
      <c r="G18424" s="16" t="n">
        <f aca="false">Assumptions!$N$59*MIN(G18415+G18422+G18420-G18421-G18423,MAX(0,G18575-G18398-G18411))</f>
        <v>0</v>
      </c>
      <c r="H18424" s="16" t="n">
        <f aca="false">Assumptions!$N$59*MIN(H18415+H18422+H18420-H18421-H18423,MAX(0,H18575-H18398-H18411))</f>
        <v>0</v>
      </c>
      <c r="I18424" s="16" t="n">
        <f aca="false">Assumptions!$N$59*MIN(I18415+I18422+I18420-I18421-I18423,MAX(0,I18575-I18398-I18411))</f>
        <v>0</v>
      </c>
      <c r="J18424" s="16" t="n">
        <f aca="false">Assumptions!$N$59*MIN(J18415+J18422+J18420-J18421-J18423,MAX(0,J18575-J18398-J18411))</f>
        <v>0</v>
      </c>
      <c r="K18424" s="16" t="n">
        <f aca="false">Assumptions!$N$59*MIN(K18415+K18422+K18420-K18421-K18423,MAX(0,K18575-K18398-K18411))</f>
        <v>0</v>
      </c>
    </row>
    <row r="18425" customFormat="false" ht="15" hidden="false" customHeight="false" outlineLevel="0" collapsed="false">
      <c r="A18425" s="3" t="s">
        <v>338</v>
      </c>
      <c r="G18425" s="16" t="n">
        <f aca="false">G18416*(1-G18387)*(G18415-G18421+G18420-G18423)</f>
        <v>0</v>
      </c>
      <c r="H18425" s="16" t="n">
        <f aca="false">H18416*(1-H18387)*(H18415-H18421+H18420-H18423)</f>
        <v>0</v>
      </c>
      <c r="I18425" s="16" t="n">
        <f aca="false">I18416*(1-I18387)*(I18415-I18421+I18420-I18423)</f>
        <v>0</v>
      </c>
      <c r="J18425" s="16" t="n">
        <f aca="false">J18416*(1-J18387)*(J18415-J18421+J18420-J18423)</f>
        <v>0</v>
      </c>
      <c r="K18425" s="16" t="n">
        <f aca="false">K18416*(1-K18387)*(K18415-K18421+K18420-K18423)</f>
        <v>0</v>
      </c>
    </row>
    <row r="18426" customFormat="false" ht="15" hidden="false" customHeight="false" outlineLevel="0" collapsed="false">
      <c r="A18426" s="2" t="s">
        <v>339</v>
      </c>
      <c r="F18426" s="28" t="n">
        <f aca="false">Assumptions!$C$59</f>
        <v>57.324</v>
      </c>
      <c r="G18426" s="17" t="n">
        <f aca="false">G18415+G18422+G18420-G18421-G18423-G18424</f>
        <v>57.324</v>
      </c>
      <c r="H18426" s="17" t="n">
        <f aca="false">H18415+H18422+H18420-H18421-H18423-H18424</f>
        <v>57.324</v>
      </c>
      <c r="I18426" s="17" t="n">
        <f aca="false">I18415+I18422+I18420-I18421-I18423-I18424</f>
        <v>57.324</v>
      </c>
      <c r="J18426" s="17" t="n">
        <f aca="false">J18415+J18422+J18420-J18421-J18423-J18424</f>
        <v>57.324</v>
      </c>
      <c r="K18426" s="17" t="n">
        <f aca="false">K18415+K18422+K18420-K18421-K18423-K18424</f>
        <v>57.324</v>
      </c>
    </row>
    <row r="18427" customFormat="false" ht="15" hidden="false" customHeight="false" outlineLevel="0" collapsed="false">
      <c r="A18427" s="24" t="s">
        <v>342</v>
      </c>
      <c r="B18427" s="25"/>
      <c r="C18427" s="25"/>
      <c r="D18427" s="25"/>
      <c r="E18427" s="25"/>
      <c r="F18427" s="25"/>
      <c r="G18427" s="25"/>
      <c r="H18427" s="25"/>
      <c r="I18427" s="25"/>
      <c r="J18427" s="25"/>
      <c r="K18427" s="25"/>
    </row>
    <row r="18428" customFormat="false" ht="15" hidden="false" customHeight="false" outlineLevel="0" collapsed="false">
      <c r="A18428" s="3" t="s">
        <v>329</v>
      </c>
      <c r="G18428" s="16" t="n">
        <f aca="false">F18439</f>
        <v>0</v>
      </c>
      <c r="H18428" s="16" t="n">
        <f aca="false">G18439</f>
        <v>0</v>
      </c>
      <c r="I18428" s="16" t="n">
        <f aca="false">H18439</f>
        <v>0</v>
      </c>
      <c r="J18428" s="16" t="n">
        <f aca="false">I18439</f>
        <v>0</v>
      </c>
      <c r="K18428" s="16" t="n">
        <f aca="false">J18439</f>
        <v>0</v>
      </c>
    </row>
    <row r="18429" customFormat="false" ht="15" hidden="false" customHeight="false" outlineLevel="0" collapsed="false">
      <c r="A18429" s="3" t="s">
        <v>330</v>
      </c>
      <c r="G18429" s="21" t="n">
        <f aca="false">IF(G18353=Assumptions!$K$60,1,0)</f>
        <v>1</v>
      </c>
      <c r="H18429" s="21" t="n">
        <f aca="false">IF(H18353=Assumptions!$K$60,1,0)</f>
        <v>0</v>
      </c>
      <c r="I18429" s="21" t="n">
        <f aca="false">IF(I18353=Assumptions!$K$60,1,0)</f>
        <v>0</v>
      </c>
      <c r="J18429" s="21" t="n">
        <f aca="false">IF(J18353=Assumptions!$K$60,1,0)</f>
        <v>0</v>
      </c>
      <c r="K18429" s="21" t="n">
        <f aca="false">IF(K18353=Assumptions!$K$60,1,0)</f>
        <v>0</v>
      </c>
    </row>
    <row r="18431" customFormat="false" ht="15" hidden="false" customHeight="false" outlineLevel="0" collapsed="false">
      <c r="A18431" s="3" t="s">
        <v>331</v>
      </c>
      <c r="G18431" s="31" t="n">
        <f aca="false">IF(Assumptions!$I$60=1,MAX(G18379,Assumptions!$G$60)+Assumptions!$F$60+$C$18380,Assumptions!$E$60)</f>
        <v>0.084</v>
      </c>
      <c r="H18431" s="31" t="n">
        <f aca="false">IF(G18702=1,$C$18381,IF(Assumptions!$I$60=1,MAX(H18379,Assumptions!$G$60)+Assumptions!$F$60+$C$18380,Assumptions!$E$60))</f>
        <v>0.0825</v>
      </c>
      <c r="I18431" s="31" t="n">
        <f aca="false">IF(H18702=1,$C$18381,IF(Assumptions!$I$60=1,MAX(I18379,Assumptions!$G$60)+Assumptions!$F$60+$C$18380,Assumptions!$E$60))</f>
        <v>0.08</v>
      </c>
      <c r="J18431" s="31" t="n">
        <f aca="false">IF(I18702=1,$C$18381,IF(Assumptions!$I$60=1,MAX(J18379,Assumptions!$G$60)+Assumptions!$F$60+$C$18380,Assumptions!$E$60))</f>
        <v>0.08</v>
      </c>
      <c r="K18431" s="31" t="n">
        <f aca="false">IF(J18702=1,$C$18381,IF(Assumptions!$I$60=1,MAX(K18379,Assumptions!$G$60)+Assumptions!$F$60+$C$18380,Assumptions!$E$60))</f>
        <v>0.08</v>
      </c>
    </row>
    <row r="18432" customFormat="false" ht="15" hidden="false" customHeight="false" outlineLevel="0" collapsed="false">
      <c r="A18432" s="3" t="s">
        <v>332</v>
      </c>
      <c r="G18432" s="16" t="n">
        <f aca="false">G18428*G18431</f>
        <v>0</v>
      </c>
      <c r="H18432" s="16" t="n">
        <f aca="false">H18428*H18431</f>
        <v>0</v>
      </c>
      <c r="I18432" s="16" t="n">
        <f aca="false">I18428*I18431</f>
        <v>0</v>
      </c>
      <c r="J18432" s="16" t="n">
        <f aca="false">J18428*J18431</f>
        <v>0</v>
      </c>
      <c r="K18432" s="16" t="n">
        <f aca="false">K18428*K18431</f>
        <v>0</v>
      </c>
    </row>
    <row r="18433" customFormat="false" ht="15" hidden="false" customHeight="false" outlineLevel="0" collapsed="false">
      <c r="A18433" s="3" t="s">
        <v>333</v>
      </c>
      <c r="G18433" s="16" t="n">
        <f aca="false">G18428*Assumptions!$H$60</f>
        <v>0</v>
      </c>
      <c r="H18433" s="16" t="n">
        <f aca="false">H18428*Assumptions!$H$60</f>
        <v>0</v>
      </c>
      <c r="I18433" s="16" t="n">
        <f aca="false">I18428*Assumptions!$H$60</f>
        <v>0</v>
      </c>
      <c r="J18433" s="16" t="n">
        <f aca="false">J18428*Assumptions!$H$60</f>
        <v>0</v>
      </c>
      <c r="K18433" s="16" t="n">
        <f aca="false">K18428*Assumptions!$H$60</f>
        <v>0</v>
      </c>
    </row>
    <row r="18434" customFormat="false" ht="15" hidden="false" customHeight="false" outlineLevel="0" collapsed="false">
      <c r="A18434" s="3" t="s">
        <v>334</v>
      </c>
      <c r="G18434" s="16" t="n">
        <f aca="false">MIN(G18428,Assumptions!$L$60*Assumptions!$C$60)</f>
        <v>0</v>
      </c>
      <c r="H18434" s="16" t="n">
        <f aca="false">MIN(H18428,Assumptions!$L$60*Assumptions!$C$60)</f>
        <v>0</v>
      </c>
      <c r="I18434" s="16" t="n">
        <f aca="false">MIN(I18428,Assumptions!$L$60*Assumptions!$C$60)</f>
        <v>0</v>
      </c>
      <c r="J18434" s="16" t="n">
        <f aca="false">MIN(J18428,Assumptions!$L$60*Assumptions!$C$60)</f>
        <v>0</v>
      </c>
      <c r="K18434" s="16" t="n">
        <f aca="false">MIN(K18428,Assumptions!$L$60*Assumptions!$C$60)</f>
        <v>0</v>
      </c>
    </row>
    <row r="18435" customFormat="false" ht="15" hidden="false" customHeight="false" outlineLevel="0" collapsed="false">
      <c r="A18435" s="3" t="s">
        <v>335</v>
      </c>
      <c r="G18435" s="16" t="n">
        <f aca="false">IF(AND(Assumptions!$P$60=1,G18353&lt;Assumptions!$K$60),MIN(MAX(0,-G18569),MAX(0,Assumptions!$D$60-G18428)),0)</f>
        <v>0</v>
      </c>
      <c r="H18435" s="16" t="n">
        <f aca="false">IF(AND(Assumptions!$P$60=1,OR(H18353&lt;Assumptions!$K$60,G18702=1)),MIN(MAX(0,-H18569),MAX(0,Assumptions!$D$60-H18428)),0)</f>
        <v>0</v>
      </c>
      <c r="I18435" s="16" t="n">
        <f aca="false">IF(AND(Assumptions!$P$60=1,OR(I18353&lt;Assumptions!$K$60,H18702=1)),MIN(MAX(0,-I18569),MAX(0,Assumptions!$D$60-I18428)),0)</f>
        <v>0</v>
      </c>
      <c r="J18435" s="16" t="n">
        <f aca="false">IF(AND(Assumptions!$P$60=1,OR(J18353&lt;Assumptions!$K$60,I18702=1)),MIN(MAX(0,-J18569),MAX(0,Assumptions!$D$60-J18428)),0)</f>
        <v>0</v>
      </c>
      <c r="K18435" s="16" t="n">
        <f aca="false">IF(AND(Assumptions!$P$60=1,OR(K18353&lt;Assumptions!$K$60,J18702=1)),MIN(MAX(0,-K18569),MAX(0,Assumptions!$D$60-K18428)),0)</f>
        <v>0</v>
      </c>
    </row>
    <row r="18436" customFormat="false" ht="15" hidden="false" customHeight="false" outlineLevel="0" collapsed="false">
      <c r="A18436" s="3" t="s">
        <v>336</v>
      </c>
      <c r="G18436" s="16" t="n">
        <f aca="false">G18429*MIN(G18428-G18434+G18433,MAX(0,G18571-Assumptions!$C$12*G18387-G18397-G18410-G18423))</f>
        <v>0</v>
      </c>
      <c r="H18436" s="16" t="n">
        <f aca="false">H18429*MIN(H18428-H18434+H18433,MAX(0,H18571-Assumptions!$C$12*H18387-H18397-H18410-H18423))</f>
        <v>0</v>
      </c>
      <c r="I18436" s="16" t="n">
        <f aca="false">I18429*MIN(I18428-I18434+I18433,MAX(0,I18571-Assumptions!$C$12*I18387-I18397-I18410-I18423))</f>
        <v>0</v>
      </c>
      <c r="J18436" s="16" t="n">
        <f aca="false">J18429*MIN(J18428-J18434+J18433,MAX(0,J18571-Assumptions!$C$12*J18387-J18397-J18410-J18423))</f>
        <v>0</v>
      </c>
      <c r="K18436" s="16" t="n">
        <f aca="false">K18429*MIN(K18428-K18434+K18433,MAX(0,K18571-Assumptions!$C$12*K18387-K18397-K18410-K18423))</f>
        <v>0</v>
      </c>
    </row>
    <row r="18437" customFormat="false" ht="15" hidden="false" customHeight="false" outlineLevel="0" collapsed="false">
      <c r="A18437" s="3" t="s">
        <v>337</v>
      </c>
      <c r="G18437" s="16" t="n">
        <f aca="false">Assumptions!$N$60*MIN(G18428+G18435+G18433-G18434-G18436,MAX(0,G18575-G18398-G18411-G18424))</f>
        <v>0</v>
      </c>
      <c r="H18437" s="16" t="n">
        <f aca="false">Assumptions!$N$60*MIN(H18428+H18435+H18433-H18434-H18436,MAX(0,H18575-H18398-H18411-H18424))</f>
        <v>0</v>
      </c>
      <c r="I18437" s="16" t="n">
        <f aca="false">Assumptions!$N$60*MIN(I18428+I18435+I18433-I18434-I18436,MAX(0,I18575-I18398-I18411-I18424))</f>
        <v>0</v>
      </c>
      <c r="J18437" s="16" t="n">
        <f aca="false">Assumptions!$N$60*MIN(J18428+J18435+J18433-J18434-J18436,MAX(0,J18575-J18398-J18411-J18424))</f>
        <v>0</v>
      </c>
      <c r="K18437" s="16" t="n">
        <f aca="false">Assumptions!$N$60*MIN(K18428+K18435+K18433-K18434-K18436,MAX(0,K18575-K18398-K18411-K18424))</f>
        <v>0</v>
      </c>
    </row>
    <row r="18438" customFormat="false" ht="15" hidden="false" customHeight="false" outlineLevel="0" collapsed="false">
      <c r="A18438" s="3" t="s">
        <v>338</v>
      </c>
      <c r="G18438" s="16" t="n">
        <f aca="false">G18429*(1-G18387)*(G18428-G18434+G18433-G18436)</f>
        <v>0</v>
      </c>
      <c r="H18438" s="16" t="n">
        <f aca="false">H18429*(1-H18387)*(H18428-H18434+H18433-H18436)</f>
        <v>0</v>
      </c>
      <c r="I18438" s="16" t="n">
        <f aca="false">I18429*(1-I18387)*(I18428-I18434+I18433-I18436)</f>
        <v>0</v>
      </c>
      <c r="J18438" s="16" t="n">
        <f aca="false">J18429*(1-J18387)*(J18428-J18434+J18433-J18436)</f>
        <v>0</v>
      </c>
      <c r="K18438" s="16" t="n">
        <f aca="false">K18429*(1-K18387)*(K18428-K18434+K18433-K18436)</f>
        <v>0</v>
      </c>
    </row>
    <row r="18439" customFormat="false" ht="15" hidden="false" customHeight="false" outlineLevel="0" collapsed="false">
      <c r="A18439" s="2" t="s">
        <v>339</v>
      </c>
      <c r="F18439" s="28" t="n">
        <f aca="false">Assumptions!$C$60</f>
        <v>0</v>
      </c>
      <c r="G18439" s="17" t="n">
        <f aca="false">G18428+G18435+G18433-G18434-G18436-G18437</f>
        <v>0</v>
      </c>
      <c r="H18439" s="17" t="n">
        <f aca="false">H18428+H18435+H18433-H18434-H18436-H18437</f>
        <v>0</v>
      </c>
      <c r="I18439" s="17" t="n">
        <f aca="false">I18428+I18435+I18433-I18434-I18436-I18437</f>
        <v>0</v>
      </c>
      <c r="J18439" s="17" t="n">
        <f aca="false">J18428+J18435+J18433-J18434-J18436-J18437</f>
        <v>0</v>
      </c>
      <c r="K18439" s="17" t="n">
        <f aca="false">K18428+K18435+K18433-K18434-K18436-K18437</f>
        <v>0</v>
      </c>
    </row>
    <row r="18440" customFormat="false" ht="15" hidden="false" customHeight="false" outlineLevel="0" collapsed="false">
      <c r="A18440" s="24" t="s">
        <v>343</v>
      </c>
      <c r="B18440" s="25"/>
      <c r="C18440" s="25"/>
      <c r="D18440" s="25"/>
      <c r="E18440" s="25"/>
      <c r="F18440" s="25"/>
      <c r="G18440" s="25"/>
      <c r="H18440" s="25"/>
      <c r="I18440" s="25"/>
      <c r="J18440" s="25"/>
      <c r="K18440" s="25"/>
    </row>
    <row r="18441" customFormat="false" ht="15" hidden="false" customHeight="false" outlineLevel="0" collapsed="false">
      <c r="A18441" s="3" t="s">
        <v>329</v>
      </c>
      <c r="G18441" s="16" t="n">
        <f aca="false">F18452</f>
        <v>450</v>
      </c>
      <c r="H18441" s="16" t="n">
        <f aca="false">G18452</f>
        <v>450</v>
      </c>
      <c r="I18441" s="16" t="n">
        <f aca="false">H18452</f>
        <v>450</v>
      </c>
      <c r="J18441" s="16" t="n">
        <f aca="false">I18452</f>
        <v>450</v>
      </c>
      <c r="K18441" s="16" t="n">
        <f aca="false">J18452</f>
        <v>450</v>
      </c>
    </row>
    <row r="18442" customFormat="false" ht="15" hidden="false" customHeight="false" outlineLevel="0" collapsed="false">
      <c r="A18442" s="3" t="s">
        <v>330</v>
      </c>
      <c r="G18442" s="21" t="n">
        <f aca="false">IF(G18353=Assumptions!$K$61,1,0)</f>
        <v>0</v>
      </c>
      <c r="H18442" s="21" t="n">
        <f aca="false">IF(H18353=Assumptions!$K$61,1,0)</f>
        <v>1</v>
      </c>
      <c r="I18442" s="21" t="n">
        <f aca="false">IF(I18353=Assumptions!$K$61,1,0)</f>
        <v>0</v>
      </c>
      <c r="J18442" s="21" t="n">
        <f aca="false">IF(J18353=Assumptions!$K$61,1,0)</f>
        <v>0</v>
      </c>
      <c r="K18442" s="21" t="n">
        <f aca="false">IF(K18353=Assumptions!$K$61,1,0)</f>
        <v>0</v>
      </c>
    </row>
    <row r="18444" customFormat="false" ht="15" hidden="false" customHeight="false" outlineLevel="0" collapsed="false">
      <c r="A18444" s="3" t="s">
        <v>331</v>
      </c>
      <c r="G18444" s="31" t="n">
        <f aca="false">IF(Assumptions!$I$61=1,MAX(G18379,Assumptions!$G$61)+Assumptions!$F$61+$C$18380,Assumptions!$E$61)</f>
        <v>0.0395</v>
      </c>
      <c r="H18444" s="31" t="n">
        <f aca="false">IF(G18703=1,$C$18381,IF(Assumptions!$I$61=1,MAX(H18379,Assumptions!$G$61)+Assumptions!$F$61+$C$18380,Assumptions!$E$61))</f>
        <v>0.0395</v>
      </c>
      <c r="I18444" s="31" t="n">
        <f aca="false">IF(H18703=1,$C$18381,IF(Assumptions!$I$61=1,MAX(I18379,Assumptions!$G$61)+Assumptions!$F$61+$C$18380,Assumptions!$E$61))</f>
        <v>0.0395</v>
      </c>
      <c r="J18444" s="31" t="n">
        <f aca="false">IF(I18703=1,$C$18381,IF(Assumptions!$I$61=1,MAX(J18379,Assumptions!$G$61)+Assumptions!$F$61+$C$18380,Assumptions!$E$61))</f>
        <v>0.0395</v>
      </c>
      <c r="K18444" s="31" t="n">
        <f aca="false">IF(J18703=1,$C$18381,IF(Assumptions!$I$61=1,MAX(K18379,Assumptions!$G$61)+Assumptions!$F$61+$C$18380,Assumptions!$E$61))</f>
        <v>0.0395</v>
      </c>
    </row>
    <row r="18445" customFormat="false" ht="15" hidden="false" customHeight="false" outlineLevel="0" collapsed="false">
      <c r="A18445" s="3" t="s">
        <v>332</v>
      </c>
      <c r="G18445" s="16" t="n">
        <f aca="false">G18441*G18444</f>
        <v>17.775</v>
      </c>
      <c r="H18445" s="16" t="n">
        <f aca="false">H18441*H18444</f>
        <v>17.775</v>
      </c>
      <c r="I18445" s="16" t="n">
        <f aca="false">I18441*I18444</f>
        <v>17.775</v>
      </c>
      <c r="J18445" s="16" t="n">
        <f aca="false">J18441*J18444</f>
        <v>17.775</v>
      </c>
      <c r="K18445" s="16" t="n">
        <f aca="false">K18441*K18444</f>
        <v>17.775</v>
      </c>
    </row>
    <row r="18446" customFormat="false" ht="15" hidden="false" customHeight="false" outlineLevel="0" collapsed="false">
      <c r="A18446" s="3" t="s">
        <v>333</v>
      </c>
      <c r="G18446" s="16" t="n">
        <f aca="false">G18441*Assumptions!$H$61</f>
        <v>0</v>
      </c>
      <c r="H18446" s="16" t="n">
        <f aca="false">H18441*Assumptions!$H$61</f>
        <v>0</v>
      </c>
      <c r="I18446" s="16" t="n">
        <f aca="false">I18441*Assumptions!$H$61</f>
        <v>0</v>
      </c>
      <c r="J18446" s="16" t="n">
        <f aca="false">J18441*Assumptions!$H$61</f>
        <v>0</v>
      </c>
      <c r="K18446" s="16" t="n">
        <f aca="false">K18441*Assumptions!$H$61</f>
        <v>0</v>
      </c>
    </row>
    <row r="18447" customFormat="false" ht="15" hidden="false" customHeight="false" outlineLevel="0" collapsed="false">
      <c r="A18447" s="3" t="s">
        <v>334</v>
      </c>
      <c r="G18447" s="16" t="n">
        <f aca="false">MIN(G18441,Assumptions!$L$61*Assumptions!$C$61)</f>
        <v>0</v>
      </c>
      <c r="H18447" s="16" t="n">
        <f aca="false">MIN(H18441,Assumptions!$L$61*Assumptions!$C$61)</f>
        <v>0</v>
      </c>
      <c r="I18447" s="16" t="n">
        <f aca="false">MIN(I18441,Assumptions!$L$61*Assumptions!$C$61)</f>
        <v>0</v>
      </c>
      <c r="J18447" s="16" t="n">
        <f aca="false">MIN(J18441,Assumptions!$L$61*Assumptions!$C$61)</f>
        <v>0</v>
      </c>
      <c r="K18447" s="16" t="n">
        <f aca="false">MIN(K18441,Assumptions!$L$61*Assumptions!$C$61)</f>
        <v>0</v>
      </c>
    </row>
    <row r="18448" customFormat="false" ht="15" hidden="false" customHeight="false" outlineLevel="0" collapsed="false">
      <c r="A18448" s="3" t="s">
        <v>335</v>
      </c>
      <c r="G18448" s="16" t="n">
        <f aca="false">IF(AND(Assumptions!$P$61=1,G18353&lt;Assumptions!$K$61),MIN(MAX(0,-G18569),MAX(0,Assumptions!$D$61-G18441)),0)</f>
        <v>0</v>
      </c>
      <c r="H18448" s="16" t="n">
        <f aca="false">IF(AND(Assumptions!$P$61=1,OR(H18353&lt;Assumptions!$K$61,G18703=1)),MIN(MAX(0,-H18569),MAX(0,Assumptions!$D$61-H18441)),0)</f>
        <v>0</v>
      </c>
      <c r="I18448" s="16" t="n">
        <f aca="false">IF(AND(Assumptions!$P$61=1,OR(I18353&lt;Assumptions!$K$61,H18703=1)),MIN(MAX(0,-I18569),MAX(0,Assumptions!$D$61-I18441)),0)</f>
        <v>0</v>
      </c>
      <c r="J18448" s="16" t="n">
        <f aca="false">IF(AND(Assumptions!$P$61=1,OR(J18353&lt;Assumptions!$K$61,I18703=1)),MIN(MAX(0,-J18569),MAX(0,Assumptions!$D$61-J18441)),0)</f>
        <v>0</v>
      </c>
      <c r="K18448" s="16" t="n">
        <f aca="false">IF(AND(Assumptions!$P$61=1,OR(K18353&lt;Assumptions!$K$61,J18703=1)),MIN(MAX(0,-K18569),MAX(0,Assumptions!$D$61-K18441)),0)</f>
        <v>0</v>
      </c>
    </row>
    <row r="18449" customFormat="false" ht="15" hidden="false" customHeight="false" outlineLevel="0" collapsed="false">
      <c r="A18449" s="3" t="s">
        <v>336</v>
      </c>
      <c r="G18449" s="16" t="n">
        <f aca="false">G18442*MIN(G18441-G18447+G18446,MAX(0,G18571-Assumptions!$C$12*G18387-G18397-G18410-G18423-G18436))</f>
        <v>0</v>
      </c>
      <c r="H18449" s="16" t="n">
        <f aca="false">H18442*MIN(H18441-H18447+H18446,MAX(0,H18571-Assumptions!$C$12*H18387-H18397-H18410-H18423-H18436))</f>
        <v>0</v>
      </c>
      <c r="I18449" s="16" t="n">
        <f aca="false">I18442*MIN(I18441-I18447+I18446,MAX(0,I18571-Assumptions!$C$12*I18387-I18397-I18410-I18423-I18436))</f>
        <v>0</v>
      </c>
      <c r="J18449" s="16" t="n">
        <f aca="false">J18442*MIN(J18441-J18447+J18446,MAX(0,J18571-Assumptions!$C$12*J18387-J18397-J18410-J18423-J18436))</f>
        <v>0</v>
      </c>
      <c r="K18449" s="16" t="n">
        <f aca="false">K18442*MIN(K18441-K18447+K18446,MAX(0,K18571-Assumptions!$C$12*K18387-K18397-K18410-K18423-K18436))</f>
        <v>0</v>
      </c>
    </row>
    <row r="18450" customFormat="false" ht="15" hidden="false" customHeight="false" outlineLevel="0" collapsed="false">
      <c r="A18450" s="3" t="s">
        <v>337</v>
      </c>
      <c r="G18450" s="16" t="n">
        <f aca="false">Assumptions!$N$61*MIN(G18441+G18448+G18446-G18447-G18449,MAX(0,G18575-G18398-G18411-G18424-G18437))</f>
        <v>0</v>
      </c>
      <c r="H18450" s="16" t="n">
        <f aca="false">Assumptions!$N$61*MIN(H18441+H18448+H18446-H18447-H18449,MAX(0,H18575-H18398-H18411-H18424-H18437))</f>
        <v>0</v>
      </c>
      <c r="I18450" s="16" t="n">
        <f aca="false">Assumptions!$N$61*MIN(I18441+I18448+I18446-I18447-I18449,MAX(0,I18575-I18398-I18411-I18424-I18437))</f>
        <v>0</v>
      </c>
      <c r="J18450" s="16" t="n">
        <f aca="false">Assumptions!$N$61*MIN(J18441+J18448+J18446-J18447-J18449,MAX(0,J18575-J18398-J18411-J18424-J18437))</f>
        <v>0</v>
      </c>
      <c r="K18450" s="16" t="n">
        <f aca="false">Assumptions!$N$61*MIN(K18441+K18448+K18446-K18447-K18449,MAX(0,K18575-K18398-K18411-K18424-K18437))</f>
        <v>0</v>
      </c>
    </row>
    <row r="18451" customFormat="false" ht="15" hidden="false" customHeight="false" outlineLevel="0" collapsed="false">
      <c r="A18451" s="3" t="s">
        <v>338</v>
      </c>
      <c r="G18451" s="16" t="n">
        <f aca="false">G18442*(1-G18387)*(G18441-G18447+G18446-G18449)</f>
        <v>0</v>
      </c>
      <c r="H18451" s="16" t="n">
        <f aca="false">H18442*(1-H18387)*(H18441-H18447+H18446-H18449)</f>
        <v>450</v>
      </c>
      <c r="I18451" s="16" t="n">
        <f aca="false">I18442*(1-I18387)*(I18441-I18447+I18446-I18449)</f>
        <v>0</v>
      </c>
      <c r="J18451" s="16" t="n">
        <f aca="false">J18442*(1-J18387)*(J18441-J18447+J18446-J18449)</f>
        <v>0</v>
      </c>
      <c r="K18451" s="16" t="n">
        <f aca="false">K18442*(1-K18387)*(K18441-K18447+K18446-K18449)</f>
        <v>0</v>
      </c>
    </row>
    <row r="18452" customFormat="false" ht="15" hidden="false" customHeight="false" outlineLevel="0" collapsed="false">
      <c r="A18452" s="2" t="s">
        <v>339</v>
      </c>
      <c r="F18452" s="28" t="n">
        <f aca="false">Assumptions!$C$61</f>
        <v>450</v>
      </c>
      <c r="G18452" s="17" t="n">
        <f aca="false">G18441+G18448+G18446-G18447-G18449-G18450</f>
        <v>450</v>
      </c>
      <c r="H18452" s="17" t="n">
        <f aca="false">H18441+H18448+H18446-H18447-H18449-H18450</f>
        <v>450</v>
      </c>
      <c r="I18452" s="17" t="n">
        <f aca="false">I18441+I18448+I18446-I18447-I18449-I18450</f>
        <v>450</v>
      </c>
      <c r="J18452" s="17" t="n">
        <f aca="false">J18441+J18448+J18446-J18447-J18449-J18450</f>
        <v>450</v>
      </c>
      <c r="K18452" s="17" t="n">
        <f aca="false">K18441+K18448+K18446-K18447-K18449-K18450</f>
        <v>450</v>
      </c>
    </row>
    <row r="18453" customFormat="false" ht="15" hidden="false" customHeight="false" outlineLevel="0" collapsed="false">
      <c r="A18453" s="24" t="s">
        <v>344</v>
      </c>
      <c r="B18453" s="25"/>
      <c r="C18453" s="25"/>
      <c r="D18453" s="25"/>
      <c r="E18453" s="25"/>
      <c r="F18453" s="25"/>
      <c r="G18453" s="25"/>
      <c r="H18453" s="25"/>
      <c r="I18453" s="25"/>
      <c r="J18453" s="25"/>
      <c r="K18453" s="25"/>
    </row>
    <row r="18454" customFormat="false" ht="15" hidden="false" customHeight="false" outlineLevel="0" collapsed="false">
      <c r="A18454" s="3" t="s">
        <v>329</v>
      </c>
      <c r="G18454" s="16" t="n">
        <f aca="false">F18465</f>
        <v>350</v>
      </c>
      <c r="H18454" s="16" t="n">
        <f aca="false">G18465</f>
        <v>350</v>
      </c>
      <c r="I18454" s="16" t="n">
        <f aca="false">H18465</f>
        <v>350</v>
      </c>
      <c r="J18454" s="16" t="n">
        <f aca="false">I18465</f>
        <v>350</v>
      </c>
      <c r="K18454" s="16" t="n">
        <f aca="false">J18465</f>
        <v>350</v>
      </c>
    </row>
    <row r="18455" customFormat="false" ht="15" hidden="false" customHeight="false" outlineLevel="0" collapsed="false">
      <c r="A18455" s="3" t="s">
        <v>330</v>
      </c>
      <c r="G18455" s="21" t="n">
        <f aca="false">IF(G18353=Assumptions!$K$62,1,0)</f>
        <v>0</v>
      </c>
      <c r="H18455" s="21" t="n">
        <f aca="false">IF(H18353=Assumptions!$K$62,1,0)</f>
        <v>1</v>
      </c>
      <c r="I18455" s="21" t="n">
        <f aca="false">IF(I18353=Assumptions!$K$62,1,0)</f>
        <v>0</v>
      </c>
      <c r="J18455" s="21" t="n">
        <f aca="false">IF(J18353=Assumptions!$K$62,1,0)</f>
        <v>0</v>
      </c>
      <c r="K18455" s="21" t="n">
        <f aca="false">IF(K18353=Assumptions!$K$62,1,0)</f>
        <v>0</v>
      </c>
    </row>
    <row r="18457" customFormat="false" ht="15" hidden="false" customHeight="false" outlineLevel="0" collapsed="false">
      <c r="A18457" s="3" t="s">
        <v>331</v>
      </c>
      <c r="G18457" s="31" t="n">
        <f aca="false">IF(Assumptions!$I$62=1,MAX(G18379,Assumptions!$G$62)+Assumptions!$F$62+$C$18380,Assumptions!$E$62)</f>
        <v>0.083</v>
      </c>
      <c r="H18457" s="31" t="n">
        <f aca="false">IF(G18704=1,$C$18381,IF(Assumptions!$I$62=1,MAX(H18379,Assumptions!$G$62)+Assumptions!$F$62+$C$18380,Assumptions!$E$62))</f>
        <v>0.083</v>
      </c>
      <c r="I18457" s="31" t="n">
        <f aca="false">IF(H18704=1,$C$18381,IF(Assumptions!$I$62=1,MAX(I18379,Assumptions!$G$62)+Assumptions!$F$62+$C$18380,Assumptions!$E$62))</f>
        <v>0.083</v>
      </c>
      <c r="J18457" s="31" t="n">
        <f aca="false">IF(I18704=1,$C$18381,IF(Assumptions!$I$62=1,MAX(J18379,Assumptions!$G$62)+Assumptions!$F$62+$C$18380,Assumptions!$E$62))</f>
        <v>0.083</v>
      </c>
      <c r="K18457" s="31" t="n">
        <f aca="false">IF(J18704=1,$C$18381,IF(Assumptions!$I$62=1,MAX(K18379,Assumptions!$G$62)+Assumptions!$F$62+$C$18380,Assumptions!$E$62))</f>
        <v>0.083</v>
      </c>
    </row>
    <row r="18458" customFormat="false" ht="15" hidden="false" customHeight="false" outlineLevel="0" collapsed="false">
      <c r="A18458" s="3" t="s">
        <v>332</v>
      </c>
      <c r="G18458" s="16" t="n">
        <f aca="false">G18454*G18457</f>
        <v>29.05</v>
      </c>
      <c r="H18458" s="16" t="n">
        <f aca="false">H18454*H18457</f>
        <v>29.05</v>
      </c>
      <c r="I18458" s="16" t="n">
        <f aca="false">I18454*I18457</f>
        <v>29.05</v>
      </c>
      <c r="J18458" s="16" t="n">
        <f aca="false">J18454*J18457</f>
        <v>29.05</v>
      </c>
      <c r="K18458" s="16" t="n">
        <f aca="false">K18454*K18457</f>
        <v>29.05</v>
      </c>
    </row>
    <row r="18459" customFormat="false" ht="15" hidden="false" customHeight="false" outlineLevel="0" collapsed="false">
      <c r="A18459" s="3" t="s">
        <v>333</v>
      </c>
      <c r="G18459" s="16" t="n">
        <f aca="false">G18454*Assumptions!$H$62</f>
        <v>0</v>
      </c>
      <c r="H18459" s="16" t="n">
        <f aca="false">H18454*Assumptions!$H$62</f>
        <v>0</v>
      </c>
      <c r="I18459" s="16" t="n">
        <f aca="false">I18454*Assumptions!$H$62</f>
        <v>0</v>
      </c>
      <c r="J18459" s="16" t="n">
        <f aca="false">J18454*Assumptions!$H$62</f>
        <v>0</v>
      </c>
      <c r="K18459" s="16" t="n">
        <f aca="false">K18454*Assumptions!$H$62</f>
        <v>0</v>
      </c>
    </row>
    <row r="18460" customFormat="false" ht="15" hidden="false" customHeight="false" outlineLevel="0" collapsed="false">
      <c r="A18460" s="3" t="s">
        <v>334</v>
      </c>
      <c r="G18460" s="16" t="n">
        <f aca="false">MIN(G18454,Assumptions!$L$62*Assumptions!$C$62)</f>
        <v>0</v>
      </c>
      <c r="H18460" s="16" t="n">
        <f aca="false">MIN(H18454,Assumptions!$L$62*Assumptions!$C$62)</f>
        <v>0</v>
      </c>
      <c r="I18460" s="16" t="n">
        <f aca="false">MIN(I18454,Assumptions!$L$62*Assumptions!$C$62)</f>
        <v>0</v>
      </c>
      <c r="J18460" s="16" t="n">
        <f aca="false">MIN(J18454,Assumptions!$L$62*Assumptions!$C$62)</f>
        <v>0</v>
      </c>
      <c r="K18460" s="16" t="n">
        <f aca="false">MIN(K18454,Assumptions!$L$62*Assumptions!$C$62)</f>
        <v>0</v>
      </c>
    </row>
    <row r="18461" customFormat="false" ht="15" hidden="false" customHeight="false" outlineLevel="0" collapsed="false">
      <c r="A18461" s="3" t="s">
        <v>335</v>
      </c>
      <c r="G18461" s="16" t="n">
        <f aca="false">IF(AND(Assumptions!$P$62=1,G18353&lt;Assumptions!$K$62),MIN(MAX(0,-G18569),MAX(0,Assumptions!$D$62-G18454)),0)</f>
        <v>0</v>
      </c>
      <c r="H18461" s="16" t="n">
        <f aca="false">IF(AND(Assumptions!$P$62=1,OR(H18353&lt;Assumptions!$K$62,G18704=1)),MIN(MAX(0,-H18569),MAX(0,Assumptions!$D$62-H18454)),0)</f>
        <v>0</v>
      </c>
      <c r="I18461" s="16" t="n">
        <f aca="false">IF(AND(Assumptions!$P$62=1,OR(I18353&lt;Assumptions!$K$62,H18704=1)),MIN(MAX(0,-I18569),MAX(0,Assumptions!$D$62-I18454)),0)</f>
        <v>0</v>
      </c>
      <c r="J18461" s="16" t="n">
        <f aca="false">IF(AND(Assumptions!$P$62=1,OR(J18353&lt;Assumptions!$K$62,I18704=1)),MIN(MAX(0,-J18569),MAX(0,Assumptions!$D$62-J18454)),0)</f>
        <v>0</v>
      </c>
      <c r="K18461" s="16" t="n">
        <f aca="false">IF(AND(Assumptions!$P$62=1,OR(K18353&lt;Assumptions!$K$62,J18704=1)),MIN(MAX(0,-K18569),MAX(0,Assumptions!$D$62-K18454)),0)</f>
        <v>0</v>
      </c>
    </row>
    <row r="18462" customFormat="false" ht="15" hidden="false" customHeight="false" outlineLevel="0" collapsed="false">
      <c r="A18462" s="3" t="s">
        <v>336</v>
      </c>
      <c r="G18462" s="16" t="n">
        <f aca="false">G18455*MIN(G18454-G18460+G18459,MAX(0,G18571-Assumptions!$C$12*G18387-G18397-G18410-G18423-G18436-G18449))</f>
        <v>0</v>
      </c>
      <c r="H18462" s="16" t="n">
        <f aca="false">H18455*MIN(H18454-H18460+H18459,MAX(0,H18571-Assumptions!$C$12*H18387-H18397-H18410-H18423-H18436-H18449))</f>
        <v>0</v>
      </c>
      <c r="I18462" s="16" t="n">
        <f aca="false">I18455*MIN(I18454-I18460+I18459,MAX(0,I18571-Assumptions!$C$12*I18387-I18397-I18410-I18423-I18436-I18449))</f>
        <v>0</v>
      </c>
      <c r="J18462" s="16" t="n">
        <f aca="false">J18455*MIN(J18454-J18460+J18459,MAX(0,J18571-Assumptions!$C$12*J18387-J18397-J18410-J18423-J18436-J18449))</f>
        <v>0</v>
      </c>
      <c r="K18462" s="16" t="n">
        <f aca="false">K18455*MIN(K18454-K18460+K18459,MAX(0,K18571-Assumptions!$C$12*K18387-K18397-K18410-K18423-K18436-K18449))</f>
        <v>0</v>
      </c>
    </row>
    <row r="18463" customFormat="false" ht="15" hidden="false" customHeight="false" outlineLevel="0" collapsed="false">
      <c r="A18463" s="3" t="s">
        <v>337</v>
      </c>
      <c r="G18463" s="16" t="n">
        <f aca="false">Assumptions!$N$62*MIN(G18454+G18461+G18459-G18460-G18462,MAX(0,G18575-G18398-G18411-G18424-G18437-G18450))</f>
        <v>0</v>
      </c>
      <c r="H18463" s="16" t="n">
        <f aca="false">Assumptions!$N$62*MIN(H18454+H18461+H18459-H18460-H18462,MAX(0,H18575-H18398-H18411-H18424-H18437-H18450))</f>
        <v>0</v>
      </c>
      <c r="I18463" s="16" t="n">
        <f aca="false">Assumptions!$N$62*MIN(I18454+I18461+I18459-I18460-I18462,MAX(0,I18575-I18398-I18411-I18424-I18437-I18450))</f>
        <v>0</v>
      </c>
      <c r="J18463" s="16" t="n">
        <f aca="false">Assumptions!$N$62*MIN(J18454+J18461+J18459-J18460-J18462,MAX(0,J18575-J18398-J18411-J18424-J18437-J18450))</f>
        <v>0</v>
      </c>
      <c r="K18463" s="16" t="n">
        <f aca="false">Assumptions!$N$62*MIN(K18454+K18461+K18459-K18460-K18462,MAX(0,K18575-K18398-K18411-K18424-K18437-K18450))</f>
        <v>0</v>
      </c>
    </row>
    <row r="18464" customFormat="false" ht="15" hidden="false" customHeight="false" outlineLevel="0" collapsed="false">
      <c r="A18464" s="3" t="s">
        <v>338</v>
      </c>
      <c r="G18464" s="16" t="n">
        <f aca="false">G18455*(1-G18387)*(G18454-G18460+G18459-G18462)</f>
        <v>0</v>
      </c>
      <c r="H18464" s="16" t="n">
        <f aca="false">H18455*(1-H18387)*(H18454-H18460+H18459-H18462)</f>
        <v>350</v>
      </c>
      <c r="I18464" s="16" t="n">
        <f aca="false">I18455*(1-I18387)*(I18454-I18460+I18459-I18462)</f>
        <v>0</v>
      </c>
      <c r="J18464" s="16" t="n">
        <f aca="false">J18455*(1-J18387)*(J18454-J18460+J18459-J18462)</f>
        <v>0</v>
      </c>
      <c r="K18464" s="16" t="n">
        <f aca="false">K18455*(1-K18387)*(K18454-K18460+K18459-K18462)</f>
        <v>0</v>
      </c>
    </row>
    <row r="18465" customFormat="false" ht="15" hidden="false" customHeight="false" outlineLevel="0" collapsed="false">
      <c r="A18465" s="2" t="s">
        <v>339</v>
      </c>
      <c r="F18465" s="28" t="n">
        <f aca="false">Assumptions!$C$62</f>
        <v>350</v>
      </c>
      <c r="G18465" s="17" t="n">
        <f aca="false">G18454+G18461+G18459-G18460-G18462-G18463</f>
        <v>350</v>
      </c>
      <c r="H18465" s="17" t="n">
        <f aca="false">H18454+H18461+H18459-H18460-H18462-H18463</f>
        <v>350</v>
      </c>
      <c r="I18465" s="17" t="n">
        <f aca="false">I18454+I18461+I18459-I18460-I18462-I18463</f>
        <v>350</v>
      </c>
      <c r="J18465" s="17" t="n">
        <f aca="false">J18454+J18461+J18459-J18460-J18462-J18463</f>
        <v>350</v>
      </c>
      <c r="K18465" s="17" t="n">
        <f aca="false">K18454+K18461+K18459-K18460-K18462-K18463</f>
        <v>350</v>
      </c>
    </row>
    <row r="18466" customFormat="false" ht="15" hidden="false" customHeight="false" outlineLevel="0" collapsed="false">
      <c r="A18466" s="24" t="s">
        <v>345</v>
      </c>
      <c r="B18466" s="25"/>
      <c r="C18466" s="25"/>
      <c r="D18466" s="25"/>
      <c r="E18466" s="25"/>
      <c r="F18466" s="25"/>
      <c r="G18466" s="25"/>
      <c r="H18466" s="25"/>
      <c r="I18466" s="25"/>
      <c r="J18466" s="25"/>
      <c r="K18466" s="25"/>
    </row>
    <row r="18467" customFormat="false" ht="15" hidden="false" customHeight="false" outlineLevel="0" collapsed="false">
      <c r="A18467" s="3" t="s">
        <v>329</v>
      </c>
      <c r="G18467" s="16" t="n">
        <f aca="false">F18478</f>
        <v>550</v>
      </c>
      <c r="H18467" s="16" t="n">
        <f aca="false">G18478</f>
        <v>550</v>
      </c>
      <c r="I18467" s="16" t="n">
        <f aca="false">H18478</f>
        <v>550</v>
      </c>
      <c r="J18467" s="16" t="n">
        <f aca="false">I18478</f>
        <v>550</v>
      </c>
      <c r="K18467" s="16" t="n">
        <f aca="false">J18478</f>
        <v>550</v>
      </c>
    </row>
    <row r="18468" customFormat="false" ht="15" hidden="false" customHeight="false" outlineLevel="0" collapsed="false">
      <c r="A18468" s="3" t="s">
        <v>330</v>
      </c>
      <c r="G18468" s="21" t="n">
        <f aca="false">IF(G18353=Assumptions!$K$63,1,0)</f>
        <v>0</v>
      </c>
      <c r="H18468" s="21" t="n">
        <f aca="false">IF(H18353=Assumptions!$K$63,1,0)</f>
        <v>0</v>
      </c>
      <c r="I18468" s="21" t="n">
        <f aca="false">IF(I18353=Assumptions!$K$63,1,0)</f>
        <v>1</v>
      </c>
      <c r="J18468" s="21" t="n">
        <f aca="false">IF(J18353=Assumptions!$K$63,1,0)</f>
        <v>0</v>
      </c>
      <c r="K18468" s="21" t="n">
        <f aca="false">IF(K18353=Assumptions!$K$63,1,0)</f>
        <v>0</v>
      </c>
    </row>
    <row r="18470" customFormat="false" ht="15" hidden="false" customHeight="false" outlineLevel="0" collapsed="false">
      <c r="A18470" s="3" t="s">
        <v>331</v>
      </c>
      <c r="G18470" s="31" t="n">
        <f aca="false">IF(Assumptions!$I$63=1,MAX(G18379,Assumptions!$G$63)+Assumptions!$F$63+$C$18380,Assumptions!$E$63)</f>
        <v>0.08875</v>
      </c>
      <c r="H18470" s="31" t="n">
        <f aca="false">IF(G18705=1,$C$18381,IF(Assumptions!$I$63=1,MAX(H18379,Assumptions!$G$63)+Assumptions!$F$63+$C$18380,Assumptions!$E$63))</f>
        <v>0.08875</v>
      </c>
      <c r="I18470" s="31" t="n">
        <f aca="false">IF(H18705=1,$C$18381,IF(Assumptions!$I$63=1,MAX(I18379,Assumptions!$G$63)+Assumptions!$F$63+$C$18380,Assumptions!$E$63))</f>
        <v>0.08875</v>
      </c>
      <c r="J18470" s="31" t="n">
        <f aca="false">IF(I18705=1,$C$18381,IF(Assumptions!$I$63=1,MAX(J18379,Assumptions!$G$63)+Assumptions!$F$63+$C$18380,Assumptions!$E$63))</f>
        <v>0.08875</v>
      </c>
      <c r="K18470" s="31" t="n">
        <f aca="false">IF(J18705=1,$C$18381,IF(Assumptions!$I$63=1,MAX(K18379,Assumptions!$G$63)+Assumptions!$F$63+$C$18380,Assumptions!$E$63))</f>
        <v>0.08875</v>
      </c>
    </row>
    <row r="18471" customFormat="false" ht="15" hidden="false" customHeight="false" outlineLevel="0" collapsed="false">
      <c r="A18471" s="3" t="s">
        <v>332</v>
      </c>
      <c r="G18471" s="16" t="n">
        <f aca="false">G18467*G18470</f>
        <v>48.8125</v>
      </c>
      <c r="H18471" s="16" t="n">
        <f aca="false">H18467*H18470</f>
        <v>48.8125</v>
      </c>
      <c r="I18471" s="16" t="n">
        <f aca="false">I18467*I18470</f>
        <v>48.8125</v>
      </c>
      <c r="J18471" s="16" t="n">
        <f aca="false">J18467*J18470</f>
        <v>48.8125</v>
      </c>
      <c r="K18471" s="16" t="n">
        <f aca="false">K18467*K18470</f>
        <v>48.8125</v>
      </c>
    </row>
    <row r="18472" customFormat="false" ht="15" hidden="false" customHeight="false" outlineLevel="0" collapsed="false">
      <c r="A18472" s="3" t="s">
        <v>333</v>
      </c>
      <c r="G18472" s="16" t="n">
        <f aca="false">G18467*Assumptions!$H$63</f>
        <v>0</v>
      </c>
      <c r="H18472" s="16" t="n">
        <f aca="false">H18467*Assumptions!$H$63</f>
        <v>0</v>
      </c>
      <c r="I18472" s="16" t="n">
        <f aca="false">I18467*Assumptions!$H$63</f>
        <v>0</v>
      </c>
      <c r="J18472" s="16" t="n">
        <f aca="false">J18467*Assumptions!$H$63</f>
        <v>0</v>
      </c>
      <c r="K18472" s="16" t="n">
        <f aca="false">K18467*Assumptions!$H$63</f>
        <v>0</v>
      </c>
    </row>
    <row r="18473" customFormat="false" ht="15" hidden="false" customHeight="false" outlineLevel="0" collapsed="false">
      <c r="A18473" s="3" t="s">
        <v>334</v>
      </c>
      <c r="G18473" s="16" t="n">
        <f aca="false">MIN(G18467,Assumptions!$L$63*Assumptions!$C$63)</f>
        <v>0</v>
      </c>
      <c r="H18473" s="16" t="n">
        <f aca="false">MIN(H18467,Assumptions!$L$63*Assumptions!$C$63)</f>
        <v>0</v>
      </c>
      <c r="I18473" s="16" t="n">
        <f aca="false">MIN(I18467,Assumptions!$L$63*Assumptions!$C$63)</f>
        <v>0</v>
      </c>
      <c r="J18473" s="16" t="n">
        <f aca="false">MIN(J18467,Assumptions!$L$63*Assumptions!$C$63)</f>
        <v>0</v>
      </c>
      <c r="K18473" s="16" t="n">
        <f aca="false">MIN(K18467,Assumptions!$L$63*Assumptions!$C$63)</f>
        <v>0</v>
      </c>
    </row>
    <row r="18474" customFormat="false" ht="15" hidden="false" customHeight="false" outlineLevel="0" collapsed="false">
      <c r="A18474" s="3" t="s">
        <v>335</v>
      </c>
      <c r="G18474" s="16" t="n">
        <f aca="false">IF(AND(Assumptions!$P$63=1,G18353&lt;Assumptions!$K$63),MIN(MAX(0,-G18569),MAX(0,Assumptions!$D$63-G18467)),0)</f>
        <v>0</v>
      </c>
      <c r="H18474" s="16" t="n">
        <f aca="false">IF(AND(Assumptions!$P$63=1,OR(H18353&lt;Assumptions!$K$63,G18705=1)),MIN(MAX(0,-H18569),MAX(0,Assumptions!$D$63-H18467)),0)</f>
        <v>0</v>
      </c>
      <c r="I18474" s="16" t="n">
        <f aca="false">IF(AND(Assumptions!$P$63=1,OR(I18353&lt;Assumptions!$K$63,H18705=1)),MIN(MAX(0,-I18569),MAX(0,Assumptions!$D$63-I18467)),0)</f>
        <v>0</v>
      </c>
      <c r="J18474" s="16" t="n">
        <f aca="false">IF(AND(Assumptions!$P$63=1,OR(J18353&lt;Assumptions!$K$63,I18705=1)),MIN(MAX(0,-J18569),MAX(0,Assumptions!$D$63-J18467)),0)</f>
        <v>0</v>
      </c>
      <c r="K18474" s="16" t="n">
        <f aca="false">IF(AND(Assumptions!$P$63=1,OR(K18353&lt;Assumptions!$K$63,J18705=1)),MIN(MAX(0,-K18569),MAX(0,Assumptions!$D$63-K18467)),0)</f>
        <v>0</v>
      </c>
    </row>
    <row r="18475" customFormat="false" ht="15" hidden="false" customHeight="false" outlineLevel="0" collapsed="false">
      <c r="A18475" s="3" t="s">
        <v>336</v>
      </c>
      <c r="G18475" s="16" t="n">
        <f aca="false">G18468*MIN(G18467-G18473+G18472,MAX(0,G18571-Assumptions!$C$12*G18387-G18397-G18410-G18423-G18436-G18449-G18462))</f>
        <v>0</v>
      </c>
      <c r="H18475" s="16" t="n">
        <f aca="false">H18468*MIN(H18467-H18473+H18472,MAX(0,H18571-Assumptions!$C$12*H18387-H18397-H18410-H18423-H18436-H18449-H18462))</f>
        <v>0</v>
      </c>
      <c r="I18475" s="16" t="n">
        <f aca="false">I18468*MIN(I18467-I18473+I18472,MAX(0,I18571-Assumptions!$C$12*I18387-I18397-I18410-I18423-I18436-I18449-I18462))</f>
        <v>0</v>
      </c>
      <c r="J18475" s="16" t="n">
        <f aca="false">J18468*MIN(J18467-J18473+J18472,MAX(0,J18571-Assumptions!$C$12*J18387-J18397-J18410-J18423-J18436-J18449-J18462))</f>
        <v>0</v>
      </c>
      <c r="K18475" s="16" t="n">
        <f aca="false">K18468*MIN(K18467-K18473+K18472,MAX(0,K18571-Assumptions!$C$12*K18387-K18397-K18410-K18423-K18436-K18449-K18462))</f>
        <v>0</v>
      </c>
    </row>
    <row r="18476" customFormat="false" ht="15" hidden="false" customHeight="false" outlineLevel="0" collapsed="false">
      <c r="A18476" s="3" t="s">
        <v>337</v>
      </c>
      <c r="G18476" s="16" t="n">
        <f aca="false">Assumptions!$N$63*MIN(G18467+G18474+G18472-G18473-G18475,MAX(0,G18575-G18398-G18411-G18424-G18437-G18450-G18463))</f>
        <v>0</v>
      </c>
      <c r="H18476" s="16" t="n">
        <f aca="false">Assumptions!$N$63*MIN(H18467+H18474+H18472-H18473-H18475,MAX(0,H18575-H18398-H18411-H18424-H18437-H18450-H18463))</f>
        <v>0</v>
      </c>
      <c r="I18476" s="16" t="n">
        <f aca="false">Assumptions!$N$63*MIN(I18467+I18474+I18472-I18473-I18475,MAX(0,I18575-I18398-I18411-I18424-I18437-I18450-I18463))</f>
        <v>0</v>
      </c>
      <c r="J18476" s="16" t="n">
        <f aca="false">Assumptions!$N$63*MIN(J18467+J18474+J18472-J18473-J18475,MAX(0,J18575-J18398-J18411-J18424-J18437-J18450-J18463))</f>
        <v>0</v>
      </c>
      <c r="K18476" s="16" t="n">
        <f aca="false">Assumptions!$N$63*MIN(K18467+K18474+K18472-K18473-K18475,MAX(0,K18575-K18398-K18411-K18424-K18437-K18450-K18463))</f>
        <v>0</v>
      </c>
    </row>
    <row r="18477" customFormat="false" ht="15" hidden="false" customHeight="false" outlineLevel="0" collapsed="false">
      <c r="A18477" s="3" t="s">
        <v>338</v>
      </c>
      <c r="G18477" s="16" t="n">
        <f aca="false">G18468*(1-G18387)*(G18467-G18473+G18472-G18475)</f>
        <v>0</v>
      </c>
      <c r="H18477" s="16" t="n">
        <f aca="false">H18468*(1-H18387)*(H18467-H18473+H18472-H18475)</f>
        <v>0</v>
      </c>
      <c r="I18477" s="16" t="n">
        <f aca="false">I18468*(1-I18387)*(I18467-I18473+I18472-I18475)</f>
        <v>550</v>
      </c>
      <c r="J18477" s="16" t="n">
        <f aca="false">J18468*(1-J18387)*(J18467-J18473+J18472-J18475)</f>
        <v>0</v>
      </c>
      <c r="K18477" s="16" t="n">
        <f aca="false">K18468*(1-K18387)*(K18467-K18473+K18472-K18475)</f>
        <v>0</v>
      </c>
    </row>
    <row r="18478" customFormat="false" ht="15" hidden="false" customHeight="false" outlineLevel="0" collapsed="false">
      <c r="A18478" s="2" t="s">
        <v>339</v>
      </c>
      <c r="F18478" s="28" t="n">
        <f aca="false">Assumptions!$C$63</f>
        <v>550</v>
      </c>
      <c r="G18478" s="17" t="n">
        <f aca="false">G18467+G18474+G18472-G18473-G18475-G18476</f>
        <v>550</v>
      </c>
      <c r="H18478" s="17" t="n">
        <f aca="false">H18467+H18474+H18472-H18473-H18475-H18476</f>
        <v>550</v>
      </c>
      <c r="I18478" s="17" t="n">
        <f aca="false">I18467+I18474+I18472-I18473-I18475-I18476</f>
        <v>550</v>
      </c>
      <c r="J18478" s="17" t="n">
        <f aca="false">J18467+J18474+J18472-J18473-J18475-J18476</f>
        <v>550</v>
      </c>
      <c r="K18478" s="17" t="n">
        <f aca="false">K18467+K18474+K18472-K18473-K18475-K18476</f>
        <v>550</v>
      </c>
    </row>
    <row r="18479" customFormat="false" ht="15" hidden="false" customHeight="false" outlineLevel="0" collapsed="false">
      <c r="A18479" s="24" t="s">
        <v>346</v>
      </c>
      <c r="B18479" s="25"/>
      <c r="C18479" s="25"/>
      <c r="D18479" s="25"/>
      <c r="E18479" s="25"/>
      <c r="F18479" s="25"/>
      <c r="G18479" s="25"/>
      <c r="H18479" s="25"/>
      <c r="I18479" s="25"/>
      <c r="J18479" s="25"/>
      <c r="K18479" s="25"/>
    </row>
    <row r="18480" customFormat="false" ht="15" hidden="false" customHeight="false" outlineLevel="0" collapsed="false">
      <c r="A18480" s="3" t="s">
        <v>329</v>
      </c>
      <c r="G18480" s="16" t="n">
        <f aca="false">F18491</f>
        <v>350</v>
      </c>
      <c r="H18480" s="16" t="n">
        <f aca="false">G18491</f>
        <v>350</v>
      </c>
      <c r="I18480" s="16" t="n">
        <f aca="false">H18491</f>
        <v>350</v>
      </c>
      <c r="J18480" s="16" t="n">
        <f aca="false">I18491</f>
        <v>350</v>
      </c>
      <c r="K18480" s="16" t="n">
        <f aca="false">J18491</f>
        <v>350</v>
      </c>
    </row>
    <row r="18481" customFormat="false" ht="15" hidden="false" customHeight="false" outlineLevel="0" collapsed="false">
      <c r="A18481" s="3" t="s">
        <v>330</v>
      </c>
      <c r="G18481" s="21" t="n">
        <f aca="false">IF(G18353=Assumptions!$K$64,1,0)</f>
        <v>0</v>
      </c>
      <c r="H18481" s="21" t="n">
        <f aca="false">IF(H18353=Assumptions!$K$64,1,0)</f>
        <v>0</v>
      </c>
      <c r="I18481" s="21" t="n">
        <f aca="false">IF(I18353=Assumptions!$K$64,1,0)</f>
        <v>0</v>
      </c>
      <c r="J18481" s="21" t="n">
        <f aca="false">IF(J18353=Assumptions!$K$64,1,0)</f>
        <v>1</v>
      </c>
      <c r="K18481" s="21" t="n">
        <f aca="false">IF(K18353=Assumptions!$K$64,1,0)</f>
        <v>0</v>
      </c>
    </row>
    <row r="18483" customFormat="false" ht="15" hidden="false" customHeight="false" outlineLevel="0" collapsed="false">
      <c r="A18483" s="3" t="s">
        <v>331</v>
      </c>
      <c r="G18483" s="31" t="n">
        <f aca="false">IF(Assumptions!$I$64=1,MAX(G18379,Assumptions!$G$64)+Assumptions!$F$64+$C$18380,Assumptions!$E$64)</f>
        <v>0.0455</v>
      </c>
      <c r="H18483" s="31" t="n">
        <f aca="false">IF(G18706=1,$C$18381,IF(Assumptions!$I$64=1,MAX(H18379,Assumptions!$G$64)+Assumptions!$F$64+$C$18380,Assumptions!$E$64))</f>
        <v>0.0455</v>
      </c>
      <c r="I18483" s="31" t="n">
        <f aca="false">IF(H18706=1,$C$18381,IF(Assumptions!$I$64=1,MAX(I18379,Assumptions!$G$64)+Assumptions!$F$64+$C$18380,Assumptions!$E$64))</f>
        <v>0.0455</v>
      </c>
      <c r="J18483" s="31" t="n">
        <f aca="false">IF(I18706=1,$C$18381,IF(Assumptions!$I$64=1,MAX(J18379,Assumptions!$G$64)+Assumptions!$F$64+$C$18380,Assumptions!$E$64))</f>
        <v>0.0455</v>
      </c>
      <c r="K18483" s="31" t="n">
        <f aca="false">IF(J18706=1,$C$18381,IF(Assumptions!$I$64=1,MAX(K18379,Assumptions!$G$64)+Assumptions!$F$64+$C$18380,Assumptions!$E$64))</f>
        <v>0.0455</v>
      </c>
    </row>
    <row r="18484" customFormat="false" ht="15" hidden="false" customHeight="false" outlineLevel="0" collapsed="false">
      <c r="A18484" s="3" t="s">
        <v>332</v>
      </c>
      <c r="G18484" s="16" t="n">
        <f aca="false">G18480*G18483</f>
        <v>15.925</v>
      </c>
      <c r="H18484" s="16" t="n">
        <f aca="false">H18480*H18483</f>
        <v>15.925</v>
      </c>
      <c r="I18484" s="16" t="n">
        <f aca="false">I18480*I18483</f>
        <v>15.925</v>
      </c>
      <c r="J18484" s="16" t="n">
        <f aca="false">J18480*J18483</f>
        <v>15.925</v>
      </c>
      <c r="K18484" s="16" t="n">
        <f aca="false">K18480*K18483</f>
        <v>15.925</v>
      </c>
    </row>
    <row r="18485" customFormat="false" ht="15" hidden="false" customHeight="false" outlineLevel="0" collapsed="false">
      <c r="A18485" s="3" t="s">
        <v>333</v>
      </c>
      <c r="G18485" s="16" t="n">
        <f aca="false">G18480*Assumptions!$H$64</f>
        <v>0</v>
      </c>
      <c r="H18485" s="16" t="n">
        <f aca="false">H18480*Assumptions!$H$64</f>
        <v>0</v>
      </c>
      <c r="I18485" s="16" t="n">
        <f aca="false">I18480*Assumptions!$H$64</f>
        <v>0</v>
      </c>
      <c r="J18485" s="16" t="n">
        <f aca="false">J18480*Assumptions!$H$64</f>
        <v>0</v>
      </c>
      <c r="K18485" s="16" t="n">
        <f aca="false">K18480*Assumptions!$H$64</f>
        <v>0</v>
      </c>
    </row>
    <row r="18486" customFormat="false" ht="15" hidden="false" customHeight="false" outlineLevel="0" collapsed="false">
      <c r="A18486" s="3" t="s">
        <v>334</v>
      </c>
      <c r="G18486" s="16" t="n">
        <f aca="false">MIN(G18480,Assumptions!$L$64*Assumptions!$C$64)</f>
        <v>0</v>
      </c>
      <c r="H18486" s="16" t="n">
        <f aca="false">MIN(H18480,Assumptions!$L$64*Assumptions!$C$64)</f>
        <v>0</v>
      </c>
      <c r="I18486" s="16" t="n">
        <f aca="false">MIN(I18480,Assumptions!$L$64*Assumptions!$C$64)</f>
        <v>0</v>
      </c>
      <c r="J18486" s="16" t="n">
        <f aca="false">MIN(J18480,Assumptions!$L$64*Assumptions!$C$64)</f>
        <v>0</v>
      </c>
      <c r="K18486" s="16" t="n">
        <f aca="false">MIN(K18480,Assumptions!$L$64*Assumptions!$C$64)</f>
        <v>0</v>
      </c>
    </row>
    <row r="18487" customFormat="false" ht="15" hidden="false" customHeight="false" outlineLevel="0" collapsed="false">
      <c r="A18487" s="3" t="s">
        <v>335</v>
      </c>
      <c r="G18487" s="16" t="n">
        <f aca="false">IF(AND(Assumptions!$P$64=1,G18353&lt;Assumptions!$K$64),MIN(MAX(0,-G18569),MAX(0,Assumptions!$D$64-G18480)),0)</f>
        <v>0</v>
      </c>
      <c r="H18487" s="16" t="n">
        <f aca="false">IF(AND(Assumptions!$P$64=1,OR(H18353&lt;Assumptions!$K$64,G18706=1)),MIN(MAX(0,-H18569),MAX(0,Assumptions!$D$64-H18480)),0)</f>
        <v>0</v>
      </c>
      <c r="I18487" s="16" t="n">
        <f aca="false">IF(AND(Assumptions!$P$64=1,OR(I18353&lt;Assumptions!$K$64,H18706=1)),MIN(MAX(0,-I18569),MAX(0,Assumptions!$D$64-I18480)),0)</f>
        <v>0</v>
      </c>
      <c r="J18487" s="16" t="n">
        <f aca="false">IF(AND(Assumptions!$P$64=1,OR(J18353&lt;Assumptions!$K$64,I18706=1)),MIN(MAX(0,-J18569),MAX(0,Assumptions!$D$64-J18480)),0)</f>
        <v>0</v>
      </c>
      <c r="K18487" s="16" t="n">
        <f aca="false">IF(AND(Assumptions!$P$64=1,OR(K18353&lt;Assumptions!$K$64,J18706=1)),MIN(MAX(0,-K18569),MAX(0,Assumptions!$D$64-K18480)),0)</f>
        <v>0</v>
      </c>
    </row>
    <row r="18488" customFormat="false" ht="15" hidden="false" customHeight="false" outlineLevel="0" collapsed="false">
      <c r="A18488" s="3" t="s">
        <v>336</v>
      </c>
      <c r="G18488" s="16" t="n">
        <f aca="false">G18481*MIN(G18480-G18486+G18485,MAX(0,G18571-Assumptions!$C$12*G18387-G18397-G18410-G18423-G18436-G18449-G18462-G18475))</f>
        <v>0</v>
      </c>
      <c r="H18488" s="16" t="n">
        <f aca="false">H18481*MIN(H18480-H18486+H18485,MAX(0,H18571-Assumptions!$C$12*H18387-H18397-H18410-H18423-H18436-H18449-H18462-H18475))</f>
        <v>0</v>
      </c>
      <c r="I18488" s="16" t="n">
        <f aca="false">I18481*MIN(I18480-I18486+I18485,MAX(0,I18571-Assumptions!$C$12*I18387-I18397-I18410-I18423-I18436-I18449-I18462-I18475))</f>
        <v>0</v>
      </c>
      <c r="J18488" s="16" t="n">
        <f aca="false">J18481*MIN(J18480-J18486+J18485,MAX(0,J18571-Assumptions!$C$12*J18387-J18397-J18410-J18423-J18436-J18449-J18462-J18475))</f>
        <v>0</v>
      </c>
      <c r="K18488" s="16" t="n">
        <f aca="false">K18481*MIN(K18480-K18486+K18485,MAX(0,K18571-Assumptions!$C$12*K18387-K18397-K18410-K18423-K18436-K18449-K18462-K18475))</f>
        <v>0</v>
      </c>
    </row>
    <row r="18489" customFormat="false" ht="15" hidden="false" customHeight="false" outlineLevel="0" collapsed="false">
      <c r="A18489" s="3" t="s">
        <v>337</v>
      </c>
      <c r="G18489" s="16" t="n">
        <f aca="false">Assumptions!$N$64*MIN(G18480+G18487+G18485-G18486-G18488,MAX(0,G18575-G18398-G18411-G18424-G18437-G18450-G18463-G18476))</f>
        <v>0</v>
      </c>
      <c r="H18489" s="16" t="n">
        <f aca="false">Assumptions!$N$64*MIN(H18480+H18487+H18485-H18486-H18488,MAX(0,H18575-H18398-H18411-H18424-H18437-H18450-H18463-H18476))</f>
        <v>0</v>
      </c>
      <c r="I18489" s="16" t="n">
        <f aca="false">Assumptions!$N$64*MIN(I18480+I18487+I18485-I18486-I18488,MAX(0,I18575-I18398-I18411-I18424-I18437-I18450-I18463-I18476))</f>
        <v>0</v>
      </c>
      <c r="J18489" s="16" t="n">
        <f aca="false">Assumptions!$N$64*MIN(J18480+J18487+J18485-J18486-J18488,MAX(0,J18575-J18398-J18411-J18424-J18437-J18450-J18463-J18476))</f>
        <v>0</v>
      </c>
      <c r="K18489" s="16" t="n">
        <f aca="false">Assumptions!$N$64*MIN(K18480+K18487+K18485-K18486-K18488,MAX(0,K18575-K18398-K18411-K18424-K18437-K18450-K18463-K18476))</f>
        <v>0</v>
      </c>
    </row>
    <row r="18490" customFormat="false" ht="15" hidden="false" customHeight="false" outlineLevel="0" collapsed="false">
      <c r="A18490" s="3" t="s">
        <v>338</v>
      </c>
      <c r="G18490" s="16" t="n">
        <f aca="false">G18481*(1-G18387)*(G18480-G18486+G18485-G18488)</f>
        <v>0</v>
      </c>
      <c r="H18490" s="16" t="n">
        <f aca="false">H18481*(1-H18387)*(H18480-H18486+H18485-H18488)</f>
        <v>0</v>
      </c>
      <c r="I18490" s="16" t="n">
        <f aca="false">I18481*(1-I18387)*(I18480-I18486+I18485-I18488)</f>
        <v>0</v>
      </c>
      <c r="J18490" s="16" t="n">
        <f aca="false">J18481*(1-J18387)*(J18480-J18486+J18485-J18488)</f>
        <v>350</v>
      </c>
      <c r="K18490" s="16" t="n">
        <f aca="false">K18481*(1-K18387)*(K18480-K18486+K18485-K18488)</f>
        <v>0</v>
      </c>
    </row>
    <row r="18491" customFormat="false" ht="15" hidden="false" customHeight="false" outlineLevel="0" collapsed="false">
      <c r="A18491" s="2" t="s">
        <v>339</v>
      </c>
      <c r="F18491" s="28" t="n">
        <f aca="false">Assumptions!$C$64</f>
        <v>350</v>
      </c>
      <c r="G18491" s="17" t="n">
        <f aca="false">G18480+G18487+G18485-G18486-G18488-G18489</f>
        <v>350</v>
      </c>
      <c r="H18491" s="17" t="n">
        <f aca="false">H18480+H18487+H18485-H18486-H18488-H18489</f>
        <v>350</v>
      </c>
      <c r="I18491" s="17" t="n">
        <f aca="false">I18480+I18487+I18485-I18486-I18488-I18489</f>
        <v>350</v>
      </c>
      <c r="J18491" s="17" t="n">
        <f aca="false">J18480+J18487+J18485-J18486-J18488-J18489</f>
        <v>350</v>
      </c>
      <c r="K18491" s="17" t="n">
        <f aca="false">K18480+K18487+K18485-K18486-K18488-K18489</f>
        <v>350</v>
      </c>
    </row>
    <row r="18492" customFormat="false" ht="15" hidden="false" customHeight="false" outlineLevel="0" collapsed="false">
      <c r="A18492" s="24" t="s">
        <v>347</v>
      </c>
      <c r="B18492" s="25"/>
      <c r="C18492" s="25"/>
      <c r="D18492" s="25"/>
      <c r="E18492" s="25"/>
      <c r="F18492" s="25"/>
      <c r="G18492" s="25"/>
      <c r="H18492" s="25"/>
      <c r="I18492" s="25"/>
      <c r="J18492" s="25"/>
      <c r="K18492" s="25"/>
    </row>
    <row r="18493" customFormat="false" ht="15" hidden="false" customHeight="false" outlineLevel="0" collapsed="false">
      <c r="A18493" s="3" t="s">
        <v>329</v>
      </c>
      <c r="G18493" s="16" t="n">
        <f aca="false">F18504</f>
        <v>300</v>
      </c>
      <c r="H18493" s="16" t="n">
        <f aca="false">G18504</f>
        <v>300</v>
      </c>
      <c r="I18493" s="16" t="n">
        <f aca="false">H18504</f>
        <v>300</v>
      </c>
      <c r="J18493" s="16" t="n">
        <f aca="false">I18504</f>
        <v>300</v>
      </c>
      <c r="K18493" s="16" t="n">
        <f aca="false">J18504</f>
        <v>300</v>
      </c>
    </row>
    <row r="18494" customFormat="false" ht="15" hidden="false" customHeight="false" outlineLevel="0" collapsed="false">
      <c r="A18494" s="3" t="s">
        <v>330</v>
      </c>
      <c r="G18494" s="21" t="n">
        <f aca="false">IF(G18353=Assumptions!$K$65,1,0)</f>
        <v>0</v>
      </c>
      <c r="H18494" s="21" t="n">
        <f aca="false">IF(H18353=Assumptions!$K$65,1,0)</f>
        <v>0</v>
      </c>
      <c r="I18494" s="21" t="n">
        <f aca="false">IF(I18353=Assumptions!$K$65,1,0)</f>
        <v>0</v>
      </c>
      <c r="J18494" s="21" t="n">
        <f aca="false">IF(J18353=Assumptions!$K$65,1,0)</f>
        <v>0</v>
      </c>
      <c r="K18494" s="21" t="n">
        <f aca="false">IF(K18353=Assumptions!$K$65,1,0)</f>
        <v>1</v>
      </c>
    </row>
    <row r="18496" customFormat="false" ht="15" hidden="false" customHeight="false" outlineLevel="0" collapsed="false">
      <c r="A18496" s="3" t="s">
        <v>331</v>
      </c>
      <c r="G18496" s="31" t="n">
        <f aca="false">IF(Assumptions!$I$65=1,MAX(G18379,Assumptions!$G$65)+Assumptions!$F$65+$C$18380,Assumptions!$E$65)</f>
        <v>0.06125</v>
      </c>
      <c r="H18496" s="31" t="n">
        <f aca="false">IF(G18707=1,$C$18381,IF(Assumptions!$I$65=1,MAX(H18379,Assumptions!$G$65)+Assumptions!$F$65+$C$18380,Assumptions!$E$65))</f>
        <v>0.06125</v>
      </c>
      <c r="I18496" s="31" t="n">
        <f aca="false">IF(H18707=1,$C$18381,IF(Assumptions!$I$65=1,MAX(I18379,Assumptions!$G$65)+Assumptions!$F$65+$C$18380,Assumptions!$E$65))</f>
        <v>0.06125</v>
      </c>
      <c r="J18496" s="31" t="n">
        <f aca="false">IF(I18707=1,$C$18381,IF(Assumptions!$I$65=1,MAX(J18379,Assumptions!$G$65)+Assumptions!$F$65+$C$18380,Assumptions!$E$65))</f>
        <v>0.06125</v>
      </c>
      <c r="K18496" s="31" t="n">
        <f aca="false">IF(J18707=1,$C$18381,IF(Assumptions!$I$65=1,MAX(K18379,Assumptions!$G$65)+Assumptions!$F$65+$C$18380,Assumptions!$E$65))</f>
        <v>0.06125</v>
      </c>
    </row>
    <row r="18497" customFormat="false" ht="15" hidden="false" customHeight="false" outlineLevel="0" collapsed="false">
      <c r="A18497" s="3" t="s">
        <v>332</v>
      </c>
      <c r="G18497" s="16" t="n">
        <f aca="false">G18493*G18496</f>
        <v>18.375</v>
      </c>
      <c r="H18497" s="16" t="n">
        <f aca="false">H18493*H18496</f>
        <v>18.375</v>
      </c>
      <c r="I18497" s="16" t="n">
        <f aca="false">I18493*I18496</f>
        <v>18.375</v>
      </c>
      <c r="J18497" s="16" t="n">
        <f aca="false">J18493*J18496</f>
        <v>18.375</v>
      </c>
      <c r="K18497" s="16" t="n">
        <f aca="false">K18493*K18496</f>
        <v>18.375</v>
      </c>
    </row>
    <row r="18498" customFormat="false" ht="15" hidden="false" customHeight="false" outlineLevel="0" collapsed="false">
      <c r="A18498" s="3" t="s">
        <v>333</v>
      </c>
      <c r="G18498" s="16" t="n">
        <f aca="false">G18493*Assumptions!$H$65</f>
        <v>0</v>
      </c>
      <c r="H18498" s="16" t="n">
        <f aca="false">H18493*Assumptions!$H$65</f>
        <v>0</v>
      </c>
      <c r="I18498" s="16" t="n">
        <f aca="false">I18493*Assumptions!$H$65</f>
        <v>0</v>
      </c>
      <c r="J18498" s="16" t="n">
        <f aca="false">J18493*Assumptions!$H$65</f>
        <v>0</v>
      </c>
      <c r="K18498" s="16" t="n">
        <f aca="false">K18493*Assumptions!$H$65</f>
        <v>0</v>
      </c>
    </row>
    <row r="18499" customFormat="false" ht="15" hidden="false" customHeight="false" outlineLevel="0" collapsed="false">
      <c r="A18499" s="3" t="s">
        <v>334</v>
      </c>
      <c r="G18499" s="16" t="n">
        <f aca="false">MIN(G18493,Assumptions!$L$65*Assumptions!$C$65)</f>
        <v>0</v>
      </c>
      <c r="H18499" s="16" t="n">
        <f aca="false">MIN(H18493,Assumptions!$L$65*Assumptions!$C$65)</f>
        <v>0</v>
      </c>
      <c r="I18499" s="16" t="n">
        <f aca="false">MIN(I18493,Assumptions!$L$65*Assumptions!$C$65)</f>
        <v>0</v>
      </c>
      <c r="J18499" s="16" t="n">
        <f aca="false">MIN(J18493,Assumptions!$L$65*Assumptions!$C$65)</f>
        <v>0</v>
      </c>
      <c r="K18499" s="16" t="n">
        <f aca="false">MIN(K18493,Assumptions!$L$65*Assumptions!$C$65)</f>
        <v>0</v>
      </c>
    </row>
    <row r="18500" customFormat="false" ht="15" hidden="false" customHeight="false" outlineLevel="0" collapsed="false">
      <c r="A18500" s="3" t="s">
        <v>335</v>
      </c>
      <c r="G18500" s="16" t="n">
        <f aca="false">IF(AND(Assumptions!$P$65=1,G18353&lt;Assumptions!$K$65),MIN(MAX(0,-G18569),MAX(0,Assumptions!$D$65-G18493)),0)</f>
        <v>0</v>
      </c>
      <c r="H18500" s="16" t="n">
        <f aca="false">IF(AND(Assumptions!$P$65=1,OR(H18353&lt;Assumptions!$K$65,G18707=1)),MIN(MAX(0,-H18569),MAX(0,Assumptions!$D$65-H18493)),0)</f>
        <v>0</v>
      </c>
      <c r="I18500" s="16" t="n">
        <f aca="false">IF(AND(Assumptions!$P$65=1,OR(I18353&lt;Assumptions!$K$65,H18707=1)),MIN(MAX(0,-I18569),MAX(0,Assumptions!$D$65-I18493)),0)</f>
        <v>0</v>
      </c>
      <c r="J18500" s="16" t="n">
        <f aca="false">IF(AND(Assumptions!$P$65=1,OR(J18353&lt;Assumptions!$K$65,I18707=1)),MIN(MAX(0,-J18569),MAX(0,Assumptions!$D$65-J18493)),0)</f>
        <v>0</v>
      </c>
      <c r="K18500" s="16" t="n">
        <f aca="false">IF(AND(Assumptions!$P$65=1,OR(K18353&lt;Assumptions!$K$65,J18707=1)),MIN(MAX(0,-K18569),MAX(0,Assumptions!$D$65-K18493)),0)</f>
        <v>0</v>
      </c>
    </row>
    <row r="18501" customFormat="false" ht="15" hidden="false" customHeight="false" outlineLevel="0" collapsed="false">
      <c r="A18501" s="3" t="s">
        <v>336</v>
      </c>
      <c r="G18501" s="16" t="n">
        <f aca="false">G18494*MIN(G18493-G18499+G18498,MAX(0,G18571-Assumptions!$C$12*G18387-G18397-G18410-G18423-G18436-G18449-G18462-G18475-G18488))</f>
        <v>0</v>
      </c>
      <c r="H18501" s="16" t="n">
        <f aca="false">H18494*MIN(H18493-H18499+H18498,MAX(0,H18571-Assumptions!$C$12*H18387-H18397-H18410-H18423-H18436-H18449-H18462-H18475-H18488))</f>
        <v>0</v>
      </c>
      <c r="I18501" s="16" t="n">
        <f aca="false">I18494*MIN(I18493-I18499+I18498,MAX(0,I18571-Assumptions!$C$12*I18387-I18397-I18410-I18423-I18436-I18449-I18462-I18475-I18488))</f>
        <v>0</v>
      </c>
      <c r="J18501" s="16" t="n">
        <f aca="false">J18494*MIN(J18493-J18499+J18498,MAX(0,J18571-Assumptions!$C$12*J18387-J18397-J18410-J18423-J18436-J18449-J18462-J18475-J18488))</f>
        <v>0</v>
      </c>
      <c r="K18501" s="16" t="n">
        <f aca="false">K18494*MIN(K18493-K18499+K18498,MAX(0,K18571-Assumptions!$C$12*K18387-K18397-K18410-K18423-K18436-K18449-K18462-K18475-K18488))</f>
        <v>0</v>
      </c>
    </row>
    <row r="18502" customFormat="false" ht="15" hidden="false" customHeight="false" outlineLevel="0" collapsed="false">
      <c r="A18502" s="3" t="s">
        <v>337</v>
      </c>
      <c r="G18502" s="16" t="n">
        <f aca="false">Assumptions!$N$65*MIN(G18493+G18500+G18498-G18499-G18501,MAX(0,G18575-G18398-G18411-G18424-G18437-G18450-G18463-G18476-G18489))</f>
        <v>0</v>
      </c>
      <c r="H18502" s="16" t="n">
        <f aca="false">Assumptions!$N$65*MIN(H18493+H18500+H18498-H18499-H18501,MAX(0,H18575-H18398-H18411-H18424-H18437-H18450-H18463-H18476-H18489))</f>
        <v>0</v>
      </c>
      <c r="I18502" s="16" t="n">
        <f aca="false">Assumptions!$N$65*MIN(I18493+I18500+I18498-I18499-I18501,MAX(0,I18575-I18398-I18411-I18424-I18437-I18450-I18463-I18476-I18489))</f>
        <v>0</v>
      </c>
      <c r="J18502" s="16" t="n">
        <f aca="false">Assumptions!$N$65*MIN(J18493+J18500+J18498-J18499-J18501,MAX(0,J18575-J18398-J18411-J18424-J18437-J18450-J18463-J18476-J18489))</f>
        <v>0</v>
      </c>
      <c r="K18502" s="16" t="n">
        <f aca="false">Assumptions!$N$65*MIN(K18493+K18500+K18498-K18499-K18501,MAX(0,K18575-K18398-K18411-K18424-K18437-K18450-K18463-K18476-K18489))</f>
        <v>0</v>
      </c>
    </row>
    <row r="18503" customFormat="false" ht="15" hidden="false" customHeight="false" outlineLevel="0" collapsed="false">
      <c r="A18503" s="3" t="s">
        <v>338</v>
      </c>
      <c r="G18503" s="16" t="n">
        <f aca="false">G18494*(1-G18387)*(G18493-G18499+G18498-G18501)</f>
        <v>0</v>
      </c>
      <c r="H18503" s="16" t="n">
        <f aca="false">H18494*(1-H18387)*(H18493-H18499+H18498-H18501)</f>
        <v>0</v>
      </c>
      <c r="I18503" s="16" t="n">
        <f aca="false">I18494*(1-I18387)*(I18493-I18499+I18498-I18501)</f>
        <v>0</v>
      </c>
      <c r="J18503" s="16" t="n">
        <f aca="false">J18494*(1-J18387)*(J18493-J18499+J18498-J18501)</f>
        <v>0</v>
      </c>
      <c r="K18503" s="16" t="n">
        <f aca="false">K18494*(1-K18387)*(K18493-K18499+K18498-K18501)</f>
        <v>300</v>
      </c>
    </row>
    <row r="18504" customFormat="false" ht="15" hidden="false" customHeight="false" outlineLevel="0" collapsed="false">
      <c r="A18504" s="2" t="s">
        <v>339</v>
      </c>
      <c r="F18504" s="28" t="n">
        <f aca="false">Assumptions!$C$65</f>
        <v>300</v>
      </c>
      <c r="G18504" s="17" t="n">
        <f aca="false">G18493+G18500+G18498-G18499-G18501-G18502</f>
        <v>300</v>
      </c>
      <c r="H18504" s="17" t="n">
        <f aca="false">H18493+H18500+H18498-H18499-H18501-H18502</f>
        <v>300</v>
      </c>
      <c r="I18504" s="17" t="n">
        <f aca="false">I18493+I18500+I18498-I18499-I18501-I18502</f>
        <v>300</v>
      </c>
      <c r="J18504" s="17" t="n">
        <f aca="false">J18493+J18500+J18498-J18499-J18501-J18502</f>
        <v>300</v>
      </c>
      <c r="K18504" s="17" t="n">
        <f aca="false">K18493+K18500+K18498-K18499-K18501-K18502</f>
        <v>300</v>
      </c>
    </row>
    <row r="18505" customFormat="false" ht="15" hidden="false" customHeight="false" outlineLevel="0" collapsed="false">
      <c r="A18505" s="24" t="s">
        <v>348</v>
      </c>
      <c r="B18505" s="25"/>
      <c r="C18505" s="25"/>
      <c r="D18505" s="25"/>
      <c r="E18505" s="25"/>
      <c r="F18505" s="25"/>
      <c r="G18505" s="25"/>
      <c r="H18505" s="25"/>
      <c r="I18505" s="25"/>
      <c r="J18505" s="25"/>
      <c r="K18505" s="25"/>
    </row>
    <row r="18506" customFormat="false" ht="15" hidden="false" customHeight="false" outlineLevel="0" collapsed="false">
      <c r="A18506" s="3" t="s">
        <v>329</v>
      </c>
      <c r="G18506" s="16" t="n">
        <f aca="false">F18517</f>
        <v>78.61</v>
      </c>
      <c r="H18506" s="16" t="n">
        <f aca="false">G18517</f>
        <v>78.61</v>
      </c>
      <c r="I18506" s="16" t="n">
        <f aca="false">H18517</f>
        <v>78.61</v>
      </c>
      <c r="J18506" s="16" t="n">
        <f aca="false">I18517</f>
        <v>78.61</v>
      </c>
      <c r="K18506" s="16" t="n">
        <f aca="false">J18517</f>
        <v>78.61</v>
      </c>
    </row>
    <row r="18507" customFormat="false" ht="15" hidden="false" customHeight="false" outlineLevel="0" collapsed="false">
      <c r="A18507" s="3" t="s">
        <v>330</v>
      </c>
      <c r="G18507" s="21" t="n">
        <f aca="false">IF(G18353=Assumptions!$K$66,1,0)</f>
        <v>0</v>
      </c>
      <c r="H18507" s="21" t="n">
        <f aca="false">IF(H18353=Assumptions!$K$66,1,0)</f>
        <v>0</v>
      </c>
      <c r="I18507" s="21" t="n">
        <f aca="false">IF(I18353=Assumptions!$K$66,1,0)</f>
        <v>0</v>
      </c>
      <c r="J18507" s="21" t="n">
        <f aca="false">IF(J18353=Assumptions!$K$66,1,0)</f>
        <v>0</v>
      </c>
      <c r="K18507" s="21" t="n">
        <f aca="false">IF(K18353=Assumptions!$K$66,1,0)</f>
        <v>0</v>
      </c>
    </row>
    <row r="18509" customFormat="false" ht="15" hidden="false" customHeight="false" outlineLevel="0" collapsed="false">
      <c r="A18509" s="3" t="s">
        <v>331</v>
      </c>
      <c r="G18509" s="31" t="n">
        <f aca="false">IF(Assumptions!$I$66=1,MAX(G18379,Assumptions!$G$66)+Assumptions!$F$66+$C$18380,Assumptions!$E$66)</f>
        <v>0.0841</v>
      </c>
      <c r="H18509" s="31" t="n">
        <f aca="false">IF(G18708=1,$C$18381,IF(Assumptions!$I$66=1,MAX(H18379,Assumptions!$G$66)+Assumptions!$F$66+$C$18380,Assumptions!$E$66))</f>
        <v>0.0826</v>
      </c>
      <c r="I18509" s="31" t="n">
        <f aca="false">IF(H18708=1,$C$18381,IF(Assumptions!$I$66=1,MAX(I18379,Assumptions!$G$66)+Assumptions!$F$66+$C$18380,Assumptions!$E$66))</f>
        <v>0.0801</v>
      </c>
      <c r="J18509" s="31" t="n">
        <f aca="false">IF(I18708=1,$C$18381,IF(Assumptions!$I$66=1,MAX(J18379,Assumptions!$G$66)+Assumptions!$F$66+$C$18380,Assumptions!$E$66))</f>
        <v>0.0801</v>
      </c>
      <c r="K18509" s="31" t="n">
        <f aca="false">IF(J18708=1,$C$18381,IF(Assumptions!$I$66=1,MAX(K18379,Assumptions!$G$66)+Assumptions!$F$66+$C$18380,Assumptions!$E$66))</f>
        <v>0.0801</v>
      </c>
    </row>
    <row r="18510" customFormat="false" ht="15" hidden="false" customHeight="false" outlineLevel="0" collapsed="false">
      <c r="A18510" s="3" t="s">
        <v>332</v>
      </c>
      <c r="G18510" s="16" t="n">
        <f aca="false">G18506*G18509</f>
        <v>6.611101</v>
      </c>
      <c r="H18510" s="16" t="n">
        <f aca="false">H18506*H18509</f>
        <v>6.493186</v>
      </c>
      <c r="I18510" s="16" t="n">
        <f aca="false">I18506*I18509</f>
        <v>6.296661</v>
      </c>
      <c r="J18510" s="16" t="n">
        <f aca="false">J18506*J18509</f>
        <v>6.296661</v>
      </c>
      <c r="K18510" s="16" t="n">
        <f aca="false">K18506*K18509</f>
        <v>6.296661</v>
      </c>
    </row>
    <row r="18511" customFormat="false" ht="15" hidden="false" customHeight="false" outlineLevel="0" collapsed="false">
      <c r="A18511" s="3" t="s">
        <v>333</v>
      </c>
      <c r="G18511" s="16" t="n">
        <f aca="false">G18506*Assumptions!$H$66</f>
        <v>0</v>
      </c>
      <c r="H18511" s="16" t="n">
        <f aca="false">H18506*Assumptions!$H$66</f>
        <v>0</v>
      </c>
      <c r="I18511" s="16" t="n">
        <f aca="false">I18506*Assumptions!$H$66</f>
        <v>0</v>
      </c>
      <c r="J18511" s="16" t="n">
        <f aca="false">J18506*Assumptions!$H$66</f>
        <v>0</v>
      </c>
      <c r="K18511" s="16" t="n">
        <f aca="false">K18506*Assumptions!$H$66</f>
        <v>0</v>
      </c>
    </row>
    <row r="18512" customFormat="false" ht="15" hidden="false" customHeight="false" outlineLevel="0" collapsed="false">
      <c r="A18512" s="3" t="s">
        <v>334</v>
      </c>
      <c r="G18512" s="16" t="n">
        <f aca="false">MIN(G18506,Assumptions!$L$66*Assumptions!$C$66)</f>
        <v>0</v>
      </c>
      <c r="H18512" s="16" t="n">
        <f aca="false">MIN(H18506,Assumptions!$L$66*Assumptions!$C$66)</f>
        <v>0</v>
      </c>
      <c r="I18512" s="16" t="n">
        <f aca="false">MIN(I18506,Assumptions!$L$66*Assumptions!$C$66)</f>
        <v>0</v>
      </c>
      <c r="J18512" s="16" t="n">
        <f aca="false">MIN(J18506,Assumptions!$L$66*Assumptions!$C$66)</f>
        <v>0</v>
      </c>
      <c r="K18512" s="16" t="n">
        <f aca="false">MIN(K18506,Assumptions!$L$66*Assumptions!$C$66)</f>
        <v>0</v>
      </c>
    </row>
    <row r="18513" customFormat="false" ht="15" hidden="false" customHeight="false" outlineLevel="0" collapsed="false">
      <c r="A18513" s="3" t="s">
        <v>335</v>
      </c>
      <c r="G18513" s="16" t="n">
        <f aca="false">IF(AND(Assumptions!$P$66=1,G18353&lt;Assumptions!$K$66),MIN(MAX(0,-G18569),MAX(0,Assumptions!$D$66-G18506)),0)</f>
        <v>0</v>
      </c>
      <c r="H18513" s="16" t="n">
        <f aca="false">IF(AND(Assumptions!$P$66=1,OR(H18353&lt;Assumptions!$K$66,G18708=1)),MIN(MAX(0,-H18569),MAX(0,Assumptions!$D$66-H18506)),0)</f>
        <v>0</v>
      </c>
      <c r="I18513" s="16" t="n">
        <f aca="false">IF(AND(Assumptions!$P$66=1,OR(I18353&lt;Assumptions!$K$66,H18708=1)),MIN(MAX(0,-I18569),MAX(0,Assumptions!$D$66-I18506)),0)</f>
        <v>0</v>
      </c>
      <c r="J18513" s="16" t="n">
        <f aca="false">IF(AND(Assumptions!$P$66=1,OR(J18353&lt;Assumptions!$K$66,I18708=1)),MIN(MAX(0,-J18569),MAX(0,Assumptions!$D$66-J18506)),0)</f>
        <v>0</v>
      </c>
      <c r="K18513" s="16" t="n">
        <f aca="false">IF(AND(Assumptions!$P$66=1,OR(K18353&lt;Assumptions!$K$66,J18708=1)),MIN(MAX(0,-K18569),MAX(0,Assumptions!$D$66-K18506)),0)</f>
        <v>0</v>
      </c>
    </row>
    <row r="18514" customFormat="false" ht="15" hidden="false" customHeight="false" outlineLevel="0" collapsed="false">
      <c r="A18514" s="3" t="s">
        <v>336</v>
      </c>
      <c r="G18514" s="16" t="n">
        <f aca="false">G18507*MIN(G18506-G18512+G18511,MAX(0,G18571-Assumptions!$C$12*G18387-G18397-G18410-G18423-G18436-G18449-G18462-G18475-G18488-G18501))</f>
        <v>0</v>
      </c>
      <c r="H18514" s="16" t="n">
        <f aca="false">H18507*MIN(H18506-H18512+H18511,MAX(0,H18571-Assumptions!$C$12*H18387-H18397-H18410-H18423-H18436-H18449-H18462-H18475-H18488-H18501))</f>
        <v>0</v>
      </c>
      <c r="I18514" s="16" t="n">
        <f aca="false">I18507*MIN(I18506-I18512+I18511,MAX(0,I18571-Assumptions!$C$12*I18387-I18397-I18410-I18423-I18436-I18449-I18462-I18475-I18488-I18501))</f>
        <v>0</v>
      </c>
      <c r="J18514" s="16" t="n">
        <f aca="false">J18507*MIN(J18506-J18512+J18511,MAX(0,J18571-Assumptions!$C$12*J18387-J18397-J18410-J18423-J18436-J18449-J18462-J18475-J18488-J18501))</f>
        <v>0</v>
      </c>
      <c r="K18514" s="16" t="n">
        <f aca="false">K18507*MIN(K18506-K18512+K18511,MAX(0,K18571-Assumptions!$C$12*K18387-K18397-K18410-K18423-K18436-K18449-K18462-K18475-K18488-K18501))</f>
        <v>0</v>
      </c>
    </row>
    <row r="18515" customFormat="false" ht="15" hidden="false" customHeight="false" outlineLevel="0" collapsed="false">
      <c r="A18515" s="3" t="s">
        <v>337</v>
      </c>
      <c r="G18515" s="16" t="n">
        <f aca="false">Assumptions!$N$66*MIN(G18506+G18513+G18511-G18512-G18514,MAX(0,G18575-G18398-G18411-G18424-G18437-G18450-G18463-G18476-G18489-G18502))</f>
        <v>0</v>
      </c>
      <c r="H18515" s="16" t="n">
        <f aca="false">Assumptions!$N$66*MIN(H18506+H18513+H18511-H18512-H18514,MAX(0,H18575-H18398-H18411-H18424-H18437-H18450-H18463-H18476-H18489-H18502))</f>
        <v>0</v>
      </c>
      <c r="I18515" s="16" t="n">
        <f aca="false">Assumptions!$N$66*MIN(I18506+I18513+I18511-I18512-I18514,MAX(0,I18575-I18398-I18411-I18424-I18437-I18450-I18463-I18476-I18489-I18502))</f>
        <v>0</v>
      </c>
      <c r="J18515" s="16" t="n">
        <f aca="false">Assumptions!$N$66*MIN(J18506+J18513+J18511-J18512-J18514,MAX(0,J18575-J18398-J18411-J18424-J18437-J18450-J18463-J18476-J18489-J18502))</f>
        <v>0</v>
      </c>
      <c r="K18515" s="16" t="n">
        <f aca="false">Assumptions!$N$66*MIN(K18506+K18513+K18511-K18512-K18514,MAX(0,K18575-K18398-K18411-K18424-K18437-K18450-K18463-K18476-K18489-K18502))</f>
        <v>0</v>
      </c>
    </row>
    <row r="18516" customFormat="false" ht="15" hidden="false" customHeight="false" outlineLevel="0" collapsed="false">
      <c r="A18516" s="3" t="s">
        <v>338</v>
      </c>
      <c r="G18516" s="16" t="n">
        <f aca="false">G18507*(1-G18387)*(G18506-G18512+G18511-G18514)</f>
        <v>0</v>
      </c>
      <c r="H18516" s="16" t="n">
        <f aca="false">H18507*(1-H18387)*(H18506-H18512+H18511-H18514)</f>
        <v>0</v>
      </c>
      <c r="I18516" s="16" t="n">
        <f aca="false">I18507*(1-I18387)*(I18506-I18512+I18511-I18514)</f>
        <v>0</v>
      </c>
      <c r="J18516" s="16" t="n">
        <f aca="false">J18507*(1-J18387)*(J18506-J18512+J18511-J18514)</f>
        <v>0</v>
      </c>
      <c r="K18516" s="16" t="n">
        <f aca="false">K18507*(1-K18387)*(K18506-K18512+K18511-K18514)</f>
        <v>0</v>
      </c>
    </row>
    <row r="18517" customFormat="false" ht="15" hidden="false" customHeight="false" outlineLevel="0" collapsed="false">
      <c r="A18517" s="2" t="s">
        <v>339</v>
      </c>
      <c r="F18517" s="28" t="n">
        <f aca="false">Assumptions!$C$66</f>
        <v>78.61</v>
      </c>
      <c r="G18517" s="17" t="n">
        <f aca="false">G18506+G18513+G18511-G18512-G18514-G18515</f>
        <v>78.61</v>
      </c>
      <c r="H18517" s="17" t="n">
        <f aca="false">H18506+H18513+H18511-H18512-H18514-H18515</f>
        <v>78.61</v>
      </c>
      <c r="I18517" s="17" t="n">
        <f aca="false">I18506+I18513+I18511-I18512-I18514-I18515</f>
        <v>78.61</v>
      </c>
      <c r="J18517" s="17" t="n">
        <f aca="false">J18506+J18513+J18511-J18512-J18514-J18515</f>
        <v>78.61</v>
      </c>
      <c r="K18517" s="17" t="n">
        <f aca="false">K18506+K18513+K18511-K18512-K18514-K18515</f>
        <v>78.61</v>
      </c>
    </row>
    <row r="18518" customFormat="false" ht="15" hidden="false" customHeight="false" outlineLevel="0" collapsed="false">
      <c r="A18518" s="24" t="s">
        <v>349</v>
      </c>
      <c r="B18518" s="25"/>
      <c r="C18518" s="25"/>
      <c r="D18518" s="25"/>
      <c r="E18518" s="25"/>
      <c r="F18518" s="25"/>
      <c r="G18518" s="25"/>
      <c r="H18518" s="25"/>
      <c r="I18518" s="25"/>
      <c r="J18518" s="25"/>
      <c r="K18518" s="25"/>
    </row>
    <row r="18519" customFormat="false" ht="15" hidden="false" customHeight="false" outlineLevel="0" collapsed="false">
      <c r="A18519" s="2" t="s">
        <v>350</v>
      </c>
      <c r="F18519" s="17" t="n">
        <f aca="false">F18400+F18413+F18426+F18439+F18452+F18465+F18478+F18491+F18504+F18517</f>
        <v>2625.934</v>
      </c>
      <c r="G18519" s="17" t="n">
        <f aca="false">G18400+G18413+G18426+G18439+G18452+G18465+G18478+G18491+G18504+G18517</f>
        <v>2621.934</v>
      </c>
      <c r="H18519" s="17" t="n">
        <f aca="false">H18400+H18413+H18426+H18439+H18452+H18465+H18478+H18491+H18504+H18517</f>
        <v>2617.934</v>
      </c>
      <c r="I18519" s="17" t="n">
        <f aca="false">I18400+I18413+I18426+I18439+I18452+I18465+I18478+I18491+I18504+I18517</f>
        <v>2613.934</v>
      </c>
      <c r="J18519" s="17" t="n">
        <f aca="false">J18400+J18413+J18426+J18439+J18452+J18465+J18478+J18491+J18504+J18517</f>
        <v>2609.934</v>
      </c>
      <c r="K18519" s="17" t="n">
        <f aca="false">K18400+K18413+K18426+K18439+K18452+K18465+K18478+K18491+K18504+K18517</f>
        <v>2605.934</v>
      </c>
    </row>
    <row r="18520" customFormat="false" ht="15" hidden="false" customHeight="false" outlineLevel="0" collapsed="false">
      <c r="A18520" s="3" t="s">
        <v>351</v>
      </c>
      <c r="G18520" s="16" t="n">
        <f aca="false">G18390*Assumptions!$C$57+G18403*Assumptions!$C$58+G18416*Assumptions!$C$59+G18429*Assumptions!$C$60+G18442*Assumptions!$C$61+G18455*Assumptions!$C$62+G18468*Assumptions!$C$63+G18481*Assumptions!$C$64+G18494*Assumptions!$C$65+G18507*Assumptions!$C$66</f>
        <v>0</v>
      </c>
      <c r="H18520" s="16" t="n">
        <f aca="false">H18390*Assumptions!$C$57+H18403*Assumptions!$C$58+H18416*Assumptions!$C$59+H18429*Assumptions!$C$60+H18442*Assumptions!$C$61+H18455*Assumptions!$C$62+H18468*Assumptions!$C$63+H18481*Assumptions!$C$64+H18494*Assumptions!$C$65+H18507*Assumptions!$C$66</f>
        <v>800</v>
      </c>
      <c r="I18520" s="16" t="n">
        <f aca="false">I18390*Assumptions!$C$57+I18403*Assumptions!$C$58+I18416*Assumptions!$C$59+I18429*Assumptions!$C$60+I18442*Assumptions!$C$61+I18455*Assumptions!$C$62+I18468*Assumptions!$C$63+I18481*Assumptions!$C$64+I18494*Assumptions!$C$65+I18507*Assumptions!$C$66</f>
        <v>550</v>
      </c>
      <c r="J18520" s="16" t="n">
        <f aca="false">J18390*Assumptions!$C$57+J18403*Assumptions!$C$58+J18416*Assumptions!$C$59+J18429*Assumptions!$C$60+J18442*Assumptions!$C$61+J18455*Assumptions!$C$62+J18468*Assumptions!$C$63+J18481*Assumptions!$C$64+J18494*Assumptions!$C$65+J18507*Assumptions!$C$66</f>
        <v>350</v>
      </c>
      <c r="K18520" s="16" t="n">
        <f aca="false">K18390*Assumptions!$C$57+K18403*Assumptions!$C$58+K18416*Assumptions!$C$59+K18429*Assumptions!$C$60+K18442*Assumptions!$C$61+K18455*Assumptions!$C$62+K18468*Assumptions!$C$63+K18481*Assumptions!$C$64+K18494*Assumptions!$C$65+K18507*Assumptions!$C$66</f>
        <v>700</v>
      </c>
    </row>
    <row r="18521" customFormat="false" ht="15" hidden="false" customHeight="false" outlineLevel="0" collapsed="false">
      <c r="A18521" s="24" t="s">
        <v>352</v>
      </c>
      <c r="B18521" s="25"/>
      <c r="C18521" s="25"/>
      <c r="D18521" s="25"/>
      <c r="E18521" s="25"/>
      <c r="F18521" s="25"/>
      <c r="G18521" s="25"/>
      <c r="H18521" s="25"/>
      <c r="I18521" s="25"/>
      <c r="J18521" s="25"/>
      <c r="K18521" s="25"/>
    </row>
    <row r="18522" customFormat="false" ht="15" hidden="false" customHeight="false" outlineLevel="0" collapsed="false">
      <c r="A18522" s="3" t="s">
        <v>353</v>
      </c>
      <c r="C18522" s="16" t="n">
        <f aca="false">SUMPRODUCT($G$18390:$K$18390,$G$18389:$K$18389-$G$18395:$K$18395+$G$18394:$K$18394)</f>
        <v>380</v>
      </c>
    </row>
    <row r="18523" customFormat="false" ht="15" hidden="false" customHeight="false" outlineLevel="0" collapsed="false">
      <c r="A18523" s="3" t="s">
        <v>354</v>
      </c>
      <c r="C18523" s="16" t="n">
        <f aca="false">SUMPRODUCT($G$18390:$K$18390,$G$18397:$K$18397)</f>
        <v>0</v>
      </c>
    </row>
    <row r="18524" customFormat="false" ht="15" hidden="false" customHeight="false" outlineLevel="0" collapsed="false">
      <c r="A18524" s="3" t="s">
        <v>355</v>
      </c>
      <c r="C18524" s="3" t="str">
        <f aca="false">IF(SUM($G$18390:$K$18390)=0,"n/a (beyond horizon)",IF(SUMPRODUCT($G$18390:$K$18390,$G$18387:$K$18387)&gt;0,"REFINANCING PASS","REFINANCING FAILURE"))</f>
        <v>REFINANCING FAILURE</v>
      </c>
    </row>
    <row r="18525" customFormat="false" ht="15" hidden="false" customHeight="false" outlineLevel="0" collapsed="false">
      <c r="A18525" s="3" t="s">
        <v>356</v>
      </c>
      <c r="C18525" s="3" t="str">
        <f aca="false">IF(SUM($G$18390:$K$18390)=0,"n/a",IF(C18523&gt;=C18522-0.001,"Repaid from cash",IF(SUMPRODUCT($G$18390:$K$18390,$G$18387:$K$18387)&gt;0,IF(C18523&gt;0,"Partly repaid; remainder refinanced","Refinanced"),IF(SUM($G$18399:$K$18399)&gt;0.001,IF(C18523&gt;0,"Partial repayment; PAYMENT DEFAULT","PAYMENT DEFAULT"),"Repaid from cash"))))</f>
        <v>PAYMENT DEFAULT</v>
      </c>
    </row>
    <row r="18526" customFormat="false" ht="15" hidden="false" customHeight="false" outlineLevel="0" collapsed="false">
      <c r="A18526" s="3" t="s">
        <v>357</v>
      </c>
      <c r="C18526" s="16" t="n">
        <f aca="false">SUMPRODUCT($G$18403:$K$18403,$G$18402:$K$18402-$G$18408:$K$18408+$G$18407:$K$18407)</f>
        <v>0</v>
      </c>
    </row>
    <row r="18527" customFormat="false" ht="15" hidden="false" customHeight="false" outlineLevel="0" collapsed="false">
      <c r="A18527" s="3" t="s">
        <v>358</v>
      </c>
      <c r="C18527" s="16" t="n">
        <f aca="false">SUMPRODUCT($G$18403:$K$18403,$G$18410:$K$18410)</f>
        <v>0</v>
      </c>
    </row>
    <row r="18528" customFormat="false" ht="15" hidden="false" customHeight="false" outlineLevel="0" collapsed="false">
      <c r="A18528" s="3" t="s">
        <v>359</v>
      </c>
      <c r="C18528" s="3" t="str">
        <f aca="false">IF(SUM($G$18403:$K$18403)=0,"n/a (beyond horizon)",IF(SUMPRODUCT($G$18403:$K$18403,$G$18387:$K$18387)&gt;0,"REFINANCING PASS","REFINANCING FAILURE"))</f>
        <v>n/a (beyond horizon)</v>
      </c>
    </row>
    <row r="18529" customFormat="false" ht="15" hidden="false" customHeight="false" outlineLevel="0" collapsed="false">
      <c r="A18529" s="3" t="s">
        <v>360</v>
      </c>
      <c r="C18529" s="3" t="str">
        <f aca="false">IF(SUM($G$18403:$K$18403)=0,"n/a",IF(C18527&gt;=C18526-0.001,"Repaid from cash",IF(SUMPRODUCT($G$18403:$K$18403,$G$18387:$K$18387)&gt;0,IF(C18527&gt;0,"Partly repaid; remainder refinanced","Refinanced"),IF(SUM($G$18412:$K$18412)&gt;0.001,IF(C18527&gt;0,"Partial repayment; PAYMENT DEFAULT","PAYMENT DEFAULT"),"Repaid from cash"))))</f>
        <v>n/a</v>
      </c>
    </row>
    <row r="18530" customFormat="false" ht="15" hidden="false" customHeight="false" outlineLevel="0" collapsed="false">
      <c r="A18530" s="3" t="s">
        <v>361</v>
      </c>
      <c r="C18530" s="16" t="n">
        <f aca="false">SUMPRODUCT($G$18416:$K$18416,$G$18415:$K$18415-$G$18421:$K$18421+$G$18420:$K$18420)</f>
        <v>0</v>
      </c>
    </row>
    <row r="18531" customFormat="false" ht="15" hidden="false" customHeight="false" outlineLevel="0" collapsed="false">
      <c r="A18531" s="3" t="s">
        <v>362</v>
      </c>
      <c r="C18531" s="16" t="n">
        <f aca="false">SUMPRODUCT($G$18416:$K$18416,$G$18423:$K$18423)</f>
        <v>0</v>
      </c>
    </row>
    <row r="18532" customFormat="false" ht="15" hidden="false" customHeight="false" outlineLevel="0" collapsed="false">
      <c r="A18532" s="3" t="s">
        <v>363</v>
      </c>
      <c r="C18532" s="3" t="str">
        <f aca="false">IF(SUM($G$18416:$K$18416)=0,"n/a (beyond horizon)",IF(SUMPRODUCT($G$18416:$K$18416,$G$18387:$K$18387)&gt;0,"REFINANCING PASS","REFINANCING FAILURE"))</f>
        <v>n/a (beyond horizon)</v>
      </c>
    </row>
    <row r="18533" customFormat="false" ht="15" hidden="false" customHeight="false" outlineLevel="0" collapsed="false">
      <c r="A18533" s="3" t="s">
        <v>364</v>
      </c>
      <c r="C18533" s="3" t="str">
        <f aca="false">IF(SUM($G$18416:$K$18416)=0,"n/a",IF(C18531&gt;=C18530-0.001,"Repaid from cash",IF(SUMPRODUCT($G$18416:$K$18416,$G$18387:$K$18387)&gt;0,IF(C18531&gt;0,"Partly repaid; remainder refinanced","Refinanced"),IF(SUM($G$18425:$K$18425)&gt;0.001,IF(C18531&gt;0,"Partial repayment; PAYMENT DEFAULT","PAYMENT DEFAULT"),"Repaid from cash"))))</f>
        <v>n/a</v>
      </c>
    </row>
    <row r="18534" customFormat="false" ht="15" hidden="false" customHeight="false" outlineLevel="0" collapsed="false">
      <c r="A18534" s="3" t="s">
        <v>365</v>
      </c>
      <c r="C18534" s="16" t="n">
        <f aca="false">SUMPRODUCT($G$18429:$K$18429,$G$18428:$K$18428-$G$18434:$K$18434+$G$18433:$K$18433)</f>
        <v>0</v>
      </c>
    </row>
    <row r="18535" customFormat="false" ht="15" hidden="false" customHeight="false" outlineLevel="0" collapsed="false">
      <c r="A18535" s="3" t="s">
        <v>366</v>
      </c>
      <c r="C18535" s="16" t="n">
        <f aca="false">SUMPRODUCT($G$18429:$K$18429,$G$18436:$K$18436)</f>
        <v>0</v>
      </c>
    </row>
    <row r="18536" customFormat="false" ht="15" hidden="false" customHeight="false" outlineLevel="0" collapsed="false">
      <c r="A18536" s="3" t="s">
        <v>367</v>
      </c>
      <c r="C18536" s="3" t="str">
        <f aca="false">IF(SUM($G$18429:$K$18429)=0,"n/a (beyond horizon)",IF(SUMPRODUCT($G$18429:$K$18429,$G$18387:$K$18387)&gt;0,"REFINANCING PASS","REFINANCING FAILURE"))</f>
        <v>REFINANCING FAILURE</v>
      </c>
    </row>
    <row r="18537" customFormat="false" ht="15" hidden="false" customHeight="false" outlineLevel="0" collapsed="false">
      <c r="A18537" s="3" t="s">
        <v>368</v>
      </c>
      <c r="C18537" s="3" t="str">
        <f aca="false">IF(SUM($G$18429:$K$18429)=0,"n/a",IF(C18535&gt;=C18534-0.001,"Repaid from cash",IF(SUMPRODUCT($G$18429:$K$18429,$G$18387:$K$18387)&gt;0,IF(C18535&gt;0,"Partly repaid; remainder refinanced","Refinanced"),IF(SUM($G$18438:$K$18438)&gt;0.001,IF(C18535&gt;0,"Partial repayment; PAYMENT DEFAULT","PAYMENT DEFAULT"),"Repaid from cash"))))</f>
        <v>Repaid from cash</v>
      </c>
    </row>
    <row r="18538" customFormat="false" ht="15" hidden="false" customHeight="false" outlineLevel="0" collapsed="false">
      <c r="A18538" s="3" t="s">
        <v>369</v>
      </c>
      <c r="C18538" s="16" t="n">
        <f aca="false">SUMPRODUCT($G$18442:$K$18442,$G$18441:$K$18441-$G$18447:$K$18447+$G$18446:$K$18446)</f>
        <v>450</v>
      </c>
    </row>
    <row r="18539" customFormat="false" ht="15" hidden="false" customHeight="false" outlineLevel="0" collapsed="false">
      <c r="A18539" s="3" t="s">
        <v>370</v>
      </c>
      <c r="C18539" s="16" t="n">
        <f aca="false">SUMPRODUCT($G$18442:$K$18442,$G$18449:$K$18449)</f>
        <v>0</v>
      </c>
    </row>
    <row r="18540" customFormat="false" ht="15" hidden="false" customHeight="false" outlineLevel="0" collapsed="false">
      <c r="A18540" s="3" t="s">
        <v>371</v>
      </c>
      <c r="C18540" s="3" t="str">
        <f aca="false">IF(SUM($G$18442:$K$18442)=0,"n/a (beyond horizon)",IF(SUMPRODUCT($G$18442:$K$18442,$G$18387:$K$18387)&gt;0,"REFINANCING PASS","REFINANCING FAILURE"))</f>
        <v>REFINANCING FAILURE</v>
      </c>
    </row>
    <row r="18541" customFormat="false" ht="15" hidden="false" customHeight="false" outlineLevel="0" collapsed="false">
      <c r="A18541" s="3" t="s">
        <v>372</v>
      </c>
      <c r="C18541" s="3" t="str">
        <f aca="false">IF(SUM($G$18442:$K$18442)=0,"n/a",IF(C18539&gt;=C18538-0.001,"Repaid from cash",IF(SUMPRODUCT($G$18442:$K$18442,$G$18387:$K$18387)&gt;0,IF(C18539&gt;0,"Partly repaid; remainder refinanced","Refinanced"),IF(SUM($G$18451:$K$18451)&gt;0.001,IF(C18539&gt;0,"Partial repayment; PAYMENT DEFAULT","PAYMENT DEFAULT"),"Repaid from cash"))))</f>
        <v>PAYMENT DEFAULT</v>
      </c>
    </row>
    <row r="18542" customFormat="false" ht="15" hidden="false" customHeight="false" outlineLevel="0" collapsed="false">
      <c r="A18542" s="3" t="s">
        <v>373</v>
      </c>
      <c r="C18542" s="16" t="n">
        <f aca="false">SUMPRODUCT($G$18455:$K$18455,$G$18454:$K$18454-$G$18460:$K$18460+$G$18459:$K$18459)</f>
        <v>350</v>
      </c>
    </row>
    <row r="18543" customFormat="false" ht="15" hidden="false" customHeight="false" outlineLevel="0" collapsed="false">
      <c r="A18543" s="3" t="s">
        <v>374</v>
      </c>
      <c r="C18543" s="16" t="n">
        <f aca="false">SUMPRODUCT($G$18455:$K$18455,$G$18462:$K$18462)</f>
        <v>0</v>
      </c>
    </row>
    <row r="18544" customFormat="false" ht="15" hidden="false" customHeight="false" outlineLevel="0" collapsed="false">
      <c r="A18544" s="3" t="s">
        <v>375</v>
      </c>
      <c r="C18544" s="3" t="str">
        <f aca="false">IF(SUM($G$18455:$K$18455)=0,"n/a (beyond horizon)",IF(SUMPRODUCT($G$18455:$K$18455,$G$18387:$K$18387)&gt;0,"REFINANCING PASS","REFINANCING FAILURE"))</f>
        <v>REFINANCING FAILURE</v>
      </c>
    </row>
    <row r="18545" customFormat="false" ht="15" hidden="false" customHeight="false" outlineLevel="0" collapsed="false">
      <c r="A18545" s="3" t="s">
        <v>376</v>
      </c>
      <c r="C18545" s="3" t="str">
        <f aca="false">IF(SUM($G$18455:$K$18455)=0,"n/a",IF(C18543&gt;=C18542-0.001,"Repaid from cash",IF(SUMPRODUCT($G$18455:$K$18455,$G$18387:$K$18387)&gt;0,IF(C18543&gt;0,"Partly repaid; remainder refinanced","Refinanced"),IF(SUM($G$18464:$K$18464)&gt;0.001,IF(C18543&gt;0,"Partial repayment; PAYMENT DEFAULT","PAYMENT DEFAULT"),"Repaid from cash"))))</f>
        <v>PAYMENT DEFAULT</v>
      </c>
    </row>
    <row r="18546" customFormat="false" ht="15" hidden="false" customHeight="false" outlineLevel="0" collapsed="false">
      <c r="A18546" s="3" t="s">
        <v>377</v>
      </c>
      <c r="C18546" s="16" t="n">
        <f aca="false">SUMPRODUCT($G$18468:$K$18468,$G$18467:$K$18467-$G$18473:$K$18473+$G$18472:$K$18472)</f>
        <v>550</v>
      </c>
    </row>
    <row r="18547" customFormat="false" ht="15" hidden="false" customHeight="false" outlineLevel="0" collapsed="false">
      <c r="A18547" s="3" t="s">
        <v>378</v>
      </c>
      <c r="C18547" s="16" t="n">
        <f aca="false">SUMPRODUCT($G$18468:$K$18468,$G$18475:$K$18475)</f>
        <v>0</v>
      </c>
    </row>
    <row r="18548" customFormat="false" ht="15" hidden="false" customHeight="false" outlineLevel="0" collapsed="false">
      <c r="A18548" s="3" t="s">
        <v>379</v>
      </c>
      <c r="C18548" s="3" t="str">
        <f aca="false">IF(SUM($G$18468:$K$18468)=0,"n/a (beyond horizon)",IF(SUMPRODUCT($G$18468:$K$18468,$G$18387:$K$18387)&gt;0,"REFINANCING PASS","REFINANCING FAILURE"))</f>
        <v>REFINANCING FAILURE</v>
      </c>
    </row>
    <row r="18549" customFormat="false" ht="15" hidden="false" customHeight="false" outlineLevel="0" collapsed="false">
      <c r="A18549" s="3" t="s">
        <v>380</v>
      </c>
      <c r="C18549" s="3" t="str">
        <f aca="false">IF(SUM($G$18468:$K$18468)=0,"n/a",IF(C18547&gt;=C18546-0.001,"Repaid from cash",IF(SUMPRODUCT($G$18468:$K$18468,$G$18387:$K$18387)&gt;0,IF(C18547&gt;0,"Partly repaid; remainder refinanced","Refinanced"),IF(SUM($G$18477:$K$18477)&gt;0.001,IF(C18547&gt;0,"Partial repayment; PAYMENT DEFAULT","PAYMENT DEFAULT"),"Repaid from cash"))))</f>
        <v>PAYMENT DEFAULT</v>
      </c>
    </row>
    <row r="18550" customFormat="false" ht="15" hidden="false" customHeight="false" outlineLevel="0" collapsed="false">
      <c r="A18550" s="3" t="s">
        <v>381</v>
      </c>
      <c r="C18550" s="16" t="n">
        <f aca="false">SUMPRODUCT($G$18481:$K$18481,$G$18480:$K$18480-$G$18486:$K$18486+$G$18485:$K$18485)</f>
        <v>350</v>
      </c>
    </row>
    <row r="18551" customFormat="false" ht="15" hidden="false" customHeight="false" outlineLevel="0" collapsed="false">
      <c r="A18551" s="3" t="s">
        <v>382</v>
      </c>
      <c r="C18551" s="16" t="n">
        <f aca="false">SUMPRODUCT($G$18481:$K$18481,$G$18488:$K$18488)</f>
        <v>0</v>
      </c>
    </row>
    <row r="18552" customFormat="false" ht="15" hidden="false" customHeight="false" outlineLevel="0" collapsed="false">
      <c r="A18552" s="3" t="s">
        <v>383</v>
      </c>
      <c r="C18552" s="3" t="str">
        <f aca="false">IF(SUM($G$18481:$K$18481)=0,"n/a (beyond horizon)",IF(SUMPRODUCT($G$18481:$K$18481,$G$18387:$K$18387)&gt;0,"REFINANCING PASS","REFINANCING FAILURE"))</f>
        <v>REFINANCING FAILURE</v>
      </c>
    </row>
    <row r="18553" customFormat="false" ht="15" hidden="false" customHeight="false" outlineLevel="0" collapsed="false">
      <c r="A18553" s="3" t="s">
        <v>384</v>
      </c>
      <c r="C18553" s="3" t="str">
        <f aca="false">IF(SUM($G$18481:$K$18481)=0,"n/a",IF(C18551&gt;=C18550-0.001,"Repaid from cash",IF(SUMPRODUCT($G$18481:$K$18481,$G$18387:$K$18387)&gt;0,IF(C18551&gt;0,"Partly repaid; remainder refinanced","Refinanced"),IF(SUM($G$18490:$K$18490)&gt;0.001,IF(C18551&gt;0,"Partial repayment; PAYMENT DEFAULT","PAYMENT DEFAULT"),"Repaid from cash"))))</f>
        <v>PAYMENT DEFAULT</v>
      </c>
    </row>
    <row r="18554" customFormat="false" ht="15" hidden="false" customHeight="false" outlineLevel="0" collapsed="false">
      <c r="A18554" s="3" t="s">
        <v>385</v>
      </c>
      <c r="C18554" s="16" t="n">
        <f aca="false">SUMPRODUCT($G$18494:$K$18494,$G$18493:$K$18493-$G$18499:$K$18499+$G$18498:$K$18498)</f>
        <v>300</v>
      </c>
    </row>
    <row r="18555" customFormat="false" ht="15" hidden="false" customHeight="false" outlineLevel="0" collapsed="false">
      <c r="A18555" s="3" t="s">
        <v>386</v>
      </c>
      <c r="C18555" s="16" t="n">
        <f aca="false">SUMPRODUCT($G$18494:$K$18494,$G$18501:$K$18501)</f>
        <v>0</v>
      </c>
    </row>
    <row r="18556" customFormat="false" ht="15" hidden="false" customHeight="false" outlineLevel="0" collapsed="false">
      <c r="A18556" s="3" t="s">
        <v>387</v>
      </c>
      <c r="C18556" s="3" t="str">
        <f aca="false">IF(SUM($G$18494:$K$18494)=0,"n/a (beyond horizon)",IF(SUMPRODUCT($G$18494:$K$18494,$G$18387:$K$18387)&gt;0,"REFINANCING PASS","REFINANCING FAILURE"))</f>
        <v>REFINANCING FAILURE</v>
      </c>
    </row>
    <row r="18557" customFormat="false" ht="15" hidden="false" customHeight="false" outlineLevel="0" collapsed="false">
      <c r="A18557" s="3" t="s">
        <v>388</v>
      </c>
      <c r="C18557" s="3" t="str">
        <f aca="false">IF(SUM($G$18494:$K$18494)=0,"n/a",IF(C18555&gt;=C18554-0.001,"Repaid from cash",IF(SUMPRODUCT($G$18494:$K$18494,$G$18387:$K$18387)&gt;0,IF(C18555&gt;0,"Partly repaid; remainder refinanced","Refinanced"),IF(SUM($G$18503:$K$18503)&gt;0.001,IF(C18555&gt;0,"Partial repayment; PAYMENT DEFAULT","PAYMENT DEFAULT"),"Repaid from cash"))))</f>
        <v>PAYMENT DEFAULT</v>
      </c>
    </row>
    <row r="18558" customFormat="false" ht="15" hidden="false" customHeight="false" outlineLevel="0" collapsed="false">
      <c r="A18558" s="3" t="s">
        <v>389</v>
      </c>
      <c r="C18558" s="16" t="n">
        <f aca="false">SUMPRODUCT($G$18507:$K$18507,$G$18506:$K$18506-$G$18512:$K$18512+$G$18511:$K$18511)</f>
        <v>0</v>
      </c>
    </row>
    <row r="18559" customFormat="false" ht="15" hidden="false" customHeight="false" outlineLevel="0" collapsed="false">
      <c r="A18559" s="3" t="s">
        <v>390</v>
      </c>
      <c r="C18559" s="16" t="n">
        <f aca="false">SUMPRODUCT($G$18507:$K$18507,$G$18514:$K$18514)</f>
        <v>0</v>
      </c>
    </row>
    <row r="18560" customFormat="false" ht="15" hidden="false" customHeight="false" outlineLevel="0" collapsed="false">
      <c r="A18560" s="3" t="s">
        <v>391</v>
      </c>
      <c r="C18560" s="3" t="str">
        <f aca="false">IF(SUM($G$18507:$K$18507)=0,"n/a (beyond horizon)",IF(SUMPRODUCT($G$18507:$K$18507,$G$18387:$K$18387)&gt;0,"REFINANCING PASS","REFINANCING FAILURE"))</f>
        <v>n/a (beyond horizon)</v>
      </c>
    </row>
    <row r="18561" customFormat="false" ht="15" hidden="false" customHeight="false" outlineLevel="0" collapsed="false">
      <c r="A18561" s="3" t="s">
        <v>392</v>
      </c>
      <c r="C18561" s="3" t="str">
        <f aca="false">IF(SUM($G$18507:$K$18507)=0,"n/a",IF(C18559&gt;=C18558-0.001,"Repaid from cash",IF(SUMPRODUCT($G$18507:$K$18507,$G$18387:$K$18387)&gt;0,IF(C18559&gt;0,"Partly repaid; remainder refinanced","Refinanced"),IF(SUM($G$18516:$K$18516)&gt;0.001,IF(C18559&gt;0,"Partial repayment; PAYMENT DEFAULT","PAYMENT DEFAULT"),"Repaid from cash"))))</f>
        <v>n/a</v>
      </c>
    </row>
    <row r="18562" customFormat="false" ht="15" hidden="false" customHeight="false" outlineLevel="0" collapsed="false">
      <c r="A18562" s="3" t="s">
        <v>393</v>
      </c>
      <c r="C18562" s="21" t="n">
        <f aca="false">IF(C18524="REFINANCING FAILURE",1,0)+IF(C18528="REFINANCING FAILURE",1,0)+IF(C18532="REFINANCING FAILURE",1,0)+IF(C18536="REFINANCING FAILURE",1,0)+IF(C18540="REFINANCING FAILURE",1,0)+IF(C18544="REFINANCING FAILURE",1,0)+IF(C18548="REFINANCING FAILURE",1,0)+IF(C18552="REFINANCING FAILURE",1,0)+IF(C18556="REFINANCING FAILURE",1,0)+IF(C18560="REFINANCING FAILURE",1,0)</f>
        <v>7</v>
      </c>
    </row>
    <row r="18564" customFormat="false" ht="15" hidden="false" customHeight="false" outlineLevel="0" collapsed="false">
      <c r="A18564" s="24" t="s">
        <v>395</v>
      </c>
      <c r="B18564" s="25"/>
      <c r="C18564" s="25"/>
      <c r="D18564" s="25"/>
      <c r="E18564" s="25"/>
      <c r="F18564" s="25"/>
      <c r="G18564" s="25"/>
      <c r="H18564" s="25"/>
      <c r="I18564" s="25"/>
      <c r="J18564" s="25"/>
      <c r="K18564" s="25"/>
    </row>
    <row r="18565" customFormat="false" ht="15" hidden="false" customHeight="false" outlineLevel="0" collapsed="false">
      <c r="A18565" s="3" t="s">
        <v>325</v>
      </c>
      <c r="G18565" s="16" t="n">
        <f aca="false">F18577</f>
        <v>37.87</v>
      </c>
      <c r="H18565" s="16" t="n">
        <f aca="false">G18577</f>
        <v>70.8508386</v>
      </c>
      <c r="I18565" s="16" t="n">
        <f aca="false">H18577</f>
        <v>-27.2596646</v>
      </c>
      <c r="J18565" s="16" t="n">
        <f aca="false">I18577</f>
        <v>-138.0566502604</v>
      </c>
      <c r="K18565" s="16" t="n">
        <f aca="false">J18577</f>
        <v>-255.5799545428</v>
      </c>
    </row>
    <row r="18566" customFormat="false" ht="15" hidden="false" customHeight="false" outlineLevel="0" collapsed="false">
      <c r="A18566" s="3" t="s">
        <v>396</v>
      </c>
      <c r="G18566" s="16" t="n">
        <f aca="false">G18376</f>
        <v>-63.0191614</v>
      </c>
      <c r="H18566" s="16" t="n">
        <f aca="false">H18376</f>
        <v>-94.1105032</v>
      </c>
      <c r="I18566" s="16" t="n">
        <f aca="false">I18376</f>
        <v>-106.7969856604</v>
      </c>
      <c r="J18566" s="16" t="n">
        <f aca="false">J18376</f>
        <v>-113.5233042824</v>
      </c>
      <c r="K18566" s="16" t="n">
        <f aca="false">K18376</f>
        <v>-117.690612002417</v>
      </c>
    </row>
    <row r="18567" customFormat="false" ht="15" hidden="false" customHeight="false" outlineLevel="0" collapsed="false">
      <c r="A18567" s="3" t="s">
        <v>397</v>
      </c>
      <c r="G18567" s="16" t="n">
        <f aca="false">CHOOSE($C$18346,Assumptions!$G$82,Assumptions!$G$101,Assumptions!$G$120)</f>
        <v>100</v>
      </c>
      <c r="H18567" s="16" t="n">
        <f aca="false">CHOOSE($C$18346,Assumptions!$H$82,Assumptions!$H$101,Assumptions!$H$120)</f>
        <v>0</v>
      </c>
      <c r="I18567" s="16" t="n">
        <f aca="false">CHOOSE($C$18346,Assumptions!$I$82,Assumptions!$I$101,Assumptions!$I$120)</f>
        <v>0</v>
      </c>
      <c r="J18567" s="16" t="n">
        <f aca="false">CHOOSE($C$18346,Assumptions!$J$82,Assumptions!$J$101,Assumptions!$J$120)</f>
        <v>0</v>
      </c>
      <c r="K18567" s="16" t="n">
        <f aca="false">CHOOSE($C$18346,Assumptions!$K$82,Assumptions!$K$101,Assumptions!$K$120)</f>
        <v>0</v>
      </c>
    </row>
    <row r="18568" customFormat="false" ht="15" hidden="false" customHeight="false" outlineLevel="0" collapsed="false">
      <c r="A18568" s="3" t="s">
        <v>398</v>
      </c>
      <c r="G18568" s="16" t="n">
        <f aca="false">G18395+G18408+G18421+G18434+G18447+G18460+G18473+G18486+G18499+G18512</f>
        <v>4</v>
      </c>
      <c r="H18568" s="16" t="n">
        <f aca="false">H18395+H18408+H18421+H18434+H18447+H18460+H18473+H18486+H18499+H18512</f>
        <v>4</v>
      </c>
      <c r="I18568" s="16" t="n">
        <f aca="false">I18395+I18408+I18421+I18434+I18447+I18460+I18473+I18486+I18499+I18512</f>
        <v>4</v>
      </c>
      <c r="J18568" s="16" t="n">
        <f aca="false">J18395+J18408+J18421+J18434+J18447+J18460+J18473+J18486+J18499+J18512</f>
        <v>4</v>
      </c>
      <c r="K18568" s="16" t="n">
        <f aca="false">K18395+K18408+K18421+K18434+K18447+K18460+K18473+K18486+K18499+K18512</f>
        <v>4</v>
      </c>
    </row>
    <row r="18569" customFormat="false" ht="15" hidden="false" customHeight="false" outlineLevel="0" collapsed="false">
      <c r="A18569" s="2" t="s">
        <v>399</v>
      </c>
      <c r="G18569" s="17" t="n">
        <f aca="false">G18565+G18566+G18567-G18568</f>
        <v>70.8508386</v>
      </c>
      <c r="H18569" s="17" t="n">
        <f aca="false">H18565+H18566+H18567-H18568</f>
        <v>-27.2596646</v>
      </c>
      <c r="I18569" s="17" t="n">
        <f aca="false">I18565+I18566+I18567-I18568</f>
        <v>-138.0566502604</v>
      </c>
      <c r="J18569" s="17" t="n">
        <f aca="false">J18565+J18566+J18567-J18568</f>
        <v>-255.5799545428</v>
      </c>
      <c r="K18569" s="17" t="n">
        <f aca="false">K18565+K18566+K18567-K18568</f>
        <v>-377.270566545217</v>
      </c>
    </row>
    <row r="18570" customFormat="false" ht="15" hidden="false" customHeight="false" outlineLevel="0" collapsed="false">
      <c r="A18570" s="3" t="s">
        <v>400</v>
      </c>
      <c r="G18570" s="16" t="n">
        <f aca="false">G18396+G18409+G18422+G18435+G18448+G18461+G18474+G18487+G18500+G18513</f>
        <v>0</v>
      </c>
      <c r="H18570" s="16" t="n">
        <f aca="false">H18396+H18409+H18422+H18435+H18448+H18461+H18474+H18487+H18500+H18513</f>
        <v>0</v>
      </c>
      <c r="I18570" s="16" t="n">
        <f aca="false">I18396+I18409+I18422+I18435+I18448+I18461+I18474+I18487+I18500+I18513</f>
        <v>0</v>
      </c>
      <c r="J18570" s="16" t="n">
        <f aca="false">J18396+J18409+J18422+J18435+J18448+J18461+J18474+J18487+J18500+J18513</f>
        <v>0</v>
      </c>
      <c r="K18570" s="16" t="n">
        <f aca="false">K18396+K18409+K18422+K18435+K18448+K18461+K18474+K18487+K18500+K18513</f>
        <v>0</v>
      </c>
    </row>
    <row r="18571" customFormat="false" ht="15" hidden="false" customHeight="false" outlineLevel="0" collapsed="false">
      <c r="A18571" s="2" t="s">
        <v>401</v>
      </c>
      <c r="G18571" s="17" t="n">
        <f aca="false">G18569+G18570</f>
        <v>70.8508386</v>
      </c>
      <c r="H18571" s="17" t="n">
        <f aca="false">H18569+H18570</f>
        <v>-27.2596646</v>
      </c>
      <c r="I18571" s="17" t="n">
        <f aca="false">I18569+I18570</f>
        <v>-138.0566502604</v>
      </c>
      <c r="J18571" s="17" t="n">
        <f aca="false">J18569+J18570</f>
        <v>-255.5799545428</v>
      </c>
      <c r="K18571" s="17" t="n">
        <f aca="false">K18569+K18570</f>
        <v>-377.270566545217</v>
      </c>
    </row>
    <row r="18572" customFormat="false" ht="15" hidden="false" customHeight="false" outlineLevel="0" collapsed="false">
      <c r="A18572" s="3" t="s">
        <v>402</v>
      </c>
      <c r="G18572" s="16" t="n">
        <f aca="false">G18397+G18410+G18423+G18436+G18449+G18462+G18475+G18488+G18501+G18514</f>
        <v>0</v>
      </c>
      <c r="H18572" s="16" t="n">
        <f aca="false">H18397+H18410+H18423+H18436+H18449+H18462+H18475+H18488+H18501+H18514</f>
        <v>0</v>
      </c>
      <c r="I18572" s="16" t="n">
        <f aca="false">I18397+I18410+I18423+I18436+I18449+I18462+I18475+I18488+I18501+I18514</f>
        <v>0</v>
      </c>
      <c r="J18572" s="16" t="n">
        <f aca="false">J18397+J18410+J18423+J18436+J18449+J18462+J18475+J18488+J18501+J18514</f>
        <v>0</v>
      </c>
      <c r="K18572" s="16" t="n">
        <f aca="false">K18397+K18410+K18423+K18436+K18449+K18462+K18475+K18488+K18501+K18514</f>
        <v>0</v>
      </c>
    </row>
    <row r="18573" customFormat="false" ht="15" hidden="false" customHeight="false" outlineLevel="0" collapsed="false">
      <c r="A18573" s="2" t="s">
        <v>403</v>
      </c>
      <c r="G18573" s="17" t="n">
        <f aca="false">G18571-G18572</f>
        <v>70.8508386</v>
      </c>
      <c r="H18573" s="17" t="n">
        <f aca="false">H18571-H18572</f>
        <v>-27.2596646</v>
      </c>
      <c r="I18573" s="17" t="n">
        <f aca="false">I18571-I18572</f>
        <v>-138.0566502604</v>
      </c>
      <c r="J18573" s="17" t="n">
        <f aca="false">J18571-J18572</f>
        <v>-255.5799545428</v>
      </c>
      <c r="K18573" s="17" t="n">
        <f aca="false">K18571-K18572</f>
        <v>-377.270566545217</v>
      </c>
    </row>
    <row r="18574" customFormat="false" ht="15" hidden="false" customHeight="false" outlineLevel="0" collapsed="false">
      <c r="A18574" s="3" t="s">
        <v>404</v>
      </c>
      <c r="G18574" s="16" t="n">
        <f aca="false">MAX(0,-G18573)</f>
        <v>0</v>
      </c>
      <c r="H18574" s="16" t="n">
        <f aca="false">MAX(0,-H18573)</f>
        <v>27.2596646</v>
      </c>
      <c r="I18574" s="16" t="n">
        <f aca="false">MAX(0,-I18573)</f>
        <v>138.0566502604</v>
      </c>
      <c r="J18574" s="16" t="n">
        <f aca="false">MAX(0,-J18573)</f>
        <v>255.5799545428</v>
      </c>
      <c r="K18574" s="16" t="n">
        <f aca="false">MAX(0,-K18573)</f>
        <v>377.270566545217</v>
      </c>
    </row>
    <row r="18575" customFormat="false" ht="15" hidden="false" customHeight="false" outlineLevel="0" collapsed="false">
      <c r="A18575" s="3" t="s">
        <v>405</v>
      </c>
      <c r="G18575" s="16" t="n">
        <f aca="false">MAX(0,G18573-Assumptions!$C$12)*Assumptions!$C$13</f>
        <v>0</v>
      </c>
      <c r="H18575" s="16" t="n">
        <f aca="false">MAX(0,H18573-Assumptions!$C$12)*Assumptions!$C$13</f>
        <v>0</v>
      </c>
      <c r="I18575" s="16" t="n">
        <f aca="false">MAX(0,I18573-Assumptions!$C$12)*Assumptions!$C$13</f>
        <v>0</v>
      </c>
      <c r="J18575" s="16" t="n">
        <f aca="false">MAX(0,J18573-Assumptions!$C$12)*Assumptions!$C$13</f>
        <v>0</v>
      </c>
      <c r="K18575" s="16" t="n">
        <f aca="false">MAX(0,K18573-Assumptions!$C$12)*Assumptions!$C$13</f>
        <v>0</v>
      </c>
    </row>
    <row r="18576" customFormat="false" ht="15" hidden="false" customHeight="false" outlineLevel="0" collapsed="false">
      <c r="A18576" s="3" t="s">
        <v>406</v>
      </c>
      <c r="G18576" s="16" t="n">
        <f aca="false">G18398+G18411+G18424+G18437+G18450+G18463+G18476+G18489+G18502+G18515</f>
        <v>0</v>
      </c>
      <c r="H18576" s="16" t="n">
        <f aca="false">H18398+H18411+H18424+H18437+H18450+H18463+H18476+H18489+H18502+H18515</f>
        <v>0</v>
      </c>
      <c r="I18576" s="16" t="n">
        <f aca="false">I18398+I18411+I18424+I18437+I18450+I18463+I18476+I18489+I18502+I18515</f>
        <v>0</v>
      </c>
      <c r="J18576" s="16" t="n">
        <f aca="false">J18398+J18411+J18424+J18437+J18450+J18463+J18476+J18489+J18502+J18515</f>
        <v>0</v>
      </c>
      <c r="K18576" s="16" t="n">
        <f aca="false">K18398+K18411+K18424+K18437+K18450+K18463+K18476+K18489+K18502+K18515</f>
        <v>0</v>
      </c>
    </row>
    <row r="18577" customFormat="false" ht="15" hidden="false" customHeight="false" outlineLevel="0" collapsed="false">
      <c r="A18577" s="2" t="s">
        <v>407</v>
      </c>
      <c r="F18577" s="28" t="n">
        <f aca="false">Assumptions!$C$11</f>
        <v>37.87</v>
      </c>
      <c r="G18577" s="17" t="n">
        <f aca="false">G18573-G18576</f>
        <v>70.8508386</v>
      </c>
      <c r="H18577" s="17" t="n">
        <f aca="false">H18573-H18576</f>
        <v>-27.2596646</v>
      </c>
      <c r="I18577" s="17" t="n">
        <f aca="false">I18573-I18576</f>
        <v>-138.0566502604</v>
      </c>
      <c r="J18577" s="17" t="n">
        <f aca="false">J18573-J18576</f>
        <v>-255.5799545428</v>
      </c>
      <c r="K18577" s="17" t="n">
        <f aca="false">K18573-K18576</f>
        <v>-377.270566545217</v>
      </c>
    </row>
    <row r="18578" customFormat="false" ht="15" hidden="false" customHeight="false" outlineLevel="0" collapsed="false">
      <c r="A18578" s="3" t="s">
        <v>408</v>
      </c>
      <c r="G18578" s="16" t="n">
        <f aca="false">G18399+G18412+G18425+G18438+G18451+G18464+G18477+G18490+G18503+G18516</f>
        <v>0</v>
      </c>
      <c r="H18578" s="16" t="n">
        <f aca="false">H18399+H18412+H18425+H18438+H18451+H18464+H18477+H18490+H18503+H18516</f>
        <v>800</v>
      </c>
      <c r="I18578" s="16" t="n">
        <f aca="false">I18399+I18412+I18425+I18438+I18451+I18464+I18477+I18490+I18503+I18516</f>
        <v>550</v>
      </c>
      <c r="J18578" s="16" t="n">
        <f aca="false">J18399+J18412+J18425+J18438+J18451+J18464+J18477+J18490+J18503+J18516</f>
        <v>350</v>
      </c>
      <c r="K18578" s="16" t="n">
        <f aca="false">K18399+K18412+K18425+K18438+K18451+K18464+K18477+K18490+K18503+K18516</f>
        <v>680</v>
      </c>
    </row>
    <row r="18579" customFormat="false" ht="15" hidden="false" customHeight="false" outlineLevel="0" collapsed="false">
      <c r="A18579" s="3" t="s">
        <v>409</v>
      </c>
      <c r="G18579" s="21" t="n">
        <f aca="false">IF(OR(G18574&gt;0.001,G18578&gt;0.001),1,0)</f>
        <v>0</v>
      </c>
      <c r="H18579" s="21" t="n">
        <f aca="false">IF(OR(H18574&gt;0.001,H18578&gt;0.001),1,0)</f>
        <v>1</v>
      </c>
      <c r="I18579" s="21" t="n">
        <f aca="false">IF(OR(I18574&gt;0.001,I18578&gt;0.001),1,0)</f>
        <v>1</v>
      </c>
      <c r="J18579" s="21" t="n">
        <f aca="false">IF(OR(J18574&gt;0.001,J18578&gt;0.001),1,0)</f>
        <v>1</v>
      </c>
      <c r="K18579" s="21" t="n">
        <f aca="false">IF(OR(K18574&gt;0.001,K18578&gt;0.001),1,0)</f>
        <v>1</v>
      </c>
    </row>
    <row r="18580" customFormat="false" ht="15" hidden="false" customHeight="false" outlineLevel="0" collapsed="false">
      <c r="A18580" s="3" t="s">
        <v>410</v>
      </c>
      <c r="G18580" s="21" t="n">
        <f aca="false">IF(G18579=1,1,0)</f>
        <v>0</v>
      </c>
      <c r="H18580" s="21" t="n">
        <f aca="false">IF(AND(H18579=1,SUM($G$18579:G18579)=0),1,0)</f>
        <v>1</v>
      </c>
      <c r="I18580" s="21" t="n">
        <f aca="false">IF(AND(I18579=1,SUM($G$18579:H18579)=0),1,0)</f>
        <v>0</v>
      </c>
      <c r="J18580" s="21" t="n">
        <f aca="false">IF(AND(J18579=1,SUM($G$18579:I18579)=0),1,0)</f>
        <v>0</v>
      </c>
      <c r="K18580" s="21" t="n">
        <f aca="false">IF(AND(K18579=1,SUM($G$18579:J18579)=0),1,0)</f>
        <v>0</v>
      </c>
    </row>
    <row r="18581" customFormat="false" ht="15" hidden="false" customHeight="false" outlineLevel="0" collapsed="false">
      <c r="A18581" s="3" t="s">
        <v>411</v>
      </c>
      <c r="G18581" s="16" t="n">
        <f aca="false">(G18519-F18519)-(G18570+G18368-G18568-G18572-G18576)</f>
        <v>0</v>
      </c>
      <c r="H18581" s="16" t="n">
        <f aca="false">(H18519-G18519)-(H18570+H18368-H18568-H18572-H18576)</f>
        <v>0</v>
      </c>
      <c r="I18581" s="16" t="n">
        <f aca="false">(I18519-H18519)-(I18570+I18368-I18568-I18572-I18576)</f>
        <v>0</v>
      </c>
      <c r="J18581" s="16" t="n">
        <f aca="false">(J18519-I18519)-(J18570+J18368-J18568-J18572-J18576)</f>
        <v>0</v>
      </c>
      <c r="K18581" s="16" t="n">
        <f aca="false">(K18519-J18519)-(K18570+K18368-K18568-K18572-K18576)</f>
        <v>0</v>
      </c>
    </row>
    <row r="18583" customFormat="false" ht="15" hidden="false" customHeight="false" outlineLevel="0" collapsed="false">
      <c r="A18583" s="24" t="s">
        <v>413</v>
      </c>
      <c r="B18583" s="25"/>
      <c r="C18583" s="25"/>
      <c r="D18583" s="25"/>
      <c r="E18583" s="25"/>
      <c r="F18583" s="25"/>
      <c r="G18583" s="25"/>
      <c r="H18583" s="25"/>
      <c r="I18583" s="25"/>
      <c r="J18583" s="25"/>
      <c r="K18583" s="25"/>
    </row>
    <row r="18584" customFormat="false" ht="15" hidden="false" customHeight="false" outlineLevel="0" collapsed="false">
      <c r="A18584" s="3" t="s">
        <v>414</v>
      </c>
      <c r="G18584" s="16" t="n">
        <f aca="false">G18519</f>
        <v>2621.934</v>
      </c>
      <c r="H18584" s="16" t="n">
        <f aca="false">H18519</f>
        <v>2617.934</v>
      </c>
      <c r="I18584" s="16" t="n">
        <f aca="false">I18519</f>
        <v>2613.934</v>
      </c>
      <c r="J18584" s="16" t="n">
        <f aca="false">J18519</f>
        <v>2609.934</v>
      </c>
      <c r="K18584" s="16" t="n">
        <f aca="false">K18519</f>
        <v>2605.934</v>
      </c>
    </row>
    <row r="18585" customFormat="false" ht="15" hidden="false" customHeight="false" outlineLevel="0" collapsed="false">
      <c r="A18585" s="3" t="s">
        <v>415</v>
      </c>
      <c r="G18585" s="16" t="n">
        <f aca="false">Assumptions!$O$57*G18400+Assumptions!$O$58*G18413+Assumptions!$O$59*G18426+Assumptions!$O$60*G18439+Assumptions!$O$61*G18452+Assumptions!$O$62*G18465+Assumptions!$O$63*G18478+Assumptions!$O$64*G18491+Assumptions!$O$65*G18504+Assumptions!$O$66*G18517</f>
        <v>543.324</v>
      </c>
      <c r="H18585" s="16" t="n">
        <f aca="false">Assumptions!$O$57*H18400+Assumptions!$O$58*H18413+Assumptions!$O$59*H18426+Assumptions!$O$60*H18439+Assumptions!$O$61*H18452+Assumptions!$O$62*H18465+Assumptions!$O$63*H18478+Assumptions!$O$64*H18491+Assumptions!$O$65*H18504+Assumptions!$O$66*H18517</f>
        <v>539.324</v>
      </c>
      <c r="I18585" s="16" t="n">
        <f aca="false">Assumptions!$O$57*I18400+Assumptions!$O$58*I18413+Assumptions!$O$59*I18426+Assumptions!$O$60*I18439+Assumptions!$O$61*I18452+Assumptions!$O$62*I18465+Assumptions!$O$63*I18478+Assumptions!$O$64*I18491+Assumptions!$O$65*I18504+Assumptions!$O$66*I18517</f>
        <v>535.324</v>
      </c>
      <c r="J18585" s="16" t="n">
        <f aca="false">Assumptions!$O$57*J18400+Assumptions!$O$58*J18413+Assumptions!$O$59*J18426+Assumptions!$O$60*J18439+Assumptions!$O$61*J18452+Assumptions!$O$62*J18465+Assumptions!$O$63*J18478+Assumptions!$O$64*J18491+Assumptions!$O$65*J18504+Assumptions!$O$66*J18517</f>
        <v>531.324</v>
      </c>
      <c r="K18585" s="16" t="n">
        <f aca="false">Assumptions!$O$57*K18400+Assumptions!$O$58*K18413+Assumptions!$O$59*K18426+Assumptions!$O$60*K18439+Assumptions!$O$61*K18452+Assumptions!$O$62*K18465+Assumptions!$O$63*K18478+Assumptions!$O$64*K18491+Assumptions!$O$65*K18504+Assumptions!$O$66*K18517</f>
        <v>527.324</v>
      </c>
    </row>
    <row r="18586" customFormat="false" ht="15" hidden="false" customHeight="false" outlineLevel="0" collapsed="false">
      <c r="A18586" s="3" t="s">
        <v>416</v>
      </c>
      <c r="G18586" s="16" t="n">
        <f aca="false">G18584-G18577</f>
        <v>2551.0831614</v>
      </c>
      <c r="H18586" s="16" t="n">
        <f aca="false">H18584-H18577</f>
        <v>2645.1936646</v>
      </c>
      <c r="I18586" s="16" t="n">
        <f aca="false">I18584-I18577</f>
        <v>2751.9906502604</v>
      </c>
      <c r="J18586" s="16" t="n">
        <f aca="false">J18584-J18577</f>
        <v>2865.5139545428</v>
      </c>
      <c r="K18586" s="16" t="n">
        <f aca="false">K18584-K18577</f>
        <v>2983.20456654522</v>
      </c>
    </row>
    <row r="18587" customFormat="false" ht="15" hidden="false" customHeight="false" outlineLevel="0" collapsed="false">
      <c r="A18587" s="3" t="s">
        <v>417</v>
      </c>
      <c r="G18587" s="32" t="n">
        <f aca="false">IF(G18363&gt;0,G18584/G18363,0)</f>
        <v>14.2985136239144</v>
      </c>
      <c r="H18587" s="32" t="n">
        <f aca="false">IF(H18363&gt;0,H18584/H18363,0)</f>
        <v>18.4009021288111</v>
      </c>
      <c r="I18587" s="32" t="n">
        <f aca="false">IF(I18363&gt;0,I18584/I18363,0)</f>
        <v>21.3665947279414</v>
      </c>
      <c r="J18587" s="32" t="n">
        <f aca="false">IF(J18363&gt;0,J18584/J18363,0)</f>
        <v>23.4286996522733</v>
      </c>
      <c r="K18587" s="32" t="n">
        <f aca="false">IF(K18363&gt;0,K18584/K18363,0)</f>
        <v>25.1221300129993</v>
      </c>
    </row>
    <row r="18588" customFormat="false" ht="15" hidden="false" customHeight="false" outlineLevel="0" collapsed="false">
      <c r="A18588" s="3" t="s">
        <v>418</v>
      </c>
      <c r="G18588" s="32" t="n">
        <f aca="false">IF(G18363&gt;0,G18586/G18363,0)</f>
        <v>13.9121340731752</v>
      </c>
      <c r="H18588" s="32" t="n">
        <f aca="false">IF(H18363&gt;0,H18586/H18363,0)</f>
        <v>18.5925045222896</v>
      </c>
      <c r="I18588" s="32" t="n">
        <f aca="false">IF(I18363&gt;0,I18586/I18363,0)</f>
        <v>22.4950855374305</v>
      </c>
      <c r="J18588" s="32" t="n">
        <f aca="false">IF(J18363&gt;0,J18586/J18363,0)</f>
        <v>25.7229745236397</v>
      </c>
      <c r="K18588" s="32" t="n">
        <f aca="false">IF(K18363&gt;0,K18586/K18363,0)</f>
        <v>28.7591523715191</v>
      </c>
    </row>
    <row r="18589" customFormat="false" ht="15" hidden="false" customHeight="false" outlineLevel="0" collapsed="false">
      <c r="A18589" s="3" t="s">
        <v>419</v>
      </c>
      <c r="G18589" s="32" t="n">
        <f aca="false">IF(G18367&gt;0,G18363/G18367,0)</f>
        <v>0.942452519221079</v>
      </c>
      <c r="H18589" s="32" t="n">
        <f aca="false">IF(H18367&gt;0,H18363/H18367,0)</f>
        <v>0.735750088034306</v>
      </c>
      <c r="I18589" s="32" t="n">
        <f aca="false">IF(I18367&gt;0,I18363/I18367,0)</f>
        <v>0.638126097552208</v>
      </c>
      <c r="J18589" s="32" t="n">
        <f aca="false">IF(J18367&gt;0,J18363/J18367,0)</f>
        <v>0.582498154568097</v>
      </c>
      <c r="K18589" s="32" t="n">
        <f aca="false">IF(K18367&gt;0,K18363/K18367,0)</f>
        <v>0.543736894585998</v>
      </c>
    </row>
    <row r="18590" customFormat="false" ht="15" hidden="false" customHeight="false" outlineLevel="0" collapsed="false">
      <c r="A18590" s="3" t="s">
        <v>420</v>
      </c>
      <c r="G18590" s="32" t="n">
        <f aca="false">IF(G18367&gt;0,G18366/G18367,0)</f>
        <v>0.180588229496054</v>
      </c>
      <c r="H18590" s="32" t="n">
        <f aca="false">IF(H18367&gt;0,H18366/H18367,0)</f>
        <v>0.099485376822824</v>
      </c>
      <c r="I18590" s="32" t="n">
        <f aca="false">IF(I18367&gt;0,I18366/I18367,0)</f>
        <v>0.0797927778242424</v>
      </c>
      <c r="J18590" s="32" t="n">
        <f aca="false">IF(J18367&gt;0,J18366/J18367,0)</f>
        <v>0.0787632232034536</v>
      </c>
      <c r="K18590" s="32" t="n">
        <f aca="false">IF(K18367&gt;0,K18366/K18367,0)</f>
        <v>0.0842087710573985</v>
      </c>
    </row>
    <row r="18591" customFormat="false" ht="15" hidden="false" customHeight="false" outlineLevel="0" collapsed="false">
      <c r="A18591" s="3" t="s">
        <v>213</v>
      </c>
      <c r="G18591" s="22" t="n">
        <f aca="false">IF(G18584&gt;0,G18376/G18584,0)</f>
        <v>-0.0240353728964955</v>
      </c>
      <c r="H18591" s="22" t="n">
        <f aca="false">IF(H18584&gt;0,H18376/H18584,0)</f>
        <v>-0.0359483864757477</v>
      </c>
      <c r="I18591" s="22" t="n">
        <f aca="false">IF(I18584&gt;0,I18376/I18584,0)</f>
        <v>-0.0408568026814755</v>
      </c>
      <c r="J18591" s="22" t="n">
        <f aca="false">IF(J18584&gt;0,J18376/J18584,0)</f>
        <v>-0.0434966187966439</v>
      </c>
      <c r="K18591" s="22" t="n">
        <f aca="false">IF(K18584&gt;0,K18376/K18584,0)</f>
        <v>-0.0451625451766686</v>
      </c>
    </row>
    <row r="18592" customFormat="false" ht="15" hidden="false" customHeight="false" outlineLevel="0" collapsed="false">
      <c r="A18592" s="3" t="s">
        <v>421</v>
      </c>
      <c r="G18592" s="32" t="n">
        <f aca="false">IF(G18367+G18568&gt;0,(G18363-G18374-G18371)/(G18367+G18568),0)</f>
        <v>0.662487579430314</v>
      </c>
      <c r="H18592" s="32" t="n">
        <f aca="false">IF(H18367+H18568&gt;0,(H18363-H18374-H18371)/(H18367+H18568),0)</f>
        <v>0.502910937807519</v>
      </c>
      <c r="I18592" s="32" t="n">
        <f aca="false">IF(I18367+I18568&gt;0,(I18363-I18374-I18371)/(I18367+I18568),0)</f>
        <v>0.433881873459741</v>
      </c>
      <c r="J18592" s="32" t="n">
        <f aca="false">IF(J18367+J18568&gt;0,(J18363-J18374-J18371)/(J18367+J18568),0)</f>
        <v>0.398068171515595</v>
      </c>
      <c r="K18592" s="32" t="n">
        <f aca="false">IF(K18367+K18568&gt;0,(K18363-K18374-K18371)/(K18367+K18568),0)</f>
        <v>0.375220018958402</v>
      </c>
    </row>
    <row r="18593" customFormat="false" ht="15" hidden="false" customHeight="false" outlineLevel="0" collapsed="false">
      <c r="A18593" s="3" t="s">
        <v>422</v>
      </c>
      <c r="G18593" s="16" t="n">
        <f aca="false">MAX(0,G18577)+Assumptions!$P$57*MAX(0,Assumptions!$D$57-G18400)+Assumptions!$P$58*MAX(0,Assumptions!$D$58-G18413)+Assumptions!$P$59*MAX(0,Assumptions!$D$59-G18426)+Assumptions!$P$60*MAX(0,Assumptions!$D$60-G18439)+Assumptions!$P$61*MAX(0,Assumptions!$D$61-G18452)+Assumptions!$P$62*MAX(0,Assumptions!$D$62-G18465)+Assumptions!$P$63*MAX(0,Assumptions!$D$63-G18478)+Assumptions!$P$64*MAX(0,Assumptions!$D$64-G18491)+Assumptions!$P$65*MAX(0,Assumptions!$D$65-G18504)+Assumptions!$P$66*MAX(0,Assumptions!$D$66-G18517)</f>
        <v>645.3508386</v>
      </c>
      <c r="H18593" s="16" t="n">
        <f aca="false">MAX(0,H18577)+Assumptions!$P$57*MAX(0,Assumptions!$D$57-H18400)+Assumptions!$P$58*MAX(0,Assumptions!$D$58-H18413)+Assumptions!$P$59*MAX(0,Assumptions!$D$59-H18426)+Assumptions!$P$60*MAX(0,Assumptions!$D$60-H18439)+Assumptions!$P$61*MAX(0,Assumptions!$D$61-H18452)+Assumptions!$P$62*MAX(0,Assumptions!$D$62-H18465)+Assumptions!$P$63*MAX(0,Assumptions!$D$63-H18478)+Assumptions!$P$64*MAX(0,Assumptions!$D$64-H18491)+Assumptions!$P$65*MAX(0,Assumptions!$D$65-H18504)+Assumptions!$P$66*MAX(0,Assumptions!$D$66-H18517)</f>
        <v>574.5</v>
      </c>
      <c r="I18593" s="16" t="n">
        <f aca="false">MAX(0,I18577)+Assumptions!$P$57*MAX(0,Assumptions!$D$57-I18400)+Assumptions!$P$58*MAX(0,Assumptions!$D$58-I18413)+Assumptions!$P$59*MAX(0,Assumptions!$D$59-I18426)+Assumptions!$P$60*MAX(0,Assumptions!$D$60-I18439)+Assumptions!$P$61*MAX(0,Assumptions!$D$61-I18452)+Assumptions!$P$62*MAX(0,Assumptions!$D$62-I18465)+Assumptions!$P$63*MAX(0,Assumptions!$D$63-I18478)+Assumptions!$P$64*MAX(0,Assumptions!$D$64-I18491)+Assumptions!$P$65*MAX(0,Assumptions!$D$65-I18504)+Assumptions!$P$66*MAX(0,Assumptions!$D$66-I18517)</f>
        <v>574.5</v>
      </c>
      <c r="J18593" s="16" t="n">
        <f aca="false">MAX(0,J18577)+Assumptions!$P$57*MAX(0,Assumptions!$D$57-J18400)+Assumptions!$P$58*MAX(0,Assumptions!$D$58-J18413)+Assumptions!$P$59*MAX(0,Assumptions!$D$59-J18426)+Assumptions!$P$60*MAX(0,Assumptions!$D$60-J18439)+Assumptions!$P$61*MAX(0,Assumptions!$D$61-J18452)+Assumptions!$P$62*MAX(0,Assumptions!$D$62-J18465)+Assumptions!$P$63*MAX(0,Assumptions!$D$63-J18478)+Assumptions!$P$64*MAX(0,Assumptions!$D$64-J18491)+Assumptions!$P$65*MAX(0,Assumptions!$D$65-J18504)+Assumptions!$P$66*MAX(0,Assumptions!$D$66-J18517)</f>
        <v>574.5</v>
      </c>
      <c r="K18593" s="16" t="n">
        <f aca="false">MAX(0,K18577)+Assumptions!$P$57*MAX(0,Assumptions!$D$57-K18400)+Assumptions!$P$58*MAX(0,Assumptions!$D$58-K18413)+Assumptions!$P$59*MAX(0,Assumptions!$D$59-K18426)+Assumptions!$P$60*MAX(0,Assumptions!$D$60-K18439)+Assumptions!$P$61*MAX(0,Assumptions!$D$61-K18452)+Assumptions!$P$62*MAX(0,Assumptions!$D$62-K18465)+Assumptions!$P$63*MAX(0,Assumptions!$D$63-K18478)+Assumptions!$P$64*MAX(0,Assumptions!$D$64-K18491)+Assumptions!$P$65*MAX(0,Assumptions!$D$65-K18504)+Assumptions!$P$66*MAX(0,Assumptions!$D$66-K18517)</f>
        <v>574.5</v>
      </c>
    </row>
    <row r="18594" customFormat="false" ht="15" hidden="false" customHeight="false" outlineLevel="0" collapsed="false">
      <c r="A18594" s="3" t="s">
        <v>423</v>
      </c>
      <c r="G18594" s="22" t="n">
        <f aca="false">IF(G18584&gt;0,G18584/(G18584+MAX(0,G18363*CHOOSE($C$18346,Assumptions!$C$90,Assumptions!$C$109,Assumptions!$C$128)-G18586)),0)</f>
        <v>1</v>
      </c>
      <c r="H18594" s="22" t="n">
        <f aca="false">IF(H18584&gt;0,H18584/(H18584+MAX(0,H18363*CHOOSE($C$18346,Assumptions!$C$90,Assumptions!$C$109,Assumptions!$C$128)-H18586)),0)</f>
        <v>1</v>
      </c>
      <c r="I18594" s="22" t="n">
        <f aca="false">IF(I18584&gt;0,I18584/(I18584+MAX(0,I18363*CHOOSE($C$18346,Assumptions!$C$90,Assumptions!$C$109,Assumptions!$C$128)-I18586)),0)</f>
        <v>1</v>
      </c>
      <c r="J18594" s="22" t="n">
        <f aca="false">IF(J18584&gt;0,J18584/(J18584+MAX(0,J18363*CHOOSE($C$18346,Assumptions!$C$90,Assumptions!$C$109,Assumptions!$C$128)-J18586)),0)</f>
        <v>1</v>
      </c>
      <c r="K18594" s="22" t="n">
        <f aca="false">IF(K18584&gt;0,K18584/(K18584+MAX(0,K18363*CHOOSE($C$18346,Assumptions!$C$90,Assumptions!$C$109,Assumptions!$C$128)-K18586)),0)</f>
        <v>1</v>
      </c>
    </row>
    <row r="18595" customFormat="false" ht="15" hidden="false" customHeight="false" outlineLevel="0" collapsed="false">
      <c r="A18595" s="3" t="s">
        <v>424</v>
      </c>
      <c r="G18595" s="22" t="n">
        <f aca="false">IF(G18584&gt;0,MAX(0,G18577)/G18584,0)</f>
        <v>0.0270223577710194</v>
      </c>
      <c r="H18595" s="22" t="n">
        <f aca="false">IF(H18584&gt;0,MAX(0,H18577)/H18584,0)</f>
        <v>0</v>
      </c>
      <c r="I18595" s="22" t="n">
        <f aca="false">IF(I18584&gt;0,MAX(0,I18577)/I18584,0)</f>
        <v>0</v>
      </c>
      <c r="J18595" s="22" t="n">
        <f aca="false">IF(J18584&gt;0,MAX(0,J18577)/J18584,0)</f>
        <v>0</v>
      </c>
      <c r="K18595" s="22" t="n">
        <f aca="false">IF(K18584&gt;0,MAX(0,K18577)/K18584,0)</f>
        <v>0</v>
      </c>
    </row>
    <row r="18596" customFormat="false" ht="15" hidden="false" customHeight="false" outlineLevel="0" collapsed="false">
      <c r="A18596" s="3" t="s">
        <v>425</v>
      </c>
      <c r="G18596" s="16" t="n">
        <f aca="false">Assumptions!$C$31*(1-CHOOSE($C$18346,Assumptions!$C$93,Assumptions!$C$112,Assumptions!$C$131))</f>
        <v>3162.39046666667</v>
      </c>
      <c r="H18596" s="16" t="n">
        <f aca="false">Assumptions!$C$31*(1-CHOOSE($C$18346,Assumptions!$C$93,Assumptions!$C$112,Assumptions!$C$131))</f>
        <v>3162.39046666667</v>
      </c>
      <c r="I18596" s="16" t="n">
        <f aca="false">Assumptions!$C$31*(1-CHOOSE($C$18346,Assumptions!$C$93,Assumptions!$C$112,Assumptions!$C$131))</f>
        <v>3162.39046666667</v>
      </c>
      <c r="J18596" s="16" t="n">
        <f aca="false">Assumptions!$C$31*(1-CHOOSE($C$18346,Assumptions!$C$93,Assumptions!$C$112,Assumptions!$C$131))</f>
        <v>3162.39046666667</v>
      </c>
      <c r="K18596" s="16" t="n">
        <f aca="false">Assumptions!$C$31*(1-CHOOSE($C$18346,Assumptions!$C$93,Assumptions!$C$112,Assumptions!$C$131))</f>
        <v>3162.39046666667</v>
      </c>
    </row>
    <row r="18597" customFormat="false" ht="15" hidden="false" customHeight="false" outlineLevel="0" collapsed="false">
      <c r="A18597" s="24" t="s">
        <v>426</v>
      </c>
      <c r="B18597" s="25"/>
      <c r="C18597" s="25"/>
      <c r="D18597" s="25"/>
      <c r="E18597" s="25"/>
      <c r="F18597" s="25"/>
      <c r="G18597" s="25"/>
      <c r="H18597" s="25"/>
      <c r="I18597" s="25"/>
      <c r="J18597" s="25"/>
      <c r="K18597" s="25"/>
    </row>
    <row r="18598" customFormat="false" ht="15" hidden="false" customHeight="false" outlineLevel="0" collapsed="false">
      <c r="A18598" s="24" t="s">
        <v>427</v>
      </c>
      <c r="B18598" s="25"/>
      <c r="C18598" s="25"/>
      <c r="D18598" s="25"/>
      <c r="E18598" s="25"/>
      <c r="F18598" s="25"/>
      <c r="G18598" s="25"/>
      <c r="H18598" s="25"/>
      <c r="I18598" s="25"/>
      <c r="J18598" s="25"/>
      <c r="K18598" s="25"/>
    </row>
    <row r="18599" customFormat="false" ht="15" hidden="false" customHeight="false" outlineLevel="0" collapsed="false">
      <c r="A18599" s="3" t="s">
        <v>428</v>
      </c>
      <c r="G18599" s="22" t="n">
        <f aca="false">IF(G18596&gt;0,G18584/G18596,99)</f>
        <v>0.829098755399318</v>
      </c>
      <c r="H18599" s="22" t="n">
        <f aca="false">IF(H18596&gt;0,H18584/H18596,99)</f>
        <v>0.82783388945624</v>
      </c>
      <c r="I18599" s="22" t="n">
        <f aca="false">IF(I18596&gt;0,I18584/I18596,99)</f>
        <v>0.826569023513162</v>
      </c>
      <c r="J18599" s="22" t="n">
        <f aca="false">IF(J18596&gt;0,J18584/J18596,99)</f>
        <v>0.825304157570085</v>
      </c>
      <c r="K18599" s="22" t="n">
        <f aca="false">IF(K18596&gt;0,K18584/K18596,99)</f>
        <v>0.824039291627007</v>
      </c>
    </row>
    <row r="18600" customFormat="false" ht="15" hidden="false" customHeight="false" outlineLevel="0" collapsed="false">
      <c r="A18600" s="3" t="s">
        <v>429</v>
      </c>
      <c r="G18600" s="33" t="n">
        <f aca="false">Assumptions!$G$71</f>
        <v>0.6</v>
      </c>
      <c r="H18600" s="33" t="n">
        <f aca="false">Assumptions!$H$71</f>
        <v>0.6</v>
      </c>
      <c r="I18600" s="33" t="n">
        <f aca="false">Assumptions!$I$71</f>
        <v>0.6</v>
      </c>
      <c r="J18600" s="33" t="n">
        <f aca="false">Assumptions!$J$71</f>
        <v>0.6</v>
      </c>
      <c r="K18600" s="33" t="n">
        <f aca="false">Assumptions!$K$71</f>
        <v>0.6</v>
      </c>
    </row>
    <row r="18601" customFormat="false" ht="15" hidden="false" customHeight="false" outlineLevel="0" collapsed="false">
      <c r="A18601" s="3" t="s">
        <v>430</v>
      </c>
      <c r="G18601" s="22" t="n">
        <f aca="false">G18600-G18599</f>
        <v>-0.229098755399318</v>
      </c>
      <c r="H18601" s="22" t="n">
        <f aca="false">H18600-H18599</f>
        <v>-0.22783388945624</v>
      </c>
      <c r="I18601" s="22" t="n">
        <f aca="false">I18600-I18599</f>
        <v>-0.226569023513162</v>
      </c>
      <c r="J18601" s="22" t="n">
        <f aca="false">J18600-J18599</f>
        <v>-0.225304157570085</v>
      </c>
      <c r="K18601" s="22" t="n">
        <f aca="false">K18600-K18599</f>
        <v>-0.224039291627007</v>
      </c>
    </row>
    <row r="18602" customFormat="false" ht="15" hidden="false" customHeight="false" outlineLevel="0" collapsed="false">
      <c r="A18602" s="3" t="s">
        <v>431</v>
      </c>
      <c r="G18602" s="22" t="n">
        <f aca="false">IF(G18600=0,0,G18601/ABS(G18600))</f>
        <v>-0.381831258998863</v>
      </c>
      <c r="H18602" s="22" t="n">
        <f aca="false">IF(H18600=0,0,H18601/ABS(H18600))</f>
        <v>-0.379723149093733</v>
      </c>
      <c r="I18602" s="22" t="n">
        <f aca="false">IF(I18600=0,0,I18601/ABS(I18600))</f>
        <v>-0.377615039188604</v>
      </c>
      <c r="J18602" s="22" t="n">
        <f aca="false">IF(J18600=0,0,J18601/ABS(J18600))</f>
        <v>-0.375506929283475</v>
      </c>
      <c r="K18602" s="22" t="n">
        <f aca="false">IF(K18600=0,0,K18601/ABS(K18600))</f>
        <v>-0.373398819378345</v>
      </c>
    </row>
    <row r="18603" customFormat="false" ht="15" hidden="false" customHeight="false" outlineLevel="0" collapsed="false">
      <c r="A18603" s="3" t="s">
        <v>432</v>
      </c>
      <c r="G18603" s="21" t="n">
        <f aca="false">IF(G18601&lt;0,1,0)</f>
        <v>1</v>
      </c>
      <c r="H18603" s="21" t="n">
        <f aca="false">IF(H18601&lt;0,1,0)</f>
        <v>1</v>
      </c>
      <c r="I18603" s="21" t="n">
        <f aca="false">IF(I18601&lt;0,1,0)</f>
        <v>1</v>
      </c>
      <c r="J18603" s="21" t="n">
        <f aca="false">IF(J18601&lt;0,1,0)</f>
        <v>1</v>
      </c>
      <c r="K18603" s="21" t="n">
        <f aca="false">IF(K18601&lt;0,1,0)</f>
        <v>1</v>
      </c>
    </row>
    <row r="18604" customFormat="false" ht="15" hidden="false" customHeight="false" outlineLevel="0" collapsed="false">
      <c r="A18604" s="3" t="s">
        <v>433</v>
      </c>
      <c r="C18604" s="21" t="n">
        <f aca="false">IFERROR(INDEX($G$18353:$K$18353,MATCH(1,$G$18603:$K$18603,0)),0)</f>
        <v>2027</v>
      </c>
    </row>
    <row r="18605" customFormat="false" ht="15" hidden="false" customHeight="false" outlineLevel="0" collapsed="false">
      <c r="A18605" s="3" t="s">
        <v>434</v>
      </c>
      <c r="C18605" s="22" t="n">
        <f aca="false">MIN($G$18602:$K$18602)</f>
        <v>-0.381831258998863</v>
      </c>
    </row>
    <row r="18606" customFormat="false" ht="15" hidden="false" customHeight="false" outlineLevel="0" collapsed="false">
      <c r="A18606" s="24" t="s">
        <v>435</v>
      </c>
      <c r="B18606" s="25"/>
      <c r="C18606" s="25"/>
      <c r="D18606" s="25"/>
      <c r="E18606" s="25"/>
      <c r="F18606" s="25"/>
      <c r="G18606" s="25"/>
      <c r="H18606" s="25"/>
      <c r="I18606" s="25"/>
      <c r="J18606" s="25"/>
      <c r="K18606" s="25"/>
    </row>
    <row r="18607" customFormat="false" ht="15" hidden="false" customHeight="false" outlineLevel="0" collapsed="false">
      <c r="A18607" s="3" t="s">
        <v>428</v>
      </c>
      <c r="G18607" s="32" t="n">
        <f aca="false">IF(G18367&gt;0,G18363/G18367,99)</f>
        <v>0.942452519221079</v>
      </c>
      <c r="H18607" s="32" t="n">
        <f aca="false">IF(H18367&gt;0,H18363/H18367,99)</f>
        <v>0.735750088034306</v>
      </c>
      <c r="I18607" s="32" t="n">
        <f aca="false">IF(I18367&gt;0,I18363/I18367,99)</f>
        <v>0.638126097552208</v>
      </c>
      <c r="J18607" s="32" t="n">
        <f aca="false">IF(J18367&gt;0,J18363/J18367,99)</f>
        <v>0.582498154568097</v>
      </c>
      <c r="K18607" s="32" t="n">
        <f aca="false">IF(K18367&gt;0,K18363/K18367,99)</f>
        <v>0.543736894585998</v>
      </c>
    </row>
    <row r="18608" customFormat="false" ht="15" hidden="false" customHeight="false" outlineLevel="0" collapsed="false">
      <c r="A18608" s="3" t="s">
        <v>429</v>
      </c>
      <c r="G18608" s="34" t="n">
        <f aca="false">Assumptions!$G$72</f>
        <v>1.5</v>
      </c>
      <c r="H18608" s="34" t="n">
        <f aca="false">Assumptions!$H$72</f>
        <v>1.5</v>
      </c>
      <c r="I18608" s="34" t="n">
        <f aca="false">Assumptions!$I$72</f>
        <v>1.5</v>
      </c>
      <c r="J18608" s="34" t="n">
        <f aca="false">Assumptions!$J$72</f>
        <v>1.5</v>
      </c>
      <c r="K18608" s="34" t="n">
        <f aca="false">Assumptions!$K$72</f>
        <v>1.5</v>
      </c>
    </row>
    <row r="18609" customFormat="false" ht="15" hidden="false" customHeight="false" outlineLevel="0" collapsed="false">
      <c r="A18609" s="3" t="s">
        <v>430</v>
      </c>
      <c r="G18609" s="32" t="n">
        <f aca="false">G18607-G18608</f>
        <v>-0.557547480778921</v>
      </c>
      <c r="H18609" s="32" t="n">
        <f aca="false">H18607-H18608</f>
        <v>-0.764249911965694</v>
      </c>
      <c r="I18609" s="32" t="n">
        <f aca="false">I18607-I18608</f>
        <v>-0.861873902447792</v>
      </c>
      <c r="J18609" s="32" t="n">
        <f aca="false">J18607-J18608</f>
        <v>-0.917501845431903</v>
      </c>
      <c r="K18609" s="32" t="n">
        <f aca="false">K18607-K18608</f>
        <v>-0.956263105414002</v>
      </c>
    </row>
    <row r="18610" customFormat="false" ht="15" hidden="false" customHeight="false" outlineLevel="0" collapsed="false">
      <c r="A18610" s="3" t="s">
        <v>431</v>
      </c>
      <c r="G18610" s="22" t="n">
        <f aca="false">IF(G18608=0,0,G18609/ABS(G18608))</f>
        <v>-0.371698320519281</v>
      </c>
      <c r="H18610" s="22" t="n">
        <f aca="false">IF(H18608=0,0,H18609/ABS(H18608))</f>
        <v>-0.509499941310463</v>
      </c>
      <c r="I18610" s="22" t="n">
        <f aca="false">IF(I18608=0,0,I18609/ABS(I18608))</f>
        <v>-0.574582601631862</v>
      </c>
      <c r="J18610" s="22" t="n">
        <f aca="false">IF(J18608=0,0,J18609/ABS(J18608))</f>
        <v>-0.611667896954602</v>
      </c>
      <c r="K18610" s="22" t="n">
        <f aca="false">IF(K18608=0,0,K18609/ABS(K18608))</f>
        <v>-0.637508736942668</v>
      </c>
    </row>
    <row r="18611" customFormat="false" ht="15" hidden="false" customHeight="false" outlineLevel="0" collapsed="false">
      <c r="A18611" s="3" t="s">
        <v>432</v>
      </c>
      <c r="G18611" s="21" t="n">
        <f aca="false">IF(G18609&lt;0,1,0)</f>
        <v>1</v>
      </c>
      <c r="H18611" s="21" t="n">
        <f aca="false">IF(H18609&lt;0,1,0)</f>
        <v>1</v>
      </c>
      <c r="I18611" s="21" t="n">
        <f aca="false">IF(I18609&lt;0,1,0)</f>
        <v>1</v>
      </c>
      <c r="J18611" s="21" t="n">
        <f aca="false">IF(J18609&lt;0,1,0)</f>
        <v>1</v>
      </c>
      <c r="K18611" s="21" t="n">
        <f aca="false">IF(K18609&lt;0,1,0)</f>
        <v>1</v>
      </c>
    </row>
    <row r="18612" customFormat="false" ht="15" hidden="false" customHeight="false" outlineLevel="0" collapsed="false">
      <c r="A18612" s="3" t="s">
        <v>433</v>
      </c>
      <c r="C18612" s="21" t="n">
        <f aca="false">IFERROR(INDEX($G$18353:$K$18353,MATCH(1,$G$18611:$K$18611,0)),0)</f>
        <v>2027</v>
      </c>
    </row>
    <row r="18613" customFormat="false" ht="15" hidden="false" customHeight="false" outlineLevel="0" collapsed="false">
      <c r="A18613" s="3" t="s">
        <v>434</v>
      </c>
      <c r="C18613" s="22" t="n">
        <f aca="false">MIN($G$18610:$K$18610)</f>
        <v>-0.637508736942668</v>
      </c>
    </row>
    <row r="18614" customFormat="false" ht="15" hidden="false" customHeight="false" outlineLevel="0" collapsed="false">
      <c r="A18614" s="24" t="s">
        <v>436</v>
      </c>
      <c r="B18614" s="25"/>
      <c r="C18614" s="25"/>
      <c r="D18614" s="25"/>
      <c r="E18614" s="25"/>
      <c r="F18614" s="25"/>
      <c r="G18614" s="25"/>
      <c r="H18614" s="25"/>
      <c r="I18614" s="25"/>
      <c r="J18614" s="25"/>
      <c r="K18614" s="25"/>
    </row>
    <row r="18615" customFormat="false" ht="15" hidden="false" customHeight="false" outlineLevel="0" collapsed="false">
      <c r="A18615" s="3" t="s">
        <v>428</v>
      </c>
      <c r="G18615" s="22" t="n">
        <f aca="false">IF(G18596&gt;0,G18585/G18596,99)</f>
        <v>0.171808005914176</v>
      </c>
      <c r="H18615" s="22" t="n">
        <f aca="false">IF(H18596&gt;0,H18585/H18596,99)</f>
        <v>0.170543139971098</v>
      </c>
      <c r="I18615" s="22" t="n">
        <f aca="false">IF(I18596&gt;0,I18585/I18596,99)</f>
        <v>0.169278274028021</v>
      </c>
      <c r="J18615" s="22" t="n">
        <f aca="false">IF(J18596&gt;0,J18585/J18596,99)</f>
        <v>0.168013408084943</v>
      </c>
      <c r="K18615" s="22" t="n">
        <f aca="false">IF(K18596&gt;0,K18585/K18596,99)</f>
        <v>0.166748542141865</v>
      </c>
    </row>
    <row r="18616" customFormat="false" ht="15" hidden="false" customHeight="false" outlineLevel="0" collapsed="false">
      <c r="A18616" s="3" t="s">
        <v>429</v>
      </c>
      <c r="G18616" s="33" t="n">
        <f aca="false">Assumptions!$G$73</f>
        <v>0.4</v>
      </c>
      <c r="H18616" s="33" t="n">
        <f aca="false">Assumptions!$H$73</f>
        <v>0.4</v>
      </c>
      <c r="I18616" s="33" t="n">
        <f aca="false">Assumptions!$I$73</f>
        <v>0.4</v>
      </c>
      <c r="J18616" s="33" t="n">
        <f aca="false">Assumptions!$J$73</f>
        <v>0.4</v>
      </c>
      <c r="K18616" s="33" t="n">
        <f aca="false">Assumptions!$K$73</f>
        <v>0.4</v>
      </c>
    </row>
    <row r="18617" customFormat="false" ht="15" hidden="false" customHeight="false" outlineLevel="0" collapsed="false">
      <c r="A18617" s="3" t="s">
        <v>430</v>
      </c>
      <c r="G18617" s="22" t="n">
        <f aca="false">G18616-G18615</f>
        <v>0.228191994085824</v>
      </c>
      <c r="H18617" s="22" t="n">
        <f aca="false">H18616-H18615</f>
        <v>0.229456860028902</v>
      </c>
      <c r="I18617" s="22" t="n">
        <f aca="false">I18616-I18615</f>
        <v>0.230721725971979</v>
      </c>
      <c r="J18617" s="22" t="n">
        <f aca="false">J18616-J18615</f>
        <v>0.231986591915057</v>
      </c>
      <c r="K18617" s="22" t="n">
        <f aca="false">K18616-K18615</f>
        <v>0.233251457858135</v>
      </c>
    </row>
    <row r="18618" customFormat="false" ht="15" hidden="false" customHeight="false" outlineLevel="0" collapsed="false">
      <c r="A18618" s="3" t="s">
        <v>431</v>
      </c>
      <c r="G18618" s="22" t="n">
        <f aca="false">IF(G18616=0,0,G18617/ABS(G18616))</f>
        <v>0.57047998521456</v>
      </c>
      <c r="H18618" s="22" t="n">
        <f aca="false">IF(H18616=0,0,H18617/ABS(H18616))</f>
        <v>0.573642150072254</v>
      </c>
      <c r="I18618" s="22" t="n">
        <f aca="false">IF(I18616=0,0,I18617/ABS(I18616))</f>
        <v>0.576804314929948</v>
      </c>
      <c r="J18618" s="22" t="n">
        <f aca="false">IF(J18616=0,0,J18617/ABS(J18616))</f>
        <v>0.579966479787643</v>
      </c>
      <c r="K18618" s="22" t="n">
        <f aca="false">IF(K18616=0,0,K18617/ABS(K18616))</f>
        <v>0.583128644645337</v>
      </c>
    </row>
    <row r="18619" customFormat="false" ht="15" hidden="false" customHeight="false" outlineLevel="0" collapsed="false">
      <c r="A18619" s="3" t="s">
        <v>432</v>
      </c>
      <c r="G18619" s="21" t="n">
        <f aca="false">IF(G18617&lt;0,1,0)</f>
        <v>0</v>
      </c>
      <c r="H18619" s="21" t="n">
        <f aca="false">IF(H18617&lt;0,1,0)</f>
        <v>0</v>
      </c>
      <c r="I18619" s="21" t="n">
        <f aca="false">IF(I18617&lt;0,1,0)</f>
        <v>0</v>
      </c>
      <c r="J18619" s="21" t="n">
        <f aca="false">IF(J18617&lt;0,1,0)</f>
        <v>0</v>
      </c>
      <c r="K18619" s="21" t="n">
        <f aca="false">IF(K18617&lt;0,1,0)</f>
        <v>0</v>
      </c>
    </row>
    <row r="18620" customFormat="false" ht="15" hidden="false" customHeight="false" outlineLevel="0" collapsed="false">
      <c r="A18620" s="3" t="s">
        <v>433</v>
      </c>
      <c r="C18620" s="21" t="n">
        <f aca="false">IFERROR(INDEX($G$18353:$K$18353,MATCH(1,$G$18619:$K$18619,0)),0)</f>
        <v>0</v>
      </c>
    </row>
    <row r="18621" customFormat="false" ht="15" hidden="false" customHeight="false" outlineLevel="0" collapsed="false">
      <c r="A18621" s="3" t="s">
        <v>434</v>
      </c>
      <c r="C18621" s="22" t="n">
        <f aca="false">MIN($G$18618:$K$18618)</f>
        <v>0.57047998521456</v>
      </c>
    </row>
    <row r="18622" customFormat="false" ht="15" hidden="false" customHeight="false" outlineLevel="0" collapsed="false">
      <c r="A18622" s="24" t="s">
        <v>437</v>
      </c>
      <c r="B18622" s="25"/>
      <c r="C18622" s="25"/>
      <c r="D18622" s="25"/>
      <c r="E18622" s="25"/>
      <c r="F18622" s="25"/>
      <c r="G18622" s="25"/>
      <c r="H18622" s="25"/>
      <c r="I18622" s="25"/>
      <c r="J18622" s="25"/>
      <c r="K18622" s="25"/>
    </row>
    <row r="18623" customFormat="false" ht="15" hidden="false" customHeight="false" outlineLevel="0" collapsed="false">
      <c r="A18623" s="3" t="s">
        <v>428</v>
      </c>
      <c r="G18623" s="16" t="n">
        <f aca="false">G18593</f>
        <v>645.3508386</v>
      </c>
      <c r="H18623" s="16" t="n">
        <f aca="false">H18593</f>
        <v>574.5</v>
      </c>
      <c r="I18623" s="16" t="n">
        <f aca="false">I18593</f>
        <v>574.5</v>
      </c>
      <c r="J18623" s="16" t="n">
        <f aca="false">J18593</f>
        <v>574.5</v>
      </c>
      <c r="K18623" s="16" t="n">
        <f aca="false">K18593</f>
        <v>574.5</v>
      </c>
    </row>
    <row r="18624" customFormat="false" ht="15" hidden="false" customHeight="false" outlineLevel="0" collapsed="false">
      <c r="A18624" s="3" t="s">
        <v>429</v>
      </c>
      <c r="G18624" s="29" t="n">
        <f aca="false">Assumptions!$G$74</f>
        <v>100</v>
      </c>
      <c r="H18624" s="29" t="n">
        <f aca="false">Assumptions!$H$74</f>
        <v>100</v>
      </c>
      <c r="I18624" s="29" t="n">
        <f aca="false">Assumptions!$I$74</f>
        <v>100</v>
      </c>
      <c r="J18624" s="29" t="n">
        <f aca="false">Assumptions!$J$74</f>
        <v>100</v>
      </c>
      <c r="K18624" s="29" t="n">
        <f aca="false">Assumptions!$K$74</f>
        <v>100</v>
      </c>
    </row>
    <row r="18625" customFormat="false" ht="15" hidden="false" customHeight="false" outlineLevel="0" collapsed="false">
      <c r="A18625" s="3" t="s">
        <v>430</v>
      </c>
      <c r="G18625" s="16" t="n">
        <f aca="false">G18623-G18624</f>
        <v>545.3508386</v>
      </c>
      <c r="H18625" s="16" t="n">
        <f aca="false">H18623-H18624</f>
        <v>474.5</v>
      </c>
      <c r="I18625" s="16" t="n">
        <f aca="false">I18623-I18624</f>
        <v>474.5</v>
      </c>
      <c r="J18625" s="16" t="n">
        <f aca="false">J18623-J18624</f>
        <v>474.5</v>
      </c>
      <c r="K18625" s="16" t="n">
        <f aca="false">K18623-K18624</f>
        <v>474.5</v>
      </c>
    </row>
    <row r="18626" customFormat="false" ht="15" hidden="false" customHeight="false" outlineLevel="0" collapsed="false">
      <c r="A18626" s="3" t="s">
        <v>431</v>
      </c>
      <c r="G18626" s="22" t="n">
        <f aca="false">IF(G18624=0,0,G18625/ABS(G18624))</f>
        <v>5.453508386</v>
      </c>
      <c r="H18626" s="22" t="n">
        <f aca="false">IF(H18624=0,0,H18625/ABS(H18624))</f>
        <v>4.745</v>
      </c>
      <c r="I18626" s="22" t="n">
        <f aca="false">IF(I18624=0,0,I18625/ABS(I18624))</f>
        <v>4.745</v>
      </c>
      <c r="J18626" s="22" t="n">
        <f aca="false">IF(J18624=0,0,J18625/ABS(J18624))</f>
        <v>4.745</v>
      </c>
      <c r="K18626" s="22" t="n">
        <f aca="false">IF(K18624=0,0,K18625/ABS(K18624))</f>
        <v>4.745</v>
      </c>
    </row>
    <row r="18627" customFormat="false" ht="15" hidden="false" customHeight="false" outlineLevel="0" collapsed="false">
      <c r="A18627" s="3" t="s">
        <v>432</v>
      </c>
      <c r="G18627" s="21" t="n">
        <f aca="false">IF(G18625&lt;0,1,0)</f>
        <v>0</v>
      </c>
      <c r="H18627" s="21" t="n">
        <f aca="false">IF(H18625&lt;0,1,0)</f>
        <v>0</v>
      </c>
      <c r="I18627" s="21" t="n">
        <f aca="false">IF(I18625&lt;0,1,0)</f>
        <v>0</v>
      </c>
      <c r="J18627" s="21" t="n">
        <f aca="false">IF(J18625&lt;0,1,0)</f>
        <v>0</v>
      </c>
      <c r="K18627" s="21" t="n">
        <f aca="false">IF(K18625&lt;0,1,0)</f>
        <v>0</v>
      </c>
    </row>
    <row r="18628" customFormat="false" ht="15" hidden="false" customHeight="false" outlineLevel="0" collapsed="false">
      <c r="A18628" s="3" t="s">
        <v>433</v>
      </c>
      <c r="C18628" s="21" t="n">
        <f aca="false">IFERROR(INDEX($G$18353:$K$18353,MATCH(1,$G$18627:$K$18627,0)),0)</f>
        <v>0</v>
      </c>
    </row>
    <row r="18629" customFormat="false" ht="15" hidden="false" customHeight="false" outlineLevel="0" collapsed="false">
      <c r="A18629" s="3" t="s">
        <v>434</v>
      </c>
      <c r="C18629" s="22" t="n">
        <f aca="false">MIN($G$18626:$K$18626)</f>
        <v>4.745</v>
      </c>
    </row>
    <row r="18630" customFormat="false" ht="15" hidden="false" customHeight="false" outlineLevel="0" collapsed="false">
      <c r="A18630" s="24" t="s">
        <v>438</v>
      </c>
      <c r="B18630" s="25"/>
      <c r="C18630" s="25"/>
      <c r="D18630" s="25"/>
      <c r="E18630" s="25"/>
      <c r="F18630" s="25"/>
      <c r="G18630" s="25"/>
      <c r="H18630" s="25"/>
      <c r="I18630" s="25"/>
      <c r="J18630" s="25"/>
      <c r="K18630" s="25"/>
    </row>
    <row r="18631" customFormat="false" ht="15" hidden="false" customHeight="false" outlineLevel="0" collapsed="false">
      <c r="A18631" s="3" t="s">
        <v>428</v>
      </c>
      <c r="G18631" s="32" t="n">
        <f aca="false">IF(G18363&gt;0,G18586/G18363,99)</f>
        <v>13.9121340731752</v>
      </c>
      <c r="H18631" s="32" t="n">
        <f aca="false">IF(H18363&gt;0,H18586/H18363,99)</f>
        <v>18.5925045222896</v>
      </c>
      <c r="I18631" s="32" t="n">
        <f aca="false">IF(I18363&gt;0,I18586/I18363,99)</f>
        <v>22.4950855374305</v>
      </c>
      <c r="J18631" s="32" t="n">
        <f aca="false">IF(J18363&gt;0,J18586/J18363,99)</f>
        <v>25.7229745236397</v>
      </c>
      <c r="K18631" s="32" t="n">
        <f aca="false">IF(K18363&gt;0,K18586/K18363,99)</f>
        <v>28.7591523715191</v>
      </c>
    </row>
    <row r="18632" customFormat="false" ht="15" hidden="false" customHeight="false" outlineLevel="0" collapsed="false">
      <c r="A18632" s="3" t="s">
        <v>429</v>
      </c>
      <c r="G18632" s="34" t="n">
        <f aca="false">Assumptions!$G$75</f>
        <v>10.5</v>
      </c>
      <c r="H18632" s="34" t="n">
        <f aca="false">Assumptions!$H$75</f>
        <v>10.5</v>
      </c>
      <c r="I18632" s="34" t="n">
        <f aca="false">Assumptions!$I$75</f>
        <v>10</v>
      </c>
      <c r="J18632" s="34" t="n">
        <f aca="false">Assumptions!$J$75</f>
        <v>10</v>
      </c>
      <c r="K18632" s="34" t="n">
        <f aca="false">Assumptions!$K$75</f>
        <v>9.5</v>
      </c>
    </row>
    <row r="18633" customFormat="false" ht="15" hidden="false" customHeight="false" outlineLevel="0" collapsed="false">
      <c r="A18633" s="3" t="s">
        <v>430</v>
      </c>
      <c r="G18633" s="32" t="n">
        <f aca="false">G18632-G18631</f>
        <v>-3.41213407317516</v>
      </c>
      <c r="H18633" s="32" t="n">
        <f aca="false">H18632-H18631</f>
        <v>-8.09250452228963</v>
      </c>
      <c r="I18633" s="32" t="n">
        <f aca="false">I18632-I18631</f>
        <v>-12.4950855374305</v>
      </c>
      <c r="J18633" s="32" t="n">
        <f aca="false">J18632-J18631</f>
        <v>-15.7229745236397</v>
      </c>
      <c r="K18633" s="32" t="n">
        <f aca="false">K18632-K18631</f>
        <v>-19.2591523715191</v>
      </c>
    </row>
    <row r="18634" customFormat="false" ht="15" hidden="false" customHeight="false" outlineLevel="0" collapsed="false">
      <c r="A18634" s="3" t="s">
        <v>431</v>
      </c>
      <c r="G18634" s="22" t="n">
        <f aca="false">IF(G18632=0,0,G18633/ABS(G18632))</f>
        <v>-0.324965149826205</v>
      </c>
      <c r="H18634" s="22" t="n">
        <f aca="false">IF(H18632=0,0,H18633/ABS(H18632))</f>
        <v>-0.770714716408537</v>
      </c>
      <c r="I18634" s="22" t="n">
        <f aca="false">IF(I18632=0,0,I18633/ABS(I18632))</f>
        <v>-1.24950855374305</v>
      </c>
      <c r="J18634" s="22" t="n">
        <f aca="false">IF(J18632=0,0,J18633/ABS(J18632))</f>
        <v>-1.57229745236397</v>
      </c>
      <c r="K18634" s="22" t="n">
        <f aca="false">IF(K18632=0,0,K18633/ABS(K18632))</f>
        <v>-2.02727919700201</v>
      </c>
    </row>
    <row r="18635" customFormat="false" ht="15" hidden="false" customHeight="false" outlineLevel="0" collapsed="false">
      <c r="A18635" s="3" t="s">
        <v>432</v>
      </c>
      <c r="G18635" s="21" t="n">
        <f aca="false">IF(G18633&lt;0,1,0)</f>
        <v>1</v>
      </c>
      <c r="H18635" s="21" t="n">
        <f aca="false">IF(H18633&lt;0,1,0)</f>
        <v>1</v>
      </c>
      <c r="I18635" s="21" t="n">
        <f aca="false">IF(I18633&lt;0,1,0)</f>
        <v>1</v>
      </c>
      <c r="J18635" s="21" t="n">
        <f aca="false">IF(J18633&lt;0,1,0)</f>
        <v>1</v>
      </c>
      <c r="K18635" s="21" t="n">
        <f aca="false">IF(K18633&lt;0,1,0)</f>
        <v>1</v>
      </c>
    </row>
    <row r="18636" customFormat="false" ht="15" hidden="false" customHeight="false" outlineLevel="0" collapsed="false">
      <c r="A18636" s="3" t="s">
        <v>433</v>
      </c>
      <c r="C18636" s="21" t="n">
        <f aca="false">IFERROR(INDEX($G$18353:$K$18353,MATCH(1,$G$18635:$K$18635,0)),0)</f>
        <v>2027</v>
      </c>
    </row>
    <row r="18637" customFormat="false" ht="15" hidden="false" customHeight="false" outlineLevel="0" collapsed="false">
      <c r="A18637" s="3" t="s">
        <v>434</v>
      </c>
      <c r="C18637" s="22" t="n">
        <f aca="false">MIN($G$18634:$K$18634)</f>
        <v>-2.02727919700201</v>
      </c>
    </row>
    <row r="18638" customFormat="false" ht="15" hidden="false" customHeight="false" outlineLevel="0" collapsed="false">
      <c r="A18638" s="3" t="s">
        <v>439</v>
      </c>
      <c r="G18638" s="21" t="n">
        <f aca="false">G18603+G18611+G18619+G18627+G18635</f>
        <v>3</v>
      </c>
      <c r="H18638" s="21" t="n">
        <f aca="false">H18603+H18611+H18619+H18627+H18635</f>
        <v>3</v>
      </c>
      <c r="I18638" s="21" t="n">
        <f aca="false">I18603+I18611+I18619+I18627+I18635</f>
        <v>3</v>
      </c>
      <c r="J18638" s="21" t="n">
        <f aca="false">J18603+J18611+J18619+J18627+J18635</f>
        <v>3</v>
      </c>
      <c r="K18638" s="21" t="n">
        <f aca="false">K18603+K18611+K18619+K18627+K18635</f>
        <v>3</v>
      </c>
    </row>
    <row r="18639" customFormat="false" ht="15" hidden="false" customHeight="false" outlineLevel="0" collapsed="false">
      <c r="A18639" s="3" t="s">
        <v>440</v>
      </c>
      <c r="C18639" s="21" t="n">
        <f aca="false">SUM($G$18638:$K$18638)</f>
        <v>15</v>
      </c>
    </row>
    <row r="18640" customFormat="false" ht="15" hidden="false" customHeight="false" outlineLevel="0" collapsed="false">
      <c r="A18640" s="3" t="s">
        <v>441</v>
      </c>
      <c r="C18640" s="22" t="n">
        <f aca="false">MIN(C18605,C18613,C18621,C18629,C18637)</f>
        <v>-2.02727919700201</v>
      </c>
    </row>
    <row r="18642" customFormat="false" ht="15" hidden="false" customHeight="false" outlineLevel="0" collapsed="false">
      <c r="A18642" s="24" t="s">
        <v>543</v>
      </c>
      <c r="B18642" s="25"/>
      <c r="C18642" s="25"/>
      <c r="D18642" s="25"/>
      <c r="E18642" s="25"/>
      <c r="F18642" s="25"/>
      <c r="G18642" s="25"/>
      <c r="H18642" s="25"/>
      <c r="I18642" s="25"/>
      <c r="J18642" s="25"/>
      <c r="K18642" s="25"/>
    </row>
    <row r="18643" customFormat="false" ht="15" hidden="false" customHeight="false" outlineLevel="0" collapsed="false">
      <c r="A18643" s="3" t="s">
        <v>544</v>
      </c>
      <c r="G18643" s="21" t="n">
        <f aca="false">IF($C$18644=1,G18580,IF(G18363=MIN($G$18363:$K$18363),1,0))</f>
        <v>0</v>
      </c>
      <c r="H18643" s="21" t="n">
        <f aca="false">IF($C$18644=1,H18580,IF(AND(H18363=MIN($G$18363:$K$18363),SUM($G$18643:G18643)=0),1,0))</f>
        <v>1</v>
      </c>
      <c r="I18643" s="21" t="n">
        <f aca="false">IF($C$18644=1,I18580,IF(AND(I18363=MIN($G$18363:$K$18363),SUM($G$18643:H18643)=0),1,0))</f>
        <v>0</v>
      </c>
      <c r="J18643" s="21" t="n">
        <f aca="false">IF($C$18644=1,J18580,IF(AND(J18363=MIN($G$18363:$K$18363),SUM($G$18643:I18643)=0),1,0))</f>
        <v>0</v>
      </c>
      <c r="K18643" s="21" t="n">
        <f aca="false">IF($C$18644=1,K18580,IF(AND(K18363=MIN($G$18363:$K$18363),SUM($G$18643:J18643)=0),1,0))</f>
        <v>0</v>
      </c>
    </row>
    <row r="18644" customFormat="false" ht="15" hidden="false" customHeight="false" outlineLevel="0" collapsed="false">
      <c r="A18644" s="3" t="s">
        <v>545</v>
      </c>
      <c r="C18644" s="21" t="n">
        <f aca="false">IF(SUM($G$18580:$K$18580)&gt;0,1,0)</f>
        <v>1</v>
      </c>
    </row>
    <row r="18645" customFormat="false" ht="15" hidden="false" customHeight="false" outlineLevel="0" collapsed="false">
      <c r="A18645" s="3" t="s">
        <v>546</v>
      </c>
      <c r="C18645" s="21" t="n">
        <f aca="false">SUMPRODUCT($G$18643:$K$18643,$G$18353:$K$18353)</f>
        <v>2028</v>
      </c>
    </row>
    <row r="18646" customFormat="false" ht="15" hidden="false" customHeight="false" outlineLevel="0" collapsed="false">
      <c r="A18646" s="3" t="s">
        <v>547</v>
      </c>
      <c r="C18646" s="16" t="n">
        <f aca="false">SUMPRODUCT($G$18643:$K$18643,$G$18363:$K$18363)</f>
        <v>142.27204632</v>
      </c>
    </row>
    <row r="18647" customFormat="false" ht="15" hidden="false" customHeight="false" outlineLevel="0" collapsed="false">
      <c r="A18647" s="3" t="s">
        <v>548</v>
      </c>
      <c r="C18647" s="16" t="n">
        <f aca="false">MAX(0,SUMPRODUCT($G$18643:$K$18643,$G$18577:$K$18577))</f>
        <v>0</v>
      </c>
    </row>
    <row r="18648" customFormat="false" ht="15" hidden="false" customHeight="false" outlineLevel="0" collapsed="false">
      <c r="A18648" s="3" t="s">
        <v>549</v>
      </c>
      <c r="C18648" s="16" t="n">
        <f aca="false">(CHOOSE($C$18346,Assumptions!$C$92,Assumptions!$C$111,Assumptions!$C$130)+$C$18350)*C18646</f>
        <v>1138.17637056</v>
      </c>
    </row>
    <row r="18649" customFormat="false" ht="15" hidden="false" customHeight="false" outlineLevel="0" collapsed="false">
      <c r="A18649" s="3" t="s">
        <v>550</v>
      </c>
      <c r="C18649" s="16" t="n">
        <f aca="false">Assumptions!$C$31*(1-CHOOSE($C$18346,Assumptions!$C$93,Assumptions!$C$112,Assumptions!$C$131))*CHOOSE($C$18346,Assumptions!$C$94,Assumptions!$C$113,Assumptions!$C$132)</f>
        <v>2688.03189666667</v>
      </c>
    </row>
    <row r="18650" customFormat="false" ht="15" hidden="false" customHeight="false" outlineLevel="0" collapsed="false">
      <c r="A18650" s="3" t="s">
        <v>551</v>
      </c>
      <c r="C18650" s="16" t="n">
        <f aca="false">MAX(C18648,C18649)+C18647</f>
        <v>2688.03189666667</v>
      </c>
    </row>
    <row r="18651" customFormat="false" ht="15" hidden="false" customHeight="false" outlineLevel="0" collapsed="false">
      <c r="A18651" s="2" t="s">
        <v>552</v>
      </c>
      <c r="C18651" s="17" t="n">
        <f aca="false">IF(ISNUMBER(Assumptions!$C$14),Assumptions!$C$14,C18650)</f>
        <v>2688.03189666667</v>
      </c>
    </row>
    <row r="18652" customFormat="false" ht="15" hidden="false" customHeight="false" outlineLevel="0" collapsed="false">
      <c r="A18652" s="3" t="s">
        <v>553</v>
      </c>
      <c r="C18652" s="16" t="n">
        <f aca="false">C18651*Assumptions!$C$15</f>
        <v>107.521275866667</v>
      </c>
    </row>
    <row r="18653" customFormat="false" ht="15" hidden="false" customHeight="false" outlineLevel="0" collapsed="false">
      <c r="A18653" s="2" t="s">
        <v>554</v>
      </c>
      <c r="C18653" s="17" t="n">
        <f aca="false">C18651-C18652</f>
        <v>2580.5106208</v>
      </c>
    </row>
    <row r="18654" customFormat="false" ht="15" hidden="false" customHeight="false" outlineLevel="0" collapsed="false">
      <c r="A18654" s="24" t="s">
        <v>555</v>
      </c>
      <c r="B18654" s="25"/>
      <c r="C18654" s="25"/>
      <c r="D18654" s="25"/>
      <c r="E18654" s="25"/>
      <c r="F18654" s="25"/>
      <c r="G18654" s="25"/>
      <c r="H18654" s="25"/>
      <c r="I18654" s="25"/>
      <c r="J18654" s="25"/>
      <c r="K18654" s="25"/>
    </row>
    <row r="18655" customFormat="false" ht="15" hidden="false" customHeight="false" outlineLevel="0" collapsed="false">
      <c r="A18655" s="3" t="s">
        <v>556</v>
      </c>
      <c r="C18655" s="16" t="n">
        <f aca="false">SUMPRODUCT($G$18643:$K$18643,$G$18400:$K$18400)*(1+SUMPRODUCT($G$18643:$K$18643,$G$18392:$K$18392)*Assumptions!$C$16/12)</f>
        <v>403.76</v>
      </c>
    </row>
    <row r="18656" customFormat="false" ht="15" hidden="false" customHeight="false" outlineLevel="0" collapsed="false">
      <c r="A18656" s="3" t="s">
        <v>557</v>
      </c>
      <c r="C18656" s="16" t="n">
        <f aca="false">SUMPRODUCT($G$18643:$K$18643,$G$18413:$K$18413)*(1+SUMPRODUCT($G$18643:$K$18643,$G$18405:$K$18405)*Assumptions!$C$16/12)</f>
        <v>91.30725</v>
      </c>
    </row>
    <row r="18657" customFormat="false" ht="15" hidden="false" customHeight="false" outlineLevel="0" collapsed="false">
      <c r="A18657" s="3" t="s">
        <v>558</v>
      </c>
      <c r="C18657" s="16" t="n">
        <f aca="false">SUMPRODUCT($G$18643:$K$18643,$G$18426:$K$18426)*(1+SUMPRODUCT($G$18643:$K$18643,$G$18418:$K$18418)*Assumptions!$C$16/12)</f>
        <v>58.3715961</v>
      </c>
    </row>
    <row r="18658" customFormat="false" ht="15" hidden="false" customHeight="false" outlineLevel="0" collapsed="false">
      <c r="A18658" s="3" t="s">
        <v>559</v>
      </c>
      <c r="C18658" s="16" t="n">
        <f aca="false">SUMPRODUCT($G$18643:$K$18643,$G$18439:$K$18439)*(1+SUMPRODUCT($G$18643:$K$18643,$G$18431:$K$18431)*Assumptions!$C$16/12)</f>
        <v>0</v>
      </c>
    </row>
    <row r="18659" customFormat="false" ht="15" hidden="false" customHeight="false" outlineLevel="0" collapsed="false">
      <c r="A18659" s="3" t="s">
        <v>560</v>
      </c>
      <c r="C18659" s="16" t="n">
        <f aca="false">SUMPRODUCT($G$18643:$K$18643,$G$18452:$K$18452)*(1+SUMPRODUCT($G$18643:$K$18643,$G$18444:$K$18444)*Assumptions!$C$16/12)</f>
        <v>454.44375</v>
      </c>
    </row>
    <row r="18660" customFormat="false" ht="15" hidden="false" customHeight="false" outlineLevel="0" collapsed="false">
      <c r="A18660" s="3" t="s">
        <v>561</v>
      </c>
      <c r="C18660" s="16" t="n">
        <f aca="false">SUMPRODUCT($G$18643:$K$18643,$G$18465:$K$18465)*(1+SUMPRODUCT($G$18643:$K$18643,$G$18457:$K$18457)*Assumptions!$C$16/12)</f>
        <v>357.2625</v>
      </c>
    </row>
    <row r="18661" customFormat="false" ht="15" hidden="false" customHeight="false" outlineLevel="0" collapsed="false">
      <c r="A18661" s="3" t="s">
        <v>562</v>
      </c>
      <c r="C18661" s="16" t="n">
        <f aca="false">SUMPRODUCT($G$18643:$K$18643,$G$18478:$K$18478)*(1+SUMPRODUCT($G$18643:$K$18643,$G$18470:$K$18470)*Assumptions!$C$16/12)</f>
        <v>562.203125</v>
      </c>
    </row>
    <row r="18662" customFormat="false" ht="15" hidden="false" customHeight="false" outlineLevel="0" collapsed="false">
      <c r="A18662" s="3" t="s">
        <v>563</v>
      </c>
      <c r="C18662" s="16" t="n">
        <f aca="false">SUMPRODUCT($G$18643:$K$18643,$G$18491:$K$18491)*(1+SUMPRODUCT($G$18643:$K$18643,$G$18483:$K$18483)*Assumptions!$C$16/12)</f>
        <v>353.98125</v>
      </c>
    </row>
    <row r="18663" customFormat="false" ht="15" hidden="false" customHeight="false" outlineLevel="0" collapsed="false">
      <c r="A18663" s="3" t="s">
        <v>564</v>
      </c>
      <c r="C18663" s="16" t="n">
        <f aca="false">SUMPRODUCT($G$18643:$K$18643,$G$18504:$K$18504)*(1+SUMPRODUCT($G$18643:$K$18643,$G$18496:$K$18496)*Assumptions!$C$16/12)</f>
        <v>304.59375</v>
      </c>
    </row>
    <row r="18664" customFormat="false" ht="15" hidden="false" customHeight="false" outlineLevel="0" collapsed="false">
      <c r="A18664" s="3" t="s">
        <v>565</v>
      </c>
      <c r="C18664" s="16" t="n">
        <f aca="false">SUMPRODUCT($G$18643:$K$18643,$G$18517:$K$18517)*(1+SUMPRODUCT($G$18643:$K$18643,$G$18509:$K$18509)*Assumptions!$C$16/12)</f>
        <v>80.2332965</v>
      </c>
    </row>
    <row r="18665" customFormat="false" ht="15" hidden="false" customHeight="false" outlineLevel="0" collapsed="false">
      <c r="A18665" s="24" t="s">
        <v>566</v>
      </c>
      <c r="B18665" s="25"/>
      <c r="C18665" s="25"/>
      <c r="D18665" s="25"/>
      <c r="E18665" s="25"/>
      <c r="F18665" s="25"/>
      <c r="G18665" s="25"/>
      <c r="H18665" s="25"/>
      <c r="I18665" s="25"/>
      <c r="J18665" s="25"/>
      <c r="K18665" s="25"/>
    </row>
    <row r="18666" customFormat="false" ht="15" hidden="false" customHeight="false" outlineLevel="0" collapsed="false">
      <c r="A18666" s="3" t="s">
        <v>556</v>
      </c>
      <c r="C18666" s="27" t="n">
        <f aca="false">Assumptions!$M$57</f>
        <v>1</v>
      </c>
    </row>
    <row r="18667" customFormat="false" ht="15" hidden="false" customHeight="false" outlineLevel="0" collapsed="false">
      <c r="A18667" s="3" t="s">
        <v>557</v>
      </c>
      <c r="C18667" s="27" t="n">
        <f aca="false">Assumptions!$M$58</f>
        <v>1</v>
      </c>
    </row>
    <row r="18668" customFormat="false" ht="15" hidden="false" customHeight="false" outlineLevel="0" collapsed="false">
      <c r="A18668" s="3" t="s">
        <v>558</v>
      </c>
      <c r="C18668" s="27" t="n">
        <f aca="false">Assumptions!$M$59</f>
        <v>1</v>
      </c>
    </row>
    <row r="18669" customFormat="false" ht="15" hidden="false" customHeight="false" outlineLevel="0" collapsed="false">
      <c r="A18669" s="3" t="s">
        <v>559</v>
      </c>
      <c r="C18669" s="27" t="n">
        <f aca="false">Assumptions!$M$60</f>
        <v>2</v>
      </c>
    </row>
    <row r="18670" customFormat="false" ht="15" hidden="false" customHeight="false" outlineLevel="0" collapsed="false">
      <c r="A18670" s="3" t="s">
        <v>560</v>
      </c>
      <c r="C18670" s="27" t="n">
        <f aca="false">Assumptions!$M$61</f>
        <v>2</v>
      </c>
    </row>
    <row r="18671" customFormat="false" ht="15" hidden="false" customHeight="false" outlineLevel="0" collapsed="false">
      <c r="A18671" s="3" t="s">
        <v>561</v>
      </c>
      <c r="C18671" s="27" t="n">
        <f aca="false">Assumptions!$M$62</f>
        <v>2</v>
      </c>
    </row>
    <row r="18672" customFormat="false" ht="15" hidden="false" customHeight="false" outlineLevel="0" collapsed="false">
      <c r="A18672" s="3" t="s">
        <v>562</v>
      </c>
      <c r="C18672" s="27" t="n">
        <f aca="false">Assumptions!$M$63</f>
        <v>2</v>
      </c>
    </row>
    <row r="18673" customFormat="false" ht="15" hidden="false" customHeight="false" outlineLevel="0" collapsed="false">
      <c r="A18673" s="3" t="s">
        <v>563</v>
      </c>
      <c r="C18673" s="27" t="n">
        <f aca="false">Assumptions!$M$64</f>
        <v>2</v>
      </c>
    </row>
    <row r="18674" customFormat="false" ht="15" hidden="false" customHeight="false" outlineLevel="0" collapsed="false">
      <c r="A18674" s="3" t="s">
        <v>564</v>
      </c>
      <c r="C18674" s="27" t="n">
        <f aca="false">Assumptions!$M$65</f>
        <v>2</v>
      </c>
    </row>
    <row r="18675" customFormat="false" ht="15" hidden="false" customHeight="false" outlineLevel="0" collapsed="false">
      <c r="A18675" s="3" t="s">
        <v>565</v>
      </c>
      <c r="C18675" s="27" t="n">
        <f aca="false">Assumptions!$M$66</f>
        <v>3</v>
      </c>
    </row>
    <row r="18676" customFormat="false" ht="15" hidden="false" customHeight="false" outlineLevel="0" collapsed="false">
      <c r="A18676" s="24" t="s">
        <v>567</v>
      </c>
      <c r="B18676" s="25"/>
      <c r="C18676" s="25"/>
      <c r="D18676" s="25"/>
      <c r="E18676" s="25"/>
      <c r="F18676" s="25"/>
      <c r="G18676" s="25"/>
      <c r="H18676" s="25"/>
      <c r="I18676" s="25"/>
      <c r="J18676" s="25"/>
      <c r="K18676" s="25"/>
    </row>
    <row r="18677" customFormat="false" ht="15" hidden="false" customHeight="false" outlineLevel="0" collapsed="false">
      <c r="A18677" s="3" t="s">
        <v>556</v>
      </c>
      <c r="C18677" s="33" t="n">
        <f aca="false">Assumptions!$Q$57</f>
        <v>0.3</v>
      </c>
    </row>
    <row r="18678" customFormat="false" ht="15" hidden="false" customHeight="false" outlineLevel="0" collapsed="false">
      <c r="A18678" s="3" t="s">
        <v>557</v>
      </c>
      <c r="C18678" s="33" t="n">
        <f aca="false">Assumptions!$Q$58</f>
        <v>0.033</v>
      </c>
    </row>
    <row r="18679" customFormat="false" ht="15" hidden="false" customHeight="false" outlineLevel="0" collapsed="false">
      <c r="A18679" s="3" t="s">
        <v>558</v>
      </c>
      <c r="C18679" s="33" t="n">
        <f aca="false">Assumptions!$Q$59</f>
        <v>0.021</v>
      </c>
    </row>
    <row r="18680" customFormat="false" ht="15" hidden="false" customHeight="false" outlineLevel="0" collapsed="false">
      <c r="A18680" s="3" t="s">
        <v>559</v>
      </c>
      <c r="C18680" s="33" t="n">
        <f aca="false">Assumptions!$Q$60</f>
        <v>0</v>
      </c>
    </row>
    <row r="18681" customFormat="false" ht="15" hidden="false" customHeight="false" outlineLevel="0" collapsed="false">
      <c r="A18681" s="3" t="s">
        <v>560</v>
      </c>
      <c r="C18681" s="33" t="n">
        <f aca="false">Assumptions!$Q$61</f>
        <v>0</v>
      </c>
    </row>
    <row r="18682" customFormat="false" ht="15" hidden="false" customHeight="false" outlineLevel="0" collapsed="false">
      <c r="A18682" s="3" t="s">
        <v>561</v>
      </c>
      <c r="C18682" s="33" t="n">
        <f aca="false">Assumptions!$Q$62</f>
        <v>0</v>
      </c>
    </row>
    <row r="18683" customFormat="false" ht="15" hidden="false" customHeight="false" outlineLevel="0" collapsed="false">
      <c r="A18683" s="3" t="s">
        <v>562</v>
      </c>
      <c r="C18683" s="33" t="n">
        <f aca="false">Assumptions!$Q$63</f>
        <v>0</v>
      </c>
    </row>
    <row r="18684" customFormat="false" ht="15" hidden="false" customHeight="false" outlineLevel="0" collapsed="false">
      <c r="A18684" s="3" t="s">
        <v>563</v>
      </c>
      <c r="C18684" s="33" t="n">
        <f aca="false">Assumptions!$Q$64</f>
        <v>0</v>
      </c>
    </row>
    <row r="18685" customFormat="false" ht="15" hidden="false" customHeight="false" outlineLevel="0" collapsed="false">
      <c r="A18685" s="3" t="s">
        <v>564</v>
      </c>
      <c r="C18685" s="33" t="n">
        <f aca="false">Assumptions!$Q$65</f>
        <v>0</v>
      </c>
    </row>
    <row r="18686" customFormat="false" ht="15" hidden="false" customHeight="false" outlineLevel="0" collapsed="false">
      <c r="A18686" s="3" t="s">
        <v>565</v>
      </c>
      <c r="C18686" s="33" t="n">
        <f aca="false">Assumptions!$Q$66</f>
        <v>0</v>
      </c>
    </row>
    <row r="18687" customFormat="false" ht="15" hidden="false" customHeight="false" outlineLevel="0" collapsed="false">
      <c r="A18687" s="24" t="s">
        <v>568</v>
      </c>
      <c r="B18687" s="25"/>
      <c r="C18687" s="25"/>
      <c r="D18687" s="25"/>
      <c r="E18687" s="25"/>
      <c r="F18687" s="25"/>
      <c r="G18687" s="25"/>
      <c r="H18687" s="25"/>
      <c r="I18687" s="25"/>
      <c r="J18687" s="25"/>
      <c r="K18687" s="25"/>
    </row>
    <row r="18688" customFormat="false" ht="15" hidden="false" customHeight="false" outlineLevel="0" collapsed="false">
      <c r="A18688" s="3" t="s">
        <v>556</v>
      </c>
      <c r="C18688" s="16" t="n">
        <f aca="false">IF(C18677&gt;0,MIN(C18655,C18677*$C$18653),0)</f>
        <v>403.76</v>
      </c>
    </row>
    <row r="18689" customFormat="false" ht="15" hidden="false" customHeight="false" outlineLevel="0" collapsed="false">
      <c r="A18689" s="3" t="s">
        <v>557</v>
      </c>
      <c r="C18689" s="16" t="n">
        <f aca="false">IF(C18678&gt;0,MIN(C18656,C18678*$C$18653),0)</f>
        <v>85.1568504864</v>
      </c>
    </row>
    <row r="18690" customFormat="false" ht="15" hidden="false" customHeight="false" outlineLevel="0" collapsed="false">
      <c r="A18690" s="3" t="s">
        <v>558</v>
      </c>
      <c r="C18690" s="16" t="n">
        <f aca="false">IF(C18679&gt;0,MIN(C18657,C18679*$C$18653),0)</f>
        <v>54.1907230368</v>
      </c>
    </row>
    <row r="18691" customFormat="false" ht="15" hidden="false" customHeight="false" outlineLevel="0" collapsed="false">
      <c r="A18691" s="3" t="s">
        <v>559</v>
      </c>
      <c r="C18691" s="16" t="n">
        <f aca="false">IF(C18680&gt;0,MIN(C18658,C18680*$C$18653),0)</f>
        <v>0</v>
      </c>
    </row>
    <row r="18692" customFormat="false" ht="15" hidden="false" customHeight="false" outlineLevel="0" collapsed="false">
      <c r="A18692" s="3" t="s">
        <v>560</v>
      </c>
      <c r="C18692" s="16" t="n">
        <f aca="false">IF(C18681&gt;0,MIN(C18659,C18681*$C$18653),0)</f>
        <v>0</v>
      </c>
    </row>
    <row r="18693" customFormat="false" ht="15" hidden="false" customHeight="false" outlineLevel="0" collapsed="false">
      <c r="A18693" s="3" t="s">
        <v>561</v>
      </c>
      <c r="C18693" s="16" t="n">
        <f aca="false">IF(C18682&gt;0,MIN(C18660,C18682*$C$18653),0)</f>
        <v>0</v>
      </c>
    </row>
    <row r="18694" customFormat="false" ht="15" hidden="false" customHeight="false" outlineLevel="0" collapsed="false">
      <c r="A18694" s="3" t="s">
        <v>562</v>
      </c>
      <c r="C18694" s="16" t="n">
        <f aca="false">IF(C18683&gt;0,MIN(C18661,C18683*$C$18653),0)</f>
        <v>0</v>
      </c>
    </row>
    <row r="18695" customFormat="false" ht="15" hidden="false" customHeight="false" outlineLevel="0" collapsed="false">
      <c r="A18695" s="3" t="s">
        <v>563</v>
      </c>
      <c r="C18695" s="16" t="n">
        <f aca="false">IF(C18684&gt;0,MIN(C18662,C18684*$C$18653),0)</f>
        <v>0</v>
      </c>
    </row>
    <row r="18696" customFormat="false" ht="15" hidden="false" customHeight="false" outlineLevel="0" collapsed="false">
      <c r="A18696" s="3" t="s">
        <v>564</v>
      </c>
      <c r="C18696" s="16" t="n">
        <f aca="false">IF(C18685&gt;0,MIN(C18663,C18685*$C$18653),0)</f>
        <v>0</v>
      </c>
    </row>
    <row r="18697" customFormat="false" ht="15" hidden="false" customHeight="false" outlineLevel="0" collapsed="false">
      <c r="A18697" s="3" t="s">
        <v>565</v>
      </c>
      <c r="C18697" s="16" t="n">
        <f aca="false">IF(C18686&gt;0,MIN(C18664,C18686*$C$18653),0)</f>
        <v>0</v>
      </c>
    </row>
    <row r="18698" customFormat="false" ht="15" hidden="false" customHeight="false" outlineLevel="0" collapsed="false">
      <c r="A18698" s="24" t="s">
        <v>569</v>
      </c>
      <c r="B18698" s="25"/>
      <c r="C18698" s="25"/>
      <c r="D18698" s="25"/>
      <c r="E18698" s="25"/>
      <c r="F18698" s="25"/>
      <c r="G18698" s="25"/>
      <c r="H18698" s="25"/>
      <c r="I18698" s="25"/>
      <c r="J18698" s="25"/>
      <c r="K18698" s="25"/>
    </row>
    <row r="18699" customFormat="false" ht="15" hidden="false" customHeight="false" outlineLevel="0" collapsed="false">
      <c r="A18699" s="3" t="s">
        <v>556</v>
      </c>
      <c r="C18699" s="16" t="n">
        <f aca="false">IF(C18677&gt;0,C18655-C18688,0)</f>
        <v>0</v>
      </c>
      <c r="G18699" s="21" t="n">
        <f aca="false">IF(AND(G18390=1,G18387=1),1,0)</f>
        <v>0</v>
      </c>
      <c r="H18699" s="21" t="n">
        <f aca="false">IF(G18699=1,1,IF(AND(H18390=1,H18387=1),1,0))</f>
        <v>0</v>
      </c>
      <c r="I18699" s="21" t="n">
        <f aca="false">IF(H18699=1,1,IF(AND(I18390=1,I18387=1),1,0))</f>
        <v>0</v>
      </c>
      <c r="J18699" s="21" t="n">
        <f aca="false">IF(I18699=1,1,IF(AND(J18390=1,J18387=1),1,0))</f>
        <v>0</v>
      </c>
      <c r="K18699" s="21" t="n">
        <f aca="false">IF(J18699=1,1,IF(AND(K18390=1,K18387=1),1,0))</f>
        <v>0</v>
      </c>
    </row>
    <row r="18700" customFormat="false" ht="15" hidden="false" customHeight="false" outlineLevel="0" collapsed="false">
      <c r="A18700" s="3" t="s">
        <v>557</v>
      </c>
      <c r="C18700" s="16" t="n">
        <f aca="false">IF(C18678&gt;0,C18656-C18689,0)</f>
        <v>6.15039951360001</v>
      </c>
      <c r="G18700" s="21" t="n">
        <f aca="false">IF(AND(G18403=1,G18387=1),1,0)</f>
        <v>0</v>
      </c>
      <c r="H18700" s="21" t="n">
        <f aca="false">IF(G18700=1,1,IF(AND(H18403=1,H18387=1),1,0))</f>
        <v>0</v>
      </c>
      <c r="I18700" s="21" t="n">
        <f aca="false">IF(H18700=1,1,IF(AND(I18403=1,I18387=1),1,0))</f>
        <v>0</v>
      </c>
      <c r="J18700" s="21" t="n">
        <f aca="false">IF(I18700=1,1,IF(AND(J18403=1,J18387=1),1,0))</f>
        <v>0</v>
      </c>
      <c r="K18700" s="21" t="n">
        <f aca="false">IF(J18700=1,1,IF(AND(K18403=1,K18387=1),1,0))</f>
        <v>0</v>
      </c>
    </row>
    <row r="18701" customFormat="false" ht="15" hidden="false" customHeight="false" outlineLevel="0" collapsed="false">
      <c r="A18701" s="3" t="s">
        <v>558</v>
      </c>
      <c r="C18701" s="16" t="n">
        <f aca="false">IF(C18679&gt;0,C18657-C18690,0)</f>
        <v>4.1808730632</v>
      </c>
      <c r="G18701" s="21" t="n">
        <f aca="false">IF(AND(G18416=1,G18387=1),1,0)</f>
        <v>0</v>
      </c>
      <c r="H18701" s="21" t="n">
        <f aca="false">IF(G18701=1,1,IF(AND(H18416=1,H18387=1),1,0))</f>
        <v>0</v>
      </c>
      <c r="I18701" s="21" t="n">
        <f aca="false">IF(H18701=1,1,IF(AND(I18416=1,I18387=1),1,0))</f>
        <v>0</v>
      </c>
      <c r="J18701" s="21" t="n">
        <f aca="false">IF(I18701=1,1,IF(AND(J18416=1,J18387=1),1,0))</f>
        <v>0</v>
      </c>
      <c r="K18701" s="21" t="n">
        <f aca="false">IF(J18701=1,1,IF(AND(K18416=1,K18387=1),1,0))</f>
        <v>0</v>
      </c>
    </row>
    <row r="18702" customFormat="false" ht="15" hidden="false" customHeight="false" outlineLevel="0" collapsed="false">
      <c r="A18702" s="3" t="s">
        <v>559</v>
      </c>
      <c r="C18702" s="16" t="n">
        <f aca="false">IF(C18680&gt;0,C18658-C18691,0)</f>
        <v>0</v>
      </c>
      <c r="G18702" s="21" t="n">
        <f aca="false">IF(AND(G18429=1,G18387=1),1,0)</f>
        <v>0</v>
      </c>
      <c r="H18702" s="21" t="n">
        <f aca="false">IF(G18702=1,1,IF(AND(H18429=1,H18387=1),1,0))</f>
        <v>0</v>
      </c>
      <c r="I18702" s="21" t="n">
        <f aca="false">IF(H18702=1,1,IF(AND(I18429=1,I18387=1),1,0))</f>
        <v>0</v>
      </c>
      <c r="J18702" s="21" t="n">
        <f aca="false">IF(I18702=1,1,IF(AND(J18429=1,J18387=1),1,0))</f>
        <v>0</v>
      </c>
      <c r="K18702" s="21" t="n">
        <f aca="false">IF(J18702=1,1,IF(AND(K18429=1,K18387=1),1,0))</f>
        <v>0</v>
      </c>
    </row>
    <row r="18703" customFormat="false" ht="15" hidden="false" customHeight="false" outlineLevel="0" collapsed="false">
      <c r="A18703" s="3" t="s">
        <v>560</v>
      </c>
      <c r="C18703" s="16" t="n">
        <f aca="false">IF(C18681&gt;0,C18659-C18692,0)</f>
        <v>0</v>
      </c>
      <c r="G18703" s="21" t="n">
        <f aca="false">IF(AND(G18442=1,G18387=1),1,0)</f>
        <v>0</v>
      </c>
      <c r="H18703" s="21" t="n">
        <f aca="false">IF(G18703=1,1,IF(AND(H18442=1,H18387=1),1,0))</f>
        <v>0</v>
      </c>
      <c r="I18703" s="21" t="n">
        <f aca="false">IF(H18703=1,1,IF(AND(I18442=1,I18387=1),1,0))</f>
        <v>0</v>
      </c>
      <c r="J18703" s="21" t="n">
        <f aca="false">IF(I18703=1,1,IF(AND(J18442=1,J18387=1),1,0))</f>
        <v>0</v>
      </c>
      <c r="K18703" s="21" t="n">
        <f aca="false">IF(J18703=1,1,IF(AND(K18442=1,K18387=1),1,0))</f>
        <v>0</v>
      </c>
    </row>
    <row r="18704" customFormat="false" ht="15" hidden="false" customHeight="false" outlineLevel="0" collapsed="false">
      <c r="A18704" s="3" t="s">
        <v>561</v>
      </c>
      <c r="C18704" s="16" t="n">
        <f aca="false">IF(C18682&gt;0,C18660-C18693,0)</f>
        <v>0</v>
      </c>
      <c r="G18704" s="21" t="n">
        <f aca="false">IF(AND(G18455=1,G18387=1),1,0)</f>
        <v>0</v>
      </c>
      <c r="H18704" s="21" t="n">
        <f aca="false">IF(G18704=1,1,IF(AND(H18455=1,H18387=1),1,0))</f>
        <v>0</v>
      </c>
      <c r="I18704" s="21" t="n">
        <f aca="false">IF(H18704=1,1,IF(AND(I18455=1,I18387=1),1,0))</f>
        <v>0</v>
      </c>
      <c r="J18704" s="21" t="n">
        <f aca="false">IF(I18704=1,1,IF(AND(J18455=1,J18387=1),1,0))</f>
        <v>0</v>
      </c>
      <c r="K18704" s="21" t="n">
        <f aca="false">IF(J18704=1,1,IF(AND(K18455=1,K18387=1),1,0))</f>
        <v>0</v>
      </c>
    </row>
    <row r="18705" customFormat="false" ht="15" hidden="false" customHeight="false" outlineLevel="0" collapsed="false">
      <c r="A18705" s="3" t="s">
        <v>562</v>
      </c>
      <c r="C18705" s="16" t="n">
        <f aca="false">IF(C18683&gt;0,C18661-C18694,0)</f>
        <v>0</v>
      </c>
      <c r="G18705" s="21" t="n">
        <f aca="false">IF(AND(G18468=1,G18387=1),1,0)</f>
        <v>0</v>
      </c>
      <c r="H18705" s="21" t="n">
        <f aca="false">IF(G18705=1,1,IF(AND(H18468=1,H18387=1),1,0))</f>
        <v>0</v>
      </c>
      <c r="I18705" s="21" t="n">
        <f aca="false">IF(H18705=1,1,IF(AND(I18468=1,I18387=1),1,0))</f>
        <v>0</v>
      </c>
      <c r="J18705" s="21" t="n">
        <f aca="false">IF(I18705=1,1,IF(AND(J18468=1,J18387=1),1,0))</f>
        <v>0</v>
      </c>
      <c r="K18705" s="21" t="n">
        <f aca="false">IF(J18705=1,1,IF(AND(K18468=1,K18387=1),1,0))</f>
        <v>0</v>
      </c>
    </row>
    <row r="18706" customFormat="false" ht="15" hidden="false" customHeight="false" outlineLevel="0" collapsed="false">
      <c r="A18706" s="3" t="s">
        <v>563</v>
      </c>
      <c r="C18706" s="16" t="n">
        <f aca="false">IF(C18684&gt;0,C18662-C18695,0)</f>
        <v>0</v>
      </c>
      <c r="G18706" s="21" t="n">
        <f aca="false">IF(AND(G18481=1,G18387=1),1,0)</f>
        <v>0</v>
      </c>
      <c r="H18706" s="21" t="n">
        <f aca="false">IF(G18706=1,1,IF(AND(H18481=1,H18387=1),1,0))</f>
        <v>0</v>
      </c>
      <c r="I18706" s="21" t="n">
        <f aca="false">IF(H18706=1,1,IF(AND(I18481=1,I18387=1),1,0))</f>
        <v>0</v>
      </c>
      <c r="J18706" s="21" t="n">
        <f aca="false">IF(I18706=1,1,IF(AND(J18481=1,J18387=1),1,0))</f>
        <v>0</v>
      </c>
      <c r="K18706" s="21" t="n">
        <f aca="false">IF(J18706=1,1,IF(AND(K18481=1,K18387=1),1,0))</f>
        <v>0</v>
      </c>
    </row>
    <row r="18707" customFormat="false" ht="15" hidden="false" customHeight="false" outlineLevel="0" collapsed="false">
      <c r="A18707" s="3" t="s">
        <v>564</v>
      </c>
      <c r="C18707" s="16" t="n">
        <f aca="false">IF(C18685&gt;0,C18663-C18696,0)</f>
        <v>0</v>
      </c>
      <c r="G18707" s="21" t="n">
        <f aca="false">IF(AND(G18494=1,G18387=1),1,0)</f>
        <v>0</v>
      </c>
      <c r="H18707" s="21" t="n">
        <f aca="false">IF(G18707=1,1,IF(AND(H18494=1,H18387=1),1,0))</f>
        <v>0</v>
      </c>
      <c r="I18707" s="21" t="n">
        <f aca="false">IF(H18707=1,1,IF(AND(I18494=1,I18387=1),1,0))</f>
        <v>0</v>
      </c>
      <c r="J18707" s="21" t="n">
        <f aca="false">IF(I18707=1,1,IF(AND(J18494=1,J18387=1),1,0))</f>
        <v>0</v>
      </c>
      <c r="K18707" s="21" t="n">
        <f aca="false">IF(J18707=1,1,IF(AND(K18494=1,K18387=1),1,0))</f>
        <v>0</v>
      </c>
    </row>
    <row r="18708" customFormat="false" ht="15" hidden="false" customHeight="false" outlineLevel="0" collapsed="false">
      <c r="A18708" s="3" t="s">
        <v>565</v>
      </c>
      <c r="C18708" s="16" t="n">
        <f aca="false">IF(C18686&gt;0,C18664-C18697,0)</f>
        <v>0</v>
      </c>
      <c r="G18708" s="21" t="n">
        <f aca="false">IF(AND(G18507=1,G18387=1),1,0)</f>
        <v>0</v>
      </c>
      <c r="H18708" s="21" t="n">
        <f aca="false">IF(G18708=1,1,IF(AND(H18507=1,H18387=1),1,0))</f>
        <v>0</v>
      </c>
      <c r="I18708" s="21" t="n">
        <f aca="false">IF(H18708=1,1,IF(AND(I18507=1,I18387=1),1,0))</f>
        <v>0</v>
      </c>
      <c r="J18708" s="21" t="n">
        <f aca="false">IF(I18708=1,1,IF(AND(J18507=1,J18387=1),1,0))</f>
        <v>0</v>
      </c>
      <c r="K18708" s="21" t="n">
        <f aca="false">IF(J18708=1,1,IF(AND(K18507=1,K18387=1),1,0))</f>
        <v>0</v>
      </c>
    </row>
    <row r="18709" customFormat="false" ht="15" hidden="false" customHeight="false" outlineLevel="0" collapsed="false">
      <c r="A18709" s="24" t="s">
        <v>570</v>
      </c>
      <c r="B18709" s="25"/>
      <c r="C18709" s="25"/>
      <c r="D18709" s="25"/>
      <c r="E18709" s="25"/>
      <c r="F18709" s="25"/>
      <c r="G18709" s="25"/>
      <c r="H18709" s="25"/>
      <c r="I18709" s="25"/>
      <c r="J18709" s="25"/>
      <c r="K18709" s="25"/>
    </row>
    <row r="18710" customFormat="false" ht="15" hidden="false" customHeight="false" outlineLevel="0" collapsed="false">
      <c r="A18710" s="3" t="s">
        <v>556</v>
      </c>
      <c r="C18710" s="16" t="n">
        <f aca="false">IF(C18677&gt;0,C18699,C18655)</f>
        <v>0</v>
      </c>
    </row>
    <row r="18711" customFormat="false" ht="15" hidden="false" customHeight="false" outlineLevel="0" collapsed="false">
      <c r="A18711" s="3" t="s">
        <v>557</v>
      </c>
      <c r="C18711" s="16" t="n">
        <f aca="false">IF(C18678&gt;0,C18700,C18656)</f>
        <v>6.15039951360001</v>
      </c>
    </row>
    <row r="18712" customFormat="false" ht="15" hidden="false" customHeight="false" outlineLevel="0" collapsed="false">
      <c r="A18712" s="3" t="s">
        <v>558</v>
      </c>
      <c r="C18712" s="16" t="n">
        <f aca="false">IF(C18679&gt;0,C18701,C18657)</f>
        <v>4.1808730632</v>
      </c>
    </row>
    <row r="18713" customFormat="false" ht="15" hidden="false" customHeight="false" outlineLevel="0" collapsed="false">
      <c r="A18713" s="3" t="s">
        <v>559</v>
      </c>
      <c r="C18713" s="16" t="n">
        <f aca="false">IF(C18680&gt;0,C18702,C18658)</f>
        <v>0</v>
      </c>
    </row>
    <row r="18714" customFormat="false" ht="15" hidden="false" customHeight="false" outlineLevel="0" collapsed="false">
      <c r="A18714" s="3" t="s">
        <v>560</v>
      </c>
      <c r="C18714" s="16" t="n">
        <f aca="false">IF(C18681&gt;0,C18703,C18659)</f>
        <v>454.44375</v>
      </c>
    </row>
    <row r="18715" customFormat="false" ht="15" hidden="false" customHeight="false" outlineLevel="0" collapsed="false">
      <c r="A18715" s="3" t="s">
        <v>561</v>
      </c>
      <c r="C18715" s="16" t="n">
        <f aca="false">IF(C18682&gt;0,C18704,C18660)</f>
        <v>357.2625</v>
      </c>
    </row>
    <row r="18716" customFormat="false" ht="15" hidden="false" customHeight="false" outlineLevel="0" collapsed="false">
      <c r="A18716" s="3" t="s">
        <v>562</v>
      </c>
      <c r="C18716" s="16" t="n">
        <f aca="false">IF(C18683&gt;0,C18705,C18661)</f>
        <v>562.203125</v>
      </c>
    </row>
    <row r="18717" customFormat="false" ht="15" hidden="false" customHeight="false" outlineLevel="0" collapsed="false">
      <c r="A18717" s="3" t="s">
        <v>563</v>
      </c>
      <c r="C18717" s="16" t="n">
        <f aca="false">IF(C18684&gt;0,C18706,C18662)</f>
        <v>353.98125</v>
      </c>
    </row>
    <row r="18718" customFormat="false" ht="15" hidden="false" customHeight="false" outlineLevel="0" collapsed="false">
      <c r="A18718" s="3" t="s">
        <v>564</v>
      </c>
      <c r="C18718" s="16" t="n">
        <f aca="false">IF(C18685&gt;0,C18707,C18663)</f>
        <v>304.59375</v>
      </c>
    </row>
    <row r="18719" customFormat="false" ht="15" hidden="false" customHeight="false" outlineLevel="0" collapsed="false">
      <c r="A18719" s="3" t="s">
        <v>565</v>
      </c>
      <c r="C18719" s="16" t="n">
        <f aca="false">IF(C18686&gt;0,C18708,C18664)</f>
        <v>80.2332965</v>
      </c>
    </row>
    <row r="18720" customFormat="false" ht="15" hidden="false" customHeight="false" outlineLevel="0" collapsed="false">
      <c r="A18720" s="24" t="s">
        <v>571</v>
      </c>
      <c r="B18720" s="25"/>
      <c r="C18720" s="25"/>
      <c r="D18720" s="25"/>
      <c r="E18720" s="25"/>
      <c r="F18720" s="25"/>
      <c r="G18720" s="25"/>
      <c r="H18720" s="25"/>
      <c r="I18720" s="25"/>
      <c r="J18720" s="25"/>
      <c r="K18720" s="25"/>
    </row>
    <row r="18721" customFormat="false" ht="15" hidden="false" customHeight="false" outlineLevel="0" collapsed="false">
      <c r="A18721" s="3" t="s">
        <v>556</v>
      </c>
      <c r="C18721" s="21" t="n">
        <f aca="false">IF(C18677&gt;0,Assumptions!$C$17,C18666)</f>
        <v>99</v>
      </c>
    </row>
    <row r="18722" customFormat="false" ht="15" hidden="false" customHeight="false" outlineLevel="0" collapsed="false">
      <c r="A18722" s="3" t="s">
        <v>557</v>
      </c>
      <c r="C18722" s="21" t="n">
        <f aca="false">IF(C18678&gt;0,Assumptions!$C$17,C18667)</f>
        <v>99</v>
      </c>
    </row>
    <row r="18723" customFormat="false" ht="15" hidden="false" customHeight="false" outlineLevel="0" collapsed="false">
      <c r="A18723" s="3" t="s">
        <v>558</v>
      </c>
      <c r="C18723" s="21" t="n">
        <f aca="false">IF(C18679&gt;0,Assumptions!$C$17,C18668)</f>
        <v>99</v>
      </c>
    </row>
    <row r="18724" customFormat="false" ht="15" hidden="false" customHeight="false" outlineLevel="0" collapsed="false">
      <c r="A18724" s="3" t="s">
        <v>559</v>
      </c>
      <c r="C18724" s="21" t="n">
        <f aca="false">IF(C18680&gt;0,Assumptions!$C$17,C18669)</f>
        <v>2</v>
      </c>
    </row>
    <row r="18725" customFormat="false" ht="15" hidden="false" customHeight="false" outlineLevel="0" collapsed="false">
      <c r="A18725" s="3" t="s">
        <v>560</v>
      </c>
      <c r="C18725" s="21" t="n">
        <f aca="false">IF(C18681&gt;0,Assumptions!$C$17,C18670)</f>
        <v>2</v>
      </c>
    </row>
    <row r="18726" customFormat="false" ht="15" hidden="false" customHeight="false" outlineLevel="0" collapsed="false">
      <c r="A18726" s="3" t="s">
        <v>561</v>
      </c>
      <c r="C18726" s="21" t="n">
        <f aca="false">IF(C18682&gt;0,Assumptions!$C$17,C18671)</f>
        <v>2</v>
      </c>
    </row>
    <row r="18727" customFormat="false" ht="15" hidden="false" customHeight="false" outlineLevel="0" collapsed="false">
      <c r="A18727" s="3" t="s">
        <v>562</v>
      </c>
      <c r="C18727" s="21" t="n">
        <f aca="false">IF(C18683&gt;0,Assumptions!$C$17,C18672)</f>
        <v>2</v>
      </c>
    </row>
    <row r="18728" customFormat="false" ht="15" hidden="false" customHeight="false" outlineLevel="0" collapsed="false">
      <c r="A18728" s="3" t="s">
        <v>563</v>
      </c>
      <c r="C18728" s="21" t="n">
        <f aca="false">IF(C18684&gt;0,Assumptions!$C$17,C18673)</f>
        <v>2</v>
      </c>
    </row>
    <row r="18729" customFormat="false" ht="15" hidden="false" customHeight="false" outlineLevel="0" collapsed="false">
      <c r="A18729" s="3" t="s">
        <v>564</v>
      </c>
      <c r="C18729" s="21" t="n">
        <f aca="false">IF(C18685&gt;0,Assumptions!$C$17,C18674)</f>
        <v>2</v>
      </c>
    </row>
    <row r="18730" customFormat="false" ht="15" hidden="false" customHeight="false" outlineLevel="0" collapsed="false">
      <c r="A18730" s="3" t="s">
        <v>565</v>
      </c>
      <c r="C18730" s="21" t="n">
        <f aca="false">IF(C18686&gt;0,Assumptions!$C$17,C18675)</f>
        <v>3</v>
      </c>
    </row>
    <row r="18731" customFormat="false" ht="15" hidden="false" customHeight="false" outlineLevel="0" collapsed="false">
      <c r="A18731" s="24" t="s">
        <v>572</v>
      </c>
      <c r="B18731" s="25"/>
      <c r="C18731" s="25"/>
      <c r="D18731" s="25"/>
      <c r="E18731" s="25"/>
      <c r="F18731" s="25"/>
      <c r="G18731" s="25"/>
      <c r="H18731" s="25"/>
      <c r="I18731" s="25"/>
      <c r="J18731" s="25"/>
      <c r="K18731" s="25"/>
    </row>
    <row r="18732" customFormat="false" ht="15" hidden="false" customHeight="false" outlineLevel="0" collapsed="false">
      <c r="A18732" s="3" t="s">
        <v>556</v>
      </c>
      <c r="C18732" s="16" t="n">
        <f aca="false">SUMPRODUCT(($C$18721:$C$18730&lt;C18721)*$C$18710:$C$18719)</f>
        <v>2112.7176715</v>
      </c>
    </row>
    <row r="18733" customFormat="false" ht="15" hidden="false" customHeight="false" outlineLevel="0" collapsed="false">
      <c r="A18733" s="3" t="s">
        <v>557</v>
      </c>
      <c r="C18733" s="16" t="n">
        <f aca="false">SUMPRODUCT(($C$18721:$C$18730&lt;C18722)*$C$18710:$C$18719)</f>
        <v>2112.7176715</v>
      </c>
    </row>
    <row r="18734" customFormat="false" ht="15" hidden="false" customHeight="false" outlineLevel="0" collapsed="false">
      <c r="A18734" s="3" t="s">
        <v>558</v>
      </c>
      <c r="C18734" s="16" t="n">
        <f aca="false">SUMPRODUCT(($C$18721:$C$18730&lt;C18723)*$C$18710:$C$18719)</f>
        <v>2112.7176715</v>
      </c>
    </row>
    <row r="18735" customFormat="false" ht="15" hidden="false" customHeight="false" outlineLevel="0" collapsed="false">
      <c r="A18735" s="3" t="s">
        <v>559</v>
      </c>
      <c r="C18735" s="16" t="n">
        <f aca="false">SUMPRODUCT(($C$18721:$C$18730&lt;C18724)*$C$18710:$C$18719)</f>
        <v>0</v>
      </c>
    </row>
    <row r="18736" customFormat="false" ht="15" hidden="false" customHeight="false" outlineLevel="0" collapsed="false">
      <c r="A18736" s="3" t="s">
        <v>560</v>
      </c>
      <c r="C18736" s="16" t="n">
        <f aca="false">SUMPRODUCT(($C$18721:$C$18730&lt;C18725)*$C$18710:$C$18719)</f>
        <v>0</v>
      </c>
    </row>
    <row r="18737" customFormat="false" ht="15" hidden="false" customHeight="false" outlineLevel="0" collapsed="false">
      <c r="A18737" s="3" t="s">
        <v>561</v>
      </c>
      <c r="C18737" s="16" t="n">
        <f aca="false">SUMPRODUCT(($C$18721:$C$18730&lt;C18726)*$C$18710:$C$18719)</f>
        <v>0</v>
      </c>
    </row>
    <row r="18738" customFormat="false" ht="15" hidden="false" customHeight="false" outlineLevel="0" collapsed="false">
      <c r="A18738" s="3" t="s">
        <v>562</v>
      </c>
      <c r="C18738" s="16" t="n">
        <f aca="false">SUMPRODUCT(($C$18721:$C$18730&lt;C18727)*$C$18710:$C$18719)</f>
        <v>0</v>
      </c>
    </row>
    <row r="18739" customFormat="false" ht="15" hidden="false" customHeight="false" outlineLevel="0" collapsed="false">
      <c r="A18739" s="3" t="s">
        <v>563</v>
      </c>
      <c r="C18739" s="16" t="n">
        <f aca="false">SUMPRODUCT(($C$18721:$C$18730&lt;C18728)*$C$18710:$C$18719)</f>
        <v>0</v>
      </c>
    </row>
    <row r="18740" customFormat="false" ht="15" hidden="false" customHeight="false" outlineLevel="0" collapsed="false">
      <c r="A18740" s="3" t="s">
        <v>564</v>
      </c>
      <c r="C18740" s="16" t="n">
        <f aca="false">SUMPRODUCT(($C$18721:$C$18730&lt;C18729)*$C$18710:$C$18719)</f>
        <v>0</v>
      </c>
    </row>
    <row r="18741" customFormat="false" ht="15" hidden="false" customHeight="false" outlineLevel="0" collapsed="false">
      <c r="A18741" s="3" t="s">
        <v>565</v>
      </c>
      <c r="C18741" s="16" t="n">
        <f aca="false">SUMPRODUCT(($C$18721:$C$18730&lt;C18730)*$C$18710:$C$18719)</f>
        <v>2032.484375</v>
      </c>
    </row>
    <row r="18742" customFormat="false" ht="15" hidden="false" customHeight="false" outlineLevel="0" collapsed="false">
      <c r="A18742" s="24" t="s">
        <v>573</v>
      </c>
      <c r="B18742" s="25"/>
      <c r="C18742" s="25"/>
      <c r="D18742" s="25"/>
      <c r="E18742" s="25"/>
      <c r="F18742" s="25"/>
      <c r="G18742" s="25"/>
      <c r="H18742" s="25"/>
      <c r="I18742" s="25"/>
      <c r="J18742" s="25"/>
      <c r="K18742" s="25"/>
    </row>
    <row r="18743" customFormat="false" ht="15" hidden="false" customHeight="false" outlineLevel="0" collapsed="false">
      <c r="A18743" s="3" t="s">
        <v>556</v>
      </c>
      <c r="C18743" s="16" t="n">
        <f aca="false">SUMPRODUCT(($C$18721:$C$18730=C18721)*$C$18710:$C$18719)</f>
        <v>10.3312725768</v>
      </c>
    </row>
    <row r="18744" customFormat="false" ht="15" hidden="false" customHeight="false" outlineLevel="0" collapsed="false">
      <c r="A18744" s="3" t="s">
        <v>557</v>
      </c>
      <c r="C18744" s="16" t="n">
        <f aca="false">SUMPRODUCT(($C$18721:$C$18730=C18722)*$C$18710:$C$18719)</f>
        <v>10.3312725768</v>
      </c>
    </row>
    <row r="18745" customFormat="false" ht="15" hidden="false" customHeight="false" outlineLevel="0" collapsed="false">
      <c r="A18745" s="3" t="s">
        <v>558</v>
      </c>
      <c r="C18745" s="16" t="n">
        <f aca="false">SUMPRODUCT(($C$18721:$C$18730=C18723)*$C$18710:$C$18719)</f>
        <v>10.3312725768</v>
      </c>
    </row>
    <row r="18746" customFormat="false" ht="15" hidden="false" customHeight="false" outlineLevel="0" collapsed="false">
      <c r="A18746" s="3" t="s">
        <v>559</v>
      </c>
      <c r="C18746" s="16" t="n">
        <f aca="false">SUMPRODUCT(($C$18721:$C$18730=C18724)*$C$18710:$C$18719)</f>
        <v>2032.484375</v>
      </c>
    </row>
    <row r="18747" customFormat="false" ht="15" hidden="false" customHeight="false" outlineLevel="0" collapsed="false">
      <c r="A18747" s="3" t="s">
        <v>560</v>
      </c>
      <c r="C18747" s="16" t="n">
        <f aca="false">SUMPRODUCT(($C$18721:$C$18730=C18725)*$C$18710:$C$18719)</f>
        <v>2032.484375</v>
      </c>
    </row>
    <row r="18748" customFormat="false" ht="15" hidden="false" customHeight="false" outlineLevel="0" collapsed="false">
      <c r="A18748" s="3" t="s">
        <v>561</v>
      </c>
      <c r="C18748" s="16" t="n">
        <f aca="false">SUMPRODUCT(($C$18721:$C$18730=C18726)*$C$18710:$C$18719)</f>
        <v>2032.484375</v>
      </c>
    </row>
    <row r="18749" customFormat="false" ht="15" hidden="false" customHeight="false" outlineLevel="0" collapsed="false">
      <c r="A18749" s="3" t="s">
        <v>562</v>
      </c>
      <c r="C18749" s="16" t="n">
        <f aca="false">SUMPRODUCT(($C$18721:$C$18730=C18727)*$C$18710:$C$18719)</f>
        <v>2032.484375</v>
      </c>
    </row>
    <row r="18750" customFormat="false" ht="15" hidden="false" customHeight="false" outlineLevel="0" collapsed="false">
      <c r="A18750" s="3" t="s">
        <v>563</v>
      </c>
      <c r="C18750" s="16" t="n">
        <f aca="false">SUMPRODUCT(($C$18721:$C$18730=C18728)*$C$18710:$C$18719)</f>
        <v>2032.484375</v>
      </c>
    </row>
    <row r="18751" customFormat="false" ht="15" hidden="false" customHeight="false" outlineLevel="0" collapsed="false">
      <c r="A18751" s="3" t="s">
        <v>564</v>
      </c>
      <c r="C18751" s="16" t="n">
        <f aca="false">SUMPRODUCT(($C$18721:$C$18730=C18729)*$C$18710:$C$18719)</f>
        <v>2032.484375</v>
      </c>
    </row>
    <row r="18752" customFormat="false" ht="15" hidden="false" customHeight="false" outlineLevel="0" collapsed="false">
      <c r="A18752" s="3" t="s">
        <v>565</v>
      </c>
      <c r="C18752" s="16" t="n">
        <f aca="false">SUMPRODUCT(($C$18721:$C$18730=C18730)*$C$18710:$C$18719)</f>
        <v>80.2332965</v>
      </c>
    </row>
    <row r="18753" customFormat="false" ht="15" hidden="false" customHeight="false" outlineLevel="0" collapsed="false">
      <c r="A18753" s="24" t="s">
        <v>574</v>
      </c>
      <c r="B18753" s="25"/>
      <c r="C18753" s="25"/>
      <c r="D18753" s="25"/>
      <c r="E18753" s="25"/>
      <c r="F18753" s="25"/>
      <c r="G18753" s="25"/>
      <c r="H18753" s="25"/>
      <c r="I18753" s="25"/>
      <c r="J18753" s="25"/>
      <c r="K18753" s="25"/>
    </row>
    <row r="18754" customFormat="false" ht="15" hidden="false" customHeight="false" outlineLevel="0" collapsed="false">
      <c r="A18754" s="3" t="s">
        <v>556</v>
      </c>
      <c r="C18754" s="16" t="n">
        <f aca="false">IF(C18743=0,0,C18710/C18743*MAX(0,MIN(C18743,$C$18653-SUM($C$18688:$C$18697)-C18732)))</f>
        <v>0</v>
      </c>
    </row>
    <row r="18755" customFormat="false" ht="15" hidden="false" customHeight="false" outlineLevel="0" collapsed="false">
      <c r="A18755" s="3" t="s">
        <v>557</v>
      </c>
      <c r="C18755" s="16" t="n">
        <f aca="false">IF(C18744=0,0,C18711/C18744*MAX(0,MIN(C18744,$C$18653-SUM($C$18688:$C$18697)-C18733)))</f>
        <v>0</v>
      </c>
    </row>
    <row r="18756" customFormat="false" ht="15" hidden="false" customHeight="false" outlineLevel="0" collapsed="false">
      <c r="A18756" s="3" t="s">
        <v>558</v>
      </c>
      <c r="C18756" s="16" t="n">
        <f aca="false">IF(C18745=0,0,C18712/C18745*MAX(0,MIN(C18745,$C$18653-SUM($C$18688:$C$18697)-C18734)))</f>
        <v>0</v>
      </c>
    </row>
    <row r="18757" customFormat="false" ht="15" hidden="false" customHeight="false" outlineLevel="0" collapsed="false">
      <c r="A18757" s="3" t="s">
        <v>559</v>
      </c>
      <c r="C18757" s="16" t="n">
        <f aca="false">IF(C18746=0,0,C18713/C18746*MAX(0,MIN(C18746,$C$18653-SUM($C$18688:$C$18697)-C18735)))</f>
        <v>0</v>
      </c>
    </row>
    <row r="18758" customFormat="false" ht="15" hidden="false" customHeight="false" outlineLevel="0" collapsed="false">
      <c r="A18758" s="3" t="s">
        <v>560</v>
      </c>
      <c r="C18758" s="16" t="n">
        <f aca="false">IF(C18747=0,0,C18714/C18747*MAX(0,MIN(C18747,$C$18653-SUM($C$18688:$C$18697)-C18736)))</f>
        <v>454.44375</v>
      </c>
    </row>
    <row r="18759" customFormat="false" ht="15" hidden="false" customHeight="false" outlineLevel="0" collapsed="false">
      <c r="A18759" s="3" t="s">
        <v>561</v>
      </c>
      <c r="C18759" s="16" t="n">
        <f aca="false">IF(C18748=0,0,C18715/C18748*MAX(0,MIN(C18748,$C$18653-SUM($C$18688:$C$18697)-C18737)))</f>
        <v>357.2625</v>
      </c>
    </row>
    <row r="18760" customFormat="false" ht="15" hidden="false" customHeight="false" outlineLevel="0" collapsed="false">
      <c r="A18760" s="3" t="s">
        <v>562</v>
      </c>
      <c r="C18760" s="16" t="n">
        <f aca="false">IF(C18749=0,0,C18716/C18749*MAX(0,MIN(C18749,$C$18653-SUM($C$18688:$C$18697)-C18738)))</f>
        <v>562.203125</v>
      </c>
    </row>
    <row r="18761" customFormat="false" ht="15" hidden="false" customHeight="false" outlineLevel="0" collapsed="false">
      <c r="A18761" s="3" t="s">
        <v>563</v>
      </c>
      <c r="C18761" s="16" t="n">
        <f aca="false">IF(C18750=0,0,C18717/C18750*MAX(0,MIN(C18750,$C$18653-SUM($C$18688:$C$18697)-C18739)))</f>
        <v>353.98125</v>
      </c>
    </row>
    <row r="18762" customFormat="false" ht="15" hidden="false" customHeight="false" outlineLevel="0" collapsed="false">
      <c r="A18762" s="3" t="s">
        <v>564</v>
      </c>
      <c r="C18762" s="16" t="n">
        <f aca="false">IF(C18751=0,0,C18718/C18751*MAX(0,MIN(C18751,$C$18653-SUM($C$18688:$C$18697)-C18740)))</f>
        <v>304.59375</v>
      </c>
    </row>
    <row r="18763" customFormat="false" ht="15" hidden="false" customHeight="false" outlineLevel="0" collapsed="false">
      <c r="A18763" s="3" t="s">
        <v>565</v>
      </c>
      <c r="C18763" s="16" t="n">
        <f aca="false">IF(C18752=0,0,C18719/C18752*MAX(0,MIN(C18752,$C$18653-SUM($C$18688:$C$18697)-C18741)))</f>
        <v>4.91867227679973</v>
      </c>
    </row>
    <row r="18764" customFormat="false" ht="15" hidden="false" customHeight="false" outlineLevel="0" collapsed="false">
      <c r="A18764" s="24" t="s">
        <v>575</v>
      </c>
      <c r="B18764" s="25"/>
      <c r="C18764" s="25"/>
      <c r="D18764" s="25"/>
      <c r="E18764" s="25"/>
      <c r="F18764" s="25"/>
      <c r="G18764" s="25"/>
      <c r="H18764" s="25"/>
      <c r="I18764" s="25"/>
      <c r="J18764" s="25"/>
      <c r="K18764" s="25"/>
    </row>
    <row r="18765" customFormat="false" ht="15" hidden="false" customHeight="false" outlineLevel="0" collapsed="false">
      <c r="A18765" s="2" t="s">
        <v>556</v>
      </c>
      <c r="C18765" s="17" t="n">
        <f aca="false">C18688+C18754</f>
        <v>403.76</v>
      </c>
    </row>
    <row r="18766" customFormat="false" ht="15" hidden="false" customHeight="false" outlineLevel="0" collapsed="false">
      <c r="A18766" s="2" t="s">
        <v>557</v>
      </c>
      <c r="C18766" s="17" t="n">
        <f aca="false">C18689+C18755</f>
        <v>85.1568504864</v>
      </c>
    </row>
    <row r="18767" customFormat="false" ht="15" hidden="false" customHeight="false" outlineLevel="0" collapsed="false">
      <c r="A18767" s="2" t="s">
        <v>558</v>
      </c>
      <c r="C18767" s="17" t="n">
        <f aca="false">C18690+C18756</f>
        <v>54.1907230368</v>
      </c>
    </row>
    <row r="18768" customFormat="false" ht="15" hidden="false" customHeight="false" outlineLevel="0" collapsed="false">
      <c r="A18768" s="2" t="s">
        <v>559</v>
      </c>
      <c r="C18768" s="17" t="n">
        <f aca="false">C18691+C18757</f>
        <v>0</v>
      </c>
    </row>
    <row r="18769" customFormat="false" ht="15" hidden="false" customHeight="false" outlineLevel="0" collapsed="false">
      <c r="A18769" s="2" t="s">
        <v>560</v>
      </c>
      <c r="C18769" s="17" t="n">
        <f aca="false">C18692+C18758</f>
        <v>454.44375</v>
      </c>
    </row>
    <row r="18770" customFormat="false" ht="15" hidden="false" customHeight="false" outlineLevel="0" collapsed="false">
      <c r="A18770" s="2" t="s">
        <v>561</v>
      </c>
      <c r="C18770" s="17" t="n">
        <f aca="false">C18693+C18759</f>
        <v>357.2625</v>
      </c>
    </row>
    <row r="18771" customFormat="false" ht="15" hidden="false" customHeight="false" outlineLevel="0" collapsed="false">
      <c r="A18771" s="2" t="s">
        <v>562</v>
      </c>
      <c r="C18771" s="17" t="n">
        <f aca="false">C18694+C18760</f>
        <v>562.203125</v>
      </c>
    </row>
    <row r="18772" customFormat="false" ht="15" hidden="false" customHeight="false" outlineLevel="0" collapsed="false">
      <c r="A18772" s="2" t="s">
        <v>563</v>
      </c>
      <c r="C18772" s="17" t="n">
        <f aca="false">C18695+C18761</f>
        <v>353.98125</v>
      </c>
    </row>
    <row r="18773" customFormat="false" ht="15" hidden="false" customHeight="false" outlineLevel="0" collapsed="false">
      <c r="A18773" s="2" t="s">
        <v>564</v>
      </c>
      <c r="C18773" s="17" t="n">
        <f aca="false">C18696+C18762</f>
        <v>304.59375</v>
      </c>
    </row>
    <row r="18774" customFormat="false" ht="15" hidden="false" customHeight="false" outlineLevel="0" collapsed="false">
      <c r="A18774" s="2" t="s">
        <v>565</v>
      </c>
      <c r="C18774" s="17" t="n">
        <f aca="false">C18697+C18763</f>
        <v>4.91867227679973</v>
      </c>
    </row>
    <row r="18775" customFormat="false" ht="15" hidden="false" customHeight="false" outlineLevel="0" collapsed="false">
      <c r="A18775" s="24" t="s">
        <v>576</v>
      </c>
      <c r="B18775" s="25"/>
      <c r="C18775" s="25"/>
      <c r="D18775" s="25"/>
      <c r="E18775" s="25"/>
      <c r="F18775" s="25"/>
      <c r="G18775" s="25"/>
      <c r="H18775" s="25"/>
      <c r="I18775" s="25"/>
      <c r="J18775" s="25"/>
      <c r="K18775" s="25"/>
    </row>
    <row r="18776" customFormat="false" ht="15" hidden="false" customHeight="false" outlineLevel="0" collapsed="false">
      <c r="A18776" s="3" t="s">
        <v>556</v>
      </c>
      <c r="C18776" s="22" t="n">
        <f aca="false">IF(C18655=0,1,C18765/C18655)</f>
        <v>1</v>
      </c>
    </row>
    <row r="18777" customFormat="false" ht="15" hidden="false" customHeight="false" outlineLevel="0" collapsed="false">
      <c r="A18777" s="3" t="s">
        <v>557</v>
      </c>
      <c r="C18777" s="22" t="n">
        <f aca="false">IF(C18656=0,1,C18766/C18656)</f>
        <v>0.932640622583639</v>
      </c>
    </row>
    <row r="18778" customFormat="false" ht="15" hidden="false" customHeight="false" outlineLevel="0" collapsed="false">
      <c r="A18778" s="3" t="s">
        <v>558</v>
      </c>
      <c r="C18778" s="22" t="n">
        <f aca="false">IF(C18657=0,1,C18767/C18657)</f>
        <v>0.928374871640695</v>
      </c>
    </row>
    <row r="18779" customFormat="false" ht="15" hidden="false" customHeight="false" outlineLevel="0" collapsed="false">
      <c r="A18779" s="3" t="s">
        <v>559</v>
      </c>
      <c r="C18779" s="22" t="n">
        <f aca="false">IF(C18658=0,1,C18768/C18658)</f>
        <v>1</v>
      </c>
    </row>
    <row r="18780" customFormat="false" ht="15" hidden="false" customHeight="false" outlineLevel="0" collapsed="false">
      <c r="A18780" s="3" t="s">
        <v>560</v>
      </c>
      <c r="C18780" s="22" t="n">
        <f aca="false">IF(C18659=0,1,C18769/C18659)</f>
        <v>1</v>
      </c>
    </row>
    <row r="18781" customFormat="false" ht="15" hidden="false" customHeight="false" outlineLevel="0" collapsed="false">
      <c r="A18781" s="3" t="s">
        <v>561</v>
      </c>
      <c r="C18781" s="22" t="n">
        <f aca="false">IF(C18660=0,1,C18770/C18660)</f>
        <v>1</v>
      </c>
    </row>
    <row r="18782" customFormat="false" ht="15" hidden="false" customHeight="false" outlineLevel="0" collapsed="false">
      <c r="A18782" s="3" t="s">
        <v>562</v>
      </c>
      <c r="C18782" s="22" t="n">
        <f aca="false">IF(C18661=0,1,C18771/C18661)</f>
        <v>1</v>
      </c>
    </row>
    <row r="18783" customFormat="false" ht="15" hidden="false" customHeight="false" outlineLevel="0" collapsed="false">
      <c r="A18783" s="3" t="s">
        <v>563</v>
      </c>
      <c r="C18783" s="22" t="n">
        <f aca="false">IF(C18662=0,1,C18772/C18662)</f>
        <v>1</v>
      </c>
    </row>
    <row r="18784" customFormat="false" ht="15" hidden="false" customHeight="false" outlineLevel="0" collapsed="false">
      <c r="A18784" s="3" t="s">
        <v>564</v>
      </c>
      <c r="C18784" s="22" t="n">
        <f aca="false">IF(C18663=0,1,C18773/C18663)</f>
        <v>1</v>
      </c>
    </row>
    <row r="18785" customFormat="false" ht="15" hidden="false" customHeight="false" outlineLevel="0" collapsed="false">
      <c r="A18785" s="3" t="s">
        <v>565</v>
      </c>
      <c r="C18785" s="22" t="n">
        <f aca="false">IF(C18664=0,1,C18774/C18664)</f>
        <v>0.0613046265249705</v>
      </c>
    </row>
    <row r="18786" customFormat="false" ht="15" hidden="false" customHeight="false" outlineLevel="0" collapsed="false">
      <c r="A18786" s="24" t="s">
        <v>577</v>
      </c>
      <c r="B18786" s="25"/>
      <c r="C18786" s="25"/>
      <c r="D18786" s="25"/>
      <c r="E18786" s="25"/>
      <c r="F18786" s="25"/>
      <c r="G18786" s="25"/>
      <c r="H18786" s="25"/>
      <c r="I18786" s="25"/>
      <c r="J18786" s="25"/>
      <c r="K18786" s="25"/>
    </row>
    <row r="18787" customFormat="false" ht="15" hidden="false" customHeight="false" outlineLevel="0" collapsed="false">
      <c r="A18787" s="3" t="s">
        <v>556</v>
      </c>
      <c r="C18787" s="16" t="n">
        <f aca="false">C18655-C18765</f>
        <v>0</v>
      </c>
    </row>
    <row r="18788" customFormat="false" ht="15" hidden="false" customHeight="false" outlineLevel="0" collapsed="false">
      <c r="A18788" s="3" t="s">
        <v>557</v>
      </c>
      <c r="C18788" s="16" t="n">
        <f aca="false">C18656-C18766</f>
        <v>6.15039951360001</v>
      </c>
    </row>
    <row r="18789" customFormat="false" ht="15" hidden="false" customHeight="false" outlineLevel="0" collapsed="false">
      <c r="A18789" s="3" t="s">
        <v>558</v>
      </c>
      <c r="C18789" s="16" t="n">
        <f aca="false">C18657-C18767</f>
        <v>4.1808730632</v>
      </c>
    </row>
    <row r="18790" customFormat="false" ht="15" hidden="false" customHeight="false" outlineLevel="0" collapsed="false">
      <c r="A18790" s="3" t="s">
        <v>559</v>
      </c>
      <c r="C18790" s="16" t="n">
        <f aca="false">C18658-C18768</f>
        <v>0</v>
      </c>
    </row>
    <row r="18791" customFormat="false" ht="15" hidden="false" customHeight="false" outlineLevel="0" collapsed="false">
      <c r="A18791" s="3" t="s">
        <v>560</v>
      </c>
      <c r="C18791" s="16" t="n">
        <f aca="false">C18659-C18769</f>
        <v>0</v>
      </c>
    </row>
    <row r="18792" customFormat="false" ht="15" hidden="false" customHeight="false" outlineLevel="0" collapsed="false">
      <c r="A18792" s="3" t="s">
        <v>561</v>
      </c>
      <c r="C18792" s="16" t="n">
        <f aca="false">C18660-C18770</f>
        <v>0</v>
      </c>
    </row>
    <row r="18793" customFormat="false" ht="15" hidden="false" customHeight="false" outlineLevel="0" collapsed="false">
      <c r="A18793" s="3" t="s">
        <v>562</v>
      </c>
      <c r="C18793" s="16" t="n">
        <f aca="false">C18661-C18771</f>
        <v>0</v>
      </c>
    </row>
    <row r="18794" customFormat="false" ht="15" hidden="false" customHeight="false" outlineLevel="0" collapsed="false">
      <c r="A18794" s="3" t="s">
        <v>563</v>
      </c>
      <c r="C18794" s="16" t="n">
        <f aca="false">C18662-C18772</f>
        <v>0</v>
      </c>
    </row>
    <row r="18795" customFormat="false" ht="15" hidden="false" customHeight="false" outlineLevel="0" collapsed="false">
      <c r="A18795" s="3" t="s">
        <v>564</v>
      </c>
      <c r="C18795" s="16" t="n">
        <f aca="false">C18663-C18773</f>
        <v>0</v>
      </c>
    </row>
    <row r="18796" customFormat="false" ht="15" hidden="false" customHeight="false" outlineLevel="0" collapsed="false">
      <c r="A18796" s="3" t="s">
        <v>565</v>
      </c>
      <c r="C18796" s="16" t="n">
        <f aca="false">C18664-C18774</f>
        <v>75.3146242232003</v>
      </c>
    </row>
    <row r="18797" customFormat="false" ht="15" hidden="false" customHeight="false" outlineLevel="0" collapsed="false">
      <c r="A18797" s="24" t="s">
        <v>578</v>
      </c>
      <c r="B18797" s="25"/>
      <c r="C18797" s="25"/>
      <c r="D18797" s="25"/>
      <c r="E18797" s="25"/>
      <c r="F18797" s="25"/>
      <c r="G18797" s="25"/>
      <c r="H18797" s="25"/>
      <c r="I18797" s="25"/>
      <c r="J18797" s="25"/>
      <c r="K18797" s="25"/>
    </row>
    <row r="18798" customFormat="false" ht="15" hidden="false" customHeight="false" outlineLevel="0" collapsed="false">
      <c r="A18798" s="3" t="s">
        <v>556</v>
      </c>
      <c r="C18798" s="22" t="n">
        <f aca="false">IF(C18655=0,0,C18787/C18655)</f>
        <v>0</v>
      </c>
    </row>
    <row r="18799" customFormat="false" ht="15" hidden="false" customHeight="false" outlineLevel="0" collapsed="false">
      <c r="A18799" s="3" t="s">
        <v>557</v>
      </c>
      <c r="C18799" s="22" t="n">
        <f aca="false">IF(C18656=0,0,C18788/C18656)</f>
        <v>0.0673593774163608</v>
      </c>
    </row>
    <row r="18800" customFormat="false" ht="15" hidden="false" customHeight="false" outlineLevel="0" collapsed="false">
      <c r="A18800" s="3" t="s">
        <v>558</v>
      </c>
      <c r="C18800" s="22" t="n">
        <f aca="false">IF(C18657=0,0,C18789/C18657)</f>
        <v>0.0716251283593048</v>
      </c>
    </row>
    <row r="18801" customFormat="false" ht="15" hidden="false" customHeight="false" outlineLevel="0" collapsed="false">
      <c r="A18801" s="3" t="s">
        <v>559</v>
      </c>
      <c r="C18801" s="22" t="n">
        <f aca="false">IF(C18658=0,0,C18790/C18658)</f>
        <v>0</v>
      </c>
    </row>
    <row r="18802" customFormat="false" ht="15" hidden="false" customHeight="false" outlineLevel="0" collapsed="false">
      <c r="A18802" s="3" t="s">
        <v>560</v>
      </c>
      <c r="C18802" s="22" t="n">
        <f aca="false">IF(C18659=0,0,C18791/C18659)</f>
        <v>0</v>
      </c>
    </row>
    <row r="18803" customFormat="false" ht="15" hidden="false" customHeight="false" outlineLevel="0" collapsed="false">
      <c r="A18803" s="3" t="s">
        <v>561</v>
      </c>
      <c r="C18803" s="22" t="n">
        <f aca="false">IF(C18660=0,0,C18792/C18660)</f>
        <v>0</v>
      </c>
    </row>
    <row r="18804" customFormat="false" ht="15" hidden="false" customHeight="false" outlineLevel="0" collapsed="false">
      <c r="A18804" s="3" t="s">
        <v>562</v>
      </c>
      <c r="C18804" s="22" t="n">
        <f aca="false">IF(C18661=0,0,C18793/C18661)</f>
        <v>0</v>
      </c>
    </row>
    <row r="18805" customFormat="false" ht="15" hidden="false" customHeight="false" outlineLevel="0" collapsed="false">
      <c r="A18805" s="3" t="s">
        <v>563</v>
      </c>
      <c r="C18805" s="22" t="n">
        <f aca="false">IF(C18662=0,0,C18794/C18662)</f>
        <v>0</v>
      </c>
    </row>
    <row r="18806" customFormat="false" ht="15" hidden="false" customHeight="false" outlineLevel="0" collapsed="false">
      <c r="A18806" s="3" t="s">
        <v>564</v>
      </c>
      <c r="C18806" s="22" t="n">
        <f aca="false">IF(C18663=0,0,C18795/C18663)</f>
        <v>0</v>
      </c>
    </row>
    <row r="18807" customFormat="false" ht="15" hidden="false" customHeight="false" outlineLevel="0" collapsed="false">
      <c r="A18807" s="3" t="s">
        <v>565</v>
      </c>
      <c r="C18807" s="22" t="n">
        <f aca="false">IF(C18664=0,0,C18796/C18664)</f>
        <v>0.93869537347503</v>
      </c>
    </row>
    <row r="18808" customFormat="false" ht="15" hidden="false" customHeight="false" outlineLevel="0" collapsed="false">
      <c r="A18808" s="2" t="s">
        <v>579</v>
      </c>
      <c r="C18808" s="17" t="n">
        <f aca="false">MAX(0,$C$18653-SUM($C$18688:$C$18697)-SUM($C$18710:$C$18719))</f>
        <v>0</v>
      </c>
    </row>
    <row r="18809" customFormat="false" ht="15" hidden="false" customHeight="false" outlineLevel="0" collapsed="false">
      <c r="A18809" s="3" t="s">
        <v>580</v>
      </c>
      <c r="C18809" s="16" t="n">
        <f aca="false">SUM($C$18765:$C$18774)+C18808+C18652-C18651</f>
        <v>0</v>
      </c>
    </row>
    <row r="18811" customFormat="false" ht="15" hidden="false" customHeight="false" outlineLevel="0" collapsed="false">
      <c r="A18811" s="24" t="s">
        <v>583</v>
      </c>
      <c r="B18811" s="25"/>
      <c r="C18811" s="25"/>
      <c r="D18811" s="25"/>
      <c r="E18811" s="25"/>
      <c r="F18811" s="25"/>
      <c r="G18811" s="25"/>
      <c r="H18811" s="25"/>
      <c r="I18811" s="25"/>
      <c r="J18811" s="25"/>
      <c r="K18811" s="25"/>
    </row>
    <row r="18812" customFormat="false" ht="15" hidden="false" customHeight="false" outlineLevel="0" collapsed="false">
      <c r="A18812" s="3" t="s">
        <v>584</v>
      </c>
      <c r="C18812" s="27" t="n">
        <f aca="false">Assumptions!$C$34</f>
        <v>1</v>
      </c>
    </row>
    <row r="18813" customFormat="false" ht="15" hidden="false" customHeight="false" outlineLevel="0" collapsed="false">
      <c r="A18813" s="3" t="s">
        <v>585</v>
      </c>
      <c r="C18813" s="29" t="n">
        <f aca="false">Assumptions!$C$35</f>
        <v>100</v>
      </c>
    </row>
    <row r="18814" customFormat="false" ht="15" hidden="false" customHeight="false" outlineLevel="0" collapsed="false">
      <c r="A18814" s="3" t="s">
        <v>586</v>
      </c>
      <c r="C18814" s="40" t="n">
        <f aca="false">Assumptions!$C$36</f>
        <v>98</v>
      </c>
    </row>
    <row r="18815" customFormat="false" ht="15" hidden="false" customHeight="false" outlineLevel="0" collapsed="false">
      <c r="A18815" s="3" t="s">
        <v>587</v>
      </c>
      <c r="C18815" s="16" t="n">
        <f aca="false">C18813*C18814/100*(1+Assumptions!$C$37)</f>
        <v>98.49</v>
      </c>
    </row>
    <row r="18816" customFormat="false" ht="15" hidden="false" customHeight="false" outlineLevel="0" collapsed="false">
      <c r="A18816" s="3" t="s">
        <v>588</v>
      </c>
      <c r="C18816" s="27" t="n">
        <f aca="false">Assumptions!$C$38</f>
        <v>3</v>
      </c>
    </row>
    <row r="18817" customFormat="false" ht="15" hidden="false" customHeight="false" outlineLevel="0" collapsed="false">
      <c r="A18817" s="3" t="s">
        <v>589</v>
      </c>
      <c r="C18817" s="21" t="n">
        <f aca="false">IF(C18644=1,SUMPRODUCT($G$18580:$K$18580,$G$18354:$K$18354),0)</f>
        <v>2</v>
      </c>
    </row>
    <row r="18818" customFormat="false" ht="15" hidden="false" customHeight="false" outlineLevel="0" collapsed="false">
      <c r="A18818" s="3" t="s">
        <v>590</v>
      </c>
      <c r="C18818" s="22" t="n">
        <f aca="false">IFERROR(C18813/CHOOSE(C18812,SUMPRODUCT($G$18643:$K$18643,$G$18400:$K$18400),SUMPRODUCT($G$18643:$K$18643,$G$18413:$K$18413),SUMPRODUCT($G$18643:$K$18643,$G$18426:$K$18426),SUMPRODUCT($G$18643:$K$18643,$G$18439:$K$18439),SUMPRODUCT($G$18643:$K$18643,$G$18452:$K$18452),SUMPRODUCT($G$18643:$K$18643,$G$18465:$K$18465),SUMPRODUCT($G$18643:$K$18643,$G$18478:$K$18478),SUMPRODUCT($G$18643:$K$18643,$G$18491:$K$18491),SUMPRODUCT($G$18643:$K$18643,$G$18504:$K$18504),SUMPRODUCT($G$18643:$K$18643,$G$18517:$K$18517)),0)</f>
        <v>0.255102040816327</v>
      </c>
    </row>
    <row r="18819" customFormat="false" ht="15" hidden="false" customHeight="false" outlineLevel="0" collapsed="false">
      <c r="A18819" s="3" t="s">
        <v>591</v>
      </c>
      <c r="C18819" s="16" t="n">
        <f aca="false">CHOOSE(C18812,C18765,C18766,C18767,C18768,C18769,C18770,C18771,C18772,C18773,C18774)*C18818</f>
        <v>103</v>
      </c>
    </row>
    <row r="18820" customFormat="false" ht="15" hidden="false" customHeight="false" outlineLevel="0" collapsed="false">
      <c r="A18820" s="3" t="s">
        <v>592</v>
      </c>
      <c r="C18820" s="22" t="n">
        <f aca="false">CHOOSE(C18812,C18776,C18777,C18778,C18779,C18780,C18781,C18782,C18783,C18784,C18785)</f>
        <v>1</v>
      </c>
    </row>
    <row r="18821" customFormat="false" ht="15" hidden="false" customHeight="false" outlineLevel="0" collapsed="false">
      <c r="A18821" s="3" t="s">
        <v>593</v>
      </c>
      <c r="C18821" s="21" t="n">
        <f aca="false">IF(C18644=1,C18817,C18816)</f>
        <v>2</v>
      </c>
    </row>
    <row r="18822" customFormat="false" ht="15" hidden="false" customHeight="false" outlineLevel="0" collapsed="false">
      <c r="A18822" s="3" t="s">
        <v>594</v>
      </c>
      <c r="C18822" s="35" t="n">
        <f aca="false">CHOOSE($C$18346,Assumptions!$C$91,Assumptions!$C$110,Assumptions!$C$129)</f>
        <v>85</v>
      </c>
    </row>
    <row r="18823" customFormat="false" ht="15" hidden="false" customHeight="false" outlineLevel="0" collapsed="false">
      <c r="A18823" s="3" t="s">
        <v>595</v>
      </c>
      <c r="C18823" s="16" t="n">
        <f aca="false">INDEX($G$18363:$K$18363,C18816)*CHOOSE($C$18346,Assumptions!$C$90,Assumptions!$C$109,Assumptions!$C$128)+MAX(0,INDEX($G$18577:$K$18577,C18816))</f>
        <v>1162.205457453</v>
      </c>
    </row>
    <row r="18824" customFormat="false" ht="15" hidden="false" customHeight="false" outlineLevel="0" collapsed="false">
      <c r="A18824" s="24" t="s">
        <v>596</v>
      </c>
      <c r="B18824" s="25"/>
      <c r="C18824" s="25"/>
      <c r="D18824" s="25"/>
      <c r="E18824" s="25"/>
      <c r="F18824" s="25"/>
      <c r="G18824" s="25"/>
      <c r="H18824" s="25"/>
      <c r="I18824" s="25"/>
      <c r="J18824" s="25"/>
      <c r="K18824" s="25"/>
    </row>
    <row r="18825" customFormat="false" ht="15" hidden="false" customHeight="false" outlineLevel="0" collapsed="false">
      <c r="A18825" s="3" t="s">
        <v>556</v>
      </c>
      <c r="C18825" s="16" t="n">
        <f aca="false">INDEX($G$18400:$K$18400,C18816)</f>
        <v>388</v>
      </c>
    </row>
    <row r="18826" customFormat="false" ht="15" hidden="false" customHeight="false" outlineLevel="0" collapsed="false">
      <c r="A18826" s="3" t="s">
        <v>557</v>
      </c>
      <c r="C18826" s="16" t="n">
        <f aca="false">INDEX($G$18413:$K$18413,C18816)</f>
        <v>90</v>
      </c>
    </row>
    <row r="18827" customFormat="false" ht="15" hidden="false" customHeight="false" outlineLevel="0" collapsed="false">
      <c r="A18827" s="3" t="s">
        <v>558</v>
      </c>
      <c r="C18827" s="16" t="n">
        <f aca="false">INDEX($G$18426:$K$18426,C18816)</f>
        <v>57.324</v>
      </c>
    </row>
    <row r="18828" customFormat="false" ht="15" hidden="false" customHeight="false" outlineLevel="0" collapsed="false">
      <c r="A18828" s="3" t="s">
        <v>559</v>
      </c>
      <c r="C18828" s="16" t="n">
        <f aca="false">INDEX($G$18439:$K$18439,C18816)</f>
        <v>0</v>
      </c>
    </row>
    <row r="18829" customFormat="false" ht="15" hidden="false" customHeight="false" outlineLevel="0" collapsed="false">
      <c r="A18829" s="3" t="s">
        <v>560</v>
      </c>
      <c r="C18829" s="16" t="n">
        <f aca="false">INDEX($G$18452:$K$18452,C18816)</f>
        <v>450</v>
      </c>
    </row>
    <row r="18830" customFormat="false" ht="15" hidden="false" customHeight="false" outlineLevel="0" collapsed="false">
      <c r="A18830" s="3" t="s">
        <v>561</v>
      </c>
      <c r="C18830" s="16" t="n">
        <f aca="false">INDEX($G$18465:$K$18465,C18816)</f>
        <v>350</v>
      </c>
    </row>
    <row r="18831" customFormat="false" ht="15" hidden="false" customHeight="false" outlineLevel="0" collapsed="false">
      <c r="A18831" s="3" t="s">
        <v>562</v>
      </c>
      <c r="C18831" s="16" t="n">
        <f aca="false">INDEX($G$18478:$K$18478,C18816)</f>
        <v>550</v>
      </c>
    </row>
    <row r="18832" customFormat="false" ht="15" hidden="false" customHeight="false" outlineLevel="0" collapsed="false">
      <c r="A18832" s="3" t="s">
        <v>563</v>
      </c>
      <c r="C18832" s="16" t="n">
        <f aca="false">INDEX($G$18491:$K$18491,C18816)</f>
        <v>350</v>
      </c>
    </row>
    <row r="18833" customFormat="false" ht="15" hidden="false" customHeight="false" outlineLevel="0" collapsed="false">
      <c r="A18833" s="3" t="s">
        <v>564</v>
      </c>
      <c r="C18833" s="16" t="n">
        <f aca="false">INDEX($G$18504:$K$18504,C18816)</f>
        <v>300</v>
      </c>
    </row>
    <row r="18834" customFormat="false" ht="15" hidden="false" customHeight="false" outlineLevel="0" collapsed="false">
      <c r="A18834" s="3" t="s">
        <v>565</v>
      </c>
      <c r="C18834" s="16" t="n">
        <f aca="false">INDEX($G$18517:$K$18517,C18816)</f>
        <v>78.61</v>
      </c>
    </row>
    <row r="18835" customFormat="false" ht="15" hidden="false" customHeight="false" outlineLevel="0" collapsed="false">
      <c r="A18835" s="24" t="s">
        <v>566</v>
      </c>
      <c r="B18835" s="25"/>
      <c r="C18835" s="25"/>
      <c r="D18835" s="25"/>
      <c r="E18835" s="25"/>
      <c r="F18835" s="25"/>
      <c r="G18835" s="25"/>
      <c r="H18835" s="25"/>
      <c r="I18835" s="25"/>
      <c r="J18835" s="25"/>
      <c r="K18835" s="25"/>
    </row>
    <row r="18836" customFormat="false" ht="15" hidden="false" customHeight="false" outlineLevel="0" collapsed="false">
      <c r="A18836" s="3" t="s">
        <v>556</v>
      </c>
      <c r="C18836" s="27" t="n">
        <f aca="false">Assumptions!$M$57</f>
        <v>1</v>
      </c>
    </row>
    <row r="18837" customFormat="false" ht="15" hidden="false" customHeight="false" outlineLevel="0" collapsed="false">
      <c r="A18837" s="3" t="s">
        <v>557</v>
      </c>
      <c r="C18837" s="27" t="n">
        <f aca="false">Assumptions!$M$58</f>
        <v>1</v>
      </c>
    </row>
    <row r="18838" customFormat="false" ht="15" hidden="false" customHeight="false" outlineLevel="0" collapsed="false">
      <c r="A18838" s="3" t="s">
        <v>558</v>
      </c>
      <c r="C18838" s="27" t="n">
        <f aca="false">Assumptions!$M$59</f>
        <v>1</v>
      </c>
    </row>
    <row r="18839" customFormat="false" ht="15" hidden="false" customHeight="false" outlineLevel="0" collapsed="false">
      <c r="A18839" s="3" t="s">
        <v>559</v>
      </c>
      <c r="C18839" s="27" t="n">
        <f aca="false">Assumptions!$M$60</f>
        <v>2</v>
      </c>
    </row>
    <row r="18840" customFormat="false" ht="15" hidden="false" customHeight="false" outlineLevel="0" collapsed="false">
      <c r="A18840" s="3" t="s">
        <v>560</v>
      </c>
      <c r="C18840" s="27" t="n">
        <f aca="false">Assumptions!$M$61</f>
        <v>2</v>
      </c>
    </row>
    <row r="18841" customFormat="false" ht="15" hidden="false" customHeight="false" outlineLevel="0" collapsed="false">
      <c r="A18841" s="3" t="s">
        <v>561</v>
      </c>
      <c r="C18841" s="27" t="n">
        <f aca="false">Assumptions!$M$62</f>
        <v>2</v>
      </c>
    </row>
    <row r="18842" customFormat="false" ht="15" hidden="false" customHeight="false" outlineLevel="0" collapsed="false">
      <c r="A18842" s="3" t="s">
        <v>562</v>
      </c>
      <c r="C18842" s="27" t="n">
        <f aca="false">Assumptions!$M$63</f>
        <v>2</v>
      </c>
    </row>
    <row r="18843" customFormat="false" ht="15" hidden="false" customHeight="false" outlineLevel="0" collapsed="false">
      <c r="A18843" s="3" t="s">
        <v>563</v>
      </c>
      <c r="C18843" s="27" t="n">
        <f aca="false">Assumptions!$M$64</f>
        <v>2</v>
      </c>
    </row>
    <row r="18844" customFormat="false" ht="15" hidden="false" customHeight="false" outlineLevel="0" collapsed="false">
      <c r="A18844" s="3" t="s">
        <v>564</v>
      </c>
      <c r="C18844" s="27" t="n">
        <f aca="false">Assumptions!$M$65</f>
        <v>2</v>
      </c>
    </row>
    <row r="18845" customFormat="false" ht="15" hidden="false" customHeight="false" outlineLevel="0" collapsed="false">
      <c r="A18845" s="3" t="s">
        <v>565</v>
      </c>
      <c r="C18845" s="27" t="n">
        <f aca="false">Assumptions!$M$66</f>
        <v>3</v>
      </c>
    </row>
    <row r="18846" customFormat="false" ht="15" hidden="false" customHeight="false" outlineLevel="0" collapsed="false">
      <c r="A18846" s="24" t="s">
        <v>567</v>
      </c>
      <c r="B18846" s="25"/>
      <c r="C18846" s="25"/>
      <c r="D18846" s="25"/>
      <c r="E18846" s="25"/>
      <c r="F18846" s="25"/>
      <c r="G18846" s="25"/>
      <c r="H18846" s="25"/>
      <c r="I18846" s="25"/>
      <c r="J18846" s="25"/>
      <c r="K18846" s="25"/>
    </row>
    <row r="18847" customFormat="false" ht="15" hidden="false" customHeight="false" outlineLevel="0" collapsed="false">
      <c r="A18847" s="3" t="s">
        <v>556</v>
      </c>
      <c r="C18847" s="33" t="n">
        <f aca="false">Assumptions!$Q$57</f>
        <v>0.3</v>
      </c>
    </row>
    <row r="18848" customFormat="false" ht="15" hidden="false" customHeight="false" outlineLevel="0" collapsed="false">
      <c r="A18848" s="3" t="s">
        <v>557</v>
      </c>
      <c r="C18848" s="33" t="n">
        <f aca="false">Assumptions!$Q$58</f>
        <v>0.033</v>
      </c>
    </row>
    <row r="18849" customFormat="false" ht="15" hidden="false" customHeight="false" outlineLevel="0" collapsed="false">
      <c r="A18849" s="3" t="s">
        <v>558</v>
      </c>
      <c r="C18849" s="33" t="n">
        <f aca="false">Assumptions!$Q$59</f>
        <v>0.021</v>
      </c>
    </row>
    <row r="18850" customFormat="false" ht="15" hidden="false" customHeight="false" outlineLevel="0" collapsed="false">
      <c r="A18850" s="3" t="s">
        <v>559</v>
      </c>
      <c r="C18850" s="33" t="n">
        <f aca="false">Assumptions!$Q$60</f>
        <v>0</v>
      </c>
    </row>
    <row r="18851" customFormat="false" ht="15" hidden="false" customHeight="false" outlineLevel="0" collapsed="false">
      <c r="A18851" s="3" t="s">
        <v>560</v>
      </c>
      <c r="C18851" s="33" t="n">
        <f aca="false">Assumptions!$Q$61</f>
        <v>0</v>
      </c>
    </row>
    <row r="18852" customFormat="false" ht="15" hidden="false" customHeight="false" outlineLevel="0" collapsed="false">
      <c r="A18852" s="3" t="s">
        <v>561</v>
      </c>
      <c r="C18852" s="33" t="n">
        <f aca="false">Assumptions!$Q$62</f>
        <v>0</v>
      </c>
    </row>
    <row r="18853" customFormat="false" ht="15" hidden="false" customHeight="false" outlineLevel="0" collapsed="false">
      <c r="A18853" s="3" t="s">
        <v>562</v>
      </c>
      <c r="C18853" s="33" t="n">
        <f aca="false">Assumptions!$Q$63</f>
        <v>0</v>
      </c>
    </row>
    <row r="18854" customFormat="false" ht="15" hidden="false" customHeight="false" outlineLevel="0" collapsed="false">
      <c r="A18854" s="3" t="s">
        <v>563</v>
      </c>
      <c r="C18854" s="33" t="n">
        <f aca="false">Assumptions!$Q$64</f>
        <v>0</v>
      </c>
    </row>
    <row r="18855" customFormat="false" ht="15" hidden="false" customHeight="false" outlineLevel="0" collapsed="false">
      <c r="A18855" s="3" t="s">
        <v>564</v>
      </c>
      <c r="C18855" s="33" t="n">
        <f aca="false">Assumptions!$Q$65</f>
        <v>0</v>
      </c>
    </row>
    <row r="18856" customFormat="false" ht="15" hidden="false" customHeight="false" outlineLevel="0" collapsed="false">
      <c r="A18856" s="3" t="s">
        <v>565</v>
      </c>
      <c r="C18856" s="33" t="n">
        <f aca="false">Assumptions!$Q$66</f>
        <v>0</v>
      </c>
    </row>
    <row r="18857" customFormat="false" ht="15" hidden="false" customHeight="false" outlineLevel="0" collapsed="false">
      <c r="A18857" s="24" t="s">
        <v>568</v>
      </c>
      <c r="B18857" s="25"/>
      <c r="C18857" s="25"/>
      <c r="D18857" s="25"/>
      <c r="E18857" s="25"/>
      <c r="F18857" s="25"/>
      <c r="G18857" s="25"/>
      <c r="H18857" s="25"/>
      <c r="I18857" s="25"/>
      <c r="J18857" s="25"/>
      <c r="K18857" s="25"/>
    </row>
    <row r="18858" customFormat="false" ht="15" hidden="false" customHeight="false" outlineLevel="0" collapsed="false">
      <c r="A18858" s="3" t="s">
        <v>556</v>
      </c>
      <c r="C18858" s="16" t="n">
        <f aca="false">IF(C18847&gt;0,MIN(C18825,C18847*$C$18823),0)</f>
        <v>348.6616372359</v>
      </c>
    </row>
    <row r="18859" customFormat="false" ht="15" hidden="false" customHeight="false" outlineLevel="0" collapsed="false">
      <c r="A18859" s="3" t="s">
        <v>557</v>
      </c>
      <c r="C18859" s="16" t="n">
        <f aca="false">IF(C18848&gt;0,MIN(C18826,C18848*$C$18823),0)</f>
        <v>38.352780095949</v>
      </c>
    </row>
    <row r="18860" customFormat="false" ht="15" hidden="false" customHeight="false" outlineLevel="0" collapsed="false">
      <c r="A18860" s="3" t="s">
        <v>558</v>
      </c>
      <c r="C18860" s="16" t="n">
        <f aca="false">IF(C18849&gt;0,MIN(C18827,C18849*$C$18823),0)</f>
        <v>24.406314606513</v>
      </c>
    </row>
    <row r="18861" customFormat="false" ht="15" hidden="false" customHeight="false" outlineLevel="0" collapsed="false">
      <c r="A18861" s="3" t="s">
        <v>559</v>
      </c>
      <c r="C18861" s="16" t="n">
        <f aca="false">IF(C18850&gt;0,MIN(C18828,C18850*$C$18823),0)</f>
        <v>0</v>
      </c>
    </row>
    <row r="18862" customFormat="false" ht="15" hidden="false" customHeight="false" outlineLevel="0" collapsed="false">
      <c r="A18862" s="3" t="s">
        <v>560</v>
      </c>
      <c r="C18862" s="16" t="n">
        <f aca="false">IF(C18851&gt;0,MIN(C18829,C18851*$C$18823),0)</f>
        <v>0</v>
      </c>
    </row>
    <row r="18863" customFormat="false" ht="15" hidden="false" customHeight="false" outlineLevel="0" collapsed="false">
      <c r="A18863" s="3" t="s">
        <v>561</v>
      </c>
      <c r="C18863" s="16" t="n">
        <f aca="false">IF(C18852&gt;0,MIN(C18830,C18852*$C$18823),0)</f>
        <v>0</v>
      </c>
    </row>
    <row r="18864" customFormat="false" ht="15" hidden="false" customHeight="false" outlineLevel="0" collapsed="false">
      <c r="A18864" s="3" t="s">
        <v>562</v>
      </c>
      <c r="C18864" s="16" t="n">
        <f aca="false">IF(C18853&gt;0,MIN(C18831,C18853*$C$18823),0)</f>
        <v>0</v>
      </c>
    </row>
    <row r="18865" customFormat="false" ht="15" hidden="false" customHeight="false" outlineLevel="0" collapsed="false">
      <c r="A18865" s="3" t="s">
        <v>563</v>
      </c>
      <c r="C18865" s="16" t="n">
        <f aca="false">IF(C18854&gt;0,MIN(C18832,C18854*$C$18823),0)</f>
        <v>0</v>
      </c>
    </row>
    <row r="18866" customFormat="false" ht="15" hidden="false" customHeight="false" outlineLevel="0" collapsed="false">
      <c r="A18866" s="3" t="s">
        <v>564</v>
      </c>
      <c r="C18866" s="16" t="n">
        <f aca="false">IF(C18855&gt;0,MIN(C18833,C18855*$C$18823),0)</f>
        <v>0</v>
      </c>
    </row>
    <row r="18867" customFormat="false" ht="15" hidden="false" customHeight="false" outlineLevel="0" collapsed="false">
      <c r="A18867" s="3" t="s">
        <v>565</v>
      </c>
      <c r="C18867" s="16" t="n">
        <f aca="false">IF(C18856&gt;0,MIN(C18834,C18856*$C$18823),0)</f>
        <v>0</v>
      </c>
    </row>
    <row r="18868" customFormat="false" ht="15" hidden="false" customHeight="false" outlineLevel="0" collapsed="false">
      <c r="A18868" s="24" t="s">
        <v>569</v>
      </c>
      <c r="B18868" s="25"/>
      <c r="C18868" s="25"/>
      <c r="D18868" s="25"/>
      <c r="E18868" s="25"/>
      <c r="F18868" s="25"/>
      <c r="G18868" s="25"/>
      <c r="H18868" s="25"/>
      <c r="I18868" s="25"/>
      <c r="J18868" s="25"/>
      <c r="K18868" s="25"/>
    </row>
    <row r="18869" customFormat="false" ht="15" hidden="false" customHeight="false" outlineLevel="0" collapsed="false">
      <c r="A18869" s="3" t="s">
        <v>556</v>
      </c>
      <c r="C18869" s="16" t="n">
        <f aca="false">IF(C18847&gt;0,C18825-C18858,0)</f>
        <v>39.3383627640999</v>
      </c>
    </row>
    <row r="18870" customFormat="false" ht="15" hidden="false" customHeight="false" outlineLevel="0" collapsed="false">
      <c r="A18870" s="3" t="s">
        <v>557</v>
      </c>
      <c r="C18870" s="16" t="n">
        <f aca="false">IF(C18848&gt;0,C18826-C18859,0)</f>
        <v>51.647219904051</v>
      </c>
    </row>
    <row r="18871" customFormat="false" ht="15" hidden="false" customHeight="false" outlineLevel="0" collapsed="false">
      <c r="A18871" s="3" t="s">
        <v>558</v>
      </c>
      <c r="C18871" s="16" t="n">
        <f aca="false">IF(C18849&gt;0,C18827-C18860,0)</f>
        <v>32.917685393487</v>
      </c>
    </row>
    <row r="18872" customFormat="false" ht="15" hidden="false" customHeight="false" outlineLevel="0" collapsed="false">
      <c r="A18872" s="3" t="s">
        <v>559</v>
      </c>
      <c r="C18872" s="16" t="n">
        <f aca="false">IF(C18850&gt;0,C18828-C18861,0)</f>
        <v>0</v>
      </c>
    </row>
    <row r="18873" customFormat="false" ht="15" hidden="false" customHeight="false" outlineLevel="0" collapsed="false">
      <c r="A18873" s="3" t="s">
        <v>560</v>
      </c>
      <c r="C18873" s="16" t="n">
        <f aca="false">IF(C18851&gt;0,C18829-C18862,0)</f>
        <v>0</v>
      </c>
    </row>
    <row r="18874" customFormat="false" ht="15" hidden="false" customHeight="false" outlineLevel="0" collapsed="false">
      <c r="A18874" s="3" t="s">
        <v>561</v>
      </c>
      <c r="C18874" s="16" t="n">
        <f aca="false">IF(C18852&gt;0,C18830-C18863,0)</f>
        <v>0</v>
      </c>
    </row>
    <row r="18875" customFormat="false" ht="15" hidden="false" customHeight="false" outlineLevel="0" collapsed="false">
      <c r="A18875" s="3" t="s">
        <v>562</v>
      </c>
      <c r="C18875" s="16" t="n">
        <f aca="false">IF(C18853&gt;0,C18831-C18864,0)</f>
        <v>0</v>
      </c>
    </row>
    <row r="18876" customFormat="false" ht="15" hidden="false" customHeight="false" outlineLevel="0" collapsed="false">
      <c r="A18876" s="3" t="s">
        <v>563</v>
      </c>
      <c r="C18876" s="16" t="n">
        <f aca="false">IF(C18854&gt;0,C18832-C18865,0)</f>
        <v>0</v>
      </c>
    </row>
    <row r="18877" customFormat="false" ht="15" hidden="false" customHeight="false" outlineLevel="0" collapsed="false">
      <c r="A18877" s="3" t="s">
        <v>564</v>
      </c>
      <c r="C18877" s="16" t="n">
        <f aca="false">IF(C18855&gt;0,C18833-C18866,0)</f>
        <v>0</v>
      </c>
    </row>
    <row r="18878" customFormat="false" ht="15" hidden="false" customHeight="false" outlineLevel="0" collapsed="false">
      <c r="A18878" s="3" t="s">
        <v>565</v>
      </c>
      <c r="C18878" s="16" t="n">
        <f aca="false">IF(C18856&gt;0,C18834-C18867,0)</f>
        <v>0</v>
      </c>
    </row>
    <row r="18879" customFormat="false" ht="15" hidden="false" customHeight="false" outlineLevel="0" collapsed="false">
      <c r="A18879" s="24" t="s">
        <v>570</v>
      </c>
      <c r="B18879" s="25"/>
      <c r="C18879" s="25"/>
      <c r="D18879" s="25"/>
      <c r="E18879" s="25"/>
      <c r="F18879" s="25"/>
      <c r="G18879" s="25"/>
      <c r="H18879" s="25"/>
      <c r="I18879" s="25"/>
      <c r="J18879" s="25"/>
      <c r="K18879" s="25"/>
    </row>
    <row r="18880" customFormat="false" ht="15" hidden="false" customHeight="false" outlineLevel="0" collapsed="false">
      <c r="A18880" s="3" t="s">
        <v>556</v>
      </c>
      <c r="C18880" s="16" t="n">
        <f aca="false">IF(C18847&gt;0,C18869,C18825)</f>
        <v>39.3383627640999</v>
      </c>
    </row>
    <row r="18881" customFormat="false" ht="15" hidden="false" customHeight="false" outlineLevel="0" collapsed="false">
      <c r="A18881" s="3" t="s">
        <v>557</v>
      </c>
      <c r="C18881" s="16" t="n">
        <f aca="false">IF(C18848&gt;0,C18870,C18826)</f>
        <v>51.647219904051</v>
      </c>
    </row>
    <row r="18882" customFormat="false" ht="15" hidden="false" customHeight="false" outlineLevel="0" collapsed="false">
      <c r="A18882" s="3" t="s">
        <v>558</v>
      </c>
      <c r="C18882" s="16" t="n">
        <f aca="false">IF(C18849&gt;0,C18871,C18827)</f>
        <v>32.917685393487</v>
      </c>
    </row>
    <row r="18883" customFormat="false" ht="15" hidden="false" customHeight="false" outlineLevel="0" collapsed="false">
      <c r="A18883" s="3" t="s">
        <v>559</v>
      </c>
      <c r="C18883" s="16" t="n">
        <f aca="false">IF(C18850&gt;0,C18872,C18828)</f>
        <v>0</v>
      </c>
    </row>
    <row r="18884" customFormat="false" ht="15" hidden="false" customHeight="false" outlineLevel="0" collapsed="false">
      <c r="A18884" s="3" t="s">
        <v>560</v>
      </c>
      <c r="C18884" s="16" t="n">
        <f aca="false">IF(C18851&gt;0,C18873,C18829)</f>
        <v>450</v>
      </c>
    </row>
    <row r="18885" customFormat="false" ht="15" hidden="false" customHeight="false" outlineLevel="0" collapsed="false">
      <c r="A18885" s="3" t="s">
        <v>561</v>
      </c>
      <c r="C18885" s="16" t="n">
        <f aca="false">IF(C18852&gt;0,C18874,C18830)</f>
        <v>350</v>
      </c>
    </row>
    <row r="18886" customFormat="false" ht="15" hidden="false" customHeight="false" outlineLevel="0" collapsed="false">
      <c r="A18886" s="3" t="s">
        <v>562</v>
      </c>
      <c r="C18886" s="16" t="n">
        <f aca="false">IF(C18853&gt;0,C18875,C18831)</f>
        <v>550</v>
      </c>
    </row>
    <row r="18887" customFormat="false" ht="15" hidden="false" customHeight="false" outlineLevel="0" collapsed="false">
      <c r="A18887" s="3" t="s">
        <v>563</v>
      </c>
      <c r="C18887" s="16" t="n">
        <f aca="false">IF(C18854&gt;0,C18876,C18832)</f>
        <v>350</v>
      </c>
    </row>
    <row r="18888" customFormat="false" ht="15" hidden="false" customHeight="false" outlineLevel="0" collapsed="false">
      <c r="A18888" s="3" t="s">
        <v>564</v>
      </c>
      <c r="C18888" s="16" t="n">
        <f aca="false">IF(C18855&gt;0,C18877,C18833)</f>
        <v>300</v>
      </c>
    </row>
    <row r="18889" customFormat="false" ht="15" hidden="false" customHeight="false" outlineLevel="0" collapsed="false">
      <c r="A18889" s="3" t="s">
        <v>565</v>
      </c>
      <c r="C18889" s="16" t="n">
        <f aca="false">IF(C18856&gt;0,C18878,C18834)</f>
        <v>78.61</v>
      </c>
    </row>
    <row r="18890" customFormat="false" ht="15" hidden="false" customHeight="false" outlineLevel="0" collapsed="false">
      <c r="A18890" s="24" t="s">
        <v>571</v>
      </c>
      <c r="B18890" s="25"/>
      <c r="C18890" s="25"/>
      <c r="D18890" s="25"/>
      <c r="E18890" s="25"/>
      <c r="F18890" s="25"/>
      <c r="G18890" s="25"/>
      <c r="H18890" s="25"/>
      <c r="I18890" s="25"/>
      <c r="J18890" s="25"/>
      <c r="K18890" s="25"/>
    </row>
    <row r="18891" customFormat="false" ht="15" hidden="false" customHeight="false" outlineLevel="0" collapsed="false">
      <c r="A18891" s="3" t="s">
        <v>556</v>
      </c>
      <c r="C18891" s="21" t="n">
        <f aca="false">IF(C18847&gt;0,Assumptions!$C$17,C18836)</f>
        <v>99</v>
      </c>
    </row>
    <row r="18892" customFormat="false" ht="15" hidden="false" customHeight="false" outlineLevel="0" collapsed="false">
      <c r="A18892" s="3" t="s">
        <v>557</v>
      </c>
      <c r="C18892" s="21" t="n">
        <f aca="false">IF(C18848&gt;0,Assumptions!$C$17,C18837)</f>
        <v>99</v>
      </c>
    </row>
    <row r="18893" customFormat="false" ht="15" hidden="false" customHeight="false" outlineLevel="0" collapsed="false">
      <c r="A18893" s="3" t="s">
        <v>558</v>
      </c>
      <c r="C18893" s="21" t="n">
        <f aca="false">IF(C18849&gt;0,Assumptions!$C$17,C18838)</f>
        <v>99</v>
      </c>
    </row>
    <row r="18894" customFormat="false" ht="15" hidden="false" customHeight="false" outlineLevel="0" collapsed="false">
      <c r="A18894" s="3" t="s">
        <v>559</v>
      </c>
      <c r="C18894" s="21" t="n">
        <f aca="false">IF(C18850&gt;0,Assumptions!$C$17,C18839)</f>
        <v>2</v>
      </c>
    </row>
    <row r="18895" customFormat="false" ht="15" hidden="false" customHeight="false" outlineLevel="0" collapsed="false">
      <c r="A18895" s="3" t="s">
        <v>560</v>
      </c>
      <c r="C18895" s="21" t="n">
        <f aca="false">IF(C18851&gt;0,Assumptions!$C$17,C18840)</f>
        <v>2</v>
      </c>
    </row>
    <row r="18896" customFormat="false" ht="15" hidden="false" customHeight="false" outlineLevel="0" collapsed="false">
      <c r="A18896" s="3" t="s">
        <v>561</v>
      </c>
      <c r="C18896" s="21" t="n">
        <f aca="false">IF(C18852&gt;0,Assumptions!$C$17,C18841)</f>
        <v>2</v>
      </c>
    </row>
    <row r="18897" customFormat="false" ht="15" hidden="false" customHeight="false" outlineLevel="0" collapsed="false">
      <c r="A18897" s="3" t="s">
        <v>562</v>
      </c>
      <c r="C18897" s="21" t="n">
        <f aca="false">IF(C18853&gt;0,Assumptions!$C$17,C18842)</f>
        <v>2</v>
      </c>
    </row>
    <row r="18898" customFormat="false" ht="15" hidden="false" customHeight="false" outlineLevel="0" collapsed="false">
      <c r="A18898" s="3" t="s">
        <v>563</v>
      </c>
      <c r="C18898" s="21" t="n">
        <f aca="false">IF(C18854&gt;0,Assumptions!$C$17,C18843)</f>
        <v>2</v>
      </c>
    </row>
    <row r="18899" customFormat="false" ht="15" hidden="false" customHeight="false" outlineLevel="0" collapsed="false">
      <c r="A18899" s="3" t="s">
        <v>564</v>
      </c>
      <c r="C18899" s="21" t="n">
        <f aca="false">IF(C18855&gt;0,Assumptions!$C$17,C18844)</f>
        <v>2</v>
      </c>
    </row>
    <row r="18900" customFormat="false" ht="15" hidden="false" customHeight="false" outlineLevel="0" collapsed="false">
      <c r="A18900" s="3" t="s">
        <v>565</v>
      </c>
      <c r="C18900" s="21" t="n">
        <f aca="false">IF(C18856&gt;0,Assumptions!$C$17,C18845)</f>
        <v>3</v>
      </c>
    </row>
    <row r="18901" customFormat="false" ht="15" hidden="false" customHeight="false" outlineLevel="0" collapsed="false">
      <c r="A18901" s="24" t="s">
        <v>572</v>
      </c>
      <c r="B18901" s="25"/>
      <c r="C18901" s="25"/>
      <c r="D18901" s="25"/>
      <c r="E18901" s="25"/>
      <c r="F18901" s="25"/>
      <c r="G18901" s="25"/>
      <c r="H18901" s="25"/>
      <c r="I18901" s="25"/>
      <c r="J18901" s="25"/>
      <c r="K18901" s="25"/>
    </row>
    <row r="18902" customFormat="false" ht="15" hidden="false" customHeight="false" outlineLevel="0" collapsed="false">
      <c r="A18902" s="3" t="s">
        <v>556</v>
      </c>
      <c r="C18902" s="16" t="n">
        <f aca="false">SUMPRODUCT(($C$18891:$C$18900&lt;C18891)*$C$18880:$C$18889)</f>
        <v>2078.61</v>
      </c>
    </row>
    <row r="18903" customFormat="false" ht="15" hidden="false" customHeight="false" outlineLevel="0" collapsed="false">
      <c r="A18903" s="3" t="s">
        <v>557</v>
      </c>
      <c r="C18903" s="16" t="n">
        <f aca="false">SUMPRODUCT(($C$18891:$C$18900&lt;C18892)*$C$18880:$C$18889)</f>
        <v>2078.61</v>
      </c>
    </row>
    <row r="18904" customFormat="false" ht="15" hidden="false" customHeight="false" outlineLevel="0" collapsed="false">
      <c r="A18904" s="3" t="s">
        <v>558</v>
      </c>
      <c r="C18904" s="16" t="n">
        <f aca="false">SUMPRODUCT(($C$18891:$C$18900&lt;C18893)*$C$18880:$C$18889)</f>
        <v>2078.61</v>
      </c>
    </row>
    <row r="18905" customFormat="false" ht="15" hidden="false" customHeight="false" outlineLevel="0" collapsed="false">
      <c r="A18905" s="3" t="s">
        <v>559</v>
      </c>
      <c r="C18905" s="16" t="n">
        <f aca="false">SUMPRODUCT(($C$18891:$C$18900&lt;C18894)*$C$18880:$C$18889)</f>
        <v>0</v>
      </c>
    </row>
    <row r="18906" customFormat="false" ht="15" hidden="false" customHeight="false" outlineLevel="0" collapsed="false">
      <c r="A18906" s="3" t="s">
        <v>560</v>
      </c>
      <c r="C18906" s="16" t="n">
        <f aca="false">SUMPRODUCT(($C$18891:$C$18900&lt;C18895)*$C$18880:$C$18889)</f>
        <v>0</v>
      </c>
    </row>
    <row r="18907" customFormat="false" ht="15" hidden="false" customHeight="false" outlineLevel="0" collapsed="false">
      <c r="A18907" s="3" t="s">
        <v>561</v>
      </c>
      <c r="C18907" s="16" t="n">
        <f aca="false">SUMPRODUCT(($C$18891:$C$18900&lt;C18896)*$C$18880:$C$18889)</f>
        <v>0</v>
      </c>
    </row>
    <row r="18908" customFormat="false" ht="15" hidden="false" customHeight="false" outlineLevel="0" collapsed="false">
      <c r="A18908" s="3" t="s">
        <v>562</v>
      </c>
      <c r="C18908" s="16" t="n">
        <f aca="false">SUMPRODUCT(($C$18891:$C$18900&lt;C18897)*$C$18880:$C$18889)</f>
        <v>0</v>
      </c>
    </row>
    <row r="18909" customFormat="false" ht="15" hidden="false" customHeight="false" outlineLevel="0" collapsed="false">
      <c r="A18909" s="3" t="s">
        <v>563</v>
      </c>
      <c r="C18909" s="16" t="n">
        <f aca="false">SUMPRODUCT(($C$18891:$C$18900&lt;C18898)*$C$18880:$C$18889)</f>
        <v>0</v>
      </c>
    </row>
    <row r="18910" customFormat="false" ht="15" hidden="false" customHeight="false" outlineLevel="0" collapsed="false">
      <c r="A18910" s="3" t="s">
        <v>564</v>
      </c>
      <c r="C18910" s="16" t="n">
        <f aca="false">SUMPRODUCT(($C$18891:$C$18900&lt;C18899)*$C$18880:$C$18889)</f>
        <v>0</v>
      </c>
    </row>
    <row r="18911" customFormat="false" ht="15" hidden="false" customHeight="false" outlineLevel="0" collapsed="false">
      <c r="A18911" s="3" t="s">
        <v>565</v>
      </c>
      <c r="C18911" s="16" t="n">
        <f aca="false">SUMPRODUCT(($C$18891:$C$18900&lt;C18900)*$C$18880:$C$18889)</f>
        <v>2000</v>
      </c>
    </row>
    <row r="18912" customFormat="false" ht="15" hidden="false" customHeight="false" outlineLevel="0" collapsed="false">
      <c r="A18912" s="24" t="s">
        <v>573</v>
      </c>
      <c r="B18912" s="25"/>
      <c r="C18912" s="25"/>
      <c r="D18912" s="25"/>
      <c r="E18912" s="25"/>
      <c r="F18912" s="25"/>
      <c r="G18912" s="25"/>
      <c r="H18912" s="25"/>
      <c r="I18912" s="25"/>
      <c r="J18912" s="25"/>
      <c r="K18912" s="25"/>
    </row>
    <row r="18913" customFormat="false" ht="15" hidden="false" customHeight="false" outlineLevel="0" collapsed="false">
      <c r="A18913" s="3" t="s">
        <v>556</v>
      </c>
      <c r="C18913" s="16" t="n">
        <f aca="false">SUMPRODUCT(($C$18891:$C$18900=C18891)*$C$18880:$C$18889)</f>
        <v>123.903268061638</v>
      </c>
    </row>
    <row r="18914" customFormat="false" ht="15" hidden="false" customHeight="false" outlineLevel="0" collapsed="false">
      <c r="A18914" s="3" t="s">
        <v>557</v>
      </c>
      <c r="C18914" s="16" t="n">
        <f aca="false">SUMPRODUCT(($C$18891:$C$18900=C18892)*$C$18880:$C$18889)</f>
        <v>123.903268061638</v>
      </c>
    </row>
    <row r="18915" customFormat="false" ht="15" hidden="false" customHeight="false" outlineLevel="0" collapsed="false">
      <c r="A18915" s="3" t="s">
        <v>558</v>
      </c>
      <c r="C18915" s="16" t="n">
        <f aca="false">SUMPRODUCT(($C$18891:$C$18900=C18893)*$C$18880:$C$18889)</f>
        <v>123.903268061638</v>
      </c>
    </row>
    <row r="18916" customFormat="false" ht="15" hidden="false" customHeight="false" outlineLevel="0" collapsed="false">
      <c r="A18916" s="3" t="s">
        <v>559</v>
      </c>
      <c r="C18916" s="16" t="n">
        <f aca="false">SUMPRODUCT(($C$18891:$C$18900=C18894)*$C$18880:$C$18889)</f>
        <v>2000</v>
      </c>
    </row>
    <row r="18917" customFormat="false" ht="15" hidden="false" customHeight="false" outlineLevel="0" collapsed="false">
      <c r="A18917" s="3" t="s">
        <v>560</v>
      </c>
      <c r="C18917" s="16" t="n">
        <f aca="false">SUMPRODUCT(($C$18891:$C$18900=C18895)*$C$18880:$C$18889)</f>
        <v>2000</v>
      </c>
    </row>
    <row r="18918" customFormat="false" ht="15" hidden="false" customHeight="false" outlineLevel="0" collapsed="false">
      <c r="A18918" s="3" t="s">
        <v>561</v>
      </c>
      <c r="C18918" s="16" t="n">
        <f aca="false">SUMPRODUCT(($C$18891:$C$18900=C18896)*$C$18880:$C$18889)</f>
        <v>2000</v>
      </c>
    </row>
    <row r="18919" customFormat="false" ht="15" hidden="false" customHeight="false" outlineLevel="0" collapsed="false">
      <c r="A18919" s="3" t="s">
        <v>562</v>
      </c>
      <c r="C18919" s="16" t="n">
        <f aca="false">SUMPRODUCT(($C$18891:$C$18900=C18897)*$C$18880:$C$18889)</f>
        <v>2000</v>
      </c>
    </row>
    <row r="18920" customFormat="false" ht="15" hidden="false" customHeight="false" outlineLevel="0" collapsed="false">
      <c r="A18920" s="3" t="s">
        <v>563</v>
      </c>
      <c r="C18920" s="16" t="n">
        <f aca="false">SUMPRODUCT(($C$18891:$C$18900=C18898)*$C$18880:$C$18889)</f>
        <v>2000</v>
      </c>
    </row>
    <row r="18921" customFormat="false" ht="15" hidden="false" customHeight="false" outlineLevel="0" collapsed="false">
      <c r="A18921" s="3" t="s">
        <v>564</v>
      </c>
      <c r="C18921" s="16" t="n">
        <f aca="false">SUMPRODUCT(($C$18891:$C$18900=C18899)*$C$18880:$C$18889)</f>
        <v>2000</v>
      </c>
    </row>
    <row r="18922" customFormat="false" ht="15" hidden="false" customHeight="false" outlineLevel="0" collapsed="false">
      <c r="A18922" s="3" t="s">
        <v>565</v>
      </c>
      <c r="C18922" s="16" t="n">
        <f aca="false">SUMPRODUCT(($C$18891:$C$18900=C18900)*$C$18880:$C$18889)</f>
        <v>78.61</v>
      </c>
    </row>
    <row r="18923" customFormat="false" ht="15" hidden="false" customHeight="false" outlineLevel="0" collapsed="false">
      <c r="A18923" s="24" t="s">
        <v>574</v>
      </c>
      <c r="B18923" s="25"/>
      <c r="C18923" s="25"/>
      <c r="D18923" s="25"/>
      <c r="E18923" s="25"/>
      <c r="F18923" s="25"/>
      <c r="G18923" s="25"/>
      <c r="H18923" s="25"/>
      <c r="I18923" s="25"/>
      <c r="J18923" s="25"/>
      <c r="K18923" s="25"/>
    </row>
    <row r="18924" customFormat="false" ht="15" hidden="false" customHeight="false" outlineLevel="0" collapsed="false">
      <c r="A18924" s="3" t="s">
        <v>556</v>
      </c>
      <c r="C18924" s="16" t="n">
        <f aca="false">IF(C18913=0,0,C18880/C18913*MAX(0,MIN(C18913,$C$18823-SUM($C$18858:$C$18867)-C18902)))</f>
        <v>0</v>
      </c>
    </row>
    <row r="18925" customFormat="false" ht="15" hidden="false" customHeight="false" outlineLevel="0" collapsed="false">
      <c r="A18925" s="3" t="s">
        <v>557</v>
      </c>
      <c r="C18925" s="16" t="n">
        <f aca="false">IF(C18914=0,0,C18881/C18914*MAX(0,MIN(C18914,$C$18823-SUM($C$18858:$C$18867)-C18903)))</f>
        <v>0</v>
      </c>
    </row>
    <row r="18926" customFormat="false" ht="15" hidden="false" customHeight="false" outlineLevel="0" collapsed="false">
      <c r="A18926" s="3" t="s">
        <v>558</v>
      </c>
      <c r="C18926" s="16" t="n">
        <f aca="false">IF(C18915=0,0,C18882/C18915*MAX(0,MIN(C18915,$C$18823-SUM($C$18858:$C$18867)-C18904)))</f>
        <v>0</v>
      </c>
    </row>
    <row r="18927" customFormat="false" ht="15" hidden="false" customHeight="false" outlineLevel="0" collapsed="false">
      <c r="A18927" s="3" t="s">
        <v>559</v>
      </c>
      <c r="C18927" s="16" t="n">
        <f aca="false">IF(C18916=0,0,C18883/C18916*MAX(0,MIN(C18916,$C$18823-SUM($C$18858:$C$18867)-C18905)))</f>
        <v>0</v>
      </c>
    </row>
    <row r="18928" customFormat="false" ht="15" hidden="false" customHeight="false" outlineLevel="0" collapsed="false">
      <c r="A18928" s="3" t="s">
        <v>560</v>
      </c>
      <c r="C18928" s="16" t="n">
        <f aca="false">IF(C18917=0,0,C18884/C18917*MAX(0,MIN(C18917,$C$18823-SUM($C$18858:$C$18867)-C18906)))</f>
        <v>168.926563240794</v>
      </c>
    </row>
    <row r="18929" customFormat="false" ht="15" hidden="false" customHeight="false" outlineLevel="0" collapsed="false">
      <c r="A18929" s="3" t="s">
        <v>561</v>
      </c>
      <c r="C18929" s="16" t="n">
        <f aca="false">IF(C18918=0,0,C18885/C18918*MAX(0,MIN(C18918,$C$18823-SUM($C$18858:$C$18867)-C18907)))</f>
        <v>131.387326965062</v>
      </c>
    </row>
    <row r="18930" customFormat="false" ht="15" hidden="false" customHeight="false" outlineLevel="0" collapsed="false">
      <c r="A18930" s="3" t="s">
        <v>562</v>
      </c>
      <c r="C18930" s="16" t="n">
        <f aca="false">IF(C18919=0,0,C18886/C18919*MAX(0,MIN(C18919,$C$18823-SUM($C$18858:$C$18867)-C18908)))</f>
        <v>206.465799516526</v>
      </c>
    </row>
    <row r="18931" customFormat="false" ht="15" hidden="false" customHeight="false" outlineLevel="0" collapsed="false">
      <c r="A18931" s="3" t="s">
        <v>563</v>
      </c>
      <c r="C18931" s="16" t="n">
        <f aca="false">IF(C18920=0,0,C18887/C18920*MAX(0,MIN(C18920,$C$18823-SUM($C$18858:$C$18867)-C18909)))</f>
        <v>131.387326965062</v>
      </c>
    </row>
    <row r="18932" customFormat="false" ht="15" hidden="false" customHeight="false" outlineLevel="0" collapsed="false">
      <c r="A18932" s="3" t="s">
        <v>564</v>
      </c>
      <c r="C18932" s="16" t="n">
        <f aca="false">IF(C18921=0,0,C18888/C18921*MAX(0,MIN(C18921,$C$18823-SUM($C$18858:$C$18867)-C18910)))</f>
        <v>112.617708827196</v>
      </c>
    </row>
    <row r="18933" customFormat="false" ht="15" hidden="false" customHeight="false" outlineLevel="0" collapsed="false">
      <c r="A18933" s="3" t="s">
        <v>565</v>
      </c>
      <c r="C18933" s="16" t="n">
        <f aca="false">IF(C18922=0,0,C18889/C18922*MAX(0,MIN(C18922,$C$18823-SUM($C$18858:$C$18867)-C18911)))</f>
        <v>0</v>
      </c>
    </row>
    <row r="18934" customFormat="false" ht="15" hidden="false" customHeight="false" outlineLevel="0" collapsed="false">
      <c r="A18934" s="24" t="s">
        <v>575</v>
      </c>
      <c r="B18934" s="25"/>
      <c r="C18934" s="25"/>
      <c r="D18934" s="25"/>
      <c r="E18934" s="25"/>
      <c r="F18934" s="25"/>
      <c r="G18934" s="25"/>
      <c r="H18934" s="25"/>
      <c r="I18934" s="25"/>
      <c r="J18934" s="25"/>
      <c r="K18934" s="25"/>
    </row>
    <row r="18935" customFormat="false" ht="15" hidden="false" customHeight="false" outlineLevel="0" collapsed="false">
      <c r="A18935" s="2" t="s">
        <v>556</v>
      </c>
      <c r="C18935" s="17" t="n">
        <f aca="false">C18858+C18924</f>
        <v>348.6616372359</v>
      </c>
    </row>
    <row r="18936" customFormat="false" ht="15" hidden="false" customHeight="false" outlineLevel="0" collapsed="false">
      <c r="A18936" s="2" t="s">
        <v>557</v>
      </c>
      <c r="C18936" s="17" t="n">
        <f aca="false">C18859+C18925</f>
        <v>38.352780095949</v>
      </c>
    </row>
    <row r="18937" customFormat="false" ht="15" hidden="false" customHeight="false" outlineLevel="0" collapsed="false">
      <c r="A18937" s="2" t="s">
        <v>558</v>
      </c>
      <c r="C18937" s="17" t="n">
        <f aca="false">C18860+C18926</f>
        <v>24.406314606513</v>
      </c>
    </row>
    <row r="18938" customFormat="false" ht="15" hidden="false" customHeight="false" outlineLevel="0" collapsed="false">
      <c r="A18938" s="2" t="s">
        <v>559</v>
      </c>
      <c r="C18938" s="17" t="n">
        <f aca="false">C18861+C18927</f>
        <v>0</v>
      </c>
    </row>
    <row r="18939" customFormat="false" ht="15" hidden="false" customHeight="false" outlineLevel="0" collapsed="false">
      <c r="A18939" s="2" t="s">
        <v>560</v>
      </c>
      <c r="C18939" s="17" t="n">
        <f aca="false">C18862+C18928</f>
        <v>168.926563240794</v>
      </c>
    </row>
    <row r="18940" customFormat="false" ht="15" hidden="false" customHeight="false" outlineLevel="0" collapsed="false">
      <c r="A18940" s="2" t="s">
        <v>561</v>
      </c>
      <c r="C18940" s="17" t="n">
        <f aca="false">C18863+C18929</f>
        <v>131.387326965062</v>
      </c>
    </row>
    <row r="18941" customFormat="false" ht="15" hidden="false" customHeight="false" outlineLevel="0" collapsed="false">
      <c r="A18941" s="2" t="s">
        <v>562</v>
      </c>
      <c r="C18941" s="17" t="n">
        <f aca="false">C18864+C18930</f>
        <v>206.465799516526</v>
      </c>
    </row>
    <row r="18942" customFormat="false" ht="15" hidden="false" customHeight="false" outlineLevel="0" collapsed="false">
      <c r="A18942" s="2" t="s">
        <v>563</v>
      </c>
      <c r="C18942" s="17" t="n">
        <f aca="false">C18865+C18931</f>
        <v>131.387326965062</v>
      </c>
    </row>
    <row r="18943" customFormat="false" ht="15" hidden="false" customHeight="false" outlineLevel="0" collapsed="false">
      <c r="A18943" s="2" t="s">
        <v>564</v>
      </c>
      <c r="C18943" s="17" t="n">
        <f aca="false">C18866+C18932</f>
        <v>112.617708827196</v>
      </c>
    </row>
    <row r="18944" customFormat="false" ht="15" hidden="false" customHeight="false" outlineLevel="0" collapsed="false">
      <c r="A18944" s="2" t="s">
        <v>565</v>
      </c>
      <c r="C18944" s="17" t="n">
        <f aca="false">C18867+C18933</f>
        <v>0</v>
      </c>
    </row>
    <row r="18945" customFormat="false" ht="15" hidden="false" customHeight="false" outlineLevel="0" collapsed="false">
      <c r="A18945" s="24" t="s">
        <v>576</v>
      </c>
      <c r="B18945" s="25"/>
      <c r="C18945" s="25"/>
      <c r="D18945" s="25"/>
      <c r="E18945" s="25"/>
      <c r="F18945" s="25"/>
      <c r="G18945" s="25"/>
      <c r="H18945" s="25"/>
      <c r="I18945" s="25"/>
      <c r="J18945" s="25"/>
      <c r="K18945" s="25"/>
    </row>
    <row r="18946" customFormat="false" ht="15" hidden="false" customHeight="false" outlineLevel="0" collapsed="false">
      <c r="A18946" s="3" t="s">
        <v>556</v>
      </c>
      <c r="C18946" s="22" t="n">
        <f aca="false">IF(C18825=0,1,C18935/C18825)</f>
        <v>0.898612467102835</v>
      </c>
    </row>
    <row r="18947" customFormat="false" ht="15" hidden="false" customHeight="false" outlineLevel="0" collapsed="false">
      <c r="A18947" s="3" t="s">
        <v>557</v>
      </c>
      <c r="C18947" s="22" t="n">
        <f aca="false">IF(C18826=0,1,C18936/C18826)</f>
        <v>0.4261420010661</v>
      </c>
    </row>
    <row r="18948" customFormat="false" ht="15" hidden="false" customHeight="false" outlineLevel="0" collapsed="false">
      <c r="A18948" s="3" t="s">
        <v>558</v>
      </c>
      <c r="C18948" s="22" t="n">
        <f aca="false">IF(C18827=0,1,C18937/C18827)</f>
        <v>0.425760843739324</v>
      </c>
    </row>
    <row r="18949" customFormat="false" ht="15" hidden="false" customHeight="false" outlineLevel="0" collapsed="false">
      <c r="A18949" s="3" t="s">
        <v>559</v>
      </c>
      <c r="C18949" s="22" t="n">
        <f aca="false">IF(C18828=0,1,C18938/C18828)</f>
        <v>1</v>
      </c>
    </row>
    <row r="18950" customFormat="false" ht="15" hidden="false" customHeight="false" outlineLevel="0" collapsed="false">
      <c r="A18950" s="3" t="s">
        <v>560</v>
      </c>
      <c r="C18950" s="22" t="n">
        <f aca="false">IF(C18829=0,1,C18939/C18829)</f>
        <v>0.375392362757319</v>
      </c>
    </row>
    <row r="18951" customFormat="false" ht="15" hidden="false" customHeight="false" outlineLevel="0" collapsed="false">
      <c r="A18951" s="3" t="s">
        <v>561</v>
      </c>
      <c r="C18951" s="22" t="n">
        <f aca="false">IF(C18830=0,1,C18940/C18830)</f>
        <v>0.375392362757319</v>
      </c>
    </row>
    <row r="18952" customFormat="false" ht="15" hidden="false" customHeight="false" outlineLevel="0" collapsed="false">
      <c r="A18952" s="3" t="s">
        <v>562</v>
      </c>
      <c r="C18952" s="22" t="n">
        <f aca="false">IF(C18831=0,1,C18941/C18831)</f>
        <v>0.375392362757319</v>
      </c>
    </row>
    <row r="18953" customFormat="false" ht="15" hidden="false" customHeight="false" outlineLevel="0" collapsed="false">
      <c r="A18953" s="3" t="s">
        <v>563</v>
      </c>
      <c r="C18953" s="22" t="n">
        <f aca="false">IF(C18832=0,1,C18942/C18832)</f>
        <v>0.375392362757319</v>
      </c>
    </row>
    <row r="18954" customFormat="false" ht="15" hidden="false" customHeight="false" outlineLevel="0" collapsed="false">
      <c r="A18954" s="3" t="s">
        <v>564</v>
      </c>
      <c r="C18954" s="22" t="n">
        <f aca="false">IF(C18833=0,1,C18943/C18833)</f>
        <v>0.375392362757319</v>
      </c>
    </row>
    <row r="18955" customFormat="false" ht="15" hidden="false" customHeight="false" outlineLevel="0" collapsed="false">
      <c r="A18955" s="3" t="s">
        <v>565</v>
      </c>
      <c r="C18955" s="22" t="n">
        <f aca="false">IF(C18834=0,1,C18944/C18834)</f>
        <v>0</v>
      </c>
    </row>
    <row r="18956" customFormat="false" ht="15" hidden="false" customHeight="false" outlineLevel="0" collapsed="false">
      <c r="A18956" s="24" t="s">
        <v>577</v>
      </c>
      <c r="B18956" s="25"/>
      <c r="C18956" s="25"/>
      <c r="D18956" s="25"/>
      <c r="E18956" s="25"/>
      <c r="F18956" s="25"/>
      <c r="G18956" s="25"/>
      <c r="H18956" s="25"/>
      <c r="I18956" s="25"/>
      <c r="J18956" s="25"/>
      <c r="K18956" s="25"/>
    </row>
    <row r="18957" customFormat="false" ht="15" hidden="false" customHeight="false" outlineLevel="0" collapsed="false">
      <c r="A18957" s="3" t="s">
        <v>556</v>
      </c>
      <c r="C18957" s="16" t="n">
        <f aca="false">C18825-C18935</f>
        <v>39.3383627640999</v>
      </c>
    </row>
    <row r="18958" customFormat="false" ht="15" hidden="false" customHeight="false" outlineLevel="0" collapsed="false">
      <c r="A18958" s="3" t="s">
        <v>557</v>
      </c>
      <c r="C18958" s="16" t="n">
        <f aca="false">C18826-C18936</f>
        <v>51.647219904051</v>
      </c>
    </row>
    <row r="18959" customFormat="false" ht="15" hidden="false" customHeight="false" outlineLevel="0" collapsed="false">
      <c r="A18959" s="3" t="s">
        <v>558</v>
      </c>
      <c r="C18959" s="16" t="n">
        <f aca="false">C18827-C18937</f>
        <v>32.917685393487</v>
      </c>
    </row>
    <row r="18960" customFormat="false" ht="15" hidden="false" customHeight="false" outlineLevel="0" collapsed="false">
      <c r="A18960" s="3" t="s">
        <v>559</v>
      </c>
      <c r="C18960" s="16" t="n">
        <f aca="false">C18828-C18938</f>
        <v>0</v>
      </c>
    </row>
    <row r="18961" customFormat="false" ht="15" hidden="false" customHeight="false" outlineLevel="0" collapsed="false">
      <c r="A18961" s="3" t="s">
        <v>560</v>
      </c>
      <c r="C18961" s="16" t="n">
        <f aca="false">C18829-C18939</f>
        <v>281.073436759206</v>
      </c>
    </row>
    <row r="18962" customFormat="false" ht="15" hidden="false" customHeight="false" outlineLevel="0" collapsed="false">
      <c r="A18962" s="3" t="s">
        <v>561</v>
      </c>
      <c r="C18962" s="16" t="n">
        <f aca="false">C18830-C18940</f>
        <v>218.612673034938</v>
      </c>
    </row>
    <row r="18963" customFormat="false" ht="15" hidden="false" customHeight="false" outlineLevel="0" collapsed="false">
      <c r="A18963" s="3" t="s">
        <v>562</v>
      </c>
      <c r="C18963" s="16" t="n">
        <f aca="false">C18831-C18941</f>
        <v>343.534200483475</v>
      </c>
    </row>
    <row r="18964" customFormat="false" ht="15" hidden="false" customHeight="false" outlineLevel="0" collapsed="false">
      <c r="A18964" s="3" t="s">
        <v>563</v>
      </c>
      <c r="C18964" s="16" t="n">
        <f aca="false">C18832-C18942</f>
        <v>218.612673034938</v>
      </c>
    </row>
    <row r="18965" customFormat="false" ht="15" hidden="false" customHeight="false" outlineLevel="0" collapsed="false">
      <c r="A18965" s="3" t="s">
        <v>564</v>
      </c>
      <c r="C18965" s="16" t="n">
        <f aca="false">C18833-C18943</f>
        <v>187.382291172804</v>
      </c>
    </row>
    <row r="18966" customFormat="false" ht="15" hidden="false" customHeight="false" outlineLevel="0" collapsed="false">
      <c r="A18966" s="3" t="s">
        <v>565</v>
      </c>
      <c r="C18966" s="16" t="n">
        <f aca="false">C18834-C18944</f>
        <v>78.61</v>
      </c>
    </row>
    <row r="18967" customFormat="false" ht="15" hidden="false" customHeight="false" outlineLevel="0" collapsed="false">
      <c r="A18967" s="24" t="s">
        <v>578</v>
      </c>
      <c r="B18967" s="25"/>
      <c r="C18967" s="25"/>
      <c r="D18967" s="25"/>
      <c r="E18967" s="25"/>
      <c r="F18967" s="25"/>
      <c r="G18967" s="25"/>
      <c r="H18967" s="25"/>
      <c r="I18967" s="25"/>
      <c r="J18967" s="25"/>
      <c r="K18967" s="25"/>
    </row>
    <row r="18968" customFormat="false" ht="15" hidden="false" customHeight="false" outlineLevel="0" collapsed="false">
      <c r="A18968" s="3" t="s">
        <v>556</v>
      </c>
      <c r="C18968" s="22" t="n">
        <f aca="false">IF(C18825=0,0,C18957/C18825)</f>
        <v>0.101387532897165</v>
      </c>
    </row>
    <row r="18969" customFormat="false" ht="15" hidden="false" customHeight="false" outlineLevel="0" collapsed="false">
      <c r="A18969" s="3" t="s">
        <v>557</v>
      </c>
      <c r="C18969" s="22" t="n">
        <f aca="false">IF(C18826=0,0,C18958/C18826)</f>
        <v>0.5738579989339</v>
      </c>
    </row>
    <row r="18970" customFormat="false" ht="15" hidden="false" customHeight="false" outlineLevel="0" collapsed="false">
      <c r="A18970" s="3" t="s">
        <v>558</v>
      </c>
      <c r="C18970" s="22" t="n">
        <f aca="false">IF(C18827=0,0,C18959/C18827)</f>
        <v>0.574239156260676</v>
      </c>
    </row>
    <row r="18971" customFormat="false" ht="15" hidden="false" customHeight="false" outlineLevel="0" collapsed="false">
      <c r="A18971" s="3" t="s">
        <v>559</v>
      </c>
      <c r="C18971" s="22" t="n">
        <f aca="false">IF(C18828=0,0,C18960/C18828)</f>
        <v>0</v>
      </c>
    </row>
    <row r="18972" customFormat="false" ht="15" hidden="false" customHeight="false" outlineLevel="0" collapsed="false">
      <c r="A18972" s="3" t="s">
        <v>560</v>
      </c>
      <c r="C18972" s="22" t="n">
        <f aca="false">IF(C18829=0,0,C18961/C18829)</f>
        <v>0.624607637242681</v>
      </c>
    </row>
    <row r="18973" customFormat="false" ht="15" hidden="false" customHeight="false" outlineLevel="0" collapsed="false">
      <c r="A18973" s="3" t="s">
        <v>561</v>
      </c>
      <c r="C18973" s="22" t="n">
        <f aca="false">IF(C18830=0,0,C18962/C18830)</f>
        <v>0.624607637242681</v>
      </c>
    </row>
    <row r="18974" customFormat="false" ht="15" hidden="false" customHeight="false" outlineLevel="0" collapsed="false">
      <c r="A18974" s="3" t="s">
        <v>562</v>
      </c>
      <c r="C18974" s="22" t="n">
        <f aca="false">IF(C18831=0,0,C18963/C18831)</f>
        <v>0.624607637242681</v>
      </c>
    </row>
    <row r="18975" customFormat="false" ht="15" hidden="false" customHeight="false" outlineLevel="0" collapsed="false">
      <c r="A18975" s="3" t="s">
        <v>563</v>
      </c>
      <c r="C18975" s="22" t="n">
        <f aca="false">IF(C18832=0,0,C18964/C18832)</f>
        <v>0.624607637242681</v>
      </c>
    </row>
    <row r="18976" customFormat="false" ht="15" hidden="false" customHeight="false" outlineLevel="0" collapsed="false">
      <c r="A18976" s="3" t="s">
        <v>564</v>
      </c>
      <c r="C18976" s="22" t="n">
        <f aca="false">IF(C18833=0,0,C18965/C18833)</f>
        <v>0.624607637242681</v>
      </c>
    </row>
    <row r="18977" customFormat="false" ht="15" hidden="false" customHeight="false" outlineLevel="0" collapsed="false">
      <c r="A18977" s="3" t="s">
        <v>565</v>
      </c>
      <c r="C18977" s="22" t="n">
        <f aca="false">IF(C18834=0,0,C18966/C18834)</f>
        <v>1</v>
      </c>
    </row>
    <row r="18978" customFormat="false" ht="15" hidden="false" customHeight="false" outlineLevel="0" collapsed="false">
      <c r="A18978" s="2" t="s">
        <v>579</v>
      </c>
      <c r="C18978" s="17" t="n">
        <f aca="false">MAX(0,$C$18823-SUM($C$18858:$C$18867)-SUM($C$18880:$C$18889))</f>
        <v>0</v>
      </c>
    </row>
    <row r="18979" customFormat="false" ht="15" hidden="false" customHeight="false" outlineLevel="0" collapsed="false">
      <c r="A18979" s="3" t="s">
        <v>597</v>
      </c>
      <c r="C18979" s="35" t="n">
        <f aca="false">MIN(C18822,100*CHOOSE(C18812,C18946,C18947,C18948,C18949,C18950,C18951,C18952,C18953,C18954,C18955))</f>
        <v>85</v>
      </c>
    </row>
    <row r="18980" customFormat="false" ht="15" hidden="false" customHeight="false" outlineLevel="0" collapsed="false">
      <c r="A18980" s="3" t="s">
        <v>598</v>
      </c>
      <c r="C18980" s="21" t="n">
        <f aca="false">IF(C18644=1,C18817+Assumptions!$C$40,C18816)</f>
        <v>3</v>
      </c>
    </row>
    <row r="18981" customFormat="false" ht="15" hidden="false" customHeight="false" outlineLevel="0" collapsed="false">
      <c r="A18981" s="24" t="s">
        <v>599</v>
      </c>
      <c r="B18981" s="25"/>
      <c r="C18981" s="25"/>
      <c r="D18981" s="25"/>
      <c r="E18981" s="25"/>
      <c r="F18981" s="25"/>
      <c r="G18981" s="25"/>
      <c r="H18981" s="25"/>
      <c r="I18981" s="25"/>
      <c r="J18981" s="25"/>
      <c r="K18981" s="25"/>
    </row>
    <row r="18982" customFormat="false" ht="15" hidden="false" customHeight="false" outlineLevel="0" collapsed="false">
      <c r="A18982" s="3" t="s">
        <v>600</v>
      </c>
      <c r="C18982" s="21" t="n">
        <f aca="false">COLUMN()-COLUMN($C$1)</f>
        <v>0</v>
      </c>
      <c r="D18982" s="21" t="n">
        <f aca="false">COLUMN()-COLUMN($C$1)</f>
        <v>1</v>
      </c>
      <c r="E18982" s="21" t="n">
        <f aca="false">COLUMN()-COLUMN($C$1)</f>
        <v>2</v>
      </c>
      <c r="F18982" s="21" t="n">
        <f aca="false">COLUMN()-COLUMN($C$1)</f>
        <v>3</v>
      </c>
      <c r="G18982" s="21" t="n">
        <f aca="false">COLUMN()-COLUMN($C$1)</f>
        <v>4</v>
      </c>
      <c r="H18982" s="21" t="n">
        <f aca="false">COLUMN()-COLUMN($C$1)</f>
        <v>5</v>
      </c>
      <c r="I18982" s="21" t="n">
        <f aca="false">COLUMN()-COLUMN($C$1)</f>
        <v>6</v>
      </c>
    </row>
    <row r="18983" customFormat="false" ht="15" hidden="false" customHeight="false" outlineLevel="0" collapsed="false">
      <c r="A18983" s="3" t="s">
        <v>601</v>
      </c>
      <c r="D18983" s="31" t="n">
        <f aca="false">CHOOSE($C$18812,G18392,G18405,G18418,G18431,G18444,G18457,G18470,G18483,G18496,G18509)</f>
        <v>0.1215</v>
      </c>
      <c r="E18983" s="31" t="n">
        <f aca="false">CHOOSE($C$18812,H18392,H18405,H18418,H18431,H18444,H18457,H18470,H18483,H18496,H18509)</f>
        <v>0.12</v>
      </c>
      <c r="F18983" s="31" t="n">
        <f aca="false">CHOOSE($C$18812,I18392,I18405,I18418,I18431,I18444,I18457,I18470,I18483,I18496,I18509)</f>
        <v>0.1175</v>
      </c>
      <c r="G18983" s="31" t="n">
        <f aca="false">CHOOSE($C$18812,J18392,J18405,J18418,J18431,J18444,J18457,J18470,J18483,J18496,J18509)</f>
        <v>0.1175</v>
      </c>
      <c r="H18983" s="31" t="n">
        <f aca="false">CHOOSE($C$18812,K18392,K18405,K18418,K18431,K18444,K18457,K18470,K18483,K18496,K18509)</f>
        <v>0.1175</v>
      </c>
    </row>
    <row r="18984" customFormat="false" ht="15" hidden="false" customHeight="false" outlineLevel="0" collapsed="false">
      <c r="A18984" s="3" t="s">
        <v>602</v>
      </c>
      <c r="D18984" s="16" t="n">
        <f aca="false">IF(D18982&lt;=$C$18821,$C$18813*D18983,0)</f>
        <v>12.15</v>
      </c>
      <c r="E18984" s="16" t="n">
        <f aca="false">IF(E18982&lt;=$C$18821,$C$18813*E18983,0)</f>
        <v>12</v>
      </c>
      <c r="F18984" s="16" t="n">
        <f aca="false">IF(F18982&lt;=$C$18821,$C$18813*F18983,0)</f>
        <v>0</v>
      </c>
      <c r="G18984" s="16" t="n">
        <f aca="false">IF(G18982&lt;=$C$18821,$C$18813*G18983,0)</f>
        <v>0</v>
      </c>
      <c r="H18984" s="16" t="n">
        <f aca="false">IF(H18982&lt;=$C$18821,$C$18813*H18983,0)</f>
        <v>0</v>
      </c>
    </row>
    <row r="18985" customFormat="false" ht="15" hidden="false" customHeight="false" outlineLevel="0" collapsed="false">
      <c r="A18985" s="3" t="s">
        <v>603</v>
      </c>
      <c r="D18985" s="16" t="n">
        <f aca="false">IF(AND($C$18644=0,D18982=$C$18816),$C$18813*$C$18979/100,0)+IF(AND($C$18644=1,D18982=$C$18980),$C$18819,0)</f>
        <v>0</v>
      </c>
      <c r="E18985" s="16" t="n">
        <f aca="false">IF(AND($C$18644=0,E18982=$C$18816),$C$18813*$C$18979/100,0)+IF(AND($C$18644=1,E18982=$C$18980),$C$18819,0)</f>
        <v>0</v>
      </c>
      <c r="F18985" s="16" t="n">
        <f aca="false">IF(AND($C$18644=0,F18982=$C$18816),$C$18813*$C$18979/100,0)+IF(AND($C$18644=1,F18982=$C$18980),$C$18819,0)</f>
        <v>103</v>
      </c>
      <c r="G18985" s="16" t="n">
        <f aca="false">IF(AND($C$18644=0,G18982=$C$18816),$C$18813*$C$18979/100,0)+IF(AND($C$18644=1,G18982=$C$18980),$C$18819,0)</f>
        <v>0</v>
      </c>
      <c r="H18985" s="16" t="n">
        <f aca="false">IF(AND($C$18644=0,H18982=$C$18816),$C$18813*$C$18979/100,0)+IF(AND($C$18644=1,H18982=$C$18980),$C$18819,0)</f>
        <v>0</v>
      </c>
      <c r="I18985" s="16" t="n">
        <f aca="false">IF(AND($C$18644=0,I18982=$C$18816),$C$18813*$C$18979/100,0)+IF(AND($C$18644=1,I18982=$C$18980),$C$18819,0)</f>
        <v>0</v>
      </c>
    </row>
    <row r="18986" customFormat="false" ht="15" hidden="false" customHeight="false" outlineLevel="0" collapsed="false">
      <c r="A18986" s="2" t="s">
        <v>604</v>
      </c>
      <c r="C18986" s="17" t="n">
        <f aca="false">-$C$18815</f>
        <v>-98.49</v>
      </c>
      <c r="D18986" s="17" t="n">
        <f aca="false">D18984+D18985</f>
        <v>12.15</v>
      </c>
      <c r="E18986" s="17" t="n">
        <f aca="false">E18984+E18985</f>
        <v>12</v>
      </c>
      <c r="F18986" s="17" t="n">
        <f aca="false">F18984+F18985</f>
        <v>103</v>
      </c>
      <c r="G18986" s="17" t="n">
        <f aca="false">G18984+G18985</f>
        <v>0</v>
      </c>
      <c r="H18986" s="17" t="n">
        <f aca="false">H18984+H18985</f>
        <v>0</v>
      </c>
      <c r="I18986" s="17" t="n">
        <f aca="false">I18984+I18985</f>
        <v>0</v>
      </c>
    </row>
    <row r="18987" customFormat="false" ht="15" hidden="false" customHeight="false" outlineLevel="0" collapsed="false">
      <c r="A18987" s="3" t="s">
        <v>605</v>
      </c>
      <c r="C18987" s="16" t="n">
        <f aca="false">SUM($C$18984:$I$18984)</f>
        <v>24.15</v>
      </c>
    </row>
    <row r="18988" customFormat="false" ht="15" hidden="false" customHeight="false" outlineLevel="0" collapsed="false">
      <c r="A18988" s="3" t="s">
        <v>606</v>
      </c>
      <c r="C18988" s="16" t="n">
        <f aca="false">SUM($C$18985:$I$18985)</f>
        <v>103</v>
      </c>
    </row>
    <row r="18989" customFormat="false" ht="15" hidden="false" customHeight="false" outlineLevel="0" collapsed="false">
      <c r="A18989" s="3" t="s">
        <v>607</v>
      </c>
      <c r="C18989" s="16" t="n">
        <f aca="false">C18987+C18988</f>
        <v>127.15</v>
      </c>
    </row>
    <row r="18990" customFormat="false" ht="15" hidden="false" customHeight="false" outlineLevel="0" collapsed="false">
      <c r="A18990" s="3" t="s">
        <v>608</v>
      </c>
      <c r="C18990" s="16" t="n">
        <f aca="false">C18988-C18813*C18814/100</f>
        <v>5</v>
      </c>
    </row>
    <row r="18991" customFormat="false" ht="15" hidden="false" customHeight="false" outlineLevel="0" collapsed="false">
      <c r="A18991" s="3" t="s">
        <v>609</v>
      </c>
      <c r="C18991" s="16" t="n">
        <f aca="false">C18989-C18815</f>
        <v>28.66</v>
      </c>
    </row>
    <row r="18992" customFormat="false" ht="15" hidden="false" customHeight="false" outlineLevel="0" collapsed="false">
      <c r="A18992" s="2" t="s">
        <v>484</v>
      </c>
      <c r="C18992" s="44" t="n">
        <f aca="false">C18989/C18815</f>
        <v>1.29099400954412</v>
      </c>
    </row>
    <row r="18993" customFormat="false" ht="15" hidden="false" customHeight="false" outlineLevel="0" collapsed="false">
      <c r="A18993" s="2" t="s">
        <v>483</v>
      </c>
      <c r="C18993" s="42" t="n">
        <f aca="false">IF(C18989&lt;=0,-1,IFERROR(IRR($C$18986:$I$18986,MAX(-0.9,C18992^(1/C18980)-1)),IRR($C$18986:$I$18986,0.1)))</f>
        <v>0.0994077590660149</v>
      </c>
    </row>
    <row r="18994" customFormat="false" ht="15" hidden="false" customHeight="false" outlineLevel="0" collapsed="false">
      <c r="A18994" s="3" t="s">
        <v>610</v>
      </c>
      <c r="C18994" s="32" t="n">
        <f aca="false">MAX($G$18588:$K$18588)</f>
        <v>28.7591523715191</v>
      </c>
    </row>
    <row r="18995" customFormat="false" ht="15" hidden="false" customHeight="false" outlineLevel="0" collapsed="false">
      <c r="A18995" s="3" t="s">
        <v>611</v>
      </c>
      <c r="C18995" s="32" t="n">
        <f aca="false">MIN($G$18589:$K$18589)</f>
        <v>0.543736894585998</v>
      </c>
    </row>
    <row r="18996" customFormat="false" ht="15" hidden="false" customHeight="false" outlineLevel="0" collapsed="false">
      <c r="A18996" s="3" t="s">
        <v>612</v>
      </c>
      <c r="C18996" s="16" t="n">
        <f aca="false">SUM($G$18376:$K$18376)</f>
        <v>-495.140566545217</v>
      </c>
    </row>
    <row r="19000" customFormat="false" ht="15" hidden="false" customHeight="false" outlineLevel="0" collapsed="false">
      <c r="A19000" s="9" t="s">
        <v>1159</v>
      </c>
      <c r="B19000" s="10"/>
      <c r="C19000" s="10"/>
      <c r="D19000" s="10"/>
      <c r="E19000" s="10"/>
      <c r="F19000" s="10"/>
      <c r="G19000" s="10"/>
      <c r="H19000" s="10"/>
      <c r="I19000" s="10"/>
      <c r="J19000" s="10"/>
      <c r="K19000" s="10"/>
    </row>
    <row r="19001" customFormat="false" ht="15" hidden="false" customHeight="false" outlineLevel="0" collapsed="false">
      <c r="A19001" s="3" t="s">
        <v>1126</v>
      </c>
      <c r="C19001" s="11" t="n">
        <v>3</v>
      </c>
    </row>
    <row r="19002" customFormat="false" ht="15" hidden="false" customHeight="false" outlineLevel="0" collapsed="false">
      <c r="A19002" s="3" t="s">
        <v>1127</v>
      </c>
      <c r="C19002" s="30" t="n">
        <f aca="false">Sensitivities!$A$41</f>
        <v>-0.05</v>
      </c>
    </row>
    <row r="19003" customFormat="false" ht="15" hidden="false" customHeight="false" outlineLevel="0" collapsed="false">
      <c r="A19003" s="3" t="s">
        <v>1128</v>
      </c>
      <c r="C19003" s="19" t="n">
        <v>0</v>
      </c>
    </row>
    <row r="19004" customFormat="false" ht="15" hidden="false" customHeight="false" outlineLevel="0" collapsed="false">
      <c r="A19004" s="3" t="s">
        <v>1129</v>
      </c>
      <c r="C19004" s="19" t="n">
        <v>0</v>
      </c>
    </row>
    <row r="19005" customFormat="false" ht="15" hidden="false" customHeight="false" outlineLevel="0" collapsed="false">
      <c r="A19005" s="3" t="s">
        <v>1130</v>
      </c>
      <c r="C19005" s="15" t="n">
        <v>0</v>
      </c>
    </row>
    <row r="19007" customFormat="false" ht="15" hidden="false" customHeight="false" outlineLevel="0" collapsed="false">
      <c r="A19007" s="24" t="s">
        <v>301</v>
      </c>
      <c r="B19007" s="25"/>
      <c r="C19007" s="25"/>
      <c r="D19007" s="25"/>
      <c r="E19007" s="25"/>
      <c r="F19007" s="25"/>
      <c r="G19007" s="25"/>
      <c r="H19007" s="25"/>
      <c r="I19007" s="25"/>
      <c r="J19007" s="25"/>
      <c r="K19007" s="25"/>
    </row>
    <row r="19008" customFormat="false" ht="15" hidden="false" customHeight="false" outlineLevel="0" collapsed="false">
      <c r="A19008" s="3" t="s">
        <v>302</v>
      </c>
      <c r="F19008" s="27" t="n">
        <f aca="false">Assumptions!$C$6</f>
        <v>2026</v>
      </c>
      <c r="G19008" s="21" t="n">
        <f aca="false">F19008+1</f>
        <v>2027</v>
      </c>
      <c r="H19008" s="21" t="n">
        <f aca="false">G19008+1</f>
        <v>2028</v>
      </c>
      <c r="I19008" s="21" t="n">
        <f aca="false">H19008+1</f>
        <v>2029</v>
      </c>
      <c r="J19008" s="21" t="n">
        <f aca="false">I19008+1</f>
        <v>2030</v>
      </c>
      <c r="K19008" s="21" t="n">
        <f aca="false">J19008+1</f>
        <v>2031</v>
      </c>
    </row>
    <row r="19009" customFormat="false" ht="15" hidden="false" customHeight="false" outlineLevel="0" collapsed="false">
      <c r="A19009" s="3" t="s">
        <v>303</v>
      </c>
      <c r="G19009" s="21" t="n">
        <f aca="false">G19008-Assumptions!$C$6</f>
        <v>1</v>
      </c>
      <c r="H19009" s="21" t="n">
        <f aca="false">H19008-Assumptions!$C$6</f>
        <v>2</v>
      </c>
      <c r="I19009" s="21" t="n">
        <f aca="false">I19008-Assumptions!$C$6</f>
        <v>3</v>
      </c>
      <c r="J19009" s="21" t="n">
        <f aca="false">J19008-Assumptions!$C$6</f>
        <v>4</v>
      </c>
      <c r="K19009" s="21" t="n">
        <f aca="false">K19008-Assumptions!$C$6</f>
        <v>5</v>
      </c>
    </row>
    <row r="19010" customFormat="false" ht="15" hidden="false" customHeight="false" outlineLevel="0" collapsed="false">
      <c r="A19010" s="3" t="s">
        <v>180</v>
      </c>
      <c r="G19010" s="22" t="n">
        <f aca="false">CHOOSE($C$19001,Assumptions!$G$79,Assumptions!$G$98,Assumptions!$G$117)+$C$19002</f>
        <v>-0.15</v>
      </c>
      <c r="H19010" s="22" t="n">
        <f aca="false">CHOOSE($C$19001,Assumptions!$H$79,Assumptions!$H$98,Assumptions!$H$117)+$C$19002</f>
        <v>-0.12</v>
      </c>
      <c r="I19010" s="22" t="n">
        <f aca="false">CHOOSE($C$19001,Assumptions!$I$79,Assumptions!$I$98,Assumptions!$I$117)+$C$19002</f>
        <v>-0.08</v>
      </c>
      <c r="J19010" s="22" t="n">
        <f aca="false">CHOOSE($C$19001,Assumptions!$J$79,Assumptions!$J$98,Assumptions!$J$117)+$C$19002</f>
        <v>-0.05</v>
      </c>
      <c r="K19010" s="22" t="n">
        <f aca="false">CHOOSE($C$19001,Assumptions!$K$79,Assumptions!$K$98,Assumptions!$K$117)+$C$19002</f>
        <v>-0.04</v>
      </c>
    </row>
    <row r="19011" customFormat="false" ht="15" hidden="false" customHeight="false" outlineLevel="0" collapsed="false">
      <c r="A19011" s="3" t="s">
        <v>181</v>
      </c>
      <c r="G19011" s="22" t="n">
        <f aca="false">CHOOSE($C$19001,Assumptions!$G$80,Assumptions!$G$99,Assumptions!$G$118)</f>
        <v>0.533920660818678</v>
      </c>
      <c r="H19011" s="22" t="n">
        <f aca="false">CHOOSE($C$19001,Assumptions!$H$80,Assumptions!$H$99,Assumptions!$H$118)</f>
        <v>0.503920660818678</v>
      </c>
      <c r="I19011" s="22" t="n">
        <f aca="false">CHOOSE($C$19001,Assumptions!$I$80,Assumptions!$I$99,Assumptions!$I$118)</f>
        <v>0.498920660818678</v>
      </c>
      <c r="J19011" s="22" t="n">
        <f aca="false">CHOOSE($C$19001,Assumptions!$J$80,Assumptions!$J$99,Assumptions!$J$118)</f>
        <v>0.503920660818678</v>
      </c>
      <c r="K19011" s="22" t="n">
        <f aca="false">CHOOSE($C$19001,Assumptions!$K$80,Assumptions!$K$99,Assumptions!$K$118)</f>
        <v>0.513920660818678</v>
      </c>
    </row>
    <row r="19012" customFormat="false" ht="15" hidden="false" customHeight="false" outlineLevel="0" collapsed="false">
      <c r="A19012" s="3" t="s">
        <v>182</v>
      </c>
      <c r="G19012" s="22" t="n">
        <f aca="false">CHOOSE($C$19001,Assumptions!$G$81,Assumptions!$G$100,Assumptions!$G$119)+$C$19003</f>
        <v>0.46</v>
      </c>
      <c r="H19012" s="22" t="n">
        <f aca="false">CHOOSE($C$19001,Assumptions!$H$81,Assumptions!$H$100,Assumptions!$H$119)+$C$19003</f>
        <v>0.43</v>
      </c>
      <c r="I19012" s="22" t="n">
        <f aca="false">CHOOSE($C$19001,Assumptions!$I$81,Assumptions!$I$100,Assumptions!$I$119)+$C$19003</f>
        <v>0.425</v>
      </c>
      <c r="J19012" s="22" t="n">
        <f aca="false">CHOOSE($C$19001,Assumptions!$J$81,Assumptions!$J$100,Assumptions!$J$119)+$C$19003</f>
        <v>0.43</v>
      </c>
      <c r="K19012" s="22" t="n">
        <f aca="false">CHOOSE($C$19001,Assumptions!$K$81,Assumptions!$K$100,Assumptions!$K$119)+$C$19003</f>
        <v>0.44</v>
      </c>
    </row>
    <row r="19013" customFormat="false" ht="15" hidden="false" customHeight="false" outlineLevel="0" collapsed="false">
      <c r="A19013" s="24" t="s">
        <v>304</v>
      </c>
      <c r="B19013" s="25"/>
      <c r="C19013" s="25"/>
      <c r="D19013" s="25"/>
      <c r="E19013" s="25"/>
      <c r="F19013" s="25"/>
      <c r="G19013" s="25"/>
      <c r="H19013" s="25"/>
      <c r="I19013" s="25"/>
      <c r="J19013" s="25"/>
      <c r="K19013" s="25"/>
    </row>
    <row r="19014" customFormat="false" ht="15" hidden="false" customHeight="false" outlineLevel="0" collapsed="false">
      <c r="A19014" s="2" t="s">
        <v>275</v>
      </c>
      <c r="F19014" s="28" t="n">
        <f aca="false">'Historical Financials'!G25</f>
        <v>498.291</v>
      </c>
      <c r="G19014" s="17" t="n">
        <f aca="false">F19014*(1+G19010)</f>
        <v>423.54735</v>
      </c>
      <c r="H19014" s="17" t="n">
        <f aca="false">G19014*(1+H19010)</f>
        <v>372.721668</v>
      </c>
      <c r="I19014" s="17" t="n">
        <f aca="false">H19014*(1+I19010)</f>
        <v>342.90393456</v>
      </c>
      <c r="J19014" s="17" t="n">
        <f aca="false">I19014*(1+J19010)</f>
        <v>325.758737832</v>
      </c>
      <c r="K19014" s="17" t="n">
        <f aca="false">J19014*(1+K19010)</f>
        <v>312.72838831872</v>
      </c>
    </row>
    <row r="19015" customFormat="false" ht="15" hidden="false" customHeight="false" outlineLevel="0" collapsed="false">
      <c r="A19015" s="3" t="s">
        <v>276</v>
      </c>
      <c r="G19015" s="16" t="n">
        <f aca="false">G19014*(1-G19011)</f>
        <v>197.406669</v>
      </c>
      <c r="H19015" s="16" t="n">
        <f aca="false">H19014*(1-H19011)</f>
        <v>184.89951876</v>
      </c>
      <c r="I19015" s="16" t="n">
        <f aca="false">I19014*(1-I19011)</f>
        <v>171.822076932</v>
      </c>
      <c r="J19015" s="16" t="n">
        <f aca="false">J19014*(1-J19011)</f>
        <v>161.60217939624</v>
      </c>
      <c r="K19015" s="16" t="n">
        <f aca="false">K19014*(1-K19011)</f>
        <v>152.010808337203</v>
      </c>
    </row>
    <row r="19016" customFormat="false" ht="15" hidden="false" customHeight="false" outlineLevel="0" collapsed="false">
      <c r="A19016" s="2" t="s">
        <v>277</v>
      </c>
      <c r="G19016" s="17" t="n">
        <f aca="false">G19014-G19015</f>
        <v>226.140681</v>
      </c>
      <c r="H19016" s="17" t="n">
        <f aca="false">H19014-H19015</f>
        <v>187.82214924</v>
      </c>
      <c r="I19016" s="17" t="n">
        <f aca="false">I19014-I19015</f>
        <v>171.081857628</v>
      </c>
      <c r="J19016" s="17" t="n">
        <f aca="false">J19014-J19015</f>
        <v>164.15655843576</v>
      </c>
      <c r="K19016" s="17" t="n">
        <f aca="false">K19014-K19015</f>
        <v>160.717579981517</v>
      </c>
    </row>
    <row r="19017" customFormat="false" ht="15" hidden="false" customHeight="false" outlineLevel="0" collapsed="false">
      <c r="A19017" s="3" t="s">
        <v>305</v>
      </c>
      <c r="G19017" s="16" t="n">
        <f aca="false">G19016-G19018</f>
        <v>31.3089</v>
      </c>
      <c r="H19017" s="16" t="n">
        <f aca="false">H19016-H19018</f>
        <v>27.551832</v>
      </c>
      <c r="I19017" s="16" t="n">
        <f aca="false">I19016-I19018</f>
        <v>25.34768544</v>
      </c>
      <c r="J19017" s="16" t="n">
        <f aca="false">J19016-J19018</f>
        <v>24.080301168</v>
      </c>
      <c r="K19017" s="16" t="n">
        <f aca="false">K19016-K19018</f>
        <v>23.11708912128</v>
      </c>
    </row>
    <row r="19018" customFormat="false" ht="15" hidden="false" customHeight="false" outlineLevel="0" collapsed="false">
      <c r="A19018" s="2" t="s">
        <v>306</v>
      </c>
      <c r="G19018" s="17" t="n">
        <f aca="false">G19014*G19012</f>
        <v>194.831781</v>
      </c>
      <c r="H19018" s="17" t="n">
        <f aca="false">H19014*H19012</f>
        <v>160.27031724</v>
      </c>
      <c r="I19018" s="17" t="n">
        <f aca="false">I19014*I19012</f>
        <v>145.734172188</v>
      </c>
      <c r="J19018" s="17" t="n">
        <f aca="false">J19014*J19012</f>
        <v>140.07625726776</v>
      </c>
      <c r="K19018" s="17" t="n">
        <f aca="false">K19014*K19012</f>
        <v>137.600490860237</v>
      </c>
    </row>
    <row r="19019" customFormat="false" ht="15" hidden="false" customHeight="false" outlineLevel="0" collapsed="false">
      <c r="A19019" s="3" t="s">
        <v>307</v>
      </c>
      <c r="G19019" s="16" t="n">
        <f aca="false">G19014*'Historical Financials'!G30/'Historical Financials'!G25</f>
        <v>157.49905</v>
      </c>
      <c r="H19019" s="16" t="n">
        <f aca="false">H19014*'Historical Financials'!G30/'Historical Financials'!G25</f>
        <v>138.599164</v>
      </c>
      <c r="I19019" s="16" t="n">
        <f aca="false">I19014*'Historical Financials'!G30/'Historical Financials'!G25</f>
        <v>127.51123088</v>
      </c>
      <c r="J19019" s="16" t="n">
        <f aca="false">J19014*'Historical Financials'!G30/'Historical Financials'!G25</f>
        <v>121.135669336</v>
      </c>
      <c r="K19019" s="16" t="n">
        <f aca="false">K19014*'Historical Financials'!G30/'Historical Financials'!G25</f>
        <v>116.29024256256</v>
      </c>
    </row>
    <row r="19020" customFormat="false" ht="15" hidden="false" customHeight="false" outlineLevel="0" collapsed="false">
      <c r="A19020" s="3" t="s">
        <v>308</v>
      </c>
      <c r="G19020" s="16" t="n">
        <f aca="false">G19014*'Historical Financials'!G31/'Historical Financials'!G25</f>
        <v>0</v>
      </c>
      <c r="H19020" s="16" t="n">
        <f aca="false">H19014*'Historical Financials'!G31/'Historical Financials'!G25</f>
        <v>0</v>
      </c>
      <c r="I19020" s="16" t="n">
        <f aca="false">I19014*'Historical Financials'!G31/'Historical Financials'!G25</f>
        <v>0</v>
      </c>
      <c r="J19020" s="16" t="n">
        <f aca="false">J19014*'Historical Financials'!G31/'Historical Financials'!G25</f>
        <v>0</v>
      </c>
      <c r="K19020" s="16" t="n">
        <f aca="false">K19014*'Historical Financials'!G31/'Historical Financials'!G25</f>
        <v>0</v>
      </c>
    </row>
    <row r="19021" customFormat="false" ht="15" hidden="false" customHeight="false" outlineLevel="0" collapsed="false">
      <c r="A19021" s="2" t="s">
        <v>309</v>
      </c>
      <c r="G19021" s="17" t="n">
        <f aca="false">G19018-G19019-G19020</f>
        <v>37.3327310000001</v>
      </c>
      <c r="H19021" s="17" t="n">
        <f aca="false">H19018-H19019-H19020</f>
        <v>21.67115324</v>
      </c>
      <c r="I19021" s="17" t="n">
        <f aca="false">I19018-I19019-I19020</f>
        <v>18.222941308</v>
      </c>
      <c r="J19021" s="17" t="n">
        <f aca="false">J19018-J19019-J19020</f>
        <v>18.94058793176</v>
      </c>
      <c r="K19021" s="17" t="n">
        <f aca="false">K19018-K19019-K19020</f>
        <v>21.3102482976768</v>
      </c>
    </row>
    <row r="19022" customFormat="false" ht="15" hidden="false" customHeight="false" outlineLevel="0" collapsed="false">
      <c r="A19022" s="3" t="s">
        <v>310</v>
      </c>
      <c r="G19022" s="16" t="n">
        <f aca="false">G19048+G19061+G19074+G19087+G19100+G19113+G19126+G19139+G19152+G19165</f>
        <v>194.5679854</v>
      </c>
      <c r="H19022" s="16" t="n">
        <f aca="false">H19048+H19061+H19074+H19087+H19100+H19113+H19126+H19139+H19152+H19165</f>
        <v>193.3700704</v>
      </c>
      <c r="I19022" s="16" t="n">
        <f aca="false">I19048+I19061+I19074+I19087+I19100+I19113+I19126+I19139+I19152+I19165</f>
        <v>191.7135454</v>
      </c>
      <c r="J19022" s="16" t="n">
        <f aca="false">J19048+J19061+J19074+J19087+J19100+J19113+J19126+J19139+J19152+J19165</f>
        <v>191.2435454</v>
      </c>
      <c r="K19022" s="16" t="n">
        <f aca="false">K19048+K19061+K19074+K19087+K19100+K19113+K19126+K19139+K19152+K19165</f>
        <v>190.7735454</v>
      </c>
    </row>
    <row r="19023" customFormat="false" ht="15" hidden="false" customHeight="false" outlineLevel="0" collapsed="false">
      <c r="A19023" s="3" t="s">
        <v>311</v>
      </c>
      <c r="G19023" s="16" t="n">
        <f aca="false">G19049+G19062+G19075+G19088+G19101+G19114+G19127+G19140+G19153+G19166</f>
        <v>0</v>
      </c>
      <c r="H19023" s="16" t="n">
        <f aca="false">H19049+H19062+H19075+H19088+H19101+H19114+H19127+H19140+H19153+H19166</f>
        <v>0</v>
      </c>
      <c r="I19023" s="16" t="n">
        <f aca="false">I19049+I19062+I19075+I19088+I19101+I19114+I19127+I19140+I19153+I19166</f>
        <v>0</v>
      </c>
      <c r="J19023" s="16" t="n">
        <f aca="false">J19049+J19062+J19075+J19088+J19101+J19114+J19127+J19140+J19153+J19166</f>
        <v>0</v>
      </c>
      <c r="K19023" s="16" t="n">
        <f aca="false">K19049+K19062+K19075+K19088+K19101+K19114+K19127+K19140+K19153+K19166</f>
        <v>0</v>
      </c>
    </row>
    <row r="19024" customFormat="false" ht="15" hidden="false" customHeight="false" outlineLevel="0" collapsed="false">
      <c r="A19024" s="3" t="s">
        <v>283</v>
      </c>
      <c r="G19024" s="16" t="n">
        <f aca="false">G19022+G19023</f>
        <v>194.5679854</v>
      </c>
      <c r="H19024" s="16" t="n">
        <f aca="false">H19022+H19023</f>
        <v>193.3700704</v>
      </c>
      <c r="I19024" s="16" t="n">
        <f aca="false">I19022+I19023</f>
        <v>191.7135454</v>
      </c>
      <c r="J19024" s="16" t="n">
        <f aca="false">J19022+J19023</f>
        <v>191.2435454</v>
      </c>
      <c r="K19024" s="16" t="n">
        <f aca="false">K19022+K19023</f>
        <v>190.7735454</v>
      </c>
    </row>
    <row r="19025" customFormat="false" ht="15" hidden="false" customHeight="false" outlineLevel="0" collapsed="false">
      <c r="A19025" s="2" t="s">
        <v>284</v>
      </c>
      <c r="G19025" s="17" t="n">
        <f aca="false">G19021-G19024</f>
        <v>-157.2352544</v>
      </c>
      <c r="H19025" s="17" t="n">
        <f aca="false">H19021-H19024</f>
        <v>-171.69891716</v>
      </c>
      <c r="I19025" s="17" t="n">
        <f aca="false">I19021-I19024</f>
        <v>-173.490604092</v>
      </c>
      <c r="J19025" s="17" t="n">
        <f aca="false">J19021-J19024</f>
        <v>-172.30295746824</v>
      </c>
      <c r="K19025" s="17" t="n">
        <f aca="false">K19021-K19024</f>
        <v>-169.463297102323</v>
      </c>
    </row>
    <row r="19026" customFormat="false" ht="15" hidden="false" customHeight="false" outlineLevel="0" collapsed="false">
      <c r="A19026" s="3" t="s">
        <v>312</v>
      </c>
      <c r="G19026" s="16" t="n">
        <f aca="false">MAX(0,G19025)*Assumptions!$C$9</f>
        <v>0</v>
      </c>
      <c r="H19026" s="16" t="n">
        <f aca="false">MAX(0,H19025)*Assumptions!$C$9</f>
        <v>0</v>
      </c>
      <c r="I19026" s="16" t="n">
        <f aca="false">MAX(0,I19025)*Assumptions!$C$9</f>
        <v>0</v>
      </c>
      <c r="J19026" s="16" t="n">
        <f aca="false">MAX(0,J19025)*Assumptions!$C$9</f>
        <v>0</v>
      </c>
      <c r="K19026" s="16" t="n">
        <f aca="false">MAX(0,K19025)*Assumptions!$C$9</f>
        <v>0</v>
      </c>
    </row>
    <row r="19027" customFormat="false" ht="15" hidden="false" customHeight="false" outlineLevel="0" collapsed="false">
      <c r="A19027" s="2" t="s">
        <v>313</v>
      </c>
      <c r="G19027" s="17" t="n">
        <f aca="false">G19025-G19026</f>
        <v>-157.2352544</v>
      </c>
      <c r="H19027" s="17" t="n">
        <f aca="false">H19025-H19026</f>
        <v>-171.69891716</v>
      </c>
      <c r="I19027" s="17" t="n">
        <f aca="false">I19025-I19026</f>
        <v>-173.490604092</v>
      </c>
      <c r="J19027" s="17" t="n">
        <f aca="false">J19025-J19026</f>
        <v>-172.30295746824</v>
      </c>
      <c r="K19027" s="17" t="n">
        <f aca="false">K19025-K19026</f>
        <v>-169.463297102323</v>
      </c>
    </row>
    <row r="19028" customFormat="false" ht="15" hidden="false" customHeight="false" outlineLevel="0" collapsed="false">
      <c r="A19028" s="24" t="s">
        <v>314</v>
      </c>
      <c r="B19028" s="25"/>
      <c r="C19028" s="25"/>
      <c r="D19028" s="25"/>
      <c r="E19028" s="25"/>
      <c r="F19028" s="25"/>
      <c r="G19028" s="25"/>
      <c r="H19028" s="25"/>
      <c r="I19028" s="25"/>
      <c r="J19028" s="25"/>
      <c r="K19028" s="25"/>
    </row>
    <row r="19029" customFormat="false" ht="15" hidden="false" customHeight="false" outlineLevel="0" collapsed="false">
      <c r="A19029" s="3" t="s">
        <v>184</v>
      </c>
      <c r="G19029" s="16" t="n">
        <f aca="false">G19014*CHOOSE($C$19001,Assumptions!$C$83,Assumptions!$C$102,Assumptions!$C$121)</f>
        <v>55.0611555</v>
      </c>
      <c r="H19029" s="16" t="n">
        <f aca="false">H19014*CHOOSE($C$19001,Assumptions!$C$83,Assumptions!$C$102,Assumptions!$C$121)</f>
        <v>48.45381684</v>
      </c>
      <c r="I19029" s="16" t="n">
        <f aca="false">I19014*CHOOSE($C$19001,Assumptions!$C$83,Assumptions!$C$102,Assumptions!$C$121)</f>
        <v>44.5775114928</v>
      </c>
      <c r="J19029" s="16" t="n">
        <f aca="false">J19014*CHOOSE($C$19001,Assumptions!$C$83,Assumptions!$C$102,Assumptions!$C$121)</f>
        <v>42.34863591816</v>
      </c>
      <c r="K19029" s="16" t="n">
        <f aca="false">K19014*CHOOSE($C$19001,Assumptions!$C$83,Assumptions!$C$102,Assumptions!$C$121)</f>
        <v>40.6546904814336</v>
      </c>
    </row>
    <row r="19030" customFormat="false" ht="15" hidden="false" customHeight="false" outlineLevel="0" collapsed="false">
      <c r="A19030" s="3" t="s">
        <v>315</v>
      </c>
      <c r="G19030" s="16" t="n">
        <f aca="false">CHOOSE($C$19001,Assumptions!$C$84,Assumptions!$C$103,Assumptions!$C$122)*(G19014-F19014)+CHOOSE($C$19001,Assumptions!$C$85,Assumptions!$C$104,Assumptions!$C$123)*G19014</f>
        <v>0</v>
      </c>
      <c r="H19030" s="16" t="n">
        <f aca="false">CHOOSE($C$19001,Assumptions!$C$84,Assumptions!$C$103,Assumptions!$C$122)*(H19014-G19014)+CHOOSE($C$19001,Assumptions!$C$85,Assumptions!$C$104,Assumptions!$C$123)*H19014</f>
        <v>0</v>
      </c>
      <c r="I19030" s="16" t="n">
        <f aca="false">CHOOSE($C$19001,Assumptions!$C$84,Assumptions!$C$103,Assumptions!$C$122)*(I19014-H19014)+CHOOSE($C$19001,Assumptions!$C$85,Assumptions!$C$104,Assumptions!$C$123)*I19014</f>
        <v>0</v>
      </c>
      <c r="J19030" s="16" t="n">
        <f aca="false">CHOOSE($C$19001,Assumptions!$C$84,Assumptions!$C$103,Assumptions!$C$122)*(J19014-I19014)+CHOOSE($C$19001,Assumptions!$C$85,Assumptions!$C$104,Assumptions!$C$123)*J19014</f>
        <v>0</v>
      </c>
      <c r="K19030" s="16" t="n">
        <f aca="false">CHOOSE($C$19001,Assumptions!$C$84,Assumptions!$C$103,Assumptions!$C$122)*(K19014-J19014)+CHOOSE($C$19001,Assumptions!$C$85,Assumptions!$C$104,Assumptions!$C$123)*K19014</f>
        <v>0</v>
      </c>
    </row>
    <row r="19031" customFormat="false" ht="15" hidden="false" customHeight="false" outlineLevel="0" collapsed="false">
      <c r="A19031" s="2" t="s">
        <v>316</v>
      </c>
      <c r="G19031" s="17" t="n">
        <f aca="false">G19027+G19019+G19020+G19023-G19029-G19030</f>
        <v>-54.7973599</v>
      </c>
      <c r="H19031" s="17" t="n">
        <f aca="false">H19027+H19019+H19020+H19023-H19029-H19030</f>
        <v>-81.55357</v>
      </c>
      <c r="I19031" s="17" t="n">
        <f aca="false">I19027+I19019+I19020+I19023-I19029-I19030</f>
        <v>-90.5568847048</v>
      </c>
      <c r="J19031" s="17" t="n">
        <f aca="false">J19027+J19019+J19020+J19023-J19029-J19030</f>
        <v>-93.5159240504</v>
      </c>
      <c r="K19031" s="17" t="n">
        <f aca="false">K19027+K19019+K19020+K19023-K19029-K19030</f>
        <v>-93.8277450211968</v>
      </c>
    </row>
    <row r="19033" customFormat="false" ht="15" hidden="false" customHeight="false" outlineLevel="0" collapsed="false">
      <c r="A19033" s="24" t="s">
        <v>318</v>
      </c>
      <c r="B19033" s="25"/>
      <c r="C19033" s="25"/>
      <c r="D19033" s="25"/>
      <c r="E19033" s="25"/>
      <c r="F19033" s="25"/>
      <c r="G19033" s="25"/>
      <c r="H19033" s="25"/>
      <c r="I19033" s="25"/>
      <c r="J19033" s="25"/>
      <c r="K19033" s="25"/>
    </row>
    <row r="19034" customFormat="false" ht="15" hidden="false" customHeight="false" outlineLevel="0" collapsed="false">
      <c r="A19034" s="3" t="s">
        <v>319</v>
      </c>
      <c r="G19034" s="30" t="n">
        <f aca="false">Assumptions!$G$53</f>
        <v>0.039</v>
      </c>
      <c r="H19034" s="30" t="n">
        <f aca="false">Assumptions!$H$53</f>
        <v>0.0375</v>
      </c>
      <c r="I19034" s="30" t="n">
        <f aca="false">Assumptions!$I$53</f>
        <v>0.035</v>
      </c>
      <c r="J19034" s="30" t="n">
        <f aca="false">Assumptions!$J$53</f>
        <v>0.035</v>
      </c>
      <c r="K19034" s="30" t="n">
        <f aca="false">Assumptions!$K$53</f>
        <v>0.035</v>
      </c>
    </row>
    <row r="19035" customFormat="false" ht="15" hidden="false" customHeight="false" outlineLevel="0" collapsed="false">
      <c r="A19035" s="3" t="s">
        <v>320</v>
      </c>
      <c r="C19035" s="31" t="n">
        <f aca="false">CHOOSE($C$19001,Assumptions!$C$86,Assumptions!$C$105,Assumptions!$C$124)+$C$19004</f>
        <v>0.03</v>
      </c>
    </row>
    <row r="19036" customFormat="false" ht="15" hidden="false" customHeight="false" outlineLevel="0" collapsed="false">
      <c r="A19036" s="3" t="s">
        <v>321</v>
      </c>
      <c r="C19036" s="31" t="n">
        <f aca="false">CHOOSE($C$19001,Assumptions!$C$87,Assumptions!$C$106,Assumptions!$C$125)</f>
        <v>0.12</v>
      </c>
    </row>
    <row r="19037" customFormat="false" ht="15" hidden="false" customHeight="false" outlineLevel="0" collapsed="false">
      <c r="A19037" s="3" t="s">
        <v>322</v>
      </c>
      <c r="C19037" s="32" t="n">
        <f aca="false">CHOOSE($C$19001,Assumptions!$C$88,Assumptions!$C$107,Assumptions!$C$126)</f>
        <v>9</v>
      </c>
    </row>
    <row r="19038" customFormat="false" ht="15" hidden="false" customHeight="false" outlineLevel="0" collapsed="false">
      <c r="A19038" s="3" t="s">
        <v>323</v>
      </c>
      <c r="C19038" s="32" t="n">
        <f aca="false">CHOOSE($C$19001,Assumptions!$C$89,Assumptions!$C$108,Assumptions!$C$127)</f>
        <v>1.75</v>
      </c>
    </row>
    <row r="19039" customFormat="false" ht="15" hidden="false" customHeight="false" outlineLevel="0" collapsed="false">
      <c r="A19039" s="3" t="s">
        <v>324</v>
      </c>
      <c r="G19039" s="16" t="n">
        <f aca="false">G19044+G19057+G19070+G19083+G19096+G19109+G19122+G19135+G19148+G19161</f>
        <v>2625.934</v>
      </c>
      <c r="H19039" s="16" t="n">
        <f aca="false">H19044+H19057+H19070+H19083+H19096+H19109+H19122+H19135+H19148+H19161</f>
        <v>2621.934</v>
      </c>
      <c r="I19039" s="16" t="n">
        <f aca="false">I19044+I19057+I19070+I19083+I19096+I19109+I19122+I19135+I19148+I19161</f>
        <v>2617.934</v>
      </c>
      <c r="J19039" s="16" t="n">
        <f aca="false">J19044+J19057+J19070+J19083+J19096+J19109+J19122+J19135+J19148+J19161</f>
        <v>2613.934</v>
      </c>
      <c r="K19039" s="16" t="n">
        <f aca="false">K19044+K19057+K19070+K19083+K19096+K19109+K19122+K19135+K19148+K19161</f>
        <v>2609.934</v>
      </c>
    </row>
    <row r="19040" customFormat="false" ht="15" hidden="false" customHeight="false" outlineLevel="0" collapsed="false">
      <c r="A19040" s="3" t="s">
        <v>325</v>
      </c>
      <c r="G19040" s="16" t="n">
        <f aca="false">F19232</f>
        <v>37.87</v>
      </c>
      <c r="H19040" s="16" t="n">
        <f aca="false">G19232</f>
        <v>79.0726401</v>
      </c>
      <c r="I19040" s="16" t="n">
        <f aca="false">H19232</f>
        <v>-6.48092989999998</v>
      </c>
      <c r="J19040" s="16" t="n">
        <f aca="false">I19232</f>
        <v>-101.0378146048</v>
      </c>
      <c r="K19040" s="16" t="n">
        <f aca="false">J19232</f>
        <v>-198.5537386552</v>
      </c>
    </row>
    <row r="19041" customFormat="false" ht="15" hidden="false" customHeight="false" outlineLevel="0" collapsed="false">
      <c r="A19041" s="3" t="s">
        <v>326</v>
      </c>
      <c r="G19041" s="16" t="n">
        <f aca="false">G19044*IF(G19045=1,$C$19036,IF(Assumptions!$I$57=1,MAX(G19034,Assumptions!$G$57)+Assumptions!$F$57+$C$19035,Assumptions!$E$57))+G19057*IF(G19058=1,$C$19036,IF(Assumptions!$I$58=1,MAX(G19034,Assumptions!$G$58)+Assumptions!$F$58+$C$19035,Assumptions!$E$58))+G19070*IF(G19071=1,$C$19036,IF(Assumptions!$I$59=1,MAX(G19034,Assumptions!$G$59)+Assumptions!$F$59+$C$19035,Assumptions!$E$59))+G19083*IF(G19084=1,$C$19036,IF(Assumptions!$I$60=1,MAX(G19034,Assumptions!$G$60)+Assumptions!$F$60+$C$19035,Assumptions!$E$60))+G19096*IF(G19097=1,$C$19036,IF(Assumptions!$I$61=1,MAX(G19034,Assumptions!$G$61)+Assumptions!$F$61+$C$19035,Assumptions!$E$61))+G19109*IF(G19110=1,$C$19036,IF(Assumptions!$I$62=1,MAX(G19034,Assumptions!$G$62)+Assumptions!$F$62+$C$19035,Assumptions!$E$62))+G19122*IF(G19123=1,$C$19036,IF(Assumptions!$I$63=1,MAX(G19034,Assumptions!$G$63)+Assumptions!$F$63+$C$19035,Assumptions!$E$63))+G19135*IF(G19136=1,$C$19036,IF(Assumptions!$I$64=1,MAX(G19034,Assumptions!$G$64)+Assumptions!$F$64+$C$19035,Assumptions!$E$64))+G19148*IF(G19149=1,$C$19036,IF(Assumptions!$I$65=1,MAX(G19034,Assumptions!$G$65)+Assumptions!$F$65+$C$19035,Assumptions!$E$65))+G19161*IF(G19162=1,$C$19036,IF(Assumptions!$I$66=1,MAX(G19034,Assumptions!$G$66)+Assumptions!$F$66+$C$19035,Assumptions!$E$66))</f>
        <v>194.5679854</v>
      </c>
      <c r="H19041" s="16" t="n">
        <f aca="false">H19044*IF(OR(H19045=1,G19354=1),$C$19036,IF(Assumptions!$I$57=1,MAX(H19034,Assumptions!$G$57)+Assumptions!$F$57+$C$19035,Assumptions!$E$57))+H19057*IF(OR(H19058=1,G19355=1),$C$19036,IF(Assumptions!$I$58=1,MAX(H19034,Assumptions!$G$58)+Assumptions!$F$58+$C$19035,Assumptions!$E$58))+H19070*IF(OR(H19071=1,G19356=1),$C$19036,IF(Assumptions!$I$59=1,MAX(H19034,Assumptions!$G$59)+Assumptions!$F$59+$C$19035,Assumptions!$E$59))+H19083*IF(OR(H19084=1,G19357=1),$C$19036,IF(Assumptions!$I$60=1,MAX(H19034,Assumptions!$G$60)+Assumptions!$F$60+$C$19035,Assumptions!$E$60))+H19096*IF(OR(H19097=1,G19358=1),$C$19036,IF(Assumptions!$I$61=1,MAX(H19034,Assumptions!$G$61)+Assumptions!$F$61+$C$19035,Assumptions!$E$61))+H19109*IF(OR(H19110=1,G19359=1),$C$19036,IF(Assumptions!$I$62=1,MAX(H19034,Assumptions!$G$62)+Assumptions!$F$62+$C$19035,Assumptions!$E$62))+H19122*IF(OR(H19123=1,G19360=1),$C$19036,IF(Assumptions!$I$63=1,MAX(H19034,Assumptions!$G$63)+Assumptions!$F$63+$C$19035,Assumptions!$E$63))+H19135*IF(OR(H19136=1,G19361=1),$C$19036,IF(Assumptions!$I$64=1,MAX(H19034,Assumptions!$G$64)+Assumptions!$F$64+$C$19035,Assumptions!$E$64))+H19148*IF(OR(H19149=1,G19362=1),$C$19036,IF(Assumptions!$I$65=1,MAX(H19034,Assumptions!$G$65)+Assumptions!$F$65+$C$19035,Assumptions!$E$65))+H19161*IF(OR(H19162=1,G19363=1),$C$19036,IF(Assumptions!$I$66=1,MAX(H19034,Assumptions!$G$66)+Assumptions!$F$66+$C$19035,Assumptions!$E$66))</f>
        <v>242.5450704</v>
      </c>
      <c r="I19041" s="16" t="n">
        <f aca="false">I19044*IF(OR(I19045=1,H19354=1),$C$19036,IF(Assumptions!$I$57=1,MAX(I19034,Assumptions!$G$57)+Assumptions!$F$57+$C$19035,Assumptions!$E$57))+I19057*IF(OR(I19058=1,H19355=1),$C$19036,IF(Assumptions!$I$58=1,MAX(I19034,Assumptions!$G$58)+Assumptions!$F$58+$C$19035,Assumptions!$E$58))+I19070*IF(OR(I19071=1,H19356=1),$C$19036,IF(Assumptions!$I$59=1,MAX(I19034,Assumptions!$G$59)+Assumptions!$F$59+$C$19035,Assumptions!$E$59))+I19083*IF(OR(I19084=1,H19357=1),$C$19036,IF(Assumptions!$I$60=1,MAX(I19034,Assumptions!$G$60)+Assumptions!$F$60+$C$19035,Assumptions!$E$60))+I19096*IF(OR(I19097=1,H19358=1),$C$19036,IF(Assumptions!$I$61=1,MAX(I19034,Assumptions!$G$61)+Assumptions!$F$61+$C$19035,Assumptions!$E$61))+I19109*IF(OR(I19110=1,H19359=1),$C$19036,IF(Assumptions!$I$62=1,MAX(I19034,Assumptions!$G$62)+Assumptions!$F$62+$C$19035,Assumptions!$E$62))+I19122*IF(OR(I19123=1,H19360=1),$C$19036,IF(Assumptions!$I$63=1,MAX(I19034,Assumptions!$G$63)+Assumptions!$F$63+$C$19035,Assumptions!$E$63))+I19135*IF(OR(I19136=1,H19361=1),$C$19036,IF(Assumptions!$I$64=1,MAX(I19034,Assumptions!$G$64)+Assumptions!$F$64+$C$19035,Assumptions!$E$64))+I19148*IF(OR(I19149=1,H19362=1),$C$19036,IF(Assumptions!$I$65=1,MAX(I19034,Assumptions!$G$65)+Assumptions!$F$65+$C$19035,Assumptions!$E$65))+I19161*IF(OR(I19162=1,H19363=1),$C$19036,IF(Assumptions!$I$66=1,MAX(I19034,Assumptions!$G$66)+Assumptions!$F$66+$C$19035,Assumptions!$E$66))</f>
        <v>208.9010454</v>
      </c>
      <c r="J19041" s="16" t="n">
        <f aca="false">J19044*IF(OR(J19045=1,I19354=1),$C$19036,IF(Assumptions!$I$57=1,MAX(J19034,Assumptions!$G$57)+Assumptions!$F$57+$C$19035,Assumptions!$E$57))+J19057*IF(OR(J19058=1,I19355=1),$C$19036,IF(Assumptions!$I$58=1,MAX(J19034,Assumptions!$G$58)+Assumptions!$F$58+$C$19035,Assumptions!$E$58))+J19070*IF(OR(J19071=1,I19356=1),$C$19036,IF(Assumptions!$I$59=1,MAX(J19034,Assumptions!$G$59)+Assumptions!$F$59+$C$19035,Assumptions!$E$59))+J19083*IF(OR(J19084=1,I19357=1),$C$19036,IF(Assumptions!$I$60=1,MAX(J19034,Assumptions!$G$60)+Assumptions!$F$60+$C$19035,Assumptions!$E$60))+J19096*IF(OR(J19097=1,I19358=1),$C$19036,IF(Assumptions!$I$61=1,MAX(J19034,Assumptions!$G$61)+Assumptions!$F$61+$C$19035,Assumptions!$E$61))+J19109*IF(OR(J19110=1,I19359=1),$C$19036,IF(Assumptions!$I$62=1,MAX(J19034,Assumptions!$G$62)+Assumptions!$F$62+$C$19035,Assumptions!$E$62))+J19122*IF(OR(J19123=1,I19360=1),$C$19036,IF(Assumptions!$I$63=1,MAX(J19034,Assumptions!$G$63)+Assumptions!$F$63+$C$19035,Assumptions!$E$63))+J19135*IF(OR(J19136=1,I19361=1),$C$19036,IF(Assumptions!$I$64=1,MAX(J19034,Assumptions!$G$64)+Assumptions!$F$64+$C$19035,Assumptions!$E$64))+J19148*IF(OR(J19149=1,I19362=1),$C$19036,IF(Assumptions!$I$65=1,MAX(J19034,Assumptions!$G$65)+Assumptions!$F$65+$C$19035,Assumptions!$E$65))+J19161*IF(OR(J19162=1,I19363=1),$C$19036,IF(Assumptions!$I$66=1,MAX(J19034,Assumptions!$G$66)+Assumptions!$F$66+$C$19035,Assumptions!$E$66))</f>
        <v>217.3185454</v>
      </c>
      <c r="K19041" s="16" t="n">
        <f aca="false">K19044*IF(OR(K19045=1,J19354=1),$C$19036,IF(Assumptions!$I$57=1,MAX(K19034,Assumptions!$G$57)+Assumptions!$F$57+$C$19035,Assumptions!$E$57))+K19057*IF(OR(K19058=1,J19355=1),$C$19036,IF(Assumptions!$I$58=1,MAX(K19034,Assumptions!$G$58)+Assumptions!$F$58+$C$19035,Assumptions!$E$58))+K19070*IF(OR(K19071=1,J19356=1),$C$19036,IF(Assumptions!$I$59=1,MAX(K19034,Assumptions!$G$59)+Assumptions!$F$59+$C$19035,Assumptions!$E$59))+K19083*IF(OR(K19084=1,J19357=1),$C$19036,IF(Assumptions!$I$60=1,MAX(K19034,Assumptions!$G$60)+Assumptions!$F$60+$C$19035,Assumptions!$E$60))+K19096*IF(OR(K19097=1,J19358=1),$C$19036,IF(Assumptions!$I$61=1,MAX(K19034,Assumptions!$G$61)+Assumptions!$F$61+$C$19035,Assumptions!$E$61))+K19109*IF(OR(K19110=1,J19359=1),$C$19036,IF(Assumptions!$I$62=1,MAX(K19034,Assumptions!$G$62)+Assumptions!$F$62+$C$19035,Assumptions!$E$62))+K19122*IF(OR(K19123=1,J19360=1),$C$19036,IF(Assumptions!$I$63=1,MAX(K19034,Assumptions!$G$63)+Assumptions!$F$63+$C$19035,Assumptions!$E$63))+K19135*IF(OR(K19136=1,J19361=1),$C$19036,IF(Assumptions!$I$64=1,MAX(K19034,Assumptions!$G$64)+Assumptions!$F$64+$C$19035,Assumptions!$E$64))+K19148*IF(OR(K19149=1,J19362=1),$C$19036,IF(Assumptions!$I$65=1,MAX(K19034,Assumptions!$G$65)+Assumptions!$F$65+$C$19035,Assumptions!$E$65))+K19161*IF(OR(K19162=1,J19363=1),$C$19036,IF(Assumptions!$I$66=1,MAX(K19034,Assumptions!$G$66)+Assumptions!$F$66+$C$19035,Assumptions!$E$66))</f>
        <v>209.3585454</v>
      </c>
    </row>
    <row r="19042" customFormat="false" ht="15" hidden="false" customHeight="false" outlineLevel="0" collapsed="false">
      <c r="A19042" s="3" t="s">
        <v>327</v>
      </c>
      <c r="G19042" s="21" t="n">
        <f aca="false">IF(G19018&lt;=0,0,IF(AND((G19039-G19040)/G19018&lt;=$C$19037,G19018/G19041&gt;=$C$19038),1,0))</f>
        <v>0</v>
      </c>
      <c r="H19042" s="21" t="n">
        <f aca="false">IF(H19018&lt;=0,0,IF(AND((H19039-H19040)/H19018&lt;=$C$19037,H19018/H19041&gt;=$C$19038),1,0))</f>
        <v>0</v>
      </c>
      <c r="I19042" s="21" t="n">
        <f aca="false">IF(I19018&lt;=0,0,IF(AND((I19039-I19040)/I19018&lt;=$C$19037,I19018/I19041&gt;=$C$19038),1,0))</f>
        <v>0</v>
      </c>
      <c r="J19042" s="21" t="n">
        <f aca="false">IF(J19018&lt;=0,0,IF(AND((J19039-J19040)/J19018&lt;=$C$19037,J19018/J19041&gt;=$C$19038),1,0))</f>
        <v>0</v>
      </c>
      <c r="K19042" s="21" t="n">
        <f aca="false">IF(K19018&lt;=0,0,IF(AND((K19039-K19040)/K19018&lt;=$C$19037,K19018/K19041&gt;=$C$19038),1,0))</f>
        <v>0</v>
      </c>
    </row>
    <row r="19043" customFormat="false" ht="15" hidden="false" customHeight="false" outlineLevel="0" collapsed="false">
      <c r="A19043" s="24" t="s">
        <v>328</v>
      </c>
      <c r="B19043" s="25"/>
      <c r="C19043" s="25"/>
      <c r="D19043" s="25"/>
      <c r="E19043" s="25"/>
      <c r="F19043" s="25"/>
      <c r="G19043" s="25"/>
      <c r="H19043" s="25"/>
      <c r="I19043" s="25"/>
      <c r="J19043" s="25"/>
      <c r="K19043" s="25"/>
    </row>
    <row r="19044" customFormat="false" ht="15" hidden="false" customHeight="false" outlineLevel="0" collapsed="false">
      <c r="A19044" s="3" t="s">
        <v>329</v>
      </c>
      <c r="G19044" s="16" t="n">
        <f aca="false">F19055</f>
        <v>400</v>
      </c>
      <c r="H19044" s="16" t="n">
        <f aca="false">G19055</f>
        <v>396</v>
      </c>
      <c r="I19044" s="16" t="n">
        <f aca="false">H19055</f>
        <v>392</v>
      </c>
      <c r="J19044" s="16" t="n">
        <f aca="false">I19055</f>
        <v>388</v>
      </c>
      <c r="K19044" s="16" t="n">
        <f aca="false">J19055</f>
        <v>384</v>
      </c>
    </row>
    <row r="19045" customFormat="false" ht="15" hidden="false" customHeight="false" outlineLevel="0" collapsed="false">
      <c r="A19045" s="3" t="s">
        <v>330</v>
      </c>
      <c r="G19045" s="21" t="n">
        <f aca="false">IF(G19008=Assumptions!$K$57,1,0)</f>
        <v>0</v>
      </c>
      <c r="H19045" s="21" t="n">
        <f aca="false">IF(H19008=Assumptions!$K$57,1,0)</f>
        <v>0</v>
      </c>
      <c r="I19045" s="21" t="n">
        <f aca="false">IF(I19008=Assumptions!$K$57,1,0)</f>
        <v>0</v>
      </c>
      <c r="J19045" s="21" t="n">
        <f aca="false">IF(J19008=Assumptions!$K$57,1,0)</f>
        <v>0</v>
      </c>
      <c r="K19045" s="21" t="n">
        <f aca="false">IF(K19008=Assumptions!$K$57,1,0)</f>
        <v>1</v>
      </c>
    </row>
    <row r="19047" customFormat="false" ht="15" hidden="false" customHeight="false" outlineLevel="0" collapsed="false">
      <c r="A19047" s="3" t="s">
        <v>331</v>
      </c>
      <c r="G19047" s="31" t="n">
        <f aca="false">IF(Assumptions!$I$57=1,MAX(G19034,Assumptions!$G$57)+Assumptions!$F$57+$C$19035,Assumptions!$E$57)</f>
        <v>0.1215</v>
      </c>
      <c r="H19047" s="31" t="n">
        <f aca="false">IF(G19354=1,$C$19036,IF(Assumptions!$I$57=1,MAX(H19034,Assumptions!$G$57)+Assumptions!$F$57+$C$19035,Assumptions!$E$57))</f>
        <v>0.12</v>
      </c>
      <c r="I19047" s="31" t="n">
        <f aca="false">IF(H19354=1,$C$19036,IF(Assumptions!$I$57=1,MAX(I19034,Assumptions!$G$57)+Assumptions!$F$57+$C$19035,Assumptions!$E$57))</f>
        <v>0.1175</v>
      </c>
      <c r="J19047" s="31" t="n">
        <f aca="false">IF(I19354=1,$C$19036,IF(Assumptions!$I$57=1,MAX(J19034,Assumptions!$G$57)+Assumptions!$F$57+$C$19035,Assumptions!$E$57))</f>
        <v>0.1175</v>
      </c>
      <c r="K19047" s="31" t="n">
        <f aca="false">IF(J19354=1,$C$19036,IF(Assumptions!$I$57=1,MAX(K19034,Assumptions!$G$57)+Assumptions!$F$57+$C$19035,Assumptions!$E$57))</f>
        <v>0.1175</v>
      </c>
    </row>
    <row r="19048" customFormat="false" ht="15" hidden="false" customHeight="false" outlineLevel="0" collapsed="false">
      <c r="A19048" s="3" t="s">
        <v>332</v>
      </c>
      <c r="G19048" s="16" t="n">
        <f aca="false">G19044*G19047</f>
        <v>48.6</v>
      </c>
      <c r="H19048" s="16" t="n">
        <f aca="false">H19044*H19047</f>
        <v>47.52</v>
      </c>
      <c r="I19048" s="16" t="n">
        <f aca="false">I19044*I19047</f>
        <v>46.06</v>
      </c>
      <c r="J19048" s="16" t="n">
        <f aca="false">J19044*J19047</f>
        <v>45.59</v>
      </c>
      <c r="K19048" s="16" t="n">
        <f aca="false">K19044*K19047</f>
        <v>45.12</v>
      </c>
    </row>
    <row r="19049" customFormat="false" ht="15" hidden="false" customHeight="false" outlineLevel="0" collapsed="false">
      <c r="A19049" s="3" t="s">
        <v>333</v>
      </c>
      <c r="G19049" s="16" t="n">
        <f aca="false">G19044*Assumptions!$H$57</f>
        <v>0</v>
      </c>
      <c r="H19049" s="16" t="n">
        <f aca="false">H19044*Assumptions!$H$57</f>
        <v>0</v>
      </c>
      <c r="I19049" s="16" t="n">
        <f aca="false">I19044*Assumptions!$H$57</f>
        <v>0</v>
      </c>
      <c r="J19049" s="16" t="n">
        <f aca="false">J19044*Assumptions!$H$57</f>
        <v>0</v>
      </c>
      <c r="K19049" s="16" t="n">
        <f aca="false">K19044*Assumptions!$H$57</f>
        <v>0</v>
      </c>
    </row>
    <row r="19050" customFormat="false" ht="15" hidden="false" customHeight="false" outlineLevel="0" collapsed="false">
      <c r="A19050" s="3" t="s">
        <v>334</v>
      </c>
      <c r="G19050" s="16" t="n">
        <f aca="false">MIN(G19044,Assumptions!$L$57*Assumptions!$C$57)</f>
        <v>4</v>
      </c>
      <c r="H19050" s="16" t="n">
        <f aca="false">MIN(H19044,Assumptions!$L$57*Assumptions!$C$57)</f>
        <v>4</v>
      </c>
      <c r="I19050" s="16" t="n">
        <f aca="false">MIN(I19044,Assumptions!$L$57*Assumptions!$C$57)</f>
        <v>4</v>
      </c>
      <c r="J19050" s="16" t="n">
        <f aca="false">MIN(J19044,Assumptions!$L$57*Assumptions!$C$57)</f>
        <v>4</v>
      </c>
      <c r="K19050" s="16" t="n">
        <f aca="false">MIN(K19044,Assumptions!$L$57*Assumptions!$C$57)</f>
        <v>4</v>
      </c>
    </row>
    <row r="19051" customFormat="false" ht="15" hidden="false" customHeight="false" outlineLevel="0" collapsed="false">
      <c r="A19051" s="3" t="s">
        <v>335</v>
      </c>
      <c r="G19051" s="16" t="n">
        <f aca="false">IF(AND(Assumptions!$P$57=1,G19008&lt;Assumptions!$K$57),MIN(MAX(0,-G19224),MAX(0,Assumptions!$D$57-G19044)),0)</f>
        <v>0</v>
      </c>
      <c r="H19051" s="16" t="n">
        <f aca="false">IF(AND(Assumptions!$P$57=1,OR(H19008&lt;Assumptions!$K$57,G19354=1)),MIN(MAX(0,-H19224),MAX(0,Assumptions!$D$57-H19044)),0)</f>
        <v>0</v>
      </c>
      <c r="I19051" s="16" t="n">
        <f aca="false">IF(AND(Assumptions!$P$57=1,OR(I19008&lt;Assumptions!$K$57,H19354=1)),MIN(MAX(0,-I19224),MAX(0,Assumptions!$D$57-I19044)),0)</f>
        <v>0</v>
      </c>
      <c r="J19051" s="16" t="n">
        <f aca="false">IF(AND(Assumptions!$P$57=1,OR(J19008&lt;Assumptions!$K$57,I19354=1)),MIN(MAX(0,-J19224),MAX(0,Assumptions!$D$57-J19044)),0)</f>
        <v>0</v>
      </c>
      <c r="K19051" s="16" t="n">
        <f aca="false">IF(AND(Assumptions!$P$57=1,OR(K19008&lt;Assumptions!$K$57,J19354=1)),MIN(MAX(0,-K19224),MAX(0,Assumptions!$D$57-K19044)),0)</f>
        <v>0</v>
      </c>
    </row>
    <row r="19052" customFormat="false" ht="15" hidden="false" customHeight="false" outlineLevel="0" collapsed="false">
      <c r="A19052" s="3" t="s">
        <v>336</v>
      </c>
      <c r="G19052" s="16" t="n">
        <f aca="false">G19045*MIN(G19044-G19050+G19049,MAX(0,G19226-Assumptions!$C$12*G19042))</f>
        <v>0</v>
      </c>
      <c r="H19052" s="16" t="n">
        <f aca="false">H19045*MIN(H19044-H19050+H19049,MAX(0,H19226-Assumptions!$C$12*H19042))</f>
        <v>0</v>
      </c>
      <c r="I19052" s="16" t="n">
        <f aca="false">I19045*MIN(I19044-I19050+I19049,MAX(0,I19226-Assumptions!$C$12*I19042))</f>
        <v>0</v>
      </c>
      <c r="J19052" s="16" t="n">
        <f aca="false">J19045*MIN(J19044-J19050+J19049,MAX(0,J19226-Assumptions!$C$12*J19042))</f>
        <v>0</v>
      </c>
      <c r="K19052" s="16" t="n">
        <f aca="false">K19045*MIN(K19044-K19050+K19049,MAX(0,K19226-Assumptions!$C$12*K19042))</f>
        <v>0</v>
      </c>
    </row>
    <row r="19053" customFormat="false" ht="15" hidden="false" customHeight="false" outlineLevel="0" collapsed="false">
      <c r="A19053" s="3" t="s">
        <v>337</v>
      </c>
      <c r="G19053" s="16" t="n">
        <f aca="false">Assumptions!$N$57*MIN(G19044+G19051+G19049-G19050-G19052,MAX(0,G19230))</f>
        <v>0</v>
      </c>
      <c r="H19053" s="16" t="n">
        <f aca="false">Assumptions!$N$57*MIN(H19044+H19051+H19049-H19050-H19052,MAX(0,H19230))</f>
        <v>0</v>
      </c>
      <c r="I19053" s="16" t="n">
        <f aca="false">Assumptions!$N$57*MIN(I19044+I19051+I19049-I19050-I19052,MAX(0,I19230))</f>
        <v>0</v>
      </c>
      <c r="J19053" s="16" t="n">
        <f aca="false">Assumptions!$N$57*MIN(J19044+J19051+J19049-J19050-J19052,MAX(0,J19230))</f>
        <v>0</v>
      </c>
      <c r="K19053" s="16" t="n">
        <f aca="false">Assumptions!$N$57*MIN(K19044+K19051+K19049-K19050-K19052,MAX(0,K19230))</f>
        <v>0</v>
      </c>
    </row>
    <row r="19054" customFormat="false" ht="15" hidden="false" customHeight="false" outlineLevel="0" collapsed="false">
      <c r="A19054" s="3" t="s">
        <v>338</v>
      </c>
      <c r="G19054" s="16" t="n">
        <f aca="false">G19045*(1-G19042)*(G19044-G19050+G19049-G19052)</f>
        <v>0</v>
      </c>
      <c r="H19054" s="16" t="n">
        <f aca="false">H19045*(1-H19042)*(H19044-H19050+H19049-H19052)</f>
        <v>0</v>
      </c>
      <c r="I19054" s="16" t="n">
        <f aca="false">I19045*(1-I19042)*(I19044-I19050+I19049-I19052)</f>
        <v>0</v>
      </c>
      <c r="J19054" s="16" t="n">
        <f aca="false">J19045*(1-J19042)*(J19044-J19050+J19049-J19052)</f>
        <v>0</v>
      </c>
      <c r="K19054" s="16" t="n">
        <f aca="false">K19045*(1-K19042)*(K19044-K19050+K19049-K19052)</f>
        <v>380</v>
      </c>
    </row>
    <row r="19055" customFormat="false" ht="15" hidden="false" customHeight="false" outlineLevel="0" collapsed="false">
      <c r="A19055" s="2" t="s">
        <v>339</v>
      </c>
      <c r="F19055" s="28" t="n">
        <f aca="false">Assumptions!$C$57</f>
        <v>400</v>
      </c>
      <c r="G19055" s="17" t="n">
        <f aca="false">G19044+G19051+G19049-G19050-G19052-G19053</f>
        <v>396</v>
      </c>
      <c r="H19055" s="17" t="n">
        <f aca="false">H19044+H19051+H19049-H19050-H19052-H19053</f>
        <v>392</v>
      </c>
      <c r="I19055" s="17" t="n">
        <f aca="false">I19044+I19051+I19049-I19050-I19052-I19053</f>
        <v>388</v>
      </c>
      <c r="J19055" s="17" t="n">
        <f aca="false">J19044+J19051+J19049-J19050-J19052-J19053</f>
        <v>384</v>
      </c>
      <c r="K19055" s="17" t="n">
        <f aca="false">K19044+K19051+K19049-K19050-K19052-K19053</f>
        <v>380</v>
      </c>
    </row>
    <row r="19056" customFormat="false" ht="15" hidden="false" customHeight="false" outlineLevel="0" collapsed="false">
      <c r="A19056" s="24" t="s">
        <v>340</v>
      </c>
      <c r="B19056" s="25"/>
      <c r="C19056" s="25"/>
      <c r="D19056" s="25"/>
      <c r="E19056" s="25"/>
      <c r="F19056" s="25"/>
      <c r="G19056" s="25"/>
      <c r="H19056" s="25"/>
      <c r="I19056" s="25"/>
      <c r="J19056" s="25"/>
      <c r="K19056" s="25"/>
    </row>
    <row r="19057" customFormat="false" ht="15" hidden="false" customHeight="false" outlineLevel="0" collapsed="false">
      <c r="A19057" s="3" t="s">
        <v>329</v>
      </c>
      <c r="G19057" s="16" t="n">
        <f aca="false">F19068</f>
        <v>90</v>
      </c>
      <c r="H19057" s="16" t="n">
        <f aca="false">G19068</f>
        <v>90</v>
      </c>
      <c r="I19057" s="16" t="n">
        <f aca="false">H19068</f>
        <v>90</v>
      </c>
      <c r="J19057" s="16" t="n">
        <f aca="false">I19068</f>
        <v>90</v>
      </c>
      <c r="K19057" s="16" t="n">
        <f aca="false">J19068</f>
        <v>90</v>
      </c>
    </row>
    <row r="19058" customFormat="false" ht="15" hidden="false" customHeight="false" outlineLevel="0" collapsed="false">
      <c r="A19058" s="3" t="s">
        <v>330</v>
      </c>
      <c r="G19058" s="21" t="n">
        <f aca="false">IF(G19008=Assumptions!$K$58,1,0)</f>
        <v>0</v>
      </c>
      <c r="H19058" s="21" t="n">
        <f aca="false">IF(H19008=Assumptions!$K$58,1,0)</f>
        <v>0</v>
      </c>
      <c r="I19058" s="21" t="n">
        <f aca="false">IF(I19008=Assumptions!$K$58,1,0)</f>
        <v>0</v>
      </c>
      <c r="J19058" s="21" t="n">
        <f aca="false">IF(J19008=Assumptions!$K$58,1,0)</f>
        <v>0</v>
      </c>
      <c r="K19058" s="21" t="n">
        <f aca="false">IF(K19008=Assumptions!$K$58,1,0)</f>
        <v>0</v>
      </c>
    </row>
    <row r="19060" customFormat="false" ht="15" hidden="false" customHeight="false" outlineLevel="0" collapsed="false">
      <c r="A19060" s="3" t="s">
        <v>331</v>
      </c>
      <c r="G19060" s="31" t="n">
        <f aca="false">IF(Assumptions!$I$58=1,MAX(G19034,Assumptions!$G$58)+Assumptions!$F$58+$C$19035,Assumptions!$E$58)</f>
        <v>0.0581</v>
      </c>
      <c r="H19060" s="31" t="n">
        <f aca="false">IF(G19355=1,$C$19036,IF(Assumptions!$I$58=1,MAX(H19034,Assumptions!$G$58)+Assumptions!$F$58+$C$19035,Assumptions!$E$58))</f>
        <v>0.0581</v>
      </c>
      <c r="I19060" s="31" t="n">
        <f aca="false">IF(H19355=1,$C$19036,IF(Assumptions!$I$58=1,MAX(I19034,Assumptions!$G$58)+Assumptions!$F$58+$C$19035,Assumptions!$E$58))</f>
        <v>0.0581</v>
      </c>
      <c r="J19060" s="31" t="n">
        <f aca="false">IF(I19355=1,$C$19036,IF(Assumptions!$I$58=1,MAX(J19034,Assumptions!$G$58)+Assumptions!$F$58+$C$19035,Assumptions!$E$58))</f>
        <v>0.0581</v>
      </c>
      <c r="K19060" s="31" t="n">
        <f aca="false">IF(J19355=1,$C$19036,IF(Assumptions!$I$58=1,MAX(K19034,Assumptions!$G$58)+Assumptions!$F$58+$C$19035,Assumptions!$E$58))</f>
        <v>0.0581</v>
      </c>
    </row>
    <row r="19061" customFormat="false" ht="15" hidden="false" customHeight="false" outlineLevel="0" collapsed="false">
      <c r="A19061" s="3" t="s">
        <v>332</v>
      </c>
      <c r="G19061" s="16" t="n">
        <f aca="false">G19057*G19060</f>
        <v>5.229</v>
      </c>
      <c r="H19061" s="16" t="n">
        <f aca="false">H19057*H19060</f>
        <v>5.229</v>
      </c>
      <c r="I19061" s="16" t="n">
        <f aca="false">I19057*I19060</f>
        <v>5.229</v>
      </c>
      <c r="J19061" s="16" t="n">
        <f aca="false">J19057*J19060</f>
        <v>5.229</v>
      </c>
      <c r="K19061" s="16" t="n">
        <f aca="false">K19057*K19060</f>
        <v>5.229</v>
      </c>
    </row>
    <row r="19062" customFormat="false" ht="15" hidden="false" customHeight="false" outlineLevel="0" collapsed="false">
      <c r="A19062" s="3" t="s">
        <v>333</v>
      </c>
      <c r="G19062" s="16" t="n">
        <f aca="false">G19057*Assumptions!$H$58</f>
        <v>0</v>
      </c>
      <c r="H19062" s="16" t="n">
        <f aca="false">H19057*Assumptions!$H$58</f>
        <v>0</v>
      </c>
      <c r="I19062" s="16" t="n">
        <f aca="false">I19057*Assumptions!$H$58</f>
        <v>0</v>
      </c>
      <c r="J19062" s="16" t="n">
        <f aca="false">J19057*Assumptions!$H$58</f>
        <v>0</v>
      </c>
      <c r="K19062" s="16" t="n">
        <f aca="false">K19057*Assumptions!$H$58</f>
        <v>0</v>
      </c>
    </row>
    <row r="19063" customFormat="false" ht="15" hidden="false" customHeight="false" outlineLevel="0" collapsed="false">
      <c r="A19063" s="3" t="s">
        <v>334</v>
      </c>
      <c r="G19063" s="16" t="n">
        <f aca="false">MIN(G19057,Assumptions!$L$58*Assumptions!$C$58)</f>
        <v>0</v>
      </c>
      <c r="H19063" s="16" t="n">
        <f aca="false">MIN(H19057,Assumptions!$L$58*Assumptions!$C$58)</f>
        <v>0</v>
      </c>
      <c r="I19063" s="16" t="n">
        <f aca="false">MIN(I19057,Assumptions!$L$58*Assumptions!$C$58)</f>
        <v>0</v>
      </c>
      <c r="J19063" s="16" t="n">
        <f aca="false">MIN(J19057,Assumptions!$L$58*Assumptions!$C$58)</f>
        <v>0</v>
      </c>
      <c r="K19063" s="16" t="n">
        <f aca="false">MIN(K19057,Assumptions!$L$58*Assumptions!$C$58)</f>
        <v>0</v>
      </c>
    </row>
    <row r="19064" customFormat="false" ht="15" hidden="false" customHeight="false" outlineLevel="0" collapsed="false">
      <c r="A19064" s="3" t="s">
        <v>335</v>
      </c>
      <c r="G19064" s="16" t="n">
        <f aca="false">IF(AND(Assumptions!$P$58=1,G19008&lt;Assumptions!$K$58),MIN(MAX(0,-G19224),MAX(0,Assumptions!$D$58-G19057)),0)</f>
        <v>0</v>
      </c>
      <c r="H19064" s="16" t="n">
        <f aca="false">IF(AND(Assumptions!$P$58=1,OR(H19008&lt;Assumptions!$K$58,G19355=1)),MIN(MAX(0,-H19224),MAX(0,Assumptions!$D$58-H19057)),0)</f>
        <v>0</v>
      </c>
      <c r="I19064" s="16" t="n">
        <f aca="false">IF(AND(Assumptions!$P$58=1,OR(I19008&lt;Assumptions!$K$58,H19355=1)),MIN(MAX(0,-I19224),MAX(0,Assumptions!$D$58-I19057)),0)</f>
        <v>0</v>
      </c>
      <c r="J19064" s="16" t="n">
        <f aca="false">IF(AND(Assumptions!$P$58=1,OR(J19008&lt;Assumptions!$K$58,I19355=1)),MIN(MAX(0,-J19224),MAX(0,Assumptions!$D$58-J19057)),0)</f>
        <v>0</v>
      </c>
      <c r="K19064" s="16" t="n">
        <f aca="false">IF(AND(Assumptions!$P$58=1,OR(K19008&lt;Assumptions!$K$58,J19355=1)),MIN(MAX(0,-K19224),MAX(0,Assumptions!$D$58-K19057)),0)</f>
        <v>0</v>
      </c>
    </row>
    <row r="19065" customFormat="false" ht="15" hidden="false" customHeight="false" outlineLevel="0" collapsed="false">
      <c r="A19065" s="3" t="s">
        <v>336</v>
      </c>
      <c r="G19065" s="16" t="n">
        <f aca="false">G19058*MIN(G19057-G19063+G19062,MAX(0,G19226-Assumptions!$C$12*G19042-G19052))</f>
        <v>0</v>
      </c>
      <c r="H19065" s="16" t="n">
        <f aca="false">H19058*MIN(H19057-H19063+H19062,MAX(0,H19226-Assumptions!$C$12*H19042-H19052))</f>
        <v>0</v>
      </c>
      <c r="I19065" s="16" t="n">
        <f aca="false">I19058*MIN(I19057-I19063+I19062,MAX(0,I19226-Assumptions!$C$12*I19042-I19052))</f>
        <v>0</v>
      </c>
      <c r="J19065" s="16" t="n">
        <f aca="false">J19058*MIN(J19057-J19063+J19062,MAX(0,J19226-Assumptions!$C$12*J19042-J19052))</f>
        <v>0</v>
      </c>
      <c r="K19065" s="16" t="n">
        <f aca="false">K19058*MIN(K19057-K19063+K19062,MAX(0,K19226-Assumptions!$C$12*K19042-K19052))</f>
        <v>0</v>
      </c>
    </row>
    <row r="19066" customFormat="false" ht="15" hidden="false" customHeight="false" outlineLevel="0" collapsed="false">
      <c r="A19066" s="3" t="s">
        <v>337</v>
      </c>
      <c r="G19066" s="16" t="n">
        <f aca="false">Assumptions!$N$58*MIN(G19057+G19064+G19062-G19063-G19065,MAX(0,G19230-G19053))</f>
        <v>0</v>
      </c>
      <c r="H19066" s="16" t="n">
        <f aca="false">Assumptions!$N$58*MIN(H19057+H19064+H19062-H19063-H19065,MAX(0,H19230-H19053))</f>
        <v>0</v>
      </c>
      <c r="I19066" s="16" t="n">
        <f aca="false">Assumptions!$N$58*MIN(I19057+I19064+I19062-I19063-I19065,MAX(0,I19230-I19053))</f>
        <v>0</v>
      </c>
      <c r="J19066" s="16" t="n">
        <f aca="false">Assumptions!$N$58*MIN(J19057+J19064+J19062-J19063-J19065,MAX(0,J19230-J19053))</f>
        <v>0</v>
      </c>
      <c r="K19066" s="16" t="n">
        <f aca="false">Assumptions!$N$58*MIN(K19057+K19064+K19062-K19063-K19065,MAX(0,K19230-K19053))</f>
        <v>0</v>
      </c>
    </row>
    <row r="19067" customFormat="false" ht="15" hidden="false" customHeight="false" outlineLevel="0" collapsed="false">
      <c r="A19067" s="3" t="s">
        <v>338</v>
      </c>
      <c r="G19067" s="16" t="n">
        <f aca="false">G19058*(1-G19042)*(G19057-G19063+G19062-G19065)</f>
        <v>0</v>
      </c>
      <c r="H19067" s="16" t="n">
        <f aca="false">H19058*(1-H19042)*(H19057-H19063+H19062-H19065)</f>
        <v>0</v>
      </c>
      <c r="I19067" s="16" t="n">
        <f aca="false">I19058*(1-I19042)*(I19057-I19063+I19062-I19065)</f>
        <v>0</v>
      </c>
      <c r="J19067" s="16" t="n">
        <f aca="false">J19058*(1-J19042)*(J19057-J19063+J19062-J19065)</f>
        <v>0</v>
      </c>
      <c r="K19067" s="16" t="n">
        <f aca="false">K19058*(1-K19042)*(K19057-K19063+K19062-K19065)</f>
        <v>0</v>
      </c>
    </row>
    <row r="19068" customFormat="false" ht="15" hidden="false" customHeight="false" outlineLevel="0" collapsed="false">
      <c r="A19068" s="2" t="s">
        <v>339</v>
      </c>
      <c r="F19068" s="28" t="n">
        <f aca="false">Assumptions!$C$58</f>
        <v>90</v>
      </c>
      <c r="G19068" s="17" t="n">
        <f aca="false">G19057+G19064+G19062-G19063-G19065-G19066</f>
        <v>90</v>
      </c>
      <c r="H19068" s="17" t="n">
        <f aca="false">H19057+H19064+H19062-H19063-H19065-H19066</f>
        <v>90</v>
      </c>
      <c r="I19068" s="17" t="n">
        <f aca="false">I19057+I19064+I19062-I19063-I19065-I19066</f>
        <v>90</v>
      </c>
      <c r="J19068" s="17" t="n">
        <f aca="false">J19057+J19064+J19062-J19063-J19065-J19066</f>
        <v>90</v>
      </c>
      <c r="K19068" s="17" t="n">
        <f aca="false">K19057+K19064+K19062-K19063-K19065-K19066</f>
        <v>90</v>
      </c>
    </row>
    <row r="19069" customFormat="false" ht="15" hidden="false" customHeight="false" outlineLevel="0" collapsed="false">
      <c r="A19069" s="24" t="s">
        <v>341</v>
      </c>
      <c r="B19069" s="25"/>
      <c r="C19069" s="25"/>
      <c r="D19069" s="25"/>
      <c r="E19069" s="25"/>
      <c r="F19069" s="25"/>
      <c r="G19069" s="25"/>
      <c r="H19069" s="25"/>
      <c r="I19069" s="25"/>
      <c r="J19069" s="25"/>
      <c r="K19069" s="25"/>
    </row>
    <row r="19070" customFormat="false" ht="15" hidden="false" customHeight="false" outlineLevel="0" collapsed="false">
      <c r="A19070" s="3" t="s">
        <v>329</v>
      </c>
      <c r="G19070" s="16" t="n">
        <f aca="false">F19081</f>
        <v>57.324</v>
      </c>
      <c r="H19070" s="16" t="n">
        <f aca="false">G19081</f>
        <v>57.324</v>
      </c>
      <c r="I19070" s="16" t="n">
        <f aca="false">H19081</f>
        <v>57.324</v>
      </c>
      <c r="J19070" s="16" t="n">
        <f aca="false">I19081</f>
        <v>57.324</v>
      </c>
      <c r="K19070" s="16" t="n">
        <f aca="false">J19081</f>
        <v>57.324</v>
      </c>
    </row>
    <row r="19071" customFormat="false" ht="15" hidden="false" customHeight="false" outlineLevel="0" collapsed="false">
      <c r="A19071" s="3" t="s">
        <v>330</v>
      </c>
      <c r="G19071" s="21" t="n">
        <f aca="false">IF(G19008=Assumptions!$K$59,1,0)</f>
        <v>0</v>
      </c>
      <c r="H19071" s="21" t="n">
        <f aca="false">IF(H19008=Assumptions!$K$59,1,0)</f>
        <v>0</v>
      </c>
      <c r="I19071" s="21" t="n">
        <f aca="false">IF(I19008=Assumptions!$K$59,1,0)</f>
        <v>0</v>
      </c>
      <c r="J19071" s="21" t="n">
        <f aca="false">IF(J19008=Assumptions!$K$59,1,0)</f>
        <v>0</v>
      </c>
      <c r="K19071" s="21" t="n">
        <f aca="false">IF(K19008=Assumptions!$K$59,1,0)</f>
        <v>0</v>
      </c>
    </row>
    <row r="19073" customFormat="false" ht="15" hidden="false" customHeight="false" outlineLevel="0" collapsed="false">
      <c r="A19073" s="3" t="s">
        <v>331</v>
      </c>
      <c r="G19073" s="31" t="n">
        <f aca="false">IF(Assumptions!$I$59=1,MAX(G19034,Assumptions!$G$59)+Assumptions!$F$59+$C$19035,Assumptions!$E$59)</f>
        <v>0.0731</v>
      </c>
      <c r="H19073" s="31" t="n">
        <f aca="false">IF(G19356=1,$C$19036,IF(Assumptions!$I$59=1,MAX(H19034,Assumptions!$G$59)+Assumptions!$F$59+$C$19035,Assumptions!$E$59))</f>
        <v>0.0731</v>
      </c>
      <c r="I19073" s="31" t="n">
        <f aca="false">IF(H19356=1,$C$19036,IF(Assumptions!$I$59=1,MAX(I19034,Assumptions!$G$59)+Assumptions!$F$59+$C$19035,Assumptions!$E$59))</f>
        <v>0.0731</v>
      </c>
      <c r="J19073" s="31" t="n">
        <f aca="false">IF(I19356=1,$C$19036,IF(Assumptions!$I$59=1,MAX(J19034,Assumptions!$G$59)+Assumptions!$F$59+$C$19035,Assumptions!$E$59))</f>
        <v>0.0731</v>
      </c>
      <c r="K19073" s="31" t="n">
        <f aca="false">IF(J19356=1,$C$19036,IF(Assumptions!$I$59=1,MAX(K19034,Assumptions!$G$59)+Assumptions!$F$59+$C$19035,Assumptions!$E$59))</f>
        <v>0.0731</v>
      </c>
    </row>
    <row r="19074" customFormat="false" ht="15" hidden="false" customHeight="false" outlineLevel="0" collapsed="false">
      <c r="A19074" s="3" t="s">
        <v>332</v>
      </c>
      <c r="G19074" s="16" t="n">
        <f aca="false">G19070*G19073</f>
        <v>4.1903844</v>
      </c>
      <c r="H19074" s="16" t="n">
        <f aca="false">H19070*H19073</f>
        <v>4.1903844</v>
      </c>
      <c r="I19074" s="16" t="n">
        <f aca="false">I19070*I19073</f>
        <v>4.1903844</v>
      </c>
      <c r="J19074" s="16" t="n">
        <f aca="false">J19070*J19073</f>
        <v>4.1903844</v>
      </c>
      <c r="K19074" s="16" t="n">
        <f aca="false">K19070*K19073</f>
        <v>4.1903844</v>
      </c>
    </row>
    <row r="19075" customFormat="false" ht="15" hidden="false" customHeight="false" outlineLevel="0" collapsed="false">
      <c r="A19075" s="3" t="s">
        <v>333</v>
      </c>
      <c r="G19075" s="16" t="n">
        <f aca="false">G19070*Assumptions!$H$59</f>
        <v>0</v>
      </c>
      <c r="H19075" s="16" t="n">
        <f aca="false">H19070*Assumptions!$H$59</f>
        <v>0</v>
      </c>
      <c r="I19075" s="16" t="n">
        <f aca="false">I19070*Assumptions!$H$59</f>
        <v>0</v>
      </c>
      <c r="J19075" s="16" t="n">
        <f aca="false">J19070*Assumptions!$H$59</f>
        <v>0</v>
      </c>
      <c r="K19075" s="16" t="n">
        <f aca="false">K19070*Assumptions!$H$59</f>
        <v>0</v>
      </c>
    </row>
    <row r="19076" customFormat="false" ht="15" hidden="false" customHeight="false" outlineLevel="0" collapsed="false">
      <c r="A19076" s="3" t="s">
        <v>334</v>
      </c>
      <c r="G19076" s="16" t="n">
        <f aca="false">MIN(G19070,Assumptions!$L$59*Assumptions!$C$59)</f>
        <v>0</v>
      </c>
      <c r="H19076" s="16" t="n">
        <f aca="false">MIN(H19070,Assumptions!$L$59*Assumptions!$C$59)</f>
        <v>0</v>
      </c>
      <c r="I19076" s="16" t="n">
        <f aca="false">MIN(I19070,Assumptions!$L$59*Assumptions!$C$59)</f>
        <v>0</v>
      </c>
      <c r="J19076" s="16" t="n">
        <f aca="false">MIN(J19070,Assumptions!$L$59*Assumptions!$C$59)</f>
        <v>0</v>
      </c>
      <c r="K19076" s="16" t="n">
        <f aca="false">MIN(K19070,Assumptions!$L$59*Assumptions!$C$59)</f>
        <v>0</v>
      </c>
    </row>
    <row r="19077" customFormat="false" ht="15" hidden="false" customHeight="false" outlineLevel="0" collapsed="false">
      <c r="A19077" s="3" t="s">
        <v>335</v>
      </c>
      <c r="G19077" s="16" t="n">
        <f aca="false">IF(AND(Assumptions!$P$59=1,G19008&lt;Assumptions!$K$59),MIN(MAX(0,-G19224),MAX(0,Assumptions!$D$59-G19070)),0)</f>
        <v>0</v>
      </c>
      <c r="H19077" s="16" t="n">
        <f aca="false">IF(AND(Assumptions!$P$59=1,OR(H19008&lt;Assumptions!$K$59,G19356=1)),MIN(MAX(0,-H19224),MAX(0,Assumptions!$D$59-H19070)),0)</f>
        <v>0</v>
      </c>
      <c r="I19077" s="16" t="n">
        <f aca="false">IF(AND(Assumptions!$P$59=1,OR(I19008&lt;Assumptions!$K$59,H19356=1)),MIN(MAX(0,-I19224),MAX(0,Assumptions!$D$59-I19070)),0)</f>
        <v>0</v>
      </c>
      <c r="J19077" s="16" t="n">
        <f aca="false">IF(AND(Assumptions!$P$59=1,OR(J19008&lt;Assumptions!$K$59,I19356=1)),MIN(MAX(0,-J19224),MAX(0,Assumptions!$D$59-J19070)),0)</f>
        <v>0</v>
      </c>
      <c r="K19077" s="16" t="n">
        <f aca="false">IF(AND(Assumptions!$P$59=1,OR(K19008&lt;Assumptions!$K$59,J19356=1)),MIN(MAX(0,-K19224),MAX(0,Assumptions!$D$59-K19070)),0)</f>
        <v>0</v>
      </c>
    </row>
    <row r="19078" customFormat="false" ht="15" hidden="false" customHeight="false" outlineLevel="0" collapsed="false">
      <c r="A19078" s="3" t="s">
        <v>336</v>
      </c>
      <c r="G19078" s="16" t="n">
        <f aca="false">G19071*MIN(G19070-G19076+G19075,MAX(0,G19226-Assumptions!$C$12*G19042-G19052-G19065))</f>
        <v>0</v>
      </c>
      <c r="H19078" s="16" t="n">
        <f aca="false">H19071*MIN(H19070-H19076+H19075,MAX(0,H19226-Assumptions!$C$12*H19042-H19052-H19065))</f>
        <v>0</v>
      </c>
      <c r="I19078" s="16" t="n">
        <f aca="false">I19071*MIN(I19070-I19076+I19075,MAX(0,I19226-Assumptions!$C$12*I19042-I19052-I19065))</f>
        <v>0</v>
      </c>
      <c r="J19078" s="16" t="n">
        <f aca="false">J19071*MIN(J19070-J19076+J19075,MAX(0,J19226-Assumptions!$C$12*J19042-J19052-J19065))</f>
        <v>0</v>
      </c>
      <c r="K19078" s="16" t="n">
        <f aca="false">K19071*MIN(K19070-K19076+K19075,MAX(0,K19226-Assumptions!$C$12*K19042-K19052-K19065))</f>
        <v>0</v>
      </c>
    </row>
    <row r="19079" customFormat="false" ht="15" hidden="false" customHeight="false" outlineLevel="0" collapsed="false">
      <c r="A19079" s="3" t="s">
        <v>337</v>
      </c>
      <c r="G19079" s="16" t="n">
        <f aca="false">Assumptions!$N$59*MIN(G19070+G19077+G19075-G19076-G19078,MAX(0,G19230-G19053-G19066))</f>
        <v>0</v>
      </c>
      <c r="H19079" s="16" t="n">
        <f aca="false">Assumptions!$N$59*MIN(H19070+H19077+H19075-H19076-H19078,MAX(0,H19230-H19053-H19066))</f>
        <v>0</v>
      </c>
      <c r="I19079" s="16" t="n">
        <f aca="false">Assumptions!$N$59*MIN(I19070+I19077+I19075-I19076-I19078,MAX(0,I19230-I19053-I19066))</f>
        <v>0</v>
      </c>
      <c r="J19079" s="16" t="n">
        <f aca="false">Assumptions!$N$59*MIN(J19070+J19077+J19075-J19076-J19078,MAX(0,J19230-J19053-J19066))</f>
        <v>0</v>
      </c>
      <c r="K19079" s="16" t="n">
        <f aca="false">Assumptions!$N$59*MIN(K19070+K19077+K19075-K19076-K19078,MAX(0,K19230-K19053-K19066))</f>
        <v>0</v>
      </c>
    </row>
    <row r="19080" customFormat="false" ht="15" hidden="false" customHeight="false" outlineLevel="0" collapsed="false">
      <c r="A19080" s="3" t="s">
        <v>338</v>
      </c>
      <c r="G19080" s="16" t="n">
        <f aca="false">G19071*(1-G19042)*(G19070-G19076+G19075-G19078)</f>
        <v>0</v>
      </c>
      <c r="H19080" s="16" t="n">
        <f aca="false">H19071*(1-H19042)*(H19070-H19076+H19075-H19078)</f>
        <v>0</v>
      </c>
      <c r="I19080" s="16" t="n">
        <f aca="false">I19071*(1-I19042)*(I19070-I19076+I19075-I19078)</f>
        <v>0</v>
      </c>
      <c r="J19080" s="16" t="n">
        <f aca="false">J19071*(1-J19042)*(J19070-J19076+J19075-J19078)</f>
        <v>0</v>
      </c>
      <c r="K19080" s="16" t="n">
        <f aca="false">K19071*(1-K19042)*(K19070-K19076+K19075-K19078)</f>
        <v>0</v>
      </c>
    </row>
    <row r="19081" customFormat="false" ht="15" hidden="false" customHeight="false" outlineLevel="0" collapsed="false">
      <c r="A19081" s="2" t="s">
        <v>339</v>
      </c>
      <c r="F19081" s="28" t="n">
        <f aca="false">Assumptions!$C$59</f>
        <v>57.324</v>
      </c>
      <c r="G19081" s="17" t="n">
        <f aca="false">G19070+G19077+G19075-G19076-G19078-G19079</f>
        <v>57.324</v>
      </c>
      <c r="H19081" s="17" t="n">
        <f aca="false">H19070+H19077+H19075-H19076-H19078-H19079</f>
        <v>57.324</v>
      </c>
      <c r="I19081" s="17" t="n">
        <f aca="false">I19070+I19077+I19075-I19076-I19078-I19079</f>
        <v>57.324</v>
      </c>
      <c r="J19081" s="17" t="n">
        <f aca="false">J19070+J19077+J19075-J19076-J19078-J19079</f>
        <v>57.324</v>
      </c>
      <c r="K19081" s="17" t="n">
        <f aca="false">K19070+K19077+K19075-K19076-K19078-K19079</f>
        <v>57.324</v>
      </c>
    </row>
    <row r="19082" customFormat="false" ht="15" hidden="false" customHeight="false" outlineLevel="0" collapsed="false">
      <c r="A19082" s="24" t="s">
        <v>342</v>
      </c>
      <c r="B19082" s="25"/>
      <c r="C19082" s="25"/>
      <c r="D19082" s="25"/>
      <c r="E19082" s="25"/>
      <c r="F19082" s="25"/>
      <c r="G19082" s="25"/>
      <c r="H19082" s="25"/>
      <c r="I19082" s="25"/>
      <c r="J19082" s="25"/>
      <c r="K19082" s="25"/>
    </row>
    <row r="19083" customFormat="false" ht="15" hidden="false" customHeight="false" outlineLevel="0" collapsed="false">
      <c r="A19083" s="3" t="s">
        <v>329</v>
      </c>
      <c r="G19083" s="16" t="n">
        <f aca="false">F19094</f>
        <v>0</v>
      </c>
      <c r="H19083" s="16" t="n">
        <f aca="false">G19094</f>
        <v>0</v>
      </c>
      <c r="I19083" s="16" t="n">
        <f aca="false">H19094</f>
        <v>0</v>
      </c>
      <c r="J19083" s="16" t="n">
        <f aca="false">I19094</f>
        <v>0</v>
      </c>
      <c r="K19083" s="16" t="n">
        <f aca="false">J19094</f>
        <v>0</v>
      </c>
    </row>
    <row r="19084" customFormat="false" ht="15" hidden="false" customHeight="false" outlineLevel="0" collapsed="false">
      <c r="A19084" s="3" t="s">
        <v>330</v>
      </c>
      <c r="G19084" s="21" t="n">
        <f aca="false">IF(G19008=Assumptions!$K$60,1,0)</f>
        <v>1</v>
      </c>
      <c r="H19084" s="21" t="n">
        <f aca="false">IF(H19008=Assumptions!$K$60,1,0)</f>
        <v>0</v>
      </c>
      <c r="I19084" s="21" t="n">
        <f aca="false">IF(I19008=Assumptions!$K$60,1,0)</f>
        <v>0</v>
      </c>
      <c r="J19084" s="21" t="n">
        <f aca="false">IF(J19008=Assumptions!$K$60,1,0)</f>
        <v>0</v>
      </c>
      <c r="K19084" s="21" t="n">
        <f aca="false">IF(K19008=Assumptions!$K$60,1,0)</f>
        <v>0</v>
      </c>
    </row>
    <row r="19086" customFormat="false" ht="15" hidden="false" customHeight="false" outlineLevel="0" collapsed="false">
      <c r="A19086" s="3" t="s">
        <v>331</v>
      </c>
      <c r="G19086" s="31" t="n">
        <f aca="false">IF(Assumptions!$I$60=1,MAX(G19034,Assumptions!$G$60)+Assumptions!$F$60+$C$19035,Assumptions!$E$60)</f>
        <v>0.084</v>
      </c>
      <c r="H19086" s="31" t="n">
        <f aca="false">IF(G19357=1,$C$19036,IF(Assumptions!$I$60=1,MAX(H19034,Assumptions!$G$60)+Assumptions!$F$60+$C$19035,Assumptions!$E$60))</f>
        <v>0.0825</v>
      </c>
      <c r="I19086" s="31" t="n">
        <f aca="false">IF(H19357=1,$C$19036,IF(Assumptions!$I$60=1,MAX(I19034,Assumptions!$G$60)+Assumptions!$F$60+$C$19035,Assumptions!$E$60))</f>
        <v>0.08</v>
      </c>
      <c r="J19086" s="31" t="n">
        <f aca="false">IF(I19357=1,$C$19036,IF(Assumptions!$I$60=1,MAX(J19034,Assumptions!$G$60)+Assumptions!$F$60+$C$19035,Assumptions!$E$60))</f>
        <v>0.08</v>
      </c>
      <c r="K19086" s="31" t="n">
        <f aca="false">IF(J19357=1,$C$19036,IF(Assumptions!$I$60=1,MAX(K19034,Assumptions!$G$60)+Assumptions!$F$60+$C$19035,Assumptions!$E$60))</f>
        <v>0.08</v>
      </c>
    </row>
    <row r="19087" customFormat="false" ht="15" hidden="false" customHeight="false" outlineLevel="0" collapsed="false">
      <c r="A19087" s="3" t="s">
        <v>332</v>
      </c>
      <c r="G19087" s="16" t="n">
        <f aca="false">G19083*G19086</f>
        <v>0</v>
      </c>
      <c r="H19087" s="16" t="n">
        <f aca="false">H19083*H19086</f>
        <v>0</v>
      </c>
      <c r="I19087" s="16" t="n">
        <f aca="false">I19083*I19086</f>
        <v>0</v>
      </c>
      <c r="J19087" s="16" t="n">
        <f aca="false">J19083*J19086</f>
        <v>0</v>
      </c>
      <c r="K19087" s="16" t="n">
        <f aca="false">K19083*K19086</f>
        <v>0</v>
      </c>
    </row>
    <row r="19088" customFormat="false" ht="15" hidden="false" customHeight="false" outlineLevel="0" collapsed="false">
      <c r="A19088" s="3" t="s">
        <v>333</v>
      </c>
      <c r="G19088" s="16" t="n">
        <f aca="false">G19083*Assumptions!$H$60</f>
        <v>0</v>
      </c>
      <c r="H19088" s="16" t="n">
        <f aca="false">H19083*Assumptions!$H$60</f>
        <v>0</v>
      </c>
      <c r="I19088" s="16" t="n">
        <f aca="false">I19083*Assumptions!$H$60</f>
        <v>0</v>
      </c>
      <c r="J19088" s="16" t="n">
        <f aca="false">J19083*Assumptions!$H$60</f>
        <v>0</v>
      </c>
      <c r="K19088" s="16" t="n">
        <f aca="false">K19083*Assumptions!$H$60</f>
        <v>0</v>
      </c>
    </row>
    <row r="19089" customFormat="false" ht="15" hidden="false" customHeight="false" outlineLevel="0" collapsed="false">
      <c r="A19089" s="3" t="s">
        <v>334</v>
      </c>
      <c r="G19089" s="16" t="n">
        <f aca="false">MIN(G19083,Assumptions!$L$60*Assumptions!$C$60)</f>
        <v>0</v>
      </c>
      <c r="H19089" s="16" t="n">
        <f aca="false">MIN(H19083,Assumptions!$L$60*Assumptions!$C$60)</f>
        <v>0</v>
      </c>
      <c r="I19089" s="16" t="n">
        <f aca="false">MIN(I19083,Assumptions!$L$60*Assumptions!$C$60)</f>
        <v>0</v>
      </c>
      <c r="J19089" s="16" t="n">
        <f aca="false">MIN(J19083,Assumptions!$L$60*Assumptions!$C$60)</f>
        <v>0</v>
      </c>
      <c r="K19089" s="16" t="n">
        <f aca="false">MIN(K19083,Assumptions!$L$60*Assumptions!$C$60)</f>
        <v>0</v>
      </c>
    </row>
    <row r="19090" customFormat="false" ht="15" hidden="false" customHeight="false" outlineLevel="0" collapsed="false">
      <c r="A19090" s="3" t="s">
        <v>335</v>
      </c>
      <c r="G19090" s="16" t="n">
        <f aca="false">IF(AND(Assumptions!$P$60=1,G19008&lt;Assumptions!$K$60),MIN(MAX(0,-G19224),MAX(0,Assumptions!$D$60-G19083)),0)</f>
        <v>0</v>
      </c>
      <c r="H19090" s="16" t="n">
        <f aca="false">IF(AND(Assumptions!$P$60=1,OR(H19008&lt;Assumptions!$K$60,G19357=1)),MIN(MAX(0,-H19224),MAX(0,Assumptions!$D$60-H19083)),0)</f>
        <v>0</v>
      </c>
      <c r="I19090" s="16" t="n">
        <f aca="false">IF(AND(Assumptions!$P$60=1,OR(I19008&lt;Assumptions!$K$60,H19357=1)),MIN(MAX(0,-I19224),MAX(0,Assumptions!$D$60-I19083)),0)</f>
        <v>0</v>
      </c>
      <c r="J19090" s="16" t="n">
        <f aca="false">IF(AND(Assumptions!$P$60=1,OR(J19008&lt;Assumptions!$K$60,I19357=1)),MIN(MAX(0,-J19224),MAX(0,Assumptions!$D$60-J19083)),0)</f>
        <v>0</v>
      </c>
      <c r="K19090" s="16" t="n">
        <f aca="false">IF(AND(Assumptions!$P$60=1,OR(K19008&lt;Assumptions!$K$60,J19357=1)),MIN(MAX(0,-K19224),MAX(0,Assumptions!$D$60-K19083)),0)</f>
        <v>0</v>
      </c>
    </row>
    <row r="19091" customFormat="false" ht="15" hidden="false" customHeight="false" outlineLevel="0" collapsed="false">
      <c r="A19091" s="3" t="s">
        <v>336</v>
      </c>
      <c r="G19091" s="16" t="n">
        <f aca="false">G19084*MIN(G19083-G19089+G19088,MAX(0,G19226-Assumptions!$C$12*G19042-G19052-G19065-G19078))</f>
        <v>0</v>
      </c>
      <c r="H19091" s="16" t="n">
        <f aca="false">H19084*MIN(H19083-H19089+H19088,MAX(0,H19226-Assumptions!$C$12*H19042-H19052-H19065-H19078))</f>
        <v>0</v>
      </c>
      <c r="I19091" s="16" t="n">
        <f aca="false">I19084*MIN(I19083-I19089+I19088,MAX(0,I19226-Assumptions!$C$12*I19042-I19052-I19065-I19078))</f>
        <v>0</v>
      </c>
      <c r="J19091" s="16" t="n">
        <f aca="false">J19084*MIN(J19083-J19089+J19088,MAX(0,J19226-Assumptions!$C$12*J19042-J19052-J19065-J19078))</f>
        <v>0</v>
      </c>
      <c r="K19091" s="16" t="n">
        <f aca="false">K19084*MIN(K19083-K19089+K19088,MAX(0,K19226-Assumptions!$C$12*K19042-K19052-K19065-K19078))</f>
        <v>0</v>
      </c>
    </row>
    <row r="19092" customFormat="false" ht="15" hidden="false" customHeight="false" outlineLevel="0" collapsed="false">
      <c r="A19092" s="3" t="s">
        <v>337</v>
      </c>
      <c r="G19092" s="16" t="n">
        <f aca="false">Assumptions!$N$60*MIN(G19083+G19090+G19088-G19089-G19091,MAX(0,G19230-G19053-G19066-G19079))</f>
        <v>0</v>
      </c>
      <c r="H19092" s="16" t="n">
        <f aca="false">Assumptions!$N$60*MIN(H19083+H19090+H19088-H19089-H19091,MAX(0,H19230-H19053-H19066-H19079))</f>
        <v>0</v>
      </c>
      <c r="I19092" s="16" t="n">
        <f aca="false">Assumptions!$N$60*MIN(I19083+I19090+I19088-I19089-I19091,MAX(0,I19230-I19053-I19066-I19079))</f>
        <v>0</v>
      </c>
      <c r="J19092" s="16" t="n">
        <f aca="false">Assumptions!$N$60*MIN(J19083+J19090+J19088-J19089-J19091,MAX(0,J19230-J19053-J19066-J19079))</f>
        <v>0</v>
      </c>
      <c r="K19092" s="16" t="n">
        <f aca="false">Assumptions!$N$60*MIN(K19083+K19090+K19088-K19089-K19091,MAX(0,K19230-K19053-K19066-K19079))</f>
        <v>0</v>
      </c>
    </row>
    <row r="19093" customFormat="false" ht="15" hidden="false" customHeight="false" outlineLevel="0" collapsed="false">
      <c r="A19093" s="3" t="s">
        <v>338</v>
      </c>
      <c r="G19093" s="16" t="n">
        <f aca="false">G19084*(1-G19042)*(G19083-G19089+G19088-G19091)</f>
        <v>0</v>
      </c>
      <c r="H19093" s="16" t="n">
        <f aca="false">H19084*(1-H19042)*(H19083-H19089+H19088-H19091)</f>
        <v>0</v>
      </c>
      <c r="I19093" s="16" t="n">
        <f aca="false">I19084*(1-I19042)*(I19083-I19089+I19088-I19091)</f>
        <v>0</v>
      </c>
      <c r="J19093" s="16" t="n">
        <f aca="false">J19084*(1-J19042)*(J19083-J19089+J19088-J19091)</f>
        <v>0</v>
      </c>
      <c r="K19093" s="16" t="n">
        <f aca="false">K19084*(1-K19042)*(K19083-K19089+K19088-K19091)</f>
        <v>0</v>
      </c>
    </row>
    <row r="19094" customFormat="false" ht="15" hidden="false" customHeight="false" outlineLevel="0" collapsed="false">
      <c r="A19094" s="2" t="s">
        <v>339</v>
      </c>
      <c r="F19094" s="28" t="n">
        <f aca="false">Assumptions!$C$60</f>
        <v>0</v>
      </c>
      <c r="G19094" s="17" t="n">
        <f aca="false">G19083+G19090+G19088-G19089-G19091-G19092</f>
        <v>0</v>
      </c>
      <c r="H19094" s="17" t="n">
        <f aca="false">H19083+H19090+H19088-H19089-H19091-H19092</f>
        <v>0</v>
      </c>
      <c r="I19094" s="17" t="n">
        <f aca="false">I19083+I19090+I19088-I19089-I19091-I19092</f>
        <v>0</v>
      </c>
      <c r="J19094" s="17" t="n">
        <f aca="false">J19083+J19090+J19088-J19089-J19091-J19092</f>
        <v>0</v>
      </c>
      <c r="K19094" s="17" t="n">
        <f aca="false">K19083+K19090+K19088-K19089-K19091-K19092</f>
        <v>0</v>
      </c>
    </row>
    <row r="19095" customFormat="false" ht="15" hidden="false" customHeight="false" outlineLevel="0" collapsed="false">
      <c r="A19095" s="24" t="s">
        <v>343</v>
      </c>
      <c r="B19095" s="25"/>
      <c r="C19095" s="25"/>
      <c r="D19095" s="25"/>
      <c r="E19095" s="25"/>
      <c r="F19095" s="25"/>
      <c r="G19095" s="25"/>
      <c r="H19095" s="25"/>
      <c r="I19095" s="25"/>
      <c r="J19095" s="25"/>
      <c r="K19095" s="25"/>
    </row>
    <row r="19096" customFormat="false" ht="15" hidden="false" customHeight="false" outlineLevel="0" collapsed="false">
      <c r="A19096" s="3" t="s">
        <v>329</v>
      </c>
      <c r="G19096" s="16" t="n">
        <f aca="false">F19107</f>
        <v>450</v>
      </c>
      <c r="H19096" s="16" t="n">
        <f aca="false">G19107</f>
        <v>450</v>
      </c>
      <c r="I19096" s="16" t="n">
        <f aca="false">H19107</f>
        <v>450</v>
      </c>
      <c r="J19096" s="16" t="n">
        <f aca="false">I19107</f>
        <v>450</v>
      </c>
      <c r="K19096" s="16" t="n">
        <f aca="false">J19107</f>
        <v>450</v>
      </c>
    </row>
    <row r="19097" customFormat="false" ht="15" hidden="false" customHeight="false" outlineLevel="0" collapsed="false">
      <c r="A19097" s="3" t="s">
        <v>330</v>
      </c>
      <c r="G19097" s="21" t="n">
        <f aca="false">IF(G19008=Assumptions!$K$61,1,0)</f>
        <v>0</v>
      </c>
      <c r="H19097" s="21" t="n">
        <f aca="false">IF(H19008=Assumptions!$K$61,1,0)</f>
        <v>1</v>
      </c>
      <c r="I19097" s="21" t="n">
        <f aca="false">IF(I19008=Assumptions!$K$61,1,0)</f>
        <v>0</v>
      </c>
      <c r="J19097" s="21" t="n">
        <f aca="false">IF(J19008=Assumptions!$K$61,1,0)</f>
        <v>0</v>
      </c>
      <c r="K19097" s="21" t="n">
        <f aca="false">IF(K19008=Assumptions!$K$61,1,0)</f>
        <v>0</v>
      </c>
    </row>
    <row r="19099" customFormat="false" ht="15" hidden="false" customHeight="false" outlineLevel="0" collapsed="false">
      <c r="A19099" s="3" t="s">
        <v>331</v>
      </c>
      <c r="G19099" s="31" t="n">
        <f aca="false">IF(Assumptions!$I$61=1,MAX(G19034,Assumptions!$G$61)+Assumptions!$F$61+$C$19035,Assumptions!$E$61)</f>
        <v>0.0395</v>
      </c>
      <c r="H19099" s="31" t="n">
        <f aca="false">IF(G19358=1,$C$19036,IF(Assumptions!$I$61=1,MAX(H19034,Assumptions!$G$61)+Assumptions!$F$61+$C$19035,Assumptions!$E$61))</f>
        <v>0.0395</v>
      </c>
      <c r="I19099" s="31" t="n">
        <f aca="false">IF(H19358=1,$C$19036,IF(Assumptions!$I$61=1,MAX(I19034,Assumptions!$G$61)+Assumptions!$F$61+$C$19035,Assumptions!$E$61))</f>
        <v>0.0395</v>
      </c>
      <c r="J19099" s="31" t="n">
        <f aca="false">IF(I19358=1,$C$19036,IF(Assumptions!$I$61=1,MAX(J19034,Assumptions!$G$61)+Assumptions!$F$61+$C$19035,Assumptions!$E$61))</f>
        <v>0.0395</v>
      </c>
      <c r="K19099" s="31" t="n">
        <f aca="false">IF(J19358=1,$C$19036,IF(Assumptions!$I$61=1,MAX(K19034,Assumptions!$G$61)+Assumptions!$F$61+$C$19035,Assumptions!$E$61))</f>
        <v>0.0395</v>
      </c>
    </row>
    <row r="19100" customFormat="false" ht="15" hidden="false" customHeight="false" outlineLevel="0" collapsed="false">
      <c r="A19100" s="3" t="s">
        <v>332</v>
      </c>
      <c r="G19100" s="16" t="n">
        <f aca="false">G19096*G19099</f>
        <v>17.775</v>
      </c>
      <c r="H19100" s="16" t="n">
        <f aca="false">H19096*H19099</f>
        <v>17.775</v>
      </c>
      <c r="I19100" s="16" t="n">
        <f aca="false">I19096*I19099</f>
        <v>17.775</v>
      </c>
      <c r="J19100" s="16" t="n">
        <f aca="false">J19096*J19099</f>
        <v>17.775</v>
      </c>
      <c r="K19100" s="16" t="n">
        <f aca="false">K19096*K19099</f>
        <v>17.775</v>
      </c>
    </row>
    <row r="19101" customFormat="false" ht="15" hidden="false" customHeight="false" outlineLevel="0" collapsed="false">
      <c r="A19101" s="3" t="s">
        <v>333</v>
      </c>
      <c r="G19101" s="16" t="n">
        <f aca="false">G19096*Assumptions!$H$61</f>
        <v>0</v>
      </c>
      <c r="H19101" s="16" t="n">
        <f aca="false">H19096*Assumptions!$H$61</f>
        <v>0</v>
      </c>
      <c r="I19101" s="16" t="n">
        <f aca="false">I19096*Assumptions!$H$61</f>
        <v>0</v>
      </c>
      <c r="J19101" s="16" t="n">
        <f aca="false">J19096*Assumptions!$H$61</f>
        <v>0</v>
      </c>
      <c r="K19101" s="16" t="n">
        <f aca="false">K19096*Assumptions!$H$61</f>
        <v>0</v>
      </c>
    </row>
    <row r="19102" customFormat="false" ht="15" hidden="false" customHeight="false" outlineLevel="0" collapsed="false">
      <c r="A19102" s="3" t="s">
        <v>334</v>
      </c>
      <c r="G19102" s="16" t="n">
        <f aca="false">MIN(G19096,Assumptions!$L$61*Assumptions!$C$61)</f>
        <v>0</v>
      </c>
      <c r="H19102" s="16" t="n">
        <f aca="false">MIN(H19096,Assumptions!$L$61*Assumptions!$C$61)</f>
        <v>0</v>
      </c>
      <c r="I19102" s="16" t="n">
        <f aca="false">MIN(I19096,Assumptions!$L$61*Assumptions!$C$61)</f>
        <v>0</v>
      </c>
      <c r="J19102" s="16" t="n">
        <f aca="false">MIN(J19096,Assumptions!$L$61*Assumptions!$C$61)</f>
        <v>0</v>
      </c>
      <c r="K19102" s="16" t="n">
        <f aca="false">MIN(K19096,Assumptions!$L$61*Assumptions!$C$61)</f>
        <v>0</v>
      </c>
    </row>
    <row r="19103" customFormat="false" ht="15" hidden="false" customHeight="false" outlineLevel="0" collapsed="false">
      <c r="A19103" s="3" t="s">
        <v>335</v>
      </c>
      <c r="G19103" s="16" t="n">
        <f aca="false">IF(AND(Assumptions!$P$61=1,G19008&lt;Assumptions!$K$61),MIN(MAX(0,-G19224),MAX(0,Assumptions!$D$61-G19096)),0)</f>
        <v>0</v>
      </c>
      <c r="H19103" s="16" t="n">
        <f aca="false">IF(AND(Assumptions!$P$61=1,OR(H19008&lt;Assumptions!$K$61,G19358=1)),MIN(MAX(0,-H19224),MAX(0,Assumptions!$D$61-H19096)),0)</f>
        <v>0</v>
      </c>
      <c r="I19103" s="16" t="n">
        <f aca="false">IF(AND(Assumptions!$P$61=1,OR(I19008&lt;Assumptions!$K$61,H19358=1)),MIN(MAX(0,-I19224),MAX(0,Assumptions!$D$61-I19096)),0)</f>
        <v>0</v>
      </c>
      <c r="J19103" s="16" t="n">
        <f aca="false">IF(AND(Assumptions!$P$61=1,OR(J19008&lt;Assumptions!$K$61,I19358=1)),MIN(MAX(0,-J19224),MAX(0,Assumptions!$D$61-J19096)),0)</f>
        <v>0</v>
      </c>
      <c r="K19103" s="16" t="n">
        <f aca="false">IF(AND(Assumptions!$P$61=1,OR(K19008&lt;Assumptions!$K$61,J19358=1)),MIN(MAX(0,-K19224),MAX(0,Assumptions!$D$61-K19096)),0)</f>
        <v>0</v>
      </c>
    </row>
    <row r="19104" customFormat="false" ht="15" hidden="false" customHeight="false" outlineLevel="0" collapsed="false">
      <c r="A19104" s="3" t="s">
        <v>336</v>
      </c>
      <c r="G19104" s="16" t="n">
        <f aca="false">G19097*MIN(G19096-G19102+G19101,MAX(0,G19226-Assumptions!$C$12*G19042-G19052-G19065-G19078-G19091))</f>
        <v>0</v>
      </c>
      <c r="H19104" s="16" t="n">
        <f aca="false">H19097*MIN(H19096-H19102+H19101,MAX(0,H19226-Assumptions!$C$12*H19042-H19052-H19065-H19078-H19091))</f>
        <v>0</v>
      </c>
      <c r="I19104" s="16" t="n">
        <f aca="false">I19097*MIN(I19096-I19102+I19101,MAX(0,I19226-Assumptions!$C$12*I19042-I19052-I19065-I19078-I19091))</f>
        <v>0</v>
      </c>
      <c r="J19104" s="16" t="n">
        <f aca="false">J19097*MIN(J19096-J19102+J19101,MAX(0,J19226-Assumptions!$C$12*J19042-J19052-J19065-J19078-J19091))</f>
        <v>0</v>
      </c>
      <c r="K19104" s="16" t="n">
        <f aca="false">K19097*MIN(K19096-K19102+K19101,MAX(0,K19226-Assumptions!$C$12*K19042-K19052-K19065-K19078-K19091))</f>
        <v>0</v>
      </c>
    </row>
    <row r="19105" customFormat="false" ht="15" hidden="false" customHeight="false" outlineLevel="0" collapsed="false">
      <c r="A19105" s="3" t="s">
        <v>337</v>
      </c>
      <c r="G19105" s="16" t="n">
        <f aca="false">Assumptions!$N$61*MIN(G19096+G19103+G19101-G19102-G19104,MAX(0,G19230-G19053-G19066-G19079-G19092))</f>
        <v>0</v>
      </c>
      <c r="H19105" s="16" t="n">
        <f aca="false">Assumptions!$N$61*MIN(H19096+H19103+H19101-H19102-H19104,MAX(0,H19230-H19053-H19066-H19079-H19092))</f>
        <v>0</v>
      </c>
      <c r="I19105" s="16" t="n">
        <f aca="false">Assumptions!$N$61*MIN(I19096+I19103+I19101-I19102-I19104,MAX(0,I19230-I19053-I19066-I19079-I19092))</f>
        <v>0</v>
      </c>
      <c r="J19105" s="16" t="n">
        <f aca="false">Assumptions!$N$61*MIN(J19096+J19103+J19101-J19102-J19104,MAX(0,J19230-J19053-J19066-J19079-J19092))</f>
        <v>0</v>
      </c>
      <c r="K19105" s="16" t="n">
        <f aca="false">Assumptions!$N$61*MIN(K19096+K19103+K19101-K19102-K19104,MAX(0,K19230-K19053-K19066-K19079-K19092))</f>
        <v>0</v>
      </c>
    </row>
    <row r="19106" customFormat="false" ht="15" hidden="false" customHeight="false" outlineLevel="0" collapsed="false">
      <c r="A19106" s="3" t="s">
        <v>338</v>
      </c>
      <c r="G19106" s="16" t="n">
        <f aca="false">G19097*(1-G19042)*(G19096-G19102+G19101-G19104)</f>
        <v>0</v>
      </c>
      <c r="H19106" s="16" t="n">
        <f aca="false">H19097*(1-H19042)*(H19096-H19102+H19101-H19104)</f>
        <v>450</v>
      </c>
      <c r="I19106" s="16" t="n">
        <f aca="false">I19097*(1-I19042)*(I19096-I19102+I19101-I19104)</f>
        <v>0</v>
      </c>
      <c r="J19106" s="16" t="n">
        <f aca="false">J19097*(1-J19042)*(J19096-J19102+J19101-J19104)</f>
        <v>0</v>
      </c>
      <c r="K19106" s="16" t="n">
        <f aca="false">K19097*(1-K19042)*(K19096-K19102+K19101-K19104)</f>
        <v>0</v>
      </c>
    </row>
    <row r="19107" customFormat="false" ht="15" hidden="false" customHeight="false" outlineLevel="0" collapsed="false">
      <c r="A19107" s="2" t="s">
        <v>339</v>
      </c>
      <c r="F19107" s="28" t="n">
        <f aca="false">Assumptions!$C$61</f>
        <v>450</v>
      </c>
      <c r="G19107" s="17" t="n">
        <f aca="false">G19096+G19103+G19101-G19102-G19104-G19105</f>
        <v>450</v>
      </c>
      <c r="H19107" s="17" t="n">
        <f aca="false">H19096+H19103+H19101-H19102-H19104-H19105</f>
        <v>450</v>
      </c>
      <c r="I19107" s="17" t="n">
        <f aca="false">I19096+I19103+I19101-I19102-I19104-I19105</f>
        <v>450</v>
      </c>
      <c r="J19107" s="17" t="n">
        <f aca="false">J19096+J19103+J19101-J19102-J19104-J19105</f>
        <v>450</v>
      </c>
      <c r="K19107" s="17" t="n">
        <f aca="false">K19096+K19103+K19101-K19102-K19104-K19105</f>
        <v>450</v>
      </c>
    </row>
    <row r="19108" customFormat="false" ht="15" hidden="false" customHeight="false" outlineLevel="0" collapsed="false">
      <c r="A19108" s="24" t="s">
        <v>344</v>
      </c>
      <c r="B19108" s="25"/>
      <c r="C19108" s="25"/>
      <c r="D19108" s="25"/>
      <c r="E19108" s="25"/>
      <c r="F19108" s="25"/>
      <c r="G19108" s="25"/>
      <c r="H19108" s="25"/>
      <c r="I19108" s="25"/>
      <c r="J19108" s="25"/>
      <c r="K19108" s="25"/>
    </row>
    <row r="19109" customFormat="false" ht="15" hidden="false" customHeight="false" outlineLevel="0" collapsed="false">
      <c r="A19109" s="3" t="s">
        <v>329</v>
      </c>
      <c r="G19109" s="16" t="n">
        <f aca="false">F19120</f>
        <v>350</v>
      </c>
      <c r="H19109" s="16" t="n">
        <f aca="false">G19120</f>
        <v>350</v>
      </c>
      <c r="I19109" s="16" t="n">
        <f aca="false">H19120</f>
        <v>350</v>
      </c>
      <c r="J19109" s="16" t="n">
        <f aca="false">I19120</f>
        <v>350</v>
      </c>
      <c r="K19109" s="16" t="n">
        <f aca="false">J19120</f>
        <v>350</v>
      </c>
    </row>
    <row r="19110" customFormat="false" ht="15" hidden="false" customHeight="false" outlineLevel="0" collapsed="false">
      <c r="A19110" s="3" t="s">
        <v>330</v>
      </c>
      <c r="G19110" s="21" t="n">
        <f aca="false">IF(G19008=Assumptions!$K$62,1,0)</f>
        <v>0</v>
      </c>
      <c r="H19110" s="21" t="n">
        <f aca="false">IF(H19008=Assumptions!$K$62,1,0)</f>
        <v>1</v>
      </c>
      <c r="I19110" s="21" t="n">
        <f aca="false">IF(I19008=Assumptions!$K$62,1,0)</f>
        <v>0</v>
      </c>
      <c r="J19110" s="21" t="n">
        <f aca="false">IF(J19008=Assumptions!$K$62,1,0)</f>
        <v>0</v>
      </c>
      <c r="K19110" s="21" t="n">
        <f aca="false">IF(K19008=Assumptions!$K$62,1,0)</f>
        <v>0</v>
      </c>
    </row>
    <row r="19112" customFormat="false" ht="15" hidden="false" customHeight="false" outlineLevel="0" collapsed="false">
      <c r="A19112" s="3" t="s">
        <v>331</v>
      </c>
      <c r="G19112" s="31" t="n">
        <f aca="false">IF(Assumptions!$I$62=1,MAX(G19034,Assumptions!$G$62)+Assumptions!$F$62+$C$19035,Assumptions!$E$62)</f>
        <v>0.083</v>
      </c>
      <c r="H19112" s="31" t="n">
        <f aca="false">IF(G19359=1,$C$19036,IF(Assumptions!$I$62=1,MAX(H19034,Assumptions!$G$62)+Assumptions!$F$62+$C$19035,Assumptions!$E$62))</f>
        <v>0.083</v>
      </c>
      <c r="I19112" s="31" t="n">
        <f aca="false">IF(H19359=1,$C$19036,IF(Assumptions!$I$62=1,MAX(I19034,Assumptions!$G$62)+Assumptions!$F$62+$C$19035,Assumptions!$E$62))</f>
        <v>0.083</v>
      </c>
      <c r="J19112" s="31" t="n">
        <f aca="false">IF(I19359=1,$C$19036,IF(Assumptions!$I$62=1,MAX(J19034,Assumptions!$G$62)+Assumptions!$F$62+$C$19035,Assumptions!$E$62))</f>
        <v>0.083</v>
      </c>
      <c r="K19112" s="31" t="n">
        <f aca="false">IF(J19359=1,$C$19036,IF(Assumptions!$I$62=1,MAX(K19034,Assumptions!$G$62)+Assumptions!$F$62+$C$19035,Assumptions!$E$62))</f>
        <v>0.083</v>
      </c>
    </row>
    <row r="19113" customFormat="false" ht="15" hidden="false" customHeight="false" outlineLevel="0" collapsed="false">
      <c r="A19113" s="3" t="s">
        <v>332</v>
      </c>
      <c r="G19113" s="16" t="n">
        <f aca="false">G19109*G19112</f>
        <v>29.05</v>
      </c>
      <c r="H19113" s="16" t="n">
        <f aca="false">H19109*H19112</f>
        <v>29.05</v>
      </c>
      <c r="I19113" s="16" t="n">
        <f aca="false">I19109*I19112</f>
        <v>29.05</v>
      </c>
      <c r="J19113" s="16" t="n">
        <f aca="false">J19109*J19112</f>
        <v>29.05</v>
      </c>
      <c r="K19113" s="16" t="n">
        <f aca="false">K19109*K19112</f>
        <v>29.05</v>
      </c>
    </row>
    <row r="19114" customFormat="false" ht="15" hidden="false" customHeight="false" outlineLevel="0" collapsed="false">
      <c r="A19114" s="3" t="s">
        <v>333</v>
      </c>
      <c r="G19114" s="16" t="n">
        <f aca="false">G19109*Assumptions!$H$62</f>
        <v>0</v>
      </c>
      <c r="H19114" s="16" t="n">
        <f aca="false">H19109*Assumptions!$H$62</f>
        <v>0</v>
      </c>
      <c r="I19114" s="16" t="n">
        <f aca="false">I19109*Assumptions!$H$62</f>
        <v>0</v>
      </c>
      <c r="J19114" s="16" t="n">
        <f aca="false">J19109*Assumptions!$H$62</f>
        <v>0</v>
      </c>
      <c r="K19114" s="16" t="n">
        <f aca="false">K19109*Assumptions!$H$62</f>
        <v>0</v>
      </c>
    </row>
    <row r="19115" customFormat="false" ht="15" hidden="false" customHeight="false" outlineLevel="0" collapsed="false">
      <c r="A19115" s="3" t="s">
        <v>334</v>
      </c>
      <c r="G19115" s="16" t="n">
        <f aca="false">MIN(G19109,Assumptions!$L$62*Assumptions!$C$62)</f>
        <v>0</v>
      </c>
      <c r="H19115" s="16" t="n">
        <f aca="false">MIN(H19109,Assumptions!$L$62*Assumptions!$C$62)</f>
        <v>0</v>
      </c>
      <c r="I19115" s="16" t="n">
        <f aca="false">MIN(I19109,Assumptions!$L$62*Assumptions!$C$62)</f>
        <v>0</v>
      </c>
      <c r="J19115" s="16" t="n">
        <f aca="false">MIN(J19109,Assumptions!$L$62*Assumptions!$C$62)</f>
        <v>0</v>
      </c>
      <c r="K19115" s="16" t="n">
        <f aca="false">MIN(K19109,Assumptions!$L$62*Assumptions!$C$62)</f>
        <v>0</v>
      </c>
    </row>
    <row r="19116" customFormat="false" ht="15" hidden="false" customHeight="false" outlineLevel="0" collapsed="false">
      <c r="A19116" s="3" t="s">
        <v>335</v>
      </c>
      <c r="G19116" s="16" t="n">
        <f aca="false">IF(AND(Assumptions!$P$62=1,G19008&lt;Assumptions!$K$62),MIN(MAX(0,-G19224),MAX(0,Assumptions!$D$62-G19109)),0)</f>
        <v>0</v>
      </c>
      <c r="H19116" s="16" t="n">
        <f aca="false">IF(AND(Assumptions!$P$62=1,OR(H19008&lt;Assumptions!$K$62,G19359=1)),MIN(MAX(0,-H19224),MAX(0,Assumptions!$D$62-H19109)),0)</f>
        <v>0</v>
      </c>
      <c r="I19116" s="16" t="n">
        <f aca="false">IF(AND(Assumptions!$P$62=1,OR(I19008&lt;Assumptions!$K$62,H19359=1)),MIN(MAX(0,-I19224),MAX(0,Assumptions!$D$62-I19109)),0)</f>
        <v>0</v>
      </c>
      <c r="J19116" s="16" t="n">
        <f aca="false">IF(AND(Assumptions!$P$62=1,OR(J19008&lt;Assumptions!$K$62,I19359=1)),MIN(MAX(0,-J19224),MAX(0,Assumptions!$D$62-J19109)),0)</f>
        <v>0</v>
      </c>
      <c r="K19116" s="16" t="n">
        <f aca="false">IF(AND(Assumptions!$P$62=1,OR(K19008&lt;Assumptions!$K$62,J19359=1)),MIN(MAX(0,-K19224),MAX(0,Assumptions!$D$62-K19109)),0)</f>
        <v>0</v>
      </c>
    </row>
    <row r="19117" customFormat="false" ht="15" hidden="false" customHeight="false" outlineLevel="0" collapsed="false">
      <c r="A19117" s="3" t="s">
        <v>336</v>
      </c>
      <c r="G19117" s="16" t="n">
        <f aca="false">G19110*MIN(G19109-G19115+G19114,MAX(0,G19226-Assumptions!$C$12*G19042-G19052-G19065-G19078-G19091-G19104))</f>
        <v>0</v>
      </c>
      <c r="H19117" s="16" t="n">
        <f aca="false">H19110*MIN(H19109-H19115+H19114,MAX(0,H19226-Assumptions!$C$12*H19042-H19052-H19065-H19078-H19091-H19104))</f>
        <v>0</v>
      </c>
      <c r="I19117" s="16" t="n">
        <f aca="false">I19110*MIN(I19109-I19115+I19114,MAX(0,I19226-Assumptions!$C$12*I19042-I19052-I19065-I19078-I19091-I19104))</f>
        <v>0</v>
      </c>
      <c r="J19117" s="16" t="n">
        <f aca="false">J19110*MIN(J19109-J19115+J19114,MAX(0,J19226-Assumptions!$C$12*J19042-J19052-J19065-J19078-J19091-J19104))</f>
        <v>0</v>
      </c>
      <c r="K19117" s="16" t="n">
        <f aca="false">K19110*MIN(K19109-K19115+K19114,MAX(0,K19226-Assumptions!$C$12*K19042-K19052-K19065-K19078-K19091-K19104))</f>
        <v>0</v>
      </c>
    </row>
    <row r="19118" customFormat="false" ht="15" hidden="false" customHeight="false" outlineLevel="0" collapsed="false">
      <c r="A19118" s="3" t="s">
        <v>337</v>
      </c>
      <c r="G19118" s="16" t="n">
        <f aca="false">Assumptions!$N$62*MIN(G19109+G19116+G19114-G19115-G19117,MAX(0,G19230-G19053-G19066-G19079-G19092-G19105))</f>
        <v>0</v>
      </c>
      <c r="H19118" s="16" t="n">
        <f aca="false">Assumptions!$N$62*MIN(H19109+H19116+H19114-H19115-H19117,MAX(0,H19230-H19053-H19066-H19079-H19092-H19105))</f>
        <v>0</v>
      </c>
      <c r="I19118" s="16" t="n">
        <f aca="false">Assumptions!$N$62*MIN(I19109+I19116+I19114-I19115-I19117,MAX(0,I19230-I19053-I19066-I19079-I19092-I19105))</f>
        <v>0</v>
      </c>
      <c r="J19118" s="16" t="n">
        <f aca="false">Assumptions!$N$62*MIN(J19109+J19116+J19114-J19115-J19117,MAX(0,J19230-J19053-J19066-J19079-J19092-J19105))</f>
        <v>0</v>
      </c>
      <c r="K19118" s="16" t="n">
        <f aca="false">Assumptions!$N$62*MIN(K19109+K19116+K19114-K19115-K19117,MAX(0,K19230-K19053-K19066-K19079-K19092-K19105))</f>
        <v>0</v>
      </c>
    </row>
    <row r="19119" customFormat="false" ht="15" hidden="false" customHeight="false" outlineLevel="0" collapsed="false">
      <c r="A19119" s="3" t="s">
        <v>338</v>
      </c>
      <c r="G19119" s="16" t="n">
        <f aca="false">G19110*(1-G19042)*(G19109-G19115+G19114-G19117)</f>
        <v>0</v>
      </c>
      <c r="H19119" s="16" t="n">
        <f aca="false">H19110*(1-H19042)*(H19109-H19115+H19114-H19117)</f>
        <v>350</v>
      </c>
      <c r="I19119" s="16" t="n">
        <f aca="false">I19110*(1-I19042)*(I19109-I19115+I19114-I19117)</f>
        <v>0</v>
      </c>
      <c r="J19119" s="16" t="n">
        <f aca="false">J19110*(1-J19042)*(J19109-J19115+J19114-J19117)</f>
        <v>0</v>
      </c>
      <c r="K19119" s="16" t="n">
        <f aca="false">K19110*(1-K19042)*(K19109-K19115+K19114-K19117)</f>
        <v>0</v>
      </c>
    </row>
    <row r="19120" customFormat="false" ht="15" hidden="false" customHeight="false" outlineLevel="0" collapsed="false">
      <c r="A19120" s="2" t="s">
        <v>339</v>
      </c>
      <c r="F19120" s="28" t="n">
        <f aca="false">Assumptions!$C$62</f>
        <v>350</v>
      </c>
      <c r="G19120" s="17" t="n">
        <f aca="false">G19109+G19116+G19114-G19115-G19117-G19118</f>
        <v>350</v>
      </c>
      <c r="H19120" s="17" t="n">
        <f aca="false">H19109+H19116+H19114-H19115-H19117-H19118</f>
        <v>350</v>
      </c>
      <c r="I19120" s="17" t="n">
        <f aca="false">I19109+I19116+I19114-I19115-I19117-I19118</f>
        <v>350</v>
      </c>
      <c r="J19120" s="17" t="n">
        <f aca="false">J19109+J19116+J19114-J19115-J19117-J19118</f>
        <v>350</v>
      </c>
      <c r="K19120" s="17" t="n">
        <f aca="false">K19109+K19116+K19114-K19115-K19117-K19118</f>
        <v>350</v>
      </c>
    </row>
    <row r="19121" customFormat="false" ht="15" hidden="false" customHeight="false" outlineLevel="0" collapsed="false">
      <c r="A19121" s="24" t="s">
        <v>345</v>
      </c>
      <c r="B19121" s="25"/>
      <c r="C19121" s="25"/>
      <c r="D19121" s="25"/>
      <c r="E19121" s="25"/>
      <c r="F19121" s="25"/>
      <c r="G19121" s="25"/>
      <c r="H19121" s="25"/>
      <c r="I19121" s="25"/>
      <c r="J19121" s="25"/>
      <c r="K19121" s="25"/>
    </row>
    <row r="19122" customFormat="false" ht="15" hidden="false" customHeight="false" outlineLevel="0" collapsed="false">
      <c r="A19122" s="3" t="s">
        <v>329</v>
      </c>
      <c r="G19122" s="16" t="n">
        <f aca="false">F19133</f>
        <v>550</v>
      </c>
      <c r="H19122" s="16" t="n">
        <f aca="false">G19133</f>
        <v>550</v>
      </c>
      <c r="I19122" s="16" t="n">
        <f aca="false">H19133</f>
        <v>550</v>
      </c>
      <c r="J19122" s="16" t="n">
        <f aca="false">I19133</f>
        <v>550</v>
      </c>
      <c r="K19122" s="16" t="n">
        <f aca="false">J19133</f>
        <v>550</v>
      </c>
    </row>
    <row r="19123" customFormat="false" ht="15" hidden="false" customHeight="false" outlineLevel="0" collapsed="false">
      <c r="A19123" s="3" t="s">
        <v>330</v>
      </c>
      <c r="G19123" s="21" t="n">
        <f aca="false">IF(G19008=Assumptions!$K$63,1,0)</f>
        <v>0</v>
      </c>
      <c r="H19123" s="21" t="n">
        <f aca="false">IF(H19008=Assumptions!$K$63,1,0)</f>
        <v>0</v>
      </c>
      <c r="I19123" s="21" t="n">
        <f aca="false">IF(I19008=Assumptions!$K$63,1,0)</f>
        <v>1</v>
      </c>
      <c r="J19123" s="21" t="n">
        <f aca="false">IF(J19008=Assumptions!$K$63,1,0)</f>
        <v>0</v>
      </c>
      <c r="K19123" s="21" t="n">
        <f aca="false">IF(K19008=Assumptions!$K$63,1,0)</f>
        <v>0</v>
      </c>
    </row>
    <row r="19125" customFormat="false" ht="15" hidden="false" customHeight="false" outlineLevel="0" collapsed="false">
      <c r="A19125" s="3" t="s">
        <v>331</v>
      </c>
      <c r="G19125" s="31" t="n">
        <f aca="false">IF(Assumptions!$I$63=1,MAX(G19034,Assumptions!$G$63)+Assumptions!$F$63+$C$19035,Assumptions!$E$63)</f>
        <v>0.08875</v>
      </c>
      <c r="H19125" s="31" t="n">
        <f aca="false">IF(G19360=1,$C$19036,IF(Assumptions!$I$63=1,MAX(H19034,Assumptions!$G$63)+Assumptions!$F$63+$C$19035,Assumptions!$E$63))</f>
        <v>0.08875</v>
      </c>
      <c r="I19125" s="31" t="n">
        <f aca="false">IF(H19360=1,$C$19036,IF(Assumptions!$I$63=1,MAX(I19034,Assumptions!$G$63)+Assumptions!$F$63+$C$19035,Assumptions!$E$63))</f>
        <v>0.08875</v>
      </c>
      <c r="J19125" s="31" t="n">
        <f aca="false">IF(I19360=1,$C$19036,IF(Assumptions!$I$63=1,MAX(J19034,Assumptions!$G$63)+Assumptions!$F$63+$C$19035,Assumptions!$E$63))</f>
        <v>0.08875</v>
      </c>
      <c r="K19125" s="31" t="n">
        <f aca="false">IF(J19360=1,$C$19036,IF(Assumptions!$I$63=1,MAX(K19034,Assumptions!$G$63)+Assumptions!$F$63+$C$19035,Assumptions!$E$63))</f>
        <v>0.08875</v>
      </c>
    </row>
    <row r="19126" customFormat="false" ht="15" hidden="false" customHeight="false" outlineLevel="0" collapsed="false">
      <c r="A19126" s="3" t="s">
        <v>332</v>
      </c>
      <c r="G19126" s="16" t="n">
        <f aca="false">G19122*G19125</f>
        <v>48.8125</v>
      </c>
      <c r="H19126" s="16" t="n">
        <f aca="false">H19122*H19125</f>
        <v>48.8125</v>
      </c>
      <c r="I19126" s="16" t="n">
        <f aca="false">I19122*I19125</f>
        <v>48.8125</v>
      </c>
      <c r="J19126" s="16" t="n">
        <f aca="false">J19122*J19125</f>
        <v>48.8125</v>
      </c>
      <c r="K19126" s="16" t="n">
        <f aca="false">K19122*K19125</f>
        <v>48.8125</v>
      </c>
    </row>
    <row r="19127" customFormat="false" ht="15" hidden="false" customHeight="false" outlineLevel="0" collapsed="false">
      <c r="A19127" s="3" t="s">
        <v>333</v>
      </c>
      <c r="G19127" s="16" t="n">
        <f aca="false">G19122*Assumptions!$H$63</f>
        <v>0</v>
      </c>
      <c r="H19127" s="16" t="n">
        <f aca="false">H19122*Assumptions!$H$63</f>
        <v>0</v>
      </c>
      <c r="I19127" s="16" t="n">
        <f aca="false">I19122*Assumptions!$H$63</f>
        <v>0</v>
      </c>
      <c r="J19127" s="16" t="n">
        <f aca="false">J19122*Assumptions!$H$63</f>
        <v>0</v>
      </c>
      <c r="K19127" s="16" t="n">
        <f aca="false">K19122*Assumptions!$H$63</f>
        <v>0</v>
      </c>
    </row>
    <row r="19128" customFormat="false" ht="15" hidden="false" customHeight="false" outlineLevel="0" collapsed="false">
      <c r="A19128" s="3" t="s">
        <v>334</v>
      </c>
      <c r="G19128" s="16" t="n">
        <f aca="false">MIN(G19122,Assumptions!$L$63*Assumptions!$C$63)</f>
        <v>0</v>
      </c>
      <c r="H19128" s="16" t="n">
        <f aca="false">MIN(H19122,Assumptions!$L$63*Assumptions!$C$63)</f>
        <v>0</v>
      </c>
      <c r="I19128" s="16" t="n">
        <f aca="false">MIN(I19122,Assumptions!$L$63*Assumptions!$C$63)</f>
        <v>0</v>
      </c>
      <c r="J19128" s="16" t="n">
        <f aca="false">MIN(J19122,Assumptions!$L$63*Assumptions!$C$63)</f>
        <v>0</v>
      </c>
      <c r="K19128" s="16" t="n">
        <f aca="false">MIN(K19122,Assumptions!$L$63*Assumptions!$C$63)</f>
        <v>0</v>
      </c>
    </row>
    <row r="19129" customFormat="false" ht="15" hidden="false" customHeight="false" outlineLevel="0" collapsed="false">
      <c r="A19129" s="3" t="s">
        <v>335</v>
      </c>
      <c r="G19129" s="16" t="n">
        <f aca="false">IF(AND(Assumptions!$P$63=1,G19008&lt;Assumptions!$K$63),MIN(MAX(0,-G19224),MAX(0,Assumptions!$D$63-G19122)),0)</f>
        <v>0</v>
      </c>
      <c r="H19129" s="16" t="n">
        <f aca="false">IF(AND(Assumptions!$P$63=1,OR(H19008&lt;Assumptions!$K$63,G19360=1)),MIN(MAX(0,-H19224),MAX(0,Assumptions!$D$63-H19122)),0)</f>
        <v>0</v>
      </c>
      <c r="I19129" s="16" t="n">
        <f aca="false">IF(AND(Assumptions!$P$63=1,OR(I19008&lt;Assumptions!$K$63,H19360=1)),MIN(MAX(0,-I19224),MAX(0,Assumptions!$D$63-I19122)),0)</f>
        <v>0</v>
      </c>
      <c r="J19129" s="16" t="n">
        <f aca="false">IF(AND(Assumptions!$P$63=1,OR(J19008&lt;Assumptions!$K$63,I19360=1)),MIN(MAX(0,-J19224),MAX(0,Assumptions!$D$63-J19122)),0)</f>
        <v>0</v>
      </c>
      <c r="K19129" s="16" t="n">
        <f aca="false">IF(AND(Assumptions!$P$63=1,OR(K19008&lt;Assumptions!$K$63,J19360=1)),MIN(MAX(0,-K19224),MAX(0,Assumptions!$D$63-K19122)),0)</f>
        <v>0</v>
      </c>
    </row>
    <row r="19130" customFormat="false" ht="15" hidden="false" customHeight="false" outlineLevel="0" collapsed="false">
      <c r="A19130" s="3" t="s">
        <v>336</v>
      </c>
      <c r="G19130" s="16" t="n">
        <f aca="false">G19123*MIN(G19122-G19128+G19127,MAX(0,G19226-Assumptions!$C$12*G19042-G19052-G19065-G19078-G19091-G19104-G19117))</f>
        <v>0</v>
      </c>
      <c r="H19130" s="16" t="n">
        <f aca="false">H19123*MIN(H19122-H19128+H19127,MAX(0,H19226-Assumptions!$C$12*H19042-H19052-H19065-H19078-H19091-H19104-H19117))</f>
        <v>0</v>
      </c>
      <c r="I19130" s="16" t="n">
        <f aca="false">I19123*MIN(I19122-I19128+I19127,MAX(0,I19226-Assumptions!$C$12*I19042-I19052-I19065-I19078-I19091-I19104-I19117))</f>
        <v>0</v>
      </c>
      <c r="J19130" s="16" t="n">
        <f aca="false">J19123*MIN(J19122-J19128+J19127,MAX(0,J19226-Assumptions!$C$12*J19042-J19052-J19065-J19078-J19091-J19104-J19117))</f>
        <v>0</v>
      </c>
      <c r="K19130" s="16" t="n">
        <f aca="false">K19123*MIN(K19122-K19128+K19127,MAX(0,K19226-Assumptions!$C$12*K19042-K19052-K19065-K19078-K19091-K19104-K19117))</f>
        <v>0</v>
      </c>
    </row>
    <row r="19131" customFormat="false" ht="15" hidden="false" customHeight="false" outlineLevel="0" collapsed="false">
      <c r="A19131" s="3" t="s">
        <v>337</v>
      </c>
      <c r="G19131" s="16" t="n">
        <f aca="false">Assumptions!$N$63*MIN(G19122+G19129+G19127-G19128-G19130,MAX(0,G19230-G19053-G19066-G19079-G19092-G19105-G19118))</f>
        <v>0</v>
      </c>
      <c r="H19131" s="16" t="n">
        <f aca="false">Assumptions!$N$63*MIN(H19122+H19129+H19127-H19128-H19130,MAX(0,H19230-H19053-H19066-H19079-H19092-H19105-H19118))</f>
        <v>0</v>
      </c>
      <c r="I19131" s="16" t="n">
        <f aca="false">Assumptions!$N$63*MIN(I19122+I19129+I19127-I19128-I19130,MAX(0,I19230-I19053-I19066-I19079-I19092-I19105-I19118))</f>
        <v>0</v>
      </c>
      <c r="J19131" s="16" t="n">
        <f aca="false">Assumptions!$N$63*MIN(J19122+J19129+J19127-J19128-J19130,MAX(0,J19230-J19053-J19066-J19079-J19092-J19105-J19118))</f>
        <v>0</v>
      </c>
      <c r="K19131" s="16" t="n">
        <f aca="false">Assumptions!$N$63*MIN(K19122+K19129+K19127-K19128-K19130,MAX(0,K19230-K19053-K19066-K19079-K19092-K19105-K19118))</f>
        <v>0</v>
      </c>
    </row>
    <row r="19132" customFormat="false" ht="15" hidden="false" customHeight="false" outlineLevel="0" collapsed="false">
      <c r="A19132" s="3" t="s">
        <v>338</v>
      </c>
      <c r="G19132" s="16" t="n">
        <f aca="false">G19123*(1-G19042)*(G19122-G19128+G19127-G19130)</f>
        <v>0</v>
      </c>
      <c r="H19132" s="16" t="n">
        <f aca="false">H19123*(1-H19042)*(H19122-H19128+H19127-H19130)</f>
        <v>0</v>
      </c>
      <c r="I19132" s="16" t="n">
        <f aca="false">I19123*(1-I19042)*(I19122-I19128+I19127-I19130)</f>
        <v>550</v>
      </c>
      <c r="J19132" s="16" t="n">
        <f aca="false">J19123*(1-J19042)*(J19122-J19128+J19127-J19130)</f>
        <v>0</v>
      </c>
      <c r="K19132" s="16" t="n">
        <f aca="false">K19123*(1-K19042)*(K19122-K19128+K19127-K19130)</f>
        <v>0</v>
      </c>
    </row>
    <row r="19133" customFormat="false" ht="15" hidden="false" customHeight="false" outlineLevel="0" collapsed="false">
      <c r="A19133" s="2" t="s">
        <v>339</v>
      </c>
      <c r="F19133" s="28" t="n">
        <f aca="false">Assumptions!$C$63</f>
        <v>550</v>
      </c>
      <c r="G19133" s="17" t="n">
        <f aca="false">G19122+G19129+G19127-G19128-G19130-G19131</f>
        <v>550</v>
      </c>
      <c r="H19133" s="17" t="n">
        <f aca="false">H19122+H19129+H19127-H19128-H19130-H19131</f>
        <v>550</v>
      </c>
      <c r="I19133" s="17" t="n">
        <f aca="false">I19122+I19129+I19127-I19128-I19130-I19131</f>
        <v>550</v>
      </c>
      <c r="J19133" s="17" t="n">
        <f aca="false">J19122+J19129+J19127-J19128-J19130-J19131</f>
        <v>550</v>
      </c>
      <c r="K19133" s="17" t="n">
        <f aca="false">K19122+K19129+K19127-K19128-K19130-K19131</f>
        <v>550</v>
      </c>
    </row>
    <row r="19134" customFormat="false" ht="15" hidden="false" customHeight="false" outlineLevel="0" collapsed="false">
      <c r="A19134" s="24" t="s">
        <v>346</v>
      </c>
      <c r="B19134" s="25"/>
      <c r="C19134" s="25"/>
      <c r="D19134" s="25"/>
      <c r="E19134" s="25"/>
      <c r="F19134" s="25"/>
      <c r="G19134" s="25"/>
      <c r="H19134" s="25"/>
      <c r="I19134" s="25"/>
      <c r="J19134" s="25"/>
      <c r="K19134" s="25"/>
    </row>
    <row r="19135" customFormat="false" ht="15" hidden="false" customHeight="false" outlineLevel="0" collapsed="false">
      <c r="A19135" s="3" t="s">
        <v>329</v>
      </c>
      <c r="G19135" s="16" t="n">
        <f aca="false">F19146</f>
        <v>350</v>
      </c>
      <c r="H19135" s="16" t="n">
        <f aca="false">G19146</f>
        <v>350</v>
      </c>
      <c r="I19135" s="16" t="n">
        <f aca="false">H19146</f>
        <v>350</v>
      </c>
      <c r="J19135" s="16" t="n">
        <f aca="false">I19146</f>
        <v>350</v>
      </c>
      <c r="K19135" s="16" t="n">
        <f aca="false">J19146</f>
        <v>350</v>
      </c>
    </row>
    <row r="19136" customFormat="false" ht="15" hidden="false" customHeight="false" outlineLevel="0" collapsed="false">
      <c r="A19136" s="3" t="s">
        <v>330</v>
      </c>
      <c r="G19136" s="21" t="n">
        <f aca="false">IF(G19008=Assumptions!$K$64,1,0)</f>
        <v>0</v>
      </c>
      <c r="H19136" s="21" t="n">
        <f aca="false">IF(H19008=Assumptions!$K$64,1,0)</f>
        <v>0</v>
      </c>
      <c r="I19136" s="21" t="n">
        <f aca="false">IF(I19008=Assumptions!$K$64,1,0)</f>
        <v>0</v>
      </c>
      <c r="J19136" s="21" t="n">
        <f aca="false">IF(J19008=Assumptions!$K$64,1,0)</f>
        <v>1</v>
      </c>
      <c r="K19136" s="21" t="n">
        <f aca="false">IF(K19008=Assumptions!$K$64,1,0)</f>
        <v>0</v>
      </c>
    </row>
    <row r="19138" customFormat="false" ht="15" hidden="false" customHeight="false" outlineLevel="0" collapsed="false">
      <c r="A19138" s="3" t="s">
        <v>331</v>
      </c>
      <c r="G19138" s="31" t="n">
        <f aca="false">IF(Assumptions!$I$64=1,MAX(G19034,Assumptions!$G$64)+Assumptions!$F$64+$C$19035,Assumptions!$E$64)</f>
        <v>0.0455</v>
      </c>
      <c r="H19138" s="31" t="n">
        <f aca="false">IF(G19361=1,$C$19036,IF(Assumptions!$I$64=1,MAX(H19034,Assumptions!$G$64)+Assumptions!$F$64+$C$19035,Assumptions!$E$64))</f>
        <v>0.0455</v>
      </c>
      <c r="I19138" s="31" t="n">
        <f aca="false">IF(H19361=1,$C$19036,IF(Assumptions!$I$64=1,MAX(I19034,Assumptions!$G$64)+Assumptions!$F$64+$C$19035,Assumptions!$E$64))</f>
        <v>0.0455</v>
      </c>
      <c r="J19138" s="31" t="n">
        <f aca="false">IF(I19361=1,$C$19036,IF(Assumptions!$I$64=1,MAX(J19034,Assumptions!$G$64)+Assumptions!$F$64+$C$19035,Assumptions!$E$64))</f>
        <v>0.0455</v>
      </c>
      <c r="K19138" s="31" t="n">
        <f aca="false">IF(J19361=1,$C$19036,IF(Assumptions!$I$64=1,MAX(K19034,Assumptions!$G$64)+Assumptions!$F$64+$C$19035,Assumptions!$E$64))</f>
        <v>0.0455</v>
      </c>
    </row>
    <row r="19139" customFormat="false" ht="15" hidden="false" customHeight="false" outlineLevel="0" collapsed="false">
      <c r="A19139" s="3" t="s">
        <v>332</v>
      </c>
      <c r="G19139" s="16" t="n">
        <f aca="false">G19135*G19138</f>
        <v>15.925</v>
      </c>
      <c r="H19139" s="16" t="n">
        <f aca="false">H19135*H19138</f>
        <v>15.925</v>
      </c>
      <c r="I19139" s="16" t="n">
        <f aca="false">I19135*I19138</f>
        <v>15.925</v>
      </c>
      <c r="J19139" s="16" t="n">
        <f aca="false">J19135*J19138</f>
        <v>15.925</v>
      </c>
      <c r="K19139" s="16" t="n">
        <f aca="false">K19135*K19138</f>
        <v>15.925</v>
      </c>
    </row>
    <row r="19140" customFormat="false" ht="15" hidden="false" customHeight="false" outlineLevel="0" collapsed="false">
      <c r="A19140" s="3" t="s">
        <v>333</v>
      </c>
      <c r="G19140" s="16" t="n">
        <f aca="false">G19135*Assumptions!$H$64</f>
        <v>0</v>
      </c>
      <c r="H19140" s="16" t="n">
        <f aca="false">H19135*Assumptions!$H$64</f>
        <v>0</v>
      </c>
      <c r="I19140" s="16" t="n">
        <f aca="false">I19135*Assumptions!$H$64</f>
        <v>0</v>
      </c>
      <c r="J19140" s="16" t="n">
        <f aca="false">J19135*Assumptions!$H$64</f>
        <v>0</v>
      </c>
      <c r="K19140" s="16" t="n">
        <f aca="false">K19135*Assumptions!$H$64</f>
        <v>0</v>
      </c>
    </row>
    <row r="19141" customFormat="false" ht="15" hidden="false" customHeight="false" outlineLevel="0" collapsed="false">
      <c r="A19141" s="3" t="s">
        <v>334</v>
      </c>
      <c r="G19141" s="16" t="n">
        <f aca="false">MIN(G19135,Assumptions!$L$64*Assumptions!$C$64)</f>
        <v>0</v>
      </c>
      <c r="H19141" s="16" t="n">
        <f aca="false">MIN(H19135,Assumptions!$L$64*Assumptions!$C$64)</f>
        <v>0</v>
      </c>
      <c r="I19141" s="16" t="n">
        <f aca="false">MIN(I19135,Assumptions!$L$64*Assumptions!$C$64)</f>
        <v>0</v>
      </c>
      <c r="J19141" s="16" t="n">
        <f aca="false">MIN(J19135,Assumptions!$L$64*Assumptions!$C$64)</f>
        <v>0</v>
      </c>
      <c r="K19141" s="16" t="n">
        <f aca="false">MIN(K19135,Assumptions!$L$64*Assumptions!$C$64)</f>
        <v>0</v>
      </c>
    </row>
    <row r="19142" customFormat="false" ht="15" hidden="false" customHeight="false" outlineLevel="0" collapsed="false">
      <c r="A19142" s="3" t="s">
        <v>335</v>
      </c>
      <c r="G19142" s="16" t="n">
        <f aca="false">IF(AND(Assumptions!$P$64=1,G19008&lt;Assumptions!$K$64),MIN(MAX(0,-G19224),MAX(0,Assumptions!$D$64-G19135)),0)</f>
        <v>0</v>
      </c>
      <c r="H19142" s="16" t="n">
        <f aca="false">IF(AND(Assumptions!$P$64=1,OR(H19008&lt;Assumptions!$K$64,G19361=1)),MIN(MAX(0,-H19224),MAX(0,Assumptions!$D$64-H19135)),0)</f>
        <v>0</v>
      </c>
      <c r="I19142" s="16" t="n">
        <f aca="false">IF(AND(Assumptions!$P$64=1,OR(I19008&lt;Assumptions!$K$64,H19361=1)),MIN(MAX(0,-I19224),MAX(0,Assumptions!$D$64-I19135)),0)</f>
        <v>0</v>
      </c>
      <c r="J19142" s="16" t="n">
        <f aca="false">IF(AND(Assumptions!$P$64=1,OR(J19008&lt;Assumptions!$K$64,I19361=1)),MIN(MAX(0,-J19224),MAX(0,Assumptions!$D$64-J19135)),0)</f>
        <v>0</v>
      </c>
      <c r="K19142" s="16" t="n">
        <f aca="false">IF(AND(Assumptions!$P$64=1,OR(K19008&lt;Assumptions!$K$64,J19361=1)),MIN(MAX(0,-K19224),MAX(0,Assumptions!$D$64-K19135)),0)</f>
        <v>0</v>
      </c>
    </row>
    <row r="19143" customFormat="false" ht="15" hidden="false" customHeight="false" outlineLevel="0" collapsed="false">
      <c r="A19143" s="3" t="s">
        <v>336</v>
      </c>
      <c r="G19143" s="16" t="n">
        <f aca="false">G19136*MIN(G19135-G19141+G19140,MAX(0,G19226-Assumptions!$C$12*G19042-G19052-G19065-G19078-G19091-G19104-G19117-G19130))</f>
        <v>0</v>
      </c>
      <c r="H19143" s="16" t="n">
        <f aca="false">H19136*MIN(H19135-H19141+H19140,MAX(0,H19226-Assumptions!$C$12*H19042-H19052-H19065-H19078-H19091-H19104-H19117-H19130))</f>
        <v>0</v>
      </c>
      <c r="I19143" s="16" t="n">
        <f aca="false">I19136*MIN(I19135-I19141+I19140,MAX(0,I19226-Assumptions!$C$12*I19042-I19052-I19065-I19078-I19091-I19104-I19117-I19130))</f>
        <v>0</v>
      </c>
      <c r="J19143" s="16" t="n">
        <f aca="false">J19136*MIN(J19135-J19141+J19140,MAX(0,J19226-Assumptions!$C$12*J19042-J19052-J19065-J19078-J19091-J19104-J19117-J19130))</f>
        <v>0</v>
      </c>
      <c r="K19143" s="16" t="n">
        <f aca="false">K19136*MIN(K19135-K19141+K19140,MAX(0,K19226-Assumptions!$C$12*K19042-K19052-K19065-K19078-K19091-K19104-K19117-K19130))</f>
        <v>0</v>
      </c>
    </row>
    <row r="19144" customFormat="false" ht="15" hidden="false" customHeight="false" outlineLevel="0" collapsed="false">
      <c r="A19144" s="3" t="s">
        <v>337</v>
      </c>
      <c r="G19144" s="16" t="n">
        <f aca="false">Assumptions!$N$64*MIN(G19135+G19142+G19140-G19141-G19143,MAX(0,G19230-G19053-G19066-G19079-G19092-G19105-G19118-G19131))</f>
        <v>0</v>
      </c>
      <c r="H19144" s="16" t="n">
        <f aca="false">Assumptions!$N$64*MIN(H19135+H19142+H19140-H19141-H19143,MAX(0,H19230-H19053-H19066-H19079-H19092-H19105-H19118-H19131))</f>
        <v>0</v>
      </c>
      <c r="I19144" s="16" t="n">
        <f aca="false">Assumptions!$N$64*MIN(I19135+I19142+I19140-I19141-I19143,MAX(0,I19230-I19053-I19066-I19079-I19092-I19105-I19118-I19131))</f>
        <v>0</v>
      </c>
      <c r="J19144" s="16" t="n">
        <f aca="false">Assumptions!$N$64*MIN(J19135+J19142+J19140-J19141-J19143,MAX(0,J19230-J19053-J19066-J19079-J19092-J19105-J19118-J19131))</f>
        <v>0</v>
      </c>
      <c r="K19144" s="16" t="n">
        <f aca="false">Assumptions!$N$64*MIN(K19135+K19142+K19140-K19141-K19143,MAX(0,K19230-K19053-K19066-K19079-K19092-K19105-K19118-K19131))</f>
        <v>0</v>
      </c>
    </row>
    <row r="19145" customFormat="false" ht="15" hidden="false" customHeight="false" outlineLevel="0" collapsed="false">
      <c r="A19145" s="3" t="s">
        <v>338</v>
      </c>
      <c r="G19145" s="16" t="n">
        <f aca="false">G19136*(1-G19042)*(G19135-G19141+G19140-G19143)</f>
        <v>0</v>
      </c>
      <c r="H19145" s="16" t="n">
        <f aca="false">H19136*(1-H19042)*(H19135-H19141+H19140-H19143)</f>
        <v>0</v>
      </c>
      <c r="I19145" s="16" t="n">
        <f aca="false">I19136*(1-I19042)*(I19135-I19141+I19140-I19143)</f>
        <v>0</v>
      </c>
      <c r="J19145" s="16" t="n">
        <f aca="false">J19136*(1-J19042)*(J19135-J19141+J19140-J19143)</f>
        <v>350</v>
      </c>
      <c r="K19145" s="16" t="n">
        <f aca="false">K19136*(1-K19042)*(K19135-K19141+K19140-K19143)</f>
        <v>0</v>
      </c>
    </row>
    <row r="19146" customFormat="false" ht="15" hidden="false" customHeight="false" outlineLevel="0" collapsed="false">
      <c r="A19146" s="2" t="s">
        <v>339</v>
      </c>
      <c r="F19146" s="28" t="n">
        <f aca="false">Assumptions!$C$64</f>
        <v>350</v>
      </c>
      <c r="G19146" s="17" t="n">
        <f aca="false">G19135+G19142+G19140-G19141-G19143-G19144</f>
        <v>350</v>
      </c>
      <c r="H19146" s="17" t="n">
        <f aca="false">H19135+H19142+H19140-H19141-H19143-H19144</f>
        <v>350</v>
      </c>
      <c r="I19146" s="17" t="n">
        <f aca="false">I19135+I19142+I19140-I19141-I19143-I19144</f>
        <v>350</v>
      </c>
      <c r="J19146" s="17" t="n">
        <f aca="false">J19135+J19142+J19140-J19141-J19143-J19144</f>
        <v>350</v>
      </c>
      <c r="K19146" s="17" t="n">
        <f aca="false">K19135+K19142+K19140-K19141-K19143-K19144</f>
        <v>350</v>
      </c>
    </row>
    <row r="19147" customFormat="false" ht="15" hidden="false" customHeight="false" outlineLevel="0" collapsed="false">
      <c r="A19147" s="24" t="s">
        <v>347</v>
      </c>
      <c r="B19147" s="25"/>
      <c r="C19147" s="25"/>
      <c r="D19147" s="25"/>
      <c r="E19147" s="25"/>
      <c r="F19147" s="25"/>
      <c r="G19147" s="25"/>
      <c r="H19147" s="25"/>
      <c r="I19147" s="25"/>
      <c r="J19147" s="25"/>
      <c r="K19147" s="25"/>
    </row>
    <row r="19148" customFormat="false" ht="15" hidden="false" customHeight="false" outlineLevel="0" collapsed="false">
      <c r="A19148" s="3" t="s">
        <v>329</v>
      </c>
      <c r="G19148" s="16" t="n">
        <f aca="false">F19159</f>
        <v>300</v>
      </c>
      <c r="H19148" s="16" t="n">
        <f aca="false">G19159</f>
        <v>300</v>
      </c>
      <c r="I19148" s="16" t="n">
        <f aca="false">H19159</f>
        <v>300</v>
      </c>
      <c r="J19148" s="16" t="n">
        <f aca="false">I19159</f>
        <v>300</v>
      </c>
      <c r="K19148" s="16" t="n">
        <f aca="false">J19159</f>
        <v>300</v>
      </c>
    </row>
    <row r="19149" customFormat="false" ht="15" hidden="false" customHeight="false" outlineLevel="0" collapsed="false">
      <c r="A19149" s="3" t="s">
        <v>330</v>
      </c>
      <c r="G19149" s="21" t="n">
        <f aca="false">IF(G19008=Assumptions!$K$65,1,0)</f>
        <v>0</v>
      </c>
      <c r="H19149" s="21" t="n">
        <f aca="false">IF(H19008=Assumptions!$K$65,1,0)</f>
        <v>0</v>
      </c>
      <c r="I19149" s="21" t="n">
        <f aca="false">IF(I19008=Assumptions!$K$65,1,0)</f>
        <v>0</v>
      </c>
      <c r="J19149" s="21" t="n">
        <f aca="false">IF(J19008=Assumptions!$K$65,1,0)</f>
        <v>0</v>
      </c>
      <c r="K19149" s="21" t="n">
        <f aca="false">IF(K19008=Assumptions!$K$65,1,0)</f>
        <v>1</v>
      </c>
    </row>
    <row r="19151" customFormat="false" ht="15" hidden="false" customHeight="false" outlineLevel="0" collapsed="false">
      <c r="A19151" s="3" t="s">
        <v>331</v>
      </c>
      <c r="G19151" s="31" t="n">
        <f aca="false">IF(Assumptions!$I$65=1,MAX(G19034,Assumptions!$G$65)+Assumptions!$F$65+$C$19035,Assumptions!$E$65)</f>
        <v>0.06125</v>
      </c>
      <c r="H19151" s="31" t="n">
        <f aca="false">IF(G19362=1,$C$19036,IF(Assumptions!$I$65=1,MAX(H19034,Assumptions!$G$65)+Assumptions!$F$65+$C$19035,Assumptions!$E$65))</f>
        <v>0.06125</v>
      </c>
      <c r="I19151" s="31" t="n">
        <f aca="false">IF(H19362=1,$C$19036,IF(Assumptions!$I$65=1,MAX(I19034,Assumptions!$G$65)+Assumptions!$F$65+$C$19035,Assumptions!$E$65))</f>
        <v>0.06125</v>
      </c>
      <c r="J19151" s="31" t="n">
        <f aca="false">IF(I19362=1,$C$19036,IF(Assumptions!$I$65=1,MAX(J19034,Assumptions!$G$65)+Assumptions!$F$65+$C$19035,Assumptions!$E$65))</f>
        <v>0.06125</v>
      </c>
      <c r="K19151" s="31" t="n">
        <f aca="false">IF(J19362=1,$C$19036,IF(Assumptions!$I$65=1,MAX(K19034,Assumptions!$G$65)+Assumptions!$F$65+$C$19035,Assumptions!$E$65))</f>
        <v>0.06125</v>
      </c>
    </row>
    <row r="19152" customFormat="false" ht="15" hidden="false" customHeight="false" outlineLevel="0" collapsed="false">
      <c r="A19152" s="3" t="s">
        <v>332</v>
      </c>
      <c r="G19152" s="16" t="n">
        <f aca="false">G19148*G19151</f>
        <v>18.375</v>
      </c>
      <c r="H19152" s="16" t="n">
        <f aca="false">H19148*H19151</f>
        <v>18.375</v>
      </c>
      <c r="I19152" s="16" t="n">
        <f aca="false">I19148*I19151</f>
        <v>18.375</v>
      </c>
      <c r="J19152" s="16" t="n">
        <f aca="false">J19148*J19151</f>
        <v>18.375</v>
      </c>
      <c r="K19152" s="16" t="n">
        <f aca="false">K19148*K19151</f>
        <v>18.375</v>
      </c>
    </row>
    <row r="19153" customFormat="false" ht="15" hidden="false" customHeight="false" outlineLevel="0" collapsed="false">
      <c r="A19153" s="3" t="s">
        <v>333</v>
      </c>
      <c r="G19153" s="16" t="n">
        <f aca="false">G19148*Assumptions!$H$65</f>
        <v>0</v>
      </c>
      <c r="H19153" s="16" t="n">
        <f aca="false">H19148*Assumptions!$H$65</f>
        <v>0</v>
      </c>
      <c r="I19153" s="16" t="n">
        <f aca="false">I19148*Assumptions!$H$65</f>
        <v>0</v>
      </c>
      <c r="J19153" s="16" t="n">
        <f aca="false">J19148*Assumptions!$H$65</f>
        <v>0</v>
      </c>
      <c r="K19153" s="16" t="n">
        <f aca="false">K19148*Assumptions!$H$65</f>
        <v>0</v>
      </c>
    </row>
    <row r="19154" customFormat="false" ht="15" hidden="false" customHeight="false" outlineLevel="0" collapsed="false">
      <c r="A19154" s="3" t="s">
        <v>334</v>
      </c>
      <c r="G19154" s="16" t="n">
        <f aca="false">MIN(G19148,Assumptions!$L$65*Assumptions!$C$65)</f>
        <v>0</v>
      </c>
      <c r="H19154" s="16" t="n">
        <f aca="false">MIN(H19148,Assumptions!$L$65*Assumptions!$C$65)</f>
        <v>0</v>
      </c>
      <c r="I19154" s="16" t="n">
        <f aca="false">MIN(I19148,Assumptions!$L$65*Assumptions!$C$65)</f>
        <v>0</v>
      </c>
      <c r="J19154" s="16" t="n">
        <f aca="false">MIN(J19148,Assumptions!$L$65*Assumptions!$C$65)</f>
        <v>0</v>
      </c>
      <c r="K19154" s="16" t="n">
        <f aca="false">MIN(K19148,Assumptions!$L$65*Assumptions!$C$65)</f>
        <v>0</v>
      </c>
    </row>
    <row r="19155" customFormat="false" ht="15" hidden="false" customHeight="false" outlineLevel="0" collapsed="false">
      <c r="A19155" s="3" t="s">
        <v>335</v>
      </c>
      <c r="G19155" s="16" t="n">
        <f aca="false">IF(AND(Assumptions!$P$65=1,G19008&lt;Assumptions!$K$65),MIN(MAX(0,-G19224),MAX(0,Assumptions!$D$65-G19148)),0)</f>
        <v>0</v>
      </c>
      <c r="H19155" s="16" t="n">
        <f aca="false">IF(AND(Assumptions!$P$65=1,OR(H19008&lt;Assumptions!$K$65,G19362=1)),MIN(MAX(0,-H19224),MAX(0,Assumptions!$D$65-H19148)),0)</f>
        <v>0</v>
      </c>
      <c r="I19155" s="16" t="n">
        <f aca="false">IF(AND(Assumptions!$P$65=1,OR(I19008&lt;Assumptions!$K$65,H19362=1)),MIN(MAX(0,-I19224),MAX(0,Assumptions!$D$65-I19148)),0)</f>
        <v>0</v>
      </c>
      <c r="J19155" s="16" t="n">
        <f aca="false">IF(AND(Assumptions!$P$65=1,OR(J19008&lt;Assumptions!$K$65,I19362=1)),MIN(MAX(0,-J19224),MAX(0,Assumptions!$D$65-J19148)),0)</f>
        <v>0</v>
      </c>
      <c r="K19155" s="16" t="n">
        <f aca="false">IF(AND(Assumptions!$P$65=1,OR(K19008&lt;Assumptions!$K$65,J19362=1)),MIN(MAX(0,-K19224),MAX(0,Assumptions!$D$65-K19148)),0)</f>
        <v>0</v>
      </c>
    </row>
    <row r="19156" customFormat="false" ht="15" hidden="false" customHeight="false" outlineLevel="0" collapsed="false">
      <c r="A19156" s="3" t="s">
        <v>336</v>
      </c>
      <c r="G19156" s="16" t="n">
        <f aca="false">G19149*MIN(G19148-G19154+G19153,MAX(0,G19226-Assumptions!$C$12*G19042-G19052-G19065-G19078-G19091-G19104-G19117-G19130-G19143))</f>
        <v>0</v>
      </c>
      <c r="H19156" s="16" t="n">
        <f aca="false">H19149*MIN(H19148-H19154+H19153,MAX(0,H19226-Assumptions!$C$12*H19042-H19052-H19065-H19078-H19091-H19104-H19117-H19130-H19143))</f>
        <v>0</v>
      </c>
      <c r="I19156" s="16" t="n">
        <f aca="false">I19149*MIN(I19148-I19154+I19153,MAX(0,I19226-Assumptions!$C$12*I19042-I19052-I19065-I19078-I19091-I19104-I19117-I19130-I19143))</f>
        <v>0</v>
      </c>
      <c r="J19156" s="16" t="n">
        <f aca="false">J19149*MIN(J19148-J19154+J19153,MAX(0,J19226-Assumptions!$C$12*J19042-J19052-J19065-J19078-J19091-J19104-J19117-J19130-J19143))</f>
        <v>0</v>
      </c>
      <c r="K19156" s="16" t="n">
        <f aca="false">K19149*MIN(K19148-K19154+K19153,MAX(0,K19226-Assumptions!$C$12*K19042-K19052-K19065-K19078-K19091-K19104-K19117-K19130-K19143))</f>
        <v>0</v>
      </c>
    </row>
    <row r="19157" customFormat="false" ht="15" hidden="false" customHeight="false" outlineLevel="0" collapsed="false">
      <c r="A19157" s="3" t="s">
        <v>337</v>
      </c>
      <c r="G19157" s="16" t="n">
        <f aca="false">Assumptions!$N$65*MIN(G19148+G19155+G19153-G19154-G19156,MAX(0,G19230-G19053-G19066-G19079-G19092-G19105-G19118-G19131-G19144))</f>
        <v>0</v>
      </c>
      <c r="H19157" s="16" t="n">
        <f aca="false">Assumptions!$N$65*MIN(H19148+H19155+H19153-H19154-H19156,MAX(0,H19230-H19053-H19066-H19079-H19092-H19105-H19118-H19131-H19144))</f>
        <v>0</v>
      </c>
      <c r="I19157" s="16" t="n">
        <f aca="false">Assumptions!$N$65*MIN(I19148+I19155+I19153-I19154-I19156,MAX(0,I19230-I19053-I19066-I19079-I19092-I19105-I19118-I19131-I19144))</f>
        <v>0</v>
      </c>
      <c r="J19157" s="16" t="n">
        <f aca="false">Assumptions!$N$65*MIN(J19148+J19155+J19153-J19154-J19156,MAX(0,J19230-J19053-J19066-J19079-J19092-J19105-J19118-J19131-J19144))</f>
        <v>0</v>
      </c>
      <c r="K19157" s="16" t="n">
        <f aca="false">Assumptions!$N$65*MIN(K19148+K19155+K19153-K19154-K19156,MAX(0,K19230-K19053-K19066-K19079-K19092-K19105-K19118-K19131-K19144))</f>
        <v>0</v>
      </c>
    </row>
    <row r="19158" customFormat="false" ht="15" hidden="false" customHeight="false" outlineLevel="0" collapsed="false">
      <c r="A19158" s="3" t="s">
        <v>338</v>
      </c>
      <c r="G19158" s="16" t="n">
        <f aca="false">G19149*(1-G19042)*(G19148-G19154+G19153-G19156)</f>
        <v>0</v>
      </c>
      <c r="H19158" s="16" t="n">
        <f aca="false">H19149*(1-H19042)*(H19148-H19154+H19153-H19156)</f>
        <v>0</v>
      </c>
      <c r="I19158" s="16" t="n">
        <f aca="false">I19149*(1-I19042)*(I19148-I19154+I19153-I19156)</f>
        <v>0</v>
      </c>
      <c r="J19158" s="16" t="n">
        <f aca="false">J19149*(1-J19042)*(J19148-J19154+J19153-J19156)</f>
        <v>0</v>
      </c>
      <c r="K19158" s="16" t="n">
        <f aca="false">K19149*(1-K19042)*(K19148-K19154+K19153-K19156)</f>
        <v>300</v>
      </c>
    </row>
    <row r="19159" customFormat="false" ht="15" hidden="false" customHeight="false" outlineLevel="0" collapsed="false">
      <c r="A19159" s="2" t="s">
        <v>339</v>
      </c>
      <c r="F19159" s="28" t="n">
        <f aca="false">Assumptions!$C$65</f>
        <v>300</v>
      </c>
      <c r="G19159" s="17" t="n">
        <f aca="false">G19148+G19155+G19153-G19154-G19156-G19157</f>
        <v>300</v>
      </c>
      <c r="H19159" s="17" t="n">
        <f aca="false">H19148+H19155+H19153-H19154-H19156-H19157</f>
        <v>300</v>
      </c>
      <c r="I19159" s="17" t="n">
        <f aca="false">I19148+I19155+I19153-I19154-I19156-I19157</f>
        <v>300</v>
      </c>
      <c r="J19159" s="17" t="n">
        <f aca="false">J19148+J19155+J19153-J19154-J19156-J19157</f>
        <v>300</v>
      </c>
      <c r="K19159" s="17" t="n">
        <f aca="false">K19148+K19155+K19153-K19154-K19156-K19157</f>
        <v>300</v>
      </c>
    </row>
    <row r="19160" customFormat="false" ht="15" hidden="false" customHeight="false" outlineLevel="0" collapsed="false">
      <c r="A19160" s="24" t="s">
        <v>348</v>
      </c>
      <c r="B19160" s="25"/>
      <c r="C19160" s="25"/>
      <c r="D19160" s="25"/>
      <c r="E19160" s="25"/>
      <c r="F19160" s="25"/>
      <c r="G19160" s="25"/>
      <c r="H19160" s="25"/>
      <c r="I19160" s="25"/>
      <c r="J19160" s="25"/>
      <c r="K19160" s="25"/>
    </row>
    <row r="19161" customFormat="false" ht="15" hidden="false" customHeight="false" outlineLevel="0" collapsed="false">
      <c r="A19161" s="3" t="s">
        <v>329</v>
      </c>
      <c r="G19161" s="16" t="n">
        <f aca="false">F19172</f>
        <v>78.61</v>
      </c>
      <c r="H19161" s="16" t="n">
        <f aca="false">G19172</f>
        <v>78.61</v>
      </c>
      <c r="I19161" s="16" t="n">
        <f aca="false">H19172</f>
        <v>78.61</v>
      </c>
      <c r="J19161" s="16" t="n">
        <f aca="false">I19172</f>
        <v>78.61</v>
      </c>
      <c r="K19161" s="16" t="n">
        <f aca="false">J19172</f>
        <v>78.61</v>
      </c>
    </row>
    <row r="19162" customFormat="false" ht="15" hidden="false" customHeight="false" outlineLevel="0" collapsed="false">
      <c r="A19162" s="3" t="s">
        <v>330</v>
      </c>
      <c r="G19162" s="21" t="n">
        <f aca="false">IF(G19008=Assumptions!$K$66,1,0)</f>
        <v>0</v>
      </c>
      <c r="H19162" s="21" t="n">
        <f aca="false">IF(H19008=Assumptions!$K$66,1,0)</f>
        <v>0</v>
      </c>
      <c r="I19162" s="21" t="n">
        <f aca="false">IF(I19008=Assumptions!$K$66,1,0)</f>
        <v>0</v>
      </c>
      <c r="J19162" s="21" t="n">
        <f aca="false">IF(J19008=Assumptions!$K$66,1,0)</f>
        <v>0</v>
      </c>
      <c r="K19162" s="21" t="n">
        <f aca="false">IF(K19008=Assumptions!$K$66,1,0)</f>
        <v>0</v>
      </c>
    </row>
    <row r="19164" customFormat="false" ht="15" hidden="false" customHeight="false" outlineLevel="0" collapsed="false">
      <c r="A19164" s="3" t="s">
        <v>331</v>
      </c>
      <c r="G19164" s="31" t="n">
        <f aca="false">IF(Assumptions!$I$66=1,MAX(G19034,Assumptions!$G$66)+Assumptions!$F$66+$C$19035,Assumptions!$E$66)</f>
        <v>0.0841</v>
      </c>
      <c r="H19164" s="31" t="n">
        <f aca="false">IF(G19363=1,$C$19036,IF(Assumptions!$I$66=1,MAX(H19034,Assumptions!$G$66)+Assumptions!$F$66+$C$19035,Assumptions!$E$66))</f>
        <v>0.0826</v>
      </c>
      <c r="I19164" s="31" t="n">
        <f aca="false">IF(H19363=1,$C$19036,IF(Assumptions!$I$66=1,MAX(I19034,Assumptions!$G$66)+Assumptions!$F$66+$C$19035,Assumptions!$E$66))</f>
        <v>0.0801</v>
      </c>
      <c r="J19164" s="31" t="n">
        <f aca="false">IF(I19363=1,$C$19036,IF(Assumptions!$I$66=1,MAX(J19034,Assumptions!$G$66)+Assumptions!$F$66+$C$19035,Assumptions!$E$66))</f>
        <v>0.0801</v>
      </c>
      <c r="K19164" s="31" t="n">
        <f aca="false">IF(J19363=1,$C$19036,IF(Assumptions!$I$66=1,MAX(K19034,Assumptions!$G$66)+Assumptions!$F$66+$C$19035,Assumptions!$E$66))</f>
        <v>0.0801</v>
      </c>
    </row>
    <row r="19165" customFormat="false" ht="15" hidden="false" customHeight="false" outlineLevel="0" collapsed="false">
      <c r="A19165" s="3" t="s">
        <v>332</v>
      </c>
      <c r="G19165" s="16" t="n">
        <f aca="false">G19161*G19164</f>
        <v>6.611101</v>
      </c>
      <c r="H19165" s="16" t="n">
        <f aca="false">H19161*H19164</f>
        <v>6.493186</v>
      </c>
      <c r="I19165" s="16" t="n">
        <f aca="false">I19161*I19164</f>
        <v>6.296661</v>
      </c>
      <c r="J19165" s="16" t="n">
        <f aca="false">J19161*J19164</f>
        <v>6.296661</v>
      </c>
      <c r="K19165" s="16" t="n">
        <f aca="false">K19161*K19164</f>
        <v>6.296661</v>
      </c>
    </row>
    <row r="19166" customFormat="false" ht="15" hidden="false" customHeight="false" outlineLevel="0" collapsed="false">
      <c r="A19166" s="3" t="s">
        <v>333</v>
      </c>
      <c r="G19166" s="16" t="n">
        <f aca="false">G19161*Assumptions!$H$66</f>
        <v>0</v>
      </c>
      <c r="H19166" s="16" t="n">
        <f aca="false">H19161*Assumptions!$H$66</f>
        <v>0</v>
      </c>
      <c r="I19166" s="16" t="n">
        <f aca="false">I19161*Assumptions!$H$66</f>
        <v>0</v>
      </c>
      <c r="J19166" s="16" t="n">
        <f aca="false">J19161*Assumptions!$H$66</f>
        <v>0</v>
      </c>
      <c r="K19166" s="16" t="n">
        <f aca="false">K19161*Assumptions!$H$66</f>
        <v>0</v>
      </c>
    </row>
    <row r="19167" customFormat="false" ht="15" hidden="false" customHeight="false" outlineLevel="0" collapsed="false">
      <c r="A19167" s="3" t="s">
        <v>334</v>
      </c>
      <c r="G19167" s="16" t="n">
        <f aca="false">MIN(G19161,Assumptions!$L$66*Assumptions!$C$66)</f>
        <v>0</v>
      </c>
      <c r="H19167" s="16" t="n">
        <f aca="false">MIN(H19161,Assumptions!$L$66*Assumptions!$C$66)</f>
        <v>0</v>
      </c>
      <c r="I19167" s="16" t="n">
        <f aca="false">MIN(I19161,Assumptions!$L$66*Assumptions!$C$66)</f>
        <v>0</v>
      </c>
      <c r="J19167" s="16" t="n">
        <f aca="false">MIN(J19161,Assumptions!$L$66*Assumptions!$C$66)</f>
        <v>0</v>
      </c>
      <c r="K19167" s="16" t="n">
        <f aca="false">MIN(K19161,Assumptions!$L$66*Assumptions!$C$66)</f>
        <v>0</v>
      </c>
    </row>
    <row r="19168" customFormat="false" ht="15" hidden="false" customHeight="false" outlineLevel="0" collapsed="false">
      <c r="A19168" s="3" t="s">
        <v>335</v>
      </c>
      <c r="G19168" s="16" t="n">
        <f aca="false">IF(AND(Assumptions!$P$66=1,G19008&lt;Assumptions!$K$66),MIN(MAX(0,-G19224),MAX(0,Assumptions!$D$66-G19161)),0)</f>
        <v>0</v>
      </c>
      <c r="H19168" s="16" t="n">
        <f aca="false">IF(AND(Assumptions!$P$66=1,OR(H19008&lt;Assumptions!$K$66,G19363=1)),MIN(MAX(0,-H19224),MAX(0,Assumptions!$D$66-H19161)),0)</f>
        <v>0</v>
      </c>
      <c r="I19168" s="16" t="n">
        <f aca="false">IF(AND(Assumptions!$P$66=1,OR(I19008&lt;Assumptions!$K$66,H19363=1)),MIN(MAX(0,-I19224),MAX(0,Assumptions!$D$66-I19161)),0)</f>
        <v>0</v>
      </c>
      <c r="J19168" s="16" t="n">
        <f aca="false">IF(AND(Assumptions!$P$66=1,OR(J19008&lt;Assumptions!$K$66,I19363=1)),MIN(MAX(0,-J19224),MAX(0,Assumptions!$D$66-J19161)),0)</f>
        <v>0</v>
      </c>
      <c r="K19168" s="16" t="n">
        <f aca="false">IF(AND(Assumptions!$P$66=1,OR(K19008&lt;Assumptions!$K$66,J19363=1)),MIN(MAX(0,-K19224),MAX(0,Assumptions!$D$66-K19161)),0)</f>
        <v>0</v>
      </c>
    </row>
    <row r="19169" customFormat="false" ht="15" hidden="false" customHeight="false" outlineLevel="0" collapsed="false">
      <c r="A19169" s="3" t="s">
        <v>336</v>
      </c>
      <c r="G19169" s="16" t="n">
        <f aca="false">G19162*MIN(G19161-G19167+G19166,MAX(0,G19226-Assumptions!$C$12*G19042-G19052-G19065-G19078-G19091-G19104-G19117-G19130-G19143-G19156))</f>
        <v>0</v>
      </c>
      <c r="H19169" s="16" t="n">
        <f aca="false">H19162*MIN(H19161-H19167+H19166,MAX(0,H19226-Assumptions!$C$12*H19042-H19052-H19065-H19078-H19091-H19104-H19117-H19130-H19143-H19156))</f>
        <v>0</v>
      </c>
      <c r="I19169" s="16" t="n">
        <f aca="false">I19162*MIN(I19161-I19167+I19166,MAX(0,I19226-Assumptions!$C$12*I19042-I19052-I19065-I19078-I19091-I19104-I19117-I19130-I19143-I19156))</f>
        <v>0</v>
      </c>
      <c r="J19169" s="16" t="n">
        <f aca="false">J19162*MIN(J19161-J19167+J19166,MAX(0,J19226-Assumptions!$C$12*J19042-J19052-J19065-J19078-J19091-J19104-J19117-J19130-J19143-J19156))</f>
        <v>0</v>
      </c>
      <c r="K19169" s="16" t="n">
        <f aca="false">K19162*MIN(K19161-K19167+K19166,MAX(0,K19226-Assumptions!$C$12*K19042-K19052-K19065-K19078-K19091-K19104-K19117-K19130-K19143-K19156))</f>
        <v>0</v>
      </c>
    </row>
    <row r="19170" customFormat="false" ht="15" hidden="false" customHeight="false" outlineLevel="0" collapsed="false">
      <c r="A19170" s="3" t="s">
        <v>337</v>
      </c>
      <c r="G19170" s="16" t="n">
        <f aca="false">Assumptions!$N$66*MIN(G19161+G19168+G19166-G19167-G19169,MAX(0,G19230-G19053-G19066-G19079-G19092-G19105-G19118-G19131-G19144-G19157))</f>
        <v>0</v>
      </c>
      <c r="H19170" s="16" t="n">
        <f aca="false">Assumptions!$N$66*MIN(H19161+H19168+H19166-H19167-H19169,MAX(0,H19230-H19053-H19066-H19079-H19092-H19105-H19118-H19131-H19144-H19157))</f>
        <v>0</v>
      </c>
      <c r="I19170" s="16" t="n">
        <f aca="false">Assumptions!$N$66*MIN(I19161+I19168+I19166-I19167-I19169,MAX(0,I19230-I19053-I19066-I19079-I19092-I19105-I19118-I19131-I19144-I19157))</f>
        <v>0</v>
      </c>
      <c r="J19170" s="16" t="n">
        <f aca="false">Assumptions!$N$66*MIN(J19161+J19168+J19166-J19167-J19169,MAX(0,J19230-J19053-J19066-J19079-J19092-J19105-J19118-J19131-J19144-J19157))</f>
        <v>0</v>
      </c>
      <c r="K19170" s="16" t="n">
        <f aca="false">Assumptions!$N$66*MIN(K19161+K19168+K19166-K19167-K19169,MAX(0,K19230-K19053-K19066-K19079-K19092-K19105-K19118-K19131-K19144-K19157))</f>
        <v>0</v>
      </c>
    </row>
    <row r="19171" customFormat="false" ht="15" hidden="false" customHeight="false" outlineLevel="0" collapsed="false">
      <c r="A19171" s="3" t="s">
        <v>338</v>
      </c>
      <c r="G19171" s="16" t="n">
        <f aca="false">G19162*(1-G19042)*(G19161-G19167+G19166-G19169)</f>
        <v>0</v>
      </c>
      <c r="H19171" s="16" t="n">
        <f aca="false">H19162*(1-H19042)*(H19161-H19167+H19166-H19169)</f>
        <v>0</v>
      </c>
      <c r="I19171" s="16" t="n">
        <f aca="false">I19162*(1-I19042)*(I19161-I19167+I19166-I19169)</f>
        <v>0</v>
      </c>
      <c r="J19171" s="16" t="n">
        <f aca="false">J19162*(1-J19042)*(J19161-J19167+J19166-J19169)</f>
        <v>0</v>
      </c>
      <c r="K19171" s="16" t="n">
        <f aca="false">K19162*(1-K19042)*(K19161-K19167+K19166-K19169)</f>
        <v>0</v>
      </c>
    </row>
    <row r="19172" customFormat="false" ht="15" hidden="false" customHeight="false" outlineLevel="0" collapsed="false">
      <c r="A19172" s="2" t="s">
        <v>339</v>
      </c>
      <c r="F19172" s="28" t="n">
        <f aca="false">Assumptions!$C$66</f>
        <v>78.61</v>
      </c>
      <c r="G19172" s="17" t="n">
        <f aca="false">G19161+G19168+G19166-G19167-G19169-G19170</f>
        <v>78.61</v>
      </c>
      <c r="H19172" s="17" t="n">
        <f aca="false">H19161+H19168+H19166-H19167-H19169-H19170</f>
        <v>78.61</v>
      </c>
      <c r="I19172" s="17" t="n">
        <f aca="false">I19161+I19168+I19166-I19167-I19169-I19170</f>
        <v>78.61</v>
      </c>
      <c r="J19172" s="17" t="n">
        <f aca="false">J19161+J19168+J19166-J19167-J19169-J19170</f>
        <v>78.61</v>
      </c>
      <c r="K19172" s="17" t="n">
        <f aca="false">K19161+K19168+K19166-K19167-K19169-K19170</f>
        <v>78.61</v>
      </c>
    </row>
    <row r="19173" customFormat="false" ht="15" hidden="false" customHeight="false" outlineLevel="0" collapsed="false">
      <c r="A19173" s="24" t="s">
        <v>349</v>
      </c>
      <c r="B19173" s="25"/>
      <c r="C19173" s="25"/>
      <c r="D19173" s="25"/>
      <c r="E19173" s="25"/>
      <c r="F19173" s="25"/>
      <c r="G19173" s="25"/>
      <c r="H19173" s="25"/>
      <c r="I19173" s="25"/>
      <c r="J19173" s="25"/>
      <c r="K19173" s="25"/>
    </row>
    <row r="19174" customFormat="false" ht="15" hidden="false" customHeight="false" outlineLevel="0" collapsed="false">
      <c r="A19174" s="2" t="s">
        <v>350</v>
      </c>
      <c r="F19174" s="17" t="n">
        <f aca="false">F19055+F19068+F19081+F19094+F19107+F19120+F19133+F19146+F19159+F19172</f>
        <v>2625.934</v>
      </c>
      <c r="G19174" s="17" t="n">
        <f aca="false">G19055+G19068+G19081+G19094+G19107+G19120+G19133+G19146+G19159+G19172</f>
        <v>2621.934</v>
      </c>
      <c r="H19174" s="17" t="n">
        <f aca="false">H19055+H19068+H19081+H19094+H19107+H19120+H19133+H19146+H19159+H19172</f>
        <v>2617.934</v>
      </c>
      <c r="I19174" s="17" t="n">
        <f aca="false">I19055+I19068+I19081+I19094+I19107+I19120+I19133+I19146+I19159+I19172</f>
        <v>2613.934</v>
      </c>
      <c r="J19174" s="17" t="n">
        <f aca="false">J19055+J19068+J19081+J19094+J19107+J19120+J19133+J19146+J19159+J19172</f>
        <v>2609.934</v>
      </c>
      <c r="K19174" s="17" t="n">
        <f aca="false">K19055+K19068+K19081+K19094+K19107+K19120+K19133+K19146+K19159+K19172</f>
        <v>2605.934</v>
      </c>
    </row>
    <row r="19175" customFormat="false" ht="15" hidden="false" customHeight="false" outlineLevel="0" collapsed="false">
      <c r="A19175" s="3" t="s">
        <v>351</v>
      </c>
      <c r="G19175" s="16" t="n">
        <f aca="false">G19045*Assumptions!$C$57+G19058*Assumptions!$C$58+G19071*Assumptions!$C$59+G19084*Assumptions!$C$60+G19097*Assumptions!$C$61+G19110*Assumptions!$C$62+G19123*Assumptions!$C$63+G19136*Assumptions!$C$64+G19149*Assumptions!$C$65+G19162*Assumptions!$C$66</f>
        <v>0</v>
      </c>
      <c r="H19175" s="16" t="n">
        <f aca="false">H19045*Assumptions!$C$57+H19058*Assumptions!$C$58+H19071*Assumptions!$C$59+H19084*Assumptions!$C$60+H19097*Assumptions!$C$61+H19110*Assumptions!$C$62+H19123*Assumptions!$C$63+H19136*Assumptions!$C$64+H19149*Assumptions!$C$65+H19162*Assumptions!$C$66</f>
        <v>800</v>
      </c>
      <c r="I19175" s="16" t="n">
        <f aca="false">I19045*Assumptions!$C$57+I19058*Assumptions!$C$58+I19071*Assumptions!$C$59+I19084*Assumptions!$C$60+I19097*Assumptions!$C$61+I19110*Assumptions!$C$62+I19123*Assumptions!$C$63+I19136*Assumptions!$C$64+I19149*Assumptions!$C$65+I19162*Assumptions!$C$66</f>
        <v>550</v>
      </c>
      <c r="J19175" s="16" t="n">
        <f aca="false">J19045*Assumptions!$C$57+J19058*Assumptions!$C$58+J19071*Assumptions!$C$59+J19084*Assumptions!$C$60+J19097*Assumptions!$C$61+J19110*Assumptions!$C$62+J19123*Assumptions!$C$63+J19136*Assumptions!$C$64+J19149*Assumptions!$C$65+J19162*Assumptions!$C$66</f>
        <v>350</v>
      </c>
      <c r="K19175" s="16" t="n">
        <f aca="false">K19045*Assumptions!$C$57+K19058*Assumptions!$C$58+K19071*Assumptions!$C$59+K19084*Assumptions!$C$60+K19097*Assumptions!$C$61+K19110*Assumptions!$C$62+K19123*Assumptions!$C$63+K19136*Assumptions!$C$64+K19149*Assumptions!$C$65+K19162*Assumptions!$C$66</f>
        <v>700</v>
      </c>
    </row>
    <row r="19176" customFormat="false" ht="15" hidden="false" customHeight="false" outlineLevel="0" collapsed="false">
      <c r="A19176" s="24" t="s">
        <v>352</v>
      </c>
      <c r="B19176" s="25"/>
      <c r="C19176" s="25"/>
      <c r="D19176" s="25"/>
      <c r="E19176" s="25"/>
      <c r="F19176" s="25"/>
      <c r="G19176" s="25"/>
      <c r="H19176" s="25"/>
      <c r="I19176" s="25"/>
      <c r="J19176" s="25"/>
      <c r="K19176" s="25"/>
    </row>
    <row r="19177" customFormat="false" ht="15" hidden="false" customHeight="false" outlineLevel="0" collapsed="false">
      <c r="A19177" s="3" t="s">
        <v>353</v>
      </c>
      <c r="C19177" s="16" t="n">
        <f aca="false">SUMPRODUCT($G$19045:$K$19045,$G$19044:$K$19044-$G$19050:$K$19050+$G$19049:$K$19049)</f>
        <v>380</v>
      </c>
    </row>
    <row r="19178" customFormat="false" ht="15" hidden="false" customHeight="false" outlineLevel="0" collapsed="false">
      <c r="A19178" s="3" t="s">
        <v>354</v>
      </c>
      <c r="C19178" s="16" t="n">
        <f aca="false">SUMPRODUCT($G$19045:$K$19045,$G$19052:$K$19052)</f>
        <v>0</v>
      </c>
    </row>
    <row r="19179" customFormat="false" ht="15" hidden="false" customHeight="false" outlineLevel="0" collapsed="false">
      <c r="A19179" s="3" t="s">
        <v>355</v>
      </c>
      <c r="C19179" s="3" t="str">
        <f aca="false">IF(SUM($G$19045:$K$19045)=0,"n/a (beyond horizon)",IF(SUMPRODUCT($G$19045:$K$19045,$G$19042:$K$19042)&gt;0,"REFINANCING PASS","REFINANCING FAILURE"))</f>
        <v>REFINANCING FAILURE</v>
      </c>
    </row>
    <row r="19180" customFormat="false" ht="15" hidden="false" customHeight="false" outlineLevel="0" collapsed="false">
      <c r="A19180" s="3" t="s">
        <v>356</v>
      </c>
      <c r="C19180" s="3" t="str">
        <f aca="false">IF(SUM($G$19045:$K$19045)=0,"n/a",IF(C19178&gt;=C19177-0.001,"Repaid from cash",IF(SUMPRODUCT($G$19045:$K$19045,$G$19042:$K$19042)&gt;0,IF(C19178&gt;0,"Partly repaid; remainder refinanced","Refinanced"),IF(SUM($G$19054:$K$19054)&gt;0.001,IF(C19178&gt;0,"Partial repayment; PAYMENT DEFAULT","PAYMENT DEFAULT"),"Repaid from cash"))))</f>
        <v>PAYMENT DEFAULT</v>
      </c>
    </row>
    <row r="19181" customFormat="false" ht="15" hidden="false" customHeight="false" outlineLevel="0" collapsed="false">
      <c r="A19181" s="3" t="s">
        <v>357</v>
      </c>
      <c r="C19181" s="16" t="n">
        <f aca="false">SUMPRODUCT($G$19058:$K$19058,$G$19057:$K$19057-$G$19063:$K$19063+$G$19062:$K$19062)</f>
        <v>0</v>
      </c>
    </row>
    <row r="19182" customFormat="false" ht="15" hidden="false" customHeight="false" outlineLevel="0" collapsed="false">
      <c r="A19182" s="3" t="s">
        <v>358</v>
      </c>
      <c r="C19182" s="16" t="n">
        <f aca="false">SUMPRODUCT($G$19058:$K$19058,$G$19065:$K$19065)</f>
        <v>0</v>
      </c>
    </row>
    <row r="19183" customFormat="false" ht="15" hidden="false" customHeight="false" outlineLevel="0" collapsed="false">
      <c r="A19183" s="3" t="s">
        <v>359</v>
      </c>
      <c r="C19183" s="3" t="str">
        <f aca="false">IF(SUM($G$19058:$K$19058)=0,"n/a (beyond horizon)",IF(SUMPRODUCT($G$19058:$K$19058,$G$19042:$K$19042)&gt;0,"REFINANCING PASS","REFINANCING FAILURE"))</f>
        <v>n/a (beyond horizon)</v>
      </c>
    </row>
    <row r="19184" customFormat="false" ht="15" hidden="false" customHeight="false" outlineLevel="0" collapsed="false">
      <c r="A19184" s="3" t="s">
        <v>360</v>
      </c>
      <c r="C19184" s="3" t="str">
        <f aca="false">IF(SUM($G$19058:$K$19058)=0,"n/a",IF(C19182&gt;=C19181-0.001,"Repaid from cash",IF(SUMPRODUCT($G$19058:$K$19058,$G$19042:$K$19042)&gt;0,IF(C19182&gt;0,"Partly repaid; remainder refinanced","Refinanced"),IF(SUM($G$19067:$K$19067)&gt;0.001,IF(C19182&gt;0,"Partial repayment; PAYMENT DEFAULT","PAYMENT DEFAULT"),"Repaid from cash"))))</f>
        <v>n/a</v>
      </c>
    </row>
    <row r="19185" customFormat="false" ht="15" hidden="false" customHeight="false" outlineLevel="0" collapsed="false">
      <c r="A19185" s="3" t="s">
        <v>361</v>
      </c>
      <c r="C19185" s="16" t="n">
        <f aca="false">SUMPRODUCT($G$19071:$K$19071,$G$19070:$K$19070-$G$19076:$K$19076+$G$19075:$K$19075)</f>
        <v>0</v>
      </c>
    </row>
    <row r="19186" customFormat="false" ht="15" hidden="false" customHeight="false" outlineLevel="0" collapsed="false">
      <c r="A19186" s="3" t="s">
        <v>362</v>
      </c>
      <c r="C19186" s="16" t="n">
        <f aca="false">SUMPRODUCT($G$19071:$K$19071,$G$19078:$K$19078)</f>
        <v>0</v>
      </c>
    </row>
    <row r="19187" customFormat="false" ht="15" hidden="false" customHeight="false" outlineLevel="0" collapsed="false">
      <c r="A19187" s="3" t="s">
        <v>363</v>
      </c>
      <c r="C19187" s="3" t="str">
        <f aca="false">IF(SUM($G$19071:$K$19071)=0,"n/a (beyond horizon)",IF(SUMPRODUCT($G$19071:$K$19071,$G$19042:$K$19042)&gt;0,"REFINANCING PASS","REFINANCING FAILURE"))</f>
        <v>n/a (beyond horizon)</v>
      </c>
    </row>
    <row r="19188" customFormat="false" ht="15" hidden="false" customHeight="false" outlineLevel="0" collapsed="false">
      <c r="A19188" s="3" t="s">
        <v>364</v>
      </c>
      <c r="C19188" s="3" t="str">
        <f aca="false">IF(SUM($G$19071:$K$19071)=0,"n/a",IF(C19186&gt;=C19185-0.001,"Repaid from cash",IF(SUMPRODUCT($G$19071:$K$19071,$G$19042:$K$19042)&gt;0,IF(C19186&gt;0,"Partly repaid; remainder refinanced","Refinanced"),IF(SUM($G$19080:$K$19080)&gt;0.001,IF(C19186&gt;0,"Partial repayment; PAYMENT DEFAULT","PAYMENT DEFAULT"),"Repaid from cash"))))</f>
        <v>n/a</v>
      </c>
    </row>
    <row r="19189" customFormat="false" ht="15" hidden="false" customHeight="false" outlineLevel="0" collapsed="false">
      <c r="A19189" s="3" t="s">
        <v>365</v>
      </c>
      <c r="C19189" s="16" t="n">
        <f aca="false">SUMPRODUCT($G$19084:$K$19084,$G$19083:$K$19083-$G$19089:$K$19089+$G$19088:$K$19088)</f>
        <v>0</v>
      </c>
    </row>
    <row r="19190" customFormat="false" ht="15" hidden="false" customHeight="false" outlineLevel="0" collapsed="false">
      <c r="A19190" s="3" t="s">
        <v>366</v>
      </c>
      <c r="C19190" s="16" t="n">
        <f aca="false">SUMPRODUCT($G$19084:$K$19084,$G$19091:$K$19091)</f>
        <v>0</v>
      </c>
    </row>
    <row r="19191" customFormat="false" ht="15" hidden="false" customHeight="false" outlineLevel="0" collapsed="false">
      <c r="A19191" s="3" t="s">
        <v>367</v>
      </c>
      <c r="C19191" s="3" t="str">
        <f aca="false">IF(SUM($G$19084:$K$19084)=0,"n/a (beyond horizon)",IF(SUMPRODUCT($G$19084:$K$19084,$G$19042:$K$19042)&gt;0,"REFINANCING PASS","REFINANCING FAILURE"))</f>
        <v>REFINANCING FAILURE</v>
      </c>
    </row>
    <row r="19192" customFormat="false" ht="15" hidden="false" customHeight="false" outlineLevel="0" collapsed="false">
      <c r="A19192" s="3" t="s">
        <v>368</v>
      </c>
      <c r="C19192" s="3" t="str">
        <f aca="false">IF(SUM($G$19084:$K$19084)=0,"n/a",IF(C19190&gt;=C19189-0.001,"Repaid from cash",IF(SUMPRODUCT($G$19084:$K$19084,$G$19042:$K$19042)&gt;0,IF(C19190&gt;0,"Partly repaid; remainder refinanced","Refinanced"),IF(SUM($G$19093:$K$19093)&gt;0.001,IF(C19190&gt;0,"Partial repayment; PAYMENT DEFAULT","PAYMENT DEFAULT"),"Repaid from cash"))))</f>
        <v>Repaid from cash</v>
      </c>
    </row>
    <row r="19193" customFormat="false" ht="15" hidden="false" customHeight="false" outlineLevel="0" collapsed="false">
      <c r="A19193" s="3" t="s">
        <v>369</v>
      </c>
      <c r="C19193" s="16" t="n">
        <f aca="false">SUMPRODUCT($G$19097:$K$19097,$G$19096:$K$19096-$G$19102:$K$19102+$G$19101:$K$19101)</f>
        <v>450</v>
      </c>
    </row>
    <row r="19194" customFormat="false" ht="15" hidden="false" customHeight="false" outlineLevel="0" collapsed="false">
      <c r="A19194" s="3" t="s">
        <v>370</v>
      </c>
      <c r="C19194" s="16" t="n">
        <f aca="false">SUMPRODUCT($G$19097:$K$19097,$G$19104:$K$19104)</f>
        <v>0</v>
      </c>
    </row>
    <row r="19195" customFormat="false" ht="15" hidden="false" customHeight="false" outlineLevel="0" collapsed="false">
      <c r="A19195" s="3" t="s">
        <v>371</v>
      </c>
      <c r="C19195" s="3" t="str">
        <f aca="false">IF(SUM($G$19097:$K$19097)=0,"n/a (beyond horizon)",IF(SUMPRODUCT($G$19097:$K$19097,$G$19042:$K$19042)&gt;0,"REFINANCING PASS","REFINANCING FAILURE"))</f>
        <v>REFINANCING FAILURE</v>
      </c>
    </row>
    <row r="19196" customFormat="false" ht="15" hidden="false" customHeight="false" outlineLevel="0" collapsed="false">
      <c r="A19196" s="3" t="s">
        <v>372</v>
      </c>
      <c r="C19196" s="3" t="str">
        <f aca="false">IF(SUM($G$19097:$K$19097)=0,"n/a",IF(C19194&gt;=C19193-0.001,"Repaid from cash",IF(SUMPRODUCT($G$19097:$K$19097,$G$19042:$K$19042)&gt;0,IF(C19194&gt;0,"Partly repaid; remainder refinanced","Refinanced"),IF(SUM($G$19106:$K$19106)&gt;0.001,IF(C19194&gt;0,"Partial repayment; PAYMENT DEFAULT","PAYMENT DEFAULT"),"Repaid from cash"))))</f>
        <v>PAYMENT DEFAULT</v>
      </c>
    </row>
    <row r="19197" customFormat="false" ht="15" hidden="false" customHeight="false" outlineLevel="0" collapsed="false">
      <c r="A19197" s="3" t="s">
        <v>373</v>
      </c>
      <c r="C19197" s="16" t="n">
        <f aca="false">SUMPRODUCT($G$19110:$K$19110,$G$19109:$K$19109-$G$19115:$K$19115+$G$19114:$K$19114)</f>
        <v>350</v>
      </c>
    </row>
    <row r="19198" customFormat="false" ht="15" hidden="false" customHeight="false" outlineLevel="0" collapsed="false">
      <c r="A19198" s="3" t="s">
        <v>374</v>
      </c>
      <c r="C19198" s="16" t="n">
        <f aca="false">SUMPRODUCT($G$19110:$K$19110,$G$19117:$K$19117)</f>
        <v>0</v>
      </c>
    </row>
    <row r="19199" customFormat="false" ht="15" hidden="false" customHeight="false" outlineLevel="0" collapsed="false">
      <c r="A19199" s="3" t="s">
        <v>375</v>
      </c>
      <c r="C19199" s="3" t="str">
        <f aca="false">IF(SUM($G$19110:$K$19110)=0,"n/a (beyond horizon)",IF(SUMPRODUCT($G$19110:$K$19110,$G$19042:$K$19042)&gt;0,"REFINANCING PASS","REFINANCING FAILURE"))</f>
        <v>REFINANCING FAILURE</v>
      </c>
    </row>
    <row r="19200" customFormat="false" ht="15" hidden="false" customHeight="false" outlineLevel="0" collapsed="false">
      <c r="A19200" s="3" t="s">
        <v>376</v>
      </c>
      <c r="C19200" s="3" t="str">
        <f aca="false">IF(SUM($G$19110:$K$19110)=0,"n/a",IF(C19198&gt;=C19197-0.001,"Repaid from cash",IF(SUMPRODUCT($G$19110:$K$19110,$G$19042:$K$19042)&gt;0,IF(C19198&gt;0,"Partly repaid; remainder refinanced","Refinanced"),IF(SUM($G$19119:$K$19119)&gt;0.001,IF(C19198&gt;0,"Partial repayment; PAYMENT DEFAULT","PAYMENT DEFAULT"),"Repaid from cash"))))</f>
        <v>PAYMENT DEFAULT</v>
      </c>
    </row>
    <row r="19201" customFormat="false" ht="15" hidden="false" customHeight="false" outlineLevel="0" collapsed="false">
      <c r="A19201" s="3" t="s">
        <v>377</v>
      </c>
      <c r="C19201" s="16" t="n">
        <f aca="false">SUMPRODUCT($G$19123:$K$19123,$G$19122:$K$19122-$G$19128:$K$19128+$G$19127:$K$19127)</f>
        <v>550</v>
      </c>
    </row>
    <row r="19202" customFormat="false" ht="15" hidden="false" customHeight="false" outlineLevel="0" collapsed="false">
      <c r="A19202" s="3" t="s">
        <v>378</v>
      </c>
      <c r="C19202" s="16" t="n">
        <f aca="false">SUMPRODUCT($G$19123:$K$19123,$G$19130:$K$19130)</f>
        <v>0</v>
      </c>
    </row>
    <row r="19203" customFormat="false" ht="15" hidden="false" customHeight="false" outlineLevel="0" collapsed="false">
      <c r="A19203" s="3" t="s">
        <v>379</v>
      </c>
      <c r="C19203" s="3" t="str">
        <f aca="false">IF(SUM($G$19123:$K$19123)=0,"n/a (beyond horizon)",IF(SUMPRODUCT($G$19123:$K$19123,$G$19042:$K$19042)&gt;0,"REFINANCING PASS","REFINANCING FAILURE"))</f>
        <v>REFINANCING FAILURE</v>
      </c>
    </row>
    <row r="19204" customFormat="false" ht="15" hidden="false" customHeight="false" outlineLevel="0" collapsed="false">
      <c r="A19204" s="3" t="s">
        <v>380</v>
      </c>
      <c r="C19204" s="3" t="str">
        <f aca="false">IF(SUM($G$19123:$K$19123)=0,"n/a",IF(C19202&gt;=C19201-0.001,"Repaid from cash",IF(SUMPRODUCT($G$19123:$K$19123,$G$19042:$K$19042)&gt;0,IF(C19202&gt;0,"Partly repaid; remainder refinanced","Refinanced"),IF(SUM($G$19132:$K$19132)&gt;0.001,IF(C19202&gt;0,"Partial repayment; PAYMENT DEFAULT","PAYMENT DEFAULT"),"Repaid from cash"))))</f>
        <v>PAYMENT DEFAULT</v>
      </c>
    </row>
    <row r="19205" customFormat="false" ht="15" hidden="false" customHeight="false" outlineLevel="0" collapsed="false">
      <c r="A19205" s="3" t="s">
        <v>381</v>
      </c>
      <c r="C19205" s="16" t="n">
        <f aca="false">SUMPRODUCT($G$19136:$K$19136,$G$19135:$K$19135-$G$19141:$K$19141+$G$19140:$K$19140)</f>
        <v>350</v>
      </c>
    </row>
    <row r="19206" customFormat="false" ht="15" hidden="false" customHeight="false" outlineLevel="0" collapsed="false">
      <c r="A19206" s="3" t="s">
        <v>382</v>
      </c>
      <c r="C19206" s="16" t="n">
        <f aca="false">SUMPRODUCT($G$19136:$K$19136,$G$19143:$K$19143)</f>
        <v>0</v>
      </c>
    </row>
    <row r="19207" customFormat="false" ht="15" hidden="false" customHeight="false" outlineLevel="0" collapsed="false">
      <c r="A19207" s="3" t="s">
        <v>383</v>
      </c>
      <c r="C19207" s="3" t="str">
        <f aca="false">IF(SUM($G$19136:$K$19136)=0,"n/a (beyond horizon)",IF(SUMPRODUCT($G$19136:$K$19136,$G$19042:$K$19042)&gt;0,"REFINANCING PASS","REFINANCING FAILURE"))</f>
        <v>REFINANCING FAILURE</v>
      </c>
    </row>
    <row r="19208" customFormat="false" ht="15" hidden="false" customHeight="false" outlineLevel="0" collapsed="false">
      <c r="A19208" s="3" t="s">
        <v>384</v>
      </c>
      <c r="C19208" s="3" t="str">
        <f aca="false">IF(SUM($G$19136:$K$19136)=0,"n/a",IF(C19206&gt;=C19205-0.001,"Repaid from cash",IF(SUMPRODUCT($G$19136:$K$19136,$G$19042:$K$19042)&gt;0,IF(C19206&gt;0,"Partly repaid; remainder refinanced","Refinanced"),IF(SUM($G$19145:$K$19145)&gt;0.001,IF(C19206&gt;0,"Partial repayment; PAYMENT DEFAULT","PAYMENT DEFAULT"),"Repaid from cash"))))</f>
        <v>PAYMENT DEFAULT</v>
      </c>
    </row>
    <row r="19209" customFormat="false" ht="15" hidden="false" customHeight="false" outlineLevel="0" collapsed="false">
      <c r="A19209" s="3" t="s">
        <v>385</v>
      </c>
      <c r="C19209" s="16" t="n">
        <f aca="false">SUMPRODUCT($G$19149:$K$19149,$G$19148:$K$19148-$G$19154:$K$19154+$G$19153:$K$19153)</f>
        <v>300</v>
      </c>
    </row>
    <row r="19210" customFormat="false" ht="15" hidden="false" customHeight="false" outlineLevel="0" collapsed="false">
      <c r="A19210" s="3" t="s">
        <v>386</v>
      </c>
      <c r="C19210" s="16" t="n">
        <f aca="false">SUMPRODUCT($G$19149:$K$19149,$G$19156:$K$19156)</f>
        <v>0</v>
      </c>
    </row>
    <row r="19211" customFormat="false" ht="15" hidden="false" customHeight="false" outlineLevel="0" collapsed="false">
      <c r="A19211" s="3" t="s">
        <v>387</v>
      </c>
      <c r="C19211" s="3" t="str">
        <f aca="false">IF(SUM($G$19149:$K$19149)=0,"n/a (beyond horizon)",IF(SUMPRODUCT($G$19149:$K$19149,$G$19042:$K$19042)&gt;0,"REFINANCING PASS","REFINANCING FAILURE"))</f>
        <v>REFINANCING FAILURE</v>
      </c>
    </row>
    <row r="19212" customFormat="false" ht="15" hidden="false" customHeight="false" outlineLevel="0" collapsed="false">
      <c r="A19212" s="3" t="s">
        <v>388</v>
      </c>
      <c r="C19212" s="3" t="str">
        <f aca="false">IF(SUM($G$19149:$K$19149)=0,"n/a",IF(C19210&gt;=C19209-0.001,"Repaid from cash",IF(SUMPRODUCT($G$19149:$K$19149,$G$19042:$K$19042)&gt;0,IF(C19210&gt;0,"Partly repaid; remainder refinanced","Refinanced"),IF(SUM($G$19158:$K$19158)&gt;0.001,IF(C19210&gt;0,"Partial repayment; PAYMENT DEFAULT","PAYMENT DEFAULT"),"Repaid from cash"))))</f>
        <v>PAYMENT DEFAULT</v>
      </c>
    </row>
    <row r="19213" customFormat="false" ht="15" hidden="false" customHeight="false" outlineLevel="0" collapsed="false">
      <c r="A19213" s="3" t="s">
        <v>389</v>
      </c>
      <c r="C19213" s="16" t="n">
        <f aca="false">SUMPRODUCT($G$19162:$K$19162,$G$19161:$K$19161-$G$19167:$K$19167+$G$19166:$K$19166)</f>
        <v>0</v>
      </c>
    </row>
    <row r="19214" customFormat="false" ht="15" hidden="false" customHeight="false" outlineLevel="0" collapsed="false">
      <c r="A19214" s="3" t="s">
        <v>390</v>
      </c>
      <c r="C19214" s="16" t="n">
        <f aca="false">SUMPRODUCT($G$19162:$K$19162,$G$19169:$K$19169)</f>
        <v>0</v>
      </c>
    </row>
    <row r="19215" customFormat="false" ht="15" hidden="false" customHeight="false" outlineLevel="0" collapsed="false">
      <c r="A19215" s="3" t="s">
        <v>391</v>
      </c>
      <c r="C19215" s="3" t="str">
        <f aca="false">IF(SUM($G$19162:$K$19162)=0,"n/a (beyond horizon)",IF(SUMPRODUCT($G$19162:$K$19162,$G$19042:$K$19042)&gt;0,"REFINANCING PASS","REFINANCING FAILURE"))</f>
        <v>n/a (beyond horizon)</v>
      </c>
    </row>
    <row r="19216" customFormat="false" ht="15" hidden="false" customHeight="false" outlineLevel="0" collapsed="false">
      <c r="A19216" s="3" t="s">
        <v>392</v>
      </c>
      <c r="C19216" s="3" t="str">
        <f aca="false">IF(SUM($G$19162:$K$19162)=0,"n/a",IF(C19214&gt;=C19213-0.001,"Repaid from cash",IF(SUMPRODUCT($G$19162:$K$19162,$G$19042:$K$19042)&gt;0,IF(C19214&gt;0,"Partly repaid; remainder refinanced","Refinanced"),IF(SUM($G$19171:$K$19171)&gt;0.001,IF(C19214&gt;0,"Partial repayment; PAYMENT DEFAULT","PAYMENT DEFAULT"),"Repaid from cash"))))</f>
        <v>n/a</v>
      </c>
    </row>
    <row r="19217" customFormat="false" ht="15" hidden="false" customHeight="false" outlineLevel="0" collapsed="false">
      <c r="A19217" s="3" t="s">
        <v>393</v>
      </c>
      <c r="C19217" s="21" t="n">
        <f aca="false">IF(C19179="REFINANCING FAILURE",1,0)+IF(C19183="REFINANCING FAILURE",1,0)+IF(C19187="REFINANCING FAILURE",1,0)+IF(C19191="REFINANCING FAILURE",1,0)+IF(C19195="REFINANCING FAILURE",1,0)+IF(C19199="REFINANCING FAILURE",1,0)+IF(C19203="REFINANCING FAILURE",1,0)+IF(C19207="REFINANCING FAILURE",1,0)+IF(C19211="REFINANCING FAILURE",1,0)+IF(C19215="REFINANCING FAILURE",1,0)</f>
        <v>7</v>
      </c>
    </row>
    <row r="19219" customFormat="false" ht="15" hidden="false" customHeight="false" outlineLevel="0" collapsed="false">
      <c r="A19219" s="24" t="s">
        <v>395</v>
      </c>
      <c r="B19219" s="25"/>
      <c r="C19219" s="25"/>
      <c r="D19219" s="25"/>
      <c r="E19219" s="25"/>
      <c r="F19219" s="25"/>
      <c r="G19219" s="25"/>
      <c r="H19219" s="25"/>
      <c r="I19219" s="25"/>
      <c r="J19219" s="25"/>
      <c r="K19219" s="25"/>
    </row>
    <row r="19220" customFormat="false" ht="15" hidden="false" customHeight="false" outlineLevel="0" collapsed="false">
      <c r="A19220" s="3" t="s">
        <v>325</v>
      </c>
      <c r="G19220" s="16" t="n">
        <f aca="false">F19232</f>
        <v>37.87</v>
      </c>
      <c r="H19220" s="16" t="n">
        <f aca="false">G19232</f>
        <v>79.0726401</v>
      </c>
      <c r="I19220" s="16" t="n">
        <f aca="false">H19232</f>
        <v>-6.48092989999998</v>
      </c>
      <c r="J19220" s="16" t="n">
        <f aca="false">I19232</f>
        <v>-101.0378146048</v>
      </c>
      <c r="K19220" s="16" t="n">
        <f aca="false">J19232</f>
        <v>-198.5537386552</v>
      </c>
    </row>
    <row r="19221" customFormat="false" ht="15" hidden="false" customHeight="false" outlineLevel="0" collapsed="false">
      <c r="A19221" s="3" t="s">
        <v>396</v>
      </c>
      <c r="G19221" s="16" t="n">
        <f aca="false">G19031</f>
        <v>-54.7973599</v>
      </c>
      <c r="H19221" s="16" t="n">
        <f aca="false">H19031</f>
        <v>-81.55357</v>
      </c>
      <c r="I19221" s="16" t="n">
        <f aca="false">I19031</f>
        <v>-90.5568847048</v>
      </c>
      <c r="J19221" s="16" t="n">
        <f aca="false">J19031</f>
        <v>-93.5159240504</v>
      </c>
      <c r="K19221" s="16" t="n">
        <f aca="false">K19031</f>
        <v>-93.8277450211968</v>
      </c>
    </row>
    <row r="19222" customFormat="false" ht="15" hidden="false" customHeight="false" outlineLevel="0" collapsed="false">
      <c r="A19222" s="3" t="s">
        <v>397</v>
      </c>
      <c r="G19222" s="16" t="n">
        <f aca="false">CHOOSE($C$19001,Assumptions!$G$82,Assumptions!$G$101,Assumptions!$G$120)</f>
        <v>100</v>
      </c>
      <c r="H19222" s="16" t="n">
        <f aca="false">CHOOSE($C$19001,Assumptions!$H$82,Assumptions!$H$101,Assumptions!$H$120)</f>
        <v>0</v>
      </c>
      <c r="I19222" s="16" t="n">
        <f aca="false">CHOOSE($C$19001,Assumptions!$I$82,Assumptions!$I$101,Assumptions!$I$120)</f>
        <v>0</v>
      </c>
      <c r="J19222" s="16" t="n">
        <f aca="false">CHOOSE($C$19001,Assumptions!$J$82,Assumptions!$J$101,Assumptions!$J$120)</f>
        <v>0</v>
      </c>
      <c r="K19222" s="16" t="n">
        <f aca="false">CHOOSE($C$19001,Assumptions!$K$82,Assumptions!$K$101,Assumptions!$K$120)</f>
        <v>0</v>
      </c>
    </row>
    <row r="19223" customFormat="false" ht="15" hidden="false" customHeight="false" outlineLevel="0" collapsed="false">
      <c r="A19223" s="3" t="s">
        <v>398</v>
      </c>
      <c r="G19223" s="16" t="n">
        <f aca="false">G19050+G19063+G19076+G19089+G19102+G19115+G19128+G19141+G19154+G19167</f>
        <v>4</v>
      </c>
      <c r="H19223" s="16" t="n">
        <f aca="false">H19050+H19063+H19076+H19089+H19102+H19115+H19128+H19141+H19154+H19167</f>
        <v>4</v>
      </c>
      <c r="I19223" s="16" t="n">
        <f aca="false">I19050+I19063+I19076+I19089+I19102+I19115+I19128+I19141+I19154+I19167</f>
        <v>4</v>
      </c>
      <c r="J19223" s="16" t="n">
        <f aca="false">J19050+J19063+J19076+J19089+J19102+J19115+J19128+J19141+J19154+J19167</f>
        <v>4</v>
      </c>
      <c r="K19223" s="16" t="n">
        <f aca="false">K19050+K19063+K19076+K19089+K19102+K19115+K19128+K19141+K19154+K19167</f>
        <v>4</v>
      </c>
    </row>
    <row r="19224" customFormat="false" ht="15" hidden="false" customHeight="false" outlineLevel="0" collapsed="false">
      <c r="A19224" s="2" t="s">
        <v>399</v>
      </c>
      <c r="G19224" s="17" t="n">
        <f aca="false">G19220+G19221+G19222-G19223</f>
        <v>79.0726401</v>
      </c>
      <c r="H19224" s="17" t="n">
        <f aca="false">H19220+H19221+H19222-H19223</f>
        <v>-6.48092989999998</v>
      </c>
      <c r="I19224" s="17" t="n">
        <f aca="false">I19220+I19221+I19222-I19223</f>
        <v>-101.0378146048</v>
      </c>
      <c r="J19224" s="17" t="n">
        <f aca="false">J19220+J19221+J19222-J19223</f>
        <v>-198.5537386552</v>
      </c>
      <c r="K19224" s="17" t="n">
        <f aca="false">K19220+K19221+K19222-K19223</f>
        <v>-296.381483676397</v>
      </c>
    </row>
    <row r="19225" customFormat="false" ht="15" hidden="false" customHeight="false" outlineLevel="0" collapsed="false">
      <c r="A19225" s="3" t="s">
        <v>400</v>
      </c>
      <c r="G19225" s="16" t="n">
        <f aca="false">G19051+G19064+G19077+G19090+G19103+G19116+G19129+G19142+G19155+G19168</f>
        <v>0</v>
      </c>
      <c r="H19225" s="16" t="n">
        <f aca="false">H19051+H19064+H19077+H19090+H19103+H19116+H19129+H19142+H19155+H19168</f>
        <v>0</v>
      </c>
      <c r="I19225" s="16" t="n">
        <f aca="false">I19051+I19064+I19077+I19090+I19103+I19116+I19129+I19142+I19155+I19168</f>
        <v>0</v>
      </c>
      <c r="J19225" s="16" t="n">
        <f aca="false">J19051+J19064+J19077+J19090+J19103+J19116+J19129+J19142+J19155+J19168</f>
        <v>0</v>
      </c>
      <c r="K19225" s="16" t="n">
        <f aca="false">K19051+K19064+K19077+K19090+K19103+K19116+K19129+K19142+K19155+K19168</f>
        <v>0</v>
      </c>
    </row>
    <row r="19226" customFormat="false" ht="15" hidden="false" customHeight="false" outlineLevel="0" collapsed="false">
      <c r="A19226" s="2" t="s">
        <v>401</v>
      </c>
      <c r="G19226" s="17" t="n">
        <f aca="false">G19224+G19225</f>
        <v>79.0726401</v>
      </c>
      <c r="H19226" s="17" t="n">
        <f aca="false">H19224+H19225</f>
        <v>-6.48092989999998</v>
      </c>
      <c r="I19226" s="17" t="n">
        <f aca="false">I19224+I19225</f>
        <v>-101.0378146048</v>
      </c>
      <c r="J19226" s="17" t="n">
        <f aca="false">J19224+J19225</f>
        <v>-198.5537386552</v>
      </c>
      <c r="K19226" s="17" t="n">
        <f aca="false">K19224+K19225</f>
        <v>-296.381483676397</v>
      </c>
    </row>
    <row r="19227" customFormat="false" ht="15" hidden="false" customHeight="false" outlineLevel="0" collapsed="false">
      <c r="A19227" s="3" t="s">
        <v>402</v>
      </c>
      <c r="G19227" s="16" t="n">
        <f aca="false">G19052+G19065+G19078+G19091+G19104+G19117+G19130+G19143+G19156+G19169</f>
        <v>0</v>
      </c>
      <c r="H19227" s="16" t="n">
        <f aca="false">H19052+H19065+H19078+H19091+H19104+H19117+H19130+H19143+H19156+H19169</f>
        <v>0</v>
      </c>
      <c r="I19227" s="16" t="n">
        <f aca="false">I19052+I19065+I19078+I19091+I19104+I19117+I19130+I19143+I19156+I19169</f>
        <v>0</v>
      </c>
      <c r="J19227" s="16" t="n">
        <f aca="false">J19052+J19065+J19078+J19091+J19104+J19117+J19130+J19143+J19156+J19169</f>
        <v>0</v>
      </c>
      <c r="K19227" s="16" t="n">
        <f aca="false">K19052+K19065+K19078+K19091+K19104+K19117+K19130+K19143+K19156+K19169</f>
        <v>0</v>
      </c>
    </row>
    <row r="19228" customFormat="false" ht="15" hidden="false" customHeight="false" outlineLevel="0" collapsed="false">
      <c r="A19228" s="2" t="s">
        <v>403</v>
      </c>
      <c r="G19228" s="17" t="n">
        <f aca="false">G19226-G19227</f>
        <v>79.0726401</v>
      </c>
      <c r="H19228" s="17" t="n">
        <f aca="false">H19226-H19227</f>
        <v>-6.48092989999998</v>
      </c>
      <c r="I19228" s="17" t="n">
        <f aca="false">I19226-I19227</f>
        <v>-101.0378146048</v>
      </c>
      <c r="J19228" s="17" t="n">
        <f aca="false">J19226-J19227</f>
        <v>-198.5537386552</v>
      </c>
      <c r="K19228" s="17" t="n">
        <f aca="false">K19226-K19227</f>
        <v>-296.381483676397</v>
      </c>
    </row>
    <row r="19229" customFormat="false" ht="15" hidden="false" customHeight="false" outlineLevel="0" collapsed="false">
      <c r="A19229" s="3" t="s">
        <v>404</v>
      </c>
      <c r="G19229" s="16" t="n">
        <f aca="false">MAX(0,-G19228)</f>
        <v>0</v>
      </c>
      <c r="H19229" s="16" t="n">
        <f aca="false">MAX(0,-H19228)</f>
        <v>6.48092989999998</v>
      </c>
      <c r="I19229" s="16" t="n">
        <f aca="false">MAX(0,-I19228)</f>
        <v>101.0378146048</v>
      </c>
      <c r="J19229" s="16" t="n">
        <f aca="false">MAX(0,-J19228)</f>
        <v>198.5537386552</v>
      </c>
      <c r="K19229" s="16" t="n">
        <f aca="false">MAX(0,-K19228)</f>
        <v>296.381483676397</v>
      </c>
    </row>
    <row r="19230" customFormat="false" ht="15" hidden="false" customHeight="false" outlineLevel="0" collapsed="false">
      <c r="A19230" s="3" t="s">
        <v>405</v>
      </c>
      <c r="G19230" s="16" t="n">
        <f aca="false">MAX(0,G19228-Assumptions!$C$12)*Assumptions!$C$13</f>
        <v>0</v>
      </c>
      <c r="H19230" s="16" t="n">
        <f aca="false">MAX(0,H19228-Assumptions!$C$12)*Assumptions!$C$13</f>
        <v>0</v>
      </c>
      <c r="I19230" s="16" t="n">
        <f aca="false">MAX(0,I19228-Assumptions!$C$12)*Assumptions!$C$13</f>
        <v>0</v>
      </c>
      <c r="J19230" s="16" t="n">
        <f aca="false">MAX(0,J19228-Assumptions!$C$12)*Assumptions!$C$13</f>
        <v>0</v>
      </c>
      <c r="K19230" s="16" t="n">
        <f aca="false">MAX(0,K19228-Assumptions!$C$12)*Assumptions!$C$13</f>
        <v>0</v>
      </c>
    </row>
    <row r="19231" customFormat="false" ht="15" hidden="false" customHeight="false" outlineLevel="0" collapsed="false">
      <c r="A19231" s="3" t="s">
        <v>406</v>
      </c>
      <c r="G19231" s="16" t="n">
        <f aca="false">G19053+G19066+G19079+G19092+G19105+G19118+G19131+G19144+G19157+G19170</f>
        <v>0</v>
      </c>
      <c r="H19231" s="16" t="n">
        <f aca="false">H19053+H19066+H19079+H19092+H19105+H19118+H19131+H19144+H19157+H19170</f>
        <v>0</v>
      </c>
      <c r="I19231" s="16" t="n">
        <f aca="false">I19053+I19066+I19079+I19092+I19105+I19118+I19131+I19144+I19157+I19170</f>
        <v>0</v>
      </c>
      <c r="J19231" s="16" t="n">
        <f aca="false">J19053+J19066+J19079+J19092+J19105+J19118+J19131+J19144+J19157+J19170</f>
        <v>0</v>
      </c>
      <c r="K19231" s="16" t="n">
        <f aca="false">K19053+K19066+K19079+K19092+K19105+K19118+K19131+K19144+K19157+K19170</f>
        <v>0</v>
      </c>
    </row>
    <row r="19232" customFormat="false" ht="15" hidden="false" customHeight="false" outlineLevel="0" collapsed="false">
      <c r="A19232" s="2" t="s">
        <v>407</v>
      </c>
      <c r="F19232" s="28" t="n">
        <f aca="false">Assumptions!$C$11</f>
        <v>37.87</v>
      </c>
      <c r="G19232" s="17" t="n">
        <f aca="false">G19228-G19231</f>
        <v>79.0726401</v>
      </c>
      <c r="H19232" s="17" t="n">
        <f aca="false">H19228-H19231</f>
        <v>-6.48092989999998</v>
      </c>
      <c r="I19232" s="17" t="n">
        <f aca="false">I19228-I19231</f>
        <v>-101.0378146048</v>
      </c>
      <c r="J19232" s="17" t="n">
        <f aca="false">J19228-J19231</f>
        <v>-198.5537386552</v>
      </c>
      <c r="K19232" s="17" t="n">
        <f aca="false">K19228-K19231</f>
        <v>-296.381483676397</v>
      </c>
    </row>
    <row r="19233" customFormat="false" ht="15" hidden="false" customHeight="false" outlineLevel="0" collapsed="false">
      <c r="A19233" s="3" t="s">
        <v>408</v>
      </c>
      <c r="G19233" s="16" t="n">
        <f aca="false">G19054+G19067+G19080+G19093+G19106+G19119+G19132+G19145+G19158+G19171</f>
        <v>0</v>
      </c>
      <c r="H19233" s="16" t="n">
        <f aca="false">H19054+H19067+H19080+H19093+H19106+H19119+H19132+H19145+H19158+H19171</f>
        <v>800</v>
      </c>
      <c r="I19233" s="16" t="n">
        <f aca="false">I19054+I19067+I19080+I19093+I19106+I19119+I19132+I19145+I19158+I19171</f>
        <v>550</v>
      </c>
      <c r="J19233" s="16" t="n">
        <f aca="false">J19054+J19067+J19080+J19093+J19106+J19119+J19132+J19145+J19158+J19171</f>
        <v>350</v>
      </c>
      <c r="K19233" s="16" t="n">
        <f aca="false">K19054+K19067+K19080+K19093+K19106+K19119+K19132+K19145+K19158+K19171</f>
        <v>680</v>
      </c>
    </row>
    <row r="19234" customFormat="false" ht="15" hidden="false" customHeight="false" outlineLevel="0" collapsed="false">
      <c r="A19234" s="3" t="s">
        <v>409</v>
      </c>
      <c r="G19234" s="21" t="n">
        <f aca="false">IF(OR(G19229&gt;0.001,G19233&gt;0.001),1,0)</f>
        <v>0</v>
      </c>
      <c r="H19234" s="21" t="n">
        <f aca="false">IF(OR(H19229&gt;0.001,H19233&gt;0.001),1,0)</f>
        <v>1</v>
      </c>
      <c r="I19234" s="21" t="n">
        <f aca="false">IF(OR(I19229&gt;0.001,I19233&gt;0.001),1,0)</f>
        <v>1</v>
      </c>
      <c r="J19234" s="21" t="n">
        <f aca="false">IF(OR(J19229&gt;0.001,J19233&gt;0.001),1,0)</f>
        <v>1</v>
      </c>
      <c r="K19234" s="21" t="n">
        <f aca="false">IF(OR(K19229&gt;0.001,K19233&gt;0.001),1,0)</f>
        <v>1</v>
      </c>
    </row>
    <row r="19235" customFormat="false" ht="15" hidden="false" customHeight="false" outlineLevel="0" collapsed="false">
      <c r="A19235" s="3" t="s">
        <v>410</v>
      </c>
      <c r="G19235" s="21" t="n">
        <f aca="false">IF(G19234=1,1,0)</f>
        <v>0</v>
      </c>
      <c r="H19235" s="21" t="n">
        <f aca="false">IF(AND(H19234=1,SUM($G$19234:G19234)=0),1,0)</f>
        <v>1</v>
      </c>
      <c r="I19235" s="21" t="n">
        <f aca="false">IF(AND(I19234=1,SUM($G$19234:H19234)=0),1,0)</f>
        <v>0</v>
      </c>
      <c r="J19235" s="21" t="n">
        <f aca="false">IF(AND(J19234=1,SUM($G$19234:I19234)=0),1,0)</f>
        <v>0</v>
      </c>
      <c r="K19235" s="21" t="n">
        <f aca="false">IF(AND(K19234=1,SUM($G$19234:J19234)=0),1,0)</f>
        <v>0</v>
      </c>
    </row>
    <row r="19236" customFormat="false" ht="15" hidden="false" customHeight="false" outlineLevel="0" collapsed="false">
      <c r="A19236" s="3" t="s">
        <v>411</v>
      </c>
      <c r="G19236" s="16" t="n">
        <f aca="false">(G19174-F19174)-(G19225+G19023-G19223-G19227-G19231)</f>
        <v>0</v>
      </c>
      <c r="H19236" s="16" t="n">
        <f aca="false">(H19174-G19174)-(H19225+H19023-H19223-H19227-H19231)</f>
        <v>0</v>
      </c>
      <c r="I19236" s="16" t="n">
        <f aca="false">(I19174-H19174)-(I19225+I19023-I19223-I19227-I19231)</f>
        <v>0</v>
      </c>
      <c r="J19236" s="16" t="n">
        <f aca="false">(J19174-I19174)-(J19225+J19023-J19223-J19227-J19231)</f>
        <v>0</v>
      </c>
      <c r="K19236" s="16" t="n">
        <f aca="false">(K19174-J19174)-(K19225+K19023-K19223-K19227-K19231)</f>
        <v>0</v>
      </c>
    </row>
    <row r="19238" customFormat="false" ht="15" hidden="false" customHeight="false" outlineLevel="0" collapsed="false">
      <c r="A19238" s="24" t="s">
        <v>413</v>
      </c>
      <c r="B19238" s="25"/>
      <c r="C19238" s="25"/>
      <c r="D19238" s="25"/>
      <c r="E19238" s="25"/>
      <c r="F19238" s="25"/>
      <c r="G19238" s="25"/>
      <c r="H19238" s="25"/>
      <c r="I19238" s="25"/>
      <c r="J19238" s="25"/>
      <c r="K19238" s="25"/>
    </row>
    <row r="19239" customFormat="false" ht="15" hidden="false" customHeight="false" outlineLevel="0" collapsed="false">
      <c r="A19239" s="3" t="s">
        <v>414</v>
      </c>
      <c r="G19239" s="16" t="n">
        <f aca="false">G19174</f>
        <v>2621.934</v>
      </c>
      <c r="H19239" s="16" t="n">
        <f aca="false">H19174</f>
        <v>2617.934</v>
      </c>
      <c r="I19239" s="16" t="n">
        <f aca="false">I19174</f>
        <v>2613.934</v>
      </c>
      <c r="J19239" s="16" t="n">
        <f aca="false">J19174</f>
        <v>2609.934</v>
      </c>
      <c r="K19239" s="16" t="n">
        <f aca="false">K19174</f>
        <v>2605.934</v>
      </c>
    </row>
    <row r="19240" customFormat="false" ht="15" hidden="false" customHeight="false" outlineLevel="0" collapsed="false">
      <c r="A19240" s="3" t="s">
        <v>415</v>
      </c>
      <c r="G19240" s="16" t="n">
        <f aca="false">Assumptions!$O$57*G19055+Assumptions!$O$58*G19068+Assumptions!$O$59*G19081+Assumptions!$O$60*G19094+Assumptions!$O$61*G19107+Assumptions!$O$62*G19120+Assumptions!$O$63*G19133+Assumptions!$O$64*G19146+Assumptions!$O$65*G19159+Assumptions!$O$66*G19172</f>
        <v>543.324</v>
      </c>
      <c r="H19240" s="16" t="n">
        <f aca="false">Assumptions!$O$57*H19055+Assumptions!$O$58*H19068+Assumptions!$O$59*H19081+Assumptions!$O$60*H19094+Assumptions!$O$61*H19107+Assumptions!$O$62*H19120+Assumptions!$O$63*H19133+Assumptions!$O$64*H19146+Assumptions!$O$65*H19159+Assumptions!$O$66*H19172</f>
        <v>539.324</v>
      </c>
      <c r="I19240" s="16" t="n">
        <f aca="false">Assumptions!$O$57*I19055+Assumptions!$O$58*I19068+Assumptions!$O$59*I19081+Assumptions!$O$60*I19094+Assumptions!$O$61*I19107+Assumptions!$O$62*I19120+Assumptions!$O$63*I19133+Assumptions!$O$64*I19146+Assumptions!$O$65*I19159+Assumptions!$O$66*I19172</f>
        <v>535.324</v>
      </c>
      <c r="J19240" s="16" t="n">
        <f aca="false">Assumptions!$O$57*J19055+Assumptions!$O$58*J19068+Assumptions!$O$59*J19081+Assumptions!$O$60*J19094+Assumptions!$O$61*J19107+Assumptions!$O$62*J19120+Assumptions!$O$63*J19133+Assumptions!$O$64*J19146+Assumptions!$O$65*J19159+Assumptions!$O$66*J19172</f>
        <v>531.324</v>
      </c>
      <c r="K19240" s="16" t="n">
        <f aca="false">Assumptions!$O$57*K19055+Assumptions!$O$58*K19068+Assumptions!$O$59*K19081+Assumptions!$O$60*K19094+Assumptions!$O$61*K19107+Assumptions!$O$62*K19120+Assumptions!$O$63*K19133+Assumptions!$O$64*K19146+Assumptions!$O$65*K19159+Assumptions!$O$66*K19172</f>
        <v>527.324</v>
      </c>
    </row>
    <row r="19241" customFormat="false" ht="15" hidden="false" customHeight="false" outlineLevel="0" collapsed="false">
      <c r="A19241" s="3" t="s">
        <v>416</v>
      </c>
      <c r="G19241" s="16" t="n">
        <f aca="false">G19239-G19232</f>
        <v>2542.8613599</v>
      </c>
      <c r="H19241" s="16" t="n">
        <f aca="false">H19239-H19232</f>
        <v>2624.4149299</v>
      </c>
      <c r="I19241" s="16" t="n">
        <f aca="false">I19239-I19232</f>
        <v>2714.9718146048</v>
      </c>
      <c r="J19241" s="16" t="n">
        <f aca="false">J19239-J19232</f>
        <v>2808.4877386552</v>
      </c>
      <c r="K19241" s="16" t="n">
        <f aca="false">K19239-K19232</f>
        <v>2902.3154836764</v>
      </c>
    </row>
    <row r="19242" customFormat="false" ht="15" hidden="false" customHeight="false" outlineLevel="0" collapsed="false">
      <c r="A19242" s="3" t="s">
        <v>417</v>
      </c>
      <c r="G19242" s="32" t="n">
        <f aca="false">IF(G19018&gt;0,G19239/G19018,0)</f>
        <v>13.4574245872135</v>
      </c>
      <c r="H19242" s="32" t="n">
        <f aca="false">IF(H19018&gt;0,H19239/H19018,0)</f>
        <v>16.3344906598002</v>
      </c>
      <c r="I19242" s="32" t="n">
        <f aca="false">IF(I19018&gt;0,I19239/I19018,0)</f>
        <v>17.9363148721768</v>
      </c>
      <c r="J19242" s="32" t="n">
        <f aca="false">IF(J19018&gt;0,J19239/J19018,0)</f>
        <v>18.6322368323351</v>
      </c>
      <c r="K19242" s="32" t="n">
        <f aca="false">IF(K19018&gt;0,K19239/K19018,0)</f>
        <v>18.9384062782661</v>
      </c>
    </row>
    <row r="19243" customFormat="false" ht="15" hidden="false" customHeight="false" outlineLevel="0" collapsed="false">
      <c r="A19243" s="3" t="s">
        <v>418</v>
      </c>
      <c r="G19243" s="32" t="n">
        <f aca="false">IF(G19018&gt;0,G19241/G19018,0)</f>
        <v>13.0515737568503</v>
      </c>
      <c r="H19243" s="32" t="n">
        <f aca="false">IF(H19018&gt;0,H19241/H19018,0)</f>
        <v>16.3749281532276</v>
      </c>
      <c r="I19243" s="32" t="n">
        <f aca="false">IF(I19018&gt;0,I19241/I19018,0)</f>
        <v>18.6296170201072</v>
      </c>
      <c r="J19243" s="32" t="n">
        <f aca="false">IF(J19018&gt;0,J19241/J19018,0)</f>
        <v>20.0497057348319</v>
      </c>
      <c r="K19243" s="32" t="n">
        <f aca="false">IF(K19018&gt;0,K19241/K19018,0)</f>
        <v>21.0923337957008</v>
      </c>
    </row>
    <row r="19244" customFormat="false" ht="15" hidden="false" customHeight="false" outlineLevel="0" collapsed="false">
      <c r="A19244" s="3" t="s">
        <v>419</v>
      </c>
      <c r="G19244" s="32" t="n">
        <f aca="false">IF(G19022&gt;0,G19018/G19022,0)</f>
        <v>1.0013558016724</v>
      </c>
      <c r="H19244" s="32" t="n">
        <f aca="false">IF(H19022&gt;0,H19018/H19022,0)</f>
        <v>0.828826906400092</v>
      </c>
      <c r="I19244" s="32" t="n">
        <f aca="false">IF(I19022&gt;0,I19018/I19022,0)</f>
        <v>0.760166277682328</v>
      </c>
      <c r="J19244" s="32" t="n">
        <f aca="false">IF(J19022&gt;0,J19018/J19022,0)</f>
        <v>0.732449594441372</v>
      </c>
      <c r="K19244" s="32" t="n">
        <f aca="false">IF(K19022&gt;0,K19018/K19022,0)</f>
        <v>0.721276582514238</v>
      </c>
    </row>
    <row r="19245" customFormat="false" ht="15" hidden="false" customHeight="false" outlineLevel="0" collapsed="false">
      <c r="A19245" s="3" t="s">
        <v>420</v>
      </c>
      <c r="G19245" s="32" t="n">
        <f aca="false">IF(G19022&gt;0,G19021/G19022,0)</f>
        <v>0.191874993839557</v>
      </c>
      <c r="H19245" s="32" t="n">
        <f aca="false">IF(H19022&gt;0,H19021/H19022,0)</f>
        <v>0.11207087630041</v>
      </c>
      <c r="I19245" s="32" t="n">
        <f aca="false">IF(I19022&gt;0,I19021/I19022,0)</f>
        <v>0.0950529670189908</v>
      </c>
      <c r="J19245" s="32" t="n">
        <f aca="false">IF(J19022&gt;0,J19021/J19022,0)</f>
        <v>0.0990390964157477</v>
      </c>
      <c r="K19245" s="32" t="n">
        <f aca="false">IF(K19022&gt;0,K19021/K19022,0)</f>
        <v>0.111704420301017</v>
      </c>
    </row>
    <row r="19246" customFormat="false" ht="15" hidden="false" customHeight="false" outlineLevel="0" collapsed="false">
      <c r="A19246" s="3" t="s">
        <v>213</v>
      </c>
      <c r="G19246" s="22" t="n">
        <f aca="false">IF(G19239&gt;0,G19031/G19239,0)</f>
        <v>-0.0208995954512966</v>
      </c>
      <c r="H19246" s="22" t="n">
        <f aca="false">IF(H19239&gt;0,H19031/H19239,0)</f>
        <v>-0.0311518815982374</v>
      </c>
      <c r="I19246" s="22" t="n">
        <f aca="false">IF(I19239&gt;0,I19031/I19239,0)</f>
        <v>-0.0346439063514228</v>
      </c>
      <c r="J19246" s="22" t="n">
        <f aca="false">IF(J19239&gt;0,J19031/J19239,0)</f>
        <v>-0.0358307620232542</v>
      </c>
      <c r="K19246" s="22" t="n">
        <f aca="false">IF(K19239&gt;0,K19031/K19239,0)</f>
        <v>-0.0360054187946421</v>
      </c>
    </row>
    <row r="19247" customFormat="false" ht="15" hidden="false" customHeight="false" outlineLevel="0" collapsed="false">
      <c r="A19247" s="3" t="s">
        <v>421</v>
      </c>
      <c r="G19247" s="32" t="n">
        <f aca="false">IF(G19022+G19223&gt;0,(G19018-G19029-G19026)/(G19022+G19223),0)</f>
        <v>0.703893053144709</v>
      </c>
      <c r="H19247" s="32" t="n">
        <f aca="false">IF(H19022+H19223&gt;0,(H19018-H19029-H19026)/(H19022+H19223),0)</f>
        <v>0.566532201024133</v>
      </c>
      <c r="I19247" s="32" t="n">
        <f aca="false">IF(I19022+I19223&gt;0,(I19018-I19029-I19026)/(I19022+I19223),0)</f>
        <v>0.516860805359464</v>
      </c>
      <c r="J19247" s="32" t="n">
        <f aca="false">IF(J19022+J19223&gt;0,(J19018-J19029-J19026)/(J19022+J19223),0)</f>
        <v>0.500542136485911</v>
      </c>
      <c r="K19247" s="32" t="n">
        <f aca="false">IF(K19022+K19223&gt;0,(K19018-K19029-K19026)/(K19022+K19223),0)</f>
        <v>0.497735974255173</v>
      </c>
    </row>
    <row r="19248" customFormat="false" ht="15" hidden="false" customHeight="false" outlineLevel="0" collapsed="false">
      <c r="A19248" s="3" t="s">
        <v>422</v>
      </c>
      <c r="G19248" s="16" t="n">
        <f aca="false">MAX(0,G19232)+Assumptions!$P$57*MAX(0,Assumptions!$D$57-G19055)+Assumptions!$P$58*MAX(0,Assumptions!$D$58-G19068)+Assumptions!$P$59*MAX(0,Assumptions!$D$59-G19081)+Assumptions!$P$60*MAX(0,Assumptions!$D$60-G19094)+Assumptions!$P$61*MAX(0,Assumptions!$D$61-G19107)+Assumptions!$P$62*MAX(0,Assumptions!$D$62-G19120)+Assumptions!$P$63*MAX(0,Assumptions!$D$63-G19133)+Assumptions!$P$64*MAX(0,Assumptions!$D$64-G19146)+Assumptions!$P$65*MAX(0,Assumptions!$D$65-G19159)+Assumptions!$P$66*MAX(0,Assumptions!$D$66-G19172)</f>
        <v>653.5726401</v>
      </c>
      <c r="H19248" s="16" t="n">
        <f aca="false">MAX(0,H19232)+Assumptions!$P$57*MAX(0,Assumptions!$D$57-H19055)+Assumptions!$P$58*MAX(0,Assumptions!$D$58-H19068)+Assumptions!$P$59*MAX(0,Assumptions!$D$59-H19081)+Assumptions!$P$60*MAX(0,Assumptions!$D$60-H19094)+Assumptions!$P$61*MAX(0,Assumptions!$D$61-H19107)+Assumptions!$P$62*MAX(0,Assumptions!$D$62-H19120)+Assumptions!$P$63*MAX(0,Assumptions!$D$63-H19133)+Assumptions!$P$64*MAX(0,Assumptions!$D$64-H19146)+Assumptions!$P$65*MAX(0,Assumptions!$D$65-H19159)+Assumptions!$P$66*MAX(0,Assumptions!$D$66-H19172)</f>
        <v>574.5</v>
      </c>
      <c r="I19248" s="16" t="n">
        <f aca="false">MAX(0,I19232)+Assumptions!$P$57*MAX(0,Assumptions!$D$57-I19055)+Assumptions!$P$58*MAX(0,Assumptions!$D$58-I19068)+Assumptions!$P$59*MAX(0,Assumptions!$D$59-I19081)+Assumptions!$P$60*MAX(0,Assumptions!$D$60-I19094)+Assumptions!$P$61*MAX(0,Assumptions!$D$61-I19107)+Assumptions!$P$62*MAX(0,Assumptions!$D$62-I19120)+Assumptions!$P$63*MAX(0,Assumptions!$D$63-I19133)+Assumptions!$P$64*MAX(0,Assumptions!$D$64-I19146)+Assumptions!$P$65*MAX(0,Assumptions!$D$65-I19159)+Assumptions!$P$66*MAX(0,Assumptions!$D$66-I19172)</f>
        <v>574.5</v>
      </c>
      <c r="J19248" s="16" t="n">
        <f aca="false">MAX(0,J19232)+Assumptions!$P$57*MAX(0,Assumptions!$D$57-J19055)+Assumptions!$P$58*MAX(0,Assumptions!$D$58-J19068)+Assumptions!$P$59*MAX(0,Assumptions!$D$59-J19081)+Assumptions!$P$60*MAX(0,Assumptions!$D$60-J19094)+Assumptions!$P$61*MAX(0,Assumptions!$D$61-J19107)+Assumptions!$P$62*MAX(0,Assumptions!$D$62-J19120)+Assumptions!$P$63*MAX(0,Assumptions!$D$63-J19133)+Assumptions!$P$64*MAX(0,Assumptions!$D$64-J19146)+Assumptions!$P$65*MAX(0,Assumptions!$D$65-J19159)+Assumptions!$P$66*MAX(0,Assumptions!$D$66-J19172)</f>
        <v>574.5</v>
      </c>
      <c r="K19248" s="16" t="n">
        <f aca="false">MAX(0,K19232)+Assumptions!$P$57*MAX(0,Assumptions!$D$57-K19055)+Assumptions!$P$58*MAX(0,Assumptions!$D$58-K19068)+Assumptions!$P$59*MAX(0,Assumptions!$D$59-K19081)+Assumptions!$P$60*MAX(0,Assumptions!$D$60-K19094)+Assumptions!$P$61*MAX(0,Assumptions!$D$61-K19107)+Assumptions!$P$62*MAX(0,Assumptions!$D$62-K19120)+Assumptions!$P$63*MAX(0,Assumptions!$D$63-K19133)+Assumptions!$P$64*MAX(0,Assumptions!$D$64-K19146)+Assumptions!$P$65*MAX(0,Assumptions!$D$65-K19159)+Assumptions!$P$66*MAX(0,Assumptions!$D$66-K19172)</f>
        <v>574.5</v>
      </c>
    </row>
    <row r="19249" customFormat="false" ht="15" hidden="false" customHeight="false" outlineLevel="0" collapsed="false">
      <c r="A19249" s="3" t="s">
        <v>423</v>
      </c>
      <c r="G19249" s="22" t="n">
        <f aca="false">IF(G19239&gt;0,G19239/(G19239+MAX(0,G19018*CHOOSE($C$19001,Assumptions!$C$90,Assumptions!$C$109,Assumptions!$C$128)-G19241)),0)</f>
        <v>1</v>
      </c>
      <c r="H19249" s="22" t="n">
        <f aca="false">IF(H19239&gt;0,H19239/(H19239+MAX(0,H19018*CHOOSE($C$19001,Assumptions!$C$90,Assumptions!$C$109,Assumptions!$C$128)-H19241)),0)</f>
        <v>1</v>
      </c>
      <c r="I19249" s="22" t="n">
        <f aca="false">IF(I19239&gt;0,I19239/(I19239+MAX(0,I19018*CHOOSE($C$19001,Assumptions!$C$90,Assumptions!$C$109,Assumptions!$C$128)-I19241)),0)</f>
        <v>1</v>
      </c>
      <c r="J19249" s="22" t="n">
        <f aca="false">IF(J19239&gt;0,J19239/(J19239+MAX(0,J19018*CHOOSE($C$19001,Assumptions!$C$90,Assumptions!$C$109,Assumptions!$C$128)-J19241)),0)</f>
        <v>1</v>
      </c>
      <c r="K19249" s="22" t="n">
        <f aca="false">IF(K19239&gt;0,K19239/(K19239+MAX(0,K19018*CHOOSE($C$19001,Assumptions!$C$90,Assumptions!$C$109,Assumptions!$C$128)-K19241)),0)</f>
        <v>1</v>
      </c>
    </row>
    <row r="19250" customFormat="false" ht="15" hidden="false" customHeight="false" outlineLevel="0" collapsed="false">
      <c r="A19250" s="3" t="s">
        <v>424</v>
      </c>
      <c r="G19250" s="22" t="n">
        <f aca="false">IF(G19239&gt;0,MAX(0,G19232)/G19239,0)</f>
        <v>0.0301581352162183</v>
      </c>
      <c r="H19250" s="22" t="n">
        <f aca="false">IF(H19239&gt;0,MAX(0,H19232)/H19239,0)</f>
        <v>0</v>
      </c>
      <c r="I19250" s="22" t="n">
        <f aca="false">IF(I19239&gt;0,MAX(0,I19232)/I19239,0)</f>
        <v>0</v>
      </c>
      <c r="J19250" s="22" t="n">
        <f aca="false">IF(J19239&gt;0,MAX(0,J19232)/J19239,0)</f>
        <v>0</v>
      </c>
      <c r="K19250" s="22" t="n">
        <f aca="false">IF(K19239&gt;0,MAX(0,K19232)/K19239,0)</f>
        <v>0</v>
      </c>
    </row>
    <row r="19251" customFormat="false" ht="15" hidden="false" customHeight="false" outlineLevel="0" collapsed="false">
      <c r="A19251" s="3" t="s">
        <v>425</v>
      </c>
      <c r="G19251" s="16" t="n">
        <f aca="false">Assumptions!$C$31*(1-CHOOSE($C$19001,Assumptions!$C$93,Assumptions!$C$112,Assumptions!$C$131))</f>
        <v>3162.39046666667</v>
      </c>
      <c r="H19251" s="16" t="n">
        <f aca="false">Assumptions!$C$31*(1-CHOOSE($C$19001,Assumptions!$C$93,Assumptions!$C$112,Assumptions!$C$131))</f>
        <v>3162.39046666667</v>
      </c>
      <c r="I19251" s="16" t="n">
        <f aca="false">Assumptions!$C$31*(1-CHOOSE($C$19001,Assumptions!$C$93,Assumptions!$C$112,Assumptions!$C$131))</f>
        <v>3162.39046666667</v>
      </c>
      <c r="J19251" s="16" t="n">
        <f aca="false">Assumptions!$C$31*(1-CHOOSE($C$19001,Assumptions!$C$93,Assumptions!$C$112,Assumptions!$C$131))</f>
        <v>3162.39046666667</v>
      </c>
      <c r="K19251" s="16" t="n">
        <f aca="false">Assumptions!$C$31*(1-CHOOSE($C$19001,Assumptions!$C$93,Assumptions!$C$112,Assumptions!$C$131))</f>
        <v>3162.39046666667</v>
      </c>
    </row>
    <row r="19252" customFormat="false" ht="15" hidden="false" customHeight="false" outlineLevel="0" collapsed="false">
      <c r="A19252" s="24" t="s">
        <v>426</v>
      </c>
      <c r="B19252" s="25"/>
      <c r="C19252" s="25"/>
      <c r="D19252" s="25"/>
      <c r="E19252" s="25"/>
      <c r="F19252" s="25"/>
      <c r="G19252" s="25"/>
      <c r="H19252" s="25"/>
      <c r="I19252" s="25"/>
      <c r="J19252" s="25"/>
      <c r="K19252" s="25"/>
    </row>
    <row r="19253" customFormat="false" ht="15" hidden="false" customHeight="false" outlineLevel="0" collapsed="false">
      <c r="A19253" s="24" t="s">
        <v>427</v>
      </c>
      <c r="B19253" s="25"/>
      <c r="C19253" s="25"/>
      <c r="D19253" s="25"/>
      <c r="E19253" s="25"/>
      <c r="F19253" s="25"/>
      <c r="G19253" s="25"/>
      <c r="H19253" s="25"/>
      <c r="I19253" s="25"/>
      <c r="J19253" s="25"/>
      <c r="K19253" s="25"/>
    </row>
    <row r="19254" customFormat="false" ht="15" hidden="false" customHeight="false" outlineLevel="0" collapsed="false">
      <c r="A19254" s="3" t="s">
        <v>428</v>
      </c>
      <c r="G19254" s="22" t="n">
        <f aca="false">IF(G19251&gt;0,G19239/G19251,99)</f>
        <v>0.829098755399318</v>
      </c>
      <c r="H19254" s="22" t="n">
        <f aca="false">IF(H19251&gt;0,H19239/H19251,99)</f>
        <v>0.82783388945624</v>
      </c>
      <c r="I19254" s="22" t="n">
        <f aca="false">IF(I19251&gt;0,I19239/I19251,99)</f>
        <v>0.826569023513162</v>
      </c>
      <c r="J19254" s="22" t="n">
        <f aca="false">IF(J19251&gt;0,J19239/J19251,99)</f>
        <v>0.825304157570085</v>
      </c>
      <c r="K19254" s="22" t="n">
        <f aca="false">IF(K19251&gt;0,K19239/K19251,99)</f>
        <v>0.824039291627007</v>
      </c>
    </row>
    <row r="19255" customFormat="false" ht="15" hidden="false" customHeight="false" outlineLevel="0" collapsed="false">
      <c r="A19255" s="3" t="s">
        <v>429</v>
      </c>
      <c r="G19255" s="33" t="n">
        <f aca="false">Assumptions!$G$71</f>
        <v>0.6</v>
      </c>
      <c r="H19255" s="33" t="n">
        <f aca="false">Assumptions!$H$71</f>
        <v>0.6</v>
      </c>
      <c r="I19255" s="33" t="n">
        <f aca="false">Assumptions!$I$71</f>
        <v>0.6</v>
      </c>
      <c r="J19255" s="33" t="n">
        <f aca="false">Assumptions!$J$71</f>
        <v>0.6</v>
      </c>
      <c r="K19255" s="33" t="n">
        <f aca="false">Assumptions!$K$71</f>
        <v>0.6</v>
      </c>
    </row>
    <row r="19256" customFormat="false" ht="15" hidden="false" customHeight="false" outlineLevel="0" collapsed="false">
      <c r="A19256" s="3" t="s">
        <v>430</v>
      </c>
      <c r="G19256" s="22" t="n">
        <f aca="false">G19255-G19254</f>
        <v>-0.229098755399318</v>
      </c>
      <c r="H19256" s="22" t="n">
        <f aca="false">H19255-H19254</f>
        <v>-0.22783388945624</v>
      </c>
      <c r="I19256" s="22" t="n">
        <f aca="false">I19255-I19254</f>
        <v>-0.226569023513162</v>
      </c>
      <c r="J19256" s="22" t="n">
        <f aca="false">J19255-J19254</f>
        <v>-0.225304157570085</v>
      </c>
      <c r="K19256" s="22" t="n">
        <f aca="false">K19255-K19254</f>
        <v>-0.224039291627007</v>
      </c>
    </row>
    <row r="19257" customFormat="false" ht="15" hidden="false" customHeight="false" outlineLevel="0" collapsed="false">
      <c r="A19257" s="3" t="s">
        <v>431</v>
      </c>
      <c r="G19257" s="22" t="n">
        <f aca="false">IF(G19255=0,0,G19256/ABS(G19255))</f>
        <v>-0.381831258998863</v>
      </c>
      <c r="H19257" s="22" t="n">
        <f aca="false">IF(H19255=0,0,H19256/ABS(H19255))</f>
        <v>-0.379723149093733</v>
      </c>
      <c r="I19257" s="22" t="n">
        <f aca="false">IF(I19255=0,0,I19256/ABS(I19255))</f>
        <v>-0.377615039188604</v>
      </c>
      <c r="J19257" s="22" t="n">
        <f aca="false">IF(J19255=0,0,J19256/ABS(J19255))</f>
        <v>-0.375506929283475</v>
      </c>
      <c r="K19257" s="22" t="n">
        <f aca="false">IF(K19255=0,0,K19256/ABS(K19255))</f>
        <v>-0.373398819378345</v>
      </c>
    </row>
    <row r="19258" customFormat="false" ht="15" hidden="false" customHeight="false" outlineLevel="0" collapsed="false">
      <c r="A19258" s="3" t="s">
        <v>432</v>
      </c>
      <c r="G19258" s="21" t="n">
        <f aca="false">IF(G19256&lt;0,1,0)</f>
        <v>1</v>
      </c>
      <c r="H19258" s="21" t="n">
        <f aca="false">IF(H19256&lt;0,1,0)</f>
        <v>1</v>
      </c>
      <c r="I19258" s="21" t="n">
        <f aca="false">IF(I19256&lt;0,1,0)</f>
        <v>1</v>
      </c>
      <c r="J19258" s="21" t="n">
        <f aca="false">IF(J19256&lt;0,1,0)</f>
        <v>1</v>
      </c>
      <c r="K19258" s="21" t="n">
        <f aca="false">IF(K19256&lt;0,1,0)</f>
        <v>1</v>
      </c>
    </row>
    <row r="19259" customFormat="false" ht="15" hidden="false" customHeight="false" outlineLevel="0" collapsed="false">
      <c r="A19259" s="3" t="s">
        <v>433</v>
      </c>
      <c r="C19259" s="21" t="n">
        <f aca="false">IFERROR(INDEX($G$19008:$K$19008,MATCH(1,$G$19258:$K$19258,0)),0)</f>
        <v>2027</v>
      </c>
    </row>
    <row r="19260" customFormat="false" ht="15" hidden="false" customHeight="false" outlineLevel="0" collapsed="false">
      <c r="A19260" s="3" t="s">
        <v>434</v>
      </c>
      <c r="C19260" s="22" t="n">
        <f aca="false">MIN($G$19257:$K$19257)</f>
        <v>-0.381831258998863</v>
      </c>
    </row>
    <row r="19261" customFormat="false" ht="15" hidden="false" customHeight="false" outlineLevel="0" collapsed="false">
      <c r="A19261" s="24" t="s">
        <v>435</v>
      </c>
      <c r="B19261" s="25"/>
      <c r="C19261" s="25"/>
      <c r="D19261" s="25"/>
      <c r="E19261" s="25"/>
      <c r="F19261" s="25"/>
      <c r="G19261" s="25"/>
      <c r="H19261" s="25"/>
      <c r="I19261" s="25"/>
      <c r="J19261" s="25"/>
      <c r="K19261" s="25"/>
    </row>
    <row r="19262" customFormat="false" ht="15" hidden="false" customHeight="false" outlineLevel="0" collapsed="false">
      <c r="A19262" s="3" t="s">
        <v>428</v>
      </c>
      <c r="G19262" s="32" t="n">
        <f aca="false">IF(G19022&gt;0,G19018/G19022,99)</f>
        <v>1.0013558016724</v>
      </c>
      <c r="H19262" s="32" t="n">
        <f aca="false">IF(H19022&gt;0,H19018/H19022,99)</f>
        <v>0.828826906400092</v>
      </c>
      <c r="I19262" s="32" t="n">
        <f aca="false">IF(I19022&gt;0,I19018/I19022,99)</f>
        <v>0.760166277682328</v>
      </c>
      <c r="J19262" s="32" t="n">
        <f aca="false">IF(J19022&gt;0,J19018/J19022,99)</f>
        <v>0.732449594441372</v>
      </c>
      <c r="K19262" s="32" t="n">
        <f aca="false">IF(K19022&gt;0,K19018/K19022,99)</f>
        <v>0.721276582514238</v>
      </c>
    </row>
    <row r="19263" customFormat="false" ht="15" hidden="false" customHeight="false" outlineLevel="0" collapsed="false">
      <c r="A19263" s="3" t="s">
        <v>429</v>
      </c>
      <c r="G19263" s="34" t="n">
        <f aca="false">Assumptions!$G$72</f>
        <v>1.5</v>
      </c>
      <c r="H19263" s="34" t="n">
        <f aca="false">Assumptions!$H$72</f>
        <v>1.5</v>
      </c>
      <c r="I19263" s="34" t="n">
        <f aca="false">Assumptions!$I$72</f>
        <v>1.5</v>
      </c>
      <c r="J19263" s="34" t="n">
        <f aca="false">Assumptions!$J$72</f>
        <v>1.5</v>
      </c>
      <c r="K19263" s="34" t="n">
        <f aca="false">Assumptions!$K$72</f>
        <v>1.5</v>
      </c>
    </row>
    <row r="19264" customFormat="false" ht="15" hidden="false" customHeight="false" outlineLevel="0" collapsed="false">
      <c r="A19264" s="3" t="s">
        <v>430</v>
      </c>
      <c r="G19264" s="32" t="n">
        <f aca="false">G19262-G19263</f>
        <v>-0.498644198327604</v>
      </c>
      <c r="H19264" s="32" t="n">
        <f aca="false">H19262-H19263</f>
        <v>-0.671173093599908</v>
      </c>
      <c r="I19264" s="32" t="n">
        <f aca="false">I19262-I19263</f>
        <v>-0.739833722317672</v>
      </c>
      <c r="J19264" s="32" t="n">
        <f aca="false">J19262-J19263</f>
        <v>-0.767550405558629</v>
      </c>
      <c r="K19264" s="32" t="n">
        <f aca="false">K19262-K19263</f>
        <v>-0.778723417485762</v>
      </c>
    </row>
    <row r="19265" customFormat="false" ht="15" hidden="false" customHeight="false" outlineLevel="0" collapsed="false">
      <c r="A19265" s="3" t="s">
        <v>431</v>
      </c>
      <c r="G19265" s="22" t="n">
        <f aca="false">IF(G19263=0,0,G19264/ABS(G19263))</f>
        <v>-0.332429465551736</v>
      </c>
      <c r="H19265" s="22" t="n">
        <f aca="false">IF(H19263=0,0,H19264/ABS(H19263))</f>
        <v>-0.447448729066605</v>
      </c>
      <c r="I19265" s="22" t="n">
        <f aca="false">IF(I19263=0,0,I19264/ABS(I19263))</f>
        <v>-0.493222481545115</v>
      </c>
      <c r="J19265" s="22" t="n">
        <f aca="false">IF(J19263=0,0,J19264/ABS(J19263))</f>
        <v>-0.511700270372419</v>
      </c>
      <c r="K19265" s="22" t="n">
        <f aca="false">IF(K19263=0,0,K19264/ABS(K19263))</f>
        <v>-0.519148944990508</v>
      </c>
    </row>
    <row r="19266" customFormat="false" ht="15" hidden="false" customHeight="false" outlineLevel="0" collapsed="false">
      <c r="A19266" s="3" t="s">
        <v>432</v>
      </c>
      <c r="G19266" s="21" t="n">
        <f aca="false">IF(G19264&lt;0,1,0)</f>
        <v>1</v>
      </c>
      <c r="H19266" s="21" t="n">
        <f aca="false">IF(H19264&lt;0,1,0)</f>
        <v>1</v>
      </c>
      <c r="I19266" s="21" t="n">
        <f aca="false">IF(I19264&lt;0,1,0)</f>
        <v>1</v>
      </c>
      <c r="J19266" s="21" t="n">
        <f aca="false">IF(J19264&lt;0,1,0)</f>
        <v>1</v>
      </c>
      <c r="K19266" s="21" t="n">
        <f aca="false">IF(K19264&lt;0,1,0)</f>
        <v>1</v>
      </c>
    </row>
    <row r="19267" customFormat="false" ht="15" hidden="false" customHeight="false" outlineLevel="0" collapsed="false">
      <c r="A19267" s="3" t="s">
        <v>433</v>
      </c>
      <c r="C19267" s="21" t="n">
        <f aca="false">IFERROR(INDEX($G$19008:$K$19008,MATCH(1,$G$19266:$K$19266,0)),0)</f>
        <v>2027</v>
      </c>
    </row>
    <row r="19268" customFormat="false" ht="15" hidden="false" customHeight="false" outlineLevel="0" collapsed="false">
      <c r="A19268" s="3" t="s">
        <v>434</v>
      </c>
      <c r="C19268" s="22" t="n">
        <f aca="false">MIN($G$19265:$K$19265)</f>
        <v>-0.519148944990508</v>
      </c>
    </row>
    <row r="19269" customFormat="false" ht="15" hidden="false" customHeight="false" outlineLevel="0" collapsed="false">
      <c r="A19269" s="24" t="s">
        <v>436</v>
      </c>
      <c r="B19269" s="25"/>
      <c r="C19269" s="25"/>
      <c r="D19269" s="25"/>
      <c r="E19269" s="25"/>
      <c r="F19269" s="25"/>
      <c r="G19269" s="25"/>
      <c r="H19269" s="25"/>
      <c r="I19269" s="25"/>
      <c r="J19269" s="25"/>
      <c r="K19269" s="25"/>
    </row>
    <row r="19270" customFormat="false" ht="15" hidden="false" customHeight="false" outlineLevel="0" collapsed="false">
      <c r="A19270" s="3" t="s">
        <v>428</v>
      </c>
      <c r="G19270" s="22" t="n">
        <f aca="false">IF(G19251&gt;0,G19240/G19251,99)</f>
        <v>0.171808005914176</v>
      </c>
      <c r="H19270" s="22" t="n">
        <f aca="false">IF(H19251&gt;0,H19240/H19251,99)</f>
        <v>0.170543139971098</v>
      </c>
      <c r="I19270" s="22" t="n">
        <f aca="false">IF(I19251&gt;0,I19240/I19251,99)</f>
        <v>0.169278274028021</v>
      </c>
      <c r="J19270" s="22" t="n">
        <f aca="false">IF(J19251&gt;0,J19240/J19251,99)</f>
        <v>0.168013408084943</v>
      </c>
      <c r="K19270" s="22" t="n">
        <f aca="false">IF(K19251&gt;0,K19240/K19251,99)</f>
        <v>0.166748542141865</v>
      </c>
    </row>
    <row r="19271" customFormat="false" ht="15" hidden="false" customHeight="false" outlineLevel="0" collapsed="false">
      <c r="A19271" s="3" t="s">
        <v>429</v>
      </c>
      <c r="G19271" s="33" t="n">
        <f aca="false">Assumptions!$G$73</f>
        <v>0.4</v>
      </c>
      <c r="H19271" s="33" t="n">
        <f aca="false">Assumptions!$H$73</f>
        <v>0.4</v>
      </c>
      <c r="I19271" s="33" t="n">
        <f aca="false">Assumptions!$I$73</f>
        <v>0.4</v>
      </c>
      <c r="J19271" s="33" t="n">
        <f aca="false">Assumptions!$J$73</f>
        <v>0.4</v>
      </c>
      <c r="K19271" s="33" t="n">
        <f aca="false">Assumptions!$K$73</f>
        <v>0.4</v>
      </c>
    </row>
    <row r="19272" customFormat="false" ht="15" hidden="false" customHeight="false" outlineLevel="0" collapsed="false">
      <c r="A19272" s="3" t="s">
        <v>430</v>
      </c>
      <c r="G19272" s="22" t="n">
        <f aca="false">G19271-G19270</f>
        <v>0.228191994085824</v>
      </c>
      <c r="H19272" s="22" t="n">
        <f aca="false">H19271-H19270</f>
        <v>0.229456860028902</v>
      </c>
      <c r="I19272" s="22" t="n">
        <f aca="false">I19271-I19270</f>
        <v>0.230721725971979</v>
      </c>
      <c r="J19272" s="22" t="n">
        <f aca="false">J19271-J19270</f>
        <v>0.231986591915057</v>
      </c>
      <c r="K19272" s="22" t="n">
        <f aca="false">K19271-K19270</f>
        <v>0.233251457858135</v>
      </c>
    </row>
    <row r="19273" customFormat="false" ht="15" hidden="false" customHeight="false" outlineLevel="0" collapsed="false">
      <c r="A19273" s="3" t="s">
        <v>431</v>
      </c>
      <c r="G19273" s="22" t="n">
        <f aca="false">IF(G19271=0,0,G19272/ABS(G19271))</f>
        <v>0.57047998521456</v>
      </c>
      <c r="H19273" s="22" t="n">
        <f aca="false">IF(H19271=0,0,H19272/ABS(H19271))</f>
        <v>0.573642150072254</v>
      </c>
      <c r="I19273" s="22" t="n">
        <f aca="false">IF(I19271=0,0,I19272/ABS(I19271))</f>
        <v>0.576804314929948</v>
      </c>
      <c r="J19273" s="22" t="n">
        <f aca="false">IF(J19271=0,0,J19272/ABS(J19271))</f>
        <v>0.579966479787643</v>
      </c>
      <c r="K19273" s="22" t="n">
        <f aca="false">IF(K19271=0,0,K19272/ABS(K19271))</f>
        <v>0.583128644645337</v>
      </c>
    </row>
    <row r="19274" customFormat="false" ht="15" hidden="false" customHeight="false" outlineLevel="0" collapsed="false">
      <c r="A19274" s="3" t="s">
        <v>432</v>
      </c>
      <c r="G19274" s="21" t="n">
        <f aca="false">IF(G19272&lt;0,1,0)</f>
        <v>0</v>
      </c>
      <c r="H19274" s="21" t="n">
        <f aca="false">IF(H19272&lt;0,1,0)</f>
        <v>0</v>
      </c>
      <c r="I19274" s="21" t="n">
        <f aca="false">IF(I19272&lt;0,1,0)</f>
        <v>0</v>
      </c>
      <c r="J19274" s="21" t="n">
        <f aca="false">IF(J19272&lt;0,1,0)</f>
        <v>0</v>
      </c>
      <c r="K19274" s="21" t="n">
        <f aca="false">IF(K19272&lt;0,1,0)</f>
        <v>0</v>
      </c>
    </row>
    <row r="19275" customFormat="false" ht="15" hidden="false" customHeight="false" outlineLevel="0" collapsed="false">
      <c r="A19275" s="3" t="s">
        <v>433</v>
      </c>
      <c r="C19275" s="21" t="n">
        <f aca="false">IFERROR(INDEX($G$19008:$K$19008,MATCH(1,$G$19274:$K$19274,0)),0)</f>
        <v>0</v>
      </c>
    </row>
    <row r="19276" customFormat="false" ht="15" hidden="false" customHeight="false" outlineLevel="0" collapsed="false">
      <c r="A19276" s="3" t="s">
        <v>434</v>
      </c>
      <c r="C19276" s="22" t="n">
        <f aca="false">MIN($G$19273:$K$19273)</f>
        <v>0.57047998521456</v>
      </c>
    </row>
    <row r="19277" customFormat="false" ht="15" hidden="false" customHeight="false" outlineLevel="0" collapsed="false">
      <c r="A19277" s="24" t="s">
        <v>437</v>
      </c>
      <c r="B19277" s="25"/>
      <c r="C19277" s="25"/>
      <c r="D19277" s="25"/>
      <c r="E19277" s="25"/>
      <c r="F19277" s="25"/>
      <c r="G19277" s="25"/>
      <c r="H19277" s="25"/>
      <c r="I19277" s="25"/>
      <c r="J19277" s="25"/>
      <c r="K19277" s="25"/>
    </row>
    <row r="19278" customFormat="false" ht="15" hidden="false" customHeight="false" outlineLevel="0" collapsed="false">
      <c r="A19278" s="3" t="s">
        <v>428</v>
      </c>
      <c r="G19278" s="16" t="n">
        <f aca="false">G19248</f>
        <v>653.5726401</v>
      </c>
      <c r="H19278" s="16" t="n">
        <f aca="false">H19248</f>
        <v>574.5</v>
      </c>
      <c r="I19278" s="16" t="n">
        <f aca="false">I19248</f>
        <v>574.5</v>
      </c>
      <c r="J19278" s="16" t="n">
        <f aca="false">J19248</f>
        <v>574.5</v>
      </c>
      <c r="K19278" s="16" t="n">
        <f aca="false">K19248</f>
        <v>574.5</v>
      </c>
    </row>
    <row r="19279" customFormat="false" ht="15" hidden="false" customHeight="false" outlineLevel="0" collapsed="false">
      <c r="A19279" s="3" t="s">
        <v>429</v>
      </c>
      <c r="G19279" s="29" t="n">
        <f aca="false">Assumptions!$G$74</f>
        <v>100</v>
      </c>
      <c r="H19279" s="29" t="n">
        <f aca="false">Assumptions!$H$74</f>
        <v>100</v>
      </c>
      <c r="I19279" s="29" t="n">
        <f aca="false">Assumptions!$I$74</f>
        <v>100</v>
      </c>
      <c r="J19279" s="29" t="n">
        <f aca="false">Assumptions!$J$74</f>
        <v>100</v>
      </c>
      <c r="K19279" s="29" t="n">
        <f aca="false">Assumptions!$K$74</f>
        <v>100</v>
      </c>
    </row>
    <row r="19280" customFormat="false" ht="15" hidden="false" customHeight="false" outlineLevel="0" collapsed="false">
      <c r="A19280" s="3" t="s">
        <v>430</v>
      </c>
      <c r="G19280" s="16" t="n">
        <f aca="false">G19278-G19279</f>
        <v>553.5726401</v>
      </c>
      <c r="H19280" s="16" t="n">
        <f aca="false">H19278-H19279</f>
        <v>474.5</v>
      </c>
      <c r="I19280" s="16" t="n">
        <f aca="false">I19278-I19279</f>
        <v>474.5</v>
      </c>
      <c r="J19280" s="16" t="n">
        <f aca="false">J19278-J19279</f>
        <v>474.5</v>
      </c>
      <c r="K19280" s="16" t="n">
        <f aca="false">K19278-K19279</f>
        <v>474.5</v>
      </c>
    </row>
    <row r="19281" customFormat="false" ht="15" hidden="false" customHeight="false" outlineLevel="0" collapsed="false">
      <c r="A19281" s="3" t="s">
        <v>431</v>
      </c>
      <c r="G19281" s="22" t="n">
        <f aca="false">IF(G19279=0,0,G19280/ABS(G19279))</f>
        <v>5.535726401</v>
      </c>
      <c r="H19281" s="22" t="n">
        <f aca="false">IF(H19279=0,0,H19280/ABS(H19279))</f>
        <v>4.745</v>
      </c>
      <c r="I19281" s="22" t="n">
        <f aca="false">IF(I19279=0,0,I19280/ABS(I19279))</f>
        <v>4.745</v>
      </c>
      <c r="J19281" s="22" t="n">
        <f aca="false">IF(J19279=0,0,J19280/ABS(J19279))</f>
        <v>4.745</v>
      </c>
      <c r="K19281" s="22" t="n">
        <f aca="false">IF(K19279=0,0,K19280/ABS(K19279))</f>
        <v>4.745</v>
      </c>
    </row>
    <row r="19282" customFormat="false" ht="15" hidden="false" customHeight="false" outlineLevel="0" collapsed="false">
      <c r="A19282" s="3" t="s">
        <v>432</v>
      </c>
      <c r="G19282" s="21" t="n">
        <f aca="false">IF(G19280&lt;0,1,0)</f>
        <v>0</v>
      </c>
      <c r="H19282" s="21" t="n">
        <f aca="false">IF(H19280&lt;0,1,0)</f>
        <v>0</v>
      </c>
      <c r="I19282" s="21" t="n">
        <f aca="false">IF(I19280&lt;0,1,0)</f>
        <v>0</v>
      </c>
      <c r="J19282" s="21" t="n">
        <f aca="false">IF(J19280&lt;0,1,0)</f>
        <v>0</v>
      </c>
      <c r="K19282" s="21" t="n">
        <f aca="false">IF(K19280&lt;0,1,0)</f>
        <v>0</v>
      </c>
    </row>
    <row r="19283" customFormat="false" ht="15" hidden="false" customHeight="false" outlineLevel="0" collapsed="false">
      <c r="A19283" s="3" t="s">
        <v>433</v>
      </c>
      <c r="C19283" s="21" t="n">
        <f aca="false">IFERROR(INDEX($G$19008:$K$19008,MATCH(1,$G$19282:$K$19282,0)),0)</f>
        <v>0</v>
      </c>
    </row>
    <row r="19284" customFormat="false" ht="15" hidden="false" customHeight="false" outlineLevel="0" collapsed="false">
      <c r="A19284" s="3" t="s">
        <v>434</v>
      </c>
      <c r="C19284" s="22" t="n">
        <f aca="false">MIN($G$19281:$K$19281)</f>
        <v>4.745</v>
      </c>
    </row>
    <row r="19285" customFormat="false" ht="15" hidden="false" customHeight="false" outlineLevel="0" collapsed="false">
      <c r="A19285" s="24" t="s">
        <v>438</v>
      </c>
      <c r="B19285" s="25"/>
      <c r="C19285" s="25"/>
      <c r="D19285" s="25"/>
      <c r="E19285" s="25"/>
      <c r="F19285" s="25"/>
      <c r="G19285" s="25"/>
      <c r="H19285" s="25"/>
      <c r="I19285" s="25"/>
      <c r="J19285" s="25"/>
      <c r="K19285" s="25"/>
    </row>
    <row r="19286" customFormat="false" ht="15" hidden="false" customHeight="false" outlineLevel="0" collapsed="false">
      <c r="A19286" s="3" t="s">
        <v>428</v>
      </c>
      <c r="G19286" s="32" t="n">
        <f aca="false">IF(G19018&gt;0,G19241/G19018,99)</f>
        <v>13.0515737568503</v>
      </c>
      <c r="H19286" s="32" t="n">
        <f aca="false">IF(H19018&gt;0,H19241/H19018,99)</f>
        <v>16.3749281532276</v>
      </c>
      <c r="I19286" s="32" t="n">
        <f aca="false">IF(I19018&gt;0,I19241/I19018,99)</f>
        <v>18.6296170201072</v>
      </c>
      <c r="J19286" s="32" t="n">
        <f aca="false">IF(J19018&gt;0,J19241/J19018,99)</f>
        <v>20.0497057348319</v>
      </c>
      <c r="K19286" s="32" t="n">
        <f aca="false">IF(K19018&gt;0,K19241/K19018,99)</f>
        <v>21.0923337957008</v>
      </c>
    </row>
    <row r="19287" customFormat="false" ht="15" hidden="false" customHeight="false" outlineLevel="0" collapsed="false">
      <c r="A19287" s="3" t="s">
        <v>429</v>
      </c>
      <c r="G19287" s="34" t="n">
        <f aca="false">Assumptions!$G$75</f>
        <v>10.5</v>
      </c>
      <c r="H19287" s="34" t="n">
        <f aca="false">Assumptions!$H$75</f>
        <v>10.5</v>
      </c>
      <c r="I19287" s="34" t="n">
        <f aca="false">Assumptions!$I$75</f>
        <v>10</v>
      </c>
      <c r="J19287" s="34" t="n">
        <f aca="false">Assumptions!$J$75</f>
        <v>10</v>
      </c>
      <c r="K19287" s="34" t="n">
        <f aca="false">Assumptions!$K$75</f>
        <v>9.5</v>
      </c>
    </row>
    <row r="19288" customFormat="false" ht="15" hidden="false" customHeight="false" outlineLevel="0" collapsed="false">
      <c r="A19288" s="3" t="s">
        <v>430</v>
      </c>
      <c r="G19288" s="32" t="n">
        <f aca="false">G19287-G19286</f>
        <v>-2.55157375685027</v>
      </c>
      <c r="H19288" s="32" t="n">
        <f aca="false">H19287-H19286</f>
        <v>-5.87492815322763</v>
      </c>
      <c r="I19288" s="32" t="n">
        <f aca="false">I19287-I19286</f>
        <v>-8.62961702010722</v>
      </c>
      <c r="J19288" s="32" t="n">
        <f aca="false">J19287-J19286</f>
        <v>-10.0497057348319</v>
      </c>
      <c r="K19288" s="32" t="n">
        <f aca="false">K19287-K19286</f>
        <v>-11.5923337957008</v>
      </c>
    </row>
    <row r="19289" customFormat="false" ht="15" hidden="false" customHeight="false" outlineLevel="0" collapsed="false">
      <c r="A19289" s="3" t="s">
        <v>431</v>
      </c>
      <c r="G19289" s="22" t="n">
        <f aca="false">IF(G19287=0,0,G19288/ABS(G19287))</f>
        <v>-0.243007024461931</v>
      </c>
      <c r="H19289" s="22" t="n">
        <f aca="false">IF(H19287=0,0,H19288/ABS(H19287))</f>
        <v>-0.55951696697406</v>
      </c>
      <c r="I19289" s="22" t="n">
        <f aca="false">IF(I19287=0,0,I19288/ABS(I19287))</f>
        <v>-0.862961702010722</v>
      </c>
      <c r="J19289" s="22" t="n">
        <f aca="false">IF(J19287=0,0,J19288/ABS(J19287))</f>
        <v>-1.00497057348319</v>
      </c>
      <c r="K19289" s="22" t="n">
        <f aca="false">IF(K19287=0,0,K19288/ABS(K19287))</f>
        <v>-1.22024566270535</v>
      </c>
    </row>
    <row r="19290" customFormat="false" ht="15" hidden="false" customHeight="false" outlineLevel="0" collapsed="false">
      <c r="A19290" s="3" t="s">
        <v>432</v>
      </c>
      <c r="G19290" s="21" t="n">
        <f aca="false">IF(G19288&lt;0,1,0)</f>
        <v>1</v>
      </c>
      <c r="H19290" s="21" t="n">
        <f aca="false">IF(H19288&lt;0,1,0)</f>
        <v>1</v>
      </c>
      <c r="I19290" s="21" t="n">
        <f aca="false">IF(I19288&lt;0,1,0)</f>
        <v>1</v>
      </c>
      <c r="J19290" s="21" t="n">
        <f aca="false">IF(J19288&lt;0,1,0)</f>
        <v>1</v>
      </c>
      <c r="K19290" s="21" t="n">
        <f aca="false">IF(K19288&lt;0,1,0)</f>
        <v>1</v>
      </c>
    </row>
    <row r="19291" customFormat="false" ht="15" hidden="false" customHeight="false" outlineLevel="0" collapsed="false">
      <c r="A19291" s="3" t="s">
        <v>433</v>
      </c>
      <c r="C19291" s="21" t="n">
        <f aca="false">IFERROR(INDEX($G$19008:$K$19008,MATCH(1,$G$19290:$K$19290,0)),0)</f>
        <v>2027</v>
      </c>
    </row>
    <row r="19292" customFormat="false" ht="15" hidden="false" customHeight="false" outlineLevel="0" collapsed="false">
      <c r="A19292" s="3" t="s">
        <v>434</v>
      </c>
      <c r="C19292" s="22" t="n">
        <f aca="false">MIN($G$19289:$K$19289)</f>
        <v>-1.22024566270535</v>
      </c>
    </row>
    <row r="19293" customFormat="false" ht="15" hidden="false" customHeight="false" outlineLevel="0" collapsed="false">
      <c r="A19293" s="3" t="s">
        <v>439</v>
      </c>
      <c r="G19293" s="21" t="n">
        <f aca="false">G19258+G19266+G19274+G19282+G19290</f>
        <v>3</v>
      </c>
      <c r="H19293" s="21" t="n">
        <f aca="false">H19258+H19266+H19274+H19282+H19290</f>
        <v>3</v>
      </c>
      <c r="I19293" s="21" t="n">
        <f aca="false">I19258+I19266+I19274+I19282+I19290</f>
        <v>3</v>
      </c>
      <c r="J19293" s="21" t="n">
        <f aca="false">J19258+J19266+J19274+J19282+J19290</f>
        <v>3</v>
      </c>
      <c r="K19293" s="21" t="n">
        <f aca="false">K19258+K19266+K19274+K19282+K19290</f>
        <v>3</v>
      </c>
    </row>
    <row r="19294" customFormat="false" ht="15" hidden="false" customHeight="false" outlineLevel="0" collapsed="false">
      <c r="A19294" s="3" t="s">
        <v>440</v>
      </c>
      <c r="C19294" s="21" t="n">
        <f aca="false">SUM($G$19293:$K$19293)</f>
        <v>15</v>
      </c>
    </row>
    <row r="19295" customFormat="false" ht="15" hidden="false" customHeight="false" outlineLevel="0" collapsed="false">
      <c r="A19295" s="3" t="s">
        <v>441</v>
      </c>
      <c r="C19295" s="22" t="n">
        <f aca="false">MIN(C19260,C19268,C19276,C19284,C19292)</f>
        <v>-1.22024566270535</v>
      </c>
    </row>
    <row r="19297" customFormat="false" ht="15" hidden="false" customHeight="false" outlineLevel="0" collapsed="false">
      <c r="A19297" s="24" t="s">
        <v>543</v>
      </c>
      <c r="B19297" s="25"/>
      <c r="C19297" s="25"/>
      <c r="D19297" s="25"/>
      <c r="E19297" s="25"/>
      <c r="F19297" s="25"/>
      <c r="G19297" s="25"/>
      <c r="H19297" s="25"/>
      <c r="I19297" s="25"/>
      <c r="J19297" s="25"/>
      <c r="K19297" s="25"/>
    </row>
    <row r="19298" customFormat="false" ht="15" hidden="false" customHeight="false" outlineLevel="0" collapsed="false">
      <c r="A19298" s="3" t="s">
        <v>544</v>
      </c>
      <c r="G19298" s="21" t="n">
        <f aca="false">IF($C$19299=1,G19235,IF(G19018=MIN($G$19018:$K$19018),1,0))</f>
        <v>0</v>
      </c>
      <c r="H19298" s="21" t="n">
        <f aca="false">IF($C$19299=1,H19235,IF(AND(H19018=MIN($G$19018:$K$19018),SUM($G$19298:G19298)=0),1,0))</f>
        <v>1</v>
      </c>
      <c r="I19298" s="21" t="n">
        <f aca="false">IF($C$19299=1,I19235,IF(AND(I19018=MIN($G$19018:$K$19018),SUM($G$19298:H19298)=0),1,0))</f>
        <v>0</v>
      </c>
      <c r="J19298" s="21" t="n">
        <f aca="false">IF($C$19299=1,J19235,IF(AND(J19018=MIN($G$19018:$K$19018),SUM($G$19298:I19298)=0),1,0))</f>
        <v>0</v>
      </c>
      <c r="K19298" s="21" t="n">
        <f aca="false">IF($C$19299=1,K19235,IF(AND(K19018=MIN($G$19018:$K$19018),SUM($G$19298:J19298)=0),1,0))</f>
        <v>0</v>
      </c>
    </row>
    <row r="19299" customFormat="false" ht="15" hidden="false" customHeight="false" outlineLevel="0" collapsed="false">
      <c r="A19299" s="3" t="s">
        <v>545</v>
      </c>
      <c r="C19299" s="21" t="n">
        <f aca="false">IF(SUM($G$19235:$K$19235)&gt;0,1,0)</f>
        <v>1</v>
      </c>
    </row>
    <row r="19300" customFormat="false" ht="15" hidden="false" customHeight="false" outlineLevel="0" collapsed="false">
      <c r="A19300" s="3" t="s">
        <v>546</v>
      </c>
      <c r="C19300" s="21" t="n">
        <f aca="false">SUMPRODUCT($G$19298:$K$19298,$G$19008:$K$19008)</f>
        <v>2028</v>
      </c>
    </row>
    <row r="19301" customFormat="false" ht="15" hidden="false" customHeight="false" outlineLevel="0" collapsed="false">
      <c r="A19301" s="3" t="s">
        <v>547</v>
      </c>
      <c r="C19301" s="16" t="n">
        <f aca="false">SUMPRODUCT($G$19298:$K$19298,$G$19018:$K$19018)</f>
        <v>160.27031724</v>
      </c>
    </row>
    <row r="19302" customFormat="false" ht="15" hidden="false" customHeight="false" outlineLevel="0" collapsed="false">
      <c r="A19302" s="3" t="s">
        <v>548</v>
      </c>
      <c r="C19302" s="16" t="n">
        <f aca="false">MAX(0,SUMPRODUCT($G$19298:$K$19298,$G$19232:$K$19232))</f>
        <v>0</v>
      </c>
    </row>
    <row r="19303" customFormat="false" ht="15" hidden="false" customHeight="false" outlineLevel="0" collapsed="false">
      <c r="A19303" s="3" t="s">
        <v>549</v>
      </c>
      <c r="C19303" s="16" t="n">
        <f aca="false">(CHOOSE($C$19001,Assumptions!$C$92,Assumptions!$C$111,Assumptions!$C$130)+$C$19005)*C19301</f>
        <v>1282.16253792</v>
      </c>
    </row>
    <row r="19304" customFormat="false" ht="15" hidden="false" customHeight="false" outlineLevel="0" collapsed="false">
      <c r="A19304" s="3" t="s">
        <v>550</v>
      </c>
      <c r="C19304" s="16" t="n">
        <f aca="false">Assumptions!$C$31*(1-CHOOSE($C$19001,Assumptions!$C$93,Assumptions!$C$112,Assumptions!$C$131))*CHOOSE($C$19001,Assumptions!$C$94,Assumptions!$C$113,Assumptions!$C$132)</f>
        <v>2688.03189666667</v>
      </c>
    </row>
    <row r="19305" customFormat="false" ht="15" hidden="false" customHeight="false" outlineLevel="0" collapsed="false">
      <c r="A19305" s="3" t="s">
        <v>551</v>
      </c>
      <c r="C19305" s="16" t="n">
        <f aca="false">MAX(C19303,C19304)+C19302</f>
        <v>2688.03189666667</v>
      </c>
    </row>
    <row r="19306" customFormat="false" ht="15" hidden="false" customHeight="false" outlineLevel="0" collapsed="false">
      <c r="A19306" s="2" t="s">
        <v>552</v>
      </c>
      <c r="C19306" s="17" t="n">
        <f aca="false">IF(ISNUMBER(Assumptions!$C$14),Assumptions!$C$14,C19305)</f>
        <v>2688.03189666667</v>
      </c>
    </row>
    <row r="19307" customFormat="false" ht="15" hidden="false" customHeight="false" outlineLevel="0" collapsed="false">
      <c r="A19307" s="3" t="s">
        <v>553</v>
      </c>
      <c r="C19307" s="16" t="n">
        <f aca="false">C19306*Assumptions!$C$15</f>
        <v>107.521275866667</v>
      </c>
    </row>
    <row r="19308" customFormat="false" ht="15" hidden="false" customHeight="false" outlineLevel="0" collapsed="false">
      <c r="A19308" s="2" t="s">
        <v>554</v>
      </c>
      <c r="C19308" s="17" t="n">
        <f aca="false">C19306-C19307</f>
        <v>2580.5106208</v>
      </c>
    </row>
    <row r="19309" customFormat="false" ht="15" hidden="false" customHeight="false" outlineLevel="0" collapsed="false">
      <c r="A19309" s="24" t="s">
        <v>555</v>
      </c>
      <c r="B19309" s="25"/>
      <c r="C19309" s="25"/>
      <c r="D19309" s="25"/>
      <c r="E19309" s="25"/>
      <c r="F19309" s="25"/>
      <c r="G19309" s="25"/>
      <c r="H19309" s="25"/>
      <c r="I19309" s="25"/>
      <c r="J19309" s="25"/>
      <c r="K19309" s="25"/>
    </row>
    <row r="19310" customFormat="false" ht="15" hidden="false" customHeight="false" outlineLevel="0" collapsed="false">
      <c r="A19310" s="3" t="s">
        <v>556</v>
      </c>
      <c r="C19310" s="16" t="n">
        <f aca="false">SUMPRODUCT($G$19298:$K$19298,$G$19055:$K$19055)*(1+SUMPRODUCT($G$19298:$K$19298,$G$19047:$K$19047)*Assumptions!$C$16/12)</f>
        <v>403.76</v>
      </c>
    </row>
    <row r="19311" customFormat="false" ht="15" hidden="false" customHeight="false" outlineLevel="0" collapsed="false">
      <c r="A19311" s="3" t="s">
        <v>557</v>
      </c>
      <c r="C19311" s="16" t="n">
        <f aca="false">SUMPRODUCT($G$19298:$K$19298,$G$19068:$K$19068)*(1+SUMPRODUCT($G$19298:$K$19298,$G$19060:$K$19060)*Assumptions!$C$16/12)</f>
        <v>91.30725</v>
      </c>
    </row>
    <row r="19312" customFormat="false" ht="15" hidden="false" customHeight="false" outlineLevel="0" collapsed="false">
      <c r="A19312" s="3" t="s">
        <v>558</v>
      </c>
      <c r="C19312" s="16" t="n">
        <f aca="false">SUMPRODUCT($G$19298:$K$19298,$G$19081:$K$19081)*(1+SUMPRODUCT($G$19298:$K$19298,$G$19073:$K$19073)*Assumptions!$C$16/12)</f>
        <v>58.3715961</v>
      </c>
    </row>
    <row r="19313" customFormat="false" ht="15" hidden="false" customHeight="false" outlineLevel="0" collapsed="false">
      <c r="A19313" s="3" t="s">
        <v>559</v>
      </c>
      <c r="C19313" s="16" t="n">
        <f aca="false">SUMPRODUCT($G$19298:$K$19298,$G$19094:$K$19094)*(1+SUMPRODUCT($G$19298:$K$19298,$G$19086:$K$19086)*Assumptions!$C$16/12)</f>
        <v>0</v>
      </c>
    </row>
    <row r="19314" customFormat="false" ht="15" hidden="false" customHeight="false" outlineLevel="0" collapsed="false">
      <c r="A19314" s="3" t="s">
        <v>560</v>
      </c>
      <c r="C19314" s="16" t="n">
        <f aca="false">SUMPRODUCT($G$19298:$K$19298,$G$19107:$K$19107)*(1+SUMPRODUCT($G$19298:$K$19298,$G$19099:$K$19099)*Assumptions!$C$16/12)</f>
        <v>454.44375</v>
      </c>
    </row>
    <row r="19315" customFormat="false" ht="15" hidden="false" customHeight="false" outlineLevel="0" collapsed="false">
      <c r="A19315" s="3" t="s">
        <v>561</v>
      </c>
      <c r="C19315" s="16" t="n">
        <f aca="false">SUMPRODUCT($G$19298:$K$19298,$G$19120:$K$19120)*(1+SUMPRODUCT($G$19298:$K$19298,$G$19112:$K$19112)*Assumptions!$C$16/12)</f>
        <v>357.2625</v>
      </c>
    </row>
    <row r="19316" customFormat="false" ht="15" hidden="false" customHeight="false" outlineLevel="0" collapsed="false">
      <c r="A19316" s="3" t="s">
        <v>562</v>
      </c>
      <c r="C19316" s="16" t="n">
        <f aca="false">SUMPRODUCT($G$19298:$K$19298,$G$19133:$K$19133)*(1+SUMPRODUCT($G$19298:$K$19298,$G$19125:$K$19125)*Assumptions!$C$16/12)</f>
        <v>562.203125</v>
      </c>
    </row>
    <row r="19317" customFormat="false" ht="15" hidden="false" customHeight="false" outlineLevel="0" collapsed="false">
      <c r="A19317" s="3" t="s">
        <v>563</v>
      </c>
      <c r="C19317" s="16" t="n">
        <f aca="false">SUMPRODUCT($G$19298:$K$19298,$G$19146:$K$19146)*(1+SUMPRODUCT($G$19298:$K$19298,$G$19138:$K$19138)*Assumptions!$C$16/12)</f>
        <v>353.98125</v>
      </c>
    </row>
    <row r="19318" customFormat="false" ht="15" hidden="false" customHeight="false" outlineLevel="0" collapsed="false">
      <c r="A19318" s="3" t="s">
        <v>564</v>
      </c>
      <c r="C19318" s="16" t="n">
        <f aca="false">SUMPRODUCT($G$19298:$K$19298,$G$19159:$K$19159)*(1+SUMPRODUCT($G$19298:$K$19298,$G$19151:$K$19151)*Assumptions!$C$16/12)</f>
        <v>304.59375</v>
      </c>
    </row>
    <row r="19319" customFormat="false" ht="15" hidden="false" customHeight="false" outlineLevel="0" collapsed="false">
      <c r="A19319" s="3" t="s">
        <v>565</v>
      </c>
      <c r="C19319" s="16" t="n">
        <f aca="false">SUMPRODUCT($G$19298:$K$19298,$G$19172:$K$19172)*(1+SUMPRODUCT($G$19298:$K$19298,$G$19164:$K$19164)*Assumptions!$C$16/12)</f>
        <v>80.2332965</v>
      </c>
    </row>
    <row r="19320" customFormat="false" ht="15" hidden="false" customHeight="false" outlineLevel="0" collapsed="false">
      <c r="A19320" s="24" t="s">
        <v>566</v>
      </c>
      <c r="B19320" s="25"/>
      <c r="C19320" s="25"/>
      <c r="D19320" s="25"/>
      <c r="E19320" s="25"/>
      <c r="F19320" s="25"/>
      <c r="G19320" s="25"/>
      <c r="H19320" s="25"/>
      <c r="I19320" s="25"/>
      <c r="J19320" s="25"/>
      <c r="K19320" s="25"/>
    </row>
    <row r="19321" customFormat="false" ht="15" hidden="false" customHeight="false" outlineLevel="0" collapsed="false">
      <c r="A19321" s="3" t="s">
        <v>556</v>
      </c>
      <c r="C19321" s="27" t="n">
        <f aca="false">Assumptions!$M$57</f>
        <v>1</v>
      </c>
    </row>
    <row r="19322" customFormat="false" ht="15" hidden="false" customHeight="false" outlineLevel="0" collapsed="false">
      <c r="A19322" s="3" t="s">
        <v>557</v>
      </c>
      <c r="C19322" s="27" t="n">
        <f aca="false">Assumptions!$M$58</f>
        <v>1</v>
      </c>
    </row>
    <row r="19323" customFormat="false" ht="15" hidden="false" customHeight="false" outlineLevel="0" collapsed="false">
      <c r="A19323" s="3" t="s">
        <v>558</v>
      </c>
      <c r="C19323" s="27" t="n">
        <f aca="false">Assumptions!$M$59</f>
        <v>1</v>
      </c>
    </row>
    <row r="19324" customFormat="false" ht="15" hidden="false" customHeight="false" outlineLevel="0" collapsed="false">
      <c r="A19324" s="3" t="s">
        <v>559</v>
      </c>
      <c r="C19324" s="27" t="n">
        <f aca="false">Assumptions!$M$60</f>
        <v>2</v>
      </c>
    </row>
    <row r="19325" customFormat="false" ht="15" hidden="false" customHeight="false" outlineLevel="0" collapsed="false">
      <c r="A19325" s="3" t="s">
        <v>560</v>
      </c>
      <c r="C19325" s="27" t="n">
        <f aca="false">Assumptions!$M$61</f>
        <v>2</v>
      </c>
    </row>
    <row r="19326" customFormat="false" ht="15" hidden="false" customHeight="false" outlineLevel="0" collapsed="false">
      <c r="A19326" s="3" t="s">
        <v>561</v>
      </c>
      <c r="C19326" s="27" t="n">
        <f aca="false">Assumptions!$M$62</f>
        <v>2</v>
      </c>
    </row>
    <row r="19327" customFormat="false" ht="15" hidden="false" customHeight="false" outlineLevel="0" collapsed="false">
      <c r="A19327" s="3" t="s">
        <v>562</v>
      </c>
      <c r="C19327" s="27" t="n">
        <f aca="false">Assumptions!$M$63</f>
        <v>2</v>
      </c>
    </row>
    <row r="19328" customFormat="false" ht="15" hidden="false" customHeight="false" outlineLevel="0" collapsed="false">
      <c r="A19328" s="3" t="s">
        <v>563</v>
      </c>
      <c r="C19328" s="27" t="n">
        <f aca="false">Assumptions!$M$64</f>
        <v>2</v>
      </c>
    </row>
    <row r="19329" customFormat="false" ht="15" hidden="false" customHeight="false" outlineLevel="0" collapsed="false">
      <c r="A19329" s="3" t="s">
        <v>564</v>
      </c>
      <c r="C19329" s="27" t="n">
        <f aca="false">Assumptions!$M$65</f>
        <v>2</v>
      </c>
    </row>
    <row r="19330" customFormat="false" ht="15" hidden="false" customHeight="false" outlineLevel="0" collapsed="false">
      <c r="A19330" s="3" t="s">
        <v>565</v>
      </c>
      <c r="C19330" s="27" t="n">
        <f aca="false">Assumptions!$M$66</f>
        <v>3</v>
      </c>
    </row>
    <row r="19331" customFormat="false" ht="15" hidden="false" customHeight="false" outlineLevel="0" collapsed="false">
      <c r="A19331" s="24" t="s">
        <v>567</v>
      </c>
      <c r="B19331" s="25"/>
      <c r="C19331" s="25"/>
      <c r="D19331" s="25"/>
      <c r="E19331" s="25"/>
      <c r="F19331" s="25"/>
      <c r="G19331" s="25"/>
      <c r="H19331" s="25"/>
      <c r="I19331" s="25"/>
      <c r="J19331" s="25"/>
      <c r="K19331" s="25"/>
    </row>
    <row r="19332" customFormat="false" ht="15" hidden="false" customHeight="false" outlineLevel="0" collapsed="false">
      <c r="A19332" s="3" t="s">
        <v>556</v>
      </c>
      <c r="C19332" s="33" t="n">
        <f aca="false">Assumptions!$Q$57</f>
        <v>0.3</v>
      </c>
    </row>
    <row r="19333" customFormat="false" ht="15" hidden="false" customHeight="false" outlineLevel="0" collapsed="false">
      <c r="A19333" s="3" t="s">
        <v>557</v>
      </c>
      <c r="C19333" s="33" t="n">
        <f aca="false">Assumptions!$Q$58</f>
        <v>0.033</v>
      </c>
    </row>
    <row r="19334" customFormat="false" ht="15" hidden="false" customHeight="false" outlineLevel="0" collapsed="false">
      <c r="A19334" s="3" t="s">
        <v>558</v>
      </c>
      <c r="C19334" s="33" t="n">
        <f aca="false">Assumptions!$Q$59</f>
        <v>0.021</v>
      </c>
    </row>
    <row r="19335" customFormat="false" ht="15" hidden="false" customHeight="false" outlineLevel="0" collapsed="false">
      <c r="A19335" s="3" t="s">
        <v>559</v>
      </c>
      <c r="C19335" s="33" t="n">
        <f aca="false">Assumptions!$Q$60</f>
        <v>0</v>
      </c>
    </row>
    <row r="19336" customFormat="false" ht="15" hidden="false" customHeight="false" outlineLevel="0" collapsed="false">
      <c r="A19336" s="3" t="s">
        <v>560</v>
      </c>
      <c r="C19336" s="33" t="n">
        <f aca="false">Assumptions!$Q$61</f>
        <v>0</v>
      </c>
    </row>
    <row r="19337" customFormat="false" ht="15" hidden="false" customHeight="false" outlineLevel="0" collapsed="false">
      <c r="A19337" s="3" t="s">
        <v>561</v>
      </c>
      <c r="C19337" s="33" t="n">
        <f aca="false">Assumptions!$Q$62</f>
        <v>0</v>
      </c>
    </row>
    <row r="19338" customFormat="false" ht="15" hidden="false" customHeight="false" outlineLevel="0" collapsed="false">
      <c r="A19338" s="3" t="s">
        <v>562</v>
      </c>
      <c r="C19338" s="33" t="n">
        <f aca="false">Assumptions!$Q$63</f>
        <v>0</v>
      </c>
    </row>
    <row r="19339" customFormat="false" ht="15" hidden="false" customHeight="false" outlineLevel="0" collapsed="false">
      <c r="A19339" s="3" t="s">
        <v>563</v>
      </c>
      <c r="C19339" s="33" t="n">
        <f aca="false">Assumptions!$Q$64</f>
        <v>0</v>
      </c>
    </row>
    <row r="19340" customFormat="false" ht="15" hidden="false" customHeight="false" outlineLevel="0" collapsed="false">
      <c r="A19340" s="3" t="s">
        <v>564</v>
      </c>
      <c r="C19340" s="33" t="n">
        <f aca="false">Assumptions!$Q$65</f>
        <v>0</v>
      </c>
    </row>
    <row r="19341" customFormat="false" ht="15" hidden="false" customHeight="false" outlineLevel="0" collapsed="false">
      <c r="A19341" s="3" t="s">
        <v>565</v>
      </c>
      <c r="C19341" s="33" t="n">
        <f aca="false">Assumptions!$Q$66</f>
        <v>0</v>
      </c>
    </row>
    <row r="19342" customFormat="false" ht="15" hidden="false" customHeight="false" outlineLevel="0" collapsed="false">
      <c r="A19342" s="24" t="s">
        <v>568</v>
      </c>
      <c r="B19342" s="25"/>
      <c r="C19342" s="25"/>
      <c r="D19342" s="25"/>
      <c r="E19342" s="25"/>
      <c r="F19342" s="25"/>
      <c r="G19342" s="25"/>
      <c r="H19342" s="25"/>
      <c r="I19342" s="25"/>
      <c r="J19342" s="25"/>
      <c r="K19342" s="25"/>
    </row>
    <row r="19343" customFormat="false" ht="15" hidden="false" customHeight="false" outlineLevel="0" collapsed="false">
      <c r="A19343" s="3" t="s">
        <v>556</v>
      </c>
      <c r="C19343" s="16" t="n">
        <f aca="false">IF(C19332&gt;0,MIN(C19310,C19332*$C$19308),0)</f>
        <v>403.76</v>
      </c>
    </row>
    <row r="19344" customFormat="false" ht="15" hidden="false" customHeight="false" outlineLevel="0" collapsed="false">
      <c r="A19344" s="3" t="s">
        <v>557</v>
      </c>
      <c r="C19344" s="16" t="n">
        <f aca="false">IF(C19333&gt;0,MIN(C19311,C19333*$C$19308),0)</f>
        <v>85.1568504864</v>
      </c>
    </row>
    <row r="19345" customFormat="false" ht="15" hidden="false" customHeight="false" outlineLevel="0" collapsed="false">
      <c r="A19345" s="3" t="s">
        <v>558</v>
      </c>
      <c r="C19345" s="16" t="n">
        <f aca="false">IF(C19334&gt;0,MIN(C19312,C19334*$C$19308),0)</f>
        <v>54.1907230368</v>
      </c>
    </row>
    <row r="19346" customFormat="false" ht="15" hidden="false" customHeight="false" outlineLevel="0" collapsed="false">
      <c r="A19346" s="3" t="s">
        <v>559</v>
      </c>
      <c r="C19346" s="16" t="n">
        <f aca="false">IF(C19335&gt;0,MIN(C19313,C19335*$C$19308),0)</f>
        <v>0</v>
      </c>
    </row>
    <row r="19347" customFormat="false" ht="15" hidden="false" customHeight="false" outlineLevel="0" collapsed="false">
      <c r="A19347" s="3" t="s">
        <v>560</v>
      </c>
      <c r="C19347" s="16" t="n">
        <f aca="false">IF(C19336&gt;0,MIN(C19314,C19336*$C$19308),0)</f>
        <v>0</v>
      </c>
    </row>
    <row r="19348" customFormat="false" ht="15" hidden="false" customHeight="false" outlineLevel="0" collapsed="false">
      <c r="A19348" s="3" t="s">
        <v>561</v>
      </c>
      <c r="C19348" s="16" t="n">
        <f aca="false">IF(C19337&gt;0,MIN(C19315,C19337*$C$19308),0)</f>
        <v>0</v>
      </c>
    </row>
    <row r="19349" customFormat="false" ht="15" hidden="false" customHeight="false" outlineLevel="0" collapsed="false">
      <c r="A19349" s="3" t="s">
        <v>562</v>
      </c>
      <c r="C19349" s="16" t="n">
        <f aca="false">IF(C19338&gt;0,MIN(C19316,C19338*$C$19308),0)</f>
        <v>0</v>
      </c>
    </row>
    <row r="19350" customFormat="false" ht="15" hidden="false" customHeight="false" outlineLevel="0" collapsed="false">
      <c r="A19350" s="3" t="s">
        <v>563</v>
      </c>
      <c r="C19350" s="16" t="n">
        <f aca="false">IF(C19339&gt;0,MIN(C19317,C19339*$C$19308),0)</f>
        <v>0</v>
      </c>
    </row>
    <row r="19351" customFormat="false" ht="15" hidden="false" customHeight="false" outlineLevel="0" collapsed="false">
      <c r="A19351" s="3" t="s">
        <v>564</v>
      </c>
      <c r="C19351" s="16" t="n">
        <f aca="false">IF(C19340&gt;0,MIN(C19318,C19340*$C$19308),0)</f>
        <v>0</v>
      </c>
    </row>
    <row r="19352" customFormat="false" ht="15" hidden="false" customHeight="false" outlineLevel="0" collapsed="false">
      <c r="A19352" s="3" t="s">
        <v>565</v>
      </c>
      <c r="C19352" s="16" t="n">
        <f aca="false">IF(C19341&gt;0,MIN(C19319,C19341*$C$19308),0)</f>
        <v>0</v>
      </c>
    </row>
    <row r="19353" customFormat="false" ht="15" hidden="false" customHeight="false" outlineLevel="0" collapsed="false">
      <c r="A19353" s="24" t="s">
        <v>569</v>
      </c>
      <c r="B19353" s="25"/>
      <c r="C19353" s="25"/>
      <c r="D19353" s="25"/>
      <c r="E19353" s="25"/>
      <c r="F19353" s="25"/>
      <c r="G19353" s="25"/>
      <c r="H19353" s="25"/>
      <c r="I19353" s="25"/>
      <c r="J19353" s="25"/>
      <c r="K19353" s="25"/>
    </row>
    <row r="19354" customFormat="false" ht="15" hidden="false" customHeight="false" outlineLevel="0" collapsed="false">
      <c r="A19354" s="3" t="s">
        <v>556</v>
      </c>
      <c r="C19354" s="16" t="n">
        <f aca="false">IF(C19332&gt;0,C19310-C19343,0)</f>
        <v>0</v>
      </c>
      <c r="G19354" s="21" t="n">
        <f aca="false">IF(AND(G19045=1,G19042=1),1,0)</f>
        <v>0</v>
      </c>
      <c r="H19354" s="21" t="n">
        <f aca="false">IF(G19354=1,1,IF(AND(H19045=1,H19042=1),1,0))</f>
        <v>0</v>
      </c>
      <c r="I19354" s="21" t="n">
        <f aca="false">IF(H19354=1,1,IF(AND(I19045=1,I19042=1),1,0))</f>
        <v>0</v>
      </c>
      <c r="J19354" s="21" t="n">
        <f aca="false">IF(I19354=1,1,IF(AND(J19045=1,J19042=1),1,0))</f>
        <v>0</v>
      </c>
      <c r="K19354" s="21" t="n">
        <f aca="false">IF(J19354=1,1,IF(AND(K19045=1,K19042=1),1,0))</f>
        <v>0</v>
      </c>
    </row>
    <row r="19355" customFormat="false" ht="15" hidden="false" customHeight="false" outlineLevel="0" collapsed="false">
      <c r="A19355" s="3" t="s">
        <v>557</v>
      </c>
      <c r="C19355" s="16" t="n">
        <f aca="false">IF(C19333&gt;0,C19311-C19344,0)</f>
        <v>6.15039951360001</v>
      </c>
      <c r="G19355" s="21" t="n">
        <f aca="false">IF(AND(G19058=1,G19042=1),1,0)</f>
        <v>0</v>
      </c>
      <c r="H19355" s="21" t="n">
        <f aca="false">IF(G19355=1,1,IF(AND(H19058=1,H19042=1),1,0))</f>
        <v>0</v>
      </c>
      <c r="I19355" s="21" t="n">
        <f aca="false">IF(H19355=1,1,IF(AND(I19058=1,I19042=1),1,0))</f>
        <v>0</v>
      </c>
      <c r="J19355" s="21" t="n">
        <f aca="false">IF(I19355=1,1,IF(AND(J19058=1,J19042=1),1,0))</f>
        <v>0</v>
      </c>
      <c r="K19355" s="21" t="n">
        <f aca="false">IF(J19355=1,1,IF(AND(K19058=1,K19042=1),1,0))</f>
        <v>0</v>
      </c>
    </row>
    <row r="19356" customFormat="false" ht="15" hidden="false" customHeight="false" outlineLevel="0" collapsed="false">
      <c r="A19356" s="3" t="s">
        <v>558</v>
      </c>
      <c r="C19356" s="16" t="n">
        <f aca="false">IF(C19334&gt;0,C19312-C19345,0)</f>
        <v>4.1808730632</v>
      </c>
      <c r="G19356" s="21" t="n">
        <f aca="false">IF(AND(G19071=1,G19042=1),1,0)</f>
        <v>0</v>
      </c>
      <c r="H19356" s="21" t="n">
        <f aca="false">IF(G19356=1,1,IF(AND(H19071=1,H19042=1),1,0))</f>
        <v>0</v>
      </c>
      <c r="I19356" s="21" t="n">
        <f aca="false">IF(H19356=1,1,IF(AND(I19071=1,I19042=1),1,0))</f>
        <v>0</v>
      </c>
      <c r="J19356" s="21" t="n">
        <f aca="false">IF(I19356=1,1,IF(AND(J19071=1,J19042=1),1,0))</f>
        <v>0</v>
      </c>
      <c r="K19356" s="21" t="n">
        <f aca="false">IF(J19356=1,1,IF(AND(K19071=1,K19042=1),1,0))</f>
        <v>0</v>
      </c>
    </row>
    <row r="19357" customFormat="false" ht="15" hidden="false" customHeight="false" outlineLevel="0" collapsed="false">
      <c r="A19357" s="3" t="s">
        <v>559</v>
      </c>
      <c r="C19357" s="16" t="n">
        <f aca="false">IF(C19335&gt;0,C19313-C19346,0)</f>
        <v>0</v>
      </c>
      <c r="G19357" s="21" t="n">
        <f aca="false">IF(AND(G19084=1,G19042=1),1,0)</f>
        <v>0</v>
      </c>
      <c r="H19357" s="21" t="n">
        <f aca="false">IF(G19357=1,1,IF(AND(H19084=1,H19042=1),1,0))</f>
        <v>0</v>
      </c>
      <c r="I19357" s="21" t="n">
        <f aca="false">IF(H19357=1,1,IF(AND(I19084=1,I19042=1),1,0))</f>
        <v>0</v>
      </c>
      <c r="J19357" s="21" t="n">
        <f aca="false">IF(I19357=1,1,IF(AND(J19084=1,J19042=1),1,0))</f>
        <v>0</v>
      </c>
      <c r="K19357" s="21" t="n">
        <f aca="false">IF(J19357=1,1,IF(AND(K19084=1,K19042=1),1,0))</f>
        <v>0</v>
      </c>
    </row>
    <row r="19358" customFormat="false" ht="15" hidden="false" customHeight="false" outlineLevel="0" collapsed="false">
      <c r="A19358" s="3" t="s">
        <v>560</v>
      </c>
      <c r="C19358" s="16" t="n">
        <f aca="false">IF(C19336&gt;0,C19314-C19347,0)</f>
        <v>0</v>
      </c>
      <c r="G19358" s="21" t="n">
        <f aca="false">IF(AND(G19097=1,G19042=1),1,0)</f>
        <v>0</v>
      </c>
      <c r="H19358" s="21" t="n">
        <f aca="false">IF(G19358=1,1,IF(AND(H19097=1,H19042=1),1,0))</f>
        <v>0</v>
      </c>
      <c r="I19358" s="21" t="n">
        <f aca="false">IF(H19358=1,1,IF(AND(I19097=1,I19042=1),1,0))</f>
        <v>0</v>
      </c>
      <c r="J19358" s="21" t="n">
        <f aca="false">IF(I19358=1,1,IF(AND(J19097=1,J19042=1),1,0))</f>
        <v>0</v>
      </c>
      <c r="K19358" s="21" t="n">
        <f aca="false">IF(J19358=1,1,IF(AND(K19097=1,K19042=1),1,0))</f>
        <v>0</v>
      </c>
    </row>
    <row r="19359" customFormat="false" ht="15" hidden="false" customHeight="false" outlineLevel="0" collapsed="false">
      <c r="A19359" s="3" t="s">
        <v>561</v>
      </c>
      <c r="C19359" s="16" t="n">
        <f aca="false">IF(C19337&gt;0,C19315-C19348,0)</f>
        <v>0</v>
      </c>
      <c r="G19359" s="21" t="n">
        <f aca="false">IF(AND(G19110=1,G19042=1),1,0)</f>
        <v>0</v>
      </c>
      <c r="H19359" s="21" t="n">
        <f aca="false">IF(G19359=1,1,IF(AND(H19110=1,H19042=1),1,0))</f>
        <v>0</v>
      </c>
      <c r="I19359" s="21" t="n">
        <f aca="false">IF(H19359=1,1,IF(AND(I19110=1,I19042=1),1,0))</f>
        <v>0</v>
      </c>
      <c r="J19359" s="21" t="n">
        <f aca="false">IF(I19359=1,1,IF(AND(J19110=1,J19042=1),1,0))</f>
        <v>0</v>
      </c>
      <c r="K19359" s="21" t="n">
        <f aca="false">IF(J19359=1,1,IF(AND(K19110=1,K19042=1),1,0))</f>
        <v>0</v>
      </c>
    </row>
    <row r="19360" customFormat="false" ht="15" hidden="false" customHeight="false" outlineLevel="0" collapsed="false">
      <c r="A19360" s="3" t="s">
        <v>562</v>
      </c>
      <c r="C19360" s="16" t="n">
        <f aca="false">IF(C19338&gt;0,C19316-C19349,0)</f>
        <v>0</v>
      </c>
      <c r="G19360" s="21" t="n">
        <f aca="false">IF(AND(G19123=1,G19042=1),1,0)</f>
        <v>0</v>
      </c>
      <c r="H19360" s="21" t="n">
        <f aca="false">IF(G19360=1,1,IF(AND(H19123=1,H19042=1),1,0))</f>
        <v>0</v>
      </c>
      <c r="I19360" s="21" t="n">
        <f aca="false">IF(H19360=1,1,IF(AND(I19123=1,I19042=1),1,0))</f>
        <v>0</v>
      </c>
      <c r="J19360" s="21" t="n">
        <f aca="false">IF(I19360=1,1,IF(AND(J19123=1,J19042=1),1,0))</f>
        <v>0</v>
      </c>
      <c r="K19360" s="21" t="n">
        <f aca="false">IF(J19360=1,1,IF(AND(K19123=1,K19042=1),1,0))</f>
        <v>0</v>
      </c>
    </row>
    <row r="19361" customFormat="false" ht="15" hidden="false" customHeight="false" outlineLevel="0" collapsed="false">
      <c r="A19361" s="3" t="s">
        <v>563</v>
      </c>
      <c r="C19361" s="16" t="n">
        <f aca="false">IF(C19339&gt;0,C19317-C19350,0)</f>
        <v>0</v>
      </c>
      <c r="G19361" s="21" t="n">
        <f aca="false">IF(AND(G19136=1,G19042=1),1,0)</f>
        <v>0</v>
      </c>
      <c r="H19361" s="21" t="n">
        <f aca="false">IF(G19361=1,1,IF(AND(H19136=1,H19042=1),1,0))</f>
        <v>0</v>
      </c>
      <c r="I19361" s="21" t="n">
        <f aca="false">IF(H19361=1,1,IF(AND(I19136=1,I19042=1),1,0))</f>
        <v>0</v>
      </c>
      <c r="J19361" s="21" t="n">
        <f aca="false">IF(I19361=1,1,IF(AND(J19136=1,J19042=1),1,0))</f>
        <v>0</v>
      </c>
      <c r="K19361" s="21" t="n">
        <f aca="false">IF(J19361=1,1,IF(AND(K19136=1,K19042=1),1,0))</f>
        <v>0</v>
      </c>
    </row>
    <row r="19362" customFormat="false" ht="15" hidden="false" customHeight="false" outlineLevel="0" collapsed="false">
      <c r="A19362" s="3" t="s">
        <v>564</v>
      </c>
      <c r="C19362" s="16" t="n">
        <f aca="false">IF(C19340&gt;0,C19318-C19351,0)</f>
        <v>0</v>
      </c>
      <c r="G19362" s="21" t="n">
        <f aca="false">IF(AND(G19149=1,G19042=1),1,0)</f>
        <v>0</v>
      </c>
      <c r="H19362" s="21" t="n">
        <f aca="false">IF(G19362=1,1,IF(AND(H19149=1,H19042=1),1,0))</f>
        <v>0</v>
      </c>
      <c r="I19362" s="21" t="n">
        <f aca="false">IF(H19362=1,1,IF(AND(I19149=1,I19042=1),1,0))</f>
        <v>0</v>
      </c>
      <c r="J19362" s="21" t="n">
        <f aca="false">IF(I19362=1,1,IF(AND(J19149=1,J19042=1),1,0))</f>
        <v>0</v>
      </c>
      <c r="K19362" s="21" t="n">
        <f aca="false">IF(J19362=1,1,IF(AND(K19149=1,K19042=1),1,0))</f>
        <v>0</v>
      </c>
    </row>
    <row r="19363" customFormat="false" ht="15" hidden="false" customHeight="false" outlineLevel="0" collapsed="false">
      <c r="A19363" s="3" t="s">
        <v>565</v>
      </c>
      <c r="C19363" s="16" t="n">
        <f aca="false">IF(C19341&gt;0,C19319-C19352,0)</f>
        <v>0</v>
      </c>
      <c r="G19363" s="21" t="n">
        <f aca="false">IF(AND(G19162=1,G19042=1),1,0)</f>
        <v>0</v>
      </c>
      <c r="H19363" s="21" t="n">
        <f aca="false">IF(G19363=1,1,IF(AND(H19162=1,H19042=1),1,0))</f>
        <v>0</v>
      </c>
      <c r="I19363" s="21" t="n">
        <f aca="false">IF(H19363=1,1,IF(AND(I19162=1,I19042=1),1,0))</f>
        <v>0</v>
      </c>
      <c r="J19363" s="21" t="n">
        <f aca="false">IF(I19363=1,1,IF(AND(J19162=1,J19042=1),1,0))</f>
        <v>0</v>
      </c>
      <c r="K19363" s="21" t="n">
        <f aca="false">IF(J19363=1,1,IF(AND(K19162=1,K19042=1),1,0))</f>
        <v>0</v>
      </c>
    </row>
    <row r="19364" customFormat="false" ht="15" hidden="false" customHeight="false" outlineLevel="0" collapsed="false">
      <c r="A19364" s="24" t="s">
        <v>570</v>
      </c>
      <c r="B19364" s="25"/>
      <c r="C19364" s="25"/>
      <c r="D19364" s="25"/>
      <c r="E19364" s="25"/>
      <c r="F19364" s="25"/>
      <c r="G19364" s="25"/>
      <c r="H19364" s="25"/>
      <c r="I19364" s="25"/>
      <c r="J19364" s="25"/>
      <c r="K19364" s="25"/>
    </row>
    <row r="19365" customFormat="false" ht="15" hidden="false" customHeight="false" outlineLevel="0" collapsed="false">
      <c r="A19365" s="3" t="s">
        <v>556</v>
      </c>
      <c r="C19365" s="16" t="n">
        <f aca="false">IF(C19332&gt;0,C19354,C19310)</f>
        <v>0</v>
      </c>
    </row>
    <row r="19366" customFormat="false" ht="15" hidden="false" customHeight="false" outlineLevel="0" collapsed="false">
      <c r="A19366" s="3" t="s">
        <v>557</v>
      </c>
      <c r="C19366" s="16" t="n">
        <f aca="false">IF(C19333&gt;0,C19355,C19311)</f>
        <v>6.15039951360001</v>
      </c>
    </row>
    <row r="19367" customFormat="false" ht="15" hidden="false" customHeight="false" outlineLevel="0" collapsed="false">
      <c r="A19367" s="3" t="s">
        <v>558</v>
      </c>
      <c r="C19367" s="16" t="n">
        <f aca="false">IF(C19334&gt;0,C19356,C19312)</f>
        <v>4.1808730632</v>
      </c>
    </row>
    <row r="19368" customFormat="false" ht="15" hidden="false" customHeight="false" outlineLevel="0" collapsed="false">
      <c r="A19368" s="3" t="s">
        <v>559</v>
      </c>
      <c r="C19368" s="16" t="n">
        <f aca="false">IF(C19335&gt;0,C19357,C19313)</f>
        <v>0</v>
      </c>
    </row>
    <row r="19369" customFormat="false" ht="15" hidden="false" customHeight="false" outlineLevel="0" collapsed="false">
      <c r="A19369" s="3" t="s">
        <v>560</v>
      </c>
      <c r="C19369" s="16" t="n">
        <f aca="false">IF(C19336&gt;0,C19358,C19314)</f>
        <v>454.44375</v>
      </c>
    </row>
    <row r="19370" customFormat="false" ht="15" hidden="false" customHeight="false" outlineLevel="0" collapsed="false">
      <c r="A19370" s="3" t="s">
        <v>561</v>
      </c>
      <c r="C19370" s="16" t="n">
        <f aca="false">IF(C19337&gt;0,C19359,C19315)</f>
        <v>357.2625</v>
      </c>
    </row>
    <row r="19371" customFormat="false" ht="15" hidden="false" customHeight="false" outlineLevel="0" collapsed="false">
      <c r="A19371" s="3" t="s">
        <v>562</v>
      </c>
      <c r="C19371" s="16" t="n">
        <f aca="false">IF(C19338&gt;0,C19360,C19316)</f>
        <v>562.203125</v>
      </c>
    </row>
    <row r="19372" customFormat="false" ht="15" hidden="false" customHeight="false" outlineLevel="0" collapsed="false">
      <c r="A19372" s="3" t="s">
        <v>563</v>
      </c>
      <c r="C19372" s="16" t="n">
        <f aca="false">IF(C19339&gt;0,C19361,C19317)</f>
        <v>353.98125</v>
      </c>
    </row>
    <row r="19373" customFormat="false" ht="15" hidden="false" customHeight="false" outlineLevel="0" collapsed="false">
      <c r="A19373" s="3" t="s">
        <v>564</v>
      </c>
      <c r="C19373" s="16" t="n">
        <f aca="false">IF(C19340&gt;0,C19362,C19318)</f>
        <v>304.59375</v>
      </c>
    </row>
    <row r="19374" customFormat="false" ht="15" hidden="false" customHeight="false" outlineLevel="0" collapsed="false">
      <c r="A19374" s="3" t="s">
        <v>565</v>
      </c>
      <c r="C19374" s="16" t="n">
        <f aca="false">IF(C19341&gt;0,C19363,C19319)</f>
        <v>80.2332965</v>
      </c>
    </row>
    <row r="19375" customFormat="false" ht="15" hidden="false" customHeight="false" outlineLevel="0" collapsed="false">
      <c r="A19375" s="24" t="s">
        <v>571</v>
      </c>
      <c r="B19375" s="25"/>
      <c r="C19375" s="25"/>
      <c r="D19375" s="25"/>
      <c r="E19375" s="25"/>
      <c r="F19375" s="25"/>
      <c r="G19375" s="25"/>
      <c r="H19375" s="25"/>
      <c r="I19375" s="25"/>
      <c r="J19375" s="25"/>
      <c r="K19375" s="25"/>
    </row>
    <row r="19376" customFormat="false" ht="15" hidden="false" customHeight="false" outlineLevel="0" collapsed="false">
      <c r="A19376" s="3" t="s">
        <v>556</v>
      </c>
      <c r="C19376" s="21" t="n">
        <f aca="false">IF(C19332&gt;0,Assumptions!$C$17,C19321)</f>
        <v>99</v>
      </c>
    </row>
    <row r="19377" customFormat="false" ht="15" hidden="false" customHeight="false" outlineLevel="0" collapsed="false">
      <c r="A19377" s="3" t="s">
        <v>557</v>
      </c>
      <c r="C19377" s="21" t="n">
        <f aca="false">IF(C19333&gt;0,Assumptions!$C$17,C19322)</f>
        <v>99</v>
      </c>
    </row>
    <row r="19378" customFormat="false" ht="15" hidden="false" customHeight="false" outlineLevel="0" collapsed="false">
      <c r="A19378" s="3" t="s">
        <v>558</v>
      </c>
      <c r="C19378" s="21" t="n">
        <f aca="false">IF(C19334&gt;0,Assumptions!$C$17,C19323)</f>
        <v>99</v>
      </c>
    </row>
    <row r="19379" customFormat="false" ht="15" hidden="false" customHeight="false" outlineLevel="0" collapsed="false">
      <c r="A19379" s="3" t="s">
        <v>559</v>
      </c>
      <c r="C19379" s="21" t="n">
        <f aca="false">IF(C19335&gt;0,Assumptions!$C$17,C19324)</f>
        <v>2</v>
      </c>
    </row>
    <row r="19380" customFormat="false" ht="15" hidden="false" customHeight="false" outlineLevel="0" collapsed="false">
      <c r="A19380" s="3" t="s">
        <v>560</v>
      </c>
      <c r="C19380" s="21" t="n">
        <f aca="false">IF(C19336&gt;0,Assumptions!$C$17,C19325)</f>
        <v>2</v>
      </c>
    </row>
    <row r="19381" customFormat="false" ht="15" hidden="false" customHeight="false" outlineLevel="0" collapsed="false">
      <c r="A19381" s="3" t="s">
        <v>561</v>
      </c>
      <c r="C19381" s="21" t="n">
        <f aca="false">IF(C19337&gt;0,Assumptions!$C$17,C19326)</f>
        <v>2</v>
      </c>
    </row>
    <row r="19382" customFormat="false" ht="15" hidden="false" customHeight="false" outlineLevel="0" collapsed="false">
      <c r="A19382" s="3" t="s">
        <v>562</v>
      </c>
      <c r="C19382" s="21" t="n">
        <f aca="false">IF(C19338&gt;0,Assumptions!$C$17,C19327)</f>
        <v>2</v>
      </c>
    </row>
    <row r="19383" customFormat="false" ht="15" hidden="false" customHeight="false" outlineLevel="0" collapsed="false">
      <c r="A19383" s="3" t="s">
        <v>563</v>
      </c>
      <c r="C19383" s="21" t="n">
        <f aca="false">IF(C19339&gt;0,Assumptions!$C$17,C19328)</f>
        <v>2</v>
      </c>
    </row>
    <row r="19384" customFormat="false" ht="15" hidden="false" customHeight="false" outlineLevel="0" collapsed="false">
      <c r="A19384" s="3" t="s">
        <v>564</v>
      </c>
      <c r="C19384" s="21" t="n">
        <f aca="false">IF(C19340&gt;0,Assumptions!$C$17,C19329)</f>
        <v>2</v>
      </c>
    </row>
    <row r="19385" customFormat="false" ht="15" hidden="false" customHeight="false" outlineLevel="0" collapsed="false">
      <c r="A19385" s="3" t="s">
        <v>565</v>
      </c>
      <c r="C19385" s="21" t="n">
        <f aca="false">IF(C19341&gt;0,Assumptions!$C$17,C19330)</f>
        <v>3</v>
      </c>
    </row>
    <row r="19386" customFormat="false" ht="15" hidden="false" customHeight="false" outlineLevel="0" collapsed="false">
      <c r="A19386" s="24" t="s">
        <v>572</v>
      </c>
      <c r="B19386" s="25"/>
      <c r="C19386" s="25"/>
      <c r="D19386" s="25"/>
      <c r="E19386" s="25"/>
      <c r="F19386" s="25"/>
      <c r="G19386" s="25"/>
      <c r="H19386" s="25"/>
      <c r="I19386" s="25"/>
      <c r="J19386" s="25"/>
      <c r="K19386" s="25"/>
    </row>
    <row r="19387" customFormat="false" ht="15" hidden="false" customHeight="false" outlineLevel="0" collapsed="false">
      <c r="A19387" s="3" t="s">
        <v>556</v>
      </c>
      <c r="C19387" s="16" t="n">
        <f aca="false">SUMPRODUCT(($C$19376:$C$19385&lt;C19376)*$C$19365:$C$19374)</f>
        <v>2112.7176715</v>
      </c>
    </row>
    <row r="19388" customFormat="false" ht="15" hidden="false" customHeight="false" outlineLevel="0" collapsed="false">
      <c r="A19388" s="3" t="s">
        <v>557</v>
      </c>
      <c r="C19388" s="16" t="n">
        <f aca="false">SUMPRODUCT(($C$19376:$C$19385&lt;C19377)*$C$19365:$C$19374)</f>
        <v>2112.7176715</v>
      </c>
    </row>
    <row r="19389" customFormat="false" ht="15" hidden="false" customHeight="false" outlineLevel="0" collapsed="false">
      <c r="A19389" s="3" t="s">
        <v>558</v>
      </c>
      <c r="C19389" s="16" t="n">
        <f aca="false">SUMPRODUCT(($C$19376:$C$19385&lt;C19378)*$C$19365:$C$19374)</f>
        <v>2112.7176715</v>
      </c>
    </row>
    <row r="19390" customFormat="false" ht="15" hidden="false" customHeight="false" outlineLevel="0" collapsed="false">
      <c r="A19390" s="3" t="s">
        <v>559</v>
      </c>
      <c r="C19390" s="16" t="n">
        <f aca="false">SUMPRODUCT(($C$19376:$C$19385&lt;C19379)*$C$19365:$C$19374)</f>
        <v>0</v>
      </c>
    </row>
    <row r="19391" customFormat="false" ht="15" hidden="false" customHeight="false" outlineLevel="0" collapsed="false">
      <c r="A19391" s="3" t="s">
        <v>560</v>
      </c>
      <c r="C19391" s="16" t="n">
        <f aca="false">SUMPRODUCT(($C$19376:$C$19385&lt;C19380)*$C$19365:$C$19374)</f>
        <v>0</v>
      </c>
    </row>
    <row r="19392" customFormat="false" ht="15" hidden="false" customHeight="false" outlineLevel="0" collapsed="false">
      <c r="A19392" s="3" t="s">
        <v>561</v>
      </c>
      <c r="C19392" s="16" t="n">
        <f aca="false">SUMPRODUCT(($C$19376:$C$19385&lt;C19381)*$C$19365:$C$19374)</f>
        <v>0</v>
      </c>
    </row>
    <row r="19393" customFormat="false" ht="15" hidden="false" customHeight="false" outlineLevel="0" collapsed="false">
      <c r="A19393" s="3" t="s">
        <v>562</v>
      </c>
      <c r="C19393" s="16" t="n">
        <f aca="false">SUMPRODUCT(($C$19376:$C$19385&lt;C19382)*$C$19365:$C$19374)</f>
        <v>0</v>
      </c>
    </row>
    <row r="19394" customFormat="false" ht="15" hidden="false" customHeight="false" outlineLevel="0" collapsed="false">
      <c r="A19394" s="3" t="s">
        <v>563</v>
      </c>
      <c r="C19394" s="16" t="n">
        <f aca="false">SUMPRODUCT(($C$19376:$C$19385&lt;C19383)*$C$19365:$C$19374)</f>
        <v>0</v>
      </c>
    </row>
    <row r="19395" customFormat="false" ht="15" hidden="false" customHeight="false" outlineLevel="0" collapsed="false">
      <c r="A19395" s="3" t="s">
        <v>564</v>
      </c>
      <c r="C19395" s="16" t="n">
        <f aca="false">SUMPRODUCT(($C$19376:$C$19385&lt;C19384)*$C$19365:$C$19374)</f>
        <v>0</v>
      </c>
    </row>
    <row r="19396" customFormat="false" ht="15" hidden="false" customHeight="false" outlineLevel="0" collapsed="false">
      <c r="A19396" s="3" t="s">
        <v>565</v>
      </c>
      <c r="C19396" s="16" t="n">
        <f aca="false">SUMPRODUCT(($C$19376:$C$19385&lt;C19385)*$C$19365:$C$19374)</f>
        <v>2032.484375</v>
      </c>
    </row>
    <row r="19397" customFormat="false" ht="15" hidden="false" customHeight="false" outlineLevel="0" collapsed="false">
      <c r="A19397" s="24" t="s">
        <v>573</v>
      </c>
      <c r="B19397" s="25"/>
      <c r="C19397" s="25"/>
      <c r="D19397" s="25"/>
      <c r="E19397" s="25"/>
      <c r="F19397" s="25"/>
      <c r="G19397" s="25"/>
      <c r="H19397" s="25"/>
      <c r="I19397" s="25"/>
      <c r="J19397" s="25"/>
      <c r="K19397" s="25"/>
    </row>
    <row r="19398" customFormat="false" ht="15" hidden="false" customHeight="false" outlineLevel="0" collapsed="false">
      <c r="A19398" s="3" t="s">
        <v>556</v>
      </c>
      <c r="C19398" s="16" t="n">
        <f aca="false">SUMPRODUCT(($C$19376:$C$19385=C19376)*$C$19365:$C$19374)</f>
        <v>10.3312725768</v>
      </c>
    </row>
    <row r="19399" customFormat="false" ht="15" hidden="false" customHeight="false" outlineLevel="0" collapsed="false">
      <c r="A19399" s="3" t="s">
        <v>557</v>
      </c>
      <c r="C19399" s="16" t="n">
        <f aca="false">SUMPRODUCT(($C$19376:$C$19385=C19377)*$C$19365:$C$19374)</f>
        <v>10.3312725768</v>
      </c>
    </row>
    <row r="19400" customFormat="false" ht="15" hidden="false" customHeight="false" outlineLevel="0" collapsed="false">
      <c r="A19400" s="3" t="s">
        <v>558</v>
      </c>
      <c r="C19400" s="16" t="n">
        <f aca="false">SUMPRODUCT(($C$19376:$C$19385=C19378)*$C$19365:$C$19374)</f>
        <v>10.3312725768</v>
      </c>
    </row>
    <row r="19401" customFormat="false" ht="15" hidden="false" customHeight="false" outlineLevel="0" collapsed="false">
      <c r="A19401" s="3" t="s">
        <v>559</v>
      </c>
      <c r="C19401" s="16" t="n">
        <f aca="false">SUMPRODUCT(($C$19376:$C$19385=C19379)*$C$19365:$C$19374)</f>
        <v>2032.484375</v>
      </c>
    </row>
    <row r="19402" customFormat="false" ht="15" hidden="false" customHeight="false" outlineLevel="0" collapsed="false">
      <c r="A19402" s="3" t="s">
        <v>560</v>
      </c>
      <c r="C19402" s="16" t="n">
        <f aca="false">SUMPRODUCT(($C$19376:$C$19385=C19380)*$C$19365:$C$19374)</f>
        <v>2032.484375</v>
      </c>
    </row>
    <row r="19403" customFormat="false" ht="15" hidden="false" customHeight="false" outlineLevel="0" collapsed="false">
      <c r="A19403" s="3" t="s">
        <v>561</v>
      </c>
      <c r="C19403" s="16" t="n">
        <f aca="false">SUMPRODUCT(($C$19376:$C$19385=C19381)*$C$19365:$C$19374)</f>
        <v>2032.484375</v>
      </c>
    </row>
    <row r="19404" customFormat="false" ht="15" hidden="false" customHeight="false" outlineLevel="0" collapsed="false">
      <c r="A19404" s="3" t="s">
        <v>562</v>
      </c>
      <c r="C19404" s="16" t="n">
        <f aca="false">SUMPRODUCT(($C$19376:$C$19385=C19382)*$C$19365:$C$19374)</f>
        <v>2032.484375</v>
      </c>
    </row>
    <row r="19405" customFormat="false" ht="15" hidden="false" customHeight="false" outlineLevel="0" collapsed="false">
      <c r="A19405" s="3" t="s">
        <v>563</v>
      </c>
      <c r="C19405" s="16" t="n">
        <f aca="false">SUMPRODUCT(($C$19376:$C$19385=C19383)*$C$19365:$C$19374)</f>
        <v>2032.484375</v>
      </c>
    </row>
    <row r="19406" customFormat="false" ht="15" hidden="false" customHeight="false" outlineLevel="0" collapsed="false">
      <c r="A19406" s="3" t="s">
        <v>564</v>
      </c>
      <c r="C19406" s="16" t="n">
        <f aca="false">SUMPRODUCT(($C$19376:$C$19385=C19384)*$C$19365:$C$19374)</f>
        <v>2032.484375</v>
      </c>
    </row>
    <row r="19407" customFormat="false" ht="15" hidden="false" customHeight="false" outlineLevel="0" collapsed="false">
      <c r="A19407" s="3" t="s">
        <v>565</v>
      </c>
      <c r="C19407" s="16" t="n">
        <f aca="false">SUMPRODUCT(($C$19376:$C$19385=C19385)*$C$19365:$C$19374)</f>
        <v>80.2332965</v>
      </c>
    </row>
    <row r="19408" customFormat="false" ht="15" hidden="false" customHeight="false" outlineLevel="0" collapsed="false">
      <c r="A19408" s="24" t="s">
        <v>574</v>
      </c>
      <c r="B19408" s="25"/>
      <c r="C19408" s="25"/>
      <c r="D19408" s="25"/>
      <c r="E19408" s="25"/>
      <c r="F19408" s="25"/>
      <c r="G19408" s="25"/>
      <c r="H19408" s="25"/>
      <c r="I19408" s="25"/>
      <c r="J19408" s="25"/>
      <c r="K19408" s="25"/>
    </row>
    <row r="19409" customFormat="false" ht="15" hidden="false" customHeight="false" outlineLevel="0" collapsed="false">
      <c r="A19409" s="3" t="s">
        <v>556</v>
      </c>
      <c r="C19409" s="16" t="n">
        <f aca="false">IF(C19398=0,0,C19365/C19398*MAX(0,MIN(C19398,$C$19308-SUM($C$19343:$C$19352)-C19387)))</f>
        <v>0</v>
      </c>
    </row>
    <row r="19410" customFormat="false" ht="15" hidden="false" customHeight="false" outlineLevel="0" collapsed="false">
      <c r="A19410" s="3" t="s">
        <v>557</v>
      </c>
      <c r="C19410" s="16" t="n">
        <f aca="false">IF(C19399=0,0,C19366/C19399*MAX(0,MIN(C19399,$C$19308-SUM($C$19343:$C$19352)-C19388)))</f>
        <v>0</v>
      </c>
    </row>
    <row r="19411" customFormat="false" ht="15" hidden="false" customHeight="false" outlineLevel="0" collapsed="false">
      <c r="A19411" s="3" t="s">
        <v>558</v>
      </c>
      <c r="C19411" s="16" t="n">
        <f aca="false">IF(C19400=0,0,C19367/C19400*MAX(0,MIN(C19400,$C$19308-SUM($C$19343:$C$19352)-C19389)))</f>
        <v>0</v>
      </c>
    </row>
    <row r="19412" customFormat="false" ht="15" hidden="false" customHeight="false" outlineLevel="0" collapsed="false">
      <c r="A19412" s="3" t="s">
        <v>559</v>
      </c>
      <c r="C19412" s="16" t="n">
        <f aca="false">IF(C19401=0,0,C19368/C19401*MAX(0,MIN(C19401,$C$19308-SUM($C$19343:$C$19352)-C19390)))</f>
        <v>0</v>
      </c>
    </row>
    <row r="19413" customFormat="false" ht="15" hidden="false" customHeight="false" outlineLevel="0" collapsed="false">
      <c r="A19413" s="3" t="s">
        <v>560</v>
      </c>
      <c r="C19413" s="16" t="n">
        <f aca="false">IF(C19402=0,0,C19369/C19402*MAX(0,MIN(C19402,$C$19308-SUM($C$19343:$C$19352)-C19391)))</f>
        <v>454.44375</v>
      </c>
    </row>
    <row r="19414" customFormat="false" ht="15" hidden="false" customHeight="false" outlineLevel="0" collapsed="false">
      <c r="A19414" s="3" t="s">
        <v>561</v>
      </c>
      <c r="C19414" s="16" t="n">
        <f aca="false">IF(C19403=0,0,C19370/C19403*MAX(0,MIN(C19403,$C$19308-SUM($C$19343:$C$19352)-C19392)))</f>
        <v>357.2625</v>
      </c>
    </row>
    <row r="19415" customFormat="false" ht="15" hidden="false" customHeight="false" outlineLevel="0" collapsed="false">
      <c r="A19415" s="3" t="s">
        <v>562</v>
      </c>
      <c r="C19415" s="16" t="n">
        <f aca="false">IF(C19404=0,0,C19371/C19404*MAX(0,MIN(C19404,$C$19308-SUM($C$19343:$C$19352)-C19393)))</f>
        <v>562.203125</v>
      </c>
    </row>
    <row r="19416" customFormat="false" ht="15" hidden="false" customHeight="false" outlineLevel="0" collapsed="false">
      <c r="A19416" s="3" t="s">
        <v>563</v>
      </c>
      <c r="C19416" s="16" t="n">
        <f aca="false">IF(C19405=0,0,C19372/C19405*MAX(0,MIN(C19405,$C$19308-SUM($C$19343:$C$19352)-C19394)))</f>
        <v>353.98125</v>
      </c>
    </row>
    <row r="19417" customFormat="false" ht="15" hidden="false" customHeight="false" outlineLevel="0" collapsed="false">
      <c r="A19417" s="3" t="s">
        <v>564</v>
      </c>
      <c r="C19417" s="16" t="n">
        <f aca="false">IF(C19406=0,0,C19373/C19406*MAX(0,MIN(C19406,$C$19308-SUM($C$19343:$C$19352)-C19395)))</f>
        <v>304.59375</v>
      </c>
    </row>
    <row r="19418" customFormat="false" ht="15" hidden="false" customHeight="false" outlineLevel="0" collapsed="false">
      <c r="A19418" s="3" t="s">
        <v>565</v>
      </c>
      <c r="C19418" s="16" t="n">
        <f aca="false">IF(C19407=0,0,C19374/C19407*MAX(0,MIN(C19407,$C$19308-SUM($C$19343:$C$19352)-C19396)))</f>
        <v>4.91867227679973</v>
      </c>
    </row>
    <row r="19419" customFormat="false" ht="15" hidden="false" customHeight="false" outlineLevel="0" collapsed="false">
      <c r="A19419" s="24" t="s">
        <v>575</v>
      </c>
      <c r="B19419" s="25"/>
      <c r="C19419" s="25"/>
      <c r="D19419" s="25"/>
      <c r="E19419" s="25"/>
      <c r="F19419" s="25"/>
      <c r="G19419" s="25"/>
      <c r="H19419" s="25"/>
      <c r="I19419" s="25"/>
      <c r="J19419" s="25"/>
      <c r="K19419" s="25"/>
    </row>
    <row r="19420" customFormat="false" ht="15" hidden="false" customHeight="false" outlineLevel="0" collapsed="false">
      <c r="A19420" s="2" t="s">
        <v>556</v>
      </c>
      <c r="C19420" s="17" t="n">
        <f aca="false">C19343+C19409</f>
        <v>403.76</v>
      </c>
    </row>
    <row r="19421" customFormat="false" ht="15" hidden="false" customHeight="false" outlineLevel="0" collapsed="false">
      <c r="A19421" s="2" t="s">
        <v>557</v>
      </c>
      <c r="C19421" s="17" t="n">
        <f aca="false">C19344+C19410</f>
        <v>85.1568504864</v>
      </c>
    </row>
    <row r="19422" customFormat="false" ht="15" hidden="false" customHeight="false" outlineLevel="0" collapsed="false">
      <c r="A19422" s="2" t="s">
        <v>558</v>
      </c>
      <c r="C19422" s="17" t="n">
        <f aca="false">C19345+C19411</f>
        <v>54.1907230368</v>
      </c>
    </row>
    <row r="19423" customFormat="false" ht="15" hidden="false" customHeight="false" outlineLevel="0" collapsed="false">
      <c r="A19423" s="2" t="s">
        <v>559</v>
      </c>
      <c r="C19423" s="17" t="n">
        <f aca="false">C19346+C19412</f>
        <v>0</v>
      </c>
    </row>
    <row r="19424" customFormat="false" ht="15" hidden="false" customHeight="false" outlineLevel="0" collapsed="false">
      <c r="A19424" s="2" t="s">
        <v>560</v>
      </c>
      <c r="C19424" s="17" t="n">
        <f aca="false">C19347+C19413</f>
        <v>454.44375</v>
      </c>
    </row>
    <row r="19425" customFormat="false" ht="15" hidden="false" customHeight="false" outlineLevel="0" collapsed="false">
      <c r="A19425" s="2" t="s">
        <v>561</v>
      </c>
      <c r="C19425" s="17" t="n">
        <f aca="false">C19348+C19414</f>
        <v>357.2625</v>
      </c>
    </row>
    <row r="19426" customFormat="false" ht="15" hidden="false" customHeight="false" outlineLevel="0" collapsed="false">
      <c r="A19426" s="2" t="s">
        <v>562</v>
      </c>
      <c r="C19426" s="17" t="n">
        <f aca="false">C19349+C19415</f>
        <v>562.203125</v>
      </c>
    </row>
    <row r="19427" customFormat="false" ht="15" hidden="false" customHeight="false" outlineLevel="0" collapsed="false">
      <c r="A19427" s="2" t="s">
        <v>563</v>
      </c>
      <c r="C19427" s="17" t="n">
        <f aca="false">C19350+C19416</f>
        <v>353.98125</v>
      </c>
    </row>
    <row r="19428" customFormat="false" ht="15" hidden="false" customHeight="false" outlineLevel="0" collapsed="false">
      <c r="A19428" s="2" t="s">
        <v>564</v>
      </c>
      <c r="C19428" s="17" t="n">
        <f aca="false">C19351+C19417</f>
        <v>304.59375</v>
      </c>
    </row>
    <row r="19429" customFormat="false" ht="15" hidden="false" customHeight="false" outlineLevel="0" collapsed="false">
      <c r="A19429" s="2" t="s">
        <v>565</v>
      </c>
      <c r="C19429" s="17" t="n">
        <f aca="false">C19352+C19418</f>
        <v>4.91867227679973</v>
      </c>
    </row>
    <row r="19430" customFormat="false" ht="15" hidden="false" customHeight="false" outlineLevel="0" collapsed="false">
      <c r="A19430" s="24" t="s">
        <v>576</v>
      </c>
      <c r="B19430" s="25"/>
      <c r="C19430" s="25"/>
      <c r="D19430" s="25"/>
      <c r="E19430" s="25"/>
      <c r="F19430" s="25"/>
      <c r="G19430" s="25"/>
      <c r="H19430" s="25"/>
      <c r="I19430" s="25"/>
      <c r="J19430" s="25"/>
      <c r="K19430" s="25"/>
    </row>
    <row r="19431" customFormat="false" ht="15" hidden="false" customHeight="false" outlineLevel="0" collapsed="false">
      <c r="A19431" s="3" t="s">
        <v>556</v>
      </c>
      <c r="C19431" s="22" t="n">
        <f aca="false">IF(C19310=0,1,C19420/C19310)</f>
        <v>1</v>
      </c>
    </row>
    <row r="19432" customFormat="false" ht="15" hidden="false" customHeight="false" outlineLevel="0" collapsed="false">
      <c r="A19432" s="3" t="s">
        <v>557</v>
      </c>
      <c r="C19432" s="22" t="n">
        <f aca="false">IF(C19311=0,1,C19421/C19311)</f>
        <v>0.932640622583639</v>
      </c>
    </row>
    <row r="19433" customFormat="false" ht="15" hidden="false" customHeight="false" outlineLevel="0" collapsed="false">
      <c r="A19433" s="3" t="s">
        <v>558</v>
      </c>
      <c r="C19433" s="22" t="n">
        <f aca="false">IF(C19312=0,1,C19422/C19312)</f>
        <v>0.928374871640695</v>
      </c>
    </row>
    <row r="19434" customFormat="false" ht="15" hidden="false" customHeight="false" outlineLevel="0" collapsed="false">
      <c r="A19434" s="3" t="s">
        <v>559</v>
      </c>
      <c r="C19434" s="22" t="n">
        <f aca="false">IF(C19313=0,1,C19423/C19313)</f>
        <v>1</v>
      </c>
    </row>
    <row r="19435" customFormat="false" ht="15" hidden="false" customHeight="false" outlineLevel="0" collapsed="false">
      <c r="A19435" s="3" t="s">
        <v>560</v>
      </c>
      <c r="C19435" s="22" t="n">
        <f aca="false">IF(C19314=0,1,C19424/C19314)</f>
        <v>1</v>
      </c>
    </row>
    <row r="19436" customFormat="false" ht="15" hidden="false" customHeight="false" outlineLevel="0" collapsed="false">
      <c r="A19436" s="3" t="s">
        <v>561</v>
      </c>
      <c r="C19436" s="22" t="n">
        <f aca="false">IF(C19315=0,1,C19425/C19315)</f>
        <v>1</v>
      </c>
    </row>
    <row r="19437" customFormat="false" ht="15" hidden="false" customHeight="false" outlineLevel="0" collapsed="false">
      <c r="A19437" s="3" t="s">
        <v>562</v>
      </c>
      <c r="C19437" s="22" t="n">
        <f aca="false">IF(C19316=0,1,C19426/C19316)</f>
        <v>1</v>
      </c>
    </row>
    <row r="19438" customFormat="false" ht="15" hidden="false" customHeight="false" outlineLevel="0" collapsed="false">
      <c r="A19438" s="3" t="s">
        <v>563</v>
      </c>
      <c r="C19438" s="22" t="n">
        <f aca="false">IF(C19317=0,1,C19427/C19317)</f>
        <v>1</v>
      </c>
    </row>
    <row r="19439" customFormat="false" ht="15" hidden="false" customHeight="false" outlineLevel="0" collapsed="false">
      <c r="A19439" s="3" t="s">
        <v>564</v>
      </c>
      <c r="C19439" s="22" t="n">
        <f aca="false">IF(C19318=0,1,C19428/C19318)</f>
        <v>1</v>
      </c>
    </row>
    <row r="19440" customFormat="false" ht="15" hidden="false" customHeight="false" outlineLevel="0" collapsed="false">
      <c r="A19440" s="3" t="s">
        <v>565</v>
      </c>
      <c r="C19440" s="22" t="n">
        <f aca="false">IF(C19319=0,1,C19429/C19319)</f>
        <v>0.0613046265249705</v>
      </c>
    </row>
    <row r="19441" customFormat="false" ht="15" hidden="false" customHeight="false" outlineLevel="0" collapsed="false">
      <c r="A19441" s="24" t="s">
        <v>577</v>
      </c>
      <c r="B19441" s="25"/>
      <c r="C19441" s="25"/>
      <c r="D19441" s="25"/>
      <c r="E19441" s="25"/>
      <c r="F19441" s="25"/>
      <c r="G19441" s="25"/>
      <c r="H19441" s="25"/>
      <c r="I19441" s="25"/>
      <c r="J19441" s="25"/>
      <c r="K19441" s="25"/>
    </row>
    <row r="19442" customFormat="false" ht="15" hidden="false" customHeight="false" outlineLevel="0" collapsed="false">
      <c r="A19442" s="3" t="s">
        <v>556</v>
      </c>
      <c r="C19442" s="16" t="n">
        <f aca="false">C19310-C19420</f>
        <v>0</v>
      </c>
    </row>
    <row r="19443" customFormat="false" ht="15" hidden="false" customHeight="false" outlineLevel="0" collapsed="false">
      <c r="A19443" s="3" t="s">
        <v>557</v>
      </c>
      <c r="C19443" s="16" t="n">
        <f aca="false">C19311-C19421</f>
        <v>6.15039951360001</v>
      </c>
    </row>
    <row r="19444" customFormat="false" ht="15" hidden="false" customHeight="false" outlineLevel="0" collapsed="false">
      <c r="A19444" s="3" t="s">
        <v>558</v>
      </c>
      <c r="C19444" s="16" t="n">
        <f aca="false">C19312-C19422</f>
        <v>4.1808730632</v>
      </c>
    </row>
    <row r="19445" customFormat="false" ht="15" hidden="false" customHeight="false" outlineLevel="0" collapsed="false">
      <c r="A19445" s="3" t="s">
        <v>559</v>
      </c>
      <c r="C19445" s="16" t="n">
        <f aca="false">C19313-C19423</f>
        <v>0</v>
      </c>
    </row>
    <row r="19446" customFormat="false" ht="15" hidden="false" customHeight="false" outlineLevel="0" collapsed="false">
      <c r="A19446" s="3" t="s">
        <v>560</v>
      </c>
      <c r="C19446" s="16" t="n">
        <f aca="false">C19314-C19424</f>
        <v>0</v>
      </c>
    </row>
    <row r="19447" customFormat="false" ht="15" hidden="false" customHeight="false" outlineLevel="0" collapsed="false">
      <c r="A19447" s="3" t="s">
        <v>561</v>
      </c>
      <c r="C19447" s="16" t="n">
        <f aca="false">C19315-C19425</f>
        <v>0</v>
      </c>
    </row>
    <row r="19448" customFormat="false" ht="15" hidden="false" customHeight="false" outlineLevel="0" collapsed="false">
      <c r="A19448" s="3" t="s">
        <v>562</v>
      </c>
      <c r="C19448" s="16" t="n">
        <f aca="false">C19316-C19426</f>
        <v>0</v>
      </c>
    </row>
    <row r="19449" customFormat="false" ht="15" hidden="false" customHeight="false" outlineLevel="0" collapsed="false">
      <c r="A19449" s="3" t="s">
        <v>563</v>
      </c>
      <c r="C19449" s="16" t="n">
        <f aca="false">C19317-C19427</f>
        <v>0</v>
      </c>
    </row>
    <row r="19450" customFormat="false" ht="15" hidden="false" customHeight="false" outlineLevel="0" collapsed="false">
      <c r="A19450" s="3" t="s">
        <v>564</v>
      </c>
      <c r="C19450" s="16" t="n">
        <f aca="false">C19318-C19428</f>
        <v>0</v>
      </c>
    </row>
    <row r="19451" customFormat="false" ht="15" hidden="false" customHeight="false" outlineLevel="0" collapsed="false">
      <c r="A19451" s="3" t="s">
        <v>565</v>
      </c>
      <c r="C19451" s="16" t="n">
        <f aca="false">C19319-C19429</f>
        <v>75.3146242232003</v>
      </c>
    </row>
    <row r="19452" customFormat="false" ht="15" hidden="false" customHeight="false" outlineLevel="0" collapsed="false">
      <c r="A19452" s="24" t="s">
        <v>578</v>
      </c>
      <c r="B19452" s="25"/>
      <c r="C19452" s="25"/>
      <c r="D19452" s="25"/>
      <c r="E19452" s="25"/>
      <c r="F19452" s="25"/>
      <c r="G19452" s="25"/>
      <c r="H19452" s="25"/>
      <c r="I19452" s="25"/>
      <c r="J19452" s="25"/>
      <c r="K19452" s="25"/>
    </row>
    <row r="19453" customFormat="false" ht="15" hidden="false" customHeight="false" outlineLevel="0" collapsed="false">
      <c r="A19453" s="3" t="s">
        <v>556</v>
      </c>
      <c r="C19453" s="22" t="n">
        <f aca="false">IF(C19310=0,0,C19442/C19310)</f>
        <v>0</v>
      </c>
    </row>
    <row r="19454" customFormat="false" ht="15" hidden="false" customHeight="false" outlineLevel="0" collapsed="false">
      <c r="A19454" s="3" t="s">
        <v>557</v>
      </c>
      <c r="C19454" s="22" t="n">
        <f aca="false">IF(C19311=0,0,C19443/C19311)</f>
        <v>0.0673593774163608</v>
      </c>
    </row>
    <row r="19455" customFormat="false" ht="15" hidden="false" customHeight="false" outlineLevel="0" collapsed="false">
      <c r="A19455" s="3" t="s">
        <v>558</v>
      </c>
      <c r="C19455" s="22" t="n">
        <f aca="false">IF(C19312=0,0,C19444/C19312)</f>
        <v>0.0716251283593048</v>
      </c>
    </row>
    <row r="19456" customFormat="false" ht="15" hidden="false" customHeight="false" outlineLevel="0" collapsed="false">
      <c r="A19456" s="3" t="s">
        <v>559</v>
      </c>
      <c r="C19456" s="22" t="n">
        <f aca="false">IF(C19313=0,0,C19445/C19313)</f>
        <v>0</v>
      </c>
    </row>
    <row r="19457" customFormat="false" ht="15" hidden="false" customHeight="false" outlineLevel="0" collapsed="false">
      <c r="A19457" s="3" t="s">
        <v>560</v>
      </c>
      <c r="C19457" s="22" t="n">
        <f aca="false">IF(C19314=0,0,C19446/C19314)</f>
        <v>0</v>
      </c>
    </row>
    <row r="19458" customFormat="false" ht="15" hidden="false" customHeight="false" outlineLevel="0" collapsed="false">
      <c r="A19458" s="3" t="s">
        <v>561</v>
      </c>
      <c r="C19458" s="22" t="n">
        <f aca="false">IF(C19315=0,0,C19447/C19315)</f>
        <v>0</v>
      </c>
    </row>
    <row r="19459" customFormat="false" ht="15" hidden="false" customHeight="false" outlineLevel="0" collapsed="false">
      <c r="A19459" s="3" t="s">
        <v>562</v>
      </c>
      <c r="C19459" s="22" t="n">
        <f aca="false">IF(C19316=0,0,C19448/C19316)</f>
        <v>0</v>
      </c>
    </row>
    <row r="19460" customFormat="false" ht="15" hidden="false" customHeight="false" outlineLevel="0" collapsed="false">
      <c r="A19460" s="3" t="s">
        <v>563</v>
      </c>
      <c r="C19460" s="22" t="n">
        <f aca="false">IF(C19317=0,0,C19449/C19317)</f>
        <v>0</v>
      </c>
    </row>
    <row r="19461" customFormat="false" ht="15" hidden="false" customHeight="false" outlineLevel="0" collapsed="false">
      <c r="A19461" s="3" t="s">
        <v>564</v>
      </c>
      <c r="C19461" s="22" t="n">
        <f aca="false">IF(C19318=0,0,C19450/C19318)</f>
        <v>0</v>
      </c>
    </row>
    <row r="19462" customFormat="false" ht="15" hidden="false" customHeight="false" outlineLevel="0" collapsed="false">
      <c r="A19462" s="3" t="s">
        <v>565</v>
      </c>
      <c r="C19462" s="22" t="n">
        <f aca="false">IF(C19319=0,0,C19451/C19319)</f>
        <v>0.93869537347503</v>
      </c>
    </row>
    <row r="19463" customFormat="false" ht="15" hidden="false" customHeight="false" outlineLevel="0" collapsed="false">
      <c r="A19463" s="2" t="s">
        <v>579</v>
      </c>
      <c r="C19463" s="17" t="n">
        <f aca="false">MAX(0,$C$19308-SUM($C$19343:$C$19352)-SUM($C$19365:$C$19374))</f>
        <v>0</v>
      </c>
    </row>
    <row r="19464" customFormat="false" ht="15" hidden="false" customHeight="false" outlineLevel="0" collapsed="false">
      <c r="A19464" s="3" t="s">
        <v>580</v>
      </c>
      <c r="C19464" s="16" t="n">
        <f aca="false">SUM($C$19420:$C$19429)+C19463+C19307-C19306</f>
        <v>0</v>
      </c>
    </row>
    <row r="19466" customFormat="false" ht="15" hidden="false" customHeight="false" outlineLevel="0" collapsed="false">
      <c r="A19466" s="24" t="s">
        <v>583</v>
      </c>
      <c r="B19466" s="25"/>
      <c r="C19466" s="25"/>
      <c r="D19466" s="25"/>
      <c r="E19466" s="25"/>
      <c r="F19466" s="25"/>
      <c r="G19466" s="25"/>
      <c r="H19466" s="25"/>
      <c r="I19466" s="25"/>
      <c r="J19466" s="25"/>
      <c r="K19466" s="25"/>
    </row>
    <row r="19467" customFormat="false" ht="15" hidden="false" customHeight="false" outlineLevel="0" collapsed="false">
      <c r="A19467" s="3" t="s">
        <v>584</v>
      </c>
      <c r="C19467" s="27" t="n">
        <f aca="false">Assumptions!$C$34</f>
        <v>1</v>
      </c>
    </row>
    <row r="19468" customFormat="false" ht="15" hidden="false" customHeight="false" outlineLevel="0" collapsed="false">
      <c r="A19468" s="3" t="s">
        <v>585</v>
      </c>
      <c r="C19468" s="29" t="n">
        <f aca="false">Assumptions!$C$35</f>
        <v>100</v>
      </c>
    </row>
    <row r="19469" customFormat="false" ht="15" hidden="false" customHeight="false" outlineLevel="0" collapsed="false">
      <c r="A19469" s="3" t="s">
        <v>586</v>
      </c>
      <c r="C19469" s="40" t="n">
        <f aca="false">Assumptions!$C$36</f>
        <v>98</v>
      </c>
    </row>
    <row r="19470" customFormat="false" ht="15" hidden="false" customHeight="false" outlineLevel="0" collapsed="false">
      <c r="A19470" s="3" t="s">
        <v>587</v>
      </c>
      <c r="C19470" s="16" t="n">
        <f aca="false">C19468*C19469/100*(1+Assumptions!$C$37)</f>
        <v>98.49</v>
      </c>
    </row>
    <row r="19471" customFormat="false" ht="15" hidden="false" customHeight="false" outlineLevel="0" collapsed="false">
      <c r="A19471" s="3" t="s">
        <v>588</v>
      </c>
      <c r="C19471" s="27" t="n">
        <f aca="false">Assumptions!$C$38</f>
        <v>3</v>
      </c>
    </row>
    <row r="19472" customFormat="false" ht="15" hidden="false" customHeight="false" outlineLevel="0" collapsed="false">
      <c r="A19472" s="3" t="s">
        <v>589</v>
      </c>
      <c r="C19472" s="21" t="n">
        <f aca="false">IF(C19299=1,SUMPRODUCT($G$19235:$K$19235,$G$19009:$K$19009),0)</f>
        <v>2</v>
      </c>
    </row>
    <row r="19473" customFormat="false" ht="15" hidden="false" customHeight="false" outlineLevel="0" collapsed="false">
      <c r="A19473" s="3" t="s">
        <v>590</v>
      </c>
      <c r="C19473" s="22" t="n">
        <f aca="false">IFERROR(C19468/CHOOSE(C19467,SUMPRODUCT($G$19298:$K$19298,$G$19055:$K$19055),SUMPRODUCT($G$19298:$K$19298,$G$19068:$K$19068),SUMPRODUCT($G$19298:$K$19298,$G$19081:$K$19081),SUMPRODUCT($G$19298:$K$19298,$G$19094:$K$19094),SUMPRODUCT($G$19298:$K$19298,$G$19107:$K$19107),SUMPRODUCT($G$19298:$K$19298,$G$19120:$K$19120),SUMPRODUCT($G$19298:$K$19298,$G$19133:$K$19133),SUMPRODUCT($G$19298:$K$19298,$G$19146:$K$19146),SUMPRODUCT($G$19298:$K$19298,$G$19159:$K$19159),SUMPRODUCT($G$19298:$K$19298,$G$19172:$K$19172)),0)</f>
        <v>0.255102040816327</v>
      </c>
    </row>
    <row r="19474" customFormat="false" ht="15" hidden="false" customHeight="false" outlineLevel="0" collapsed="false">
      <c r="A19474" s="3" t="s">
        <v>591</v>
      </c>
      <c r="C19474" s="16" t="n">
        <f aca="false">CHOOSE(C19467,C19420,C19421,C19422,C19423,C19424,C19425,C19426,C19427,C19428,C19429)*C19473</f>
        <v>103</v>
      </c>
    </row>
    <row r="19475" customFormat="false" ht="15" hidden="false" customHeight="false" outlineLevel="0" collapsed="false">
      <c r="A19475" s="3" t="s">
        <v>592</v>
      </c>
      <c r="C19475" s="22" t="n">
        <f aca="false">CHOOSE(C19467,C19431,C19432,C19433,C19434,C19435,C19436,C19437,C19438,C19439,C19440)</f>
        <v>1</v>
      </c>
    </row>
    <row r="19476" customFormat="false" ht="15" hidden="false" customHeight="false" outlineLevel="0" collapsed="false">
      <c r="A19476" s="3" t="s">
        <v>593</v>
      </c>
      <c r="C19476" s="21" t="n">
        <f aca="false">IF(C19299=1,C19472,C19471)</f>
        <v>2</v>
      </c>
    </row>
    <row r="19477" customFormat="false" ht="15" hidden="false" customHeight="false" outlineLevel="0" collapsed="false">
      <c r="A19477" s="3" t="s">
        <v>594</v>
      </c>
      <c r="C19477" s="35" t="n">
        <f aca="false">CHOOSE($C$19001,Assumptions!$C$91,Assumptions!$C$110,Assumptions!$C$129)</f>
        <v>85</v>
      </c>
    </row>
    <row r="19478" customFormat="false" ht="15" hidden="false" customHeight="false" outlineLevel="0" collapsed="false">
      <c r="A19478" s="3" t="s">
        <v>595</v>
      </c>
      <c r="C19478" s="16" t="n">
        <f aca="false">INDEX($G$19018:$K$19018,C19471)*CHOOSE($C$19001,Assumptions!$C$90,Assumptions!$C$109,Assumptions!$C$128)+MAX(0,INDEX($G$19232:$K$19232,C19471))</f>
        <v>1384.474635786</v>
      </c>
    </row>
    <row r="19479" customFormat="false" ht="15" hidden="false" customHeight="false" outlineLevel="0" collapsed="false">
      <c r="A19479" s="24" t="s">
        <v>596</v>
      </c>
      <c r="B19479" s="25"/>
      <c r="C19479" s="25"/>
      <c r="D19479" s="25"/>
      <c r="E19479" s="25"/>
      <c r="F19479" s="25"/>
      <c r="G19479" s="25"/>
      <c r="H19479" s="25"/>
      <c r="I19479" s="25"/>
      <c r="J19479" s="25"/>
      <c r="K19479" s="25"/>
    </row>
    <row r="19480" customFormat="false" ht="15" hidden="false" customHeight="false" outlineLevel="0" collapsed="false">
      <c r="A19480" s="3" t="s">
        <v>556</v>
      </c>
      <c r="C19480" s="16" t="n">
        <f aca="false">INDEX($G$19055:$K$19055,C19471)</f>
        <v>388</v>
      </c>
    </row>
    <row r="19481" customFormat="false" ht="15" hidden="false" customHeight="false" outlineLevel="0" collapsed="false">
      <c r="A19481" s="3" t="s">
        <v>557</v>
      </c>
      <c r="C19481" s="16" t="n">
        <f aca="false">INDEX($G$19068:$K$19068,C19471)</f>
        <v>90</v>
      </c>
    </row>
    <row r="19482" customFormat="false" ht="15" hidden="false" customHeight="false" outlineLevel="0" collapsed="false">
      <c r="A19482" s="3" t="s">
        <v>558</v>
      </c>
      <c r="C19482" s="16" t="n">
        <f aca="false">INDEX($G$19081:$K$19081,C19471)</f>
        <v>57.324</v>
      </c>
    </row>
    <row r="19483" customFormat="false" ht="15" hidden="false" customHeight="false" outlineLevel="0" collapsed="false">
      <c r="A19483" s="3" t="s">
        <v>559</v>
      </c>
      <c r="C19483" s="16" t="n">
        <f aca="false">INDEX($G$19094:$K$19094,C19471)</f>
        <v>0</v>
      </c>
    </row>
    <row r="19484" customFormat="false" ht="15" hidden="false" customHeight="false" outlineLevel="0" collapsed="false">
      <c r="A19484" s="3" t="s">
        <v>560</v>
      </c>
      <c r="C19484" s="16" t="n">
        <f aca="false">INDEX($G$19107:$K$19107,C19471)</f>
        <v>450</v>
      </c>
    </row>
    <row r="19485" customFormat="false" ht="15" hidden="false" customHeight="false" outlineLevel="0" collapsed="false">
      <c r="A19485" s="3" t="s">
        <v>561</v>
      </c>
      <c r="C19485" s="16" t="n">
        <f aca="false">INDEX($G$19120:$K$19120,C19471)</f>
        <v>350</v>
      </c>
    </row>
    <row r="19486" customFormat="false" ht="15" hidden="false" customHeight="false" outlineLevel="0" collapsed="false">
      <c r="A19486" s="3" t="s">
        <v>562</v>
      </c>
      <c r="C19486" s="16" t="n">
        <f aca="false">INDEX($G$19133:$K$19133,C19471)</f>
        <v>550</v>
      </c>
    </row>
    <row r="19487" customFormat="false" ht="15" hidden="false" customHeight="false" outlineLevel="0" collapsed="false">
      <c r="A19487" s="3" t="s">
        <v>563</v>
      </c>
      <c r="C19487" s="16" t="n">
        <f aca="false">INDEX($G$19146:$K$19146,C19471)</f>
        <v>350</v>
      </c>
    </row>
    <row r="19488" customFormat="false" ht="15" hidden="false" customHeight="false" outlineLevel="0" collapsed="false">
      <c r="A19488" s="3" t="s">
        <v>564</v>
      </c>
      <c r="C19488" s="16" t="n">
        <f aca="false">INDEX($G$19159:$K$19159,C19471)</f>
        <v>300</v>
      </c>
    </row>
    <row r="19489" customFormat="false" ht="15" hidden="false" customHeight="false" outlineLevel="0" collapsed="false">
      <c r="A19489" s="3" t="s">
        <v>565</v>
      </c>
      <c r="C19489" s="16" t="n">
        <f aca="false">INDEX($G$19172:$K$19172,C19471)</f>
        <v>78.61</v>
      </c>
    </row>
    <row r="19490" customFormat="false" ht="15" hidden="false" customHeight="false" outlineLevel="0" collapsed="false">
      <c r="A19490" s="24" t="s">
        <v>566</v>
      </c>
      <c r="B19490" s="25"/>
      <c r="C19490" s="25"/>
      <c r="D19490" s="25"/>
      <c r="E19490" s="25"/>
      <c r="F19490" s="25"/>
      <c r="G19490" s="25"/>
      <c r="H19490" s="25"/>
      <c r="I19490" s="25"/>
      <c r="J19490" s="25"/>
      <c r="K19490" s="25"/>
    </row>
    <row r="19491" customFormat="false" ht="15" hidden="false" customHeight="false" outlineLevel="0" collapsed="false">
      <c r="A19491" s="3" t="s">
        <v>556</v>
      </c>
      <c r="C19491" s="27" t="n">
        <f aca="false">Assumptions!$M$57</f>
        <v>1</v>
      </c>
    </row>
    <row r="19492" customFormat="false" ht="15" hidden="false" customHeight="false" outlineLevel="0" collapsed="false">
      <c r="A19492" s="3" t="s">
        <v>557</v>
      </c>
      <c r="C19492" s="27" t="n">
        <f aca="false">Assumptions!$M$58</f>
        <v>1</v>
      </c>
    </row>
    <row r="19493" customFormat="false" ht="15" hidden="false" customHeight="false" outlineLevel="0" collapsed="false">
      <c r="A19493" s="3" t="s">
        <v>558</v>
      </c>
      <c r="C19493" s="27" t="n">
        <f aca="false">Assumptions!$M$59</f>
        <v>1</v>
      </c>
    </row>
    <row r="19494" customFormat="false" ht="15" hidden="false" customHeight="false" outlineLevel="0" collapsed="false">
      <c r="A19494" s="3" t="s">
        <v>559</v>
      </c>
      <c r="C19494" s="27" t="n">
        <f aca="false">Assumptions!$M$60</f>
        <v>2</v>
      </c>
    </row>
    <row r="19495" customFormat="false" ht="15" hidden="false" customHeight="false" outlineLevel="0" collapsed="false">
      <c r="A19495" s="3" t="s">
        <v>560</v>
      </c>
      <c r="C19495" s="27" t="n">
        <f aca="false">Assumptions!$M$61</f>
        <v>2</v>
      </c>
    </row>
    <row r="19496" customFormat="false" ht="15" hidden="false" customHeight="false" outlineLevel="0" collapsed="false">
      <c r="A19496" s="3" t="s">
        <v>561</v>
      </c>
      <c r="C19496" s="27" t="n">
        <f aca="false">Assumptions!$M$62</f>
        <v>2</v>
      </c>
    </row>
    <row r="19497" customFormat="false" ht="15" hidden="false" customHeight="false" outlineLevel="0" collapsed="false">
      <c r="A19497" s="3" t="s">
        <v>562</v>
      </c>
      <c r="C19497" s="27" t="n">
        <f aca="false">Assumptions!$M$63</f>
        <v>2</v>
      </c>
    </row>
    <row r="19498" customFormat="false" ht="15" hidden="false" customHeight="false" outlineLevel="0" collapsed="false">
      <c r="A19498" s="3" t="s">
        <v>563</v>
      </c>
      <c r="C19498" s="27" t="n">
        <f aca="false">Assumptions!$M$64</f>
        <v>2</v>
      </c>
    </row>
    <row r="19499" customFormat="false" ht="15" hidden="false" customHeight="false" outlineLevel="0" collapsed="false">
      <c r="A19499" s="3" t="s">
        <v>564</v>
      </c>
      <c r="C19499" s="27" t="n">
        <f aca="false">Assumptions!$M$65</f>
        <v>2</v>
      </c>
    </row>
    <row r="19500" customFormat="false" ht="15" hidden="false" customHeight="false" outlineLevel="0" collapsed="false">
      <c r="A19500" s="3" t="s">
        <v>565</v>
      </c>
      <c r="C19500" s="27" t="n">
        <f aca="false">Assumptions!$M$66</f>
        <v>3</v>
      </c>
    </row>
    <row r="19501" customFormat="false" ht="15" hidden="false" customHeight="false" outlineLevel="0" collapsed="false">
      <c r="A19501" s="24" t="s">
        <v>567</v>
      </c>
      <c r="B19501" s="25"/>
      <c r="C19501" s="25"/>
      <c r="D19501" s="25"/>
      <c r="E19501" s="25"/>
      <c r="F19501" s="25"/>
      <c r="G19501" s="25"/>
      <c r="H19501" s="25"/>
      <c r="I19501" s="25"/>
      <c r="J19501" s="25"/>
      <c r="K19501" s="25"/>
    </row>
    <row r="19502" customFormat="false" ht="15" hidden="false" customHeight="false" outlineLevel="0" collapsed="false">
      <c r="A19502" s="3" t="s">
        <v>556</v>
      </c>
      <c r="C19502" s="33" t="n">
        <f aca="false">Assumptions!$Q$57</f>
        <v>0.3</v>
      </c>
    </row>
    <row r="19503" customFormat="false" ht="15" hidden="false" customHeight="false" outlineLevel="0" collapsed="false">
      <c r="A19503" s="3" t="s">
        <v>557</v>
      </c>
      <c r="C19503" s="33" t="n">
        <f aca="false">Assumptions!$Q$58</f>
        <v>0.033</v>
      </c>
    </row>
    <row r="19504" customFormat="false" ht="15" hidden="false" customHeight="false" outlineLevel="0" collapsed="false">
      <c r="A19504" s="3" t="s">
        <v>558</v>
      </c>
      <c r="C19504" s="33" t="n">
        <f aca="false">Assumptions!$Q$59</f>
        <v>0.021</v>
      </c>
    </row>
    <row r="19505" customFormat="false" ht="15" hidden="false" customHeight="false" outlineLevel="0" collapsed="false">
      <c r="A19505" s="3" t="s">
        <v>559</v>
      </c>
      <c r="C19505" s="33" t="n">
        <f aca="false">Assumptions!$Q$60</f>
        <v>0</v>
      </c>
    </row>
    <row r="19506" customFormat="false" ht="15" hidden="false" customHeight="false" outlineLevel="0" collapsed="false">
      <c r="A19506" s="3" t="s">
        <v>560</v>
      </c>
      <c r="C19506" s="33" t="n">
        <f aca="false">Assumptions!$Q$61</f>
        <v>0</v>
      </c>
    </row>
    <row r="19507" customFormat="false" ht="15" hidden="false" customHeight="false" outlineLevel="0" collapsed="false">
      <c r="A19507" s="3" t="s">
        <v>561</v>
      </c>
      <c r="C19507" s="33" t="n">
        <f aca="false">Assumptions!$Q$62</f>
        <v>0</v>
      </c>
    </row>
    <row r="19508" customFormat="false" ht="15" hidden="false" customHeight="false" outlineLevel="0" collapsed="false">
      <c r="A19508" s="3" t="s">
        <v>562</v>
      </c>
      <c r="C19508" s="33" t="n">
        <f aca="false">Assumptions!$Q$63</f>
        <v>0</v>
      </c>
    </row>
    <row r="19509" customFormat="false" ht="15" hidden="false" customHeight="false" outlineLevel="0" collapsed="false">
      <c r="A19509" s="3" t="s">
        <v>563</v>
      </c>
      <c r="C19509" s="33" t="n">
        <f aca="false">Assumptions!$Q$64</f>
        <v>0</v>
      </c>
    </row>
    <row r="19510" customFormat="false" ht="15" hidden="false" customHeight="false" outlineLevel="0" collapsed="false">
      <c r="A19510" s="3" t="s">
        <v>564</v>
      </c>
      <c r="C19510" s="33" t="n">
        <f aca="false">Assumptions!$Q$65</f>
        <v>0</v>
      </c>
    </row>
    <row r="19511" customFormat="false" ht="15" hidden="false" customHeight="false" outlineLevel="0" collapsed="false">
      <c r="A19511" s="3" t="s">
        <v>565</v>
      </c>
      <c r="C19511" s="33" t="n">
        <f aca="false">Assumptions!$Q$66</f>
        <v>0</v>
      </c>
    </row>
    <row r="19512" customFormat="false" ht="15" hidden="false" customHeight="false" outlineLevel="0" collapsed="false">
      <c r="A19512" s="24" t="s">
        <v>568</v>
      </c>
      <c r="B19512" s="25"/>
      <c r="C19512" s="25"/>
      <c r="D19512" s="25"/>
      <c r="E19512" s="25"/>
      <c r="F19512" s="25"/>
      <c r="G19512" s="25"/>
      <c r="H19512" s="25"/>
      <c r="I19512" s="25"/>
      <c r="J19512" s="25"/>
      <c r="K19512" s="25"/>
    </row>
    <row r="19513" customFormat="false" ht="15" hidden="false" customHeight="false" outlineLevel="0" collapsed="false">
      <c r="A19513" s="3" t="s">
        <v>556</v>
      </c>
      <c r="C19513" s="16" t="n">
        <f aca="false">IF(C19502&gt;0,MIN(C19480,C19502*$C$19478),0)</f>
        <v>388</v>
      </c>
    </row>
    <row r="19514" customFormat="false" ht="15" hidden="false" customHeight="false" outlineLevel="0" collapsed="false">
      <c r="A19514" s="3" t="s">
        <v>557</v>
      </c>
      <c r="C19514" s="16" t="n">
        <f aca="false">IF(C19503&gt;0,MIN(C19481,C19503*$C$19478),0)</f>
        <v>45.687662980938</v>
      </c>
    </row>
    <row r="19515" customFormat="false" ht="15" hidden="false" customHeight="false" outlineLevel="0" collapsed="false">
      <c r="A19515" s="3" t="s">
        <v>558</v>
      </c>
      <c r="C19515" s="16" t="n">
        <f aca="false">IF(C19504&gt;0,MIN(C19482,C19504*$C$19478),0)</f>
        <v>29.073967351506</v>
      </c>
    </row>
    <row r="19516" customFormat="false" ht="15" hidden="false" customHeight="false" outlineLevel="0" collapsed="false">
      <c r="A19516" s="3" t="s">
        <v>559</v>
      </c>
      <c r="C19516" s="16" t="n">
        <f aca="false">IF(C19505&gt;0,MIN(C19483,C19505*$C$19478),0)</f>
        <v>0</v>
      </c>
    </row>
    <row r="19517" customFormat="false" ht="15" hidden="false" customHeight="false" outlineLevel="0" collapsed="false">
      <c r="A19517" s="3" t="s">
        <v>560</v>
      </c>
      <c r="C19517" s="16" t="n">
        <f aca="false">IF(C19506&gt;0,MIN(C19484,C19506*$C$19478),0)</f>
        <v>0</v>
      </c>
    </row>
    <row r="19518" customFormat="false" ht="15" hidden="false" customHeight="false" outlineLevel="0" collapsed="false">
      <c r="A19518" s="3" t="s">
        <v>561</v>
      </c>
      <c r="C19518" s="16" t="n">
        <f aca="false">IF(C19507&gt;0,MIN(C19485,C19507*$C$19478),0)</f>
        <v>0</v>
      </c>
    </row>
    <row r="19519" customFormat="false" ht="15" hidden="false" customHeight="false" outlineLevel="0" collapsed="false">
      <c r="A19519" s="3" t="s">
        <v>562</v>
      </c>
      <c r="C19519" s="16" t="n">
        <f aca="false">IF(C19508&gt;0,MIN(C19486,C19508*$C$19478),0)</f>
        <v>0</v>
      </c>
    </row>
    <row r="19520" customFormat="false" ht="15" hidden="false" customHeight="false" outlineLevel="0" collapsed="false">
      <c r="A19520" s="3" t="s">
        <v>563</v>
      </c>
      <c r="C19520" s="16" t="n">
        <f aca="false">IF(C19509&gt;0,MIN(C19487,C19509*$C$19478),0)</f>
        <v>0</v>
      </c>
    </row>
    <row r="19521" customFormat="false" ht="15" hidden="false" customHeight="false" outlineLevel="0" collapsed="false">
      <c r="A19521" s="3" t="s">
        <v>564</v>
      </c>
      <c r="C19521" s="16" t="n">
        <f aca="false">IF(C19510&gt;0,MIN(C19488,C19510*$C$19478),0)</f>
        <v>0</v>
      </c>
    </row>
    <row r="19522" customFormat="false" ht="15" hidden="false" customHeight="false" outlineLevel="0" collapsed="false">
      <c r="A19522" s="3" t="s">
        <v>565</v>
      </c>
      <c r="C19522" s="16" t="n">
        <f aca="false">IF(C19511&gt;0,MIN(C19489,C19511*$C$19478),0)</f>
        <v>0</v>
      </c>
    </row>
    <row r="19523" customFormat="false" ht="15" hidden="false" customHeight="false" outlineLevel="0" collapsed="false">
      <c r="A19523" s="24" t="s">
        <v>569</v>
      </c>
      <c r="B19523" s="25"/>
      <c r="C19523" s="25"/>
      <c r="D19523" s="25"/>
      <c r="E19523" s="25"/>
      <c r="F19523" s="25"/>
      <c r="G19523" s="25"/>
      <c r="H19523" s="25"/>
      <c r="I19523" s="25"/>
      <c r="J19523" s="25"/>
      <c r="K19523" s="25"/>
    </row>
    <row r="19524" customFormat="false" ht="15" hidden="false" customHeight="false" outlineLevel="0" collapsed="false">
      <c r="A19524" s="3" t="s">
        <v>556</v>
      </c>
      <c r="C19524" s="16" t="n">
        <f aca="false">IF(C19502&gt;0,C19480-C19513,0)</f>
        <v>0</v>
      </c>
    </row>
    <row r="19525" customFormat="false" ht="15" hidden="false" customHeight="false" outlineLevel="0" collapsed="false">
      <c r="A19525" s="3" t="s">
        <v>557</v>
      </c>
      <c r="C19525" s="16" t="n">
        <f aca="false">IF(C19503&gt;0,C19481-C19514,0)</f>
        <v>44.312337019062</v>
      </c>
    </row>
    <row r="19526" customFormat="false" ht="15" hidden="false" customHeight="false" outlineLevel="0" collapsed="false">
      <c r="A19526" s="3" t="s">
        <v>558</v>
      </c>
      <c r="C19526" s="16" t="n">
        <f aca="false">IF(C19504&gt;0,C19482-C19515,0)</f>
        <v>28.250032648494</v>
      </c>
    </row>
    <row r="19527" customFormat="false" ht="15" hidden="false" customHeight="false" outlineLevel="0" collapsed="false">
      <c r="A19527" s="3" t="s">
        <v>559</v>
      </c>
      <c r="C19527" s="16" t="n">
        <f aca="false">IF(C19505&gt;0,C19483-C19516,0)</f>
        <v>0</v>
      </c>
    </row>
    <row r="19528" customFormat="false" ht="15" hidden="false" customHeight="false" outlineLevel="0" collapsed="false">
      <c r="A19528" s="3" t="s">
        <v>560</v>
      </c>
      <c r="C19528" s="16" t="n">
        <f aca="false">IF(C19506&gt;0,C19484-C19517,0)</f>
        <v>0</v>
      </c>
    </row>
    <row r="19529" customFormat="false" ht="15" hidden="false" customHeight="false" outlineLevel="0" collapsed="false">
      <c r="A19529" s="3" t="s">
        <v>561</v>
      </c>
      <c r="C19529" s="16" t="n">
        <f aca="false">IF(C19507&gt;0,C19485-C19518,0)</f>
        <v>0</v>
      </c>
    </row>
    <row r="19530" customFormat="false" ht="15" hidden="false" customHeight="false" outlineLevel="0" collapsed="false">
      <c r="A19530" s="3" t="s">
        <v>562</v>
      </c>
      <c r="C19530" s="16" t="n">
        <f aca="false">IF(C19508&gt;0,C19486-C19519,0)</f>
        <v>0</v>
      </c>
    </row>
    <row r="19531" customFormat="false" ht="15" hidden="false" customHeight="false" outlineLevel="0" collapsed="false">
      <c r="A19531" s="3" t="s">
        <v>563</v>
      </c>
      <c r="C19531" s="16" t="n">
        <f aca="false">IF(C19509&gt;0,C19487-C19520,0)</f>
        <v>0</v>
      </c>
    </row>
    <row r="19532" customFormat="false" ht="15" hidden="false" customHeight="false" outlineLevel="0" collapsed="false">
      <c r="A19532" s="3" t="s">
        <v>564</v>
      </c>
      <c r="C19532" s="16" t="n">
        <f aca="false">IF(C19510&gt;0,C19488-C19521,0)</f>
        <v>0</v>
      </c>
    </row>
    <row r="19533" customFormat="false" ht="15" hidden="false" customHeight="false" outlineLevel="0" collapsed="false">
      <c r="A19533" s="3" t="s">
        <v>565</v>
      </c>
      <c r="C19533" s="16" t="n">
        <f aca="false">IF(C19511&gt;0,C19489-C19522,0)</f>
        <v>0</v>
      </c>
    </row>
    <row r="19534" customFormat="false" ht="15" hidden="false" customHeight="false" outlineLevel="0" collapsed="false">
      <c r="A19534" s="24" t="s">
        <v>570</v>
      </c>
      <c r="B19534" s="25"/>
      <c r="C19534" s="25"/>
      <c r="D19534" s="25"/>
      <c r="E19534" s="25"/>
      <c r="F19534" s="25"/>
      <c r="G19534" s="25"/>
      <c r="H19534" s="25"/>
      <c r="I19534" s="25"/>
      <c r="J19534" s="25"/>
      <c r="K19534" s="25"/>
    </row>
    <row r="19535" customFormat="false" ht="15" hidden="false" customHeight="false" outlineLevel="0" collapsed="false">
      <c r="A19535" s="3" t="s">
        <v>556</v>
      </c>
      <c r="C19535" s="16" t="n">
        <f aca="false">IF(C19502&gt;0,C19524,C19480)</f>
        <v>0</v>
      </c>
    </row>
    <row r="19536" customFormat="false" ht="15" hidden="false" customHeight="false" outlineLevel="0" collapsed="false">
      <c r="A19536" s="3" t="s">
        <v>557</v>
      </c>
      <c r="C19536" s="16" t="n">
        <f aca="false">IF(C19503&gt;0,C19525,C19481)</f>
        <v>44.312337019062</v>
      </c>
    </row>
    <row r="19537" customFormat="false" ht="15" hidden="false" customHeight="false" outlineLevel="0" collapsed="false">
      <c r="A19537" s="3" t="s">
        <v>558</v>
      </c>
      <c r="C19537" s="16" t="n">
        <f aca="false">IF(C19504&gt;0,C19526,C19482)</f>
        <v>28.250032648494</v>
      </c>
    </row>
    <row r="19538" customFormat="false" ht="15" hidden="false" customHeight="false" outlineLevel="0" collapsed="false">
      <c r="A19538" s="3" t="s">
        <v>559</v>
      </c>
      <c r="C19538" s="16" t="n">
        <f aca="false">IF(C19505&gt;0,C19527,C19483)</f>
        <v>0</v>
      </c>
    </row>
    <row r="19539" customFormat="false" ht="15" hidden="false" customHeight="false" outlineLevel="0" collapsed="false">
      <c r="A19539" s="3" t="s">
        <v>560</v>
      </c>
      <c r="C19539" s="16" t="n">
        <f aca="false">IF(C19506&gt;0,C19528,C19484)</f>
        <v>450</v>
      </c>
    </row>
    <row r="19540" customFormat="false" ht="15" hidden="false" customHeight="false" outlineLevel="0" collapsed="false">
      <c r="A19540" s="3" t="s">
        <v>561</v>
      </c>
      <c r="C19540" s="16" t="n">
        <f aca="false">IF(C19507&gt;0,C19529,C19485)</f>
        <v>350</v>
      </c>
    </row>
    <row r="19541" customFormat="false" ht="15" hidden="false" customHeight="false" outlineLevel="0" collapsed="false">
      <c r="A19541" s="3" t="s">
        <v>562</v>
      </c>
      <c r="C19541" s="16" t="n">
        <f aca="false">IF(C19508&gt;0,C19530,C19486)</f>
        <v>550</v>
      </c>
    </row>
    <row r="19542" customFormat="false" ht="15" hidden="false" customHeight="false" outlineLevel="0" collapsed="false">
      <c r="A19542" s="3" t="s">
        <v>563</v>
      </c>
      <c r="C19542" s="16" t="n">
        <f aca="false">IF(C19509&gt;0,C19531,C19487)</f>
        <v>350</v>
      </c>
    </row>
    <row r="19543" customFormat="false" ht="15" hidden="false" customHeight="false" outlineLevel="0" collapsed="false">
      <c r="A19543" s="3" t="s">
        <v>564</v>
      </c>
      <c r="C19543" s="16" t="n">
        <f aca="false">IF(C19510&gt;0,C19532,C19488)</f>
        <v>300</v>
      </c>
    </row>
    <row r="19544" customFormat="false" ht="15" hidden="false" customHeight="false" outlineLevel="0" collapsed="false">
      <c r="A19544" s="3" t="s">
        <v>565</v>
      </c>
      <c r="C19544" s="16" t="n">
        <f aca="false">IF(C19511&gt;0,C19533,C19489)</f>
        <v>78.61</v>
      </c>
    </row>
    <row r="19545" customFormat="false" ht="15" hidden="false" customHeight="false" outlineLevel="0" collapsed="false">
      <c r="A19545" s="24" t="s">
        <v>571</v>
      </c>
      <c r="B19545" s="25"/>
      <c r="C19545" s="25"/>
      <c r="D19545" s="25"/>
      <c r="E19545" s="25"/>
      <c r="F19545" s="25"/>
      <c r="G19545" s="25"/>
      <c r="H19545" s="25"/>
      <c r="I19545" s="25"/>
      <c r="J19545" s="25"/>
      <c r="K19545" s="25"/>
    </row>
    <row r="19546" customFormat="false" ht="15" hidden="false" customHeight="false" outlineLevel="0" collapsed="false">
      <c r="A19546" s="3" t="s">
        <v>556</v>
      </c>
      <c r="C19546" s="21" t="n">
        <f aca="false">IF(C19502&gt;0,Assumptions!$C$17,C19491)</f>
        <v>99</v>
      </c>
    </row>
    <row r="19547" customFormat="false" ht="15" hidden="false" customHeight="false" outlineLevel="0" collapsed="false">
      <c r="A19547" s="3" t="s">
        <v>557</v>
      </c>
      <c r="C19547" s="21" t="n">
        <f aca="false">IF(C19503&gt;0,Assumptions!$C$17,C19492)</f>
        <v>99</v>
      </c>
    </row>
    <row r="19548" customFormat="false" ht="15" hidden="false" customHeight="false" outlineLevel="0" collapsed="false">
      <c r="A19548" s="3" t="s">
        <v>558</v>
      </c>
      <c r="C19548" s="21" t="n">
        <f aca="false">IF(C19504&gt;0,Assumptions!$C$17,C19493)</f>
        <v>99</v>
      </c>
    </row>
    <row r="19549" customFormat="false" ht="15" hidden="false" customHeight="false" outlineLevel="0" collapsed="false">
      <c r="A19549" s="3" t="s">
        <v>559</v>
      </c>
      <c r="C19549" s="21" t="n">
        <f aca="false">IF(C19505&gt;0,Assumptions!$C$17,C19494)</f>
        <v>2</v>
      </c>
    </row>
    <row r="19550" customFormat="false" ht="15" hidden="false" customHeight="false" outlineLevel="0" collapsed="false">
      <c r="A19550" s="3" t="s">
        <v>560</v>
      </c>
      <c r="C19550" s="21" t="n">
        <f aca="false">IF(C19506&gt;0,Assumptions!$C$17,C19495)</f>
        <v>2</v>
      </c>
    </row>
    <row r="19551" customFormat="false" ht="15" hidden="false" customHeight="false" outlineLevel="0" collapsed="false">
      <c r="A19551" s="3" t="s">
        <v>561</v>
      </c>
      <c r="C19551" s="21" t="n">
        <f aca="false">IF(C19507&gt;0,Assumptions!$C$17,C19496)</f>
        <v>2</v>
      </c>
    </row>
    <row r="19552" customFormat="false" ht="15" hidden="false" customHeight="false" outlineLevel="0" collapsed="false">
      <c r="A19552" s="3" t="s">
        <v>562</v>
      </c>
      <c r="C19552" s="21" t="n">
        <f aca="false">IF(C19508&gt;0,Assumptions!$C$17,C19497)</f>
        <v>2</v>
      </c>
    </row>
    <row r="19553" customFormat="false" ht="15" hidden="false" customHeight="false" outlineLevel="0" collapsed="false">
      <c r="A19553" s="3" t="s">
        <v>563</v>
      </c>
      <c r="C19553" s="21" t="n">
        <f aca="false">IF(C19509&gt;0,Assumptions!$C$17,C19498)</f>
        <v>2</v>
      </c>
    </row>
    <row r="19554" customFormat="false" ht="15" hidden="false" customHeight="false" outlineLevel="0" collapsed="false">
      <c r="A19554" s="3" t="s">
        <v>564</v>
      </c>
      <c r="C19554" s="21" t="n">
        <f aca="false">IF(C19510&gt;0,Assumptions!$C$17,C19499)</f>
        <v>2</v>
      </c>
    </row>
    <row r="19555" customFormat="false" ht="15" hidden="false" customHeight="false" outlineLevel="0" collapsed="false">
      <c r="A19555" s="3" t="s">
        <v>565</v>
      </c>
      <c r="C19555" s="21" t="n">
        <f aca="false">IF(C19511&gt;0,Assumptions!$C$17,C19500)</f>
        <v>3</v>
      </c>
    </row>
    <row r="19556" customFormat="false" ht="15" hidden="false" customHeight="false" outlineLevel="0" collapsed="false">
      <c r="A19556" s="24" t="s">
        <v>572</v>
      </c>
      <c r="B19556" s="25"/>
      <c r="C19556" s="25"/>
      <c r="D19556" s="25"/>
      <c r="E19556" s="25"/>
      <c r="F19556" s="25"/>
      <c r="G19556" s="25"/>
      <c r="H19556" s="25"/>
      <c r="I19556" s="25"/>
      <c r="J19556" s="25"/>
      <c r="K19556" s="25"/>
    </row>
    <row r="19557" customFormat="false" ht="15" hidden="false" customHeight="false" outlineLevel="0" collapsed="false">
      <c r="A19557" s="3" t="s">
        <v>556</v>
      </c>
      <c r="C19557" s="16" t="n">
        <f aca="false">SUMPRODUCT(($C$19546:$C$19555&lt;C19546)*$C$19535:$C$19544)</f>
        <v>2078.61</v>
      </c>
    </row>
    <row r="19558" customFormat="false" ht="15" hidden="false" customHeight="false" outlineLevel="0" collapsed="false">
      <c r="A19558" s="3" t="s">
        <v>557</v>
      </c>
      <c r="C19558" s="16" t="n">
        <f aca="false">SUMPRODUCT(($C$19546:$C$19555&lt;C19547)*$C$19535:$C$19544)</f>
        <v>2078.61</v>
      </c>
    </row>
    <row r="19559" customFormat="false" ht="15" hidden="false" customHeight="false" outlineLevel="0" collapsed="false">
      <c r="A19559" s="3" t="s">
        <v>558</v>
      </c>
      <c r="C19559" s="16" t="n">
        <f aca="false">SUMPRODUCT(($C$19546:$C$19555&lt;C19548)*$C$19535:$C$19544)</f>
        <v>2078.61</v>
      </c>
    </row>
    <row r="19560" customFormat="false" ht="15" hidden="false" customHeight="false" outlineLevel="0" collapsed="false">
      <c r="A19560" s="3" t="s">
        <v>559</v>
      </c>
      <c r="C19560" s="16" t="n">
        <f aca="false">SUMPRODUCT(($C$19546:$C$19555&lt;C19549)*$C$19535:$C$19544)</f>
        <v>0</v>
      </c>
    </row>
    <row r="19561" customFormat="false" ht="15" hidden="false" customHeight="false" outlineLevel="0" collapsed="false">
      <c r="A19561" s="3" t="s">
        <v>560</v>
      </c>
      <c r="C19561" s="16" t="n">
        <f aca="false">SUMPRODUCT(($C$19546:$C$19555&lt;C19550)*$C$19535:$C$19544)</f>
        <v>0</v>
      </c>
    </row>
    <row r="19562" customFormat="false" ht="15" hidden="false" customHeight="false" outlineLevel="0" collapsed="false">
      <c r="A19562" s="3" t="s">
        <v>561</v>
      </c>
      <c r="C19562" s="16" t="n">
        <f aca="false">SUMPRODUCT(($C$19546:$C$19555&lt;C19551)*$C$19535:$C$19544)</f>
        <v>0</v>
      </c>
    </row>
    <row r="19563" customFormat="false" ht="15" hidden="false" customHeight="false" outlineLevel="0" collapsed="false">
      <c r="A19563" s="3" t="s">
        <v>562</v>
      </c>
      <c r="C19563" s="16" t="n">
        <f aca="false">SUMPRODUCT(($C$19546:$C$19555&lt;C19552)*$C$19535:$C$19544)</f>
        <v>0</v>
      </c>
    </row>
    <row r="19564" customFormat="false" ht="15" hidden="false" customHeight="false" outlineLevel="0" collapsed="false">
      <c r="A19564" s="3" t="s">
        <v>563</v>
      </c>
      <c r="C19564" s="16" t="n">
        <f aca="false">SUMPRODUCT(($C$19546:$C$19555&lt;C19553)*$C$19535:$C$19544)</f>
        <v>0</v>
      </c>
    </row>
    <row r="19565" customFormat="false" ht="15" hidden="false" customHeight="false" outlineLevel="0" collapsed="false">
      <c r="A19565" s="3" t="s">
        <v>564</v>
      </c>
      <c r="C19565" s="16" t="n">
        <f aca="false">SUMPRODUCT(($C$19546:$C$19555&lt;C19554)*$C$19535:$C$19544)</f>
        <v>0</v>
      </c>
    </row>
    <row r="19566" customFormat="false" ht="15" hidden="false" customHeight="false" outlineLevel="0" collapsed="false">
      <c r="A19566" s="3" t="s">
        <v>565</v>
      </c>
      <c r="C19566" s="16" t="n">
        <f aca="false">SUMPRODUCT(($C$19546:$C$19555&lt;C19555)*$C$19535:$C$19544)</f>
        <v>2000</v>
      </c>
    </row>
    <row r="19567" customFormat="false" ht="15" hidden="false" customHeight="false" outlineLevel="0" collapsed="false">
      <c r="A19567" s="24" t="s">
        <v>573</v>
      </c>
      <c r="B19567" s="25"/>
      <c r="C19567" s="25"/>
      <c r="D19567" s="25"/>
      <c r="E19567" s="25"/>
      <c r="F19567" s="25"/>
      <c r="G19567" s="25"/>
      <c r="H19567" s="25"/>
      <c r="I19567" s="25"/>
      <c r="J19567" s="25"/>
      <c r="K19567" s="25"/>
    </row>
    <row r="19568" customFormat="false" ht="15" hidden="false" customHeight="false" outlineLevel="0" collapsed="false">
      <c r="A19568" s="3" t="s">
        <v>556</v>
      </c>
      <c r="C19568" s="16" t="n">
        <f aca="false">SUMPRODUCT(($C$19546:$C$19555=C19546)*$C$19535:$C$19544)</f>
        <v>72.562369667556</v>
      </c>
    </row>
    <row r="19569" customFormat="false" ht="15" hidden="false" customHeight="false" outlineLevel="0" collapsed="false">
      <c r="A19569" s="3" t="s">
        <v>557</v>
      </c>
      <c r="C19569" s="16" t="n">
        <f aca="false">SUMPRODUCT(($C$19546:$C$19555=C19547)*$C$19535:$C$19544)</f>
        <v>72.562369667556</v>
      </c>
    </row>
    <row r="19570" customFormat="false" ht="15" hidden="false" customHeight="false" outlineLevel="0" collapsed="false">
      <c r="A19570" s="3" t="s">
        <v>558</v>
      </c>
      <c r="C19570" s="16" t="n">
        <f aca="false">SUMPRODUCT(($C$19546:$C$19555=C19548)*$C$19535:$C$19544)</f>
        <v>72.562369667556</v>
      </c>
    </row>
    <row r="19571" customFormat="false" ht="15" hidden="false" customHeight="false" outlineLevel="0" collapsed="false">
      <c r="A19571" s="3" t="s">
        <v>559</v>
      </c>
      <c r="C19571" s="16" t="n">
        <f aca="false">SUMPRODUCT(($C$19546:$C$19555=C19549)*$C$19535:$C$19544)</f>
        <v>2000</v>
      </c>
    </row>
    <row r="19572" customFormat="false" ht="15" hidden="false" customHeight="false" outlineLevel="0" collapsed="false">
      <c r="A19572" s="3" t="s">
        <v>560</v>
      </c>
      <c r="C19572" s="16" t="n">
        <f aca="false">SUMPRODUCT(($C$19546:$C$19555=C19550)*$C$19535:$C$19544)</f>
        <v>2000</v>
      </c>
    </row>
    <row r="19573" customFormat="false" ht="15" hidden="false" customHeight="false" outlineLevel="0" collapsed="false">
      <c r="A19573" s="3" t="s">
        <v>561</v>
      </c>
      <c r="C19573" s="16" t="n">
        <f aca="false">SUMPRODUCT(($C$19546:$C$19555=C19551)*$C$19535:$C$19544)</f>
        <v>2000</v>
      </c>
    </row>
    <row r="19574" customFormat="false" ht="15" hidden="false" customHeight="false" outlineLevel="0" collapsed="false">
      <c r="A19574" s="3" t="s">
        <v>562</v>
      </c>
      <c r="C19574" s="16" t="n">
        <f aca="false">SUMPRODUCT(($C$19546:$C$19555=C19552)*$C$19535:$C$19544)</f>
        <v>2000</v>
      </c>
    </row>
    <row r="19575" customFormat="false" ht="15" hidden="false" customHeight="false" outlineLevel="0" collapsed="false">
      <c r="A19575" s="3" t="s">
        <v>563</v>
      </c>
      <c r="C19575" s="16" t="n">
        <f aca="false">SUMPRODUCT(($C$19546:$C$19555=C19553)*$C$19535:$C$19544)</f>
        <v>2000</v>
      </c>
    </row>
    <row r="19576" customFormat="false" ht="15" hidden="false" customHeight="false" outlineLevel="0" collapsed="false">
      <c r="A19576" s="3" t="s">
        <v>564</v>
      </c>
      <c r="C19576" s="16" t="n">
        <f aca="false">SUMPRODUCT(($C$19546:$C$19555=C19554)*$C$19535:$C$19544)</f>
        <v>2000</v>
      </c>
    </row>
    <row r="19577" customFormat="false" ht="15" hidden="false" customHeight="false" outlineLevel="0" collapsed="false">
      <c r="A19577" s="3" t="s">
        <v>565</v>
      </c>
      <c r="C19577" s="16" t="n">
        <f aca="false">SUMPRODUCT(($C$19546:$C$19555=C19555)*$C$19535:$C$19544)</f>
        <v>78.61</v>
      </c>
    </row>
    <row r="19578" customFormat="false" ht="15" hidden="false" customHeight="false" outlineLevel="0" collapsed="false">
      <c r="A19578" s="24" t="s">
        <v>574</v>
      </c>
      <c r="B19578" s="25"/>
      <c r="C19578" s="25"/>
      <c r="D19578" s="25"/>
      <c r="E19578" s="25"/>
      <c r="F19578" s="25"/>
      <c r="G19578" s="25"/>
      <c r="H19578" s="25"/>
      <c r="I19578" s="25"/>
      <c r="J19578" s="25"/>
      <c r="K19578" s="25"/>
    </row>
    <row r="19579" customFormat="false" ht="15" hidden="false" customHeight="false" outlineLevel="0" collapsed="false">
      <c r="A19579" s="3" t="s">
        <v>556</v>
      </c>
      <c r="C19579" s="16" t="n">
        <f aca="false">IF(C19568=0,0,C19535/C19568*MAX(0,MIN(C19568,$C$19478-SUM($C$19513:$C$19522)-C19557)))</f>
        <v>0</v>
      </c>
    </row>
    <row r="19580" customFormat="false" ht="15" hidden="false" customHeight="false" outlineLevel="0" collapsed="false">
      <c r="A19580" s="3" t="s">
        <v>557</v>
      </c>
      <c r="C19580" s="16" t="n">
        <f aca="false">IF(C19569=0,0,C19536/C19569*MAX(0,MIN(C19569,$C$19478-SUM($C$19513:$C$19522)-C19558)))</f>
        <v>0</v>
      </c>
    </row>
    <row r="19581" customFormat="false" ht="15" hidden="false" customHeight="false" outlineLevel="0" collapsed="false">
      <c r="A19581" s="3" t="s">
        <v>558</v>
      </c>
      <c r="C19581" s="16" t="n">
        <f aca="false">IF(C19570=0,0,C19537/C19570*MAX(0,MIN(C19570,$C$19478-SUM($C$19513:$C$19522)-C19559)))</f>
        <v>0</v>
      </c>
    </row>
    <row r="19582" customFormat="false" ht="15" hidden="false" customHeight="false" outlineLevel="0" collapsed="false">
      <c r="A19582" s="3" t="s">
        <v>559</v>
      </c>
      <c r="C19582" s="16" t="n">
        <f aca="false">IF(C19571=0,0,C19538/C19571*MAX(0,MIN(C19571,$C$19478-SUM($C$19513:$C$19522)-C19560)))</f>
        <v>0</v>
      </c>
    </row>
    <row r="19583" customFormat="false" ht="15" hidden="false" customHeight="false" outlineLevel="0" collapsed="false">
      <c r="A19583" s="3" t="s">
        <v>560</v>
      </c>
      <c r="C19583" s="16" t="n">
        <f aca="false">IF(C19572=0,0,C19539/C19572*MAX(0,MIN(C19572,$C$19478-SUM($C$19513:$C$19522)-C19561)))</f>
        <v>207.38542622705</v>
      </c>
    </row>
    <row r="19584" customFormat="false" ht="15" hidden="false" customHeight="false" outlineLevel="0" collapsed="false">
      <c r="A19584" s="3" t="s">
        <v>561</v>
      </c>
      <c r="C19584" s="16" t="n">
        <f aca="false">IF(C19573=0,0,C19540/C19573*MAX(0,MIN(C19573,$C$19478-SUM($C$19513:$C$19522)-C19562)))</f>
        <v>161.299775954372</v>
      </c>
    </row>
    <row r="19585" customFormat="false" ht="15" hidden="false" customHeight="false" outlineLevel="0" collapsed="false">
      <c r="A19585" s="3" t="s">
        <v>562</v>
      </c>
      <c r="C19585" s="16" t="n">
        <f aca="false">IF(C19574=0,0,C19541/C19574*MAX(0,MIN(C19574,$C$19478-SUM($C$19513:$C$19522)-C19563)))</f>
        <v>253.471076499728</v>
      </c>
    </row>
    <row r="19586" customFormat="false" ht="15" hidden="false" customHeight="false" outlineLevel="0" collapsed="false">
      <c r="A19586" s="3" t="s">
        <v>563</v>
      </c>
      <c r="C19586" s="16" t="n">
        <f aca="false">IF(C19575=0,0,C19542/C19575*MAX(0,MIN(C19575,$C$19478-SUM($C$19513:$C$19522)-C19564)))</f>
        <v>161.299775954372</v>
      </c>
    </row>
    <row r="19587" customFormat="false" ht="15" hidden="false" customHeight="false" outlineLevel="0" collapsed="false">
      <c r="A19587" s="3" t="s">
        <v>564</v>
      </c>
      <c r="C19587" s="16" t="n">
        <f aca="false">IF(C19576=0,0,C19543/C19576*MAX(0,MIN(C19576,$C$19478-SUM($C$19513:$C$19522)-C19565)))</f>
        <v>138.256950818033</v>
      </c>
    </row>
    <row r="19588" customFormat="false" ht="15" hidden="false" customHeight="false" outlineLevel="0" collapsed="false">
      <c r="A19588" s="3" t="s">
        <v>565</v>
      </c>
      <c r="C19588" s="16" t="n">
        <f aca="false">IF(C19577=0,0,C19544/C19577*MAX(0,MIN(C19577,$C$19478-SUM($C$19513:$C$19522)-C19566)))</f>
        <v>0</v>
      </c>
    </row>
    <row r="19589" customFormat="false" ht="15" hidden="false" customHeight="false" outlineLevel="0" collapsed="false">
      <c r="A19589" s="24" t="s">
        <v>575</v>
      </c>
      <c r="B19589" s="25"/>
      <c r="C19589" s="25"/>
      <c r="D19589" s="25"/>
      <c r="E19589" s="25"/>
      <c r="F19589" s="25"/>
      <c r="G19589" s="25"/>
      <c r="H19589" s="25"/>
      <c r="I19589" s="25"/>
      <c r="J19589" s="25"/>
      <c r="K19589" s="25"/>
    </row>
    <row r="19590" customFormat="false" ht="15" hidden="false" customHeight="false" outlineLevel="0" collapsed="false">
      <c r="A19590" s="2" t="s">
        <v>556</v>
      </c>
      <c r="C19590" s="17" t="n">
        <f aca="false">C19513+C19579</f>
        <v>388</v>
      </c>
    </row>
    <row r="19591" customFormat="false" ht="15" hidden="false" customHeight="false" outlineLevel="0" collapsed="false">
      <c r="A19591" s="2" t="s">
        <v>557</v>
      </c>
      <c r="C19591" s="17" t="n">
        <f aca="false">C19514+C19580</f>
        <v>45.687662980938</v>
      </c>
    </row>
    <row r="19592" customFormat="false" ht="15" hidden="false" customHeight="false" outlineLevel="0" collapsed="false">
      <c r="A19592" s="2" t="s">
        <v>558</v>
      </c>
      <c r="C19592" s="17" t="n">
        <f aca="false">C19515+C19581</f>
        <v>29.073967351506</v>
      </c>
    </row>
    <row r="19593" customFormat="false" ht="15" hidden="false" customHeight="false" outlineLevel="0" collapsed="false">
      <c r="A19593" s="2" t="s">
        <v>559</v>
      </c>
      <c r="C19593" s="17" t="n">
        <f aca="false">C19516+C19582</f>
        <v>0</v>
      </c>
    </row>
    <row r="19594" customFormat="false" ht="15" hidden="false" customHeight="false" outlineLevel="0" collapsed="false">
      <c r="A19594" s="2" t="s">
        <v>560</v>
      </c>
      <c r="C19594" s="17" t="n">
        <f aca="false">C19517+C19583</f>
        <v>207.38542622705</v>
      </c>
    </row>
    <row r="19595" customFormat="false" ht="15" hidden="false" customHeight="false" outlineLevel="0" collapsed="false">
      <c r="A19595" s="2" t="s">
        <v>561</v>
      </c>
      <c r="C19595" s="17" t="n">
        <f aca="false">C19518+C19584</f>
        <v>161.299775954372</v>
      </c>
    </row>
    <row r="19596" customFormat="false" ht="15" hidden="false" customHeight="false" outlineLevel="0" collapsed="false">
      <c r="A19596" s="2" t="s">
        <v>562</v>
      </c>
      <c r="C19596" s="17" t="n">
        <f aca="false">C19519+C19585</f>
        <v>253.471076499728</v>
      </c>
    </row>
    <row r="19597" customFormat="false" ht="15" hidden="false" customHeight="false" outlineLevel="0" collapsed="false">
      <c r="A19597" s="2" t="s">
        <v>563</v>
      </c>
      <c r="C19597" s="17" t="n">
        <f aca="false">C19520+C19586</f>
        <v>161.299775954372</v>
      </c>
    </row>
    <row r="19598" customFormat="false" ht="15" hidden="false" customHeight="false" outlineLevel="0" collapsed="false">
      <c r="A19598" s="2" t="s">
        <v>564</v>
      </c>
      <c r="C19598" s="17" t="n">
        <f aca="false">C19521+C19587</f>
        <v>138.256950818033</v>
      </c>
    </row>
    <row r="19599" customFormat="false" ht="15" hidden="false" customHeight="false" outlineLevel="0" collapsed="false">
      <c r="A19599" s="2" t="s">
        <v>565</v>
      </c>
      <c r="C19599" s="17" t="n">
        <f aca="false">C19522+C19588</f>
        <v>0</v>
      </c>
    </row>
    <row r="19600" customFormat="false" ht="15" hidden="false" customHeight="false" outlineLevel="0" collapsed="false">
      <c r="A19600" s="24" t="s">
        <v>576</v>
      </c>
      <c r="B19600" s="25"/>
      <c r="C19600" s="25"/>
      <c r="D19600" s="25"/>
      <c r="E19600" s="25"/>
      <c r="F19600" s="25"/>
      <c r="G19600" s="25"/>
      <c r="H19600" s="25"/>
      <c r="I19600" s="25"/>
      <c r="J19600" s="25"/>
      <c r="K19600" s="25"/>
    </row>
    <row r="19601" customFormat="false" ht="15" hidden="false" customHeight="false" outlineLevel="0" collapsed="false">
      <c r="A19601" s="3" t="s">
        <v>556</v>
      </c>
      <c r="C19601" s="22" t="n">
        <f aca="false">IF(C19480=0,1,C19590/C19480)</f>
        <v>1</v>
      </c>
    </row>
    <row r="19602" customFormat="false" ht="15" hidden="false" customHeight="false" outlineLevel="0" collapsed="false">
      <c r="A19602" s="3" t="s">
        <v>557</v>
      </c>
      <c r="C19602" s="22" t="n">
        <f aca="false">IF(C19481=0,1,C19591/C19481)</f>
        <v>0.5076406997882</v>
      </c>
    </row>
    <row r="19603" customFormat="false" ht="15" hidden="false" customHeight="false" outlineLevel="0" collapsed="false">
      <c r="A19603" s="3" t="s">
        <v>558</v>
      </c>
      <c r="C19603" s="22" t="n">
        <f aca="false">IF(C19482=0,1,C19592/C19482)</f>
        <v>0.507186646980427</v>
      </c>
    </row>
    <row r="19604" customFormat="false" ht="15" hidden="false" customHeight="false" outlineLevel="0" collapsed="false">
      <c r="A19604" s="3" t="s">
        <v>559</v>
      </c>
      <c r="C19604" s="22" t="n">
        <f aca="false">IF(C19483=0,1,C19593/C19483)</f>
        <v>1</v>
      </c>
    </row>
    <row r="19605" customFormat="false" ht="15" hidden="false" customHeight="false" outlineLevel="0" collapsed="false">
      <c r="A19605" s="3" t="s">
        <v>560</v>
      </c>
      <c r="C19605" s="22" t="n">
        <f aca="false">IF(C19484=0,1,C19594/C19484)</f>
        <v>0.460856502726778</v>
      </c>
    </row>
    <row r="19606" customFormat="false" ht="15" hidden="false" customHeight="false" outlineLevel="0" collapsed="false">
      <c r="A19606" s="3" t="s">
        <v>561</v>
      </c>
      <c r="C19606" s="22" t="n">
        <f aca="false">IF(C19485=0,1,C19595/C19485)</f>
        <v>0.460856502726778</v>
      </c>
    </row>
    <row r="19607" customFormat="false" ht="15" hidden="false" customHeight="false" outlineLevel="0" collapsed="false">
      <c r="A19607" s="3" t="s">
        <v>562</v>
      </c>
      <c r="C19607" s="22" t="n">
        <f aca="false">IF(C19486=0,1,C19596/C19486)</f>
        <v>0.460856502726778</v>
      </c>
    </row>
    <row r="19608" customFormat="false" ht="15" hidden="false" customHeight="false" outlineLevel="0" collapsed="false">
      <c r="A19608" s="3" t="s">
        <v>563</v>
      </c>
      <c r="C19608" s="22" t="n">
        <f aca="false">IF(C19487=0,1,C19597/C19487)</f>
        <v>0.460856502726778</v>
      </c>
    </row>
    <row r="19609" customFormat="false" ht="15" hidden="false" customHeight="false" outlineLevel="0" collapsed="false">
      <c r="A19609" s="3" t="s">
        <v>564</v>
      </c>
      <c r="C19609" s="22" t="n">
        <f aca="false">IF(C19488=0,1,C19598/C19488)</f>
        <v>0.460856502726778</v>
      </c>
    </row>
    <row r="19610" customFormat="false" ht="15" hidden="false" customHeight="false" outlineLevel="0" collapsed="false">
      <c r="A19610" s="3" t="s">
        <v>565</v>
      </c>
      <c r="C19610" s="22" t="n">
        <f aca="false">IF(C19489=0,1,C19599/C19489)</f>
        <v>0</v>
      </c>
    </row>
    <row r="19611" customFormat="false" ht="15" hidden="false" customHeight="false" outlineLevel="0" collapsed="false">
      <c r="A19611" s="24" t="s">
        <v>577</v>
      </c>
      <c r="B19611" s="25"/>
      <c r="C19611" s="25"/>
      <c r="D19611" s="25"/>
      <c r="E19611" s="25"/>
      <c r="F19611" s="25"/>
      <c r="G19611" s="25"/>
      <c r="H19611" s="25"/>
      <c r="I19611" s="25"/>
      <c r="J19611" s="25"/>
      <c r="K19611" s="25"/>
    </row>
    <row r="19612" customFormat="false" ht="15" hidden="false" customHeight="false" outlineLevel="0" collapsed="false">
      <c r="A19612" s="3" t="s">
        <v>556</v>
      </c>
      <c r="C19612" s="16" t="n">
        <f aca="false">C19480-C19590</f>
        <v>0</v>
      </c>
    </row>
    <row r="19613" customFormat="false" ht="15" hidden="false" customHeight="false" outlineLevel="0" collapsed="false">
      <c r="A19613" s="3" t="s">
        <v>557</v>
      </c>
      <c r="C19613" s="16" t="n">
        <f aca="false">C19481-C19591</f>
        <v>44.312337019062</v>
      </c>
    </row>
    <row r="19614" customFormat="false" ht="15" hidden="false" customHeight="false" outlineLevel="0" collapsed="false">
      <c r="A19614" s="3" t="s">
        <v>558</v>
      </c>
      <c r="C19614" s="16" t="n">
        <f aca="false">C19482-C19592</f>
        <v>28.250032648494</v>
      </c>
    </row>
    <row r="19615" customFormat="false" ht="15" hidden="false" customHeight="false" outlineLevel="0" collapsed="false">
      <c r="A19615" s="3" t="s">
        <v>559</v>
      </c>
      <c r="C19615" s="16" t="n">
        <f aca="false">C19483-C19593</f>
        <v>0</v>
      </c>
    </row>
    <row r="19616" customFormat="false" ht="15" hidden="false" customHeight="false" outlineLevel="0" collapsed="false">
      <c r="A19616" s="3" t="s">
        <v>560</v>
      </c>
      <c r="C19616" s="16" t="n">
        <f aca="false">C19484-C19594</f>
        <v>242.61457377295</v>
      </c>
    </row>
    <row r="19617" customFormat="false" ht="15" hidden="false" customHeight="false" outlineLevel="0" collapsed="false">
      <c r="A19617" s="3" t="s">
        <v>561</v>
      </c>
      <c r="C19617" s="16" t="n">
        <f aca="false">C19485-C19595</f>
        <v>188.700224045628</v>
      </c>
    </row>
    <row r="19618" customFormat="false" ht="15" hidden="false" customHeight="false" outlineLevel="0" collapsed="false">
      <c r="A19618" s="3" t="s">
        <v>562</v>
      </c>
      <c r="C19618" s="16" t="n">
        <f aca="false">C19486-C19596</f>
        <v>296.528923500272</v>
      </c>
    </row>
    <row r="19619" customFormat="false" ht="15" hidden="false" customHeight="false" outlineLevel="0" collapsed="false">
      <c r="A19619" s="3" t="s">
        <v>563</v>
      </c>
      <c r="C19619" s="16" t="n">
        <f aca="false">C19487-C19597</f>
        <v>188.700224045628</v>
      </c>
    </row>
    <row r="19620" customFormat="false" ht="15" hidden="false" customHeight="false" outlineLevel="0" collapsed="false">
      <c r="A19620" s="3" t="s">
        <v>564</v>
      </c>
      <c r="C19620" s="16" t="n">
        <f aca="false">C19488-C19598</f>
        <v>161.743049181967</v>
      </c>
    </row>
    <row r="19621" customFormat="false" ht="15" hidden="false" customHeight="false" outlineLevel="0" collapsed="false">
      <c r="A19621" s="3" t="s">
        <v>565</v>
      </c>
      <c r="C19621" s="16" t="n">
        <f aca="false">C19489-C19599</f>
        <v>78.61</v>
      </c>
    </row>
    <row r="19622" customFormat="false" ht="15" hidden="false" customHeight="false" outlineLevel="0" collapsed="false">
      <c r="A19622" s="24" t="s">
        <v>578</v>
      </c>
      <c r="B19622" s="25"/>
      <c r="C19622" s="25"/>
      <c r="D19622" s="25"/>
      <c r="E19622" s="25"/>
      <c r="F19622" s="25"/>
      <c r="G19622" s="25"/>
      <c r="H19622" s="25"/>
      <c r="I19622" s="25"/>
      <c r="J19622" s="25"/>
      <c r="K19622" s="25"/>
    </row>
    <row r="19623" customFormat="false" ht="15" hidden="false" customHeight="false" outlineLevel="0" collapsed="false">
      <c r="A19623" s="3" t="s">
        <v>556</v>
      </c>
      <c r="C19623" s="22" t="n">
        <f aca="false">IF(C19480=0,0,C19612/C19480)</f>
        <v>0</v>
      </c>
    </row>
    <row r="19624" customFormat="false" ht="15" hidden="false" customHeight="false" outlineLevel="0" collapsed="false">
      <c r="A19624" s="3" t="s">
        <v>557</v>
      </c>
      <c r="C19624" s="22" t="n">
        <f aca="false">IF(C19481=0,0,C19613/C19481)</f>
        <v>0.4923593002118</v>
      </c>
    </row>
    <row r="19625" customFormat="false" ht="15" hidden="false" customHeight="false" outlineLevel="0" collapsed="false">
      <c r="A19625" s="3" t="s">
        <v>558</v>
      </c>
      <c r="C19625" s="22" t="n">
        <f aca="false">IF(C19482=0,0,C19614/C19482)</f>
        <v>0.492813353019573</v>
      </c>
    </row>
    <row r="19626" customFormat="false" ht="15" hidden="false" customHeight="false" outlineLevel="0" collapsed="false">
      <c r="A19626" s="3" t="s">
        <v>559</v>
      </c>
      <c r="C19626" s="22" t="n">
        <f aca="false">IF(C19483=0,0,C19615/C19483)</f>
        <v>0</v>
      </c>
    </row>
    <row r="19627" customFormat="false" ht="15" hidden="false" customHeight="false" outlineLevel="0" collapsed="false">
      <c r="A19627" s="3" t="s">
        <v>560</v>
      </c>
      <c r="C19627" s="22" t="n">
        <f aca="false">IF(C19484=0,0,C19616/C19484)</f>
        <v>0.539143497273222</v>
      </c>
    </row>
    <row r="19628" customFormat="false" ht="15" hidden="false" customHeight="false" outlineLevel="0" collapsed="false">
      <c r="A19628" s="3" t="s">
        <v>561</v>
      </c>
      <c r="C19628" s="22" t="n">
        <f aca="false">IF(C19485=0,0,C19617/C19485)</f>
        <v>0.539143497273222</v>
      </c>
    </row>
    <row r="19629" customFormat="false" ht="15" hidden="false" customHeight="false" outlineLevel="0" collapsed="false">
      <c r="A19629" s="3" t="s">
        <v>562</v>
      </c>
      <c r="C19629" s="22" t="n">
        <f aca="false">IF(C19486=0,0,C19618/C19486)</f>
        <v>0.539143497273222</v>
      </c>
    </row>
    <row r="19630" customFormat="false" ht="15" hidden="false" customHeight="false" outlineLevel="0" collapsed="false">
      <c r="A19630" s="3" t="s">
        <v>563</v>
      </c>
      <c r="C19630" s="22" t="n">
        <f aca="false">IF(C19487=0,0,C19619/C19487)</f>
        <v>0.539143497273222</v>
      </c>
    </row>
    <row r="19631" customFormat="false" ht="15" hidden="false" customHeight="false" outlineLevel="0" collapsed="false">
      <c r="A19631" s="3" t="s">
        <v>564</v>
      </c>
      <c r="C19631" s="22" t="n">
        <f aca="false">IF(C19488=0,0,C19620/C19488)</f>
        <v>0.539143497273222</v>
      </c>
    </row>
    <row r="19632" customFormat="false" ht="15" hidden="false" customHeight="false" outlineLevel="0" collapsed="false">
      <c r="A19632" s="3" t="s">
        <v>565</v>
      </c>
      <c r="C19632" s="22" t="n">
        <f aca="false">IF(C19489=0,0,C19621/C19489)</f>
        <v>1</v>
      </c>
    </row>
    <row r="19633" customFormat="false" ht="15" hidden="false" customHeight="false" outlineLevel="0" collapsed="false">
      <c r="A19633" s="2" t="s">
        <v>579</v>
      </c>
      <c r="C19633" s="17" t="n">
        <f aca="false">MAX(0,$C$19478-SUM($C$19513:$C$19522)-SUM($C$19535:$C$19544))</f>
        <v>0</v>
      </c>
    </row>
    <row r="19634" customFormat="false" ht="15" hidden="false" customHeight="false" outlineLevel="0" collapsed="false">
      <c r="A19634" s="3" t="s">
        <v>597</v>
      </c>
      <c r="C19634" s="35" t="n">
        <f aca="false">MIN(C19477,100*CHOOSE(C19467,C19601,C19602,C19603,C19604,C19605,C19606,C19607,C19608,C19609,C19610))</f>
        <v>85</v>
      </c>
    </row>
    <row r="19635" customFormat="false" ht="15" hidden="false" customHeight="false" outlineLevel="0" collapsed="false">
      <c r="A19635" s="3" t="s">
        <v>598</v>
      </c>
      <c r="C19635" s="21" t="n">
        <f aca="false">IF(C19299=1,C19472+Assumptions!$C$40,C19471)</f>
        <v>3</v>
      </c>
    </row>
    <row r="19636" customFormat="false" ht="15" hidden="false" customHeight="false" outlineLevel="0" collapsed="false">
      <c r="A19636" s="24" t="s">
        <v>599</v>
      </c>
      <c r="B19636" s="25"/>
      <c r="C19636" s="25"/>
      <c r="D19636" s="25"/>
      <c r="E19636" s="25"/>
      <c r="F19636" s="25"/>
      <c r="G19636" s="25"/>
      <c r="H19636" s="25"/>
      <c r="I19636" s="25"/>
      <c r="J19636" s="25"/>
      <c r="K19636" s="25"/>
    </row>
    <row r="19637" customFormat="false" ht="15" hidden="false" customHeight="false" outlineLevel="0" collapsed="false">
      <c r="A19637" s="3" t="s">
        <v>600</v>
      </c>
      <c r="C19637" s="21" t="n">
        <f aca="false">COLUMN()-COLUMN($C$1)</f>
        <v>0</v>
      </c>
      <c r="D19637" s="21" t="n">
        <f aca="false">COLUMN()-COLUMN($C$1)</f>
        <v>1</v>
      </c>
      <c r="E19637" s="21" t="n">
        <f aca="false">COLUMN()-COLUMN($C$1)</f>
        <v>2</v>
      </c>
      <c r="F19637" s="21" t="n">
        <f aca="false">COLUMN()-COLUMN($C$1)</f>
        <v>3</v>
      </c>
      <c r="G19637" s="21" t="n">
        <f aca="false">COLUMN()-COLUMN($C$1)</f>
        <v>4</v>
      </c>
      <c r="H19637" s="21" t="n">
        <f aca="false">COLUMN()-COLUMN($C$1)</f>
        <v>5</v>
      </c>
      <c r="I19637" s="21" t="n">
        <f aca="false">COLUMN()-COLUMN($C$1)</f>
        <v>6</v>
      </c>
    </row>
    <row r="19638" customFormat="false" ht="15" hidden="false" customHeight="false" outlineLevel="0" collapsed="false">
      <c r="A19638" s="3" t="s">
        <v>601</v>
      </c>
      <c r="D19638" s="31" t="n">
        <f aca="false">CHOOSE($C$19467,G19047,G19060,G19073,G19086,G19099,G19112,G19125,G19138,G19151,G19164)</f>
        <v>0.1215</v>
      </c>
      <c r="E19638" s="31" t="n">
        <f aca="false">CHOOSE($C$19467,H19047,H19060,H19073,H19086,H19099,H19112,H19125,H19138,H19151,H19164)</f>
        <v>0.12</v>
      </c>
      <c r="F19638" s="31" t="n">
        <f aca="false">CHOOSE($C$19467,I19047,I19060,I19073,I19086,I19099,I19112,I19125,I19138,I19151,I19164)</f>
        <v>0.1175</v>
      </c>
      <c r="G19638" s="31" t="n">
        <f aca="false">CHOOSE($C$19467,J19047,J19060,J19073,J19086,J19099,J19112,J19125,J19138,J19151,J19164)</f>
        <v>0.1175</v>
      </c>
      <c r="H19638" s="31" t="n">
        <f aca="false">CHOOSE($C$19467,K19047,K19060,K19073,K19086,K19099,K19112,K19125,K19138,K19151,K19164)</f>
        <v>0.1175</v>
      </c>
    </row>
    <row r="19639" customFormat="false" ht="15" hidden="false" customHeight="false" outlineLevel="0" collapsed="false">
      <c r="A19639" s="3" t="s">
        <v>602</v>
      </c>
      <c r="D19639" s="16" t="n">
        <f aca="false">IF(D19637&lt;=$C$19476,$C$19468*D19638,0)</f>
        <v>12.15</v>
      </c>
      <c r="E19639" s="16" t="n">
        <f aca="false">IF(E19637&lt;=$C$19476,$C$19468*E19638,0)</f>
        <v>12</v>
      </c>
      <c r="F19639" s="16" t="n">
        <f aca="false">IF(F19637&lt;=$C$19476,$C$19468*F19638,0)</f>
        <v>0</v>
      </c>
      <c r="G19639" s="16" t="n">
        <f aca="false">IF(G19637&lt;=$C$19476,$C$19468*G19638,0)</f>
        <v>0</v>
      </c>
      <c r="H19639" s="16" t="n">
        <f aca="false">IF(H19637&lt;=$C$19476,$C$19468*H19638,0)</f>
        <v>0</v>
      </c>
    </row>
    <row r="19640" customFormat="false" ht="15" hidden="false" customHeight="false" outlineLevel="0" collapsed="false">
      <c r="A19640" s="3" t="s">
        <v>603</v>
      </c>
      <c r="D19640" s="16" t="n">
        <f aca="false">IF(AND($C$19299=0,D19637=$C$19471),$C$19468*$C$19634/100,0)+IF(AND($C$19299=1,D19637=$C$19635),$C$19474,0)</f>
        <v>0</v>
      </c>
      <c r="E19640" s="16" t="n">
        <f aca="false">IF(AND($C$19299=0,E19637=$C$19471),$C$19468*$C$19634/100,0)+IF(AND($C$19299=1,E19637=$C$19635),$C$19474,0)</f>
        <v>0</v>
      </c>
      <c r="F19640" s="16" t="n">
        <f aca="false">IF(AND($C$19299=0,F19637=$C$19471),$C$19468*$C$19634/100,0)+IF(AND($C$19299=1,F19637=$C$19635),$C$19474,0)</f>
        <v>103</v>
      </c>
      <c r="G19640" s="16" t="n">
        <f aca="false">IF(AND($C$19299=0,G19637=$C$19471),$C$19468*$C$19634/100,0)+IF(AND($C$19299=1,G19637=$C$19635),$C$19474,0)</f>
        <v>0</v>
      </c>
      <c r="H19640" s="16" t="n">
        <f aca="false">IF(AND($C$19299=0,H19637=$C$19471),$C$19468*$C$19634/100,0)+IF(AND($C$19299=1,H19637=$C$19635),$C$19474,0)</f>
        <v>0</v>
      </c>
      <c r="I19640" s="16" t="n">
        <f aca="false">IF(AND($C$19299=0,I19637=$C$19471),$C$19468*$C$19634/100,0)+IF(AND($C$19299=1,I19637=$C$19635),$C$19474,0)</f>
        <v>0</v>
      </c>
    </row>
    <row r="19641" customFormat="false" ht="15" hidden="false" customHeight="false" outlineLevel="0" collapsed="false">
      <c r="A19641" s="2" t="s">
        <v>604</v>
      </c>
      <c r="C19641" s="17" t="n">
        <f aca="false">-$C$19470</f>
        <v>-98.49</v>
      </c>
      <c r="D19641" s="17" t="n">
        <f aca="false">D19639+D19640</f>
        <v>12.15</v>
      </c>
      <c r="E19641" s="17" t="n">
        <f aca="false">E19639+E19640</f>
        <v>12</v>
      </c>
      <c r="F19641" s="17" t="n">
        <f aca="false">F19639+F19640</f>
        <v>103</v>
      </c>
      <c r="G19641" s="17" t="n">
        <f aca="false">G19639+G19640</f>
        <v>0</v>
      </c>
      <c r="H19641" s="17" t="n">
        <f aca="false">H19639+H19640</f>
        <v>0</v>
      </c>
      <c r="I19641" s="17" t="n">
        <f aca="false">I19639+I19640</f>
        <v>0</v>
      </c>
    </row>
    <row r="19642" customFormat="false" ht="15" hidden="false" customHeight="false" outlineLevel="0" collapsed="false">
      <c r="A19642" s="3" t="s">
        <v>605</v>
      </c>
      <c r="C19642" s="16" t="n">
        <f aca="false">SUM($C$19639:$I$19639)</f>
        <v>24.15</v>
      </c>
    </row>
    <row r="19643" customFormat="false" ht="15" hidden="false" customHeight="false" outlineLevel="0" collapsed="false">
      <c r="A19643" s="3" t="s">
        <v>606</v>
      </c>
      <c r="C19643" s="16" t="n">
        <f aca="false">SUM($C$19640:$I$19640)</f>
        <v>103</v>
      </c>
    </row>
    <row r="19644" customFormat="false" ht="15" hidden="false" customHeight="false" outlineLevel="0" collapsed="false">
      <c r="A19644" s="3" t="s">
        <v>607</v>
      </c>
      <c r="C19644" s="16" t="n">
        <f aca="false">C19642+C19643</f>
        <v>127.15</v>
      </c>
    </row>
    <row r="19645" customFormat="false" ht="15" hidden="false" customHeight="false" outlineLevel="0" collapsed="false">
      <c r="A19645" s="3" t="s">
        <v>608</v>
      </c>
      <c r="C19645" s="16" t="n">
        <f aca="false">C19643-C19468*C19469/100</f>
        <v>5</v>
      </c>
    </row>
    <row r="19646" customFormat="false" ht="15" hidden="false" customHeight="false" outlineLevel="0" collapsed="false">
      <c r="A19646" s="3" t="s">
        <v>609</v>
      </c>
      <c r="C19646" s="16" t="n">
        <f aca="false">C19644-C19470</f>
        <v>28.66</v>
      </c>
    </row>
    <row r="19647" customFormat="false" ht="15" hidden="false" customHeight="false" outlineLevel="0" collapsed="false">
      <c r="A19647" s="2" t="s">
        <v>484</v>
      </c>
      <c r="C19647" s="44" t="n">
        <f aca="false">C19644/C19470</f>
        <v>1.29099400954412</v>
      </c>
    </row>
    <row r="19648" customFormat="false" ht="15" hidden="false" customHeight="false" outlineLevel="0" collapsed="false">
      <c r="A19648" s="2" t="s">
        <v>483</v>
      </c>
      <c r="C19648" s="42" t="n">
        <f aca="false">IF(C19644&lt;=0,-1,IFERROR(IRR($C$19641:$I$19641,MAX(-0.9,C19647^(1/C19635)-1)),IRR($C$19641:$I$19641,0.1)))</f>
        <v>0.0994077590660149</v>
      </c>
    </row>
    <row r="19649" customFormat="false" ht="15" hidden="false" customHeight="false" outlineLevel="0" collapsed="false">
      <c r="A19649" s="3" t="s">
        <v>610</v>
      </c>
      <c r="C19649" s="32" t="n">
        <f aca="false">MAX($G$19243:$K$19243)</f>
        <v>21.0923337957008</v>
      </c>
    </row>
    <row r="19650" customFormat="false" ht="15" hidden="false" customHeight="false" outlineLevel="0" collapsed="false">
      <c r="A19650" s="3" t="s">
        <v>611</v>
      </c>
      <c r="C19650" s="32" t="n">
        <f aca="false">MIN($G$19244:$K$19244)</f>
        <v>0.721276582514238</v>
      </c>
    </row>
    <row r="19651" customFormat="false" ht="15" hidden="false" customHeight="false" outlineLevel="0" collapsed="false">
      <c r="A19651" s="3" t="s">
        <v>612</v>
      </c>
      <c r="C19651" s="16" t="n">
        <f aca="false">SUM($G$19031:$K$19031)</f>
        <v>-414.251483676397</v>
      </c>
    </row>
    <row r="19655" customFormat="false" ht="15" hidden="false" customHeight="false" outlineLevel="0" collapsed="false">
      <c r="A19655" s="9" t="s">
        <v>1160</v>
      </c>
      <c r="B19655" s="10"/>
      <c r="C19655" s="10"/>
      <c r="D19655" s="10"/>
      <c r="E19655" s="10"/>
      <c r="F19655" s="10"/>
      <c r="G19655" s="10"/>
      <c r="H19655" s="10"/>
      <c r="I19655" s="10"/>
      <c r="J19655" s="10"/>
      <c r="K19655" s="10"/>
    </row>
    <row r="19656" customFormat="false" ht="15" hidden="false" customHeight="false" outlineLevel="0" collapsed="false">
      <c r="A19656" s="3" t="s">
        <v>1126</v>
      </c>
      <c r="C19656" s="11" t="n">
        <v>3</v>
      </c>
    </row>
    <row r="19657" customFormat="false" ht="15" hidden="false" customHeight="false" outlineLevel="0" collapsed="false">
      <c r="A19657" s="3" t="s">
        <v>1127</v>
      </c>
      <c r="C19657" s="30" t="n">
        <f aca="false">Sensitivities!$A$42</f>
        <v>0</v>
      </c>
    </row>
    <row r="19658" customFormat="false" ht="15" hidden="false" customHeight="false" outlineLevel="0" collapsed="false">
      <c r="A19658" s="3" t="s">
        <v>1128</v>
      </c>
      <c r="C19658" s="19" t="n">
        <v>0</v>
      </c>
    </row>
    <row r="19659" customFormat="false" ht="15" hidden="false" customHeight="false" outlineLevel="0" collapsed="false">
      <c r="A19659" s="3" t="s">
        <v>1129</v>
      </c>
      <c r="C19659" s="19" t="n">
        <v>0</v>
      </c>
    </row>
    <row r="19660" customFormat="false" ht="15" hidden="false" customHeight="false" outlineLevel="0" collapsed="false">
      <c r="A19660" s="3" t="s">
        <v>1130</v>
      </c>
      <c r="C19660" s="15" t="n">
        <v>0</v>
      </c>
    </row>
    <row r="19662" customFormat="false" ht="15" hidden="false" customHeight="false" outlineLevel="0" collapsed="false">
      <c r="A19662" s="24" t="s">
        <v>301</v>
      </c>
      <c r="B19662" s="25"/>
      <c r="C19662" s="25"/>
      <c r="D19662" s="25"/>
      <c r="E19662" s="25"/>
      <c r="F19662" s="25"/>
      <c r="G19662" s="25"/>
      <c r="H19662" s="25"/>
      <c r="I19662" s="25"/>
      <c r="J19662" s="25"/>
      <c r="K19662" s="25"/>
    </row>
    <row r="19663" customFormat="false" ht="15" hidden="false" customHeight="false" outlineLevel="0" collapsed="false">
      <c r="A19663" s="3" t="s">
        <v>302</v>
      </c>
      <c r="F19663" s="27" t="n">
        <f aca="false">Assumptions!$C$6</f>
        <v>2026</v>
      </c>
      <c r="G19663" s="21" t="n">
        <f aca="false">F19663+1</f>
        <v>2027</v>
      </c>
      <c r="H19663" s="21" t="n">
        <f aca="false">G19663+1</f>
        <v>2028</v>
      </c>
      <c r="I19663" s="21" t="n">
        <f aca="false">H19663+1</f>
        <v>2029</v>
      </c>
      <c r="J19663" s="21" t="n">
        <f aca="false">I19663+1</f>
        <v>2030</v>
      </c>
      <c r="K19663" s="21" t="n">
        <f aca="false">J19663+1</f>
        <v>2031</v>
      </c>
    </row>
    <row r="19664" customFormat="false" ht="15" hidden="false" customHeight="false" outlineLevel="0" collapsed="false">
      <c r="A19664" s="3" t="s">
        <v>303</v>
      </c>
      <c r="G19664" s="21" t="n">
        <f aca="false">G19663-Assumptions!$C$6</f>
        <v>1</v>
      </c>
      <c r="H19664" s="21" t="n">
        <f aca="false">H19663-Assumptions!$C$6</f>
        <v>2</v>
      </c>
      <c r="I19664" s="21" t="n">
        <f aca="false">I19663-Assumptions!$C$6</f>
        <v>3</v>
      </c>
      <c r="J19664" s="21" t="n">
        <f aca="false">J19663-Assumptions!$C$6</f>
        <v>4</v>
      </c>
      <c r="K19664" s="21" t="n">
        <f aca="false">K19663-Assumptions!$C$6</f>
        <v>5</v>
      </c>
    </row>
    <row r="19665" customFormat="false" ht="15" hidden="false" customHeight="false" outlineLevel="0" collapsed="false">
      <c r="A19665" s="3" t="s">
        <v>180</v>
      </c>
      <c r="G19665" s="22" t="n">
        <f aca="false">CHOOSE($C$19656,Assumptions!$G$79,Assumptions!$G$98,Assumptions!$G$117)+$C$19657</f>
        <v>-0.1</v>
      </c>
      <c r="H19665" s="22" t="n">
        <f aca="false">CHOOSE($C$19656,Assumptions!$H$79,Assumptions!$H$98,Assumptions!$H$117)+$C$19657</f>
        <v>-0.07</v>
      </c>
      <c r="I19665" s="22" t="n">
        <f aca="false">CHOOSE($C$19656,Assumptions!$I$79,Assumptions!$I$98,Assumptions!$I$117)+$C$19657</f>
        <v>-0.03</v>
      </c>
      <c r="J19665" s="22" t="n">
        <f aca="false">CHOOSE($C$19656,Assumptions!$J$79,Assumptions!$J$98,Assumptions!$J$117)+$C$19657</f>
        <v>0</v>
      </c>
      <c r="K19665" s="22" t="n">
        <f aca="false">CHOOSE($C$19656,Assumptions!$K$79,Assumptions!$K$98,Assumptions!$K$117)+$C$19657</f>
        <v>0.01</v>
      </c>
    </row>
    <row r="19666" customFormat="false" ht="15" hidden="false" customHeight="false" outlineLevel="0" collapsed="false">
      <c r="A19666" s="3" t="s">
        <v>181</v>
      </c>
      <c r="G19666" s="22" t="n">
        <f aca="false">CHOOSE($C$19656,Assumptions!$G$80,Assumptions!$G$99,Assumptions!$G$118)</f>
        <v>0.533920660818678</v>
      </c>
      <c r="H19666" s="22" t="n">
        <f aca="false">CHOOSE($C$19656,Assumptions!$H$80,Assumptions!$H$99,Assumptions!$H$118)</f>
        <v>0.503920660818678</v>
      </c>
      <c r="I19666" s="22" t="n">
        <f aca="false">CHOOSE($C$19656,Assumptions!$I$80,Assumptions!$I$99,Assumptions!$I$118)</f>
        <v>0.498920660818678</v>
      </c>
      <c r="J19666" s="22" t="n">
        <f aca="false">CHOOSE($C$19656,Assumptions!$J$80,Assumptions!$J$99,Assumptions!$J$118)</f>
        <v>0.503920660818678</v>
      </c>
      <c r="K19666" s="22" t="n">
        <f aca="false">CHOOSE($C$19656,Assumptions!$K$80,Assumptions!$K$99,Assumptions!$K$118)</f>
        <v>0.513920660818678</v>
      </c>
    </row>
    <row r="19667" customFormat="false" ht="15" hidden="false" customHeight="false" outlineLevel="0" collapsed="false">
      <c r="A19667" s="3" t="s">
        <v>182</v>
      </c>
      <c r="G19667" s="22" t="n">
        <f aca="false">CHOOSE($C$19656,Assumptions!$G$81,Assumptions!$G$100,Assumptions!$G$119)+$C$19658</f>
        <v>0.46</v>
      </c>
      <c r="H19667" s="22" t="n">
        <f aca="false">CHOOSE($C$19656,Assumptions!$H$81,Assumptions!$H$100,Assumptions!$H$119)+$C$19658</f>
        <v>0.43</v>
      </c>
      <c r="I19667" s="22" t="n">
        <f aca="false">CHOOSE($C$19656,Assumptions!$I$81,Assumptions!$I$100,Assumptions!$I$119)+$C$19658</f>
        <v>0.425</v>
      </c>
      <c r="J19667" s="22" t="n">
        <f aca="false">CHOOSE($C$19656,Assumptions!$J$81,Assumptions!$J$100,Assumptions!$J$119)+$C$19658</f>
        <v>0.43</v>
      </c>
      <c r="K19667" s="22" t="n">
        <f aca="false">CHOOSE($C$19656,Assumptions!$K$81,Assumptions!$K$100,Assumptions!$K$119)+$C$19658</f>
        <v>0.44</v>
      </c>
    </row>
    <row r="19668" customFormat="false" ht="15" hidden="false" customHeight="false" outlineLevel="0" collapsed="false">
      <c r="A19668" s="24" t="s">
        <v>304</v>
      </c>
      <c r="B19668" s="25"/>
      <c r="C19668" s="25"/>
      <c r="D19668" s="25"/>
      <c r="E19668" s="25"/>
      <c r="F19668" s="25"/>
      <c r="G19668" s="25"/>
      <c r="H19668" s="25"/>
      <c r="I19668" s="25"/>
      <c r="J19668" s="25"/>
      <c r="K19668" s="25"/>
    </row>
    <row r="19669" customFormat="false" ht="15" hidden="false" customHeight="false" outlineLevel="0" collapsed="false">
      <c r="A19669" s="2" t="s">
        <v>275</v>
      </c>
      <c r="F19669" s="28" t="n">
        <f aca="false">'Historical Financials'!G25</f>
        <v>498.291</v>
      </c>
      <c r="G19669" s="17" t="n">
        <f aca="false">F19669*(1+G19665)</f>
        <v>448.4619</v>
      </c>
      <c r="H19669" s="17" t="n">
        <f aca="false">G19669*(1+H19665)</f>
        <v>417.069567</v>
      </c>
      <c r="I19669" s="17" t="n">
        <f aca="false">H19669*(1+I19665)</f>
        <v>404.55747999</v>
      </c>
      <c r="J19669" s="17" t="n">
        <f aca="false">I19669*(1+J19665)</f>
        <v>404.55747999</v>
      </c>
      <c r="K19669" s="17" t="n">
        <f aca="false">J19669*(1+K19665)</f>
        <v>408.6030547899</v>
      </c>
    </row>
    <row r="19670" customFormat="false" ht="15" hidden="false" customHeight="false" outlineLevel="0" collapsed="false">
      <c r="A19670" s="3" t="s">
        <v>276</v>
      </c>
      <c r="G19670" s="16" t="n">
        <f aca="false">G19669*(1-G19666)</f>
        <v>209.018826</v>
      </c>
      <c r="H19670" s="16" t="n">
        <f aca="false">H19669*(1-H19666)</f>
        <v>206.89959519</v>
      </c>
      <c r="I19670" s="16" t="n">
        <f aca="false">I19669*(1-I19666)</f>
        <v>202.71539473425</v>
      </c>
      <c r="J19670" s="16" t="n">
        <f aca="false">J19669*(1-J19666)</f>
        <v>200.6926073343</v>
      </c>
      <c r="K19670" s="16" t="n">
        <f aca="false">K19669*(1-K19666)</f>
        <v>198.613502859744</v>
      </c>
    </row>
    <row r="19671" customFormat="false" ht="15" hidden="false" customHeight="false" outlineLevel="0" collapsed="false">
      <c r="A19671" s="2" t="s">
        <v>277</v>
      </c>
      <c r="G19671" s="17" t="n">
        <f aca="false">G19669-G19670</f>
        <v>239.443074</v>
      </c>
      <c r="H19671" s="17" t="n">
        <f aca="false">H19669-H19670</f>
        <v>210.16997181</v>
      </c>
      <c r="I19671" s="17" t="n">
        <f aca="false">I19669-I19670</f>
        <v>201.84208525575</v>
      </c>
      <c r="J19671" s="17" t="n">
        <f aca="false">J19669-J19670</f>
        <v>203.8648726557</v>
      </c>
      <c r="K19671" s="17" t="n">
        <f aca="false">K19669-K19670</f>
        <v>209.989551930156</v>
      </c>
    </row>
    <row r="19672" customFormat="false" ht="15" hidden="false" customHeight="false" outlineLevel="0" collapsed="false">
      <c r="A19672" s="3" t="s">
        <v>305</v>
      </c>
      <c r="G19672" s="16" t="n">
        <f aca="false">G19671-G19673</f>
        <v>33.1505999999999</v>
      </c>
      <c r="H19672" s="16" t="n">
        <f aca="false">H19671-H19673</f>
        <v>30.830058</v>
      </c>
      <c r="I19672" s="16" t="n">
        <f aca="false">I19671-I19673</f>
        <v>29.90515626</v>
      </c>
      <c r="J19672" s="16" t="n">
        <f aca="false">J19671-J19673</f>
        <v>29.90515626</v>
      </c>
      <c r="K19672" s="16" t="n">
        <f aca="false">K19671-K19673</f>
        <v>30.2042078226</v>
      </c>
    </row>
    <row r="19673" customFormat="false" ht="15" hidden="false" customHeight="false" outlineLevel="0" collapsed="false">
      <c r="A19673" s="2" t="s">
        <v>306</v>
      </c>
      <c r="G19673" s="17" t="n">
        <f aca="false">G19669*G19667</f>
        <v>206.292474</v>
      </c>
      <c r="H19673" s="17" t="n">
        <f aca="false">H19669*H19667</f>
        <v>179.33991381</v>
      </c>
      <c r="I19673" s="17" t="n">
        <f aca="false">I19669*I19667</f>
        <v>171.93692899575</v>
      </c>
      <c r="J19673" s="17" t="n">
        <f aca="false">J19669*J19667</f>
        <v>173.9597163957</v>
      </c>
      <c r="K19673" s="17" t="n">
        <f aca="false">K19669*K19667</f>
        <v>179.785344107556</v>
      </c>
    </row>
    <row r="19674" customFormat="false" ht="15" hidden="false" customHeight="false" outlineLevel="0" collapsed="false">
      <c r="A19674" s="3" t="s">
        <v>307</v>
      </c>
      <c r="G19674" s="16" t="n">
        <f aca="false">G19669*'Historical Financials'!G30/'Historical Financials'!G25</f>
        <v>166.7637</v>
      </c>
      <c r="H19674" s="16" t="n">
        <f aca="false">H19669*'Historical Financials'!G30/'Historical Financials'!G25</f>
        <v>155.090241</v>
      </c>
      <c r="I19674" s="16" t="n">
        <f aca="false">I19669*'Historical Financials'!G30/'Historical Financials'!G25</f>
        <v>150.43753377</v>
      </c>
      <c r="J19674" s="16" t="n">
        <f aca="false">J19669*'Historical Financials'!G30/'Historical Financials'!G25</f>
        <v>150.43753377</v>
      </c>
      <c r="K19674" s="16" t="n">
        <f aca="false">K19669*'Historical Financials'!G30/'Historical Financials'!G25</f>
        <v>151.9419091077</v>
      </c>
    </row>
    <row r="19675" customFormat="false" ht="15" hidden="false" customHeight="false" outlineLevel="0" collapsed="false">
      <c r="A19675" s="3" t="s">
        <v>308</v>
      </c>
      <c r="G19675" s="16" t="n">
        <f aca="false">G19669*'Historical Financials'!G31/'Historical Financials'!G25</f>
        <v>0</v>
      </c>
      <c r="H19675" s="16" t="n">
        <f aca="false">H19669*'Historical Financials'!G31/'Historical Financials'!G25</f>
        <v>0</v>
      </c>
      <c r="I19675" s="16" t="n">
        <f aca="false">I19669*'Historical Financials'!G31/'Historical Financials'!G25</f>
        <v>0</v>
      </c>
      <c r="J19675" s="16" t="n">
        <f aca="false">J19669*'Historical Financials'!G31/'Historical Financials'!G25</f>
        <v>0</v>
      </c>
      <c r="K19675" s="16" t="n">
        <f aca="false">K19669*'Historical Financials'!G31/'Historical Financials'!G25</f>
        <v>0</v>
      </c>
    </row>
    <row r="19676" customFormat="false" ht="15" hidden="false" customHeight="false" outlineLevel="0" collapsed="false">
      <c r="A19676" s="2" t="s">
        <v>309</v>
      </c>
      <c r="G19676" s="17" t="n">
        <f aca="false">G19673-G19674-G19675</f>
        <v>39.528774</v>
      </c>
      <c r="H19676" s="17" t="n">
        <f aca="false">H19673-H19674-H19675</f>
        <v>24.24967281</v>
      </c>
      <c r="I19676" s="17" t="n">
        <f aca="false">I19673-I19674-I19675</f>
        <v>21.49939522575</v>
      </c>
      <c r="J19676" s="17" t="n">
        <f aca="false">J19673-J19674-J19675</f>
        <v>23.5221826257</v>
      </c>
      <c r="K19676" s="17" t="n">
        <f aca="false">K19673-K19674-K19675</f>
        <v>27.843434999856</v>
      </c>
    </row>
    <row r="19677" customFormat="false" ht="15" hidden="false" customHeight="false" outlineLevel="0" collapsed="false">
      <c r="A19677" s="3" t="s">
        <v>310</v>
      </c>
      <c r="G19677" s="16" t="n">
        <f aca="false">G19703+G19716+G19729+G19742+G19755+G19768+G19781+G19794+G19807+G19820</f>
        <v>194.5679854</v>
      </c>
      <c r="H19677" s="16" t="n">
        <f aca="false">H19703+H19716+H19729+H19742+H19755+H19768+H19781+H19794+H19807+H19820</f>
        <v>193.3700704</v>
      </c>
      <c r="I19677" s="16" t="n">
        <f aca="false">I19703+I19716+I19729+I19742+I19755+I19768+I19781+I19794+I19807+I19820</f>
        <v>191.11925836865</v>
      </c>
      <c r="J19677" s="16" t="n">
        <f aca="false">J19703+J19716+J19729+J19742+J19755+J19768+J19781+J19794+J19807+J19820</f>
        <v>190.64925836865</v>
      </c>
      <c r="K19677" s="16" t="n">
        <f aca="false">K19703+K19716+K19729+K19742+K19755+K19768+K19781+K19794+K19807+K19820</f>
        <v>190.17925836865</v>
      </c>
    </row>
    <row r="19678" customFormat="false" ht="15" hidden="false" customHeight="false" outlineLevel="0" collapsed="false">
      <c r="A19678" s="3" t="s">
        <v>311</v>
      </c>
      <c r="G19678" s="16" t="n">
        <f aca="false">G19704+G19717+G19730+G19743+G19756+G19769+G19782+G19795+G19808+G19821</f>
        <v>0</v>
      </c>
      <c r="H19678" s="16" t="n">
        <f aca="false">H19704+H19717+H19730+H19743+H19756+H19769+H19782+H19795+H19808+H19821</f>
        <v>0</v>
      </c>
      <c r="I19678" s="16" t="n">
        <f aca="false">I19704+I19717+I19730+I19743+I19756+I19769+I19782+I19795+I19808+I19821</f>
        <v>0</v>
      </c>
      <c r="J19678" s="16" t="n">
        <f aca="false">J19704+J19717+J19730+J19743+J19756+J19769+J19782+J19795+J19808+J19821</f>
        <v>0</v>
      </c>
      <c r="K19678" s="16" t="n">
        <f aca="false">K19704+K19717+K19730+K19743+K19756+K19769+K19782+K19795+K19808+K19821</f>
        <v>0</v>
      </c>
    </row>
    <row r="19679" customFormat="false" ht="15" hidden="false" customHeight="false" outlineLevel="0" collapsed="false">
      <c r="A19679" s="3" t="s">
        <v>283</v>
      </c>
      <c r="G19679" s="16" t="n">
        <f aca="false">G19677+G19678</f>
        <v>194.5679854</v>
      </c>
      <c r="H19679" s="16" t="n">
        <f aca="false">H19677+H19678</f>
        <v>193.3700704</v>
      </c>
      <c r="I19679" s="16" t="n">
        <f aca="false">I19677+I19678</f>
        <v>191.11925836865</v>
      </c>
      <c r="J19679" s="16" t="n">
        <f aca="false">J19677+J19678</f>
        <v>190.64925836865</v>
      </c>
      <c r="K19679" s="16" t="n">
        <f aca="false">K19677+K19678</f>
        <v>190.17925836865</v>
      </c>
    </row>
    <row r="19680" customFormat="false" ht="15" hidden="false" customHeight="false" outlineLevel="0" collapsed="false">
      <c r="A19680" s="2" t="s">
        <v>284</v>
      </c>
      <c r="G19680" s="17" t="n">
        <f aca="false">G19676-G19679</f>
        <v>-155.0392114</v>
      </c>
      <c r="H19680" s="17" t="n">
        <f aca="false">H19676-H19679</f>
        <v>-169.12039759</v>
      </c>
      <c r="I19680" s="17" t="n">
        <f aca="false">I19676-I19679</f>
        <v>-169.6198631429</v>
      </c>
      <c r="J19680" s="17" t="n">
        <f aca="false">J19676-J19679</f>
        <v>-167.12707574295</v>
      </c>
      <c r="K19680" s="17" t="n">
        <f aca="false">K19676-K19679</f>
        <v>-162.335823368794</v>
      </c>
    </row>
    <row r="19681" customFormat="false" ht="15" hidden="false" customHeight="false" outlineLevel="0" collapsed="false">
      <c r="A19681" s="3" t="s">
        <v>312</v>
      </c>
      <c r="G19681" s="16" t="n">
        <f aca="false">MAX(0,G19680)*Assumptions!$C$9</f>
        <v>0</v>
      </c>
      <c r="H19681" s="16" t="n">
        <f aca="false">MAX(0,H19680)*Assumptions!$C$9</f>
        <v>0</v>
      </c>
      <c r="I19681" s="16" t="n">
        <f aca="false">MAX(0,I19680)*Assumptions!$C$9</f>
        <v>0</v>
      </c>
      <c r="J19681" s="16" t="n">
        <f aca="false">MAX(0,J19680)*Assumptions!$C$9</f>
        <v>0</v>
      </c>
      <c r="K19681" s="16" t="n">
        <f aca="false">MAX(0,K19680)*Assumptions!$C$9</f>
        <v>0</v>
      </c>
    </row>
    <row r="19682" customFormat="false" ht="15" hidden="false" customHeight="false" outlineLevel="0" collapsed="false">
      <c r="A19682" s="2" t="s">
        <v>313</v>
      </c>
      <c r="G19682" s="17" t="n">
        <f aca="false">G19680-G19681</f>
        <v>-155.0392114</v>
      </c>
      <c r="H19682" s="17" t="n">
        <f aca="false">H19680-H19681</f>
        <v>-169.12039759</v>
      </c>
      <c r="I19682" s="17" t="n">
        <f aca="false">I19680-I19681</f>
        <v>-169.6198631429</v>
      </c>
      <c r="J19682" s="17" t="n">
        <f aca="false">J19680-J19681</f>
        <v>-167.12707574295</v>
      </c>
      <c r="K19682" s="17" t="n">
        <f aca="false">K19680-K19681</f>
        <v>-162.335823368794</v>
      </c>
    </row>
    <row r="19683" customFormat="false" ht="15" hidden="false" customHeight="false" outlineLevel="0" collapsed="false">
      <c r="A19683" s="24" t="s">
        <v>314</v>
      </c>
      <c r="B19683" s="25"/>
      <c r="C19683" s="25"/>
      <c r="D19683" s="25"/>
      <c r="E19683" s="25"/>
      <c r="F19683" s="25"/>
      <c r="G19683" s="25"/>
      <c r="H19683" s="25"/>
      <c r="I19683" s="25"/>
      <c r="J19683" s="25"/>
      <c r="K19683" s="25"/>
    </row>
    <row r="19684" customFormat="false" ht="15" hidden="false" customHeight="false" outlineLevel="0" collapsed="false">
      <c r="A19684" s="3" t="s">
        <v>184</v>
      </c>
      <c r="G19684" s="16" t="n">
        <f aca="false">G19669*CHOOSE($C$19656,Assumptions!$C$83,Assumptions!$C$102,Assumptions!$C$121)</f>
        <v>58.300047</v>
      </c>
      <c r="H19684" s="16" t="n">
        <f aca="false">H19669*CHOOSE($C$19656,Assumptions!$C$83,Assumptions!$C$102,Assumptions!$C$121)</f>
        <v>54.21904371</v>
      </c>
      <c r="I19684" s="16" t="n">
        <f aca="false">I19669*CHOOSE($C$19656,Assumptions!$C$83,Assumptions!$C$102,Assumptions!$C$121)</f>
        <v>52.5924723987</v>
      </c>
      <c r="J19684" s="16" t="n">
        <f aca="false">J19669*CHOOSE($C$19656,Assumptions!$C$83,Assumptions!$C$102,Assumptions!$C$121)</f>
        <v>52.5924723987</v>
      </c>
      <c r="K19684" s="16" t="n">
        <f aca="false">K19669*CHOOSE($C$19656,Assumptions!$C$83,Assumptions!$C$102,Assumptions!$C$121)</f>
        <v>53.118397122687</v>
      </c>
    </row>
    <row r="19685" customFormat="false" ht="15" hidden="false" customHeight="false" outlineLevel="0" collapsed="false">
      <c r="A19685" s="3" t="s">
        <v>315</v>
      </c>
      <c r="G19685" s="16" t="n">
        <f aca="false">CHOOSE($C$19656,Assumptions!$C$84,Assumptions!$C$103,Assumptions!$C$122)*(G19669-F19669)+CHOOSE($C$19656,Assumptions!$C$85,Assumptions!$C$104,Assumptions!$C$123)*G19669</f>
        <v>0</v>
      </c>
      <c r="H19685" s="16" t="n">
        <f aca="false">CHOOSE($C$19656,Assumptions!$C$84,Assumptions!$C$103,Assumptions!$C$122)*(H19669-G19669)+CHOOSE($C$19656,Assumptions!$C$85,Assumptions!$C$104,Assumptions!$C$123)*H19669</f>
        <v>0</v>
      </c>
      <c r="I19685" s="16" t="n">
        <f aca="false">CHOOSE($C$19656,Assumptions!$C$84,Assumptions!$C$103,Assumptions!$C$122)*(I19669-H19669)+CHOOSE($C$19656,Assumptions!$C$85,Assumptions!$C$104,Assumptions!$C$123)*I19669</f>
        <v>0</v>
      </c>
      <c r="J19685" s="16" t="n">
        <f aca="false">CHOOSE($C$19656,Assumptions!$C$84,Assumptions!$C$103,Assumptions!$C$122)*(J19669-I19669)+CHOOSE($C$19656,Assumptions!$C$85,Assumptions!$C$104,Assumptions!$C$123)*J19669</f>
        <v>0</v>
      </c>
      <c r="K19685" s="16" t="n">
        <f aca="false">CHOOSE($C$19656,Assumptions!$C$84,Assumptions!$C$103,Assumptions!$C$122)*(K19669-J19669)+CHOOSE($C$19656,Assumptions!$C$85,Assumptions!$C$104,Assumptions!$C$123)*K19669</f>
        <v>0</v>
      </c>
    </row>
    <row r="19686" customFormat="false" ht="15" hidden="false" customHeight="false" outlineLevel="0" collapsed="false">
      <c r="A19686" s="2" t="s">
        <v>316</v>
      </c>
      <c r="G19686" s="17" t="n">
        <f aca="false">G19682+G19674+G19675+G19678-G19684-G19685</f>
        <v>-46.5755584</v>
      </c>
      <c r="H19686" s="17" t="n">
        <f aca="false">H19682+H19674+H19675+H19678-H19684-H19685</f>
        <v>-68.2492003</v>
      </c>
      <c r="I19686" s="17" t="n">
        <f aca="false">I19682+I19674+I19675+I19678-I19684-I19685</f>
        <v>-71.7748017716</v>
      </c>
      <c r="J19686" s="17" t="n">
        <f aca="false">J19682+J19674+J19675+J19678-J19684-J19685</f>
        <v>-69.28201437165</v>
      </c>
      <c r="K19686" s="17" t="n">
        <f aca="false">K19682+K19674+K19675+K19678-K19684-K19685</f>
        <v>-63.512311383781</v>
      </c>
    </row>
    <row r="19688" customFormat="false" ht="15" hidden="false" customHeight="false" outlineLevel="0" collapsed="false">
      <c r="A19688" s="24" t="s">
        <v>318</v>
      </c>
      <c r="B19688" s="25"/>
      <c r="C19688" s="25"/>
      <c r="D19688" s="25"/>
      <c r="E19688" s="25"/>
      <c r="F19688" s="25"/>
      <c r="G19688" s="25"/>
      <c r="H19688" s="25"/>
      <c r="I19688" s="25"/>
      <c r="J19688" s="25"/>
      <c r="K19688" s="25"/>
    </row>
    <row r="19689" customFormat="false" ht="15" hidden="false" customHeight="false" outlineLevel="0" collapsed="false">
      <c r="A19689" s="3" t="s">
        <v>319</v>
      </c>
      <c r="G19689" s="30" t="n">
        <f aca="false">Assumptions!$G$53</f>
        <v>0.039</v>
      </c>
      <c r="H19689" s="30" t="n">
        <f aca="false">Assumptions!$H$53</f>
        <v>0.0375</v>
      </c>
      <c r="I19689" s="30" t="n">
        <f aca="false">Assumptions!$I$53</f>
        <v>0.035</v>
      </c>
      <c r="J19689" s="30" t="n">
        <f aca="false">Assumptions!$J$53</f>
        <v>0.035</v>
      </c>
      <c r="K19689" s="30" t="n">
        <f aca="false">Assumptions!$K$53</f>
        <v>0.035</v>
      </c>
    </row>
    <row r="19690" customFormat="false" ht="15" hidden="false" customHeight="false" outlineLevel="0" collapsed="false">
      <c r="A19690" s="3" t="s">
        <v>320</v>
      </c>
      <c r="C19690" s="31" t="n">
        <f aca="false">CHOOSE($C$19656,Assumptions!$C$86,Assumptions!$C$105,Assumptions!$C$124)+$C$19659</f>
        <v>0.03</v>
      </c>
    </row>
    <row r="19691" customFormat="false" ht="15" hidden="false" customHeight="false" outlineLevel="0" collapsed="false">
      <c r="A19691" s="3" t="s">
        <v>321</v>
      </c>
      <c r="C19691" s="31" t="n">
        <f aca="false">CHOOSE($C$19656,Assumptions!$C$87,Assumptions!$C$106,Assumptions!$C$125)</f>
        <v>0.12</v>
      </c>
    </row>
    <row r="19692" customFormat="false" ht="15" hidden="false" customHeight="false" outlineLevel="0" collapsed="false">
      <c r="A19692" s="3" t="s">
        <v>322</v>
      </c>
      <c r="C19692" s="32" t="n">
        <f aca="false">CHOOSE($C$19656,Assumptions!$C$88,Assumptions!$C$107,Assumptions!$C$126)</f>
        <v>9</v>
      </c>
    </row>
    <row r="19693" customFormat="false" ht="15" hidden="false" customHeight="false" outlineLevel="0" collapsed="false">
      <c r="A19693" s="3" t="s">
        <v>323</v>
      </c>
      <c r="C19693" s="32" t="n">
        <f aca="false">CHOOSE($C$19656,Assumptions!$C$89,Assumptions!$C$108,Assumptions!$C$127)</f>
        <v>1.75</v>
      </c>
    </row>
    <row r="19694" customFormat="false" ht="15" hidden="false" customHeight="false" outlineLevel="0" collapsed="false">
      <c r="A19694" s="3" t="s">
        <v>324</v>
      </c>
      <c r="G19694" s="16" t="n">
        <f aca="false">G19699+G19712+G19725+G19738+G19751+G19764+G19777+G19790+G19803+G19816</f>
        <v>2625.934</v>
      </c>
      <c r="H19694" s="16" t="n">
        <f aca="false">H19699+H19712+H19725+H19738+H19751+H19764+H19777+H19790+H19803+H19816</f>
        <v>2621.934</v>
      </c>
      <c r="I19694" s="16" t="n">
        <f aca="false">I19699+I19712+I19725+I19738+I19751+I19764+I19777+I19790+I19803+I19816</f>
        <v>2602.8887587</v>
      </c>
      <c r="J19694" s="16" t="n">
        <f aca="false">J19699+J19712+J19725+J19738+J19751+J19764+J19777+J19790+J19803+J19816</f>
        <v>2598.8887587</v>
      </c>
      <c r="K19694" s="16" t="n">
        <f aca="false">K19699+K19712+K19725+K19738+K19751+K19764+K19777+K19790+K19803+K19816</f>
        <v>2594.8887587</v>
      </c>
    </row>
    <row r="19695" customFormat="false" ht="15" hidden="false" customHeight="false" outlineLevel="0" collapsed="false">
      <c r="A19695" s="3" t="s">
        <v>325</v>
      </c>
      <c r="G19695" s="16" t="n">
        <f aca="false">F19887</f>
        <v>37.87</v>
      </c>
      <c r="H19695" s="16" t="n">
        <f aca="false">G19887</f>
        <v>87.2944416</v>
      </c>
      <c r="I19695" s="16" t="n">
        <f aca="false">H19887</f>
        <v>0</v>
      </c>
      <c r="J19695" s="16" t="n">
        <f aca="false">I19887</f>
        <v>-75.7748017716</v>
      </c>
      <c r="K19695" s="16" t="n">
        <f aca="false">J19887</f>
        <v>-149.05681614325</v>
      </c>
    </row>
    <row r="19696" customFormat="false" ht="15" hidden="false" customHeight="false" outlineLevel="0" collapsed="false">
      <c r="A19696" s="3" t="s">
        <v>326</v>
      </c>
      <c r="G19696" s="16" t="n">
        <f aca="false">G19699*IF(G19700=1,$C$19691,IF(Assumptions!$I$57=1,MAX(G19689,Assumptions!$G$57)+Assumptions!$F$57+$C$19690,Assumptions!$E$57))+G19712*IF(G19713=1,$C$19691,IF(Assumptions!$I$58=1,MAX(G19689,Assumptions!$G$58)+Assumptions!$F$58+$C$19690,Assumptions!$E$58))+G19725*IF(G19726=1,$C$19691,IF(Assumptions!$I$59=1,MAX(G19689,Assumptions!$G$59)+Assumptions!$F$59+$C$19690,Assumptions!$E$59))+G19738*IF(G19739=1,$C$19691,IF(Assumptions!$I$60=1,MAX(G19689,Assumptions!$G$60)+Assumptions!$F$60+$C$19690,Assumptions!$E$60))+G19751*IF(G19752=1,$C$19691,IF(Assumptions!$I$61=1,MAX(G19689,Assumptions!$G$61)+Assumptions!$F$61+$C$19690,Assumptions!$E$61))+G19764*IF(G19765=1,$C$19691,IF(Assumptions!$I$62=1,MAX(G19689,Assumptions!$G$62)+Assumptions!$F$62+$C$19690,Assumptions!$E$62))+G19777*IF(G19778=1,$C$19691,IF(Assumptions!$I$63=1,MAX(G19689,Assumptions!$G$63)+Assumptions!$F$63+$C$19690,Assumptions!$E$63))+G19790*IF(G19791=1,$C$19691,IF(Assumptions!$I$64=1,MAX(G19689,Assumptions!$G$64)+Assumptions!$F$64+$C$19690,Assumptions!$E$64))+G19803*IF(G19804=1,$C$19691,IF(Assumptions!$I$65=1,MAX(G19689,Assumptions!$G$65)+Assumptions!$F$65+$C$19690,Assumptions!$E$65))+G19816*IF(G19817=1,$C$19691,IF(Assumptions!$I$66=1,MAX(G19689,Assumptions!$G$66)+Assumptions!$F$66+$C$19690,Assumptions!$E$66))</f>
        <v>194.5679854</v>
      </c>
      <c r="H19696" s="16" t="n">
        <f aca="false">H19699*IF(OR(H19700=1,G20009=1),$C$19691,IF(Assumptions!$I$57=1,MAX(H19689,Assumptions!$G$57)+Assumptions!$F$57+$C$19690,Assumptions!$E$57))+H19712*IF(OR(H19713=1,G20010=1),$C$19691,IF(Assumptions!$I$58=1,MAX(H19689,Assumptions!$G$58)+Assumptions!$F$58+$C$19690,Assumptions!$E$58))+H19725*IF(OR(H19726=1,G20011=1),$C$19691,IF(Assumptions!$I$59=1,MAX(H19689,Assumptions!$G$59)+Assumptions!$F$59+$C$19690,Assumptions!$E$59))+H19738*IF(OR(H19739=1,G20012=1),$C$19691,IF(Assumptions!$I$60=1,MAX(H19689,Assumptions!$G$60)+Assumptions!$F$60+$C$19690,Assumptions!$E$60))+H19751*IF(OR(H19752=1,G20013=1),$C$19691,IF(Assumptions!$I$61=1,MAX(H19689,Assumptions!$G$61)+Assumptions!$F$61+$C$19690,Assumptions!$E$61))+H19764*IF(OR(H19765=1,G20014=1),$C$19691,IF(Assumptions!$I$62=1,MAX(H19689,Assumptions!$G$62)+Assumptions!$F$62+$C$19690,Assumptions!$E$62))+H19777*IF(OR(H19778=1,G20015=1),$C$19691,IF(Assumptions!$I$63=1,MAX(H19689,Assumptions!$G$63)+Assumptions!$F$63+$C$19690,Assumptions!$E$63))+H19790*IF(OR(H19791=1,G20016=1),$C$19691,IF(Assumptions!$I$64=1,MAX(H19689,Assumptions!$G$64)+Assumptions!$F$64+$C$19690,Assumptions!$E$64))+H19803*IF(OR(H19804=1,G20017=1),$C$19691,IF(Assumptions!$I$65=1,MAX(H19689,Assumptions!$G$65)+Assumptions!$F$65+$C$19690,Assumptions!$E$65))+H19816*IF(OR(H19817=1,G20018=1),$C$19691,IF(Assumptions!$I$66=1,MAX(H19689,Assumptions!$G$66)+Assumptions!$F$66+$C$19690,Assumptions!$E$66))</f>
        <v>242.5450704</v>
      </c>
      <c r="I19696" s="16" t="n">
        <f aca="false">I19699*IF(OR(I19700=1,H20009=1),$C$19691,IF(Assumptions!$I$57=1,MAX(I19689,Assumptions!$G$57)+Assumptions!$F$57+$C$19690,Assumptions!$E$57))+I19712*IF(OR(I19713=1,H20010=1),$C$19691,IF(Assumptions!$I$58=1,MAX(I19689,Assumptions!$G$58)+Assumptions!$F$58+$C$19690,Assumptions!$E$58))+I19725*IF(OR(I19726=1,H20011=1),$C$19691,IF(Assumptions!$I$59=1,MAX(I19689,Assumptions!$G$59)+Assumptions!$F$59+$C$19690,Assumptions!$E$59))+I19738*IF(OR(I19739=1,H20012=1),$C$19691,IF(Assumptions!$I$60=1,MAX(I19689,Assumptions!$G$60)+Assumptions!$F$60+$C$19690,Assumptions!$E$60))+I19751*IF(OR(I19752=1,H20013=1),$C$19691,IF(Assumptions!$I$61=1,MAX(I19689,Assumptions!$G$61)+Assumptions!$F$61+$C$19690,Assumptions!$E$61))+I19764*IF(OR(I19765=1,H20014=1),$C$19691,IF(Assumptions!$I$62=1,MAX(I19689,Assumptions!$G$62)+Assumptions!$F$62+$C$19690,Assumptions!$E$62))+I19777*IF(OR(I19778=1,H20015=1),$C$19691,IF(Assumptions!$I$63=1,MAX(I19689,Assumptions!$G$63)+Assumptions!$F$63+$C$19690,Assumptions!$E$63))+I19790*IF(OR(I19791=1,H20016=1),$C$19691,IF(Assumptions!$I$64=1,MAX(I19689,Assumptions!$G$64)+Assumptions!$F$64+$C$19690,Assumptions!$E$64))+I19803*IF(OR(I19804=1,H20017=1),$C$19691,IF(Assumptions!$I$65=1,MAX(I19689,Assumptions!$G$65)+Assumptions!$F$65+$C$19690,Assumptions!$E$65))+I19816*IF(OR(I19817=1,H20018=1),$C$19691,IF(Assumptions!$I$66=1,MAX(I19689,Assumptions!$G$66)+Assumptions!$F$66+$C$19690,Assumptions!$E$66))</f>
        <v>208.30675836865</v>
      </c>
      <c r="J19696" s="16" t="n">
        <f aca="false">J19699*IF(OR(J19700=1,I20009=1),$C$19691,IF(Assumptions!$I$57=1,MAX(J19689,Assumptions!$G$57)+Assumptions!$F$57+$C$19690,Assumptions!$E$57))+J19712*IF(OR(J19713=1,I20010=1),$C$19691,IF(Assumptions!$I$58=1,MAX(J19689,Assumptions!$G$58)+Assumptions!$F$58+$C$19690,Assumptions!$E$58))+J19725*IF(OR(J19726=1,I20011=1),$C$19691,IF(Assumptions!$I$59=1,MAX(J19689,Assumptions!$G$59)+Assumptions!$F$59+$C$19690,Assumptions!$E$59))+J19738*IF(OR(J19739=1,I20012=1),$C$19691,IF(Assumptions!$I$60=1,MAX(J19689,Assumptions!$G$60)+Assumptions!$F$60+$C$19690,Assumptions!$E$60))+J19751*IF(OR(J19752=1,I20013=1),$C$19691,IF(Assumptions!$I$61=1,MAX(J19689,Assumptions!$G$61)+Assumptions!$F$61+$C$19690,Assumptions!$E$61))+J19764*IF(OR(J19765=1,I20014=1),$C$19691,IF(Assumptions!$I$62=1,MAX(J19689,Assumptions!$G$62)+Assumptions!$F$62+$C$19690,Assumptions!$E$62))+J19777*IF(OR(J19778=1,I20015=1),$C$19691,IF(Assumptions!$I$63=1,MAX(J19689,Assumptions!$G$63)+Assumptions!$F$63+$C$19690,Assumptions!$E$63))+J19790*IF(OR(J19791=1,I20016=1),$C$19691,IF(Assumptions!$I$64=1,MAX(J19689,Assumptions!$G$64)+Assumptions!$F$64+$C$19690,Assumptions!$E$64))+J19803*IF(OR(J19804=1,I20017=1),$C$19691,IF(Assumptions!$I$65=1,MAX(J19689,Assumptions!$G$65)+Assumptions!$F$65+$C$19690,Assumptions!$E$65))+J19816*IF(OR(J19817=1,I20018=1),$C$19691,IF(Assumptions!$I$66=1,MAX(J19689,Assumptions!$G$66)+Assumptions!$F$66+$C$19690,Assumptions!$E$66))</f>
        <v>216.72425836865</v>
      </c>
      <c r="K19696" s="16" t="n">
        <f aca="false">K19699*IF(OR(K19700=1,J20009=1),$C$19691,IF(Assumptions!$I$57=1,MAX(K19689,Assumptions!$G$57)+Assumptions!$F$57+$C$19690,Assumptions!$E$57))+K19712*IF(OR(K19713=1,J20010=1),$C$19691,IF(Assumptions!$I$58=1,MAX(K19689,Assumptions!$G$58)+Assumptions!$F$58+$C$19690,Assumptions!$E$58))+K19725*IF(OR(K19726=1,J20011=1),$C$19691,IF(Assumptions!$I$59=1,MAX(K19689,Assumptions!$G$59)+Assumptions!$F$59+$C$19690,Assumptions!$E$59))+K19738*IF(OR(K19739=1,J20012=1),$C$19691,IF(Assumptions!$I$60=1,MAX(K19689,Assumptions!$G$60)+Assumptions!$F$60+$C$19690,Assumptions!$E$60))+K19751*IF(OR(K19752=1,J20013=1),$C$19691,IF(Assumptions!$I$61=1,MAX(K19689,Assumptions!$G$61)+Assumptions!$F$61+$C$19690,Assumptions!$E$61))+K19764*IF(OR(K19765=1,J20014=1),$C$19691,IF(Assumptions!$I$62=1,MAX(K19689,Assumptions!$G$62)+Assumptions!$F$62+$C$19690,Assumptions!$E$62))+K19777*IF(OR(K19778=1,J20015=1),$C$19691,IF(Assumptions!$I$63=1,MAX(K19689,Assumptions!$G$63)+Assumptions!$F$63+$C$19690,Assumptions!$E$63))+K19790*IF(OR(K19791=1,J20016=1),$C$19691,IF(Assumptions!$I$64=1,MAX(K19689,Assumptions!$G$64)+Assumptions!$F$64+$C$19690,Assumptions!$E$64))+K19803*IF(OR(K19804=1,J20017=1),$C$19691,IF(Assumptions!$I$65=1,MAX(K19689,Assumptions!$G$65)+Assumptions!$F$65+$C$19690,Assumptions!$E$65))+K19816*IF(OR(K19817=1,J20018=1),$C$19691,IF(Assumptions!$I$66=1,MAX(K19689,Assumptions!$G$66)+Assumptions!$F$66+$C$19690,Assumptions!$E$66))</f>
        <v>208.76425836865</v>
      </c>
    </row>
    <row r="19697" customFormat="false" ht="15" hidden="false" customHeight="false" outlineLevel="0" collapsed="false">
      <c r="A19697" s="3" t="s">
        <v>327</v>
      </c>
      <c r="G19697" s="21" t="n">
        <f aca="false">IF(G19673&lt;=0,0,IF(AND((G19694-G19695)/G19673&lt;=$C$19692,G19673/G19696&gt;=$C$19693),1,0))</f>
        <v>0</v>
      </c>
      <c r="H19697" s="21" t="n">
        <f aca="false">IF(H19673&lt;=0,0,IF(AND((H19694-H19695)/H19673&lt;=$C$19692,H19673/H19696&gt;=$C$19693),1,0))</f>
        <v>0</v>
      </c>
      <c r="I19697" s="21" t="n">
        <f aca="false">IF(I19673&lt;=0,0,IF(AND((I19694-I19695)/I19673&lt;=$C$19692,I19673/I19696&gt;=$C$19693),1,0))</f>
        <v>0</v>
      </c>
      <c r="J19697" s="21" t="n">
        <f aca="false">IF(J19673&lt;=0,0,IF(AND((J19694-J19695)/J19673&lt;=$C$19692,J19673/J19696&gt;=$C$19693),1,0))</f>
        <v>0</v>
      </c>
      <c r="K19697" s="21" t="n">
        <f aca="false">IF(K19673&lt;=0,0,IF(AND((K19694-K19695)/K19673&lt;=$C$19692,K19673/K19696&gt;=$C$19693),1,0))</f>
        <v>0</v>
      </c>
    </row>
    <row r="19698" customFormat="false" ht="15" hidden="false" customHeight="false" outlineLevel="0" collapsed="false">
      <c r="A19698" s="24" t="s">
        <v>328</v>
      </c>
      <c r="B19698" s="25"/>
      <c r="C19698" s="25"/>
      <c r="D19698" s="25"/>
      <c r="E19698" s="25"/>
      <c r="F19698" s="25"/>
      <c r="G19698" s="25"/>
      <c r="H19698" s="25"/>
      <c r="I19698" s="25"/>
      <c r="J19698" s="25"/>
      <c r="K19698" s="25"/>
    </row>
    <row r="19699" customFormat="false" ht="15" hidden="false" customHeight="false" outlineLevel="0" collapsed="false">
      <c r="A19699" s="3" t="s">
        <v>329</v>
      </c>
      <c r="G19699" s="16" t="n">
        <f aca="false">F19710</f>
        <v>400</v>
      </c>
      <c r="H19699" s="16" t="n">
        <f aca="false">G19710</f>
        <v>396</v>
      </c>
      <c r="I19699" s="16" t="n">
        <f aca="false">H19710</f>
        <v>392</v>
      </c>
      <c r="J19699" s="16" t="n">
        <f aca="false">I19710</f>
        <v>388</v>
      </c>
      <c r="K19699" s="16" t="n">
        <f aca="false">J19710</f>
        <v>384</v>
      </c>
    </row>
    <row r="19700" customFormat="false" ht="15" hidden="false" customHeight="false" outlineLevel="0" collapsed="false">
      <c r="A19700" s="3" t="s">
        <v>330</v>
      </c>
      <c r="G19700" s="21" t="n">
        <f aca="false">IF(G19663=Assumptions!$K$57,1,0)</f>
        <v>0</v>
      </c>
      <c r="H19700" s="21" t="n">
        <f aca="false">IF(H19663=Assumptions!$K$57,1,0)</f>
        <v>0</v>
      </c>
      <c r="I19700" s="21" t="n">
        <f aca="false">IF(I19663=Assumptions!$K$57,1,0)</f>
        <v>0</v>
      </c>
      <c r="J19700" s="21" t="n">
        <f aca="false">IF(J19663=Assumptions!$K$57,1,0)</f>
        <v>0</v>
      </c>
      <c r="K19700" s="21" t="n">
        <f aca="false">IF(K19663=Assumptions!$K$57,1,0)</f>
        <v>1</v>
      </c>
    </row>
    <row r="19702" customFormat="false" ht="15" hidden="false" customHeight="false" outlineLevel="0" collapsed="false">
      <c r="A19702" s="3" t="s">
        <v>331</v>
      </c>
      <c r="G19702" s="31" t="n">
        <f aca="false">IF(Assumptions!$I$57=1,MAX(G19689,Assumptions!$G$57)+Assumptions!$F$57+$C$19690,Assumptions!$E$57)</f>
        <v>0.1215</v>
      </c>
      <c r="H19702" s="31" t="n">
        <f aca="false">IF(G20009=1,$C$19691,IF(Assumptions!$I$57=1,MAX(H19689,Assumptions!$G$57)+Assumptions!$F$57+$C$19690,Assumptions!$E$57))</f>
        <v>0.12</v>
      </c>
      <c r="I19702" s="31" t="n">
        <f aca="false">IF(H20009=1,$C$19691,IF(Assumptions!$I$57=1,MAX(I19689,Assumptions!$G$57)+Assumptions!$F$57+$C$19690,Assumptions!$E$57))</f>
        <v>0.1175</v>
      </c>
      <c r="J19702" s="31" t="n">
        <f aca="false">IF(I20009=1,$C$19691,IF(Assumptions!$I$57=1,MAX(J19689,Assumptions!$G$57)+Assumptions!$F$57+$C$19690,Assumptions!$E$57))</f>
        <v>0.1175</v>
      </c>
      <c r="K19702" s="31" t="n">
        <f aca="false">IF(J20009=1,$C$19691,IF(Assumptions!$I$57=1,MAX(K19689,Assumptions!$G$57)+Assumptions!$F$57+$C$19690,Assumptions!$E$57))</f>
        <v>0.1175</v>
      </c>
    </row>
    <row r="19703" customFormat="false" ht="15" hidden="false" customHeight="false" outlineLevel="0" collapsed="false">
      <c r="A19703" s="3" t="s">
        <v>332</v>
      </c>
      <c r="G19703" s="16" t="n">
        <f aca="false">G19699*G19702</f>
        <v>48.6</v>
      </c>
      <c r="H19703" s="16" t="n">
        <f aca="false">H19699*H19702</f>
        <v>47.52</v>
      </c>
      <c r="I19703" s="16" t="n">
        <f aca="false">I19699*I19702</f>
        <v>46.06</v>
      </c>
      <c r="J19703" s="16" t="n">
        <f aca="false">J19699*J19702</f>
        <v>45.59</v>
      </c>
      <c r="K19703" s="16" t="n">
        <f aca="false">K19699*K19702</f>
        <v>45.12</v>
      </c>
    </row>
    <row r="19704" customFormat="false" ht="15" hidden="false" customHeight="false" outlineLevel="0" collapsed="false">
      <c r="A19704" s="3" t="s">
        <v>333</v>
      </c>
      <c r="G19704" s="16" t="n">
        <f aca="false">G19699*Assumptions!$H$57</f>
        <v>0</v>
      </c>
      <c r="H19704" s="16" t="n">
        <f aca="false">H19699*Assumptions!$H$57</f>
        <v>0</v>
      </c>
      <c r="I19704" s="16" t="n">
        <f aca="false">I19699*Assumptions!$H$57</f>
        <v>0</v>
      </c>
      <c r="J19704" s="16" t="n">
        <f aca="false">J19699*Assumptions!$H$57</f>
        <v>0</v>
      </c>
      <c r="K19704" s="16" t="n">
        <f aca="false">K19699*Assumptions!$H$57</f>
        <v>0</v>
      </c>
    </row>
    <row r="19705" customFormat="false" ht="15" hidden="false" customHeight="false" outlineLevel="0" collapsed="false">
      <c r="A19705" s="3" t="s">
        <v>334</v>
      </c>
      <c r="G19705" s="16" t="n">
        <f aca="false">MIN(G19699,Assumptions!$L$57*Assumptions!$C$57)</f>
        <v>4</v>
      </c>
      <c r="H19705" s="16" t="n">
        <f aca="false">MIN(H19699,Assumptions!$L$57*Assumptions!$C$57)</f>
        <v>4</v>
      </c>
      <c r="I19705" s="16" t="n">
        <f aca="false">MIN(I19699,Assumptions!$L$57*Assumptions!$C$57)</f>
        <v>4</v>
      </c>
      <c r="J19705" s="16" t="n">
        <f aca="false">MIN(J19699,Assumptions!$L$57*Assumptions!$C$57)</f>
        <v>4</v>
      </c>
      <c r="K19705" s="16" t="n">
        <f aca="false">MIN(K19699,Assumptions!$L$57*Assumptions!$C$57)</f>
        <v>4</v>
      </c>
    </row>
    <row r="19706" customFormat="false" ht="15" hidden="false" customHeight="false" outlineLevel="0" collapsed="false">
      <c r="A19706" s="3" t="s">
        <v>335</v>
      </c>
      <c r="G19706" s="16" t="n">
        <f aca="false">IF(AND(Assumptions!$P$57=1,G19663&lt;Assumptions!$K$57),MIN(MAX(0,-G19879),MAX(0,Assumptions!$D$57-G19699)),0)</f>
        <v>0</v>
      </c>
      <c r="H19706" s="16" t="n">
        <f aca="false">IF(AND(Assumptions!$P$57=1,OR(H19663&lt;Assumptions!$K$57,G20009=1)),MIN(MAX(0,-H19879),MAX(0,Assumptions!$D$57-H19699)),0)</f>
        <v>0</v>
      </c>
      <c r="I19706" s="16" t="n">
        <f aca="false">IF(AND(Assumptions!$P$57=1,OR(I19663&lt;Assumptions!$K$57,H20009=1)),MIN(MAX(0,-I19879),MAX(0,Assumptions!$D$57-I19699)),0)</f>
        <v>0</v>
      </c>
      <c r="J19706" s="16" t="n">
        <f aca="false">IF(AND(Assumptions!$P$57=1,OR(J19663&lt;Assumptions!$K$57,I20009=1)),MIN(MAX(0,-J19879),MAX(0,Assumptions!$D$57-J19699)),0)</f>
        <v>0</v>
      </c>
      <c r="K19706" s="16" t="n">
        <f aca="false">IF(AND(Assumptions!$P$57=1,OR(K19663&lt;Assumptions!$K$57,J20009=1)),MIN(MAX(0,-K19879),MAX(0,Assumptions!$D$57-K19699)),0)</f>
        <v>0</v>
      </c>
    </row>
    <row r="19707" customFormat="false" ht="15" hidden="false" customHeight="false" outlineLevel="0" collapsed="false">
      <c r="A19707" s="3" t="s">
        <v>336</v>
      </c>
      <c r="G19707" s="16" t="n">
        <f aca="false">G19700*MIN(G19699-G19705+G19704,MAX(0,G19881-Assumptions!$C$12*G19697))</f>
        <v>0</v>
      </c>
      <c r="H19707" s="16" t="n">
        <f aca="false">H19700*MIN(H19699-H19705+H19704,MAX(0,H19881-Assumptions!$C$12*H19697))</f>
        <v>0</v>
      </c>
      <c r="I19707" s="16" t="n">
        <f aca="false">I19700*MIN(I19699-I19705+I19704,MAX(0,I19881-Assumptions!$C$12*I19697))</f>
        <v>0</v>
      </c>
      <c r="J19707" s="16" t="n">
        <f aca="false">J19700*MIN(J19699-J19705+J19704,MAX(0,J19881-Assumptions!$C$12*J19697))</f>
        <v>0</v>
      </c>
      <c r="K19707" s="16" t="n">
        <f aca="false">K19700*MIN(K19699-K19705+K19704,MAX(0,K19881-Assumptions!$C$12*K19697))</f>
        <v>0</v>
      </c>
    </row>
    <row r="19708" customFormat="false" ht="15" hidden="false" customHeight="false" outlineLevel="0" collapsed="false">
      <c r="A19708" s="3" t="s">
        <v>337</v>
      </c>
      <c r="G19708" s="16" t="n">
        <f aca="false">Assumptions!$N$57*MIN(G19699+G19706+G19704-G19705-G19707,MAX(0,G19885))</f>
        <v>0</v>
      </c>
      <c r="H19708" s="16" t="n">
        <f aca="false">Assumptions!$N$57*MIN(H19699+H19706+H19704-H19705-H19707,MAX(0,H19885))</f>
        <v>0</v>
      </c>
      <c r="I19708" s="16" t="n">
        <f aca="false">Assumptions!$N$57*MIN(I19699+I19706+I19704-I19705-I19707,MAX(0,I19885))</f>
        <v>0</v>
      </c>
      <c r="J19708" s="16" t="n">
        <f aca="false">Assumptions!$N$57*MIN(J19699+J19706+J19704-J19705-J19707,MAX(0,J19885))</f>
        <v>0</v>
      </c>
      <c r="K19708" s="16" t="n">
        <f aca="false">Assumptions!$N$57*MIN(K19699+K19706+K19704-K19705-K19707,MAX(0,K19885))</f>
        <v>0</v>
      </c>
    </row>
    <row r="19709" customFormat="false" ht="15" hidden="false" customHeight="false" outlineLevel="0" collapsed="false">
      <c r="A19709" s="3" t="s">
        <v>338</v>
      </c>
      <c r="G19709" s="16" t="n">
        <f aca="false">G19700*(1-G19697)*(G19699-G19705+G19704-G19707)</f>
        <v>0</v>
      </c>
      <c r="H19709" s="16" t="n">
        <f aca="false">H19700*(1-H19697)*(H19699-H19705+H19704-H19707)</f>
        <v>0</v>
      </c>
      <c r="I19709" s="16" t="n">
        <f aca="false">I19700*(1-I19697)*(I19699-I19705+I19704-I19707)</f>
        <v>0</v>
      </c>
      <c r="J19709" s="16" t="n">
        <f aca="false">J19700*(1-J19697)*(J19699-J19705+J19704-J19707)</f>
        <v>0</v>
      </c>
      <c r="K19709" s="16" t="n">
        <f aca="false">K19700*(1-K19697)*(K19699-K19705+K19704-K19707)</f>
        <v>380</v>
      </c>
    </row>
    <row r="19710" customFormat="false" ht="15" hidden="false" customHeight="false" outlineLevel="0" collapsed="false">
      <c r="A19710" s="2" t="s">
        <v>339</v>
      </c>
      <c r="F19710" s="28" t="n">
        <f aca="false">Assumptions!$C$57</f>
        <v>400</v>
      </c>
      <c r="G19710" s="17" t="n">
        <f aca="false">G19699+G19706+G19704-G19705-G19707-G19708</f>
        <v>396</v>
      </c>
      <c r="H19710" s="17" t="n">
        <f aca="false">H19699+H19706+H19704-H19705-H19707-H19708</f>
        <v>392</v>
      </c>
      <c r="I19710" s="17" t="n">
        <f aca="false">I19699+I19706+I19704-I19705-I19707-I19708</f>
        <v>388</v>
      </c>
      <c r="J19710" s="17" t="n">
        <f aca="false">J19699+J19706+J19704-J19705-J19707-J19708</f>
        <v>384</v>
      </c>
      <c r="K19710" s="17" t="n">
        <f aca="false">K19699+K19706+K19704-K19705-K19707-K19708</f>
        <v>380</v>
      </c>
    </row>
    <row r="19711" customFormat="false" ht="15" hidden="false" customHeight="false" outlineLevel="0" collapsed="false">
      <c r="A19711" s="24" t="s">
        <v>340</v>
      </c>
      <c r="B19711" s="25"/>
      <c r="C19711" s="25"/>
      <c r="D19711" s="25"/>
      <c r="E19711" s="25"/>
      <c r="F19711" s="25"/>
      <c r="G19711" s="25"/>
      <c r="H19711" s="25"/>
      <c r="I19711" s="25"/>
      <c r="J19711" s="25"/>
      <c r="K19711" s="25"/>
    </row>
    <row r="19712" customFormat="false" ht="15" hidden="false" customHeight="false" outlineLevel="0" collapsed="false">
      <c r="A19712" s="3" t="s">
        <v>329</v>
      </c>
      <c r="G19712" s="16" t="n">
        <f aca="false">F19723</f>
        <v>90</v>
      </c>
      <c r="H19712" s="16" t="n">
        <f aca="false">G19723</f>
        <v>90</v>
      </c>
      <c r="I19712" s="16" t="n">
        <f aca="false">H19723</f>
        <v>90</v>
      </c>
      <c r="J19712" s="16" t="n">
        <f aca="false">I19723</f>
        <v>90</v>
      </c>
      <c r="K19712" s="16" t="n">
        <f aca="false">J19723</f>
        <v>90</v>
      </c>
    </row>
    <row r="19713" customFormat="false" ht="15" hidden="false" customHeight="false" outlineLevel="0" collapsed="false">
      <c r="A19713" s="3" t="s">
        <v>330</v>
      </c>
      <c r="G19713" s="21" t="n">
        <f aca="false">IF(G19663=Assumptions!$K$58,1,0)</f>
        <v>0</v>
      </c>
      <c r="H19713" s="21" t="n">
        <f aca="false">IF(H19663=Assumptions!$K$58,1,0)</f>
        <v>0</v>
      </c>
      <c r="I19713" s="21" t="n">
        <f aca="false">IF(I19663=Assumptions!$K$58,1,0)</f>
        <v>0</v>
      </c>
      <c r="J19713" s="21" t="n">
        <f aca="false">IF(J19663=Assumptions!$K$58,1,0)</f>
        <v>0</v>
      </c>
      <c r="K19713" s="21" t="n">
        <f aca="false">IF(K19663=Assumptions!$K$58,1,0)</f>
        <v>0</v>
      </c>
    </row>
    <row r="19715" customFormat="false" ht="15" hidden="false" customHeight="false" outlineLevel="0" collapsed="false">
      <c r="A19715" s="3" t="s">
        <v>331</v>
      </c>
      <c r="G19715" s="31" t="n">
        <f aca="false">IF(Assumptions!$I$58=1,MAX(G19689,Assumptions!$G$58)+Assumptions!$F$58+$C$19690,Assumptions!$E$58)</f>
        <v>0.0581</v>
      </c>
      <c r="H19715" s="31" t="n">
        <f aca="false">IF(G20010=1,$C$19691,IF(Assumptions!$I$58=1,MAX(H19689,Assumptions!$G$58)+Assumptions!$F$58+$C$19690,Assumptions!$E$58))</f>
        <v>0.0581</v>
      </c>
      <c r="I19715" s="31" t="n">
        <f aca="false">IF(H20010=1,$C$19691,IF(Assumptions!$I$58=1,MAX(I19689,Assumptions!$G$58)+Assumptions!$F$58+$C$19690,Assumptions!$E$58))</f>
        <v>0.0581</v>
      </c>
      <c r="J19715" s="31" t="n">
        <f aca="false">IF(I20010=1,$C$19691,IF(Assumptions!$I$58=1,MAX(J19689,Assumptions!$G$58)+Assumptions!$F$58+$C$19690,Assumptions!$E$58))</f>
        <v>0.0581</v>
      </c>
      <c r="K19715" s="31" t="n">
        <f aca="false">IF(J20010=1,$C$19691,IF(Assumptions!$I$58=1,MAX(K19689,Assumptions!$G$58)+Assumptions!$F$58+$C$19690,Assumptions!$E$58))</f>
        <v>0.0581</v>
      </c>
    </row>
    <row r="19716" customFormat="false" ht="15" hidden="false" customHeight="false" outlineLevel="0" collapsed="false">
      <c r="A19716" s="3" t="s">
        <v>332</v>
      </c>
      <c r="G19716" s="16" t="n">
        <f aca="false">G19712*G19715</f>
        <v>5.229</v>
      </c>
      <c r="H19716" s="16" t="n">
        <f aca="false">H19712*H19715</f>
        <v>5.229</v>
      </c>
      <c r="I19716" s="16" t="n">
        <f aca="false">I19712*I19715</f>
        <v>5.229</v>
      </c>
      <c r="J19716" s="16" t="n">
        <f aca="false">J19712*J19715</f>
        <v>5.229</v>
      </c>
      <c r="K19716" s="16" t="n">
        <f aca="false">K19712*K19715</f>
        <v>5.229</v>
      </c>
    </row>
    <row r="19717" customFormat="false" ht="15" hidden="false" customHeight="false" outlineLevel="0" collapsed="false">
      <c r="A19717" s="3" t="s">
        <v>333</v>
      </c>
      <c r="G19717" s="16" t="n">
        <f aca="false">G19712*Assumptions!$H$58</f>
        <v>0</v>
      </c>
      <c r="H19717" s="16" t="n">
        <f aca="false">H19712*Assumptions!$H$58</f>
        <v>0</v>
      </c>
      <c r="I19717" s="16" t="n">
        <f aca="false">I19712*Assumptions!$H$58</f>
        <v>0</v>
      </c>
      <c r="J19717" s="16" t="n">
        <f aca="false">J19712*Assumptions!$H$58</f>
        <v>0</v>
      </c>
      <c r="K19717" s="16" t="n">
        <f aca="false">K19712*Assumptions!$H$58</f>
        <v>0</v>
      </c>
    </row>
    <row r="19718" customFormat="false" ht="15" hidden="false" customHeight="false" outlineLevel="0" collapsed="false">
      <c r="A19718" s="3" t="s">
        <v>334</v>
      </c>
      <c r="G19718" s="16" t="n">
        <f aca="false">MIN(G19712,Assumptions!$L$58*Assumptions!$C$58)</f>
        <v>0</v>
      </c>
      <c r="H19718" s="16" t="n">
        <f aca="false">MIN(H19712,Assumptions!$L$58*Assumptions!$C$58)</f>
        <v>0</v>
      </c>
      <c r="I19718" s="16" t="n">
        <f aca="false">MIN(I19712,Assumptions!$L$58*Assumptions!$C$58)</f>
        <v>0</v>
      </c>
      <c r="J19718" s="16" t="n">
        <f aca="false">MIN(J19712,Assumptions!$L$58*Assumptions!$C$58)</f>
        <v>0</v>
      </c>
      <c r="K19718" s="16" t="n">
        <f aca="false">MIN(K19712,Assumptions!$L$58*Assumptions!$C$58)</f>
        <v>0</v>
      </c>
    </row>
    <row r="19719" customFormat="false" ht="15" hidden="false" customHeight="false" outlineLevel="0" collapsed="false">
      <c r="A19719" s="3" t="s">
        <v>335</v>
      </c>
      <c r="G19719" s="16" t="n">
        <f aca="false">IF(AND(Assumptions!$P$58=1,G19663&lt;Assumptions!$K$58),MIN(MAX(0,-G19879),MAX(0,Assumptions!$D$58-G19712)),0)</f>
        <v>0</v>
      </c>
      <c r="H19719" s="16" t="n">
        <f aca="false">IF(AND(Assumptions!$P$58=1,OR(H19663&lt;Assumptions!$K$58,G20010=1)),MIN(MAX(0,-H19879),MAX(0,Assumptions!$D$58-H19712)),0)</f>
        <v>0</v>
      </c>
      <c r="I19719" s="16" t="n">
        <f aca="false">IF(AND(Assumptions!$P$58=1,OR(I19663&lt;Assumptions!$K$58,H20010=1)),MIN(MAX(0,-I19879),MAX(0,Assumptions!$D$58-I19712)),0)</f>
        <v>0</v>
      </c>
      <c r="J19719" s="16" t="n">
        <f aca="false">IF(AND(Assumptions!$P$58=1,OR(J19663&lt;Assumptions!$K$58,I20010=1)),MIN(MAX(0,-J19879),MAX(0,Assumptions!$D$58-J19712)),0)</f>
        <v>0</v>
      </c>
      <c r="K19719" s="16" t="n">
        <f aca="false">IF(AND(Assumptions!$P$58=1,OR(K19663&lt;Assumptions!$K$58,J20010=1)),MIN(MAX(0,-K19879),MAX(0,Assumptions!$D$58-K19712)),0)</f>
        <v>0</v>
      </c>
    </row>
    <row r="19720" customFormat="false" ht="15" hidden="false" customHeight="false" outlineLevel="0" collapsed="false">
      <c r="A19720" s="3" t="s">
        <v>336</v>
      </c>
      <c r="G19720" s="16" t="n">
        <f aca="false">G19713*MIN(G19712-G19718+G19717,MAX(0,G19881-Assumptions!$C$12*G19697-G19707))</f>
        <v>0</v>
      </c>
      <c r="H19720" s="16" t="n">
        <f aca="false">H19713*MIN(H19712-H19718+H19717,MAX(0,H19881-Assumptions!$C$12*H19697-H19707))</f>
        <v>0</v>
      </c>
      <c r="I19720" s="16" t="n">
        <f aca="false">I19713*MIN(I19712-I19718+I19717,MAX(0,I19881-Assumptions!$C$12*I19697-I19707))</f>
        <v>0</v>
      </c>
      <c r="J19720" s="16" t="n">
        <f aca="false">J19713*MIN(J19712-J19718+J19717,MAX(0,J19881-Assumptions!$C$12*J19697-J19707))</f>
        <v>0</v>
      </c>
      <c r="K19720" s="16" t="n">
        <f aca="false">K19713*MIN(K19712-K19718+K19717,MAX(0,K19881-Assumptions!$C$12*K19697-K19707))</f>
        <v>0</v>
      </c>
    </row>
    <row r="19721" customFormat="false" ht="15" hidden="false" customHeight="false" outlineLevel="0" collapsed="false">
      <c r="A19721" s="3" t="s">
        <v>337</v>
      </c>
      <c r="G19721" s="16" t="n">
        <f aca="false">Assumptions!$N$58*MIN(G19712+G19719+G19717-G19718-G19720,MAX(0,G19885-G19708))</f>
        <v>0</v>
      </c>
      <c r="H19721" s="16" t="n">
        <f aca="false">Assumptions!$N$58*MIN(H19712+H19719+H19717-H19718-H19720,MAX(0,H19885-H19708))</f>
        <v>0</v>
      </c>
      <c r="I19721" s="16" t="n">
        <f aca="false">Assumptions!$N$58*MIN(I19712+I19719+I19717-I19718-I19720,MAX(0,I19885-I19708))</f>
        <v>0</v>
      </c>
      <c r="J19721" s="16" t="n">
        <f aca="false">Assumptions!$N$58*MIN(J19712+J19719+J19717-J19718-J19720,MAX(0,J19885-J19708))</f>
        <v>0</v>
      </c>
      <c r="K19721" s="16" t="n">
        <f aca="false">Assumptions!$N$58*MIN(K19712+K19719+K19717-K19718-K19720,MAX(0,K19885-K19708))</f>
        <v>0</v>
      </c>
    </row>
    <row r="19722" customFormat="false" ht="15" hidden="false" customHeight="false" outlineLevel="0" collapsed="false">
      <c r="A19722" s="3" t="s">
        <v>338</v>
      </c>
      <c r="G19722" s="16" t="n">
        <f aca="false">G19713*(1-G19697)*(G19712-G19718+G19717-G19720)</f>
        <v>0</v>
      </c>
      <c r="H19722" s="16" t="n">
        <f aca="false">H19713*(1-H19697)*(H19712-H19718+H19717-H19720)</f>
        <v>0</v>
      </c>
      <c r="I19722" s="16" t="n">
        <f aca="false">I19713*(1-I19697)*(I19712-I19718+I19717-I19720)</f>
        <v>0</v>
      </c>
      <c r="J19722" s="16" t="n">
        <f aca="false">J19713*(1-J19697)*(J19712-J19718+J19717-J19720)</f>
        <v>0</v>
      </c>
      <c r="K19722" s="16" t="n">
        <f aca="false">K19713*(1-K19697)*(K19712-K19718+K19717-K19720)</f>
        <v>0</v>
      </c>
    </row>
    <row r="19723" customFormat="false" ht="15" hidden="false" customHeight="false" outlineLevel="0" collapsed="false">
      <c r="A19723" s="2" t="s">
        <v>339</v>
      </c>
      <c r="F19723" s="28" t="n">
        <f aca="false">Assumptions!$C$58</f>
        <v>90</v>
      </c>
      <c r="G19723" s="17" t="n">
        <f aca="false">G19712+G19719+G19717-G19718-G19720-G19721</f>
        <v>90</v>
      </c>
      <c r="H19723" s="17" t="n">
        <f aca="false">H19712+H19719+H19717-H19718-H19720-H19721</f>
        <v>90</v>
      </c>
      <c r="I19723" s="17" t="n">
        <f aca="false">I19712+I19719+I19717-I19718-I19720-I19721</f>
        <v>90</v>
      </c>
      <c r="J19723" s="17" t="n">
        <f aca="false">J19712+J19719+J19717-J19718-J19720-J19721</f>
        <v>90</v>
      </c>
      <c r="K19723" s="17" t="n">
        <f aca="false">K19712+K19719+K19717-K19718-K19720-K19721</f>
        <v>90</v>
      </c>
    </row>
    <row r="19724" customFormat="false" ht="15" hidden="false" customHeight="false" outlineLevel="0" collapsed="false">
      <c r="A19724" s="24" t="s">
        <v>341</v>
      </c>
      <c r="B19724" s="25"/>
      <c r="C19724" s="25"/>
      <c r="D19724" s="25"/>
      <c r="E19724" s="25"/>
      <c r="F19724" s="25"/>
      <c r="G19724" s="25"/>
      <c r="H19724" s="25"/>
      <c r="I19724" s="25"/>
      <c r="J19724" s="25"/>
      <c r="K19724" s="25"/>
    </row>
    <row r="19725" customFormat="false" ht="15" hidden="false" customHeight="false" outlineLevel="0" collapsed="false">
      <c r="A19725" s="3" t="s">
        <v>329</v>
      </c>
      <c r="G19725" s="16" t="n">
        <f aca="false">F19736</f>
        <v>57.324</v>
      </c>
      <c r="H19725" s="16" t="n">
        <f aca="false">G19736</f>
        <v>57.324</v>
      </c>
      <c r="I19725" s="16" t="n">
        <f aca="false">H19736</f>
        <v>57.324</v>
      </c>
      <c r="J19725" s="16" t="n">
        <f aca="false">I19736</f>
        <v>57.324</v>
      </c>
      <c r="K19725" s="16" t="n">
        <f aca="false">J19736</f>
        <v>57.324</v>
      </c>
    </row>
    <row r="19726" customFormat="false" ht="15" hidden="false" customHeight="false" outlineLevel="0" collapsed="false">
      <c r="A19726" s="3" t="s">
        <v>330</v>
      </c>
      <c r="G19726" s="21" t="n">
        <f aca="false">IF(G19663=Assumptions!$K$59,1,0)</f>
        <v>0</v>
      </c>
      <c r="H19726" s="21" t="n">
        <f aca="false">IF(H19663=Assumptions!$K$59,1,0)</f>
        <v>0</v>
      </c>
      <c r="I19726" s="21" t="n">
        <f aca="false">IF(I19663=Assumptions!$K$59,1,0)</f>
        <v>0</v>
      </c>
      <c r="J19726" s="21" t="n">
        <f aca="false">IF(J19663=Assumptions!$K$59,1,0)</f>
        <v>0</v>
      </c>
      <c r="K19726" s="21" t="n">
        <f aca="false">IF(K19663=Assumptions!$K$59,1,0)</f>
        <v>0</v>
      </c>
    </row>
    <row r="19728" customFormat="false" ht="15" hidden="false" customHeight="false" outlineLevel="0" collapsed="false">
      <c r="A19728" s="3" t="s">
        <v>331</v>
      </c>
      <c r="G19728" s="31" t="n">
        <f aca="false">IF(Assumptions!$I$59=1,MAX(G19689,Assumptions!$G$59)+Assumptions!$F$59+$C$19690,Assumptions!$E$59)</f>
        <v>0.0731</v>
      </c>
      <c r="H19728" s="31" t="n">
        <f aca="false">IF(G20011=1,$C$19691,IF(Assumptions!$I$59=1,MAX(H19689,Assumptions!$G$59)+Assumptions!$F$59+$C$19690,Assumptions!$E$59))</f>
        <v>0.0731</v>
      </c>
      <c r="I19728" s="31" t="n">
        <f aca="false">IF(H20011=1,$C$19691,IF(Assumptions!$I$59=1,MAX(I19689,Assumptions!$G$59)+Assumptions!$F$59+$C$19690,Assumptions!$E$59))</f>
        <v>0.0731</v>
      </c>
      <c r="J19728" s="31" t="n">
        <f aca="false">IF(I20011=1,$C$19691,IF(Assumptions!$I$59=1,MAX(J19689,Assumptions!$G$59)+Assumptions!$F$59+$C$19690,Assumptions!$E$59))</f>
        <v>0.0731</v>
      </c>
      <c r="K19728" s="31" t="n">
        <f aca="false">IF(J20011=1,$C$19691,IF(Assumptions!$I$59=1,MAX(K19689,Assumptions!$G$59)+Assumptions!$F$59+$C$19690,Assumptions!$E$59))</f>
        <v>0.0731</v>
      </c>
    </row>
    <row r="19729" customFormat="false" ht="15" hidden="false" customHeight="false" outlineLevel="0" collapsed="false">
      <c r="A19729" s="3" t="s">
        <v>332</v>
      </c>
      <c r="G19729" s="16" t="n">
        <f aca="false">G19725*G19728</f>
        <v>4.1903844</v>
      </c>
      <c r="H19729" s="16" t="n">
        <f aca="false">H19725*H19728</f>
        <v>4.1903844</v>
      </c>
      <c r="I19729" s="16" t="n">
        <f aca="false">I19725*I19728</f>
        <v>4.1903844</v>
      </c>
      <c r="J19729" s="16" t="n">
        <f aca="false">J19725*J19728</f>
        <v>4.1903844</v>
      </c>
      <c r="K19729" s="16" t="n">
        <f aca="false">K19725*K19728</f>
        <v>4.1903844</v>
      </c>
    </row>
    <row r="19730" customFormat="false" ht="15" hidden="false" customHeight="false" outlineLevel="0" collapsed="false">
      <c r="A19730" s="3" t="s">
        <v>333</v>
      </c>
      <c r="G19730" s="16" t="n">
        <f aca="false">G19725*Assumptions!$H$59</f>
        <v>0</v>
      </c>
      <c r="H19730" s="16" t="n">
        <f aca="false">H19725*Assumptions!$H$59</f>
        <v>0</v>
      </c>
      <c r="I19730" s="16" t="n">
        <f aca="false">I19725*Assumptions!$H$59</f>
        <v>0</v>
      </c>
      <c r="J19730" s="16" t="n">
        <f aca="false">J19725*Assumptions!$H$59</f>
        <v>0</v>
      </c>
      <c r="K19730" s="16" t="n">
        <f aca="false">K19725*Assumptions!$H$59</f>
        <v>0</v>
      </c>
    </row>
    <row r="19731" customFormat="false" ht="15" hidden="false" customHeight="false" outlineLevel="0" collapsed="false">
      <c r="A19731" s="3" t="s">
        <v>334</v>
      </c>
      <c r="G19731" s="16" t="n">
        <f aca="false">MIN(G19725,Assumptions!$L$59*Assumptions!$C$59)</f>
        <v>0</v>
      </c>
      <c r="H19731" s="16" t="n">
        <f aca="false">MIN(H19725,Assumptions!$L$59*Assumptions!$C$59)</f>
        <v>0</v>
      </c>
      <c r="I19731" s="16" t="n">
        <f aca="false">MIN(I19725,Assumptions!$L$59*Assumptions!$C$59)</f>
        <v>0</v>
      </c>
      <c r="J19731" s="16" t="n">
        <f aca="false">MIN(J19725,Assumptions!$L$59*Assumptions!$C$59)</f>
        <v>0</v>
      </c>
      <c r="K19731" s="16" t="n">
        <f aca="false">MIN(K19725,Assumptions!$L$59*Assumptions!$C$59)</f>
        <v>0</v>
      </c>
    </row>
    <row r="19732" customFormat="false" ht="15" hidden="false" customHeight="false" outlineLevel="0" collapsed="false">
      <c r="A19732" s="3" t="s">
        <v>335</v>
      </c>
      <c r="G19732" s="16" t="n">
        <f aca="false">IF(AND(Assumptions!$P$59=1,G19663&lt;Assumptions!$K$59),MIN(MAX(0,-G19879),MAX(0,Assumptions!$D$59-G19725)),0)</f>
        <v>0</v>
      </c>
      <c r="H19732" s="16" t="n">
        <f aca="false">IF(AND(Assumptions!$P$59=1,OR(H19663&lt;Assumptions!$K$59,G20011=1)),MIN(MAX(0,-H19879),MAX(0,Assumptions!$D$59-H19725)),0)</f>
        <v>0</v>
      </c>
      <c r="I19732" s="16" t="n">
        <f aca="false">IF(AND(Assumptions!$P$59=1,OR(I19663&lt;Assumptions!$K$59,H20011=1)),MIN(MAX(0,-I19879),MAX(0,Assumptions!$D$59-I19725)),0)</f>
        <v>0</v>
      </c>
      <c r="J19732" s="16" t="n">
        <f aca="false">IF(AND(Assumptions!$P$59=1,OR(J19663&lt;Assumptions!$K$59,I20011=1)),MIN(MAX(0,-J19879),MAX(0,Assumptions!$D$59-J19725)),0)</f>
        <v>0</v>
      </c>
      <c r="K19732" s="16" t="n">
        <f aca="false">IF(AND(Assumptions!$P$59=1,OR(K19663&lt;Assumptions!$K$59,J20011=1)),MIN(MAX(0,-K19879),MAX(0,Assumptions!$D$59-K19725)),0)</f>
        <v>0</v>
      </c>
    </row>
    <row r="19733" customFormat="false" ht="15" hidden="false" customHeight="false" outlineLevel="0" collapsed="false">
      <c r="A19733" s="3" t="s">
        <v>336</v>
      </c>
      <c r="G19733" s="16" t="n">
        <f aca="false">G19726*MIN(G19725-G19731+G19730,MAX(0,G19881-Assumptions!$C$12*G19697-G19707-G19720))</f>
        <v>0</v>
      </c>
      <c r="H19733" s="16" t="n">
        <f aca="false">H19726*MIN(H19725-H19731+H19730,MAX(0,H19881-Assumptions!$C$12*H19697-H19707-H19720))</f>
        <v>0</v>
      </c>
      <c r="I19733" s="16" t="n">
        <f aca="false">I19726*MIN(I19725-I19731+I19730,MAX(0,I19881-Assumptions!$C$12*I19697-I19707-I19720))</f>
        <v>0</v>
      </c>
      <c r="J19733" s="16" t="n">
        <f aca="false">J19726*MIN(J19725-J19731+J19730,MAX(0,J19881-Assumptions!$C$12*J19697-J19707-J19720))</f>
        <v>0</v>
      </c>
      <c r="K19733" s="16" t="n">
        <f aca="false">K19726*MIN(K19725-K19731+K19730,MAX(0,K19881-Assumptions!$C$12*K19697-K19707-K19720))</f>
        <v>0</v>
      </c>
    </row>
    <row r="19734" customFormat="false" ht="15" hidden="false" customHeight="false" outlineLevel="0" collapsed="false">
      <c r="A19734" s="3" t="s">
        <v>337</v>
      </c>
      <c r="G19734" s="16" t="n">
        <f aca="false">Assumptions!$N$59*MIN(G19725+G19732+G19730-G19731-G19733,MAX(0,G19885-G19708-G19721))</f>
        <v>0</v>
      </c>
      <c r="H19734" s="16" t="n">
        <f aca="false">Assumptions!$N$59*MIN(H19725+H19732+H19730-H19731-H19733,MAX(0,H19885-H19708-H19721))</f>
        <v>0</v>
      </c>
      <c r="I19734" s="16" t="n">
        <f aca="false">Assumptions!$N$59*MIN(I19725+I19732+I19730-I19731-I19733,MAX(0,I19885-I19708-I19721))</f>
        <v>0</v>
      </c>
      <c r="J19734" s="16" t="n">
        <f aca="false">Assumptions!$N$59*MIN(J19725+J19732+J19730-J19731-J19733,MAX(0,J19885-J19708-J19721))</f>
        <v>0</v>
      </c>
      <c r="K19734" s="16" t="n">
        <f aca="false">Assumptions!$N$59*MIN(K19725+K19732+K19730-K19731-K19733,MAX(0,K19885-K19708-K19721))</f>
        <v>0</v>
      </c>
    </row>
    <row r="19735" customFormat="false" ht="15" hidden="false" customHeight="false" outlineLevel="0" collapsed="false">
      <c r="A19735" s="3" t="s">
        <v>338</v>
      </c>
      <c r="G19735" s="16" t="n">
        <f aca="false">G19726*(1-G19697)*(G19725-G19731+G19730-G19733)</f>
        <v>0</v>
      </c>
      <c r="H19735" s="16" t="n">
        <f aca="false">H19726*(1-H19697)*(H19725-H19731+H19730-H19733)</f>
        <v>0</v>
      </c>
      <c r="I19735" s="16" t="n">
        <f aca="false">I19726*(1-I19697)*(I19725-I19731+I19730-I19733)</f>
        <v>0</v>
      </c>
      <c r="J19735" s="16" t="n">
        <f aca="false">J19726*(1-J19697)*(J19725-J19731+J19730-J19733)</f>
        <v>0</v>
      </c>
      <c r="K19735" s="16" t="n">
        <f aca="false">K19726*(1-K19697)*(K19725-K19731+K19730-K19733)</f>
        <v>0</v>
      </c>
    </row>
    <row r="19736" customFormat="false" ht="15" hidden="false" customHeight="false" outlineLevel="0" collapsed="false">
      <c r="A19736" s="2" t="s">
        <v>339</v>
      </c>
      <c r="F19736" s="28" t="n">
        <f aca="false">Assumptions!$C$59</f>
        <v>57.324</v>
      </c>
      <c r="G19736" s="17" t="n">
        <f aca="false">G19725+G19732+G19730-G19731-G19733-G19734</f>
        <v>57.324</v>
      </c>
      <c r="H19736" s="17" t="n">
        <f aca="false">H19725+H19732+H19730-H19731-H19733-H19734</f>
        <v>57.324</v>
      </c>
      <c r="I19736" s="17" t="n">
        <f aca="false">I19725+I19732+I19730-I19731-I19733-I19734</f>
        <v>57.324</v>
      </c>
      <c r="J19736" s="17" t="n">
        <f aca="false">J19725+J19732+J19730-J19731-J19733-J19734</f>
        <v>57.324</v>
      </c>
      <c r="K19736" s="17" t="n">
        <f aca="false">K19725+K19732+K19730-K19731-K19733-K19734</f>
        <v>57.324</v>
      </c>
    </row>
    <row r="19737" customFormat="false" ht="15" hidden="false" customHeight="false" outlineLevel="0" collapsed="false">
      <c r="A19737" s="24" t="s">
        <v>342</v>
      </c>
      <c r="B19737" s="25"/>
      <c r="C19737" s="25"/>
      <c r="D19737" s="25"/>
      <c r="E19737" s="25"/>
      <c r="F19737" s="25"/>
      <c r="G19737" s="25"/>
      <c r="H19737" s="25"/>
      <c r="I19737" s="25"/>
      <c r="J19737" s="25"/>
      <c r="K19737" s="25"/>
    </row>
    <row r="19738" customFormat="false" ht="15" hidden="false" customHeight="false" outlineLevel="0" collapsed="false">
      <c r="A19738" s="3" t="s">
        <v>329</v>
      </c>
      <c r="G19738" s="16" t="n">
        <f aca="false">F19749</f>
        <v>0</v>
      </c>
      <c r="H19738" s="16" t="n">
        <f aca="false">G19749</f>
        <v>0</v>
      </c>
      <c r="I19738" s="16" t="n">
        <f aca="false">H19749</f>
        <v>0</v>
      </c>
      <c r="J19738" s="16" t="n">
        <f aca="false">I19749</f>
        <v>0</v>
      </c>
      <c r="K19738" s="16" t="n">
        <f aca="false">J19749</f>
        <v>0</v>
      </c>
    </row>
    <row r="19739" customFormat="false" ht="15" hidden="false" customHeight="false" outlineLevel="0" collapsed="false">
      <c r="A19739" s="3" t="s">
        <v>330</v>
      </c>
      <c r="G19739" s="21" t="n">
        <f aca="false">IF(G19663=Assumptions!$K$60,1,0)</f>
        <v>1</v>
      </c>
      <c r="H19739" s="21" t="n">
        <f aca="false">IF(H19663=Assumptions!$K$60,1,0)</f>
        <v>0</v>
      </c>
      <c r="I19739" s="21" t="n">
        <f aca="false">IF(I19663=Assumptions!$K$60,1,0)</f>
        <v>0</v>
      </c>
      <c r="J19739" s="21" t="n">
        <f aca="false">IF(J19663=Assumptions!$K$60,1,0)</f>
        <v>0</v>
      </c>
      <c r="K19739" s="21" t="n">
        <f aca="false">IF(K19663=Assumptions!$K$60,1,0)</f>
        <v>0</v>
      </c>
    </row>
    <row r="19741" customFormat="false" ht="15" hidden="false" customHeight="false" outlineLevel="0" collapsed="false">
      <c r="A19741" s="3" t="s">
        <v>331</v>
      </c>
      <c r="G19741" s="31" t="n">
        <f aca="false">IF(Assumptions!$I$60=1,MAX(G19689,Assumptions!$G$60)+Assumptions!$F$60+$C$19690,Assumptions!$E$60)</f>
        <v>0.084</v>
      </c>
      <c r="H19741" s="31" t="n">
        <f aca="false">IF(G20012=1,$C$19691,IF(Assumptions!$I$60=1,MAX(H19689,Assumptions!$G$60)+Assumptions!$F$60+$C$19690,Assumptions!$E$60))</f>
        <v>0.0825</v>
      </c>
      <c r="I19741" s="31" t="n">
        <f aca="false">IF(H20012=1,$C$19691,IF(Assumptions!$I$60=1,MAX(I19689,Assumptions!$G$60)+Assumptions!$F$60+$C$19690,Assumptions!$E$60))</f>
        <v>0.08</v>
      </c>
      <c r="J19741" s="31" t="n">
        <f aca="false">IF(I20012=1,$C$19691,IF(Assumptions!$I$60=1,MAX(J19689,Assumptions!$G$60)+Assumptions!$F$60+$C$19690,Assumptions!$E$60))</f>
        <v>0.08</v>
      </c>
      <c r="K19741" s="31" t="n">
        <f aca="false">IF(J20012=1,$C$19691,IF(Assumptions!$I$60=1,MAX(K19689,Assumptions!$G$60)+Assumptions!$F$60+$C$19690,Assumptions!$E$60))</f>
        <v>0.08</v>
      </c>
    </row>
    <row r="19742" customFormat="false" ht="15" hidden="false" customHeight="false" outlineLevel="0" collapsed="false">
      <c r="A19742" s="3" t="s">
        <v>332</v>
      </c>
      <c r="G19742" s="16" t="n">
        <f aca="false">G19738*G19741</f>
        <v>0</v>
      </c>
      <c r="H19742" s="16" t="n">
        <f aca="false">H19738*H19741</f>
        <v>0</v>
      </c>
      <c r="I19742" s="16" t="n">
        <f aca="false">I19738*I19741</f>
        <v>0</v>
      </c>
      <c r="J19742" s="16" t="n">
        <f aca="false">J19738*J19741</f>
        <v>0</v>
      </c>
      <c r="K19742" s="16" t="n">
        <f aca="false">K19738*K19741</f>
        <v>0</v>
      </c>
    </row>
    <row r="19743" customFormat="false" ht="15" hidden="false" customHeight="false" outlineLevel="0" collapsed="false">
      <c r="A19743" s="3" t="s">
        <v>333</v>
      </c>
      <c r="G19743" s="16" t="n">
        <f aca="false">G19738*Assumptions!$H$60</f>
        <v>0</v>
      </c>
      <c r="H19743" s="16" t="n">
        <f aca="false">H19738*Assumptions!$H$60</f>
        <v>0</v>
      </c>
      <c r="I19743" s="16" t="n">
        <f aca="false">I19738*Assumptions!$H$60</f>
        <v>0</v>
      </c>
      <c r="J19743" s="16" t="n">
        <f aca="false">J19738*Assumptions!$H$60</f>
        <v>0</v>
      </c>
      <c r="K19743" s="16" t="n">
        <f aca="false">K19738*Assumptions!$H$60</f>
        <v>0</v>
      </c>
    </row>
    <row r="19744" customFormat="false" ht="15" hidden="false" customHeight="false" outlineLevel="0" collapsed="false">
      <c r="A19744" s="3" t="s">
        <v>334</v>
      </c>
      <c r="G19744" s="16" t="n">
        <f aca="false">MIN(G19738,Assumptions!$L$60*Assumptions!$C$60)</f>
        <v>0</v>
      </c>
      <c r="H19744" s="16" t="n">
        <f aca="false">MIN(H19738,Assumptions!$L$60*Assumptions!$C$60)</f>
        <v>0</v>
      </c>
      <c r="I19744" s="16" t="n">
        <f aca="false">MIN(I19738,Assumptions!$L$60*Assumptions!$C$60)</f>
        <v>0</v>
      </c>
      <c r="J19744" s="16" t="n">
        <f aca="false">MIN(J19738,Assumptions!$L$60*Assumptions!$C$60)</f>
        <v>0</v>
      </c>
      <c r="K19744" s="16" t="n">
        <f aca="false">MIN(K19738,Assumptions!$L$60*Assumptions!$C$60)</f>
        <v>0</v>
      </c>
    </row>
    <row r="19745" customFormat="false" ht="15" hidden="false" customHeight="false" outlineLevel="0" collapsed="false">
      <c r="A19745" s="3" t="s">
        <v>335</v>
      </c>
      <c r="G19745" s="16" t="n">
        <f aca="false">IF(AND(Assumptions!$P$60=1,G19663&lt;Assumptions!$K$60),MIN(MAX(0,-G19879),MAX(0,Assumptions!$D$60-G19738)),0)</f>
        <v>0</v>
      </c>
      <c r="H19745" s="16" t="n">
        <f aca="false">IF(AND(Assumptions!$P$60=1,OR(H19663&lt;Assumptions!$K$60,G20012=1)),MIN(MAX(0,-H19879),MAX(0,Assumptions!$D$60-H19738)),0)</f>
        <v>0</v>
      </c>
      <c r="I19745" s="16" t="n">
        <f aca="false">IF(AND(Assumptions!$P$60=1,OR(I19663&lt;Assumptions!$K$60,H20012=1)),MIN(MAX(0,-I19879),MAX(0,Assumptions!$D$60-I19738)),0)</f>
        <v>0</v>
      </c>
      <c r="J19745" s="16" t="n">
        <f aca="false">IF(AND(Assumptions!$P$60=1,OR(J19663&lt;Assumptions!$K$60,I20012=1)),MIN(MAX(0,-J19879),MAX(0,Assumptions!$D$60-J19738)),0)</f>
        <v>0</v>
      </c>
      <c r="K19745" s="16" t="n">
        <f aca="false">IF(AND(Assumptions!$P$60=1,OR(K19663&lt;Assumptions!$K$60,J20012=1)),MIN(MAX(0,-K19879),MAX(0,Assumptions!$D$60-K19738)),0)</f>
        <v>0</v>
      </c>
    </row>
    <row r="19746" customFormat="false" ht="15" hidden="false" customHeight="false" outlineLevel="0" collapsed="false">
      <c r="A19746" s="3" t="s">
        <v>336</v>
      </c>
      <c r="G19746" s="16" t="n">
        <f aca="false">G19739*MIN(G19738-G19744+G19743,MAX(0,G19881-Assumptions!$C$12*G19697-G19707-G19720-G19733))</f>
        <v>0</v>
      </c>
      <c r="H19746" s="16" t="n">
        <f aca="false">H19739*MIN(H19738-H19744+H19743,MAX(0,H19881-Assumptions!$C$12*H19697-H19707-H19720-H19733))</f>
        <v>0</v>
      </c>
      <c r="I19746" s="16" t="n">
        <f aca="false">I19739*MIN(I19738-I19744+I19743,MAX(0,I19881-Assumptions!$C$12*I19697-I19707-I19720-I19733))</f>
        <v>0</v>
      </c>
      <c r="J19746" s="16" t="n">
        <f aca="false">J19739*MIN(J19738-J19744+J19743,MAX(0,J19881-Assumptions!$C$12*J19697-J19707-J19720-J19733))</f>
        <v>0</v>
      </c>
      <c r="K19746" s="16" t="n">
        <f aca="false">K19739*MIN(K19738-K19744+K19743,MAX(0,K19881-Assumptions!$C$12*K19697-K19707-K19720-K19733))</f>
        <v>0</v>
      </c>
    </row>
    <row r="19747" customFormat="false" ht="15" hidden="false" customHeight="false" outlineLevel="0" collapsed="false">
      <c r="A19747" s="3" t="s">
        <v>337</v>
      </c>
      <c r="G19747" s="16" t="n">
        <f aca="false">Assumptions!$N$60*MIN(G19738+G19745+G19743-G19744-G19746,MAX(0,G19885-G19708-G19721-G19734))</f>
        <v>0</v>
      </c>
      <c r="H19747" s="16" t="n">
        <f aca="false">Assumptions!$N$60*MIN(H19738+H19745+H19743-H19744-H19746,MAX(0,H19885-H19708-H19721-H19734))</f>
        <v>0</v>
      </c>
      <c r="I19747" s="16" t="n">
        <f aca="false">Assumptions!$N$60*MIN(I19738+I19745+I19743-I19744-I19746,MAX(0,I19885-I19708-I19721-I19734))</f>
        <v>0</v>
      </c>
      <c r="J19747" s="16" t="n">
        <f aca="false">Assumptions!$N$60*MIN(J19738+J19745+J19743-J19744-J19746,MAX(0,J19885-J19708-J19721-J19734))</f>
        <v>0</v>
      </c>
      <c r="K19747" s="16" t="n">
        <f aca="false">Assumptions!$N$60*MIN(K19738+K19745+K19743-K19744-K19746,MAX(0,K19885-K19708-K19721-K19734))</f>
        <v>0</v>
      </c>
    </row>
    <row r="19748" customFormat="false" ht="15" hidden="false" customHeight="false" outlineLevel="0" collapsed="false">
      <c r="A19748" s="3" t="s">
        <v>338</v>
      </c>
      <c r="G19748" s="16" t="n">
        <f aca="false">G19739*(1-G19697)*(G19738-G19744+G19743-G19746)</f>
        <v>0</v>
      </c>
      <c r="H19748" s="16" t="n">
        <f aca="false">H19739*(1-H19697)*(H19738-H19744+H19743-H19746)</f>
        <v>0</v>
      </c>
      <c r="I19748" s="16" t="n">
        <f aca="false">I19739*(1-I19697)*(I19738-I19744+I19743-I19746)</f>
        <v>0</v>
      </c>
      <c r="J19748" s="16" t="n">
        <f aca="false">J19739*(1-J19697)*(J19738-J19744+J19743-J19746)</f>
        <v>0</v>
      </c>
      <c r="K19748" s="16" t="n">
        <f aca="false">K19739*(1-K19697)*(K19738-K19744+K19743-K19746)</f>
        <v>0</v>
      </c>
    </row>
    <row r="19749" customFormat="false" ht="15" hidden="false" customHeight="false" outlineLevel="0" collapsed="false">
      <c r="A19749" s="2" t="s">
        <v>339</v>
      </c>
      <c r="F19749" s="28" t="n">
        <f aca="false">Assumptions!$C$60</f>
        <v>0</v>
      </c>
      <c r="G19749" s="17" t="n">
        <f aca="false">G19738+G19745+G19743-G19744-G19746-G19747</f>
        <v>0</v>
      </c>
      <c r="H19749" s="17" t="n">
        <f aca="false">H19738+H19745+H19743-H19744-H19746-H19747</f>
        <v>0</v>
      </c>
      <c r="I19749" s="17" t="n">
        <f aca="false">I19738+I19745+I19743-I19744-I19746-I19747</f>
        <v>0</v>
      </c>
      <c r="J19749" s="17" t="n">
        <f aca="false">J19738+J19745+J19743-J19744-J19746-J19747</f>
        <v>0</v>
      </c>
      <c r="K19749" s="17" t="n">
        <f aca="false">K19738+K19745+K19743-K19744-K19746-K19747</f>
        <v>0</v>
      </c>
    </row>
    <row r="19750" customFormat="false" ht="15" hidden="false" customHeight="false" outlineLevel="0" collapsed="false">
      <c r="A19750" s="24" t="s">
        <v>343</v>
      </c>
      <c r="B19750" s="25"/>
      <c r="C19750" s="25"/>
      <c r="D19750" s="25"/>
      <c r="E19750" s="25"/>
      <c r="F19750" s="25"/>
      <c r="G19750" s="25"/>
      <c r="H19750" s="25"/>
      <c r="I19750" s="25"/>
      <c r="J19750" s="25"/>
      <c r="K19750" s="25"/>
    </row>
    <row r="19751" customFormat="false" ht="15" hidden="false" customHeight="false" outlineLevel="0" collapsed="false">
      <c r="A19751" s="3" t="s">
        <v>329</v>
      </c>
      <c r="G19751" s="16" t="n">
        <f aca="false">F19762</f>
        <v>450</v>
      </c>
      <c r="H19751" s="16" t="n">
        <f aca="false">G19762</f>
        <v>450</v>
      </c>
      <c r="I19751" s="16" t="n">
        <f aca="false">H19762</f>
        <v>434.9547587</v>
      </c>
      <c r="J19751" s="16" t="n">
        <f aca="false">I19762</f>
        <v>434.9547587</v>
      </c>
      <c r="K19751" s="16" t="n">
        <f aca="false">J19762</f>
        <v>434.9547587</v>
      </c>
    </row>
    <row r="19752" customFormat="false" ht="15" hidden="false" customHeight="false" outlineLevel="0" collapsed="false">
      <c r="A19752" s="3" t="s">
        <v>330</v>
      </c>
      <c r="G19752" s="21" t="n">
        <f aca="false">IF(G19663=Assumptions!$K$61,1,0)</f>
        <v>0</v>
      </c>
      <c r="H19752" s="21" t="n">
        <f aca="false">IF(H19663=Assumptions!$K$61,1,0)</f>
        <v>1</v>
      </c>
      <c r="I19752" s="21" t="n">
        <f aca="false">IF(I19663=Assumptions!$K$61,1,0)</f>
        <v>0</v>
      </c>
      <c r="J19752" s="21" t="n">
        <f aca="false">IF(J19663=Assumptions!$K$61,1,0)</f>
        <v>0</v>
      </c>
      <c r="K19752" s="21" t="n">
        <f aca="false">IF(K19663=Assumptions!$K$61,1,0)</f>
        <v>0</v>
      </c>
    </row>
    <row r="19754" customFormat="false" ht="15" hidden="false" customHeight="false" outlineLevel="0" collapsed="false">
      <c r="A19754" s="3" t="s">
        <v>331</v>
      </c>
      <c r="G19754" s="31" t="n">
        <f aca="false">IF(Assumptions!$I$61=1,MAX(G19689,Assumptions!$G$61)+Assumptions!$F$61+$C$19690,Assumptions!$E$61)</f>
        <v>0.0395</v>
      </c>
      <c r="H19754" s="31" t="n">
        <f aca="false">IF(G20013=1,$C$19691,IF(Assumptions!$I$61=1,MAX(H19689,Assumptions!$G$61)+Assumptions!$F$61+$C$19690,Assumptions!$E$61))</f>
        <v>0.0395</v>
      </c>
      <c r="I19754" s="31" t="n">
        <f aca="false">IF(H20013=1,$C$19691,IF(Assumptions!$I$61=1,MAX(I19689,Assumptions!$G$61)+Assumptions!$F$61+$C$19690,Assumptions!$E$61))</f>
        <v>0.0395</v>
      </c>
      <c r="J19754" s="31" t="n">
        <f aca="false">IF(I20013=1,$C$19691,IF(Assumptions!$I$61=1,MAX(J19689,Assumptions!$G$61)+Assumptions!$F$61+$C$19690,Assumptions!$E$61))</f>
        <v>0.0395</v>
      </c>
      <c r="K19754" s="31" t="n">
        <f aca="false">IF(J20013=1,$C$19691,IF(Assumptions!$I$61=1,MAX(K19689,Assumptions!$G$61)+Assumptions!$F$61+$C$19690,Assumptions!$E$61))</f>
        <v>0.0395</v>
      </c>
    </row>
    <row r="19755" customFormat="false" ht="15" hidden="false" customHeight="false" outlineLevel="0" collapsed="false">
      <c r="A19755" s="3" t="s">
        <v>332</v>
      </c>
      <c r="G19755" s="16" t="n">
        <f aca="false">G19751*G19754</f>
        <v>17.775</v>
      </c>
      <c r="H19755" s="16" t="n">
        <f aca="false">H19751*H19754</f>
        <v>17.775</v>
      </c>
      <c r="I19755" s="16" t="n">
        <f aca="false">I19751*I19754</f>
        <v>17.18071296865</v>
      </c>
      <c r="J19755" s="16" t="n">
        <f aca="false">J19751*J19754</f>
        <v>17.18071296865</v>
      </c>
      <c r="K19755" s="16" t="n">
        <f aca="false">K19751*K19754</f>
        <v>17.18071296865</v>
      </c>
    </row>
    <row r="19756" customFormat="false" ht="15" hidden="false" customHeight="false" outlineLevel="0" collapsed="false">
      <c r="A19756" s="3" t="s">
        <v>333</v>
      </c>
      <c r="G19756" s="16" t="n">
        <f aca="false">G19751*Assumptions!$H$61</f>
        <v>0</v>
      </c>
      <c r="H19756" s="16" t="n">
        <f aca="false">H19751*Assumptions!$H$61</f>
        <v>0</v>
      </c>
      <c r="I19756" s="16" t="n">
        <f aca="false">I19751*Assumptions!$H$61</f>
        <v>0</v>
      </c>
      <c r="J19756" s="16" t="n">
        <f aca="false">J19751*Assumptions!$H$61</f>
        <v>0</v>
      </c>
      <c r="K19756" s="16" t="n">
        <f aca="false">K19751*Assumptions!$H$61</f>
        <v>0</v>
      </c>
    </row>
    <row r="19757" customFormat="false" ht="15" hidden="false" customHeight="false" outlineLevel="0" collapsed="false">
      <c r="A19757" s="3" t="s">
        <v>334</v>
      </c>
      <c r="G19757" s="16" t="n">
        <f aca="false">MIN(G19751,Assumptions!$L$61*Assumptions!$C$61)</f>
        <v>0</v>
      </c>
      <c r="H19757" s="16" t="n">
        <f aca="false">MIN(H19751,Assumptions!$L$61*Assumptions!$C$61)</f>
        <v>0</v>
      </c>
      <c r="I19757" s="16" t="n">
        <f aca="false">MIN(I19751,Assumptions!$L$61*Assumptions!$C$61)</f>
        <v>0</v>
      </c>
      <c r="J19757" s="16" t="n">
        <f aca="false">MIN(J19751,Assumptions!$L$61*Assumptions!$C$61)</f>
        <v>0</v>
      </c>
      <c r="K19757" s="16" t="n">
        <f aca="false">MIN(K19751,Assumptions!$L$61*Assumptions!$C$61)</f>
        <v>0</v>
      </c>
    </row>
    <row r="19758" customFormat="false" ht="15" hidden="false" customHeight="false" outlineLevel="0" collapsed="false">
      <c r="A19758" s="3" t="s">
        <v>335</v>
      </c>
      <c r="G19758" s="16" t="n">
        <f aca="false">IF(AND(Assumptions!$P$61=1,G19663&lt;Assumptions!$K$61),MIN(MAX(0,-G19879),MAX(0,Assumptions!$D$61-G19751)),0)</f>
        <v>0</v>
      </c>
      <c r="H19758" s="16" t="n">
        <f aca="false">IF(AND(Assumptions!$P$61=1,OR(H19663&lt;Assumptions!$K$61,G20013=1)),MIN(MAX(0,-H19879),MAX(0,Assumptions!$D$61-H19751)),0)</f>
        <v>0</v>
      </c>
      <c r="I19758" s="16" t="n">
        <f aca="false">IF(AND(Assumptions!$P$61=1,OR(I19663&lt;Assumptions!$K$61,H20013=1)),MIN(MAX(0,-I19879),MAX(0,Assumptions!$D$61-I19751)),0)</f>
        <v>0</v>
      </c>
      <c r="J19758" s="16" t="n">
        <f aca="false">IF(AND(Assumptions!$P$61=1,OR(J19663&lt;Assumptions!$K$61,I20013=1)),MIN(MAX(0,-J19879),MAX(0,Assumptions!$D$61-J19751)),0)</f>
        <v>0</v>
      </c>
      <c r="K19758" s="16" t="n">
        <f aca="false">IF(AND(Assumptions!$P$61=1,OR(K19663&lt;Assumptions!$K$61,J20013=1)),MIN(MAX(0,-K19879),MAX(0,Assumptions!$D$61-K19751)),0)</f>
        <v>0</v>
      </c>
    </row>
    <row r="19759" customFormat="false" ht="15" hidden="false" customHeight="false" outlineLevel="0" collapsed="false">
      <c r="A19759" s="3" t="s">
        <v>336</v>
      </c>
      <c r="G19759" s="16" t="n">
        <f aca="false">G19752*MIN(G19751-G19757+G19756,MAX(0,G19881-Assumptions!$C$12*G19697-G19707-G19720-G19733-G19746))</f>
        <v>0</v>
      </c>
      <c r="H19759" s="16" t="n">
        <f aca="false">H19752*MIN(H19751-H19757+H19756,MAX(0,H19881-Assumptions!$C$12*H19697-H19707-H19720-H19733-H19746))</f>
        <v>15.0452413</v>
      </c>
      <c r="I19759" s="16" t="n">
        <f aca="false">I19752*MIN(I19751-I19757+I19756,MAX(0,I19881-Assumptions!$C$12*I19697-I19707-I19720-I19733-I19746))</f>
        <v>0</v>
      </c>
      <c r="J19759" s="16" t="n">
        <f aca="false">J19752*MIN(J19751-J19757+J19756,MAX(0,J19881-Assumptions!$C$12*J19697-J19707-J19720-J19733-J19746))</f>
        <v>0</v>
      </c>
      <c r="K19759" s="16" t="n">
        <f aca="false">K19752*MIN(K19751-K19757+K19756,MAX(0,K19881-Assumptions!$C$12*K19697-K19707-K19720-K19733-K19746))</f>
        <v>0</v>
      </c>
    </row>
    <row r="19760" customFormat="false" ht="15" hidden="false" customHeight="false" outlineLevel="0" collapsed="false">
      <c r="A19760" s="3" t="s">
        <v>337</v>
      </c>
      <c r="G19760" s="16" t="n">
        <f aca="false">Assumptions!$N$61*MIN(G19751+G19758+G19756-G19757-G19759,MAX(0,G19885-G19708-G19721-G19734-G19747))</f>
        <v>0</v>
      </c>
      <c r="H19760" s="16" t="n">
        <f aca="false">Assumptions!$N$61*MIN(H19751+H19758+H19756-H19757-H19759,MAX(0,H19885-H19708-H19721-H19734-H19747))</f>
        <v>0</v>
      </c>
      <c r="I19760" s="16" t="n">
        <f aca="false">Assumptions!$N$61*MIN(I19751+I19758+I19756-I19757-I19759,MAX(0,I19885-I19708-I19721-I19734-I19747))</f>
        <v>0</v>
      </c>
      <c r="J19760" s="16" t="n">
        <f aca="false">Assumptions!$N$61*MIN(J19751+J19758+J19756-J19757-J19759,MAX(0,J19885-J19708-J19721-J19734-J19747))</f>
        <v>0</v>
      </c>
      <c r="K19760" s="16" t="n">
        <f aca="false">Assumptions!$N$61*MIN(K19751+K19758+K19756-K19757-K19759,MAX(0,K19885-K19708-K19721-K19734-K19747))</f>
        <v>0</v>
      </c>
    </row>
    <row r="19761" customFormat="false" ht="15" hidden="false" customHeight="false" outlineLevel="0" collapsed="false">
      <c r="A19761" s="3" t="s">
        <v>338</v>
      </c>
      <c r="G19761" s="16" t="n">
        <f aca="false">G19752*(1-G19697)*(G19751-G19757+G19756-G19759)</f>
        <v>0</v>
      </c>
      <c r="H19761" s="16" t="n">
        <f aca="false">H19752*(1-H19697)*(H19751-H19757+H19756-H19759)</f>
        <v>434.9547587</v>
      </c>
      <c r="I19761" s="16" t="n">
        <f aca="false">I19752*(1-I19697)*(I19751-I19757+I19756-I19759)</f>
        <v>0</v>
      </c>
      <c r="J19761" s="16" t="n">
        <f aca="false">J19752*(1-J19697)*(J19751-J19757+J19756-J19759)</f>
        <v>0</v>
      </c>
      <c r="K19761" s="16" t="n">
        <f aca="false">K19752*(1-K19697)*(K19751-K19757+K19756-K19759)</f>
        <v>0</v>
      </c>
    </row>
    <row r="19762" customFormat="false" ht="15" hidden="false" customHeight="false" outlineLevel="0" collapsed="false">
      <c r="A19762" s="2" t="s">
        <v>339</v>
      </c>
      <c r="F19762" s="28" t="n">
        <f aca="false">Assumptions!$C$61</f>
        <v>450</v>
      </c>
      <c r="G19762" s="17" t="n">
        <f aca="false">G19751+G19758+G19756-G19757-G19759-G19760</f>
        <v>450</v>
      </c>
      <c r="H19762" s="17" t="n">
        <f aca="false">H19751+H19758+H19756-H19757-H19759-H19760</f>
        <v>434.9547587</v>
      </c>
      <c r="I19762" s="17" t="n">
        <f aca="false">I19751+I19758+I19756-I19757-I19759-I19760</f>
        <v>434.9547587</v>
      </c>
      <c r="J19762" s="17" t="n">
        <f aca="false">J19751+J19758+J19756-J19757-J19759-J19760</f>
        <v>434.9547587</v>
      </c>
      <c r="K19762" s="17" t="n">
        <f aca="false">K19751+K19758+K19756-K19757-K19759-K19760</f>
        <v>434.9547587</v>
      </c>
    </row>
    <row r="19763" customFormat="false" ht="15" hidden="false" customHeight="false" outlineLevel="0" collapsed="false">
      <c r="A19763" s="24" t="s">
        <v>344</v>
      </c>
      <c r="B19763" s="25"/>
      <c r="C19763" s="25"/>
      <c r="D19763" s="25"/>
      <c r="E19763" s="25"/>
      <c r="F19763" s="25"/>
      <c r="G19763" s="25"/>
      <c r="H19763" s="25"/>
      <c r="I19763" s="25"/>
      <c r="J19763" s="25"/>
      <c r="K19763" s="25"/>
    </row>
    <row r="19764" customFormat="false" ht="15" hidden="false" customHeight="false" outlineLevel="0" collapsed="false">
      <c r="A19764" s="3" t="s">
        <v>329</v>
      </c>
      <c r="G19764" s="16" t="n">
        <f aca="false">F19775</f>
        <v>350</v>
      </c>
      <c r="H19764" s="16" t="n">
        <f aca="false">G19775</f>
        <v>350</v>
      </c>
      <c r="I19764" s="16" t="n">
        <f aca="false">H19775</f>
        <v>350</v>
      </c>
      <c r="J19764" s="16" t="n">
        <f aca="false">I19775</f>
        <v>350</v>
      </c>
      <c r="K19764" s="16" t="n">
        <f aca="false">J19775</f>
        <v>350</v>
      </c>
    </row>
    <row r="19765" customFormat="false" ht="15" hidden="false" customHeight="false" outlineLevel="0" collapsed="false">
      <c r="A19765" s="3" t="s">
        <v>330</v>
      </c>
      <c r="G19765" s="21" t="n">
        <f aca="false">IF(G19663=Assumptions!$K$62,1,0)</f>
        <v>0</v>
      </c>
      <c r="H19765" s="21" t="n">
        <f aca="false">IF(H19663=Assumptions!$K$62,1,0)</f>
        <v>1</v>
      </c>
      <c r="I19765" s="21" t="n">
        <f aca="false">IF(I19663=Assumptions!$K$62,1,0)</f>
        <v>0</v>
      </c>
      <c r="J19765" s="21" t="n">
        <f aca="false">IF(J19663=Assumptions!$K$62,1,0)</f>
        <v>0</v>
      </c>
      <c r="K19765" s="21" t="n">
        <f aca="false">IF(K19663=Assumptions!$K$62,1,0)</f>
        <v>0</v>
      </c>
    </row>
    <row r="19767" customFormat="false" ht="15" hidden="false" customHeight="false" outlineLevel="0" collapsed="false">
      <c r="A19767" s="3" t="s">
        <v>331</v>
      </c>
      <c r="G19767" s="31" t="n">
        <f aca="false">IF(Assumptions!$I$62=1,MAX(G19689,Assumptions!$G$62)+Assumptions!$F$62+$C$19690,Assumptions!$E$62)</f>
        <v>0.083</v>
      </c>
      <c r="H19767" s="31" t="n">
        <f aca="false">IF(G20014=1,$C$19691,IF(Assumptions!$I$62=1,MAX(H19689,Assumptions!$G$62)+Assumptions!$F$62+$C$19690,Assumptions!$E$62))</f>
        <v>0.083</v>
      </c>
      <c r="I19767" s="31" t="n">
        <f aca="false">IF(H20014=1,$C$19691,IF(Assumptions!$I$62=1,MAX(I19689,Assumptions!$G$62)+Assumptions!$F$62+$C$19690,Assumptions!$E$62))</f>
        <v>0.083</v>
      </c>
      <c r="J19767" s="31" t="n">
        <f aca="false">IF(I20014=1,$C$19691,IF(Assumptions!$I$62=1,MAX(J19689,Assumptions!$G$62)+Assumptions!$F$62+$C$19690,Assumptions!$E$62))</f>
        <v>0.083</v>
      </c>
      <c r="K19767" s="31" t="n">
        <f aca="false">IF(J20014=1,$C$19691,IF(Assumptions!$I$62=1,MAX(K19689,Assumptions!$G$62)+Assumptions!$F$62+$C$19690,Assumptions!$E$62))</f>
        <v>0.083</v>
      </c>
    </row>
    <row r="19768" customFormat="false" ht="15" hidden="false" customHeight="false" outlineLevel="0" collapsed="false">
      <c r="A19768" s="3" t="s">
        <v>332</v>
      </c>
      <c r="G19768" s="16" t="n">
        <f aca="false">G19764*G19767</f>
        <v>29.05</v>
      </c>
      <c r="H19768" s="16" t="n">
        <f aca="false">H19764*H19767</f>
        <v>29.05</v>
      </c>
      <c r="I19768" s="16" t="n">
        <f aca="false">I19764*I19767</f>
        <v>29.05</v>
      </c>
      <c r="J19768" s="16" t="n">
        <f aca="false">J19764*J19767</f>
        <v>29.05</v>
      </c>
      <c r="K19768" s="16" t="n">
        <f aca="false">K19764*K19767</f>
        <v>29.05</v>
      </c>
    </row>
    <row r="19769" customFormat="false" ht="15" hidden="false" customHeight="false" outlineLevel="0" collapsed="false">
      <c r="A19769" s="3" t="s">
        <v>333</v>
      </c>
      <c r="G19769" s="16" t="n">
        <f aca="false">G19764*Assumptions!$H$62</f>
        <v>0</v>
      </c>
      <c r="H19769" s="16" t="n">
        <f aca="false">H19764*Assumptions!$H$62</f>
        <v>0</v>
      </c>
      <c r="I19769" s="16" t="n">
        <f aca="false">I19764*Assumptions!$H$62</f>
        <v>0</v>
      </c>
      <c r="J19769" s="16" t="n">
        <f aca="false">J19764*Assumptions!$H$62</f>
        <v>0</v>
      </c>
      <c r="K19769" s="16" t="n">
        <f aca="false">K19764*Assumptions!$H$62</f>
        <v>0</v>
      </c>
    </row>
    <row r="19770" customFormat="false" ht="15" hidden="false" customHeight="false" outlineLevel="0" collapsed="false">
      <c r="A19770" s="3" t="s">
        <v>334</v>
      </c>
      <c r="G19770" s="16" t="n">
        <f aca="false">MIN(G19764,Assumptions!$L$62*Assumptions!$C$62)</f>
        <v>0</v>
      </c>
      <c r="H19770" s="16" t="n">
        <f aca="false">MIN(H19764,Assumptions!$L$62*Assumptions!$C$62)</f>
        <v>0</v>
      </c>
      <c r="I19770" s="16" t="n">
        <f aca="false">MIN(I19764,Assumptions!$L$62*Assumptions!$C$62)</f>
        <v>0</v>
      </c>
      <c r="J19770" s="16" t="n">
        <f aca="false">MIN(J19764,Assumptions!$L$62*Assumptions!$C$62)</f>
        <v>0</v>
      </c>
      <c r="K19770" s="16" t="n">
        <f aca="false">MIN(K19764,Assumptions!$L$62*Assumptions!$C$62)</f>
        <v>0</v>
      </c>
    </row>
    <row r="19771" customFormat="false" ht="15" hidden="false" customHeight="false" outlineLevel="0" collapsed="false">
      <c r="A19771" s="3" t="s">
        <v>335</v>
      </c>
      <c r="G19771" s="16" t="n">
        <f aca="false">IF(AND(Assumptions!$P$62=1,G19663&lt;Assumptions!$K$62),MIN(MAX(0,-G19879),MAX(0,Assumptions!$D$62-G19764)),0)</f>
        <v>0</v>
      </c>
      <c r="H19771" s="16" t="n">
        <f aca="false">IF(AND(Assumptions!$P$62=1,OR(H19663&lt;Assumptions!$K$62,G20014=1)),MIN(MAX(0,-H19879),MAX(0,Assumptions!$D$62-H19764)),0)</f>
        <v>0</v>
      </c>
      <c r="I19771" s="16" t="n">
        <f aca="false">IF(AND(Assumptions!$P$62=1,OR(I19663&lt;Assumptions!$K$62,H20014=1)),MIN(MAX(0,-I19879),MAX(0,Assumptions!$D$62-I19764)),0)</f>
        <v>0</v>
      </c>
      <c r="J19771" s="16" t="n">
        <f aca="false">IF(AND(Assumptions!$P$62=1,OR(J19663&lt;Assumptions!$K$62,I20014=1)),MIN(MAX(0,-J19879),MAX(0,Assumptions!$D$62-J19764)),0)</f>
        <v>0</v>
      </c>
      <c r="K19771" s="16" t="n">
        <f aca="false">IF(AND(Assumptions!$P$62=1,OR(K19663&lt;Assumptions!$K$62,J20014=1)),MIN(MAX(0,-K19879),MAX(0,Assumptions!$D$62-K19764)),0)</f>
        <v>0</v>
      </c>
    </row>
    <row r="19772" customFormat="false" ht="15" hidden="false" customHeight="false" outlineLevel="0" collapsed="false">
      <c r="A19772" s="3" t="s">
        <v>336</v>
      </c>
      <c r="G19772" s="16" t="n">
        <f aca="false">G19765*MIN(G19764-G19770+G19769,MAX(0,G19881-Assumptions!$C$12*G19697-G19707-G19720-G19733-G19746-G19759))</f>
        <v>0</v>
      </c>
      <c r="H19772" s="16" t="n">
        <f aca="false">H19765*MIN(H19764-H19770+H19769,MAX(0,H19881-Assumptions!$C$12*H19697-H19707-H19720-H19733-H19746-H19759))</f>
        <v>0</v>
      </c>
      <c r="I19772" s="16" t="n">
        <f aca="false">I19765*MIN(I19764-I19770+I19769,MAX(0,I19881-Assumptions!$C$12*I19697-I19707-I19720-I19733-I19746-I19759))</f>
        <v>0</v>
      </c>
      <c r="J19772" s="16" t="n">
        <f aca="false">J19765*MIN(J19764-J19770+J19769,MAX(0,J19881-Assumptions!$C$12*J19697-J19707-J19720-J19733-J19746-J19759))</f>
        <v>0</v>
      </c>
      <c r="K19772" s="16" t="n">
        <f aca="false">K19765*MIN(K19764-K19770+K19769,MAX(0,K19881-Assumptions!$C$12*K19697-K19707-K19720-K19733-K19746-K19759))</f>
        <v>0</v>
      </c>
    </row>
    <row r="19773" customFormat="false" ht="15" hidden="false" customHeight="false" outlineLevel="0" collapsed="false">
      <c r="A19773" s="3" t="s">
        <v>337</v>
      </c>
      <c r="G19773" s="16" t="n">
        <f aca="false">Assumptions!$N$62*MIN(G19764+G19771+G19769-G19770-G19772,MAX(0,G19885-G19708-G19721-G19734-G19747-G19760))</f>
        <v>0</v>
      </c>
      <c r="H19773" s="16" t="n">
        <f aca="false">Assumptions!$N$62*MIN(H19764+H19771+H19769-H19770-H19772,MAX(0,H19885-H19708-H19721-H19734-H19747-H19760))</f>
        <v>0</v>
      </c>
      <c r="I19773" s="16" t="n">
        <f aca="false">Assumptions!$N$62*MIN(I19764+I19771+I19769-I19770-I19772,MAX(0,I19885-I19708-I19721-I19734-I19747-I19760))</f>
        <v>0</v>
      </c>
      <c r="J19773" s="16" t="n">
        <f aca="false">Assumptions!$N$62*MIN(J19764+J19771+J19769-J19770-J19772,MAX(0,J19885-J19708-J19721-J19734-J19747-J19760))</f>
        <v>0</v>
      </c>
      <c r="K19773" s="16" t="n">
        <f aca="false">Assumptions!$N$62*MIN(K19764+K19771+K19769-K19770-K19772,MAX(0,K19885-K19708-K19721-K19734-K19747-K19760))</f>
        <v>0</v>
      </c>
    </row>
    <row r="19774" customFormat="false" ht="15" hidden="false" customHeight="false" outlineLevel="0" collapsed="false">
      <c r="A19774" s="3" t="s">
        <v>338</v>
      </c>
      <c r="G19774" s="16" t="n">
        <f aca="false">G19765*(1-G19697)*(G19764-G19770+G19769-G19772)</f>
        <v>0</v>
      </c>
      <c r="H19774" s="16" t="n">
        <f aca="false">H19765*(1-H19697)*(H19764-H19770+H19769-H19772)</f>
        <v>350</v>
      </c>
      <c r="I19774" s="16" t="n">
        <f aca="false">I19765*(1-I19697)*(I19764-I19770+I19769-I19772)</f>
        <v>0</v>
      </c>
      <c r="J19774" s="16" t="n">
        <f aca="false">J19765*(1-J19697)*(J19764-J19770+J19769-J19772)</f>
        <v>0</v>
      </c>
      <c r="K19774" s="16" t="n">
        <f aca="false">K19765*(1-K19697)*(K19764-K19770+K19769-K19772)</f>
        <v>0</v>
      </c>
    </row>
    <row r="19775" customFormat="false" ht="15" hidden="false" customHeight="false" outlineLevel="0" collapsed="false">
      <c r="A19775" s="2" t="s">
        <v>339</v>
      </c>
      <c r="F19775" s="28" t="n">
        <f aca="false">Assumptions!$C$62</f>
        <v>350</v>
      </c>
      <c r="G19775" s="17" t="n">
        <f aca="false">G19764+G19771+G19769-G19770-G19772-G19773</f>
        <v>350</v>
      </c>
      <c r="H19775" s="17" t="n">
        <f aca="false">H19764+H19771+H19769-H19770-H19772-H19773</f>
        <v>350</v>
      </c>
      <c r="I19775" s="17" t="n">
        <f aca="false">I19764+I19771+I19769-I19770-I19772-I19773</f>
        <v>350</v>
      </c>
      <c r="J19775" s="17" t="n">
        <f aca="false">J19764+J19771+J19769-J19770-J19772-J19773</f>
        <v>350</v>
      </c>
      <c r="K19775" s="17" t="n">
        <f aca="false">K19764+K19771+K19769-K19770-K19772-K19773</f>
        <v>350</v>
      </c>
    </row>
    <row r="19776" customFormat="false" ht="15" hidden="false" customHeight="false" outlineLevel="0" collapsed="false">
      <c r="A19776" s="24" t="s">
        <v>345</v>
      </c>
      <c r="B19776" s="25"/>
      <c r="C19776" s="25"/>
      <c r="D19776" s="25"/>
      <c r="E19776" s="25"/>
      <c r="F19776" s="25"/>
      <c r="G19776" s="25"/>
      <c r="H19776" s="25"/>
      <c r="I19776" s="25"/>
      <c r="J19776" s="25"/>
      <c r="K19776" s="25"/>
    </row>
    <row r="19777" customFormat="false" ht="15" hidden="false" customHeight="false" outlineLevel="0" collapsed="false">
      <c r="A19777" s="3" t="s">
        <v>329</v>
      </c>
      <c r="G19777" s="16" t="n">
        <f aca="false">F19788</f>
        <v>550</v>
      </c>
      <c r="H19777" s="16" t="n">
        <f aca="false">G19788</f>
        <v>550</v>
      </c>
      <c r="I19777" s="16" t="n">
        <f aca="false">H19788</f>
        <v>550</v>
      </c>
      <c r="J19777" s="16" t="n">
        <f aca="false">I19788</f>
        <v>550</v>
      </c>
      <c r="K19777" s="16" t="n">
        <f aca="false">J19788</f>
        <v>550</v>
      </c>
    </row>
    <row r="19778" customFormat="false" ht="15" hidden="false" customHeight="false" outlineLevel="0" collapsed="false">
      <c r="A19778" s="3" t="s">
        <v>330</v>
      </c>
      <c r="G19778" s="21" t="n">
        <f aca="false">IF(G19663=Assumptions!$K$63,1,0)</f>
        <v>0</v>
      </c>
      <c r="H19778" s="21" t="n">
        <f aca="false">IF(H19663=Assumptions!$K$63,1,0)</f>
        <v>0</v>
      </c>
      <c r="I19778" s="21" t="n">
        <f aca="false">IF(I19663=Assumptions!$K$63,1,0)</f>
        <v>1</v>
      </c>
      <c r="J19778" s="21" t="n">
        <f aca="false">IF(J19663=Assumptions!$K$63,1,0)</f>
        <v>0</v>
      </c>
      <c r="K19778" s="21" t="n">
        <f aca="false">IF(K19663=Assumptions!$K$63,1,0)</f>
        <v>0</v>
      </c>
    </row>
    <row r="19780" customFormat="false" ht="15" hidden="false" customHeight="false" outlineLevel="0" collapsed="false">
      <c r="A19780" s="3" t="s">
        <v>331</v>
      </c>
      <c r="G19780" s="31" t="n">
        <f aca="false">IF(Assumptions!$I$63=1,MAX(G19689,Assumptions!$G$63)+Assumptions!$F$63+$C$19690,Assumptions!$E$63)</f>
        <v>0.08875</v>
      </c>
      <c r="H19780" s="31" t="n">
        <f aca="false">IF(G20015=1,$C$19691,IF(Assumptions!$I$63=1,MAX(H19689,Assumptions!$G$63)+Assumptions!$F$63+$C$19690,Assumptions!$E$63))</f>
        <v>0.08875</v>
      </c>
      <c r="I19780" s="31" t="n">
        <f aca="false">IF(H20015=1,$C$19691,IF(Assumptions!$I$63=1,MAX(I19689,Assumptions!$G$63)+Assumptions!$F$63+$C$19690,Assumptions!$E$63))</f>
        <v>0.08875</v>
      </c>
      <c r="J19780" s="31" t="n">
        <f aca="false">IF(I20015=1,$C$19691,IF(Assumptions!$I$63=1,MAX(J19689,Assumptions!$G$63)+Assumptions!$F$63+$C$19690,Assumptions!$E$63))</f>
        <v>0.08875</v>
      </c>
      <c r="K19780" s="31" t="n">
        <f aca="false">IF(J20015=1,$C$19691,IF(Assumptions!$I$63=1,MAX(K19689,Assumptions!$G$63)+Assumptions!$F$63+$C$19690,Assumptions!$E$63))</f>
        <v>0.08875</v>
      </c>
    </row>
    <row r="19781" customFormat="false" ht="15" hidden="false" customHeight="false" outlineLevel="0" collapsed="false">
      <c r="A19781" s="3" t="s">
        <v>332</v>
      </c>
      <c r="G19781" s="16" t="n">
        <f aca="false">G19777*G19780</f>
        <v>48.8125</v>
      </c>
      <c r="H19781" s="16" t="n">
        <f aca="false">H19777*H19780</f>
        <v>48.8125</v>
      </c>
      <c r="I19781" s="16" t="n">
        <f aca="false">I19777*I19780</f>
        <v>48.8125</v>
      </c>
      <c r="J19781" s="16" t="n">
        <f aca="false">J19777*J19780</f>
        <v>48.8125</v>
      </c>
      <c r="K19781" s="16" t="n">
        <f aca="false">K19777*K19780</f>
        <v>48.8125</v>
      </c>
    </row>
    <row r="19782" customFormat="false" ht="15" hidden="false" customHeight="false" outlineLevel="0" collapsed="false">
      <c r="A19782" s="3" t="s">
        <v>333</v>
      </c>
      <c r="G19782" s="16" t="n">
        <f aca="false">G19777*Assumptions!$H$63</f>
        <v>0</v>
      </c>
      <c r="H19782" s="16" t="n">
        <f aca="false">H19777*Assumptions!$H$63</f>
        <v>0</v>
      </c>
      <c r="I19782" s="16" t="n">
        <f aca="false">I19777*Assumptions!$H$63</f>
        <v>0</v>
      </c>
      <c r="J19782" s="16" t="n">
        <f aca="false">J19777*Assumptions!$H$63</f>
        <v>0</v>
      </c>
      <c r="K19782" s="16" t="n">
        <f aca="false">K19777*Assumptions!$H$63</f>
        <v>0</v>
      </c>
    </row>
    <row r="19783" customFormat="false" ht="15" hidden="false" customHeight="false" outlineLevel="0" collapsed="false">
      <c r="A19783" s="3" t="s">
        <v>334</v>
      </c>
      <c r="G19783" s="16" t="n">
        <f aca="false">MIN(G19777,Assumptions!$L$63*Assumptions!$C$63)</f>
        <v>0</v>
      </c>
      <c r="H19783" s="16" t="n">
        <f aca="false">MIN(H19777,Assumptions!$L$63*Assumptions!$C$63)</f>
        <v>0</v>
      </c>
      <c r="I19783" s="16" t="n">
        <f aca="false">MIN(I19777,Assumptions!$L$63*Assumptions!$C$63)</f>
        <v>0</v>
      </c>
      <c r="J19783" s="16" t="n">
        <f aca="false">MIN(J19777,Assumptions!$L$63*Assumptions!$C$63)</f>
        <v>0</v>
      </c>
      <c r="K19783" s="16" t="n">
        <f aca="false">MIN(K19777,Assumptions!$L$63*Assumptions!$C$63)</f>
        <v>0</v>
      </c>
    </row>
    <row r="19784" customFormat="false" ht="15" hidden="false" customHeight="false" outlineLevel="0" collapsed="false">
      <c r="A19784" s="3" t="s">
        <v>335</v>
      </c>
      <c r="G19784" s="16" t="n">
        <f aca="false">IF(AND(Assumptions!$P$63=1,G19663&lt;Assumptions!$K$63),MIN(MAX(0,-G19879),MAX(0,Assumptions!$D$63-G19777)),0)</f>
        <v>0</v>
      </c>
      <c r="H19784" s="16" t="n">
        <f aca="false">IF(AND(Assumptions!$P$63=1,OR(H19663&lt;Assumptions!$K$63,G20015=1)),MIN(MAX(0,-H19879),MAX(0,Assumptions!$D$63-H19777)),0)</f>
        <v>0</v>
      </c>
      <c r="I19784" s="16" t="n">
        <f aca="false">IF(AND(Assumptions!$P$63=1,OR(I19663&lt;Assumptions!$K$63,H20015=1)),MIN(MAX(0,-I19879),MAX(0,Assumptions!$D$63-I19777)),0)</f>
        <v>0</v>
      </c>
      <c r="J19784" s="16" t="n">
        <f aca="false">IF(AND(Assumptions!$P$63=1,OR(J19663&lt;Assumptions!$K$63,I20015=1)),MIN(MAX(0,-J19879),MAX(0,Assumptions!$D$63-J19777)),0)</f>
        <v>0</v>
      </c>
      <c r="K19784" s="16" t="n">
        <f aca="false">IF(AND(Assumptions!$P$63=1,OR(K19663&lt;Assumptions!$K$63,J20015=1)),MIN(MAX(0,-K19879),MAX(0,Assumptions!$D$63-K19777)),0)</f>
        <v>0</v>
      </c>
    </row>
    <row r="19785" customFormat="false" ht="15" hidden="false" customHeight="false" outlineLevel="0" collapsed="false">
      <c r="A19785" s="3" t="s">
        <v>336</v>
      </c>
      <c r="G19785" s="16" t="n">
        <f aca="false">G19778*MIN(G19777-G19783+G19782,MAX(0,G19881-Assumptions!$C$12*G19697-G19707-G19720-G19733-G19746-G19759-G19772))</f>
        <v>0</v>
      </c>
      <c r="H19785" s="16" t="n">
        <f aca="false">H19778*MIN(H19777-H19783+H19782,MAX(0,H19881-Assumptions!$C$12*H19697-H19707-H19720-H19733-H19746-H19759-H19772))</f>
        <v>0</v>
      </c>
      <c r="I19785" s="16" t="n">
        <f aca="false">I19778*MIN(I19777-I19783+I19782,MAX(0,I19881-Assumptions!$C$12*I19697-I19707-I19720-I19733-I19746-I19759-I19772))</f>
        <v>0</v>
      </c>
      <c r="J19785" s="16" t="n">
        <f aca="false">J19778*MIN(J19777-J19783+J19782,MAX(0,J19881-Assumptions!$C$12*J19697-J19707-J19720-J19733-J19746-J19759-J19772))</f>
        <v>0</v>
      </c>
      <c r="K19785" s="16" t="n">
        <f aca="false">K19778*MIN(K19777-K19783+K19782,MAX(0,K19881-Assumptions!$C$12*K19697-K19707-K19720-K19733-K19746-K19759-K19772))</f>
        <v>0</v>
      </c>
    </row>
    <row r="19786" customFormat="false" ht="15" hidden="false" customHeight="false" outlineLevel="0" collapsed="false">
      <c r="A19786" s="3" t="s">
        <v>337</v>
      </c>
      <c r="G19786" s="16" t="n">
        <f aca="false">Assumptions!$N$63*MIN(G19777+G19784+G19782-G19783-G19785,MAX(0,G19885-G19708-G19721-G19734-G19747-G19760-G19773))</f>
        <v>0</v>
      </c>
      <c r="H19786" s="16" t="n">
        <f aca="false">Assumptions!$N$63*MIN(H19777+H19784+H19782-H19783-H19785,MAX(0,H19885-H19708-H19721-H19734-H19747-H19760-H19773))</f>
        <v>0</v>
      </c>
      <c r="I19786" s="16" t="n">
        <f aca="false">Assumptions!$N$63*MIN(I19777+I19784+I19782-I19783-I19785,MAX(0,I19885-I19708-I19721-I19734-I19747-I19760-I19773))</f>
        <v>0</v>
      </c>
      <c r="J19786" s="16" t="n">
        <f aca="false">Assumptions!$N$63*MIN(J19777+J19784+J19782-J19783-J19785,MAX(0,J19885-J19708-J19721-J19734-J19747-J19760-J19773))</f>
        <v>0</v>
      </c>
      <c r="K19786" s="16" t="n">
        <f aca="false">Assumptions!$N$63*MIN(K19777+K19784+K19782-K19783-K19785,MAX(0,K19885-K19708-K19721-K19734-K19747-K19760-K19773))</f>
        <v>0</v>
      </c>
    </row>
    <row r="19787" customFormat="false" ht="15" hidden="false" customHeight="false" outlineLevel="0" collapsed="false">
      <c r="A19787" s="3" t="s">
        <v>338</v>
      </c>
      <c r="G19787" s="16" t="n">
        <f aca="false">G19778*(1-G19697)*(G19777-G19783+G19782-G19785)</f>
        <v>0</v>
      </c>
      <c r="H19787" s="16" t="n">
        <f aca="false">H19778*(1-H19697)*(H19777-H19783+H19782-H19785)</f>
        <v>0</v>
      </c>
      <c r="I19787" s="16" t="n">
        <f aca="false">I19778*(1-I19697)*(I19777-I19783+I19782-I19785)</f>
        <v>550</v>
      </c>
      <c r="J19787" s="16" t="n">
        <f aca="false">J19778*(1-J19697)*(J19777-J19783+J19782-J19785)</f>
        <v>0</v>
      </c>
      <c r="K19787" s="16" t="n">
        <f aca="false">K19778*(1-K19697)*(K19777-K19783+K19782-K19785)</f>
        <v>0</v>
      </c>
    </row>
    <row r="19788" customFormat="false" ht="15" hidden="false" customHeight="false" outlineLevel="0" collapsed="false">
      <c r="A19788" s="2" t="s">
        <v>339</v>
      </c>
      <c r="F19788" s="28" t="n">
        <f aca="false">Assumptions!$C$63</f>
        <v>550</v>
      </c>
      <c r="G19788" s="17" t="n">
        <f aca="false">G19777+G19784+G19782-G19783-G19785-G19786</f>
        <v>550</v>
      </c>
      <c r="H19788" s="17" t="n">
        <f aca="false">H19777+H19784+H19782-H19783-H19785-H19786</f>
        <v>550</v>
      </c>
      <c r="I19788" s="17" t="n">
        <f aca="false">I19777+I19784+I19782-I19783-I19785-I19786</f>
        <v>550</v>
      </c>
      <c r="J19788" s="17" t="n">
        <f aca="false">J19777+J19784+J19782-J19783-J19785-J19786</f>
        <v>550</v>
      </c>
      <c r="K19788" s="17" t="n">
        <f aca="false">K19777+K19784+K19782-K19783-K19785-K19786</f>
        <v>550</v>
      </c>
    </row>
    <row r="19789" customFormat="false" ht="15" hidden="false" customHeight="false" outlineLevel="0" collapsed="false">
      <c r="A19789" s="24" t="s">
        <v>346</v>
      </c>
      <c r="B19789" s="25"/>
      <c r="C19789" s="25"/>
      <c r="D19789" s="25"/>
      <c r="E19789" s="25"/>
      <c r="F19789" s="25"/>
      <c r="G19789" s="25"/>
      <c r="H19789" s="25"/>
      <c r="I19789" s="25"/>
      <c r="J19789" s="25"/>
      <c r="K19789" s="25"/>
    </row>
    <row r="19790" customFormat="false" ht="15" hidden="false" customHeight="false" outlineLevel="0" collapsed="false">
      <c r="A19790" s="3" t="s">
        <v>329</v>
      </c>
      <c r="G19790" s="16" t="n">
        <f aca="false">F19801</f>
        <v>350</v>
      </c>
      <c r="H19790" s="16" t="n">
        <f aca="false">G19801</f>
        <v>350</v>
      </c>
      <c r="I19790" s="16" t="n">
        <f aca="false">H19801</f>
        <v>350</v>
      </c>
      <c r="J19790" s="16" t="n">
        <f aca="false">I19801</f>
        <v>350</v>
      </c>
      <c r="K19790" s="16" t="n">
        <f aca="false">J19801</f>
        <v>350</v>
      </c>
    </row>
    <row r="19791" customFormat="false" ht="15" hidden="false" customHeight="false" outlineLevel="0" collapsed="false">
      <c r="A19791" s="3" t="s">
        <v>330</v>
      </c>
      <c r="G19791" s="21" t="n">
        <f aca="false">IF(G19663=Assumptions!$K$64,1,0)</f>
        <v>0</v>
      </c>
      <c r="H19791" s="21" t="n">
        <f aca="false">IF(H19663=Assumptions!$K$64,1,0)</f>
        <v>0</v>
      </c>
      <c r="I19791" s="21" t="n">
        <f aca="false">IF(I19663=Assumptions!$K$64,1,0)</f>
        <v>0</v>
      </c>
      <c r="J19791" s="21" t="n">
        <f aca="false">IF(J19663=Assumptions!$K$64,1,0)</f>
        <v>1</v>
      </c>
      <c r="K19791" s="21" t="n">
        <f aca="false">IF(K19663=Assumptions!$K$64,1,0)</f>
        <v>0</v>
      </c>
    </row>
    <row r="19793" customFormat="false" ht="15" hidden="false" customHeight="false" outlineLevel="0" collapsed="false">
      <c r="A19793" s="3" t="s">
        <v>331</v>
      </c>
      <c r="G19793" s="31" t="n">
        <f aca="false">IF(Assumptions!$I$64=1,MAX(G19689,Assumptions!$G$64)+Assumptions!$F$64+$C$19690,Assumptions!$E$64)</f>
        <v>0.0455</v>
      </c>
      <c r="H19793" s="31" t="n">
        <f aca="false">IF(G20016=1,$C$19691,IF(Assumptions!$I$64=1,MAX(H19689,Assumptions!$G$64)+Assumptions!$F$64+$C$19690,Assumptions!$E$64))</f>
        <v>0.0455</v>
      </c>
      <c r="I19793" s="31" t="n">
        <f aca="false">IF(H20016=1,$C$19691,IF(Assumptions!$I$64=1,MAX(I19689,Assumptions!$G$64)+Assumptions!$F$64+$C$19690,Assumptions!$E$64))</f>
        <v>0.0455</v>
      </c>
      <c r="J19793" s="31" t="n">
        <f aca="false">IF(I20016=1,$C$19691,IF(Assumptions!$I$64=1,MAX(J19689,Assumptions!$G$64)+Assumptions!$F$64+$C$19690,Assumptions!$E$64))</f>
        <v>0.0455</v>
      </c>
      <c r="K19793" s="31" t="n">
        <f aca="false">IF(J20016=1,$C$19691,IF(Assumptions!$I$64=1,MAX(K19689,Assumptions!$G$64)+Assumptions!$F$64+$C$19690,Assumptions!$E$64))</f>
        <v>0.0455</v>
      </c>
    </row>
    <row r="19794" customFormat="false" ht="15" hidden="false" customHeight="false" outlineLevel="0" collapsed="false">
      <c r="A19794" s="3" t="s">
        <v>332</v>
      </c>
      <c r="G19794" s="16" t="n">
        <f aca="false">G19790*G19793</f>
        <v>15.925</v>
      </c>
      <c r="H19794" s="16" t="n">
        <f aca="false">H19790*H19793</f>
        <v>15.925</v>
      </c>
      <c r="I19794" s="16" t="n">
        <f aca="false">I19790*I19793</f>
        <v>15.925</v>
      </c>
      <c r="J19794" s="16" t="n">
        <f aca="false">J19790*J19793</f>
        <v>15.925</v>
      </c>
      <c r="K19794" s="16" t="n">
        <f aca="false">K19790*K19793</f>
        <v>15.925</v>
      </c>
    </row>
    <row r="19795" customFormat="false" ht="15" hidden="false" customHeight="false" outlineLevel="0" collapsed="false">
      <c r="A19795" s="3" t="s">
        <v>333</v>
      </c>
      <c r="G19795" s="16" t="n">
        <f aca="false">G19790*Assumptions!$H$64</f>
        <v>0</v>
      </c>
      <c r="H19795" s="16" t="n">
        <f aca="false">H19790*Assumptions!$H$64</f>
        <v>0</v>
      </c>
      <c r="I19795" s="16" t="n">
        <f aca="false">I19790*Assumptions!$H$64</f>
        <v>0</v>
      </c>
      <c r="J19795" s="16" t="n">
        <f aca="false">J19790*Assumptions!$H$64</f>
        <v>0</v>
      </c>
      <c r="K19795" s="16" t="n">
        <f aca="false">K19790*Assumptions!$H$64</f>
        <v>0</v>
      </c>
    </row>
    <row r="19796" customFormat="false" ht="15" hidden="false" customHeight="false" outlineLevel="0" collapsed="false">
      <c r="A19796" s="3" t="s">
        <v>334</v>
      </c>
      <c r="G19796" s="16" t="n">
        <f aca="false">MIN(G19790,Assumptions!$L$64*Assumptions!$C$64)</f>
        <v>0</v>
      </c>
      <c r="H19796" s="16" t="n">
        <f aca="false">MIN(H19790,Assumptions!$L$64*Assumptions!$C$64)</f>
        <v>0</v>
      </c>
      <c r="I19796" s="16" t="n">
        <f aca="false">MIN(I19790,Assumptions!$L$64*Assumptions!$C$64)</f>
        <v>0</v>
      </c>
      <c r="J19796" s="16" t="n">
        <f aca="false">MIN(J19790,Assumptions!$L$64*Assumptions!$C$64)</f>
        <v>0</v>
      </c>
      <c r="K19796" s="16" t="n">
        <f aca="false">MIN(K19790,Assumptions!$L$64*Assumptions!$C$64)</f>
        <v>0</v>
      </c>
    </row>
    <row r="19797" customFormat="false" ht="15" hidden="false" customHeight="false" outlineLevel="0" collapsed="false">
      <c r="A19797" s="3" t="s">
        <v>335</v>
      </c>
      <c r="G19797" s="16" t="n">
        <f aca="false">IF(AND(Assumptions!$P$64=1,G19663&lt;Assumptions!$K$64),MIN(MAX(0,-G19879),MAX(0,Assumptions!$D$64-G19790)),0)</f>
        <v>0</v>
      </c>
      <c r="H19797" s="16" t="n">
        <f aca="false">IF(AND(Assumptions!$P$64=1,OR(H19663&lt;Assumptions!$K$64,G20016=1)),MIN(MAX(0,-H19879),MAX(0,Assumptions!$D$64-H19790)),0)</f>
        <v>0</v>
      </c>
      <c r="I19797" s="16" t="n">
        <f aca="false">IF(AND(Assumptions!$P$64=1,OR(I19663&lt;Assumptions!$K$64,H20016=1)),MIN(MAX(0,-I19879),MAX(0,Assumptions!$D$64-I19790)),0)</f>
        <v>0</v>
      </c>
      <c r="J19797" s="16" t="n">
        <f aca="false">IF(AND(Assumptions!$P$64=1,OR(J19663&lt;Assumptions!$K$64,I20016=1)),MIN(MAX(0,-J19879),MAX(0,Assumptions!$D$64-J19790)),0)</f>
        <v>0</v>
      </c>
      <c r="K19797" s="16" t="n">
        <f aca="false">IF(AND(Assumptions!$P$64=1,OR(K19663&lt;Assumptions!$K$64,J20016=1)),MIN(MAX(0,-K19879),MAX(0,Assumptions!$D$64-K19790)),0)</f>
        <v>0</v>
      </c>
    </row>
    <row r="19798" customFormat="false" ht="15" hidden="false" customHeight="false" outlineLevel="0" collapsed="false">
      <c r="A19798" s="3" t="s">
        <v>336</v>
      </c>
      <c r="G19798" s="16" t="n">
        <f aca="false">G19791*MIN(G19790-G19796+G19795,MAX(0,G19881-Assumptions!$C$12*G19697-G19707-G19720-G19733-G19746-G19759-G19772-G19785))</f>
        <v>0</v>
      </c>
      <c r="H19798" s="16" t="n">
        <f aca="false">H19791*MIN(H19790-H19796+H19795,MAX(0,H19881-Assumptions!$C$12*H19697-H19707-H19720-H19733-H19746-H19759-H19772-H19785))</f>
        <v>0</v>
      </c>
      <c r="I19798" s="16" t="n">
        <f aca="false">I19791*MIN(I19790-I19796+I19795,MAX(0,I19881-Assumptions!$C$12*I19697-I19707-I19720-I19733-I19746-I19759-I19772-I19785))</f>
        <v>0</v>
      </c>
      <c r="J19798" s="16" t="n">
        <f aca="false">J19791*MIN(J19790-J19796+J19795,MAX(0,J19881-Assumptions!$C$12*J19697-J19707-J19720-J19733-J19746-J19759-J19772-J19785))</f>
        <v>0</v>
      </c>
      <c r="K19798" s="16" t="n">
        <f aca="false">K19791*MIN(K19790-K19796+K19795,MAX(0,K19881-Assumptions!$C$12*K19697-K19707-K19720-K19733-K19746-K19759-K19772-K19785))</f>
        <v>0</v>
      </c>
    </row>
    <row r="19799" customFormat="false" ht="15" hidden="false" customHeight="false" outlineLevel="0" collapsed="false">
      <c r="A19799" s="3" t="s">
        <v>337</v>
      </c>
      <c r="G19799" s="16" t="n">
        <f aca="false">Assumptions!$N$64*MIN(G19790+G19797+G19795-G19796-G19798,MAX(0,G19885-G19708-G19721-G19734-G19747-G19760-G19773-G19786))</f>
        <v>0</v>
      </c>
      <c r="H19799" s="16" t="n">
        <f aca="false">Assumptions!$N$64*MIN(H19790+H19797+H19795-H19796-H19798,MAX(0,H19885-H19708-H19721-H19734-H19747-H19760-H19773-H19786))</f>
        <v>0</v>
      </c>
      <c r="I19799" s="16" t="n">
        <f aca="false">Assumptions!$N$64*MIN(I19790+I19797+I19795-I19796-I19798,MAX(0,I19885-I19708-I19721-I19734-I19747-I19760-I19773-I19786))</f>
        <v>0</v>
      </c>
      <c r="J19799" s="16" t="n">
        <f aca="false">Assumptions!$N$64*MIN(J19790+J19797+J19795-J19796-J19798,MAX(0,J19885-J19708-J19721-J19734-J19747-J19760-J19773-J19786))</f>
        <v>0</v>
      </c>
      <c r="K19799" s="16" t="n">
        <f aca="false">Assumptions!$N$64*MIN(K19790+K19797+K19795-K19796-K19798,MAX(0,K19885-K19708-K19721-K19734-K19747-K19760-K19773-K19786))</f>
        <v>0</v>
      </c>
    </row>
    <row r="19800" customFormat="false" ht="15" hidden="false" customHeight="false" outlineLevel="0" collapsed="false">
      <c r="A19800" s="3" t="s">
        <v>338</v>
      </c>
      <c r="G19800" s="16" t="n">
        <f aca="false">G19791*(1-G19697)*(G19790-G19796+G19795-G19798)</f>
        <v>0</v>
      </c>
      <c r="H19800" s="16" t="n">
        <f aca="false">H19791*(1-H19697)*(H19790-H19796+H19795-H19798)</f>
        <v>0</v>
      </c>
      <c r="I19800" s="16" t="n">
        <f aca="false">I19791*(1-I19697)*(I19790-I19796+I19795-I19798)</f>
        <v>0</v>
      </c>
      <c r="J19800" s="16" t="n">
        <f aca="false">J19791*(1-J19697)*(J19790-J19796+J19795-J19798)</f>
        <v>350</v>
      </c>
      <c r="K19800" s="16" t="n">
        <f aca="false">K19791*(1-K19697)*(K19790-K19796+K19795-K19798)</f>
        <v>0</v>
      </c>
    </row>
    <row r="19801" customFormat="false" ht="15" hidden="false" customHeight="false" outlineLevel="0" collapsed="false">
      <c r="A19801" s="2" t="s">
        <v>339</v>
      </c>
      <c r="F19801" s="28" t="n">
        <f aca="false">Assumptions!$C$64</f>
        <v>350</v>
      </c>
      <c r="G19801" s="17" t="n">
        <f aca="false">G19790+G19797+G19795-G19796-G19798-G19799</f>
        <v>350</v>
      </c>
      <c r="H19801" s="17" t="n">
        <f aca="false">H19790+H19797+H19795-H19796-H19798-H19799</f>
        <v>350</v>
      </c>
      <c r="I19801" s="17" t="n">
        <f aca="false">I19790+I19797+I19795-I19796-I19798-I19799</f>
        <v>350</v>
      </c>
      <c r="J19801" s="17" t="n">
        <f aca="false">J19790+J19797+J19795-J19796-J19798-J19799</f>
        <v>350</v>
      </c>
      <c r="K19801" s="17" t="n">
        <f aca="false">K19790+K19797+K19795-K19796-K19798-K19799</f>
        <v>350</v>
      </c>
    </row>
    <row r="19802" customFormat="false" ht="15" hidden="false" customHeight="false" outlineLevel="0" collapsed="false">
      <c r="A19802" s="24" t="s">
        <v>347</v>
      </c>
      <c r="B19802" s="25"/>
      <c r="C19802" s="25"/>
      <c r="D19802" s="25"/>
      <c r="E19802" s="25"/>
      <c r="F19802" s="25"/>
      <c r="G19802" s="25"/>
      <c r="H19802" s="25"/>
      <c r="I19802" s="25"/>
      <c r="J19802" s="25"/>
      <c r="K19802" s="25"/>
    </row>
    <row r="19803" customFormat="false" ht="15" hidden="false" customHeight="false" outlineLevel="0" collapsed="false">
      <c r="A19803" s="3" t="s">
        <v>329</v>
      </c>
      <c r="G19803" s="16" t="n">
        <f aca="false">F19814</f>
        <v>300</v>
      </c>
      <c r="H19803" s="16" t="n">
        <f aca="false">G19814</f>
        <v>300</v>
      </c>
      <c r="I19803" s="16" t="n">
        <f aca="false">H19814</f>
        <v>300</v>
      </c>
      <c r="J19803" s="16" t="n">
        <f aca="false">I19814</f>
        <v>300</v>
      </c>
      <c r="K19803" s="16" t="n">
        <f aca="false">J19814</f>
        <v>300</v>
      </c>
    </row>
    <row r="19804" customFormat="false" ht="15" hidden="false" customHeight="false" outlineLevel="0" collapsed="false">
      <c r="A19804" s="3" t="s">
        <v>330</v>
      </c>
      <c r="G19804" s="21" t="n">
        <f aca="false">IF(G19663=Assumptions!$K$65,1,0)</f>
        <v>0</v>
      </c>
      <c r="H19804" s="21" t="n">
        <f aca="false">IF(H19663=Assumptions!$K$65,1,0)</f>
        <v>0</v>
      </c>
      <c r="I19804" s="21" t="n">
        <f aca="false">IF(I19663=Assumptions!$K$65,1,0)</f>
        <v>0</v>
      </c>
      <c r="J19804" s="21" t="n">
        <f aca="false">IF(J19663=Assumptions!$K$65,1,0)</f>
        <v>0</v>
      </c>
      <c r="K19804" s="21" t="n">
        <f aca="false">IF(K19663=Assumptions!$K$65,1,0)</f>
        <v>1</v>
      </c>
    </row>
    <row r="19806" customFormat="false" ht="15" hidden="false" customHeight="false" outlineLevel="0" collapsed="false">
      <c r="A19806" s="3" t="s">
        <v>331</v>
      </c>
      <c r="G19806" s="31" t="n">
        <f aca="false">IF(Assumptions!$I$65=1,MAX(G19689,Assumptions!$G$65)+Assumptions!$F$65+$C$19690,Assumptions!$E$65)</f>
        <v>0.06125</v>
      </c>
      <c r="H19806" s="31" t="n">
        <f aca="false">IF(G20017=1,$C$19691,IF(Assumptions!$I$65=1,MAX(H19689,Assumptions!$G$65)+Assumptions!$F$65+$C$19690,Assumptions!$E$65))</f>
        <v>0.06125</v>
      </c>
      <c r="I19806" s="31" t="n">
        <f aca="false">IF(H20017=1,$C$19691,IF(Assumptions!$I$65=1,MAX(I19689,Assumptions!$G$65)+Assumptions!$F$65+$C$19690,Assumptions!$E$65))</f>
        <v>0.06125</v>
      </c>
      <c r="J19806" s="31" t="n">
        <f aca="false">IF(I20017=1,$C$19691,IF(Assumptions!$I$65=1,MAX(J19689,Assumptions!$G$65)+Assumptions!$F$65+$C$19690,Assumptions!$E$65))</f>
        <v>0.06125</v>
      </c>
      <c r="K19806" s="31" t="n">
        <f aca="false">IF(J20017=1,$C$19691,IF(Assumptions!$I$65=1,MAX(K19689,Assumptions!$G$65)+Assumptions!$F$65+$C$19690,Assumptions!$E$65))</f>
        <v>0.06125</v>
      </c>
    </row>
    <row r="19807" customFormat="false" ht="15" hidden="false" customHeight="false" outlineLevel="0" collapsed="false">
      <c r="A19807" s="3" t="s">
        <v>332</v>
      </c>
      <c r="G19807" s="16" t="n">
        <f aca="false">G19803*G19806</f>
        <v>18.375</v>
      </c>
      <c r="H19807" s="16" t="n">
        <f aca="false">H19803*H19806</f>
        <v>18.375</v>
      </c>
      <c r="I19807" s="16" t="n">
        <f aca="false">I19803*I19806</f>
        <v>18.375</v>
      </c>
      <c r="J19807" s="16" t="n">
        <f aca="false">J19803*J19806</f>
        <v>18.375</v>
      </c>
      <c r="K19807" s="16" t="n">
        <f aca="false">K19803*K19806</f>
        <v>18.375</v>
      </c>
    </row>
    <row r="19808" customFormat="false" ht="15" hidden="false" customHeight="false" outlineLevel="0" collapsed="false">
      <c r="A19808" s="3" t="s">
        <v>333</v>
      </c>
      <c r="G19808" s="16" t="n">
        <f aca="false">G19803*Assumptions!$H$65</f>
        <v>0</v>
      </c>
      <c r="H19808" s="16" t="n">
        <f aca="false">H19803*Assumptions!$H$65</f>
        <v>0</v>
      </c>
      <c r="I19808" s="16" t="n">
        <f aca="false">I19803*Assumptions!$H$65</f>
        <v>0</v>
      </c>
      <c r="J19808" s="16" t="n">
        <f aca="false">J19803*Assumptions!$H$65</f>
        <v>0</v>
      </c>
      <c r="K19808" s="16" t="n">
        <f aca="false">K19803*Assumptions!$H$65</f>
        <v>0</v>
      </c>
    </row>
    <row r="19809" customFormat="false" ht="15" hidden="false" customHeight="false" outlineLevel="0" collapsed="false">
      <c r="A19809" s="3" t="s">
        <v>334</v>
      </c>
      <c r="G19809" s="16" t="n">
        <f aca="false">MIN(G19803,Assumptions!$L$65*Assumptions!$C$65)</f>
        <v>0</v>
      </c>
      <c r="H19809" s="16" t="n">
        <f aca="false">MIN(H19803,Assumptions!$L$65*Assumptions!$C$65)</f>
        <v>0</v>
      </c>
      <c r="I19809" s="16" t="n">
        <f aca="false">MIN(I19803,Assumptions!$L$65*Assumptions!$C$65)</f>
        <v>0</v>
      </c>
      <c r="J19809" s="16" t="n">
        <f aca="false">MIN(J19803,Assumptions!$L$65*Assumptions!$C$65)</f>
        <v>0</v>
      </c>
      <c r="K19809" s="16" t="n">
        <f aca="false">MIN(K19803,Assumptions!$L$65*Assumptions!$C$65)</f>
        <v>0</v>
      </c>
    </row>
    <row r="19810" customFormat="false" ht="15" hidden="false" customHeight="false" outlineLevel="0" collapsed="false">
      <c r="A19810" s="3" t="s">
        <v>335</v>
      </c>
      <c r="G19810" s="16" t="n">
        <f aca="false">IF(AND(Assumptions!$P$65=1,G19663&lt;Assumptions!$K$65),MIN(MAX(0,-G19879),MAX(0,Assumptions!$D$65-G19803)),0)</f>
        <v>0</v>
      </c>
      <c r="H19810" s="16" t="n">
        <f aca="false">IF(AND(Assumptions!$P$65=1,OR(H19663&lt;Assumptions!$K$65,G20017=1)),MIN(MAX(0,-H19879),MAX(0,Assumptions!$D$65-H19803)),0)</f>
        <v>0</v>
      </c>
      <c r="I19810" s="16" t="n">
        <f aca="false">IF(AND(Assumptions!$P$65=1,OR(I19663&lt;Assumptions!$K$65,H20017=1)),MIN(MAX(0,-I19879),MAX(0,Assumptions!$D$65-I19803)),0)</f>
        <v>0</v>
      </c>
      <c r="J19810" s="16" t="n">
        <f aca="false">IF(AND(Assumptions!$P$65=1,OR(J19663&lt;Assumptions!$K$65,I20017=1)),MIN(MAX(0,-J19879),MAX(0,Assumptions!$D$65-J19803)),0)</f>
        <v>0</v>
      </c>
      <c r="K19810" s="16" t="n">
        <f aca="false">IF(AND(Assumptions!$P$65=1,OR(K19663&lt;Assumptions!$K$65,J20017=1)),MIN(MAX(0,-K19879),MAX(0,Assumptions!$D$65-K19803)),0)</f>
        <v>0</v>
      </c>
    </row>
    <row r="19811" customFormat="false" ht="15" hidden="false" customHeight="false" outlineLevel="0" collapsed="false">
      <c r="A19811" s="3" t="s">
        <v>336</v>
      </c>
      <c r="G19811" s="16" t="n">
        <f aca="false">G19804*MIN(G19803-G19809+G19808,MAX(0,G19881-Assumptions!$C$12*G19697-G19707-G19720-G19733-G19746-G19759-G19772-G19785-G19798))</f>
        <v>0</v>
      </c>
      <c r="H19811" s="16" t="n">
        <f aca="false">H19804*MIN(H19803-H19809+H19808,MAX(0,H19881-Assumptions!$C$12*H19697-H19707-H19720-H19733-H19746-H19759-H19772-H19785-H19798))</f>
        <v>0</v>
      </c>
      <c r="I19811" s="16" t="n">
        <f aca="false">I19804*MIN(I19803-I19809+I19808,MAX(0,I19881-Assumptions!$C$12*I19697-I19707-I19720-I19733-I19746-I19759-I19772-I19785-I19798))</f>
        <v>0</v>
      </c>
      <c r="J19811" s="16" t="n">
        <f aca="false">J19804*MIN(J19803-J19809+J19808,MAX(0,J19881-Assumptions!$C$12*J19697-J19707-J19720-J19733-J19746-J19759-J19772-J19785-J19798))</f>
        <v>0</v>
      </c>
      <c r="K19811" s="16" t="n">
        <f aca="false">K19804*MIN(K19803-K19809+K19808,MAX(0,K19881-Assumptions!$C$12*K19697-K19707-K19720-K19733-K19746-K19759-K19772-K19785-K19798))</f>
        <v>0</v>
      </c>
    </row>
    <row r="19812" customFormat="false" ht="15" hidden="false" customHeight="false" outlineLevel="0" collapsed="false">
      <c r="A19812" s="3" t="s">
        <v>337</v>
      </c>
      <c r="G19812" s="16" t="n">
        <f aca="false">Assumptions!$N$65*MIN(G19803+G19810+G19808-G19809-G19811,MAX(0,G19885-G19708-G19721-G19734-G19747-G19760-G19773-G19786-G19799))</f>
        <v>0</v>
      </c>
      <c r="H19812" s="16" t="n">
        <f aca="false">Assumptions!$N$65*MIN(H19803+H19810+H19808-H19809-H19811,MAX(0,H19885-H19708-H19721-H19734-H19747-H19760-H19773-H19786-H19799))</f>
        <v>0</v>
      </c>
      <c r="I19812" s="16" t="n">
        <f aca="false">Assumptions!$N$65*MIN(I19803+I19810+I19808-I19809-I19811,MAX(0,I19885-I19708-I19721-I19734-I19747-I19760-I19773-I19786-I19799))</f>
        <v>0</v>
      </c>
      <c r="J19812" s="16" t="n">
        <f aca="false">Assumptions!$N$65*MIN(J19803+J19810+J19808-J19809-J19811,MAX(0,J19885-J19708-J19721-J19734-J19747-J19760-J19773-J19786-J19799))</f>
        <v>0</v>
      </c>
      <c r="K19812" s="16" t="n">
        <f aca="false">Assumptions!$N$65*MIN(K19803+K19810+K19808-K19809-K19811,MAX(0,K19885-K19708-K19721-K19734-K19747-K19760-K19773-K19786-K19799))</f>
        <v>0</v>
      </c>
    </row>
    <row r="19813" customFormat="false" ht="15" hidden="false" customHeight="false" outlineLevel="0" collapsed="false">
      <c r="A19813" s="3" t="s">
        <v>338</v>
      </c>
      <c r="G19813" s="16" t="n">
        <f aca="false">G19804*(1-G19697)*(G19803-G19809+G19808-G19811)</f>
        <v>0</v>
      </c>
      <c r="H19813" s="16" t="n">
        <f aca="false">H19804*(1-H19697)*(H19803-H19809+H19808-H19811)</f>
        <v>0</v>
      </c>
      <c r="I19813" s="16" t="n">
        <f aca="false">I19804*(1-I19697)*(I19803-I19809+I19808-I19811)</f>
        <v>0</v>
      </c>
      <c r="J19813" s="16" t="n">
        <f aca="false">J19804*(1-J19697)*(J19803-J19809+J19808-J19811)</f>
        <v>0</v>
      </c>
      <c r="K19813" s="16" t="n">
        <f aca="false">K19804*(1-K19697)*(K19803-K19809+K19808-K19811)</f>
        <v>300</v>
      </c>
    </row>
    <row r="19814" customFormat="false" ht="15" hidden="false" customHeight="false" outlineLevel="0" collapsed="false">
      <c r="A19814" s="2" t="s">
        <v>339</v>
      </c>
      <c r="F19814" s="28" t="n">
        <f aca="false">Assumptions!$C$65</f>
        <v>300</v>
      </c>
      <c r="G19814" s="17" t="n">
        <f aca="false">G19803+G19810+G19808-G19809-G19811-G19812</f>
        <v>300</v>
      </c>
      <c r="H19814" s="17" t="n">
        <f aca="false">H19803+H19810+H19808-H19809-H19811-H19812</f>
        <v>300</v>
      </c>
      <c r="I19814" s="17" t="n">
        <f aca="false">I19803+I19810+I19808-I19809-I19811-I19812</f>
        <v>300</v>
      </c>
      <c r="J19814" s="17" t="n">
        <f aca="false">J19803+J19810+J19808-J19809-J19811-J19812</f>
        <v>300</v>
      </c>
      <c r="K19814" s="17" t="n">
        <f aca="false">K19803+K19810+K19808-K19809-K19811-K19812</f>
        <v>300</v>
      </c>
    </row>
    <row r="19815" customFormat="false" ht="15" hidden="false" customHeight="false" outlineLevel="0" collapsed="false">
      <c r="A19815" s="24" t="s">
        <v>348</v>
      </c>
      <c r="B19815" s="25"/>
      <c r="C19815" s="25"/>
      <c r="D19815" s="25"/>
      <c r="E19815" s="25"/>
      <c r="F19815" s="25"/>
      <c r="G19815" s="25"/>
      <c r="H19815" s="25"/>
      <c r="I19815" s="25"/>
      <c r="J19815" s="25"/>
      <c r="K19815" s="25"/>
    </row>
    <row r="19816" customFormat="false" ht="15" hidden="false" customHeight="false" outlineLevel="0" collapsed="false">
      <c r="A19816" s="3" t="s">
        <v>329</v>
      </c>
      <c r="G19816" s="16" t="n">
        <f aca="false">F19827</f>
        <v>78.61</v>
      </c>
      <c r="H19816" s="16" t="n">
        <f aca="false">G19827</f>
        <v>78.61</v>
      </c>
      <c r="I19816" s="16" t="n">
        <f aca="false">H19827</f>
        <v>78.61</v>
      </c>
      <c r="J19816" s="16" t="n">
        <f aca="false">I19827</f>
        <v>78.61</v>
      </c>
      <c r="K19816" s="16" t="n">
        <f aca="false">J19827</f>
        <v>78.61</v>
      </c>
    </row>
    <row r="19817" customFormat="false" ht="15" hidden="false" customHeight="false" outlineLevel="0" collapsed="false">
      <c r="A19817" s="3" t="s">
        <v>330</v>
      </c>
      <c r="G19817" s="21" t="n">
        <f aca="false">IF(G19663=Assumptions!$K$66,1,0)</f>
        <v>0</v>
      </c>
      <c r="H19817" s="21" t="n">
        <f aca="false">IF(H19663=Assumptions!$K$66,1,0)</f>
        <v>0</v>
      </c>
      <c r="I19817" s="21" t="n">
        <f aca="false">IF(I19663=Assumptions!$K$66,1,0)</f>
        <v>0</v>
      </c>
      <c r="J19817" s="21" t="n">
        <f aca="false">IF(J19663=Assumptions!$K$66,1,0)</f>
        <v>0</v>
      </c>
      <c r="K19817" s="21" t="n">
        <f aca="false">IF(K19663=Assumptions!$K$66,1,0)</f>
        <v>0</v>
      </c>
    </row>
    <row r="19819" customFormat="false" ht="15" hidden="false" customHeight="false" outlineLevel="0" collapsed="false">
      <c r="A19819" s="3" t="s">
        <v>331</v>
      </c>
      <c r="G19819" s="31" t="n">
        <f aca="false">IF(Assumptions!$I$66=1,MAX(G19689,Assumptions!$G$66)+Assumptions!$F$66+$C$19690,Assumptions!$E$66)</f>
        <v>0.0841</v>
      </c>
      <c r="H19819" s="31" t="n">
        <f aca="false">IF(G20018=1,$C$19691,IF(Assumptions!$I$66=1,MAX(H19689,Assumptions!$G$66)+Assumptions!$F$66+$C$19690,Assumptions!$E$66))</f>
        <v>0.0826</v>
      </c>
      <c r="I19819" s="31" t="n">
        <f aca="false">IF(H20018=1,$C$19691,IF(Assumptions!$I$66=1,MAX(I19689,Assumptions!$G$66)+Assumptions!$F$66+$C$19690,Assumptions!$E$66))</f>
        <v>0.0801</v>
      </c>
      <c r="J19819" s="31" t="n">
        <f aca="false">IF(I20018=1,$C$19691,IF(Assumptions!$I$66=1,MAX(J19689,Assumptions!$G$66)+Assumptions!$F$66+$C$19690,Assumptions!$E$66))</f>
        <v>0.0801</v>
      </c>
      <c r="K19819" s="31" t="n">
        <f aca="false">IF(J20018=1,$C$19691,IF(Assumptions!$I$66=1,MAX(K19689,Assumptions!$G$66)+Assumptions!$F$66+$C$19690,Assumptions!$E$66))</f>
        <v>0.0801</v>
      </c>
    </row>
    <row r="19820" customFormat="false" ht="15" hidden="false" customHeight="false" outlineLevel="0" collapsed="false">
      <c r="A19820" s="3" t="s">
        <v>332</v>
      </c>
      <c r="G19820" s="16" t="n">
        <f aca="false">G19816*G19819</f>
        <v>6.611101</v>
      </c>
      <c r="H19820" s="16" t="n">
        <f aca="false">H19816*H19819</f>
        <v>6.493186</v>
      </c>
      <c r="I19820" s="16" t="n">
        <f aca="false">I19816*I19819</f>
        <v>6.296661</v>
      </c>
      <c r="J19820" s="16" t="n">
        <f aca="false">J19816*J19819</f>
        <v>6.296661</v>
      </c>
      <c r="K19820" s="16" t="n">
        <f aca="false">K19816*K19819</f>
        <v>6.296661</v>
      </c>
    </row>
    <row r="19821" customFormat="false" ht="15" hidden="false" customHeight="false" outlineLevel="0" collapsed="false">
      <c r="A19821" s="3" t="s">
        <v>333</v>
      </c>
      <c r="G19821" s="16" t="n">
        <f aca="false">G19816*Assumptions!$H$66</f>
        <v>0</v>
      </c>
      <c r="H19821" s="16" t="n">
        <f aca="false">H19816*Assumptions!$H$66</f>
        <v>0</v>
      </c>
      <c r="I19821" s="16" t="n">
        <f aca="false">I19816*Assumptions!$H$66</f>
        <v>0</v>
      </c>
      <c r="J19821" s="16" t="n">
        <f aca="false">J19816*Assumptions!$H$66</f>
        <v>0</v>
      </c>
      <c r="K19821" s="16" t="n">
        <f aca="false">K19816*Assumptions!$H$66</f>
        <v>0</v>
      </c>
    </row>
    <row r="19822" customFormat="false" ht="15" hidden="false" customHeight="false" outlineLevel="0" collapsed="false">
      <c r="A19822" s="3" t="s">
        <v>334</v>
      </c>
      <c r="G19822" s="16" t="n">
        <f aca="false">MIN(G19816,Assumptions!$L$66*Assumptions!$C$66)</f>
        <v>0</v>
      </c>
      <c r="H19822" s="16" t="n">
        <f aca="false">MIN(H19816,Assumptions!$L$66*Assumptions!$C$66)</f>
        <v>0</v>
      </c>
      <c r="I19822" s="16" t="n">
        <f aca="false">MIN(I19816,Assumptions!$L$66*Assumptions!$C$66)</f>
        <v>0</v>
      </c>
      <c r="J19822" s="16" t="n">
        <f aca="false">MIN(J19816,Assumptions!$L$66*Assumptions!$C$66)</f>
        <v>0</v>
      </c>
      <c r="K19822" s="16" t="n">
        <f aca="false">MIN(K19816,Assumptions!$L$66*Assumptions!$C$66)</f>
        <v>0</v>
      </c>
    </row>
    <row r="19823" customFormat="false" ht="15" hidden="false" customHeight="false" outlineLevel="0" collapsed="false">
      <c r="A19823" s="3" t="s">
        <v>335</v>
      </c>
      <c r="G19823" s="16" t="n">
        <f aca="false">IF(AND(Assumptions!$P$66=1,G19663&lt;Assumptions!$K$66),MIN(MAX(0,-G19879),MAX(0,Assumptions!$D$66-G19816)),0)</f>
        <v>0</v>
      </c>
      <c r="H19823" s="16" t="n">
        <f aca="false">IF(AND(Assumptions!$P$66=1,OR(H19663&lt;Assumptions!$K$66,G20018=1)),MIN(MAX(0,-H19879),MAX(0,Assumptions!$D$66-H19816)),0)</f>
        <v>0</v>
      </c>
      <c r="I19823" s="16" t="n">
        <f aca="false">IF(AND(Assumptions!$P$66=1,OR(I19663&lt;Assumptions!$K$66,H20018=1)),MIN(MAX(0,-I19879),MAX(0,Assumptions!$D$66-I19816)),0)</f>
        <v>0</v>
      </c>
      <c r="J19823" s="16" t="n">
        <f aca="false">IF(AND(Assumptions!$P$66=1,OR(J19663&lt;Assumptions!$K$66,I20018=1)),MIN(MAX(0,-J19879),MAX(0,Assumptions!$D$66-J19816)),0)</f>
        <v>0</v>
      </c>
      <c r="K19823" s="16" t="n">
        <f aca="false">IF(AND(Assumptions!$P$66=1,OR(K19663&lt;Assumptions!$K$66,J20018=1)),MIN(MAX(0,-K19879),MAX(0,Assumptions!$D$66-K19816)),0)</f>
        <v>0</v>
      </c>
    </row>
    <row r="19824" customFormat="false" ht="15" hidden="false" customHeight="false" outlineLevel="0" collapsed="false">
      <c r="A19824" s="3" t="s">
        <v>336</v>
      </c>
      <c r="G19824" s="16" t="n">
        <f aca="false">G19817*MIN(G19816-G19822+G19821,MAX(0,G19881-Assumptions!$C$12*G19697-G19707-G19720-G19733-G19746-G19759-G19772-G19785-G19798-G19811))</f>
        <v>0</v>
      </c>
      <c r="H19824" s="16" t="n">
        <f aca="false">H19817*MIN(H19816-H19822+H19821,MAX(0,H19881-Assumptions!$C$12*H19697-H19707-H19720-H19733-H19746-H19759-H19772-H19785-H19798-H19811))</f>
        <v>0</v>
      </c>
      <c r="I19824" s="16" t="n">
        <f aca="false">I19817*MIN(I19816-I19822+I19821,MAX(0,I19881-Assumptions!$C$12*I19697-I19707-I19720-I19733-I19746-I19759-I19772-I19785-I19798-I19811))</f>
        <v>0</v>
      </c>
      <c r="J19824" s="16" t="n">
        <f aca="false">J19817*MIN(J19816-J19822+J19821,MAX(0,J19881-Assumptions!$C$12*J19697-J19707-J19720-J19733-J19746-J19759-J19772-J19785-J19798-J19811))</f>
        <v>0</v>
      </c>
      <c r="K19824" s="16" t="n">
        <f aca="false">K19817*MIN(K19816-K19822+K19821,MAX(0,K19881-Assumptions!$C$12*K19697-K19707-K19720-K19733-K19746-K19759-K19772-K19785-K19798-K19811))</f>
        <v>0</v>
      </c>
    </row>
    <row r="19825" customFormat="false" ht="15" hidden="false" customHeight="false" outlineLevel="0" collapsed="false">
      <c r="A19825" s="3" t="s">
        <v>337</v>
      </c>
      <c r="G19825" s="16" t="n">
        <f aca="false">Assumptions!$N$66*MIN(G19816+G19823+G19821-G19822-G19824,MAX(0,G19885-G19708-G19721-G19734-G19747-G19760-G19773-G19786-G19799-G19812))</f>
        <v>0</v>
      </c>
      <c r="H19825" s="16" t="n">
        <f aca="false">Assumptions!$N$66*MIN(H19816+H19823+H19821-H19822-H19824,MAX(0,H19885-H19708-H19721-H19734-H19747-H19760-H19773-H19786-H19799-H19812))</f>
        <v>0</v>
      </c>
      <c r="I19825" s="16" t="n">
        <f aca="false">Assumptions!$N$66*MIN(I19816+I19823+I19821-I19822-I19824,MAX(0,I19885-I19708-I19721-I19734-I19747-I19760-I19773-I19786-I19799-I19812))</f>
        <v>0</v>
      </c>
      <c r="J19825" s="16" t="n">
        <f aca="false">Assumptions!$N$66*MIN(J19816+J19823+J19821-J19822-J19824,MAX(0,J19885-J19708-J19721-J19734-J19747-J19760-J19773-J19786-J19799-J19812))</f>
        <v>0</v>
      </c>
      <c r="K19825" s="16" t="n">
        <f aca="false">Assumptions!$N$66*MIN(K19816+K19823+K19821-K19822-K19824,MAX(0,K19885-K19708-K19721-K19734-K19747-K19760-K19773-K19786-K19799-K19812))</f>
        <v>0</v>
      </c>
    </row>
    <row r="19826" customFormat="false" ht="15" hidden="false" customHeight="false" outlineLevel="0" collapsed="false">
      <c r="A19826" s="3" t="s">
        <v>338</v>
      </c>
      <c r="G19826" s="16" t="n">
        <f aca="false">G19817*(1-G19697)*(G19816-G19822+G19821-G19824)</f>
        <v>0</v>
      </c>
      <c r="H19826" s="16" t="n">
        <f aca="false">H19817*(1-H19697)*(H19816-H19822+H19821-H19824)</f>
        <v>0</v>
      </c>
      <c r="I19826" s="16" t="n">
        <f aca="false">I19817*(1-I19697)*(I19816-I19822+I19821-I19824)</f>
        <v>0</v>
      </c>
      <c r="J19826" s="16" t="n">
        <f aca="false">J19817*(1-J19697)*(J19816-J19822+J19821-J19824)</f>
        <v>0</v>
      </c>
      <c r="K19826" s="16" t="n">
        <f aca="false">K19817*(1-K19697)*(K19816-K19822+K19821-K19824)</f>
        <v>0</v>
      </c>
    </row>
    <row r="19827" customFormat="false" ht="15" hidden="false" customHeight="false" outlineLevel="0" collapsed="false">
      <c r="A19827" s="2" t="s">
        <v>339</v>
      </c>
      <c r="F19827" s="28" t="n">
        <f aca="false">Assumptions!$C$66</f>
        <v>78.61</v>
      </c>
      <c r="G19827" s="17" t="n">
        <f aca="false">G19816+G19823+G19821-G19822-G19824-G19825</f>
        <v>78.61</v>
      </c>
      <c r="H19827" s="17" t="n">
        <f aca="false">H19816+H19823+H19821-H19822-H19824-H19825</f>
        <v>78.61</v>
      </c>
      <c r="I19827" s="17" t="n">
        <f aca="false">I19816+I19823+I19821-I19822-I19824-I19825</f>
        <v>78.61</v>
      </c>
      <c r="J19827" s="17" t="n">
        <f aca="false">J19816+J19823+J19821-J19822-J19824-J19825</f>
        <v>78.61</v>
      </c>
      <c r="K19827" s="17" t="n">
        <f aca="false">K19816+K19823+K19821-K19822-K19824-K19825</f>
        <v>78.61</v>
      </c>
    </row>
    <row r="19828" customFormat="false" ht="15" hidden="false" customHeight="false" outlineLevel="0" collapsed="false">
      <c r="A19828" s="24" t="s">
        <v>349</v>
      </c>
      <c r="B19828" s="25"/>
      <c r="C19828" s="25"/>
      <c r="D19828" s="25"/>
      <c r="E19828" s="25"/>
      <c r="F19828" s="25"/>
      <c r="G19828" s="25"/>
      <c r="H19828" s="25"/>
      <c r="I19828" s="25"/>
      <c r="J19828" s="25"/>
      <c r="K19828" s="25"/>
    </row>
    <row r="19829" customFormat="false" ht="15" hidden="false" customHeight="false" outlineLevel="0" collapsed="false">
      <c r="A19829" s="2" t="s">
        <v>350</v>
      </c>
      <c r="F19829" s="17" t="n">
        <f aca="false">F19710+F19723+F19736+F19749+F19762+F19775+F19788+F19801+F19814+F19827</f>
        <v>2625.934</v>
      </c>
      <c r="G19829" s="17" t="n">
        <f aca="false">G19710+G19723+G19736+G19749+G19762+G19775+G19788+G19801+G19814+G19827</f>
        <v>2621.934</v>
      </c>
      <c r="H19829" s="17" t="n">
        <f aca="false">H19710+H19723+H19736+H19749+H19762+H19775+H19788+H19801+H19814+H19827</f>
        <v>2602.8887587</v>
      </c>
      <c r="I19829" s="17" t="n">
        <f aca="false">I19710+I19723+I19736+I19749+I19762+I19775+I19788+I19801+I19814+I19827</f>
        <v>2598.8887587</v>
      </c>
      <c r="J19829" s="17" t="n">
        <f aca="false">J19710+J19723+J19736+J19749+J19762+J19775+J19788+J19801+J19814+J19827</f>
        <v>2594.8887587</v>
      </c>
      <c r="K19829" s="17" t="n">
        <f aca="false">K19710+K19723+K19736+K19749+K19762+K19775+K19788+K19801+K19814+K19827</f>
        <v>2590.8887587</v>
      </c>
    </row>
    <row r="19830" customFormat="false" ht="15" hidden="false" customHeight="false" outlineLevel="0" collapsed="false">
      <c r="A19830" s="3" t="s">
        <v>351</v>
      </c>
      <c r="G19830" s="16" t="n">
        <f aca="false">G19700*Assumptions!$C$57+G19713*Assumptions!$C$58+G19726*Assumptions!$C$59+G19739*Assumptions!$C$60+G19752*Assumptions!$C$61+G19765*Assumptions!$C$62+G19778*Assumptions!$C$63+G19791*Assumptions!$C$64+G19804*Assumptions!$C$65+G19817*Assumptions!$C$66</f>
        <v>0</v>
      </c>
      <c r="H19830" s="16" t="n">
        <f aca="false">H19700*Assumptions!$C$57+H19713*Assumptions!$C$58+H19726*Assumptions!$C$59+H19739*Assumptions!$C$60+H19752*Assumptions!$C$61+H19765*Assumptions!$C$62+H19778*Assumptions!$C$63+H19791*Assumptions!$C$64+H19804*Assumptions!$C$65+H19817*Assumptions!$C$66</f>
        <v>800</v>
      </c>
      <c r="I19830" s="16" t="n">
        <f aca="false">I19700*Assumptions!$C$57+I19713*Assumptions!$C$58+I19726*Assumptions!$C$59+I19739*Assumptions!$C$60+I19752*Assumptions!$C$61+I19765*Assumptions!$C$62+I19778*Assumptions!$C$63+I19791*Assumptions!$C$64+I19804*Assumptions!$C$65+I19817*Assumptions!$C$66</f>
        <v>550</v>
      </c>
      <c r="J19830" s="16" t="n">
        <f aca="false">J19700*Assumptions!$C$57+J19713*Assumptions!$C$58+J19726*Assumptions!$C$59+J19739*Assumptions!$C$60+J19752*Assumptions!$C$61+J19765*Assumptions!$C$62+J19778*Assumptions!$C$63+J19791*Assumptions!$C$64+J19804*Assumptions!$C$65+J19817*Assumptions!$C$66</f>
        <v>350</v>
      </c>
      <c r="K19830" s="16" t="n">
        <f aca="false">K19700*Assumptions!$C$57+K19713*Assumptions!$C$58+K19726*Assumptions!$C$59+K19739*Assumptions!$C$60+K19752*Assumptions!$C$61+K19765*Assumptions!$C$62+K19778*Assumptions!$C$63+K19791*Assumptions!$C$64+K19804*Assumptions!$C$65+K19817*Assumptions!$C$66</f>
        <v>700</v>
      </c>
    </row>
    <row r="19831" customFormat="false" ht="15" hidden="false" customHeight="false" outlineLevel="0" collapsed="false">
      <c r="A19831" s="24" t="s">
        <v>352</v>
      </c>
      <c r="B19831" s="25"/>
      <c r="C19831" s="25"/>
      <c r="D19831" s="25"/>
      <c r="E19831" s="25"/>
      <c r="F19831" s="25"/>
      <c r="G19831" s="25"/>
      <c r="H19831" s="25"/>
      <c r="I19831" s="25"/>
      <c r="J19831" s="25"/>
      <c r="K19831" s="25"/>
    </row>
    <row r="19832" customFormat="false" ht="15" hidden="false" customHeight="false" outlineLevel="0" collapsed="false">
      <c r="A19832" s="3" t="s">
        <v>353</v>
      </c>
      <c r="C19832" s="16" t="n">
        <f aca="false">SUMPRODUCT($G$19700:$K$19700,$G$19699:$K$19699-$G$19705:$K$19705+$G$19704:$K$19704)</f>
        <v>380</v>
      </c>
    </row>
    <row r="19833" customFormat="false" ht="15" hidden="false" customHeight="false" outlineLevel="0" collapsed="false">
      <c r="A19833" s="3" t="s">
        <v>354</v>
      </c>
      <c r="C19833" s="16" t="n">
        <f aca="false">SUMPRODUCT($G$19700:$K$19700,$G$19707:$K$19707)</f>
        <v>0</v>
      </c>
    </row>
    <row r="19834" customFormat="false" ht="15" hidden="false" customHeight="false" outlineLevel="0" collapsed="false">
      <c r="A19834" s="3" t="s">
        <v>355</v>
      </c>
      <c r="C19834" s="3" t="str">
        <f aca="false">IF(SUM($G$19700:$K$19700)=0,"n/a (beyond horizon)",IF(SUMPRODUCT($G$19700:$K$19700,$G$19697:$K$19697)&gt;0,"REFINANCING PASS","REFINANCING FAILURE"))</f>
        <v>REFINANCING FAILURE</v>
      </c>
    </row>
    <row r="19835" customFormat="false" ht="15" hidden="false" customHeight="false" outlineLevel="0" collapsed="false">
      <c r="A19835" s="3" t="s">
        <v>356</v>
      </c>
      <c r="C19835" s="3" t="str">
        <f aca="false">IF(SUM($G$19700:$K$19700)=0,"n/a",IF(C19833&gt;=C19832-0.001,"Repaid from cash",IF(SUMPRODUCT($G$19700:$K$19700,$G$19697:$K$19697)&gt;0,IF(C19833&gt;0,"Partly repaid; remainder refinanced","Refinanced"),IF(SUM($G$19709:$K$19709)&gt;0.001,IF(C19833&gt;0,"Partial repayment; PAYMENT DEFAULT","PAYMENT DEFAULT"),"Repaid from cash"))))</f>
        <v>PAYMENT DEFAULT</v>
      </c>
    </row>
    <row r="19836" customFormat="false" ht="15" hidden="false" customHeight="false" outlineLevel="0" collapsed="false">
      <c r="A19836" s="3" t="s">
        <v>357</v>
      </c>
      <c r="C19836" s="16" t="n">
        <f aca="false">SUMPRODUCT($G$19713:$K$19713,$G$19712:$K$19712-$G$19718:$K$19718+$G$19717:$K$19717)</f>
        <v>0</v>
      </c>
    </row>
    <row r="19837" customFormat="false" ht="15" hidden="false" customHeight="false" outlineLevel="0" collapsed="false">
      <c r="A19837" s="3" t="s">
        <v>358</v>
      </c>
      <c r="C19837" s="16" t="n">
        <f aca="false">SUMPRODUCT($G$19713:$K$19713,$G$19720:$K$19720)</f>
        <v>0</v>
      </c>
    </row>
    <row r="19838" customFormat="false" ht="15" hidden="false" customHeight="false" outlineLevel="0" collapsed="false">
      <c r="A19838" s="3" t="s">
        <v>359</v>
      </c>
      <c r="C19838" s="3" t="str">
        <f aca="false">IF(SUM($G$19713:$K$19713)=0,"n/a (beyond horizon)",IF(SUMPRODUCT($G$19713:$K$19713,$G$19697:$K$19697)&gt;0,"REFINANCING PASS","REFINANCING FAILURE"))</f>
        <v>n/a (beyond horizon)</v>
      </c>
    </row>
    <row r="19839" customFormat="false" ht="15" hidden="false" customHeight="false" outlineLevel="0" collapsed="false">
      <c r="A19839" s="3" t="s">
        <v>360</v>
      </c>
      <c r="C19839" s="3" t="str">
        <f aca="false">IF(SUM($G$19713:$K$19713)=0,"n/a",IF(C19837&gt;=C19836-0.001,"Repaid from cash",IF(SUMPRODUCT($G$19713:$K$19713,$G$19697:$K$19697)&gt;0,IF(C19837&gt;0,"Partly repaid; remainder refinanced","Refinanced"),IF(SUM($G$19722:$K$19722)&gt;0.001,IF(C19837&gt;0,"Partial repayment; PAYMENT DEFAULT","PAYMENT DEFAULT"),"Repaid from cash"))))</f>
        <v>n/a</v>
      </c>
    </row>
    <row r="19840" customFormat="false" ht="15" hidden="false" customHeight="false" outlineLevel="0" collapsed="false">
      <c r="A19840" s="3" t="s">
        <v>361</v>
      </c>
      <c r="C19840" s="16" t="n">
        <f aca="false">SUMPRODUCT($G$19726:$K$19726,$G$19725:$K$19725-$G$19731:$K$19731+$G$19730:$K$19730)</f>
        <v>0</v>
      </c>
    </row>
    <row r="19841" customFormat="false" ht="15" hidden="false" customHeight="false" outlineLevel="0" collapsed="false">
      <c r="A19841" s="3" t="s">
        <v>362</v>
      </c>
      <c r="C19841" s="16" t="n">
        <f aca="false">SUMPRODUCT($G$19726:$K$19726,$G$19733:$K$19733)</f>
        <v>0</v>
      </c>
    </row>
    <row r="19842" customFormat="false" ht="15" hidden="false" customHeight="false" outlineLevel="0" collapsed="false">
      <c r="A19842" s="3" t="s">
        <v>363</v>
      </c>
      <c r="C19842" s="3" t="str">
        <f aca="false">IF(SUM($G$19726:$K$19726)=0,"n/a (beyond horizon)",IF(SUMPRODUCT($G$19726:$K$19726,$G$19697:$K$19697)&gt;0,"REFINANCING PASS","REFINANCING FAILURE"))</f>
        <v>n/a (beyond horizon)</v>
      </c>
    </row>
    <row r="19843" customFormat="false" ht="15" hidden="false" customHeight="false" outlineLevel="0" collapsed="false">
      <c r="A19843" s="3" t="s">
        <v>364</v>
      </c>
      <c r="C19843" s="3" t="str">
        <f aca="false">IF(SUM($G$19726:$K$19726)=0,"n/a",IF(C19841&gt;=C19840-0.001,"Repaid from cash",IF(SUMPRODUCT($G$19726:$K$19726,$G$19697:$K$19697)&gt;0,IF(C19841&gt;0,"Partly repaid; remainder refinanced","Refinanced"),IF(SUM($G$19735:$K$19735)&gt;0.001,IF(C19841&gt;0,"Partial repayment; PAYMENT DEFAULT","PAYMENT DEFAULT"),"Repaid from cash"))))</f>
        <v>n/a</v>
      </c>
    </row>
    <row r="19844" customFormat="false" ht="15" hidden="false" customHeight="false" outlineLevel="0" collapsed="false">
      <c r="A19844" s="3" t="s">
        <v>365</v>
      </c>
      <c r="C19844" s="16" t="n">
        <f aca="false">SUMPRODUCT($G$19739:$K$19739,$G$19738:$K$19738-$G$19744:$K$19744+$G$19743:$K$19743)</f>
        <v>0</v>
      </c>
    </row>
    <row r="19845" customFormat="false" ht="15" hidden="false" customHeight="false" outlineLevel="0" collapsed="false">
      <c r="A19845" s="3" t="s">
        <v>366</v>
      </c>
      <c r="C19845" s="16" t="n">
        <f aca="false">SUMPRODUCT($G$19739:$K$19739,$G$19746:$K$19746)</f>
        <v>0</v>
      </c>
    </row>
    <row r="19846" customFormat="false" ht="15" hidden="false" customHeight="false" outlineLevel="0" collapsed="false">
      <c r="A19846" s="3" t="s">
        <v>367</v>
      </c>
      <c r="C19846" s="3" t="str">
        <f aca="false">IF(SUM($G$19739:$K$19739)=0,"n/a (beyond horizon)",IF(SUMPRODUCT($G$19739:$K$19739,$G$19697:$K$19697)&gt;0,"REFINANCING PASS","REFINANCING FAILURE"))</f>
        <v>REFINANCING FAILURE</v>
      </c>
    </row>
    <row r="19847" customFormat="false" ht="15" hidden="false" customHeight="false" outlineLevel="0" collapsed="false">
      <c r="A19847" s="3" t="s">
        <v>368</v>
      </c>
      <c r="C19847" s="3" t="str">
        <f aca="false">IF(SUM($G$19739:$K$19739)=0,"n/a",IF(C19845&gt;=C19844-0.001,"Repaid from cash",IF(SUMPRODUCT($G$19739:$K$19739,$G$19697:$K$19697)&gt;0,IF(C19845&gt;0,"Partly repaid; remainder refinanced","Refinanced"),IF(SUM($G$19748:$K$19748)&gt;0.001,IF(C19845&gt;0,"Partial repayment; PAYMENT DEFAULT","PAYMENT DEFAULT"),"Repaid from cash"))))</f>
        <v>Repaid from cash</v>
      </c>
    </row>
    <row r="19848" customFormat="false" ht="15" hidden="false" customHeight="false" outlineLevel="0" collapsed="false">
      <c r="A19848" s="3" t="s">
        <v>369</v>
      </c>
      <c r="C19848" s="16" t="n">
        <f aca="false">SUMPRODUCT($G$19752:$K$19752,$G$19751:$K$19751-$G$19757:$K$19757+$G$19756:$K$19756)</f>
        <v>450</v>
      </c>
    </row>
    <row r="19849" customFormat="false" ht="15" hidden="false" customHeight="false" outlineLevel="0" collapsed="false">
      <c r="A19849" s="3" t="s">
        <v>370</v>
      </c>
      <c r="C19849" s="16" t="n">
        <f aca="false">SUMPRODUCT($G$19752:$K$19752,$G$19759:$K$19759)</f>
        <v>15.0452413</v>
      </c>
    </row>
    <row r="19850" customFormat="false" ht="15" hidden="false" customHeight="false" outlineLevel="0" collapsed="false">
      <c r="A19850" s="3" t="s">
        <v>371</v>
      </c>
      <c r="C19850" s="3" t="str">
        <f aca="false">IF(SUM($G$19752:$K$19752)=0,"n/a (beyond horizon)",IF(SUMPRODUCT($G$19752:$K$19752,$G$19697:$K$19697)&gt;0,"REFINANCING PASS","REFINANCING FAILURE"))</f>
        <v>REFINANCING FAILURE</v>
      </c>
    </row>
    <row r="19851" customFormat="false" ht="15" hidden="false" customHeight="false" outlineLevel="0" collapsed="false">
      <c r="A19851" s="3" t="s">
        <v>372</v>
      </c>
      <c r="C19851" s="3" t="str">
        <f aca="false">IF(SUM($G$19752:$K$19752)=0,"n/a",IF(C19849&gt;=C19848-0.001,"Repaid from cash",IF(SUMPRODUCT($G$19752:$K$19752,$G$19697:$K$19697)&gt;0,IF(C19849&gt;0,"Partly repaid; remainder refinanced","Refinanced"),IF(SUM($G$19761:$K$19761)&gt;0.001,IF(C19849&gt;0,"Partial repayment; PAYMENT DEFAULT","PAYMENT DEFAULT"),"Repaid from cash"))))</f>
        <v>Partial repayment; PAYMENT DEFAULT</v>
      </c>
    </row>
    <row r="19852" customFormat="false" ht="15" hidden="false" customHeight="false" outlineLevel="0" collapsed="false">
      <c r="A19852" s="3" t="s">
        <v>373</v>
      </c>
      <c r="C19852" s="16" t="n">
        <f aca="false">SUMPRODUCT($G$19765:$K$19765,$G$19764:$K$19764-$G$19770:$K$19770+$G$19769:$K$19769)</f>
        <v>350</v>
      </c>
    </row>
    <row r="19853" customFormat="false" ht="15" hidden="false" customHeight="false" outlineLevel="0" collapsed="false">
      <c r="A19853" s="3" t="s">
        <v>374</v>
      </c>
      <c r="C19853" s="16" t="n">
        <f aca="false">SUMPRODUCT($G$19765:$K$19765,$G$19772:$K$19772)</f>
        <v>0</v>
      </c>
    </row>
    <row r="19854" customFormat="false" ht="15" hidden="false" customHeight="false" outlineLevel="0" collapsed="false">
      <c r="A19854" s="3" t="s">
        <v>375</v>
      </c>
      <c r="C19854" s="3" t="str">
        <f aca="false">IF(SUM($G$19765:$K$19765)=0,"n/a (beyond horizon)",IF(SUMPRODUCT($G$19765:$K$19765,$G$19697:$K$19697)&gt;0,"REFINANCING PASS","REFINANCING FAILURE"))</f>
        <v>REFINANCING FAILURE</v>
      </c>
    </row>
    <row r="19855" customFormat="false" ht="15" hidden="false" customHeight="false" outlineLevel="0" collapsed="false">
      <c r="A19855" s="3" t="s">
        <v>376</v>
      </c>
      <c r="C19855" s="3" t="str">
        <f aca="false">IF(SUM($G$19765:$K$19765)=0,"n/a",IF(C19853&gt;=C19852-0.001,"Repaid from cash",IF(SUMPRODUCT($G$19765:$K$19765,$G$19697:$K$19697)&gt;0,IF(C19853&gt;0,"Partly repaid; remainder refinanced","Refinanced"),IF(SUM($G$19774:$K$19774)&gt;0.001,IF(C19853&gt;0,"Partial repayment; PAYMENT DEFAULT","PAYMENT DEFAULT"),"Repaid from cash"))))</f>
        <v>PAYMENT DEFAULT</v>
      </c>
    </row>
    <row r="19856" customFormat="false" ht="15" hidden="false" customHeight="false" outlineLevel="0" collapsed="false">
      <c r="A19856" s="3" t="s">
        <v>377</v>
      </c>
      <c r="C19856" s="16" t="n">
        <f aca="false">SUMPRODUCT($G$19778:$K$19778,$G$19777:$K$19777-$G$19783:$K$19783+$G$19782:$K$19782)</f>
        <v>550</v>
      </c>
    </row>
    <row r="19857" customFormat="false" ht="15" hidden="false" customHeight="false" outlineLevel="0" collapsed="false">
      <c r="A19857" s="3" t="s">
        <v>378</v>
      </c>
      <c r="C19857" s="16" t="n">
        <f aca="false">SUMPRODUCT($G$19778:$K$19778,$G$19785:$K$19785)</f>
        <v>0</v>
      </c>
    </row>
    <row r="19858" customFormat="false" ht="15" hidden="false" customHeight="false" outlineLevel="0" collapsed="false">
      <c r="A19858" s="3" t="s">
        <v>379</v>
      </c>
      <c r="C19858" s="3" t="str">
        <f aca="false">IF(SUM($G$19778:$K$19778)=0,"n/a (beyond horizon)",IF(SUMPRODUCT($G$19778:$K$19778,$G$19697:$K$19697)&gt;0,"REFINANCING PASS","REFINANCING FAILURE"))</f>
        <v>REFINANCING FAILURE</v>
      </c>
    </row>
    <row r="19859" customFormat="false" ht="15" hidden="false" customHeight="false" outlineLevel="0" collapsed="false">
      <c r="A19859" s="3" t="s">
        <v>380</v>
      </c>
      <c r="C19859" s="3" t="str">
        <f aca="false">IF(SUM($G$19778:$K$19778)=0,"n/a",IF(C19857&gt;=C19856-0.001,"Repaid from cash",IF(SUMPRODUCT($G$19778:$K$19778,$G$19697:$K$19697)&gt;0,IF(C19857&gt;0,"Partly repaid; remainder refinanced","Refinanced"),IF(SUM($G$19787:$K$19787)&gt;0.001,IF(C19857&gt;0,"Partial repayment; PAYMENT DEFAULT","PAYMENT DEFAULT"),"Repaid from cash"))))</f>
        <v>PAYMENT DEFAULT</v>
      </c>
    </row>
    <row r="19860" customFormat="false" ht="15" hidden="false" customHeight="false" outlineLevel="0" collapsed="false">
      <c r="A19860" s="3" t="s">
        <v>381</v>
      </c>
      <c r="C19860" s="16" t="n">
        <f aca="false">SUMPRODUCT($G$19791:$K$19791,$G$19790:$K$19790-$G$19796:$K$19796+$G$19795:$K$19795)</f>
        <v>350</v>
      </c>
    </row>
    <row r="19861" customFormat="false" ht="15" hidden="false" customHeight="false" outlineLevel="0" collapsed="false">
      <c r="A19861" s="3" t="s">
        <v>382</v>
      </c>
      <c r="C19861" s="16" t="n">
        <f aca="false">SUMPRODUCT($G$19791:$K$19791,$G$19798:$K$19798)</f>
        <v>0</v>
      </c>
    </row>
    <row r="19862" customFormat="false" ht="15" hidden="false" customHeight="false" outlineLevel="0" collapsed="false">
      <c r="A19862" s="3" t="s">
        <v>383</v>
      </c>
      <c r="C19862" s="3" t="str">
        <f aca="false">IF(SUM($G$19791:$K$19791)=0,"n/a (beyond horizon)",IF(SUMPRODUCT($G$19791:$K$19791,$G$19697:$K$19697)&gt;0,"REFINANCING PASS","REFINANCING FAILURE"))</f>
        <v>REFINANCING FAILURE</v>
      </c>
    </row>
    <row r="19863" customFormat="false" ht="15" hidden="false" customHeight="false" outlineLevel="0" collapsed="false">
      <c r="A19863" s="3" t="s">
        <v>384</v>
      </c>
      <c r="C19863" s="3" t="str">
        <f aca="false">IF(SUM($G$19791:$K$19791)=0,"n/a",IF(C19861&gt;=C19860-0.001,"Repaid from cash",IF(SUMPRODUCT($G$19791:$K$19791,$G$19697:$K$19697)&gt;0,IF(C19861&gt;0,"Partly repaid; remainder refinanced","Refinanced"),IF(SUM($G$19800:$K$19800)&gt;0.001,IF(C19861&gt;0,"Partial repayment; PAYMENT DEFAULT","PAYMENT DEFAULT"),"Repaid from cash"))))</f>
        <v>PAYMENT DEFAULT</v>
      </c>
    </row>
    <row r="19864" customFormat="false" ht="15" hidden="false" customHeight="false" outlineLevel="0" collapsed="false">
      <c r="A19864" s="3" t="s">
        <v>385</v>
      </c>
      <c r="C19864" s="16" t="n">
        <f aca="false">SUMPRODUCT($G$19804:$K$19804,$G$19803:$K$19803-$G$19809:$K$19809+$G$19808:$K$19808)</f>
        <v>300</v>
      </c>
    </row>
    <row r="19865" customFormat="false" ht="15" hidden="false" customHeight="false" outlineLevel="0" collapsed="false">
      <c r="A19865" s="3" t="s">
        <v>386</v>
      </c>
      <c r="C19865" s="16" t="n">
        <f aca="false">SUMPRODUCT($G$19804:$K$19804,$G$19811:$K$19811)</f>
        <v>0</v>
      </c>
    </row>
    <row r="19866" customFormat="false" ht="15" hidden="false" customHeight="false" outlineLevel="0" collapsed="false">
      <c r="A19866" s="3" t="s">
        <v>387</v>
      </c>
      <c r="C19866" s="3" t="str">
        <f aca="false">IF(SUM($G$19804:$K$19804)=0,"n/a (beyond horizon)",IF(SUMPRODUCT($G$19804:$K$19804,$G$19697:$K$19697)&gt;0,"REFINANCING PASS","REFINANCING FAILURE"))</f>
        <v>REFINANCING FAILURE</v>
      </c>
    </row>
    <row r="19867" customFormat="false" ht="15" hidden="false" customHeight="false" outlineLevel="0" collapsed="false">
      <c r="A19867" s="3" t="s">
        <v>388</v>
      </c>
      <c r="C19867" s="3" t="str">
        <f aca="false">IF(SUM($G$19804:$K$19804)=0,"n/a",IF(C19865&gt;=C19864-0.001,"Repaid from cash",IF(SUMPRODUCT($G$19804:$K$19804,$G$19697:$K$19697)&gt;0,IF(C19865&gt;0,"Partly repaid; remainder refinanced","Refinanced"),IF(SUM($G$19813:$K$19813)&gt;0.001,IF(C19865&gt;0,"Partial repayment; PAYMENT DEFAULT","PAYMENT DEFAULT"),"Repaid from cash"))))</f>
        <v>PAYMENT DEFAULT</v>
      </c>
    </row>
    <row r="19868" customFormat="false" ht="15" hidden="false" customHeight="false" outlineLevel="0" collapsed="false">
      <c r="A19868" s="3" t="s">
        <v>389</v>
      </c>
      <c r="C19868" s="16" t="n">
        <f aca="false">SUMPRODUCT($G$19817:$K$19817,$G$19816:$K$19816-$G$19822:$K$19822+$G$19821:$K$19821)</f>
        <v>0</v>
      </c>
    </row>
    <row r="19869" customFormat="false" ht="15" hidden="false" customHeight="false" outlineLevel="0" collapsed="false">
      <c r="A19869" s="3" t="s">
        <v>390</v>
      </c>
      <c r="C19869" s="16" t="n">
        <f aca="false">SUMPRODUCT($G$19817:$K$19817,$G$19824:$K$19824)</f>
        <v>0</v>
      </c>
    </row>
    <row r="19870" customFormat="false" ht="15" hidden="false" customHeight="false" outlineLevel="0" collapsed="false">
      <c r="A19870" s="3" t="s">
        <v>391</v>
      </c>
      <c r="C19870" s="3" t="str">
        <f aca="false">IF(SUM($G$19817:$K$19817)=0,"n/a (beyond horizon)",IF(SUMPRODUCT($G$19817:$K$19817,$G$19697:$K$19697)&gt;0,"REFINANCING PASS","REFINANCING FAILURE"))</f>
        <v>n/a (beyond horizon)</v>
      </c>
    </row>
    <row r="19871" customFormat="false" ht="15" hidden="false" customHeight="false" outlineLevel="0" collapsed="false">
      <c r="A19871" s="3" t="s">
        <v>392</v>
      </c>
      <c r="C19871" s="3" t="str">
        <f aca="false">IF(SUM($G$19817:$K$19817)=0,"n/a",IF(C19869&gt;=C19868-0.001,"Repaid from cash",IF(SUMPRODUCT($G$19817:$K$19817,$G$19697:$K$19697)&gt;0,IF(C19869&gt;0,"Partly repaid; remainder refinanced","Refinanced"),IF(SUM($G$19826:$K$19826)&gt;0.001,IF(C19869&gt;0,"Partial repayment; PAYMENT DEFAULT","PAYMENT DEFAULT"),"Repaid from cash"))))</f>
        <v>n/a</v>
      </c>
    </row>
    <row r="19872" customFormat="false" ht="15" hidden="false" customHeight="false" outlineLevel="0" collapsed="false">
      <c r="A19872" s="3" t="s">
        <v>393</v>
      </c>
      <c r="C19872" s="21" t="n">
        <f aca="false">IF(C19834="REFINANCING FAILURE",1,0)+IF(C19838="REFINANCING FAILURE",1,0)+IF(C19842="REFINANCING FAILURE",1,0)+IF(C19846="REFINANCING FAILURE",1,0)+IF(C19850="REFINANCING FAILURE",1,0)+IF(C19854="REFINANCING FAILURE",1,0)+IF(C19858="REFINANCING FAILURE",1,0)+IF(C19862="REFINANCING FAILURE",1,0)+IF(C19866="REFINANCING FAILURE",1,0)+IF(C19870="REFINANCING FAILURE",1,0)</f>
        <v>7</v>
      </c>
    </row>
    <row r="19874" customFormat="false" ht="15" hidden="false" customHeight="false" outlineLevel="0" collapsed="false">
      <c r="A19874" s="24" t="s">
        <v>395</v>
      </c>
      <c r="B19874" s="25"/>
      <c r="C19874" s="25"/>
      <c r="D19874" s="25"/>
      <c r="E19874" s="25"/>
      <c r="F19874" s="25"/>
      <c r="G19874" s="25"/>
      <c r="H19874" s="25"/>
      <c r="I19874" s="25"/>
      <c r="J19874" s="25"/>
      <c r="K19874" s="25"/>
    </row>
    <row r="19875" customFormat="false" ht="15" hidden="false" customHeight="false" outlineLevel="0" collapsed="false">
      <c r="A19875" s="3" t="s">
        <v>325</v>
      </c>
      <c r="G19875" s="16" t="n">
        <f aca="false">F19887</f>
        <v>37.87</v>
      </c>
      <c r="H19875" s="16" t="n">
        <f aca="false">G19887</f>
        <v>87.2944416</v>
      </c>
      <c r="I19875" s="16" t="n">
        <f aca="false">H19887</f>
        <v>0</v>
      </c>
      <c r="J19875" s="16" t="n">
        <f aca="false">I19887</f>
        <v>-75.7748017716</v>
      </c>
      <c r="K19875" s="16" t="n">
        <f aca="false">J19887</f>
        <v>-149.05681614325</v>
      </c>
    </row>
    <row r="19876" customFormat="false" ht="15" hidden="false" customHeight="false" outlineLevel="0" collapsed="false">
      <c r="A19876" s="3" t="s">
        <v>396</v>
      </c>
      <c r="G19876" s="16" t="n">
        <f aca="false">G19686</f>
        <v>-46.5755584</v>
      </c>
      <c r="H19876" s="16" t="n">
        <f aca="false">H19686</f>
        <v>-68.2492003</v>
      </c>
      <c r="I19876" s="16" t="n">
        <f aca="false">I19686</f>
        <v>-71.7748017716</v>
      </c>
      <c r="J19876" s="16" t="n">
        <f aca="false">J19686</f>
        <v>-69.28201437165</v>
      </c>
      <c r="K19876" s="16" t="n">
        <f aca="false">K19686</f>
        <v>-63.512311383781</v>
      </c>
    </row>
    <row r="19877" customFormat="false" ht="15" hidden="false" customHeight="false" outlineLevel="0" collapsed="false">
      <c r="A19877" s="3" t="s">
        <v>397</v>
      </c>
      <c r="G19877" s="16" t="n">
        <f aca="false">CHOOSE($C$19656,Assumptions!$G$82,Assumptions!$G$101,Assumptions!$G$120)</f>
        <v>100</v>
      </c>
      <c r="H19877" s="16" t="n">
        <f aca="false">CHOOSE($C$19656,Assumptions!$H$82,Assumptions!$H$101,Assumptions!$H$120)</f>
        <v>0</v>
      </c>
      <c r="I19877" s="16" t="n">
        <f aca="false">CHOOSE($C$19656,Assumptions!$I$82,Assumptions!$I$101,Assumptions!$I$120)</f>
        <v>0</v>
      </c>
      <c r="J19877" s="16" t="n">
        <f aca="false">CHOOSE($C$19656,Assumptions!$J$82,Assumptions!$J$101,Assumptions!$J$120)</f>
        <v>0</v>
      </c>
      <c r="K19877" s="16" t="n">
        <f aca="false">CHOOSE($C$19656,Assumptions!$K$82,Assumptions!$K$101,Assumptions!$K$120)</f>
        <v>0</v>
      </c>
    </row>
    <row r="19878" customFormat="false" ht="15" hidden="false" customHeight="false" outlineLevel="0" collapsed="false">
      <c r="A19878" s="3" t="s">
        <v>398</v>
      </c>
      <c r="G19878" s="16" t="n">
        <f aca="false">G19705+G19718+G19731+G19744+G19757+G19770+G19783+G19796+G19809+G19822</f>
        <v>4</v>
      </c>
      <c r="H19878" s="16" t="n">
        <f aca="false">H19705+H19718+H19731+H19744+H19757+H19770+H19783+H19796+H19809+H19822</f>
        <v>4</v>
      </c>
      <c r="I19878" s="16" t="n">
        <f aca="false">I19705+I19718+I19731+I19744+I19757+I19770+I19783+I19796+I19809+I19822</f>
        <v>4</v>
      </c>
      <c r="J19878" s="16" t="n">
        <f aca="false">J19705+J19718+J19731+J19744+J19757+J19770+J19783+J19796+J19809+J19822</f>
        <v>4</v>
      </c>
      <c r="K19878" s="16" t="n">
        <f aca="false">K19705+K19718+K19731+K19744+K19757+K19770+K19783+K19796+K19809+K19822</f>
        <v>4</v>
      </c>
    </row>
    <row r="19879" customFormat="false" ht="15" hidden="false" customHeight="false" outlineLevel="0" collapsed="false">
      <c r="A19879" s="2" t="s">
        <v>399</v>
      </c>
      <c r="G19879" s="17" t="n">
        <f aca="false">G19875+G19876+G19877-G19878</f>
        <v>87.2944416</v>
      </c>
      <c r="H19879" s="17" t="n">
        <f aca="false">H19875+H19876+H19877-H19878</f>
        <v>15.0452413</v>
      </c>
      <c r="I19879" s="17" t="n">
        <f aca="false">I19875+I19876+I19877-I19878</f>
        <v>-75.7748017716</v>
      </c>
      <c r="J19879" s="17" t="n">
        <f aca="false">J19875+J19876+J19877-J19878</f>
        <v>-149.05681614325</v>
      </c>
      <c r="K19879" s="17" t="n">
        <f aca="false">K19875+K19876+K19877-K19878</f>
        <v>-216.569127527031</v>
      </c>
    </row>
    <row r="19880" customFormat="false" ht="15" hidden="false" customHeight="false" outlineLevel="0" collapsed="false">
      <c r="A19880" s="3" t="s">
        <v>400</v>
      </c>
      <c r="G19880" s="16" t="n">
        <f aca="false">G19706+G19719+G19732+G19745+G19758+G19771+G19784+G19797+G19810+G19823</f>
        <v>0</v>
      </c>
      <c r="H19880" s="16" t="n">
        <f aca="false">H19706+H19719+H19732+H19745+H19758+H19771+H19784+H19797+H19810+H19823</f>
        <v>0</v>
      </c>
      <c r="I19880" s="16" t="n">
        <f aca="false">I19706+I19719+I19732+I19745+I19758+I19771+I19784+I19797+I19810+I19823</f>
        <v>0</v>
      </c>
      <c r="J19880" s="16" t="n">
        <f aca="false">J19706+J19719+J19732+J19745+J19758+J19771+J19784+J19797+J19810+J19823</f>
        <v>0</v>
      </c>
      <c r="K19880" s="16" t="n">
        <f aca="false">K19706+K19719+K19732+K19745+K19758+K19771+K19784+K19797+K19810+K19823</f>
        <v>0</v>
      </c>
    </row>
    <row r="19881" customFormat="false" ht="15" hidden="false" customHeight="false" outlineLevel="0" collapsed="false">
      <c r="A19881" s="2" t="s">
        <v>401</v>
      </c>
      <c r="G19881" s="17" t="n">
        <f aca="false">G19879+G19880</f>
        <v>87.2944416</v>
      </c>
      <c r="H19881" s="17" t="n">
        <f aca="false">H19879+H19880</f>
        <v>15.0452413</v>
      </c>
      <c r="I19881" s="17" t="n">
        <f aca="false">I19879+I19880</f>
        <v>-75.7748017716</v>
      </c>
      <c r="J19881" s="17" t="n">
        <f aca="false">J19879+J19880</f>
        <v>-149.05681614325</v>
      </c>
      <c r="K19881" s="17" t="n">
        <f aca="false">K19879+K19880</f>
        <v>-216.569127527031</v>
      </c>
    </row>
    <row r="19882" customFormat="false" ht="15" hidden="false" customHeight="false" outlineLevel="0" collapsed="false">
      <c r="A19882" s="3" t="s">
        <v>402</v>
      </c>
      <c r="G19882" s="16" t="n">
        <f aca="false">G19707+G19720+G19733+G19746+G19759+G19772+G19785+G19798+G19811+G19824</f>
        <v>0</v>
      </c>
      <c r="H19882" s="16" t="n">
        <f aca="false">H19707+H19720+H19733+H19746+H19759+H19772+H19785+H19798+H19811+H19824</f>
        <v>15.0452413</v>
      </c>
      <c r="I19882" s="16" t="n">
        <f aca="false">I19707+I19720+I19733+I19746+I19759+I19772+I19785+I19798+I19811+I19824</f>
        <v>0</v>
      </c>
      <c r="J19882" s="16" t="n">
        <f aca="false">J19707+J19720+J19733+J19746+J19759+J19772+J19785+J19798+J19811+J19824</f>
        <v>0</v>
      </c>
      <c r="K19882" s="16" t="n">
        <f aca="false">K19707+K19720+K19733+K19746+K19759+K19772+K19785+K19798+K19811+K19824</f>
        <v>0</v>
      </c>
    </row>
    <row r="19883" customFormat="false" ht="15" hidden="false" customHeight="false" outlineLevel="0" collapsed="false">
      <c r="A19883" s="2" t="s">
        <v>403</v>
      </c>
      <c r="G19883" s="17" t="n">
        <f aca="false">G19881-G19882</f>
        <v>87.2944416</v>
      </c>
      <c r="H19883" s="17" t="n">
        <f aca="false">H19881-H19882</f>
        <v>0</v>
      </c>
      <c r="I19883" s="17" t="n">
        <f aca="false">I19881-I19882</f>
        <v>-75.7748017716</v>
      </c>
      <c r="J19883" s="17" t="n">
        <f aca="false">J19881-J19882</f>
        <v>-149.05681614325</v>
      </c>
      <c r="K19883" s="17" t="n">
        <f aca="false">K19881-K19882</f>
        <v>-216.569127527031</v>
      </c>
    </row>
    <row r="19884" customFormat="false" ht="15" hidden="false" customHeight="false" outlineLevel="0" collapsed="false">
      <c r="A19884" s="3" t="s">
        <v>404</v>
      </c>
      <c r="G19884" s="16" t="n">
        <f aca="false">MAX(0,-G19883)</f>
        <v>0</v>
      </c>
      <c r="H19884" s="16" t="n">
        <f aca="false">MAX(0,-H19883)</f>
        <v>-0</v>
      </c>
      <c r="I19884" s="16" t="n">
        <f aca="false">MAX(0,-I19883)</f>
        <v>75.7748017716</v>
      </c>
      <c r="J19884" s="16" t="n">
        <f aca="false">MAX(0,-J19883)</f>
        <v>149.05681614325</v>
      </c>
      <c r="K19884" s="16" t="n">
        <f aca="false">MAX(0,-K19883)</f>
        <v>216.569127527031</v>
      </c>
    </row>
    <row r="19885" customFormat="false" ht="15" hidden="false" customHeight="false" outlineLevel="0" collapsed="false">
      <c r="A19885" s="3" t="s">
        <v>405</v>
      </c>
      <c r="G19885" s="16" t="n">
        <f aca="false">MAX(0,G19883-Assumptions!$C$12)*Assumptions!$C$13</f>
        <v>0</v>
      </c>
      <c r="H19885" s="16" t="n">
        <f aca="false">MAX(0,H19883-Assumptions!$C$12)*Assumptions!$C$13</f>
        <v>0</v>
      </c>
      <c r="I19885" s="16" t="n">
        <f aca="false">MAX(0,I19883-Assumptions!$C$12)*Assumptions!$C$13</f>
        <v>0</v>
      </c>
      <c r="J19885" s="16" t="n">
        <f aca="false">MAX(0,J19883-Assumptions!$C$12)*Assumptions!$C$13</f>
        <v>0</v>
      </c>
      <c r="K19885" s="16" t="n">
        <f aca="false">MAX(0,K19883-Assumptions!$C$12)*Assumptions!$C$13</f>
        <v>0</v>
      </c>
    </row>
    <row r="19886" customFormat="false" ht="15" hidden="false" customHeight="false" outlineLevel="0" collapsed="false">
      <c r="A19886" s="3" t="s">
        <v>406</v>
      </c>
      <c r="G19886" s="16" t="n">
        <f aca="false">G19708+G19721+G19734+G19747+G19760+G19773+G19786+G19799+G19812+G19825</f>
        <v>0</v>
      </c>
      <c r="H19886" s="16" t="n">
        <f aca="false">H19708+H19721+H19734+H19747+H19760+H19773+H19786+H19799+H19812+H19825</f>
        <v>0</v>
      </c>
      <c r="I19886" s="16" t="n">
        <f aca="false">I19708+I19721+I19734+I19747+I19760+I19773+I19786+I19799+I19812+I19825</f>
        <v>0</v>
      </c>
      <c r="J19886" s="16" t="n">
        <f aca="false">J19708+J19721+J19734+J19747+J19760+J19773+J19786+J19799+J19812+J19825</f>
        <v>0</v>
      </c>
      <c r="K19886" s="16" t="n">
        <f aca="false">K19708+K19721+K19734+K19747+K19760+K19773+K19786+K19799+K19812+K19825</f>
        <v>0</v>
      </c>
    </row>
    <row r="19887" customFormat="false" ht="15" hidden="false" customHeight="false" outlineLevel="0" collapsed="false">
      <c r="A19887" s="2" t="s">
        <v>407</v>
      </c>
      <c r="F19887" s="28" t="n">
        <f aca="false">Assumptions!$C$11</f>
        <v>37.87</v>
      </c>
      <c r="G19887" s="17" t="n">
        <f aca="false">G19883-G19886</f>
        <v>87.2944416</v>
      </c>
      <c r="H19887" s="17" t="n">
        <f aca="false">H19883-H19886</f>
        <v>0</v>
      </c>
      <c r="I19887" s="17" t="n">
        <f aca="false">I19883-I19886</f>
        <v>-75.7748017716</v>
      </c>
      <c r="J19887" s="17" t="n">
        <f aca="false">J19883-J19886</f>
        <v>-149.05681614325</v>
      </c>
      <c r="K19887" s="17" t="n">
        <f aca="false">K19883-K19886</f>
        <v>-216.569127527031</v>
      </c>
    </row>
    <row r="19888" customFormat="false" ht="15" hidden="false" customHeight="false" outlineLevel="0" collapsed="false">
      <c r="A19888" s="3" t="s">
        <v>408</v>
      </c>
      <c r="G19888" s="16" t="n">
        <f aca="false">G19709+G19722+G19735+G19748+G19761+G19774+G19787+G19800+G19813+G19826</f>
        <v>0</v>
      </c>
      <c r="H19888" s="16" t="n">
        <f aca="false">H19709+H19722+H19735+H19748+H19761+H19774+H19787+H19800+H19813+H19826</f>
        <v>784.9547587</v>
      </c>
      <c r="I19888" s="16" t="n">
        <f aca="false">I19709+I19722+I19735+I19748+I19761+I19774+I19787+I19800+I19813+I19826</f>
        <v>550</v>
      </c>
      <c r="J19888" s="16" t="n">
        <f aca="false">J19709+J19722+J19735+J19748+J19761+J19774+J19787+J19800+J19813+J19826</f>
        <v>350</v>
      </c>
      <c r="K19888" s="16" t="n">
        <f aca="false">K19709+K19722+K19735+K19748+K19761+K19774+K19787+K19800+K19813+K19826</f>
        <v>680</v>
      </c>
    </row>
    <row r="19889" customFormat="false" ht="15" hidden="false" customHeight="false" outlineLevel="0" collapsed="false">
      <c r="A19889" s="3" t="s">
        <v>409</v>
      </c>
      <c r="G19889" s="21" t="n">
        <f aca="false">IF(OR(G19884&gt;0.001,G19888&gt;0.001),1,0)</f>
        <v>0</v>
      </c>
      <c r="H19889" s="21" t="n">
        <f aca="false">IF(OR(H19884&gt;0.001,H19888&gt;0.001),1,0)</f>
        <v>1</v>
      </c>
      <c r="I19889" s="21" t="n">
        <f aca="false">IF(OR(I19884&gt;0.001,I19888&gt;0.001),1,0)</f>
        <v>1</v>
      </c>
      <c r="J19889" s="21" t="n">
        <f aca="false">IF(OR(J19884&gt;0.001,J19888&gt;0.001),1,0)</f>
        <v>1</v>
      </c>
      <c r="K19889" s="21" t="n">
        <f aca="false">IF(OR(K19884&gt;0.001,K19888&gt;0.001),1,0)</f>
        <v>1</v>
      </c>
    </row>
    <row r="19890" customFormat="false" ht="15" hidden="false" customHeight="false" outlineLevel="0" collapsed="false">
      <c r="A19890" s="3" t="s">
        <v>410</v>
      </c>
      <c r="G19890" s="21" t="n">
        <f aca="false">IF(G19889=1,1,0)</f>
        <v>0</v>
      </c>
      <c r="H19890" s="21" t="n">
        <f aca="false">IF(AND(H19889=1,SUM($G$19889:G19889)=0),1,0)</f>
        <v>1</v>
      </c>
      <c r="I19890" s="21" t="n">
        <f aca="false">IF(AND(I19889=1,SUM($G$19889:H19889)=0),1,0)</f>
        <v>0</v>
      </c>
      <c r="J19890" s="21" t="n">
        <f aca="false">IF(AND(J19889=1,SUM($G$19889:I19889)=0),1,0)</f>
        <v>0</v>
      </c>
      <c r="K19890" s="21" t="n">
        <f aca="false">IF(AND(K19889=1,SUM($G$19889:J19889)=0),1,0)</f>
        <v>0</v>
      </c>
    </row>
    <row r="19891" customFormat="false" ht="15" hidden="false" customHeight="false" outlineLevel="0" collapsed="false">
      <c r="A19891" s="3" t="s">
        <v>411</v>
      </c>
      <c r="G19891" s="16" t="n">
        <f aca="false">(G19829-F19829)-(G19880+G19678-G19878-G19882-G19886)</f>
        <v>0</v>
      </c>
      <c r="H19891" s="16" t="n">
        <f aca="false">(H19829-G19829)-(H19880+H19678-H19878-H19882-H19886)</f>
        <v>-2.27373675443232E-013</v>
      </c>
      <c r="I19891" s="16" t="n">
        <f aca="false">(I19829-H19829)-(I19880+I19678-I19878-I19882-I19886)</f>
        <v>0</v>
      </c>
      <c r="J19891" s="16" t="n">
        <f aca="false">(J19829-I19829)-(J19880+J19678-J19878-J19882-J19886)</f>
        <v>0</v>
      </c>
      <c r="K19891" s="16" t="n">
        <f aca="false">(K19829-J19829)-(K19880+K19678-K19878-K19882-K19886)</f>
        <v>0</v>
      </c>
    </row>
    <row r="19893" customFormat="false" ht="15" hidden="false" customHeight="false" outlineLevel="0" collapsed="false">
      <c r="A19893" s="24" t="s">
        <v>413</v>
      </c>
      <c r="B19893" s="25"/>
      <c r="C19893" s="25"/>
      <c r="D19893" s="25"/>
      <c r="E19893" s="25"/>
      <c r="F19893" s="25"/>
      <c r="G19893" s="25"/>
      <c r="H19893" s="25"/>
      <c r="I19893" s="25"/>
      <c r="J19893" s="25"/>
      <c r="K19893" s="25"/>
    </row>
    <row r="19894" customFormat="false" ht="15" hidden="false" customHeight="false" outlineLevel="0" collapsed="false">
      <c r="A19894" s="3" t="s">
        <v>414</v>
      </c>
      <c r="G19894" s="16" t="n">
        <f aca="false">G19829</f>
        <v>2621.934</v>
      </c>
      <c r="H19894" s="16" t="n">
        <f aca="false">H19829</f>
        <v>2602.8887587</v>
      </c>
      <c r="I19894" s="16" t="n">
        <f aca="false">I19829</f>
        <v>2598.8887587</v>
      </c>
      <c r="J19894" s="16" t="n">
        <f aca="false">J19829</f>
        <v>2594.8887587</v>
      </c>
      <c r="K19894" s="16" t="n">
        <f aca="false">K19829</f>
        <v>2590.8887587</v>
      </c>
    </row>
    <row r="19895" customFormat="false" ht="15" hidden="false" customHeight="false" outlineLevel="0" collapsed="false">
      <c r="A19895" s="3" t="s">
        <v>415</v>
      </c>
      <c r="G19895" s="16" t="n">
        <f aca="false">Assumptions!$O$57*G19710+Assumptions!$O$58*G19723+Assumptions!$O$59*G19736+Assumptions!$O$60*G19749+Assumptions!$O$61*G19762+Assumptions!$O$62*G19775+Assumptions!$O$63*G19788+Assumptions!$O$64*G19801+Assumptions!$O$65*G19814+Assumptions!$O$66*G19827</f>
        <v>543.324</v>
      </c>
      <c r="H19895" s="16" t="n">
        <f aca="false">Assumptions!$O$57*H19710+Assumptions!$O$58*H19723+Assumptions!$O$59*H19736+Assumptions!$O$60*H19749+Assumptions!$O$61*H19762+Assumptions!$O$62*H19775+Assumptions!$O$63*H19788+Assumptions!$O$64*H19801+Assumptions!$O$65*H19814+Assumptions!$O$66*H19827</f>
        <v>539.324</v>
      </c>
      <c r="I19895" s="16" t="n">
        <f aca="false">Assumptions!$O$57*I19710+Assumptions!$O$58*I19723+Assumptions!$O$59*I19736+Assumptions!$O$60*I19749+Assumptions!$O$61*I19762+Assumptions!$O$62*I19775+Assumptions!$O$63*I19788+Assumptions!$O$64*I19801+Assumptions!$O$65*I19814+Assumptions!$O$66*I19827</f>
        <v>535.324</v>
      </c>
      <c r="J19895" s="16" t="n">
        <f aca="false">Assumptions!$O$57*J19710+Assumptions!$O$58*J19723+Assumptions!$O$59*J19736+Assumptions!$O$60*J19749+Assumptions!$O$61*J19762+Assumptions!$O$62*J19775+Assumptions!$O$63*J19788+Assumptions!$O$64*J19801+Assumptions!$O$65*J19814+Assumptions!$O$66*J19827</f>
        <v>531.324</v>
      </c>
      <c r="K19895" s="16" t="n">
        <f aca="false">Assumptions!$O$57*K19710+Assumptions!$O$58*K19723+Assumptions!$O$59*K19736+Assumptions!$O$60*K19749+Assumptions!$O$61*K19762+Assumptions!$O$62*K19775+Assumptions!$O$63*K19788+Assumptions!$O$64*K19801+Assumptions!$O$65*K19814+Assumptions!$O$66*K19827</f>
        <v>527.324</v>
      </c>
    </row>
    <row r="19896" customFormat="false" ht="15" hidden="false" customHeight="false" outlineLevel="0" collapsed="false">
      <c r="A19896" s="3" t="s">
        <v>416</v>
      </c>
      <c r="G19896" s="16" t="n">
        <f aca="false">G19894-G19887</f>
        <v>2534.6395584</v>
      </c>
      <c r="H19896" s="16" t="n">
        <f aca="false">H19894-H19887</f>
        <v>2602.8887587</v>
      </c>
      <c r="I19896" s="16" t="n">
        <f aca="false">I19894-I19887</f>
        <v>2674.6635604716</v>
      </c>
      <c r="J19896" s="16" t="n">
        <f aca="false">J19894-J19887</f>
        <v>2743.94557484325</v>
      </c>
      <c r="K19896" s="16" t="n">
        <f aca="false">K19894-K19887</f>
        <v>2807.45788622703</v>
      </c>
    </row>
    <row r="19897" customFormat="false" ht="15" hidden="false" customHeight="false" outlineLevel="0" collapsed="false">
      <c r="A19897" s="3" t="s">
        <v>417</v>
      </c>
      <c r="G19897" s="32" t="n">
        <f aca="false">IF(G19673&gt;0,G19894/G19673,0)</f>
        <v>12.7097898879239</v>
      </c>
      <c r="H19897" s="32" t="n">
        <f aca="false">IF(H19673&gt;0,H19894/H19673,0)</f>
        <v>14.5137170159321</v>
      </c>
      <c r="I19897" s="32" t="n">
        <f aca="false">IF(I19673&gt;0,I19894/I19673,0)</f>
        <v>15.1153610447715</v>
      </c>
      <c r="J19897" s="32" t="n">
        <f aca="false">IF(J19673&gt;0,J19894/J19673,0)</f>
        <v>14.9166072034602</v>
      </c>
      <c r="K19897" s="32" t="n">
        <f aca="false">IF(K19673&gt;0,K19894/K19673,0)</f>
        <v>14.4110120408369</v>
      </c>
    </row>
    <row r="19898" customFormat="false" ht="15" hidden="false" customHeight="false" outlineLevel="0" collapsed="false">
      <c r="A19898" s="3" t="s">
        <v>418</v>
      </c>
      <c r="G19898" s="32" t="n">
        <f aca="false">IF(G19673&gt;0,G19896/G19673,0)</f>
        <v>12.2866312534504</v>
      </c>
      <c r="H19898" s="32" t="n">
        <f aca="false">IF(H19673&gt;0,H19896/H19673,0)</f>
        <v>14.5137170159321</v>
      </c>
      <c r="I19898" s="32" t="n">
        <f aca="false">IF(I19673&gt;0,I19896/I19673,0)</f>
        <v>15.5560738236619</v>
      </c>
      <c r="J19898" s="32" t="n">
        <f aca="false">IF(J19673&gt;0,J19896/J19673,0)</f>
        <v>15.7734539449449</v>
      </c>
      <c r="K19898" s="32" t="n">
        <f aca="false">IF(K19673&gt;0,K19896/K19673,0)</f>
        <v>15.6156103833885</v>
      </c>
    </row>
    <row r="19899" customFormat="false" ht="15" hidden="false" customHeight="false" outlineLevel="0" collapsed="false">
      <c r="A19899" s="3" t="s">
        <v>419</v>
      </c>
      <c r="G19899" s="32" t="n">
        <f aca="false">IF(G19677&gt;0,G19673/G19677,0)</f>
        <v>1.06025908412371</v>
      </c>
      <c r="H19899" s="32" t="n">
        <f aca="false">IF(H19677&gt;0,H19673/H19677,0)</f>
        <v>0.927444011573365</v>
      </c>
      <c r="I19899" s="32" t="n">
        <f aca="false">IF(I19677&gt;0,I19673/I19677,0)</f>
        <v>0.899631625108658</v>
      </c>
      <c r="J19899" s="32" t="n">
        <f aca="false">IF(J19677&gt;0,J19673/J19677,0)</f>
        <v>0.912459444554051</v>
      </c>
      <c r="K19899" s="32" t="n">
        <f aca="false">IF(K19677&gt;0,K19673/K19677,0)</f>
        <v>0.945346751531936</v>
      </c>
    </row>
    <row r="19900" customFormat="false" ht="15" hidden="false" customHeight="false" outlineLevel="0" collapsed="false">
      <c r="A19900" s="3" t="s">
        <v>420</v>
      </c>
      <c r="G19900" s="32" t="n">
        <f aca="false">IF(G19677&gt;0,G19676/G19677,0)</f>
        <v>0.20316175818306</v>
      </c>
      <c r="H19900" s="32" t="n">
        <f aca="false">IF(H19677&gt;0,H19676/H19677,0)</f>
        <v>0.125405512651662</v>
      </c>
      <c r="I19900" s="32" t="n">
        <f aca="false">IF(I19677&gt;0,I19676/I19677,0)</f>
        <v>0.112492039835566</v>
      </c>
      <c r="J19900" s="32" t="n">
        <f aca="false">IF(J19677&gt;0,J19676/J19677,0)</f>
        <v>0.123379355508513</v>
      </c>
      <c r="K19900" s="32" t="n">
        <f aca="false">IF(K19677&gt;0,K19676/K19677,0)</f>
        <v>0.146406265534401</v>
      </c>
    </row>
    <row r="19901" customFormat="false" ht="15" hidden="false" customHeight="false" outlineLevel="0" collapsed="false">
      <c r="A19901" s="3" t="s">
        <v>213</v>
      </c>
      <c r="G19901" s="22" t="n">
        <f aca="false">IF(G19894&gt;0,G19686/G19894,0)</f>
        <v>-0.0177638180060978</v>
      </c>
      <c r="H19901" s="22" t="n">
        <f aca="false">IF(H19894&gt;0,H19686/H19894,0)</f>
        <v>-0.0262205597806979</v>
      </c>
      <c r="I19901" s="22" t="n">
        <f aca="false">IF(I19894&gt;0,I19686/I19894,0)</f>
        <v>-0.0276174967209842</v>
      </c>
      <c r="J19901" s="22" t="n">
        <f aca="false">IF(J19894&gt;0,J19686/J19894,0)</f>
        <v>-0.0266994159727908</v>
      </c>
      <c r="K19901" s="22" t="n">
        <f aca="false">IF(K19894&gt;0,K19686/K19894,0)</f>
        <v>-0.0245137160638455</v>
      </c>
    </row>
    <row r="19902" customFormat="false" ht="15" hidden="false" customHeight="false" outlineLevel="0" collapsed="false">
      <c r="A19902" s="3" t="s">
        <v>421</v>
      </c>
      <c r="G19902" s="32" t="n">
        <f aca="false">IF(G19677+G19878&gt;0,(G19673-G19684-G19681)/(G19677+G19878),0)</f>
        <v>0.745298526859104</v>
      </c>
      <c r="H19902" s="32" t="n">
        <f aca="false">IF(H19677+H19878&gt;0,(H19673-H19684-H19681)/(H19677+H19878),0)</f>
        <v>0.633940444194116</v>
      </c>
      <c r="I19902" s="32" t="n">
        <f aca="false">IF(I19677+I19878&gt;0,(I19673-I19684-I19681)/(I19677+I19878),0)</f>
        <v>0.611648781339491</v>
      </c>
      <c r="J19902" s="32" t="n">
        <f aca="false">IF(J19677+J19878&gt;0,(J19673-J19684-J19681)/(J19677+J19878),0)</f>
        <v>0.623517628652559</v>
      </c>
      <c r="K19902" s="32" t="n">
        <f aca="false">IF(K19677+K19878&gt;0,(K19673-K19684-K19681)/(K19677+K19878),0)</f>
        <v>0.652319655812009</v>
      </c>
    </row>
    <row r="19903" customFormat="false" ht="15" hidden="false" customHeight="false" outlineLevel="0" collapsed="false">
      <c r="A19903" s="3" t="s">
        <v>422</v>
      </c>
      <c r="G19903" s="16" t="n">
        <f aca="false">MAX(0,G19887)+Assumptions!$P$57*MAX(0,Assumptions!$D$57-G19710)+Assumptions!$P$58*MAX(0,Assumptions!$D$58-G19723)+Assumptions!$P$59*MAX(0,Assumptions!$D$59-G19736)+Assumptions!$P$60*MAX(0,Assumptions!$D$60-G19749)+Assumptions!$P$61*MAX(0,Assumptions!$D$61-G19762)+Assumptions!$P$62*MAX(0,Assumptions!$D$62-G19775)+Assumptions!$P$63*MAX(0,Assumptions!$D$63-G19788)+Assumptions!$P$64*MAX(0,Assumptions!$D$64-G19801)+Assumptions!$P$65*MAX(0,Assumptions!$D$65-G19814)+Assumptions!$P$66*MAX(0,Assumptions!$D$66-G19827)</f>
        <v>661.7944416</v>
      </c>
      <c r="H19903" s="16" t="n">
        <f aca="false">MAX(0,H19887)+Assumptions!$P$57*MAX(0,Assumptions!$D$57-H19710)+Assumptions!$P$58*MAX(0,Assumptions!$D$58-H19723)+Assumptions!$P$59*MAX(0,Assumptions!$D$59-H19736)+Assumptions!$P$60*MAX(0,Assumptions!$D$60-H19749)+Assumptions!$P$61*MAX(0,Assumptions!$D$61-H19762)+Assumptions!$P$62*MAX(0,Assumptions!$D$62-H19775)+Assumptions!$P$63*MAX(0,Assumptions!$D$63-H19788)+Assumptions!$P$64*MAX(0,Assumptions!$D$64-H19801)+Assumptions!$P$65*MAX(0,Assumptions!$D$65-H19814)+Assumptions!$P$66*MAX(0,Assumptions!$D$66-H19827)</f>
        <v>574.5</v>
      </c>
      <c r="I19903" s="16" t="n">
        <f aca="false">MAX(0,I19887)+Assumptions!$P$57*MAX(0,Assumptions!$D$57-I19710)+Assumptions!$P$58*MAX(0,Assumptions!$D$58-I19723)+Assumptions!$P$59*MAX(0,Assumptions!$D$59-I19736)+Assumptions!$P$60*MAX(0,Assumptions!$D$60-I19749)+Assumptions!$P$61*MAX(0,Assumptions!$D$61-I19762)+Assumptions!$P$62*MAX(0,Assumptions!$D$62-I19775)+Assumptions!$P$63*MAX(0,Assumptions!$D$63-I19788)+Assumptions!$P$64*MAX(0,Assumptions!$D$64-I19801)+Assumptions!$P$65*MAX(0,Assumptions!$D$65-I19814)+Assumptions!$P$66*MAX(0,Assumptions!$D$66-I19827)</f>
        <v>574.5</v>
      </c>
      <c r="J19903" s="16" t="n">
        <f aca="false">MAX(0,J19887)+Assumptions!$P$57*MAX(0,Assumptions!$D$57-J19710)+Assumptions!$P$58*MAX(0,Assumptions!$D$58-J19723)+Assumptions!$P$59*MAX(0,Assumptions!$D$59-J19736)+Assumptions!$P$60*MAX(0,Assumptions!$D$60-J19749)+Assumptions!$P$61*MAX(0,Assumptions!$D$61-J19762)+Assumptions!$P$62*MAX(0,Assumptions!$D$62-J19775)+Assumptions!$P$63*MAX(0,Assumptions!$D$63-J19788)+Assumptions!$P$64*MAX(0,Assumptions!$D$64-J19801)+Assumptions!$P$65*MAX(0,Assumptions!$D$65-J19814)+Assumptions!$P$66*MAX(0,Assumptions!$D$66-J19827)</f>
        <v>574.5</v>
      </c>
      <c r="K19903" s="16" t="n">
        <f aca="false">MAX(0,K19887)+Assumptions!$P$57*MAX(0,Assumptions!$D$57-K19710)+Assumptions!$P$58*MAX(0,Assumptions!$D$58-K19723)+Assumptions!$P$59*MAX(0,Assumptions!$D$59-K19736)+Assumptions!$P$60*MAX(0,Assumptions!$D$60-K19749)+Assumptions!$P$61*MAX(0,Assumptions!$D$61-K19762)+Assumptions!$P$62*MAX(0,Assumptions!$D$62-K19775)+Assumptions!$P$63*MAX(0,Assumptions!$D$63-K19788)+Assumptions!$P$64*MAX(0,Assumptions!$D$64-K19801)+Assumptions!$P$65*MAX(0,Assumptions!$D$65-K19814)+Assumptions!$P$66*MAX(0,Assumptions!$D$66-K19827)</f>
        <v>574.5</v>
      </c>
    </row>
    <row r="19904" customFormat="false" ht="15" hidden="false" customHeight="false" outlineLevel="0" collapsed="false">
      <c r="A19904" s="3" t="s">
        <v>423</v>
      </c>
      <c r="G19904" s="22" t="n">
        <f aca="false">IF(G19894&gt;0,G19894/(G19894+MAX(0,G19673*CHOOSE($C$19656,Assumptions!$C$90,Assumptions!$C$109,Assumptions!$C$128)-G19896)),0)</f>
        <v>1</v>
      </c>
      <c r="H19904" s="22" t="n">
        <f aca="false">IF(H19894&gt;0,H19894/(H19894+MAX(0,H19673*CHOOSE($C$19656,Assumptions!$C$90,Assumptions!$C$109,Assumptions!$C$128)-H19896)),0)</f>
        <v>1</v>
      </c>
      <c r="I19904" s="22" t="n">
        <f aca="false">IF(I19894&gt;0,I19894/(I19894+MAX(0,I19673*CHOOSE($C$19656,Assumptions!$C$90,Assumptions!$C$109,Assumptions!$C$128)-I19896)),0)</f>
        <v>1</v>
      </c>
      <c r="J19904" s="22" t="n">
        <f aca="false">IF(J19894&gt;0,J19894/(J19894+MAX(0,J19673*CHOOSE($C$19656,Assumptions!$C$90,Assumptions!$C$109,Assumptions!$C$128)-J19896)),0)</f>
        <v>1</v>
      </c>
      <c r="K19904" s="22" t="n">
        <f aca="false">IF(K19894&gt;0,K19894/(K19894+MAX(0,K19673*CHOOSE($C$19656,Assumptions!$C$90,Assumptions!$C$109,Assumptions!$C$128)-K19896)),0)</f>
        <v>1</v>
      </c>
    </row>
    <row r="19905" customFormat="false" ht="15" hidden="false" customHeight="false" outlineLevel="0" collapsed="false">
      <c r="A19905" s="3" t="s">
        <v>424</v>
      </c>
      <c r="G19905" s="22" t="n">
        <f aca="false">IF(G19894&gt;0,MAX(0,G19887)/G19894,0)</f>
        <v>0.0332939126614171</v>
      </c>
      <c r="H19905" s="22" t="n">
        <f aca="false">IF(H19894&gt;0,MAX(0,H19887)/H19894,0)</f>
        <v>0</v>
      </c>
      <c r="I19905" s="22" t="n">
        <f aca="false">IF(I19894&gt;0,MAX(0,I19887)/I19894,0)</f>
        <v>0</v>
      </c>
      <c r="J19905" s="22" t="n">
        <f aca="false">IF(J19894&gt;0,MAX(0,J19887)/J19894,0)</f>
        <v>0</v>
      </c>
      <c r="K19905" s="22" t="n">
        <f aca="false">IF(K19894&gt;0,MAX(0,K19887)/K19894,0)</f>
        <v>0</v>
      </c>
    </row>
    <row r="19906" customFormat="false" ht="15" hidden="false" customHeight="false" outlineLevel="0" collapsed="false">
      <c r="A19906" s="3" t="s">
        <v>425</v>
      </c>
      <c r="G19906" s="16" t="n">
        <f aca="false">Assumptions!$C$31*(1-CHOOSE($C$19656,Assumptions!$C$93,Assumptions!$C$112,Assumptions!$C$131))</f>
        <v>3162.39046666667</v>
      </c>
      <c r="H19906" s="16" t="n">
        <f aca="false">Assumptions!$C$31*(1-CHOOSE($C$19656,Assumptions!$C$93,Assumptions!$C$112,Assumptions!$C$131))</f>
        <v>3162.39046666667</v>
      </c>
      <c r="I19906" s="16" t="n">
        <f aca="false">Assumptions!$C$31*(1-CHOOSE($C$19656,Assumptions!$C$93,Assumptions!$C$112,Assumptions!$C$131))</f>
        <v>3162.39046666667</v>
      </c>
      <c r="J19906" s="16" t="n">
        <f aca="false">Assumptions!$C$31*(1-CHOOSE($C$19656,Assumptions!$C$93,Assumptions!$C$112,Assumptions!$C$131))</f>
        <v>3162.39046666667</v>
      </c>
      <c r="K19906" s="16" t="n">
        <f aca="false">Assumptions!$C$31*(1-CHOOSE($C$19656,Assumptions!$C$93,Assumptions!$C$112,Assumptions!$C$131))</f>
        <v>3162.39046666667</v>
      </c>
    </row>
    <row r="19907" customFormat="false" ht="15" hidden="false" customHeight="false" outlineLevel="0" collapsed="false">
      <c r="A19907" s="24" t="s">
        <v>426</v>
      </c>
      <c r="B19907" s="25"/>
      <c r="C19907" s="25"/>
      <c r="D19907" s="25"/>
      <c r="E19907" s="25"/>
      <c r="F19907" s="25"/>
      <c r="G19907" s="25"/>
      <c r="H19907" s="25"/>
      <c r="I19907" s="25"/>
      <c r="J19907" s="25"/>
      <c r="K19907" s="25"/>
    </row>
    <row r="19908" customFormat="false" ht="15" hidden="false" customHeight="false" outlineLevel="0" collapsed="false">
      <c r="A19908" s="24" t="s">
        <v>427</v>
      </c>
      <c r="B19908" s="25"/>
      <c r="C19908" s="25"/>
      <c r="D19908" s="25"/>
      <c r="E19908" s="25"/>
      <c r="F19908" s="25"/>
      <c r="G19908" s="25"/>
      <c r="H19908" s="25"/>
      <c r="I19908" s="25"/>
      <c r="J19908" s="25"/>
      <c r="K19908" s="25"/>
    </row>
    <row r="19909" customFormat="false" ht="15" hidden="false" customHeight="false" outlineLevel="0" collapsed="false">
      <c r="A19909" s="3" t="s">
        <v>428</v>
      </c>
      <c r="G19909" s="22" t="n">
        <f aca="false">IF(G19906&gt;0,G19894/G19906,99)</f>
        <v>0.829098755399318</v>
      </c>
      <c r="H19909" s="22" t="n">
        <f aca="false">IF(H19906&gt;0,H19894/H19906,99)</f>
        <v>0.823076336124801</v>
      </c>
      <c r="I19909" s="22" t="n">
        <f aca="false">IF(I19906&gt;0,I19894/I19906,99)</f>
        <v>0.821811470181724</v>
      </c>
      <c r="J19909" s="22" t="n">
        <f aca="false">IF(J19906&gt;0,J19894/J19906,99)</f>
        <v>0.820546604238646</v>
      </c>
      <c r="K19909" s="22" t="n">
        <f aca="false">IF(K19906&gt;0,K19894/K19906,99)</f>
        <v>0.819281738295568</v>
      </c>
    </row>
    <row r="19910" customFormat="false" ht="15" hidden="false" customHeight="false" outlineLevel="0" collapsed="false">
      <c r="A19910" s="3" t="s">
        <v>429</v>
      </c>
      <c r="G19910" s="33" t="n">
        <f aca="false">Assumptions!$G$71</f>
        <v>0.6</v>
      </c>
      <c r="H19910" s="33" t="n">
        <f aca="false">Assumptions!$H$71</f>
        <v>0.6</v>
      </c>
      <c r="I19910" s="33" t="n">
        <f aca="false">Assumptions!$I$71</f>
        <v>0.6</v>
      </c>
      <c r="J19910" s="33" t="n">
        <f aca="false">Assumptions!$J$71</f>
        <v>0.6</v>
      </c>
      <c r="K19910" s="33" t="n">
        <f aca="false">Assumptions!$K$71</f>
        <v>0.6</v>
      </c>
    </row>
    <row r="19911" customFormat="false" ht="15" hidden="false" customHeight="false" outlineLevel="0" collapsed="false">
      <c r="A19911" s="3" t="s">
        <v>430</v>
      </c>
      <c r="G19911" s="22" t="n">
        <f aca="false">G19910-G19909</f>
        <v>-0.229098755399318</v>
      </c>
      <c r="H19911" s="22" t="n">
        <f aca="false">H19910-H19909</f>
        <v>-0.223076336124801</v>
      </c>
      <c r="I19911" s="22" t="n">
        <f aca="false">I19910-I19909</f>
        <v>-0.221811470181724</v>
      </c>
      <c r="J19911" s="22" t="n">
        <f aca="false">J19910-J19909</f>
        <v>-0.220546604238646</v>
      </c>
      <c r="K19911" s="22" t="n">
        <f aca="false">K19910-K19909</f>
        <v>-0.219281738295568</v>
      </c>
    </row>
    <row r="19912" customFormat="false" ht="15" hidden="false" customHeight="false" outlineLevel="0" collapsed="false">
      <c r="A19912" s="3" t="s">
        <v>431</v>
      </c>
      <c r="G19912" s="22" t="n">
        <f aca="false">IF(G19910=0,0,G19911/ABS(G19910))</f>
        <v>-0.381831258998863</v>
      </c>
      <c r="H19912" s="22" t="n">
        <f aca="false">IF(H19910=0,0,H19911/ABS(H19910))</f>
        <v>-0.371793893541335</v>
      </c>
      <c r="I19912" s="22" t="n">
        <f aca="false">IF(I19910=0,0,I19911/ABS(I19910))</f>
        <v>-0.369685783636206</v>
      </c>
      <c r="J19912" s="22" t="n">
        <f aca="false">IF(J19910=0,0,J19911/ABS(J19910))</f>
        <v>-0.367577673731077</v>
      </c>
      <c r="K19912" s="22" t="n">
        <f aca="false">IF(K19910=0,0,K19911/ABS(K19910))</f>
        <v>-0.365469563825947</v>
      </c>
    </row>
    <row r="19913" customFormat="false" ht="15" hidden="false" customHeight="false" outlineLevel="0" collapsed="false">
      <c r="A19913" s="3" t="s">
        <v>432</v>
      </c>
      <c r="G19913" s="21" t="n">
        <f aca="false">IF(G19911&lt;0,1,0)</f>
        <v>1</v>
      </c>
      <c r="H19913" s="21" t="n">
        <f aca="false">IF(H19911&lt;0,1,0)</f>
        <v>1</v>
      </c>
      <c r="I19913" s="21" t="n">
        <f aca="false">IF(I19911&lt;0,1,0)</f>
        <v>1</v>
      </c>
      <c r="J19913" s="21" t="n">
        <f aca="false">IF(J19911&lt;0,1,0)</f>
        <v>1</v>
      </c>
      <c r="K19913" s="21" t="n">
        <f aca="false">IF(K19911&lt;0,1,0)</f>
        <v>1</v>
      </c>
    </row>
    <row r="19914" customFormat="false" ht="15" hidden="false" customHeight="false" outlineLevel="0" collapsed="false">
      <c r="A19914" s="3" t="s">
        <v>433</v>
      </c>
      <c r="C19914" s="21" t="n">
        <f aca="false">IFERROR(INDEX($G$19663:$K$19663,MATCH(1,$G$19913:$K$19913,0)),0)</f>
        <v>2027</v>
      </c>
    </row>
    <row r="19915" customFormat="false" ht="15" hidden="false" customHeight="false" outlineLevel="0" collapsed="false">
      <c r="A19915" s="3" t="s">
        <v>434</v>
      </c>
      <c r="C19915" s="22" t="n">
        <f aca="false">MIN($G$19912:$K$19912)</f>
        <v>-0.381831258998863</v>
      </c>
    </row>
    <row r="19916" customFormat="false" ht="15" hidden="false" customHeight="false" outlineLevel="0" collapsed="false">
      <c r="A19916" s="24" t="s">
        <v>435</v>
      </c>
      <c r="B19916" s="25"/>
      <c r="C19916" s="25"/>
      <c r="D19916" s="25"/>
      <c r="E19916" s="25"/>
      <c r="F19916" s="25"/>
      <c r="G19916" s="25"/>
      <c r="H19916" s="25"/>
      <c r="I19916" s="25"/>
      <c r="J19916" s="25"/>
      <c r="K19916" s="25"/>
    </row>
    <row r="19917" customFormat="false" ht="15" hidden="false" customHeight="false" outlineLevel="0" collapsed="false">
      <c r="A19917" s="3" t="s">
        <v>428</v>
      </c>
      <c r="G19917" s="32" t="n">
        <f aca="false">IF(G19677&gt;0,G19673/G19677,99)</f>
        <v>1.06025908412371</v>
      </c>
      <c r="H19917" s="32" t="n">
        <f aca="false">IF(H19677&gt;0,H19673/H19677,99)</f>
        <v>0.927444011573365</v>
      </c>
      <c r="I19917" s="32" t="n">
        <f aca="false">IF(I19677&gt;0,I19673/I19677,99)</f>
        <v>0.899631625108658</v>
      </c>
      <c r="J19917" s="32" t="n">
        <f aca="false">IF(J19677&gt;0,J19673/J19677,99)</f>
        <v>0.912459444554051</v>
      </c>
      <c r="K19917" s="32" t="n">
        <f aca="false">IF(K19677&gt;0,K19673/K19677,99)</f>
        <v>0.945346751531936</v>
      </c>
    </row>
    <row r="19918" customFormat="false" ht="15" hidden="false" customHeight="false" outlineLevel="0" collapsed="false">
      <c r="A19918" s="3" t="s">
        <v>429</v>
      </c>
      <c r="G19918" s="34" t="n">
        <f aca="false">Assumptions!$G$72</f>
        <v>1.5</v>
      </c>
      <c r="H19918" s="34" t="n">
        <f aca="false">Assumptions!$H$72</f>
        <v>1.5</v>
      </c>
      <c r="I19918" s="34" t="n">
        <f aca="false">Assumptions!$I$72</f>
        <v>1.5</v>
      </c>
      <c r="J19918" s="34" t="n">
        <f aca="false">Assumptions!$J$72</f>
        <v>1.5</v>
      </c>
      <c r="K19918" s="34" t="n">
        <f aca="false">Assumptions!$K$72</f>
        <v>1.5</v>
      </c>
    </row>
    <row r="19919" customFormat="false" ht="15" hidden="false" customHeight="false" outlineLevel="0" collapsed="false">
      <c r="A19919" s="3" t="s">
        <v>430</v>
      </c>
      <c r="G19919" s="32" t="n">
        <f aca="false">G19917-G19918</f>
        <v>-0.439740915876287</v>
      </c>
      <c r="H19919" s="32" t="n">
        <f aca="false">H19917-H19918</f>
        <v>-0.572555988426635</v>
      </c>
      <c r="I19919" s="32" t="n">
        <f aca="false">I19917-I19918</f>
        <v>-0.600368374891342</v>
      </c>
      <c r="J19919" s="32" t="n">
        <f aca="false">J19917-J19918</f>
        <v>-0.58754055544595</v>
      </c>
      <c r="K19919" s="32" t="n">
        <f aca="false">K19917-K19918</f>
        <v>-0.554653248468064</v>
      </c>
    </row>
    <row r="19920" customFormat="false" ht="15" hidden="false" customHeight="false" outlineLevel="0" collapsed="false">
      <c r="A19920" s="3" t="s">
        <v>431</v>
      </c>
      <c r="G19920" s="22" t="n">
        <f aca="false">IF(G19918=0,0,G19919/ABS(G19918))</f>
        <v>-0.293160610584191</v>
      </c>
      <c r="H19920" s="22" t="n">
        <f aca="false">IF(H19918=0,0,H19919/ABS(H19918))</f>
        <v>-0.381703992284423</v>
      </c>
      <c r="I19920" s="22" t="n">
        <f aca="false">IF(I19918=0,0,I19919/ABS(I19918))</f>
        <v>-0.400245583260895</v>
      </c>
      <c r="J19920" s="22" t="n">
        <f aca="false">IF(J19918=0,0,J19919/ABS(J19918))</f>
        <v>-0.391693703630633</v>
      </c>
      <c r="K19920" s="22" t="n">
        <f aca="false">IF(K19918=0,0,K19919/ABS(K19918))</f>
        <v>-0.369768832312043</v>
      </c>
    </row>
    <row r="19921" customFormat="false" ht="15" hidden="false" customHeight="false" outlineLevel="0" collapsed="false">
      <c r="A19921" s="3" t="s">
        <v>432</v>
      </c>
      <c r="G19921" s="21" t="n">
        <f aca="false">IF(G19919&lt;0,1,0)</f>
        <v>1</v>
      </c>
      <c r="H19921" s="21" t="n">
        <f aca="false">IF(H19919&lt;0,1,0)</f>
        <v>1</v>
      </c>
      <c r="I19921" s="21" t="n">
        <f aca="false">IF(I19919&lt;0,1,0)</f>
        <v>1</v>
      </c>
      <c r="J19921" s="21" t="n">
        <f aca="false">IF(J19919&lt;0,1,0)</f>
        <v>1</v>
      </c>
      <c r="K19921" s="21" t="n">
        <f aca="false">IF(K19919&lt;0,1,0)</f>
        <v>1</v>
      </c>
    </row>
    <row r="19922" customFormat="false" ht="15" hidden="false" customHeight="false" outlineLevel="0" collapsed="false">
      <c r="A19922" s="3" t="s">
        <v>433</v>
      </c>
      <c r="C19922" s="21" t="n">
        <f aca="false">IFERROR(INDEX($G$19663:$K$19663,MATCH(1,$G$19921:$K$19921,0)),0)</f>
        <v>2027</v>
      </c>
    </row>
    <row r="19923" customFormat="false" ht="15" hidden="false" customHeight="false" outlineLevel="0" collapsed="false">
      <c r="A19923" s="3" t="s">
        <v>434</v>
      </c>
      <c r="C19923" s="22" t="n">
        <f aca="false">MIN($G$19920:$K$19920)</f>
        <v>-0.400245583260895</v>
      </c>
    </row>
    <row r="19924" customFormat="false" ht="15" hidden="false" customHeight="false" outlineLevel="0" collapsed="false">
      <c r="A19924" s="24" t="s">
        <v>436</v>
      </c>
      <c r="B19924" s="25"/>
      <c r="C19924" s="25"/>
      <c r="D19924" s="25"/>
      <c r="E19924" s="25"/>
      <c r="F19924" s="25"/>
      <c r="G19924" s="25"/>
      <c r="H19924" s="25"/>
      <c r="I19924" s="25"/>
      <c r="J19924" s="25"/>
      <c r="K19924" s="25"/>
    </row>
    <row r="19925" customFormat="false" ht="15" hidden="false" customHeight="false" outlineLevel="0" collapsed="false">
      <c r="A19925" s="3" t="s">
        <v>428</v>
      </c>
      <c r="G19925" s="22" t="n">
        <f aca="false">IF(G19906&gt;0,G19895/G19906,99)</f>
        <v>0.171808005914176</v>
      </c>
      <c r="H19925" s="22" t="n">
        <f aca="false">IF(H19906&gt;0,H19895/H19906,99)</f>
        <v>0.170543139971098</v>
      </c>
      <c r="I19925" s="22" t="n">
        <f aca="false">IF(I19906&gt;0,I19895/I19906,99)</f>
        <v>0.169278274028021</v>
      </c>
      <c r="J19925" s="22" t="n">
        <f aca="false">IF(J19906&gt;0,J19895/J19906,99)</f>
        <v>0.168013408084943</v>
      </c>
      <c r="K19925" s="22" t="n">
        <f aca="false">IF(K19906&gt;0,K19895/K19906,99)</f>
        <v>0.166748542141865</v>
      </c>
    </row>
    <row r="19926" customFormat="false" ht="15" hidden="false" customHeight="false" outlineLevel="0" collapsed="false">
      <c r="A19926" s="3" t="s">
        <v>429</v>
      </c>
      <c r="G19926" s="33" t="n">
        <f aca="false">Assumptions!$G$73</f>
        <v>0.4</v>
      </c>
      <c r="H19926" s="33" t="n">
        <f aca="false">Assumptions!$H$73</f>
        <v>0.4</v>
      </c>
      <c r="I19926" s="33" t="n">
        <f aca="false">Assumptions!$I$73</f>
        <v>0.4</v>
      </c>
      <c r="J19926" s="33" t="n">
        <f aca="false">Assumptions!$J$73</f>
        <v>0.4</v>
      </c>
      <c r="K19926" s="33" t="n">
        <f aca="false">Assumptions!$K$73</f>
        <v>0.4</v>
      </c>
    </row>
    <row r="19927" customFormat="false" ht="15" hidden="false" customHeight="false" outlineLevel="0" collapsed="false">
      <c r="A19927" s="3" t="s">
        <v>430</v>
      </c>
      <c r="G19927" s="22" t="n">
        <f aca="false">G19926-G19925</f>
        <v>0.228191994085824</v>
      </c>
      <c r="H19927" s="22" t="n">
        <f aca="false">H19926-H19925</f>
        <v>0.229456860028902</v>
      </c>
      <c r="I19927" s="22" t="n">
        <f aca="false">I19926-I19925</f>
        <v>0.230721725971979</v>
      </c>
      <c r="J19927" s="22" t="n">
        <f aca="false">J19926-J19925</f>
        <v>0.231986591915057</v>
      </c>
      <c r="K19927" s="22" t="n">
        <f aca="false">K19926-K19925</f>
        <v>0.233251457858135</v>
      </c>
    </row>
    <row r="19928" customFormat="false" ht="15" hidden="false" customHeight="false" outlineLevel="0" collapsed="false">
      <c r="A19928" s="3" t="s">
        <v>431</v>
      </c>
      <c r="G19928" s="22" t="n">
        <f aca="false">IF(G19926=0,0,G19927/ABS(G19926))</f>
        <v>0.57047998521456</v>
      </c>
      <c r="H19928" s="22" t="n">
        <f aca="false">IF(H19926=0,0,H19927/ABS(H19926))</f>
        <v>0.573642150072254</v>
      </c>
      <c r="I19928" s="22" t="n">
        <f aca="false">IF(I19926=0,0,I19927/ABS(I19926))</f>
        <v>0.576804314929948</v>
      </c>
      <c r="J19928" s="22" t="n">
        <f aca="false">IF(J19926=0,0,J19927/ABS(J19926))</f>
        <v>0.579966479787643</v>
      </c>
      <c r="K19928" s="22" t="n">
        <f aca="false">IF(K19926=0,0,K19927/ABS(K19926))</f>
        <v>0.583128644645337</v>
      </c>
    </row>
    <row r="19929" customFormat="false" ht="15" hidden="false" customHeight="false" outlineLevel="0" collapsed="false">
      <c r="A19929" s="3" t="s">
        <v>432</v>
      </c>
      <c r="G19929" s="21" t="n">
        <f aca="false">IF(G19927&lt;0,1,0)</f>
        <v>0</v>
      </c>
      <c r="H19929" s="21" t="n">
        <f aca="false">IF(H19927&lt;0,1,0)</f>
        <v>0</v>
      </c>
      <c r="I19929" s="21" t="n">
        <f aca="false">IF(I19927&lt;0,1,0)</f>
        <v>0</v>
      </c>
      <c r="J19929" s="21" t="n">
        <f aca="false">IF(J19927&lt;0,1,0)</f>
        <v>0</v>
      </c>
      <c r="K19929" s="21" t="n">
        <f aca="false">IF(K19927&lt;0,1,0)</f>
        <v>0</v>
      </c>
    </row>
    <row r="19930" customFormat="false" ht="15" hidden="false" customHeight="false" outlineLevel="0" collapsed="false">
      <c r="A19930" s="3" t="s">
        <v>433</v>
      </c>
      <c r="C19930" s="21" t="n">
        <f aca="false">IFERROR(INDEX($G$19663:$K$19663,MATCH(1,$G$19929:$K$19929,0)),0)</f>
        <v>0</v>
      </c>
    </row>
    <row r="19931" customFormat="false" ht="15" hidden="false" customHeight="false" outlineLevel="0" collapsed="false">
      <c r="A19931" s="3" t="s">
        <v>434</v>
      </c>
      <c r="C19931" s="22" t="n">
        <f aca="false">MIN($G$19928:$K$19928)</f>
        <v>0.57047998521456</v>
      </c>
    </row>
    <row r="19932" customFormat="false" ht="15" hidden="false" customHeight="false" outlineLevel="0" collapsed="false">
      <c r="A19932" s="24" t="s">
        <v>437</v>
      </c>
      <c r="B19932" s="25"/>
      <c r="C19932" s="25"/>
      <c r="D19932" s="25"/>
      <c r="E19932" s="25"/>
      <c r="F19932" s="25"/>
      <c r="G19932" s="25"/>
      <c r="H19932" s="25"/>
      <c r="I19932" s="25"/>
      <c r="J19932" s="25"/>
      <c r="K19932" s="25"/>
    </row>
    <row r="19933" customFormat="false" ht="15" hidden="false" customHeight="false" outlineLevel="0" collapsed="false">
      <c r="A19933" s="3" t="s">
        <v>428</v>
      </c>
      <c r="G19933" s="16" t="n">
        <f aca="false">G19903</f>
        <v>661.7944416</v>
      </c>
      <c r="H19933" s="16" t="n">
        <f aca="false">H19903</f>
        <v>574.5</v>
      </c>
      <c r="I19933" s="16" t="n">
        <f aca="false">I19903</f>
        <v>574.5</v>
      </c>
      <c r="J19933" s="16" t="n">
        <f aca="false">J19903</f>
        <v>574.5</v>
      </c>
      <c r="K19933" s="16" t="n">
        <f aca="false">K19903</f>
        <v>574.5</v>
      </c>
    </row>
    <row r="19934" customFormat="false" ht="15" hidden="false" customHeight="false" outlineLevel="0" collapsed="false">
      <c r="A19934" s="3" t="s">
        <v>429</v>
      </c>
      <c r="G19934" s="29" t="n">
        <f aca="false">Assumptions!$G$74</f>
        <v>100</v>
      </c>
      <c r="H19934" s="29" t="n">
        <f aca="false">Assumptions!$H$74</f>
        <v>100</v>
      </c>
      <c r="I19934" s="29" t="n">
        <f aca="false">Assumptions!$I$74</f>
        <v>100</v>
      </c>
      <c r="J19934" s="29" t="n">
        <f aca="false">Assumptions!$J$74</f>
        <v>100</v>
      </c>
      <c r="K19934" s="29" t="n">
        <f aca="false">Assumptions!$K$74</f>
        <v>100</v>
      </c>
    </row>
    <row r="19935" customFormat="false" ht="15" hidden="false" customHeight="false" outlineLevel="0" collapsed="false">
      <c r="A19935" s="3" t="s">
        <v>430</v>
      </c>
      <c r="G19935" s="16" t="n">
        <f aca="false">G19933-G19934</f>
        <v>561.7944416</v>
      </c>
      <c r="H19935" s="16" t="n">
        <f aca="false">H19933-H19934</f>
        <v>474.5</v>
      </c>
      <c r="I19935" s="16" t="n">
        <f aca="false">I19933-I19934</f>
        <v>474.5</v>
      </c>
      <c r="J19935" s="16" t="n">
        <f aca="false">J19933-J19934</f>
        <v>474.5</v>
      </c>
      <c r="K19935" s="16" t="n">
        <f aca="false">K19933-K19934</f>
        <v>474.5</v>
      </c>
    </row>
    <row r="19936" customFormat="false" ht="15" hidden="false" customHeight="false" outlineLevel="0" collapsed="false">
      <c r="A19936" s="3" t="s">
        <v>431</v>
      </c>
      <c r="G19936" s="22" t="n">
        <f aca="false">IF(G19934=0,0,G19935/ABS(G19934))</f>
        <v>5.617944416</v>
      </c>
      <c r="H19936" s="22" t="n">
        <f aca="false">IF(H19934=0,0,H19935/ABS(H19934))</f>
        <v>4.745</v>
      </c>
      <c r="I19936" s="22" t="n">
        <f aca="false">IF(I19934=0,0,I19935/ABS(I19934))</f>
        <v>4.745</v>
      </c>
      <c r="J19936" s="22" t="n">
        <f aca="false">IF(J19934=0,0,J19935/ABS(J19934))</f>
        <v>4.745</v>
      </c>
      <c r="K19936" s="22" t="n">
        <f aca="false">IF(K19934=0,0,K19935/ABS(K19934))</f>
        <v>4.745</v>
      </c>
    </row>
    <row r="19937" customFormat="false" ht="15" hidden="false" customHeight="false" outlineLevel="0" collapsed="false">
      <c r="A19937" s="3" t="s">
        <v>432</v>
      </c>
      <c r="G19937" s="21" t="n">
        <f aca="false">IF(G19935&lt;0,1,0)</f>
        <v>0</v>
      </c>
      <c r="H19937" s="21" t="n">
        <f aca="false">IF(H19935&lt;0,1,0)</f>
        <v>0</v>
      </c>
      <c r="I19937" s="21" t="n">
        <f aca="false">IF(I19935&lt;0,1,0)</f>
        <v>0</v>
      </c>
      <c r="J19937" s="21" t="n">
        <f aca="false">IF(J19935&lt;0,1,0)</f>
        <v>0</v>
      </c>
      <c r="K19937" s="21" t="n">
        <f aca="false">IF(K19935&lt;0,1,0)</f>
        <v>0</v>
      </c>
    </row>
    <row r="19938" customFormat="false" ht="15" hidden="false" customHeight="false" outlineLevel="0" collapsed="false">
      <c r="A19938" s="3" t="s">
        <v>433</v>
      </c>
      <c r="C19938" s="21" t="n">
        <f aca="false">IFERROR(INDEX($G$19663:$K$19663,MATCH(1,$G$19937:$K$19937,0)),0)</f>
        <v>0</v>
      </c>
    </row>
    <row r="19939" customFormat="false" ht="15" hidden="false" customHeight="false" outlineLevel="0" collapsed="false">
      <c r="A19939" s="3" t="s">
        <v>434</v>
      </c>
      <c r="C19939" s="22" t="n">
        <f aca="false">MIN($G$19936:$K$19936)</f>
        <v>4.745</v>
      </c>
    </row>
    <row r="19940" customFormat="false" ht="15" hidden="false" customHeight="false" outlineLevel="0" collapsed="false">
      <c r="A19940" s="24" t="s">
        <v>438</v>
      </c>
      <c r="B19940" s="25"/>
      <c r="C19940" s="25"/>
      <c r="D19940" s="25"/>
      <c r="E19940" s="25"/>
      <c r="F19940" s="25"/>
      <c r="G19940" s="25"/>
      <c r="H19940" s="25"/>
      <c r="I19940" s="25"/>
      <c r="J19940" s="25"/>
      <c r="K19940" s="25"/>
    </row>
    <row r="19941" customFormat="false" ht="15" hidden="false" customHeight="false" outlineLevel="0" collapsed="false">
      <c r="A19941" s="3" t="s">
        <v>428</v>
      </c>
      <c r="G19941" s="32" t="n">
        <f aca="false">IF(G19673&gt;0,G19896/G19673,99)</f>
        <v>12.2866312534504</v>
      </c>
      <c r="H19941" s="32" t="n">
        <f aca="false">IF(H19673&gt;0,H19896/H19673,99)</f>
        <v>14.5137170159321</v>
      </c>
      <c r="I19941" s="32" t="n">
        <f aca="false">IF(I19673&gt;0,I19896/I19673,99)</f>
        <v>15.5560738236619</v>
      </c>
      <c r="J19941" s="32" t="n">
        <f aca="false">IF(J19673&gt;0,J19896/J19673,99)</f>
        <v>15.7734539449449</v>
      </c>
      <c r="K19941" s="32" t="n">
        <f aca="false">IF(K19673&gt;0,K19896/K19673,99)</f>
        <v>15.6156103833885</v>
      </c>
    </row>
    <row r="19942" customFormat="false" ht="15" hidden="false" customHeight="false" outlineLevel="0" collapsed="false">
      <c r="A19942" s="3" t="s">
        <v>429</v>
      </c>
      <c r="G19942" s="34" t="n">
        <f aca="false">Assumptions!$G$75</f>
        <v>10.5</v>
      </c>
      <c r="H19942" s="34" t="n">
        <f aca="false">Assumptions!$H$75</f>
        <v>10.5</v>
      </c>
      <c r="I19942" s="34" t="n">
        <f aca="false">Assumptions!$I$75</f>
        <v>10</v>
      </c>
      <c r="J19942" s="34" t="n">
        <f aca="false">Assumptions!$J$75</f>
        <v>10</v>
      </c>
      <c r="K19942" s="34" t="n">
        <f aca="false">Assumptions!$K$75</f>
        <v>9.5</v>
      </c>
    </row>
    <row r="19943" customFormat="false" ht="15" hidden="false" customHeight="false" outlineLevel="0" collapsed="false">
      <c r="A19943" s="3" t="s">
        <v>430</v>
      </c>
      <c r="G19943" s="32" t="n">
        <f aca="false">G19942-G19941</f>
        <v>-1.78663125345038</v>
      </c>
      <c r="H19943" s="32" t="n">
        <f aca="false">H19942-H19941</f>
        <v>-4.01371701593214</v>
      </c>
      <c r="I19943" s="32" t="n">
        <f aca="false">I19942-I19941</f>
        <v>-5.55607382366189</v>
      </c>
      <c r="J19943" s="32" t="n">
        <f aca="false">J19942-J19941</f>
        <v>-5.7734539449449</v>
      </c>
      <c r="K19943" s="32" t="n">
        <f aca="false">K19942-K19941</f>
        <v>-6.11561038338853</v>
      </c>
    </row>
    <row r="19944" customFormat="false" ht="15" hidden="false" customHeight="false" outlineLevel="0" collapsed="false">
      <c r="A19944" s="3" t="s">
        <v>431</v>
      </c>
      <c r="G19944" s="22" t="n">
        <f aca="false">IF(G19942=0,0,G19943/ABS(G19942))</f>
        <v>-0.170155357471464</v>
      </c>
      <c r="H19944" s="22" t="n">
        <f aca="false">IF(H19942=0,0,H19943/ABS(H19942))</f>
        <v>-0.382258763422108</v>
      </c>
      <c r="I19944" s="22" t="n">
        <f aca="false">IF(I19942=0,0,I19943/ABS(I19942))</f>
        <v>-0.555607382366189</v>
      </c>
      <c r="J19944" s="22" t="n">
        <f aca="false">IF(J19942=0,0,J19943/ABS(J19942))</f>
        <v>-0.57734539449449</v>
      </c>
      <c r="K19944" s="22" t="n">
        <f aca="false">IF(K19942=0,0,K19943/ABS(K19942))</f>
        <v>-0.643748461409318</v>
      </c>
    </row>
    <row r="19945" customFormat="false" ht="15" hidden="false" customHeight="false" outlineLevel="0" collapsed="false">
      <c r="A19945" s="3" t="s">
        <v>432</v>
      </c>
      <c r="G19945" s="21" t="n">
        <f aca="false">IF(G19943&lt;0,1,0)</f>
        <v>1</v>
      </c>
      <c r="H19945" s="21" t="n">
        <f aca="false">IF(H19943&lt;0,1,0)</f>
        <v>1</v>
      </c>
      <c r="I19945" s="21" t="n">
        <f aca="false">IF(I19943&lt;0,1,0)</f>
        <v>1</v>
      </c>
      <c r="J19945" s="21" t="n">
        <f aca="false">IF(J19943&lt;0,1,0)</f>
        <v>1</v>
      </c>
      <c r="K19945" s="21" t="n">
        <f aca="false">IF(K19943&lt;0,1,0)</f>
        <v>1</v>
      </c>
    </row>
    <row r="19946" customFormat="false" ht="15" hidden="false" customHeight="false" outlineLevel="0" collapsed="false">
      <c r="A19946" s="3" t="s">
        <v>433</v>
      </c>
      <c r="C19946" s="21" t="n">
        <f aca="false">IFERROR(INDEX($G$19663:$K$19663,MATCH(1,$G$19945:$K$19945,0)),0)</f>
        <v>2027</v>
      </c>
    </row>
    <row r="19947" customFormat="false" ht="15" hidden="false" customHeight="false" outlineLevel="0" collapsed="false">
      <c r="A19947" s="3" t="s">
        <v>434</v>
      </c>
      <c r="C19947" s="22" t="n">
        <f aca="false">MIN($G$19944:$K$19944)</f>
        <v>-0.643748461409318</v>
      </c>
    </row>
    <row r="19948" customFormat="false" ht="15" hidden="false" customHeight="false" outlineLevel="0" collapsed="false">
      <c r="A19948" s="3" t="s">
        <v>439</v>
      </c>
      <c r="G19948" s="21" t="n">
        <f aca="false">G19913+G19921+G19929+G19937+G19945</f>
        <v>3</v>
      </c>
      <c r="H19948" s="21" t="n">
        <f aca="false">H19913+H19921+H19929+H19937+H19945</f>
        <v>3</v>
      </c>
      <c r="I19948" s="21" t="n">
        <f aca="false">I19913+I19921+I19929+I19937+I19945</f>
        <v>3</v>
      </c>
      <c r="J19948" s="21" t="n">
        <f aca="false">J19913+J19921+J19929+J19937+J19945</f>
        <v>3</v>
      </c>
      <c r="K19948" s="21" t="n">
        <f aca="false">K19913+K19921+K19929+K19937+K19945</f>
        <v>3</v>
      </c>
    </row>
    <row r="19949" customFormat="false" ht="15" hidden="false" customHeight="false" outlineLevel="0" collapsed="false">
      <c r="A19949" s="3" t="s">
        <v>440</v>
      </c>
      <c r="C19949" s="21" t="n">
        <f aca="false">SUM($G$19948:$K$19948)</f>
        <v>15</v>
      </c>
    </row>
    <row r="19950" customFormat="false" ht="15" hidden="false" customHeight="false" outlineLevel="0" collapsed="false">
      <c r="A19950" s="3" t="s">
        <v>441</v>
      </c>
      <c r="C19950" s="22" t="n">
        <f aca="false">MIN(C19915,C19923,C19931,C19939,C19947)</f>
        <v>-0.643748461409318</v>
      </c>
    </row>
    <row r="19952" customFormat="false" ht="15" hidden="false" customHeight="false" outlineLevel="0" collapsed="false">
      <c r="A19952" s="24" t="s">
        <v>543</v>
      </c>
      <c r="B19952" s="25"/>
      <c r="C19952" s="25"/>
      <c r="D19952" s="25"/>
      <c r="E19952" s="25"/>
      <c r="F19952" s="25"/>
      <c r="G19952" s="25"/>
      <c r="H19952" s="25"/>
      <c r="I19952" s="25"/>
      <c r="J19952" s="25"/>
      <c r="K19952" s="25"/>
    </row>
    <row r="19953" customFormat="false" ht="15" hidden="false" customHeight="false" outlineLevel="0" collapsed="false">
      <c r="A19953" s="3" t="s">
        <v>544</v>
      </c>
      <c r="G19953" s="21" t="n">
        <f aca="false">IF($C$19954=1,G19890,IF(G19673=MIN($G$19673:$K$19673),1,0))</f>
        <v>0</v>
      </c>
      <c r="H19953" s="21" t="n">
        <f aca="false">IF($C$19954=1,H19890,IF(AND(H19673=MIN($G$19673:$K$19673),SUM($G$19953:G19953)=0),1,0))</f>
        <v>1</v>
      </c>
      <c r="I19953" s="21" t="n">
        <f aca="false">IF($C$19954=1,I19890,IF(AND(I19673=MIN($G$19673:$K$19673),SUM($G$19953:H19953)=0),1,0))</f>
        <v>0</v>
      </c>
      <c r="J19953" s="21" t="n">
        <f aca="false">IF($C$19954=1,J19890,IF(AND(J19673=MIN($G$19673:$K$19673),SUM($G$19953:I19953)=0),1,0))</f>
        <v>0</v>
      </c>
      <c r="K19953" s="21" t="n">
        <f aca="false">IF($C$19954=1,K19890,IF(AND(K19673=MIN($G$19673:$K$19673),SUM($G$19953:J19953)=0),1,0))</f>
        <v>0</v>
      </c>
    </row>
    <row r="19954" customFormat="false" ht="15" hidden="false" customHeight="false" outlineLevel="0" collapsed="false">
      <c r="A19954" s="3" t="s">
        <v>545</v>
      </c>
      <c r="C19954" s="21" t="n">
        <f aca="false">IF(SUM($G$19890:$K$19890)&gt;0,1,0)</f>
        <v>1</v>
      </c>
    </row>
    <row r="19955" customFormat="false" ht="15" hidden="false" customHeight="false" outlineLevel="0" collapsed="false">
      <c r="A19955" s="3" t="s">
        <v>546</v>
      </c>
      <c r="C19955" s="21" t="n">
        <f aca="false">SUMPRODUCT($G$19953:$K$19953,$G$19663:$K$19663)</f>
        <v>2028</v>
      </c>
    </row>
    <row r="19956" customFormat="false" ht="15" hidden="false" customHeight="false" outlineLevel="0" collapsed="false">
      <c r="A19956" s="3" t="s">
        <v>547</v>
      </c>
      <c r="C19956" s="16" t="n">
        <f aca="false">SUMPRODUCT($G$19953:$K$19953,$G$19673:$K$19673)</f>
        <v>179.33991381</v>
      </c>
    </row>
    <row r="19957" customFormat="false" ht="15" hidden="false" customHeight="false" outlineLevel="0" collapsed="false">
      <c r="A19957" s="3" t="s">
        <v>548</v>
      </c>
      <c r="C19957" s="16" t="n">
        <f aca="false">MAX(0,SUMPRODUCT($G$19953:$K$19953,$G$19887:$K$19887))</f>
        <v>0</v>
      </c>
    </row>
    <row r="19958" customFormat="false" ht="15" hidden="false" customHeight="false" outlineLevel="0" collapsed="false">
      <c r="A19958" s="3" t="s">
        <v>549</v>
      </c>
      <c r="C19958" s="16" t="n">
        <f aca="false">(CHOOSE($C$19656,Assumptions!$C$92,Assumptions!$C$111,Assumptions!$C$130)+$C$19660)*C19956</f>
        <v>1434.71931048</v>
      </c>
    </row>
    <row r="19959" customFormat="false" ht="15" hidden="false" customHeight="false" outlineLevel="0" collapsed="false">
      <c r="A19959" s="3" t="s">
        <v>550</v>
      </c>
      <c r="C19959" s="16" t="n">
        <f aca="false">Assumptions!$C$31*(1-CHOOSE($C$19656,Assumptions!$C$93,Assumptions!$C$112,Assumptions!$C$131))*CHOOSE($C$19656,Assumptions!$C$94,Assumptions!$C$113,Assumptions!$C$132)</f>
        <v>2688.03189666667</v>
      </c>
    </row>
    <row r="19960" customFormat="false" ht="15" hidden="false" customHeight="false" outlineLevel="0" collapsed="false">
      <c r="A19960" s="3" t="s">
        <v>551</v>
      </c>
      <c r="C19960" s="16" t="n">
        <f aca="false">MAX(C19958,C19959)+C19957</f>
        <v>2688.03189666667</v>
      </c>
    </row>
    <row r="19961" customFormat="false" ht="15" hidden="false" customHeight="false" outlineLevel="0" collapsed="false">
      <c r="A19961" s="2" t="s">
        <v>552</v>
      </c>
      <c r="C19961" s="17" t="n">
        <f aca="false">IF(ISNUMBER(Assumptions!$C$14),Assumptions!$C$14,C19960)</f>
        <v>2688.03189666667</v>
      </c>
    </row>
    <row r="19962" customFormat="false" ht="15" hidden="false" customHeight="false" outlineLevel="0" collapsed="false">
      <c r="A19962" s="3" t="s">
        <v>553</v>
      </c>
      <c r="C19962" s="16" t="n">
        <f aca="false">C19961*Assumptions!$C$15</f>
        <v>107.521275866667</v>
      </c>
    </row>
    <row r="19963" customFormat="false" ht="15" hidden="false" customHeight="false" outlineLevel="0" collapsed="false">
      <c r="A19963" s="2" t="s">
        <v>554</v>
      </c>
      <c r="C19963" s="17" t="n">
        <f aca="false">C19961-C19962</f>
        <v>2580.5106208</v>
      </c>
    </row>
    <row r="19964" customFormat="false" ht="15" hidden="false" customHeight="false" outlineLevel="0" collapsed="false">
      <c r="A19964" s="24" t="s">
        <v>555</v>
      </c>
      <c r="B19964" s="25"/>
      <c r="C19964" s="25"/>
      <c r="D19964" s="25"/>
      <c r="E19964" s="25"/>
      <c r="F19964" s="25"/>
      <c r="G19964" s="25"/>
      <c r="H19964" s="25"/>
      <c r="I19964" s="25"/>
      <c r="J19964" s="25"/>
      <c r="K19964" s="25"/>
    </row>
    <row r="19965" customFormat="false" ht="15" hidden="false" customHeight="false" outlineLevel="0" collapsed="false">
      <c r="A19965" s="3" t="s">
        <v>556</v>
      </c>
      <c r="C19965" s="16" t="n">
        <f aca="false">SUMPRODUCT($G$19953:$K$19953,$G$19710:$K$19710)*(1+SUMPRODUCT($G$19953:$K$19953,$G$19702:$K$19702)*Assumptions!$C$16/12)</f>
        <v>403.76</v>
      </c>
    </row>
    <row r="19966" customFormat="false" ht="15" hidden="false" customHeight="false" outlineLevel="0" collapsed="false">
      <c r="A19966" s="3" t="s">
        <v>557</v>
      </c>
      <c r="C19966" s="16" t="n">
        <f aca="false">SUMPRODUCT($G$19953:$K$19953,$G$19723:$K$19723)*(1+SUMPRODUCT($G$19953:$K$19953,$G$19715:$K$19715)*Assumptions!$C$16/12)</f>
        <v>91.30725</v>
      </c>
    </row>
    <row r="19967" customFormat="false" ht="15" hidden="false" customHeight="false" outlineLevel="0" collapsed="false">
      <c r="A19967" s="3" t="s">
        <v>558</v>
      </c>
      <c r="C19967" s="16" t="n">
        <f aca="false">SUMPRODUCT($G$19953:$K$19953,$G$19736:$K$19736)*(1+SUMPRODUCT($G$19953:$K$19953,$G$19728:$K$19728)*Assumptions!$C$16/12)</f>
        <v>58.3715961</v>
      </c>
    </row>
    <row r="19968" customFormat="false" ht="15" hidden="false" customHeight="false" outlineLevel="0" collapsed="false">
      <c r="A19968" s="3" t="s">
        <v>559</v>
      </c>
      <c r="C19968" s="16" t="n">
        <f aca="false">SUMPRODUCT($G$19953:$K$19953,$G$19749:$K$19749)*(1+SUMPRODUCT($G$19953:$K$19953,$G$19741:$K$19741)*Assumptions!$C$16/12)</f>
        <v>0</v>
      </c>
    </row>
    <row r="19969" customFormat="false" ht="15" hidden="false" customHeight="false" outlineLevel="0" collapsed="false">
      <c r="A19969" s="3" t="s">
        <v>560</v>
      </c>
      <c r="C19969" s="16" t="n">
        <f aca="false">SUMPRODUCT($G$19953:$K$19953,$G$19762:$K$19762)*(1+SUMPRODUCT($G$19953:$K$19953,$G$19754:$K$19754)*Assumptions!$C$16/12)</f>
        <v>439.249936942163</v>
      </c>
    </row>
    <row r="19970" customFormat="false" ht="15" hidden="false" customHeight="false" outlineLevel="0" collapsed="false">
      <c r="A19970" s="3" t="s">
        <v>561</v>
      </c>
      <c r="C19970" s="16" t="n">
        <f aca="false">SUMPRODUCT($G$19953:$K$19953,$G$19775:$K$19775)*(1+SUMPRODUCT($G$19953:$K$19953,$G$19767:$K$19767)*Assumptions!$C$16/12)</f>
        <v>357.2625</v>
      </c>
    </row>
    <row r="19971" customFormat="false" ht="15" hidden="false" customHeight="false" outlineLevel="0" collapsed="false">
      <c r="A19971" s="3" t="s">
        <v>562</v>
      </c>
      <c r="C19971" s="16" t="n">
        <f aca="false">SUMPRODUCT($G$19953:$K$19953,$G$19788:$K$19788)*(1+SUMPRODUCT($G$19953:$K$19953,$G$19780:$K$19780)*Assumptions!$C$16/12)</f>
        <v>562.203125</v>
      </c>
    </row>
    <row r="19972" customFormat="false" ht="15" hidden="false" customHeight="false" outlineLevel="0" collapsed="false">
      <c r="A19972" s="3" t="s">
        <v>563</v>
      </c>
      <c r="C19972" s="16" t="n">
        <f aca="false">SUMPRODUCT($G$19953:$K$19953,$G$19801:$K$19801)*(1+SUMPRODUCT($G$19953:$K$19953,$G$19793:$K$19793)*Assumptions!$C$16/12)</f>
        <v>353.98125</v>
      </c>
    </row>
    <row r="19973" customFormat="false" ht="15" hidden="false" customHeight="false" outlineLevel="0" collapsed="false">
      <c r="A19973" s="3" t="s">
        <v>564</v>
      </c>
      <c r="C19973" s="16" t="n">
        <f aca="false">SUMPRODUCT($G$19953:$K$19953,$G$19814:$K$19814)*(1+SUMPRODUCT($G$19953:$K$19953,$G$19806:$K$19806)*Assumptions!$C$16/12)</f>
        <v>304.59375</v>
      </c>
    </row>
    <row r="19974" customFormat="false" ht="15" hidden="false" customHeight="false" outlineLevel="0" collapsed="false">
      <c r="A19974" s="3" t="s">
        <v>565</v>
      </c>
      <c r="C19974" s="16" t="n">
        <f aca="false">SUMPRODUCT($G$19953:$K$19953,$G$19827:$K$19827)*(1+SUMPRODUCT($G$19953:$K$19953,$G$19819:$K$19819)*Assumptions!$C$16/12)</f>
        <v>80.2332965</v>
      </c>
    </row>
    <row r="19975" customFormat="false" ht="15" hidden="false" customHeight="false" outlineLevel="0" collapsed="false">
      <c r="A19975" s="24" t="s">
        <v>566</v>
      </c>
      <c r="B19975" s="25"/>
      <c r="C19975" s="25"/>
      <c r="D19975" s="25"/>
      <c r="E19975" s="25"/>
      <c r="F19975" s="25"/>
      <c r="G19975" s="25"/>
      <c r="H19975" s="25"/>
      <c r="I19975" s="25"/>
      <c r="J19975" s="25"/>
      <c r="K19975" s="25"/>
    </row>
    <row r="19976" customFormat="false" ht="15" hidden="false" customHeight="false" outlineLevel="0" collapsed="false">
      <c r="A19976" s="3" t="s">
        <v>556</v>
      </c>
      <c r="C19976" s="27" t="n">
        <f aca="false">Assumptions!$M$57</f>
        <v>1</v>
      </c>
    </row>
    <row r="19977" customFormat="false" ht="15" hidden="false" customHeight="false" outlineLevel="0" collapsed="false">
      <c r="A19977" s="3" t="s">
        <v>557</v>
      </c>
      <c r="C19977" s="27" t="n">
        <f aca="false">Assumptions!$M$58</f>
        <v>1</v>
      </c>
    </row>
    <row r="19978" customFormat="false" ht="15" hidden="false" customHeight="false" outlineLevel="0" collapsed="false">
      <c r="A19978" s="3" t="s">
        <v>558</v>
      </c>
      <c r="C19978" s="27" t="n">
        <f aca="false">Assumptions!$M$59</f>
        <v>1</v>
      </c>
    </row>
    <row r="19979" customFormat="false" ht="15" hidden="false" customHeight="false" outlineLevel="0" collapsed="false">
      <c r="A19979" s="3" t="s">
        <v>559</v>
      </c>
      <c r="C19979" s="27" t="n">
        <f aca="false">Assumptions!$M$60</f>
        <v>2</v>
      </c>
    </row>
    <row r="19980" customFormat="false" ht="15" hidden="false" customHeight="false" outlineLevel="0" collapsed="false">
      <c r="A19980" s="3" t="s">
        <v>560</v>
      </c>
      <c r="C19980" s="27" t="n">
        <f aca="false">Assumptions!$M$61</f>
        <v>2</v>
      </c>
    </row>
    <row r="19981" customFormat="false" ht="15" hidden="false" customHeight="false" outlineLevel="0" collapsed="false">
      <c r="A19981" s="3" t="s">
        <v>561</v>
      </c>
      <c r="C19981" s="27" t="n">
        <f aca="false">Assumptions!$M$62</f>
        <v>2</v>
      </c>
    </row>
    <row r="19982" customFormat="false" ht="15" hidden="false" customHeight="false" outlineLevel="0" collapsed="false">
      <c r="A19982" s="3" t="s">
        <v>562</v>
      </c>
      <c r="C19982" s="27" t="n">
        <f aca="false">Assumptions!$M$63</f>
        <v>2</v>
      </c>
    </row>
    <row r="19983" customFormat="false" ht="15" hidden="false" customHeight="false" outlineLevel="0" collapsed="false">
      <c r="A19983" s="3" t="s">
        <v>563</v>
      </c>
      <c r="C19983" s="27" t="n">
        <f aca="false">Assumptions!$M$64</f>
        <v>2</v>
      </c>
    </row>
    <row r="19984" customFormat="false" ht="15" hidden="false" customHeight="false" outlineLevel="0" collapsed="false">
      <c r="A19984" s="3" t="s">
        <v>564</v>
      </c>
      <c r="C19984" s="27" t="n">
        <f aca="false">Assumptions!$M$65</f>
        <v>2</v>
      </c>
    </row>
    <row r="19985" customFormat="false" ht="15" hidden="false" customHeight="false" outlineLevel="0" collapsed="false">
      <c r="A19985" s="3" t="s">
        <v>565</v>
      </c>
      <c r="C19985" s="27" t="n">
        <f aca="false">Assumptions!$M$66</f>
        <v>3</v>
      </c>
    </row>
    <row r="19986" customFormat="false" ht="15" hidden="false" customHeight="false" outlineLevel="0" collapsed="false">
      <c r="A19986" s="24" t="s">
        <v>567</v>
      </c>
      <c r="B19986" s="25"/>
      <c r="C19986" s="25"/>
      <c r="D19986" s="25"/>
      <c r="E19986" s="25"/>
      <c r="F19986" s="25"/>
      <c r="G19986" s="25"/>
      <c r="H19986" s="25"/>
      <c r="I19986" s="25"/>
      <c r="J19986" s="25"/>
      <c r="K19986" s="25"/>
    </row>
    <row r="19987" customFormat="false" ht="15" hidden="false" customHeight="false" outlineLevel="0" collapsed="false">
      <c r="A19987" s="3" t="s">
        <v>556</v>
      </c>
      <c r="C19987" s="33" t="n">
        <f aca="false">Assumptions!$Q$57</f>
        <v>0.3</v>
      </c>
    </row>
    <row r="19988" customFormat="false" ht="15" hidden="false" customHeight="false" outlineLevel="0" collapsed="false">
      <c r="A19988" s="3" t="s">
        <v>557</v>
      </c>
      <c r="C19988" s="33" t="n">
        <f aca="false">Assumptions!$Q$58</f>
        <v>0.033</v>
      </c>
    </row>
    <row r="19989" customFormat="false" ht="15" hidden="false" customHeight="false" outlineLevel="0" collapsed="false">
      <c r="A19989" s="3" t="s">
        <v>558</v>
      </c>
      <c r="C19989" s="33" t="n">
        <f aca="false">Assumptions!$Q$59</f>
        <v>0.021</v>
      </c>
    </row>
    <row r="19990" customFormat="false" ht="15" hidden="false" customHeight="false" outlineLevel="0" collapsed="false">
      <c r="A19990" s="3" t="s">
        <v>559</v>
      </c>
      <c r="C19990" s="33" t="n">
        <f aca="false">Assumptions!$Q$60</f>
        <v>0</v>
      </c>
    </row>
    <row r="19991" customFormat="false" ht="15" hidden="false" customHeight="false" outlineLevel="0" collapsed="false">
      <c r="A19991" s="3" t="s">
        <v>560</v>
      </c>
      <c r="C19991" s="33" t="n">
        <f aca="false">Assumptions!$Q$61</f>
        <v>0</v>
      </c>
    </row>
    <row r="19992" customFormat="false" ht="15" hidden="false" customHeight="false" outlineLevel="0" collapsed="false">
      <c r="A19992" s="3" t="s">
        <v>561</v>
      </c>
      <c r="C19992" s="33" t="n">
        <f aca="false">Assumptions!$Q$62</f>
        <v>0</v>
      </c>
    </row>
    <row r="19993" customFormat="false" ht="15" hidden="false" customHeight="false" outlineLevel="0" collapsed="false">
      <c r="A19993" s="3" t="s">
        <v>562</v>
      </c>
      <c r="C19993" s="33" t="n">
        <f aca="false">Assumptions!$Q$63</f>
        <v>0</v>
      </c>
    </row>
    <row r="19994" customFormat="false" ht="15" hidden="false" customHeight="false" outlineLevel="0" collapsed="false">
      <c r="A19994" s="3" t="s">
        <v>563</v>
      </c>
      <c r="C19994" s="33" t="n">
        <f aca="false">Assumptions!$Q$64</f>
        <v>0</v>
      </c>
    </row>
    <row r="19995" customFormat="false" ht="15" hidden="false" customHeight="false" outlineLevel="0" collapsed="false">
      <c r="A19995" s="3" t="s">
        <v>564</v>
      </c>
      <c r="C19995" s="33" t="n">
        <f aca="false">Assumptions!$Q$65</f>
        <v>0</v>
      </c>
    </row>
    <row r="19996" customFormat="false" ht="15" hidden="false" customHeight="false" outlineLevel="0" collapsed="false">
      <c r="A19996" s="3" t="s">
        <v>565</v>
      </c>
      <c r="C19996" s="33" t="n">
        <f aca="false">Assumptions!$Q$66</f>
        <v>0</v>
      </c>
    </row>
    <row r="19997" customFormat="false" ht="15" hidden="false" customHeight="false" outlineLevel="0" collapsed="false">
      <c r="A19997" s="24" t="s">
        <v>568</v>
      </c>
      <c r="B19997" s="25"/>
      <c r="C19997" s="25"/>
      <c r="D19997" s="25"/>
      <c r="E19997" s="25"/>
      <c r="F19997" s="25"/>
      <c r="G19997" s="25"/>
      <c r="H19997" s="25"/>
      <c r="I19997" s="25"/>
      <c r="J19997" s="25"/>
      <c r="K19997" s="25"/>
    </row>
    <row r="19998" customFormat="false" ht="15" hidden="false" customHeight="false" outlineLevel="0" collapsed="false">
      <c r="A19998" s="3" t="s">
        <v>556</v>
      </c>
      <c r="C19998" s="16" t="n">
        <f aca="false">IF(C19987&gt;0,MIN(C19965,C19987*$C$19963),0)</f>
        <v>403.76</v>
      </c>
    </row>
    <row r="19999" customFormat="false" ht="15" hidden="false" customHeight="false" outlineLevel="0" collapsed="false">
      <c r="A19999" s="3" t="s">
        <v>557</v>
      </c>
      <c r="C19999" s="16" t="n">
        <f aca="false">IF(C19988&gt;0,MIN(C19966,C19988*$C$19963),0)</f>
        <v>85.1568504864</v>
      </c>
    </row>
    <row r="20000" customFormat="false" ht="15" hidden="false" customHeight="false" outlineLevel="0" collapsed="false">
      <c r="A20000" s="3" t="s">
        <v>558</v>
      </c>
      <c r="C20000" s="16" t="n">
        <f aca="false">IF(C19989&gt;0,MIN(C19967,C19989*$C$19963),0)</f>
        <v>54.1907230368</v>
      </c>
    </row>
    <row r="20001" customFormat="false" ht="15" hidden="false" customHeight="false" outlineLevel="0" collapsed="false">
      <c r="A20001" s="3" t="s">
        <v>559</v>
      </c>
      <c r="C20001" s="16" t="n">
        <f aca="false">IF(C19990&gt;0,MIN(C19968,C19990*$C$19963),0)</f>
        <v>0</v>
      </c>
    </row>
    <row r="20002" customFormat="false" ht="15" hidden="false" customHeight="false" outlineLevel="0" collapsed="false">
      <c r="A20002" s="3" t="s">
        <v>560</v>
      </c>
      <c r="C20002" s="16" t="n">
        <f aca="false">IF(C19991&gt;0,MIN(C19969,C19991*$C$19963),0)</f>
        <v>0</v>
      </c>
    </row>
    <row r="20003" customFormat="false" ht="15" hidden="false" customHeight="false" outlineLevel="0" collapsed="false">
      <c r="A20003" s="3" t="s">
        <v>561</v>
      </c>
      <c r="C20003" s="16" t="n">
        <f aca="false">IF(C19992&gt;0,MIN(C19970,C19992*$C$19963),0)</f>
        <v>0</v>
      </c>
    </row>
    <row r="20004" customFormat="false" ht="15" hidden="false" customHeight="false" outlineLevel="0" collapsed="false">
      <c r="A20004" s="3" t="s">
        <v>562</v>
      </c>
      <c r="C20004" s="16" t="n">
        <f aca="false">IF(C19993&gt;0,MIN(C19971,C19993*$C$19963),0)</f>
        <v>0</v>
      </c>
    </row>
    <row r="20005" customFormat="false" ht="15" hidden="false" customHeight="false" outlineLevel="0" collapsed="false">
      <c r="A20005" s="3" t="s">
        <v>563</v>
      </c>
      <c r="C20005" s="16" t="n">
        <f aca="false">IF(C19994&gt;0,MIN(C19972,C19994*$C$19963),0)</f>
        <v>0</v>
      </c>
    </row>
    <row r="20006" customFormat="false" ht="15" hidden="false" customHeight="false" outlineLevel="0" collapsed="false">
      <c r="A20006" s="3" t="s">
        <v>564</v>
      </c>
      <c r="C20006" s="16" t="n">
        <f aca="false">IF(C19995&gt;0,MIN(C19973,C19995*$C$19963),0)</f>
        <v>0</v>
      </c>
    </row>
    <row r="20007" customFormat="false" ht="15" hidden="false" customHeight="false" outlineLevel="0" collapsed="false">
      <c r="A20007" s="3" t="s">
        <v>565</v>
      </c>
      <c r="C20007" s="16" t="n">
        <f aca="false">IF(C19996&gt;0,MIN(C19974,C19996*$C$19963),0)</f>
        <v>0</v>
      </c>
    </row>
    <row r="20008" customFormat="false" ht="15" hidden="false" customHeight="false" outlineLevel="0" collapsed="false">
      <c r="A20008" s="24" t="s">
        <v>569</v>
      </c>
      <c r="B20008" s="25"/>
      <c r="C20008" s="25"/>
      <c r="D20008" s="25"/>
      <c r="E20008" s="25"/>
      <c r="F20008" s="25"/>
      <c r="G20008" s="25"/>
      <c r="H20008" s="25"/>
      <c r="I20008" s="25"/>
      <c r="J20008" s="25"/>
      <c r="K20008" s="25"/>
    </row>
    <row r="20009" customFormat="false" ht="15" hidden="false" customHeight="false" outlineLevel="0" collapsed="false">
      <c r="A20009" s="3" t="s">
        <v>556</v>
      </c>
      <c r="C20009" s="16" t="n">
        <f aca="false">IF(C19987&gt;0,C19965-C19998,0)</f>
        <v>0</v>
      </c>
      <c r="G20009" s="21" t="n">
        <f aca="false">IF(AND(G19700=1,G19697=1),1,0)</f>
        <v>0</v>
      </c>
      <c r="H20009" s="21" t="n">
        <f aca="false">IF(G20009=1,1,IF(AND(H19700=1,H19697=1),1,0))</f>
        <v>0</v>
      </c>
      <c r="I20009" s="21" t="n">
        <f aca="false">IF(H20009=1,1,IF(AND(I19700=1,I19697=1),1,0))</f>
        <v>0</v>
      </c>
      <c r="J20009" s="21" t="n">
        <f aca="false">IF(I20009=1,1,IF(AND(J19700=1,J19697=1),1,0))</f>
        <v>0</v>
      </c>
      <c r="K20009" s="21" t="n">
        <f aca="false">IF(J20009=1,1,IF(AND(K19700=1,K19697=1),1,0))</f>
        <v>0</v>
      </c>
    </row>
    <row r="20010" customFormat="false" ht="15" hidden="false" customHeight="false" outlineLevel="0" collapsed="false">
      <c r="A20010" s="3" t="s">
        <v>557</v>
      </c>
      <c r="C20010" s="16" t="n">
        <f aca="false">IF(C19988&gt;0,C19966-C19999,0)</f>
        <v>6.15039951360001</v>
      </c>
      <c r="G20010" s="21" t="n">
        <f aca="false">IF(AND(G19713=1,G19697=1),1,0)</f>
        <v>0</v>
      </c>
      <c r="H20010" s="21" t="n">
        <f aca="false">IF(G20010=1,1,IF(AND(H19713=1,H19697=1),1,0))</f>
        <v>0</v>
      </c>
      <c r="I20010" s="21" t="n">
        <f aca="false">IF(H20010=1,1,IF(AND(I19713=1,I19697=1),1,0))</f>
        <v>0</v>
      </c>
      <c r="J20010" s="21" t="n">
        <f aca="false">IF(I20010=1,1,IF(AND(J19713=1,J19697=1),1,0))</f>
        <v>0</v>
      </c>
      <c r="K20010" s="21" t="n">
        <f aca="false">IF(J20010=1,1,IF(AND(K19713=1,K19697=1),1,0))</f>
        <v>0</v>
      </c>
    </row>
    <row r="20011" customFormat="false" ht="15" hidden="false" customHeight="false" outlineLevel="0" collapsed="false">
      <c r="A20011" s="3" t="s">
        <v>558</v>
      </c>
      <c r="C20011" s="16" t="n">
        <f aca="false">IF(C19989&gt;0,C19967-C20000,0)</f>
        <v>4.1808730632</v>
      </c>
      <c r="G20011" s="21" t="n">
        <f aca="false">IF(AND(G19726=1,G19697=1),1,0)</f>
        <v>0</v>
      </c>
      <c r="H20011" s="21" t="n">
        <f aca="false">IF(G20011=1,1,IF(AND(H19726=1,H19697=1),1,0))</f>
        <v>0</v>
      </c>
      <c r="I20011" s="21" t="n">
        <f aca="false">IF(H20011=1,1,IF(AND(I19726=1,I19697=1),1,0))</f>
        <v>0</v>
      </c>
      <c r="J20011" s="21" t="n">
        <f aca="false">IF(I20011=1,1,IF(AND(J19726=1,J19697=1),1,0))</f>
        <v>0</v>
      </c>
      <c r="K20011" s="21" t="n">
        <f aca="false">IF(J20011=1,1,IF(AND(K19726=1,K19697=1),1,0))</f>
        <v>0</v>
      </c>
    </row>
    <row r="20012" customFormat="false" ht="15" hidden="false" customHeight="false" outlineLevel="0" collapsed="false">
      <c r="A20012" s="3" t="s">
        <v>559</v>
      </c>
      <c r="C20012" s="16" t="n">
        <f aca="false">IF(C19990&gt;0,C19968-C20001,0)</f>
        <v>0</v>
      </c>
      <c r="G20012" s="21" t="n">
        <f aca="false">IF(AND(G19739=1,G19697=1),1,0)</f>
        <v>0</v>
      </c>
      <c r="H20012" s="21" t="n">
        <f aca="false">IF(G20012=1,1,IF(AND(H19739=1,H19697=1),1,0))</f>
        <v>0</v>
      </c>
      <c r="I20012" s="21" t="n">
        <f aca="false">IF(H20012=1,1,IF(AND(I19739=1,I19697=1),1,0))</f>
        <v>0</v>
      </c>
      <c r="J20012" s="21" t="n">
        <f aca="false">IF(I20012=1,1,IF(AND(J19739=1,J19697=1),1,0))</f>
        <v>0</v>
      </c>
      <c r="K20012" s="21" t="n">
        <f aca="false">IF(J20012=1,1,IF(AND(K19739=1,K19697=1),1,0))</f>
        <v>0</v>
      </c>
    </row>
    <row r="20013" customFormat="false" ht="15" hidden="false" customHeight="false" outlineLevel="0" collapsed="false">
      <c r="A20013" s="3" t="s">
        <v>560</v>
      </c>
      <c r="C20013" s="16" t="n">
        <f aca="false">IF(C19991&gt;0,C19969-C20002,0)</f>
        <v>0</v>
      </c>
      <c r="G20013" s="21" t="n">
        <f aca="false">IF(AND(G19752=1,G19697=1),1,0)</f>
        <v>0</v>
      </c>
      <c r="H20013" s="21" t="n">
        <f aca="false">IF(G20013=1,1,IF(AND(H19752=1,H19697=1),1,0))</f>
        <v>0</v>
      </c>
      <c r="I20013" s="21" t="n">
        <f aca="false">IF(H20013=1,1,IF(AND(I19752=1,I19697=1),1,0))</f>
        <v>0</v>
      </c>
      <c r="J20013" s="21" t="n">
        <f aca="false">IF(I20013=1,1,IF(AND(J19752=1,J19697=1),1,0))</f>
        <v>0</v>
      </c>
      <c r="K20013" s="21" t="n">
        <f aca="false">IF(J20013=1,1,IF(AND(K19752=1,K19697=1),1,0))</f>
        <v>0</v>
      </c>
    </row>
    <row r="20014" customFormat="false" ht="15" hidden="false" customHeight="false" outlineLevel="0" collapsed="false">
      <c r="A20014" s="3" t="s">
        <v>561</v>
      </c>
      <c r="C20014" s="16" t="n">
        <f aca="false">IF(C19992&gt;0,C19970-C20003,0)</f>
        <v>0</v>
      </c>
      <c r="G20014" s="21" t="n">
        <f aca="false">IF(AND(G19765=1,G19697=1),1,0)</f>
        <v>0</v>
      </c>
      <c r="H20014" s="21" t="n">
        <f aca="false">IF(G20014=1,1,IF(AND(H19765=1,H19697=1),1,0))</f>
        <v>0</v>
      </c>
      <c r="I20014" s="21" t="n">
        <f aca="false">IF(H20014=1,1,IF(AND(I19765=1,I19697=1),1,0))</f>
        <v>0</v>
      </c>
      <c r="J20014" s="21" t="n">
        <f aca="false">IF(I20014=1,1,IF(AND(J19765=1,J19697=1),1,0))</f>
        <v>0</v>
      </c>
      <c r="K20014" s="21" t="n">
        <f aca="false">IF(J20014=1,1,IF(AND(K19765=1,K19697=1),1,0))</f>
        <v>0</v>
      </c>
    </row>
    <row r="20015" customFormat="false" ht="15" hidden="false" customHeight="false" outlineLevel="0" collapsed="false">
      <c r="A20015" s="3" t="s">
        <v>562</v>
      </c>
      <c r="C20015" s="16" t="n">
        <f aca="false">IF(C19993&gt;0,C19971-C20004,0)</f>
        <v>0</v>
      </c>
      <c r="G20015" s="21" t="n">
        <f aca="false">IF(AND(G19778=1,G19697=1),1,0)</f>
        <v>0</v>
      </c>
      <c r="H20015" s="21" t="n">
        <f aca="false">IF(G20015=1,1,IF(AND(H19778=1,H19697=1),1,0))</f>
        <v>0</v>
      </c>
      <c r="I20015" s="21" t="n">
        <f aca="false">IF(H20015=1,1,IF(AND(I19778=1,I19697=1),1,0))</f>
        <v>0</v>
      </c>
      <c r="J20015" s="21" t="n">
        <f aca="false">IF(I20015=1,1,IF(AND(J19778=1,J19697=1),1,0))</f>
        <v>0</v>
      </c>
      <c r="K20015" s="21" t="n">
        <f aca="false">IF(J20015=1,1,IF(AND(K19778=1,K19697=1),1,0))</f>
        <v>0</v>
      </c>
    </row>
    <row r="20016" customFormat="false" ht="15" hidden="false" customHeight="false" outlineLevel="0" collapsed="false">
      <c r="A20016" s="3" t="s">
        <v>563</v>
      </c>
      <c r="C20016" s="16" t="n">
        <f aca="false">IF(C19994&gt;0,C19972-C20005,0)</f>
        <v>0</v>
      </c>
      <c r="G20016" s="21" t="n">
        <f aca="false">IF(AND(G19791=1,G19697=1),1,0)</f>
        <v>0</v>
      </c>
      <c r="H20016" s="21" t="n">
        <f aca="false">IF(G20016=1,1,IF(AND(H19791=1,H19697=1),1,0))</f>
        <v>0</v>
      </c>
      <c r="I20016" s="21" t="n">
        <f aca="false">IF(H20016=1,1,IF(AND(I19791=1,I19697=1),1,0))</f>
        <v>0</v>
      </c>
      <c r="J20016" s="21" t="n">
        <f aca="false">IF(I20016=1,1,IF(AND(J19791=1,J19697=1),1,0))</f>
        <v>0</v>
      </c>
      <c r="K20016" s="21" t="n">
        <f aca="false">IF(J20016=1,1,IF(AND(K19791=1,K19697=1),1,0))</f>
        <v>0</v>
      </c>
    </row>
    <row r="20017" customFormat="false" ht="15" hidden="false" customHeight="false" outlineLevel="0" collapsed="false">
      <c r="A20017" s="3" t="s">
        <v>564</v>
      </c>
      <c r="C20017" s="16" t="n">
        <f aca="false">IF(C19995&gt;0,C19973-C20006,0)</f>
        <v>0</v>
      </c>
      <c r="G20017" s="21" t="n">
        <f aca="false">IF(AND(G19804=1,G19697=1),1,0)</f>
        <v>0</v>
      </c>
      <c r="H20017" s="21" t="n">
        <f aca="false">IF(G20017=1,1,IF(AND(H19804=1,H19697=1),1,0))</f>
        <v>0</v>
      </c>
      <c r="I20017" s="21" t="n">
        <f aca="false">IF(H20017=1,1,IF(AND(I19804=1,I19697=1),1,0))</f>
        <v>0</v>
      </c>
      <c r="J20017" s="21" t="n">
        <f aca="false">IF(I20017=1,1,IF(AND(J19804=1,J19697=1),1,0))</f>
        <v>0</v>
      </c>
      <c r="K20017" s="21" t="n">
        <f aca="false">IF(J20017=1,1,IF(AND(K19804=1,K19697=1),1,0))</f>
        <v>0</v>
      </c>
    </row>
    <row r="20018" customFormat="false" ht="15" hidden="false" customHeight="false" outlineLevel="0" collapsed="false">
      <c r="A20018" s="3" t="s">
        <v>565</v>
      </c>
      <c r="C20018" s="16" t="n">
        <f aca="false">IF(C19996&gt;0,C19974-C20007,0)</f>
        <v>0</v>
      </c>
      <c r="G20018" s="21" t="n">
        <f aca="false">IF(AND(G19817=1,G19697=1),1,0)</f>
        <v>0</v>
      </c>
      <c r="H20018" s="21" t="n">
        <f aca="false">IF(G20018=1,1,IF(AND(H19817=1,H19697=1),1,0))</f>
        <v>0</v>
      </c>
      <c r="I20018" s="21" t="n">
        <f aca="false">IF(H20018=1,1,IF(AND(I19817=1,I19697=1),1,0))</f>
        <v>0</v>
      </c>
      <c r="J20018" s="21" t="n">
        <f aca="false">IF(I20018=1,1,IF(AND(J19817=1,J19697=1),1,0))</f>
        <v>0</v>
      </c>
      <c r="K20018" s="21" t="n">
        <f aca="false">IF(J20018=1,1,IF(AND(K19817=1,K19697=1),1,0))</f>
        <v>0</v>
      </c>
    </row>
    <row r="20019" customFormat="false" ht="15" hidden="false" customHeight="false" outlineLevel="0" collapsed="false">
      <c r="A20019" s="24" t="s">
        <v>570</v>
      </c>
      <c r="B20019" s="25"/>
      <c r="C20019" s="25"/>
      <c r="D20019" s="25"/>
      <c r="E20019" s="25"/>
      <c r="F20019" s="25"/>
      <c r="G20019" s="25"/>
      <c r="H20019" s="25"/>
      <c r="I20019" s="25"/>
      <c r="J20019" s="25"/>
      <c r="K20019" s="25"/>
    </row>
    <row r="20020" customFormat="false" ht="15" hidden="false" customHeight="false" outlineLevel="0" collapsed="false">
      <c r="A20020" s="3" t="s">
        <v>556</v>
      </c>
      <c r="C20020" s="16" t="n">
        <f aca="false">IF(C19987&gt;0,C20009,C19965)</f>
        <v>0</v>
      </c>
    </row>
    <row r="20021" customFormat="false" ht="15" hidden="false" customHeight="false" outlineLevel="0" collapsed="false">
      <c r="A20021" s="3" t="s">
        <v>557</v>
      </c>
      <c r="C20021" s="16" t="n">
        <f aca="false">IF(C19988&gt;0,C20010,C19966)</f>
        <v>6.15039951360001</v>
      </c>
    </row>
    <row r="20022" customFormat="false" ht="15" hidden="false" customHeight="false" outlineLevel="0" collapsed="false">
      <c r="A20022" s="3" t="s">
        <v>558</v>
      </c>
      <c r="C20022" s="16" t="n">
        <f aca="false">IF(C19989&gt;0,C20011,C19967)</f>
        <v>4.1808730632</v>
      </c>
    </row>
    <row r="20023" customFormat="false" ht="15" hidden="false" customHeight="false" outlineLevel="0" collapsed="false">
      <c r="A20023" s="3" t="s">
        <v>559</v>
      </c>
      <c r="C20023" s="16" t="n">
        <f aca="false">IF(C19990&gt;0,C20012,C19968)</f>
        <v>0</v>
      </c>
    </row>
    <row r="20024" customFormat="false" ht="15" hidden="false" customHeight="false" outlineLevel="0" collapsed="false">
      <c r="A20024" s="3" t="s">
        <v>560</v>
      </c>
      <c r="C20024" s="16" t="n">
        <f aca="false">IF(C19991&gt;0,C20013,C19969)</f>
        <v>439.249936942163</v>
      </c>
    </row>
    <row r="20025" customFormat="false" ht="15" hidden="false" customHeight="false" outlineLevel="0" collapsed="false">
      <c r="A20025" s="3" t="s">
        <v>561</v>
      </c>
      <c r="C20025" s="16" t="n">
        <f aca="false">IF(C19992&gt;0,C20014,C19970)</f>
        <v>357.2625</v>
      </c>
    </row>
    <row r="20026" customFormat="false" ht="15" hidden="false" customHeight="false" outlineLevel="0" collapsed="false">
      <c r="A20026" s="3" t="s">
        <v>562</v>
      </c>
      <c r="C20026" s="16" t="n">
        <f aca="false">IF(C19993&gt;0,C20015,C19971)</f>
        <v>562.203125</v>
      </c>
    </row>
    <row r="20027" customFormat="false" ht="15" hidden="false" customHeight="false" outlineLevel="0" collapsed="false">
      <c r="A20027" s="3" t="s">
        <v>563</v>
      </c>
      <c r="C20027" s="16" t="n">
        <f aca="false">IF(C19994&gt;0,C20016,C19972)</f>
        <v>353.98125</v>
      </c>
    </row>
    <row r="20028" customFormat="false" ht="15" hidden="false" customHeight="false" outlineLevel="0" collapsed="false">
      <c r="A20028" s="3" t="s">
        <v>564</v>
      </c>
      <c r="C20028" s="16" t="n">
        <f aca="false">IF(C19995&gt;0,C20017,C19973)</f>
        <v>304.59375</v>
      </c>
    </row>
    <row r="20029" customFormat="false" ht="15" hidden="false" customHeight="false" outlineLevel="0" collapsed="false">
      <c r="A20029" s="3" t="s">
        <v>565</v>
      </c>
      <c r="C20029" s="16" t="n">
        <f aca="false">IF(C19996&gt;0,C20018,C19974)</f>
        <v>80.2332965</v>
      </c>
    </row>
    <row r="20030" customFormat="false" ht="15" hidden="false" customHeight="false" outlineLevel="0" collapsed="false">
      <c r="A20030" s="24" t="s">
        <v>571</v>
      </c>
      <c r="B20030" s="25"/>
      <c r="C20030" s="25"/>
      <c r="D20030" s="25"/>
      <c r="E20030" s="25"/>
      <c r="F20030" s="25"/>
      <c r="G20030" s="25"/>
      <c r="H20030" s="25"/>
      <c r="I20030" s="25"/>
      <c r="J20030" s="25"/>
      <c r="K20030" s="25"/>
    </row>
    <row r="20031" customFormat="false" ht="15" hidden="false" customHeight="false" outlineLevel="0" collapsed="false">
      <c r="A20031" s="3" t="s">
        <v>556</v>
      </c>
      <c r="C20031" s="21" t="n">
        <f aca="false">IF(C19987&gt;0,Assumptions!$C$17,C19976)</f>
        <v>99</v>
      </c>
    </row>
    <row r="20032" customFormat="false" ht="15" hidden="false" customHeight="false" outlineLevel="0" collapsed="false">
      <c r="A20032" s="3" t="s">
        <v>557</v>
      </c>
      <c r="C20032" s="21" t="n">
        <f aca="false">IF(C19988&gt;0,Assumptions!$C$17,C19977)</f>
        <v>99</v>
      </c>
    </row>
    <row r="20033" customFormat="false" ht="15" hidden="false" customHeight="false" outlineLevel="0" collapsed="false">
      <c r="A20033" s="3" t="s">
        <v>558</v>
      </c>
      <c r="C20033" s="21" t="n">
        <f aca="false">IF(C19989&gt;0,Assumptions!$C$17,C19978)</f>
        <v>99</v>
      </c>
    </row>
    <row r="20034" customFormat="false" ht="15" hidden="false" customHeight="false" outlineLevel="0" collapsed="false">
      <c r="A20034" s="3" t="s">
        <v>559</v>
      </c>
      <c r="C20034" s="21" t="n">
        <f aca="false">IF(C19990&gt;0,Assumptions!$C$17,C19979)</f>
        <v>2</v>
      </c>
    </row>
    <row r="20035" customFormat="false" ht="15" hidden="false" customHeight="false" outlineLevel="0" collapsed="false">
      <c r="A20035" s="3" t="s">
        <v>560</v>
      </c>
      <c r="C20035" s="21" t="n">
        <f aca="false">IF(C19991&gt;0,Assumptions!$C$17,C19980)</f>
        <v>2</v>
      </c>
    </row>
    <row r="20036" customFormat="false" ht="15" hidden="false" customHeight="false" outlineLevel="0" collapsed="false">
      <c r="A20036" s="3" t="s">
        <v>561</v>
      </c>
      <c r="C20036" s="21" t="n">
        <f aca="false">IF(C19992&gt;0,Assumptions!$C$17,C19981)</f>
        <v>2</v>
      </c>
    </row>
    <row r="20037" customFormat="false" ht="15" hidden="false" customHeight="false" outlineLevel="0" collapsed="false">
      <c r="A20037" s="3" t="s">
        <v>562</v>
      </c>
      <c r="C20037" s="21" t="n">
        <f aca="false">IF(C19993&gt;0,Assumptions!$C$17,C19982)</f>
        <v>2</v>
      </c>
    </row>
    <row r="20038" customFormat="false" ht="15" hidden="false" customHeight="false" outlineLevel="0" collapsed="false">
      <c r="A20038" s="3" t="s">
        <v>563</v>
      </c>
      <c r="C20038" s="21" t="n">
        <f aca="false">IF(C19994&gt;0,Assumptions!$C$17,C19983)</f>
        <v>2</v>
      </c>
    </row>
    <row r="20039" customFormat="false" ht="15" hidden="false" customHeight="false" outlineLevel="0" collapsed="false">
      <c r="A20039" s="3" t="s">
        <v>564</v>
      </c>
      <c r="C20039" s="21" t="n">
        <f aca="false">IF(C19995&gt;0,Assumptions!$C$17,C19984)</f>
        <v>2</v>
      </c>
    </row>
    <row r="20040" customFormat="false" ht="15" hidden="false" customHeight="false" outlineLevel="0" collapsed="false">
      <c r="A20040" s="3" t="s">
        <v>565</v>
      </c>
      <c r="C20040" s="21" t="n">
        <f aca="false">IF(C19996&gt;0,Assumptions!$C$17,C19985)</f>
        <v>3</v>
      </c>
    </row>
    <row r="20041" customFormat="false" ht="15" hidden="false" customHeight="false" outlineLevel="0" collapsed="false">
      <c r="A20041" s="24" t="s">
        <v>572</v>
      </c>
      <c r="B20041" s="25"/>
      <c r="C20041" s="25"/>
      <c r="D20041" s="25"/>
      <c r="E20041" s="25"/>
      <c r="F20041" s="25"/>
      <c r="G20041" s="25"/>
      <c r="H20041" s="25"/>
      <c r="I20041" s="25"/>
      <c r="J20041" s="25"/>
      <c r="K20041" s="25"/>
    </row>
    <row r="20042" customFormat="false" ht="15" hidden="false" customHeight="false" outlineLevel="0" collapsed="false">
      <c r="A20042" s="3" t="s">
        <v>556</v>
      </c>
      <c r="C20042" s="16" t="n">
        <f aca="false">SUMPRODUCT(($C$20031:$C$20040&lt;C20031)*$C$20020:$C$20029)</f>
        <v>2097.52385844216</v>
      </c>
    </row>
    <row r="20043" customFormat="false" ht="15" hidden="false" customHeight="false" outlineLevel="0" collapsed="false">
      <c r="A20043" s="3" t="s">
        <v>557</v>
      </c>
      <c r="C20043" s="16" t="n">
        <f aca="false">SUMPRODUCT(($C$20031:$C$20040&lt;C20032)*$C$20020:$C$20029)</f>
        <v>2097.52385844216</v>
      </c>
    </row>
    <row r="20044" customFormat="false" ht="15" hidden="false" customHeight="false" outlineLevel="0" collapsed="false">
      <c r="A20044" s="3" t="s">
        <v>558</v>
      </c>
      <c r="C20044" s="16" t="n">
        <f aca="false">SUMPRODUCT(($C$20031:$C$20040&lt;C20033)*$C$20020:$C$20029)</f>
        <v>2097.52385844216</v>
      </c>
    </row>
    <row r="20045" customFormat="false" ht="15" hidden="false" customHeight="false" outlineLevel="0" collapsed="false">
      <c r="A20045" s="3" t="s">
        <v>559</v>
      </c>
      <c r="C20045" s="16" t="n">
        <f aca="false">SUMPRODUCT(($C$20031:$C$20040&lt;C20034)*$C$20020:$C$20029)</f>
        <v>0</v>
      </c>
    </row>
    <row r="20046" customFormat="false" ht="15" hidden="false" customHeight="false" outlineLevel="0" collapsed="false">
      <c r="A20046" s="3" t="s">
        <v>560</v>
      </c>
      <c r="C20046" s="16" t="n">
        <f aca="false">SUMPRODUCT(($C$20031:$C$20040&lt;C20035)*$C$20020:$C$20029)</f>
        <v>0</v>
      </c>
    </row>
    <row r="20047" customFormat="false" ht="15" hidden="false" customHeight="false" outlineLevel="0" collapsed="false">
      <c r="A20047" s="3" t="s">
        <v>561</v>
      </c>
      <c r="C20047" s="16" t="n">
        <f aca="false">SUMPRODUCT(($C$20031:$C$20040&lt;C20036)*$C$20020:$C$20029)</f>
        <v>0</v>
      </c>
    </row>
    <row r="20048" customFormat="false" ht="15" hidden="false" customHeight="false" outlineLevel="0" collapsed="false">
      <c r="A20048" s="3" t="s">
        <v>562</v>
      </c>
      <c r="C20048" s="16" t="n">
        <f aca="false">SUMPRODUCT(($C$20031:$C$20040&lt;C20037)*$C$20020:$C$20029)</f>
        <v>0</v>
      </c>
    </row>
    <row r="20049" customFormat="false" ht="15" hidden="false" customHeight="false" outlineLevel="0" collapsed="false">
      <c r="A20049" s="3" t="s">
        <v>563</v>
      </c>
      <c r="C20049" s="16" t="n">
        <f aca="false">SUMPRODUCT(($C$20031:$C$20040&lt;C20038)*$C$20020:$C$20029)</f>
        <v>0</v>
      </c>
    </row>
    <row r="20050" customFormat="false" ht="15" hidden="false" customHeight="false" outlineLevel="0" collapsed="false">
      <c r="A20050" s="3" t="s">
        <v>564</v>
      </c>
      <c r="C20050" s="16" t="n">
        <f aca="false">SUMPRODUCT(($C$20031:$C$20040&lt;C20039)*$C$20020:$C$20029)</f>
        <v>0</v>
      </c>
    </row>
    <row r="20051" customFormat="false" ht="15" hidden="false" customHeight="false" outlineLevel="0" collapsed="false">
      <c r="A20051" s="3" t="s">
        <v>565</v>
      </c>
      <c r="C20051" s="16" t="n">
        <f aca="false">SUMPRODUCT(($C$20031:$C$20040&lt;C20040)*$C$20020:$C$20029)</f>
        <v>2017.29056194216</v>
      </c>
    </row>
    <row r="20052" customFormat="false" ht="15" hidden="false" customHeight="false" outlineLevel="0" collapsed="false">
      <c r="A20052" s="24" t="s">
        <v>573</v>
      </c>
      <c r="B20052" s="25"/>
      <c r="C20052" s="25"/>
      <c r="D20052" s="25"/>
      <c r="E20052" s="25"/>
      <c r="F20052" s="25"/>
      <c r="G20052" s="25"/>
      <c r="H20052" s="25"/>
      <c r="I20052" s="25"/>
      <c r="J20052" s="25"/>
      <c r="K20052" s="25"/>
    </row>
    <row r="20053" customFormat="false" ht="15" hidden="false" customHeight="false" outlineLevel="0" collapsed="false">
      <c r="A20053" s="3" t="s">
        <v>556</v>
      </c>
      <c r="C20053" s="16" t="n">
        <f aca="false">SUMPRODUCT(($C$20031:$C$20040=C20031)*$C$20020:$C$20029)</f>
        <v>10.3312725768</v>
      </c>
    </row>
    <row r="20054" customFormat="false" ht="15" hidden="false" customHeight="false" outlineLevel="0" collapsed="false">
      <c r="A20054" s="3" t="s">
        <v>557</v>
      </c>
      <c r="C20054" s="16" t="n">
        <f aca="false">SUMPRODUCT(($C$20031:$C$20040=C20032)*$C$20020:$C$20029)</f>
        <v>10.3312725768</v>
      </c>
    </row>
    <row r="20055" customFormat="false" ht="15" hidden="false" customHeight="false" outlineLevel="0" collapsed="false">
      <c r="A20055" s="3" t="s">
        <v>558</v>
      </c>
      <c r="C20055" s="16" t="n">
        <f aca="false">SUMPRODUCT(($C$20031:$C$20040=C20033)*$C$20020:$C$20029)</f>
        <v>10.3312725768</v>
      </c>
    </row>
    <row r="20056" customFormat="false" ht="15" hidden="false" customHeight="false" outlineLevel="0" collapsed="false">
      <c r="A20056" s="3" t="s">
        <v>559</v>
      </c>
      <c r="C20056" s="16" t="n">
        <f aca="false">SUMPRODUCT(($C$20031:$C$20040=C20034)*$C$20020:$C$20029)</f>
        <v>2017.29056194216</v>
      </c>
    </row>
    <row r="20057" customFormat="false" ht="15" hidden="false" customHeight="false" outlineLevel="0" collapsed="false">
      <c r="A20057" s="3" t="s">
        <v>560</v>
      </c>
      <c r="C20057" s="16" t="n">
        <f aca="false">SUMPRODUCT(($C$20031:$C$20040=C20035)*$C$20020:$C$20029)</f>
        <v>2017.29056194216</v>
      </c>
    </row>
    <row r="20058" customFormat="false" ht="15" hidden="false" customHeight="false" outlineLevel="0" collapsed="false">
      <c r="A20058" s="3" t="s">
        <v>561</v>
      </c>
      <c r="C20058" s="16" t="n">
        <f aca="false">SUMPRODUCT(($C$20031:$C$20040=C20036)*$C$20020:$C$20029)</f>
        <v>2017.29056194216</v>
      </c>
    </row>
    <row r="20059" customFormat="false" ht="15" hidden="false" customHeight="false" outlineLevel="0" collapsed="false">
      <c r="A20059" s="3" t="s">
        <v>562</v>
      </c>
      <c r="C20059" s="16" t="n">
        <f aca="false">SUMPRODUCT(($C$20031:$C$20040=C20037)*$C$20020:$C$20029)</f>
        <v>2017.29056194216</v>
      </c>
    </row>
    <row r="20060" customFormat="false" ht="15" hidden="false" customHeight="false" outlineLevel="0" collapsed="false">
      <c r="A20060" s="3" t="s">
        <v>563</v>
      </c>
      <c r="C20060" s="16" t="n">
        <f aca="false">SUMPRODUCT(($C$20031:$C$20040=C20038)*$C$20020:$C$20029)</f>
        <v>2017.29056194216</v>
      </c>
    </row>
    <row r="20061" customFormat="false" ht="15" hidden="false" customHeight="false" outlineLevel="0" collapsed="false">
      <c r="A20061" s="3" t="s">
        <v>564</v>
      </c>
      <c r="C20061" s="16" t="n">
        <f aca="false">SUMPRODUCT(($C$20031:$C$20040=C20039)*$C$20020:$C$20029)</f>
        <v>2017.29056194216</v>
      </c>
    </row>
    <row r="20062" customFormat="false" ht="15" hidden="false" customHeight="false" outlineLevel="0" collapsed="false">
      <c r="A20062" s="3" t="s">
        <v>565</v>
      </c>
      <c r="C20062" s="16" t="n">
        <f aca="false">SUMPRODUCT(($C$20031:$C$20040=C20040)*$C$20020:$C$20029)</f>
        <v>80.2332965</v>
      </c>
    </row>
    <row r="20063" customFormat="false" ht="15" hidden="false" customHeight="false" outlineLevel="0" collapsed="false">
      <c r="A20063" s="24" t="s">
        <v>574</v>
      </c>
      <c r="B20063" s="25"/>
      <c r="C20063" s="25"/>
      <c r="D20063" s="25"/>
      <c r="E20063" s="25"/>
      <c r="F20063" s="25"/>
      <c r="G20063" s="25"/>
      <c r="H20063" s="25"/>
      <c r="I20063" s="25"/>
      <c r="J20063" s="25"/>
      <c r="K20063" s="25"/>
    </row>
    <row r="20064" customFormat="false" ht="15" hidden="false" customHeight="false" outlineLevel="0" collapsed="false">
      <c r="A20064" s="3" t="s">
        <v>556</v>
      </c>
      <c r="C20064" s="16" t="n">
        <f aca="false">IF(C20053=0,0,C20020/C20053*MAX(0,MIN(C20053,$C$19963-SUM($C$19998:$C$20007)-C20042)))</f>
        <v>0</v>
      </c>
    </row>
    <row r="20065" customFormat="false" ht="15" hidden="false" customHeight="false" outlineLevel="0" collapsed="false">
      <c r="A20065" s="3" t="s">
        <v>557</v>
      </c>
      <c r="C20065" s="16" t="n">
        <f aca="false">IF(C20054=0,0,C20021/C20054*MAX(0,MIN(C20054,$C$19963-SUM($C$19998:$C$20007)-C20043)))</f>
        <v>0</v>
      </c>
    </row>
    <row r="20066" customFormat="false" ht="15" hidden="false" customHeight="false" outlineLevel="0" collapsed="false">
      <c r="A20066" s="3" t="s">
        <v>558</v>
      </c>
      <c r="C20066" s="16" t="n">
        <f aca="false">IF(C20055=0,0,C20022/C20055*MAX(0,MIN(C20055,$C$19963-SUM($C$19998:$C$20007)-C20044)))</f>
        <v>0</v>
      </c>
    </row>
    <row r="20067" customFormat="false" ht="15" hidden="false" customHeight="false" outlineLevel="0" collapsed="false">
      <c r="A20067" s="3" t="s">
        <v>559</v>
      </c>
      <c r="C20067" s="16" t="n">
        <f aca="false">IF(C20056=0,0,C20023/C20056*MAX(0,MIN(C20056,$C$19963-SUM($C$19998:$C$20007)-C20045)))</f>
        <v>0</v>
      </c>
    </row>
    <row r="20068" customFormat="false" ht="15" hidden="false" customHeight="false" outlineLevel="0" collapsed="false">
      <c r="A20068" s="3" t="s">
        <v>560</v>
      </c>
      <c r="C20068" s="16" t="n">
        <f aca="false">IF(C20057=0,0,C20024/C20057*MAX(0,MIN(C20057,$C$19963-SUM($C$19998:$C$20007)-C20046)))</f>
        <v>439.249936942163</v>
      </c>
    </row>
    <row r="20069" customFormat="false" ht="15" hidden="false" customHeight="false" outlineLevel="0" collapsed="false">
      <c r="A20069" s="3" t="s">
        <v>561</v>
      </c>
      <c r="C20069" s="16" t="n">
        <f aca="false">IF(C20058=0,0,C20025/C20058*MAX(0,MIN(C20058,$C$19963-SUM($C$19998:$C$20007)-C20047)))</f>
        <v>357.2625</v>
      </c>
    </row>
    <row r="20070" customFormat="false" ht="15" hidden="false" customHeight="false" outlineLevel="0" collapsed="false">
      <c r="A20070" s="3" t="s">
        <v>562</v>
      </c>
      <c r="C20070" s="16" t="n">
        <f aca="false">IF(C20059=0,0,C20026/C20059*MAX(0,MIN(C20059,$C$19963-SUM($C$19998:$C$20007)-C20048)))</f>
        <v>562.203125</v>
      </c>
    </row>
    <row r="20071" customFormat="false" ht="15" hidden="false" customHeight="false" outlineLevel="0" collapsed="false">
      <c r="A20071" s="3" t="s">
        <v>563</v>
      </c>
      <c r="C20071" s="16" t="n">
        <f aca="false">IF(C20060=0,0,C20027/C20060*MAX(0,MIN(C20060,$C$19963-SUM($C$19998:$C$20007)-C20049)))</f>
        <v>353.98125</v>
      </c>
    </row>
    <row r="20072" customFormat="false" ht="15" hidden="false" customHeight="false" outlineLevel="0" collapsed="false">
      <c r="A20072" s="3" t="s">
        <v>564</v>
      </c>
      <c r="C20072" s="16" t="n">
        <f aca="false">IF(C20061=0,0,C20028/C20061*MAX(0,MIN(C20061,$C$19963-SUM($C$19998:$C$20007)-C20050)))</f>
        <v>304.59375</v>
      </c>
    </row>
    <row r="20073" customFormat="false" ht="15" hidden="false" customHeight="false" outlineLevel="0" collapsed="false">
      <c r="A20073" s="3" t="s">
        <v>565</v>
      </c>
      <c r="C20073" s="16" t="n">
        <f aca="false">IF(C20062=0,0,C20029/C20062*MAX(0,MIN(C20062,$C$19963-SUM($C$19998:$C$20007)-C20051)))</f>
        <v>20.1124853346373</v>
      </c>
    </row>
    <row r="20074" customFormat="false" ht="15" hidden="false" customHeight="false" outlineLevel="0" collapsed="false">
      <c r="A20074" s="24" t="s">
        <v>575</v>
      </c>
      <c r="B20074" s="25"/>
      <c r="C20074" s="25"/>
      <c r="D20074" s="25"/>
      <c r="E20074" s="25"/>
      <c r="F20074" s="25"/>
      <c r="G20074" s="25"/>
      <c r="H20074" s="25"/>
      <c r="I20074" s="25"/>
      <c r="J20074" s="25"/>
      <c r="K20074" s="25"/>
    </row>
    <row r="20075" customFormat="false" ht="15" hidden="false" customHeight="false" outlineLevel="0" collapsed="false">
      <c r="A20075" s="2" t="s">
        <v>556</v>
      </c>
      <c r="C20075" s="17" t="n">
        <f aca="false">C19998+C20064</f>
        <v>403.76</v>
      </c>
    </row>
    <row r="20076" customFormat="false" ht="15" hidden="false" customHeight="false" outlineLevel="0" collapsed="false">
      <c r="A20076" s="2" t="s">
        <v>557</v>
      </c>
      <c r="C20076" s="17" t="n">
        <f aca="false">C19999+C20065</f>
        <v>85.1568504864</v>
      </c>
    </row>
    <row r="20077" customFormat="false" ht="15" hidden="false" customHeight="false" outlineLevel="0" collapsed="false">
      <c r="A20077" s="2" t="s">
        <v>558</v>
      </c>
      <c r="C20077" s="17" t="n">
        <f aca="false">C20000+C20066</f>
        <v>54.1907230368</v>
      </c>
    </row>
    <row r="20078" customFormat="false" ht="15" hidden="false" customHeight="false" outlineLevel="0" collapsed="false">
      <c r="A20078" s="2" t="s">
        <v>559</v>
      </c>
      <c r="C20078" s="17" t="n">
        <f aca="false">C20001+C20067</f>
        <v>0</v>
      </c>
    </row>
    <row r="20079" customFormat="false" ht="15" hidden="false" customHeight="false" outlineLevel="0" collapsed="false">
      <c r="A20079" s="2" t="s">
        <v>560</v>
      </c>
      <c r="C20079" s="17" t="n">
        <f aca="false">C20002+C20068</f>
        <v>439.249936942163</v>
      </c>
    </row>
    <row r="20080" customFormat="false" ht="15" hidden="false" customHeight="false" outlineLevel="0" collapsed="false">
      <c r="A20080" s="2" t="s">
        <v>561</v>
      </c>
      <c r="C20080" s="17" t="n">
        <f aca="false">C20003+C20069</f>
        <v>357.2625</v>
      </c>
    </row>
    <row r="20081" customFormat="false" ht="15" hidden="false" customHeight="false" outlineLevel="0" collapsed="false">
      <c r="A20081" s="2" t="s">
        <v>562</v>
      </c>
      <c r="C20081" s="17" t="n">
        <f aca="false">C20004+C20070</f>
        <v>562.203125</v>
      </c>
    </row>
    <row r="20082" customFormat="false" ht="15" hidden="false" customHeight="false" outlineLevel="0" collapsed="false">
      <c r="A20082" s="2" t="s">
        <v>563</v>
      </c>
      <c r="C20082" s="17" t="n">
        <f aca="false">C20005+C20071</f>
        <v>353.98125</v>
      </c>
    </row>
    <row r="20083" customFormat="false" ht="15" hidden="false" customHeight="false" outlineLevel="0" collapsed="false">
      <c r="A20083" s="2" t="s">
        <v>564</v>
      </c>
      <c r="C20083" s="17" t="n">
        <f aca="false">C20006+C20072</f>
        <v>304.59375</v>
      </c>
    </row>
    <row r="20084" customFormat="false" ht="15" hidden="false" customHeight="false" outlineLevel="0" collapsed="false">
      <c r="A20084" s="2" t="s">
        <v>565</v>
      </c>
      <c r="C20084" s="17" t="n">
        <f aca="false">C20007+C20073</f>
        <v>20.1124853346373</v>
      </c>
    </row>
    <row r="20085" customFormat="false" ht="15" hidden="false" customHeight="false" outlineLevel="0" collapsed="false">
      <c r="A20085" s="24" t="s">
        <v>576</v>
      </c>
      <c r="B20085" s="25"/>
      <c r="C20085" s="25"/>
      <c r="D20085" s="25"/>
      <c r="E20085" s="25"/>
      <c r="F20085" s="25"/>
      <c r="G20085" s="25"/>
      <c r="H20085" s="25"/>
      <c r="I20085" s="25"/>
      <c r="J20085" s="25"/>
      <c r="K20085" s="25"/>
    </row>
    <row r="20086" customFormat="false" ht="15" hidden="false" customHeight="false" outlineLevel="0" collapsed="false">
      <c r="A20086" s="3" t="s">
        <v>556</v>
      </c>
      <c r="C20086" s="22" t="n">
        <f aca="false">IF(C19965=0,1,C20075/C19965)</f>
        <v>1</v>
      </c>
    </row>
    <row r="20087" customFormat="false" ht="15" hidden="false" customHeight="false" outlineLevel="0" collapsed="false">
      <c r="A20087" s="3" t="s">
        <v>557</v>
      </c>
      <c r="C20087" s="22" t="n">
        <f aca="false">IF(C19966=0,1,C20076/C19966)</f>
        <v>0.932640622583639</v>
      </c>
    </row>
    <row r="20088" customFormat="false" ht="15" hidden="false" customHeight="false" outlineLevel="0" collapsed="false">
      <c r="A20088" s="3" t="s">
        <v>558</v>
      </c>
      <c r="C20088" s="22" t="n">
        <f aca="false">IF(C19967=0,1,C20077/C19967)</f>
        <v>0.928374871640695</v>
      </c>
    </row>
    <row r="20089" customFormat="false" ht="15" hidden="false" customHeight="false" outlineLevel="0" collapsed="false">
      <c r="A20089" s="3" t="s">
        <v>559</v>
      </c>
      <c r="C20089" s="22" t="n">
        <f aca="false">IF(C19968=0,1,C20078/C19968)</f>
        <v>1</v>
      </c>
    </row>
    <row r="20090" customFormat="false" ht="15" hidden="false" customHeight="false" outlineLevel="0" collapsed="false">
      <c r="A20090" s="3" t="s">
        <v>560</v>
      </c>
      <c r="C20090" s="22" t="n">
        <f aca="false">IF(C19969=0,1,C20079/C19969)</f>
        <v>1</v>
      </c>
    </row>
    <row r="20091" customFormat="false" ht="15" hidden="false" customHeight="false" outlineLevel="0" collapsed="false">
      <c r="A20091" s="3" t="s">
        <v>561</v>
      </c>
      <c r="C20091" s="22" t="n">
        <f aca="false">IF(C19970=0,1,C20080/C19970)</f>
        <v>1</v>
      </c>
    </row>
    <row r="20092" customFormat="false" ht="15" hidden="false" customHeight="false" outlineLevel="0" collapsed="false">
      <c r="A20092" s="3" t="s">
        <v>562</v>
      </c>
      <c r="C20092" s="22" t="n">
        <f aca="false">IF(C19971=0,1,C20081/C19971)</f>
        <v>1</v>
      </c>
    </row>
    <row r="20093" customFormat="false" ht="15" hidden="false" customHeight="false" outlineLevel="0" collapsed="false">
      <c r="A20093" s="3" t="s">
        <v>563</v>
      </c>
      <c r="C20093" s="22" t="n">
        <f aca="false">IF(C19972=0,1,C20082/C19972)</f>
        <v>1</v>
      </c>
    </row>
    <row r="20094" customFormat="false" ht="15" hidden="false" customHeight="false" outlineLevel="0" collapsed="false">
      <c r="A20094" s="3" t="s">
        <v>564</v>
      </c>
      <c r="C20094" s="22" t="n">
        <f aca="false">IF(C19973=0,1,C20083/C19973)</f>
        <v>1</v>
      </c>
    </row>
    <row r="20095" customFormat="false" ht="15" hidden="false" customHeight="false" outlineLevel="0" collapsed="false">
      <c r="A20095" s="3" t="s">
        <v>565</v>
      </c>
      <c r="C20095" s="22" t="n">
        <f aca="false">IF(C19974=0,1,C20084/C19974)</f>
        <v>0.250675046545511</v>
      </c>
    </row>
    <row r="20096" customFormat="false" ht="15" hidden="false" customHeight="false" outlineLevel="0" collapsed="false">
      <c r="A20096" s="24" t="s">
        <v>577</v>
      </c>
      <c r="B20096" s="25"/>
      <c r="C20096" s="25"/>
      <c r="D20096" s="25"/>
      <c r="E20096" s="25"/>
      <c r="F20096" s="25"/>
      <c r="G20096" s="25"/>
      <c r="H20096" s="25"/>
      <c r="I20096" s="25"/>
      <c r="J20096" s="25"/>
      <c r="K20096" s="25"/>
    </row>
    <row r="20097" customFormat="false" ht="15" hidden="false" customHeight="false" outlineLevel="0" collapsed="false">
      <c r="A20097" s="3" t="s">
        <v>556</v>
      </c>
      <c r="C20097" s="16" t="n">
        <f aca="false">C19965-C20075</f>
        <v>0</v>
      </c>
    </row>
    <row r="20098" customFormat="false" ht="15" hidden="false" customHeight="false" outlineLevel="0" collapsed="false">
      <c r="A20098" s="3" t="s">
        <v>557</v>
      </c>
      <c r="C20098" s="16" t="n">
        <f aca="false">C19966-C20076</f>
        <v>6.15039951360001</v>
      </c>
    </row>
    <row r="20099" customFormat="false" ht="15" hidden="false" customHeight="false" outlineLevel="0" collapsed="false">
      <c r="A20099" s="3" t="s">
        <v>558</v>
      </c>
      <c r="C20099" s="16" t="n">
        <f aca="false">C19967-C20077</f>
        <v>4.1808730632</v>
      </c>
    </row>
    <row r="20100" customFormat="false" ht="15" hidden="false" customHeight="false" outlineLevel="0" collapsed="false">
      <c r="A20100" s="3" t="s">
        <v>559</v>
      </c>
      <c r="C20100" s="16" t="n">
        <f aca="false">C19968-C20078</f>
        <v>0</v>
      </c>
    </row>
    <row r="20101" customFormat="false" ht="15" hidden="false" customHeight="false" outlineLevel="0" collapsed="false">
      <c r="A20101" s="3" t="s">
        <v>560</v>
      </c>
      <c r="C20101" s="16" t="n">
        <f aca="false">C19969-C20079</f>
        <v>0</v>
      </c>
    </row>
    <row r="20102" customFormat="false" ht="15" hidden="false" customHeight="false" outlineLevel="0" collapsed="false">
      <c r="A20102" s="3" t="s">
        <v>561</v>
      </c>
      <c r="C20102" s="16" t="n">
        <f aca="false">C19970-C20080</f>
        <v>0</v>
      </c>
    </row>
    <row r="20103" customFormat="false" ht="15" hidden="false" customHeight="false" outlineLevel="0" collapsed="false">
      <c r="A20103" s="3" t="s">
        <v>562</v>
      </c>
      <c r="C20103" s="16" t="n">
        <f aca="false">C19971-C20081</f>
        <v>0</v>
      </c>
    </row>
    <row r="20104" customFormat="false" ht="15" hidden="false" customHeight="false" outlineLevel="0" collapsed="false">
      <c r="A20104" s="3" t="s">
        <v>563</v>
      </c>
      <c r="C20104" s="16" t="n">
        <f aca="false">C19972-C20082</f>
        <v>0</v>
      </c>
    </row>
    <row r="20105" customFormat="false" ht="15" hidden="false" customHeight="false" outlineLevel="0" collapsed="false">
      <c r="A20105" s="3" t="s">
        <v>564</v>
      </c>
      <c r="C20105" s="16" t="n">
        <f aca="false">C19973-C20083</f>
        <v>0</v>
      </c>
    </row>
    <row r="20106" customFormat="false" ht="15" hidden="false" customHeight="false" outlineLevel="0" collapsed="false">
      <c r="A20106" s="3" t="s">
        <v>565</v>
      </c>
      <c r="C20106" s="16" t="n">
        <f aca="false">C19974-C20084</f>
        <v>60.1208111653627</v>
      </c>
    </row>
    <row r="20107" customFormat="false" ht="15" hidden="false" customHeight="false" outlineLevel="0" collapsed="false">
      <c r="A20107" s="24" t="s">
        <v>578</v>
      </c>
      <c r="B20107" s="25"/>
      <c r="C20107" s="25"/>
      <c r="D20107" s="25"/>
      <c r="E20107" s="25"/>
      <c r="F20107" s="25"/>
      <c r="G20107" s="25"/>
      <c r="H20107" s="25"/>
      <c r="I20107" s="25"/>
      <c r="J20107" s="25"/>
      <c r="K20107" s="25"/>
    </row>
    <row r="20108" customFormat="false" ht="15" hidden="false" customHeight="false" outlineLevel="0" collapsed="false">
      <c r="A20108" s="3" t="s">
        <v>556</v>
      </c>
      <c r="C20108" s="22" t="n">
        <f aca="false">IF(C19965=0,0,C20097/C19965)</f>
        <v>0</v>
      </c>
    </row>
    <row r="20109" customFormat="false" ht="15" hidden="false" customHeight="false" outlineLevel="0" collapsed="false">
      <c r="A20109" s="3" t="s">
        <v>557</v>
      </c>
      <c r="C20109" s="22" t="n">
        <f aca="false">IF(C19966=0,0,C20098/C19966)</f>
        <v>0.0673593774163608</v>
      </c>
    </row>
    <row r="20110" customFormat="false" ht="15" hidden="false" customHeight="false" outlineLevel="0" collapsed="false">
      <c r="A20110" s="3" t="s">
        <v>558</v>
      </c>
      <c r="C20110" s="22" t="n">
        <f aca="false">IF(C19967=0,0,C20099/C19967)</f>
        <v>0.0716251283593048</v>
      </c>
    </row>
    <row r="20111" customFormat="false" ht="15" hidden="false" customHeight="false" outlineLevel="0" collapsed="false">
      <c r="A20111" s="3" t="s">
        <v>559</v>
      </c>
      <c r="C20111" s="22" t="n">
        <f aca="false">IF(C19968=0,0,C20100/C19968)</f>
        <v>0</v>
      </c>
    </row>
    <row r="20112" customFormat="false" ht="15" hidden="false" customHeight="false" outlineLevel="0" collapsed="false">
      <c r="A20112" s="3" t="s">
        <v>560</v>
      </c>
      <c r="C20112" s="22" t="n">
        <f aca="false">IF(C19969=0,0,C20101/C19969)</f>
        <v>0</v>
      </c>
    </row>
    <row r="20113" customFormat="false" ht="15" hidden="false" customHeight="false" outlineLevel="0" collapsed="false">
      <c r="A20113" s="3" t="s">
        <v>561</v>
      </c>
      <c r="C20113" s="22" t="n">
        <f aca="false">IF(C19970=0,0,C20102/C19970)</f>
        <v>0</v>
      </c>
    </row>
    <row r="20114" customFormat="false" ht="15" hidden="false" customHeight="false" outlineLevel="0" collapsed="false">
      <c r="A20114" s="3" t="s">
        <v>562</v>
      </c>
      <c r="C20114" s="22" t="n">
        <f aca="false">IF(C19971=0,0,C20103/C19971)</f>
        <v>0</v>
      </c>
    </row>
    <row r="20115" customFormat="false" ht="15" hidden="false" customHeight="false" outlineLevel="0" collapsed="false">
      <c r="A20115" s="3" t="s">
        <v>563</v>
      </c>
      <c r="C20115" s="22" t="n">
        <f aca="false">IF(C19972=0,0,C20104/C19972)</f>
        <v>0</v>
      </c>
    </row>
    <row r="20116" customFormat="false" ht="15" hidden="false" customHeight="false" outlineLevel="0" collapsed="false">
      <c r="A20116" s="3" t="s">
        <v>564</v>
      </c>
      <c r="C20116" s="22" t="n">
        <f aca="false">IF(C19973=0,0,C20105/C19973)</f>
        <v>0</v>
      </c>
    </row>
    <row r="20117" customFormat="false" ht="15" hidden="false" customHeight="false" outlineLevel="0" collapsed="false">
      <c r="A20117" s="3" t="s">
        <v>565</v>
      </c>
      <c r="C20117" s="22" t="n">
        <f aca="false">IF(C19974=0,0,C20106/C19974)</f>
        <v>0.749324953454489</v>
      </c>
    </row>
    <row r="20118" customFormat="false" ht="15" hidden="false" customHeight="false" outlineLevel="0" collapsed="false">
      <c r="A20118" s="2" t="s">
        <v>579</v>
      </c>
      <c r="C20118" s="17" t="n">
        <f aca="false">MAX(0,$C$19963-SUM($C$19998:$C$20007)-SUM($C$20020:$C$20029))</f>
        <v>0</v>
      </c>
    </row>
    <row r="20119" customFormat="false" ht="15" hidden="false" customHeight="false" outlineLevel="0" collapsed="false">
      <c r="A20119" s="3" t="s">
        <v>580</v>
      </c>
      <c r="C20119" s="16" t="n">
        <f aca="false">SUM($C$20075:$C$20084)+C20118+C19962-C19961</f>
        <v>0</v>
      </c>
    </row>
    <row r="20121" customFormat="false" ht="15" hidden="false" customHeight="false" outlineLevel="0" collapsed="false">
      <c r="A20121" s="24" t="s">
        <v>583</v>
      </c>
      <c r="B20121" s="25"/>
      <c r="C20121" s="25"/>
      <c r="D20121" s="25"/>
      <c r="E20121" s="25"/>
      <c r="F20121" s="25"/>
      <c r="G20121" s="25"/>
      <c r="H20121" s="25"/>
      <c r="I20121" s="25"/>
      <c r="J20121" s="25"/>
      <c r="K20121" s="25"/>
    </row>
    <row r="20122" customFormat="false" ht="15" hidden="false" customHeight="false" outlineLevel="0" collapsed="false">
      <c r="A20122" s="3" t="s">
        <v>584</v>
      </c>
      <c r="C20122" s="27" t="n">
        <f aca="false">Assumptions!$C$34</f>
        <v>1</v>
      </c>
    </row>
    <row r="20123" customFormat="false" ht="15" hidden="false" customHeight="false" outlineLevel="0" collapsed="false">
      <c r="A20123" s="3" t="s">
        <v>585</v>
      </c>
      <c r="C20123" s="29" t="n">
        <f aca="false">Assumptions!$C$35</f>
        <v>100</v>
      </c>
    </row>
    <row r="20124" customFormat="false" ht="15" hidden="false" customHeight="false" outlineLevel="0" collapsed="false">
      <c r="A20124" s="3" t="s">
        <v>586</v>
      </c>
      <c r="C20124" s="40" t="n">
        <f aca="false">Assumptions!$C$36</f>
        <v>98</v>
      </c>
    </row>
    <row r="20125" customFormat="false" ht="15" hidden="false" customHeight="false" outlineLevel="0" collapsed="false">
      <c r="A20125" s="3" t="s">
        <v>587</v>
      </c>
      <c r="C20125" s="16" t="n">
        <f aca="false">C20123*C20124/100*(1+Assumptions!$C$37)</f>
        <v>98.49</v>
      </c>
    </row>
    <row r="20126" customFormat="false" ht="15" hidden="false" customHeight="false" outlineLevel="0" collapsed="false">
      <c r="A20126" s="3" t="s">
        <v>588</v>
      </c>
      <c r="C20126" s="27" t="n">
        <f aca="false">Assumptions!$C$38</f>
        <v>3</v>
      </c>
    </row>
    <row r="20127" customFormat="false" ht="15" hidden="false" customHeight="false" outlineLevel="0" collapsed="false">
      <c r="A20127" s="3" t="s">
        <v>589</v>
      </c>
      <c r="C20127" s="21" t="n">
        <f aca="false">IF(C19954=1,SUMPRODUCT($G$19890:$K$19890,$G$19664:$K$19664),0)</f>
        <v>2</v>
      </c>
    </row>
    <row r="20128" customFormat="false" ht="15" hidden="false" customHeight="false" outlineLevel="0" collapsed="false">
      <c r="A20128" s="3" t="s">
        <v>590</v>
      </c>
      <c r="C20128" s="22" t="n">
        <f aca="false">IFERROR(C20123/CHOOSE(C20122,SUMPRODUCT($G$19953:$K$19953,$G$19710:$K$19710),SUMPRODUCT($G$19953:$K$19953,$G$19723:$K$19723),SUMPRODUCT($G$19953:$K$19953,$G$19736:$K$19736),SUMPRODUCT($G$19953:$K$19953,$G$19749:$K$19749),SUMPRODUCT($G$19953:$K$19953,$G$19762:$K$19762),SUMPRODUCT($G$19953:$K$19953,$G$19775:$K$19775),SUMPRODUCT($G$19953:$K$19953,$G$19788:$K$19788),SUMPRODUCT($G$19953:$K$19953,$G$19801:$K$19801),SUMPRODUCT($G$19953:$K$19953,$G$19814:$K$19814),SUMPRODUCT($G$19953:$K$19953,$G$19827:$K$19827)),0)</f>
        <v>0.255102040816327</v>
      </c>
    </row>
    <row r="20129" customFormat="false" ht="15" hidden="false" customHeight="false" outlineLevel="0" collapsed="false">
      <c r="A20129" s="3" t="s">
        <v>591</v>
      </c>
      <c r="C20129" s="16" t="n">
        <f aca="false">CHOOSE(C20122,C20075,C20076,C20077,C20078,C20079,C20080,C20081,C20082,C20083,C20084)*C20128</f>
        <v>103</v>
      </c>
    </row>
    <row r="20130" customFormat="false" ht="15" hidden="false" customHeight="false" outlineLevel="0" collapsed="false">
      <c r="A20130" s="3" t="s">
        <v>592</v>
      </c>
      <c r="C20130" s="22" t="n">
        <f aca="false">CHOOSE(C20122,C20086,C20087,C20088,C20089,C20090,C20091,C20092,C20093,C20094,C20095)</f>
        <v>1</v>
      </c>
    </row>
    <row r="20131" customFormat="false" ht="15" hidden="false" customHeight="false" outlineLevel="0" collapsed="false">
      <c r="A20131" s="3" t="s">
        <v>593</v>
      </c>
      <c r="C20131" s="21" t="n">
        <f aca="false">IF(C19954=1,C20127,C20126)</f>
        <v>2</v>
      </c>
    </row>
    <row r="20132" customFormat="false" ht="15" hidden="false" customHeight="false" outlineLevel="0" collapsed="false">
      <c r="A20132" s="3" t="s">
        <v>594</v>
      </c>
      <c r="C20132" s="35" t="n">
        <f aca="false">CHOOSE($C$19656,Assumptions!$C$91,Assumptions!$C$110,Assumptions!$C$129)</f>
        <v>85</v>
      </c>
    </row>
    <row r="20133" customFormat="false" ht="15" hidden="false" customHeight="false" outlineLevel="0" collapsed="false">
      <c r="A20133" s="3" t="s">
        <v>595</v>
      </c>
      <c r="C20133" s="16" t="n">
        <f aca="false">INDEX($G$19673:$K$19673,C20126)*CHOOSE($C$19656,Assumptions!$C$90,Assumptions!$C$109,Assumptions!$C$128)+MAX(0,INDEX($G$19887:$K$19887,C20126))</f>
        <v>1633.40082545963</v>
      </c>
    </row>
    <row r="20134" customFormat="false" ht="15" hidden="false" customHeight="false" outlineLevel="0" collapsed="false">
      <c r="A20134" s="24" t="s">
        <v>596</v>
      </c>
      <c r="B20134" s="25"/>
      <c r="C20134" s="25"/>
      <c r="D20134" s="25"/>
      <c r="E20134" s="25"/>
      <c r="F20134" s="25"/>
      <c r="G20134" s="25"/>
      <c r="H20134" s="25"/>
      <c r="I20134" s="25"/>
      <c r="J20134" s="25"/>
      <c r="K20134" s="25"/>
    </row>
    <row r="20135" customFormat="false" ht="15" hidden="false" customHeight="false" outlineLevel="0" collapsed="false">
      <c r="A20135" s="3" t="s">
        <v>556</v>
      </c>
      <c r="C20135" s="16" t="n">
        <f aca="false">INDEX($G$19710:$K$19710,C20126)</f>
        <v>388</v>
      </c>
    </row>
    <row r="20136" customFormat="false" ht="15" hidden="false" customHeight="false" outlineLevel="0" collapsed="false">
      <c r="A20136" s="3" t="s">
        <v>557</v>
      </c>
      <c r="C20136" s="16" t="n">
        <f aca="false">INDEX($G$19723:$K$19723,C20126)</f>
        <v>90</v>
      </c>
    </row>
    <row r="20137" customFormat="false" ht="15" hidden="false" customHeight="false" outlineLevel="0" collapsed="false">
      <c r="A20137" s="3" t="s">
        <v>558</v>
      </c>
      <c r="C20137" s="16" t="n">
        <f aca="false">INDEX($G$19736:$K$19736,C20126)</f>
        <v>57.324</v>
      </c>
    </row>
    <row r="20138" customFormat="false" ht="15" hidden="false" customHeight="false" outlineLevel="0" collapsed="false">
      <c r="A20138" s="3" t="s">
        <v>559</v>
      </c>
      <c r="C20138" s="16" t="n">
        <f aca="false">INDEX($G$19749:$K$19749,C20126)</f>
        <v>0</v>
      </c>
    </row>
    <row r="20139" customFormat="false" ht="15" hidden="false" customHeight="false" outlineLevel="0" collapsed="false">
      <c r="A20139" s="3" t="s">
        <v>560</v>
      </c>
      <c r="C20139" s="16" t="n">
        <f aca="false">INDEX($G$19762:$K$19762,C20126)</f>
        <v>434.9547587</v>
      </c>
    </row>
    <row r="20140" customFormat="false" ht="15" hidden="false" customHeight="false" outlineLevel="0" collapsed="false">
      <c r="A20140" s="3" t="s">
        <v>561</v>
      </c>
      <c r="C20140" s="16" t="n">
        <f aca="false">INDEX($G$19775:$K$19775,C20126)</f>
        <v>350</v>
      </c>
    </row>
    <row r="20141" customFormat="false" ht="15" hidden="false" customHeight="false" outlineLevel="0" collapsed="false">
      <c r="A20141" s="3" t="s">
        <v>562</v>
      </c>
      <c r="C20141" s="16" t="n">
        <f aca="false">INDEX($G$19788:$K$19788,C20126)</f>
        <v>550</v>
      </c>
    </row>
    <row r="20142" customFormat="false" ht="15" hidden="false" customHeight="false" outlineLevel="0" collapsed="false">
      <c r="A20142" s="3" t="s">
        <v>563</v>
      </c>
      <c r="C20142" s="16" t="n">
        <f aca="false">INDEX($G$19801:$K$19801,C20126)</f>
        <v>350</v>
      </c>
    </row>
    <row r="20143" customFormat="false" ht="15" hidden="false" customHeight="false" outlineLevel="0" collapsed="false">
      <c r="A20143" s="3" t="s">
        <v>564</v>
      </c>
      <c r="C20143" s="16" t="n">
        <f aca="false">INDEX($G$19814:$K$19814,C20126)</f>
        <v>300</v>
      </c>
    </row>
    <row r="20144" customFormat="false" ht="15" hidden="false" customHeight="false" outlineLevel="0" collapsed="false">
      <c r="A20144" s="3" t="s">
        <v>565</v>
      </c>
      <c r="C20144" s="16" t="n">
        <f aca="false">INDEX($G$19827:$K$19827,C20126)</f>
        <v>78.61</v>
      </c>
    </row>
    <row r="20145" customFormat="false" ht="15" hidden="false" customHeight="false" outlineLevel="0" collapsed="false">
      <c r="A20145" s="24" t="s">
        <v>566</v>
      </c>
      <c r="B20145" s="25"/>
      <c r="C20145" s="25"/>
      <c r="D20145" s="25"/>
      <c r="E20145" s="25"/>
      <c r="F20145" s="25"/>
      <c r="G20145" s="25"/>
      <c r="H20145" s="25"/>
      <c r="I20145" s="25"/>
      <c r="J20145" s="25"/>
      <c r="K20145" s="25"/>
    </row>
    <row r="20146" customFormat="false" ht="15" hidden="false" customHeight="false" outlineLevel="0" collapsed="false">
      <c r="A20146" s="3" t="s">
        <v>556</v>
      </c>
      <c r="C20146" s="27" t="n">
        <f aca="false">Assumptions!$M$57</f>
        <v>1</v>
      </c>
    </row>
    <row r="20147" customFormat="false" ht="15" hidden="false" customHeight="false" outlineLevel="0" collapsed="false">
      <c r="A20147" s="3" t="s">
        <v>557</v>
      </c>
      <c r="C20147" s="27" t="n">
        <f aca="false">Assumptions!$M$58</f>
        <v>1</v>
      </c>
    </row>
    <row r="20148" customFormat="false" ht="15" hidden="false" customHeight="false" outlineLevel="0" collapsed="false">
      <c r="A20148" s="3" t="s">
        <v>558</v>
      </c>
      <c r="C20148" s="27" t="n">
        <f aca="false">Assumptions!$M$59</f>
        <v>1</v>
      </c>
    </row>
    <row r="20149" customFormat="false" ht="15" hidden="false" customHeight="false" outlineLevel="0" collapsed="false">
      <c r="A20149" s="3" t="s">
        <v>559</v>
      </c>
      <c r="C20149" s="27" t="n">
        <f aca="false">Assumptions!$M$60</f>
        <v>2</v>
      </c>
    </row>
    <row r="20150" customFormat="false" ht="15" hidden="false" customHeight="false" outlineLevel="0" collapsed="false">
      <c r="A20150" s="3" t="s">
        <v>560</v>
      </c>
      <c r="C20150" s="27" t="n">
        <f aca="false">Assumptions!$M$61</f>
        <v>2</v>
      </c>
    </row>
    <row r="20151" customFormat="false" ht="15" hidden="false" customHeight="false" outlineLevel="0" collapsed="false">
      <c r="A20151" s="3" t="s">
        <v>561</v>
      </c>
      <c r="C20151" s="27" t="n">
        <f aca="false">Assumptions!$M$62</f>
        <v>2</v>
      </c>
    </row>
    <row r="20152" customFormat="false" ht="15" hidden="false" customHeight="false" outlineLevel="0" collapsed="false">
      <c r="A20152" s="3" t="s">
        <v>562</v>
      </c>
      <c r="C20152" s="27" t="n">
        <f aca="false">Assumptions!$M$63</f>
        <v>2</v>
      </c>
    </row>
    <row r="20153" customFormat="false" ht="15" hidden="false" customHeight="false" outlineLevel="0" collapsed="false">
      <c r="A20153" s="3" t="s">
        <v>563</v>
      </c>
      <c r="C20153" s="27" t="n">
        <f aca="false">Assumptions!$M$64</f>
        <v>2</v>
      </c>
    </row>
    <row r="20154" customFormat="false" ht="15" hidden="false" customHeight="false" outlineLevel="0" collapsed="false">
      <c r="A20154" s="3" t="s">
        <v>564</v>
      </c>
      <c r="C20154" s="27" t="n">
        <f aca="false">Assumptions!$M$65</f>
        <v>2</v>
      </c>
    </row>
    <row r="20155" customFormat="false" ht="15" hidden="false" customHeight="false" outlineLevel="0" collapsed="false">
      <c r="A20155" s="3" t="s">
        <v>565</v>
      </c>
      <c r="C20155" s="27" t="n">
        <f aca="false">Assumptions!$M$66</f>
        <v>3</v>
      </c>
    </row>
    <row r="20156" customFormat="false" ht="15" hidden="false" customHeight="false" outlineLevel="0" collapsed="false">
      <c r="A20156" s="24" t="s">
        <v>567</v>
      </c>
      <c r="B20156" s="25"/>
      <c r="C20156" s="25"/>
      <c r="D20156" s="25"/>
      <c r="E20156" s="25"/>
      <c r="F20156" s="25"/>
      <c r="G20156" s="25"/>
      <c r="H20156" s="25"/>
      <c r="I20156" s="25"/>
      <c r="J20156" s="25"/>
      <c r="K20156" s="25"/>
    </row>
    <row r="20157" customFormat="false" ht="15" hidden="false" customHeight="false" outlineLevel="0" collapsed="false">
      <c r="A20157" s="3" t="s">
        <v>556</v>
      </c>
      <c r="C20157" s="33" t="n">
        <f aca="false">Assumptions!$Q$57</f>
        <v>0.3</v>
      </c>
    </row>
    <row r="20158" customFormat="false" ht="15" hidden="false" customHeight="false" outlineLevel="0" collapsed="false">
      <c r="A20158" s="3" t="s">
        <v>557</v>
      </c>
      <c r="C20158" s="33" t="n">
        <f aca="false">Assumptions!$Q$58</f>
        <v>0.033</v>
      </c>
    </row>
    <row r="20159" customFormat="false" ht="15" hidden="false" customHeight="false" outlineLevel="0" collapsed="false">
      <c r="A20159" s="3" t="s">
        <v>558</v>
      </c>
      <c r="C20159" s="33" t="n">
        <f aca="false">Assumptions!$Q$59</f>
        <v>0.021</v>
      </c>
    </row>
    <row r="20160" customFormat="false" ht="15" hidden="false" customHeight="false" outlineLevel="0" collapsed="false">
      <c r="A20160" s="3" t="s">
        <v>559</v>
      </c>
      <c r="C20160" s="33" t="n">
        <f aca="false">Assumptions!$Q$60</f>
        <v>0</v>
      </c>
    </row>
    <row r="20161" customFormat="false" ht="15" hidden="false" customHeight="false" outlineLevel="0" collapsed="false">
      <c r="A20161" s="3" t="s">
        <v>560</v>
      </c>
      <c r="C20161" s="33" t="n">
        <f aca="false">Assumptions!$Q$61</f>
        <v>0</v>
      </c>
    </row>
    <row r="20162" customFormat="false" ht="15" hidden="false" customHeight="false" outlineLevel="0" collapsed="false">
      <c r="A20162" s="3" t="s">
        <v>561</v>
      </c>
      <c r="C20162" s="33" t="n">
        <f aca="false">Assumptions!$Q$62</f>
        <v>0</v>
      </c>
    </row>
    <row r="20163" customFormat="false" ht="15" hidden="false" customHeight="false" outlineLevel="0" collapsed="false">
      <c r="A20163" s="3" t="s">
        <v>562</v>
      </c>
      <c r="C20163" s="33" t="n">
        <f aca="false">Assumptions!$Q$63</f>
        <v>0</v>
      </c>
    </row>
    <row r="20164" customFormat="false" ht="15" hidden="false" customHeight="false" outlineLevel="0" collapsed="false">
      <c r="A20164" s="3" t="s">
        <v>563</v>
      </c>
      <c r="C20164" s="33" t="n">
        <f aca="false">Assumptions!$Q$64</f>
        <v>0</v>
      </c>
    </row>
    <row r="20165" customFormat="false" ht="15" hidden="false" customHeight="false" outlineLevel="0" collapsed="false">
      <c r="A20165" s="3" t="s">
        <v>564</v>
      </c>
      <c r="C20165" s="33" t="n">
        <f aca="false">Assumptions!$Q$65</f>
        <v>0</v>
      </c>
    </row>
    <row r="20166" customFormat="false" ht="15" hidden="false" customHeight="false" outlineLevel="0" collapsed="false">
      <c r="A20166" s="3" t="s">
        <v>565</v>
      </c>
      <c r="C20166" s="33" t="n">
        <f aca="false">Assumptions!$Q$66</f>
        <v>0</v>
      </c>
    </row>
    <row r="20167" customFormat="false" ht="15" hidden="false" customHeight="false" outlineLevel="0" collapsed="false">
      <c r="A20167" s="24" t="s">
        <v>568</v>
      </c>
      <c r="B20167" s="25"/>
      <c r="C20167" s="25"/>
      <c r="D20167" s="25"/>
      <c r="E20167" s="25"/>
      <c r="F20167" s="25"/>
      <c r="G20167" s="25"/>
      <c r="H20167" s="25"/>
      <c r="I20167" s="25"/>
      <c r="J20167" s="25"/>
      <c r="K20167" s="25"/>
    </row>
    <row r="20168" customFormat="false" ht="15" hidden="false" customHeight="false" outlineLevel="0" collapsed="false">
      <c r="A20168" s="3" t="s">
        <v>556</v>
      </c>
      <c r="C20168" s="16" t="n">
        <f aca="false">IF(C20157&gt;0,MIN(C20135,C20157*$C$20133),0)</f>
        <v>388</v>
      </c>
    </row>
    <row r="20169" customFormat="false" ht="15" hidden="false" customHeight="false" outlineLevel="0" collapsed="false">
      <c r="A20169" s="3" t="s">
        <v>557</v>
      </c>
      <c r="C20169" s="16" t="n">
        <f aca="false">IF(C20158&gt;0,MIN(C20136,C20158*$C$20133),0)</f>
        <v>53.9022272401676</v>
      </c>
    </row>
    <row r="20170" customFormat="false" ht="15" hidden="false" customHeight="false" outlineLevel="0" collapsed="false">
      <c r="A20170" s="3" t="s">
        <v>558</v>
      </c>
      <c r="C20170" s="16" t="n">
        <f aca="false">IF(C20159&gt;0,MIN(C20137,C20159*$C$20133),0)</f>
        <v>34.3014173346521</v>
      </c>
    </row>
    <row r="20171" customFormat="false" ht="15" hidden="false" customHeight="false" outlineLevel="0" collapsed="false">
      <c r="A20171" s="3" t="s">
        <v>559</v>
      </c>
      <c r="C20171" s="16" t="n">
        <f aca="false">IF(C20160&gt;0,MIN(C20138,C20160*$C$20133),0)</f>
        <v>0</v>
      </c>
    </row>
    <row r="20172" customFormat="false" ht="15" hidden="false" customHeight="false" outlineLevel="0" collapsed="false">
      <c r="A20172" s="3" t="s">
        <v>560</v>
      </c>
      <c r="C20172" s="16" t="n">
        <f aca="false">IF(C20161&gt;0,MIN(C20139,C20161*$C$20133),0)</f>
        <v>0</v>
      </c>
    </row>
    <row r="20173" customFormat="false" ht="15" hidden="false" customHeight="false" outlineLevel="0" collapsed="false">
      <c r="A20173" s="3" t="s">
        <v>561</v>
      </c>
      <c r="C20173" s="16" t="n">
        <f aca="false">IF(C20162&gt;0,MIN(C20140,C20162*$C$20133),0)</f>
        <v>0</v>
      </c>
    </row>
    <row r="20174" customFormat="false" ht="15" hidden="false" customHeight="false" outlineLevel="0" collapsed="false">
      <c r="A20174" s="3" t="s">
        <v>562</v>
      </c>
      <c r="C20174" s="16" t="n">
        <f aca="false">IF(C20163&gt;0,MIN(C20141,C20163*$C$20133),0)</f>
        <v>0</v>
      </c>
    </row>
    <row r="20175" customFormat="false" ht="15" hidden="false" customHeight="false" outlineLevel="0" collapsed="false">
      <c r="A20175" s="3" t="s">
        <v>563</v>
      </c>
      <c r="C20175" s="16" t="n">
        <f aca="false">IF(C20164&gt;0,MIN(C20142,C20164*$C$20133),0)</f>
        <v>0</v>
      </c>
    </row>
    <row r="20176" customFormat="false" ht="15" hidden="false" customHeight="false" outlineLevel="0" collapsed="false">
      <c r="A20176" s="3" t="s">
        <v>564</v>
      </c>
      <c r="C20176" s="16" t="n">
        <f aca="false">IF(C20165&gt;0,MIN(C20143,C20165*$C$20133),0)</f>
        <v>0</v>
      </c>
    </row>
    <row r="20177" customFormat="false" ht="15" hidden="false" customHeight="false" outlineLevel="0" collapsed="false">
      <c r="A20177" s="3" t="s">
        <v>565</v>
      </c>
      <c r="C20177" s="16" t="n">
        <f aca="false">IF(C20166&gt;0,MIN(C20144,C20166*$C$20133),0)</f>
        <v>0</v>
      </c>
    </row>
    <row r="20178" customFormat="false" ht="15" hidden="false" customHeight="false" outlineLevel="0" collapsed="false">
      <c r="A20178" s="24" t="s">
        <v>569</v>
      </c>
      <c r="B20178" s="25"/>
      <c r="C20178" s="25"/>
      <c r="D20178" s="25"/>
      <c r="E20178" s="25"/>
      <c r="F20178" s="25"/>
      <c r="G20178" s="25"/>
      <c r="H20178" s="25"/>
      <c r="I20178" s="25"/>
      <c r="J20178" s="25"/>
      <c r="K20178" s="25"/>
    </row>
    <row r="20179" customFormat="false" ht="15" hidden="false" customHeight="false" outlineLevel="0" collapsed="false">
      <c r="A20179" s="3" t="s">
        <v>556</v>
      </c>
      <c r="C20179" s="16" t="n">
        <f aca="false">IF(C20157&gt;0,C20135-C20168,0)</f>
        <v>0</v>
      </c>
    </row>
    <row r="20180" customFormat="false" ht="15" hidden="false" customHeight="false" outlineLevel="0" collapsed="false">
      <c r="A20180" s="3" t="s">
        <v>557</v>
      </c>
      <c r="C20180" s="16" t="n">
        <f aca="false">IF(C20158&gt;0,C20136-C20169,0)</f>
        <v>36.0977727598324</v>
      </c>
    </row>
    <row r="20181" customFormat="false" ht="15" hidden="false" customHeight="false" outlineLevel="0" collapsed="false">
      <c r="A20181" s="3" t="s">
        <v>558</v>
      </c>
      <c r="C20181" s="16" t="n">
        <f aca="false">IF(C20159&gt;0,C20137-C20170,0)</f>
        <v>23.0225826653479</v>
      </c>
    </row>
    <row r="20182" customFormat="false" ht="15" hidden="false" customHeight="false" outlineLevel="0" collapsed="false">
      <c r="A20182" s="3" t="s">
        <v>559</v>
      </c>
      <c r="C20182" s="16" t="n">
        <f aca="false">IF(C20160&gt;0,C20138-C20171,0)</f>
        <v>0</v>
      </c>
    </row>
    <row r="20183" customFormat="false" ht="15" hidden="false" customHeight="false" outlineLevel="0" collapsed="false">
      <c r="A20183" s="3" t="s">
        <v>560</v>
      </c>
      <c r="C20183" s="16" t="n">
        <f aca="false">IF(C20161&gt;0,C20139-C20172,0)</f>
        <v>0</v>
      </c>
    </row>
    <row r="20184" customFormat="false" ht="15" hidden="false" customHeight="false" outlineLevel="0" collapsed="false">
      <c r="A20184" s="3" t="s">
        <v>561</v>
      </c>
      <c r="C20184" s="16" t="n">
        <f aca="false">IF(C20162&gt;0,C20140-C20173,0)</f>
        <v>0</v>
      </c>
    </row>
    <row r="20185" customFormat="false" ht="15" hidden="false" customHeight="false" outlineLevel="0" collapsed="false">
      <c r="A20185" s="3" t="s">
        <v>562</v>
      </c>
      <c r="C20185" s="16" t="n">
        <f aca="false">IF(C20163&gt;0,C20141-C20174,0)</f>
        <v>0</v>
      </c>
    </row>
    <row r="20186" customFormat="false" ht="15" hidden="false" customHeight="false" outlineLevel="0" collapsed="false">
      <c r="A20186" s="3" t="s">
        <v>563</v>
      </c>
      <c r="C20186" s="16" t="n">
        <f aca="false">IF(C20164&gt;0,C20142-C20175,0)</f>
        <v>0</v>
      </c>
    </row>
    <row r="20187" customFormat="false" ht="15" hidden="false" customHeight="false" outlineLevel="0" collapsed="false">
      <c r="A20187" s="3" t="s">
        <v>564</v>
      </c>
      <c r="C20187" s="16" t="n">
        <f aca="false">IF(C20165&gt;0,C20143-C20176,0)</f>
        <v>0</v>
      </c>
    </row>
    <row r="20188" customFormat="false" ht="15" hidden="false" customHeight="false" outlineLevel="0" collapsed="false">
      <c r="A20188" s="3" t="s">
        <v>565</v>
      </c>
      <c r="C20188" s="16" t="n">
        <f aca="false">IF(C20166&gt;0,C20144-C20177,0)</f>
        <v>0</v>
      </c>
    </row>
    <row r="20189" customFormat="false" ht="15" hidden="false" customHeight="false" outlineLevel="0" collapsed="false">
      <c r="A20189" s="24" t="s">
        <v>570</v>
      </c>
      <c r="B20189" s="25"/>
      <c r="C20189" s="25"/>
      <c r="D20189" s="25"/>
      <c r="E20189" s="25"/>
      <c r="F20189" s="25"/>
      <c r="G20189" s="25"/>
      <c r="H20189" s="25"/>
      <c r="I20189" s="25"/>
      <c r="J20189" s="25"/>
      <c r="K20189" s="25"/>
    </row>
    <row r="20190" customFormat="false" ht="15" hidden="false" customHeight="false" outlineLevel="0" collapsed="false">
      <c r="A20190" s="3" t="s">
        <v>556</v>
      </c>
      <c r="C20190" s="16" t="n">
        <f aca="false">IF(C20157&gt;0,C20179,C20135)</f>
        <v>0</v>
      </c>
    </row>
    <row r="20191" customFormat="false" ht="15" hidden="false" customHeight="false" outlineLevel="0" collapsed="false">
      <c r="A20191" s="3" t="s">
        <v>557</v>
      </c>
      <c r="C20191" s="16" t="n">
        <f aca="false">IF(C20158&gt;0,C20180,C20136)</f>
        <v>36.0977727598324</v>
      </c>
    </row>
    <row r="20192" customFormat="false" ht="15" hidden="false" customHeight="false" outlineLevel="0" collapsed="false">
      <c r="A20192" s="3" t="s">
        <v>558</v>
      </c>
      <c r="C20192" s="16" t="n">
        <f aca="false">IF(C20159&gt;0,C20181,C20137)</f>
        <v>23.0225826653479</v>
      </c>
    </row>
    <row r="20193" customFormat="false" ht="15" hidden="false" customHeight="false" outlineLevel="0" collapsed="false">
      <c r="A20193" s="3" t="s">
        <v>559</v>
      </c>
      <c r="C20193" s="16" t="n">
        <f aca="false">IF(C20160&gt;0,C20182,C20138)</f>
        <v>0</v>
      </c>
    </row>
    <row r="20194" customFormat="false" ht="15" hidden="false" customHeight="false" outlineLevel="0" collapsed="false">
      <c r="A20194" s="3" t="s">
        <v>560</v>
      </c>
      <c r="C20194" s="16" t="n">
        <f aca="false">IF(C20161&gt;0,C20183,C20139)</f>
        <v>434.9547587</v>
      </c>
    </row>
    <row r="20195" customFormat="false" ht="15" hidden="false" customHeight="false" outlineLevel="0" collapsed="false">
      <c r="A20195" s="3" t="s">
        <v>561</v>
      </c>
      <c r="C20195" s="16" t="n">
        <f aca="false">IF(C20162&gt;0,C20184,C20140)</f>
        <v>350</v>
      </c>
    </row>
    <row r="20196" customFormat="false" ht="15" hidden="false" customHeight="false" outlineLevel="0" collapsed="false">
      <c r="A20196" s="3" t="s">
        <v>562</v>
      </c>
      <c r="C20196" s="16" t="n">
        <f aca="false">IF(C20163&gt;0,C20185,C20141)</f>
        <v>550</v>
      </c>
    </row>
    <row r="20197" customFormat="false" ht="15" hidden="false" customHeight="false" outlineLevel="0" collapsed="false">
      <c r="A20197" s="3" t="s">
        <v>563</v>
      </c>
      <c r="C20197" s="16" t="n">
        <f aca="false">IF(C20164&gt;0,C20186,C20142)</f>
        <v>350</v>
      </c>
    </row>
    <row r="20198" customFormat="false" ht="15" hidden="false" customHeight="false" outlineLevel="0" collapsed="false">
      <c r="A20198" s="3" t="s">
        <v>564</v>
      </c>
      <c r="C20198" s="16" t="n">
        <f aca="false">IF(C20165&gt;0,C20187,C20143)</f>
        <v>300</v>
      </c>
    </row>
    <row r="20199" customFormat="false" ht="15" hidden="false" customHeight="false" outlineLevel="0" collapsed="false">
      <c r="A20199" s="3" t="s">
        <v>565</v>
      </c>
      <c r="C20199" s="16" t="n">
        <f aca="false">IF(C20166&gt;0,C20188,C20144)</f>
        <v>78.61</v>
      </c>
    </row>
    <row r="20200" customFormat="false" ht="15" hidden="false" customHeight="false" outlineLevel="0" collapsed="false">
      <c r="A20200" s="24" t="s">
        <v>571</v>
      </c>
      <c r="B20200" s="25"/>
      <c r="C20200" s="25"/>
      <c r="D20200" s="25"/>
      <c r="E20200" s="25"/>
      <c r="F20200" s="25"/>
      <c r="G20200" s="25"/>
      <c r="H20200" s="25"/>
      <c r="I20200" s="25"/>
      <c r="J20200" s="25"/>
      <c r="K20200" s="25"/>
    </row>
    <row r="20201" customFormat="false" ht="15" hidden="false" customHeight="false" outlineLevel="0" collapsed="false">
      <c r="A20201" s="3" t="s">
        <v>556</v>
      </c>
      <c r="C20201" s="21" t="n">
        <f aca="false">IF(C20157&gt;0,Assumptions!$C$17,C20146)</f>
        <v>99</v>
      </c>
    </row>
    <row r="20202" customFormat="false" ht="15" hidden="false" customHeight="false" outlineLevel="0" collapsed="false">
      <c r="A20202" s="3" t="s">
        <v>557</v>
      </c>
      <c r="C20202" s="21" t="n">
        <f aca="false">IF(C20158&gt;0,Assumptions!$C$17,C20147)</f>
        <v>99</v>
      </c>
    </row>
    <row r="20203" customFormat="false" ht="15" hidden="false" customHeight="false" outlineLevel="0" collapsed="false">
      <c r="A20203" s="3" t="s">
        <v>558</v>
      </c>
      <c r="C20203" s="21" t="n">
        <f aca="false">IF(C20159&gt;0,Assumptions!$C$17,C20148)</f>
        <v>99</v>
      </c>
    </row>
    <row r="20204" customFormat="false" ht="15" hidden="false" customHeight="false" outlineLevel="0" collapsed="false">
      <c r="A20204" s="3" t="s">
        <v>559</v>
      </c>
      <c r="C20204" s="21" t="n">
        <f aca="false">IF(C20160&gt;0,Assumptions!$C$17,C20149)</f>
        <v>2</v>
      </c>
    </row>
    <row r="20205" customFormat="false" ht="15" hidden="false" customHeight="false" outlineLevel="0" collapsed="false">
      <c r="A20205" s="3" t="s">
        <v>560</v>
      </c>
      <c r="C20205" s="21" t="n">
        <f aca="false">IF(C20161&gt;0,Assumptions!$C$17,C20150)</f>
        <v>2</v>
      </c>
    </row>
    <row r="20206" customFormat="false" ht="15" hidden="false" customHeight="false" outlineLevel="0" collapsed="false">
      <c r="A20206" s="3" t="s">
        <v>561</v>
      </c>
      <c r="C20206" s="21" t="n">
        <f aca="false">IF(C20162&gt;0,Assumptions!$C$17,C20151)</f>
        <v>2</v>
      </c>
    </row>
    <row r="20207" customFormat="false" ht="15" hidden="false" customHeight="false" outlineLevel="0" collapsed="false">
      <c r="A20207" s="3" t="s">
        <v>562</v>
      </c>
      <c r="C20207" s="21" t="n">
        <f aca="false">IF(C20163&gt;0,Assumptions!$C$17,C20152)</f>
        <v>2</v>
      </c>
    </row>
    <row r="20208" customFormat="false" ht="15" hidden="false" customHeight="false" outlineLevel="0" collapsed="false">
      <c r="A20208" s="3" t="s">
        <v>563</v>
      </c>
      <c r="C20208" s="21" t="n">
        <f aca="false">IF(C20164&gt;0,Assumptions!$C$17,C20153)</f>
        <v>2</v>
      </c>
    </row>
    <row r="20209" customFormat="false" ht="15" hidden="false" customHeight="false" outlineLevel="0" collapsed="false">
      <c r="A20209" s="3" t="s">
        <v>564</v>
      </c>
      <c r="C20209" s="21" t="n">
        <f aca="false">IF(C20165&gt;0,Assumptions!$C$17,C20154)</f>
        <v>2</v>
      </c>
    </row>
    <row r="20210" customFormat="false" ht="15" hidden="false" customHeight="false" outlineLevel="0" collapsed="false">
      <c r="A20210" s="3" t="s">
        <v>565</v>
      </c>
      <c r="C20210" s="21" t="n">
        <f aca="false">IF(C20166&gt;0,Assumptions!$C$17,C20155)</f>
        <v>3</v>
      </c>
    </row>
    <row r="20211" customFormat="false" ht="15" hidden="false" customHeight="false" outlineLevel="0" collapsed="false">
      <c r="A20211" s="24" t="s">
        <v>572</v>
      </c>
      <c r="B20211" s="25"/>
      <c r="C20211" s="25"/>
      <c r="D20211" s="25"/>
      <c r="E20211" s="25"/>
      <c r="F20211" s="25"/>
      <c r="G20211" s="25"/>
      <c r="H20211" s="25"/>
      <c r="I20211" s="25"/>
      <c r="J20211" s="25"/>
      <c r="K20211" s="25"/>
    </row>
    <row r="20212" customFormat="false" ht="15" hidden="false" customHeight="false" outlineLevel="0" collapsed="false">
      <c r="A20212" s="3" t="s">
        <v>556</v>
      </c>
      <c r="C20212" s="16" t="n">
        <f aca="false">SUMPRODUCT(($C$20201:$C$20210&lt;C20201)*$C$20190:$C$20199)</f>
        <v>2063.5647587</v>
      </c>
    </row>
    <row r="20213" customFormat="false" ht="15" hidden="false" customHeight="false" outlineLevel="0" collapsed="false">
      <c r="A20213" s="3" t="s">
        <v>557</v>
      </c>
      <c r="C20213" s="16" t="n">
        <f aca="false">SUMPRODUCT(($C$20201:$C$20210&lt;C20202)*$C$20190:$C$20199)</f>
        <v>2063.5647587</v>
      </c>
    </row>
    <row r="20214" customFormat="false" ht="15" hidden="false" customHeight="false" outlineLevel="0" collapsed="false">
      <c r="A20214" s="3" t="s">
        <v>558</v>
      </c>
      <c r="C20214" s="16" t="n">
        <f aca="false">SUMPRODUCT(($C$20201:$C$20210&lt;C20203)*$C$20190:$C$20199)</f>
        <v>2063.5647587</v>
      </c>
    </row>
    <row r="20215" customFormat="false" ht="15" hidden="false" customHeight="false" outlineLevel="0" collapsed="false">
      <c r="A20215" s="3" t="s">
        <v>559</v>
      </c>
      <c r="C20215" s="16" t="n">
        <f aca="false">SUMPRODUCT(($C$20201:$C$20210&lt;C20204)*$C$20190:$C$20199)</f>
        <v>0</v>
      </c>
    </row>
    <row r="20216" customFormat="false" ht="15" hidden="false" customHeight="false" outlineLevel="0" collapsed="false">
      <c r="A20216" s="3" t="s">
        <v>560</v>
      </c>
      <c r="C20216" s="16" t="n">
        <f aca="false">SUMPRODUCT(($C$20201:$C$20210&lt;C20205)*$C$20190:$C$20199)</f>
        <v>0</v>
      </c>
    </row>
    <row r="20217" customFormat="false" ht="15" hidden="false" customHeight="false" outlineLevel="0" collapsed="false">
      <c r="A20217" s="3" t="s">
        <v>561</v>
      </c>
      <c r="C20217" s="16" t="n">
        <f aca="false">SUMPRODUCT(($C$20201:$C$20210&lt;C20206)*$C$20190:$C$20199)</f>
        <v>0</v>
      </c>
    </row>
    <row r="20218" customFormat="false" ht="15" hidden="false" customHeight="false" outlineLevel="0" collapsed="false">
      <c r="A20218" s="3" t="s">
        <v>562</v>
      </c>
      <c r="C20218" s="16" t="n">
        <f aca="false">SUMPRODUCT(($C$20201:$C$20210&lt;C20207)*$C$20190:$C$20199)</f>
        <v>0</v>
      </c>
    </row>
    <row r="20219" customFormat="false" ht="15" hidden="false" customHeight="false" outlineLevel="0" collapsed="false">
      <c r="A20219" s="3" t="s">
        <v>563</v>
      </c>
      <c r="C20219" s="16" t="n">
        <f aca="false">SUMPRODUCT(($C$20201:$C$20210&lt;C20208)*$C$20190:$C$20199)</f>
        <v>0</v>
      </c>
    </row>
    <row r="20220" customFormat="false" ht="15" hidden="false" customHeight="false" outlineLevel="0" collapsed="false">
      <c r="A20220" s="3" t="s">
        <v>564</v>
      </c>
      <c r="C20220" s="16" t="n">
        <f aca="false">SUMPRODUCT(($C$20201:$C$20210&lt;C20209)*$C$20190:$C$20199)</f>
        <v>0</v>
      </c>
    </row>
    <row r="20221" customFormat="false" ht="15" hidden="false" customHeight="false" outlineLevel="0" collapsed="false">
      <c r="A20221" s="3" t="s">
        <v>565</v>
      </c>
      <c r="C20221" s="16" t="n">
        <f aca="false">SUMPRODUCT(($C$20201:$C$20210&lt;C20210)*$C$20190:$C$20199)</f>
        <v>1984.9547587</v>
      </c>
    </row>
    <row r="20222" customFormat="false" ht="15" hidden="false" customHeight="false" outlineLevel="0" collapsed="false">
      <c r="A20222" s="24" t="s">
        <v>573</v>
      </c>
      <c r="B20222" s="25"/>
      <c r="C20222" s="25"/>
      <c r="D20222" s="25"/>
      <c r="E20222" s="25"/>
      <c r="F20222" s="25"/>
      <c r="G20222" s="25"/>
      <c r="H20222" s="25"/>
      <c r="I20222" s="25"/>
      <c r="J20222" s="25"/>
      <c r="K20222" s="25"/>
    </row>
    <row r="20223" customFormat="false" ht="15" hidden="false" customHeight="false" outlineLevel="0" collapsed="false">
      <c r="A20223" s="3" t="s">
        <v>556</v>
      </c>
      <c r="C20223" s="16" t="n">
        <f aca="false">SUMPRODUCT(($C$20201:$C$20210=C20201)*$C$20190:$C$20199)</f>
        <v>59.1203554251802</v>
      </c>
    </row>
    <row r="20224" customFormat="false" ht="15" hidden="false" customHeight="false" outlineLevel="0" collapsed="false">
      <c r="A20224" s="3" t="s">
        <v>557</v>
      </c>
      <c r="C20224" s="16" t="n">
        <f aca="false">SUMPRODUCT(($C$20201:$C$20210=C20202)*$C$20190:$C$20199)</f>
        <v>59.1203554251802</v>
      </c>
    </row>
    <row r="20225" customFormat="false" ht="15" hidden="false" customHeight="false" outlineLevel="0" collapsed="false">
      <c r="A20225" s="3" t="s">
        <v>558</v>
      </c>
      <c r="C20225" s="16" t="n">
        <f aca="false">SUMPRODUCT(($C$20201:$C$20210=C20203)*$C$20190:$C$20199)</f>
        <v>59.1203554251802</v>
      </c>
    </row>
    <row r="20226" customFormat="false" ht="15" hidden="false" customHeight="false" outlineLevel="0" collapsed="false">
      <c r="A20226" s="3" t="s">
        <v>559</v>
      </c>
      <c r="C20226" s="16" t="n">
        <f aca="false">SUMPRODUCT(($C$20201:$C$20210=C20204)*$C$20190:$C$20199)</f>
        <v>1984.9547587</v>
      </c>
    </row>
    <row r="20227" customFormat="false" ht="15" hidden="false" customHeight="false" outlineLevel="0" collapsed="false">
      <c r="A20227" s="3" t="s">
        <v>560</v>
      </c>
      <c r="C20227" s="16" t="n">
        <f aca="false">SUMPRODUCT(($C$20201:$C$20210=C20205)*$C$20190:$C$20199)</f>
        <v>1984.9547587</v>
      </c>
    </row>
    <row r="20228" customFormat="false" ht="15" hidden="false" customHeight="false" outlineLevel="0" collapsed="false">
      <c r="A20228" s="3" t="s">
        <v>561</v>
      </c>
      <c r="C20228" s="16" t="n">
        <f aca="false">SUMPRODUCT(($C$20201:$C$20210=C20206)*$C$20190:$C$20199)</f>
        <v>1984.9547587</v>
      </c>
    </row>
    <row r="20229" customFormat="false" ht="15" hidden="false" customHeight="false" outlineLevel="0" collapsed="false">
      <c r="A20229" s="3" t="s">
        <v>562</v>
      </c>
      <c r="C20229" s="16" t="n">
        <f aca="false">SUMPRODUCT(($C$20201:$C$20210=C20207)*$C$20190:$C$20199)</f>
        <v>1984.9547587</v>
      </c>
    </row>
    <row r="20230" customFormat="false" ht="15" hidden="false" customHeight="false" outlineLevel="0" collapsed="false">
      <c r="A20230" s="3" t="s">
        <v>563</v>
      </c>
      <c r="C20230" s="16" t="n">
        <f aca="false">SUMPRODUCT(($C$20201:$C$20210=C20208)*$C$20190:$C$20199)</f>
        <v>1984.9547587</v>
      </c>
    </row>
    <row r="20231" customFormat="false" ht="15" hidden="false" customHeight="false" outlineLevel="0" collapsed="false">
      <c r="A20231" s="3" t="s">
        <v>564</v>
      </c>
      <c r="C20231" s="16" t="n">
        <f aca="false">SUMPRODUCT(($C$20201:$C$20210=C20209)*$C$20190:$C$20199)</f>
        <v>1984.9547587</v>
      </c>
    </row>
    <row r="20232" customFormat="false" ht="15" hidden="false" customHeight="false" outlineLevel="0" collapsed="false">
      <c r="A20232" s="3" t="s">
        <v>565</v>
      </c>
      <c r="C20232" s="16" t="n">
        <f aca="false">SUMPRODUCT(($C$20201:$C$20210=C20210)*$C$20190:$C$20199)</f>
        <v>78.61</v>
      </c>
    </row>
    <row r="20233" customFormat="false" ht="15" hidden="false" customHeight="false" outlineLevel="0" collapsed="false">
      <c r="A20233" s="24" t="s">
        <v>574</v>
      </c>
      <c r="B20233" s="25"/>
      <c r="C20233" s="25"/>
      <c r="D20233" s="25"/>
      <c r="E20233" s="25"/>
      <c r="F20233" s="25"/>
      <c r="G20233" s="25"/>
      <c r="H20233" s="25"/>
      <c r="I20233" s="25"/>
      <c r="J20233" s="25"/>
      <c r="K20233" s="25"/>
    </row>
    <row r="20234" customFormat="false" ht="15" hidden="false" customHeight="false" outlineLevel="0" collapsed="false">
      <c r="A20234" s="3" t="s">
        <v>556</v>
      </c>
      <c r="C20234" s="16" t="n">
        <f aca="false">IF(C20223=0,0,C20190/C20223*MAX(0,MIN(C20223,$C$20133-SUM($C$20168:$C$20177)-C20212)))</f>
        <v>0</v>
      </c>
    </row>
    <row r="20235" customFormat="false" ht="15" hidden="false" customHeight="false" outlineLevel="0" collapsed="false">
      <c r="A20235" s="3" t="s">
        <v>557</v>
      </c>
      <c r="C20235" s="16" t="n">
        <f aca="false">IF(C20224=0,0,C20191/C20224*MAX(0,MIN(C20224,$C$20133-SUM($C$20168:$C$20177)-C20213)))</f>
        <v>0</v>
      </c>
    </row>
    <row r="20236" customFormat="false" ht="15" hidden="false" customHeight="false" outlineLevel="0" collapsed="false">
      <c r="A20236" s="3" t="s">
        <v>558</v>
      </c>
      <c r="C20236" s="16" t="n">
        <f aca="false">IF(C20225=0,0,C20192/C20225*MAX(0,MIN(C20225,$C$20133-SUM($C$20168:$C$20177)-C20214)))</f>
        <v>0</v>
      </c>
    </row>
    <row r="20237" customFormat="false" ht="15" hidden="false" customHeight="false" outlineLevel="0" collapsed="false">
      <c r="A20237" s="3" t="s">
        <v>559</v>
      </c>
      <c r="C20237" s="16" t="n">
        <f aca="false">IF(C20226=0,0,C20193/C20226*MAX(0,MIN(C20226,$C$20133-SUM($C$20168:$C$20177)-C20215)))</f>
        <v>0</v>
      </c>
    </row>
    <row r="20238" customFormat="false" ht="15" hidden="false" customHeight="false" outlineLevel="0" collapsed="false">
      <c r="A20238" s="3" t="s">
        <v>560</v>
      </c>
      <c r="C20238" s="16" t="n">
        <f aca="false">IF(C20227=0,0,C20194/C20227*MAX(0,MIN(C20227,$C$20133-SUM($C$20168:$C$20177)-C20216)))</f>
        <v>253.571734254394</v>
      </c>
    </row>
    <row r="20239" customFormat="false" ht="15" hidden="false" customHeight="false" outlineLevel="0" collapsed="false">
      <c r="A20239" s="3" t="s">
        <v>561</v>
      </c>
      <c r="C20239" s="16" t="n">
        <f aca="false">IF(C20228=0,0,C20195/C20228*MAX(0,MIN(C20228,$C$20133-SUM($C$20168:$C$20177)-C20217)))</f>
        <v>204.044455690738</v>
      </c>
    </row>
    <row r="20240" customFormat="false" ht="15" hidden="false" customHeight="false" outlineLevel="0" collapsed="false">
      <c r="A20240" s="3" t="s">
        <v>562</v>
      </c>
      <c r="C20240" s="16" t="n">
        <f aca="false">IF(C20229=0,0,C20196/C20229*MAX(0,MIN(C20229,$C$20133-SUM($C$20168:$C$20177)-C20218)))</f>
        <v>320.641287514017</v>
      </c>
    </row>
    <row r="20241" customFormat="false" ht="15" hidden="false" customHeight="false" outlineLevel="0" collapsed="false">
      <c r="A20241" s="3" t="s">
        <v>563</v>
      </c>
      <c r="C20241" s="16" t="n">
        <f aca="false">IF(C20230=0,0,C20197/C20230*MAX(0,MIN(C20230,$C$20133-SUM($C$20168:$C$20177)-C20219)))</f>
        <v>204.044455690738</v>
      </c>
    </row>
    <row r="20242" customFormat="false" ht="15" hidden="false" customHeight="false" outlineLevel="0" collapsed="false">
      <c r="A20242" s="3" t="s">
        <v>564</v>
      </c>
      <c r="C20242" s="16" t="n">
        <f aca="false">IF(C20231=0,0,C20198/C20231*MAX(0,MIN(C20231,$C$20133-SUM($C$20168:$C$20177)-C20220)))</f>
        <v>174.895247734918</v>
      </c>
    </row>
    <row r="20243" customFormat="false" ht="15" hidden="false" customHeight="false" outlineLevel="0" collapsed="false">
      <c r="A20243" s="3" t="s">
        <v>565</v>
      </c>
      <c r="C20243" s="16" t="n">
        <f aca="false">IF(C20232=0,0,C20199/C20232*MAX(0,MIN(C20232,$C$20133-SUM($C$20168:$C$20177)-C20221)))</f>
        <v>0</v>
      </c>
    </row>
    <row r="20244" customFormat="false" ht="15" hidden="false" customHeight="false" outlineLevel="0" collapsed="false">
      <c r="A20244" s="24" t="s">
        <v>575</v>
      </c>
      <c r="B20244" s="25"/>
      <c r="C20244" s="25"/>
      <c r="D20244" s="25"/>
      <c r="E20244" s="25"/>
      <c r="F20244" s="25"/>
      <c r="G20244" s="25"/>
      <c r="H20244" s="25"/>
      <c r="I20244" s="25"/>
      <c r="J20244" s="25"/>
      <c r="K20244" s="25"/>
    </row>
    <row r="20245" customFormat="false" ht="15" hidden="false" customHeight="false" outlineLevel="0" collapsed="false">
      <c r="A20245" s="2" t="s">
        <v>556</v>
      </c>
      <c r="C20245" s="17" t="n">
        <f aca="false">C20168+C20234</f>
        <v>388</v>
      </c>
    </row>
    <row r="20246" customFormat="false" ht="15" hidden="false" customHeight="false" outlineLevel="0" collapsed="false">
      <c r="A20246" s="2" t="s">
        <v>557</v>
      </c>
      <c r="C20246" s="17" t="n">
        <f aca="false">C20169+C20235</f>
        <v>53.9022272401676</v>
      </c>
    </row>
    <row r="20247" customFormat="false" ht="15" hidden="false" customHeight="false" outlineLevel="0" collapsed="false">
      <c r="A20247" s="2" t="s">
        <v>558</v>
      </c>
      <c r="C20247" s="17" t="n">
        <f aca="false">C20170+C20236</f>
        <v>34.3014173346521</v>
      </c>
    </row>
    <row r="20248" customFormat="false" ht="15" hidden="false" customHeight="false" outlineLevel="0" collapsed="false">
      <c r="A20248" s="2" t="s">
        <v>559</v>
      </c>
      <c r="C20248" s="17" t="n">
        <f aca="false">C20171+C20237</f>
        <v>0</v>
      </c>
    </row>
    <row r="20249" customFormat="false" ht="15" hidden="false" customHeight="false" outlineLevel="0" collapsed="false">
      <c r="A20249" s="2" t="s">
        <v>560</v>
      </c>
      <c r="C20249" s="17" t="n">
        <f aca="false">C20172+C20238</f>
        <v>253.571734254394</v>
      </c>
    </row>
    <row r="20250" customFormat="false" ht="15" hidden="false" customHeight="false" outlineLevel="0" collapsed="false">
      <c r="A20250" s="2" t="s">
        <v>561</v>
      </c>
      <c r="C20250" s="17" t="n">
        <f aca="false">C20173+C20239</f>
        <v>204.044455690738</v>
      </c>
    </row>
    <row r="20251" customFormat="false" ht="15" hidden="false" customHeight="false" outlineLevel="0" collapsed="false">
      <c r="A20251" s="2" t="s">
        <v>562</v>
      </c>
      <c r="C20251" s="17" t="n">
        <f aca="false">C20174+C20240</f>
        <v>320.641287514017</v>
      </c>
    </row>
    <row r="20252" customFormat="false" ht="15" hidden="false" customHeight="false" outlineLevel="0" collapsed="false">
      <c r="A20252" s="2" t="s">
        <v>563</v>
      </c>
      <c r="C20252" s="17" t="n">
        <f aca="false">C20175+C20241</f>
        <v>204.044455690738</v>
      </c>
    </row>
    <row r="20253" customFormat="false" ht="15" hidden="false" customHeight="false" outlineLevel="0" collapsed="false">
      <c r="A20253" s="2" t="s">
        <v>564</v>
      </c>
      <c r="C20253" s="17" t="n">
        <f aca="false">C20176+C20242</f>
        <v>174.895247734918</v>
      </c>
    </row>
    <row r="20254" customFormat="false" ht="15" hidden="false" customHeight="false" outlineLevel="0" collapsed="false">
      <c r="A20254" s="2" t="s">
        <v>565</v>
      </c>
      <c r="C20254" s="17" t="n">
        <f aca="false">C20177+C20243</f>
        <v>0</v>
      </c>
    </row>
    <row r="20255" customFormat="false" ht="15" hidden="false" customHeight="false" outlineLevel="0" collapsed="false">
      <c r="A20255" s="24" t="s">
        <v>576</v>
      </c>
      <c r="B20255" s="25"/>
      <c r="C20255" s="25"/>
      <c r="D20255" s="25"/>
      <c r="E20255" s="25"/>
      <c r="F20255" s="25"/>
      <c r="G20255" s="25"/>
      <c r="H20255" s="25"/>
      <c r="I20255" s="25"/>
      <c r="J20255" s="25"/>
      <c r="K20255" s="25"/>
    </row>
    <row r="20256" customFormat="false" ht="15" hidden="false" customHeight="false" outlineLevel="0" collapsed="false">
      <c r="A20256" s="3" t="s">
        <v>556</v>
      </c>
      <c r="C20256" s="22" t="n">
        <f aca="false">IF(C20135=0,1,C20245/C20135)</f>
        <v>1</v>
      </c>
    </row>
    <row r="20257" customFormat="false" ht="15" hidden="false" customHeight="false" outlineLevel="0" collapsed="false">
      <c r="A20257" s="3" t="s">
        <v>557</v>
      </c>
      <c r="C20257" s="22" t="n">
        <f aca="false">IF(C20136=0,1,C20246/C20136)</f>
        <v>0.598913636001863</v>
      </c>
    </row>
    <row r="20258" customFormat="false" ht="15" hidden="false" customHeight="false" outlineLevel="0" collapsed="false">
      <c r="A20258" s="3" t="s">
        <v>558</v>
      </c>
      <c r="C20258" s="22" t="n">
        <f aca="false">IF(C20137=0,1,C20247/C20137)</f>
        <v>0.598377945269907</v>
      </c>
    </row>
    <row r="20259" customFormat="false" ht="15" hidden="false" customHeight="false" outlineLevel="0" collapsed="false">
      <c r="A20259" s="3" t="s">
        <v>559</v>
      </c>
      <c r="C20259" s="22" t="n">
        <f aca="false">IF(C20138=0,1,C20248/C20138)</f>
        <v>1</v>
      </c>
    </row>
    <row r="20260" customFormat="false" ht="15" hidden="false" customHeight="false" outlineLevel="0" collapsed="false">
      <c r="A20260" s="3" t="s">
        <v>560</v>
      </c>
      <c r="C20260" s="22" t="n">
        <f aca="false">IF(C20139=0,1,C20249/C20139)</f>
        <v>0.582984159116395</v>
      </c>
    </row>
    <row r="20261" customFormat="false" ht="15" hidden="false" customHeight="false" outlineLevel="0" collapsed="false">
      <c r="A20261" s="3" t="s">
        <v>561</v>
      </c>
      <c r="C20261" s="22" t="n">
        <f aca="false">IF(C20140=0,1,C20250/C20140)</f>
        <v>0.582984159116395</v>
      </c>
    </row>
    <row r="20262" customFormat="false" ht="15" hidden="false" customHeight="false" outlineLevel="0" collapsed="false">
      <c r="A20262" s="3" t="s">
        <v>562</v>
      </c>
      <c r="C20262" s="22" t="n">
        <f aca="false">IF(C20141=0,1,C20251/C20141)</f>
        <v>0.582984159116395</v>
      </c>
    </row>
    <row r="20263" customFormat="false" ht="15" hidden="false" customHeight="false" outlineLevel="0" collapsed="false">
      <c r="A20263" s="3" t="s">
        <v>563</v>
      </c>
      <c r="C20263" s="22" t="n">
        <f aca="false">IF(C20142=0,1,C20252/C20142)</f>
        <v>0.582984159116395</v>
      </c>
    </row>
    <row r="20264" customFormat="false" ht="15" hidden="false" customHeight="false" outlineLevel="0" collapsed="false">
      <c r="A20264" s="3" t="s">
        <v>564</v>
      </c>
      <c r="C20264" s="22" t="n">
        <f aca="false">IF(C20143=0,1,C20253/C20143)</f>
        <v>0.582984159116395</v>
      </c>
    </row>
    <row r="20265" customFormat="false" ht="15" hidden="false" customHeight="false" outlineLevel="0" collapsed="false">
      <c r="A20265" s="3" t="s">
        <v>565</v>
      </c>
      <c r="C20265" s="22" t="n">
        <f aca="false">IF(C20144=0,1,C20254/C20144)</f>
        <v>0</v>
      </c>
    </row>
    <row r="20266" customFormat="false" ht="15" hidden="false" customHeight="false" outlineLevel="0" collapsed="false">
      <c r="A20266" s="24" t="s">
        <v>577</v>
      </c>
      <c r="B20266" s="25"/>
      <c r="C20266" s="25"/>
      <c r="D20266" s="25"/>
      <c r="E20266" s="25"/>
      <c r="F20266" s="25"/>
      <c r="G20266" s="25"/>
      <c r="H20266" s="25"/>
      <c r="I20266" s="25"/>
      <c r="J20266" s="25"/>
      <c r="K20266" s="25"/>
    </row>
    <row r="20267" customFormat="false" ht="15" hidden="false" customHeight="false" outlineLevel="0" collapsed="false">
      <c r="A20267" s="3" t="s">
        <v>556</v>
      </c>
      <c r="C20267" s="16" t="n">
        <f aca="false">C20135-C20245</f>
        <v>0</v>
      </c>
    </row>
    <row r="20268" customFormat="false" ht="15" hidden="false" customHeight="false" outlineLevel="0" collapsed="false">
      <c r="A20268" s="3" t="s">
        <v>557</v>
      </c>
      <c r="C20268" s="16" t="n">
        <f aca="false">C20136-C20246</f>
        <v>36.0977727598324</v>
      </c>
    </row>
    <row r="20269" customFormat="false" ht="15" hidden="false" customHeight="false" outlineLevel="0" collapsed="false">
      <c r="A20269" s="3" t="s">
        <v>558</v>
      </c>
      <c r="C20269" s="16" t="n">
        <f aca="false">C20137-C20247</f>
        <v>23.0225826653479</v>
      </c>
    </row>
    <row r="20270" customFormat="false" ht="15" hidden="false" customHeight="false" outlineLevel="0" collapsed="false">
      <c r="A20270" s="3" t="s">
        <v>559</v>
      </c>
      <c r="C20270" s="16" t="n">
        <f aca="false">C20138-C20248</f>
        <v>0</v>
      </c>
    </row>
    <row r="20271" customFormat="false" ht="15" hidden="false" customHeight="false" outlineLevel="0" collapsed="false">
      <c r="A20271" s="3" t="s">
        <v>560</v>
      </c>
      <c r="C20271" s="16" t="n">
        <f aca="false">C20139-C20249</f>
        <v>181.383024445606</v>
      </c>
    </row>
    <row r="20272" customFormat="false" ht="15" hidden="false" customHeight="false" outlineLevel="0" collapsed="false">
      <c r="A20272" s="3" t="s">
        <v>561</v>
      </c>
      <c r="C20272" s="16" t="n">
        <f aca="false">C20140-C20250</f>
        <v>145.955544309262</v>
      </c>
    </row>
    <row r="20273" customFormat="false" ht="15" hidden="false" customHeight="false" outlineLevel="0" collapsed="false">
      <c r="A20273" s="3" t="s">
        <v>562</v>
      </c>
      <c r="C20273" s="16" t="n">
        <f aca="false">C20141-C20251</f>
        <v>229.358712485983</v>
      </c>
    </row>
    <row r="20274" customFormat="false" ht="15" hidden="false" customHeight="false" outlineLevel="0" collapsed="false">
      <c r="A20274" s="3" t="s">
        <v>563</v>
      </c>
      <c r="C20274" s="16" t="n">
        <f aca="false">C20142-C20252</f>
        <v>145.955544309262</v>
      </c>
    </row>
    <row r="20275" customFormat="false" ht="15" hidden="false" customHeight="false" outlineLevel="0" collapsed="false">
      <c r="A20275" s="3" t="s">
        <v>564</v>
      </c>
      <c r="C20275" s="16" t="n">
        <f aca="false">C20143-C20253</f>
        <v>125.104752265082</v>
      </c>
    </row>
    <row r="20276" customFormat="false" ht="15" hidden="false" customHeight="false" outlineLevel="0" collapsed="false">
      <c r="A20276" s="3" t="s">
        <v>565</v>
      </c>
      <c r="C20276" s="16" t="n">
        <f aca="false">C20144-C20254</f>
        <v>78.61</v>
      </c>
    </row>
    <row r="20277" customFormat="false" ht="15" hidden="false" customHeight="false" outlineLevel="0" collapsed="false">
      <c r="A20277" s="24" t="s">
        <v>578</v>
      </c>
      <c r="B20277" s="25"/>
      <c r="C20277" s="25"/>
      <c r="D20277" s="25"/>
      <c r="E20277" s="25"/>
      <c r="F20277" s="25"/>
      <c r="G20277" s="25"/>
      <c r="H20277" s="25"/>
      <c r="I20277" s="25"/>
      <c r="J20277" s="25"/>
      <c r="K20277" s="25"/>
    </row>
    <row r="20278" customFormat="false" ht="15" hidden="false" customHeight="false" outlineLevel="0" collapsed="false">
      <c r="A20278" s="3" t="s">
        <v>556</v>
      </c>
      <c r="C20278" s="22" t="n">
        <f aca="false">IF(C20135=0,0,C20267/C20135)</f>
        <v>0</v>
      </c>
    </row>
    <row r="20279" customFormat="false" ht="15" hidden="false" customHeight="false" outlineLevel="0" collapsed="false">
      <c r="A20279" s="3" t="s">
        <v>557</v>
      </c>
      <c r="C20279" s="22" t="n">
        <f aca="false">IF(C20136=0,0,C20268/C20136)</f>
        <v>0.401086363998137</v>
      </c>
    </row>
    <row r="20280" customFormat="false" ht="15" hidden="false" customHeight="false" outlineLevel="0" collapsed="false">
      <c r="A20280" s="3" t="s">
        <v>558</v>
      </c>
      <c r="C20280" s="22" t="n">
        <f aca="false">IF(C20137=0,0,C20269/C20137)</f>
        <v>0.401622054730093</v>
      </c>
    </row>
    <row r="20281" customFormat="false" ht="15" hidden="false" customHeight="false" outlineLevel="0" collapsed="false">
      <c r="A20281" s="3" t="s">
        <v>559</v>
      </c>
      <c r="C20281" s="22" t="n">
        <f aca="false">IF(C20138=0,0,C20270/C20138)</f>
        <v>0</v>
      </c>
    </row>
    <row r="20282" customFormat="false" ht="15" hidden="false" customHeight="false" outlineLevel="0" collapsed="false">
      <c r="A20282" s="3" t="s">
        <v>560</v>
      </c>
      <c r="C20282" s="22" t="n">
        <f aca="false">IF(C20139=0,0,C20271/C20139)</f>
        <v>0.417015840883605</v>
      </c>
    </row>
    <row r="20283" customFormat="false" ht="15" hidden="false" customHeight="false" outlineLevel="0" collapsed="false">
      <c r="A20283" s="3" t="s">
        <v>561</v>
      </c>
      <c r="C20283" s="22" t="n">
        <f aca="false">IF(C20140=0,0,C20272/C20140)</f>
        <v>0.417015840883605</v>
      </c>
    </row>
    <row r="20284" customFormat="false" ht="15" hidden="false" customHeight="false" outlineLevel="0" collapsed="false">
      <c r="A20284" s="3" t="s">
        <v>562</v>
      </c>
      <c r="C20284" s="22" t="n">
        <f aca="false">IF(C20141=0,0,C20273/C20141)</f>
        <v>0.417015840883605</v>
      </c>
    </row>
    <row r="20285" customFormat="false" ht="15" hidden="false" customHeight="false" outlineLevel="0" collapsed="false">
      <c r="A20285" s="3" t="s">
        <v>563</v>
      </c>
      <c r="C20285" s="22" t="n">
        <f aca="false">IF(C20142=0,0,C20274/C20142)</f>
        <v>0.417015840883605</v>
      </c>
    </row>
    <row r="20286" customFormat="false" ht="15" hidden="false" customHeight="false" outlineLevel="0" collapsed="false">
      <c r="A20286" s="3" t="s">
        <v>564</v>
      </c>
      <c r="C20286" s="22" t="n">
        <f aca="false">IF(C20143=0,0,C20275/C20143)</f>
        <v>0.417015840883605</v>
      </c>
    </row>
    <row r="20287" customFormat="false" ht="15" hidden="false" customHeight="false" outlineLevel="0" collapsed="false">
      <c r="A20287" s="3" t="s">
        <v>565</v>
      </c>
      <c r="C20287" s="22" t="n">
        <f aca="false">IF(C20144=0,0,C20276/C20144)</f>
        <v>1</v>
      </c>
    </row>
    <row r="20288" customFormat="false" ht="15" hidden="false" customHeight="false" outlineLevel="0" collapsed="false">
      <c r="A20288" s="2" t="s">
        <v>579</v>
      </c>
      <c r="C20288" s="17" t="n">
        <f aca="false">MAX(0,$C$20133-SUM($C$20168:$C$20177)-SUM($C$20190:$C$20199))</f>
        <v>0</v>
      </c>
    </row>
    <row r="20289" customFormat="false" ht="15" hidden="false" customHeight="false" outlineLevel="0" collapsed="false">
      <c r="A20289" s="3" t="s">
        <v>597</v>
      </c>
      <c r="C20289" s="35" t="n">
        <f aca="false">MIN(C20132,100*CHOOSE(C20122,C20256,C20257,C20258,C20259,C20260,C20261,C20262,C20263,C20264,C20265))</f>
        <v>85</v>
      </c>
    </row>
    <row r="20290" customFormat="false" ht="15" hidden="false" customHeight="false" outlineLevel="0" collapsed="false">
      <c r="A20290" s="3" t="s">
        <v>598</v>
      </c>
      <c r="C20290" s="21" t="n">
        <f aca="false">IF(C19954=1,C20127+Assumptions!$C$40,C20126)</f>
        <v>3</v>
      </c>
    </row>
    <row r="20291" customFormat="false" ht="15" hidden="false" customHeight="false" outlineLevel="0" collapsed="false">
      <c r="A20291" s="24" t="s">
        <v>599</v>
      </c>
      <c r="B20291" s="25"/>
      <c r="C20291" s="25"/>
      <c r="D20291" s="25"/>
      <c r="E20291" s="25"/>
      <c r="F20291" s="25"/>
      <c r="G20291" s="25"/>
      <c r="H20291" s="25"/>
      <c r="I20291" s="25"/>
      <c r="J20291" s="25"/>
      <c r="K20291" s="25"/>
    </row>
    <row r="20292" customFormat="false" ht="15" hidden="false" customHeight="false" outlineLevel="0" collapsed="false">
      <c r="A20292" s="3" t="s">
        <v>600</v>
      </c>
      <c r="C20292" s="21" t="n">
        <f aca="false">COLUMN()-COLUMN($C$1)</f>
        <v>0</v>
      </c>
      <c r="D20292" s="21" t="n">
        <f aca="false">COLUMN()-COLUMN($C$1)</f>
        <v>1</v>
      </c>
      <c r="E20292" s="21" t="n">
        <f aca="false">COLUMN()-COLUMN($C$1)</f>
        <v>2</v>
      </c>
      <c r="F20292" s="21" t="n">
        <f aca="false">COLUMN()-COLUMN($C$1)</f>
        <v>3</v>
      </c>
      <c r="G20292" s="21" t="n">
        <f aca="false">COLUMN()-COLUMN($C$1)</f>
        <v>4</v>
      </c>
      <c r="H20292" s="21" t="n">
        <f aca="false">COLUMN()-COLUMN($C$1)</f>
        <v>5</v>
      </c>
      <c r="I20292" s="21" t="n">
        <f aca="false">COLUMN()-COLUMN($C$1)</f>
        <v>6</v>
      </c>
    </row>
    <row r="20293" customFormat="false" ht="15" hidden="false" customHeight="false" outlineLevel="0" collapsed="false">
      <c r="A20293" s="3" t="s">
        <v>601</v>
      </c>
      <c r="D20293" s="31" t="n">
        <f aca="false">CHOOSE($C$20122,G19702,G19715,G19728,G19741,G19754,G19767,G19780,G19793,G19806,G19819)</f>
        <v>0.1215</v>
      </c>
      <c r="E20293" s="31" t="n">
        <f aca="false">CHOOSE($C$20122,H19702,H19715,H19728,H19741,H19754,H19767,H19780,H19793,H19806,H19819)</f>
        <v>0.12</v>
      </c>
      <c r="F20293" s="31" t="n">
        <f aca="false">CHOOSE($C$20122,I19702,I19715,I19728,I19741,I19754,I19767,I19780,I19793,I19806,I19819)</f>
        <v>0.1175</v>
      </c>
      <c r="G20293" s="31" t="n">
        <f aca="false">CHOOSE($C$20122,J19702,J19715,J19728,J19741,J19754,J19767,J19780,J19793,J19806,J19819)</f>
        <v>0.1175</v>
      </c>
      <c r="H20293" s="31" t="n">
        <f aca="false">CHOOSE($C$20122,K19702,K19715,K19728,K19741,K19754,K19767,K19780,K19793,K19806,K19819)</f>
        <v>0.1175</v>
      </c>
    </row>
    <row r="20294" customFormat="false" ht="15" hidden="false" customHeight="false" outlineLevel="0" collapsed="false">
      <c r="A20294" s="3" t="s">
        <v>602</v>
      </c>
      <c r="D20294" s="16" t="n">
        <f aca="false">IF(D20292&lt;=$C$20131,$C$20123*D20293,0)</f>
        <v>12.15</v>
      </c>
      <c r="E20294" s="16" t="n">
        <f aca="false">IF(E20292&lt;=$C$20131,$C$20123*E20293,0)</f>
        <v>12</v>
      </c>
      <c r="F20294" s="16" t="n">
        <f aca="false">IF(F20292&lt;=$C$20131,$C$20123*F20293,0)</f>
        <v>0</v>
      </c>
      <c r="G20294" s="16" t="n">
        <f aca="false">IF(G20292&lt;=$C$20131,$C$20123*G20293,0)</f>
        <v>0</v>
      </c>
      <c r="H20294" s="16" t="n">
        <f aca="false">IF(H20292&lt;=$C$20131,$C$20123*H20293,0)</f>
        <v>0</v>
      </c>
    </row>
    <row r="20295" customFormat="false" ht="15" hidden="false" customHeight="false" outlineLevel="0" collapsed="false">
      <c r="A20295" s="3" t="s">
        <v>603</v>
      </c>
      <c r="D20295" s="16" t="n">
        <f aca="false">IF(AND($C$19954=0,D20292=$C$20126),$C$20123*$C$20289/100,0)+IF(AND($C$19954=1,D20292=$C$20290),$C$20129,0)</f>
        <v>0</v>
      </c>
      <c r="E20295" s="16" t="n">
        <f aca="false">IF(AND($C$19954=0,E20292=$C$20126),$C$20123*$C$20289/100,0)+IF(AND($C$19954=1,E20292=$C$20290),$C$20129,0)</f>
        <v>0</v>
      </c>
      <c r="F20295" s="16" t="n">
        <f aca="false">IF(AND($C$19954=0,F20292=$C$20126),$C$20123*$C$20289/100,0)+IF(AND($C$19954=1,F20292=$C$20290),$C$20129,0)</f>
        <v>103</v>
      </c>
      <c r="G20295" s="16" t="n">
        <f aca="false">IF(AND($C$19954=0,G20292=$C$20126),$C$20123*$C$20289/100,0)+IF(AND($C$19954=1,G20292=$C$20290),$C$20129,0)</f>
        <v>0</v>
      </c>
      <c r="H20295" s="16" t="n">
        <f aca="false">IF(AND($C$19954=0,H20292=$C$20126),$C$20123*$C$20289/100,0)+IF(AND($C$19954=1,H20292=$C$20290),$C$20129,0)</f>
        <v>0</v>
      </c>
      <c r="I20295" s="16" t="n">
        <f aca="false">IF(AND($C$19954=0,I20292=$C$20126),$C$20123*$C$20289/100,0)+IF(AND($C$19954=1,I20292=$C$20290),$C$20129,0)</f>
        <v>0</v>
      </c>
    </row>
    <row r="20296" customFormat="false" ht="15" hidden="false" customHeight="false" outlineLevel="0" collapsed="false">
      <c r="A20296" s="2" t="s">
        <v>604</v>
      </c>
      <c r="C20296" s="17" t="n">
        <f aca="false">-$C$20125</f>
        <v>-98.49</v>
      </c>
      <c r="D20296" s="17" t="n">
        <f aca="false">D20294+D20295</f>
        <v>12.15</v>
      </c>
      <c r="E20296" s="17" t="n">
        <f aca="false">E20294+E20295</f>
        <v>12</v>
      </c>
      <c r="F20296" s="17" t="n">
        <f aca="false">F20294+F20295</f>
        <v>103</v>
      </c>
      <c r="G20296" s="17" t="n">
        <f aca="false">G20294+G20295</f>
        <v>0</v>
      </c>
      <c r="H20296" s="17" t="n">
        <f aca="false">H20294+H20295</f>
        <v>0</v>
      </c>
      <c r="I20296" s="17" t="n">
        <f aca="false">I20294+I20295</f>
        <v>0</v>
      </c>
    </row>
    <row r="20297" customFormat="false" ht="15" hidden="false" customHeight="false" outlineLevel="0" collapsed="false">
      <c r="A20297" s="3" t="s">
        <v>605</v>
      </c>
      <c r="C20297" s="16" t="n">
        <f aca="false">SUM($C$20294:$I$20294)</f>
        <v>24.15</v>
      </c>
    </row>
    <row r="20298" customFormat="false" ht="15" hidden="false" customHeight="false" outlineLevel="0" collapsed="false">
      <c r="A20298" s="3" t="s">
        <v>606</v>
      </c>
      <c r="C20298" s="16" t="n">
        <f aca="false">SUM($C$20295:$I$20295)</f>
        <v>103</v>
      </c>
    </row>
    <row r="20299" customFormat="false" ht="15" hidden="false" customHeight="false" outlineLevel="0" collapsed="false">
      <c r="A20299" s="3" t="s">
        <v>607</v>
      </c>
      <c r="C20299" s="16" t="n">
        <f aca="false">C20297+C20298</f>
        <v>127.15</v>
      </c>
    </row>
    <row r="20300" customFormat="false" ht="15" hidden="false" customHeight="false" outlineLevel="0" collapsed="false">
      <c r="A20300" s="3" t="s">
        <v>608</v>
      </c>
      <c r="C20300" s="16" t="n">
        <f aca="false">C20298-C20123*C20124/100</f>
        <v>5</v>
      </c>
    </row>
    <row r="20301" customFormat="false" ht="15" hidden="false" customHeight="false" outlineLevel="0" collapsed="false">
      <c r="A20301" s="3" t="s">
        <v>609</v>
      </c>
      <c r="C20301" s="16" t="n">
        <f aca="false">C20299-C20125</f>
        <v>28.66</v>
      </c>
    </row>
    <row r="20302" customFormat="false" ht="15" hidden="false" customHeight="false" outlineLevel="0" collapsed="false">
      <c r="A20302" s="2" t="s">
        <v>484</v>
      </c>
      <c r="C20302" s="44" t="n">
        <f aca="false">C20299/C20125</f>
        <v>1.29099400954412</v>
      </c>
    </row>
    <row r="20303" customFormat="false" ht="15" hidden="false" customHeight="false" outlineLevel="0" collapsed="false">
      <c r="A20303" s="2" t="s">
        <v>483</v>
      </c>
      <c r="C20303" s="42" t="n">
        <f aca="false">IF(C20299&lt;=0,-1,IFERROR(IRR($C$20296:$I$20296,MAX(-0.9,C20302^(1/C20290)-1)),IRR($C$20296:$I$20296,0.1)))</f>
        <v>0.0994077590660149</v>
      </c>
    </row>
    <row r="20304" customFormat="false" ht="15" hidden="false" customHeight="false" outlineLevel="0" collapsed="false">
      <c r="A20304" s="3" t="s">
        <v>610</v>
      </c>
      <c r="C20304" s="32" t="n">
        <f aca="false">MAX($G$19898:$K$19898)</f>
        <v>15.7734539449449</v>
      </c>
    </row>
    <row r="20305" customFormat="false" ht="15" hidden="false" customHeight="false" outlineLevel="0" collapsed="false">
      <c r="A20305" s="3" t="s">
        <v>611</v>
      </c>
      <c r="C20305" s="32" t="n">
        <f aca="false">MIN($G$19899:$K$19899)</f>
        <v>0.899631625108658</v>
      </c>
    </row>
    <row r="20306" customFormat="false" ht="15" hidden="false" customHeight="false" outlineLevel="0" collapsed="false">
      <c r="A20306" s="3" t="s">
        <v>612</v>
      </c>
      <c r="C20306" s="16" t="n">
        <f aca="false">SUM($G$19686:$K$19686)</f>
        <v>-319.393886227031</v>
      </c>
    </row>
    <row r="20310" customFormat="false" ht="15" hidden="false" customHeight="false" outlineLevel="0" collapsed="false">
      <c r="A20310" s="9" t="s">
        <v>1161</v>
      </c>
      <c r="B20310" s="10"/>
      <c r="C20310" s="10"/>
      <c r="D20310" s="10"/>
      <c r="E20310" s="10"/>
      <c r="F20310" s="10"/>
      <c r="G20310" s="10"/>
      <c r="H20310" s="10"/>
      <c r="I20310" s="10"/>
      <c r="J20310" s="10"/>
      <c r="K20310" s="10"/>
    </row>
    <row r="20311" customFormat="false" ht="15" hidden="false" customHeight="false" outlineLevel="0" collapsed="false">
      <c r="A20311" s="3" t="s">
        <v>1126</v>
      </c>
      <c r="C20311" s="11" t="n">
        <v>3</v>
      </c>
    </row>
    <row r="20312" customFormat="false" ht="15" hidden="false" customHeight="false" outlineLevel="0" collapsed="false">
      <c r="A20312" s="3" t="s">
        <v>1127</v>
      </c>
      <c r="C20312" s="30" t="n">
        <f aca="false">Sensitivities!$A$43</f>
        <v>0.05</v>
      </c>
    </row>
    <row r="20313" customFormat="false" ht="15" hidden="false" customHeight="false" outlineLevel="0" collapsed="false">
      <c r="A20313" s="3" t="s">
        <v>1128</v>
      </c>
      <c r="C20313" s="19" t="n">
        <v>0</v>
      </c>
    </row>
    <row r="20314" customFormat="false" ht="15" hidden="false" customHeight="false" outlineLevel="0" collapsed="false">
      <c r="A20314" s="3" t="s">
        <v>1129</v>
      </c>
      <c r="C20314" s="19" t="n">
        <v>0</v>
      </c>
    </row>
    <row r="20315" customFormat="false" ht="15" hidden="false" customHeight="false" outlineLevel="0" collapsed="false">
      <c r="A20315" s="3" t="s">
        <v>1130</v>
      </c>
      <c r="C20315" s="15" t="n">
        <v>0</v>
      </c>
    </row>
    <row r="20317" customFormat="false" ht="15" hidden="false" customHeight="false" outlineLevel="0" collapsed="false">
      <c r="A20317" s="24" t="s">
        <v>301</v>
      </c>
      <c r="B20317" s="25"/>
      <c r="C20317" s="25"/>
      <c r="D20317" s="25"/>
      <c r="E20317" s="25"/>
      <c r="F20317" s="25"/>
      <c r="G20317" s="25"/>
      <c r="H20317" s="25"/>
      <c r="I20317" s="25"/>
      <c r="J20317" s="25"/>
      <c r="K20317" s="25"/>
    </row>
    <row r="20318" customFormat="false" ht="15" hidden="false" customHeight="false" outlineLevel="0" collapsed="false">
      <c r="A20318" s="3" t="s">
        <v>302</v>
      </c>
      <c r="F20318" s="27" t="n">
        <f aca="false">Assumptions!$C$6</f>
        <v>2026</v>
      </c>
      <c r="G20318" s="21" t="n">
        <f aca="false">F20318+1</f>
        <v>2027</v>
      </c>
      <c r="H20318" s="21" t="n">
        <f aca="false">G20318+1</f>
        <v>2028</v>
      </c>
      <c r="I20318" s="21" t="n">
        <f aca="false">H20318+1</f>
        <v>2029</v>
      </c>
      <c r="J20318" s="21" t="n">
        <f aca="false">I20318+1</f>
        <v>2030</v>
      </c>
      <c r="K20318" s="21" t="n">
        <f aca="false">J20318+1</f>
        <v>2031</v>
      </c>
    </row>
    <row r="20319" customFormat="false" ht="15" hidden="false" customHeight="false" outlineLevel="0" collapsed="false">
      <c r="A20319" s="3" t="s">
        <v>303</v>
      </c>
      <c r="G20319" s="21" t="n">
        <f aca="false">G20318-Assumptions!$C$6</f>
        <v>1</v>
      </c>
      <c r="H20319" s="21" t="n">
        <f aca="false">H20318-Assumptions!$C$6</f>
        <v>2</v>
      </c>
      <c r="I20319" s="21" t="n">
        <f aca="false">I20318-Assumptions!$C$6</f>
        <v>3</v>
      </c>
      <c r="J20319" s="21" t="n">
        <f aca="false">J20318-Assumptions!$C$6</f>
        <v>4</v>
      </c>
      <c r="K20319" s="21" t="n">
        <f aca="false">K20318-Assumptions!$C$6</f>
        <v>5</v>
      </c>
    </row>
    <row r="20320" customFormat="false" ht="15" hidden="false" customHeight="false" outlineLevel="0" collapsed="false">
      <c r="A20320" s="3" t="s">
        <v>180</v>
      </c>
      <c r="G20320" s="22" t="n">
        <f aca="false">CHOOSE($C$20311,Assumptions!$G$79,Assumptions!$G$98,Assumptions!$G$117)+$C$20312</f>
        <v>-0.05</v>
      </c>
      <c r="H20320" s="22" t="n">
        <f aca="false">CHOOSE($C$20311,Assumptions!$H$79,Assumptions!$H$98,Assumptions!$H$117)+$C$20312</f>
        <v>-0.02</v>
      </c>
      <c r="I20320" s="22" t="n">
        <f aca="false">CHOOSE($C$20311,Assumptions!$I$79,Assumptions!$I$98,Assumptions!$I$117)+$C$20312</f>
        <v>0.02</v>
      </c>
      <c r="J20320" s="22" t="n">
        <f aca="false">CHOOSE($C$20311,Assumptions!$J$79,Assumptions!$J$98,Assumptions!$J$117)+$C$20312</f>
        <v>0.05</v>
      </c>
      <c r="K20320" s="22" t="n">
        <f aca="false">CHOOSE($C$20311,Assumptions!$K$79,Assumptions!$K$98,Assumptions!$K$117)+$C$20312</f>
        <v>0.06</v>
      </c>
    </row>
    <row r="20321" customFormat="false" ht="15" hidden="false" customHeight="false" outlineLevel="0" collapsed="false">
      <c r="A20321" s="3" t="s">
        <v>181</v>
      </c>
      <c r="G20321" s="22" t="n">
        <f aca="false">CHOOSE($C$20311,Assumptions!$G$80,Assumptions!$G$99,Assumptions!$G$118)</f>
        <v>0.533920660818678</v>
      </c>
      <c r="H20321" s="22" t="n">
        <f aca="false">CHOOSE($C$20311,Assumptions!$H$80,Assumptions!$H$99,Assumptions!$H$118)</f>
        <v>0.503920660818678</v>
      </c>
      <c r="I20321" s="22" t="n">
        <f aca="false">CHOOSE($C$20311,Assumptions!$I$80,Assumptions!$I$99,Assumptions!$I$118)</f>
        <v>0.498920660818678</v>
      </c>
      <c r="J20321" s="22" t="n">
        <f aca="false">CHOOSE($C$20311,Assumptions!$J$80,Assumptions!$J$99,Assumptions!$J$118)</f>
        <v>0.503920660818678</v>
      </c>
      <c r="K20321" s="22" t="n">
        <f aca="false">CHOOSE($C$20311,Assumptions!$K$80,Assumptions!$K$99,Assumptions!$K$118)</f>
        <v>0.513920660818678</v>
      </c>
    </row>
    <row r="20322" customFormat="false" ht="15" hidden="false" customHeight="false" outlineLevel="0" collapsed="false">
      <c r="A20322" s="3" t="s">
        <v>182</v>
      </c>
      <c r="G20322" s="22" t="n">
        <f aca="false">CHOOSE($C$20311,Assumptions!$G$81,Assumptions!$G$100,Assumptions!$G$119)+$C$20313</f>
        <v>0.46</v>
      </c>
      <c r="H20322" s="22" t="n">
        <f aca="false">CHOOSE($C$20311,Assumptions!$H$81,Assumptions!$H$100,Assumptions!$H$119)+$C$20313</f>
        <v>0.43</v>
      </c>
      <c r="I20322" s="22" t="n">
        <f aca="false">CHOOSE($C$20311,Assumptions!$I$81,Assumptions!$I$100,Assumptions!$I$119)+$C$20313</f>
        <v>0.425</v>
      </c>
      <c r="J20322" s="22" t="n">
        <f aca="false">CHOOSE($C$20311,Assumptions!$J$81,Assumptions!$J$100,Assumptions!$J$119)+$C$20313</f>
        <v>0.43</v>
      </c>
      <c r="K20322" s="22" t="n">
        <f aca="false">CHOOSE($C$20311,Assumptions!$K$81,Assumptions!$K$100,Assumptions!$K$119)+$C$20313</f>
        <v>0.44</v>
      </c>
    </row>
    <row r="20323" customFormat="false" ht="15" hidden="false" customHeight="false" outlineLevel="0" collapsed="false">
      <c r="A20323" s="24" t="s">
        <v>304</v>
      </c>
      <c r="B20323" s="25"/>
      <c r="C20323" s="25"/>
      <c r="D20323" s="25"/>
      <c r="E20323" s="25"/>
      <c r="F20323" s="25"/>
      <c r="G20323" s="25"/>
      <c r="H20323" s="25"/>
      <c r="I20323" s="25"/>
      <c r="J20323" s="25"/>
      <c r="K20323" s="25"/>
    </row>
    <row r="20324" customFormat="false" ht="15" hidden="false" customHeight="false" outlineLevel="0" collapsed="false">
      <c r="A20324" s="2" t="s">
        <v>275</v>
      </c>
      <c r="F20324" s="28" t="n">
        <f aca="false">'Historical Financials'!G25</f>
        <v>498.291</v>
      </c>
      <c r="G20324" s="17" t="n">
        <f aca="false">F20324*(1+G20320)</f>
        <v>473.37645</v>
      </c>
      <c r="H20324" s="17" t="n">
        <f aca="false">G20324*(1+H20320)</f>
        <v>463.908921</v>
      </c>
      <c r="I20324" s="17" t="n">
        <f aca="false">H20324*(1+I20320)</f>
        <v>473.18709942</v>
      </c>
      <c r="J20324" s="17" t="n">
        <f aca="false">I20324*(1+J20320)</f>
        <v>496.846454391</v>
      </c>
      <c r="K20324" s="17" t="n">
        <f aca="false">J20324*(1+K20320)</f>
        <v>526.65724165446</v>
      </c>
    </row>
    <row r="20325" customFormat="false" ht="15" hidden="false" customHeight="false" outlineLevel="0" collapsed="false">
      <c r="A20325" s="3" t="s">
        <v>276</v>
      </c>
      <c r="G20325" s="16" t="n">
        <f aca="false">G20324*(1-G20321)</f>
        <v>220.630983</v>
      </c>
      <c r="H20325" s="16" t="n">
        <f aca="false">H20324*(1-H20321)</f>
        <v>230.13563097</v>
      </c>
      <c r="I20325" s="16" t="n">
        <f aca="false">I20324*(1-I20321)</f>
        <v>237.1042790865</v>
      </c>
      <c r="J20325" s="16" t="n">
        <f aca="false">J20324*(1-J20321)</f>
        <v>246.47526076887</v>
      </c>
      <c r="K20325" s="16" t="n">
        <f aca="false">K20324*(1-K20321)</f>
        <v>255.997203998458</v>
      </c>
    </row>
    <row r="20326" customFormat="false" ht="15" hidden="false" customHeight="false" outlineLevel="0" collapsed="false">
      <c r="A20326" s="2" t="s">
        <v>277</v>
      </c>
      <c r="G20326" s="17" t="n">
        <f aca="false">G20324-G20325</f>
        <v>252.745467</v>
      </c>
      <c r="H20326" s="17" t="n">
        <f aca="false">H20324-H20325</f>
        <v>233.77329003</v>
      </c>
      <c r="I20326" s="17" t="n">
        <f aca="false">I20324-I20325</f>
        <v>236.0828203335</v>
      </c>
      <c r="J20326" s="17" t="n">
        <f aca="false">J20324-J20325</f>
        <v>250.37119362213</v>
      </c>
      <c r="K20326" s="17" t="n">
        <f aca="false">K20324-K20325</f>
        <v>270.660037656002</v>
      </c>
    </row>
    <row r="20327" customFormat="false" ht="15" hidden="false" customHeight="false" outlineLevel="0" collapsed="false">
      <c r="A20327" s="3" t="s">
        <v>305</v>
      </c>
      <c r="G20327" s="16" t="n">
        <f aca="false">G20326-G20328</f>
        <v>34.9923</v>
      </c>
      <c r="H20327" s="16" t="n">
        <f aca="false">H20326-H20328</f>
        <v>34.292454</v>
      </c>
      <c r="I20327" s="16" t="n">
        <f aca="false">I20326-I20328</f>
        <v>34.97830308</v>
      </c>
      <c r="J20327" s="16" t="n">
        <f aca="false">J20326-J20328</f>
        <v>36.727218234</v>
      </c>
      <c r="K20327" s="16" t="n">
        <f aca="false">K20326-K20328</f>
        <v>38.9308513280399</v>
      </c>
    </row>
    <row r="20328" customFormat="false" ht="15" hidden="false" customHeight="false" outlineLevel="0" collapsed="false">
      <c r="A20328" s="2" t="s">
        <v>306</v>
      </c>
      <c r="G20328" s="17" t="n">
        <f aca="false">G20324*G20322</f>
        <v>217.753167</v>
      </c>
      <c r="H20328" s="17" t="n">
        <f aca="false">H20324*H20322</f>
        <v>199.48083603</v>
      </c>
      <c r="I20328" s="17" t="n">
        <f aca="false">I20324*I20322</f>
        <v>201.1045172535</v>
      </c>
      <c r="J20328" s="17" t="n">
        <f aca="false">J20324*J20322</f>
        <v>213.64397538813</v>
      </c>
      <c r="K20328" s="17" t="n">
        <f aca="false">K20324*K20322</f>
        <v>231.729186327962</v>
      </c>
    </row>
    <row r="20329" customFormat="false" ht="15" hidden="false" customHeight="false" outlineLevel="0" collapsed="false">
      <c r="A20329" s="3" t="s">
        <v>307</v>
      </c>
      <c r="G20329" s="16" t="n">
        <f aca="false">G20324*'Historical Financials'!G30/'Historical Financials'!G25</f>
        <v>176.02835</v>
      </c>
      <c r="H20329" s="16" t="n">
        <f aca="false">H20324*'Historical Financials'!G30/'Historical Financials'!G25</f>
        <v>172.507783</v>
      </c>
      <c r="I20329" s="16" t="n">
        <f aca="false">I20324*'Historical Financials'!G30/'Historical Financials'!G25</f>
        <v>175.95793866</v>
      </c>
      <c r="J20329" s="16" t="n">
        <f aca="false">J20324*'Historical Financials'!G30/'Historical Financials'!G25</f>
        <v>184.755835593</v>
      </c>
      <c r="K20329" s="16" t="n">
        <f aca="false">K20324*'Historical Financials'!G30/'Historical Financials'!G25</f>
        <v>195.84118572858</v>
      </c>
    </row>
    <row r="20330" customFormat="false" ht="15" hidden="false" customHeight="false" outlineLevel="0" collapsed="false">
      <c r="A20330" s="3" t="s">
        <v>308</v>
      </c>
      <c r="G20330" s="16" t="n">
        <f aca="false">G20324*'Historical Financials'!G31/'Historical Financials'!G25</f>
        <v>0</v>
      </c>
      <c r="H20330" s="16" t="n">
        <f aca="false">H20324*'Historical Financials'!G31/'Historical Financials'!G25</f>
        <v>0</v>
      </c>
      <c r="I20330" s="16" t="n">
        <f aca="false">I20324*'Historical Financials'!G31/'Historical Financials'!G25</f>
        <v>0</v>
      </c>
      <c r="J20330" s="16" t="n">
        <f aca="false">J20324*'Historical Financials'!G31/'Historical Financials'!G25</f>
        <v>0</v>
      </c>
      <c r="K20330" s="16" t="n">
        <f aca="false">K20324*'Historical Financials'!G31/'Historical Financials'!G25</f>
        <v>0</v>
      </c>
    </row>
    <row r="20331" customFormat="false" ht="15" hidden="false" customHeight="false" outlineLevel="0" collapsed="false">
      <c r="A20331" s="2" t="s">
        <v>309</v>
      </c>
      <c r="G20331" s="17" t="n">
        <f aca="false">G20328-G20329-G20330</f>
        <v>41.724817</v>
      </c>
      <c r="H20331" s="17" t="n">
        <f aca="false">H20328-H20329-H20330</f>
        <v>26.97305303</v>
      </c>
      <c r="I20331" s="17" t="n">
        <f aca="false">I20328-I20329-I20330</f>
        <v>25.1465785935</v>
      </c>
      <c r="J20331" s="17" t="n">
        <f aca="false">J20328-J20329-J20330</f>
        <v>28.88813979513</v>
      </c>
      <c r="K20331" s="17" t="n">
        <f aca="false">K20328-K20329-K20330</f>
        <v>35.8880005993824</v>
      </c>
    </row>
    <row r="20332" customFormat="false" ht="15" hidden="false" customHeight="false" outlineLevel="0" collapsed="false">
      <c r="A20332" s="3" t="s">
        <v>310</v>
      </c>
      <c r="G20332" s="16" t="n">
        <f aca="false">G20358+G20371+G20384+G20397+G20410+G20423+G20436+G20449+G20462+G20475</f>
        <v>194.5679854</v>
      </c>
      <c r="H20332" s="16" t="n">
        <f aca="false">H20358+H20371+H20384+H20397+H20410+H20423+H20436+H20449+H20462+H20475</f>
        <v>193.3700704</v>
      </c>
      <c r="I20332" s="16" t="n">
        <f aca="false">I20358+I20371+I20384+I20397+I20410+I20423+I20436+I20449+I20462+I20475</f>
        <v>190.2394508645</v>
      </c>
      <c r="J20332" s="16" t="n">
        <f aca="false">J20358+J20371+J20384+J20397+J20410+J20423+J20436+J20449+J20462+J20475</f>
        <v>189.7694508645</v>
      </c>
      <c r="K20332" s="16" t="n">
        <f aca="false">K20358+K20371+K20384+K20397+K20410+K20423+K20436+K20449+K20462+K20475</f>
        <v>189.2994508645</v>
      </c>
    </row>
    <row r="20333" customFormat="false" ht="15" hidden="false" customHeight="false" outlineLevel="0" collapsed="false">
      <c r="A20333" s="3" t="s">
        <v>311</v>
      </c>
      <c r="G20333" s="16" t="n">
        <f aca="false">G20359+G20372+G20385+G20398+G20411+G20424+G20437+G20450+G20463+G20476</f>
        <v>0</v>
      </c>
      <c r="H20333" s="16" t="n">
        <f aca="false">H20359+H20372+H20385+H20398+H20411+H20424+H20437+H20450+H20463+H20476</f>
        <v>0</v>
      </c>
      <c r="I20333" s="16" t="n">
        <f aca="false">I20359+I20372+I20385+I20398+I20411+I20424+I20437+I20450+I20463+I20476</f>
        <v>0</v>
      </c>
      <c r="J20333" s="16" t="n">
        <f aca="false">J20359+J20372+J20385+J20398+J20411+J20424+J20437+J20450+J20463+J20476</f>
        <v>0</v>
      </c>
      <c r="K20333" s="16" t="n">
        <f aca="false">K20359+K20372+K20385+K20398+K20411+K20424+K20437+K20450+K20463+K20476</f>
        <v>0</v>
      </c>
    </row>
    <row r="20334" customFormat="false" ht="15" hidden="false" customHeight="false" outlineLevel="0" collapsed="false">
      <c r="A20334" s="3" t="s">
        <v>283</v>
      </c>
      <c r="G20334" s="16" t="n">
        <f aca="false">G20332+G20333</f>
        <v>194.5679854</v>
      </c>
      <c r="H20334" s="16" t="n">
        <f aca="false">H20332+H20333</f>
        <v>193.3700704</v>
      </c>
      <c r="I20334" s="16" t="n">
        <f aca="false">I20332+I20333</f>
        <v>190.2394508645</v>
      </c>
      <c r="J20334" s="16" t="n">
        <f aca="false">J20332+J20333</f>
        <v>189.7694508645</v>
      </c>
      <c r="K20334" s="16" t="n">
        <f aca="false">K20332+K20333</f>
        <v>189.2994508645</v>
      </c>
    </row>
    <row r="20335" customFormat="false" ht="15" hidden="false" customHeight="false" outlineLevel="0" collapsed="false">
      <c r="A20335" s="2" t="s">
        <v>284</v>
      </c>
      <c r="G20335" s="17" t="n">
        <f aca="false">G20331-G20334</f>
        <v>-152.8431684</v>
      </c>
      <c r="H20335" s="17" t="n">
        <f aca="false">H20331-H20334</f>
        <v>-166.39701737</v>
      </c>
      <c r="I20335" s="17" t="n">
        <f aca="false">I20331-I20334</f>
        <v>-165.092872271</v>
      </c>
      <c r="J20335" s="17" t="n">
        <f aca="false">J20331-J20334</f>
        <v>-160.88131106937</v>
      </c>
      <c r="K20335" s="17" t="n">
        <f aca="false">K20331-K20334</f>
        <v>-153.411450265118</v>
      </c>
    </row>
    <row r="20336" customFormat="false" ht="15" hidden="false" customHeight="false" outlineLevel="0" collapsed="false">
      <c r="A20336" s="3" t="s">
        <v>312</v>
      </c>
      <c r="G20336" s="16" t="n">
        <f aca="false">MAX(0,G20335)*Assumptions!$C$9</f>
        <v>0</v>
      </c>
      <c r="H20336" s="16" t="n">
        <f aca="false">MAX(0,H20335)*Assumptions!$C$9</f>
        <v>0</v>
      </c>
      <c r="I20336" s="16" t="n">
        <f aca="false">MAX(0,I20335)*Assumptions!$C$9</f>
        <v>0</v>
      </c>
      <c r="J20336" s="16" t="n">
        <f aca="false">MAX(0,J20335)*Assumptions!$C$9</f>
        <v>0</v>
      </c>
      <c r="K20336" s="16" t="n">
        <f aca="false">MAX(0,K20335)*Assumptions!$C$9</f>
        <v>0</v>
      </c>
    </row>
    <row r="20337" customFormat="false" ht="15" hidden="false" customHeight="false" outlineLevel="0" collapsed="false">
      <c r="A20337" s="2" t="s">
        <v>313</v>
      </c>
      <c r="G20337" s="17" t="n">
        <f aca="false">G20335-G20336</f>
        <v>-152.8431684</v>
      </c>
      <c r="H20337" s="17" t="n">
        <f aca="false">H20335-H20336</f>
        <v>-166.39701737</v>
      </c>
      <c r="I20337" s="17" t="n">
        <f aca="false">I20335-I20336</f>
        <v>-165.092872271</v>
      </c>
      <c r="J20337" s="17" t="n">
        <f aca="false">J20335-J20336</f>
        <v>-160.88131106937</v>
      </c>
      <c r="K20337" s="17" t="n">
        <f aca="false">K20335-K20336</f>
        <v>-153.411450265118</v>
      </c>
    </row>
    <row r="20338" customFormat="false" ht="15" hidden="false" customHeight="false" outlineLevel="0" collapsed="false">
      <c r="A20338" s="24" t="s">
        <v>314</v>
      </c>
      <c r="B20338" s="25"/>
      <c r="C20338" s="25"/>
      <c r="D20338" s="25"/>
      <c r="E20338" s="25"/>
      <c r="F20338" s="25"/>
      <c r="G20338" s="25"/>
      <c r="H20338" s="25"/>
      <c r="I20338" s="25"/>
      <c r="J20338" s="25"/>
      <c r="K20338" s="25"/>
    </row>
    <row r="20339" customFormat="false" ht="15" hidden="false" customHeight="false" outlineLevel="0" collapsed="false">
      <c r="A20339" s="3" t="s">
        <v>184</v>
      </c>
      <c r="G20339" s="16" t="n">
        <f aca="false">G20324*CHOOSE($C$20311,Assumptions!$C$83,Assumptions!$C$102,Assumptions!$C$121)</f>
        <v>61.5389385</v>
      </c>
      <c r="H20339" s="16" t="n">
        <f aca="false">H20324*CHOOSE($C$20311,Assumptions!$C$83,Assumptions!$C$102,Assumptions!$C$121)</f>
        <v>60.30815973</v>
      </c>
      <c r="I20339" s="16" t="n">
        <f aca="false">I20324*CHOOSE($C$20311,Assumptions!$C$83,Assumptions!$C$102,Assumptions!$C$121)</f>
        <v>61.5143229246</v>
      </c>
      <c r="J20339" s="16" t="n">
        <f aca="false">J20324*CHOOSE($C$20311,Assumptions!$C$83,Assumptions!$C$102,Assumptions!$C$121)</f>
        <v>64.59003907083</v>
      </c>
      <c r="K20339" s="16" t="n">
        <f aca="false">K20324*CHOOSE($C$20311,Assumptions!$C$83,Assumptions!$C$102,Assumptions!$C$121)</f>
        <v>68.4654414150798</v>
      </c>
    </row>
    <row r="20340" customFormat="false" ht="15" hidden="false" customHeight="false" outlineLevel="0" collapsed="false">
      <c r="A20340" s="3" t="s">
        <v>315</v>
      </c>
      <c r="G20340" s="16" t="n">
        <f aca="false">CHOOSE($C$20311,Assumptions!$C$84,Assumptions!$C$103,Assumptions!$C$122)*(G20324-F20324)+CHOOSE($C$20311,Assumptions!$C$85,Assumptions!$C$104,Assumptions!$C$123)*G20324</f>
        <v>0</v>
      </c>
      <c r="H20340" s="16" t="n">
        <f aca="false">CHOOSE($C$20311,Assumptions!$C$84,Assumptions!$C$103,Assumptions!$C$122)*(H20324-G20324)+CHOOSE($C$20311,Assumptions!$C$85,Assumptions!$C$104,Assumptions!$C$123)*H20324</f>
        <v>0</v>
      </c>
      <c r="I20340" s="16" t="n">
        <f aca="false">CHOOSE($C$20311,Assumptions!$C$84,Assumptions!$C$103,Assumptions!$C$122)*(I20324-H20324)+CHOOSE($C$20311,Assumptions!$C$85,Assumptions!$C$104,Assumptions!$C$123)*I20324</f>
        <v>0</v>
      </c>
      <c r="J20340" s="16" t="n">
        <f aca="false">CHOOSE($C$20311,Assumptions!$C$84,Assumptions!$C$103,Assumptions!$C$122)*(J20324-I20324)+CHOOSE($C$20311,Assumptions!$C$85,Assumptions!$C$104,Assumptions!$C$123)*J20324</f>
        <v>0</v>
      </c>
      <c r="K20340" s="16" t="n">
        <f aca="false">CHOOSE($C$20311,Assumptions!$C$84,Assumptions!$C$103,Assumptions!$C$122)*(K20324-J20324)+CHOOSE($C$20311,Assumptions!$C$85,Assumptions!$C$104,Assumptions!$C$123)*K20324</f>
        <v>0</v>
      </c>
    </row>
    <row r="20341" customFormat="false" ht="15" hidden="false" customHeight="false" outlineLevel="0" collapsed="false">
      <c r="A20341" s="2" t="s">
        <v>316</v>
      </c>
      <c r="G20341" s="17" t="n">
        <f aca="false">G20337+G20329+G20330+G20333-G20339-G20340</f>
        <v>-38.3537569</v>
      </c>
      <c r="H20341" s="17" t="n">
        <f aca="false">H20337+H20329+H20330+H20333-H20339-H20340</f>
        <v>-54.1973941</v>
      </c>
      <c r="I20341" s="17" t="n">
        <f aca="false">I20337+I20329+I20330+I20333-I20339-I20340</f>
        <v>-50.6492565356</v>
      </c>
      <c r="J20341" s="17" t="n">
        <f aca="false">J20337+J20329+J20330+J20333-J20339-J20340</f>
        <v>-40.7155145472</v>
      </c>
      <c r="K20341" s="17" t="n">
        <f aca="false">K20337+K20329+K20330+K20333-K20339-K20340</f>
        <v>-26.0357059516174</v>
      </c>
    </row>
    <row r="20343" customFormat="false" ht="15" hidden="false" customHeight="false" outlineLevel="0" collapsed="false">
      <c r="A20343" s="24" t="s">
        <v>318</v>
      </c>
      <c r="B20343" s="25"/>
      <c r="C20343" s="25"/>
      <c r="D20343" s="25"/>
      <c r="E20343" s="25"/>
      <c r="F20343" s="25"/>
      <c r="G20343" s="25"/>
      <c r="H20343" s="25"/>
      <c r="I20343" s="25"/>
      <c r="J20343" s="25"/>
      <c r="K20343" s="25"/>
    </row>
    <row r="20344" customFormat="false" ht="15" hidden="false" customHeight="false" outlineLevel="0" collapsed="false">
      <c r="A20344" s="3" t="s">
        <v>319</v>
      </c>
      <c r="G20344" s="30" t="n">
        <f aca="false">Assumptions!$G$53</f>
        <v>0.039</v>
      </c>
      <c r="H20344" s="30" t="n">
        <f aca="false">Assumptions!$H$53</f>
        <v>0.0375</v>
      </c>
      <c r="I20344" s="30" t="n">
        <f aca="false">Assumptions!$I$53</f>
        <v>0.035</v>
      </c>
      <c r="J20344" s="30" t="n">
        <f aca="false">Assumptions!$J$53</f>
        <v>0.035</v>
      </c>
      <c r="K20344" s="30" t="n">
        <f aca="false">Assumptions!$K$53</f>
        <v>0.035</v>
      </c>
    </row>
    <row r="20345" customFormat="false" ht="15" hidden="false" customHeight="false" outlineLevel="0" collapsed="false">
      <c r="A20345" s="3" t="s">
        <v>320</v>
      </c>
      <c r="C20345" s="31" t="n">
        <f aca="false">CHOOSE($C$20311,Assumptions!$C$86,Assumptions!$C$105,Assumptions!$C$124)+$C$20314</f>
        <v>0.03</v>
      </c>
    </row>
    <row r="20346" customFormat="false" ht="15" hidden="false" customHeight="false" outlineLevel="0" collapsed="false">
      <c r="A20346" s="3" t="s">
        <v>321</v>
      </c>
      <c r="C20346" s="31" t="n">
        <f aca="false">CHOOSE($C$20311,Assumptions!$C$87,Assumptions!$C$106,Assumptions!$C$125)</f>
        <v>0.12</v>
      </c>
    </row>
    <row r="20347" customFormat="false" ht="15" hidden="false" customHeight="false" outlineLevel="0" collapsed="false">
      <c r="A20347" s="3" t="s">
        <v>322</v>
      </c>
      <c r="C20347" s="32" t="n">
        <f aca="false">CHOOSE($C$20311,Assumptions!$C$88,Assumptions!$C$107,Assumptions!$C$126)</f>
        <v>9</v>
      </c>
    </row>
    <row r="20348" customFormat="false" ht="15" hidden="false" customHeight="false" outlineLevel="0" collapsed="false">
      <c r="A20348" s="3" t="s">
        <v>323</v>
      </c>
      <c r="C20348" s="32" t="n">
        <f aca="false">CHOOSE($C$20311,Assumptions!$C$89,Assumptions!$C$108,Assumptions!$C$127)</f>
        <v>1.75</v>
      </c>
    </row>
    <row r="20349" customFormat="false" ht="15" hidden="false" customHeight="false" outlineLevel="0" collapsed="false">
      <c r="A20349" s="3" t="s">
        <v>324</v>
      </c>
      <c r="G20349" s="16" t="n">
        <f aca="false">G20354+G20367+G20380+G20393+G20406+G20419+G20432+G20445+G20458+G20471</f>
        <v>2625.934</v>
      </c>
      <c r="H20349" s="16" t="n">
        <f aca="false">H20354+H20367+H20380+H20393+H20406+H20419+H20432+H20445+H20458+H20471</f>
        <v>2621.934</v>
      </c>
      <c r="I20349" s="16" t="n">
        <f aca="false">I20354+I20367+I20380+I20393+I20406+I20419+I20432+I20445+I20458+I20471</f>
        <v>2580.615151</v>
      </c>
      <c r="J20349" s="16" t="n">
        <f aca="false">J20354+J20367+J20380+J20393+J20406+J20419+J20432+J20445+J20458+J20471</f>
        <v>2576.615151</v>
      </c>
      <c r="K20349" s="16" t="n">
        <f aca="false">K20354+K20367+K20380+K20393+K20406+K20419+K20432+K20445+K20458+K20471</f>
        <v>2572.615151</v>
      </c>
    </row>
    <row r="20350" customFormat="false" ht="15" hidden="false" customHeight="false" outlineLevel="0" collapsed="false">
      <c r="A20350" s="3" t="s">
        <v>325</v>
      </c>
      <c r="G20350" s="16" t="n">
        <f aca="false">F20542</f>
        <v>37.87</v>
      </c>
      <c r="H20350" s="16" t="n">
        <f aca="false">G20542</f>
        <v>95.5162431</v>
      </c>
      <c r="I20350" s="16" t="n">
        <f aca="false">H20542</f>
        <v>0</v>
      </c>
      <c r="J20350" s="16" t="n">
        <f aca="false">I20542</f>
        <v>-54.6492565356</v>
      </c>
      <c r="K20350" s="16" t="n">
        <f aca="false">J20542</f>
        <v>-99.3647710828</v>
      </c>
    </row>
    <row r="20351" customFormat="false" ht="15" hidden="false" customHeight="false" outlineLevel="0" collapsed="false">
      <c r="A20351" s="3" t="s">
        <v>326</v>
      </c>
      <c r="G20351" s="16" t="n">
        <f aca="false">G20354*IF(G20355=1,$C$20346,IF(Assumptions!$I$57=1,MAX(G20344,Assumptions!$G$57)+Assumptions!$F$57+$C$20345,Assumptions!$E$57))+G20367*IF(G20368=1,$C$20346,IF(Assumptions!$I$58=1,MAX(G20344,Assumptions!$G$58)+Assumptions!$F$58+$C$20345,Assumptions!$E$58))+G20380*IF(G20381=1,$C$20346,IF(Assumptions!$I$59=1,MAX(G20344,Assumptions!$G$59)+Assumptions!$F$59+$C$20345,Assumptions!$E$59))+G20393*IF(G20394=1,$C$20346,IF(Assumptions!$I$60=1,MAX(G20344,Assumptions!$G$60)+Assumptions!$F$60+$C$20345,Assumptions!$E$60))+G20406*IF(G20407=1,$C$20346,IF(Assumptions!$I$61=1,MAX(G20344,Assumptions!$G$61)+Assumptions!$F$61+$C$20345,Assumptions!$E$61))+G20419*IF(G20420=1,$C$20346,IF(Assumptions!$I$62=1,MAX(G20344,Assumptions!$G$62)+Assumptions!$F$62+$C$20345,Assumptions!$E$62))+G20432*IF(G20433=1,$C$20346,IF(Assumptions!$I$63=1,MAX(G20344,Assumptions!$G$63)+Assumptions!$F$63+$C$20345,Assumptions!$E$63))+G20445*IF(G20446=1,$C$20346,IF(Assumptions!$I$64=1,MAX(G20344,Assumptions!$G$64)+Assumptions!$F$64+$C$20345,Assumptions!$E$64))+G20458*IF(G20459=1,$C$20346,IF(Assumptions!$I$65=1,MAX(G20344,Assumptions!$G$65)+Assumptions!$F$65+$C$20345,Assumptions!$E$65))+G20471*IF(G20472=1,$C$20346,IF(Assumptions!$I$66=1,MAX(G20344,Assumptions!$G$66)+Assumptions!$F$66+$C$20345,Assumptions!$E$66))</f>
        <v>194.5679854</v>
      </c>
      <c r="H20351" s="16" t="n">
        <f aca="false">H20354*IF(OR(H20355=1,G20664=1),$C$20346,IF(Assumptions!$I$57=1,MAX(H20344,Assumptions!$G$57)+Assumptions!$F$57+$C$20345,Assumptions!$E$57))+H20367*IF(OR(H20368=1,G20665=1),$C$20346,IF(Assumptions!$I$58=1,MAX(H20344,Assumptions!$G$58)+Assumptions!$F$58+$C$20345,Assumptions!$E$58))+H20380*IF(OR(H20381=1,G20666=1),$C$20346,IF(Assumptions!$I$59=1,MAX(H20344,Assumptions!$G$59)+Assumptions!$F$59+$C$20345,Assumptions!$E$59))+H20393*IF(OR(H20394=1,G20667=1),$C$20346,IF(Assumptions!$I$60=1,MAX(H20344,Assumptions!$G$60)+Assumptions!$F$60+$C$20345,Assumptions!$E$60))+H20406*IF(OR(H20407=1,G20668=1),$C$20346,IF(Assumptions!$I$61=1,MAX(H20344,Assumptions!$G$61)+Assumptions!$F$61+$C$20345,Assumptions!$E$61))+H20419*IF(OR(H20420=1,G20669=1),$C$20346,IF(Assumptions!$I$62=1,MAX(H20344,Assumptions!$G$62)+Assumptions!$F$62+$C$20345,Assumptions!$E$62))+H20432*IF(OR(H20433=1,G20670=1),$C$20346,IF(Assumptions!$I$63=1,MAX(H20344,Assumptions!$G$63)+Assumptions!$F$63+$C$20345,Assumptions!$E$63))+H20445*IF(OR(H20446=1,G20671=1),$C$20346,IF(Assumptions!$I$64=1,MAX(H20344,Assumptions!$G$64)+Assumptions!$F$64+$C$20345,Assumptions!$E$64))+H20458*IF(OR(H20459=1,G20672=1),$C$20346,IF(Assumptions!$I$65=1,MAX(H20344,Assumptions!$G$65)+Assumptions!$F$65+$C$20345,Assumptions!$E$65))+H20471*IF(OR(H20472=1,G20673=1),$C$20346,IF(Assumptions!$I$66=1,MAX(H20344,Assumptions!$G$66)+Assumptions!$F$66+$C$20345,Assumptions!$E$66))</f>
        <v>242.5450704</v>
      </c>
      <c r="I20351" s="16" t="n">
        <f aca="false">I20354*IF(OR(I20355=1,H20664=1),$C$20346,IF(Assumptions!$I$57=1,MAX(I20344,Assumptions!$G$57)+Assumptions!$F$57+$C$20345,Assumptions!$E$57))+I20367*IF(OR(I20368=1,H20665=1),$C$20346,IF(Assumptions!$I$58=1,MAX(I20344,Assumptions!$G$58)+Assumptions!$F$58+$C$20345,Assumptions!$E$58))+I20380*IF(OR(I20381=1,H20666=1),$C$20346,IF(Assumptions!$I$59=1,MAX(I20344,Assumptions!$G$59)+Assumptions!$F$59+$C$20345,Assumptions!$E$59))+I20393*IF(OR(I20394=1,H20667=1),$C$20346,IF(Assumptions!$I$60=1,MAX(I20344,Assumptions!$G$60)+Assumptions!$F$60+$C$20345,Assumptions!$E$60))+I20406*IF(OR(I20407=1,H20668=1),$C$20346,IF(Assumptions!$I$61=1,MAX(I20344,Assumptions!$G$61)+Assumptions!$F$61+$C$20345,Assumptions!$E$61))+I20419*IF(OR(I20420=1,H20669=1),$C$20346,IF(Assumptions!$I$62=1,MAX(I20344,Assumptions!$G$62)+Assumptions!$F$62+$C$20345,Assumptions!$E$62))+I20432*IF(OR(I20433=1,H20670=1),$C$20346,IF(Assumptions!$I$63=1,MAX(I20344,Assumptions!$G$63)+Assumptions!$F$63+$C$20345,Assumptions!$E$63))+I20445*IF(OR(I20446=1,H20671=1),$C$20346,IF(Assumptions!$I$64=1,MAX(I20344,Assumptions!$G$64)+Assumptions!$F$64+$C$20345,Assumptions!$E$64))+I20458*IF(OR(I20459=1,H20672=1),$C$20346,IF(Assumptions!$I$65=1,MAX(I20344,Assumptions!$G$65)+Assumptions!$F$65+$C$20345,Assumptions!$E$65))+I20471*IF(OR(I20472=1,H20673=1),$C$20346,IF(Assumptions!$I$66=1,MAX(I20344,Assumptions!$G$66)+Assumptions!$F$66+$C$20345,Assumptions!$E$66))</f>
        <v>207.4269508645</v>
      </c>
      <c r="J20351" s="16" t="n">
        <f aca="false">J20354*IF(OR(J20355=1,I20664=1),$C$20346,IF(Assumptions!$I$57=1,MAX(J20344,Assumptions!$G$57)+Assumptions!$F$57+$C$20345,Assumptions!$E$57))+J20367*IF(OR(J20368=1,I20665=1),$C$20346,IF(Assumptions!$I$58=1,MAX(J20344,Assumptions!$G$58)+Assumptions!$F$58+$C$20345,Assumptions!$E$58))+J20380*IF(OR(J20381=1,I20666=1),$C$20346,IF(Assumptions!$I$59=1,MAX(J20344,Assumptions!$G$59)+Assumptions!$F$59+$C$20345,Assumptions!$E$59))+J20393*IF(OR(J20394=1,I20667=1),$C$20346,IF(Assumptions!$I$60=1,MAX(J20344,Assumptions!$G$60)+Assumptions!$F$60+$C$20345,Assumptions!$E$60))+J20406*IF(OR(J20407=1,I20668=1),$C$20346,IF(Assumptions!$I$61=1,MAX(J20344,Assumptions!$G$61)+Assumptions!$F$61+$C$20345,Assumptions!$E$61))+J20419*IF(OR(J20420=1,I20669=1),$C$20346,IF(Assumptions!$I$62=1,MAX(J20344,Assumptions!$G$62)+Assumptions!$F$62+$C$20345,Assumptions!$E$62))+J20432*IF(OR(J20433=1,I20670=1),$C$20346,IF(Assumptions!$I$63=1,MAX(J20344,Assumptions!$G$63)+Assumptions!$F$63+$C$20345,Assumptions!$E$63))+J20445*IF(OR(J20446=1,I20671=1),$C$20346,IF(Assumptions!$I$64=1,MAX(J20344,Assumptions!$G$64)+Assumptions!$F$64+$C$20345,Assumptions!$E$64))+J20458*IF(OR(J20459=1,I20672=1),$C$20346,IF(Assumptions!$I$65=1,MAX(J20344,Assumptions!$G$65)+Assumptions!$F$65+$C$20345,Assumptions!$E$65))+J20471*IF(OR(J20472=1,I20673=1),$C$20346,IF(Assumptions!$I$66=1,MAX(J20344,Assumptions!$G$66)+Assumptions!$F$66+$C$20345,Assumptions!$E$66))</f>
        <v>215.8444508645</v>
      </c>
      <c r="K20351" s="16" t="n">
        <f aca="false">K20354*IF(OR(K20355=1,J20664=1),$C$20346,IF(Assumptions!$I$57=1,MAX(K20344,Assumptions!$G$57)+Assumptions!$F$57+$C$20345,Assumptions!$E$57))+K20367*IF(OR(K20368=1,J20665=1),$C$20346,IF(Assumptions!$I$58=1,MAX(K20344,Assumptions!$G$58)+Assumptions!$F$58+$C$20345,Assumptions!$E$58))+K20380*IF(OR(K20381=1,J20666=1),$C$20346,IF(Assumptions!$I$59=1,MAX(K20344,Assumptions!$G$59)+Assumptions!$F$59+$C$20345,Assumptions!$E$59))+K20393*IF(OR(K20394=1,J20667=1),$C$20346,IF(Assumptions!$I$60=1,MAX(K20344,Assumptions!$G$60)+Assumptions!$F$60+$C$20345,Assumptions!$E$60))+K20406*IF(OR(K20407=1,J20668=1),$C$20346,IF(Assumptions!$I$61=1,MAX(K20344,Assumptions!$G$61)+Assumptions!$F$61+$C$20345,Assumptions!$E$61))+K20419*IF(OR(K20420=1,J20669=1),$C$20346,IF(Assumptions!$I$62=1,MAX(K20344,Assumptions!$G$62)+Assumptions!$F$62+$C$20345,Assumptions!$E$62))+K20432*IF(OR(K20433=1,J20670=1),$C$20346,IF(Assumptions!$I$63=1,MAX(K20344,Assumptions!$G$63)+Assumptions!$F$63+$C$20345,Assumptions!$E$63))+K20445*IF(OR(K20446=1,J20671=1),$C$20346,IF(Assumptions!$I$64=1,MAX(K20344,Assumptions!$G$64)+Assumptions!$F$64+$C$20345,Assumptions!$E$64))+K20458*IF(OR(K20459=1,J20672=1),$C$20346,IF(Assumptions!$I$65=1,MAX(K20344,Assumptions!$G$65)+Assumptions!$F$65+$C$20345,Assumptions!$E$65))+K20471*IF(OR(K20472=1,J20673=1),$C$20346,IF(Assumptions!$I$66=1,MAX(K20344,Assumptions!$G$66)+Assumptions!$F$66+$C$20345,Assumptions!$E$66))</f>
        <v>207.8844508645</v>
      </c>
    </row>
    <row r="20352" customFormat="false" ht="15" hidden="false" customHeight="false" outlineLevel="0" collapsed="false">
      <c r="A20352" s="3" t="s">
        <v>327</v>
      </c>
      <c r="G20352" s="21" t="n">
        <f aca="false">IF(G20328&lt;=0,0,IF(AND((G20349-G20350)/G20328&lt;=$C$20347,G20328/G20351&gt;=$C$20348),1,0))</f>
        <v>0</v>
      </c>
      <c r="H20352" s="21" t="n">
        <f aca="false">IF(H20328&lt;=0,0,IF(AND((H20349-H20350)/H20328&lt;=$C$20347,H20328/H20351&gt;=$C$20348),1,0))</f>
        <v>0</v>
      </c>
      <c r="I20352" s="21" t="n">
        <f aca="false">IF(I20328&lt;=0,0,IF(AND((I20349-I20350)/I20328&lt;=$C$20347,I20328/I20351&gt;=$C$20348),1,0))</f>
        <v>0</v>
      </c>
      <c r="J20352" s="21" t="n">
        <f aca="false">IF(J20328&lt;=0,0,IF(AND((J20349-J20350)/J20328&lt;=$C$20347,J20328/J20351&gt;=$C$20348),1,0))</f>
        <v>0</v>
      </c>
      <c r="K20352" s="21" t="n">
        <f aca="false">IF(K20328&lt;=0,0,IF(AND((K20349-K20350)/K20328&lt;=$C$20347,K20328/K20351&gt;=$C$20348),1,0))</f>
        <v>0</v>
      </c>
    </row>
    <row r="20353" customFormat="false" ht="15" hidden="false" customHeight="false" outlineLevel="0" collapsed="false">
      <c r="A20353" s="24" t="s">
        <v>328</v>
      </c>
      <c r="B20353" s="25"/>
      <c r="C20353" s="25"/>
      <c r="D20353" s="25"/>
      <c r="E20353" s="25"/>
      <c r="F20353" s="25"/>
      <c r="G20353" s="25"/>
      <c r="H20353" s="25"/>
      <c r="I20353" s="25"/>
      <c r="J20353" s="25"/>
      <c r="K20353" s="25"/>
    </row>
    <row r="20354" customFormat="false" ht="15" hidden="false" customHeight="false" outlineLevel="0" collapsed="false">
      <c r="A20354" s="3" t="s">
        <v>329</v>
      </c>
      <c r="G20354" s="16" t="n">
        <f aca="false">F20365</f>
        <v>400</v>
      </c>
      <c r="H20354" s="16" t="n">
        <f aca="false">G20365</f>
        <v>396</v>
      </c>
      <c r="I20354" s="16" t="n">
        <f aca="false">H20365</f>
        <v>392</v>
      </c>
      <c r="J20354" s="16" t="n">
        <f aca="false">I20365</f>
        <v>388</v>
      </c>
      <c r="K20354" s="16" t="n">
        <f aca="false">J20365</f>
        <v>384</v>
      </c>
    </row>
    <row r="20355" customFormat="false" ht="15" hidden="false" customHeight="false" outlineLevel="0" collapsed="false">
      <c r="A20355" s="3" t="s">
        <v>330</v>
      </c>
      <c r="G20355" s="21" t="n">
        <f aca="false">IF(G20318=Assumptions!$K$57,1,0)</f>
        <v>0</v>
      </c>
      <c r="H20355" s="21" t="n">
        <f aca="false">IF(H20318=Assumptions!$K$57,1,0)</f>
        <v>0</v>
      </c>
      <c r="I20355" s="21" t="n">
        <f aca="false">IF(I20318=Assumptions!$K$57,1,0)</f>
        <v>0</v>
      </c>
      <c r="J20355" s="21" t="n">
        <f aca="false">IF(J20318=Assumptions!$K$57,1,0)</f>
        <v>0</v>
      </c>
      <c r="K20355" s="21" t="n">
        <f aca="false">IF(K20318=Assumptions!$K$57,1,0)</f>
        <v>1</v>
      </c>
    </row>
    <row r="20357" customFormat="false" ht="15" hidden="false" customHeight="false" outlineLevel="0" collapsed="false">
      <c r="A20357" s="3" t="s">
        <v>331</v>
      </c>
      <c r="G20357" s="31" t="n">
        <f aca="false">IF(Assumptions!$I$57=1,MAX(G20344,Assumptions!$G$57)+Assumptions!$F$57+$C$20345,Assumptions!$E$57)</f>
        <v>0.1215</v>
      </c>
      <c r="H20357" s="31" t="n">
        <f aca="false">IF(G20664=1,$C$20346,IF(Assumptions!$I$57=1,MAX(H20344,Assumptions!$G$57)+Assumptions!$F$57+$C$20345,Assumptions!$E$57))</f>
        <v>0.12</v>
      </c>
      <c r="I20357" s="31" t="n">
        <f aca="false">IF(H20664=1,$C$20346,IF(Assumptions!$I$57=1,MAX(I20344,Assumptions!$G$57)+Assumptions!$F$57+$C$20345,Assumptions!$E$57))</f>
        <v>0.1175</v>
      </c>
      <c r="J20357" s="31" t="n">
        <f aca="false">IF(I20664=1,$C$20346,IF(Assumptions!$I$57=1,MAX(J20344,Assumptions!$G$57)+Assumptions!$F$57+$C$20345,Assumptions!$E$57))</f>
        <v>0.1175</v>
      </c>
      <c r="K20357" s="31" t="n">
        <f aca="false">IF(J20664=1,$C$20346,IF(Assumptions!$I$57=1,MAX(K20344,Assumptions!$G$57)+Assumptions!$F$57+$C$20345,Assumptions!$E$57))</f>
        <v>0.1175</v>
      </c>
    </row>
    <row r="20358" customFormat="false" ht="15" hidden="false" customHeight="false" outlineLevel="0" collapsed="false">
      <c r="A20358" s="3" t="s">
        <v>332</v>
      </c>
      <c r="G20358" s="16" t="n">
        <f aca="false">G20354*G20357</f>
        <v>48.6</v>
      </c>
      <c r="H20358" s="16" t="n">
        <f aca="false">H20354*H20357</f>
        <v>47.52</v>
      </c>
      <c r="I20358" s="16" t="n">
        <f aca="false">I20354*I20357</f>
        <v>46.06</v>
      </c>
      <c r="J20358" s="16" t="n">
        <f aca="false">J20354*J20357</f>
        <v>45.59</v>
      </c>
      <c r="K20358" s="16" t="n">
        <f aca="false">K20354*K20357</f>
        <v>45.12</v>
      </c>
    </row>
    <row r="20359" customFormat="false" ht="15" hidden="false" customHeight="false" outlineLevel="0" collapsed="false">
      <c r="A20359" s="3" t="s">
        <v>333</v>
      </c>
      <c r="G20359" s="16" t="n">
        <f aca="false">G20354*Assumptions!$H$57</f>
        <v>0</v>
      </c>
      <c r="H20359" s="16" t="n">
        <f aca="false">H20354*Assumptions!$H$57</f>
        <v>0</v>
      </c>
      <c r="I20359" s="16" t="n">
        <f aca="false">I20354*Assumptions!$H$57</f>
        <v>0</v>
      </c>
      <c r="J20359" s="16" t="n">
        <f aca="false">J20354*Assumptions!$H$57</f>
        <v>0</v>
      </c>
      <c r="K20359" s="16" t="n">
        <f aca="false">K20354*Assumptions!$H$57</f>
        <v>0</v>
      </c>
    </row>
    <row r="20360" customFormat="false" ht="15" hidden="false" customHeight="false" outlineLevel="0" collapsed="false">
      <c r="A20360" s="3" t="s">
        <v>334</v>
      </c>
      <c r="G20360" s="16" t="n">
        <f aca="false">MIN(G20354,Assumptions!$L$57*Assumptions!$C$57)</f>
        <v>4</v>
      </c>
      <c r="H20360" s="16" t="n">
        <f aca="false">MIN(H20354,Assumptions!$L$57*Assumptions!$C$57)</f>
        <v>4</v>
      </c>
      <c r="I20360" s="16" t="n">
        <f aca="false">MIN(I20354,Assumptions!$L$57*Assumptions!$C$57)</f>
        <v>4</v>
      </c>
      <c r="J20360" s="16" t="n">
        <f aca="false">MIN(J20354,Assumptions!$L$57*Assumptions!$C$57)</f>
        <v>4</v>
      </c>
      <c r="K20360" s="16" t="n">
        <f aca="false">MIN(K20354,Assumptions!$L$57*Assumptions!$C$57)</f>
        <v>4</v>
      </c>
    </row>
    <row r="20361" customFormat="false" ht="15" hidden="false" customHeight="false" outlineLevel="0" collapsed="false">
      <c r="A20361" s="3" t="s">
        <v>335</v>
      </c>
      <c r="G20361" s="16" t="n">
        <f aca="false">IF(AND(Assumptions!$P$57=1,G20318&lt;Assumptions!$K$57),MIN(MAX(0,-G20534),MAX(0,Assumptions!$D$57-G20354)),0)</f>
        <v>0</v>
      </c>
      <c r="H20361" s="16" t="n">
        <f aca="false">IF(AND(Assumptions!$P$57=1,OR(H20318&lt;Assumptions!$K$57,G20664=1)),MIN(MAX(0,-H20534),MAX(0,Assumptions!$D$57-H20354)),0)</f>
        <v>0</v>
      </c>
      <c r="I20361" s="16" t="n">
        <f aca="false">IF(AND(Assumptions!$P$57=1,OR(I20318&lt;Assumptions!$K$57,H20664=1)),MIN(MAX(0,-I20534),MAX(0,Assumptions!$D$57-I20354)),0)</f>
        <v>0</v>
      </c>
      <c r="J20361" s="16" t="n">
        <f aca="false">IF(AND(Assumptions!$P$57=1,OR(J20318&lt;Assumptions!$K$57,I20664=1)),MIN(MAX(0,-J20534),MAX(0,Assumptions!$D$57-J20354)),0)</f>
        <v>0</v>
      </c>
      <c r="K20361" s="16" t="n">
        <f aca="false">IF(AND(Assumptions!$P$57=1,OR(K20318&lt;Assumptions!$K$57,J20664=1)),MIN(MAX(0,-K20534),MAX(0,Assumptions!$D$57-K20354)),0)</f>
        <v>0</v>
      </c>
    </row>
    <row r="20362" customFormat="false" ht="15" hidden="false" customHeight="false" outlineLevel="0" collapsed="false">
      <c r="A20362" s="3" t="s">
        <v>336</v>
      </c>
      <c r="G20362" s="16" t="n">
        <f aca="false">G20355*MIN(G20354-G20360+G20359,MAX(0,G20536-Assumptions!$C$12*G20352))</f>
        <v>0</v>
      </c>
      <c r="H20362" s="16" t="n">
        <f aca="false">H20355*MIN(H20354-H20360+H20359,MAX(0,H20536-Assumptions!$C$12*H20352))</f>
        <v>0</v>
      </c>
      <c r="I20362" s="16" t="n">
        <f aca="false">I20355*MIN(I20354-I20360+I20359,MAX(0,I20536-Assumptions!$C$12*I20352))</f>
        <v>0</v>
      </c>
      <c r="J20362" s="16" t="n">
        <f aca="false">J20355*MIN(J20354-J20360+J20359,MAX(0,J20536-Assumptions!$C$12*J20352))</f>
        <v>0</v>
      </c>
      <c r="K20362" s="16" t="n">
        <f aca="false">K20355*MIN(K20354-K20360+K20359,MAX(0,K20536-Assumptions!$C$12*K20352))</f>
        <v>0</v>
      </c>
    </row>
    <row r="20363" customFormat="false" ht="15" hidden="false" customHeight="false" outlineLevel="0" collapsed="false">
      <c r="A20363" s="3" t="s">
        <v>337</v>
      </c>
      <c r="G20363" s="16" t="n">
        <f aca="false">Assumptions!$N$57*MIN(G20354+G20361+G20359-G20360-G20362,MAX(0,G20540))</f>
        <v>0</v>
      </c>
      <c r="H20363" s="16" t="n">
        <f aca="false">Assumptions!$N$57*MIN(H20354+H20361+H20359-H20360-H20362,MAX(0,H20540))</f>
        <v>0</v>
      </c>
      <c r="I20363" s="16" t="n">
        <f aca="false">Assumptions!$N$57*MIN(I20354+I20361+I20359-I20360-I20362,MAX(0,I20540))</f>
        <v>0</v>
      </c>
      <c r="J20363" s="16" t="n">
        <f aca="false">Assumptions!$N$57*MIN(J20354+J20361+J20359-J20360-J20362,MAX(0,J20540))</f>
        <v>0</v>
      </c>
      <c r="K20363" s="16" t="n">
        <f aca="false">Assumptions!$N$57*MIN(K20354+K20361+K20359-K20360-K20362,MAX(0,K20540))</f>
        <v>0</v>
      </c>
    </row>
    <row r="20364" customFormat="false" ht="15" hidden="false" customHeight="false" outlineLevel="0" collapsed="false">
      <c r="A20364" s="3" t="s">
        <v>338</v>
      </c>
      <c r="G20364" s="16" t="n">
        <f aca="false">G20355*(1-G20352)*(G20354-G20360+G20359-G20362)</f>
        <v>0</v>
      </c>
      <c r="H20364" s="16" t="n">
        <f aca="false">H20355*(1-H20352)*(H20354-H20360+H20359-H20362)</f>
        <v>0</v>
      </c>
      <c r="I20364" s="16" t="n">
        <f aca="false">I20355*(1-I20352)*(I20354-I20360+I20359-I20362)</f>
        <v>0</v>
      </c>
      <c r="J20364" s="16" t="n">
        <f aca="false">J20355*(1-J20352)*(J20354-J20360+J20359-J20362)</f>
        <v>0</v>
      </c>
      <c r="K20364" s="16" t="n">
        <f aca="false">K20355*(1-K20352)*(K20354-K20360+K20359-K20362)</f>
        <v>380</v>
      </c>
    </row>
    <row r="20365" customFormat="false" ht="15" hidden="false" customHeight="false" outlineLevel="0" collapsed="false">
      <c r="A20365" s="2" t="s">
        <v>339</v>
      </c>
      <c r="F20365" s="28" t="n">
        <f aca="false">Assumptions!$C$57</f>
        <v>400</v>
      </c>
      <c r="G20365" s="17" t="n">
        <f aca="false">G20354+G20361+G20359-G20360-G20362-G20363</f>
        <v>396</v>
      </c>
      <c r="H20365" s="17" t="n">
        <f aca="false">H20354+H20361+H20359-H20360-H20362-H20363</f>
        <v>392</v>
      </c>
      <c r="I20365" s="17" t="n">
        <f aca="false">I20354+I20361+I20359-I20360-I20362-I20363</f>
        <v>388</v>
      </c>
      <c r="J20365" s="17" t="n">
        <f aca="false">J20354+J20361+J20359-J20360-J20362-J20363</f>
        <v>384</v>
      </c>
      <c r="K20365" s="17" t="n">
        <f aca="false">K20354+K20361+K20359-K20360-K20362-K20363</f>
        <v>380</v>
      </c>
    </row>
    <row r="20366" customFormat="false" ht="15" hidden="false" customHeight="false" outlineLevel="0" collapsed="false">
      <c r="A20366" s="24" t="s">
        <v>340</v>
      </c>
      <c r="B20366" s="25"/>
      <c r="C20366" s="25"/>
      <c r="D20366" s="25"/>
      <c r="E20366" s="25"/>
      <c r="F20366" s="25"/>
      <c r="G20366" s="25"/>
      <c r="H20366" s="25"/>
      <c r="I20366" s="25"/>
      <c r="J20366" s="25"/>
      <c r="K20366" s="25"/>
    </row>
    <row r="20367" customFormat="false" ht="15" hidden="false" customHeight="false" outlineLevel="0" collapsed="false">
      <c r="A20367" s="3" t="s">
        <v>329</v>
      </c>
      <c r="G20367" s="16" t="n">
        <f aca="false">F20378</f>
        <v>90</v>
      </c>
      <c r="H20367" s="16" t="n">
        <f aca="false">G20378</f>
        <v>90</v>
      </c>
      <c r="I20367" s="16" t="n">
        <f aca="false">H20378</f>
        <v>90</v>
      </c>
      <c r="J20367" s="16" t="n">
        <f aca="false">I20378</f>
        <v>90</v>
      </c>
      <c r="K20367" s="16" t="n">
        <f aca="false">J20378</f>
        <v>90</v>
      </c>
    </row>
    <row r="20368" customFormat="false" ht="15" hidden="false" customHeight="false" outlineLevel="0" collapsed="false">
      <c r="A20368" s="3" t="s">
        <v>330</v>
      </c>
      <c r="G20368" s="21" t="n">
        <f aca="false">IF(G20318=Assumptions!$K$58,1,0)</f>
        <v>0</v>
      </c>
      <c r="H20368" s="21" t="n">
        <f aca="false">IF(H20318=Assumptions!$K$58,1,0)</f>
        <v>0</v>
      </c>
      <c r="I20368" s="21" t="n">
        <f aca="false">IF(I20318=Assumptions!$K$58,1,0)</f>
        <v>0</v>
      </c>
      <c r="J20368" s="21" t="n">
        <f aca="false">IF(J20318=Assumptions!$K$58,1,0)</f>
        <v>0</v>
      </c>
      <c r="K20368" s="21" t="n">
        <f aca="false">IF(K20318=Assumptions!$K$58,1,0)</f>
        <v>0</v>
      </c>
    </row>
    <row r="20370" customFormat="false" ht="15" hidden="false" customHeight="false" outlineLevel="0" collapsed="false">
      <c r="A20370" s="3" t="s">
        <v>331</v>
      </c>
      <c r="G20370" s="31" t="n">
        <f aca="false">IF(Assumptions!$I$58=1,MAX(G20344,Assumptions!$G$58)+Assumptions!$F$58+$C$20345,Assumptions!$E$58)</f>
        <v>0.0581</v>
      </c>
      <c r="H20370" s="31" t="n">
        <f aca="false">IF(G20665=1,$C$20346,IF(Assumptions!$I$58=1,MAX(H20344,Assumptions!$G$58)+Assumptions!$F$58+$C$20345,Assumptions!$E$58))</f>
        <v>0.0581</v>
      </c>
      <c r="I20370" s="31" t="n">
        <f aca="false">IF(H20665=1,$C$20346,IF(Assumptions!$I$58=1,MAX(I20344,Assumptions!$G$58)+Assumptions!$F$58+$C$20345,Assumptions!$E$58))</f>
        <v>0.0581</v>
      </c>
      <c r="J20370" s="31" t="n">
        <f aca="false">IF(I20665=1,$C$20346,IF(Assumptions!$I$58=1,MAX(J20344,Assumptions!$G$58)+Assumptions!$F$58+$C$20345,Assumptions!$E$58))</f>
        <v>0.0581</v>
      </c>
      <c r="K20370" s="31" t="n">
        <f aca="false">IF(J20665=1,$C$20346,IF(Assumptions!$I$58=1,MAX(K20344,Assumptions!$G$58)+Assumptions!$F$58+$C$20345,Assumptions!$E$58))</f>
        <v>0.0581</v>
      </c>
    </row>
    <row r="20371" customFormat="false" ht="15" hidden="false" customHeight="false" outlineLevel="0" collapsed="false">
      <c r="A20371" s="3" t="s">
        <v>332</v>
      </c>
      <c r="G20371" s="16" t="n">
        <f aca="false">G20367*G20370</f>
        <v>5.229</v>
      </c>
      <c r="H20371" s="16" t="n">
        <f aca="false">H20367*H20370</f>
        <v>5.229</v>
      </c>
      <c r="I20371" s="16" t="n">
        <f aca="false">I20367*I20370</f>
        <v>5.229</v>
      </c>
      <c r="J20371" s="16" t="n">
        <f aca="false">J20367*J20370</f>
        <v>5.229</v>
      </c>
      <c r="K20371" s="16" t="n">
        <f aca="false">K20367*K20370</f>
        <v>5.229</v>
      </c>
    </row>
    <row r="20372" customFormat="false" ht="15" hidden="false" customHeight="false" outlineLevel="0" collapsed="false">
      <c r="A20372" s="3" t="s">
        <v>333</v>
      </c>
      <c r="G20372" s="16" t="n">
        <f aca="false">G20367*Assumptions!$H$58</f>
        <v>0</v>
      </c>
      <c r="H20372" s="16" t="n">
        <f aca="false">H20367*Assumptions!$H$58</f>
        <v>0</v>
      </c>
      <c r="I20372" s="16" t="n">
        <f aca="false">I20367*Assumptions!$H$58</f>
        <v>0</v>
      </c>
      <c r="J20372" s="16" t="n">
        <f aca="false">J20367*Assumptions!$H$58</f>
        <v>0</v>
      </c>
      <c r="K20372" s="16" t="n">
        <f aca="false">K20367*Assumptions!$H$58</f>
        <v>0</v>
      </c>
    </row>
    <row r="20373" customFormat="false" ht="15" hidden="false" customHeight="false" outlineLevel="0" collapsed="false">
      <c r="A20373" s="3" t="s">
        <v>334</v>
      </c>
      <c r="G20373" s="16" t="n">
        <f aca="false">MIN(G20367,Assumptions!$L$58*Assumptions!$C$58)</f>
        <v>0</v>
      </c>
      <c r="H20373" s="16" t="n">
        <f aca="false">MIN(H20367,Assumptions!$L$58*Assumptions!$C$58)</f>
        <v>0</v>
      </c>
      <c r="I20373" s="16" t="n">
        <f aca="false">MIN(I20367,Assumptions!$L$58*Assumptions!$C$58)</f>
        <v>0</v>
      </c>
      <c r="J20373" s="16" t="n">
        <f aca="false">MIN(J20367,Assumptions!$L$58*Assumptions!$C$58)</f>
        <v>0</v>
      </c>
      <c r="K20373" s="16" t="n">
        <f aca="false">MIN(K20367,Assumptions!$L$58*Assumptions!$C$58)</f>
        <v>0</v>
      </c>
    </row>
    <row r="20374" customFormat="false" ht="15" hidden="false" customHeight="false" outlineLevel="0" collapsed="false">
      <c r="A20374" s="3" t="s">
        <v>335</v>
      </c>
      <c r="G20374" s="16" t="n">
        <f aca="false">IF(AND(Assumptions!$P$58=1,G20318&lt;Assumptions!$K$58),MIN(MAX(0,-G20534),MAX(0,Assumptions!$D$58-G20367)),0)</f>
        <v>0</v>
      </c>
      <c r="H20374" s="16" t="n">
        <f aca="false">IF(AND(Assumptions!$P$58=1,OR(H20318&lt;Assumptions!$K$58,G20665=1)),MIN(MAX(0,-H20534),MAX(0,Assumptions!$D$58-H20367)),0)</f>
        <v>0</v>
      </c>
      <c r="I20374" s="16" t="n">
        <f aca="false">IF(AND(Assumptions!$P$58=1,OR(I20318&lt;Assumptions!$K$58,H20665=1)),MIN(MAX(0,-I20534),MAX(0,Assumptions!$D$58-I20367)),0)</f>
        <v>0</v>
      </c>
      <c r="J20374" s="16" t="n">
        <f aca="false">IF(AND(Assumptions!$P$58=1,OR(J20318&lt;Assumptions!$K$58,I20665=1)),MIN(MAX(0,-J20534),MAX(0,Assumptions!$D$58-J20367)),0)</f>
        <v>0</v>
      </c>
      <c r="K20374" s="16" t="n">
        <f aca="false">IF(AND(Assumptions!$P$58=1,OR(K20318&lt;Assumptions!$K$58,J20665=1)),MIN(MAX(0,-K20534),MAX(0,Assumptions!$D$58-K20367)),0)</f>
        <v>0</v>
      </c>
    </row>
    <row r="20375" customFormat="false" ht="15" hidden="false" customHeight="false" outlineLevel="0" collapsed="false">
      <c r="A20375" s="3" t="s">
        <v>336</v>
      </c>
      <c r="G20375" s="16" t="n">
        <f aca="false">G20368*MIN(G20367-G20373+G20372,MAX(0,G20536-Assumptions!$C$12*G20352-G20362))</f>
        <v>0</v>
      </c>
      <c r="H20375" s="16" t="n">
        <f aca="false">H20368*MIN(H20367-H20373+H20372,MAX(0,H20536-Assumptions!$C$12*H20352-H20362))</f>
        <v>0</v>
      </c>
      <c r="I20375" s="16" t="n">
        <f aca="false">I20368*MIN(I20367-I20373+I20372,MAX(0,I20536-Assumptions!$C$12*I20352-I20362))</f>
        <v>0</v>
      </c>
      <c r="J20375" s="16" t="n">
        <f aca="false">J20368*MIN(J20367-J20373+J20372,MAX(0,J20536-Assumptions!$C$12*J20352-J20362))</f>
        <v>0</v>
      </c>
      <c r="K20375" s="16" t="n">
        <f aca="false">K20368*MIN(K20367-K20373+K20372,MAX(0,K20536-Assumptions!$C$12*K20352-K20362))</f>
        <v>0</v>
      </c>
    </row>
    <row r="20376" customFormat="false" ht="15" hidden="false" customHeight="false" outlineLevel="0" collapsed="false">
      <c r="A20376" s="3" t="s">
        <v>337</v>
      </c>
      <c r="G20376" s="16" t="n">
        <f aca="false">Assumptions!$N$58*MIN(G20367+G20374+G20372-G20373-G20375,MAX(0,G20540-G20363))</f>
        <v>0</v>
      </c>
      <c r="H20376" s="16" t="n">
        <f aca="false">Assumptions!$N$58*MIN(H20367+H20374+H20372-H20373-H20375,MAX(0,H20540-H20363))</f>
        <v>0</v>
      </c>
      <c r="I20376" s="16" t="n">
        <f aca="false">Assumptions!$N$58*MIN(I20367+I20374+I20372-I20373-I20375,MAX(0,I20540-I20363))</f>
        <v>0</v>
      </c>
      <c r="J20376" s="16" t="n">
        <f aca="false">Assumptions!$N$58*MIN(J20367+J20374+J20372-J20373-J20375,MAX(0,J20540-J20363))</f>
        <v>0</v>
      </c>
      <c r="K20376" s="16" t="n">
        <f aca="false">Assumptions!$N$58*MIN(K20367+K20374+K20372-K20373-K20375,MAX(0,K20540-K20363))</f>
        <v>0</v>
      </c>
    </row>
    <row r="20377" customFormat="false" ht="15" hidden="false" customHeight="false" outlineLevel="0" collapsed="false">
      <c r="A20377" s="3" t="s">
        <v>338</v>
      </c>
      <c r="G20377" s="16" t="n">
        <f aca="false">G20368*(1-G20352)*(G20367-G20373+G20372-G20375)</f>
        <v>0</v>
      </c>
      <c r="H20377" s="16" t="n">
        <f aca="false">H20368*(1-H20352)*(H20367-H20373+H20372-H20375)</f>
        <v>0</v>
      </c>
      <c r="I20377" s="16" t="n">
        <f aca="false">I20368*(1-I20352)*(I20367-I20373+I20372-I20375)</f>
        <v>0</v>
      </c>
      <c r="J20377" s="16" t="n">
        <f aca="false">J20368*(1-J20352)*(J20367-J20373+J20372-J20375)</f>
        <v>0</v>
      </c>
      <c r="K20377" s="16" t="n">
        <f aca="false">K20368*(1-K20352)*(K20367-K20373+K20372-K20375)</f>
        <v>0</v>
      </c>
    </row>
    <row r="20378" customFormat="false" ht="15" hidden="false" customHeight="false" outlineLevel="0" collapsed="false">
      <c r="A20378" s="2" t="s">
        <v>339</v>
      </c>
      <c r="F20378" s="28" t="n">
        <f aca="false">Assumptions!$C$58</f>
        <v>90</v>
      </c>
      <c r="G20378" s="17" t="n">
        <f aca="false">G20367+G20374+G20372-G20373-G20375-G20376</f>
        <v>90</v>
      </c>
      <c r="H20378" s="17" t="n">
        <f aca="false">H20367+H20374+H20372-H20373-H20375-H20376</f>
        <v>90</v>
      </c>
      <c r="I20378" s="17" t="n">
        <f aca="false">I20367+I20374+I20372-I20373-I20375-I20376</f>
        <v>90</v>
      </c>
      <c r="J20378" s="17" t="n">
        <f aca="false">J20367+J20374+J20372-J20373-J20375-J20376</f>
        <v>90</v>
      </c>
      <c r="K20378" s="17" t="n">
        <f aca="false">K20367+K20374+K20372-K20373-K20375-K20376</f>
        <v>90</v>
      </c>
    </row>
    <row r="20379" customFormat="false" ht="15" hidden="false" customHeight="false" outlineLevel="0" collapsed="false">
      <c r="A20379" s="24" t="s">
        <v>341</v>
      </c>
      <c r="B20379" s="25"/>
      <c r="C20379" s="25"/>
      <c r="D20379" s="25"/>
      <c r="E20379" s="25"/>
      <c r="F20379" s="25"/>
      <c r="G20379" s="25"/>
      <c r="H20379" s="25"/>
      <c r="I20379" s="25"/>
      <c r="J20379" s="25"/>
      <c r="K20379" s="25"/>
    </row>
    <row r="20380" customFormat="false" ht="15" hidden="false" customHeight="false" outlineLevel="0" collapsed="false">
      <c r="A20380" s="3" t="s">
        <v>329</v>
      </c>
      <c r="G20380" s="16" t="n">
        <f aca="false">F20391</f>
        <v>57.324</v>
      </c>
      <c r="H20380" s="16" t="n">
        <f aca="false">G20391</f>
        <v>57.324</v>
      </c>
      <c r="I20380" s="16" t="n">
        <f aca="false">H20391</f>
        <v>57.324</v>
      </c>
      <c r="J20380" s="16" t="n">
        <f aca="false">I20391</f>
        <v>57.324</v>
      </c>
      <c r="K20380" s="16" t="n">
        <f aca="false">J20391</f>
        <v>57.324</v>
      </c>
    </row>
    <row r="20381" customFormat="false" ht="15" hidden="false" customHeight="false" outlineLevel="0" collapsed="false">
      <c r="A20381" s="3" t="s">
        <v>330</v>
      </c>
      <c r="G20381" s="21" t="n">
        <f aca="false">IF(G20318=Assumptions!$K$59,1,0)</f>
        <v>0</v>
      </c>
      <c r="H20381" s="21" t="n">
        <f aca="false">IF(H20318=Assumptions!$K$59,1,0)</f>
        <v>0</v>
      </c>
      <c r="I20381" s="21" t="n">
        <f aca="false">IF(I20318=Assumptions!$K$59,1,0)</f>
        <v>0</v>
      </c>
      <c r="J20381" s="21" t="n">
        <f aca="false">IF(J20318=Assumptions!$K$59,1,0)</f>
        <v>0</v>
      </c>
      <c r="K20381" s="21" t="n">
        <f aca="false">IF(K20318=Assumptions!$K$59,1,0)</f>
        <v>0</v>
      </c>
    </row>
    <row r="20383" customFormat="false" ht="15" hidden="false" customHeight="false" outlineLevel="0" collapsed="false">
      <c r="A20383" s="3" t="s">
        <v>331</v>
      </c>
      <c r="G20383" s="31" t="n">
        <f aca="false">IF(Assumptions!$I$59=1,MAX(G20344,Assumptions!$G$59)+Assumptions!$F$59+$C$20345,Assumptions!$E$59)</f>
        <v>0.0731</v>
      </c>
      <c r="H20383" s="31" t="n">
        <f aca="false">IF(G20666=1,$C$20346,IF(Assumptions!$I$59=1,MAX(H20344,Assumptions!$G$59)+Assumptions!$F$59+$C$20345,Assumptions!$E$59))</f>
        <v>0.0731</v>
      </c>
      <c r="I20383" s="31" t="n">
        <f aca="false">IF(H20666=1,$C$20346,IF(Assumptions!$I$59=1,MAX(I20344,Assumptions!$G$59)+Assumptions!$F$59+$C$20345,Assumptions!$E$59))</f>
        <v>0.0731</v>
      </c>
      <c r="J20383" s="31" t="n">
        <f aca="false">IF(I20666=1,$C$20346,IF(Assumptions!$I$59=1,MAX(J20344,Assumptions!$G$59)+Assumptions!$F$59+$C$20345,Assumptions!$E$59))</f>
        <v>0.0731</v>
      </c>
      <c r="K20383" s="31" t="n">
        <f aca="false">IF(J20666=1,$C$20346,IF(Assumptions!$I$59=1,MAX(K20344,Assumptions!$G$59)+Assumptions!$F$59+$C$20345,Assumptions!$E$59))</f>
        <v>0.0731</v>
      </c>
    </row>
    <row r="20384" customFormat="false" ht="15" hidden="false" customHeight="false" outlineLevel="0" collapsed="false">
      <c r="A20384" s="3" t="s">
        <v>332</v>
      </c>
      <c r="G20384" s="16" t="n">
        <f aca="false">G20380*G20383</f>
        <v>4.1903844</v>
      </c>
      <c r="H20384" s="16" t="n">
        <f aca="false">H20380*H20383</f>
        <v>4.1903844</v>
      </c>
      <c r="I20384" s="16" t="n">
        <f aca="false">I20380*I20383</f>
        <v>4.1903844</v>
      </c>
      <c r="J20384" s="16" t="n">
        <f aca="false">J20380*J20383</f>
        <v>4.1903844</v>
      </c>
      <c r="K20384" s="16" t="n">
        <f aca="false">K20380*K20383</f>
        <v>4.1903844</v>
      </c>
    </row>
    <row r="20385" customFormat="false" ht="15" hidden="false" customHeight="false" outlineLevel="0" collapsed="false">
      <c r="A20385" s="3" t="s">
        <v>333</v>
      </c>
      <c r="G20385" s="16" t="n">
        <f aca="false">G20380*Assumptions!$H$59</f>
        <v>0</v>
      </c>
      <c r="H20385" s="16" t="n">
        <f aca="false">H20380*Assumptions!$H$59</f>
        <v>0</v>
      </c>
      <c r="I20385" s="16" t="n">
        <f aca="false">I20380*Assumptions!$H$59</f>
        <v>0</v>
      </c>
      <c r="J20385" s="16" t="n">
        <f aca="false">J20380*Assumptions!$H$59</f>
        <v>0</v>
      </c>
      <c r="K20385" s="16" t="n">
        <f aca="false">K20380*Assumptions!$H$59</f>
        <v>0</v>
      </c>
    </row>
    <row r="20386" customFormat="false" ht="15" hidden="false" customHeight="false" outlineLevel="0" collapsed="false">
      <c r="A20386" s="3" t="s">
        <v>334</v>
      </c>
      <c r="G20386" s="16" t="n">
        <f aca="false">MIN(G20380,Assumptions!$L$59*Assumptions!$C$59)</f>
        <v>0</v>
      </c>
      <c r="H20386" s="16" t="n">
        <f aca="false">MIN(H20380,Assumptions!$L$59*Assumptions!$C$59)</f>
        <v>0</v>
      </c>
      <c r="I20386" s="16" t="n">
        <f aca="false">MIN(I20380,Assumptions!$L$59*Assumptions!$C$59)</f>
        <v>0</v>
      </c>
      <c r="J20386" s="16" t="n">
        <f aca="false">MIN(J20380,Assumptions!$L$59*Assumptions!$C$59)</f>
        <v>0</v>
      </c>
      <c r="K20386" s="16" t="n">
        <f aca="false">MIN(K20380,Assumptions!$L$59*Assumptions!$C$59)</f>
        <v>0</v>
      </c>
    </row>
    <row r="20387" customFormat="false" ht="15" hidden="false" customHeight="false" outlineLevel="0" collapsed="false">
      <c r="A20387" s="3" t="s">
        <v>335</v>
      </c>
      <c r="G20387" s="16" t="n">
        <f aca="false">IF(AND(Assumptions!$P$59=1,G20318&lt;Assumptions!$K$59),MIN(MAX(0,-G20534),MAX(0,Assumptions!$D$59-G20380)),0)</f>
        <v>0</v>
      </c>
      <c r="H20387" s="16" t="n">
        <f aca="false">IF(AND(Assumptions!$P$59=1,OR(H20318&lt;Assumptions!$K$59,G20666=1)),MIN(MAX(0,-H20534),MAX(0,Assumptions!$D$59-H20380)),0)</f>
        <v>0</v>
      </c>
      <c r="I20387" s="16" t="n">
        <f aca="false">IF(AND(Assumptions!$P$59=1,OR(I20318&lt;Assumptions!$K$59,H20666=1)),MIN(MAX(0,-I20534),MAX(0,Assumptions!$D$59-I20380)),0)</f>
        <v>0</v>
      </c>
      <c r="J20387" s="16" t="n">
        <f aca="false">IF(AND(Assumptions!$P$59=1,OR(J20318&lt;Assumptions!$K$59,I20666=1)),MIN(MAX(0,-J20534),MAX(0,Assumptions!$D$59-J20380)),0)</f>
        <v>0</v>
      </c>
      <c r="K20387" s="16" t="n">
        <f aca="false">IF(AND(Assumptions!$P$59=1,OR(K20318&lt;Assumptions!$K$59,J20666=1)),MIN(MAX(0,-K20534),MAX(0,Assumptions!$D$59-K20380)),0)</f>
        <v>0</v>
      </c>
    </row>
    <row r="20388" customFormat="false" ht="15" hidden="false" customHeight="false" outlineLevel="0" collapsed="false">
      <c r="A20388" s="3" t="s">
        <v>336</v>
      </c>
      <c r="G20388" s="16" t="n">
        <f aca="false">G20381*MIN(G20380-G20386+G20385,MAX(0,G20536-Assumptions!$C$12*G20352-G20362-G20375))</f>
        <v>0</v>
      </c>
      <c r="H20388" s="16" t="n">
        <f aca="false">H20381*MIN(H20380-H20386+H20385,MAX(0,H20536-Assumptions!$C$12*H20352-H20362-H20375))</f>
        <v>0</v>
      </c>
      <c r="I20388" s="16" t="n">
        <f aca="false">I20381*MIN(I20380-I20386+I20385,MAX(0,I20536-Assumptions!$C$12*I20352-I20362-I20375))</f>
        <v>0</v>
      </c>
      <c r="J20388" s="16" t="n">
        <f aca="false">J20381*MIN(J20380-J20386+J20385,MAX(0,J20536-Assumptions!$C$12*J20352-J20362-J20375))</f>
        <v>0</v>
      </c>
      <c r="K20388" s="16" t="n">
        <f aca="false">K20381*MIN(K20380-K20386+K20385,MAX(0,K20536-Assumptions!$C$12*K20352-K20362-K20375))</f>
        <v>0</v>
      </c>
    </row>
    <row r="20389" customFormat="false" ht="15" hidden="false" customHeight="false" outlineLevel="0" collapsed="false">
      <c r="A20389" s="3" t="s">
        <v>337</v>
      </c>
      <c r="G20389" s="16" t="n">
        <f aca="false">Assumptions!$N$59*MIN(G20380+G20387+G20385-G20386-G20388,MAX(0,G20540-G20363-G20376))</f>
        <v>0</v>
      </c>
      <c r="H20389" s="16" t="n">
        <f aca="false">Assumptions!$N$59*MIN(H20380+H20387+H20385-H20386-H20388,MAX(0,H20540-H20363-H20376))</f>
        <v>0</v>
      </c>
      <c r="I20389" s="16" t="n">
        <f aca="false">Assumptions!$N$59*MIN(I20380+I20387+I20385-I20386-I20388,MAX(0,I20540-I20363-I20376))</f>
        <v>0</v>
      </c>
      <c r="J20389" s="16" t="n">
        <f aca="false">Assumptions!$N$59*MIN(J20380+J20387+J20385-J20386-J20388,MAX(0,J20540-J20363-J20376))</f>
        <v>0</v>
      </c>
      <c r="K20389" s="16" t="n">
        <f aca="false">Assumptions!$N$59*MIN(K20380+K20387+K20385-K20386-K20388,MAX(0,K20540-K20363-K20376))</f>
        <v>0</v>
      </c>
    </row>
    <row r="20390" customFormat="false" ht="15" hidden="false" customHeight="false" outlineLevel="0" collapsed="false">
      <c r="A20390" s="3" t="s">
        <v>338</v>
      </c>
      <c r="G20390" s="16" t="n">
        <f aca="false">G20381*(1-G20352)*(G20380-G20386+G20385-G20388)</f>
        <v>0</v>
      </c>
      <c r="H20390" s="16" t="n">
        <f aca="false">H20381*(1-H20352)*(H20380-H20386+H20385-H20388)</f>
        <v>0</v>
      </c>
      <c r="I20390" s="16" t="n">
        <f aca="false">I20381*(1-I20352)*(I20380-I20386+I20385-I20388)</f>
        <v>0</v>
      </c>
      <c r="J20390" s="16" t="n">
        <f aca="false">J20381*(1-J20352)*(J20380-J20386+J20385-J20388)</f>
        <v>0</v>
      </c>
      <c r="K20390" s="16" t="n">
        <f aca="false">K20381*(1-K20352)*(K20380-K20386+K20385-K20388)</f>
        <v>0</v>
      </c>
    </row>
    <row r="20391" customFormat="false" ht="15" hidden="false" customHeight="false" outlineLevel="0" collapsed="false">
      <c r="A20391" s="2" t="s">
        <v>339</v>
      </c>
      <c r="F20391" s="28" t="n">
        <f aca="false">Assumptions!$C$59</f>
        <v>57.324</v>
      </c>
      <c r="G20391" s="17" t="n">
        <f aca="false">G20380+G20387+G20385-G20386-G20388-G20389</f>
        <v>57.324</v>
      </c>
      <c r="H20391" s="17" t="n">
        <f aca="false">H20380+H20387+H20385-H20386-H20388-H20389</f>
        <v>57.324</v>
      </c>
      <c r="I20391" s="17" t="n">
        <f aca="false">I20380+I20387+I20385-I20386-I20388-I20389</f>
        <v>57.324</v>
      </c>
      <c r="J20391" s="17" t="n">
        <f aca="false">J20380+J20387+J20385-J20386-J20388-J20389</f>
        <v>57.324</v>
      </c>
      <c r="K20391" s="17" t="n">
        <f aca="false">K20380+K20387+K20385-K20386-K20388-K20389</f>
        <v>57.324</v>
      </c>
    </row>
    <row r="20392" customFormat="false" ht="15" hidden="false" customHeight="false" outlineLevel="0" collapsed="false">
      <c r="A20392" s="24" t="s">
        <v>342</v>
      </c>
      <c r="B20392" s="25"/>
      <c r="C20392" s="25"/>
      <c r="D20392" s="25"/>
      <c r="E20392" s="25"/>
      <c r="F20392" s="25"/>
      <c r="G20392" s="25"/>
      <c r="H20392" s="25"/>
      <c r="I20392" s="25"/>
      <c r="J20392" s="25"/>
      <c r="K20392" s="25"/>
    </row>
    <row r="20393" customFormat="false" ht="15" hidden="false" customHeight="false" outlineLevel="0" collapsed="false">
      <c r="A20393" s="3" t="s">
        <v>329</v>
      </c>
      <c r="G20393" s="16" t="n">
        <f aca="false">F20404</f>
        <v>0</v>
      </c>
      <c r="H20393" s="16" t="n">
        <f aca="false">G20404</f>
        <v>0</v>
      </c>
      <c r="I20393" s="16" t="n">
        <f aca="false">H20404</f>
        <v>0</v>
      </c>
      <c r="J20393" s="16" t="n">
        <f aca="false">I20404</f>
        <v>0</v>
      </c>
      <c r="K20393" s="16" t="n">
        <f aca="false">J20404</f>
        <v>0</v>
      </c>
    </row>
    <row r="20394" customFormat="false" ht="15" hidden="false" customHeight="false" outlineLevel="0" collapsed="false">
      <c r="A20394" s="3" t="s">
        <v>330</v>
      </c>
      <c r="G20394" s="21" t="n">
        <f aca="false">IF(G20318=Assumptions!$K$60,1,0)</f>
        <v>1</v>
      </c>
      <c r="H20394" s="21" t="n">
        <f aca="false">IF(H20318=Assumptions!$K$60,1,0)</f>
        <v>0</v>
      </c>
      <c r="I20394" s="21" t="n">
        <f aca="false">IF(I20318=Assumptions!$K$60,1,0)</f>
        <v>0</v>
      </c>
      <c r="J20394" s="21" t="n">
        <f aca="false">IF(J20318=Assumptions!$K$60,1,0)</f>
        <v>0</v>
      </c>
      <c r="K20394" s="21" t="n">
        <f aca="false">IF(K20318=Assumptions!$K$60,1,0)</f>
        <v>0</v>
      </c>
    </row>
    <row r="20396" customFormat="false" ht="15" hidden="false" customHeight="false" outlineLevel="0" collapsed="false">
      <c r="A20396" s="3" t="s">
        <v>331</v>
      </c>
      <c r="G20396" s="31" t="n">
        <f aca="false">IF(Assumptions!$I$60=1,MAX(G20344,Assumptions!$G$60)+Assumptions!$F$60+$C$20345,Assumptions!$E$60)</f>
        <v>0.084</v>
      </c>
      <c r="H20396" s="31" t="n">
        <f aca="false">IF(G20667=1,$C$20346,IF(Assumptions!$I$60=1,MAX(H20344,Assumptions!$G$60)+Assumptions!$F$60+$C$20345,Assumptions!$E$60))</f>
        <v>0.0825</v>
      </c>
      <c r="I20396" s="31" t="n">
        <f aca="false">IF(H20667=1,$C$20346,IF(Assumptions!$I$60=1,MAX(I20344,Assumptions!$G$60)+Assumptions!$F$60+$C$20345,Assumptions!$E$60))</f>
        <v>0.08</v>
      </c>
      <c r="J20396" s="31" t="n">
        <f aca="false">IF(I20667=1,$C$20346,IF(Assumptions!$I$60=1,MAX(J20344,Assumptions!$G$60)+Assumptions!$F$60+$C$20345,Assumptions!$E$60))</f>
        <v>0.08</v>
      </c>
      <c r="K20396" s="31" t="n">
        <f aca="false">IF(J20667=1,$C$20346,IF(Assumptions!$I$60=1,MAX(K20344,Assumptions!$G$60)+Assumptions!$F$60+$C$20345,Assumptions!$E$60))</f>
        <v>0.08</v>
      </c>
    </row>
    <row r="20397" customFormat="false" ht="15" hidden="false" customHeight="false" outlineLevel="0" collapsed="false">
      <c r="A20397" s="3" t="s">
        <v>332</v>
      </c>
      <c r="G20397" s="16" t="n">
        <f aca="false">G20393*G20396</f>
        <v>0</v>
      </c>
      <c r="H20397" s="16" t="n">
        <f aca="false">H20393*H20396</f>
        <v>0</v>
      </c>
      <c r="I20397" s="16" t="n">
        <f aca="false">I20393*I20396</f>
        <v>0</v>
      </c>
      <c r="J20397" s="16" t="n">
        <f aca="false">J20393*J20396</f>
        <v>0</v>
      </c>
      <c r="K20397" s="16" t="n">
        <f aca="false">K20393*K20396</f>
        <v>0</v>
      </c>
    </row>
    <row r="20398" customFormat="false" ht="15" hidden="false" customHeight="false" outlineLevel="0" collapsed="false">
      <c r="A20398" s="3" t="s">
        <v>333</v>
      </c>
      <c r="G20398" s="16" t="n">
        <f aca="false">G20393*Assumptions!$H$60</f>
        <v>0</v>
      </c>
      <c r="H20398" s="16" t="n">
        <f aca="false">H20393*Assumptions!$H$60</f>
        <v>0</v>
      </c>
      <c r="I20398" s="16" t="n">
        <f aca="false">I20393*Assumptions!$H$60</f>
        <v>0</v>
      </c>
      <c r="J20398" s="16" t="n">
        <f aca="false">J20393*Assumptions!$H$60</f>
        <v>0</v>
      </c>
      <c r="K20398" s="16" t="n">
        <f aca="false">K20393*Assumptions!$H$60</f>
        <v>0</v>
      </c>
    </row>
    <row r="20399" customFormat="false" ht="15" hidden="false" customHeight="false" outlineLevel="0" collapsed="false">
      <c r="A20399" s="3" t="s">
        <v>334</v>
      </c>
      <c r="G20399" s="16" t="n">
        <f aca="false">MIN(G20393,Assumptions!$L$60*Assumptions!$C$60)</f>
        <v>0</v>
      </c>
      <c r="H20399" s="16" t="n">
        <f aca="false">MIN(H20393,Assumptions!$L$60*Assumptions!$C$60)</f>
        <v>0</v>
      </c>
      <c r="I20399" s="16" t="n">
        <f aca="false">MIN(I20393,Assumptions!$L$60*Assumptions!$C$60)</f>
        <v>0</v>
      </c>
      <c r="J20399" s="16" t="n">
        <f aca="false">MIN(J20393,Assumptions!$L$60*Assumptions!$C$60)</f>
        <v>0</v>
      </c>
      <c r="K20399" s="16" t="n">
        <f aca="false">MIN(K20393,Assumptions!$L$60*Assumptions!$C$60)</f>
        <v>0</v>
      </c>
    </row>
    <row r="20400" customFormat="false" ht="15" hidden="false" customHeight="false" outlineLevel="0" collapsed="false">
      <c r="A20400" s="3" t="s">
        <v>335</v>
      </c>
      <c r="G20400" s="16" t="n">
        <f aca="false">IF(AND(Assumptions!$P$60=1,G20318&lt;Assumptions!$K$60),MIN(MAX(0,-G20534),MAX(0,Assumptions!$D$60-G20393)),0)</f>
        <v>0</v>
      </c>
      <c r="H20400" s="16" t="n">
        <f aca="false">IF(AND(Assumptions!$P$60=1,OR(H20318&lt;Assumptions!$K$60,G20667=1)),MIN(MAX(0,-H20534),MAX(0,Assumptions!$D$60-H20393)),0)</f>
        <v>0</v>
      </c>
      <c r="I20400" s="16" t="n">
        <f aca="false">IF(AND(Assumptions!$P$60=1,OR(I20318&lt;Assumptions!$K$60,H20667=1)),MIN(MAX(0,-I20534),MAX(0,Assumptions!$D$60-I20393)),0)</f>
        <v>0</v>
      </c>
      <c r="J20400" s="16" t="n">
        <f aca="false">IF(AND(Assumptions!$P$60=1,OR(J20318&lt;Assumptions!$K$60,I20667=1)),MIN(MAX(0,-J20534),MAX(0,Assumptions!$D$60-J20393)),0)</f>
        <v>0</v>
      </c>
      <c r="K20400" s="16" t="n">
        <f aca="false">IF(AND(Assumptions!$P$60=1,OR(K20318&lt;Assumptions!$K$60,J20667=1)),MIN(MAX(0,-K20534),MAX(0,Assumptions!$D$60-K20393)),0)</f>
        <v>0</v>
      </c>
    </row>
    <row r="20401" customFormat="false" ht="15" hidden="false" customHeight="false" outlineLevel="0" collapsed="false">
      <c r="A20401" s="3" t="s">
        <v>336</v>
      </c>
      <c r="G20401" s="16" t="n">
        <f aca="false">G20394*MIN(G20393-G20399+G20398,MAX(0,G20536-Assumptions!$C$12*G20352-G20362-G20375-G20388))</f>
        <v>0</v>
      </c>
      <c r="H20401" s="16" t="n">
        <f aca="false">H20394*MIN(H20393-H20399+H20398,MAX(0,H20536-Assumptions!$C$12*H20352-H20362-H20375-H20388))</f>
        <v>0</v>
      </c>
      <c r="I20401" s="16" t="n">
        <f aca="false">I20394*MIN(I20393-I20399+I20398,MAX(0,I20536-Assumptions!$C$12*I20352-I20362-I20375-I20388))</f>
        <v>0</v>
      </c>
      <c r="J20401" s="16" t="n">
        <f aca="false">J20394*MIN(J20393-J20399+J20398,MAX(0,J20536-Assumptions!$C$12*J20352-J20362-J20375-J20388))</f>
        <v>0</v>
      </c>
      <c r="K20401" s="16" t="n">
        <f aca="false">K20394*MIN(K20393-K20399+K20398,MAX(0,K20536-Assumptions!$C$12*K20352-K20362-K20375-K20388))</f>
        <v>0</v>
      </c>
    </row>
    <row r="20402" customFormat="false" ht="15" hidden="false" customHeight="false" outlineLevel="0" collapsed="false">
      <c r="A20402" s="3" t="s">
        <v>337</v>
      </c>
      <c r="G20402" s="16" t="n">
        <f aca="false">Assumptions!$N$60*MIN(G20393+G20400+G20398-G20399-G20401,MAX(0,G20540-G20363-G20376-G20389))</f>
        <v>0</v>
      </c>
      <c r="H20402" s="16" t="n">
        <f aca="false">Assumptions!$N$60*MIN(H20393+H20400+H20398-H20399-H20401,MAX(0,H20540-H20363-H20376-H20389))</f>
        <v>0</v>
      </c>
      <c r="I20402" s="16" t="n">
        <f aca="false">Assumptions!$N$60*MIN(I20393+I20400+I20398-I20399-I20401,MAX(0,I20540-I20363-I20376-I20389))</f>
        <v>0</v>
      </c>
      <c r="J20402" s="16" t="n">
        <f aca="false">Assumptions!$N$60*MIN(J20393+J20400+J20398-J20399-J20401,MAX(0,J20540-J20363-J20376-J20389))</f>
        <v>0</v>
      </c>
      <c r="K20402" s="16" t="n">
        <f aca="false">Assumptions!$N$60*MIN(K20393+K20400+K20398-K20399-K20401,MAX(0,K20540-K20363-K20376-K20389))</f>
        <v>0</v>
      </c>
    </row>
    <row r="20403" customFormat="false" ht="15" hidden="false" customHeight="false" outlineLevel="0" collapsed="false">
      <c r="A20403" s="3" t="s">
        <v>338</v>
      </c>
      <c r="G20403" s="16" t="n">
        <f aca="false">G20394*(1-G20352)*(G20393-G20399+G20398-G20401)</f>
        <v>0</v>
      </c>
      <c r="H20403" s="16" t="n">
        <f aca="false">H20394*(1-H20352)*(H20393-H20399+H20398-H20401)</f>
        <v>0</v>
      </c>
      <c r="I20403" s="16" t="n">
        <f aca="false">I20394*(1-I20352)*(I20393-I20399+I20398-I20401)</f>
        <v>0</v>
      </c>
      <c r="J20403" s="16" t="n">
        <f aca="false">J20394*(1-J20352)*(J20393-J20399+J20398-J20401)</f>
        <v>0</v>
      </c>
      <c r="K20403" s="16" t="n">
        <f aca="false">K20394*(1-K20352)*(K20393-K20399+K20398-K20401)</f>
        <v>0</v>
      </c>
    </row>
    <row r="20404" customFormat="false" ht="15" hidden="false" customHeight="false" outlineLevel="0" collapsed="false">
      <c r="A20404" s="2" t="s">
        <v>339</v>
      </c>
      <c r="F20404" s="28" t="n">
        <f aca="false">Assumptions!$C$60</f>
        <v>0</v>
      </c>
      <c r="G20404" s="17" t="n">
        <f aca="false">G20393+G20400+G20398-G20399-G20401-G20402</f>
        <v>0</v>
      </c>
      <c r="H20404" s="17" t="n">
        <f aca="false">H20393+H20400+H20398-H20399-H20401-H20402</f>
        <v>0</v>
      </c>
      <c r="I20404" s="17" t="n">
        <f aca="false">I20393+I20400+I20398-I20399-I20401-I20402</f>
        <v>0</v>
      </c>
      <c r="J20404" s="17" t="n">
        <f aca="false">J20393+J20400+J20398-J20399-J20401-J20402</f>
        <v>0</v>
      </c>
      <c r="K20404" s="17" t="n">
        <f aca="false">K20393+K20400+K20398-K20399-K20401-K20402</f>
        <v>0</v>
      </c>
    </row>
    <row r="20405" customFormat="false" ht="15" hidden="false" customHeight="false" outlineLevel="0" collapsed="false">
      <c r="A20405" s="24" t="s">
        <v>343</v>
      </c>
      <c r="B20405" s="25"/>
      <c r="C20405" s="25"/>
      <c r="D20405" s="25"/>
      <c r="E20405" s="25"/>
      <c r="F20405" s="25"/>
      <c r="G20405" s="25"/>
      <c r="H20405" s="25"/>
      <c r="I20405" s="25"/>
      <c r="J20405" s="25"/>
      <c r="K20405" s="25"/>
    </row>
    <row r="20406" customFormat="false" ht="15" hidden="false" customHeight="false" outlineLevel="0" collapsed="false">
      <c r="A20406" s="3" t="s">
        <v>329</v>
      </c>
      <c r="G20406" s="16" t="n">
        <f aca="false">F20417</f>
        <v>450</v>
      </c>
      <c r="H20406" s="16" t="n">
        <f aca="false">G20417</f>
        <v>450</v>
      </c>
      <c r="I20406" s="16" t="n">
        <f aca="false">H20417</f>
        <v>412.681151</v>
      </c>
      <c r="J20406" s="16" t="n">
        <f aca="false">I20417</f>
        <v>412.681151</v>
      </c>
      <c r="K20406" s="16" t="n">
        <f aca="false">J20417</f>
        <v>412.681151</v>
      </c>
    </row>
    <row r="20407" customFormat="false" ht="15" hidden="false" customHeight="false" outlineLevel="0" collapsed="false">
      <c r="A20407" s="3" t="s">
        <v>330</v>
      </c>
      <c r="G20407" s="21" t="n">
        <f aca="false">IF(G20318=Assumptions!$K$61,1,0)</f>
        <v>0</v>
      </c>
      <c r="H20407" s="21" t="n">
        <f aca="false">IF(H20318=Assumptions!$K$61,1,0)</f>
        <v>1</v>
      </c>
      <c r="I20407" s="21" t="n">
        <f aca="false">IF(I20318=Assumptions!$K$61,1,0)</f>
        <v>0</v>
      </c>
      <c r="J20407" s="21" t="n">
        <f aca="false">IF(J20318=Assumptions!$K$61,1,0)</f>
        <v>0</v>
      </c>
      <c r="K20407" s="21" t="n">
        <f aca="false">IF(K20318=Assumptions!$K$61,1,0)</f>
        <v>0</v>
      </c>
    </row>
    <row r="20409" customFormat="false" ht="15" hidden="false" customHeight="false" outlineLevel="0" collapsed="false">
      <c r="A20409" s="3" t="s">
        <v>331</v>
      </c>
      <c r="G20409" s="31" t="n">
        <f aca="false">IF(Assumptions!$I$61=1,MAX(G20344,Assumptions!$G$61)+Assumptions!$F$61+$C$20345,Assumptions!$E$61)</f>
        <v>0.0395</v>
      </c>
      <c r="H20409" s="31" t="n">
        <f aca="false">IF(G20668=1,$C$20346,IF(Assumptions!$I$61=1,MAX(H20344,Assumptions!$G$61)+Assumptions!$F$61+$C$20345,Assumptions!$E$61))</f>
        <v>0.0395</v>
      </c>
      <c r="I20409" s="31" t="n">
        <f aca="false">IF(H20668=1,$C$20346,IF(Assumptions!$I$61=1,MAX(I20344,Assumptions!$G$61)+Assumptions!$F$61+$C$20345,Assumptions!$E$61))</f>
        <v>0.0395</v>
      </c>
      <c r="J20409" s="31" t="n">
        <f aca="false">IF(I20668=1,$C$20346,IF(Assumptions!$I$61=1,MAX(J20344,Assumptions!$G$61)+Assumptions!$F$61+$C$20345,Assumptions!$E$61))</f>
        <v>0.0395</v>
      </c>
      <c r="K20409" s="31" t="n">
        <f aca="false">IF(J20668=1,$C$20346,IF(Assumptions!$I$61=1,MAX(K20344,Assumptions!$G$61)+Assumptions!$F$61+$C$20345,Assumptions!$E$61))</f>
        <v>0.0395</v>
      </c>
    </row>
    <row r="20410" customFormat="false" ht="15" hidden="false" customHeight="false" outlineLevel="0" collapsed="false">
      <c r="A20410" s="3" t="s">
        <v>332</v>
      </c>
      <c r="G20410" s="16" t="n">
        <f aca="false">G20406*G20409</f>
        <v>17.775</v>
      </c>
      <c r="H20410" s="16" t="n">
        <f aca="false">H20406*H20409</f>
        <v>17.775</v>
      </c>
      <c r="I20410" s="16" t="n">
        <f aca="false">I20406*I20409</f>
        <v>16.3009054645</v>
      </c>
      <c r="J20410" s="16" t="n">
        <f aca="false">J20406*J20409</f>
        <v>16.3009054645</v>
      </c>
      <c r="K20410" s="16" t="n">
        <f aca="false">K20406*K20409</f>
        <v>16.3009054645</v>
      </c>
    </row>
    <row r="20411" customFormat="false" ht="15" hidden="false" customHeight="false" outlineLevel="0" collapsed="false">
      <c r="A20411" s="3" t="s">
        <v>333</v>
      </c>
      <c r="G20411" s="16" t="n">
        <f aca="false">G20406*Assumptions!$H$61</f>
        <v>0</v>
      </c>
      <c r="H20411" s="16" t="n">
        <f aca="false">H20406*Assumptions!$H$61</f>
        <v>0</v>
      </c>
      <c r="I20411" s="16" t="n">
        <f aca="false">I20406*Assumptions!$H$61</f>
        <v>0</v>
      </c>
      <c r="J20411" s="16" t="n">
        <f aca="false">J20406*Assumptions!$H$61</f>
        <v>0</v>
      </c>
      <c r="K20411" s="16" t="n">
        <f aca="false">K20406*Assumptions!$H$61</f>
        <v>0</v>
      </c>
    </row>
    <row r="20412" customFormat="false" ht="15" hidden="false" customHeight="false" outlineLevel="0" collapsed="false">
      <c r="A20412" s="3" t="s">
        <v>334</v>
      </c>
      <c r="G20412" s="16" t="n">
        <f aca="false">MIN(G20406,Assumptions!$L$61*Assumptions!$C$61)</f>
        <v>0</v>
      </c>
      <c r="H20412" s="16" t="n">
        <f aca="false">MIN(H20406,Assumptions!$L$61*Assumptions!$C$61)</f>
        <v>0</v>
      </c>
      <c r="I20412" s="16" t="n">
        <f aca="false">MIN(I20406,Assumptions!$L$61*Assumptions!$C$61)</f>
        <v>0</v>
      </c>
      <c r="J20412" s="16" t="n">
        <f aca="false">MIN(J20406,Assumptions!$L$61*Assumptions!$C$61)</f>
        <v>0</v>
      </c>
      <c r="K20412" s="16" t="n">
        <f aca="false">MIN(K20406,Assumptions!$L$61*Assumptions!$C$61)</f>
        <v>0</v>
      </c>
    </row>
    <row r="20413" customFormat="false" ht="15" hidden="false" customHeight="false" outlineLevel="0" collapsed="false">
      <c r="A20413" s="3" t="s">
        <v>335</v>
      </c>
      <c r="G20413" s="16" t="n">
        <f aca="false">IF(AND(Assumptions!$P$61=1,G20318&lt;Assumptions!$K$61),MIN(MAX(0,-G20534),MAX(0,Assumptions!$D$61-G20406)),0)</f>
        <v>0</v>
      </c>
      <c r="H20413" s="16" t="n">
        <f aca="false">IF(AND(Assumptions!$P$61=1,OR(H20318&lt;Assumptions!$K$61,G20668=1)),MIN(MAX(0,-H20534),MAX(0,Assumptions!$D$61-H20406)),0)</f>
        <v>0</v>
      </c>
      <c r="I20413" s="16" t="n">
        <f aca="false">IF(AND(Assumptions!$P$61=1,OR(I20318&lt;Assumptions!$K$61,H20668=1)),MIN(MAX(0,-I20534),MAX(0,Assumptions!$D$61-I20406)),0)</f>
        <v>0</v>
      </c>
      <c r="J20413" s="16" t="n">
        <f aca="false">IF(AND(Assumptions!$P$61=1,OR(J20318&lt;Assumptions!$K$61,I20668=1)),MIN(MAX(0,-J20534),MAX(0,Assumptions!$D$61-J20406)),0)</f>
        <v>0</v>
      </c>
      <c r="K20413" s="16" t="n">
        <f aca="false">IF(AND(Assumptions!$P$61=1,OR(K20318&lt;Assumptions!$K$61,J20668=1)),MIN(MAX(0,-K20534),MAX(0,Assumptions!$D$61-K20406)),0)</f>
        <v>0</v>
      </c>
    </row>
    <row r="20414" customFormat="false" ht="15" hidden="false" customHeight="false" outlineLevel="0" collapsed="false">
      <c r="A20414" s="3" t="s">
        <v>336</v>
      </c>
      <c r="G20414" s="16" t="n">
        <f aca="false">G20407*MIN(G20406-G20412+G20411,MAX(0,G20536-Assumptions!$C$12*G20352-G20362-G20375-G20388-G20401))</f>
        <v>0</v>
      </c>
      <c r="H20414" s="16" t="n">
        <f aca="false">H20407*MIN(H20406-H20412+H20411,MAX(0,H20536-Assumptions!$C$12*H20352-H20362-H20375-H20388-H20401))</f>
        <v>37.318849</v>
      </c>
      <c r="I20414" s="16" t="n">
        <f aca="false">I20407*MIN(I20406-I20412+I20411,MAX(0,I20536-Assumptions!$C$12*I20352-I20362-I20375-I20388-I20401))</f>
        <v>0</v>
      </c>
      <c r="J20414" s="16" t="n">
        <f aca="false">J20407*MIN(J20406-J20412+J20411,MAX(0,J20536-Assumptions!$C$12*J20352-J20362-J20375-J20388-J20401))</f>
        <v>0</v>
      </c>
      <c r="K20414" s="16" t="n">
        <f aca="false">K20407*MIN(K20406-K20412+K20411,MAX(0,K20536-Assumptions!$C$12*K20352-K20362-K20375-K20388-K20401))</f>
        <v>0</v>
      </c>
    </row>
    <row r="20415" customFormat="false" ht="15" hidden="false" customHeight="false" outlineLevel="0" collapsed="false">
      <c r="A20415" s="3" t="s">
        <v>337</v>
      </c>
      <c r="G20415" s="16" t="n">
        <f aca="false">Assumptions!$N$61*MIN(G20406+G20413+G20411-G20412-G20414,MAX(0,G20540-G20363-G20376-G20389-G20402))</f>
        <v>0</v>
      </c>
      <c r="H20415" s="16" t="n">
        <f aca="false">Assumptions!$N$61*MIN(H20406+H20413+H20411-H20412-H20414,MAX(0,H20540-H20363-H20376-H20389-H20402))</f>
        <v>0</v>
      </c>
      <c r="I20415" s="16" t="n">
        <f aca="false">Assumptions!$N$61*MIN(I20406+I20413+I20411-I20412-I20414,MAX(0,I20540-I20363-I20376-I20389-I20402))</f>
        <v>0</v>
      </c>
      <c r="J20415" s="16" t="n">
        <f aca="false">Assumptions!$N$61*MIN(J20406+J20413+J20411-J20412-J20414,MAX(0,J20540-J20363-J20376-J20389-J20402))</f>
        <v>0</v>
      </c>
      <c r="K20415" s="16" t="n">
        <f aca="false">Assumptions!$N$61*MIN(K20406+K20413+K20411-K20412-K20414,MAX(0,K20540-K20363-K20376-K20389-K20402))</f>
        <v>0</v>
      </c>
    </row>
    <row r="20416" customFormat="false" ht="15" hidden="false" customHeight="false" outlineLevel="0" collapsed="false">
      <c r="A20416" s="3" t="s">
        <v>338</v>
      </c>
      <c r="G20416" s="16" t="n">
        <f aca="false">G20407*(1-G20352)*(G20406-G20412+G20411-G20414)</f>
        <v>0</v>
      </c>
      <c r="H20416" s="16" t="n">
        <f aca="false">H20407*(1-H20352)*(H20406-H20412+H20411-H20414)</f>
        <v>412.681151</v>
      </c>
      <c r="I20416" s="16" t="n">
        <f aca="false">I20407*(1-I20352)*(I20406-I20412+I20411-I20414)</f>
        <v>0</v>
      </c>
      <c r="J20416" s="16" t="n">
        <f aca="false">J20407*(1-J20352)*(J20406-J20412+J20411-J20414)</f>
        <v>0</v>
      </c>
      <c r="K20416" s="16" t="n">
        <f aca="false">K20407*(1-K20352)*(K20406-K20412+K20411-K20414)</f>
        <v>0</v>
      </c>
    </row>
    <row r="20417" customFormat="false" ht="15" hidden="false" customHeight="false" outlineLevel="0" collapsed="false">
      <c r="A20417" s="2" t="s">
        <v>339</v>
      </c>
      <c r="F20417" s="28" t="n">
        <f aca="false">Assumptions!$C$61</f>
        <v>450</v>
      </c>
      <c r="G20417" s="17" t="n">
        <f aca="false">G20406+G20413+G20411-G20412-G20414-G20415</f>
        <v>450</v>
      </c>
      <c r="H20417" s="17" t="n">
        <f aca="false">H20406+H20413+H20411-H20412-H20414-H20415</f>
        <v>412.681151</v>
      </c>
      <c r="I20417" s="17" t="n">
        <f aca="false">I20406+I20413+I20411-I20412-I20414-I20415</f>
        <v>412.681151</v>
      </c>
      <c r="J20417" s="17" t="n">
        <f aca="false">J20406+J20413+J20411-J20412-J20414-J20415</f>
        <v>412.681151</v>
      </c>
      <c r="K20417" s="17" t="n">
        <f aca="false">K20406+K20413+K20411-K20412-K20414-K20415</f>
        <v>412.681151</v>
      </c>
    </row>
    <row r="20418" customFormat="false" ht="15" hidden="false" customHeight="false" outlineLevel="0" collapsed="false">
      <c r="A20418" s="24" t="s">
        <v>344</v>
      </c>
      <c r="B20418" s="25"/>
      <c r="C20418" s="25"/>
      <c r="D20418" s="25"/>
      <c r="E20418" s="25"/>
      <c r="F20418" s="25"/>
      <c r="G20418" s="25"/>
      <c r="H20418" s="25"/>
      <c r="I20418" s="25"/>
      <c r="J20418" s="25"/>
      <c r="K20418" s="25"/>
    </row>
    <row r="20419" customFormat="false" ht="15" hidden="false" customHeight="false" outlineLevel="0" collapsed="false">
      <c r="A20419" s="3" t="s">
        <v>329</v>
      </c>
      <c r="G20419" s="16" t="n">
        <f aca="false">F20430</f>
        <v>350</v>
      </c>
      <c r="H20419" s="16" t="n">
        <f aca="false">G20430</f>
        <v>350</v>
      </c>
      <c r="I20419" s="16" t="n">
        <f aca="false">H20430</f>
        <v>350</v>
      </c>
      <c r="J20419" s="16" t="n">
        <f aca="false">I20430</f>
        <v>350</v>
      </c>
      <c r="K20419" s="16" t="n">
        <f aca="false">J20430</f>
        <v>350</v>
      </c>
    </row>
    <row r="20420" customFormat="false" ht="15" hidden="false" customHeight="false" outlineLevel="0" collapsed="false">
      <c r="A20420" s="3" t="s">
        <v>330</v>
      </c>
      <c r="G20420" s="21" t="n">
        <f aca="false">IF(G20318=Assumptions!$K$62,1,0)</f>
        <v>0</v>
      </c>
      <c r="H20420" s="21" t="n">
        <f aca="false">IF(H20318=Assumptions!$K$62,1,0)</f>
        <v>1</v>
      </c>
      <c r="I20420" s="21" t="n">
        <f aca="false">IF(I20318=Assumptions!$K$62,1,0)</f>
        <v>0</v>
      </c>
      <c r="J20420" s="21" t="n">
        <f aca="false">IF(J20318=Assumptions!$K$62,1,0)</f>
        <v>0</v>
      </c>
      <c r="K20420" s="21" t="n">
        <f aca="false">IF(K20318=Assumptions!$K$62,1,0)</f>
        <v>0</v>
      </c>
    </row>
    <row r="20422" customFormat="false" ht="15" hidden="false" customHeight="false" outlineLevel="0" collapsed="false">
      <c r="A20422" s="3" t="s">
        <v>331</v>
      </c>
      <c r="G20422" s="31" t="n">
        <f aca="false">IF(Assumptions!$I$62=1,MAX(G20344,Assumptions!$G$62)+Assumptions!$F$62+$C$20345,Assumptions!$E$62)</f>
        <v>0.083</v>
      </c>
      <c r="H20422" s="31" t="n">
        <f aca="false">IF(G20669=1,$C$20346,IF(Assumptions!$I$62=1,MAX(H20344,Assumptions!$G$62)+Assumptions!$F$62+$C$20345,Assumptions!$E$62))</f>
        <v>0.083</v>
      </c>
      <c r="I20422" s="31" t="n">
        <f aca="false">IF(H20669=1,$C$20346,IF(Assumptions!$I$62=1,MAX(I20344,Assumptions!$G$62)+Assumptions!$F$62+$C$20345,Assumptions!$E$62))</f>
        <v>0.083</v>
      </c>
      <c r="J20422" s="31" t="n">
        <f aca="false">IF(I20669=1,$C$20346,IF(Assumptions!$I$62=1,MAX(J20344,Assumptions!$G$62)+Assumptions!$F$62+$C$20345,Assumptions!$E$62))</f>
        <v>0.083</v>
      </c>
      <c r="K20422" s="31" t="n">
        <f aca="false">IF(J20669=1,$C$20346,IF(Assumptions!$I$62=1,MAX(K20344,Assumptions!$G$62)+Assumptions!$F$62+$C$20345,Assumptions!$E$62))</f>
        <v>0.083</v>
      </c>
    </row>
    <row r="20423" customFormat="false" ht="15" hidden="false" customHeight="false" outlineLevel="0" collapsed="false">
      <c r="A20423" s="3" t="s">
        <v>332</v>
      </c>
      <c r="G20423" s="16" t="n">
        <f aca="false">G20419*G20422</f>
        <v>29.05</v>
      </c>
      <c r="H20423" s="16" t="n">
        <f aca="false">H20419*H20422</f>
        <v>29.05</v>
      </c>
      <c r="I20423" s="16" t="n">
        <f aca="false">I20419*I20422</f>
        <v>29.05</v>
      </c>
      <c r="J20423" s="16" t="n">
        <f aca="false">J20419*J20422</f>
        <v>29.05</v>
      </c>
      <c r="K20423" s="16" t="n">
        <f aca="false">K20419*K20422</f>
        <v>29.05</v>
      </c>
    </row>
    <row r="20424" customFormat="false" ht="15" hidden="false" customHeight="false" outlineLevel="0" collapsed="false">
      <c r="A20424" s="3" t="s">
        <v>333</v>
      </c>
      <c r="G20424" s="16" t="n">
        <f aca="false">G20419*Assumptions!$H$62</f>
        <v>0</v>
      </c>
      <c r="H20424" s="16" t="n">
        <f aca="false">H20419*Assumptions!$H$62</f>
        <v>0</v>
      </c>
      <c r="I20424" s="16" t="n">
        <f aca="false">I20419*Assumptions!$H$62</f>
        <v>0</v>
      </c>
      <c r="J20424" s="16" t="n">
        <f aca="false">J20419*Assumptions!$H$62</f>
        <v>0</v>
      </c>
      <c r="K20424" s="16" t="n">
        <f aca="false">K20419*Assumptions!$H$62</f>
        <v>0</v>
      </c>
    </row>
    <row r="20425" customFormat="false" ht="15" hidden="false" customHeight="false" outlineLevel="0" collapsed="false">
      <c r="A20425" s="3" t="s">
        <v>334</v>
      </c>
      <c r="G20425" s="16" t="n">
        <f aca="false">MIN(G20419,Assumptions!$L$62*Assumptions!$C$62)</f>
        <v>0</v>
      </c>
      <c r="H20425" s="16" t="n">
        <f aca="false">MIN(H20419,Assumptions!$L$62*Assumptions!$C$62)</f>
        <v>0</v>
      </c>
      <c r="I20425" s="16" t="n">
        <f aca="false">MIN(I20419,Assumptions!$L$62*Assumptions!$C$62)</f>
        <v>0</v>
      </c>
      <c r="J20425" s="16" t="n">
        <f aca="false">MIN(J20419,Assumptions!$L$62*Assumptions!$C$62)</f>
        <v>0</v>
      </c>
      <c r="K20425" s="16" t="n">
        <f aca="false">MIN(K20419,Assumptions!$L$62*Assumptions!$C$62)</f>
        <v>0</v>
      </c>
    </row>
    <row r="20426" customFormat="false" ht="15" hidden="false" customHeight="false" outlineLevel="0" collapsed="false">
      <c r="A20426" s="3" t="s">
        <v>335</v>
      </c>
      <c r="G20426" s="16" t="n">
        <f aca="false">IF(AND(Assumptions!$P$62=1,G20318&lt;Assumptions!$K$62),MIN(MAX(0,-G20534),MAX(0,Assumptions!$D$62-G20419)),0)</f>
        <v>0</v>
      </c>
      <c r="H20426" s="16" t="n">
        <f aca="false">IF(AND(Assumptions!$P$62=1,OR(H20318&lt;Assumptions!$K$62,G20669=1)),MIN(MAX(0,-H20534),MAX(0,Assumptions!$D$62-H20419)),0)</f>
        <v>0</v>
      </c>
      <c r="I20426" s="16" t="n">
        <f aca="false">IF(AND(Assumptions!$P$62=1,OR(I20318&lt;Assumptions!$K$62,H20669=1)),MIN(MAX(0,-I20534),MAX(0,Assumptions!$D$62-I20419)),0)</f>
        <v>0</v>
      </c>
      <c r="J20426" s="16" t="n">
        <f aca="false">IF(AND(Assumptions!$P$62=1,OR(J20318&lt;Assumptions!$K$62,I20669=1)),MIN(MAX(0,-J20534),MAX(0,Assumptions!$D$62-J20419)),0)</f>
        <v>0</v>
      </c>
      <c r="K20426" s="16" t="n">
        <f aca="false">IF(AND(Assumptions!$P$62=1,OR(K20318&lt;Assumptions!$K$62,J20669=1)),MIN(MAX(0,-K20534),MAX(0,Assumptions!$D$62-K20419)),0)</f>
        <v>0</v>
      </c>
    </row>
    <row r="20427" customFormat="false" ht="15" hidden="false" customHeight="false" outlineLevel="0" collapsed="false">
      <c r="A20427" s="3" t="s">
        <v>336</v>
      </c>
      <c r="G20427" s="16" t="n">
        <f aca="false">G20420*MIN(G20419-G20425+G20424,MAX(0,G20536-Assumptions!$C$12*G20352-G20362-G20375-G20388-G20401-G20414))</f>
        <v>0</v>
      </c>
      <c r="H20427" s="16" t="n">
        <f aca="false">H20420*MIN(H20419-H20425+H20424,MAX(0,H20536-Assumptions!$C$12*H20352-H20362-H20375-H20388-H20401-H20414))</f>
        <v>0</v>
      </c>
      <c r="I20427" s="16" t="n">
        <f aca="false">I20420*MIN(I20419-I20425+I20424,MAX(0,I20536-Assumptions!$C$12*I20352-I20362-I20375-I20388-I20401-I20414))</f>
        <v>0</v>
      </c>
      <c r="J20427" s="16" t="n">
        <f aca="false">J20420*MIN(J20419-J20425+J20424,MAX(0,J20536-Assumptions!$C$12*J20352-J20362-J20375-J20388-J20401-J20414))</f>
        <v>0</v>
      </c>
      <c r="K20427" s="16" t="n">
        <f aca="false">K20420*MIN(K20419-K20425+K20424,MAX(0,K20536-Assumptions!$C$12*K20352-K20362-K20375-K20388-K20401-K20414))</f>
        <v>0</v>
      </c>
    </row>
    <row r="20428" customFormat="false" ht="15" hidden="false" customHeight="false" outlineLevel="0" collapsed="false">
      <c r="A20428" s="3" t="s">
        <v>337</v>
      </c>
      <c r="G20428" s="16" t="n">
        <f aca="false">Assumptions!$N$62*MIN(G20419+G20426+G20424-G20425-G20427,MAX(0,G20540-G20363-G20376-G20389-G20402-G20415))</f>
        <v>0</v>
      </c>
      <c r="H20428" s="16" t="n">
        <f aca="false">Assumptions!$N$62*MIN(H20419+H20426+H20424-H20425-H20427,MAX(0,H20540-H20363-H20376-H20389-H20402-H20415))</f>
        <v>0</v>
      </c>
      <c r="I20428" s="16" t="n">
        <f aca="false">Assumptions!$N$62*MIN(I20419+I20426+I20424-I20425-I20427,MAX(0,I20540-I20363-I20376-I20389-I20402-I20415))</f>
        <v>0</v>
      </c>
      <c r="J20428" s="16" t="n">
        <f aca="false">Assumptions!$N$62*MIN(J20419+J20426+J20424-J20425-J20427,MAX(0,J20540-J20363-J20376-J20389-J20402-J20415))</f>
        <v>0</v>
      </c>
      <c r="K20428" s="16" t="n">
        <f aca="false">Assumptions!$N$62*MIN(K20419+K20426+K20424-K20425-K20427,MAX(0,K20540-K20363-K20376-K20389-K20402-K20415))</f>
        <v>0</v>
      </c>
    </row>
    <row r="20429" customFormat="false" ht="15" hidden="false" customHeight="false" outlineLevel="0" collapsed="false">
      <c r="A20429" s="3" t="s">
        <v>338</v>
      </c>
      <c r="G20429" s="16" t="n">
        <f aca="false">G20420*(1-G20352)*(G20419-G20425+G20424-G20427)</f>
        <v>0</v>
      </c>
      <c r="H20429" s="16" t="n">
        <f aca="false">H20420*(1-H20352)*(H20419-H20425+H20424-H20427)</f>
        <v>350</v>
      </c>
      <c r="I20429" s="16" t="n">
        <f aca="false">I20420*(1-I20352)*(I20419-I20425+I20424-I20427)</f>
        <v>0</v>
      </c>
      <c r="J20429" s="16" t="n">
        <f aca="false">J20420*(1-J20352)*(J20419-J20425+J20424-J20427)</f>
        <v>0</v>
      </c>
      <c r="K20429" s="16" t="n">
        <f aca="false">K20420*(1-K20352)*(K20419-K20425+K20424-K20427)</f>
        <v>0</v>
      </c>
    </row>
    <row r="20430" customFormat="false" ht="15" hidden="false" customHeight="false" outlineLevel="0" collapsed="false">
      <c r="A20430" s="2" t="s">
        <v>339</v>
      </c>
      <c r="F20430" s="28" t="n">
        <f aca="false">Assumptions!$C$62</f>
        <v>350</v>
      </c>
      <c r="G20430" s="17" t="n">
        <f aca="false">G20419+G20426+G20424-G20425-G20427-G20428</f>
        <v>350</v>
      </c>
      <c r="H20430" s="17" t="n">
        <f aca="false">H20419+H20426+H20424-H20425-H20427-H20428</f>
        <v>350</v>
      </c>
      <c r="I20430" s="17" t="n">
        <f aca="false">I20419+I20426+I20424-I20425-I20427-I20428</f>
        <v>350</v>
      </c>
      <c r="J20430" s="17" t="n">
        <f aca="false">J20419+J20426+J20424-J20425-J20427-J20428</f>
        <v>350</v>
      </c>
      <c r="K20430" s="17" t="n">
        <f aca="false">K20419+K20426+K20424-K20425-K20427-K20428</f>
        <v>350</v>
      </c>
    </row>
    <row r="20431" customFormat="false" ht="15" hidden="false" customHeight="false" outlineLevel="0" collapsed="false">
      <c r="A20431" s="24" t="s">
        <v>345</v>
      </c>
      <c r="B20431" s="25"/>
      <c r="C20431" s="25"/>
      <c r="D20431" s="25"/>
      <c r="E20431" s="25"/>
      <c r="F20431" s="25"/>
      <c r="G20431" s="25"/>
      <c r="H20431" s="25"/>
      <c r="I20431" s="25"/>
      <c r="J20431" s="25"/>
      <c r="K20431" s="25"/>
    </row>
    <row r="20432" customFormat="false" ht="15" hidden="false" customHeight="false" outlineLevel="0" collapsed="false">
      <c r="A20432" s="3" t="s">
        <v>329</v>
      </c>
      <c r="G20432" s="16" t="n">
        <f aca="false">F20443</f>
        <v>550</v>
      </c>
      <c r="H20432" s="16" t="n">
        <f aca="false">G20443</f>
        <v>550</v>
      </c>
      <c r="I20432" s="16" t="n">
        <f aca="false">H20443</f>
        <v>550</v>
      </c>
      <c r="J20432" s="16" t="n">
        <f aca="false">I20443</f>
        <v>550</v>
      </c>
      <c r="K20432" s="16" t="n">
        <f aca="false">J20443</f>
        <v>550</v>
      </c>
    </row>
    <row r="20433" customFormat="false" ht="15" hidden="false" customHeight="false" outlineLevel="0" collapsed="false">
      <c r="A20433" s="3" t="s">
        <v>330</v>
      </c>
      <c r="G20433" s="21" t="n">
        <f aca="false">IF(G20318=Assumptions!$K$63,1,0)</f>
        <v>0</v>
      </c>
      <c r="H20433" s="21" t="n">
        <f aca="false">IF(H20318=Assumptions!$K$63,1,0)</f>
        <v>0</v>
      </c>
      <c r="I20433" s="21" t="n">
        <f aca="false">IF(I20318=Assumptions!$K$63,1,0)</f>
        <v>1</v>
      </c>
      <c r="J20433" s="21" t="n">
        <f aca="false">IF(J20318=Assumptions!$K$63,1,0)</f>
        <v>0</v>
      </c>
      <c r="K20433" s="21" t="n">
        <f aca="false">IF(K20318=Assumptions!$K$63,1,0)</f>
        <v>0</v>
      </c>
    </row>
    <row r="20435" customFormat="false" ht="15" hidden="false" customHeight="false" outlineLevel="0" collapsed="false">
      <c r="A20435" s="3" t="s">
        <v>331</v>
      </c>
      <c r="G20435" s="31" t="n">
        <f aca="false">IF(Assumptions!$I$63=1,MAX(G20344,Assumptions!$G$63)+Assumptions!$F$63+$C$20345,Assumptions!$E$63)</f>
        <v>0.08875</v>
      </c>
      <c r="H20435" s="31" t="n">
        <f aca="false">IF(G20670=1,$C$20346,IF(Assumptions!$I$63=1,MAX(H20344,Assumptions!$G$63)+Assumptions!$F$63+$C$20345,Assumptions!$E$63))</f>
        <v>0.08875</v>
      </c>
      <c r="I20435" s="31" t="n">
        <f aca="false">IF(H20670=1,$C$20346,IF(Assumptions!$I$63=1,MAX(I20344,Assumptions!$G$63)+Assumptions!$F$63+$C$20345,Assumptions!$E$63))</f>
        <v>0.08875</v>
      </c>
      <c r="J20435" s="31" t="n">
        <f aca="false">IF(I20670=1,$C$20346,IF(Assumptions!$I$63=1,MAX(J20344,Assumptions!$G$63)+Assumptions!$F$63+$C$20345,Assumptions!$E$63))</f>
        <v>0.08875</v>
      </c>
      <c r="K20435" s="31" t="n">
        <f aca="false">IF(J20670=1,$C$20346,IF(Assumptions!$I$63=1,MAX(K20344,Assumptions!$G$63)+Assumptions!$F$63+$C$20345,Assumptions!$E$63))</f>
        <v>0.08875</v>
      </c>
    </row>
    <row r="20436" customFormat="false" ht="15" hidden="false" customHeight="false" outlineLevel="0" collapsed="false">
      <c r="A20436" s="3" t="s">
        <v>332</v>
      </c>
      <c r="G20436" s="16" t="n">
        <f aca="false">G20432*G20435</f>
        <v>48.8125</v>
      </c>
      <c r="H20436" s="16" t="n">
        <f aca="false">H20432*H20435</f>
        <v>48.8125</v>
      </c>
      <c r="I20436" s="16" t="n">
        <f aca="false">I20432*I20435</f>
        <v>48.8125</v>
      </c>
      <c r="J20436" s="16" t="n">
        <f aca="false">J20432*J20435</f>
        <v>48.8125</v>
      </c>
      <c r="K20436" s="16" t="n">
        <f aca="false">K20432*K20435</f>
        <v>48.8125</v>
      </c>
    </row>
    <row r="20437" customFormat="false" ht="15" hidden="false" customHeight="false" outlineLevel="0" collapsed="false">
      <c r="A20437" s="3" t="s">
        <v>333</v>
      </c>
      <c r="G20437" s="16" t="n">
        <f aca="false">G20432*Assumptions!$H$63</f>
        <v>0</v>
      </c>
      <c r="H20437" s="16" t="n">
        <f aca="false">H20432*Assumptions!$H$63</f>
        <v>0</v>
      </c>
      <c r="I20437" s="16" t="n">
        <f aca="false">I20432*Assumptions!$H$63</f>
        <v>0</v>
      </c>
      <c r="J20437" s="16" t="n">
        <f aca="false">J20432*Assumptions!$H$63</f>
        <v>0</v>
      </c>
      <c r="K20437" s="16" t="n">
        <f aca="false">K20432*Assumptions!$H$63</f>
        <v>0</v>
      </c>
    </row>
    <row r="20438" customFormat="false" ht="15" hidden="false" customHeight="false" outlineLevel="0" collapsed="false">
      <c r="A20438" s="3" t="s">
        <v>334</v>
      </c>
      <c r="G20438" s="16" t="n">
        <f aca="false">MIN(G20432,Assumptions!$L$63*Assumptions!$C$63)</f>
        <v>0</v>
      </c>
      <c r="H20438" s="16" t="n">
        <f aca="false">MIN(H20432,Assumptions!$L$63*Assumptions!$C$63)</f>
        <v>0</v>
      </c>
      <c r="I20438" s="16" t="n">
        <f aca="false">MIN(I20432,Assumptions!$L$63*Assumptions!$C$63)</f>
        <v>0</v>
      </c>
      <c r="J20438" s="16" t="n">
        <f aca="false">MIN(J20432,Assumptions!$L$63*Assumptions!$C$63)</f>
        <v>0</v>
      </c>
      <c r="K20438" s="16" t="n">
        <f aca="false">MIN(K20432,Assumptions!$L$63*Assumptions!$C$63)</f>
        <v>0</v>
      </c>
    </row>
    <row r="20439" customFormat="false" ht="15" hidden="false" customHeight="false" outlineLevel="0" collapsed="false">
      <c r="A20439" s="3" t="s">
        <v>335</v>
      </c>
      <c r="G20439" s="16" t="n">
        <f aca="false">IF(AND(Assumptions!$P$63=1,G20318&lt;Assumptions!$K$63),MIN(MAX(0,-G20534),MAX(0,Assumptions!$D$63-G20432)),0)</f>
        <v>0</v>
      </c>
      <c r="H20439" s="16" t="n">
        <f aca="false">IF(AND(Assumptions!$P$63=1,OR(H20318&lt;Assumptions!$K$63,G20670=1)),MIN(MAX(0,-H20534),MAX(0,Assumptions!$D$63-H20432)),0)</f>
        <v>0</v>
      </c>
      <c r="I20439" s="16" t="n">
        <f aca="false">IF(AND(Assumptions!$P$63=1,OR(I20318&lt;Assumptions!$K$63,H20670=1)),MIN(MAX(0,-I20534),MAX(0,Assumptions!$D$63-I20432)),0)</f>
        <v>0</v>
      </c>
      <c r="J20439" s="16" t="n">
        <f aca="false">IF(AND(Assumptions!$P$63=1,OR(J20318&lt;Assumptions!$K$63,I20670=1)),MIN(MAX(0,-J20534),MAX(0,Assumptions!$D$63-J20432)),0)</f>
        <v>0</v>
      </c>
      <c r="K20439" s="16" t="n">
        <f aca="false">IF(AND(Assumptions!$P$63=1,OR(K20318&lt;Assumptions!$K$63,J20670=1)),MIN(MAX(0,-K20534),MAX(0,Assumptions!$D$63-K20432)),0)</f>
        <v>0</v>
      </c>
    </row>
    <row r="20440" customFormat="false" ht="15" hidden="false" customHeight="false" outlineLevel="0" collapsed="false">
      <c r="A20440" s="3" t="s">
        <v>336</v>
      </c>
      <c r="G20440" s="16" t="n">
        <f aca="false">G20433*MIN(G20432-G20438+G20437,MAX(0,G20536-Assumptions!$C$12*G20352-G20362-G20375-G20388-G20401-G20414-G20427))</f>
        <v>0</v>
      </c>
      <c r="H20440" s="16" t="n">
        <f aca="false">H20433*MIN(H20432-H20438+H20437,MAX(0,H20536-Assumptions!$C$12*H20352-H20362-H20375-H20388-H20401-H20414-H20427))</f>
        <v>0</v>
      </c>
      <c r="I20440" s="16" t="n">
        <f aca="false">I20433*MIN(I20432-I20438+I20437,MAX(0,I20536-Assumptions!$C$12*I20352-I20362-I20375-I20388-I20401-I20414-I20427))</f>
        <v>0</v>
      </c>
      <c r="J20440" s="16" t="n">
        <f aca="false">J20433*MIN(J20432-J20438+J20437,MAX(0,J20536-Assumptions!$C$12*J20352-J20362-J20375-J20388-J20401-J20414-J20427))</f>
        <v>0</v>
      </c>
      <c r="K20440" s="16" t="n">
        <f aca="false">K20433*MIN(K20432-K20438+K20437,MAX(0,K20536-Assumptions!$C$12*K20352-K20362-K20375-K20388-K20401-K20414-K20427))</f>
        <v>0</v>
      </c>
    </row>
    <row r="20441" customFormat="false" ht="15" hidden="false" customHeight="false" outlineLevel="0" collapsed="false">
      <c r="A20441" s="3" t="s">
        <v>337</v>
      </c>
      <c r="G20441" s="16" t="n">
        <f aca="false">Assumptions!$N$63*MIN(G20432+G20439+G20437-G20438-G20440,MAX(0,G20540-G20363-G20376-G20389-G20402-G20415-G20428))</f>
        <v>0</v>
      </c>
      <c r="H20441" s="16" t="n">
        <f aca="false">Assumptions!$N$63*MIN(H20432+H20439+H20437-H20438-H20440,MAX(0,H20540-H20363-H20376-H20389-H20402-H20415-H20428))</f>
        <v>0</v>
      </c>
      <c r="I20441" s="16" t="n">
        <f aca="false">Assumptions!$N$63*MIN(I20432+I20439+I20437-I20438-I20440,MAX(0,I20540-I20363-I20376-I20389-I20402-I20415-I20428))</f>
        <v>0</v>
      </c>
      <c r="J20441" s="16" t="n">
        <f aca="false">Assumptions!$N$63*MIN(J20432+J20439+J20437-J20438-J20440,MAX(0,J20540-J20363-J20376-J20389-J20402-J20415-J20428))</f>
        <v>0</v>
      </c>
      <c r="K20441" s="16" t="n">
        <f aca="false">Assumptions!$N$63*MIN(K20432+K20439+K20437-K20438-K20440,MAX(0,K20540-K20363-K20376-K20389-K20402-K20415-K20428))</f>
        <v>0</v>
      </c>
    </row>
    <row r="20442" customFormat="false" ht="15" hidden="false" customHeight="false" outlineLevel="0" collapsed="false">
      <c r="A20442" s="3" t="s">
        <v>338</v>
      </c>
      <c r="G20442" s="16" t="n">
        <f aca="false">G20433*(1-G20352)*(G20432-G20438+G20437-G20440)</f>
        <v>0</v>
      </c>
      <c r="H20442" s="16" t="n">
        <f aca="false">H20433*(1-H20352)*(H20432-H20438+H20437-H20440)</f>
        <v>0</v>
      </c>
      <c r="I20442" s="16" t="n">
        <f aca="false">I20433*(1-I20352)*(I20432-I20438+I20437-I20440)</f>
        <v>550</v>
      </c>
      <c r="J20442" s="16" t="n">
        <f aca="false">J20433*(1-J20352)*(J20432-J20438+J20437-J20440)</f>
        <v>0</v>
      </c>
      <c r="K20442" s="16" t="n">
        <f aca="false">K20433*(1-K20352)*(K20432-K20438+K20437-K20440)</f>
        <v>0</v>
      </c>
    </row>
    <row r="20443" customFormat="false" ht="15" hidden="false" customHeight="false" outlineLevel="0" collapsed="false">
      <c r="A20443" s="2" t="s">
        <v>339</v>
      </c>
      <c r="F20443" s="28" t="n">
        <f aca="false">Assumptions!$C$63</f>
        <v>550</v>
      </c>
      <c r="G20443" s="17" t="n">
        <f aca="false">G20432+G20439+G20437-G20438-G20440-G20441</f>
        <v>550</v>
      </c>
      <c r="H20443" s="17" t="n">
        <f aca="false">H20432+H20439+H20437-H20438-H20440-H20441</f>
        <v>550</v>
      </c>
      <c r="I20443" s="17" t="n">
        <f aca="false">I20432+I20439+I20437-I20438-I20440-I20441</f>
        <v>550</v>
      </c>
      <c r="J20443" s="17" t="n">
        <f aca="false">J20432+J20439+J20437-J20438-J20440-J20441</f>
        <v>550</v>
      </c>
      <c r="K20443" s="17" t="n">
        <f aca="false">K20432+K20439+K20437-K20438-K20440-K20441</f>
        <v>550</v>
      </c>
    </row>
    <row r="20444" customFormat="false" ht="15" hidden="false" customHeight="false" outlineLevel="0" collapsed="false">
      <c r="A20444" s="24" t="s">
        <v>346</v>
      </c>
      <c r="B20444" s="25"/>
      <c r="C20444" s="25"/>
      <c r="D20444" s="25"/>
      <c r="E20444" s="25"/>
      <c r="F20444" s="25"/>
      <c r="G20444" s="25"/>
      <c r="H20444" s="25"/>
      <c r="I20444" s="25"/>
      <c r="J20444" s="25"/>
      <c r="K20444" s="25"/>
    </row>
    <row r="20445" customFormat="false" ht="15" hidden="false" customHeight="false" outlineLevel="0" collapsed="false">
      <c r="A20445" s="3" t="s">
        <v>329</v>
      </c>
      <c r="G20445" s="16" t="n">
        <f aca="false">F20456</f>
        <v>350</v>
      </c>
      <c r="H20445" s="16" t="n">
        <f aca="false">G20456</f>
        <v>350</v>
      </c>
      <c r="I20445" s="16" t="n">
        <f aca="false">H20456</f>
        <v>350</v>
      </c>
      <c r="J20445" s="16" t="n">
        <f aca="false">I20456</f>
        <v>350</v>
      </c>
      <c r="K20445" s="16" t="n">
        <f aca="false">J20456</f>
        <v>350</v>
      </c>
    </row>
    <row r="20446" customFormat="false" ht="15" hidden="false" customHeight="false" outlineLevel="0" collapsed="false">
      <c r="A20446" s="3" t="s">
        <v>330</v>
      </c>
      <c r="G20446" s="21" t="n">
        <f aca="false">IF(G20318=Assumptions!$K$64,1,0)</f>
        <v>0</v>
      </c>
      <c r="H20446" s="21" t="n">
        <f aca="false">IF(H20318=Assumptions!$K$64,1,0)</f>
        <v>0</v>
      </c>
      <c r="I20446" s="21" t="n">
        <f aca="false">IF(I20318=Assumptions!$K$64,1,0)</f>
        <v>0</v>
      </c>
      <c r="J20446" s="21" t="n">
        <f aca="false">IF(J20318=Assumptions!$K$64,1,0)</f>
        <v>1</v>
      </c>
      <c r="K20446" s="21" t="n">
        <f aca="false">IF(K20318=Assumptions!$K$64,1,0)</f>
        <v>0</v>
      </c>
    </row>
    <row r="20448" customFormat="false" ht="15" hidden="false" customHeight="false" outlineLevel="0" collapsed="false">
      <c r="A20448" s="3" t="s">
        <v>331</v>
      </c>
      <c r="G20448" s="31" t="n">
        <f aca="false">IF(Assumptions!$I$64=1,MAX(G20344,Assumptions!$G$64)+Assumptions!$F$64+$C$20345,Assumptions!$E$64)</f>
        <v>0.0455</v>
      </c>
      <c r="H20448" s="31" t="n">
        <f aca="false">IF(G20671=1,$C$20346,IF(Assumptions!$I$64=1,MAX(H20344,Assumptions!$G$64)+Assumptions!$F$64+$C$20345,Assumptions!$E$64))</f>
        <v>0.0455</v>
      </c>
      <c r="I20448" s="31" t="n">
        <f aca="false">IF(H20671=1,$C$20346,IF(Assumptions!$I$64=1,MAX(I20344,Assumptions!$G$64)+Assumptions!$F$64+$C$20345,Assumptions!$E$64))</f>
        <v>0.0455</v>
      </c>
      <c r="J20448" s="31" t="n">
        <f aca="false">IF(I20671=1,$C$20346,IF(Assumptions!$I$64=1,MAX(J20344,Assumptions!$G$64)+Assumptions!$F$64+$C$20345,Assumptions!$E$64))</f>
        <v>0.0455</v>
      </c>
      <c r="K20448" s="31" t="n">
        <f aca="false">IF(J20671=1,$C$20346,IF(Assumptions!$I$64=1,MAX(K20344,Assumptions!$G$64)+Assumptions!$F$64+$C$20345,Assumptions!$E$64))</f>
        <v>0.0455</v>
      </c>
    </row>
    <row r="20449" customFormat="false" ht="15" hidden="false" customHeight="false" outlineLevel="0" collapsed="false">
      <c r="A20449" s="3" t="s">
        <v>332</v>
      </c>
      <c r="G20449" s="16" t="n">
        <f aca="false">G20445*G20448</f>
        <v>15.925</v>
      </c>
      <c r="H20449" s="16" t="n">
        <f aca="false">H20445*H20448</f>
        <v>15.925</v>
      </c>
      <c r="I20449" s="16" t="n">
        <f aca="false">I20445*I20448</f>
        <v>15.925</v>
      </c>
      <c r="J20449" s="16" t="n">
        <f aca="false">J20445*J20448</f>
        <v>15.925</v>
      </c>
      <c r="K20449" s="16" t="n">
        <f aca="false">K20445*K20448</f>
        <v>15.925</v>
      </c>
    </row>
    <row r="20450" customFormat="false" ht="15" hidden="false" customHeight="false" outlineLevel="0" collapsed="false">
      <c r="A20450" s="3" t="s">
        <v>333</v>
      </c>
      <c r="G20450" s="16" t="n">
        <f aca="false">G20445*Assumptions!$H$64</f>
        <v>0</v>
      </c>
      <c r="H20450" s="16" t="n">
        <f aca="false">H20445*Assumptions!$H$64</f>
        <v>0</v>
      </c>
      <c r="I20450" s="16" t="n">
        <f aca="false">I20445*Assumptions!$H$64</f>
        <v>0</v>
      </c>
      <c r="J20450" s="16" t="n">
        <f aca="false">J20445*Assumptions!$H$64</f>
        <v>0</v>
      </c>
      <c r="K20450" s="16" t="n">
        <f aca="false">K20445*Assumptions!$H$64</f>
        <v>0</v>
      </c>
    </row>
    <row r="20451" customFormat="false" ht="15" hidden="false" customHeight="false" outlineLevel="0" collapsed="false">
      <c r="A20451" s="3" t="s">
        <v>334</v>
      </c>
      <c r="G20451" s="16" t="n">
        <f aca="false">MIN(G20445,Assumptions!$L$64*Assumptions!$C$64)</f>
        <v>0</v>
      </c>
      <c r="H20451" s="16" t="n">
        <f aca="false">MIN(H20445,Assumptions!$L$64*Assumptions!$C$64)</f>
        <v>0</v>
      </c>
      <c r="I20451" s="16" t="n">
        <f aca="false">MIN(I20445,Assumptions!$L$64*Assumptions!$C$64)</f>
        <v>0</v>
      </c>
      <c r="J20451" s="16" t="n">
        <f aca="false">MIN(J20445,Assumptions!$L$64*Assumptions!$C$64)</f>
        <v>0</v>
      </c>
      <c r="K20451" s="16" t="n">
        <f aca="false">MIN(K20445,Assumptions!$L$64*Assumptions!$C$64)</f>
        <v>0</v>
      </c>
    </row>
    <row r="20452" customFormat="false" ht="15" hidden="false" customHeight="false" outlineLevel="0" collapsed="false">
      <c r="A20452" s="3" t="s">
        <v>335</v>
      </c>
      <c r="G20452" s="16" t="n">
        <f aca="false">IF(AND(Assumptions!$P$64=1,G20318&lt;Assumptions!$K$64),MIN(MAX(0,-G20534),MAX(0,Assumptions!$D$64-G20445)),0)</f>
        <v>0</v>
      </c>
      <c r="H20452" s="16" t="n">
        <f aca="false">IF(AND(Assumptions!$P$64=1,OR(H20318&lt;Assumptions!$K$64,G20671=1)),MIN(MAX(0,-H20534),MAX(0,Assumptions!$D$64-H20445)),0)</f>
        <v>0</v>
      </c>
      <c r="I20452" s="16" t="n">
        <f aca="false">IF(AND(Assumptions!$P$64=1,OR(I20318&lt;Assumptions!$K$64,H20671=1)),MIN(MAX(0,-I20534),MAX(0,Assumptions!$D$64-I20445)),0)</f>
        <v>0</v>
      </c>
      <c r="J20452" s="16" t="n">
        <f aca="false">IF(AND(Assumptions!$P$64=1,OR(J20318&lt;Assumptions!$K$64,I20671=1)),MIN(MAX(0,-J20534),MAX(0,Assumptions!$D$64-J20445)),0)</f>
        <v>0</v>
      </c>
      <c r="K20452" s="16" t="n">
        <f aca="false">IF(AND(Assumptions!$P$64=1,OR(K20318&lt;Assumptions!$K$64,J20671=1)),MIN(MAX(0,-K20534),MAX(0,Assumptions!$D$64-K20445)),0)</f>
        <v>0</v>
      </c>
    </row>
    <row r="20453" customFormat="false" ht="15" hidden="false" customHeight="false" outlineLevel="0" collapsed="false">
      <c r="A20453" s="3" t="s">
        <v>336</v>
      </c>
      <c r="G20453" s="16" t="n">
        <f aca="false">G20446*MIN(G20445-G20451+G20450,MAX(0,G20536-Assumptions!$C$12*G20352-G20362-G20375-G20388-G20401-G20414-G20427-G20440))</f>
        <v>0</v>
      </c>
      <c r="H20453" s="16" t="n">
        <f aca="false">H20446*MIN(H20445-H20451+H20450,MAX(0,H20536-Assumptions!$C$12*H20352-H20362-H20375-H20388-H20401-H20414-H20427-H20440))</f>
        <v>0</v>
      </c>
      <c r="I20453" s="16" t="n">
        <f aca="false">I20446*MIN(I20445-I20451+I20450,MAX(0,I20536-Assumptions!$C$12*I20352-I20362-I20375-I20388-I20401-I20414-I20427-I20440))</f>
        <v>0</v>
      </c>
      <c r="J20453" s="16" t="n">
        <f aca="false">J20446*MIN(J20445-J20451+J20450,MAX(0,J20536-Assumptions!$C$12*J20352-J20362-J20375-J20388-J20401-J20414-J20427-J20440))</f>
        <v>0</v>
      </c>
      <c r="K20453" s="16" t="n">
        <f aca="false">K20446*MIN(K20445-K20451+K20450,MAX(0,K20536-Assumptions!$C$12*K20352-K20362-K20375-K20388-K20401-K20414-K20427-K20440))</f>
        <v>0</v>
      </c>
    </row>
    <row r="20454" customFormat="false" ht="15" hidden="false" customHeight="false" outlineLevel="0" collapsed="false">
      <c r="A20454" s="3" t="s">
        <v>337</v>
      </c>
      <c r="G20454" s="16" t="n">
        <f aca="false">Assumptions!$N$64*MIN(G20445+G20452+G20450-G20451-G20453,MAX(0,G20540-G20363-G20376-G20389-G20402-G20415-G20428-G20441))</f>
        <v>0</v>
      </c>
      <c r="H20454" s="16" t="n">
        <f aca="false">Assumptions!$N$64*MIN(H20445+H20452+H20450-H20451-H20453,MAX(0,H20540-H20363-H20376-H20389-H20402-H20415-H20428-H20441))</f>
        <v>0</v>
      </c>
      <c r="I20454" s="16" t="n">
        <f aca="false">Assumptions!$N$64*MIN(I20445+I20452+I20450-I20451-I20453,MAX(0,I20540-I20363-I20376-I20389-I20402-I20415-I20428-I20441))</f>
        <v>0</v>
      </c>
      <c r="J20454" s="16" t="n">
        <f aca="false">Assumptions!$N$64*MIN(J20445+J20452+J20450-J20451-J20453,MAX(0,J20540-J20363-J20376-J20389-J20402-J20415-J20428-J20441))</f>
        <v>0</v>
      </c>
      <c r="K20454" s="16" t="n">
        <f aca="false">Assumptions!$N$64*MIN(K20445+K20452+K20450-K20451-K20453,MAX(0,K20540-K20363-K20376-K20389-K20402-K20415-K20428-K20441))</f>
        <v>0</v>
      </c>
    </row>
    <row r="20455" customFormat="false" ht="15" hidden="false" customHeight="false" outlineLevel="0" collapsed="false">
      <c r="A20455" s="3" t="s">
        <v>338</v>
      </c>
      <c r="G20455" s="16" t="n">
        <f aca="false">G20446*(1-G20352)*(G20445-G20451+G20450-G20453)</f>
        <v>0</v>
      </c>
      <c r="H20455" s="16" t="n">
        <f aca="false">H20446*(1-H20352)*(H20445-H20451+H20450-H20453)</f>
        <v>0</v>
      </c>
      <c r="I20455" s="16" t="n">
        <f aca="false">I20446*(1-I20352)*(I20445-I20451+I20450-I20453)</f>
        <v>0</v>
      </c>
      <c r="J20455" s="16" t="n">
        <f aca="false">J20446*(1-J20352)*(J20445-J20451+J20450-J20453)</f>
        <v>350</v>
      </c>
      <c r="K20455" s="16" t="n">
        <f aca="false">K20446*(1-K20352)*(K20445-K20451+K20450-K20453)</f>
        <v>0</v>
      </c>
    </row>
    <row r="20456" customFormat="false" ht="15" hidden="false" customHeight="false" outlineLevel="0" collapsed="false">
      <c r="A20456" s="2" t="s">
        <v>339</v>
      </c>
      <c r="F20456" s="28" t="n">
        <f aca="false">Assumptions!$C$64</f>
        <v>350</v>
      </c>
      <c r="G20456" s="17" t="n">
        <f aca="false">G20445+G20452+G20450-G20451-G20453-G20454</f>
        <v>350</v>
      </c>
      <c r="H20456" s="17" t="n">
        <f aca="false">H20445+H20452+H20450-H20451-H20453-H20454</f>
        <v>350</v>
      </c>
      <c r="I20456" s="17" t="n">
        <f aca="false">I20445+I20452+I20450-I20451-I20453-I20454</f>
        <v>350</v>
      </c>
      <c r="J20456" s="17" t="n">
        <f aca="false">J20445+J20452+J20450-J20451-J20453-J20454</f>
        <v>350</v>
      </c>
      <c r="K20456" s="17" t="n">
        <f aca="false">K20445+K20452+K20450-K20451-K20453-K20454</f>
        <v>350</v>
      </c>
    </row>
    <row r="20457" customFormat="false" ht="15" hidden="false" customHeight="false" outlineLevel="0" collapsed="false">
      <c r="A20457" s="24" t="s">
        <v>347</v>
      </c>
      <c r="B20457" s="25"/>
      <c r="C20457" s="25"/>
      <c r="D20457" s="25"/>
      <c r="E20457" s="25"/>
      <c r="F20457" s="25"/>
      <c r="G20457" s="25"/>
      <c r="H20457" s="25"/>
      <c r="I20457" s="25"/>
      <c r="J20457" s="25"/>
      <c r="K20457" s="25"/>
    </row>
    <row r="20458" customFormat="false" ht="15" hidden="false" customHeight="false" outlineLevel="0" collapsed="false">
      <c r="A20458" s="3" t="s">
        <v>329</v>
      </c>
      <c r="G20458" s="16" t="n">
        <f aca="false">F20469</f>
        <v>300</v>
      </c>
      <c r="H20458" s="16" t="n">
        <f aca="false">G20469</f>
        <v>300</v>
      </c>
      <c r="I20458" s="16" t="n">
        <f aca="false">H20469</f>
        <v>300</v>
      </c>
      <c r="J20458" s="16" t="n">
        <f aca="false">I20469</f>
        <v>300</v>
      </c>
      <c r="K20458" s="16" t="n">
        <f aca="false">J20469</f>
        <v>300</v>
      </c>
    </row>
    <row r="20459" customFormat="false" ht="15" hidden="false" customHeight="false" outlineLevel="0" collapsed="false">
      <c r="A20459" s="3" t="s">
        <v>330</v>
      </c>
      <c r="G20459" s="21" t="n">
        <f aca="false">IF(G20318=Assumptions!$K$65,1,0)</f>
        <v>0</v>
      </c>
      <c r="H20459" s="21" t="n">
        <f aca="false">IF(H20318=Assumptions!$K$65,1,0)</f>
        <v>0</v>
      </c>
      <c r="I20459" s="21" t="n">
        <f aca="false">IF(I20318=Assumptions!$K$65,1,0)</f>
        <v>0</v>
      </c>
      <c r="J20459" s="21" t="n">
        <f aca="false">IF(J20318=Assumptions!$K$65,1,0)</f>
        <v>0</v>
      </c>
      <c r="K20459" s="21" t="n">
        <f aca="false">IF(K20318=Assumptions!$K$65,1,0)</f>
        <v>1</v>
      </c>
    </row>
    <row r="20461" customFormat="false" ht="15" hidden="false" customHeight="false" outlineLevel="0" collapsed="false">
      <c r="A20461" s="3" t="s">
        <v>331</v>
      </c>
      <c r="G20461" s="31" t="n">
        <f aca="false">IF(Assumptions!$I$65=1,MAX(G20344,Assumptions!$G$65)+Assumptions!$F$65+$C$20345,Assumptions!$E$65)</f>
        <v>0.06125</v>
      </c>
      <c r="H20461" s="31" t="n">
        <f aca="false">IF(G20672=1,$C$20346,IF(Assumptions!$I$65=1,MAX(H20344,Assumptions!$G$65)+Assumptions!$F$65+$C$20345,Assumptions!$E$65))</f>
        <v>0.06125</v>
      </c>
      <c r="I20461" s="31" t="n">
        <f aca="false">IF(H20672=1,$C$20346,IF(Assumptions!$I$65=1,MAX(I20344,Assumptions!$G$65)+Assumptions!$F$65+$C$20345,Assumptions!$E$65))</f>
        <v>0.06125</v>
      </c>
      <c r="J20461" s="31" t="n">
        <f aca="false">IF(I20672=1,$C$20346,IF(Assumptions!$I$65=1,MAX(J20344,Assumptions!$G$65)+Assumptions!$F$65+$C$20345,Assumptions!$E$65))</f>
        <v>0.06125</v>
      </c>
      <c r="K20461" s="31" t="n">
        <f aca="false">IF(J20672=1,$C$20346,IF(Assumptions!$I$65=1,MAX(K20344,Assumptions!$G$65)+Assumptions!$F$65+$C$20345,Assumptions!$E$65))</f>
        <v>0.06125</v>
      </c>
    </row>
    <row r="20462" customFormat="false" ht="15" hidden="false" customHeight="false" outlineLevel="0" collapsed="false">
      <c r="A20462" s="3" t="s">
        <v>332</v>
      </c>
      <c r="G20462" s="16" t="n">
        <f aca="false">G20458*G20461</f>
        <v>18.375</v>
      </c>
      <c r="H20462" s="16" t="n">
        <f aca="false">H20458*H20461</f>
        <v>18.375</v>
      </c>
      <c r="I20462" s="16" t="n">
        <f aca="false">I20458*I20461</f>
        <v>18.375</v>
      </c>
      <c r="J20462" s="16" t="n">
        <f aca="false">J20458*J20461</f>
        <v>18.375</v>
      </c>
      <c r="K20462" s="16" t="n">
        <f aca="false">K20458*K20461</f>
        <v>18.375</v>
      </c>
    </row>
    <row r="20463" customFormat="false" ht="15" hidden="false" customHeight="false" outlineLevel="0" collapsed="false">
      <c r="A20463" s="3" t="s">
        <v>333</v>
      </c>
      <c r="G20463" s="16" t="n">
        <f aca="false">G20458*Assumptions!$H$65</f>
        <v>0</v>
      </c>
      <c r="H20463" s="16" t="n">
        <f aca="false">H20458*Assumptions!$H$65</f>
        <v>0</v>
      </c>
      <c r="I20463" s="16" t="n">
        <f aca="false">I20458*Assumptions!$H$65</f>
        <v>0</v>
      </c>
      <c r="J20463" s="16" t="n">
        <f aca="false">J20458*Assumptions!$H$65</f>
        <v>0</v>
      </c>
      <c r="K20463" s="16" t="n">
        <f aca="false">K20458*Assumptions!$H$65</f>
        <v>0</v>
      </c>
    </row>
    <row r="20464" customFormat="false" ht="15" hidden="false" customHeight="false" outlineLevel="0" collapsed="false">
      <c r="A20464" s="3" t="s">
        <v>334</v>
      </c>
      <c r="G20464" s="16" t="n">
        <f aca="false">MIN(G20458,Assumptions!$L$65*Assumptions!$C$65)</f>
        <v>0</v>
      </c>
      <c r="H20464" s="16" t="n">
        <f aca="false">MIN(H20458,Assumptions!$L$65*Assumptions!$C$65)</f>
        <v>0</v>
      </c>
      <c r="I20464" s="16" t="n">
        <f aca="false">MIN(I20458,Assumptions!$L$65*Assumptions!$C$65)</f>
        <v>0</v>
      </c>
      <c r="J20464" s="16" t="n">
        <f aca="false">MIN(J20458,Assumptions!$L$65*Assumptions!$C$65)</f>
        <v>0</v>
      </c>
      <c r="K20464" s="16" t="n">
        <f aca="false">MIN(K20458,Assumptions!$L$65*Assumptions!$C$65)</f>
        <v>0</v>
      </c>
    </row>
    <row r="20465" customFormat="false" ht="15" hidden="false" customHeight="false" outlineLevel="0" collapsed="false">
      <c r="A20465" s="3" t="s">
        <v>335</v>
      </c>
      <c r="G20465" s="16" t="n">
        <f aca="false">IF(AND(Assumptions!$P$65=1,G20318&lt;Assumptions!$K$65),MIN(MAX(0,-G20534),MAX(0,Assumptions!$D$65-G20458)),0)</f>
        <v>0</v>
      </c>
      <c r="H20465" s="16" t="n">
        <f aca="false">IF(AND(Assumptions!$P$65=1,OR(H20318&lt;Assumptions!$K$65,G20672=1)),MIN(MAX(0,-H20534),MAX(0,Assumptions!$D$65-H20458)),0)</f>
        <v>0</v>
      </c>
      <c r="I20465" s="16" t="n">
        <f aca="false">IF(AND(Assumptions!$P$65=1,OR(I20318&lt;Assumptions!$K$65,H20672=1)),MIN(MAX(0,-I20534),MAX(0,Assumptions!$D$65-I20458)),0)</f>
        <v>0</v>
      </c>
      <c r="J20465" s="16" t="n">
        <f aca="false">IF(AND(Assumptions!$P$65=1,OR(J20318&lt;Assumptions!$K$65,I20672=1)),MIN(MAX(0,-J20534),MAX(0,Assumptions!$D$65-J20458)),0)</f>
        <v>0</v>
      </c>
      <c r="K20465" s="16" t="n">
        <f aca="false">IF(AND(Assumptions!$P$65=1,OR(K20318&lt;Assumptions!$K$65,J20672=1)),MIN(MAX(0,-K20534),MAX(0,Assumptions!$D$65-K20458)),0)</f>
        <v>0</v>
      </c>
    </row>
    <row r="20466" customFormat="false" ht="15" hidden="false" customHeight="false" outlineLevel="0" collapsed="false">
      <c r="A20466" s="3" t="s">
        <v>336</v>
      </c>
      <c r="G20466" s="16" t="n">
        <f aca="false">G20459*MIN(G20458-G20464+G20463,MAX(0,G20536-Assumptions!$C$12*G20352-G20362-G20375-G20388-G20401-G20414-G20427-G20440-G20453))</f>
        <v>0</v>
      </c>
      <c r="H20466" s="16" t="n">
        <f aca="false">H20459*MIN(H20458-H20464+H20463,MAX(0,H20536-Assumptions!$C$12*H20352-H20362-H20375-H20388-H20401-H20414-H20427-H20440-H20453))</f>
        <v>0</v>
      </c>
      <c r="I20466" s="16" t="n">
        <f aca="false">I20459*MIN(I20458-I20464+I20463,MAX(0,I20536-Assumptions!$C$12*I20352-I20362-I20375-I20388-I20401-I20414-I20427-I20440-I20453))</f>
        <v>0</v>
      </c>
      <c r="J20466" s="16" t="n">
        <f aca="false">J20459*MIN(J20458-J20464+J20463,MAX(0,J20536-Assumptions!$C$12*J20352-J20362-J20375-J20388-J20401-J20414-J20427-J20440-J20453))</f>
        <v>0</v>
      </c>
      <c r="K20466" s="16" t="n">
        <f aca="false">K20459*MIN(K20458-K20464+K20463,MAX(0,K20536-Assumptions!$C$12*K20352-K20362-K20375-K20388-K20401-K20414-K20427-K20440-K20453))</f>
        <v>0</v>
      </c>
    </row>
    <row r="20467" customFormat="false" ht="15" hidden="false" customHeight="false" outlineLevel="0" collapsed="false">
      <c r="A20467" s="3" t="s">
        <v>337</v>
      </c>
      <c r="G20467" s="16" t="n">
        <f aca="false">Assumptions!$N$65*MIN(G20458+G20465+G20463-G20464-G20466,MAX(0,G20540-G20363-G20376-G20389-G20402-G20415-G20428-G20441-G20454))</f>
        <v>0</v>
      </c>
      <c r="H20467" s="16" t="n">
        <f aca="false">Assumptions!$N$65*MIN(H20458+H20465+H20463-H20464-H20466,MAX(0,H20540-H20363-H20376-H20389-H20402-H20415-H20428-H20441-H20454))</f>
        <v>0</v>
      </c>
      <c r="I20467" s="16" t="n">
        <f aca="false">Assumptions!$N$65*MIN(I20458+I20465+I20463-I20464-I20466,MAX(0,I20540-I20363-I20376-I20389-I20402-I20415-I20428-I20441-I20454))</f>
        <v>0</v>
      </c>
      <c r="J20467" s="16" t="n">
        <f aca="false">Assumptions!$N$65*MIN(J20458+J20465+J20463-J20464-J20466,MAX(0,J20540-J20363-J20376-J20389-J20402-J20415-J20428-J20441-J20454))</f>
        <v>0</v>
      </c>
      <c r="K20467" s="16" t="n">
        <f aca="false">Assumptions!$N$65*MIN(K20458+K20465+K20463-K20464-K20466,MAX(0,K20540-K20363-K20376-K20389-K20402-K20415-K20428-K20441-K20454))</f>
        <v>0</v>
      </c>
    </row>
    <row r="20468" customFormat="false" ht="15" hidden="false" customHeight="false" outlineLevel="0" collapsed="false">
      <c r="A20468" s="3" t="s">
        <v>338</v>
      </c>
      <c r="G20468" s="16" t="n">
        <f aca="false">G20459*(1-G20352)*(G20458-G20464+G20463-G20466)</f>
        <v>0</v>
      </c>
      <c r="H20468" s="16" t="n">
        <f aca="false">H20459*(1-H20352)*(H20458-H20464+H20463-H20466)</f>
        <v>0</v>
      </c>
      <c r="I20468" s="16" t="n">
        <f aca="false">I20459*(1-I20352)*(I20458-I20464+I20463-I20466)</f>
        <v>0</v>
      </c>
      <c r="J20468" s="16" t="n">
        <f aca="false">J20459*(1-J20352)*(J20458-J20464+J20463-J20466)</f>
        <v>0</v>
      </c>
      <c r="K20468" s="16" t="n">
        <f aca="false">K20459*(1-K20352)*(K20458-K20464+K20463-K20466)</f>
        <v>300</v>
      </c>
    </row>
    <row r="20469" customFormat="false" ht="15" hidden="false" customHeight="false" outlineLevel="0" collapsed="false">
      <c r="A20469" s="2" t="s">
        <v>339</v>
      </c>
      <c r="F20469" s="28" t="n">
        <f aca="false">Assumptions!$C$65</f>
        <v>300</v>
      </c>
      <c r="G20469" s="17" t="n">
        <f aca="false">G20458+G20465+G20463-G20464-G20466-G20467</f>
        <v>300</v>
      </c>
      <c r="H20469" s="17" t="n">
        <f aca="false">H20458+H20465+H20463-H20464-H20466-H20467</f>
        <v>300</v>
      </c>
      <c r="I20469" s="17" t="n">
        <f aca="false">I20458+I20465+I20463-I20464-I20466-I20467</f>
        <v>300</v>
      </c>
      <c r="J20469" s="17" t="n">
        <f aca="false">J20458+J20465+J20463-J20464-J20466-J20467</f>
        <v>300</v>
      </c>
      <c r="K20469" s="17" t="n">
        <f aca="false">K20458+K20465+K20463-K20464-K20466-K20467</f>
        <v>300</v>
      </c>
    </row>
    <row r="20470" customFormat="false" ht="15" hidden="false" customHeight="false" outlineLevel="0" collapsed="false">
      <c r="A20470" s="24" t="s">
        <v>348</v>
      </c>
      <c r="B20470" s="25"/>
      <c r="C20470" s="25"/>
      <c r="D20470" s="25"/>
      <c r="E20470" s="25"/>
      <c r="F20470" s="25"/>
      <c r="G20470" s="25"/>
      <c r="H20470" s="25"/>
      <c r="I20470" s="25"/>
      <c r="J20470" s="25"/>
      <c r="K20470" s="25"/>
    </row>
    <row r="20471" customFormat="false" ht="15" hidden="false" customHeight="false" outlineLevel="0" collapsed="false">
      <c r="A20471" s="3" t="s">
        <v>329</v>
      </c>
      <c r="G20471" s="16" t="n">
        <f aca="false">F20482</f>
        <v>78.61</v>
      </c>
      <c r="H20471" s="16" t="n">
        <f aca="false">G20482</f>
        <v>78.61</v>
      </c>
      <c r="I20471" s="16" t="n">
        <f aca="false">H20482</f>
        <v>78.61</v>
      </c>
      <c r="J20471" s="16" t="n">
        <f aca="false">I20482</f>
        <v>78.61</v>
      </c>
      <c r="K20471" s="16" t="n">
        <f aca="false">J20482</f>
        <v>78.61</v>
      </c>
    </row>
    <row r="20472" customFormat="false" ht="15" hidden="false" customHeight="false" outlineLevel="0" collapsed="false">
      <c r="A20472" s="3" t="s">
        <v>330</v>
      </c>
      <c r="G20472" s="21" t="n">
        <f aca="false">IF(G20318=Assumptions!$K$66,1,0)</f>
        <v>0</v>
      </c>
      <c r="H20472" s="21" t="n">
        <f aca="false">IF(H20318=Assumptions!$K$66,1,0)</f>
        <v>0</v>
      </c>
      <c r="I20472" s="21" t="n">
        <f aca="false">IF(I20318=Assumptions!$K$66,1,0)</f>
        <v>0</v>
      </c>
      <c r="J20472" s="21" t="n">
        <f aca="false">IF(J20318=Assumptions!$K$66,1,0)</f>
        <v>0</v>
      </c>
      <c r="K20472" s="21" t="n">
        <f aca="false">IF(K20318=Assumptions!$K$66,1,0)</f>
        <v>0</v>
      </c>
    </row>
    <row r="20474" customFormat="false" ht="15" hidden="false" customHeight="false" outlineLevel="0" collapsed="false">
      <c r="A20474" s="3" t="s">
        <v>331</v>
      </c>
      <c r="G20474" s="31" t="n">
        <f aca="false">IF(Assumptions!$I$66=1,MAX(G20344,Assumptions!$G$66)+Assumptions!$F$66+$C$20345,Assumptions!$E$66)</f>
        <v>0.0841</v>
      </c>
      <c r="H20474" s="31" t="n">
        <f aca="false">IF(G20673=1,$C$20346,IF(Assumptions!$I$66=1,MAX(H20344,Assumptions!$G$66)+Assumptions!$F$66+$C$20345,Assumptions!$E$66))</f>
        <v>0.0826</v>
      </c>
      <c r="I20474" s="31" t="n">
        <f aca="false">IF(H20673=1,$C$20346,IF(Assumptions!$I$66=1,MAX(I20344,Assumptions!$G$66)+Assumptions!$F$66+$C$20345,Assumptions!$E$66))</f>
        <v>0.0801</v>
      </c>
      <c r="J20474" s="31" t="n">
        <f aca="false">IF(I20673=1,$C$20346,IF(Assumptions!$I$66=1,MAX(J20344,Assumptions!$G$66)+Assumptions!$F$66+$C$20345,Assumptions!$E$66))</f>
        <v>0.0801</v>
      </c>
      <c r="K20474" s="31" t="n">
        <f aca="false">IF(J20673=1,$C$20346,IF(Assumptions!$I$66=1,MAX(K20344,Assumptions!$G$66)+Assumptions!$F$66+$C$20345,Assumptions!$E$66))</f>
        <v>0.0801</v>
      </c>
    </row>
    <row r="20475" customFormat="false" ht="15" hidden="false" customHeight="false" outlineLevel="0" collapsed="false">
      <c r="A20475" s="3" t="s">
        <v>332</v>
      </c>
      <c r="G20475" s="16" t="n">
        <f aca="false">G20471*G20474</f>
        <v>6.611101</v>
      </c>
      <c r="H20475" s="16" t="n">
        <f aca="false">H20471*H20474</f>
        <v>6.493186</v>
      </c>
      <c r="I20475" s="16" t="n">
        <f aca="false">I20471*I20474</f>
        <v>6.296661</v>
      </c>
      <c r="J20475" s="16" t="n">
        <f aca="false">J20471*J20474</f>
        <v>6.296661</v>
      </c>
      <c r="K20475" s="16" t="n">
        <f aca="false">K20471*K20474</f>
        <v>6.296661</v>
      </c>
    </row>
    <row r="20476" customFormat="false" ht="15" hidden="false" customHeight="false" outlineLevel="0" collapsed="false">
      <c r="A20476" s="3" t="s">
        <v>333</v>
      </c>
      <c r="G20476" s="16" t="n">
        <f aca="false">G20471*Assumptions!$H$66</f>
        <v>0</v>
      </c>
      <c r="H20476" s="16" t="n">
        <f aca="false">H20471*Assumptions!$H$66</f>
        <v>0</v>
      </c>
      <c r="I20476" s="16" t="n">
        <f aca="false">I20471*Assumptions!$H$66</f>
        <v>0</v>
      </c>
      <c r="J20476" s="16" t="n">
        <f aca="false">J20471*Assumptions!$H$66</f>
        <v>0</v>
      </c>
      <c r="K20476" s="16" t="n">
        <f aca="false">K20471*Assumptions!$H$66</f>
        <v>0</v>
      </c>
    </row>
    <row r="20477" customFormat="false" ht="15" hidden="false" customHeight="false" outlineLevel="0" collapsed="false">
      <c r="A20477" s="3" t="s">
        <v>334</v>
      </c>
      <c r="G20477" s="16" t="n">
        <f aca="false">MIN(G20471,Assumptions!$L$66*Assumptions!$C$66)</f>
        <v>0</v>
      </c>
      <c r="H20477" s="16" t="n">
        <f aca="false">MIN(H20471,Assumptions!$L$66*Assumptions!$C$66)</f>
        <v>0</v>
      </c>
      <c r="I20477" s="16" t="n">
        <f aca="false">MIN(I20471,Assumptions!$L$66*Assumptions!$C$66)</f>
        <v>0</v>
      </c>
      <c r="J20477" s="16" t="n">
        <f aca="false">MIN(J20471,Assumptions!$L$66*Assumptions!$C$66)</f>
        <v>0</v>
      </c>
      <c r="K20477" s="16" t="n">
        <f aca="false">MIN(K20471,Assumptions!$L$66*Assumptions!$C$66)</f>
        <v>0</v>
      </c>
    </row>
    <row r="20478" customFormat="false" ht="15" hidden="false" customHeight="false" outlineLevel="0" collapsed="false">
      <c r="A20478" s="3" t="s">
        <v>335</v>
      </c>
      <c r="G20478" s="16" t="n">
        <f aca="false">IF(AND(Assumptions!$P$66=1,G20318&lt;Assumptions!$K$66),MIN(MAX(0,-G20534),MAX(0,Assumptions!$D$66-G20471)),0)</f>
        <v>0</v>
      </c>
      <c r="H20478" s="16" t="n">
        <f aca="false">IF(AND(Assumptions!$P$66=1,OR(H20318&lt;Assumptions!$K$66,G20673=1)),MIN(MAX(0,-H20534),MAX(0,Assumptions!$D$66-H20471)),0)</f>
        <v>0</v>
      </c>
      <c r="I20478" s="16" t="n">
        <f aca="false">IF(AND(Assumptions!$P$66=1,OR(I20318&lt;Assumptions!$K$66,H20673=1)),MIN(MAX(0,-I20534),MAX(0,Assumptions!$D$66-I20471)),0)</f>
        <v>0</v>
      </c>
      <c r="J20478" s="16" t="n">
        <f aca="false">IF(AND(Assumptions!$P$66=1,OR(J20318&lt;Assumptions!$K$66,I20673=1)),MIN(MAX(0,-J20534),MAX(0,Assumptions!$D$66-J20471)),0)</f>
        <v>0</v>
      </c>
      <c r="K20478" s="16" t="n">
        <f aca="false">IF(AND(Assumptions!$P$66=1,OR(K20318&lt;Assumptions!$K$66,J20673=1)),MIN(MAX(0,-K20534),MAX(0,Assumptions!$D$66-K20471)),0)</f>
        <v>0</v>
      </c>
    </row>
    <row r="20479" customFormat="false" ht="15" hidden="false" customHeight="false" outlineLevel="0" collapsed="false">
      <c r="A20479" s="3" t="s">
        <v>336</v>
      </c>
      <c r="G20479" s="16" t="n">
        <f aca="false">G20472*MIN(G20471-G20477+G20476,MAX(0,G20536-Assumptions!$C$12*G20352-G20362-G20375-G20388-G20401-G20414-G20427-G20440-G20453-G20466))</f>
        <v>0</v>
      </c>
      <c r="H20479" s="16" t="n">
        <f aca="false">H20472*MIN(H20471-H20477+H20476,MAX(0,H20536-Assumptions!$C$12*H20352-H20362-H20375-H20388-H20401-H20414-H20427-H20440-H20453-H20466))</f>
        <v>0</v>
      </c>
      <c r="I20479" s="16" t="n">
        <f aca="false">I20472*MIN(I20471-I20477+I20476,MAX(0,I20536-Assumptions!$C$12*I20352-I20362-I20375-I20388-I20401-I20414-I20427-I20440-I20453-I20466))</f>
        <v>0</v>
      </c>
      <c r="J20479" s="16" t="n">
        <f aca="false">J20472*MIN(J20471-J20477+J20476,MAX(0,J20536-Assumptions!$C$12*J20352-J20362-J20375-J20388-J20401-J20414-J20427-J20440-J20453-J20466))</f>
        <v>0</v>
      </c>
      <c r="K20479" s="16" t="n">
        <f aca="false">K20472*MIN(K20471-K20477+K20476,MAX(0,K20536-Assumptions!$C$12*K20352-K20362-K20375-K20388-K20401-K20414-K20427-K20440-K20453-K20466))</f>
        <v>0</v>
      </c>
    </row>
    <row r="20480" customFormat="false" ht="15" hidden="false" customHeight="false" outlineLevel="0" collapsed="false">
      <c r="A20480" s="3" t="s">
        <v>337</v>
      </c>
      <c r="G20480" s="16" t="n">
        <f aca="false">Assumptions!$N$66*MIN(G20471+G20478+G20476-G20477-G20479,MAX(0,G20540-G20363-G20376-G20389-G20402-G20415-G20428-G20441-G20454-G20467))</f>
        <v>0</v>
      </c>
      <c r="H20480" s="16" t="n">
        <f aca="false">Assumptions!$N$66*MIN(H20471+H20478+H20476-H20477-H20479,MAX(0,H20540-H20363-H20376-H20389-H20402-H20415-H20428-H20441-H20454-H20467))</f>
        <v>0</v>
      </c>
      <c r="I20480" s="16" t="n">
        <f aca="false">Assumptions!$N$66*MIN(I20471+I20478+I20476-I20477-I20479,MAX(0,I20540-I20363-I20376-I20389-I20402-I20415-I20428-I20441-I20454-I20467))</f>
        <v>0</v>
      </c>
      <c r="J20480" s="16" t="n">
        <f aca="false">Assumptions!$N$66*MIN(J20471+J20478+J20476-J20477-J20479,MAX(0,J20540-J20363-J20376-J20389-J20402-J20415-J20428-J20441-J20454-J20467))</f>
        <v>0</v>
      </c>
      <c r="K20480" s="16" t="n">
        <f aca="false">Assumptions!$N$66*MIN(K20471+K20478+K20476-K20477-K20479,MAX(0,K20540-K20363-K20376-K20389-K20402-K20415-K20428-K20441-K20454-K20467))</f>
        <v>0</v>
      </c>
    </row>
    <row r="20481" customFormat="false" ht="15" hidden="false" customHeight="false" outlineLevel="0" collapsed="false">
      <c r="A20481" s="3" t="s">
        <v>338</v>
      </c>
      <c r="G20481" s="16" t="n">
        <f aca="false">G20472*(1-G20352)*(G20471-G20477+G20476-G20479)</f>
        <v>0</v>
      </c>
      <c r="H20481" s="16" t="n">
        <f aca="false">H20472*(1-H20352)*(H20471-H20477+H20476-H20479)</f>
        <v>0</v>
      </c>
      <c r="I20481" s="16" t="n">
        <f aca="false">I20472*(1-I20352)*(I20471-I20477+I20476-I20479)</f>
        <v>0</v>
      </c>
      <c r="J20481" s="16" t="n">
        <f aca="false">J20472*(1-J20352)*(J20471-J20477+J20476-J20479)</f>
        <v>0</v>
      </c>
      <c r="K20481" s="16" t="n">
        <f aca="false">K20472*(1-K20352)*(K20471-K20477+K20476-K20479)</f>
        <v>0</v>
      </c>
    </row>
    <row r="20482" customFormat="false" ht="15" hidden="false" customHeight="false" outlineLevel="0" collapsed="false">
      <c r="A20482" s="2" t="s">
        <v>339</v>
      </c>
      <c r="F20482" s="28" t="n">
        <f aca="false">Assumptions!$C$66</f>
        <v>78.61</v>
      </c>
      <c r="G20482" s="17" t="n">
        <f aca="false">G20471+G20478+G20476-G20477-G20479-G20480</f>
        <v>78.61</v>
      </c>
      <c r="H20482" s="17" t="n">
        <f aca="false">H20471+H20478+H20476-H20477-H20479-H20480</f>
        <v>78.61</v>
      </c>
      <c r="I20482" s="17" t="n">
        <f aca="false">I20471+I20478+I20476-I20477-I20479-I20480</f>
        <v>78.61</v>
      </c>
      <c r="J20482" s="17" t="n">
        <f aca="false">J20471+J20478+J20476-J20477-J20479-J20480</f>
        <v>78.61</v>
      </c>
      <c r="K20482" s="17" t="n">
        <f aca="false">K20471+K20478+K20476-K20477-K20479-K20480</f>
        <v>78.61</v>
      </c>
    </row>
    <row r="20483" customFormat="false" ht="15" hidden="false" customHeight="false" outlineLevel="0" collapsed="false">
      <c r="A20483" s="24" t="s">
        <v>349</v>
      </c>
      <c r="B20483" s="25"/>
      <c r="C20483" s="25"/>
      <c r="D20483" s="25"/>
      <c r="E20483" s="25"/>
      <c r="F20483" s="25"/>
      <c r="G20483" s="25"/>
      <c r="H20483" s="25"/>
      <c r="I20483" s="25"/>
      <c r="J20483" s="25"/>
      <c r="K20483" s="25"/>
    </row>
    <row r="20484" customFormat="false" ht="15" hidden="false" customHeight="false" outlineLevel="0" collapsed="false">
      <c r="A20484" s="2" t="s">
        <v>350</v>
      </c>
      <c r="F20484" s="17" t="n">
        <f aca="false">F20365+F20378+F20391+F20404+F20417+F20430+F20443+F20456+F20469+F20482</f>
        <v>2625.934</v>
      </c>
      <c r="G20484" s="17" t="n">
        <f aca="false">G20365+G20378+G20391+G20404+G20417+G20430+G20443+G20456+G20469+G20482</f>
        <v>2621.934</v>
      </c>
      <c r="H20484" s="17" t="n">
        <f aca="false">H20365+H20378+H20391+H20404+H20417+H20430+H20443+H20456+H20469+H20482</f>
        <v>2580.615151</v>
      </c>
      <c r="I20484" s="17" t="n">
        <f aca="false">I20365+I20378+I20391+I20404+I20417+I20430+I20443+I20456+I20469+I20482</f>
        <v>2576.615151</v>
      </c>
      <c r="J20484" s="17" t="n">
        <f aca="false">J20365+J20378+J20391+J20404+J20417+J20430+J20443+J20456+J20469+J20482</f>
        <v>2572.615151</v>
      </c>
      <c r="K20484" s="17" t="n">
        <f aca="false">K20365+K20378+K20391+K20404+K20417+K20430+K20443+K20456+K20469+K20482</f>
        <v>2568.615151</v>
      </c>
    </row>
    <row r="20485" customFormat="false" ht="15" hidden="false" customHeight="false" outlineLevel="0" collapsed="false">
      <c r="A20485" s="3" t="s">
        <v>351</v>
      </c>
      <c r="G20485" s="16" t="n">
        <f aca="false">G20355*Assumptions!$C$57+G20368*Assumptions!$C$58+G20381*Assumptions!$C$59+G20394*Assumptions!$C$60+G20407*Assumptions!$C$61+G20420*Assumptions!$C$62+G20433*Assumptions!$C$63+G20446*Assumptions!$C$64+G20459*Assumptions!$C$65+G20472*Assumptions!$C$66</f>
        <v>0</v>
      </c>
      <c r="H20485" s="16" t="n">
        <f aca="false">H20355*Assumptions!$C$57+H20368*Assumptions!$C$58+H20381*Assumptions!$C$59+H20394*Assumptions!$C$60+H20407*Assumptions!$C$61+H20420*Assumptions!$C$62+H20433*Assumptions!$C$63+H20446*Assumptions!$C$64+H20459*Assumptions!$C$65+H20472*Assumptions!$C$66</f>
        <v>800</v>
      </c>
      <c r="I20485" s="16" t="n">
        <f aca="false">I20355*Assumptions!$C$57+I20368*Assumptions!$C$58+I20381*Assumptions!$C$59+I20394*Assumptions!$C$60+I20407*Assumptions!$C$61+I20420*Assumptions!$C$62+I20433*Assumptions!$C$63+I20446*Assumptions!$C$64+I20459*Assumptions!$C$65+I20472*Assumptions!$C$66</f>
        <v>550</v>
      </c>
      <c r="J20485" s="16" t="n">
        <f aca="false">J20355*Assumptions!$C$57+J20368*Assumptions!$C$58+J20381*Assumptions!$C$59+J20394*Assumptions!$C$60+J20407*Assumptions!$C$61+J20420*Assumptions!$C$62+J20433*Assumptions!$C$63+J20446*Assumptions!$C$64+J20459*Assumptions!$C$65+J20472*Assumptions!$C$66</f>
        <v>350</v>
      </c>
      <c r="K20485" s="16" t="n">
        <f aca="false">K20355*Assumptions!$C$57+K20368*Assumptions!$C$58+K20381*Assumptions!$C$59+K20394*Assumptions!$C$60+K20407*Assumptions!$C$61+K20420*Assumptions!$C$62+K20433*Assumptions!$C$63+K20446*Assumptions!$C$64+K20459*Assumptions!$C$65+K20472*Assumptions!$C$66</f>
        <v>700</v>
      </c>
    </row>
    <row r="20486" customFormat="false" ht="15" hidden="false" customHeight="false" outlineLevel="0" collapsed="false">
      <c r="A20486" s="24" t="s">
        <v>352</v>
      </c>
      <c r="B20486" s="25"/>
      <c r="C20486" s="25"/>
      <c r="D20486" s="25"/>
      <c r="E20486" s="25"/>
      <c r="F20486" s="25"/>
      <c r="G20486" s="25"/>
      <c r="H20486" s="25"/>
      <c r="I20486" s="25"/>
      <c r="J20486" s="25"/>
      <c r="K20486" s="25"/>
    </row>
    <row r="20487" customFormat="false" ht="15" hidden="false" customHeight="false" outlineLevel="0" collapsed="false">
      <c r="A20487" s="3" t="s">
        <v>353</v>
      </c>
      <c r="C20487" s="16" t="n">
        <f aca="false">SUMPRODUCT($G$20355:$K$20355,$G$20354:$K$20354-$G$20360:$K$20360+$G$20359:$K$20359)</f>
        <v>380</v>
      </c>
    </row>
    <row r="20488" customFormat="false" ht="15" hidden="false" customHeight="false" outlineLevel="0" collapsed="false">
      <c r="A20488" s="3" t="s">
        <v>354</v>
      </c>
      <c r="C20488" s="16" t="n">
        <f aca="false">SUMPRODUCT($G$20355:$K$20355,$G$20362:$K$20362)</f>
        <v>0</v>
      </c>
    </row>
    <row r="20489" customFormat="false" ht="15" hidden="false" customHeight="false" outlineLevel="0" collapsed="false">
      <c r="A20489" s="3" t="s">
        <v>355</v>
      </c>
      <c r="C20489" s="3" t="str">
        <f aca="false">IF(SUM($G$20355:$K$20355)=0,"n/a (beyond horizon)",IF(SUMPRODUCT($G$20355:$K$20355,$G$20352:$K$20352)&gt;0,"REFINANCING PASS","REFINANCING FAILURE"))</f>
        <v>REFINANCING FAILURE</v>
      </c>
    </row>
    <row r="20490" customFormat="false" ht="15" hidden="false" customHeight="false" outlineLevel="0" collapsed="false">
      <c r="A20490" s="3" t="s">
        <v>356</v>
      </c>
      <c r="C20490" s="3" t="str">
        <f aca="false">IF(SUM($G$20355:$K$20355)=0,"n/a",IF(C20488&gt;=C20487-0.001,"Repaid from cash",IF(SUMPRODUCT($G$20355:$K$20355,$G$20352:$K$20352)&gt;0,IF(C20488&gt;0,"Partly repaid; remainder refinanced","Refinanced"),IF(SUM($G$20364:$K$20364)&gt;0.001,IF(C20488&gt;0,"Partial repayment; PAYMENT DEFAULT","PAYMENT DEFAULT"),"Repaid from cash"))))</f>
        <v>PAYMENT DEFAULT</v>
      </c>
    </row>
    <row r="20491" customFormat="false" ht="15" hidden="false" customHeight="false" outlineLevel="0" collapsed="false">
      <c r="A20491" s="3" t="s">
        <v>357</v>
      </c>
      <c r="C20491" s="16" t="n">
        <f aca="false">SUMPRODUCT($G$20368:$K$20368,$G$20367:$K$20367-$G$20373:$K$20373+$G$20372:$K$20372)</f>
        <v>0</v>
      </c>
    </row>
    <row r="20492" customFormat="false" ht="15" hidden="false" customHeight="false" outlineLevel="0" collapsed="false">
      <c r="A20492" s="3" t="s">
        <v>358</v>
      </c>
      <c r="C20492" s="16" t="n">
        <f aca="false">SUMPRODUCT($G$20368:$K$20368,$G$20375:$K$20375)</f>
        <v>0</v>
      </c>
    </row>
    <row r="20493" customFormat="false" ht="15" hidden="false" customHeight="false" outlineLevel="0" collapsed="false">
      <c r="A20493" s="3" t="s">
        <v>359</v>
      </c>
      <c r="C20493" s="3" t="str">
        <f aca="false">IF(SUM($G$20368:$K$20368)=0,"n/a (beyond horizon)",IF(SUMPRODUCT($G$20368:$K$20368,$G$20352:$K$20352)&gt;0,"REFINANCING PASS","REFINANCING FAILURE"))</f>
        <v>n/a (beyond horizon)</v>
      </c>
    </row>
    <row r="20494" customFormat="false" ht="15" hidden="false" customHeight="false" outlineLevel="0" collapsed="false">
      <c r="A20494" s="3" t="s">
        <v>360</v>
      </c>
      <c r="C20494" s="3" t="str">
        <f aca="false">IF(SUM($G$20368:$K$20368)=0,"n/a",IF(C20492&gt;=C20491-0.001,"Repaid from cash",IF(SUMPRODUCT($G$20368:$K$20368,$G$20352:$K$20352)&gt;0,IF(C20492&gt;0,"Partly repaid; remainder refinanced","Refinanced"),IF(SUM($G$20377:$K$20377)&gt;0.001,IF(C20492&gt;0,"Partial repayment; PAYMENT DEFAULT","PAYMENT DEFAULT"),"Repaid from cash"))))</f>
        <v>n/a</v>
      </c>
    </row>
    <row r="20495" customFormat="false" ht="15" hidden="false" customHeight="false" outlineLevel="0" collapsed="false">
      <c r="A20495" s="3" t="s">
        <v>361</v>
      </c>
      <c r="C20495" s="16" t="n">
        <f aca="false">SUMPRODUCT($G$20381:$K$20381,$G$20380:$K$20380-$G$20386:$K$20386+$G$20385:$K$20385)</f>
        <v>0</v>
      </c>
    </row>
    <row r="20496" customFormat="false" ht="15" hidden="false" customHeight="false" outlineLevel="0" collapsed="false">
      <c r="A20496" s="3" t="s">
        <v>362</v>
      </c>
      <c r="C20496" s="16" t="n">
        <f aca="false">SUMPRODUCT($G$20381:$K$20381,$G$20388:$K$20388)</f>
        <v>0</v>
      </c>
    </row>
    <row r="20497" customFormat="false" ht="15" hidden="false" customHeight="false" outlineLevel="0" collapsed="false">
      <c r="A20497" s="3" t="s">
        <v>363</v>
      </c>
      <c r="C20497" s="3" t="str">
        <f aca="false">IF(SUM($G$20381:$K$20381)=0,"n/a (beyond horizon)",IF(SUMPRODUCT($G$20381:$K$20381,$G$20352:$K$20352)&gt;0,"REFINANCING PASS","REFINANCING FAILURE"))</f>
        <v>n/a (beyond horizon)</v>
      </c>
    </row>
    <row r="20498" customFormat="false" ht="15" hidden="false" customHeight="false" outlineLevel="0" collapsed="false">
      <c r="A20498" s="3" t="s">
        <v>364</v>
      </c>
      <c r="C20498" s="3" t="str">
        <f aca="false">IF(SUM($G$20381:$K$20381)=0,"n/a",IF(C20496&gt;=C20495-0.001,"Repaid from cash",IF(SUMPRODUCT($G$20381:$K$20381,$G$20352:$K$20352)&gt;0,IF(C20496&gt;0,"Partly repaid; remainder refinanced","Refinanced"),IF(SUM($G$20390:$K$20390)&gt;0.001,IF(C20496&gt;0,"Partial repayment; PAYMENT DEFAULT","PAYMENT DEFAULT"),"Repaid from cash"))))</f>
        <v>n/a</v>
      </c>
    </row>
    <row r="20499" customFormat="false" ht="15" hidden="false" customHeight="false" outlineLevel="0" collapsed="false">
      <c r="A20499" s="3" t="s">
        <v>365</v>
      </c>
      <c r="C20499" s="16" t="n">
        <f aca="false">SUMPRODUCT($G$20394:$K$20394,$G$20393:$K$20393-$G$20399:$K$20399+$G$20398:$K$20398)</f>
        <v>0</v>
      </c>
    </row>
    <row r="20500" customFormat="false" ht="15" hidden="false" customHeight="false" outlineLevel="0" collapsed="false">
      <c r="A20500" s="3" t="s">
        <v>366</v>
      </c>
      <c r="C20500" s="16" t="n">
        <f aca="false">SUMPRODUCT($G$20394:$K$20394,$G$20401:$K$20401)</f>
        <v>0</v>
      </c>
    </row>
    <row r="20501" customFormat="false" ht="15" hidden="false" customHeight="false" outlineLevel="0" collapsed="false">
      <c r="A20501" s="3" t="s">
        <v>367</v>
      </c>
      <c r="C20501" s="3" t="str">
        <f aca="false">IF(SUM($G$20394:$K$20394)=0,"n/a (beyond horizon)",IF(SUMPRODUCT($G$20394:$K$20394,$G$20352:$K$20352)&gt;0,"REFINANCING PASS","REFINANCING FAILURE"))</f>
        <v>REFINANCING FAILURE</v>
      </c>
    </row>
    <row r="20502" customFormat="false" ht="15" hidden="false" customHeight="false" outlineLevel="0" collapsed="false">
      <c r="A20502" s="3" t="s">
        <v>368</v>
      </c>
      <c r="C20502" s="3" t="str">
        <f aca="false">IF(SUM($G$20394:$K$20394)=0,"n/a",IF(C20500&gt;=C20499-0.001,"Repaid from cash",IF(SUMPRODUCT($G$20394:$K$20394,$G$20352:$K$20352)&gt;0,IF(C20500&gt;0,"Partly repaid; remainder refinanced","Refinanced"),IF(SUM($G$20403:$K$20403)&gt;0.001,IF(C20500&gt;0,"Partial repayment; PAYMENT DEFAULT","PAYMENT DEFAULT"),"Repaid from cash"))))</f>
        <v>Repaid from cash</v>
      </c>
    </row>
    <row r="20503" customFormat="false" ht="15" hidden="false" customHeight="false" outlineLevel="0" collapsed="false">
      <c r="A20503" s="3" t="s">
        <v>369</v>
      </c>
      <c r="C20503" s="16" t="n">
        <f aca="false">SUMPRODUCT($G$20407:$K$20407,$G$20406:$K$20406-$G$20412:$K$20412+$G$20411:$K$20411)</f>
        <v>450</v>
      </c>
    </row>
    <row r="20504" customFormat="false" ht="15" hidden="false" customHeight="false" outlineLevel="0" collapsed="false">
      <c r="A20504" s="3" t="s">
        <v>370</v>
      </c>
      <c r="C20504" s="16" t="n">
        <f aca="false">SUMPRODUCT($G$20407:$K$20407,$G$20414:$K$20414)</f>
        <v>37.318849</v>
      </c>
    </row>
    <row r="20505" customFormat="false" ht="15" hidden="false" customHeight="false" outlineLevel="0" collapsed="false">
      <c r="A20505" s="3" t="s">
        <v>371</v>
      </c>
      <c r="C20505" s="3" t="str">
        <f aca="false">IF(SUM($G$20407:$K$20407)=0,"n/a (beyond horizon)",IF(SUMPRODUCT($G$20407:$K$20407,$G$20352:$K$20352)&gt;0,"REFINANCING PASS","REFINANCING FAILURE"))</f>
        <v>REFINANCING FAILURE</v>
      </c>
    </row>
    <row r="20506" customFormat="false" ht="15" hidden="false" customHeight="false" outlineLevel="0" collapsed="false">
      <c r="A20506" s="3" t="s">
        <v>372</v>
      </c>
      <c r="C20506" s="3" t="str">
        <f aca="false">IF(SUM($G$20407:$K$20407)=0,"n/a",IF(C20504&gt;=C20503-0.001,"Repaid from cash",IF(SUMPRODUCT($G$20407:$K$20407,$G$20352:$K$20352)&gt;0,IF(C20504&gt;0,"Partly repaid; remainder refinanced","Refinanced"),IF(SUM($G$20416:$K$20416)&gt;0.001,IF(C20504&gt;0,"Partial repayment; PAYMENT DEFAULT","PAYMENT DEFAULT"),"Repaid from cash"))))</f>
        <v>Partial repayment; PAYMENT DEFAULT</v>
      </c>
    </row>
    <row r="20507" customFormat="false" ht="15" hidden="false" customHeight="false" outlineLevel="0" collapsed="false">
      <c r="A20507" s="3" t="s">
        <v>373</v>
      </c>
      <c r="C20507" s="16" t="n">
        <f aca="false">SUMPRODUCT($G$20420:$K$20420,$G$20419:$K$20419-$G$20425:$K$20425+$G$20424:$K$20424)</f>
        <v>350</v>
      </c>
    </row>
    <row r="20508" customFormat="false" ht="15" hidden="false" customHeight="false" outlineLevel="0" collapsed="false">
      <c r="A20508" s="3" t="s">
        <v>374</v>
      </c>
      <c r="C20508" s="16" t="n">
        <f aca="false">SUMPRODUCT($G$20420:$K$20420,$G$20427:$K$20427)</f>
        <v>0</v>
      </c>
    </row>
    <row r="20509" customFormat="false" ht="15" hidden="false" customHeight="false" outlineLevel="0" collapsed="false">
      <c r="A20509" s="3" t="s">
        <v>375</v>
      </c>
      <c r="C20509" s="3" t="str">
        <f aca="false">IF(SUM($G$20420:$K$20420)=0,"n/a (beyond horizon)",IF(SUMPRODUCT($G$20420:$K$20420,$G$20352:$K$20352)&gt;0,"REFINANCING PASS","REFINANCING FAILURE"))</f>
        <v>REFINANCING FAILURE</v>
      </c>
    </row>
    <row r="20510" customFormat="false" ht="15" hidden="false" customHeight="false" outlineLevel="0" collapsed="false">
      <c r="A20510" s="3" t="s">
        <v>376</v>
      </c>
      <c r="C20510" s="3" t="str">
        <f aca="false">IF(SUM($G$20420:$K$20420)=0,"n/a",IF(C20508&gt;=C20507-0.001,"Repaid from cash",IF(SUMPRODUCT($G$20420:$K$20420,$G$20352:$K$20352)&gt;0,IF(C20508&gt;0,"Partly repaid; remainder refinanced","Refinanced"),IF(SUM($G$20429:$K$20429)&gt;0.001,IF(C20508&gt;0,"Partial repayment; PAYMENT DEFAULT","PAYMENT DEFAULT"),"Repaid from cash"))))</f>
        <v>PAYMENT DEFAULT</v>
      </c>
    </row>
    <row r="20511" customFormat="false" ht="15" hidden="false" customHeight="false" outlineLevel="0" collapsed="false">
      <c r="A20511" s="3" t="s">
        <v>377</v>
      </c>
      <c r="C20511" s="16" t="n">
        <f aca="false">SUMPRODUCT($G$20433:$K$20433,$G$20432:$K$20432-$G$20438:$K$20438+$G$20437:$K$20437)</f>
        <v>550</v>
      </c>
    </row>
    <row r="20512" customFormat="false" ht="15" hidden="false" customHeight="false" outlineLevel="0" collapsed="false">
      <c r="A20512" s="3" t="s">
        <v>378</v>
      </c>
      <c r="C20512" s="16" t="n">
        <f aca="false">SUMPRODUCT($G$20433:$K$20433,$G$20440:$K$20440)</f>
        <v>0</v>
      </c>
    </row>
    <row r="20513" customFormat="false" ht="15" hidden="false" customHeight="false" outlineLevel="0" collapsed="false">
      <c r="A20513" s="3" t="s">
        <v>379</v>
      </c>
      <c r="C20513" s="3" t="str">
        <f aca="false">IF(SUM($G$20433:$K$20433)=0,"n/a (beyond horizon)",IF(SUMPRODUCT($G$20433:$K$20433,$G$20352:$K$20352)&gt;0,"REFINANCING PASS","REFINANCING FAILURE"))</f>
        <v>REFINANCING FAILURE</v>
      </c>
    </row>
    <row r="20514" customFormat="false" ht="15" hidden="false" customHeight="false" outlineLevel="0" collapsed="false">
      <c r="A20514" s="3" t="s">
        <v>380</v>
      </c>
      <c r="C20514" s="3" t="str">
        <f aca="false">IF(SUM($G$20433:$K$20433)=0,"n/a",IF(C20512&gt;=C20511-0.001,"Repaid from cash",IF(SUMPRODUCT($G$20433:$K$20433,$G$20352:$K$20352)&gt;0,IF(C20512&gt;0,"Partly repaid; remainder refinanced","Refinanced"),IF(SUM($G$20442:$K$20442)&gt;0.001,IF(C20512&gt;0,"Partial repayment; PAYMENT DEFAULT","PAYMENT DEFAULT"),"Repaid from cash"))))</f>
        <v>PAYMENT DEFAULT</v>
      </c>
    </row>
    <row r="20515" customFormat="false" ht="15" hidden="false" customHeight="false" outlineLevel="0" collapsed="false">
      <c r="A20515" s="3" t="s">
        <v>381</v>
      </c>
      <c r="C20515" s="16" t="n">
        <f aca="false">SUMPRODUCT($G$20446:$K$20446,$G$20445:$K$20445-$G$20451:$K$20451+$G$20450:$K$20450)</f>
        <v>350</v>
      </c>
    </row>
    <row r="20516" customFormat="false" ht="15" hidden="false" customHeight="false" outlineLevel="0" collapsed="false">
      <c r="A20516" s="3" t="s">
        <v>382</v>
      </c>
      <c r="C20516" s="16" t="n">
        <f aca="false">SUMPRODUCT($G$20446:$K$20446,$G$20453:$K$20453)</f>
        <v>0</v>
      </c>
    </row>
    <row r="20517" customFormat="false" ht="15" hidden="false" customHeight="false" outlineLevel="0" collapsed="false">
      <c r="A20517" s="3" t="s">
        <v>383</v>
      </c>
      <c r="C20517" s="3" t="str">
        <f aca="false">IF(SUM($G$20446:$K$20446)=0,"n/a (beyond horizon)",IF(SUMPRODUCT($G$20446:$K$20446,$G$20352:$K$20352)&gt;0,"REFINANCING PASS","REFINANCING FAILURE"))</f>
        <v>REFINANCING FAILURE</v>
      </c>
    </row>
    <row r="20518" customFormat="false" ht="15" hidden="false" customHeight="false" outlineLevel="0" collapsed="false">
      <c r="A20518" s="3" t="s">
        <v>384</v>
      </c>
      <c r="C20518" s="3" t="str">
        <f aca="false">IF(SUM($G$20446:$K$20446)=0,"n/a",IF(C20516&gt;=C20515-0.001,"Repaid from cash",IF(SUMPRODUCT($G$20446:$K$20446,$G$20352:$K$20352)&gt;0,IF(C20516&gt;0,"Partly repaid; remainder refinanced","Refinanced"),IF(SUM($G$20455:$K$20455)&gt;0.001,IF(C20516&gt;0,"Partial repayment; PAYMENT DEFAULT","PAYMENT DEFAULT"),"Repaid from cash"))))</f>
        <v>PAYMENT DEFAULT</v>
      </c>
    </row>
    <row r="20519" customFormat="false" ht="15" hidden="false" customHeight="false" outlineLevel="0" collapsed="false">
      <c r="A20519" s="3" t="s">
        <v>385</v>
      </c>
      <c r="C20519" s="16" t="n">
        <f aca="false">SUMPRODUCT($G$20459:$K$20459,$G$20458:$K$20458-$G$20464:$K$20464+$G$20463:$K$20463)</f>
        <v>300</v>
      </c>
    </row>
    <row r="20520" customFormat="false" ht="15" hidden="false" customHeight="false" outlineLevel="0" collapsed="false">
      <c r="A20520" s="3" t="s">
        <v>386</v>
      </c>
      <c r="C20520" s="16" t="n">
        <f aca="false">SUMPRODUCT($G$20459:$K$20459,$G$20466:$K$20466)</f>
        <v>0</v>
      </c>
    </row>
    <row r="20521" customFormat="false" ht="15" hidden="false" customHeight="false" outlineLevel="0" collapsed="false">
      <c r="A20521" s="3" t="s">
        <v>387</v>
      </c>
      <c r="C20521" s="3" t="str">
        <f aca="false">IF(SUM($G$20459:$K$20459)=0,"n/a (beyond horizon)",IF(SUMPRODUCT($G$20459:$K$20459,$G$20352:$K$20352)&gt;0,"REFINANCING PASS","REFINANCING FAILURE"))</f>
        <v>REFINANCING FAILURE</v>
      </c>
    </row>
    <row r="20522" customFormat="false" ht="15" hidden="false" customHeight="false" outlineLevel="0" collapsed="false">
      <c r="A20522" s="3" t="s">
        <v>388</v>
      </c>
      <c r="C20522" s="3" t="str">
        <f aca="false">IF(SUM($G$20459:$K$20459)=0,"n/a",IF(C20520&gt;=C20519-0.001,"Repaid from cash",IF(SUMPRODUCT($G$20459:$K$20459,$G$20352:$K$20352)&gt;0,IF(C20520&gt;0,"Partly repaid; remainder refinanced","Refinanced"),IF(SUM($G$20468:$K$20468)&gt;0.001,IF(C20520&gt;0,"Partial repayment; PAYMENT DEFAULT","PAYMENT DEFAULT"),"Repaid from cash"))))</f>
        <v>PAYMENT DEFAULT</v>
      </c>
    </row>
    <row r="20523" customFormat="false" ht="15" hidden="false" customHeight="false" outlineLevel="0" collapsed="false">
      <c r="A20523" s="3" t="s">
        <v>389</v>
      </c>
      <c r="C20523" s="16" t="n">
        <f aca="false">SUMPRODUCT($G$20472:$K$20472,$G$20471:$K$20471-$G$20477:$K$20477+$G$20476:$K$20476)</f>
        <v>0</v>
      </c>
    </row>
    <row r="20524" customFormat="false" ht="15" hidden="false" customHeight="false" outlineLevel="0" collapsed="false">
      <c r="A20524" s="3" t="s">
        <v>390</v>
      </c>
      <c r="C20524" s="16" t="n">
        <f aca="false">SUMPRODUCT($G$20472:$K$20472,$G$20479:$K$20479)</f>
        <v>0</v>
      </c>
    </row>
    <row r="20525" customFormat="false" ht="15" hidden="false" customHeight="false" outlineLevel="0" collapsed="false">
      <c r="A20525" s="3" t="s">
        <v>391</v>
      </c>
      <c r="C20525" s="3" t="str">
        <f aca="false">IF(SUM($G$20472:$K$20472)=0,"n/a (beyond horizon)",IF(SUMPRODUCT($G$20472:$K$20472,$G$20352:$K$20352)&gt;0,"REFINANCING PASS","REFINANCING FAILURE"))</f>
        <v>n/a (beyond horizon)</v>
      </c>
    </row>
    <row r="20526" customFormat="false" ht="15" hidden="false" customHeight="false" outlineLevel="0" collapsed="false">
      <c r="A20526" s="3" t="s">
        <v>392</v>
      </c>
      <c r="C20526" s="3" t="str">
        <f aca="false">IF(SUM($G$20472:$K$20472)=0,"n/a",IF(C20524&gt;=C20523-0.001,"Repaid from cash",IF(SUMPRODUCT($G$20472:$K$20472,$G$20352:$K$20352)&gt;0,IF(C20524&gt;0,"Partly repaid; remainder refinanced","Refinanced"),IF(SUM($G$20481:$K$20481)&gt;0.001,IF(C20524&gt;0,"Partial repayment; PAYMENT DEFAULT","PAYMENT DEFAULT"),"Repaid from cash"))))</f>
        <v>n/a</v>
      </c>
    </row>
    <row r="20527" customFormat="false" ht="15" hidden="false" customHeight="false" outlineLevel="0" collapsed="false">
      <c r="A20527" s="3" t="s">
        <v>393</v>
      </c>
      <c r="C20527" s="21" t="n">
        <f aca="false">IF(C20489="REFINANCING FAILURE",1,0)+IF(C20493="REFINANCING FAILURE",1,0)+IF(C20497="REFINANCING FAILURE",1,0)+IF(C20501="REFINANCING FAILURE",1,0)+IF(C20505="REFINANCING FAILURE",1,0)+IF(C20509="REFINANCING FAILURE",1,0)+IF(C20513="REFINANCING FAILURE",1,0)+IF(C20517="REFINANCING FAILURE",1,0)+IF(C20521="REFINANCING FAILURE",1,0)+IF(C20525="REFINANCING FAILURE",1,0)</f>
        <v>7</v>
      </c>
    </row>
    <row r="20529" customFormat="false" ht="15" hidden="false" customHeight="false" outlineLevel="0" collapsed="false">
      <c r="A20529" s="24" t="s">
        <v>395</v>
      </c>
      <c r="B20529" s="25"/>
      <c r="C20529" s="25"/>
      <c r="D20529" s="25"/>
      <c r="E20529" s="25"/>
      <c r="F20529" s="25"/>
      <c r="G20529" s="25"/>
      <c r="H20529" s="25"/>
      <c r="I20529" s="25"/>
      <c r="J20529" s="25"/>
      <c r="K20529" s="25"/>
    </row>
    <row r="20530" customFormat="false" ht="15" hidden="false" customHeight="false" outlineLevel="0" collapsed="false">
      <c r="A20530" s="3" t="s">
        <v>325</v>
      </c>
      <c r="G20530" s="16" t="n">
        <f aca="false">F20542</f>
        <v>37.87</v>
      </c>
      <c r="H20530" s="16" t="n">
        <f aca="false">G20542</f>
        <v>95.5162431</v>
      </c>
      <c r="I20530" s="16" t="n">
        <f aca="false">H20542</f>
        <v>0</v>
      </c>
      <c r="J20530" s="16" t="n">
        <f aca="false">I20542</f>
        <v>-54.6492565356</v>
      </c>
      <c r="K20530" s="16" t="n">
        <f aca="false">J20542</f>
        <v>-99.3647710828</v>
      </c>
    </row>
    <row r="20531" customFormat="false" ht="15" hidden="false" customHeight="false" outlineLevel="0" collapsed="false">
      <c r="A20531" s="3" t="s">
        <v>396</v>
      </c>
      <c r="G20531" s="16" t="n">
        <f aca="false">G20341</f>
        <v>-38.3537569</v>
      </c>
      <c r="H20531" s="16" t="n">
        <f aca="false">H20341</f>
        <v>-54.1973941</v>
      </c>
      <c r="I20531" s="16" t="n">
        <f aca="false">I20341</f>
        <v>-50.6492565356</v>
      </c>
      <c r="J20531" s="16" t="n">
        <f aca="false">J20341</f>
        <v>-40.7155145472</v>
      </c>
      <c r="K20531" s="16" t="n">
        <f aca="false">K20341</f>
        <v>-26.0357059516174</v>
      </c>
    </row>
    <row r="20532" customFormat="false" ht="15" hidden="false" customHeight="false" outlineLevel="0" collapsed="false">
      <c r="A20532" s="3" t="s">
        <v>397</v>
      </c>
      <c r="G20532" s="16" t="n">
        <f aca="false">CHOOSE($C$20311,Assumptions!$G$82,Assumptions!$G$101,Assumptions!$G$120)</f>
        <v>100</v>
      </c>
      <c r="H20532" s="16" t="n">
        <f aca="false">CHOOSE($C$20311,Assumptions!$H$82,Assumptions!$H$101,Assumptions!$H$120)</f>
        <v>0</v>
      </c>
      <c r="I20532" s="16" t="n">
        <f aca="false">CHOOSE($C$20311,Assumptions!$I$82,Assumptions!$I$101,Assumptions!$I$120)</f>
        <v>0</v>
      </c>
      <c r="J20532" s="16" t="n">
        <f aca="false">CHOOSE($C$20311,Assumptions!$J$82,Assumptions!$J$101,Assumptions!$J$120)</f>
        <v>0</v>
      </c>
      <c r="K20532" s="16" t="n">
        <f aca="false">CHOOSE($C$20311,Assumptions!$K$82,Assumptions!$K$101,Assumptions!$K$120)</f>
        <v>0</v>
      </c>
    </row>
    <row r="20533" customFormat="false" ht="15" hidden="false" customHeight="false" outlineLevel="0" collapsed="false">
      <c r="A20533" s="3" t="s">
        <v>398</v>
      </c>
      <c r="G20533" s="16" t="n">
        <f aca="false">G20360+G20373+G20386+G20399+G20412+G20425+G20438+G20451+G20464+G20477</f>
        <v>4</v>
      </c>
      <c r="H20533" s="16" t="n">
        <f aca="false">H20360+H20373+H20386+H20399+H20412+H20425+H20438+H20451+H20464+H20477</f>
        <v>4</v>
      </c>
      <c r="I20533" s="16" t="n">
        <f aca="false">I20360+I20373+I20386+I20399+I20412+I20425+I20438+I20451+I20464+I20477</f>
        <v>4</v>
      </c>
      <c r="J20533" s="16" t="n">
        <f aca="false">J20360+J20373+J20386+J20399+J20412+J20425+J20438+J20451+J20464+J20477</f>
        <v>4</v>
      </c>
      <c r="K20533" s="16" t="n">
        <f aca="false">K20360+K20373+K20386+K20399+K20412+K20425+K20438+K20451+K20464+K20477</f>
        <v>4</v>
      </c>
    </row>
    <row r="20534" customFormat="false" ht="15" hidden="false" customHeight="false" outlineLevel="0" collapsed="false">
      <c r="A20534" s="2" t="s">
        <v>399</v>
      </c>
      <c r="G20534" s="17" t="n">
        <f aca="false">G20530+G20531+G20532-G20533</f>
        <v>95.5162431</v>
      </c>
      <c r="H20534" s="17" t="n">
        <f aca="false">H20530+H20531+H20532-H20533</f>
        <v>37.318849</v>
      </c>
      <c r="I20534" s="17" t="n">
        <f aca="false">I20530+I20531+I20532-I20533</f>
        <v>-54.6492565356</v>
      </c>
      <c r="J20534" s="17" t="n">
        <f aca="false">J20530+J20531+J20532-J20533</f>
        <v>-99.3647710828</v>
      </c>
      <c r="K20534" s="17" t="n">
        <f aca="false">K20530+K20531+K20532-K20533</f>
        <v>-129.400477034417</v>
      </c>
    </row>
    <row r="20535" customFormat="false" ht="15" hidden="false" customHeight="false" outlineLevel="0" collapsed="false">
      <c r="A20535" s="3" t="s">
        <v>400</v>
      </c>
      <c r="G20535" s="16" t="n">
        <f aca="false">G20361+G20374+G20387+G20400+G20413+G20426+G20439+G20452+G20465+G20478</f>
        <v>0</v>
      </c>
      <c r="H20535" s="16" t="n">
        <f aca="false">H20361+H20374+H20387+H20400+H20413+H20426+H20439+H20452+H20465+H20478</f>
        <v>0</v>
      </c>
      <c r="I20535" s="16" t="n">
        <f aca="false">I20361+I20374+I20387+I20400+I20413+I20426+I20439+I20452+I20465+I20478</f>
        <v>0</v>
      </c>
      <c r="J20535" s="16" t="n">
        <f aca="false">J20361+J20374+J20387+J20400+J20413+J20426+J20439+J20452+J20465+J20478</f>
        <v>0</v>
      </c>
      <c r="K20535" s="16" t="n">
        <f aca="false">K20361+K20374+K20387+K20400+K20413+K20426+K20439+K20452+K20465+K20478</f>
        <v>0</v>
      </c>
    </row>
    <row r="20536" customFormat="false" ht="15" hidden="false" customHeight="false" outlineLevel="0" collapsed="false">
      <c r="A20536" s="2" t="s">
        <v>401</v>
      </c>
      <c r="G20536" s="17" t="n">
        <f aca="false">G20534+G20535</f>
        <v>95.5162431</v>
      </c>
      <c r="H20536" s="17" t="n">
        <f aca="false">H20534+H20535</f>
        <v>37.318849</v>
      </c>
      <c r="I20536" s="17" t="n">
        <f aca="false">I20534+I20535</f>
        <v>-54.6492565356</v>
      </c>
      <c r="J20536" s="17" t="n">
        <f aca="false">J20534+J20535</f>
        <v>-99.3647710828</v>
      </c>
      <c r="K20536" s="17" t="n">
        <f aca="false">K20534+K20535</f>
        <v>-129.400477034417</v>
      </c>
    </row>
    <row r="20537" customFormat="false" ht="15" hidden="false" customHeight="false" outlineLevel="0" collapsed="false">
      <c r="A20537" s="3" t="s">
        <v>402</v>
      </c>
      <c r="G20537" s="16" t="n">
        <f aca="false">G20362+G20375+G20388+G20401+G20414+G20427+G20440+G20453+G20466+G20479</f>
        <v>0</v>
      </c>
      <c r="H20537" s="16" t="n">
        <f aca="false">H20362+H20375+H20388+H20401+H20414+H20427+H20440+H20453+H20466+H20479</f>
        <v>37.318849</v>
      </c>
      <c r="I20537" s="16" t="n">
        <f aca="false">I20362+I20375+I20388+I20401+I20414+I20427+I20440+I20453+I20466+I20479</f>
        <v>0</v>
      </c>
      <c r="J20537" s="16" t="n">
        <f aca="false">J20362+J20375+J20388+J20401+J20414+J20427+J20440+J20453+J20466+J20479</f>
        <v>0</v>
      </c>
      <c r="K20537" s="16" t="n">
        <f aca="false">K20362+K20375+K20388+K20401+K20414+K20427+K20440+K20453+K20466+K20479</f>
        <v>0</v>
      </c>
    </row>
    <row r="20538" customFormat="false" ht="15" hidden="false" customHeight="false" outlineLevel="0" collapsed="false">
      <c r="A20538" s="2" t="s">
        <v>403</v>
      </c>
      <c r="G20538" s="17" t="n">
        <f aca="false">G20536-G20537</f>
        <v>95.5162431</v>
      </c>
      <c r="H20538" s="17" t="n">
        <f aca="false">H20536-H20537</f>
        <v>0</v>
      </c>
      <c r="I20538" s="17" t="n">
        <f aca="false">I20536-I20537</f>
        <v>-54.6492565356</v>
      </c>
      <c r="J20538" s="17" t="n">
        <f aca="false">J20536-J20537</f>
        <v>-99.3647710828</v>
      </c>
      <c r="K20538" s="17" t="n">
        <f aca="false">K20536-K20537</f>
        <v>-129.400477034417</v>
      </c>
    </row>
    <row r="20539" customFormat="false" ht="15" hidden="false" customHeight="false" outlineLevel="0" collapsed="false">
      <c r="A20539" s="3" t="s">
        <v>404</v>
      </c>
      <c r="G20539" s="16" t="n">
        <f aca="false">MAX(0,-G20538)</f>
        <v>0</v>
      </c>
      <c r="H20539" s="16" t="n">
        <f aca="false">MAX(0,-H20538)</f>
        <v>-0</v>
      </c>
      <c r="I20539" s="16" t="n">
        <f aca="false">MAX(0,-I20538)</f>
        <v>54.6492565356</v>
      </c>
      <c r="J20539" s="16" t="n">
        <f aca="false">MAX(0,-J20538)</f>
        <v>99.3647710828</v>
      </c>
      <c r="K20539" s="16" t="n">
        <f aca="false">MAX(0,-K20538)</f>
        <v>129.400477034417</v>
      </c>
    </row>
    <row r="20540" customFormat="false" ht="15" hidden="false" customHeight="false" outlineLevel="0" collapsed="false">
      <c r="A20540" s="3" t="s">
        <v>405</v>
      </c>
      <c r="G20540" s="16" t="n">
        <f aca="false">MAX(0,G20538-Assumptions!$C$12)*Assumptions!$C$13</f>
        <v>0</v>
      </c>
      <c r="H20540" s="16" t="n">
        <f aca="false">MAX(0,H20538-Assumptions!$C$12)*Assumptions!$C$13</f>
        <v>0</v>
      </c>
      <c r="I20540" s="16" t="n">
        <f aca="false">MAX(0,I20538-Assumptions!$C$12)*Assumptions!$C$13</f>
        <v>0</v>
      </c>
      <c r="J20540" s="16" t="n">
        <f aca="false">MAX(0,J20538-Assumptions!$C$12)*Assumptions!$C$13</f>
        <v>0</v>
      </c>
      <c r="K20540" s="16" t="n">
        <f aca="false">MAX(0,K20538-Assumptions!$C$12)*Assumptions!$C$13</f>
        <v>0</v>
      </c>
    </row>
    <row r="20541" customFormat="false" ht="15" hidden="false" customHeight="false" outlineLevel="0" collapsed="false">
      <c r="A20541" s="3" t="s">
        <v>406</v>
      </c>
      <c r="G20541" s="16" t="n">
        <f aca="false">G20363+G20376+G20389+G20402+G20415+G20428+G20441+G20454+G20467+G20480</f>
        <v>0</v>
      </c>
      <c r="H20541" s="16" t="n">
        <f aca="false">H20363+H20376+H20389+H20402+H20415+H20428+H20441+H20454+H20467+H20480</f>
        <v>0</v>
      </c>
      <c r="I20541" s="16" t="n">
        <f aca="false">I20363+I20376+I20389+I20402+I20415+I20428+I20441+I20454+I20467+I20480</f>
        <v>0</v>
      </c>
      <c r="J20541" s="16" t="n">
        <f aca="false">J20363+J20376+J20389+J20402+J20415+J20428+J20441+J20454+J20467+J20480</f>
        <v>0</v>
      </c>
      <c r="K20541" s="16" t="n">
        <f aca="false">K20363+K20376+K20389+K20402+K20415+K20428+K20441+K20454+K20467+K20480</f>
        <v>0</v>
      </c>
    </row>
    <row r="20542" customFormat="false" ht="15" hidden="false" customHeight="false" outlineLevel="0" collapsed="false">
      <c r="A20542" s="2" t="s">
        <v>407</v>
      </c>
      <c r="F20542" s="28" t="n">
        <f aca="false">Assumptions!$C$11</f>
        <v>37.87</v>
      </c>
      <c r="G20542" s="17" t="n">
        <f aca="false">G20538-G20541</f>
        <v>95.5162431</v>
      </c>
      <c r="H20542" s="17" t="n">
        <f aca="false">H20538-H20541</f>
        <v>0</v>
      </c>
      <c r="I20542" s="17" t="n">
        <f aca="false">I20538-I20541</f>
        <v>-54.6492565356</v>
      </c>
      <c r="J20542" s="17" t="n">
        <f aca="false">J20538-J20541</f>
        <v>-99.3647710828</v>
      </c>
      <c r="K20542" s="17" t="n">
        <f aca="false">K20538-K20541</f>
        <v>-129.400477034417</v>
      </c>
    </row>
    <row r="20543" customFormat="false" ht="15" hidden="false" customHeight="false" outlineLevel="0" collapsed="false">
      <c r="A20543" s="3" t="s">
        <v>408</v>
      </c>
      <c r="G20543" s="16" t="n">
        <f aca="false">G20364+G20377+G20390+G20403+G20416+G20429+G20442+G20455+G20468+G20481</f>
        <v>0</v>
      </c>
      <c r="H20543" s="16" t="n">
        <f aca="false">H20364+H20377+H20390+H20403+H20416+H20429+H20442+H20455+H20468+H20481</f>
        <v>762.681151</v>
      </c>
      <c r="I20543" s="16" t="n">
        <f aca="false">I20364+I20377+I20390+I20403+I20416+I20429+I20442+I20455+I20468+I20481</f>
        <v>550</v>
      </c>
      <c r="J20543" s="16" t="n">
        <f aca="false">J20364+J20377+J20390+J20403+J20416+J20429+J20442+J20455+J20468+J20481</f>
        <v>350</v>
      </c>
      <c r="K20543" s="16" t="n">
        <f aca="false">K20364+K20377+K20390+K20403+K20416+K20429+K20442+K20455+K20468+K20481</f>
        <v>680</v>
      </c>
    </row>
    <row r="20544" customFormat="false" ht="15" hidden="false" customHeight="false" outlineLevel="0" collapsed="false">
      <c r="A20544" s="3" t="s">
        <v>409</v>
      </c>
      <c r="G20544" s="21" t="n">
        <f aca="false">IF(OR(G20539&gt;0.001,G20543&gt;0.001),1,0)</f>
        <v>0</v>
      </c>
      <c r="H20544" s="21" t="n">
        <f aca="false">IF(OR(H20539&gt;0.001,H20543&gt;0.001),1,0)</f>
        <v>1</v>
      </c>
      <c r="I20544" s="21" t="n">
        <f aca="false">IF(OR(I20539&gt;0.001,I20543&gt;0.001),1,0)</f>
        <v>1</v>
      </c>
      <c r="J20544" s="21" t="n">
        <f aca="false">IF(OR(J20539&gt;0.001,J20543&gt;0.001),1,0)</f>
        <v>1</v>
      </c>
      <c r="K20544" s="21" t="n">
        <f aca="false">IF(OR(K20539&gt;0.001,K20543&gt;0.001),1,0)</f>
        <v>1</v>
      </c>
    </row>
    <row r="20545" customFormat="false" ht="15" hidden="false" customHeight="false" outlineLevel="0" collapsed="false">
      <c r="A20545" s="3" t="s">
        <v>410</v>
      </c>
      <c r="G20545" s="21" t="n">
        <f aca="false">IF(G20544=1,1,0)</f>
        <v>0</v>
      </c>
      <c r="H20545" s="21" t="n">
        <f aca="false">IF(AND(H20544=1,SUM($G$20544:G20544)=0),1,0)</f>
        <v>1</v>
      </c>
      <c r="I20545" s="21" t="n">
        <f aca="false">IF(AND(I20544=1,SUM($G$20544:H20544)=0),1,0)</f>
        <v>0</v>
      </c>
      <c r="J20545" s="21" t="n">
        <f aca="false">IF(AND(J20544=1,SUM($G$20544:I20544)=0),1,0)</f>
        <v>0</v>
      </c>
      <c r="K20545" s="21" t="n">
        <f aca="false">IF(AND(K20544=1,SUM($G$20544:J20544)=0),1,0)</f>
        <v>0</v>
      </c>
    </row>
    <row r="20546" customFormat="false" ht="15" hidden="false" customHeight="false" outlineLevel="0" collapsed="false">
      <c r="A20546" s="3" t="s">
        <v>411</v>
      </c>
      <c r="G20546" s="16" t="n">
        <f aca="false">(G20484-F20484)-(G20535+G20333-G20533-G20537-G20541)</f>
        <v>0</v>
      </c>
      <c r="H20546" s="16" t="n">
        <f aca="false">(H20484-G20484)-(H20535+H20333-H20533-H20537-H20541)</f>
        <v>-2.20268248085631E-013</v>
      </c>
      <c r="I20546" s="16" t="n">
        <f aca="false">(I20484-H20484)-(I20535+I20333-I20533-I20537-I20541)</f>
        <v>0</v>
      </c>
      <c r="J20546" s="16" t="n">
        <f aca="false">(J20484-I20484)-(J20535+J20333-J20533-J20537-J20541)</f>
        <v>0</v>
      </c>
      <c r="K20546" s="16" t="n">
        <f aca="false">(K20484-J20484)-(K20535+K20333-K20533-K20537-K20541)</f>
        <v>0</v>
      </c>
    </row>
    <row r="20548" customFormat="false" ht="15" hidden="false" customHeight="false" outlineLevel="0" collapsed="false">
      <c r="A20548" s="24" t="s">
        <v>413</v>
      </c>
      <c r="B20548" s="25"/>
      <c r="C20548" s="25"/>
      <c r="D20548" s="25"/>
      <c r="E20548" s="25"/>
      <c r="F20548" s="25"/>
      <c r="G20548" s="25"/>
      <c r="H20548" s="25"/>
      <c r="I20548" s="25"/>
      <c r="J20548" s="25"/>
      <c r="K20548" s="25"/>
    </row>
    <row r="20549" customFormat="false" ht="15" hidden="false" customHeight="false" outlineLevel="0" collapsed="false">
      <c r="A20549" s="3" t="s">
        <v>414</v>
      </c>
      <c r="G20549" s="16" t="n">
        <f aca="false">G20484</f>
        <v>2621.934</v>
      </c>
      <c r="H20549" s="16" t="n">
        <f aca="false">H20484</f>
        <v>2580.615151</v>
      </c>
      <c r="I20549" s="16" t="n">
        <f aca="false">I20484</f>
        <v>2576.615151</v>
      </c>
      <c r="J20549" s="16" t="n">
        <f aca="false">J20484</f>
        <v>2572.615151</v>
      </c>
      <c r="K20549" s="16" t="n">
        <f aca="false">K20484</f>
        <v>2568.615151</v>
      </c>
    </row>
    <row r="20550" customFormat="false" ht="15" hidden="false" customHeight="false" outlineLevel="0" collapsed="false">
      <c r="A20550" s="3" t="s">
        <v>415</v>
      </c>
      <c r="G20550" s="16" t="n">
        <f aca="false">Assumptions!$O$57*G20365+Assumptions!$O$58*G20378+Assumptions!$O$59*G20391+Assumptions!$O$60*G20404+Assumptions!$O$61*G20417+Assumptions!$O$62*G20430+Assumptions!$O$63*G20443+Assumptions!$O$64*G20456+Assumptions!$O$65*G20469+Assumptions!$O$66*G20482</f>
        <v>543.324</v>
      </c>
      <c r="H20550" s="16" t="n">
        <f aca="false">Assumptions!$O$57*H20365+Assumptions!$O$58*H20378+Assumptions!$O$59*H20391+Assumptions!$O$60*H20404+Assumptions!$O$61*H20417+Assumptions!$O$62*H20430+Assumptions!$O$63*H20443+Assumptions!$O$64*H20456+Assumptions!$O$65*H20469+Assumptions!$O$66*H20482</f>
        <v>539.324</v>
      </c>
      <c r="I20550" s="16" t="n">
        <f aca="false">Assumptions!$O$57*I20365+Assumptions!$O$58*I20378+Assumptions!$O$59*I20391+Assumptions!$O$60*I20404+Assumptions!$O$61*I20417+Assumptions!$O$62*I20430+Assumptions!$O$63*I20443+Assumptions!$O$64*I20456+Assumptions!$O$65*I20469+Assumptions!$O$66*I20482</f>
        <v>535.324</v>
      </c>
      <c r="J20550" s="16" t="n">
        <f aca="false">Assumptions!$O$57*J20365+Assumptions!$O$58*J20378+Assumptions!$O$59*J20391+Assumptions!$O$60*J20404+Assumptions!$O$61*J20417+Assumptions!$O$62*J20430+Assumptions!$O$63*J20443+Assumptions!$O$64*J20456+Assumptions!$O$65*J20469+Assumptions!$O$66*J20482</f>
        <v>531.324</v>
      </c>
      <c r="K20550" s="16" t="n">
        <f aca="false">Assumptions!$O$57*K20365+Assumptions!$O$58*K20378+Assumptions!$O$59*K20391+Assumptions!$O$60*K20404+Assumptions!$O$61*K20417+Assumptions!$O$62*K20430+Assumptions!$O$63*K20443+Assumptions!$O$64*K20456+Assumptions!$O$65*K20469+Assumptions!$O$66*K20482</f>
        <v>527.324</v>
      </c>
    </row>
    <row r="20551" customFormat="false" ht="15" hidden="false" customHeight="false" outlineLevel="0" collapsed="false">
      <c r="A20551" s="3" t="s">
        <v>416</v>
      </c>
      <c r="G20551" s="16" t="n">
        <f aca="false">G20549-G20542</f>
        <v>2526.4177569</v>
      </c>
      <c r="H20551" s="16" t="n">
        <f aca="false">H20549-H20542</f>
        <v>2580.615151</v>
      </c>
      <c r="I20551" s="16" t="n">
        <f aca="false">I20549-I20542</f>
        <v>2631.2644075356</v>
      </c>
      <c r="J20551" s="16" t="n">
        <f aca="false">J20549-J20542</f>
        <v>2671.9799220828</v>
      </c>
      <c r="K20551" s="16" t="n">
        <f aca="false">K20549-K20542</f>
        <v>2698.01562803442</v>
      </c>
    </row>
    <row r="20552" customFormat="false" ht="15" hidden="false" customHeight="false" outlineLevel="0" collapsed="false">
      <c r="A20552" s="3" t="s">
        <v>417</v>
      </c>
      <c r="G20552" s="32" t="n">
        <f aca="false">IF(G20328&gt;0,G20549/G20328,0)</f>
        <v>12.0408535780332</v>
      </c>
      <c r="H20552" s="32" t="n">
        <f aca="false">IF(H20328&gt;0,H20549/H20328,0)</f>
        <v>12.9366569859969</v>
      </c>
      <c r="I20552" s="32" t="n">
        <f aca="false">IF(I20328&gt;0,I20549/I20328,0)</f>
        <v>12.8123186201336</v>
      </c>
      <c r="J20552" s="32" t="n">
        <f aca="false">IF(J20328&gt;0,J20549/J20328,0)</f>
        <v>12.0415993305044</v>
      </c>
      <c r="K20552" s="32" t="n">
        <f aca="false">IF(K20328&gt;0,K20549/K20328,0)</f>
        <v>11.0845560358749</v>
      </c>
    </row>
    <row r="20553" customFormat="false" ht="15" hidden="false" customHeight="false" outlineLevel="0" collapsed="false">
      <c r="A20553" s="3" t="s">
        <v>418</v>
      </c>
      <c r="G20553" s="32" t="n">
        <f aca="false">IF(G20328&gt;0,G20551/G20328,0)</f>
        <v>11.6022090135663</v>
      </c>
      <c r="H20553" s="32" t="n">
        <f aca="false">IF(H20328&gt;0,H20551/H20328,0)</f>
        <v>12.9366569859969</v>
      </c>
      <c r="I20553" s="32" t="n">
        <f aca="false">IF(I20328&gt;0,I20551/I20328,0)</f>
        <v>13.0840641645995</v>
      </c>
      <c r="J20553" s="32" t="n">
        <f aca="false">IF(J20328&gt;0,J20551/J20328,0)</f>
        <v>12.5066944538388</v>
      </c>
      <c r="K20553" s="32" t="n">
        <f aca="false">IF(K20328&gt;0,K20551/K20328,0)</f>
        <v>11.642968547846</v>
      </c>
    </row>
    <row r="20554" customFormat="false" ht="15" hidden="false" customHeight="false" outlineLevel="0" collapsed="false">
      <c r="A20554" s="3" t="s">
        <v>419</v>
      </c>
      <c r="G20554" s="32" t="n">
        <f aca="false">IF(G20332&gt;0,G20328/G20332,0)</f>
        <v>1.11916236657503</v>
      </c>
      <c r="H20554" s="32" t="n">
        <f aca="false">IF(H20332&gt;0,H20328/H20332,0)</f>
        <v>1.03160140355413</v>
      </c>
      <c r="I20554" s="32" t="n">
        <f aca="false">IF(I20332&gt;0,I20328/I20332,0)</f>
        <v>1.05711258279829</v>
      </c>
      <c r="J20554" s="32" t="n">
        <f aca="false">IF(J20332&gt;0,J20328/J20332,0)</f>
        <v>1.12580804979342</v>
      </c>
      <c r="K20554" s="32" t="n">
        <f aca="false">IF(K20332&gt;0,K20328/K20332,0)</f>
        <v>1.22414082697912</v>
      </c>
    </row>
    <row r="20555" customFormat="false" ht="15" hidden="false" customHeight="false" outlineLevel="0" collapsed="false">
      <c r="A20555" s="3" t="s">
        <v>420</v>
      </c>
      <c r="G20555" s="32" t="n">
        <f aca="false">IF(G20332&gt;0,G20331/G20332,0)</f>
        <v>0.214448522526564</v>
      </c>
      <c r="H20555" s="32" t="n">
        <f aca="false">IF(H20332&gt;0,H20331/H20332,0)</f>
        <v>0.13948928587658</v>
      </c>
      <c r="I20555" s="32" t="n">
        <f aca="false">IF(I20332&gt;0,I20331/I20332,0)</f>
        <v>0.132183826641777</v>
      </c>
      <c r="J20555" s="32" t="n">
        <f aca="false">IF(J20332&gt;0,J20331/J20332,0)</f>
        <v>0.152227556456159</v>
      </c>
      <c r="K20555" s="32" t="n">
        <f aca="false">IF(K20332&gt;0,K20331/K20332,0)</f>
        <v>0.189583226129224</v>
      </c>
    </row>
    <row r="20556" customFormat="false" ht="15" hidden="false" customHeight="false" outlineLevel="0" collapsed="false">
      <c r="A20556" s="3" t="s">
        <v>213</v>
      </c>
      <c r="G20556" s="22" t="n">
        <f aca="false">IF(G20549&gt;0,G20341/G20549,0)</f>
        <v>-0.0146280405608989</v>
      </c>
      <c r="H20556" s="22" t="n">
        <f aca="false">IF(H20549&gt;0,H20341/H20549,0)</f>
        <v>-0.0210017344426573</v>
      </c>
      <c r="I20556" s="22" t="n">
        <f aca="false">IF(I20549&gt;0,I20341/I20549,0)</f>
        <v>-0.0196572842925117</v>
      </c>
      <c r="J20556" s="22" t="n">
        <f aca="false">IF(J20549&gt;0,J20341/J20549,0)</f>
        <v>-0.0158265081084411</v>
      </c>
      <c r="K20556" s="22" t="n">
        <f aca="false">IF(K20549&gt;0,K20341/K20549,0)</f>
        <v>-0.0101360867319814</v>
      </c>
    </row>
    <row r="20557" customFormat="false" ht="15" hidden="false" customHeight="false" outlineLevel="0" collapsed="false">
      <c r="A20557" s="3" t="s">
        <v>421</v>
      </c>
      <c r="G20557" s="32" t="n">
        <f aca="false">IF(G20332+G20533&gt;0,(G20328-G20339-G20336)/(G20332+G20533),0)</f>
        <v>0.786704000573498</v>
      </c>
      <c r="H20557" s="32" t="n">
        <f aca="false">IF(H20332+H20533&gt;0,(H20328-H20339-H20336)/(H20332+H20533),0)</f>
        <v>0.70513566731747</v>
      </c>
      <c r="I20557" s="32" t="n">
        <f aca="false">IF(I20332+I20533&gt;0,(I20328-I20339-I20336)/(I20332+I20533),0)</f>
        <v>0.718650066748166</v>
      </c>
      <c r="J20557" s="32" t="n">
        <f aca="false">IF(J20332+J20533&gt;0,(J20328-J20339-J20336)/(J20332+J20533),0)</f>
        <v>0.769233414515538</v>
      </c>
      <c r="K20557" s="32" t="n">
        <f aca="false">IF(K20332+K20533&gt;0,(K20328-K20339-K20336)/(K20332+K20533),0)</f>
        <v>0.844615668501449</v>
      </c>
    </row>
    <row r="20558" customFormat="false" ht="15" hidden="false" customHeight="false" outlineLevel="0" collapsed="false">
      <c r="A20558" s="3" t="s">
        <v>422</v>
      </c>
      <c r="G20558" s="16" t="n">
        <f aca="false">MAX(0,G20542)+Assumptions!$P$57*MAX(0,Assumptions!$D$57-G20365)+Assumptions!$P$58*MAX(0,Assumptions!$D$58-G20378)+Assumptions!$P$59*MAX(0,Assumptions!$D$59-G20391)+Assumptions!$P$60*MAX(0,Assumptions!$D$60-G20404)+Assumptions!$P$61*MAX(0,Assumptions!$D$61-G20417)+Assumptions!$P$62*MAX(0,Assumptions!$D$62-G20430)+Assumptions!$P$63*MAX(0,Assumptions!$D$63-G20443)+Assumptions!$P$64*MAX(0,Assumptions!$D$64-G20456)+Assumptions!$P$65*MAX(0,Assumptions!$D$65-G20469)+Assumptions!$P$66*MAX(0,Assumptions!$D$66-G20482)</f>
        <v>670.0162431</v>
      </c>
      <c r="H20558" s="16" t="n">
        <f aca="false">MAX(0,H20542)+Assumptions!$P$57*MAX(0,Assumptions!$D$57-H20365)+Assumptions!$P$58*MAX(0,Assumptions!$D$58-H20378)+Assumptions!$P$59*MAX(0,Assumptions!$D$59-H20391)+Assumptions!$P$60*MAX(0,Assumptions!$D$60-H20404)+Assumptions!$P$61*MAX(0,Assumptions!$D$61-H20417)+Assumptions!$P$62*MAX(0,Assumptions!$D$62-H20430)+Assumptions!$P$63*MAX(0,Assumptions!$D$63-H20443)+Assumptions!$P$64*MAX(0,Assumptions!$D$64-H20456)+Assumptions!$P$65*MAX(0,Assumptions!$D$65-H20469)+Assumptions!$P$66*MAX(0,Assumptions!$D$66-H20482)</f>
        <v>574.5</v>
      </c>
      <c r="I20558" s="16" t="n">
        <f aca="false">MAX(0,I20542)+Assumptions!$P$57*MAX(0,Assumptions!$D$57-I20365)+Assumptions!$P$58*MAX(0,Assumptions!$D$58-I20378)+Assumptions!$P$59*MAX(0,Assumptions!$D$59-I20391)+Assumptions!$P$60*MAX(0,Assumptions!$D$60-I20404)+Assumptions!$P$61*MAX(0,Assumptions!$D$61-I20417)+Assumptions!$P$62*MAX(0,Assumptions!$D$62-I20430)+Assumptions!$P$63*MAX(0,Assumptions!$D$63-I20443)+Assumptions!$P$64*MAX(0,Assumptions!$D$64-I20456)+Assumptions!$P$65*MAX(0,Assumptions!$D$65-I20469)+Assumptions!$P$66*MAX(0,Assumptions!$D$66-I20482)</f>
        <v>574.5</v>
      </c>
      <c r="J20558" s="16" t="n">
        <f aca="false">MAX(0,J20542)+Assumptions!$P$57*MAX(0,Assumptions!$D$57-J20365)+Assumptions!$P$58*MAX(0,Assumptions!$D$58-J20378)+Assumptions!$P$59*MAX(0,Assumptions!$D$59-J20391)+Assumptions!$P$60*MAX(0,Assumptions!$D$60-J20404)+Assumptions!$P$61*MAX(0,Assumptions!$D$61-J20417)+Assumptions!$P$62*MAX(0,Assumptions!$D$62-J20430)+Assumptions!$P$63*MAX(0,Assumptions!$D$63-J20443)+Assumptions!$P$64*MAX(0,Assumptions!$D$64-J20456)+Assumptions!$P$65*MAX(0,Assumptions!$D$65-J20469)+Assumptions!$P$66*MAX(0,Assumptions!$D$66-J20482)</f>
        <v>574.5</v>
      </c>
      <c r="K20558" s="16" t="n">
        <f aca="false">MAX(0,K20542)+Assumptions!$P$57*MAX(0,Assumptions!$D$57-K20365)+Assumptions!$P$58*MAX(0,Assumptions!$D$58-K20378)+Assumptions!$P$59*MAX(0,Assumptions!$D$59-K20391)+Assumptions!$P$60*MAX(0,Assumptions!$D$60-K20404)+Assumptions!$P$61*MAX(0,Assumptions!$D$61-K20417)+Assumptions!$P$62*MAX(0,Assumptions!$D$62-K20430)+Assumptions!$P$63*MAX(0,Assumptions!$D$63-K20443)+Assumptions!$P$64*MAX(0,Assumptions!$D$64-K20456)+Assumptions!$P$65*MAX(0,Assumptions!$D$65-K20469)+Assumptions!$P$66*MAX(0,Assumptions!$D$66-K20482)</f>
        <v>574.5</v>
      </c>
    </row>
    <row r="20559" customFormat="false" ht="15" hidden="false" customHeight="false" outlineLevel="0" collapsed="false">
      <c r="A20559" s="3" t="s">
        <v>423</v>
      </c>
      <c r="G20559" s="22" t="n">
        <f aca="false">IF(G20549&gt;0,G20549/(G20549+MAX(0,G20328*CHOOSE($C$20311,Assumptions!$C$90,Assumptions!$C$109,Assumptions!$C$128)-G20551)),0)</f>
        <v>1</v>
      </c>
      <c r="H20559" s="22" t="n">
        <f aca="false">IF(H20549&gt;0,H20549/(H20549+MAX(0,H20328*CHOOSE($C$20311,Assumptions!$C$90,Assumptions!$C$109,Assumptions!$C$128)-H20551)),0)</f>
        <v>1</v>
      </c>
      <c r="I20559" s="22" t="n">
        <f aca="false">IF(I20549&gt;0,I20549/(I20549+MAX(0,I20328*CHOOSE($C$20311,Assumptions!$C$90,Assumptions!$C$109,Assumptions!$C$128)-I20551)),0)</f>
        <v>1</v>
      </c>
      <c r="J20559" s="22" t="n">
        <f aca="false">IF(J20549&gt;0,J20549/(J20549+MAX(0,J20328*CHOOSE($C$20311,Assumptions!$C$90,Assumptions!$C$109,Assumptions!$C$128)-J20551)),0)</f>
        <v>1</v>
      </c>
      <c r="K20559" s="22" t="n">
        <f aca="false">IF(K20549&gt;0,K20549/(K20549+MAX(0,K20328*CHOOSE($C$20311,Assumptions!$C$90,Assumptions!$C$109,Assumptions!$C$128)-K20551)),0)</f>
        <v>1</v>
      </c>
    </row>
    <row r="20560" customFormat="false" ht="15" hidden="false" customHeight="false" outlineLevel="0" collapsed="false">
      <c r="A20560" s="3" t="s">
        <v>424</v>
      </c>
      <c r="G20560" s="22" t="n">
        <f aca="false">IF(G20549&gt;0,MAX(0,G20542)/G20549,0)</f>
        <v>0.036429690106616</v>
      </c>
      <c r="H20560" s="22" t="n">
        <f aca="false">IF(H20549&gt;0,MAX(0,H20542)/H20549,0)</f>
        <v>0</v>
      </c>
      <c r="I20560" s="22" t="n">
        <f aca="false">IF(I20549&gt;0,MAX(0,I20542)/I20549,0)</f>
        <v>0</v>
      </c>
      <c r="J20560" s="22" t="n">
        <f aca="false">IF(J20549&gt;0,MAX(0,J20542)/J20549,0)</f>
        <v>0</v>
      </c>
      <c r="K20560" s="22" t="n">
        <f aca="false">IF(K20549&gt;0,MAX(0,K20542)/K20549,0)</f>
        <v>0</v>
      </c>
    </row>
    <row r="20561" customFormat="false" ht="15" hidden="false" customHeight="false" outlineLevel="0" collapsed="false">
      <c r="A20561" s="3" t="s">
        <v>425</v>
      </c>
      <c r="G20561" s="16" t="n">
        <f aca="false">Assumptions!$C$31*(1-CHOOSE($C$20311,Assumptions!$C$93,Assumptions!$C$112,Assumptions!$C$131))</f>
        <v>3162.39046666667</v>
      </c>
      <c r="H20561" s="16" t="n">
        <f aca="false">Assumptions!$C$31*(1-CHOOSE($C$20311,Assumptions!$C$93,Assumptions!$C$112,Assumptions!$C$131))</f>
        <v>3162.39046666667</v>
      </c>
      <c r="I20561" s="16" t="n">
        <f aca="false">Assumptions!$C$31*(1-CHOOSE($C$20311,Assumptions!$C$93,Assumptions!$C$112,Assumptions!$C$131))</f>
        <v>3162.39046666667</v>
      </c>
      <c r="J20561" s="16" t="n">
        <f aca="false">Assumptions!$C$31*(1-CHOOSE($C$20311,Assumptions!$C$93,Assumptions!$C$112,Assumptions!$C$131))</f>
        <v>3162.39046666667</v>
      </c>
      <c r="K20561" s="16" t="n">
        <f aca="false">Assumptions!$C$31*(1-CHOOSE($C$20311,Assumptions!$C$93,Assumptions!$C$112,Assumptions!$C$131))</f>
        <v>3162.39046666667</v>
      </c>
    </row>
    <row r="20562" customFormat="false" ht="15" hidden="false" customHeight="false" outlineLevel="0" collapsed="false">
      <c r="A20562" s="24" t="s">
        <v>426</v>
      </c>
      <c r="B20562" s="25"/>
      <c r="C20562" s="25"/>
      <c r="D20562" s="25"/>
      <c r="E20562" s="25"/>
      <c r="F20562" s="25"/>
      <c r="G20562" s="25"/>
      <c r="H20562" s="25"/>
      <c r="I20562" s="25"/>
      <c r="J20562" s="25"/>
      <c r="K20562" s="25"/>
    </row>
    <row r="20563" customFormat="false" ht="15" hidden="false" customHeight="false" outlineLevel="0" collapsed="false">
      <c r="A20563" s="24" t="s">
        <v>427</v>
      </c>
      <c r="B20563" s="25"/>
      <c r="C20563" s="25"/>
      <c r="D20563" s="25"/>
      <c r="E20563" s="25"/>
      <c r="F20563" s="25"/>
      <c r="G20563" s="25"/>
      <c r="H20563" s="25"/>
      <c r="I20563" s="25"/>
      <c r="J20563" s="25"/>
      <c r="K20563" s="25"/>
    </row>
    <row r="20564" customFormat="false" ht="15" hidden="false" customHeight="false" outlineLevel="0" collapsed="false">
      <c r="A20564" s="3" t="s">
        <v>428</v>
      </c>
      <c r="G20564" s="22" t="n">
        <f aca="false">IF(G20561&gt;0,G20549/G20561,99)</f>
        <v>0.829098755399318</v>
      </c>
      <c r="H20564" s="22" t="n">
        <f aca="false">IF(H20561&gt;0,H20549/H20561,99)</f>
        <v>0.816033054172501</v>
      </c>
      <c r="I20564" s="22" t="n">
        <f aca="false">IF(I20561&gt;0,I20549/I20561,99)</f>
        <v>0.814768188229423</v>
      </c>
      <c r="J20564" s="22" t="n">
        <f aca="false">IF(J20561&gt;0,J20549/J20561,99)</f>
        <v>0.813503322286346</v>
      </c>
      <c r="K20564" s="22" t="n">
        <f aca="false">IF(K20561&gt;0,K20549/K20561,99)</f>
        <v>0.812238456343268</v>
      </c>
    </row>
    <row r="20565" customFormat="false" ht="15" hidden="false" customHeight="false" outlineLevel="0" collapsed="false">
      <c r="A20565" s="3" t="s">
        <v>429</v>
      </c>
      <c r="G20565" s="33" t="n">
        <f aca="false">Assumptions!$G$71</f>
        <v>0.6</v>
      </c>
      <c r="H20565" s="33" t="n">
        <f aca="false">Assumptions!$H$71</f>
        <v>0.6</v>
      </c>
      <c r="I20565" s="33" t="n">
        <f aca="false">Assumptions!$I$71</f>
        <v>0.6</v>
      </c>
      <c r="J20565" s="33" t="n">
        <f aca="false">Assumptions!$J$71</f>
        <v>0.6</v>
      </c>
      <c r="K20565" s="33" t="n">
        <f aca="false">Assumptions!$K$71</f>
        <v>0.6</v>
      </c>
    </row>
    <row r="20566" customFormat="false" ht="15" hidden="false" customHeight="false" outlineLevel="0" collapsed="false">
      <c r="A20566" s="3" t="s">
        <v>430</v>
      </c>
      <c r="G20566" s="22" t="n">
        <f aca="false">G20565-G20564</f>
        <v>-0.229098755399318</v>
      </c>
      <c r="H20566" s="22" t="n">
        <f aca="false">H20565-H20564</f>
        <v>-0.216033054172501</v>
      </c>
      <c r="I20566" s="22" t="n">
        <f aca="false">I20565-I20564</f>
        <v>-0.214768188229423</v>
      </c>
      <c r="J20566" s="22" t="n">
        <f aca="false">J20565-J20564</f>
        <v>-0.213503322286346</v>
      </c>
      <c r="K20566" s="22" t="n">
        <f aca="false">K20565-K20564</f>
        <v>-0.212238456343268</v>
      </c>
    </row>
    <row r="20567" customFormat="false" ht="15" hidden="false" customHeight="false" outlineLevel="0" collapsed="false">
      <c r="A20567" s="3" t="s">
        <v>431</v>
      </c>
      <c r="G20567" s="22" t="n">
        <f aca="false">IF(G20565=0,0,G20566/ABS(G20565))</f>
        <v>-0.381831258998863</v>
      </c>
      <c r="H20567" s="22" t="n">
        <f aca="false">IF(H20565=0,0,H20566/ABS(H20565))</f>
        <v>-0.360055090287501</v>
      </c>
      <c r="I20567" s="22" t="n">
        <f aca="false">IF(I20565=0,0,I20566/ABS(I20565))</f>
        <v>-0.357946980382372</v>
      </c>
      <c r="J20567" s="22" t="n">
        <f aca="false">IF(J20565=0,0,J20566/ABS(J20565))</f>
        <v>-0.355838870477243</v>
      </c>
      <c r="K20567" s="22" t="n">
        <f aca="false">IF(K20565=0,0,K20566/ABS(K20565))</f>
        <v>-0.353730760572113</v>
      </c>
    </row>
    <row r="20568" customFormat="false" ht="15" hidden="false" customHeight="false" outlineLevel="0" collapsed="false">
      <c r="A20568" s="3" t="s">
        <v>432</v>
      </c>
      <c r="G20568" s="21" t="n">
        <f aca="false">IF(G20566&lt;0,1,0)</f>
        <v>1</v>
      </c>
      <c r="H20568" s="21" t="n">
        <f aca="false">IF(H20566&lt;0,1,0)</f>
        <v>1</v>
      </c>
      <c r="I20568" s="21" t="n">
        <f aca="false">IF(I20566&lt;0,1,0)</f>
        <v>1</v>
      </c>
      <c r="J20568" s="21" t="n">
        <f aca="false">IF(J20566&lt;0,1,0)</f>
        <v>1</v>
      </c>
      <c r="K20568" s="21" t="n">
        <f aca="false">IF(K20566&lt;0,1,0)</f>
        <v>1</v>
      </c>
    </row>
    <row r="20569" customFormat="false" ht="15" hidden="false" customHeight="false" outlineLevel="0" collapsed="false">
      <c r="A20569" s="3" t="s">
        <v>433</v>
      </c>
      <c r="C20569" s="21" t="n">
        <f aca="false">IFERROR(INDEX($G$20318:$K$20318,MATCH(1,$G$20568:$K$20568,0)),0)</f>
        <v>2027</v>
      </c>
    </row>
    <row r="20570" customFormat="false" ht="15" hidden="false" customHeight="false" outlineLevel="0" collapsed="false">
      <c r="A20570" s="3" t="s">
        <v>434</v>
      </c>
      <c r="C20570" s="22" t="n">
        <f aca="false">MIN($G$20567:$K$20567)</f>
        <v>-0.381831258998863</v>
      </c>
    </row>
    <row r="20571" customFormat="false" ht="15" hidden="false" customHeight="false" outlineLevel="0" collapsed="false">
      <c r="A20571" s="24" t="s">
        <v>435</v>
      </c>
      <c r="B20571" s="25"/>
      <c r="C20571" s="25"/>
      <c r="D20571" s="25"/>
      <c r="E20571" s="25"/>
      <c r="F20571" s="25"/>
      <c r="G20571" s="25"/>
      <c r="H20571" s="25"/>
      <c r="I20571" s="25"/>
      <c r="J20571" s="25"/>
      <c r="K20571" s="25"/>
    </row>
    <row r="20572" customFormat="false" ht="15" hidden="false" customHeight="false" outlineLevel="0" collapsed="false">
      <c r="A20572" s="3" t="s">
        <v>428</v>
      </c>
      <c r="G20572" s="32" t="n">
        <f aca="false">IF(G20332&gt;0,G20328/G20332,99)</f>
        <v>1.11916236657503</v>
      </c>
      <c r="H20572" s="32" t="n">
        <f aca="false">IF(H20332&gt;0,H20328/H20332,99)</f>
        <v>1.03160140355413</v>
      </c>
      <c r="I20572" s="32" t="n">
        <f aca="false">IF(I20332&gt;0,I20328/I20332,99)</f>
        <v>1.05711258279829</v>
      </c>
      <c r="J20572" s="32" t="n">
        <f aca="false">IF(J20332&gt;0,J20328/J20332,99)</f>
        <v>1.12580804979342</v>
      </c>
      <c r="K20572" s="32" t="n">
        <f aca="false">IF(K20332&gt;0,K20328/K20332,99)</f>
        <v>1.22414082697912</v>
      </c>
    </row>
    <row r="20573" customFormat="false" ht="15" hidden="false" customHeight="false" outlineLevel="0" collapsed="false">
      <c r="A20573" s="3" t="s">
        <v>429</v>
      </c>
      <c r="G20573" s="34" t="n">
        <f aca="false">Assumptions!$G$72</f>
        <v>1.5</v>
      </c>
      <c r="H20573" s="34" t="n">
        <f aca="false">Assumptions!$H$72</f>
        <v>1.5</v>
      </c>
      <c r="I20573" s="34" t="n">
        <f aca="false">Assumptions!$I$72</f>
        <v>1.5</v>
      </c>
      <c r="J20573" s="34" t="n">
        <f aca="false">Assumptions!$J$72</f>
        <v>1.5</v>
      </c>
      <c r="K20573" s="34" t="n">
        <f aca="false">Assumptions!$K$72</f>
        <v>1.5</v>
      </c>
    </row>
    <row r="20574" customFormat="false" ht="15" hidden="false" customHeight="false" outlineLevel="0" collapsed="false">
      <c r="A20574" s="3" t="s">
        <v>430</v>
      </c>
      <c r="G20574" s="32" t="n">
        <f aca="false">G20572-G20573</f>
        <v>-0.380837633424969</v>
      </c>
      <c r="H20574" s="32" t="n">
        <f aca="false">H20572-H20573</f>
        <v>-0.468398596445875</v>
      </c>
      <c r="I20574" s="32" t="n">
        <f aca="false">I20572-I20573</f>
        <v>-0.44288741720171</v>
      </c>
      <c r="J20574" s="32" t="n">
        <f aca="false">J20572-J20573</f>
        <v>-0.374191950206585</v>
      </c>
      <c r="K20574" s="32" t="n">
        <f aca="false">K20572-K20573</f>
        <v>-0.27585917302088</v>
      </c>
    </row>
    <row r="20575" customFormat="false" ht="15" hidden="false" customHeight="false" outlineLevel="0" collapsed="false">
      <c r="A20575" s="3" t="s">
        <v>431</v>
      </c>
      <c r="G20575" s="22" t="n">
        <f aca="false">IF(G20573=0,0,G20574/ABS(G20573))</f>
        <v>-0.253891755616646</v>
      </c>
      <c r="H20575" s="22" t="n">
        <f aca="false">IF(H20573=0,0,H20574/ABS(H20573))</f>
        <v>-0.312265730963917</v>
      </c>
      <c r="I20575" s="22" t="n">
        <f aca="false">IF(I20573=0,0,I20574/ABS(I20573))</f>
        <v>-0.295258278134473</v>
      </c>
      <c r="J20575" s="22" t="n">
        <f aca="false">IF(J20573=0,0,J20574/ABS(J20573))</f>
        <v>-0.249461300137723</v>
      </c>
      <c r="K20575" s="22" t="n">
        <f aca="false">IF(K20573=0,0,K20574/ABS(K20573))</f>
        <v>-0.183906115347253</v>
      </c>
    </row>
    <row r="20576" customFormat="false" ht="15" hidden="false" customHeight="false" outlineLevel="0" collapsed="false">
      <c r="A20576" s="3" t="s">
        <v>432</v>
      </c>
      <c r="G20576" s="21" t="n">
        <f aca="false">IF(G20574&lt;0,1,0)</f>
        <v>1</v>
      </c>
      <c r="H20576" s="21" t="n">
        <f aca="false">IF(H20574&lt;0,1,0)</f>
        <v>1</v>
      </c>
      <c r="I20576" s="21" t="n">
        <f aca="false">IF(I20574&lt;0,1,0)</f>
        <v>1</v>
      </c>
      <c r="J20576" s="21" t="n">
        <f aca="false">IF(J20574&lt;0,1,0)</f>
        <v>1</v>
      </c>
      <c r="K20576" s="21" t="n">
        <f aca="false">IF(K20574&lt;0,1,0)</f>
        <v>1</v>
      </c>
    </row>
    <row r="20577" customFormat="false" ht="15" hidden="false" customHeight="false" outlineLevel="0" collapsed="false">
      <c r="A20577" s="3" t="s">
        <v>433</v>
      </c>
      <c r="C20577" s="21" t="n">
        <f aca="false">IFERROR(INDEX($G$20318:$K$20318,MATCH(1,$G$20576:$K$20576,0)),0)</f>
        <v>2027</v>
      </c>
    </row>
    <row r="20578" customFormat="false" ht="15" hidden="false" customHeight="false" outlineLevel="0" collapsed="false">
      <c r="A20578" s="3" t="s">
        <v>434</v>
      </c>
      <c r="C20578" s="22" t="n">
        <f aca="false">MIN($G$20575:$K$20575)</f>
        <v>-0.312265730963917</v>
      </c>
    </row>
    <row r="20579" customFormat="false" ht="15" hidden="false" customHeight="false" outlineLevel="0" collapsed="false">
      <c r="A20579" s="24" t="s">
        <v>436</v>
      </c>
      <c r="B20579" s="25"/>
      <c r="C20579" s="25"/>
      <c r="D20579" s="25"/>
      <c r="E20579" s="25"/>
      <c r="F20579" s="25"/>
      <c r="G20579" s="25"/>
      <c r="H20579" s="25"/>
      <c r="I20579" s="25"/>
      <c r="J20579" s="25"/>
      <c r="K20579" s="25"/>
    </row>
    <row r="20580" customFormat="false" ht="15" hidden="false" customHeight="false" outlineLevel="0" collapsed="false">
      <c r="A20580" s="3" t="s">
        <v>428</v>
      </c>
      <c r="G20580" s="22" t="n">
        <f aca="false">IF(G20561&gt;0,G20550/G20561,99)</f>
        <v>0.171808005914176</v>
      </c>
      <c r="H20580" s="22" t="n">
        <f aca="false">IF(H20561&gt;0,H20550/H20561,99)</f>
        <v>0.170543139971098</v>
      </c>
      <c r="I20580" s="22" t="n">
        <f aca="false">IF(I20561&gt;0,I20550/I20561,99)</f>
        <v>0.169278274028021</v>
      </c>
      <c r="J20580" s="22" t="n">
        <f aca="false">IF(J20561&gt;0,J20550/J20561,99)</f>
        <v>0.168013408084943</v>
      </c>
      <c r="K20580" s="22" t="n">
        <f aca="false">IF(K20561&gt;0,K20550/K20561,99)</f>
        <v>0.166748542141865</v>
      </c>
    </row>
    <row r="20581" customFormat="false" ht="15" hidden="false" customHeight="false" outlineLevel="0" collapsed="false">
      <c r="A20581" s="3" t="s">
        <v>429</v>
      </c>
      <c r="G20581" s="33" t="n">
        <f aca="false">Assumptions!$G$73</f>
        <v>0.4</v>
      </c>
      <c r="H20581" s="33" t="n">
        <f aca="false">Assumptions!$H$73</f>
        <v>0.4</v>
      </c>
      <c r="I20581" s="33" t="n">
        <f aca="false">Assumptions!$I$73</f>
        <v>0.4</v>
      </c>
      <c r="J20581" s="33" t="n">
        <f aca="false">Assumptions!$J$73</f>
        <v>0.4</v>
      </c>
      <c r="K20581" s="33" t="n">
        <f aca="false">Assumptions!$K$73</f>
        <v>0.4</v>
      </c>
    </row>
    <row r="20582" customFormat="false" ht="15" hidden="false" customHeight="false" outlineLevel="0" collapsed="false">
      <c r="A20582" s="3" t="s">
        <v>430</v>
      </c>
      <c r="G20582" s="22" t="n">
        <f aca="false">G20581-G20580</f>
        <v>0.228191994085824</v>
      </c>
      <c r="H20582" s="22" t="n">
        <f aca="false">H20581-H20580</f>
        <v>0.229456860028902</v>
      </c>
      <c r="I20582" s="22" t="n">
        <f aca="false">I20581-I20580</f>
        <v>0.230721725971979</v>
      </c>
      <c r="J20582" s="22" t="n">
        <f aca="false">J20581-J20580</f>
        <v>0.231986591915057</v>
      </c>
      <c r="K20582" s="22" t="n">
        <f aca="false">K20581-K20580</f>
        <v>0.233251457858135</v>
      </c>
    </row>
    <row r="20583" customFormat="false" ht="15" hidden="false" customHeight="false" outlineLevel="0" collapsed="false">
      <c r="A20583" s="3" t="s">
        <v>431</v>
      </c>
      <c r="G20583" s="22" t="n">
        <f aca="false">IF(G20581=0,0,G20582/ABS(G20581))</f>
        <v>0.57047998521456</v>
      </c>
      <c r="H20583" s="22" t="n">
        <f aca="false">IF(H20581=0,0,H20582/ABS(H20581))</f>
        <v>0.573642150072254</v>
      </c>
      <c r="I20583" s="22" t="n">
        <f aca="false">IF(I20581=0,0,I20582/ABS(I20581))</f>
        <v>0.576804314929948</v>
      </c>
      <c r="J20583" s="22" t="n">
        <f aca="false">IF(J20581=0,0,J20582/ABS(J20581))</f>
        <v>0.579966479787643</v>
      </c>
      <c r="K20583" s="22" t="n">
        <f aca="false">IF(K20581=0,0,K20582/ABS(K20581))</f>
        <v>0.583128644645337</v>
      </c>
    </row>
    <row r="20584" customFormat="false" ht="15" hidden="false" customHeight="false" outlineLevel="0" collapsed="false">
      <c r="A20584" s="3" t="s">
        <v>432</v>
      </c>
      <c r="G20584" s="21" t="n">
        <f aca="false">IF(G20582&lt;0,1,0)</f>
        <v>0</v>
      </c>
      <c r="H20584" s="21" t="n">
        <f aca="false">IF(H20582&lt;0,1,0)</f>
        <v>0</v>
      </c>
      <c r="I20584" s="21" t="n">
        <f aca="false">IF(I20582&lt;0,1,0)</f>
        <v>0</v>
      </c>
      <c r="J20584" s="21" t="n">
        <f aca="false">IF(J20582&lt;0,1,0)</f>
        <v>0</v>
      </c>
      <c r="K20584" s="21" t="n">
        <f aca="false">IF(K20582&lt;0,1,0)</f>
        <v>0</v>
      </c>
    </row>
    <row r="20585" customFormat="false" ht="15" hidden="false" customHeight="false" outlineLevel="0" collapsed="false">
      <c r="A20585" s="3" t="s">
        <v>433</v>
      </c>
      <c r="C20585" s="21" t="n">
        <f aca="false">IFERROR(INDEX($G$20318:$K$20318,MATCH(1,$G$20584:$K$20584,0)),0)</f>
        <v>0</v>
      </c>
    </row>
    <row r="20586" customFormat="false" ht="15" hidden="false" customHeight="false" outlineLevel="0" collapsed="false">
      <c r="A20586" s="3" t="s">
        <v>434</v>
      </c>
      <c r="C20586" s="22" t="n">
        <f aca="false">MIN($G$20583:$K$20583)</f>
        <v>0.57047998521456</v>
      </c>
    </row>
    <row r="20587" customFormat="false" ht="15" hidden="false" customHeight="false" outlineLevel="0" collapsed="false">
      <c r="A20587" s="24" t="s">
        <v>437</v>
      </c>
      <c r="B20587" s="25"/>
      <c r="C20587" s="25"/>
      <c r="D20587" s="25"/>
      <c r="E20587" s="25"/>
      <c r="F20587" s="25"/>
      <c r="G20587" s="25"/>
      <c r="H20587" s="25"/>
      <c r="I20587" s="25"/>
      <c r="J20587" s="25"/>
      <c r="K20587" s="25"/>
    </row>
    <row r="20588" customFormat="false" ht="15" hidden="false" customHeight="false" outlineLevel="0" collapsed="false">
      <c r="A20588" s="3" t="s">
        <v>428</v>
      </c>
      <c r="G20588" s="16" t="n">
        <f aca="false">G20558</f>
        <v>670.0162431</v>
      </c>
      <c r="H20588" s="16" t="n">
        <f aca="false">H20558</f>
        <v>574.5</v>
      </c>
      <c r="I20588" s="16" t="n">
        <f aca="false">I20558</f>
        <v>574.5</v>
      </c>
      <c r="J20588" s="16" t="n">
        <f aca="false">J20558</f>
        <v>574.5</v>
      </c>
      <c r="K20588" s="16" t="n">
        <f aca="false">K20558</f>
        <v>574.5</v>
      </c>
    </row>
    <row r="20589" customFormat="false" ht="15" hidden="false" customHeight="false" outlineLevel="0" collapsed="false">
      <c r="A20589" s="3" t="s">
        <v>429</v>
      </c>
      <c r="G20589" s="29" t="n">
        <f aca="false">Assumptions!$G$74</f>
        <v>100</v>
      </c>
      <c r="H20589" s="29" t="n">
        <f aca="false">Assumptions!$H$74</f>
        <v>100</v>
      </c>
      <c r="I20589" s="29" t="n">
        <f aca="false">Assumptions!$I$74</f>
        <v>100</v>
      </c>
      <c r="J20589" s="29" t="n">
        <f aca="false">Assumptions!$J$74</f>
        <v>100</v>
      </c>
      <c r="K20589" s="29" t="n">
        <f aca="false">Assumptions!$K$74</f>
        <v>100</v>
      </c>
    </row>
    <row r="20590" customFormat="false" ht="15" hidden="false" customHeight="false" outlineLevel="0" collapsed="false">
      <c r="A20590" s="3" t="s">
        <v>430</v>
      </c>
      <c r="G20590" s="16" t="n">
        <f aca="false">G20588-G20589</f>
        <v>570.0162431</v>
      </c>
      <c r="H20590" s="16" t="n">
        <f aca="false">H20588-H20589</f>
        <v>474.5</v>
      </c>
      <c r="I20590" s="16" t="n">
        <f aca="false">I20588-I20589</f>
        <v>474.5</v>
      </c>
      <c r="J20590" s="16" t="n">
        <f aca="false">J20588-J20589</f>
        <v>474.5</v>
      </c>
      <c r="K20590" s="16" t="n">
        <f aca="false">K20588-K20589</f>
        <v>474.5</v>
      </c>
    </row>
    <row r="20591" customFormat="false" ht="15" hidden="false" customHeight="false" outlineLevel="0" collapsed="false">
      <c r="A20591" s="3" t="s">
        <v>431</v>
      </c>
      <c r="G20591" s="22" t="n">
        <f aca="false">IF(G20589=0,0,G20590/ABS(G20589))</f>
        <v>5.700162431</v>
      </c>
      <c r="H20591" s="22" t="n">
        <f aca="false">IF(H20589=0,0,H20590/ABS(H20589))</f>
        <v>4.745</v>
      </c>
      <c r="I20591" s="22" t="n">
        <f aca="false">IF(I20589=0,0,I20590/ABS(I20589))</f>
        <v>4.745</v>
      </c>
      <c r="J20591" s="22" t="n">
        <f aca="false">IF(J20589=0,0,J20590/ABS(J20589))</f>
        <v>4.745</v>
      </c>
      <c r="K20591" s="22" t="n">
        <f aca="false">IF(K20589=0,0,K20590/ABS(K20589))</f>
        <v>4.745</v>
      </c>
    </row>
    <row r="20592" customFormat="false" ht="15" hidden="false" customHeight="false" outlineLevel="0" collapsed="false">
      <c r="A20592" s="3" t="s">
        <v>432</v>
      </c>
      <c r="G20592" s="21" t="n">
        <f aca="false">IF(G20590&lt;0,1,0)</f>
        <v>0</v>
      </c>
      <c r="H20592" s="21" t="n">
        <f aca="false">IF(H20590&lt;0,1,0)</f>
        <v>0</v>
      </c>
      <c r="I20592" s="21" t="n">
        <f aca="false">IF(I20590&lt;0,1,0)</f>
        <v>0</v>
      </c>
      <c r="J20592" s="21" t="n">
        <f aca="false">IF(J20590&lt;0,1,0)</f>
        <v>0</v>
      </c>
      <c r="K20592" s="21" t="n">
        <f aca="false">IF(K20590&lt;0,1,0)</f>
        <v>0</v>
      </c>
    </row>
    <row r="20593" customFormat="false" ht="15" hidden="false" customHeight="false" outlineLevel="0" collapsed="false">
      <c r="A20593" s="3" t="s">
        <v>433</v>
      </c>
      <c r="C20593" s="21" t="n">
        <f aca="false">IFERROR(INDEX($G$20318:$K$20318,MATCH(1,$G$20592:$K$20592,0)),0)</f>
        <v>0</v>
      </c>
    </row>
    <row r="20594" customFormat="false" ht="15" hidden="false" customHeight="false" outlineLevel="0" collapsed="false">
      <c r="A20594" s="3" t="s">
        <v>434</v>
      </c>
      <c r="C20594" s="22" t="n">
        <f aca="false">MIN($G$20591:$K$20591)</f>
        <v>4.745</v>
      </c>
    </row>
    <row r="20595" customFormat="false" ht="15" hidden="false" customHeight="false" outlineLevel="0" collapsed="false">
      <c r="A20595" s="24" t="s">
        <v>438</v>
      </c>
      <c r="B20595" s="25"/>
      <c r="C20595" s="25"/>
      <c r="D20595" s="25"/>
      <c r="E20595" s="25"/>
      <c r="F20595" s="25"/>
      <c r="G20595" s="25"/>
      <c r="H20595" s="25"/>
      <c r="I20595" s="25"/>
      <c r="J20595" s="25"/>
      <c r="K20595" s="25"/>
    </row>
    <row r="20596" customFormat="false" ht="15" hidden="false" customHeight="false" outlineLevel="0" collapsed="false">
      <c r="A20596" s="3" t="s">
        <v>428</v>
      </c>
      <c r="G20596" s="32" t="n">
        <f aca="false">IF(G20328&gt;0,G20551/G20328,99)</f>
        <v>11.6022090135663</v>
      </c>
      <c r="H20596" s="32" t="n">
        <f aca="false">IF(H20328&gt;0,H20551/H20328,99)</f>
        <v>12.9366569859969</v>
      </c>
      <c r="I20596" s="32" t="n">
        <f aca="false">IF(I20328&gt;0,I20551/I20328,99)</f>
        <v>13.0840641645995</v>
      </c>
      <c r="J20596" s="32" t="n">
        <f aca="false">IF(J20328&gt;0,J20551/J20328,99)</f>
        <v>12.5066944538388</v>
      </c>
      <c r="K20596" s="32" t="n">
        <f aca="false">IF(K20328&gt;0,K20551/K20328,99)</f>
        <v>11.642968547846</v>
      </c>
    </row>
    <row r="20597" customFormat="false" ht="15" hidden="false" customHeight="false" outlineLevel="0" collapsed="false">
      <c r="A20597" s="3" t="s">
        <v>429</v>
      </c>
      <c r="G20597" s="34" t="n">
        <f aca="false">Assumptions!$G$75</f>
        <v>10.5</v>
      </c>
      <c r="H20597" s="34" t="n">
        <f aca="false">Assumptions!$H$75</f>
        <v>10.5</v>
      </c>
      <c r="I20597" s="34" t="n">
        <f aca="false">Assumptions!$I$75</f>
        <v>10</v>
      </c>
      <c r="J20597" s="34" t="n">
        <f aca="false">Assumptions!$J$75</f>
        <v>10</v>
      </c>
      <c r="K20597" s="34" t="n">
        <f aca="false">Assumptions!$K$75</f>
        <v>9.5</v>
      </c>
    </row>
    <row r="20598" customFormat="false" ht="15" hidden="false" customHeight="false" outlineLevel="0" collapsed="false">
      <c r="A20598" s="3" t="s">
        <v>430</v>
      </c>
      <c r="G20598" s="32" t="n">
        <f aca="false">G20597-G20596</f>
        <v>-1.10220901356626</v>
      </c>
      <c r="H20598" s="32" t="n">
        <f aca="false">H20597-H20596</f>
        <v>-2.43665698599689</v>
      </c>
      <c r="I20598" s="32" t="n">
        <f aca="false">I20597-I20596</f>
        <v>-3.08406416459949</v>
      </c>
      <c r="J20598" s="32" t="n">
        <f aca="false">J20597-J20596</f>
        <v>-2.5066944538388</v>
      </c>
      <c r="K20598" s="32" t="n">
        <f aca="false">K20597-K20596</f>
        <v>-2.14296854784602</v>
      </c>
    </row>
    <row r="20599" customFormat="false" ht="15" hidden="false" customHeight="false" outlineLevel="0" collapsed="false">
      <c r="A20599" s="3" t="s">
        <v>431</v>
      </c>
      <c r="G20599" s="22" t="n">
        <f aca="false">IF(G20597=0,0,G20598/ABS(G20597))</f>
        <v>-0.104972287006311</v>
      </c>
      <c r="H20599" s="22" t="n">
        <f aca="false">IF(H20597=0,0,H20598/ABS(H20597))</f>
        <v>-0.232062570094942</v>
      </c>
      <c r="I20599" s="22" t="n">
        <f aca="false">IF(I20597=0,0,I20598/ABS(I20597))</f>
        <v>-0.30840641645995</v>
      </c>
      <c r="J20599" s="22" t="n">
        <f aca="false">IF(J20597=0,0,J20598/ABS(J20597))</f>
        <v>-0.25066944538388</v>
      </c>
      <c r="K20599" s="22" t="n">
        <f aca="false">IF(K20597=0,0,K20598/ABS(K20597))</f>
        <v>-0.225575636615371</v>
      </c>
    </row>
    <row r="20600" customFormat="false" ht="15" hidden="false" customHeight="false" outlineLevel="0" collapsed="false">
      <c r="A20600" s="3" t="s">
        <v>432</v>
      </c>
      <c r="G20600" s="21" t="n">
        <f aca="false">IF(G20598&lt;0,1,0)</f>
        <v>1</v>
      </c>
      <c r="H20600" s="21" t="n">
        <f aca="false">IF(H20598&lt;0,1,0)</f>
        <v>1</v>
      </c>
      <c r="I20600" s="21" t="n">
        <f aca="false">IF(I20598&lt;0,1,0)</f>
        <v>1</v>
      </c>
      <c r="J20600" s="21" t="n">
        <f aca="false">IF(J20598&lt;0,1,0)</f>
        <v>1</v>
      </c>
      <c r="K20600" s="21" t="n">
        <f aca="false">IF(K20598&lt;0,1,0)</f>
        <v>1</v>
      </c>
    </row>
    <row r="20601" customFormat="false" ht="15" hidden="false" customHeight="false" outlineLevel="0" collapsed="false">
      <c r="A20601" s="3" t="s">
        <v>433</v>
      </c>
      <c r="C20601" s="21" t="n">
        <f aca="false">IFERROR(INDEX($G$20318:$K$20318,MATCH(1,$G$20600:$K$20600,0)),0)</f>
        <v>2027</v>
      </c>
    </row>
    <row r="20602" customFormat="false" ht="15" hidden="false" customHeight="false" outlineLevel="0" collapsed="false">
      <c r="A20602" s="3" t="s">
        <v>434</v>
      </c>
      <c r="C20602" s="22" t="n">
        <f aca="false">MIN($G$20599:$K$20599)</f>
        <v>-0.30840641645995</v>
      </c>
    </row>
    <row r="20603" customFormat="false" ht="15" hidden="false" customHeight="false" outlineLevel="0" collapsed="false">
      <c r="A20603" s="3" t="s">
        <v>439</v>
      </c>
      <c r="G20603" s="21" t="n">
        <f aca="false">G20568+G20576+G20584+G20592+G20600</f>
        <v>3</v>
      </c>
      <c r="H20603" s="21" t="n">
        <f aca="false">H20568+H20576+H20584+H20592+H20600</f>
        <v>3</v>
      </c>
      <c r="I20603" s="21" t="n">
        <f aca="false">I20568+I20576+I20584+I20592+I20600</f>
        <v>3</v>
      </c>
      <c r="J20603" s="21" t="n">
        <f aca="false">J20568+J20576+J20584+J20592+J20600</f>
        <v>3</v>
      </c>
      <c r="K20603" s="21" t="n">
        <f aca="false">K20568+K20576+K20584+K20592+K20600</f>
        <v>3</v>
      </c>
    </row>
    <row r="20604" customFormat="false" ht="15" hidden="false" customHeight="false" outlineLevel="0" collapsed="false">
      <c r="A20604" s="3" t="s">
        <v>440</v>
      </c>
      <c r="C20604" s="21" t="n">
        <f aca="false">SUM($G$20603:$K$20603)</f>
        <v>15</v>
      </c>
    </row>
    <row r="20605" customFormat="false" ht="15" hidden="false" customHeight="false" outlineLevel="0" collapsed="false">
      <c r="A20605" s="3" t="s">
        <v>441</v>
      </c>
      <c r="C20605" s="22" t="n">
        <f aca="false">MIN(C20570,C20578,C20586,C20594,C20602)</f>
        <v>-0.381831258998863</v>
      </c>
    </row>
    <row r="20607" customFormat="false" ht="15" hidden="false" customHeight="false" outlineLevel="0" collapsed="false">
      <c r="A20607" s="24" t="s">
        <v>543</v>
      </c>
      <c r="B20607" s="25"/>
      <c r="C20607" s="25"/>
      <c r="D20607" s="25"/>
      <c r="E20607" s="25"/>
      <c r="F20607" s="25"/>
      <c r="G20607" s="25"/>
      <c r="H20607" s="25"/>
      <c r="I20607" s="25"/>
      <c r="J20607" s="25"/>
      <c r="K20607" s="25"/>
    </row>
    <row r="20608" customFormat="false" ht="15" hidden="false" customHeight="false" outlineLevel="0" collapsed="false">
      <c r="A20608" s="3" t="s">
        <v>544</v>
      </c>
      <c r="G20608" s="21" t="n">
        <f aca="false">IF($C$20609=1,G20545,IF(G20328=MIN($G$20328:$K$20328),1,0))</f>
        <v>0</v>
      </c>
      <c r="H20608" s="21" t="n">
        <f aca="false">IF($C$20609=1,H20545,IF(AND(H20328=MIN($G$20328:$K$20328),SUM($G$20608:G20608)=0),1,0))</f>
        <v>1</v>
      </c>
      <c r="I20608" s="21" t="n">
        <f aca="false">IF($C$20609=1,I20545,IF(AND(I20328=MIN($G$20328:$K$20328),SUM($G$20608:H20608)=0),1,0))</f>
        <v>0</v>
      </c>
      <c r="J20608" s="21" t="n">
        <f aca="false">IF($C$20609=1,J20545,IF(AND(J20328=MIN($G$20328:$K$20328),SUM($G$20608:I20608)=0),1,0))</f>
        <v>0</v>
      </c>
      <c r="K20608" s="21" t="n">
        <f aca="false">IF($C$20609=1,K20545,IF(AND(K20328=MIN($G$20328:$K$20328),SUM($G$20608:J20608)=0),1,0))</f>
        <v>0</v>
      </c>
    </row>
    <row r="20609" customFormat="false" ht="15" hidden="false" customHeight="false" outlineLevel="0" collapsed="false">
      <c r="A20609" s="3" t="s">
        <v>545</v>
      </c>
      <c r="C20609" s="21" t="n">
        <f aca="false">IF(SUM($G$20545:$K$20545)&gt;0,1,0)</f>
        <v>1</v>
      </c>
    </row>
    <row r="20610" customFormat="false" ht="15" hidden="false" customHeight="false" outlineLevel="0" collapsed="false">
      <c r="A20610" s="3" t="s">
        <v>546</v>
      </c>
      <c r="C20610" s="21" t="n">
        <f aca="false">SUMPRODUCT($G$20608:$K$20608,$G$20318:$K$20318)</f>
        <v>2028</v>
      </c>
    </row>
    <row r="20611" customFormat="false" ht="15" hidden="false" customHeight="false" outlineLevel="0" collapsed="false">
      <c r="A20611" s="3" t="s">
        <v>547</v>
      </c>
      <c r="C20611" s="16" t="n">
        <f aca="false">SUMPRODUCT($G$20608:$K$20608,$G$20328:$K$20328)</f>
        <v>199.48083603</v>
      </c>
    </row>
    <row r="20612" customFormat="false" ht="15" hidden="false" customHeight="false" outlineLevel="0" collapsed="false">
      <c r="A20612" s="3" t="s">
        <v>548</v>
      </c>
      <c r="C20612" s="16" t="n">
        <f aca="false">MAX(0,SUMPRODUCT($G$20608:$K$20608,$G$20542:$K$20542))</f>
        <v>0</v>
      </c>
    </row>
    <row r="20613" customFormat="false" ht="15" hidden="false" customHeight="false" outlineLevel="0" collapsed="false">
      <c r="A20613" s="3" t="s">
        <v>549</v>
      </c>
      <c r="C20613" s="16" t="n">
        <f aca="false">(CHOOSE($C$20311,Assumptions!$C$92,Assumptions!$C$111,Assumptions!$C$130)+$C$20315)*C20611</f>
        <v>1595.84668824</v>
      </c>
    </row>
    <row r="20614" customFormat="false" ht="15" hidden="false" customHeight="false" outlineLevel="0" collapsed="false">
      <c r="A20614" s="3" t="s">
        <v>550</v>
      </c>
      <c r="C20614" s="16" t="n">
        <f aca="false">Assumptions!$C$31*(1-CHOOSE($C$20311,Assumptions!$C$93,Assumptions!$C$112,Assumptions!$C$131))*CHOOSE($C$20311,Assumptions!$C$94,Assumptions!$C$113,Assumptions!$C$132)</f>
        <v>2688.03189666667</v>
      </c>
    </row>
    <row r="20615" customFormat="false" ht="15" hidden="false" customHeight="false" outlineLevel="0" collapsed="false">
      <c r="A20615" s="3" t="s">
        <v>551</v>
      </c>
      <c r="C20615" s="16" t="n">
        <f aca="false">MAX(C20613,C20614)+C20612</f>
        <v>2688.03189666667</v>
      </c>
    </row>
    <row r="20616" customFormat="false" ht="15" hidden="false" customHeight="false" outlineLevel="0" collapsed="false">
      <c r="A20616" s="2" t="s">
        <v>552</v>
      </c>
      <c r="C20616" s="17" t="n">
        <f aca="false">IF(ISNUMBER(Assumptions!$C$14),Assumptions!$C$14,C20615)</f>
        <v>2688.03189666667</v>
      </c>
    </row>
    <row r="20617" customFormat="false" ht="15" hidden="false" customHeight="false" outlineLevel="0" collapsed="false">
      <c r="A20617" s="3" t="s">
        <v>553</v>
      </c>
      <c r="C20617" s="16" t="n">
        <f aca="false">C20616*Assumptions!$C$15</f>
        <v>107.521275866667</v>
      </c>
    </row>
    <row r="20618" customFormat="false" ht="15" hidden="false" customHeight="false" outlineLevel="0" collapsed="false">
      <c r="A20618" s="2" t="s">
        <v>554</v>
      </c>
      <c r="C20618" s="17" t="n">
        <f aca="false">C20616-C20617</f>
        <v>2580.5106208</v>
      </c>
    </row>
    <row r="20619" customFormat="false" ht="15" hidden="false" customHeight="false" outlineLevel="0" collapsed="false">
      <c r="A20619" s="24" t="s">
        <v>555</v>
      </c>
      <c r="B20619" s="25"/>
      <c r="C20619" s="25"/>
      <c r="D20619" s="25"/>
      <c r="E20619" s="25"/>
      <c r="F20619" s="25"/>
      <c r="G20619" s="25"/>
      <c r="H20619" s="25"/>
      <c r="I20619" s="25"/>
      <c r="J20619" s="25"/>
      <c r="K20619" s="25"/>
    </row>
    <row r="20620" customFormat="false" ht="15" hidden="false" customHeight="false" outlineLevel="0" collapsed="false">
      <c r="A20620" s="3" t="s">
        <v>556</v>
      </c>
      <c r="C20620" s="16" t="n">
        <f aca="false">SUMPRODUCT($G$20608:$K$20608,$G$20365:$K$20365)*(1+SUMPRODUCT($G$20608:$K$20608,$G$20357:$K$20357)*Assumptions!$C$16/12)</f>
        <v>403.76</v>
      </c>
    </row>
    <row r="20621" customFormat="false" ht="15" hidden="false" customHeight="false" outlineLevel="0" collapsed="false">
      <c r="A20621" s="3" t="s">
        <v>557</v>
      </c>
      <c r="C20621" s="16" t="n">
        <f aca="false">SUMPRODUCT($G$20608:$K$20608,$G$20378:$K$20378)*(1+SUMPRODUCT($G$20608:$K$20608,$G$20370:$K$20370)*Assumptions!$C$16/12)</f>
        <v>91.30725</v>
      </c>
    </row>
    <row r="20622" customFormat="false" ht="15" hidden="false" customHeight="false" outlineLevel="0" collapsed="false">
      <c r="A20622" s="3" t="s">
        <v>558</v>
      </c>
      <c r="C20622" s="16" t="n">
        <f aca="false">SUMPRODUCT($G$20608:$K$20608,$G$20391:$K$20391)*(1+SUMPRODUCT($G$20608:$K$20608,$G$20383:$K$20383)*Assumptions!$C$16/12)</f>
        <v>58.3715961</v>
      </c>
    </row>
    <row r="20623" customFormat="false" ht="15" hidden="false" customHeight="false" outlineLevel="0" collapsed="false">
      <c r="A20623" s="3" t="s">
        <v>559</v>
      </c>
      <c r="C20623" s="16" t="n">
        <f aca="false">SUMPRODUCT($G$20608:$K$20608,$G$20404:$K$20404)*(1+SUMPRODUCT($G$20608:$K$20608,$G$20396:$K$20396)*Assumptions!$C$16/12)</f>
        <v>0</v>
      </c>
    </row>
    <row r="20624" customFormat="false" ht="15" hidden="false" customHeight="false" outlineLevel="0" collapsed="false">
      <c r="A20624" s="3" t="s">
        <v>560</v>
      </c>
      <c r="C20624" s="16" t="n">
        <f aca="false">SUMPRODUCT($G$20608:$K$20608,$G$20417:$K$20417)*(1+SUMPRODUCT($G$20608:$K$20608,$G$20409:$K$20409)*Assumptions!$C$16/12)</f>
        <v>416.756377366125</v>
      </c>
    </row>
    <row r="20625" customFormat="false" ht="15" hidden="false" customHeight="false" outlineLevel="0" collapsed="false">
      <c r="A20625" s="3" t="s">
        <v>561</v>
      </c>
      <c r="C20625" s="16" t="n">
        <f aca="false">SUMPRODUCT($G$20608:$K$20608,$G$20430:$K$20430)*(1+SUMPRODUCT($G$20608:$K$20608,$G$20422:$K$20422)*Assumptions!$C$16/12)</f>
        <v>357.2625</v>
      </c>
    </row>
    <row r="20626" customFormat="false" ht="15" hidden="false" customHeight="false" outlineLevel="0" collapsed="false">
      <c r="A20626" s="3" t="s">
        <v>562</v>
      </c>
      <c r="C20626" s="16" t="n">
        <f aca="false">SUMPRODUCT($G$20608:$K$20608,$G$20443:$K$20443)*(1+SUMPRODUCT($G$20608:$K$20608,$G$20435:$K$20435)*Assumptions!$C$16/12)</f>
        <v>562.203125</v>
      </c>
    </row>
    <row r="20627" customFormat="false" ht="15" hidden="false" customHeight="false" outlineLevel="0" collapsed="false">
      <c r="A20627" s="3" t="s">
        <v>563</v>
      </c>
      <c r="C20627" s="16" t="n">
        <f aca="false">SUMPRODUCT($G$20608:$K$20608,$G$20456:$K$20456)*(1+SUMPRODUCT($G$20608:$K$20608,$G$20448:$K$20448)*Assumptions!$C$16/12)</f>
        <v>353.98125</v>
      </c>
    </row>
    <row r="20628" customFormat="false" ht="15" hidden="false" customHeight="false" outlineLevel="0" collapsed="false">
      <c r="A20628" s="3" t="s">
        <v>564</v>
      </c>
      <c r="C20628" s="16" t="n">
        <f aca="false">SUMPRODUCT($G$20608:$K$20608,$G$20469:$K$20469)*(1+SUMPRODUCT($G$20608:$K$20608,$G$20461:$K$20461)*Assumptions!$C$16/12)</f>
        <v>304.59375</v>
      </c>
    </row>
    <row r="20629" customFormat="false" ht="15" hidden="false" customHeight="false" outlineLevel="0" collapsed="false">
      <c r="A20629" s="3" t="s">
        <v>565</v>
      </c>
      <c r="C20629" s="16" t="n">
        <f aca="false">SUMPRODUCT($G$20608:$K$20608,$G$20482:$K$20482)*(1+SUMPRODUCT($G$20608:$K$20608,$G$20474:$K$20474)*Assumptions!$C$16/12)</f>
        <v>80.2332965</v>
      </c>
    </row>
    <row r="20630" customFormat="false" ht="15" hidden="false" customHeight="false" outlineLevel="0" collapsed="false">
      <c r="A20630" s="24" t="s">
        <v>566</v>
      </c>
      <c r="B20630" s="25"/>
      <c r="C20630" s="25"/>
      <c r="D20630" s="25"/>
      <c r="E20630" s="25"/>
      <c r="F20630" s="25"/>
      <c r="G20630" s="25"/>
      <c r="H20630" s="25"/>
      <c r="I20630" s="25"/>
      <c r="J20630" s="25"/>
      <c r="K20630" s="25"/>
    </row>
    <row r="20631" customFormat="false" ht="15" hidden="false" customHeight="false" outlineLevel="0" collapsed="false">
      <c r="A20631" s="3" t="s">
        <v>556</v>
      </c>
      <c r="C20631" s="27" t="n">
        <f aca="false">Assumptions!$M$57</f>
        <v>1</v>
      </c>
    </row>
    <row r="20632" customFormat="false" ht="15" hidden="false" customHeight="false" outlineLevel="0" collapsed="false">
      <c r="A20632" s="3" t="s">
        <v>557</v>
      </c>
      <c r="C20632" s="27" t="n">
        <f aca="false">Assumptions!$M$58</f>
        <v>1</v>
      </c>
    </row>
    <row r="20633" customFormat="false" ht="15" hidden="false" customHeight="false" outlineLevel="0" collapsed="false">
      <c r="A20633" s="3" t="s">
        <v>558</v>
      </c>
      <c r="C20633" s="27" t="n">
        <f aca="false">Assumptions!$M$59</f>
        <v>1</v>
      </c>
    </row>
    <row r="20634" customFormat="false" ht="15" hidden="false" customHeight="false" outlineLevel="0" collapsed="false">
      <c r="A20634" s="3" t="s">
        <v>559</v>
      </c>
      <c r="C20634" s="27" t="n">
        <f aca="false">Assumptions!$M$60</f>
        <v>2</v>
      </c>
    </row>
    <row r="20635" customFormat="false" ht="15" hidden="false" customHeight="false" outlineLevel="0" collapsed="false">
      <c r="A20635" s="3" t="s">
        <v>560</v>
      </c>
      <c r="C20635" s="27" t="n">
        <f aca="false">Assumptions!$M$61</f>
        <v>2</v>
      </c>
    </row>
    <row r="20636" customFormat="false" ht="15" hidden="false" customHeight="false" outlineLevel="0" collapsed="false">
      <c r="A20636" s="3" t="s">
        <v>561</v>
      </c>
      <c r="C20636" s="27" t="n">
        <f aca="false">Assumptions!$M$62</f>
        <v>2</v>
      </c>
    </row>
    <row r="20637" customFormat="false" ht="15" hidden="false" customHeight="false" outlineLevel="0" collapsed="false">
      <c r="A20637" s="3" t="s">
        <v>562</v>
      </c>
      <c r="C20637" s="27" t="n">
        <f aca="false">Assumptions!$M$63</f>
        <v>2</v>
      </c>
    </row>
    <row r="20638" customFormat="false" ht="15" hidden="false" customHeight="false" outlineLevel="0" collapsed="false">
      <c r="A20638" s="3" t="s">
        <v>563</v>
      </c>
      <c r="C20638" s="27" t="n">
        <f aca="false">Assumptions!$M$64</f>
        <v>2</v>
      </c>
    </row>
    <row r="20639" customFormat="false" ht="15" hidden="false" customHeight="false" outlineLevel="0" collapsed="false">
      <c r="A20639" s="3" t="s">
        <v>564</v>
      </c>
      <c r="C20639" s="27" t="n">
        <f aca="false">Assumptions!$M$65</f>
        <v>2</v>
      </c>
    </row>
    <row r="20640" customFormat="false" ht="15" hidden="false" customHeight="false" outlineLevel="0" collapsed="false">
      <c r="A20640" s="3" t="s">
        <v>565</v>
      </c>
      <c r="C20640" s="27" t="n">
        <f aca="false">Assumptions!$M$66</f>
        <v>3</v>
      </c>
    </row>
    <row r="20641" customFormat="false" ht="15" hidden="false" customHeight="false" outlineLevel="0" collapsed="false">
      <c r="A20641" s="24" t="s">
        <v>567</v>
      </c>
      <c r="B20641" s="25"/>
      <c r="C20641" s="25"/>
      <c r="D20641" s="25"/>
      <c r="E20641" s="25"/>
      <c r="F20641" s="25"/>
      <c r="G20641" s="25"/>
      <c r="H20641" s="25"/>
      <c r="I20641" s="25"/>
      <c r="J20641" s="25"/>
      <c r="K20641" s="25"/>
    </row>
    <row r="20642" customFormat="false" ht="15" hidden="false" customHeight="false" outlineLevel="0" collapsed="false">
      <c r="A20642" s="3" t="s">
        <v>556</v>
      </c>
      <c r="C20642" s="33" t="n">
        <f aca="false">Assumptions!$Q$57</f>
        <v>0.3</v>
      </c>
    </row>
    <row r="20643" customFormat="false" ht="15" hidden="false" customHeight="false" outlineLevel="0" collapsed="false">
      <c r="A20643" s="3" t="s">
        <v>557</v>
      </c>
      <c r="C20643" s="33" t="n">
        <f aca="false">Assumptions!$Q$58</f>
        <v>0.033</v>
      </c>
    </row>
    <row r="20644" customFormat="false" ht="15" hidden="false" customHeight="false" outlineLevel="0" collapsed="false">
      <c r="A20644" s="3" t="s">
        <v>558</v>
      </c>
      <c r="C20644" s="33" t="n">
        <f aca="false">Assumptions!$Q$59</f>
        <v>0.021</v>
      </c>
    </row>
    <row r="20645" customFormat="false" ht="15" hidden="false" customHeight="false" outlineLevel="0" collapsed="false">
      <c r="A20645" s="3" t="s">
        <v>559</v>
      </c>
      <c r="C20645" s="33" t="n">
        <f aca="false">Assumptions!$Q$60</f>
        <v>0</v>
      </c>
    </row>
    <row r="20646" customFormat="false" ht="15" hidden="false" customHeight="false" outlineLevel="0" collapsed="false">
      <c r="A20646" s="3" t="s">
        <v>560</v>
      </c>
      <c r="C20646" s="33" t="n">
        <f aca="false">Assumptions!$Q$61</f>
        <v>0</v>
      </c>
    </row>
    <row r="20647" customFormat="false" ht="15" hidden="false" customHeight="false" outlineLevel="0" collapsed="false">
      <c r="A20647" s="3" t="s">
        <v>561</v>
      </c>
      <c r="C20647" s="33" t="n">
        <f aca="false">Assumptions!$Q$62</f>
        <v>0</v>
      </c>
    </row>
    <row r="20648" customFormat="false" ht="15" hidden="false" customHeight="false" outlineLevel="0" collapsed="false">
      <c r="A20648" s="3" t="s">
        <v>562</v>
      </c>
      <c r="C20648" s="33" t="n">
        <f aca="false">Assumptions!$Q$63</f>
        <v>0</v>
      </c>
    </row>
    <row r="20649" customFormat="false" ht="15" hidden="false" customHeight="false" outlineLevel="0" collapsed="false">
      <c r="A20649" s="3" t="s">
        <v>563</v>
      </c>
      <c r="C20649" s="33" t="n">
        <f aca="false">Assumptions!$Q$64</f>
        <v>0</v>
      </c>
    </row>
    <row r="20650" customFormat="false" ht="15" hidden="false" customHeight="false" outlineLevel="0" collapsed="false">
      <c r="A20650" s="3" t="s">
        <v>564</v>
      </c>
      <c r="C20650" s="33" t="n">
        <f aca="false">Assumptions!$Q$65</f>
        <v>0</v>
      </c>
    </row>
    <row r="20651" customFormat="false" ht="15" hidden="false" customHeight="false" outlineLevel="0" collapsed="false">
      <c r="A20651" s="3" t="s">
        <v>565</v>
      </c>
      <c r="C20651" s="33" t="n">
        <f aca="false">Assumptions!$Q$66</f>
        <v>0</v>
      </c>
    </row>
    <row r="20652" customFormat="false" ht="15" hidden="false" customHeight="false" outlineLevel="0" collapsed="false">
      <c r="A20652" s="24" t="s">
        <v>568</v>
      </c>
      <c r="B20652" s="25"/>
      <c r="C20652" s="25"/>
      <c r="D20652" s="25"/>
      <c r="E20652" s="25"/>
      <c r="F20652" s="25"/>
      <c r="G20652" s="25"/>
      <c r="H20652" s="25"/>
      <c r="I20652" s="25"/>
      <c r="J20652" s="25"/>
      <c r="K20652" s="25"/>
    </row>
    <row r="20653" customFormat="false" ht="15" hidden="false" customHeight="false" outlineLevel="0" collapsed="false">
      <c r="A20653" s="3" t="s">
        <v>556</v>
      </c>
      <c r="C20653" s="16" t="n">
        <f aca="false">IF(C20642&gt;0,MIN(C20620,C20642*$C$20618),0)</f>
        <v>403.76</v>
      </c>
    </row>
    <row r="20654" customFormat="false" ht="15" hidden="false" customHeight="false" outlineLevel="0" collapsed="false">
      <c r="A20654" s="3" t="s">
        <v>557</v>
      </c>
      <c r="C20654" s="16" t="n">
        <f aca="false">IF(C20643&gt;0,MIN(C20621,C20643*$C$20618),0)</f>
        <v>85.1568504864</v>
      </c>
    </row>
    <row r="20655" customFormat="false" ht="15" hidden="false" customHeight="false" outlineLevel="0" collapsed="false">
      <c r="A20655" s="3" t="s">
        <v>558</v>
      </c>
      <c r="C20655" s="16" t="n">
        <f aca="false">IF(C20644&gt;0,MIN(C20622,C20644*$C$20618),0)</f>
        <v>54.1907230368</v>
      </c>
    </row>
    <row r="20656" customFormat="false" ht="15" hidden="false" customHeight="false" outlineLevel="0" collapsed="false">
      <c r="A20656" s="3" t="s">
        <v>559</v>
      </c>
      <c r="C20656" s="16" t="n">
        <f aca="false">IF(C20645&gt;0,MIN(C20623,C20645*$C$20618),0)</f>
        <v>0</v>
      </c>
    </row>
    <row r="20657" customFormat="false" ht="15" hidden="false" customHeight="false" outlineLevel="0" collapsed="false">
      <c r="A20657" s="3" t="s">
        <v>560</v>
      </c>
      <c r="C20657" s="16" t="n">
        <f aca="false">IF(C20646&gt;0,MIN(C20624,C20646*$C$20618),0)</f>
        <v>0</v>
      </c>
    </row>
    <row r="20658" customFormat="false" ht="15" hidden="false" customHeight="false" outlineLevel="0" collapsed="false">
      <c r="A20658" s="3" t="s">
        <v>561</v>
      </c>
      <c r="C20658" s="16" t="n">
        <f aca="false">IF(C20647&gt;0,MIN(C20625,C20647*$C$20618),0)</f>
        <v>0</v>
      </c>
    </row>
    <row r="20659" customFormat="false" ht="15" hidden="false" customHeight="false" outlineLevel="0" collapsed="false">
      <c r="A20659" s="3" t="s">
        <v>562</v>
      </c>
      <c r="C20659" s="16" t="n">
        <f aca="false">IF(C20648&gt;0,MIN(C20626,C20648*$C$20618),0)</f>
        <v>0</v>
      </c>
    </row>
    <row r="20660" customFormat="false" ht="15" hidden="false" customHeight="false" outlineLevel="0" collapsed="false">
      <c r="A20660" s="3" t="s">
        <v>563</v>
      </c>
      <c r="C20660" s="16" t="n">
        <f aca="false">IF(C20649&gt;0,MIN(C20627,C20649*$C$20618),0)</f>
        <v>0</v>
      </c>
    </row>
    <row r="20661" customFormat="false" ht="15" hidden="false" customHeight="false" outlineLevel="0" collapsed="false">
      <c r="A20661" s="3" t="s">
        <v>564</v>
      </c>
      <c r="C20661" s="16" t="n">
        <f aca="false">IF(C20650&gt;0,MIN(C20628,C20650*$C$20618),0)</f>
        <v>0</v>
      </c>
    </row>
    <row r="20662" customFormat="false" ht="15" hidden="false" customHeight="false" outlineLevel="0" collapsed="false">
      <c r="A20662" s="3" t="s">
        <v>565</v>
      </c>
      <c r="C20662" s="16" t="n">
        <f aca="false">IF(C20651&gt;0,MIN(C20629,C20651*$C$20618),0)</f>
        <v>0</v>
      </c>
    </row>
    <row r="20663" customFormat="false" ht="15" hidden="false" customHeight="false" outlineLevel="0" collapsed="false">
      <c r="A20663" s="24" t="s">
        <v>569</v>
      </c>
      <c r="B20663" s="25"/>
      <c r="C20663" s="25"/>
      <c r="D20663" s="25"/>
      <c r="E20663" s="25"/>
      <c r="F20663" s="25"/>
      <c r="G20663" s="25"/>
      <c r="H20663" s="25"/>
      <c r="I20663" s="25"/>
      <c r="J20663" s="25"/>
      <c r="K20663" s="25"/>
    </row>
    <row r="20664" customFormat="false" ht="15" hidden="false" customHeight="false" outlineLevel="0" collapsed="false">
      <c r="A20664" s="3" t="s">
        <v>556</v>
      </c>
      <c r="C20664" s="16" t="n">
        <f aca="false">IF(C20642&gt;0,C20620-C20653,0)</f>
        <v>0</v>
      </c>
      <c r="G20664" s="21" t="n">
        <f aca="false">IF(AND(G20355=1,G20352=1),1,0)</f>
        <v>0</v>
      </c>
      <c r="H20664" s="21" t="n">
        <f aca="false">IF(G20664=1,1,IF(AND(H20355=1,H20352=1),1,0))</f>
        <v>0</v>
      </c>
      <c r="I20664" s="21" t="n">
        <f aca="false">IF(H20664=1,1,IF(AND(I20355=1,I20352=1),1,0))</f>
        <v>0</v>
      </c>
      <c r="J20664" s="21" t="n">
        <f aca="false">IF(I20664=1,1,IF(AND(J20355=1,J20352=1),1,0))</f>
        <v>0</v>
      </c>
      <c r="K20664" s="21" t="n">
        <f aca="false">IF(J20664=1,1,IF(AND(K20355=1,K20352=1),1,0))</f>
        <v>0</v>
      </c>
    </row>
    <row r="20665" customFormat="false" ht="15" hidden="false" customHeight="false" outlineLevel="0" collapsed="false">
      <c r="A20665" s="3" t="s">
        <v>557</v>
      </c>
      <c r="C20665" s="16" t="n">
        <f aca="false">IF(C20643&gt;0,C20621-C20654,0)</f>
        <v>6.15039951360001</v>
      </c>
      <c r="G20665" s="21" t="n">
        <f aca="false">IF(AND(G20368=1,G20352=1),1,0)</f>
        <v>0</v>
      </c>
      <c r="H20665" s="21" t="n">
        <f aca="false">IF(G20665=1,1,IF(AND(H20368=1,H20352=1),1,0))</f>
        <v>0</v>
      </c>
      <c r="I20665" s="21" t="n">
        <f aca="false">IF(H20665=1,1,IF(AND(I20368=1,I20352=1),1,0))</f>
        <v>0</v>
      </c>
      <c r="J20665" s="21" t="n">
        <f aca="false">IF(I20665=1,1,IF(AND(J20368=1,J20352=1),1,0))</f>
        <v>0</v>
      </c>
      <c r="K20665" s="21" t="n">
        <f aca="false">IF(J20665=1,1,IF(AND(K20368=1,K20352=1),1,0))</f>
        <v>0</v>
      </c>
    </row>
    <row r="20666" customFormat="false" ht="15" hidden="false" customHeight="false" outlineLevel="0" collapsed="false">
      <c r="A20666" s="3" t="s">
        <v>558</v>
      </c>
      <c r="C20666" s="16" t="n">
        <f aca="false">IF(C20644&gt;0,C20622-C20655,0)</f>
        <v>4.1808730632</v>
      </c>
      <c r="G20666" s="21" t="n">
        <f aca="false">IF(AND(G20381=1,G20352=1),1,0)</f>
        <v>0</v>
      </c>
      <c r="H20666" s="21" t="n">
        <f aca="false">IF(G20666=1,1,IF(AND(H20381=1,H20352=1),1,0))</f>
        <v>0</v>
      </c>
      <c r="I20666" s="21" t="n">
        <f aca="false">IF(H20666=1,1,IF(AND(I20381=1,I20352=1),1,0))</f>
        <v>0</v>
      </c>
      <c r="J20666" s="21" t="n">
        <f aca="false">IF(I20666=1,1,IF(AND(J20381=1,J20352=1),1,0))</f>
        <v>0</v>
      </c>
      <c r="K20666" s="21" t="n">
        <f aca="false">IF(J20666=1,1,IF(AND(K20381=1,K20352=1),1,0))</f>
        <v>0</v>
      </c>
    </row>
    <row r="20667" customFormat="false" ht="15" hidden="false" customHeight="false" outlineLevel="0" collapsed="false">
      <c r="A20667" s="3" t="s">
        <v>559</v>
      </c>
      <c r="C20667" s="16" t="n">
        <f aca="false">IF(C20645&gt;0,C20623-C20656,0)</f>
        <v>0</v>
      </c>
      <c r="G20667" s="21" t="n">
        <f aca="false">IF(AND(G20394=1,G20352=1),1,0)</f>
        <v>0</v>
      </c>
      <c r="H20667" s="21" t="n">
        <f aca="false">IF(G20667=1,1,IF(AND(H20394=1,H20352=1),1,0))</f>
        <v>0</v>
      </c>
      <c r="I20667" s="21" t="n">
        <f aca="false">IF(H20667=1,1,IF(AND(I20394=1,I20352=1),1,0))</f>
        <v>0</v>
      </c>
      <c r="J20667" s="21" t="n">
        <f aca="false">IF(I20667=1,1,IF(AND(J20394=1,J20352=1),1,0))</f>
        <v>0</v>
      </c>
      <c r="K20667" s="21" t="n">
        <f aca="false">IF(J20667=1,1,IF(AND(K20394=1,K20352=1),1,0))</f>
        <v>0</v>
      </c>
    </row>
    <row r="20668" customFormat="false" ht="15" hidden="false" customHeight="false" outlineLevel="0" collapsed="false">
      <c r="A20668" s="3" t="s">
        <v>560</v>
      </c>
      <c r="C20668" s="16" t="n">
        <f aca="false">IF(C20646&gt;0,C20624-C20657,0)</f>
        <v>0</v>
      </c>
      <c r="G20668" s="21" t="n">
        <f aca="false">IF(AND(G20407=1,G20352=1),1,0)</f>
        <v>0</v>
      </c>
      <c r="H20668" s="21" t="n">
        <f aca="false">IF(G20668=1,1,IF(AND(H20407=1,H20352=1),1,0))</f>
        <v>0</v>
      </c>
      <c r="I20668" s="21" t="n">
        <f aca="false">IF(H20668=1,1,IF(AND(I20407=1,I20352=1),1,0))</f>
        <v>0</v>
      </c>
      <c r="J20668" s="21" t="n">
        <f aca="false">IF(I20668=1,1,IF(AND(J20407=1,J20352=1),1,0))</f>
        <v>0</v>
      </c>
      <c r="K20668" s="21" t="n">
        <f aca="false">IF(J20668=1,1,IF(AND(K20407=1,K20352=1),1,0))</f>
        <v>0</v>
      </c>
    </row>
    <row r="20669" customFormat="false" ht="15" hidden="false" customHeight="false" outlineLevel="0" collapsed="false">
      <c r="A20669" s="3" t="s">
        <v>561</v>
      </c>
      <c r="C20669" s="16" t="n">
        <f aca="false">IF(C20647&gt;0,C20625-C20658,0)</f>
        <v>0</v>
      </c>
      <c r="G20669" s="21" t="n">
        <f aca="false">IF(AND(G20420=1,G20352=1),1,0)</f>
        <v>0</v>
      </c>
      <c r="H20669" s="21" t="n">
        <f aca="false">IF(G20669=1,1,IF(AND(H20420=1,H20352=1),1,0))</f>
        <v>0</v>
      </c>
      <c r="I20669" s="21" t="n">
        <f aca="false">IF(H20669=1,1,IF(AND(I20420=1,I20352=1),1,0))</f>
        <v>0</v>
      </c>
      <c r="J20669" s="21" t="n">
        <f aca="false">IF(I20669=1,1,IF(AND(J20420=1,J20352=1),1,0))</f>
        <v>0</v>
      </c>
      <c r="K20669" s="21" t="n">
        <f aca="false">IF(J20669=1,1,IF(AND(K20420=1,K20352=1),1,0))</f>
        <v>0</v>
      </c>
    </row>
    <row r="20670" customFormat="false" ht="15" hidden="false" customHeight="false" outlineLevel="0" collapsed="false">
      <c r="A20670" s="3" t="s">
        <v>562</v>
      </c>
      <c r="C20670" s="16" t="n">
        <f aca="false">IF(C20648&gt;0,C20626-C20659,0)</f>
        <v>0</v>
      </c>
      <c r="G20670" s="21" t="n">
        <f aca="false">IF(AND(G20433=1,G20352=1),1,0)</f>
        <v>0</v>
      </c>
      <c r="H20670" s="21" t="n">
        <f aca="false">IF(G20670=1,1,IF(AND(H20433=1,H20352=1),1,0))</f>
        <v>0</v>
      </c>
      <c r="I20670" s="21" t="n">
        <f aca="false">IF(H20670=1,1,IF(AND(I20433=1,I20352=1),1,0))</f>
        <v>0</v>
      </c>
      <c r="J20670" s="21" t="n">
        <f aca="false">IF(I20670=1,1,IF(AND(J20433=1,J20352=1),1,0))</f>
        <v>0</v>
      </c>
      <c r="K20670" s="21" t="n">
        <f aca="false">IF(J20670=1,1,IF(AND(K20433=1,K20352=1),1,0))</f>
        <v>0</v>
      </c>
    </row>
    <row r="20671" customFormat="false" ht="15" hidden="false" customHeight="false" outlineLevel="0" collapsed="false">
      <c r="A20671" s="3" t="s">
        <v>563</v>
      </c>
      <c r="C20671" s="16" t="n">
        <f aca="false">IF(C20649&gt;0,C20627-C20660,0)</f>
        <v>0</v>
      </c>
      <c r="G20671" s="21" t="n">
        <f aca="false">IF(AND(G20446=1,G20352=1),1,0)</f>
        <v>0</v>
      </c>
      <c r="H20671" s="21" t="n">
        <f aca="false">IF(G20671=1,1,IF(AND(H20446=1,H20352=1),1,0))</f>
        <v>0</v>
      </c>
      <c r="I20671" s="21" t="n">
        <f aca="false">IF(H20671=1,1,IF(AND(I20446=1,I20352=1),1,0))</f>
        <v>0</v>
      </c>
      <c r="J20671" s="21" t="n">
        <f aca="false">IF(I20671=1,1,IF(AND(J20446=1,J20352=1),1,0))</f>
        <v>0</v>
      </c>
      <c r="K20671" s="21" t="n">
        <f aca="false">IF(J20671=1,1,IF(AND(K20446=1,K20352=1),1,0))</f>
        <v>0</v>
      </c>
    </row>
    <row r="20672" customFormat="false" ht="15" hidden="false" customHeight="false" outlineLevel="0" collapsed="false">
      <c r="A20672" s="3" t="s">
        <v>564</v>
      </c>
      <c r="C20672" s="16" t="n">
        <f aca="false">IF(C20650&gt;0,C20628-C20661,0)</f>
        <v>0</v>
      </c>
      <c r="G20672" s="21" t="n">
        <f aca="false">IF(AND(G20459=1,G20352=1),1,0)</f>
        <v>0</v>
      </c>
      <c r="H20672" s="21" t="n">
        <f aca="false">IF(G20672=1,1,IF(AND(H20459=1,H20352=1),1,0))</f>
        <v>0</v>
      </c>
      <c r="I20672" s="21" t="n">
        <f aca="false">IF(H20672=1,1,IF(AND(I20459=1,I20352=1),1,0))</f>
        <v>0</v>
      </c>
      <c r="J20672" s="21" t="n">
        <f aca="false">IF(I20672=1,1,IF(AND(J20459=1,J20352=1),1,0))</f>
        <v>0</v>
      </c>
      <c r="K20672" s="21" t="n">
        <f aca="false">IF(J20672=1,1,IF(AND(K20459=1,K20352=1),1,0))</f>
        <v>0</v>
      </c>
    </row>
    <row r="20673" customFormat="false" ht="15" hidden="false" customHeight="false" outlineLevel="0" collapsed="false">
      <c r="A20673" s="3" t="s">
        <v>565</v>
      </c>
      <c r="C20673" s="16" t="n">
        <f aca="false">IF(C20651&gt;0,C20629-C20662,0)</f>
        <v>0</v>
      </c>
      <c r="G20673" s="21" t="n">
        <f aca="false">IF(AND(G20472=1,G20352=1),1,0)</f>
        <v>0</v>
      </c>
      <c r="H20673" s="21" t="n">
        <f aca="false">IF(G20673=1,1,IF(AND(H20472=1,H20352=1),1,0))</f>
        <v>0</v>
      </c>
      <c r="I20673" s="21" t="n">
        <f aca="false">IF(H20673=1,1,IF(AND(I20472=1,I20352=1),1,0))</f>
        <v>0</v>
      </c>
      <c r="J20673" s="21" t="n">
        <f aca="false">IF(I20673=1,1,IF(AND(J20472=1,J20352=1),1,0))</f>
        <v>0</v>
      </c>
      <c r="K20673" s="21" t="n">
        <f aca="false">IF(J20673=1,1,IF(AND(K20472=1,K20352=1),1,0))</f>
        <v>0</v>
      </c>
    </row>
    <row r="20674" customFormat="false" ht="15" hidden="false" customHeight="false" outlineLevel="0" collapsed="false">
      <c r="A20674" s="24" t="s">
        <v>570</v>
      </c>
      <c r="B20674" s="25"/>
      <c r="C20674" s="25"/>
      <c r="D20674" s="25"/>
      <c r="E20674" s="25"/>
      <c r="F20674" s="25"/>
      <c r="G20674" s="25"/>
      <c r="H20674" s="25"/>
      <c r="I20674" s="25"/>
      <c r="J20674" s="25"/>
      <c r="K20674" s="25"/>
    </row>
    <row r="20675" customFormat="false" ht="15" hidden="false" customHeight="false" outlineLevel="0" collapsed="false">
      <c r="A20675" s="3" t="s">
        <v>556</v>
      </c>
      <c r="C20675" s="16" t="n">
        <f aca="false">IF(C20642&gt;0,C20664,C20620)</f>
        <v>0</v>
      </c>
    </row>
    <row r="20676" customFormat="false" ht="15" hidden="false" customHeight="false" outlineLevel="0" collapsed="false">
      <c r="A20676" s="3" t="s">
        <v>557</v>
      </c>
      <c r="C20676" s="16" t="n">
        <f aca="false">IF(C20643&gt;0,C20665,C20621)</f>
        <v>6.15039951360001</v>
      </c>
    </row>
    <row r="20677" customFormat="false" ht="15" hidden="false" customHeight="false" outlineLevel="0" collapsed="false">
      <c r="A20677" s="3" t="s">
        <v>558</v>
      </c>
      <c r="C20677" s="16" t="n">
        <f aca="false">IF(C20644&gt;0,C20666,C20622)</f>
        <v>4.1808730632</v>
      </c>
    </row>
    <row r="20678" customFormat="false" ht="15" hidden="false" customHeight="false" outlineLevel="0" collapsed="false">
      <c r="A20678" s="3" t="s">
        <v>559</v>
      </c>
      <c r="C20678" s="16" t="n">
        <f aca="false">IF(C20645&gt;0,C20667,C20623)</f>
        <v>0</v>
      </c>
    </row>
    <row r="20679" customFormat="false" ht="15" hidden="false" customHeight="false" outlineLevel="0" collapsed="false">
      <c r="A20679" s="3" t="s">
        <v>560</v>
      </c>
      <c r="C20679" s="16" t="n">
        <f aca="false">IF(C20646&gt;0,C20668,C20624)</f>
        <v>416.756377366125</v>
      </c>
    </row>
    <row r="20680" customFormat="false" ht="15" hidden="false" customHeight="false" outlineLevel="0" collapsed="false">
      <c r="A20680" s="3" t="s">
        <v>561</v>
      </c>
      <c r="C20680" s="16" t="n">
        <f aca="false">IF(C20647&gt;0,C20669,C20625)</f>
        <v>357.2625</v>
      </c>
    </row>
    <row r="20681" customFormat="false" ht="15" hidden="false" customHeight="false" outlineLevel="0" collapsed="false">
      <c r="A20681" s="3" t="s">
        <v>562</v>
      </c>
      <c r="C20681" s="16" t="n">
        <f aca="false">IF(C20648&gt;0,C20670,C20626)</f>
        <v>562.203125</v>
      </c>
    </row>
    <row r="20682" customFormat="false" ht="15" hidden="false" customHeight="false" outlineLevel="0" collapsed="false">
      <c r="A20682" s="3" t="s">
        <v>563</v>
      </c>
      <c r="C20682" s="16" t="n">
        <f aca="false">IF(C20649&gt;0,C20671,C20627)</f>
        <v>353.98125</v>
      </c>
    </row>
    <row r="20683" customFormat="false" ht="15" hidden="false" customHeight="false" outlineLevel="0" collapsed="false">
      <c r="A20683" s="3" t="s">
        <v>564</v>
      </c>
      <c r="C20683" s="16" t="n">
        <f aca="false">IF(C20650&gt;0,C20672,C20628)</f>
        <v>304.59375</v>
      </c>
    </row>
    <row r="20684" customFormat="false" ht="15" hidden="false" customHeight="false" outlineLevel="0" collapsed="false">
      <c r="A20684" s="3" t="s">
        <v>565</v>
      </c>
      <c r="C20684" s="16" t="n">
        <f aca="false">IF(C20651&gt;0,C20673,C20629)</f>
        <v>80.2332965</v>
      </c>
    </row>
    <row r="20685" customFormat="false" ht="15" hidden="false" customHeight="false" outlineLevel="0" collapsed="false">
      <c r="A20685" s="24" t="s">
        <v>571</v>
      </c>
      <c r="B20685" s="25"/>
      <c r="C20685" s="25"/>
      <c r="D20685" s="25"/>
      <c r="E20685" s="25"/>
      <c r="F20685" s="25"/>
      <c r="G20685" s="25"/>
      <c r="H20685" s="25"/>
      <c r="I20685" s="25"/>
      <c r="J20685" s="25"/>
      <c r="K20685" s="25"/>
    </row>
    <row r="20686" customFormat="false" ht="15" hidden="false" customHeight="false" outlineLevel="0" collapsed="false">
      <c r="A20686" s="3" t="s">
        <v>556</v>
      </c>
      <c r="C20686" s="21" t="n">
        <f aca="false">IF(C20642&gt;0,Assumptions!$C$17,C20631)</f>
        <v>99</v>
      </c>
    </row>
    <row r="20687" customFormat="false" ht="15" hidden="false" customHeight="false" outlineLevel="0" collapsed="false">
      <c r="A20687" s="3" t="s">
        <v>557</v>
      </c>
      <c r="C20687" s="21" t="n">
        <f aca="false">IF(C20643&gt;0,Assumptions!$C$17,C20632)</f>
        <v>99</v>
      </c>
    </row>
    <row r="20688" customFormat="false" ht="15" hidden="false" customHeight="false" outlineLevel="0" collapsed="false">
      <c r="A20688" s="3" t="s">
        <v>558</v>
      </c>
      <c r="C20688" s="21" t="n">
        <f aca="false">IF(C20644&gt;0,Assumptions!$C$17,C20633)</f>
        <v>99</v>
      </c>
    </row>
    <row r="20689" customFormat="false" ht="15" hidden="false" customHeight="false" outlineLevel="0" collapsed="false">
      <c r="A20689" s="3" t="s">
        <v>559</v>
      </c>
      <c r="C20689" s="21" t="n">
        <f aca="false">IF(C20645&gt;0,Assumptions!$C$17,C20634)</f>
        <v>2</v>
      </c>
    </row>
    <row r="20690" customFormat="false" ht="15" hidden="false" customHeight="false" outlineLevel="0" collapsed="false">
      <c r="A20690" s="3" t="s">
        <v>560</v>
      </c>
      <c r="C20690" s="21" t="n">
        <f aca="false">IF(C20646&gt;0,Assumptions!$C$17,C20635)</f>
        <v>2</v>
      </c>
    </row>
    <row r="20691" customFormat="false" ht="15" hidden="false" customHeight="false" outlineLevel="0" collapsed="false">
      <c r="A20691" s="3" t="s">
        <v>561</v>
      </c>
      <c r="C20691" s="21" t="n">
        <f aca="false">IF(C20647&gt;0,Assumptions!$C$17,C20636)</f>
        <v>2</v>
      </c>
    </row>
    <row r="20692" customFormat="false" ht="15" hidden="false" customHeight="false" outlineLevel="0" collapsed="false">
      <c r="A20692" s="3" t="s">
        <v>562</v>
      </c>
      <c r="C20692" s="21" t="n">
        <f aca="false">IF(C20648&gt;0,Assumptions!$C$17,C20637)</f>
        <v>2</v>
      </c>
    </row>
    <row r="20693" customFormat="false" ht="15" hidden="false" customHeight="false" outlineLevel="0" collapsed="false">
      <c r="A20693" s="3" t="s">
        <v>563</v>
      </c>
      <c r="C20693" s="21" t="n">
        <f aca="false">IF(C20649&gt;0,Assumptions!$C$17,C20638)</f>
        <v>2</v>
      </c>
    </row>
    <row r="20694" customFormat="false" ht="15" hidden="false" customHeight="false" outlineLevel="0" collapsed="false">
      <c r="A20694" s="3" t="s">
        <v>564</v>
      </c>
      <c r="C20694" s="21" t="n">
        <f aca="false">IF(C20650&gt;0,Assumptions!$C$17,C20639)</f>
        <v>2</v>
      </c>
    </row>
    <row r="20695" customFormat="false" ht="15" hidden="false" customHeight="false" outlineLevel="0" collapsed="false">
      <c r="A20695" s="3" t="s">
        <v>565</v>
      </c>
      <c r="C20695" s="21" t="n">
        <f aca="false">IF(C20651&gt;0,Assumptions!$C$17,C20640)</f>
        <v>3</v>
      </c>
    </row>
    <row r="20696" customFormat="false" ht="15" hidden="false" customHeight="false" outlineLevel="0" collapsed="false">
      <c r="A20696" s="24" t="s">
        <v>572</v>
      </c>
      <c r="B20696" s="25"/>
      <c r="C20696" s="25"/>
      <c r="D20696" s="25"/>
      <c r="E20696" s="25"/>
      <c r="F20696" s="25"/>
      <c r="G20696" s="25"/>
      <c r="H20696" s="25"/>
      <c r="I20696" s="25"/>
      <c r="J20696" s="25"/>
      <c r="K20696" s="25"/>
    </row>
    <row r="20697" customFormat="false" ht="15" hidden="false" customHeight="false" outlineLevel="0" collapsed="false">
      <c r="A20697" s="3" t="s">
        <v>556</v>
      </c>
      <c r="C20697" s="16" t="n">
        <f aca="false">SUMPRODUCT(($C$20686:$C$20695&lt;C20686)*$C$20675:$C$20684)</f>
        <v>2075.03029886613</v>
      </c>
    </row>
    <row r="20698" customFormat="false" ht="15" hidden="false" customHeight="false" outlineLevel="0" collapsed="false">
      <c r="A20698" s="3" t="s">
        <v>557</v>
      </c>
      <c r="C20698" s="16" t="n">
        <f aca="false">SUMPRODUCT(($C$20686:$C$20695&lt;C20687)*$C$20675:$C$20684)</f>
        <v>2075.03029886613</v>
      </c>
    </row>
    <row r="20699" customFormat="false" ht="15" hidden="false" customHeight="false" outlineLevel="0" collapsed="false">
      <c r="A20699" s="3" t="s">
        <v>558</v>
      </c>
      <c r="C20699" s="16" t="n">
        <f aca="false">SUMPRODUCT(($C$20686:$C$20695&lt;C20688)*$C$20675:$C$20684)</f>
        <v>2075.03029886613</v>
      </c>
    </row>
    <row r="20700" customFormat="false" ht="15" hidden="false" customHeight="false" outlineLevel="0" collapsed="false">
      <c r="A20700" s="3" t="s">
        <v>559</v>
      </c>
      <c r="C20700" s="16" t="n">
        <f aca="false">SUMPRODUCT(($C$20686:$C$20695&lt;C20689)*$C$20675:$C$20684)</f>
        <v>0</v>
      </c>
    </row>
    <row r="20701" customFormat="false" ht="15" hidden="false" customHeight="false" outlineLevel="0" collapsed="false">
      <c r="A20701" s="3" t="s">
        <v>560</v>
      </c>
      <c r="C20701" s="16" t="n">
        <f aca="false">SUMPRODUCT(($C$20686:$C$20695&lt;C20690)*$C$20675:$C$20684)</f>
        <v>0</v>
      </c>
    </row>
    <row r="20702" customFormat="false" ht="15" hidden="false" customHeight="false" outlineLevel="0" collapsed="false">
      <c r="A20702" s="3" t="s">
        <v>561</v>
      </c>
      <c r="C20702" s="16" t="n">
        <f aca="false">SUMPRODUCT(($C$20686:$C$20695&lt;C20691)*$C$20675:$C$20684)</f>
        <v>0</v>
      </c>
    </row>
    <row r="20703" customFormat="false" ht="15" hidden="false" customHeight="false" outlineLevel="0" collapsed="false">
      <c r="A20703" s="3" t="s">
        <v>562</v>
      </c>
      <c r="C20703" s="16" t="n">
        <f aca="false">SUMPRODUCT(($C$20686:$C$20695&lt;C20692)*$C$20675:$C$20684)</f>
        <v>0</v>
      </c>
    </row>
    <row r="20704" customFormat="false" ht="15" hidden="false" customHeight="false" outlineLevel="0" collapsed="false">
      <c r="A20704" s="3" t="s">
        <v>563</v>
      </c>
      <c r="C20704" s="16" t="n">
        <f aca="false">SUMPRODUCT(($C$20686:$C$20695&lt;C20693)*$C$20675:$C$20684)</f>
        <v>0</v>
      </c>
    </row>
    <row r="20705" customFormat="false" ht="15" hidden="false" customHeight="false" outlineLevel="0" collapsed="false">
      <c r="A20705" s="3" t="s">
        <v>564</v>
      </c>
      <c r="C20705" s="16" t="n">
        <f aca="false">SUMPRODUCT(($C$20686:$C$20695&lt;C20694)*$C$20675:$C$20684)</f>
        <v>0</v>
      </c>
    </row>
    <row r="20706" customFormat="false" ht="15" hidden="false" customHeight="false" outlineLevel="0" collapsed="false">
      <c r="A20706" s="3" t="s">
        <v>565</v>
      </c>
      <c r="C20706" s="16" t="n">
        <f aca="false">SUMPRODUCT(($C$20686:$C$20695&lt;C20695)*$C$20675:$C$20684)</f>
        <v>1994.79700236613</v>
      </c>
    </row>
    <row r="20707" customFormat="false" ht="15" hidden="false" customHeight="false" outlineLevel="0" collapsed="false">
      <c r="A20707" s="24" t="s">
        <v>573</v>
      </c>
      <c r="B20707" s="25"/>
      <c r="C20707" s="25"/>
      <c r="D20707" s="25"/>
      <c r="E20707" s="25"/>
      <c r="F20707" s="25"/>
      <c r="G20707" s="25"/>
      <c r="H20707" s="25"/>
      <c r="I20707" s="25"/>
      <c r="J20707" s="25"/>
      <c r="K20707" s="25"/>
    </row>
    <row r="20708" customFormat="false" ht="15" hidden="false" customHeight="false" outlineLevel="0" collapsed="false">
      <c r="A20708" s="3" t="s">
        <v>556</v>
      </c>
      <c r="C20708" s="16" t="n">
        <f aca="false">SUMPRODUCT(($C$20686:$C$20695=C20686)*$C$20675:$C$20684)</f>
        <v>10.3312725768</v>
      </c>
    </row>
    <row r="20709" customFormat="false" ht="15" hidden="false" customHeight="false" outlineLevel="0" collapsed="false">
      <c r="A20709" s="3" t="s">
        <v>557</v>
      </c>
      <c r="C20709" s="16" t="n">
        <f aca="false">SUMPRODUCT(($C$20686:$C$20695=C20687)*$C$20675:$C$20684)</f>
        <v>10.3312725768</v>
      </c>
    </row>
    <row r="20710" customFormat="false" ht="15" hidden="false" customHeight="false" outlineLevel="0" collapsed="false">
      <c r="A20710" s="3" t="s">
        <v>558</v>
      </c>
      <c r="C20710" s="16" t="n">
        <f aca="false">SUMPRODUCT(($C$20686:$C$20695=C20688)*$C$20675:$C$20684)</f>
        <v>10.3312725768</v>
      </c>
    </row>
    <row r="20711" customFormat="false" ht="15" hidden="false" customHeight="false" outlineLevel="0" collapsed="false">
      <c r="A20711" s="3" t="s">
        <v>559</v>
      </c>
      <c r="C20711" s="16" t="n">
        <f aca="false">SUMPRODUCT(($C$20686:$C$20695=C20689)*$C$20675:$C$20684)</f>
        <v>1994.79700236613</v>
      </c>
    </row>
    <row r="20712" customFormat="false" ht="15" hidden="false" customHeight="false" outlineLevel="0" collapsed="false">
      <c r="A20712" s="3" t="s">
        <v>560</v>
      </c>
      <c r="C20712" s="16" t="n">
        <f aca="false">SUMPRODUCT(($C$20686:$C$20695=C20690)*$C$20675:$C$20684)</f>
        <v>1994.79700236613</v>
      </c>
    </row>
    <row r="20713" customFormat="false" ht="15" hidden="false" customHeight="false" outlineLevel="0" collapsed="false">
      <c r="A20713" s="3" t="s">
        <v>561</v>
      </c>
      <c r="C20713" s="16" t="n">
        <f aca="false">SUMPRODUCT(($C$20686:$C$20695=C20691)*$C$20675:$C$20684)</f>
        <v>1994.79700236613</v>
      </c>
    </row>
    <row r="20714" customFormat="false" ht="15" hidden="false" customHeight="false" outlineLevel="0" collapsed="false">
      <c r="A20714" s="3" t="s">
        <v>562</v>
      </c>
      <c r="C20714" s="16" t="n">
        <f aca="false">SUMPRODUCT(($C$20686:$C$20695=C20692)*$C$20675:$C$20684)</f>
        <v>1994.79700236613</v>
      </c>
    </row>
    <row r="20715" customFormat="false" ht="15" hidden="false" customHeight="false" outlineLevel="0" collapsed="false">
      <c r="A20715" s="3" t="s">
        <v>563</v>
      </c>
      <c r="C20715" s="16" t="n">
        <f aca="false">SUMPRODUCT(($C$20686:$C$20695=C20693)*$C$20675:$C$20684)</f>
        <v>1994.79700236613</v>
      </c>
    </row>
    <row r="20716" customFormat="false" ht="15" hidden="false" customHeight="false" outlineLevel="0" collapsed="false">
      <c r="A20716" s="3" t="s">
        <v>564</v>
      </c>
      <c r="C20716" s="16" t="n">
        <f aca="false">SUMPRODUCT(($C$20686:$C$20695=C20694)*$C$20675:$C$20684)</f>
        <v>1994.79700236613</v>
      </c>
    </row>
    <row r="20717" customFormat="false" ht="15" hidden="false" customHeight="false" outlineLevel="0" collapsed="false">
      <c r="A20717" s="3" t="s">
        <v>565</v>
      </c>
      <c r="C20717" s="16" t="n">
        <f aca="false">SUMPRODUCT(($C$20686:$C$20695=C20695)*$C$20675:$C$20684)</f>
        <v>80.2332965</v>
      </c>
    </row>
    <row r="20718" customFormat="false" ht="15" hidden="false" customHeight="false" outlineLevel="0" collapsed="false">
      <c r="A20718" s="24" t="s">
        <v>574</v>
      </c>
      <c r="B20718" s="25"/>
      <c r="C20718" s="25"/>
      <c r="D20718" s="25"/>
      <c r="E20718" s="25"/>
      <c r="F20718" s="25"/>
      <c r="G20718" s="25"/>
      <c r="H20718" s="25"/>
      <c r="I20718" s="25"/>
      <c r="J20718" s="25"/>
      <c r="K20718" s="25"/>
    </row>
    <row r="20719" customFormat="false" ht="15" hidden="false" customHeight="false" outlineLevel="0" collapsed="false">
      <c r="A20719" s="3" t="s">
        <v>556</v>
      </c>
      <c r="C20719" s="16" t="n">
        <f aca="false">IF(C20708=0,0,C20675/C20708*MAX(0,MIN(C20708,$C$20618-SUM($C$20653:$C$20662)-C20697)))</f>
        <v>0</v>
      </c>
    </row>
    <row r="20720" customFormat="false" ht="15" hidden="false" customHeight="false" outlineLevel="0" collapsed="false">
      <c r="A20720" s="3" t="s">
        <v>557</v>
      </c>
      <c r="C20720" s="16" t="n">
        <f aca="false">IF(C20709=0,0,C20676/C20709*MAX(0,MIN(C20709,$C$20618-SUM($C$20653:$C$20662)-C20698)))</f>
        <v>0</v>
      </c>
    </row>
    <row r="20721" customFormat="false" ht="15" hidden="false" customHeight="false" outlineLevel="0" collapsed="false">
      <c r="A20721" s="3" t="s">
        <v>558</v>
      </c>
      <c r="C20721" s="16" t="n">
        <f aca="false">IF(C20710=0,0,C20677/C20710*MAX(0,MIN(C20710,$C$20618-SUM($C$20653:$C$20662)-C20699)))</f>
        <v>0</v>
      </c>
    </row>
    <row r="20722" customFormat="false" ht="15" hidden="false" customHeight="false" outlineLevel="0" collapsed="false">
      <c r="A20722" s="3" t="s">
        <v>559</v>
      </c>
      <c r="C20722" s="16" t="n">
        <f aca="false">IF(C20711=0,0,C20678/C20711*MAX(0,MIN(C20711,$C$20618-SUM($C$20653:$C$20662)-C20700)))</f>
        <v>0</v>
      </c>
    </row>
    <row r="20723" customFormat="false" ht="15" hidden="false" customHeight="false" outlineLevel="0" collapsed="false">
      <c r="A20723" s="3" t="s">
        <v>560</v>
      </c>
      <c r="C20723" s="16" t="n">
        <f aca="false">IF(C20712=0,0,C20679/C20712*MAX(0,MIN(C20712,$C$20618-SUM($C$20653:$C$20662)-C20701)))</f>
        <v>416.756377366125</v>
      </c>
    </row>
    <row r="20724" customFormat="false" ht="15" hidden="false" customHeight="false" outlineLevel="0" collapsed="false">
      <c r="A20724" s="3" t="s">
        <v>561</v>
      </c>
      <c r="C20724" s="16" t="n">
        <f aca="false">IF(C20713=0,0,C20680/C20713*MAX(0,MIN(C20713,$C$20618-SUM($C$20653:$C$20662)-C20702)))</f>
        <v>357.2625</v>
      </c>
    </row>
    <row r="20725" customFormat="false" ht="15" hidden="false" customHeight="false" outlineLevel="0" collapsed="false">
      <c r="A20725" s="3" t="s">
        <v>562</v>
      </c>
      <c r="C20725" s="16" t="n">
        <f aca="false">IF(C20714=0,0,C20681/C20714*MAX(0,MIN(C20714,$C$20618-SUM($C$20653:$C$20662)-C20703)))</f>
        <v>562.203125</v>
      </c>
    </row>
    <row r="20726" customFormat="false" ht="15" hidden="false" customHeight="false" outlineLevel="0" collapsed="false">
      <c r="A20726" s="3" t="s">
        <v>563</v>
      </c>
      <c r="C20726" s="16" t="n">
        <f aca="false">IF(C20715=0,0,C20682/C20715*MAX(0,MIN(C20715,$C$20618-SUM($C$20653:$C$20662)-C20704)))</f>
        <v>353.98125</v>
      </c>
    </row>
    <row r="20727" customFormat="false" ht="15" hidden="false" customHeight="false" outlineLevel="0" collapsed="false">
      <c r="A20727" s="3" t="s">
        <v>564</v>
      </c>
      <c r="C20727" s="16" t="n">
        <f aca="false">IF(C20716=0,0,C20683/C20716*MAX(0,MIN(C20716,$C$20618-SUM($C$20653:$C$20662)-C20705)))</f>
        <v>304.59375</v>
      </c>
    </row>
    <row r="20728" customFormat="false" ht="15" hidden="false" customHeight="false" outlineLevel="0" collapsed="false">
      <c r="A20728" s="3" t="s">
        <v>565</v>
      </c>
      <c r="C20728" s="16" t="n">
        <f aca="false">IF(C20717=0,0,C20684/C20717*MAX(0,MIN(C20717,$C$20618-SUM($C$20653:$C$20662)-C20706)))</f>
        <v>42.6060449106747</v>
      </c>
    </row>
    <row r="20729" customFormat="false" ht="15" hidden="false" customHeight="false" outlineLevel="0" collapsed="false">
      <c r="A20729" s="24" t="s">
        <v>575</v>
      </c>
      <c r="B20729" s="25"/>
      <c r="C20729" s="25"/>
      <c r="D20729" s="25"/>
      <c r="E20729" s="25"/>
      <c r="F20729" s="25"/>
      <c r="G20729" s="25"/>
      <c r="H20729" s="25"/>
      <c r="I20729" s="25"/>
      <c r="J20729" s="25"/>
      <c r="K20729" s="25"/>
    </row>
    <row r="20730" customFormat="false" ht="15" hidden="false" customHeight="false" outlineLevel="0" collapsed="false">
      <c r="A20730" s="2" t="s">
        <v>556</v>
      </c>
      <c r="C20730" s="17" t="n">
        <f aca="false">C20653+C20719</f>
        <v>403.76</v>
      </c>
    </row>
    <row r="20731" customFormat="false" ht="15" hidden="false" customHeight="false" outlineLevel="0" collapsed="false">
      <c r="A20731" s="2" t="s">
        <v>557</v>
      </c>
      <c r="C20731" s="17" t="n">
        <f aca="false">C20654+C20720</f>
        <v>85.1568504864</v>
      </c>
    </row>
    <row r="20732" customFormat="false" ht="15" hidden="false" customHeight="false" outlineLevel="0" collapsed="false">
      <c r="A20732" s="2" t="s">
        <v>558</v>
      </c>
      <c r="C20732" s="17" t="n">
        <f aca="false">C20655+C20721</f>
        <v>54.1907230368</v>
      </c>
    </row>
    <row r="20733" customFormat="false" ht="15" hidden="false" customHeight="false" outlineLevel="0" collapsed="false">
      <c r="A20733" s="2" t="s">
        <v>559</v>
      </c>
      <c r="C20733" s="17" t="n">
        <f aca="false">C20656+C20722</f>
        <v>0</v>
      </c>
    </row>
    <row r="20734" customFormat="false" ht="15" hidden="false" customHeight="false" outlineLevel="0" collapsed="false">
      <c r="A20734" s="2" t="s">
        <v>560</v>
      </c>
      <c r="C20734" s="17" t="n">
        <f aca="false">C20657+C20723</f>
        <v>416.756377366125</v>
      </c>
    </row>
    <row r="20735" customFormat="false" ht="15" hidden="false" customHeight="false" outlineLevel="0" collapsed="false">
      <c r="A20735" s="2" t="s">
        <v>561</v>
      </c>
      <c r="C20735" s="17" t="n">
        <f aca="false">C20658+C20724</f>
        <v>357.2625</v>
      </c>
    </row>
    <row r="20736" customFormat="false" ht="15" hidden="false" customHeight="false" outlineLevel="0" collapsed="false">
      <c r="A20736" s="2" t="s">
        <v>562</v>
      </c>
      <c r="C20736" s="17" t="n">
        <f aca="false">C20659+C20725</f>
        <v>562.203125</v>
      </c>
    </row>
    <row r="20737" customFormat="false" ht="15" hidden="false" customHeight="false" outlineLevel="0" collapsed="false">
      <c r="A20737" s="2" t="s">
        <v>563</v>
      </c>
      <c r="C20737" s="17" t="n">
        <f aca="false">C20660+C20726</f>
        <v>353.98125</v>
      </c>
    </row>
    <row r="20738" customFormat="false" ht="15" hidden="false" customHeight="false" outlineLevel="0" collapsed="false">
      <c r="A20738" s="2" t="s">
        <v>564</v>
      </c>
      <c r="C20738" s="17" t="n">
        <f aca="false">C20661+C20727</f>
        <v>304.59375</v>
      </c>
    </row>
    <row r="20739" customFormat="false" ht="15" hidden="false" customHeight="false" outlineLevel="0" collapsed="false">
      <c r="A20739" s="2" t="s">
        <v>565</v>
      </c>
      <c r="C20739" s="17" t="n">
        <f aca="false">C20662+C20728</f>
        <v>42.6060449106747</v>
      </c>
    </row>
    <row r="20740" customFormat="false" ht="15" hidden="false" customHeight="false" outlineLevel="0" collapsed="false">
      <c r="A20740" s="24" t="s">
        <v>576</v>
      </c>
      <c r="B20740" s="25"/>
      <c r="C20740" s="25"/>
      <c r="D20740" s="25"/>
      <c r="E20740" s="25"/>
      <c r="F20740" s="25"/>
      <c r="G20740" s="25"/>
      <c r="H20740" s="25"/>
      <c r="I20740" s="25"/>
      <c r="J20740" s="25"/>
      <c r="K20740" s="25"/>
    </row>
    <row r="20741" customFormat="false" ht="15" hidden="false" customHeight="false" outlineLevel="0" collapsed="false">
      <c r="A20741" s="3" t="s">
        <v>556</v>
      </c>
      <c r="C20741" s="22" t="n">
        <f aca="false">IF(C20620=0,1,C20730/C20620)</f>
        <v>1</v>
      </c>
    </row>
    <row r="20742" customFormat="false" ht="15" hidden="false" customHeight="false" outlineLevel="0" collapsed="false">
      <c r="A20742" s="3" t="s">
        <v>557</v>
      </c>
      <c r="C20742" s="22" t="n">
        <f aca="false">IF(C20621=0,1,C20731/C20621)</f>
        <v>0.932640622583639</v>
      </c>
    </row>
    <row r="20743" customFormat="false" ht="15" hidden="false" customHeight="false" outlineLevel="0" collapsed="false">
      <c r="A20743" s="3" t="s">
        <v>558</v>
      </c>
      <c r="C20743" s="22" t="n">
        <f aca="false">IF(C20622=0,1,C20732/C20622)</f>
        <v>0.928374871640695</v>
      </c>
    </row>
    <row r="20744" customFormat="false" ht="15" hidden="false" customHeight="false" outlineLevel="0" collapsed="false">
      <c r="A20744" s="3" t="s">
        <v>559</v>
      </c>
      <c r="C20744" s="22" t="n">
        <f aca="false">IF(C20623=0,1,C20733/C20623)</f>
        <v>1</v>
      </c>
    </row>
    <row r="20745" customFormat="false" ht="15" hidden="false" customHeight="false" outlineLevel="0" collapsed="false">
      <c r="A20745" s="3" t="s">
        <v>560</v>
      </c>
      <c r="C20745" s="22" t="n">
        <f aca="false">IF(C20624=0,1,C20734/C20624)</f>
        <v>1</v>
      </c>
    </row>
    <row r="20746" customFormat="false" ht="15" hidden="false" customHeight="false" outlineLevel="0" collapsed="false">
      <c r="A20746" s="3" t="s">
        <v>561</v>
      </c>
      <c r="C20746" s="22" t="n">
        <f aca="false">IF(C20625=0,1,C20735/C20625)</f>
        <v>1</v>
      </c>
    </row>
    <row r="20747" customFormat="false" ht="15" hidden="false" customHeight="false" outlineLevel="0" collapsed="false">
      <c r="A20747" s="3" t="s">
        <v>562</v>
      </c>
      <c r="C20747" s="22" t="n">
        <f aca="false">IF(C20626=0,1,C20736/C20626)</f>
        <v>1</v>
      </c>
    </row>
    <row r="20748" customFormat="false" ht="15" hidden="false" customHeight="false" outlineLevel="0" collapsed="false">
      <c r="A20748" s="3" t="s">
        <v>563</v>
      </c>
      <c r="C20748" s="22" t="n">
        <f aca="false">IF(C20627=0,1,C20737/C20627)</f>
        <v>1</v>
      </c>
    </row>
    <row r="20749" customFormat="false" ht="15" hidden="false" customHeight="false" outlineLevel="0" collapsed="false">
      <c r="A20749" s="3" t="s">
        <v>564</v>
      </c>
      <c r="C20749" s="22" t="n">
        <f aca="false">IF(C20628=0,1,C20738/C20628)</f>
        <v>1</v>
      </c>
    </row>
    <row r="20750" customFormat="false" ht="15" hidden="false" customHeight="false" outlineLevel="0" collapsed="false">
      <c r="A20750" s="3" t="s">
        <v>565</v>
      </c>
      <c r="C20750" s="22" t="n">
        <f aca="false">IF(C20629=0,1,C20739/C20629)</f>
        <v>0.531026977193623</v>
      </c>
    </row>
    <row r="20751" customFormat="false" ht="15" hidden="false" customHeight="false" outlineLevel="0" collapsed="false">
      <c r="A20751" s="24" t="s">
        <v>577</v>
      </c>
      <c r="B20751" s="25"/>
      <c r="C20751" s="25"/>
      <c r="D20751" s="25"/>
      <c r="E20751" s="25"/>
      <c r="F20751" s="25"/>
      <c r="G20751" s="25"/>
      <c r="H20751" s="25"/>
      <c r="I20751" s="25"/>
      <c r="J20751" s="25"/>
      <c r="K20751" s="25"/>
    </row>
    <row r="20752" customFormat="false" ht="15" hidden="false" customHeight="false" outlineLevel="0" collapsed="false">
      <c r="A20752" s="3" t="s">
        <v>556</v>
      </c>
      <c r="C20752" s="16" t="n">
        <f aca="false">C20620-C20730</f>
        <v>0</v>
      </c>
    </row>
    <row r="20753" customFormat="false" ht="15" hidden="false" customHeight="false" outlineLevel="0" collapsed="false">
      <c r="A20753" s="3" t="s">
        <v>557</v>
      </c>
      <c r="C20753" s="16" t="n">
        <f aca="false">C20621-C20731</f>
        <v>6.15039951360001</v>
      </c>
    </row>
    <row r="20754" customFormat="false" ht="15" hidden="false" customHeight="false" outlineLevel="0" collapsed="false">
      <c r="A20754" s="3" t="s">
        <v>558</v>
      </c>
      <c r="C20754" s="16" t="n">
        <f aca="false">C20622-C20732</f>
        <v>4.1808730632</v>
      </c>
    </row>
    <row r="20755" customFormat="false" ht="15" hidden="false" customHeight="false" outlineLevel="0" collapsed="false">
      <c r="A20755" s="3" t="s">
        <v>559</v>
      </c>
      <c r="C20755" s="16" t="n">
        <f aca="false">C20623-C20733</f>
        <v>0</v>
      </c>
    </row>
    <row r="20756" customFormat="false" ht="15" hidden="false" customHeight="false" outlineLevel="0" collapsed="false">
      <c r="A20756" s="3" t="s">
        <v>560</v>
      </c>
      <c r="C20756" s="16" t="n">
        <f aca="false">C20624-C20734</f>
        <v>0</v>
      </c>
    </row>
    <row r="20757" customFormat="false" ht="15" hidden="false" customHeight="false" outlineLevel="0" collapsed="false">
      <c r="A20757" s="3" t="s">
        <v>561</v>
      </c>
      <c r="C20757" s="16" t="n">
        <f aca="false">C20625-C20735</f>
        <v>0</v>
      </c>
    </row>
    <row r="20758" customFormat="false" ht="15" hidden="false" customHeight="false" outlineLevel="0" collapsed="false">
      <c r="A20758" s="3" t="s">
        <v>562</v>
      </c>
      <c r="C20758" s="16" t="n">
        <f aca="false">C20626-C20736</f>
        <v>0</v>
      </c>
    </row>
    <row r="20759" customFormat="false" ht="15" hidden="false" customHeight="false" outlineLevel="0" collapsed="false">
      <c r="A20759" s="3" t="s">
        <v>563</v>
      </c>
      <c r="C20759" s="16" t="n">
        <f aca="false">C20627-C20737</f>
        <v>0</v>
      </c>
    </row>
    <row r="20760" customFormat="false" ht="15" hidden="false" customHeight="false" outlineLevel="0" collapsed="false">
      <c r="A20760" s="3" t="s">
        <v>564</v>
      </c>
      <c r="C20760" s="16" t="n">
        <f aca="false">C20628-C20738</f>
        <v>0</v>
      </c>
    </row>
    <row r="20761" customFormat="false" ht="15" hidden="false" customHeight="false" outlineLevel="0" collapsed="false">
      <c r="A20761" s="3" t="s">
        <v>565</v>
      </c>
      <c r="C20761" s="16" t="n">
        <f aca="false">C20629-C20739</f>
        <v>37.6272515893254</v>
      </c>
    </row>
    <row r="20762" customFormat="false" ht="15" hidden="false" customHeight="false" outlineLevel="0" collapsed="false">
      <c r="A20762" s="24" t="s">
        <v>578</v>
      </c>
      <c r="B20762" s="25"/>
      <c r="C20762" s="25"/>
      <c r="D20762" s="25"/>
      <c r="E20762" s="25"/>
      <c r="F20762" s="25"/>
      <c r="G20762" s="25"/>
      <c r="H20762" s="25"/>
      <c r="I20762" s="25"/>
      <c r="J20762" s="25"/>
      <c r="K20762" s="25"/>
    </row>
    <row r="20763" customFormat="false" ht="15" hidden="false" customHeight="false" outlineLevel="0" collapsed="false">
      <c r="A20763" s="3" t="s">
        <v>556</v>
      </c>
      <c r="C20763" s="22" t="n">
        <f aca="false">IF(C20620=0,0,C20752/C20620)</f>
        <v>0</v>
      </c>
    </row>
    <row r="20764" customFormat="false" ht="15" hidden="false" customHeight="false" outlineLevel="0" collapsed="false">
      <c r="A20764" s="3" t="s">
        <v>557</v>
      </c>
      <c r="C20764" s="22" t="n">
        <f aca="false">IF(C20621=0,0,C20753/C20621)</f>
        <v>0.0673593774163608</v>
      </c>
    </row>
    <row r="20765" customFormat="false" ht="15" hidden="false" customHeight="false" outlineLevel="0" collapsed="false">
      <c r="A20765" s="3" t="s">
        <v>558</v>
      </c>
      <c r="C20765" s="22" t="n">
        <f aca="false">IF(C20622=0,0,C20754/C20622)</f>
        <v>0.0716251283593048</v>
      </c>
    </row>
    <row r="20766" customFormat="false" ht="15" hidden="false" customHeight="false" outlineLevel="0" collapsed="false">
      <c r="A20766" s="3" t="s">
        <v>559</v>
      </c>
      <c r="C20766" s="22" t="n">
        <f aca="false">IF(C20623=0,0,C20755/C20623)</f>
        <v>0</v>
      </c>
    </row>
    <row r="20767" customFormat="false" ht="15" hidden="false" customHeight="false" outlineLevel="0" collapsed="false">
      <c r="A20767" s="3" t="s">
        <v>560</v>
      </c>
      <c r="C20767" s="22" t="n">
        <f aca="false">IF(C20624=0,0,C20756/C20624)</f>
        <v>0</v>
      </c>
    </row>
    <row r="20768" customFormat="false" ht="15" hidden="false" customHeight="false" outlineLevel="0" collapsed="false">
      <c r="A20768" s="3" t="s">
        <v>561</v>
      </c>
      <c r="C20768" s="22" t="n">
        <f aca="false">IF(C20625=0,0,C20757/C20625)</f>
        <v>0</v>
      </c>
    </row>
    <row r="20769" customFormat="false" ht="15" hidden="false" customHeight="false" outlineLevel="0" collapsed="false">
      <c r="A20769" s="3" t="s">
        <v>562</v>
      </c>
      <c r="C20769" s="22" t="n">
        <f aca="false">IF(C20626=0,0,C20758/C20626)</f>
        <v>0</v>
      </c>
    </row>
    <row r="20770" customFormat="false" ht="15" hidden="false" customHeight="false" outlineLevel="0" collapsed="false">
      <c r="A20770" s="3" t="s">
        <v>563</v>
      </c>
      <c r="C20770" s="22" t="n">
        <f aca="false">IF(C20627=0,0,C20759/C20627)</f>
        <v>0</v>
      </c>
    </row>
    <row r="20771" customFormat="false" ht="15" hidden="false" customHeight="false" outlineLevel="0" collapsed="false">
      <c r="A20771" s="3" t="s">
        <v>564</v>
      </c>
      <c r="C20771" s="22" t="n">
        <f aca="false">IF(C20628=0,0,C20760/C20628)</f>
        <v>0</v>
      </c>
    </row>
    <row r="20772" customFormat="false" ht="15" hidden="false" customHeight="false" outlineLevel="0" collapsed="false">
      <c r="A20772" s="3" t="s">
        <v>565</v>
      </c>
      <c r="C20772" s="22" t="n">
        <f aca="false">IF(C20629=0,0,C20761/C20629)</f>
        <v>0.468973022806378</v>
      </c>
    </row>
    <row r="20773" customFormat="false" ht="15" hidden="false" customHeight="false" outlineLevel="0" collapsed="false">
      <c r="A20773" s="2" t="s">
        <v>579</v>
      </c>
      <c r="C20773" s="17" t="n">
        <f aca="false">MAX(0,$C$20618-SUM($C$20653:$C$20662)-SUM($C$20675:$C$20684))</f>
        <v>0</v>
      </c>
    </row>
    <row r="20774" customFormat="false" ht="15" hidden="false" customHeight="false" outlineLevel="0" collapsed="false">
      <c r="A20774" s="3" t="s">
        <v>580</v>
      </c>
      <c r="C20774" s="16" t="n">
        <f aca="false">SUM($C$20730:$C$20739)+C20773+C20617-C20616</f>
        <v>0</v>
      </c>
    </row>
    <row r="20776" customFormat="false" ht="15" hidden="false" customHeight="false" outlineLevel="0" collapsed="false">
      <c r="A20776" s="24" t="s">
        <v>583</v>
      </c>
      <c r="B20776" s="25"/>
      <c r="C20776" s="25"/>
      <c r="D20776" s="25"/>
      <c r="E20776" s="25"/>
      <c r="F20776" s="25"/>
      <c r="G20776" s="25"/>
      <c r="H20776" s="25"/>
      <c r="I20776" s="25"/>
      <c r="J20776" s="25"/>
      <c r="K20776" s="25"/>
    </row>
    <row r="20777" customFormat="false" ht="15" hidden="false" customHeight="false" outlineLevel="0" collapsed="false">
      <c r="A20777" s="3" t="s">
        <v>584</v>
      </c>
      <c r="C20777" s="27" t="n">
        <f aca="false">Assumptions!$C$34</f>
        <v>1</v>
      </c>
    </row>
    <row r="20778" customFormat="false" ht="15" hidden="false" customHeight="false" outlineLevel="0" collapsed="false">
      <c r="A20778" s="3" t="s">
        <v>585</v>
      </c>
      <c r="C20778" s="29" t="n">
        <f aca="false">Assumptions!$C$35</f>
        <v>100</v>
      </c>
    </row>
    <row r="20779" customFormat="false" ht="15" hidden="false" customHeight="false" outlineLevel="0" collapsed="false">
      <c r="A20779" s="3" t="s">
        <v>586</v>
      </c>
      <c r="C20779" s="40" t="n">
        <f aca="false">Assumptions!$C$36</f>
        <v>98</v>
      </c>
    </row>
    <row r="20780" customFormat="false" ht="15" hidden="false" customHeight="false" outlineLevel="0" collapsed="false">
      <c r="A20780" s="3" t="s">
        <v>587</v>
      </c>
      <c r="C20780" s="16" t="n">
        <f aca="false">C20778*C20779/100*(1+Assumptions!$C$37)</f>
        <v>98.49</v>
      </c>
    </row>
    <row r="20781" customFormat="false" ht="15" hidden="false" customHeight="false" outlineLevel="0" collapsed="false">
      <c r="A20781" s="3" t="s">
        <v>588</v>
      </c>
      <c r="C20781" s="27" t="n">
        <f aca="false">Assumptions!$C$38</f>
        <v>3</v>
      </c>
    </row>
    <row r="20782" customFormat="false" ht="15" hidden="false" customHeight="false" outlineLevel="0" collapsed="false">
      <c r="A20782" s="3" t="s">
        <v>589</v>
      </c>
      <c r="C20782" s="21" t="n">
        <f aca="false">IF(C20609=1,SUMPRODUCT($G$20545:$K$20545,$G$20319:$K$20319),0)</f>
        <v>2</v>
      </c>
    </row>
    <row r="20783" customFormat="false" ht="15" hidden="false" customHeight="false" outlineLevel="0" collapsed="false">
      <c r="A20783" s="3" t="s">
        <v>590</v>
      </c>
      <c r="C20783" s="22" t="n">
        <f aca="false">IFERROR(C20778/CHOOSE(C20777,SUMPRODUCT($G$20608:$K$20608,$G$20365:$K$20365),SUMPRODUCT($G$20608:$K$20608,$G$20378:$K$20378),SUMPRODUCT($G$20608:$K$20608,$G$20391:$K$20391),SUMPRODUCT($G$20608:$K$20608,$G$20404:$K$20404),SUMPRODUCT($G$20608:$K$20608,$G$20417:$K$20417),SUMPRODUCT($G$20608:$K$20608,$G$20430:$K$20430),SUMPRODUCT($G$20608:$K$20608,$G$20443:$K$20443),SUMPRODUCT($G$20608:$K$20608,$G$20456:$K$20456),SUMPRODUCT($G$20608:$K$20608,$G$20469:$K$20469),SUMPRODUCT($G$20608:$K$20608,$G$20482:$K$20482)),0)</f>
        <v>0.255102040816327</v>
      </c>
    </row>
    <row r="20784" customFormat="false" ht="15" hidden="false" customHeight="false" outlineLevel="0" collapsed="false">
      <c r="A20784" s="3" t="s">
        <v>591</v>
      </c>
      <c r="C20784" s="16" t="n">
        <f aca="false">CHOOSE(C20777,C20730,C20731,C20732,C20733,C20734,C20735,C20736,C20737,C20738,C20739)*C20783</f>
        <v>103</v>
      </c>
    </row>
    <row r="20785" customFormat="false" ht="15" hidden="false" customHeight="false" outlineLevel="0" collapsed="false">
      <c r="A20785" s="3" t="s">
        <v>592</v>
      </c>
      <c r="C20785" s="22" t="n">
        <f aca="false">CHOOSE(C20777,C20741,C20742,C20743,C20744,C20745,C20746,C20747,C20748,C20749,C20750)</f>
        <v>1</v>
      </c>
    </row>
    <row r="20786" customFormat="false" ht="15" hidden="false" customHeight="false" outlineLevel="0" collapsed="false">
      <c r="A20786" s="3" t="s">
        <v>593</v>
      </c>
      <c r="C20786" s="21" t="n">
        <f aca="false">IF(C20609=1,C20782,C20781)</f>
        <v>2</v>
      </c>
    </row>
    <row r="20787" customFormat="false" ht="15" hidden="false" customHeight="false" outlineLevel="0" collapsed="false">
      <c r="A20787" s="3" t="s">
        <v>594</v>
      </c>
      <c r="C20787" s="35" t="n">
        <f aca="false">CHOOSE($C$20311,Assumptions!$C$91,Assumptions!$C$110,Assumptions!$C$129)</f>
        <v>85</v>
      </c>
    </row>
    <row r="20788" customFormat="false" ht="15" hidden="false" customHeight="false" outlineLevel="0" collapsed="false">
      <c r="A20788" s="3" t="s">
        <v>595</v>
      </c>
      <c r="C20788" s="16" t="n">
        <f aca="false">INDEX($G$20328:$K$20328,C20781)*CHOOSE($C$20311,Assumptions!$C$90,Assumptions!$C$109,Assumptions!$C$128)+MAX(0,INDEX($G$20542:$K$20542,C20781))</f>
        <v>1910.49291390825</v>
      </c>
    </row>
    <row r="20789" customFormat="false" ht="15" hidden="false" customHeight="false" outlineLevel="0" collapsed="false">
      <c r="A20789" s="24" t="s">
        <v>596</v>
      </c>
      <c r="B20789" s="25"/>
      <c r="C20789" s="25"/>
      <c r="D20789" s="25"/>
      <c r="E20789" s="25"/>
      <c r="F20789" s="25"/>
      <c r="G20789" s="25"/>
      <c r="H20789" s="25"/>
      <c r="I20789" s="25"/>
      <c r="J20789" s="25"/>
      <c r="K20789" s="25"/>
    </row>
    <row r="20790" customFormat="false" ht="15" hidden="false" customHeight="false" outlineLevel="0" collapsed="false">
      <c r="A20790" s="3" t="s">
        <v>556</v>
      </c>
      <c r="C20790" s="16" t="n">
        <f aca="false">INDEX($G$20365:$K$20365,C20781)</f>
        <v>388</v>
      </c>
    </row>
    <row r="20791" customFormat="false" ht="15" hidden="false" customHeight="false" outlineLevel="0" collapsed="false">
      <c r="A20791" s="3" t="s">
        <v>557</v>
      </c>
      <c r="C20791" s="16" t="n">
        <f aca="false">INDEX($G$20378:$K$20378,C20781)</f>
        <v>90</v>
      </c>
    </row>
    <row r="20792" customFormat="false" ht="15" hidden="false" customHeight="false" outlineLevel="0" collapsed="false">
      <c r="A20792" s="3" t="s">
        <v>558</v>
      </c>
      <c r="C20792" s="16" t="n">
        <f aca="false">INDEX($G$20391:$K$20391,C20781)</f>
        <v>57.324</v>
      </c>
    </row>
    <row r="20793" customFormat="false" ht="15" hidden="false" customHeight="false" outlineLevel="0" collapsed="false">
      <c r="A20793" s="3" t="s">
        <v>559</v>
      </c>
      <c r="C20793" s="16" t="n">
        <f aca="false">INDEX($G$20404:$K$20404,C20781)</f>
        <v>0</v>
      </c>
    </row>
    <row r="20794" customFormat="false" ht="15" hidden="false" customHeight="false" outlineLevel="0" collapsed="false">
      <c r="A20794" s="3" t="s">
        <v>560</v>
      </c>
      <c r="C20794" s="16" t="n">
        <f aca="false">INDEX($G$20417:$K$20417,C20781)</f>
        <v>412.681151</v>
      </c>
    </row>
    <row r="20795" customFormat="false" ht="15" hidden="false" customHeight="false" outlineLevel="0" collapsed="false">
      <c r="A20795" s="3" t="s">
        <v>561</v>
      </c>
      <c r="C20795" s="16" t="n">
        <f aca="false">INDEX($G$20430:$K$20430,C20781)</f>
        <v>350</v>
      </c>
    </row>
    <row r="20796" customFormat="false" ht="15" hidden="false" customHeight="false" outlineLevel="0" collapsed="false">
      <c r="A20796" s="3" t="s">
        <v>562</v>
      </c>
      <c r="C20796" s="16" t="n">
        <f aca="false">INDEX($G$20443:$K$20443,C20781)</f>
        <v>550</v>
      </c>
    </row>
    <row r="20797" customFormat="false" ht="15" hidden="false" customHeight="false" outlineLevel="0" collapsed="false">
      <c r="A20797" s="3" t="s">
        <v>563</v>
      </c>
      <c r="C20797" s="16" t="n">
        <f aca="false">INDEX($G$20456:$K$20456,C20781)</f>
        <v>350</v>
      </c>
    </row>
    <row r="20798" customFormat="false" ht="15" hidden="false" customHeight="false" outlineLevel="0" collapsed="false">
      <c r="A20798" s="3" t="s">
        <v>564</v>
      </c>
      <c r="C20798" s="16" t="n">
        <f aca="false">INDEX($G$20469:$K$20469,C20781)</f>
        <v>300</v>
      </c>
    </row>
    <row r="20799" customFormat="false" ht="15" hidden="false" customHeight="false" outlineLevel="0" collapsed="false">
      <c r="A20799" s="3" t="s">
        <v>565</v>
      </c>
      <c r="C20799" s="16" t="n">
        <f aca="false">INDEX($G$20482:$K$20482,C20781)</f>
        <v>78.61</v>
      </c>
    </row>
    <row r="20800" customFormat="false" ht="15" hidden="false" customHeight="false" outlineLevel="0" collapsed="false">
      <c r="A20800" s="24" t="s">
        <v>566</v>
      </c>
      <c r="B20800" s="25"/>
      <c r="C20800" s="25"/>
      <c r="D20800" s="25"/>
      <c r="E20800" s="25"/>
      <c r="F20800" s="25"/>
      <c r="G20800" s="25"/>
      <c r="H20800" s="25"/>
      <c r="I20800" s="25"/>
      <c r="J20800" s="25"/>
      <c r="K20800" s="25"/>
    </row>
    <row r="20801" customFormat="false" ht="15" hidden="false" customHeight="false" outlineLevel="0" collapsed="false">
      <c r="A20801" s="3" t="s">
        <v>556</v>
      </c>
      <c r="C20801" s="27" t="n">
        <f aca="false">Assumptions!$M$57</f>
        <v>1</v>
      </c>
    </row>
    <row r="20802" customFormat="false" ht="15" hidden="false" customHeight="false" outlineLevel="0" collapsed="false">
      <c r="A20802" s="3" t="s">
        <v>557</v>
      </c>
      <c r="C20802" s="27" t="n">
        <f aca="false">Assumptions!$M$58</f>
        <v>1</v>
      </c>
    </row>
    <row r="20803" customFormat="false" ht="15" hidden="false" customHeight="false" outlineLevel="0" collapsed="false">
      <c r="A20803" s="3" t="s">
        <v>558</v>
      </c>
      <c r="C20803" s="27" t="n">
        <f aca="false">Assumptions!$M$59</f>
        <v>1</v>
      </c>
    </row>
    <row r="20804" customFormat="false" ht="15" hidden="false" customHeight="false" outlineLevel="0" collapsed="false">
      <c r="A20804" s="3" t="s">
        <v>559</v>
      </c>
      <c r="C20804" s="27" t="n">
        <f aca="false">Assumptions!$M$60</f>
        <v>2</v>
      </c>
    </row>
    <row r="20805" customFormat="false" ht="15" hidden="false" customHeight="false" outlineLevel="0" collapsed="false">
      <c r="A20805" s="3" t="s">
        <v>560</v>
      </c>
      <c r="C20805" s="27" t="n">
        <f aca="false">Assumptions!$M$61</f>
        <v>2</v>
      </c>
    </row>
    <row r="20806" customFormat="false" ht="15" hidden="false" customHeight="false" outlineLevel="0" collapsed="false">
      <c r="A20806" s="3" t="s">
        <v>561</v>
      </c>
      <c r="C20806" s="27" t="n">
        <f aca="false">Assumptions!$M$62</f>
        <v>2</v>
      </c>
    </row>
    <row r="20807" customFormat="false" ht="15" hidden="false" customHeight="false" outlineLevel="0" collapsed="false">
      <c r="A20807" s="3" t="s">
        <v>562</v>
      </c>
      <c r="C20807" s="27" t="n">
        <f aca="false">Assumptions!$M$63</f>
        <v>2</v>
      </c>
    </row>
    <row r="20808" customFormat="false" ht="15" hidden="false" customHeight="false" outlineLevel="0" collapsed="false">
      <c r="A20808" s="3" t="s">
        <v>563</v>
      </c>
      <c r="C20808" s="27" t="n">
        <f aca="false">Assumptions!$M$64</f>
        <v>2</v>
      </c>
    </row>
    <row r="20809" customFormat="false" ht="15" hidden="false" customHeight="false" outlineLevel="0" collapsed="false">
      <c r="A20809" s="3" t="s">
        <v>564</v>
      </c>
      <c r="C20809" s="27" t="n">
        <f aca="false">Assumptions!$M$65</f>
        <v>2</v>
      </c>
    </row>
    <row r="20810" customFormat="false" ht="15" hidden="false" customHeight="false" outlineLevel="0" collapsed="false">
      <c r="A20810" s="3" t="s">
        <v>565</v>
      </c>
      <c r="C20810" s="27" t="n">
        <f aca="false">Assumptions!$M$66</f>
        <v>3</v>
      </c>
    </row>
    <row r="20811" customFormat="false" ht="15" hidden="false" customHeight="false" outlineLevel="0" collapsed="false">
      <c r="A20811" s="24" t="s">
        <v>567</v>
      </c>
      <c r="B20811" s="25"/>
      <c r="C20811" s="25"/>
      <c r="D20811" s="25"/>
      <c r="E20811" s="25"/>
      <c r="F20811" s="25"/>
      <c r="G20811" s="25"/>
      <c r="H20811" s="25"/>
      <c r="I20811" s="25"/>
      <c r="J20811" s="25"/>
      <c r="K20811" s="25"/>
    </row>
    <row r="20812" customFormat="false" ht="15" hidden="false" customHeight="false" outlineLevel="0" collapsed="false">
      <c r="A20812" s="3" t="s">
        <v>556</v>
      </c>
      <c r="C20812" s="33" t="n">
        <f aca="false">Assumptions!$Q$57</f>
        <v>0.3</v>
      </c>
    </row>
    <row r="20813" customFormat="false" ht="15" hidden="false" customHeight="false" outlineLevel="0" collapsed="false">
      <c r="A20813" s="3" t="s">
        <v>557</v>
      </c>
      <c r="C20813" s="33" t="n">
        <f aca="false">Assumptions!$Q$58</f>
        <v>0.033</v>
      </c>
    </row>
    <row r="20814" customFormat="false" ht="15" hidden="false" customHeight="false" outlineLevel="0" collapsed="false">
      <c r="A20814" s="3" t="s">
        <v>558</v>
      </c>
      <c r="C20814" s="33" t="n">
        <f aca="false">Assumptions!$Q$59</f>
        <v>0.021</v>
      </c>
    </row>
    <row r="20815" customFormat="false" ht="15" hidden="false" customHeight="false" outlineLevel="0" collapsed="false">
      <c r="A20815" s="3" t="s">
        <v>559</v>
      </c>
      <c r="C20815" s="33" t="n">
        <f aca="false">Assumptions!$Q$60</f>
        <v>0</v>
      </c>
    </row>
    <row r="20816" customFormat="false" ht="15" hidden="false" customHeight="false" outlineLevel="0" collapsed="false">
      <c r="A20816" s="3" t="s">
        <v>560</v>
      </c>
      <c r="C20816" s="33" t="n">
        <f aca="false">Assumptions!$Q$61</f>
        <v>0</v>
      </c>
    </row>
    <row r="20817" customFormat="false" ht="15" hidden="false" customHeight="false" outlineLevel="0" collapsed="false">
      <c r="A20817" s="3" t="s">
        <v>561</v>
      </c>
      <c r="C20817" s="33" t="n">
        <f aca="false">Assumptions!$Q$62</f>
        <v>0</v>
      </c>
    </row>
    <row r="20818" customFormat="false" ht="15" hidden="false" customHeight="false" outlineLevel="0" collapsed="false">
      <c r="A20818" s="3" t="s">
        <v>562</v>
      </c>
      <c r="C20818" s="33" t="n">
        <f aca="false">Assumptions!$Q$63</f>
        <v>0</v>
      </c>
    </row>
    <row r="20819" customFormat="false" ht="15" hidden="false" customHeight="false" outlineLevel="0" collapsed="false">
      <c r="A20819" s="3" t="s">
        <v>563</v>
      </c>
      <c r="C20819" s="33" t="n">
        <f aca="false">Assumptions!$Q$64</f>
        <v>0</v>
      </c>
    </row>
    <row r="20820" customFormat="false" ht="15" hidden="false" customHeight="false" outlineLevel="0" collapsed="false">
      <c r="A20820" s="3" t="s">
        <v>564</v>
      </c>
      <c r="C20820" s="33" t="n">
        <f aca="false">Assumptions!$Q$65</f>
        <v>0</v>
      </c>
    </row>
    <row r="20821" customFormat="false" ht="15" hidden="false" customHeight="false" outlineLevel="0" collapsed="false">
      <c r="A20821" s="3" t="s">
        <v>565</v>
      </c>
      <c r="C20821" s="33" t="n">
        <f aca="false">Assumptions!$Q$66</f>
        <v>0</v>
      </c>
    </row>
    <row r="20822" customFormat="false" ht="15" hidden="false" customHeight="false" outlineLevel="0" collapsed="false">
      <c r="A20822" s="24" t="s">
        <v>568</v>
      </c>
      <c r="B20822" s="25"/>
      <c r="C20822" s="25"/>
      <c r="D20822" s="25"/>
      <c r="E20822" s="25"/>
      <c r="F20822" s="25"/>
      <c r="G20822" s="25"/>
      <c r="H20822" s="25"/>
      <c r="I20822" s="25"/>
      <c r="J20822" s="25"/>
      <c r="K20822" s="25"/>
    </row>
    <row r="20823" customFormat="false" ht="15" hidden="false" customHeight="false" outlineLevel="0" collapsed="false">
      <c r="A20823" s="3" t="s">
        <v>556</v>
      </c>
      <c r="C20823" s="16" t="n">
        <f aca="false">IF(C20812&gt;0,MIN(C20790,C20812*$C$20788),0)</f>
        <v>388</v>
      </c>
    </row>
    <row r="20824" customFormat="false" ht="15" hidden="false" customHeight="false" outlineLevel="0" collapsed="false">
      <c r="A20824" s="3" t="s">
        <v>557</v>
      </c>
      <c r="C20824" s="16" t="n">
        <f aca="false">IF(C20813&gt;0,MIN(C20791,C20813*$C$20788),0)</f>
        <v>63.0462661589723</v>
      </c>
    </row>
    <row r="20825" customFormat="false" ht="15" hidden="false" customHeight="false" outlineLevel="0" collapsed="false">
      <c r="A20825" s="3" t="s">
        <v>558</v>
      </c>
      <c r="C20825" s="16" t="n">
        <f aca="false">IF(C20814&gt;0,MIN(C20792,C20814*$C$20788),0)</f>
        <v>40.1203511920733</v>
      </c>
    </row>
    <row r="20826" customFormat="false" ht="15" hidden="false" customHeight="false" outlineLevel="0" collapsed="false">
      <c r="A20826" s="3" t="s">
        <v>559</v>
      </c>
      <c r="C20826" s="16" t="n">
        <f aca="false">IF(C20815&gt;0,MIN(C20793,C20815*$C$20788),0)</f>
        <v>0</v>
      </c>
    </row>
    <row r="20827" customFormat="false" ht="15" hidden="false" customHeight="false" outlineLevel="0" collapsed="false">
      <c r="A20827" s="3" t="s">
        <v>560</v>
      </c>
      <c r="C20827" s="16" t="n">
        <f aca="false">IF(C20816&gt;0,MIN(C20794,C20816*$C$20788),0)</f>
        <v>0</v>
      </c>
    </row>
    <row r="20828" customFormat="false" ht="15" hidden="false" customHeight="false" outlineLevel="0" collapsed="false">
      <c r="A20828" s="3" t="s">
        <v>561</v>
      </c>
      <c r="C20828" s="16" t="n">
        <f aca="false">IF(C20817&gt;0,MIN(C20795,C20817*$C$20788),0)</f>
        <v>0</v>
      </c>
    </row>
    <row r="20829" customFormat="false" ht="15" hidden="false" customHeight="false" outlineLevel="0" collapsed="false">
      <c r="A20829" s="3" t="s">
        <v>562</v>
      </c>
      <c r="C20829" s="16" t="n">
        <f aca="false">IF(C20818&gt;0,MIN(C20796,C20818*$C$20788),0)</f>
        <v>0</v>
      </c>
    </row>
    <row r="20830" customFormat="false" ht="15" hidden="false" customHeight="false" outlineLevel="0" collapsed="false">
      <c r="A20830" s="3" t="s">
        <v>563</v>
      </c>
      <c r="C20830" s="16" t="n">
        <f aca="false">IF(C20819&gt;0,MIN(C20797,C20819*$C$20788),0)</f>
        <v>0</v>
      </c>
    </row>
    <row r="20831" customFormat="false" ht="15" hidden="false" customHeight="false" outlineLevel="0" collapsed="false">
      <c r="A20831" s="3" t="s">
        <v>564</v>
      </c>
      <c r="C20831" s="16" t="n">
        <f aca="false">IF(C20820&gt;0,MIN(C20798,C20820*$C$20788),0)</f>
        <v>0</v>
      </c>
    </row>
    <row r="20832" customFormat="false" ht="15" hidden="false" customHeight="false" outlineLevel="0" collapsed="false">
      <c r="A20832" s="3" t="s">
        <v>565</v>
      </c>
      <c r="C20832" s="16" t="n">
        <f aca="false">IF(C20821&gt;0,MIN(C20799,C20821*$C$20788),0)</f>
        <v>0</v>
      </c>
    </row>
    <row r="20833" customFormat="false" ht="15" hidden="false" customHeight="false" outlineLevel="0" collapsed="false">
      <c r="A20833" s="24" t="s">
        <v>569</v>
      </c>
      <c r="B20833" s="25"/>
      <c r="C20833" s="25"/>
      <c r="D20833" s="25"/>
      <c r="E20833" s="25"/>
      <c r="F20833" s="25"/>
      <c r="G20833" s="25"/>
      <c r="H20833" s="25"/>
      <c r="I20833" s="25"/>
      <c r="J20833" s="25"/>
      <c r="K20833" s="25"/>
    </row>
    <row r="20834" customFormat="false" ht="15" hidden="false" customHeight="false" outlineLevel="0" collapsed="false">
      <c r="A20834" s="3" t="s">
        <v>556</v>
      </c>
      <c r="C20834" s="16" t="n">
        <f aca="false">IF(C20812&gt;0,C20790-C20823,0)</f>
        <v>0</v>
      </c>
    </row>
    <row r="20835" customFormat="false" ht="15" hidden="false" customHeight="false" outlineLevel="0" collapsed="false">
      <c r="A20835" s="3" t="s">
        <v>557</v>
      </c>
      <c r="C20835" s="16" t="n">
        <f aca="false">IF(C20813&gt;0,C20791-C20824,0)</f>
        <v>26.9537338410277</v>
      </c>
    </row>
    <row r="20836" customFormat="false" ht="15" hidden="false" customHeight="false" outlineLevel="0" collapsed="false">
      <c r="A20836" s="3" t="s">
        <v>558</v>
      </c>
      <c r="C20836" s="16" t="n">
        <f aca="false">IF(C20814&gt;0,C20792-C20825,0)</f>
        <v>17.2036488079267</v>
      </c>
    </row>
    <row r="20837" customFormat="false" ht="15" hidden="false" customHeight="false" outlineLevel="0" collapsed="false">
      <c r="A20837" s="3" t="s">
        <v>559</v>
      </c>
      <c r="C20837" s="16" t="n">
        <f aca="false">IF(C20815&gt;0,C20793-C20826,0)</f>
        <v>0</v>
      </c>
    </row>
    <row r="20838" customFormat="false" ht="15" hidden="false" customHeight="false" outlineLevel="0" collapsed="false">
      <c r="A20838" s="3" t="s">
        <v>560</v>
      </c>
      <c r="C20838" s="16" t="n">
        <f aca="false">IF(C20816&gt;0,C20794-C20827,0)</f>
        <v>0</v>
      </c>
    </row>
    <row r="20839" customFormat="false" ht="15" hidden="false" customHeight="false" outlineLevel="0" collapsed="false">
      <c r="A20839" s="3" t="s">
        <v>561</v>
      </c>
      <c r="C20839" s="16" t="n">
        <f aca="false">IF(C20817&gt;0,C20795-C20828,0)</f>
        <v>0</v>
      </c>
    </row>
    <row r="20840" customFormat="false" ht="15" hidden="false" customHeight="false" outlineLevel="0" collapsed="false">
      <c r="A20840" s="3" t="s">
        <v>562</v>
      </c>
      <c r="C20840" s="16" t="n">
        <f aca="false">IF(C20818&gt;0,C20796-C20829,0)</f>
        <v>0</v>
      </c>
    </row>
    <row r="20841" customFormat="false" ht="15" hidden="false" customHeight="false" outlineLevel="0" collapsed="false">
      <c r="A20841" s="3" t="s">
        <v>563</v>
      </c>
      <c r="C20841" s="16" t="n">
        <f aca="false">IF(C20819&gt;0,C20797-C20830,0)</f>
        <v>0</v>
      </c>
    </row>
    <row r="20842" customFormat="false" ht="15" hidden="false" customHeight="false" outlineLevel="0" collapsed="false">
      <c r="A20842" s="3" t="s">
        <v>564</v>
      </c>
      <c r="C20842" s="16" t="n">
        <f aca="false">IF(C20820&gt;0,C20798-C20831,0)</f>
        <v>0</v>
      </c>
    </row>
    <row r="20843" customFormat="false" ht="15" hidden="false" customHeight="false" outlineLevel="0" collapsed="false">
      <c r="A20843" s="3" t="s">
        <v>565</v>
      </c>
      <c r="C20843" s="16" t="n">
        <f aca="false">IF(C20821&gt;0,C20799-C20832,0)</f>
        <v>0</v>
      </c>
    </row>
    <row r="20844" customFormat="false" ht="15" hidden="false" customHeight="false" outlineLevel="0" collapsed="false">
      <c r="A20844" s="24" t="s">
        <v>570</v>
      </c>
      <c r="B20844" s="25"/>
      <c r="C20844" s="25"/>
      <c r="D20844" s="25"/>
      <c r="E20844" s="25"/>
      <c r="F20844" s="25"/>
      <c r="G20844" s="25"/>
      <c r="H20844" s="25"/>
      <c r="I20844" s="25"/>
      <c r="J20844" s="25"/>
      <c r="K20844" s="25"/>
    </row>
    <row r="20845" customFormat="false" ht="15" hidden="false" customHeight="false" outlineLevel="0" collapsed="false">
      <c r="A20845" s="3" t="s">
        <v>556</v>
      </c>
      <c r="C20845" s="16" t="n">
        <f aca="false">IF(C20812&gt;0,C20834,C20790)</f>
        <v>0</v>
      </c>
    </row>
    <row r="20846" customFormat="false" ht="15" hidden="false" customHeight="false" outlineLevel="0" collapsed="false">
      <c r="A20846" s="3" t="s">
        <v>557</v>
      </c>
      <c r="C20846" s="16" t="n">
        <f aca="false">IF(C20813&gt;0,C20835,C20791)</f>
        <v>26.9537338410277</v>
      </c>
    </row>
    <row r="20847" customFormat="false" ht="15" hidden="false" customHeight="false" outlineLevel="0" collapsed="false">
      <c r="A20847" s="3" t="s">
        <v>558</v>
      </c>
      <c r="C20847" s="16" t="n">
        <f aca="false">IF(C20814&gt;0,C20836,C20792)</f>
        <v>17.2036488079267</v>
      </c>
    </row>
    <row r="20848" customFormat="false" ht="15" hidden="false" customHeight="false" outlineLevel="0" collapsed="false">
      <c r="A20848" s="3" t="s">
        <v>559</v>
      </c>
      <c r="C20848" s="16" t="n">
        <f aca="false">IF(C20815&gt;0,C20837,C20793)</f>
        <v>0</v>
      </c>
    </row>
    <row r="20849" customFormat="false" ht="15" hidden="false" customHeight="false" outlineLevel="0" collapsed="false">
      <c r="A20849" s="3" t="s">
        <v>560</v>
      </c>
      <c r="C20849" s="16" t="n">
        <f aca="false">IF(C20816&gt;0,C20838,C20794)</f>
        <v>412.681151</v>
      </c>
    </row>
    <row r="20850" customFormat="false" ht="15" hidden="false" customHeight="false" outlineLevel="0" collapsed="false">
      <c r="A20850" s="3" t="s">
        <v>561</v>
      </c>
      <c r="C20850" s="16" t="n">
        <f aca="false">IF(C20817&gt;0,C20839,C20795)</f>
        <v>350</v>
      </c>
    </row>
    <row r="20851" customFormat="false" ht="15" hidden="false" customHeight="false" outlineLevel="0" collapsed="false">
      <c r="A20851" s="3" t="s">
        <v>562</v>
      </c>
      <c r="C20851" s="16" t="n">
        <f aca="false">IF(C20818&gt;0,C20840,C20796)</f>
        <v>550</v>
      </c>
    </row>
    <row r="20852" customFormat="false" ht="15" hidden="false" customHeight="false" outlineLevel="0" collapsed="false">
      <c r="A20852" s="3" t="s">
        <v>563</v>
      </c>
      <c r="C20852" s="16" t="n">
        <f aca="false">IF(C20819&gt;0,C20841,C20797)</f>
        <v>350</v>
      </c>
    </row>
    <row r="20853" customFormat="false" ht="15" hidden="false" customHeight="false" outlineLevel="0" collapsed="false">
      <c r="A20853" s="3" t="s">
        <v>564</v>
      </c>
      <c r="C20853" s="16" t="n">
        <f aca="false">IF(C20820&gt;0,C20842,C20798)</f>
        <v>300</v>
      </c>
    </row>
    <row r="20854" customFormat="false" ht="15" hidden="false" customHeight="false" outlineLevel="0" collapsed="false">
      <c r="A20854" s="3" t="s">
        <v>565</v>
      </c>
      <c r="C20854" s="16" t="n">
        <f aca="false">IF(C20821&gt;0,C20843,C20799)</f>
        <v>78.61</v>
      </c>
    </row>
    <row r="20855" customFormat="false" ht="15" hidden="false" customHeight="false" outlineLevel="0" collapsed="false">
      <c r="A20855" s="24" t="s">
        <v>571</v>
      </c>
      <c r="B20855" s="25"/>
      <c r="C20855" s="25"/>
      <c r="D20855" s="25"/>
      <c r="E20855" s="25"/>
      <c r="F20855" s="25"/>
      <c r="G20855" s="25"/>
      <c r="H20855" s="25"/>
      <c r="I20855" s="25"/>
      <c r="J20855" s="25"/>
      <c r="K20855" s="25"/>
    </row>
    <row r="20856" customFormat="false" ht="15" hidden="false" customHeight="false" outlineLevel="0" collapsed="false">
      <c r="A20856" s="3" t="s">
        <v>556</v>
      </c>
      <c r="C20856" s="21" t="n">
        <f aca="false">IF(C20812&gt;0,Assumptions!$C$17,C20801)</f>
        <v>99</v>
      </c>
    </row>
    <row r="20857" customFormat="false" ht="15" hidden="false" customHeight="false" outlineLevel="0" collapsed="false">
      <c r="A20857" s="3" t="s">
        <v>557</v>
      </c>
      <c r="C20857" s="21" t="n">
        <f aca="false">IF(C20813&gt;0,Assumptions!$C$17,C20802)</f>
        <v>99</v>
      </c>
    </row>
    <row r="20858" customFormat="false" ht="15" hidden="false" customHeight="false" outlineLevel="0" collapsed="false">
      <c r="A20858" s="3" t="s">
        <v>558</v>
      </c>
      <c r="C20858" s="21" t="n">
        <f aca="false">IF(C20814&gt;0,Assumptions!$C$17,C20803)</f>
        <v>99</v>
      </c>
    </row>
    <row r="20859" customFormat="false" ht="15" hidden="false" customHeight="false" outlineLevel="0" collapsed="false">
      <c r="A20859" s="3" t="s">
        <v>559</v>
      </c>
      <c r="C20859" s="21" t="n">
        <f aca="false">IF(C20815&gt;0,Assumptions!$C$17,C20804)</f>
        <v>2</v>
      </c>
    </row>
    <row r="20860" customFormat="false" ht="15" hidden="false" customHeight="false" outlineLevel="0" collapsed="false">
      <c r="A20860" s="3" t="s">
        <v>560</v>
      </c>
      <c r="C20860" s="21" t="n">
        <f aca="false">IF(C20816&gt;0,Assumptions!$C$17,C20805)</f>
        <v>2</v>
      </c>
    </row>
    <row r="20861" customFormat="false" ht="15" hidden="false" customHeight="false" outlineLevel="0" collapsed="false">
      <c r="A20861" s="3" t="s">
        <v>561</v>
      </c>
      <c r="C20861" s="21" t="n">
        <f aca="false">IF(C20817&gt;0,Assumptions!$C$17,C20806)</f>
        <v>2</v>
      </c>
    </row>
    <row r="20862" customFormat="false" ht="15" hidden="false" customHeight="false" outlineLevel="0" collapsed="false">
      <c r="A20862" s="3" t="s">
        <v>562</v>
      </c>
      <c r="C20862" s="21" t="n">
        <f aca="false">IF(C20818&gt;0,Assumptions!$C$17,C20807)</f>
        <v>2</v>
      </c>
    </row>
    <row r="20863" customFormat="false" ht="15" hidden="false" customHeight="false" outlineLevel="0" collapsed="false">
      <c r="A20863" s="3" t="s">
        <v>563</v>
      </c>
      <c r="C20863" s="21" t="n">
        <f aca="false">IF(C20819&gt;0,Assumptions!$C$17,C20808)</f>
        <v>2</v>
      </c>
    </row>
    <row r="20864" customFormat="false" ht="15" hidden="false" customHeight="false" outlineLevel="0" collapsed="false">
      <c r="A20864" s="3" t="s">
        <v>564</v>
      </c>
      <c r="C20864" s="21" t="n">
        <f aca="false">IF(C20820&gt;0,Assumptions!$C$17,C20809)</f>
        <v>2</v>
      </c>
    </row>
    <row r="20865" customFormat="false" ht="15" hidden="false" customHeight="false" outlineLevel="0" collapsed="false">
      <c r="A20865" s="3" t="s">
        <v>565</v>
      </c>
      <c r="C20865" s="21" t="n">
        <f aca="false">IF(C20821&gt;0,Assumptions!$C$17,C20810)</f>
        <v>3</v>
      </c>
    </row>
    <row r="20866" customFormat="false" ht="15" hidden="false" customHeight="false" outlineLevel="0" collapsed="false">
      <c r="A20866" s="24" t="s">
        <v>572</v>
      </c>
      <c r="B20866" s="25"/>
      <c r="C20866" s="25"/>
      <c r="D20866" s="25"/>
      <c r="E20866" s="25"/>
      <c r="F20866" s="25"/>
      <c r="G20866" s="25"/>
      <c r="H20866" s="25"/>
      <c r="I20866" s="25"/>
      <c r="J20866" s="25"/>
      <c r="K20866" s="25"/>
    </row>
    <row r="20867" customFormat="false" ht="15" hidden="false" customHeight="false" outlineLevel="0" collapsed="false">
      <c r="A20867" s="3" t="s">
        <v>556</v>
      </c>
      <c r="C20867" s="16" t="n">
        <f aca="false">SUMPRODUCT(($C$20856:$C$20865&lt;C20856)*$C$20845:$C$20854)</f>
        <v>2041.291151</v>
      </c>
    </row>
    <row r="20868" customFormat="false" ht="15" hidden="false" customHeight="false" outlineLevel="0" collapsed="false">
      <c r="A20868" s="3" t="s">
        <v>557</v>
      </c>
      <c r="C20868" s="16" t="n">
        <f aca="false">SUMPRODUCT(($C$20856:$C$20865&lt;C20857)*$C$20845:$C$20854)</f>
        <v>2041.291151</v>
      </c>
    </row>
    <row r="20869" customFormat="false" ht="15" hidden="false" customHeight="false" outlineLevel="0" collapsed="false">
      <c r="A20869" s="3" t="s">
        <v>558</v>
      </c>
      <c r="C20869" s="16" t="n">
        <f aca="false">SUMPRODUCT(($C$20856:$C$20865&lt;C20858)*$C$20845:$C$20854)</f>
        <v>2041.291151</v>
      </c>
    </row>
    <row r="20870" customFormat="false" ht="15" hidden="false" customHeight="false" outlineLevel="0" collapsed="false">
      <c r="A20870" s="3" t="s">
        <v>559</v>
      </c>
      <c r="C20870" s="16" t="n">
        <f aca="false">SUMPRODUCT(($C$20856:$C$20865&lt;C20859)*$C$20845:$C$20854)</f>
        <v>0</v>
      </c>
    </row>
    <row r="20871" customFormat="false" ht="15" hidden="false" customHeight="false" outlineLevel="0" collapsed="false">
      <c r="A20871" s="3" t="s">
        <v>560</v>
      </c>
      <c r="C20871" s="16" t="n">
        <f aca="false">SUMPRODUCT(($C$20856:$C$20865&lt;C20860)*$C$20845:$C$20854)</f>
        <v>0</v>
      </c>
    </row>
    <row r="20872" customFormat="false" ht="15" hidden="false" customHeight="false" outlineLevel="0" collapsed="false">
      <c r="A20872" s="3" t="s">
        <v>561</v>
      </c>
      <c r="C20872" s="16" t="n">
        <f aca="false">SUMPRODUCT(($C$20856:$C$20865&lt;C20861)*$C$20845:$C$20854)</f>
        <v>0</v>
      </c>
    </row>
    <row r="20873" customFormat="false" ht="15" hidden="false" customHeight="false" outlineLevel="0" collapsed="false">
      <c r="A20873" s="3" t="s">
        <v>562</v>
      </c>
      <c r="C20873" s="16" t="n">
        <f aca="false">SUMPRODUCT(($C$20856:$C$20865&lt;C20862)*$C$20845:$C$20854)</f>
        <v>0</v>
      </c>
    </row>
    <row r="20874" customFormat="false" ht="15" hidden="false" customHeight="false" outlineLevel="0" collapsed="false">
      <c r="A20874" s="3" t="s">
        <v>563</v>
      </c>
      <c r="C20874" s="16" t="n">
        <f aca="false">SUMPRODUCT(($C$20856:$C$20865&lt;C20863)*$C$20845:$C$20854)</f>
        <v>0</v>
      </c>
    </row>
    <row r="20875" customFormat="false" ht="15" hidden="false" customHeight="false" outlineLevel="0" collapsed="false">
      <c r="A20875" s="3" t="s">
        <v>564</v>
      </c>
      <c r="C20875" s="16" t="n">
        <f aca="false">SUMPRODUCT(($C$20856:$C$20865&lt;C20864)*$C$20845:$C$20854)</f>
        <v>0</v>
      </c>
    </row>
    <row r="20876" customFormat="false" ht="15" hidden="false" customHeight="false" outlineLevel="0" collapsed="false">
      <c r="A20876" s="3" t="s">
        <v>565</v>
      </c>
      <c r="C20876" s="16" t="n">
        <f aca="false">SUMPRODUCT(($C$20856:$C$20865&lt;C20865)*$C$20845:$C$20854)</f>
        <v>1962.681151</v>
      </c>
    </row>
    <row r="20877" customFormat="false" ht="15" hidden="false" customHeight="false" outlineLevel="0" collapsed="false">
      <c r="A20877" s="24" t="s">
        <v>573</v>
      </c>
      <c r="B20877" s="25"/>
      <c r="C20877" s="25"/>
      <c r="D20877" s="25"/>
      <c r="E20877" s="25"/>
      <c r="F20877" s="25"/>
      <c r="G20877" s="25"/>
      <c r="H20877" s="25"/>
      <c r="I20877" s="25"/>
      <c r="J20877" s="25"/>
      <c r="K20877" s="25"/>
    </row>
    <row r="20878" customFormat="false" ht="15" hidden="false" customHeight="false" outlineLevel="0" collapsed="false">
      <c r="A20878" s="3" t="s">
        <v>556</v>
      </c>
      <c r="C20878" s="16" t="n">
        <f aca="false">SUMPRODUCT(($C$20856:$C$20865=C20856)*$C$20845:$C$20854)</f>
        <v>44.1573826489545</v>
      </c>
    </row>
    <row r="20879" customFormat="false" ht="15" hidden="false" customHeight="false" outlineLevel="0" collapsed="false">
      <c r="A20879" s="3" t="s">
        <v>557</v>
      </c>
      <c r="C20879" s="16" t="n">
        <f aca="false">SUMPRODUCT(($C$20856:$C$20865=C20857)*$C$20845:$C$20854)</f>
        <v>44.1573826489545</v>
      </c>
    </row>
    <row r="20880" customFormat="false" ht="15" hidden="false" customHeight="false" outlineLevel="0" collapsed="false">
      <c r="A20880" s="3" t="s">
        <v>558</v>
      </c>
      <c r="C20880" s="16" t="n">
        <f aca="false">SUMPRODUCT(($C$20856:$C$20865=C20858)*$C$20845:$C$20854)</f>
        <v>44.1573826489545</v>
      </c>
    </row>
    <row r="20881" customFormat="false" ht="15" hidden="false" customHeight="false" outlineLevel="0" collapsed="false">
      <c r="A20881" s="3" t="s">
        <v>559</v>
      </c>
      <c r="C20881" s="16" t="n">
        <f aca="false">SUMPRODUCT(($C$20856:$C$20865=C20859)*$C$20845:$C$20854)</f>
        <v>1962.681151</v>
      </c>
    </row>
    <row r="20882" customFormat="false" ht="15" hidden="false" customHeight="false" outlineLevel="0" collapsed="false">
      <c r="A20882" s="3" t="s">
        <v>560</v>
      </c>
      <c r="C20882" s="16" t="n">
        <f aca="false">SUMPRODUCT(($C$20856:$C$20865=C20860)*$C$20845:$C$20854)</f>
        <v>1962.681151</v>
      </c>
    </row>
    <row r="20883" customFormat="false" ht="15" hidden="false" customHeight="false" outlineLevel="0" collapsed="false">
      <c r="A20883" s="3" t="s">
        <v>561</v>
      </c>
      <c r="C20883" s="16" t="n">
        <f aca="false">SUMPRODUCT(($C$20856:$C$20865=C20861)*$C$20845:$C$20854)</f>
        <v>1962.681151</v>
      </c>
    </row>
    <row r="20884" customFormat="false" ht="15" hidden="false" customHeight="false" outlineLevel="0" collapsed="false">
      <c r="A20884" s="3" t="s">
        <v>562</v>
      </c>
      <c r="C20884" s="16" t="n">
        <f aca="false">SUMPRODUCT(($C$20856:$C$20865=C20862)*$C$20845:$C$20854)</f>
        <v>1962.681151</v>
      </c>
    </row>
    <row r="20885" customFormat="false" ht="15" hidden="false" customHeight="false" outlineLevel="0" collapsed="false">
      <c r="A20885" s="3" t="s">
        <v>563</v>
      </c>
      <c r="C20885" s="16" t="n">
        <f aca="false">SUMPRODUCT(($C$20856:$C$20865=C20863)*$C$20845:$C$20854)</f>
        <v>1962.681151</v>
      </c>
    </row>
    <row r="20886" customFormat="false" ht="15" hidden="false" customHeight="false" outlineLevel="0" collapsed="false">
      <c r="A20886" s="3" t="s">
        <v>564</v>
      </c>
      <c r="C20886" s="16" t="n">
        <f aca="false">SUMPRODUCT(($C$20856:$C$20865=C20864)*$C$20845:$C$20854)</f>
        <v>1962.681151</v>
      </c>
    </row>
    <row r="20887" customFormat="false" ht="15" hidden="false" customHeight="false" outlineLevel="0" collapsed="false">
      <c r="A20887" s="3" t="s">
        <v>565</v>
      </c>
      <c r="C20887" s="16" t="n">
        <f aca="false">SUMPRODUCT(($C$20856:$C$20865=C20865)*$C$20845:$C$20854)</f>
        <v>78.61</v>
      </c>
    </row>
    <row r="20888" customFormat="false" ht="15" hidden="false" customHeight="false" outlineLevel="0" collapsed="false">
      <c r="A20888" s="24" t="s">
        <v>574</v>
      </c>
      <c r="B20888" s="25"/>
      <c r="C20888" s="25"/>
      <c r="D20888" s="25"/>
      <c r="E20888" s="25"/>
      <c r="F20888" s="25"/>
      <c r="G20888" s="25"/>
      <c r="H20888" s="25"/>
      <c r="I20888" s="25"/>
      <c r="J20888" s="25"/>
      <c r="K20888" s="25"/>
    </row>
    <row r="20889" customFormat="false" ht="15" hidden="false" customHeight="false" outlineLevel="0" collapsed="false">
      <c r="A20889" s="3" t="s">
        <v>556</v>
      </c>
      <c r="C20889" s="16" t="n">
        <f aca="false">IF(C20878=0,0,C20845/C20878*MAX(0,MIN(C20878,$C$20788-SUM($C$20823:$C$20832)-C20867)))</f>
        <v>0</v>
      </c>
    </row>
    <row r="20890" customFormat="false" ht="15" hidden="false" customHeight="false" outlineLevel="0" collapsed="false">
      <c r="A20890" s="3" t="s">
        <v>557</v>
      </c>
      <c r="C20890" s="16" t="n">
        <f aca="false">IF(C20879=0,0,C20846/C20879*MAX(0,MIN(C20879,$C$20788-SUM($C$20823:$C$20832)-C20868)))</f>
        <v>0</v>
      </c>
    </row>
    <row r="20891" customFormat="false" ht="15" hidden="false" customHeight="false" outlineLevel="0" collapsed="false">
      <c r="A20891" s="3" t="s">
        <v>558</v>
      </c>
      <c r="C20891" s="16" t="n">
        <f aca="false">IF(C20880=0,0,C20847/C20880*MAX(0,MIN(C20880,$C$20788-SUM($C$20823:$C$20832)-C20869)))</f>
        <v>0</v>
      </c>
    </row>
    <row r="20892" customFormat="false" ht="15" hidden="false" customHeight="false" outlineLevel="0" collapsed="false">
      <c r="A20892" s="3" t="s">
        <v>559</v>
      </c>
      <c r="C20892" s="16" t="n">
        <f aca="false">IF(C20881=0,0,C20848/C20881*MAX(0,MIN(C20881,$C$20788-SUM($C$20823:$C$20832)-C20870)))</f>
        <v>0</v>
      </c>
    </row>
    <row r="20893" customFormat="false" ht="15" hidden="false" customHeight="false" outlineLevel="0" collapsed="false">
      <c r="A20893" s="3" t="s">
        <v>560</v>
      </c>
      <c r="C20893" s="16" t="n">
        <f aca="false">IF(C20882=0,0,C20849/C20882*MAX(0,MIN(C20882,$C$20788-SUM($C$20823:$C$20832)-C20871)))</f>
        <v>298.433196553277</v>
      </c>
    </row>
    <row r="20894" customFormat="false" ht="15" hidden="false" customHeight="false" outlineLevel="0" collapsed="false">
      <c r="A20894" s="3" t="s">
        <v>561</v>
      </c>
      <c r="C20894" s="16" t="n">
        <f aca="false">IF(C20883=0,0,C20850/C20883*MAX(0,MIN(C20883,$C$20788-SUM($C$20823:$C$20832)-C20872)))</f>
        <v>253.104893549274</v>
      </c>
    </row>
    <row r="20895" customFormat="false" ht="15" hidden="false" customHeight="false" outlineLevel="0" collapsed="false">
      <c r="A20895" s="3" t="s">
        <v>562</v>
      </c>
      <c r="C20895" s="16" t="n">
        <f aca="false">IF(C20884=0,0,C20851/C20884*MAX(0,MIN(C20884,$C$20788-SUM($C$20823:$C$20832)-C20873)))</f>
        <v>397.736261291716</v>
      </c>
    </row>
    <row r="20896" customFormat="false" ht="15" hidden="false" customHeight="false" outlineLevel="0" collapsed="false">
      <c r="A20896" s="3" t="s">
        <v>563</v>
      </c>
      <c r="C20896" s="16" t="n">
        <f aca="false">IF(C20885=0,0,C20852/C20885*MAX(0,MIN(C20885,$C$20788-SUM($C$20823:$C$20832)-C20874)))</f>
        <v>253.104893549274</v>
      </c>
    </row>
    <row r="20897" customFormat="false" ht="15" hidden="false" customHeight="false" outlineLevel="0" collapsed="false">
      <c r="A20897" s="3" t="s">
        <v>564</v>
      </c>
      <c r="C20897" s="16" t="n">
        <f aca="false">IF(C20886=0,0,C20853/C20886*MAX(0,MIN(C20886,$C$20788-SUM($C$20823:$C$20832)-C20875)))</f>
        <v>216.947051613663</v>
      </c>
    </row>
    <row r="20898" customFormat="false" ht="15" hidden="false" customHeight="false" outlineLevel="0" collapsed="false">
      <c r="A20898" s="3" t="s">
        <v>565</v>
      </c>
      <c r="C20898" s="16" t="n">
        <f aca="false">IF(C20887=0,0,C20854/C20887*MAX(0,MIN(C20887,$C$20788-SUM($C$20823:$C$20832)-C20876)))</f>
        <v>0</v>
      </c>
    </row>
    <row r="20899" customFormat="false" ht="15" hidden="false" customHeight="false" outlineLevel="0" collapsed="false">
      <c r="A20899" s="24" t="s">
        <v>575</v>
      </c>
      <c r="B20899" s="25"/>
      <c r="C20899" s="25"/>
      <c r="D20899" s="25"/>
      <c r="E20899" s="25"/>
      <c r="F20899" s="25"/>
      <c r="G20899" s="25"/>
      <c r="H20899" s="25"/>
      <c r="I20899" s="25"/>
      <c r="J20899" s="25"/>
      <c r="K20899" s="25"/>
    </row>
    <row r="20900" customFormat="false" ht="15" hidden="false" customHeight="false" outlineLevel="0" collapsed="false">
      <c r="A20900" s="2" t="s">
        <v>556</v>
      </c>
      <c r="C20900" s="17" t="n">
        <f aca="false">C20823+C20889</f>
        <v>388</v>
      </c>
    </row>
    <row r="20901" customFormat="false" ht="15" hidden="false" customHeight="false" outlineLevel="0" collapsed="false">
      <c r="A20901" s="2" t="s">
        <v>557</v>
      </c>
      <c r="C20901" s="17" t="n">
        <f aca="false">C20824+C20890</f>
        <v>63.0462661589723</v>
      </c>
    </row>
    <row r="20902" customFormat="false" ht="15" hidden="false" customHeight="false" outlineLevel="0" collapsed="false">
      <c r="A20902" s="2" t="s">
        <v>558</v>
      </c>
      <c r="C20902" s="17" t="n">
        <f aca="false">C20825+C20891</f>
        <v>40.1203511920733</v>
      </c>
    </row>
    <row r="20903" customFormat="false" ht="15" hidden="false" customHeight="false" outlineLevel="0" collapsed="false">
      <c r="A20903" s="2" t="s">
        <v>559</v>
      </c>
      <c r="C20903" s="17" t="n">
        <f aca="false">C20826+C20892</f>
        <v>0</v>
      </c>
    </row>
    <row r="20904" customFormat="false" ht="15" hidden="false" customHeight="false" outlineLevel="0" collapsed="false">
      <c r="A20904" s="2" t="s">
        <v>560</v>
      </c>
      <c r="C20904" s="17" t="n">
        <f aca="false">C20827+C20893</f>
        <v>298.433196553277</v>
      </c>
    </row>
    <row r="20905" customFormat="false" ht="15" hidden="false" customHeight="false" outlineLevel="0" collapsed="false">
      <c r="A20905" s="2" t="s">
        <v>561</v>
      </c>
      <c r="C20905" s="17" t="n">
        <f aca="false">C20828+C20894</f>
        <v>253.104893549274</v>
      </c>
    </row>
    <row r="20906" customFormat="false" ht="15" hidden="false" customHeight="false" outlineLevel="0" collapsed="false">
      <c r="A20906" s="2" t="s">
        <v>562</v>
      </c>
      <c r="C20906" s="17" t="n">
        <f aca="false">C20829+C20895</f>
        <v>397.736261291716</v>
      </c>
    </row>
    <row r="20907" customFormat="false" ht="15" hidden="false" customHeight="false" outlineLevel="0" collapsed="false">
      <c r="A20907" s="2" t="s">
        <v>563</v>
      </c>
      <c r="C20907" s="17" t="n">
        <f aca="false">C20830+C20896</f>
        <v>253.104893549274</v>
      </c>
    </row>
    <row r="20908" customFormat="false" ht="15" hidden="false" customHeight="false" outlineLevel="0" collapsed="false">
      <c r="A20908" s="2" t="s">
        <v>564</v>
      </c>
      <c r="C20908" s="17" t="n">
        <f aca="false">C20831+C20897</f>
        <v>216.947051613663</v>
      </c>
    </row>
    <row r="20909" customFormat="false" ht="15" hidden="false" customHeight="false" outlineLevel="0" collapsed="false">
      <c r="A20909" s="2" t="s">
        <v>565</v>
      </c>
      <c r="C20909" s="17" t="n">
        <f aca="false">C20832+C20898</f>
        <v>0</v>
      </c>
    </row>
    <row r="20910" customFormat="false" ht="15" hidden="false" customHeight="false" outlineLevel="0" collapsed="false">
      <c r="A20910" s="24" t="s">
        <v>576</v>
      </c>
      <c r="B20910" s="25"/>
      <c r="C20910" s="25"/>
      <c r="D20910" s="25"/>
      <c r="E20910" s="25"/>
      <c r="F20910" s="25"/>
      <c r="G20910" s="25"/>
      <c r="H20910" s="25"/>
      <c r="I20910" s="25"/>
      <c r="J20910" s="25"/>
      <c r="K20910" s="25"/>
    </row>
    <row r="20911" customFormat="false" ht="15" hidden="false" customHeight="false" outlineLevel="0" collapsed="false">
      <c r="A20911" s="3" t="s">
        <v>556</v>
      </c>
      <c r="C20911" s="22" t="n">
        <f aca="false">IF(C20790=0,1,C20900/C20790)</f>
        <v>1</v>
      </c>
    </row>
    <row r="20912" customFormat="false" ht="15" hidden="false" customHeight="false" outlineLevel="0" collapsed="false">
      <c r="A20912" s="3" t="s">
        <v>557</v>
      </c>
      <c r="C20912" s="22" t="n">
        <f aca="false">IF(C20791=0,1,C20901/C20791)</f>
        <v>0.700514068433025</v>
      </c>
    </row>
    <row r="20913" customFormat="false" ht="15" hidden="false" customHeight="false" outlineLevel="0" collapsed="false">
      <c r="A20913" s="3" t="s">
        <v>558</v>
      </c>
      <c r="C20913" s="22" t="n">
        <f aca="false">IF(C20792=0,1,C20902/C20792)</f>
        <v>0.699887502478426</v>
      </c>
    </row>
    <row r="20914" customFormat="false" ht="15" hidden="false" customHeight="false" outlineLevel="0" collapsed="false">
      <c r="A20914" s="3" t="s">
        <v>559</v>
      </c>
      <c r="C20914" s="22" t="n">
        <f aca="false">IF(C20793=0,1,C20903/C20793)</f>
        <v>1</v>
      </c>
    </row>
    <row r="20915" customFormat="false" ht="15" hidden="false" customHeight="false" outlineLevel="0" collapsed="false">
      <c r="A20915" s="3" t="s">
        <v>560</v>
      </c>
      <c r="C20915" s="22" t="n">
        <f aca="false">IF(C20794=0,1,C20904/C20794)</f>
        <v>0.723156838712212</v>
      </c>
    </row>
    <row r="20916" customFormat="false" ht="15" hidden="false" customHeight="false" outlineLevel="0" collapsed="false">
      <c r="A20916" s="3" t="s">
        <v>561</v>
      </c>
      <c r="C20916" s="22" t="n">
        <f aca="false">IF(C20795=0,1,C20905/C20795)</f>
        <v>0.723156838712212</v>
      </c>
    </row>
    <row r="20917" customFormat="false" ht="15" hidden="false" customHeight="false" outlineLevel="0" collapsed="false">
      <c r="A20917" s="3" t="s">
        <v>562</v>
      </c>
      <c r="C20917" s="22" t="n">
        <f aca="false">IF(C20796=0,1,C20906/C20796)</f>
        <v>0.723156838712212</v>
      </c>
    </row>
    <row r="20918" customFormat="false" ht="15" hidden="false" customHeight="false" outlineLevel="0" collapsed="false">
      <c r="A20918" s="3" t="s">
        <v>563</v>
      </c>
      <c r="C20918" s="22" t="n">
        <f aca="false">IF(C20797=0,1,C20907/C20797)</f>
        <v>0.723156838712212</v>
      </c>
    </row>
    <row r="20919" customFormat="false" ht="15" hidden="false" customHeight="false" outlineLevel="0" collapsed="false">
      <c r="A20919" s="3" t="s">
        <v>564</v>
      </c>
      <c r="C20919" s="22" t="n">
        <f aca="false">IF(C20798=0,1,C20908/C20798)</f>
        <v>0.723156838712212</v>
      </c>
    </row>
    <row r="20920" customFormat="false" ht="15" hidden="false" customHeight="false" outlineLevel="0" collapsed="false">
      <c r="A20920" s="3" t="s">
        <v>565</v>
      </c>
      <c r="C20920" s="22" t="n">
        <f aca="false">IF(C20799=0,1,C20909/C20799)</f>
        <v>0</v>
      </c>
    </row>
    <row r="20921" customFormat="false" ht="15" hidden="false" customHeight="false" outlineLevel="0" collapsed="false">
      <c r="A20921" s="24" t="s">
        <v>577</v>
      </c>
      <c r="B20921" s="25"/>
      <c r="C20921" s="25"/>
      <c r="D20921" s="25"/>
      <c r="E20921" s="25"/>
      <c r="F20921" s="25"/>
      <c r="G20921" s="25"/>
      <c r="H20921" s="25"/>
      <c r="I20921" s="25"/>
      <c r="J20921" s="25"/>
      <c r="K20921" s="25"/>
    </row>
    <row r="20922" customFormat="false" ht="15" hidden="false" customHeight="false" outlineLevel="0" collapsed="false">
      <c r="A20922" s="3" t="s">
        <v>556</v>
      </c>
      <c r="C20922" s="16" t="n">
        <f aca="false">C20790-C20900</f>
        <v>0</v>
      </c>
    </row>
    <row r="20923" customFormat="false" ht="15" hidden="false" customHeight="false" outlineLevel="0" collapsed="false">
      <c r="A20923" s="3" t="s">
        <v>557</v>
      </c>
      <c r="C20923" s="16" t="n">
        <f aca="false">C20791-C20901</f>
        <v>26.9537338410277</v>
      </c>
    </row>
    <row r="20924" customFormat="false" ht="15" hidden="false" customHeight="false" outlineLevel="0" collapsed="false">
      <c r="A20924" s="3" t="s">
        <v>558</v>
      </c>
      <c r="C20924" s="16" t="n">
        <f aca="false">C20792-C20902</f>
        <v>17.2036488079267</v>
      </c>
    </row>
    <row r="20925" customFormat="false" ht="15" hidden="false" customHeight="false" outlineLevel="0" collapsed="false">
      <c r="A20925" s="3" t="s">
        <v>559</v>
      </c>
      <c r="C20925" s="16" t="n">
        <f aca="false">C20793-C20903</f>
        <v>0</v>
      </c>
    </row>
    <row r="20926" customFormat="false" ht="15" hidden="false" customHeight="false" outlineLevel="0" collapsed="false">
      <c r="A20926" s="3" t="s">
        <v>560</v>
      </c>
      <c r="C20926" s="16" t="n">
        <f aca="false">C20794-C20904</f>
        <v>114.247954446723</v>
      </c>
    </row>
    <row r="20927" customFormat="false" ht="15" hidden="false" customHeight="false" outlineLevel="0" collapsed="false">
      <c r="A20927" s="3" t="s">
        <v>561</v>
      </c>
      <c r="C20927" s="16" t="n">
        <f aca="false">C20795-C20905</f>
        <v>96.895106450726</v>
      </c>
    </row>
    <row r="20928" customFormat="false" ht="15" hidden="false" customHeight="false" outlineLevel="0" collapsed="false">
      <c r="A20928" s="3" t="s">
        <v>562</v>
      </c>
      <c r="C20928" s="16" t="n">
        <f aca="false">C20796-C20906</f>
        <v>152.263738708284</v>
      </c>
    </row>
    <row r="20929" customFormat="false" ht="15" hidden="false" customHeight="false" outlineLevel="0" collapsed="false">
      <c r="A20929" s="3" t="s">
        <v>563</v>
      </c>
      <c r="C20929" s="16" t="n">
        <f aca="false">C20797-C20907</f>
        <v>96.895106450726</v>
      </c>
    </row>
    <row r="20930" customFormat="false" ht="15" hidden="false" customHeight="false" outlineLevel="0" collapsed="false">
      <c r="A20930" s="3" t="s">
        <v>564</v>
      </c>
      <c r="C20930" s="16" t="n">
        <f aca="false">C20798-C20908</f>
        <v>83.0529483863365</v>
      </c>
    </row>
    <row r="20931" customFormat="false" ht="15" hidden="false" customHeight="false" outlineLevel="0" collapsed="false">
      <c r="A20931" s="3" t="s">
        <v>565</v>
      </c>
      <c r="C20931" s="16" t="n">
        <f aca="false">C20799-C20909</f>
        <v>78.61</v>
      </c>
    </row>
    <row r="20932" customFormat="false" ht="15" hidden="false" customHeight="false" outlineLevel="0" collapsed="false">
      <c r="A20932" s="24" t="s">
        <v>578</v>
      </c>
      <c r="B20932" s="25"/>
      <c r="C20932" s="25"/>
      <c r="D20932" s="25"/>
      <c r="E20932" s="25"/>
      <c r="F20932" s="25"/>
      <c r="G20932" s="25"/>
      <c r="H20932" s="25"/>
      <c r="I20932" s="25"/>
      <c r="J20932" s="25"/>
      <c r="K20932" s="25"/>
    </row>
    <row r="20933" customFormat="false" ht="15" hidden="false" customHeight="false" outlineLevel="0" collapsed="false">
      <c r="A20933" s="3" t="s">
        <v>556</v>
      </c>
      <c r="C20933" s="22" t="n">
        <f aca="false">IF(C20790=0,0,C20922/C20790)</f>
        <v>0</v>
      </c>
    </row>
    <row r="20934" customFormat="false" ht="15" hidden="false" customHeight="false" outlineLevel="0" collapsed="false">
      <c r="A20934" s="3" t="s">
        <v>557</v>
      </c>
      <c r="C20934" s="22" t="n">
        <f aca="false">IF(C20791=0,0,C20923/C20791)</f>
        <v>0.299485931566975</v>
      </c>
    </row>
    <row r="20935" customFormat="false" ht="15" hidden="false" customHeight="false" outlineLevel="0" collapsed="false">
      <c r="A20935" s="3" t="s">
        <v>558</v>
      </c>
      <c r="C20935" s="22" t="n">
        <f aca="false">IF(C20792=0,0,C20924/C20792)</f>
        <v>0.300112497521575</v>
      </c>
    </row>
    <row r="20936" customFormat="false" ht="15" hidden="false" customHeight="false" outlineLevel="0" collapsed="false">
      <c r="A20936" s="3" t="s">
        <v>559</v>
      </c>
      <c r="C20936" s="22" t="n">
        <f aca="false">IF(C20793=0,0,C20925/C20793)</f>
        <v>0</v>
      </c>
    </row>
    <row r="20937" customFormat="false" ht="15" hidden="false" customHeight="false" outlineLevel="0" collapsed="false">
      <c r="A20937" s="3" t="s">
        <v>560</v>
      </c>
      <c r="C20937" s="22" t="n">
        <f aca="false">IF(C20794=0,0,C20926/C20794)</f>
        <v>0.276843161287789</v>
      </c>
    </row>
    <row r="20938" customFormat="false" ht="15" hidden="false" customHeight="false" outlineLevel="0" collapsed="false">
      <c r="A20938" s="3" t="s">
        <v>561</v>
      </c>
      <c r="C20938" s="22" t="n">
        <f aca="false">IF(C20795=0,0,C20927/C20795)</f>
        <v>0.276843161287788</v>
      </c>
    </row>
    <row r="20939" customFormat="false" ht="15" hidden="false" customHeight="false" outlineLevel="0" collapsed="false">
      <c r="A20939" s="3" t="s">
        <v>562</v>
      </c>
      <c r="C20939" s="22" t="n">
        <f aca="false">IF(C20796=0,0,C20928/C20796)</f>
        <v>0.276843161287788</v>
      </c>
    </row>
    <row r="20940" customFormat="false" ht="15" hidden="false" customHeight="false" outlineLevel="0" collapsed="false">
      <c r="A20940" s="3" t="s">
        <v>563</v>
      </c>
      <c r="C20940" s="22" t="n">
        <f aca="false">IF(C20797=0,0,C20929/C20797)</f>
        <v>0.276843161287788</v>
      </c>
    </row>
    <row r="20941" customFormat="false" ht="15" hidden="false" customHeight="false" outlineLevel="0" collapsed="false">
      <c r="A20941" s="3" t="s">
        <v>564</v>
      </c>
      <c r="C20941" s="22" t="n">
        <f aca="false">IF(C20798=0,0,C20930/C20798)</f>
        <v>0.276843161287788</v>
      </c>
    </row>
    <row r="20942" customFormat="false" ht="15" hidden="false" customHeight="false" outlineLevel="0" collapsed="false">
      <c r="A20942" s="3" t="s">
        <v>565</v>
      </c>
      <c r="C20942" s="22" t="n">
        <f aca="false">IF(C20799=0,0,C20931/C20799)</f>
        <v>1</v>
      </c>
    </row>
    <row r="20943" customFormat="false" ht="15" hidden="false" customHeight="false" outlineLevel="0" collapsed="false">
      <c r="A20943" s="2" t="s">
        <v>579</v>
      </c>
      <c r="C20943" s="17" t="n">
        <f aca="false">MAX(0,$C$20788-SUM($C$20823:$C$20832)-SUM($C$20845:$C$20854))</f>
        <v>0</v>
      </c>
    </row>
    <row r="20944" customFormat="false" ht="15" hidden="false" customHeight="false" outlineLevel="0" collapsed="false">
      <c r="A20944" s="3" t="s">
        <v>597</v>
      </c>
      <c r="C20944" s="35" t="n">
        <f aca="false">MIN(C20787,100*CHOOSE(C20777,C20911,C20912,C20913,C20914,C20915,C20916,C20917,C20918,C20919,C20920))</f>
        <v>85</v>
      </c>
    </row>
    <row r="20945" customFormat="false" ht="15" hidden="false" customHeight="false" outlineLevel="0" collapsed="false">
      <c r="A20945" s="3" t="s">
        <v>598</v>
      </c>
      <c r="C20945" s="21" t="n">
        <f aca="false">IF(C20609=1,C20782+Assumptions!$C$40,C20781)</f>
        <v>3</v>
      </c>
    </row>
    <row r="20946" customFormat="false" ht="15" hidden="false" customHeight="false" outlineLevel="0" collapsed="false">
      <c r="A20946" s="24" t="s">
        <v>599</v>
      </c>
      <c r="B20946" s="25"/>
      <c r="C20946" s="25"/>
      <c r="D20946" s="25"/>
      <c r="E20946" s="25"/>
      <c r="F20946" s="25"/>
      <c r="G20946" s="25"/>
      <c r="H20946" s="25"/>
      <c r="I20946" s="25"/>
      <c r="J20946" s="25"/>
      <c r="K20946" s="25"/>
    </row>
    <row r="20947" customFormat="false" ht="15" hidden="false" customHeight="false" outlineLevel="0" collapsed="false">
      <c r="A20947" s="3" t="s">
        <v>600</v>
      </c>
      <c r="C20947" s="21" t="n">
        <f aca="false">COLUMN()-COLUMN($C$1)</f>
        <v>0</v>
      </c>
      <c r="D20947" s="21" t="n">
        <f aca="false">COLUMN()-COLUMN($C$1)</f>
        <v>1</v>
      </c>
      <c r="E20947" s="21" t="n">
        <f aca="false">COLUMN()-COLUMN($C$1)</f>
        <v>2</v>
      </c>
      <c r="F20947" s="21" t="n">
        <f aca="false">COLUMN()-COLUMN($C$1)</f>
        <v>3</v>
      </c>
      <c r="G20947" s="21" t="n">
        <f aca="false">COLUMN()-COLUMN($C$1)</f>
        <v>4</v>
      </c>
      <c r="H20947" s="21" t="n">
        <f aca="false">COLUMN()-COLUMN($C$1)</f>
        <v>5</v>
      </c>
      <c r="I20947" s="21" t="n">
        <f aca="false">COLUMN()-COLUMN($C$1)</f>
        <v>6</v>
      </c>
    </row>
    <row r="20948" customFormat="false" ht="15" hidden="false" customHeight="false" outlineLevel="0" collapsed="false">
      <c r="A20948" s="3" t="s">
        <v>601</v>
      </c>
      <c r="D20948" s="31" t="n">
        <f aca="false">CHOOSE($C$20777,G20357,G20370,G20383,G20396,G20409,G20422,G20435,G20448,G20461,G20474)</f>
        <v>0.1215</v>
      </c>
      <c r="E20948" s="31" t="n">
        <f aca="false">CHOOSE($C$20777,H20357,H20370,H20383,H20396,H20409,H20422,H20435,H20448,H20461,H20474)</f>
        <v>0.12</v>
      </c>
      <c r="F20948" s="31" t="n">
        <f aca="false">CHOOSE($C$20777,I20357,I20370,I20383,I20396,I20409,I20422,I20435,I20448,I20461,I20474)</f>
        <v>0.1175</v>
      </c>
      <c r="G20948" s="31" t="n">
        <f aca="false">CHOOSE($C$20777,J20357,J20370,J20383,J20396,J20409,J20422,J20435,J20448,J20461,J20474)</f>
        <v>0.1175</v>
      </c>
      <c r="H20948" s="31" t="n">
        <f aca="false">CHOOSE($C$20777,K20357,K20370,K20383,K20396,K20409,K20422,K20435,K20448,K20461,K20474)</f>
        <v>0.1175</v>
      </c>
    </row>
    <row r="20949" customFormat="false" ht="15" hidden="false" customHeight="false" outlineLevel="0" collapsed="false">
      <c r="A20949" s="3" t="s">
        <v>602</v>
      </c>
      <c r="D20949" s="16" t="n">
        <f aca="false">IF(D20947&lt;=$C$20786,$C$20778*D20948,0)</f>
        <v>12.15</v>
      </c>
      <c r="E20949" s="16" t="n">
        <f aca="false">IF(E20947&lt;=$C$20786,$C$20778*E20948,0)</f>
        <v>12</v>
      </c>
      <c r="F20949" s="16" t="n">
        <f aca="false">IF(F20947&lt;=$C$20786,$C$20778*F20948,0)</f>
        <v>0</v>
      </c>
      <c r="G20949" s="16" t="n">
        <f aca="false">IF(G20947&lt;=$C$20786,$C$20778*G20948,0)</f>
        <v>0</v>
      </c>
      <c r="H20949" s="16" t="n">
        <f aca="false">IF(H20947&lt;=$C$20786,$C$20778*H20948,0)</f>
        <v>0</v>
      </c>
    </row>
    <row r="20950" customFormat="false" ht="15" hidden="false" customHeight="false" outlineLevel="0" collapsed="false">
      <c r="A20950" s="3" t="s">
        <v>603</v>
      </c>
      <c r="D20950" s="16" t="n">
        <f aca="false">IF(AND($C$20609=0,D20947=$C$20781),$C$20778*$C$20944/100,0)+IF(AND($C$20609=1,D20947=$C$20945),$C$20784,0)</f>
        <v>0</v>
      </c>
      <c r="E20950" s="16" t="n">
        <f aca="false">IF(AND($C$20609=0,E20947=$C$20781),$C$20778*$C$20944/100,0)+IF(AND($C$20609=1,E20947=$C$20945),$C$20784,0)</f>
        <v>0</v>
      </c>
      <c r="F20950" s="16" t="n">
        <f aca="false">IF(AND($C$20609=0,F20947=$C$20781),$C$20778*$C$20944/100,0)+IF(AND($C$20609=1,F20947=$C$20945),$C$20784,0)</f>
        <v>103</v>
      </c>
      <c r="G20950" s="16" t="n">
        <f aca="false">IF(AND($C$20609=0,G20947=$C$20781),$C$20778*$C$20944/100,0)+IF(AND($C$20609=1,G20947=$C$20945),$C$20784,0)</f>
        <v>0</v>
      </c>
      <c r="H20950" s="16" t="n">
        <f aca="false">IF(AND($C$20609=0,H20947=$C$20781),$C$20778*$C$20944/100,0)+IF(AND($C$20609=1,H20947=$C$20945),$C$20784,0)</f>
        <v>0</v>
      </c>
      <c r="I20950" s="16" t="n">
        <f aca="false">IF(AND($C$20609=0,I20947=$C$20781),$C$20778*$C$20944/100,0)+IF(AND($C$20609=1,I20947=$C$20945),$C$20784,0)</f>
        <v>0</v>
      </c>
    </row>
    <row r="20951" customFormat="false" ht="15" hidden="false" customHeight="false" outlineLevel="0" collapsed="false">
      <c r="A20951" s="2" t="s">
        <v>604</v>
      </c>
      <c r="C20951" s="17" t="n">
        <f aca="false">-$C$20780</f>
        <v>-98.49</v>
      </c>
      <c r="D20951" s="17" t="n">
        <f aca="false">D20949+D20950</f>
        <v>12.15</v>
      </c>
      <c r="E20951" s="17" t="n">
        <f aca="false">E20949+E20950</f>
        <v>12</v>
      </c>
      <c r="F20951" s="17" t="n">
        <f aca="false">F20949+F20950</f>
        <v>103</v>
      </c>
      <c r="G20951" s="17" t="n">
        <f aca="false">G20949+G20950</f>
        <v>0</v>
      </c>
      <c r="H20951" s="17" t="n">
        <f aca="false">H20949+H20950</f>
        <v>0</v>
      </c>
      <c r="I20951" s="17" t="n">
        <f aca="false">I20949+I20950</f>
        <v>0</v>
      </c>
    </row>
    <row r="20952" customFormat="false" ht="15" hidden="false" customHeight="false" outlineLevel="0" collapsed="false">
      <c r="A20952" s="3" t="s">
        <v>605</v>
      </c>
      <c r="C20952" s="16" t="n">
        <f aca="false">SUM($C$20949:$I$20949)</f>
        <v>24.15</v>
      </c>
    </row>
    <row r="20953" customFormat="false" ht="15" hidden="false" customHeight="false" outlineLevel="0" collapsed="false">
      <c r="A20953" s="3" t="s">
        <v>606</v>
      </c>
      <c r="C20953" s="16" t="n">
        <f aca="false">SUM($C$20950:$I$20950)</f>
        <v>103</v>
      </c>
    </row>
    <row r="20954" customFormat="false" ht="15" hidden="false" customHeight="false" outlineLevel="0" collapsed="false">
      <c r="A20954" s="3" t="s">
        <v>607</v>
      </c>
      <c r="C20954" s="16" t="n">
        <f aca="false">C20952+C20953</f>
        <v>127.15</v>
      </c>
    </row>
    <row r="20955" customFormat="false" ht="15" hidden="false" customHeight="false" outlineLevel="0" collapsed="false">
      <c r="A20955" s="3" t="s">
        <v>608</v>
      </c>
      <c r="C20955" s="16" t="n">
        <f aca="false">C20953-C20778*C20779/100</f>
        <v>5</v>
      </c>
    </row>
    <row r="20956" customFormat="false" ht="15" hidden="false" customHeight="false" outlineLevel="0" collapsed="false">
      <c r="A20956" s="3" t="s">
        <v>609</v>
      </c>
      <c r="C20956" s="16" t="n">
        <f aca="false">C20954-C20780</f>
        <v>28.66</v>
      </c>
    </row>
    <row r="20957" customFormat="false" ht="15" hidden="false" customHeight="false" outlineLevel="0" collapsed="false">
      <c r="A20957" s="2" t="s">
        <v>484</v>
      </c>
      <c r="C20957" s="44" t="n">
        <f aca="false">C20954/C20780</f>
        <v>1.29099400954412</v>
      </c>
    </row>
    <row r="20958" customFormat="false" ht="15" hidden="false" customHeight="false" outlineLevel="0" collapsed="false">
      <c r="A20958" s="2" t="s">
        <v>483</v>
      </c>
      <c r="C20958" s="42" t="n">
        <f aca="false">IF(C20954&lt;=0,-1,IFERROR(IRR($C$20951:$I$20951,MAX(-0.9,C20957^(1/C20945)-1)),IRR($C$20951:$I$20951,0.1)))</f>
        <v>0.0994077590660149</v>
      </c>
    </row>
    <row r="20959" customFormat="false" ht="15" hidden="false" customHeight="false" outlineLevel="0" collapsed="false">
      <c r="A20959" s="3" t="s">
        <v>610</v>
      </c>
      <c r="C20959" s="32" t="n">
        <f aca="false">MAX($G$20553:$K$20553)</f>
        <v>13.0840641645995</v>
      </c>
    </row>
    <row r="20960" customFormat="false" ht="15" hidden="false" customHeight="false" outlineLevel="0" collapsed="false">
      <c r="A20960" s="3" t="s">
        <v>611</v>
      </c>
      <c r="C20960" s="32" t="n">
        <f aca="false">MIN($G$20554:$K$20554)</f>
        <v>1.03160140355413</v>
      </c>
    </row>
    <row r="20961" customFormat="false" ht="15" hidden="false" customHeight="false" outlineLevel="0" collapsed="false">
      <c r="A20961" s="3" t="s">
        <v>612</v>
      </c>
      <c r="C20961" s="16" t="n">
        <f aca="false">SUM($G$20341:$K$20341)</f>
        <v>-209.951628034417</v>
      </c>
    </row>
    <row r="20965" customFormat="false" ht="15" hidden="false" customHeight="false" outlineLevel="0" collapsed="false">
      <c r="A20965" s="9" t="s">
        <v>1162</v>
      </c>
      <c r="B20965" s="10"/>
      <c r="C20965" s="10"/>
      <c r="D20965" s="10"/>
      <c r="E20965" s="10"/>
      <c r="F20965" s="10"/>
      <c r="G20965" s="10"/>
      <c r="H20965" s="10"/>
      <c r="I20965" s="10"/>
      <c r="J20965" s="10"/>
      <c r="K20965" s="10"/>
    </row>
    <row r="20966" customFormat="false" ht="15" hidden="false" customHeight="false" outlineLevel="0" collapsed="false">
      <c r="A20966" s="3" t="s">
        <v>1126</v>
      </c>
      <c r="C20966" s="11" t="n">
        <v>3</v>
      </c>
    </row>
    <row r="20967" customFormat="false" ht="15" hidden="false" customHeight="false" outlineLevel="0" collapsed="false">
      <c r="A20967" s="3" t="s">
        <v>1127</v>
      </c>
      <c r="C20967" s="30" t="n">
        <f aca="false">Sensitivities!$A$44</f>
        <v>0.1</v>
      </c>
    </row>
    <row r="20968" customFormat="false" ht="15" hidden="false" customHeight="false" outlineLevel="0" collapsed="false">
      <c r="A20968" s="3" t="s">
        <v>1128</v>
      </c>
      <c r="C20968" s="19" t="n">
        <v>0</v>
      </c>
    </row>
    <row r="20969" customFormat="false" ht="15" hidden="false" customHeight="false" outlineLevel="0" collapsed="false">
      <c r="A20969" s="3" t="s">
        <v>1129</v>
      </c>
      <c r="C20969" s="19" t="n">
        <v>0</v>
      </c>
    </row>
    <row r="20970" customFormat="false" ht="15" hidden="false" customHeight="false" outlineLevel="0" collapsed="false">
      <c r="A20970" s="3" t="s">
        <v>1130</v>
      </c>
      <c r="C20970" s="15" t="n">
        <v>0</v>
      </c>
    </row>
    <row r="20972" customFormat="false" ht="15" hidden="false" customHeight="false" outlineLevel="0" collapsed="false">
      <c r="A20972" s="24" t="s">
        <v>301</v>
      </c>
      <c r="B20972" s="25"/>
      <c r="C20972" s="25"/>
      <c r="D20972" s="25"/>
      <c r="E20972" s="25"/>
      <c r="F20972" s="25"/>
      <c r="G20972" s="25"/>
      <c r="H20972" s="25"/>
      <c r="I20972" s="25"/>
      <c r="J20972" s="25"/>
      <c r="K20972" s="25"/>
    </row>
    <row r="20973" customFormat="false" ht="15" hidden="false" customHeight="false" outlineLevel="0" collapsed="false">
      <c r="A20973" s="3" t="s">
        <v>302</v>
      </c>
      <c r="F20973" s="27" t="n">
        <f aca="false">Assumptions!$C$6</f>
        <v>2026</v>
      </c>
      <c r="G20973" s="21" t="n">
        <f aca="false">F20973+1</f>
        <v>2027</v>
      </c>
      <c r="H20973" s="21" t="n">
        <f aca="false">G20973+1</f>
        <v>2028</v>
      </c>
      <c r="I20973" s="21" t="n">
        <f aca="false">H20973+1</f>
        <v>2029</v>
      </c>
      <c r="J20973" s="21" t="n">
        <f aca="false">I20973+1</f>
        <v>2030</v>
      </c>
      <c r="K20973" s="21" t="n">
        <f aca="false">J20973+1</f>
        <v>2031</v>
      </c>
    </row>
    <row r="20974" customFormat="false" ht="15" hidden="false" customHeight="false" outlineLevel="0" collapsed="false">
      <c r="A20974" s="3" t="s">
        <v>303</v>
      </c>
      <c r="G20974" s="21" t="n">
        <f aca="false">G20973-Assumptions!$C$6</f>
        <v>1</v>
      </c>
      <c r="H20974" s="21" t="n">
        <f aca="false">H20973-Assumptions!$C$6</f>
        <v>2</v>
      </c>
      <c r="I20974" s="21" t="n">
        <f aca="false">I20973-Assumptions!$C$6</f>
        <v>3</v>
      </c>
      <c r="J20974" s="21" t="n">
        <f aca="false">J20973-Assumptions!$C$6</f>
        <v>4</v>
      </c>
      <c r="K20974" s="21" t="n">
        <f aca="false">K20973-Assumptions!$C$6</f>
        <v>5</v>
      </c>
    </row>
    <row r="20975" customFormat="false" ht="15" hidden="false" customHeight="false" outlineLevel="0" collapsed="false">
      <c r="A20975" s="3" t="s">
        <v>180</v>
      </c>
      <c r="G20975" s="22" t="n">
        <f aca="false">CHOOSE($C$20966,Assumptions!$G$79,Assumptions!$G$98,Assumptions!$G$117)+$C$20967</f>
        <v>0</v>
      </c>
      <c r="H20975" s="22" t="n">
        <f aca="false">CHOOSE($C$20966,Assumptions!$H$79,Assumptions!$H$98,Assumptions!$H$117)+$C$20967</f>
        <v>0.03</v>
      </c>
      <c r="I20975" s="22" t="n">
        <f aca="false">CHOOSE($C$20966,Assumptions!$I$79,Assumptions!$I$98,Assumptions!$I$117)+$C$20967</f>
        <v>0.07</v>
      </c>
      <c r="J20975" s="22" t="n">
        <f aca="false">CHOOSE($C$20966,Assumptions!$J$79,Assumptions!$J$98,Assumptions!$J$117)+$C$20967</f>
        <v>0.1</v>
      </c>
      <c r="K20975" s="22" t="n">
        <f aca="false">CHOOSE($C$20966,Assumptions!$K$79,Assumptions!$K$98,Assumptions!$K$117)+$C$20967</f>
        <v>0.11</v>
      </c>
    </row>
    <row r="20976" customFormat="false" ht="15" hidden="false" customHeight="false" outlineLevel="0" collapsed="false">
      <c r="A20976" s="3" t="s">
        <v>181</v>
      </c>
      <c r="G20976" s="22" t="n">
        <f aca="false">CHOOSE($C$20966,Assumptions!$G$80,Assumptions!$G$99,Assumptions!$G$118)</f>
        <v>0.533920660818678</v>
      </c>
      <c r="H20976" s="22" t="n">
        <f aca="false">CHOOSE($C$20966,Assumptions!$H$80,Assumptions!$H$99,Assumptions!$H$118)</f>
        <v>0.503920660818678</v>
      </c>
      <c r="I20976" s="22" t="n">
        <f aca="false">CHOOSE($C$20966,Assumptions!$I$80,Assumptions!$I$99,Assumptions!$I$118)</f>
        <v>0.498920660818678</v>
      </c>
      <c r="J20976" s="22" t="n">
        <f aca="false">CHOOSE($C$20966,Assumptions!$J$80,Assumptions!$J$99,Assumptions!$J$118)</f>
        <v>0.503920660818678</v>
      </c>
      <c r="K20976" s="22" t="n">
        <f aca="false">CHOOSE($C$20966,Assumptions!$K$80,Assumptions!$K$99,Assumptions!$K$118)</f>
        <v>0.513920660818678</v>
      </c>
    </row>
    <row r="20977" customFormat="false" ht="15" hidden="false" customHeight="false" outlineLevel="0" collapsed="false">
      <c r="A20977" s="3" t="s">
        <v>182</v>
      </c>
      <c r="G20977" s="22" t="n">
        <f aca="false">CHOOSE($C$20966,Assumptions!$G$81,Assumptions!$G$100,Assumptions!$G$119)+$C$20968</f>
        <v>0.46</v>
      </c>
      <c r="H20977" s="22" t="n">
        <f aca="false">CHOOSE($C$20966,Assumptions!$H$81,Assumptions!$H$100,Assumptions!$H$119)+$C$20968</f>
        <v>0.43</v>
      </c>
      <c r="I20977" s="22" t="n">
        <f aca="false">CHOOSE($C$20966,Assumptions!$I$81,Assumptions!$I$100,Assumptions!$I$119)+$C$20968</f>
        <v>0.425</v>
      </c>
      <c r="J20977" s="22" t="n">
        <f aca="false">CHOOSE($C$20966,Assumptions!$J$81,Assumptions!$J$100,Assumptions!$J$119)+$C$20968</f>
        <v>0.43</v>
      </c>
      <c r="K20977" s="22" t="n">
        <f aca="false">CHOOSE($C$20966,Assumptions!$K$81,Assumptions!$K$100,Assumptions!$K$119)+$C$20968</f>
        <v>0.44</v>
      </c>
    </row>
    <row r="20978" customFormat="false" ht="15" hidden="false" customHeight="false" outlineLevel="0" collapsed="false">
      <c r="A20978" s="24" t="s">
        <v>304</v>
      </c>
      <c r="B20978" s="25"/>
      <c r="C20978" s="25"/>
      <c r="D20978" s="25"/>
      <c r="E20978" s="25"/>
      <c r="F20978" s="25"/>
      <c r="G20978" s="25"/>
      <c r="H20978" s="25"/>
      <c r="I20978" s="25"/>
      <c r="J20978" s="25"/>
      <c r="K20978" s="25"/>
    </row>
    <row r="20979" customFormat="false" ht="15" hidden="false" customHeight="false" outlineLevel="0" collapsed="false">
      <c r="A20979" s="2" t="s">
        <v>275</v>
      </c>
      <c r="F20979" s="28" t="n">
        <f aca="false">'Historical Financials'!G25</f>
        <v>498.291</v>
      </c>
      <c r="G20979" s="17" t="n">
        <f aca="false">F20979*(1+G20975)</f>
        <v>498.291</v>
      </c>
      <c r="H20979" s="17" t="n">
        <f aca="false">G20979*(1+H20975)</f>
        <v>513.23973</v>
      </c>
      <c r="I20979" s="17" t="n">
        <f aca="false">H20979*(1+I20975)</f>
        <v>549.1665111</v>
      </c>
      <c r="J20979" s="17" t="n">
        <f aca="false">I20979*(1+J20975)</f>
        <v>604.08316221</v>
      </c>
      <c r="K20979" s="17" t="n">
        <f aca="false">J20979*(1+K20975)</f>
        <v>670.5323100531</v>
      </c>
    </row>
    <row r="20980" customFormat="false" ht="15" hidden="false" customHeight="false" outlineLevel="0" collapsed="false">
      <c r="A20980" s="3" t="s">
        <v>276</v>
      </c>
      <c r="G20980" s="16" t="n">
        <f aca="false">G20979*(1-G20976)</f>
        <v>232.24314</v>
      </c>
      <c r="H20980" s="16" t="n">
        <f aca="false">H20979*(1-H20976)</f>
        <v>254.6076261</v>
      </c>
      <c r="I20980" s="16" t="n">
        <f aca="false">I20979*(1-I20976)</f>
        <v>275.1759924825</v>
      </c>
      <c r="J20980" s="16" t="n">
        <f aca="false">J20979*(1-J20976)</f>
        <v>299.6731759197</v>
      </c>
      <c r="K20980" s="16" t="n">
        <f aca="false">K20979*(1-K20976)</f>
        <v>325.931902170336</v>
      </c>
    </row>
    <row r="20981" customFormat="false" ht="15" hidden="false" customHeight="false" outlineLevel="0" collapsed="false">
      <c r="A20981" s="2" t="s">
        <v>277</v>
      </c>
      <c r="G20981" s="17" t="n">
        <f aca="false">G20979-G20980</f>
        <v>266.04786</v>
      </c>
      <c r="H20981" s="17" t="n">
        <f aca="false">H20979-H20980</f>
        <v>258.6321039</v>
      </c>
      <c r="I20981" s="17" t="n">
        <f aca="false">I20979-I20980</f>
        <v>273.9905186175</v>
      </c>
      <c r="J20981" s="17" t="n">
        <f aca="false">J20979-J20980</f>
        <v>304.4099862903</v>
      </c>
      <c r="K20981" s="17" t="n">
        <f aca="false">K20979-K20980</f>
        <v>344.600407882764</v>
      </c>
    </row>
    <row r="20982" customFormat="false" ht="15" hidden="false" customHeight="false" outlineLevel="0" collapsed="false">
      <c r="A20982" s="3" t="s">
        <v>305</v>
      </c>
      <c r="G20982" s="16" t="n">
        <f aca="false">G20981-G20983</f>
        <v>36.834</v>
      </c>
      <c r="H20982" s="16" t="n">
        <f aca="false">H20981-H20983</f>
        <v>37.9390199999999</v>
      </c>
      <c r="I20982" s="16" t="n">
        <f aca="false">I20981-I20983</f>
        <v>40.5947514</v>
      </c>
      <c r="J20982" s="16" t="n">
        <f aca="false">J20981-J20983</f>
        <v>44.65422654</v>
      </c>
      <c r="K20982" s="16" t="n">
        <f aca="false">K20981-K20983</f>
        <v>49.5661914593999</v>
      </c>
    </row>
    <row r="20983" customFormat="false" ht="15" hidden="false" customHeight="false" outlineLevel="0" collapsed="false">
      <c r="A20983" s="2" t="s">
        <v>306</v>
      </c>
      <c r="G20983" s="17" t="n">
        <f aca="false">G20979*G20977</f>
        <v>229.21386</v>
      </c>
      <c r="H20983" s="17" t="n">
        <f aca="false">H20979*H20977</f>
        <v>220.6930839</v>
      </c>
      <c r="I20983" s="17" t="n">
        <f aca="false">I20979*I20977</f>
        <v>233.3957672175</v>
      </c>
      <c r="J20983" s="17" t="n">
        <f aca="false">J20979*J20977</f>
        <v>259.7557597503</v>
      </c>
      <c r="K20983" s="17" t="n">
        <f aca="false">K20979*K20977</f>
        <v>295.034216423364</v>
      </c>
    </row>
    <row r="20984" customFormat="false" ht="15" hidden="false" customHeight="false" outlineLevel="0" collapsed="false">
      <c r="A20984" s="3" t="s">
        <v>307</v>
      </c>
      <c r="G20984" s="16" t="n">
        <f aca="false">G20979*'Historical Financials'!G30/'Historical Financials'!G25</f>
        <v>185.293</v>
      </c>
      <c r="H20984" s="16" t="n">
        <f aca="false">H20979*'Historical Financials'!G30/'Historical Financials'!G25</f>
        <v>190.85179</v>
      </c>
      <c r="I20984" s="16" t="n">
        <f aca="false">I20979*'Historical Financials'!G30/'Historical Financials'!G25</f>
        <v>204.2114153</v>
      </c>
      <c r="J20984" s="16" t="n">
        <f aca="false">J20979*'Historical Financials'!G30/'Historical Financials'!G25</f>
        <v>224.63255683</v>
      </c>
      <c r="K20984" s="16" t="n">
        <f aca="false">K20979*'Historical Financials'!G30/'Historical Financials'!G25</f>
        <v>249.3421380813</v>
      </c>
    </row>
    <row r="20985" customFormat="false" ht="15" hidden="false" customHeight="false" outlineLevel="0" collapsed="false">
      <c r="A20985" s="3" t="s">
        <v>308</v>
      </c>
      <c r="G20985" s="16" t="n">
        <f aca="false">G20979*'Historical Financials'!G31/'Historical Financials'!G25</f>
        <v>0</v>
      </c>
      <c r="H20985" s="16" t="n">
        <f aca="false">H20979*'Historical Financials'!G31/'Historical Financials'!G25</f>
        <v>0</v>
      </c>
      <c r="I20985" s="16" t="n">
        <f aca="false">I20979*'Historical Financials'!G31/'Historical Financials'!G25</f>
        <v>0</v>
      </c>
      <c r="J20985" s="16" t="n">
        <f aca="false">J20979*'Historical Financials'!G31/'Historical Financials'!G25</f>
        <v>0</v>
      </c>
      <c r="K20985" s="16" t="n">
        <f aca="false">K20979*'Historical Financials'!G31/'Historical Financials'!G25</f>
        <v>0</v>
      </c>
    </row>
    <row r="20986" customFormat="false" ht="15" hidden="false" customHeight="false" outlineLevel="0" collapsed="false">
      <c r="A20986" s="2" t="s">
        <v>309</v>
      </c>
      <c r="G20986" s="17" t="n">
        <f aca="false">G20983-G20984-G20985</f>
        <v>43.92086</v>
      </c>
      <c r="H20986" s="17" t="n">
        <f aca="false">H20983-H20984-H20985</f>
        <v>29.8412939</v>
      </c>
      <c r="I20986" s="17" t="n">
        <f aca="false">I20983-I20984-I20985</f>
        <v>29.1843519175</v>
      </c>
      <c r="J20986" s="17" t="n">
        <f aca="false">J20983-J20984-J20985</f>
        <v>35.1232029203</v>
      </c>
      <c r="K20986" s="17" t="n">
        <f aca="false">K20983-K20984-K20985</f>
        <v>45.6920783420641</v>
      </c>
    </row>
    <row r="20987" customFormat="false" ht="15" hidden="false" customHeight="false" outlineLevel="0" collapsed="false">
      <c r="A20987" s="3" t="s">
        <v>310</v>
      </c>
      <c r="G20987" s="16" t="n">
        <f aca="false">G21013+G21026+G21039+G21052+G21065+G21078+G21091+G21104+G21117+G21130</f>
        <v>194.5679854</v>
      </c>
      <c r="H20987" s="16" t="n">
        <f aca="false">H21013+H21026+H21039+H21052+H21065+H21078+H21091+H21104+H21117+H21130</f>
        <v>193.3700704</v>
      </c>
      <c r="I20987" s="16" t="n">
        <f aca="false">I21013+I21026+I21039+I21052+I21065+I21078+I21091+I21104+I21117+I21130</f>
        <v>189.3301196186</v>
      </c>
      <c r="J20987" s="16" t="n">
        <f aca="false">J21013+J21026+J21039+J21052+J21065+J21078+J21091+J21104+J21117+J21130</f>
        <v>188.8601196186</v>
      </c>
      <c r="K20987" s="16" t="n">
        <f aca="false">K21013+K21026+K21039+K21052+K21065+K21078+K21091+K21104+K21117+K21130</f>
        <v>188.3901196186</v>
      </c>
    </row>
    <row r="20988" customFormat="false" ht="15" hidden="false" customHeight="false" outlineLevel="0" collapsed="false">
      <c r="A20988" s="3" t="s">
        <v>311</v>
      </c>
      <c r="G20988" s="16" t="n">
        <f aca="false">G21014+G21027+G21040+G21053+G21066+G21079+G21092+G21105+G21118+G21131</f>
        <v>0</v>
      </c>
      <c r="H20988" s="16" t="n">
        <f aca="false">H21014+H21027+H21040+H21053+H21066+H21079+H21092+H21105+H21118+H21131</f>
        <v>0</v>
      </c>
      <c r="I20988" s="16" t="n">
        <f aca="false">I21014+I21027+I21040+I21053+I21066+I21079+I21092+I21105+I21118+I21131</f>
        <v>0</v>
      </c>
      <c r="J20988" s="16" t="n">
        <f aca="false">J21014+J21027+J21040+J21053+J21066+J21079+J21092+J21105+J21118+J21131</f>
        <v>0</v>
      </c>
      <c r="K20988" s="16" t="n">
        <f aca="false">K21014+K21027+K21040+K21053+K21066+K21079+K21092+K21105+K21118+K21131</f>
        <v>0</v>
      </c>
    </row>
    <row r="20989" customFormat="false" ht="15" hidden="false" customHeight="false" outlineLevel="0" collapsed="false">
      <c r="A20989" s="3" t="s">
        <v>283</v>
      </c>
      <c r="G20989" s="16" t="n">
        <f aca="false">G20987+G20988</f>
        <v>194.5679854</v>
      </c>
      <c r="H20989" s="16" t="n">
        <f aca="false">H20987+H20988</f>
        <v>193.3700704</v>
      </c>
      <c r="I20989" s="16" t="n">
        <f aca="false">I20987+I20988</f>
        <v>189.3301196186</v>
      </c>
      <c r="J20989" s="16" t="n">
        <f aca="false">J20987+J20988</f>
        <v>188.8601196186</v>
      </c>
      <c r="K20989" s="16" t="n">
        <f aca="false">K20987+K20988</f>
        <v>188.3901196186</v>
      </c>
    </row>
    <row r="20990" customFormat="false" ht="15" hidden="false" customHeight="false" outlineLevel="0" collapsed="false">
      <c r="A20990" s="2" t="s">
        <v>284</v>
      </c>
      <c r="G20990" s="17" t="n">
        <f aca="false">G20986-G20989</f>
        <v>-150.6471254</v>
      </c>
      <c r="H20990" s="17" t="n">
        <f aca="false">H20986-H20989</f>
        <v>-163.5287765</v>
      </c>
      <c r="I20990" s="17" t="n">
        <f aca="false">I20986-I20989</f>
        <v>-160.1457677011</v>
      </c>
      <c r="J20990" s="17" t="n">
        <f aca="false">J20986-J20989</f>
        <v>-153.7369166983</v>
      </c>
      <c r="K20990" s="17" t="n">
        <f aca="false">K20986-K20989</f>
        <v>-142.698041276536</v>
      </c>
    </row>
    <row r="20991" customFormat="false" ht="15" hidden="false" customHeight="false" outlineLevel="0" collapsed="false">
      <c r="A20991" s="3" t="s">
        <v>312</v>
      </c>
      <c r="G20991" s="16" t="n">
        <f aca="false">MAX(0,G20990)*Assumptions!$C$9</f>
        <v>0</v>
      </c>
      <c r="H20991" s="16" t="n">
        <f aca="false">MAX(0,H20990)*Assumptions!$C$9</f>
        <v>0</v>
      </c>
      <c r="I20991" s="16" t="n">
        <f aca="false">MAX(0,I20990)*Assumptions!$C$9</f>
        <v>0</v>
      </c>
      <c r="J20991" s="16" t="n">
        <f aca="false">MAX(0,J20990)*Assumptions!$C$9</f>
        <v>0</v>
      </c>
      <c r="K20991" s="16" t="n">
        <f aca="false">MAX(0,K20990)*Assumptions!$C$9</f>
        <v>0</v>
      </c>
    </row>
    <row r="20992" customFormat="false" ht="15" hidden="false" customHeight="false" outlineLevel="0" collapsed="false">
      <c r="A20992" s="2" t="s">
        <v>313</v>
      </c>
      <c r="G20992" s="17" t="n">
        <f aca="false">G20990-G20991</f>
        <v>-150.6471254</v>
      </c>
      <c r="H20992" s="17" t="n">
        <f aca="false">H20990-H20991</f>
        <v>-163.5287765</v>
      </c>
      <c r="I20992" s="17" t="n">
        <f aca="false">I20990-I20991</f>
        <v>-160.1457677011</v>
      </c>
      <c r="J20992" s="17" t="n">
        <f aca="false">J20990-J20991</f>
        <v>-153.7369166983</v>
      </c>
      <c r="K20992" s="17" t="n">
        <f aca="false">K20990-K20991</f>
        <v>-142.698041276536</v>
      </c>
    </row>
    <row r="20993" customFormat="false" ht="15" hidden="false" customHeight="false" outlineLevel="0" collapsed="false">
      <c r="A20993" s="24" t="s">
        <v>314</v>
      </c>
      <c r="B20993" s="25"/>
      <c r="C20993" s="25"/>
      <c r="D20993" s="25"/>
      <c r="E20993" s="25"/>
      <c r="F20993" s="25"/>
      <c r="G20993" s="25"/>
      <c r="H20993" s="25"/>
      <c r="I20993" s="25"/>
      <c r="J20993" s="25"/>
      <c r="K20993" s="25"/>
    </row>
    <row r="20994" customFormat="false" ht="15" hidden="false" customHeight="false" outlineLevel="0" collapsed="false">
      <c r="A20994" s="3" t="s">
        <v>184</v>
      </c>
      <c r="G20994" s="16" t="n">
        <f aca="false">G20979*CHOOSE($C$20966,Assumptions!$C$83,Assumptions!$C$102,Assumptions!$C$121)</f>
        <v>64.77783</v>
      </c>
      <c r="H20994" s="16" t="n">
        <f aca="false">H20979*CHOOSE($C$20966,Assumptions!$C$83,Assumptions!$C$102,Assumptions!$C$121)</f>
        <v>66.7211649</v>
      </c>
      <c r="I20994" s="16" t="n">
        <f aca="false">I20979*CHOOSE($C$20966,Assumptions!$C$83,Assumptions!$C$102,Assumptions!$C$121)</f>
        <v>71.391646443</v>
      </c>
      <c r="J20994" s="16" t="n">
        <f aca="false">J20979*CHOOSE($C$20966,Assumptions!$C$83,Assumptions!$C$102,Assumptions!$C$121)</f>
        <v>78.5308110873</v>
      </c>
      <c r="K20994" s="16" t="n">
        <f aca="false">K20979*CHOOSE($C$20966,Assumptions!$C$83,Assumptions!$C$102,Assumptions!$C$121)</f>
        <v>87.1692003069031</v>
      </c>
    </row>
    <row r="20995" customFormat="false" ht="15" hidden="false" customHeight="false" outlineLevel="0" collapsed="false">
      <c r="A20995" s="3" t="s">
        <v>315</v>
      </c>
      <c r="G20995" s="16" t="n">
        <f aca="false">CHOOSE($C$20966,Assumptions!$C$84,Assumptions!$C$103,Assumptions!$C$122)*(G20979-F20979)+CHOOSE($C$20966,Assumptions!$C$85,Assumptions!$C$104,Assumptions!$C$123)*G20979</f>
        <v>0</v>
      </c>
      <c r="H20995" s="16" t="n">
        <f aca="false">CHOOSE($C$20966,Assumptions!$C$84,Assumptions!$C$103,Assumptions!$C$122)*(H20979-G20979)+CHOOSE($C$20966,Assumptions!$C$85,Assumptions!$C$104,Assumptions!$C$123)*H20979</f>
        <v>0</v>
      </c>
      <c r="I20995" s="16" t="n">
        <f aca="false">CHOOSE($C$20966,Assumptions!$C$84,Assumptions!$C$103,Assumptions!$C$122)*(I20979-H20979)+CHOOSE($C$20966,Assumptions!$C$85,Assumptions!$C$104,Assumptions!$C$123)*I20979</f>
        <v>0</v>
      </c>
      <c r="J20995" s="16" t="n">
        <f aca="false">CHOOSE($C$20966,Assumptions!$C$84,Assumptions!$C$103,Assumptions!$C$122)*(J20979-I20979)+CHOOSE($C$20966,Assumptions!$C$85,Assumptions!$C$104,Assumptions!$C$123)*J20979</f>
        <v>0</v>
      </c>
      <c r="K20995" s="16" t="n">
        <f aca="false">CHOOSE($C$20966,Assumptions!$C$84,Assumptions!$C$103,Assumptions!$C$122)*(K20979-J20979)+CHOOSE($C$20966,Assumptions!$C$85,Assumptions!$C$104,Assumptions!$C$123)*K20979</f>
        <v>0</v>
      </c>
    </row>
    <row r="20996" customFormat="false" ht="15" hidden="false" customHeight="false" outlineLevel="0" collapsed="false">
      <c r="A20996" s="2" t="s">
        <v>316</v>
      </c>
      <c r="G20996" s="17" t="n">
        <f aca="false">G20992+G20984+G20985+G20988-G20994-G20995</f>
        <v>-30.1319554</v>
      </c>
      <c r="H20996" s="17" t="n">
        <f aca="false">H20992+H20984+H20985+H20988-H20994-H20995</f>
        <v>-39.3981514</v>
      </c>
      <c r="I20996" s="17" t="n">
        <f aca="false">I20992+I20984+I20985+I20988-I20994-I20995</f>
        <v>-27.3259988440999</v>
      </c>
      <c r="J20996" s="17" t="n">
        <f aca="false">J20992+J20984+J20985+J20988-J20994-J20995</f>
        <v>-7.63517095559993</v>
      </c>
      <c r="K20996" s="17" t="n">
        <f aca="false">K20992+K20984+K20985+K20988-K20994-K20995</f>
        <v>19.4748964978611</v>
      </c>
    </row>
    <row r="20998" customFormat="false" ht="15" hidden="false" customHeight="false" outlineLevel="0" collapsed="false">
      <c r="A20998" s="24" t="s">
        <v>318</v>
      </c>
      <c r="B20998" s="25"/>
      <c r="C20998" s="25"/>
      <c r="D20998" s="25"/>
      <c r="E20998" s="25"/>
      <c r="F20998" s="25"/>
      <c r="G20998" s="25"/>
      <c r="H20998" s="25"/>
      <c r="I20998" s="25"/>
      <c r="J20998" s="25"/>
      <c r="K20998" s="25"/>
    </row>
    <row r="20999" customFormat="false" ht="15" hidden="false" customHeight="false" outlineLevel="0" collapsed="false">
      <c r="A20999" s="3" t="s">
        <v>319</v>
      </c>
      <c r="G20999" s="30" t="n">
        <f aca="false">Assumptions!$G$53</f>
        <v>0.039</v>
      </c>
      <c r="H20999" s="30" t="n">
        <f aca="false">Assumptions!$H$53</f>
        <v>0.0375</v>
      </c>
      <c r="I20999" s="30" t="n">
        <f aca="false">Assumptions!$I$53</f>
        <v>0.035</v>
      </c>
      <c r="J20999" s="30" t="n">
        <f aca="false">Assumptions!$J$53</f>
        <v>0.035</v>
      </c>
      <c r="K20999" s="30" t="n">
        <f aca="false">Assumptions!$K$53</f>
        <v>0.035</v>
      </c>
    </row>
    <row r="21000" customFormat="false" ht="15" hidden="false" customHeight="false" outlineLevel="0" collapsed="false">
      <c r="A21000" s="3" t="s">
        <v>320</v>
      </c>
      <c r="C21000" s="31" t="n">
        <f aca="false">CHOOSE($C$20966,Assumptions!$C$86,Assumptions!$C$105,Assumptions!$C$124)+$C$20969</f>
        <v>0.03</v>
      </c>
    </row>
    <row r="21001" customFormat="false" ht="15" hidden="false" customHeight="false" outlineLevel="0" collapsed="false">
      <c r="A21001" s="3" t="s">
        <v>321</v>
      </c>
      <c r="C21001" s="31" t="n">
        <f aca="false">CHOOSE($C$20966,Assumptions!$C$87,Assumptions!$C$106,Assumptions!$C$125)</f>
        <v>0.12</v>
      </c>
    </row>
    <row r="21002" customFormat="false" ht="15" hidden="false" customHeight="false" outlineLevel="0" collapsed="false">
      <c r="A21002" s="3" t="s">
        <v>322</v>
      </c>
      <c r="C21002" s="32" t="n">
        <f aca="false">CHOOSE($C$20966,Assumptions!$C$88,Assumptions!$C$107,Assumptions!$C$126)</f>
        <v>9</v>
      </c>
    </row>
    <row r="21003" customFormat="false" ht="15" hidden="false" customHeight="false" outlineLevel="0" collapsed="false">
      <c r="A21003" s="3" t="s">
        <v>323</v>
      </c>
      <c r="C21003" s="32" t="n">
        <f aca="false">CHOOSE($C$20966,Assumptions!$C$89,Assumptions!$C$108,Assumptions!$C$127)</f>
        <v>1.75</v>
      </c>
    </row>
    <row r="21004" customFormat="false" ht="15" hidden="false" customHeight="false" outlineLevel="0" collapsed="false">
      <c r="A21004" s="3" t="s">
        <v>324</v>
      </c>
      <c r="G21004" s="16" t="n">
        <f aca="false">G21009+G21022+G21035+G21048+G21061+G21074+G21087+G21100+G21113+G21126</f>
        <v>2625.934</v>
      </c>
      <c r="H21004" s="16" t="n">
        <f aca="false">H21009+H21022+H21035+H21048+H21061+H21074+H21087+H21100+H21113+H21126</f>
        <v>2621.934</v>
      </c>
      <c r="I21004" s="16" t="n">
        <f aca="false">I21009+I21022+I21035+I21048+I21061+I21074+I21087+I21100+I21113+I21126</f>
        <v>2557.5941068</v>
      </c>
      <c r="J21004" s="16" t="n">
        <f aca="false">J21009+J21022+J21035+J21048+J21061+J21074+J21087+J21100+J21113+J21126</f>
        <v>2553.5941068</v>
      </c>
      <c r="K21004" s="16" t="n">
        <f aca="false">K21009+K21022+K21035+K21048+K21061+K21074+K21087+K21100+K21113+K21126</f>
        <v>2549.5941068</v>
      </c>
    </row>
    <row r="21005" customFormat="false" ht="15" hidden="false" customHeight="false" outlineLevel="0" collapsed="false">
      <c r="A21005" s="3" t="s">
        <v>325</v>
      </c>
      <c r="G21005" s="16" t="n">
        <f aca="false">F21197</f>
        <v>37.87</v>
      </c>
      <c r="H21005" s="16" t="n">
        <f aca="false">G21197</f>
        <v>103.7380446</v>
      </c>
      <c r="I21005" s="16" t="n">
        <f aca="false">H21197</f>
        <v>0</v>
      </c>
      <c r="J21005" s="16" t="n">
        <f aca="false">I21197</f>
        <v>-31.3259988440999</v>
      </c>
      <c r="K21005" s="16" t="n">
        <f aca="false">J21197</f>
        <v>-42.9611697996998</v>
      </c>
    </row>
    <row r="21006" customFormat="false" ht="15" hidden="false" customHeight="false" outlineLevel="0" collapsed="false">
      <c r="A21006" s="3" t="s">
        <v>326</v>
      </c>
      <c r="G21006" s="16" t="n">
        <f aca="false">G21009*IF(G21010=1,$C$21001,IF(Assumptions!$I$57=1,MAX(G20999,Assumptions!$G$57)+Assumptions!$F$57+$C$21000,Assumptions!$E$57))+G21022*IF(G21023=1,$C$21001,IF(Assumptions!$I$58=1,MAX(G20999,Assumptions!$G$58)+Assumptions!$F$58+$C$21000,Assumptions!$E$58))+G21035*IF(G21036=1,$C$21001,IF(Assumptions!$I$59=1,MAX(G20999,Assumptions!$G$59)+Assumptions!$F$59+$C$21000,Assumptions!$E$59))+G21048*IF(G21049=1,$C$21001,IF(Assumptions!$I$60=1,MAX(G20999,Assumptions!$G$60)+Assumptions!$F$60+$C$21000,Assumptions!$E$60))+G21061*IF(G21062=1,$C$21001,IF(Assumptions!$I$61=1,MAX(G20999,Assumptions!$G$61)+Assumptions!$F$61+$C$21000,Assumptions!$E$61))+G21074*IF(G21075=1,$C$21001,IF(Assumptions!$I$62=1,MAX(G20999,Assumptions!$G$62)+Assumptions!$F$62+$C$21000,Assumptions!$E$62))+G21087*IF(G21088=1,$C$21001,IF(Assumptions!$I$63=1,MAX(G20999,Assumptions!$G$63)+Assumptions!$F$63+$C$21000,Assumptions!$E$63))+G21100*IF(G21101=1,$C$21001,IF(Assumptions!$I$64=1,MAX(G20999,Assumptions!$G$64)+Assumptions!$F$64+$C$21000,Assumptions!$E$64))+G21113*IF(G21114=1,$C$21001,IF(Assumptions!$I$65=1,MAX(G20999,Assumptions!$G$65)+Assumptions!$F$65+$C$21000,Assumptions!$E$65))+G21126*IF(G21127=1,$C$21001,IF(Assumptions!$I$66=1,MAX(G20999,Assumptions!$G$66)+Assumptions!$F$66+$C$21000,Assumptions!$E$66))</f>
        <v>194.5679854</v>
      </c>
      <c r="H21006" s="16" t="n">
        <f aca="false">H21009*IF(OR(H21010=1,G21319=1),$C$21001,IF(Assumptions!$I$57=1,MAX(H20999,Assumptions!$G$57)+Assumptions!$F$57+$C$21000,Assumptions!$E$57))+H21022*IF(OR(H21023=1,G21320=1),$C$21001,IF(Assumptions!$I$58=1,MAX(H20999,Assumptions!$G$58)+Assumptions!$F$58+$C$21000,Assumptions!$E$58))+H21035*IF(OR(H21036=1,G21321=1),$C$21001,IF(Assumptions!$I$59=1,MAX(H20999,Assumptions!$G$59)+Assumptions!$F$59+$C$21000,Assumptions!$E$59))+H21048*IF(OR(H21049=1,G21322=1),$C$21001,IF(Assumptions!$I$60=1,MAX(H20999,Assumptions!$G$60)+Assumptions!$F$60+$C$21000,Assumptions!$E$60))+H21061*IF(OR(H21062=1,G21323=1),$C$21001,IF(Assumptions!$I$61=1,MAX(H20999,Assumptions!$G$61)+Assumptions!$F$61+$C$21000,Assumptions!$E$61))+H21074*IF(OR(H21075=1,G21324=1),$C$21001,IF(Assumptions!$I$62=1,MAX(H20999,Assumptions!$G$62)+Assumptions!$F$62+$C$21000,Assumptions!$E$62))+H21087*IF(OR(H21088=1,G21325=1),$C$21001,IF(Assumptions!$I$63=1,MAX(H20999,Assumptions!$G$63)+Assumptions!$F$63+$C$21000,Assumptions!$E$63))+H21100*IF(OR(H21101=1,G21326=1),$C$21001,IF(Assumptions!$I$64=1,MAX(H20999,Assumptions!$G$64)+Assumptions!$F$64+$C$21000,Assumptions!$E$64))+H21113*IF(OR(H21114=1,G21327=1),$C$21001,IF(Assumptions!$I$65=1,MAX(H20999,Assumptions!$G$65)+Assumptions!$F$65+$C$21000,Assumptions!$E$65))+H21126*IF(OR(H21127=1,G21328=1),$C$21001,IF(Assumptions!$I$66=1,MAX(H20999,Assumptions!$G$66)+Assumptions!$F$66+$C$21000,Assumptions!$E$66))</f>
        <v>242.5450704</v>
      </c>
      <c r="I21006" s="16" t="n">
        <f aca="false">I21009*IF(OR(I21010=1,H21319=1),$C$21001,IF(Assumptions!$I$57=1,MAX(I20999,Assumptions!$G$57)+Assumptions!$F$57+$C$21000,Assumptions!$E$57))+I21022*IF(OR(I21023=1,H21320=1),$C$21001,IF(Assumptions!$I$58=1,MAX(I20999,Assumptions!$G$58)+Assumptions!$F$58+$C$21000,Assumptions!$E$58))+I21035*IF(OR(I21036=1,H21321=1),$C$21001,IF(Assumptions!$I$59=1,MAX(I20999,Assumptions!$G$59)+Assumptions!$F$59+$C$21000,Assumptions!$E$59))+I21048*IF(OR(I21049=1,H21322=1),$C$21001,IF(Assumptions!$I$60=1,MAX(I20999,Assumptions!$G$60)+Assumptions!$F$60+$C$21000,Assumptions!$E$60))+I21061*IF(OR(I21062=1,H21323=1),$C$21001,IF(Assumptions!$I$61=1,MAX(I20999,Assumptions!$G$61)+Assumptions!$F$61+$C$21000,Assumptions!$E$61))+I21074*IF(OR(I21075=1,H21324=1),$C$21001,IF(Assumptions!$I$62=1,MAX(I20999,Assumptions!$G$62)+Assumptions!$F$62+$C$21000,Assumptions!$E$62))+I21087*IF(OR(I21088=1,H21325=1),$C$21001,IF(Assumptions!$I$63=1,MAX(I20999,Assumptions!$G$63)+Assumptions!$F$63+$C$21000,Assumptions!$E$63))+I21100*IF(OR(I21101=1,H21326=1),$C$21001,IF(Assumptions!$I$64=1,MAX(I20999,Assumptions!$G$64)+Assumptions!$F$64+$C$21000,Assumptions!$E$64))+I21113*IF(OR(I21114=1,H21327=1),$C$21001,IF(Assumptions!$I$65=1,MAX(I20999,Assumptions!$G$65)+Assumptions!$F$65+$C$21000,Assumptions!$E$65))+I21126*IF(OR(I21127=1,H21328=1),$C$21001,IF(Assumptions!$I$66=1,MAX(I20999,Assumptions!$G$66)+Assumptions!$F$66+$C$21000,Assumptions!$E$66))</f>
        <v>206.5176196186</v>
      </c>
      <c r="J21006" s="16" t="n">
        <f aca="false">J21009*IF(OR(J21010=1,I21319=1),$C$21001,IF(Assumptions!$I$57=1,MAX(J20999,Assumptions!$G$57)+Assumptions!$F$57+$C$21000,Assumptions!$E$57))+J21022*IF(OR(J21023=1,I21320=1),$C$21001,IF(Assumptions!$I$58=1,MAX(J20999,Assumptions!$G$58)+Assumptions!$F$58+$C$21000,Assumptions!$E$58))+J21035*IF(OR(J21036=1,I21321=1),$C$21001,IF(Assumptions!$I$59=1,MAX(J20999,Assumptions!$G$59)+Assumptions!$F$59+$C$21000,Assumptions!$E$59))+J21048*IF(OR(J21049=1,I21322=1),$C$21001,IF(Assumptions!$I$60=1,MAX(J20999,Assumptions!$G$60)+Assumptions!$F$60+$C$21000,Assumptions!$E$60))+J21061*IF(OR(J21062=1,I21323=1),$C$21001,IF(Assumptions!$I$61=1,MAX(J20999,Assumptions!$G$61)+Assumptions!$F$61+$C$21000,Assumptions!$E$61))+J21074*IF(OR(J21075=1,I21324=1),$C$21001,IF(Assumptions!$I$62=1,MAX(J20999,Assumptions!$G$62)+Assumptions!$F$62+$C$21000,Assumptions!$E$62))+J21087*IF(OR(J21088=1,I21325=1),$C$21001,IF(Assumptions!$I$63=1,MAX(J20999,Assumptions!$G$63)+Assumptions!$F$63+$C$21000,Assumptions!$E$63))+J21100*IF(OR(J21101=1,I21326=1),$C$21001,IF(Assumptions!$I$64=1,MAX(J20999,Assumptions!$G$64)+Assumptions!$F$64+$C$21000,Assumptions!$E$64))+J21113*IF(OR(J21114=1,I21327=1),$C$21001,IF(Assumptions!$I$65=1,MAX(J20999,Assumptions!$G$65)+Assumptions!$F$65+$C$21000,Assumptions!$E$65))+J21126*IF(OR(J21127=1,I21328=1),$C$21001,IF(Assumptions!$I$66=1,MAX(J20999,Assumptions!$G$66)+Assumptions!$F$66+$C$21000,Assumptions!$E$66))</f>
        <v>214.9351196186</v>
      </c>
      <c r="K21006" s="16" t="n">
        <f aca="false">K21009*IF(OR(K21010=1,J21319=1),$C$21001,IF(Assumptions!$I$57=1,MAX(K20999,Assumptions!$G$57)+Assumptions!$F$57+$C$21000,Assumptions!$E$57))+K21022*IF(OR(K21023=1,J21320=1),$C$21001,IF(Assumptions!$I$58=1,MAX(K20999,Assumptions!$G$58)+Assumptions!$F$58+$C$21000,Assumptions!$E$58))+K21035*IF(OR(K21036=1,J21321=1),$C$21001,IF(Assumptions!$I$59=1,MAX(K20999,Assumptions!$G$59)+Assumptions!$F$59+$C$21000,Assumptions!$E$59))+K21048*IF(OR(K21049=1,J21322=1),$C$21001,IF(Assumptions!$I$60=1,MAX(K20999,Assumptions!$G$60)+Assumptions!$F$60+$C$21000,Assumptions!$E$60))+K21061*IF(OR(K21062=1,J21323=1),$C$21001,IF(Assumptions!$I$61=1,MAX(K20999,Assumptions!$G$61)+Assumptions!$F$61+$C$21000,Assumptions!$E$61))+K21074*IF(OR(K21075=1,J21324=1),$C$21001,IF(Assumptions!$I$62=1,MAX(K20999,Assumptions!$G$62)+Assumptions!$F$62+$C$21000,Assumptions!$E$62))+K21087*IF(OR(K21088=1,J21325=1),$C$21001,IF(Assumptions!$I$63=1,MAX(K20999,Assumptions!$G$63)+Assumptions!$F$63+$C$21000,Assumptions!$E$63))+K21100*IF(OR(K21101=1,J21326=1),$C$21001,IF(Assumptions!$I$64=1,MAX(K20999,Assumptions!$G$64)+Assumptions!$F$64+$C$21000,Assumptions!$E$64))+K21113*IF(OR(K21114=1,J21327=1),$C$21001,IF(Assumptions!$I$65=1,MAX(K20999,Assumptions!$G$65)+Assumptions!$F$65+$C$21000,Assumptions!$E$65))+K21126*IF(OR(K21127=1,J21328=1),$C$21001,IF(Assumptions!$I$66=1,MAX(K20999,Assumptions!$G$66)+Assumptions!$F$66+$C$21000,Assumptions!$E$66))</f>
        <v>206.9751196186</v>
      </c>
    </row>
    <row r="21007" customFormat="false" ht="15" hidden="false" customHeight="false" outlineLevel="0" collapsed="false">
      <c r="A21007" s="3" t="s">
        <v>327</v>
      </c>
      <c r="G21007" s="21" t="n">
        <f aca="false">IF(G20983&lt;=0,0,IF(AND((G21004-G21005)/G20983&lt;=$C$21002,G20983/G21006&gt;=$C$21003),1,0))</f>
        <v>0</v>
      </c>
      <c r="H21007" s="21" t="n">
        <f aca="false">IF(H20983&lt;=0,0,IF(AND((H21004-H21005)/H20983&lt;=$C$21002,H20983/H21006&gt;=$C$21003),1,0))</f>
        <v>0</v>
      </c>
      <c r="I21007" s="21" t="n">
        <f aca="false">IF(I20983&lt;=0,0,IF(AND((I21004-I21005)/I20983&lt;=$C$21002,I20983/I21006&gt;=$C$21003),1,0))</f>
        <v>0</v>
      </c>
      <c r="J21007" s="21" t="n">
        <f aca="false">IF(J20983&lt;=0,0,IF(AND((J21004-J21005)/J20983&lt;=$C$21002,J20983/J21006&gt;=$C$21003),1,0))</f>
        <v>0</v>
      </c>
      <c r="K21007" s="21" t="n">
        <f aca="false">IF(K20983&lt;=0,0,IF(AND((K21004-K21005)/K20983&lt;=$C$21002,K20983/K21006&gt;=$C$21003),1,0))</f>
        <v>0</v>
      </c>
    </row>
    <row r="21008" customFormat="false" ht="15" hidden="false" customHeight="false" outlineLevel="0" collapsed="false">
      <c r="A21008" s="24" t="s">
        <v>328</v>
      </c>
      <c r="B21008" s="25"/>
      <c r="C21008" s="25"/>
      <c r="D21008" s="25"/>
      <c r="E21008" s="25"/>
      <c r="F21008" s="25"/>
      <c r="G21008" s="25"/>
      <c r="H21008" s="25"/>
      <c r="I21008" s="25"/>
      <c r="J21008" s="25"/>
      <c r="K21008" s="25"/>
    </row>
    <row r="21009" customFormat="false" ht="15" hidden="false" customHeight="false" outlineLevel="0" collapsed="false">
      <c r="A21009" s="3" t="s">
        <v>329</v>
      </c>
      <c r="G21009" s="16" t="n">
        <f aca="false">F21020</f>
        <v>400</v>
      </c>
      <c r="H21009" s="16" t="n">
        <f aca="false">G21020</f>
        <v>396</v>
      </c>
      <c r="I21009" s="16" t="n">
        <f aca="false">H21020</f>
        <v>392</v>
      </c>
      <c r="J21009" s="16" t="n">
        <f aca="false">I21020</f>
        <v>388</v>
      </c>
      <c r="K21009" s="16" t="n">
        <f aca="false">J21020</f>
        <v>384</v>
      </c>
    </row>
    <row r="21010" customFormat="false" ht="15" hidden="false" customHeight="false" outlineLevel="0" collapsed="false">
      <c r="A21010" s="3" t="s">
        <v>330</v>
      </c>
      <c r="G21010" s="21" t="n">
        <f aca="false">IF(G20973=Assumptions!$K$57,1,0)</f>
        <v>0</v>
      </c>
      <c r="H21010" s="21" t="n">
        <f aca="false">IF(H20973=Assumptions!$K$57,1,0)</f>
        <v>0</v>
      </c>
      <c r="I21010" s="21" t="n">
        <f aca="false">IF(I20973=Assumptions!$K$57,1,0)</f>
        <v>0</v>
      </c>
      <c r="J21010" s="21" t="n">
        <f aca="false">IF(J20973=Assumptions!$K$57,1,0)</f>
        <v>0</v>
      </c>
      <c r="K21010" s="21" t="n">
        <f aca="false">IF(K20973=Assumptions!$K$57,1,0)</f>
        <v>1</v>
      </c>
    </row>
    <row r="21012" customFormat="false" ht="15" hidden="false" customHeight="false" outlineLevel="0" collapsed="false">
      <c r="A21012" s="3" t="s">
        <v>331</v>
      </c>
      <c r="G21012" s="31" t="n">
        <f aca="false">IF(Assumptions!$I$57=1,MAX(G20999,Assumptions!$G$57)+Assumptions!$F$57+$C$21000,Assumptions!$E$57)</f>
        <v>0.1215</v>
      </c>
      <c r="H21012" s="31" t="n">
        <f aca="false">IF(G21319=1,$C$21001,IF(Assumptions!$I$57=1,MAX(H20999,Assumptions!$G$57)+Assumptions!$F$57+$C$21000,Assumptions!$E$57))</f>
        <v>0.12</v>
      </c>
      <c r="I21012" s="31" t="n">
        <f aca="false">IF(H21319=1,$C$21001,IF(Assumptions!$I$57=1,MAX(I20999,Assumptions!$G$57)+Assumptions!$F$57+$C$21000,Assumptions!$E$57))</f>
        <v>0.1175</v>
      </c>
      <c r="J21012" s="31" t="n">
        <f aca="false">IF(I21319=1,$C$21001,IF(Assumptions!$I$57=1,MAX(J20999,Assumptions!$G$57)+Assumptions!$F$57+$C$21000,Assumptions!$E$57))</f>
        <v>0.1175</v>
      </c>
      <c r="K21012" s="31" t="n">
        <f aca="false">IF(J21319=1,$C$21001,IF(Assumptions!$I$57=1,MAX(K20999,Assumptions!$G$57)+Assumptions!$F$57+$C$21000,Assumptions!$E$57))</f>
        <v>0.1175</v>
      </c>
    </row>
    <row r="21013" customFormat="false" ht="15" hidden="false" customHeight="false" outlineLevel="0" collapsed="false">
      <c r="A21013" s="3" t="s">
        <v>332</v>
      </c>
      <c r="G21013" s="16" t="n">
        <f aca="false">G21009*G21012</f>
        <v>48.6</v>
      </c>
      <c r="H21013" s="16" t="n">
        <f aca="false">H21009*H21012</f>
        <v>47.52</v>
      </c>
      <c r="I21013" s="16" t="n">
        <f aca="false">I21009*I21012</f>
        <v>46.06</v>
      </c>
      <c r="J21013" s="16" t="n">
        <f aca="false">J21009*J21012</f>
        <v>45.59</v>
      </c>
      <c r="K21013" s="16" t="n">
        <f aca="false">K21009*K21012</f>
        <v>45.12</v>
      </c>
    </row>
    <row r="21014" customFormat="false" ht="15" hidden="false" customHeight="false" outlineLevel="0" collapsed="false">
      <c r="A21014" s="3" t="s">
        <v>333</v>
      </c>
      <c r="G21014" s="16" t="n">
        <f aca="false">G21009*Assumptions!$H$57</f>
        <v>0</v>
      </c>
      <c r="H21014" s="16" t="n">
        <f aca="false">H21009*Assumptions!$H$57</f>
        <v>0</v>
      </c>
      <c r="I21014" s="16" t="n">
        <f aca="false">I21009*Assumptions!$H$57</f>
        <v>0</v>
      </c>
      <c r="J21014" s="16" t="n">
        <f aca="false">J21009*Assumptions!$H$57</f>
        <v>0</v>
      </c>
      <c r="K21014" s="16" t="n">
        <f aca="false">K21009*Assumptions!$H$57</f>
        <v>0</v>
      </c>
    </row>
    <row r="21015" customFormat="false" ht="15" hidden="false" customHeight="false" outlineLevel="0" collapsed="false">
      <c r="A21015" s="3" t="s">
        <v>334</v>
      </c>
      <c r="G21015" s="16" t="n">
        <f aca="false">MIN(G21009,Assumptions!$L$57*Assumptions!$C$57)</f>
        <v>4</v>
      </c>
      <c r="H21015" s="16" t="n">
        <f aca="false">MIN(H21009,Assumptions!$L$57*Assumptions!$C$57)</f>
        <v>4</v>
      </c>
      <c r="I21015" s="16" t="n">
        <f aca="false">MIN(I21009,Assumptions!$L$57*Assumptions!$C$57)</f>
        <v>4</v>
      </c>
      <c r="J21015" s="16" t="n">
        <f aca="false">MIN(J21009,Assumptions!$L$57*Assumptions!$C$57)</f>
        <v>4</v>
      </c>
      <c r="K21015" s="16" t="n">
        <f aca="false">MIN(K21009,Assumptions!$L$57*Assumptions!$C$57)</f>
        <v>4</v>
      </c>
    </row>
    <row r="21016" customFormat="false" ht="15" hidden="false" customHeight="false" outlineLevel="0" collapsed="false">
      <c r="A21016" s="3" t="s">
        <v>335</v>
      </c>
      <c r="G21016" s="16" t="n">
        <f aca="false">IF(AND(Assumptions!$P$57=1,G20973&lt;Assumptions!$K$57),MIN(MAX(0,-G21189),MAX(0,Assumptions!$D$57-G21009)),0)</f>
        <v>0</v>
      </c>
      <c r="H21016" s="16" t="n">
        <f aca="false">IF(AND(Assumptions!$P$57=1,OR(H20973&lt;Assumptions!$K$57,G21319=1)),MIN(MAX(0,-H21189),MAX(0,Assumptions!$D$57-H21009)),0)</f>
        <v>0</v>
      </c>
      <c r="I21016" s="16" t="n">
        <f aca="false">IF(AND(Assumptions!$P$57=1,OR(I20973&lt;Assumptions!$K$57,H21319=1)),MIN(MAX(0,-I21189),MAX(0,Assumptions!$D$57-I21009)),0)</f>
        <v>0</v>
      </c>
      <c r="J21016" s="16" t="n">
        <f aca="false">IF(AND(Assumptions!$P$57=1,OR(J20973&lt;Assumptions!$K$57,I21319=1)),MIN(MAX(0,-J21189),MAX(0,Assumptions!$D$57-J21009)),0)</f>
        <v>0</v>
      </c>
      <c r="K21016" s="16" t="n">
        <f aca="false">IF(AND(Assumptions!$P$57=1,OR(K20973&lt;Assumptions!$K$57,J21319=1)),MIN(MAX(0,-K21189),MAX(0,Assumptions!$D$57-K21009)),0)</f>
        <v>0</v>
      </c>
    </row>
    <row r="21017" customFormat="false" ht="15" hidden="false" customHeight="false" outlineLevel="0" collapsed="false">
      <c r="A21017" s="3" t="s">
        <v>336</v>
      </c>
      <c r="G21017" s="16" t="n">
        <f aca="false">G21010*MIN(G21009-G21015+G21014,MAX(0,G21191-Assumptions!$C$12*G21007))</f>
        <v>0</v>
      </c>
      <c r="H21017" s="16" t="n">
        <f aca="false">H21010*MIN(H21009-H21015+H21014,MAX(0,H21191-Assumptions!$C$12*H21007))</f>
        <v>0</v>
      </c>
      <c r="I21017" s="16" t="n">
        <f aca="false">I21010*MIN(I21009-I21015+I21014,MAX(0,I21191-Assumptions!$C$12*I21007))</f>
        <v>0</v>
      </c>
      <c r="J21017" s="16" t="n">
        <f aca="false">J21010*MIN(J21009-J21015+J21014,MAX(0,J21191-Assumptions!$C$12*J21007))</f>
        <v>0</v>
      </c>
      <c r="K21017" s="16" t="n">
        <f aca="false">K21010*MIN(K21009-K21015+K21014,MAX(0,K21191-Assumptions!$C$12*K21007))</f>
        <v>0</v>
      </c>
    </row>
    <row r="21018" customFormat="false" ht="15" hidden="false" customHeight="false" outlineLevel="0" collapsed="false">
      <c r="A21018" s="3" t="s">
        <v>337</v>
      </c>
      <c r="G21018" s="16" t="n">
        <f aca="false">Assumptions!$N$57*MIN(G21009+G21016+G21014-G21015-G21017,MAX(0,G21195))</f>
        <v>0</v>
      </c>
      <c r="H21018" s="16" t="n">
        <f aca="false">Assumptions!$N$57*MIN(H21009+H21016+H21014-H21015-H21017,MAX(0,H21195))</f>
        <v>0</v>
      </c>
      <c r="I21018" s="16" t="n">
        <f aca="false">Assumptions!$N$57*MIN(I21009+I21016+I21014-I21015-I21017,MAX(0,I21195))</f>
        <v>0</v>
      </c>
      <c r="J21018" s="16" t="n">
        <f aca="false">Assumptions!$N$57*MIN(J21009+J21016+J21014-J21015-J21017,MAX(0,J21195))</f>
        <v>0</v>
      </c>
      <c r="K21018" s="16" t="n">
        <f aca="false">Assumptions!$N$57*MIN(K21009+K21016+K21014-K21015-K21017,MAX(0,K21195))</f>
        <v>0</v>
      </c>
    </row>
    <row r="21019" customFormat="false" ht="15" hidden="false" customHeight="false" outlineLevel="0" collapsed="false">
      <c r="A21019" s="3" t="s">
        <v>338</v>
      </c>
      <c r="G21019" s="16" t="n">
        <f aca="false">G21010*(1-G21007)*(G21009-G21015+G21014-G21017)</f>
        <v>0</v>
      </c>
      <c r="H21019" s="16" t="n">
        <f aca="false">H21010*(1-H21007)*(H21009-H21015+H21014-H21017)</f>
        <v>0</v>
      </c>
      <c r="I21019" s="16" t="n">
        <f aca="false">I21010*(1-I21007)*(I21009-I21015+I21014-I21017)</f>
        <v>0</v>
      </c>
      <c r="J21019" s="16" t="n">
        <f aca="false">J21010*(1-J21007)*(J21009-J21015+J21014-J21017)</f>
        <v>0</v>
      </c>
      <c r="K21019" s="16" t="n">
        <f aca="false">K21010*(1-K21007)*(K21009-K21015+K21014-K21017)</f>
        <v>380</v>
      </c>
    </row>
    <row r="21020" customFormat="false" ht="15" hidden="false" customHeight="false" outlineLevel="0" collapsed="false">
      <c r="A21020" s="2" t="s">
        <v>339</v>
      </c>
      <c r="F21020" s="28" t="n">
        <f aca="false">Assumptions!$C$57</f>
        <v>400</v>
      </c>
      <c r="G21020" s="17" t="n">
        <f aca="false">G21009+G21016+G21014-G21015-G21017-G21018</f>
        <v>396</v>
      </c>
      <c r="H21020" s="17" t="n">
        <f aca="false">H21009+H21016+H21014-H21015-H21017-H21018</f>
        <v>392</v>
      </c>
      <c r="I21020" s="17" t="n">
        <f aca="false">I21009+I21016+I21014-I21015-I21017-I21018</f>
        <v>388</v>
      </c>
      <c r="J21020" s="17" t="n">
        <f aca="false">J21009+J21016+J21014-J21015-J21017-J21018</f>
        <v>384</v>
      </c>
      <c r="K21020" s="17" t="n">
        <f aca="false">K21009+K21016+K21014-K21015-K21017-K21018</f>
        <v>380</v>
      </c>
    </row>
    <row r="21021" customFormat="false" ht="15" hidden="false" customHeight="false" outlineLevel="0" collapsed="false">
      <c r="A21021" s="24" t="s">
        <v>340</v>
      </c>
      <c r="B21021" s="25"/>
      <c r="C21021" s="25"/>
      <c r="D21021" s="25"/>
      <c r="E21021" s="25"/>
      <c r="F21021" s="25"/>
      <c r="G21021" s="25"/>
      <c r="H21021" s="25"/>
      <c r="I21021" s="25"/>
      <c r="J21021" s="25"/>
      <c r="K21021" s="25"/>
    </row>
    <row r="21022" customFormat="false" ht="15" hidden="false" customHeight="false" outlineLevel="0" collapsed="false">
      <c r="A21022" s="3" t="s">
        <v>329</v>
      </c>
      <c r="G21022" s="16" t="n">
        <f aca="false">F21033</f>
        <v>90</v>
      </c>
      <c r="H21022" s="16" t="n">
        <f aca="false">G21033</f>
        <v>90</v>
      </c>
      <c r="I21022" s="16" t="n">
        <f aca="false">H21033</f>
        <v>90</v>
      </c>
      <c r="J21022" s="16" t="n">
        <f aca="false">I21033</f>
        <v>90</v>
      </c>
      <c r="K21022" s="16" t="n">
        <f aca="false">J21033</f>
        <v>90</v>
      </c>
    </row>
    <row r="21023" customFormat="false" ht="15" hidden="false" customHeight="false" outlineLevel="0" collapsed="false">
      <c r="A21023" s="3" t="s">
        <v>330</v>
      </c>
      <c r="G21023" s="21" t="n">
        <f aca="false">IF(G20973=Assumptions!$K$58,1,0)</f>
        <v>0</v>
      </c>
      <c r="H21023" s="21" t="n">
        <f aca="false">IF(H20973=Assumptions!$K$58,1,0)</f>
        <v>0</v>
      </c>
      <c r="I21023" s="21" t="n">
        <f aca="false">IF(I20973=Assumptions!$K$58,1,0)</f>
        <v>0</v>
      </c>
      <c r="J21023" s="21" t="n">
        <f aca="false">IF(J20973=Assumptions!$K$58,1,0)</f>
        <v>0</v>
      </c>
      <c r="K21023" s="21" t="n">
        <f aca="false">IF(K20973=Assumptions!$K$58,1,0)</f>
        <v>0</v>
      </c>
    </row>
    <row r="21025" customFormat="false" ht="15" hidden="false" customHeight="false" outlineLevel="0" collapsed="false">
      <c r="A21025" s="3" t="s">
        <v>331</v>
      </c>
      <c r="G21025" s="31" t="n">
        <f aca="false">IF(Assumptions!$I$58=1,MAX(G20999,Assumptions!$G$58)+Assumptions!$F$58+$C$21000,Assumptions!$E$58)</f>
        <v>0.0581</v>
      </c>
      <c r="H21025" s="31" t="n">
        <f aca="false">IF(G21320=1,$C$21001,IF(Assumptions!$I$58=1,MAX(H20999,Assumptions!$G$58)+Assumptions!$F$58+$C$21000,Assumptions!$E$58))</f>
        <v>0.0581</v>
      </c>
      <c r="I21025" s="31" t="n">
        <f aca="false">IF(H21320=1,$C$21001,IF(Assumptions!$I$58=1,MAX(I20999,Assumptions!$G$58)+Assumptions!$F$58+$C$21000,Assumptions!$E$58))</f>
        <v>0.0581</v>
      </c>
      <c r="J21025" s="31" t="n">
        <f aca="false">IF(I21320=1,$C$21001,IF(Assumptions!$I$58=1,MAX(J20999,Assumptions!$G$58)+Assumptions!$F$58+$C$21000,Assumptions!$E$58))</f>
        <v>0.0581</v>
      </c>
      <c r="K21025" s="31" t="n">
        <f aca="false">IF(J21320=1,$C$21001,IF(Assumptions!$I$58=1,MAX(K20999,Assumptions!$G$58)+Assumptions!$F$58+$C$21000,Assumptions!$E$58))</f>
        <v>0.0581</v>
      </c>
    </row>
    <row r="21026" customFormat="false" ht="15" hidden="false" customHeight="false" outlineLevel="0" collapsed="false">
      <c r="A21026" s="3" t="s">
        <v>332</v>
      </c>
      <c r="G21026" s="16" t="n">
        <f aca="false">G21022*G21025</f>
        <v>5.229</v>
      </c>
      <c r="H21026" s="16" t="n">
        <f aca="false">H21022*H21025</f>
        <v>5.229</v>
      </c>
      <c r="I21026" s="16" t="n">
        <f aca="false">I21022*I21025</f>
        <v>5.229</v>
      </c>
      <c r="J21026" s="16" t="n">
        <f aca="false">J21022*J21025</f>
        <v>5.229</v>
      </c>
      <c r="K21026" s="16" t="n">
        <f aca="false">K21022*K21025</f>
        <v>5.229</v>
      </c>
    </row>
    <row r="21027" customFormat="false" ht="15" hidden="false" customHeight="false" outlineLevel="0" collapsed="false">
      <c r="A21027" s="3" t="s">
        <v>333</v>
      </c>
      <c r="G21027" s="16" t="n">
        <f aca="false">G21022*Assumptions!$H$58</f>
        <v>0</v>
      </c>
      <c r="H21027" s="16" t="n">
        <f aca="false">H21022*Assumptions!$H$58</f>
        <v>0</v>
      </c>
      <c r="I21027" s="16" t="n">
        <f aca="false">I21022*Assumptions!$H$58</f>
        <v>0</v>
      </c>
      <c r="J21027" s="16" t="n">
        <f aca="false">J21022*Assumptions!$H$58</f>
        <v>0</v>
      </c>
      <c r="K21027" s="16" t="n">
        <f aca="false">K21022*Assumptions!$H$58</f>
        <v>0</v>
      </c>
    </row>
    <row r="21028" customFormat="false" ht="15" hidden="false" customHeight="false" outlineLevel="0" collapsed="false">
      <c r="A21028" s="3" t="s">
        <v>334</v>
      </c>
      <c r="G21028" s="16" t="n">
        <f aca="false">MIN(G21022,Assumptions!$L$58*Assumptions!$C$58)</f>
        <v>0</v>
      </c>
      <c r="H21028" s="16" t="n">
        <f aca="false">MIN(H21022,Assumptions!$L$58*Assumptions!$C$58)</f>
        <v>0</v>
      </c>
      <c r="I21028" s="16" t="n">
        <f aca="false">MIN(I21022,Assumptions!$L$58*Assumptions!$C$58)</f>
        <v>0</v>
      </c>
      <c r="J21028" s="16" t="n">
        <f aca="false">MIN(J21022,Assumptions!$L$58*Assumptions!$C$58)</f>
        <v>0</v>
      </c>
      <c r="K21028" s="16" t="n">
        <f aca="false">MIN(K21022,Assumptions!$L$58*Assumptions!$C$58)</f>
        <v>0</v>
      </c>
    </row>
    <row r="21029" customFormat="false" ht="15" hidden="false" customHeight="false" outlineLevel="0" collapsed="false">
      <c r="A21029" s="3" t="s">
        <v>335</v>
      </c>
      <c r="G21029" s="16" t="n">
        <f aca="false">IF(AND(Assumptions!$P$58=1,G20973&lt;Assumptions!$K$58),MIN(MAX(0,-G21189),MAX(0,Assumptions!$D$58-G21022)),0)</f>
        <v>0</v>
      </c>
      <c r="H21029" s="16" t="n">
        <f aca="false">IF(AND(Assumptions!$P$58=1,OR(H20973&lt;Assumptions!$K$58,G21320=1)),MIN(MAX(0,-H21189),MAX(0,Assumptions!$D$58-H21022)),0)</f>
        <v>0</v>
      </c>
      <c r="I21029" s="16" t="n">
        <f aca="false">IF(AND(Assumptions!$P$58=1,OR(I20973&lt;Assumptions!$K$58,H21320=1)),MIN(MAX(0,-I21189),MAX(0,Assumptions!$D$58-I21022)),0)</f>
        <v>0</v>
      </c>
      <c r="J21029" s="16" t="n">
        <f aca="false">IF(AND(Assumptions!$P$58=1,OR(J20973&lt;Assumptions!$K$58,I21320=1)),MIN(MAX(0,-J21189),MAX(0,Assumptions!$D$58-J21022)),0)</f>
        <v>0</v>
      </c>
      <c r="K21029" s="16" t="n">
        <f aca="false">IF(AND(Assumptions!$P$58=1,OR(K20973&lt;Assumptions!$K$58,J21320=1)),MIN(MAX(0,-K21189),MAX(0,Assumptions!$D$58-K21022)),0)</f>
        <v>0</v>
      </c>
    </row>
    <row r="21030" customFormat="false" ht="15" hidden="false" customHeight="false" outlineLevel="0" collapsed="false">
      <c r="A21030" s="3" t="s">
        <v>336</v>
      </c>
      <c r="G21030" s="16" t="n">
        <f aca="false">G21023*MIN(G21022-G21028+G21027,MAX(0,G21191-Assumptions!$C$12*G21007-G21017))</f>
        <v>0</v>
      </c>
      <c r="H21030" s="16" t="n">
        <f aca="false">H21023*MIN(H21022-H21028+H21027,MAX(0,H21191-Assumptions!$C$12*H21007-H21017))</f>
        <v>0</v>
      </c>
      <c r="I21030" s="16" t="n">
        <f aca="false">I21023*MIN(I21022-I21028+I21027,MAX(0,I21191-Assumptions!$C$12*I21007-I21017))</f>
        <v>0</v>
      </c>
      <c r="J21030" s="16" t="n">
        <f aca="false">J21023*MIN(J21022-J21028+J21027,MAX(0,J21191-Assumptions!$C$12*J21007-J21017))</f>
        <v>0</v>
      </c>
      <c r="K21030" s="16" t="n">
        <f aca="false">K21023*MIN(K21022-K21028+K21027,MAX(0,K21191-Assumptions!$C$12*K21007-K21017))</f>
        <v>0</v>
      </c>
    </row>
    <row r="21031" customFormat="false" ht="15" hidden="false" customHeight="false" outlineLevel="0" collapsed="false">
      <c r="A21031" s="3" t="s">
        <v>337</v>
      </c>
      <c r="G21031" s="16" t="n">
        <f aca="false">Assumptions!$N$58*MIN(G21022+G21029+G21027-G21028-G21030,MAX(0,G21195-G21018))</f>
        <v>0</v>
      </c>
      <c r="H21031" s="16" t="n">
        <f aca="false">Assumptions!$N$58*MIN(H21022+H21029+H21027-H21028-H21030,MAX(0,H21195-H21018))</f>
        <v>0</v>
      </c>
      <c r="I21031" s="16" t="n">
        <f aca="false">Assumptions!$N$58*MIN(I21022+I21029+I21027-I21028-I21030,MAX(0,I21195-I21018))</f>
        <v>0</v>
      </c>
      <c r="J21031" s="16" t="n">
        <f aca="false">Assumptions!$N$58*MIN(J21022+J21029+J21027-J21028-J21030,MAX(0,J21195-J21018))</f>
        <v>0</v>
      </c>
      <c r="K21031" s="16" t="n">
        <f aca="false">Assumptions!$N$58*MIN(K21022+K21029+K21027-K21028-K21030,MAX(0,K21195-K21018))</f>
        <v>0</v>
      </c>
    </row>
    <row r="21032" customFormat="false" ht="15" hidden="false" customHeight="false" outlineLevel="0" collapsed="false">
      <c r="A21032" s="3" t="s">
        <v>338</v>
      </c>
      <c r="G21032" s="16" t="n">
        <f aca="false">G21023*(1-G21007)*(G21022-G21028+G21027-G21030)</f>
        <v>0</v>
      </c>
      <c r="H21032" s="16" t="n">
        <f aca="false">H21023*(1-H21007)*(H21022-H21028+H21027-H21030)</f>
        <v>0</v>
      </c>
      <c r="I21032" s="16" t="n">
        <f aca="false">I21023*(1-I21007)*(I21022-I21028+I21027-I21030)</f>
        <v>0</v>
      </c>
      <c r="J21032" s="16" t="n">
        <f aca="false">J21023*(1-J21007)*(J21022-J21028+J21027-J21030)</f>
        <v>0</v>
      </c>
      <c r="K21032" s="16" t="n">
        <f aca="false">K21023*(1-K21007)*(K21022-K21028+K21027-K21030)</f>
        <v>0</v>
      </c>
    </row>
    <row r="21033" customFormat="false" ht="15" hidden="false" customHeight="false" outlineLevel="0" collapsed="false">
      <c r="A21033" s="2" t="s">
        <v>339</v>
      </c>
      <c r="F21033" s="28" t="n">
        <f aca="false">Assumptions!$C$58</f>
        <v>90</v>
      </c>
      <c r="G21033" s="17" t="n">
        <f aca="false">G21022+G21029+G21027-G21028-G21030-G21031</f>
        <v>90</v>
      </c>
      <c r="H21033" s="17" t="n">
        <f aca="false">H21022+H21029+H21027-H21028-H21030-H21031</f>
        <v>90</v>
      </c>
      <c r="I21033" s="17" t="n">
        <f aca="false">I21022+I21029+I21027-I21028-I21030-I21031</f>
        <v>90</v>
      </c>
      <c r="J21033" s="17" t="n">
        <f aca="false">J21022+J21029+J21027-J21028-J21030-J21031</f>
        <v>90</v>
      </c>
      <c r="K21033" s="17" t="n">
        <f aca="false">K21022+K21029+K21027-K21028-K21030-K21031</f>
        <v>90</v>
      </c>
    </row>
    <row r="21034" customFormat="false" ht="15" hidden="false" customHeight="false" outlineLevel="0" collapsed="false">
      <c r="A21034" s="24" t="s">
        <v>341</v>
      </c>
      <c r="B21034" s="25"/>
      <c r="C21034" s="25"/>
      <c r="D21034" s="25"/>
      <c r="E21034" s="25"/>
      <c r="F21034" s="25"/>
      <c r="G21034" s="25"/>
      <c r="H21034" s="25"/>
      <c r="I21034" s="25"/>
      <c r="J21034" s="25"/>
      <c r="K21034" s="25"/>
    </row>
    <row r="21035" customFormat="false" ht="15" hidden="false" customHeight="false" outlineLevel="0" collapsed="false">
      <c r="A21035" s="3" t="s">
        <v>329</v>
      </c>
      <c r="G21035" s="16" t="n">
        <f aca="false">F21046</f>
        <v>57.324</v>
      </c>
      <c r="H21035" s="16" t="n">
        <f aca="false">G21046</f>
        <v>57.324</v>
      </c>
      <c r="I21035" s="16" t="n">
        <f aca="false">H21046</f>
        <v>57.324</v>
      </c>
      <c r="J21035" s="16" t="n">
        <f aca="false">I21046</f>
        <v>57.324</v>
      </c>
      <c r="K21035" s="16" t="n">
        <f aca="false">J21046</f>
        <v>57.324</v>
      </c>
    </row>
    <row r="21036" customFormat="false" ht="15" hidden="false" customHeight="false" outlineLevel="0" collapsed="false">
      <c r="A21036" s="3" t="s">
        <v>330</v>
      </c>
      <c r="G21036" s="21" t="n">
        <f aca="false">IF(G20973=Assumptions!$K$59,1,0)</f>
        <v>0</v>
      </c>
      <c r="H21036" s="21" t="n">
        <f aca="false">IF(H20973=Assumptions!$K$59,1,0)</f>
        <v>0</v>
      </c>
      <c r="I21036" s="21" t="n">
        <f aca="false">IF(I20973=Assumptions!$K$59,1,0)</f>
        <v>0</v>
      </c>
      <c r="J21036" s="21" t="n">
        <f aca="false">IF(J20973=Assumptions!$K$59,1,0)</f>
        <v>0</v>
      </c>
      <c r="K21036" s="21" t="n">
        <f aca="false">IF(K20973=Assumptions!$K$59,1,0)</f>
        <v>0</v>
      </c>
    </row>
    <row r="21038" customFormat="false" ht="15" hidden="false" customHeight="false" outlineLevel="0" collapsed="false">
      <c r="A21038" s="3" t="s">
        <v>331</v>
      </c>
      <c r="G21038" s="31" t="n">
        <f aca="false">IF(Assumptions!$I$59=1,MAX(G20999,Assumptions!$G$59)+Assumptions!$F$59+$C$21000,Assumptions!$E$59)</f>
        <v>0.0731</v>
      </c>
      <c r="H21038" s="31" t="n">
        <f aca="false">IF(G21321=1,$C$21001,IF(Assumptions!$I$59=1,MAX(H20999,Assumptions!$G$59)+Assumptions!$F$59+$C$21000,Assumptions!$E$59))</f>
        <v>0.0731</v>
      </c>
      <c r="I21038" s="31" t="n">
        <f aca="false">IF(H21321=1,$C$21001,IF(Assumptions!$I$59=1,MAX(I20999,Assumptions!$G$59)+Assumptions!$F$59+$C$21000,Assumptions!$E$59))</f>
        <v>0.0731</v>
      </c>
      <c r="J21038" s="31" t="n">
        <f aca="false">IF(I21321=1,$C$21001,IF(Assumptions!$I$59=1,MAX(J20999,Assumptions!$G$59)+Assumptions!$F$59+$C$21000,Assumptions!$E$59))</f>
        <v>0.0731</v>
      </c>
      <c r="K21038" s="31" t="n">
        <f aca="false">IF(J21321=1,$C$21001,IF(Assumptions!$I$59=1,MAX(K20999,Assumptions!$G$59)+Assumptions!$F$59+$C$21000,Assumptions!$E$59))</f>
        <v>0.0731</v>
      </c>
    </row>
    <row r="21039" customFormat="false" ht="15" hidden="false" customHeight="false" outlineLevel="0" collapsed="false">
      <c r="A21039" s="3" t="s">
        <v>332</v>
      </c>
      <c r="G21039" s="16" t="n">
        <f aca="false">G21035*G21038</f>
        <v>4.1903844</v>
      </c>
      <c r="H21039" s="16" t="n">
        <f aca="false">H21035*H21038</f>
        <v>4.1903844</v>
      </c>
      <c r="I21039" s="16" t="n">
        <f aca="false">I21035*I21038</f>
        <v>4.1903844</v>
      </c>
      <c r="J21039" s="16" t="n">
        <f aca="false">J21035*J21038</f>
        <v>4.1903844</v>
      </c>
      <c r="K21039" s="16" t="n">
        <f aca="false">K21035*K21038</f>
        <v>4.1903844</v>
      </c>
    </row>
    <row r="21040" customFormat="false" ht="15" hidden="false" customHeight="false" outlineLevel="0" collapsed="false">
      <c r="A21040" s="3" t="s">
        <v>333</v>
      </c>
      <c r="G21040" s="16" t="n">
        <f aca="false">G21035*Assumptions!$H$59</f>
        <v>0</v>
      </c>
      <c r="H21040" s="16" t="n">
        <f aca="false">H21035*Assumptions!$H$59</f>
        <v>0</v>
      </c>
      <c r="I21040" s="16" t="n">
        <f aca="false">I21035*Assumptions!$H$59</f>
        <v>0</v>
      </c>
      <c r="J21040" s="16" t="n">
        <f aca="false">J21035*Assumptions!$H$59</f>
        <v>0</v>
      </c>
      <c r="K21040" s="16" t="n">
        <f aca="false">K21035*Assumptions!$H$59</f>
        <v>0</v>
      </c>
    </row>
    <row r="21041" customFormat="false" ht="15" hidden="false" customHeight="false" outlineLevel="0" collapsed="false">
      <c r="A21041" s="3" t="s">
        <v>334</v>
      </c>
      <c r="G21041" s="16" t="n">
        <f aca="false">MIN(G21035,Assumptions!$L$59*Assumptions!$C$59)</f>
        <v>0</v>
      </c>
      <c r="H21041" s="16" t="n">
        <f aca="false">MIN(H21035,Assumptions!$L$59*Assumptions!$C$59)</f>
        <v>0</v>
      </c>
      <c r="I21041" s="16" t="n">
        <f aca="false">MIN(I21035,Assumptions!$L$59*Assumptions!$C$59)</f>
        <v>0</v>
      </c>
      <c r="J21041" s="16" t="n">
        <f aca="false">MIN(J21035,Assumptions!$L$59*Assumptions!$C$59)</f>
        <v>0</v>
      </c>
      <c r="K21041" s="16" t="n">
        <f aca="false">MIN(K21035,Assumptions!$L$59*Assumptions!$C$59)</f>
        <v>0</v>
      </c>
    </row>
    <row r="21042" customFormat="false" ht="15" hidden="false" customHeight="false" outlineLevel="0" collapsed="false">
      <c r="A21042" s="3" t="s">
        <v>335</v>
      </c>
      <c r="G21042" s="16" t="n">
        <f aca="false">IF(AND(Assumptions!$P$59=1,G20973&lt;Assumptions!$K$59),MIN(MAX(0,-G21189),MAX(0,Assumptions!$D$59-G21035)),0)</f>
        <v>0</v>
      </c>
      <c r="H21042" s="16" t="n">
        <f aca="false">IF(AND(Assumptions!$P$59=1,OR(H20973&lt;Assumptions!$K$59,G21321=1)),MIN(MAX(0,-H21189),MAX(0,Assumptions!$D$59-H21035)),0)</f>
        <v>0</v>
      </c>
      <c r="I21042" s="16" t="n">
        <f aca="false">IF(AND(Assumptions!$P$59=1,OR(I20973&lt;Assumptions!$K$59,H21321=1)),MIN(MAX(0,-I21189),MAX(0,Assumptions!$D$59-I21035)),0)</f>
        <v>0</v>
      </c>
      <c r="J21042" s="16" t="n">
        <f aca="false">IF(AND(Assumptions!$P$59=1,OR(J20973&lt;Assumptions!$K$59,I21321=1)),MIN(MAX(0,-J21189),MAX(0,Assumptions!$D$59-J21035)),0)</f>
        <v>0</v>
      </c>
      <c r="K21042" s="16" t="n">
        <f aca="false">IF(AND(Assumptions!$P$59=1,OR(K20973&lt;Assumptions!$K$59,J21321=1)),MIN(MAX(0,-K21189),MAX(0,Assumptions!$D$59-K21035)),0)</f>
        <v>0</v>
      </c>
    </row>
    <row r="21043" customFormat="false" ht="15" hidden="false" customHeight="false" outlineLevel="0" collapsed="false">
      <c r="A21043" s="3" t="s">
        <v>336</v>
      </c>
      <c r="G21043" s="16" t="n">
        <f aca="false">G21036*MIN(G21035-G21041+G21040,MAX(0,G21191-Assumptions!$C$12*G21007-G21017-G21030))</f>
        <v>0</v>
      </c>
      <c r="H21043" s="16" t="n">
        <f aca="false">H21036*MIN(H21035-H21041+H21040,MAX(0,H21191-Assumptions!$C$12*H21007-H21017-H21030))</f>
        <v>0</v>
      </c>
      <c r="I21043" s="16" t="n">
        <f aca="false">I21036*MIN(I21035-I21041+I21040,MAX(0,I21191-Assumptions!$C$12*I21007-I21017-I21030))</f>
        <v>0</v>
      </c>
      <c r="J21043" s="16" t="n">
        <f aca="false">J21036*MIN(J21035-J21041+J21040,MAX(0,J21191-Assumptions!$C$12*J21007-J21017-J21030))</f>
        <v>0</v>
      </c>
      <c r="K21043" s="16" t="n">
        <f aca="false">K21036*MIN(K21035-K21041+K21040,MAX(0,K21191-Assumptions!$C$12*K21007-K21017-K21030))</f>
        <v>0</v>
      </c>
    </row>
    <row r="21044" customFormat="false" ht="15" hidden="false" customHeight="false" outlineLevel="0" collapsed="false">
      <c r="A21044" s="3" t="s">
        <v>337</v>
      </c>
      <c r="G21044" s="16" t="n">
        <f aca="false">Assumptions!$N$59*MIN(G21035+G21042+G21040-G21041-G21043,MAX(0,G21195-G21018-G21031))</f>
        <v>0</v>
      </c>
      <c r="H21044" s="16" t="n">
        <f aca="false">Assumptions!$N$59*MIN(H21035+H21042+H21040-H21041-H21043,MAX(0,H21195-H21018-H21031))</f>
        <v>0</v>
      </c>
      <c r="I21044" s="16" t="n">
        <f aca="false">Assumptions!$N$59*MIN(I21035+I21042+I21040-I21041-I21043,MAX(0,I21195-I21018-I21031))</f>
        <v>0</v>
      </c>
      <c r="J21044" s="16" t="n">
        <f aca="false">Assumptions!$N$59*MIN(J21035+J21042+J21040-J21041-J21043,MAX(0,J21195-J21018-J21031))</f>
        <v>0</v>
      </c>
      <c r="K21044" s="16" t="n">
        <f aca="false">Assumptions!$N$59*MIN(K21035+K21042+K21040-K21041-K21043,MAX(0,K21195-K21018-K21031))</f>
        <v>0</v>
      </c>
    </row>
    <row r="21045" customFormat="false" ht="15" hidden="false" customHeight="false" outlineLevel="0" collapsed="false">
      <c r="A21045" s="3" t="s">
        <v>338</v>
      </c>
      <c r="G21045" s="16" t="n">
        <f aca="false">G21036*(1-G21007)*(G21035-G21041+G21040-G21043)</f>
        <v>0</v>
      </c>
      <c r="H21045" s="16" t="n">
        <f aca="false">H21036*(1-H21007)*(H21035-H21041+H21040-H21043)</f>
        <v>0</v>
      </c>
      <c r="I21045" s="16" t="n">
        <f aca="false">I21036*(1-I21007)*(I21035-I21041+I21040-I21043)</f>
        <v>0</v>
      </c>
      <c r="J21045" s="16" t="n">
        <f aca="false">J21036*(1-J21007)*(J21035-J21041+J21040-J21043)</f>
        <v>0</v>
      </c>
      <c r="K21045" s="16" t="n">
        <f aca="false">K21036*(1-K21007)*(K21035-K21041+K21040-K21043)</f>
        <v>0</v>
      </c>
    </row>
    <row r="21046" customFormat="false" ht="15" hidden="false" customHeight="false" outlineLevel="0" collapsed="false">
      <c r="A21046" s="2" t="s">
        <v>339</v>
      </c>
      <c r="F21046" s="28" t="n">
        <f aca="false">Assumptions!$C$59</f>
        <v>57.324</v>
      </c>
      <c r="G21046" s="17" t="n">
        <f aca="false">G21035+G21042+G21040-G21041-G21043-G21044</f>
        <v>57.324</v>
      </c>
      <c r="H21046" s="17" t="n">
        <f aca="false">H21035+H21042+H21040-H21041-H21043-H21044</f>
        <v>57.324</v>
      </c>
      <c r="I21046" s="17" t="n">
        <f aca="false">I21035+I21042+I21040-I21041-I21043-I21044</f>
        <v>57.324</v>
      </c>
      <c r="J21046" s="17" t="n">
        <f aca="false">J21035+J21042+J21040-J21041-J21043-J21044</f>
        <v>57.324</v>
      </c>
      <c r="K21046" s="17" t="n">
        <f aca="false">K21035+K21042+K21040-K21041-K21043-K21044</f>
        <v>57.324</v>
      </c>
    </row>
    <row r="21047" customFormat="false" ht="15" hidden="false" customHeight="false" outlineLevel="0" collapsed="false">
      <c r="A21047" s="24" t="s">
        <v>342</v>
      </c>
      <c r="B21047" s="25"/>
      <c r="C21047" s="25"/>
      <c r="D21047" s="25"/>
      <c r="E21047" s="25"/>
      <c r="F21047" s="25"/>
      <c r="G21047" s="25"/>
      <c r="H21047" s="25"/>
      <c r="I21047" s="25"/>
      <c r="J21047" s="25"/>
      <c r="K21047" s="25"/>
    </row>
    <row r="21048" customFormat="false" ht="15" hidden="false" customHeight="false" outlineLevel="0" collapsed="false">
      <c r="A21048" s="3" t="s">
        <v>329</v>
      </c>
      <c r="G21048" s="16" t="n">
        <f aca="false">F21059</f>
        <v>0</v>
      </c>
      <c r="H21048" s="16" t="n">
        <f aca="false">G21059</f>
        <v>0</v>
      </c>
      <c r="I21048" s="16" t="n">
        <f aca="false">H21059</f>
        <v>0</v>
      </c>
      <c r="J21048" s="16" t="n">
        <f aca="false">I21059</f>
        <v>0</v>
      </c>
      <c r="K21048" s="16" t="n">
        <f aca="false">J21059</f>
        <v>0</v>
      </c>
    </row>
    <row r="21049" customFormat="false" ht="15" hidden="false" customHeight="false" outlineLevel="0" collapsed="false">
      <c r="A21049" s="3" t="s">
        <v>330</v>
      </c>
      <c r="G21049" s="21" t="n">
        <f aca="false">IF(G20973=Assumptions!$K$60,1,0)</f>
        <v>1</v>
      </c>
      <c r="H21049" s="21" t="n">
        <f aca="false">IF(H20973=Assumptions!$K$60,1,0)</f>
        <v>0</v>
      </c>
      <c r="I21049" s="21" t="n">
        <f aca="false">IF(I20973=Assumptions!$K$60,1,0)</f>
        <v>0</v>
      </c>
      <c r="J21049" s="21" t="n">
        <f aca="false">IF(J20973=Assumptions!$K$60,1,0)</f>
        <v>0</v>
      </c>
      <c r="K21049" s="21" t="n">
        <f aca="false">IF(K20973=Assumptions!$K$60,1,0)</f>
        <v>0</v>
      </c>
    </row>
    <row r="21051" customFormat="false" ht="15" hidden="false" customHeight="false" outlineLevel="0" collapsed="false">
      <c r="A21051" s="3" t="s">
        <v>331</v>
      </c>
      <c r="G21051" s="31" t="n">
        <f aca="false">IF(Assumptions!$I$60=1,MAX(G20999,Assumptions!$G$60)+Assumptions!$F$60+$C$21000,Assumptions!$E$60)</f>
        <v>0.084</v>
      </c>
      <c r="H21051" s="31" t="n">
        <f aca="false">IF(G21322=1,$C$21001,IF(Assumptions!$I$60=1,MAX(H20999,Assumptions!$G$60)+Assumptions!$F$60+$C$21000,Assumptions!$E$60))</f>
        <v>0.0825</v>
      </c>
      <c r="I21051" s="31" t="n">
        <f aca="false">IF(H21322=1,$C$21001,IF(Assumptions!$I$60=1,MAX(I20999,Assumptions!$G$60)+Assumptions!$F$60+$C$21000,Assumptions!$E$60))</f>
        <v>0.08</v>
      </c>
      <c r="J21051" s="31" t="n">
        <f aca="false">IF(I21322=1,$C$21001,IF(Assumptions!$I$60=1,MAX(J20999,Assumptions!$G$60)+Assumptions!$F$60+$C$21000,Assumptions!$E$60))</f>
        <v>0.08</v>
      </c>
      <c r="K21051" s="31" t="n">
        <f aca="false">IF(J21322=1,$C$21001,IF(Assumptions!$I$60=1,MAX(K20999,Assumptions!$G$60)+Assumptions!$F$60+$C$21000,Assumptions!$E$60))</f>
        <v>0.08</v>
      </c>
    </row>
    <row r="21052" customFormat="false" ht="15" hidden="false" customHeight="false" outlineLevel="0" collapsed="false">
      <c r="A21052" s="3" t="s">
        <v>332</v>
      </c>
      <c r="G21052" s="16" t="n">
        <f aca="false">G21048*G21051</f>
        <v>0</v>
      </c>
      <c r="H21052" s="16" t="n">
        <f aca="false">H21048*H21051</f>
        <v>0</v>
      </c>
      <c r="I21052" s="16" t="n">
        <f aca="false">I21048*I21051</f>
        <v>0</v>
      </c>
      <c r="J21052" s="16" t="n">
        <f aca="false">J21048*J21051</f>
        <v>0</v>
      </c>
      <c r="K21052" s="16" t="n">
        <f aca="false">K21048*K21051</f>
        <v>0</v>
      </c>
    </row>
    <row r="21053" customFormat="false" ht="15" hidden="false" customHeight="false" outlineLevel="0" collapsed="false">
      <c r="A21053" s="3" t="s">
        <v>333</v>
      </c>
      <c r="G21053" s="16" t="n">
        <f aca="false">G21048*Assumptions!$H$60</f>
        <v>0</v>
      </c>
      <c r="H21053" s="16" t="n">
        <f aca="false">H21048*Assumptions!$H$60</f>
        <v>0</v>
      </c>
      <c r="I21053" s="16" t="n">
        <f aca="false">I21048*Assumptions!$H$60</f>
        <v>0</v>
      </c>
      <c r="J21053" s="16" t="n">
        <f aca="false">J21048*Assumptions!$H$60</f>
        <v>0</v>
      </c>
      <c r="K21053" s="16" t="n">
        <f aca="false">K21048*Assumptions!$H$60</f>
        <v>0</v>
      </c>
    </row>
    <row r="21054" customFormat="false" ht="15" hidden="false" customHeight="false" outlineLevel="0" collapsed="false">
      <c r="A21054" s="3" t="s">
        <v>334</v>
      </c>
      <c r="G21054" s="16" t="n">
        <f aca="false">MIN(G21048,Assumptions!$L$60*Assumptions!$C$60)</f>
        <v>0</v>
      </c>
      <c r="H21054" s="16" t="n">
        <f aca="false">MIN(H21048,Assumptions!$L$60*Assumptions!$C$60)</f>
        <v>0</v>
      </c>
      <c r="I21054" s="16" t="n">
        <f aca="false">MIN(I21048,Assumptions!$L$60*Assumptions!$C$60)</f>
        <v>0</v>
      </c>
      <c r="J21054" s="16" t="n">
        <f aca="false">MIN(J21048,Assumptions!$L$60*Assumptions!$C$60)</f>
        <v>0</v>
      </c>
      <c r="K21054" s="16" t="n">
        <f aca="false">MIN(K21048,Assumptions!$L$60*Assumptions!$C$60)</f>
        <v>0</v>
      </c>
    </row>
    <row r="21055" customFormat="false" ht="15" hidden="false" customHeight="false" outlineLevel="0" collapsed="false">
      <c r="A21055" s="3" t="s">
        <v>335</v>
      </c>
      <c r="G21055" s="16" t="n">
        <f aca="false">IF(AND(Assumptions!$P$60=1,G20973&lt;Assumptions!$K$60),MIN(MAX(0,-G21189),MAX(0,Assumptions!$D$60-G21048)),0)</f>
        <v>0</v>
      </c>
      <c r="H21055" s="16" t="n">
        <f aca="false">IF(AND(Assumptions!$P$60=1,OR(H20973&lt;Assumptions!$K$60,G21322=1)),MIN(MAX(0,-H21189),MAX(0,Assumptions!$D$60-H21048)),0)</f>
        <v>0</v>
      </c>
      <c r="I21055" s="16" t="n">
        <f aca="false">IF(AND(Assumptions!$P$60=1,OR(I20973&lt;Assumptions!$K$60,H21322=1)),MIN(MAX(0,-I21189),MAX(0,Assumptions!$D$60-I21048)),0)</f>
        <v>0</v>
      </c>
      <c r="J21055" s="16" t="n">
        <f aca="false">IF(AND(Assumptions!$P$60=1,OR(J20973&lt;Assumptions!$K$60,I21322=1)),MIN(MAX(0,-J21189),MAX(0,Assumptions!$D$60-J21048)),0)</f>
        <v>0</v>
      </c>
      <c r="K21055" s="16" t="n">
        <f aca="false">IF(AND(Assumptions!$P$60=1,OR(K20973&lt;Assumptions!$K$60,J21322=1)),MIN(MAX(0,-K21189),MAX(0,Assumptions!$D$60-K21048)),0)</f>
        <v>0</v>
      </c>
    </row>
    <row r="21056" customFormat="false" ht="15" hidden="false" customHeight="false" outlineLevel="0" collapsed="false">
      <c r="A21056" s="3" t="s">
        <v>336</v>
      </c>
      <c r="G21056" s="16" t="n">
        <f aca="false">G21049*MIN(G21048-G21054+G21053,MAX(0,G21191-Assumptions!$C$12*G21007-G21017-G21030-G21043))</f>
        <v>0</v>
      </c>
      <c r="H21056" s="16" t="n">
        <f aca="false">H21049*MIN(H21048-H21054+H21053,MAX(0,H21191-Assumptions!$C$12*H21007-H21017-H21030-H21043))</f>
        <v>0</v>
      </c>
      <c r="I21056" s="16" t="n">
        <f aca="false">I21049*MIN(I21048-I21054+I21053,MAX(0,I21191-Assumptions!$C$12*I21007-I21017-I21030-I21043))</f>
        <v>0</v>
      </c>
      <c r="J21056" s="16" t="n">
        <f aca="false">J21049*MIN(J21048-J21054+J21053,MAX(0,J21191-Assumptions!$C$12*J21007-J21017-J21030-J21043))</f>
        <v>0</v>
      </c>
      <c r="K21056" s="16" t="n">
        <f aca="false">K21049*MIN(K21048-K21054+K21053,MAX(0,K21191-Assumptions!$C$12*K21007-K21017-K21030-K21043))</f>
        <v>0</v>
      </c>
    </row>
    <row r="21057" customFormat="false" ht="15" hidden="false" customHeight="false" outlineLevel="0" collapsed="false">
      <c r="A21057" s="3" t="s">
        <v>337</v>
      </c>
      <c r="G21057" s="16" t="n">
        <f aca="false">Assumptions!$N$60*MIN(G21048+G21055+G21053-G21054-G21056,MAX(0,G21195-G21018-G21031-G21044))</f>
        <v>0</v>
      </c>
      <c r="H21057" s="16" t="n">
        <f aca="false">Assumptions!$N$60*MIN(H21048+H21055+H21053-H21054-H21056,MAX(0,H21195-H21018-H21031-H21044))</f>
        <v>0</v>
      </c>
      <c r="I21057" s="16" t="n">
        <f aca="false">Assumptions!$N$60*MIN(I21048+I21055+I21053-I21054-I21056,MAX(0,I21195-I21018-I21031-I21044))</f>
        <v>0</v>
      </c>
      <c r="J21057" s="16" t="n">
        <f aca="false">Assumptions!$N$60*MIN(J21048+J21055+J21053-J21054-J21056,MAX(0,J21195-J21018-J21031-J21044))</f>
        <v>0</v>
      </c>
      <c r="K21057" s="16" t="n">
        <f aca="false">Assumptions!$N$60*MIN(K21048+K21055+K21053-K21054-K21056,MAX(0,K21195-K21018-K21031-K21044))</f>
        <v>0</v>
      </c>
    </row>
    <row r="21058" customFormat="false" ht="15" hidden="false" customHeight="false" outlineLevel="0" collapsed="false">
      <c r="A21058" s="3" t="s">
        <v>338</v>
      </c>
      <c r="G21058" s="16" t="n">
        <f aca="false">G21049*(1-G21007)*(G21048-G21054+G21053-G21056)</f>
        <v>0</v>
      </c>
      <c r="H21058" s="16" t="n">
        <f aca="false">H21049*(1-H21007)*(H21048-H21054+H21053-H21056)</f>
        <v>0</v>
      </c>
      <c r="I21058" s="16" t="n">
        <f aca="false">I21049*(1-I21007)*(I21048-I21054+I21053-I21056)</f>
        <v>0</v>
      </c>
      <c r="J21058" s="16" t="n">
        <f aca="false">J21049*(1-J21007)*(J21048-J21054+J21053-J21056)</f>
        <v>0</v>
      </c>
      <c r="K21058" s="16" t="n">
        <f aca="false">K21049*(1-K21007)*(K21048-K21054+K21053-K21056)</f>
        <v>0</v>
      </c>
    </row>
    <row r="21059" customFormat="false" ht="15" hidden="false" customHeight="false" outlineLevel="0" collapsed="false">
      <c r="A21059" s="2" t="s">
        <v>339</v>
      </c>
      <c r="F21059" s="28" t="n">
        <f aca="false">Assumptions!$C$60</f>
        <v>0</v>
      </c>
      <c r="G21059" s="17" t="n">
        <f aca="false">G21048+G21055+G21053-G21054-G21056-G21057</f>
        <v>0</v>
      </c>
      <c r="H21059" s="17" t="n">
        <f aca="false">H21048+H21055+H21053-H21054-H21056-H21057</f>
        <v>0</v>
      </c>
      <c r="I21059" s="17" t="n">
        <f aca="false">I21048+I21055+I21053-I21054-I21056-I21057</f>
        <v>0</v>
      </c>
      <c r="J21059" s="17" t="n">
        <f aca="false">J21048+J21055+J21053-J21054-J21056-J21057</f>
        <v>0</v>
      </c>
      <c r="K21059" s="17" t="n">
        <f aca="false">K21048+K21055+K21053-K21054-K21056-K21057</f>
        <v>0</v>
      </c>
    </row>
    <row r="21060" customFormat="false" ht="15" hidden="false" customHeight="false" outlineLevel="0" collapsed="false">
      <c r="A21060" s="24" t="s">
        <v>343</v>
      </c>
      <c r="B21060" s="25"/>
      <c r="C21060" s="25"/>
      <c r="D21060" s="25"/>
      <c r="E21060" s="25"/>
      <c r="F21060" s="25"/>
      <c r="G21060" s="25"/>
      <c r="H21060" s="25"/>
      <c r="I21060" s="25"/>
      <c r="J21060" s="25"/>
      <c r="K21060" s="25"/>
    </row>
    <row r="21061" customFormat="false" ht="15" hidden="false" customHeight="false" outlineLevel="0" collapsed="false">
      <c r="A21061" s="3" t="s">
        <v>329</v>
      </c>
      <c r="G21061" s="16" t="n">
        <f aca="false">F21072</f>
        <v>450</v>
      </c>
      <c r="H21061" s="16" t="n">
        <f aca="false">G21072</f>
        <v>450</v>
      </c>
      <c r="I21061" s="16" t="n">
        <f aca="false">H21072</f>
        <v>389.6601068</v>
      </c>
      <c r="J21061" s="16" t="n">
        <f aca="false">I21072</f>
        <v>389.6601068</v>
      </c>
      <c r="K21061" s="16" t="n">
        <f aca="false">J21072</f>
        <v>389.6601068</v>
      </c>
    </row>
    <row r="21062" customFormat="false" ht="15" hidden="false" customHeight="false" outlineLevel="0" collapsed="false">
      <c r="A21062" s="3" t="s">
        <v>330</v>
      </c>
      <c r="G21062" s="21" t="n">
        <f aca="false">IF(G20973=Assumptions!$K$61,1,0)</f>
        <v>0</v>
      </c>
      <c r="H21062" s="21" t="n">
        <f aca="false">IF(H20973=Assumptions!$K$61,1,0)</f>
        <v>1</v>
      </c>
      <c r="I21062" s="21" t="n">
        <f aca="false">IF(I20973=Assumptions!$K$61,1,0)</f>
        <v>0</v>
      </c>
      <c r="J21062" s="21" t="n">
        <f aca="false">IF(J20973=Assumptions!$K$61,1,0)</f>
        <v>0</v>
      </c>
      <c r="K21062" s="21" t="n">
        <f aca="false">IF(K20973=Assumptions!$K$61,1,0)</f>
        <v>0</v>
      </c>
    </row>
    <row r="21064" customFormat="false" ht="15" hidden="false" customHeight="false" outlineLevel="0" collapsed="false">
      <c r="A21064" s="3" t="s">
        <v>331</v>
      </c>
      <c r="G21064" s="31" t="n">
        <f aca="false">IF(Assumptions!$I$61=1,MAX(G20999,Assumptions!$G$61)+Assumptions!$F$61+$C$21000,Assumptions!$E$61)</f>
        <v>0.0395</v>
      </c>
      <c r="H21064" s="31" t="n">
        <f aca="false">IF(G21323=1,$C$21001,IF(Assumptions!$I$61=1,MAX(H20999,Assumptions!$G$61)+Assumptions!$F$61+$C$21000,Assumptions!$E$61))</f>
        <v>0.0395</v>
      </c>
      <c r="I21064" s="31" t="n">
        <f aca="false">IF(H21323=1,$C$21001,IF(Assumptions!$I$61=1,MAX(I20999,Assumptions!$G$61)+Assumptions!$F$61+$C$21000,Assumptions!$E$61))</f>
        <v>0.0395</v>
      </c>
      <c r="J21064" s="31" t="n">
        <f aca="false">IF(I21323=1,$C$21001,IF(Assumptions!$I$61=1,MAX(J20999,Assumptions!$G$61)+Assumptions!$F$61+$C$21000,Assumptions!$E$61))</f>
        <v>0.0395</v>
      </c>
      <c r="K21064" s="31" t="n">
        <f aca="false">IF(J21323=1,$C$21001,IF(Assumptions!$I$61=1,MAX(K20999,Assumptions!$G$61)+Assumptions!$F$61+$C$21000,Assumptions!$E$61))</f>
        <v>0.0395</v>
      </c>
    </row>
    <row r="21065" customFormat="false" ht="15" hidden="false" customHeight="false" outlineLevel="0" collapsed="false">
      <c r="A21065" s="3" t="s">
        <v>332</v>
      </c>
      <c r="G21065" s="16" t="n">
        <f aca="false">G21061*G21064</f>
        <v>17.775</v>
      </c>
      <c r="H21065" s="16" t="n">
        <f aca="false">H21061*H21064</f>
        <v>17.775</v>
      </c>
      <c r="I21065" s="16" t="n">
        <f aca="false">I21061*I21064</f>
        <v>15.3915742186</v>
      </c>
      <c r="J21065" s="16" t="n">
        <f aca="false">J21061*J21064</f>
        <v>15.3915742186</v>
      </c>
      <c r="K21065" s="16" t="n">
        <f aca="false">K21061*K21064</f>
        <v>15.3915742186</v>
      </c>
    </row>
    <row r="21066" customFormat="false" ht="15" hidden="false" customHeight="false" outlineLevel="0" collapsed="false">
      <c r="A21066" s="3" t="s">
        <v>333</v>
      </c>
      <c r="G21066" s="16" t="n">
        <f aca="false">G21061*Assumptions!$H$61</f>
        <v>0</v>
      </c>
      <c r="H21066" s="16" t="n">
        <f aca="false">H21061*Assumptions!$H$61</f>
        <v>0</v>
      </c>
      <c r="I21066" s="16" t="n">
        <f aca="false">I21061*Assumptions!$H$61</f>
        <v>0</v>
      </c>
      <c r="J21066" s="16" t="n">
        <f aca="false">J21061*Assumptions!$H$61</f>
        <v>0</v>
      </c>
      <c r="K21066" s="16" t="n">
        <f aca="false">K21061*Assumptions!$H$61</f>
        <v>0</v>
      </c>
    </row>
    <row r="21067" customFormat="false" ht="15" hidden="false" customHeight="false" outlineLevel="0" collapsed="false">
      <c r="A21067" s="3" t="s">
        <v>334</v>
      </c>
      <c r="G21067" s="16" t="n">
        <f aca="false">MIN(G21061,Assumptions!$L$61*Assumptions!$C$61)</f>
        <v>0</v>
      </c>
      <c r="H21067" s="16" t="n">
        <f aca="false">MIN(H21061,Assumptions!$L$61*Assumptions!$C$61)</f>
        <v>0</v>
      </c>
      <c r="I21067" s="16" t="n">
        <f aca="false">MIN(I21061,Assumptions!$L$61*Assumptions!$C$61)</f>
        <v>0</v>
      </c>
      <c r="J21067" s="16" t="n">
        <f aca="false">MIN(J21061,Assumptions!$L$61*Assumptions!$C$61)</f>
        <v>0</v>
      </c>
      <c r="K21067" s="16" t="n">
        <f aca="false">MIN(K21061,Assumptions!$L$61*Assumptions!$C$61)</f>
        <v>0</v>
      </c>
    </row>
    <row r="21068" customFormat="false" ht="15" hidden="false" customHeight="false" outlineLevel="0" collapsed="false">
      <c r="A21068" s="3" t="s">
        <v>335</v>
      </c>
      <c r="G21068" s="16" t="n">
        <f aca="false">IF(AND(Assumptions!$P$61=1,G20973&lt;Assumptions!$K$61),MIN(MAX(0,-G21189),MAX(0,Assumptions!$D$61-G21061)),0)</f>
        <v>0</v>
      </c>
      <c r="H21068" s="16" t="n">
        <f aca="false">IF(AND(Assumptions!$P$61=1,OR(H20973&lt;Assumptions!$K$61,G21323=1)),MIN(MAX(0,-H21189),MAX(0,Assumptions!$D$61-H21061)),0)</f>
        <v>0</v>
      </c>
      <c r="I21068" s="16" t="n">
        <f aca="false">IF(AND(Assumptions!$P$61=1,OR(I20973&lt;Assumptions!$K$61,H21323=1)),MIN(MAX(0,-I21189),MAX(0,Assumptions!$D$61-I21061)),0)</f>
        <v>0</v>
      </c>
      <c r="J21068" s="16" t="n">
        <f aca="false">IF(AND(Assumptions!$P$61=1,OR(J20973&lt;Assumptions!$K$61,I21323=1)),MIN(MAX(0,-J21189),MAX(0,Assumptions!$D$61-J21061)),0)</f>
        <v>0</v>
      </c>
      <c r="K21068" s="16" t="n">
        <f aca="false">IF(AND(Assumptions!$P$61=1,OR(K20973&lt;Assumptions!$K$61,J21323=1)),MIN(MAX(0,-K21189),MAX(0,Assumptions!$D$61-K21061)),0)</f>
        <v>0</v>
      </c>
    </row>
    <row r="21069" customFormat="false" ht="15" hidden="false" customHeight="false" outlineLevel="0" collapsed="false">
      <c r="A21069" s="3" t="s">
        <v>336</v>
      </c>
      <c r="G21069" s="16" t="n">
        <f aca="false">G21062*MIN(G21061-G21067+G21066,MAX(0,G21191-Assumptions!$C$12*G21007-G21017-G21030-G21043-G21056))</f>
        <v>0</v>
      </c>
      <c r="H21069" s="16" t="n">
        <f aca="false">H21062*MIN(H21061-H21067+H21066,MAX(0,H21191-Assumptions!$C$12*H21007-H21017-H21030-H21043-H21056))</f>
        <v>60.3398932000001</v>
      </c>
      <c r="I21069" s="16" t="n">
        <f aca="false">I21062*MIN(I21061-I21067+I21066,MAX(0,I21191-Assumptions!$C$12*I21007-I21017-I21030-I21043-I21056))</f>
        <v>0</v>
      </c>
      <c r="J21069" s="16" t="n">
        <f aca="false">J21062*MIN(J21061-J21067+J21066,MAX(0,J21191-Assumptions!$C$12*J21007-J21017-J21030-J21043-J21056))</f>
        <v>0</v>
      </c>
      <c r="K21069" s="16" t="n">
        <f aca="false">K21062*MIN(K21061-K21067+K21066,MAX(0,K21191-Assumptions!$C$12*K21007-K21017-K21030-K21043-K21056))</f>
        <v>0</v>
      </c>
    </row>
    <row r="21070" customFormat="false" ht="15" hidden="false" customHeight="false" outlineLevel="0" collapsed="false">
      <c r="A21070" s="3" t="s">
        <v>337</v>
      </c>
      <c r="G21070" s="16" t="n">
        <f aca="false">Assumptions!$N$61*MIN(G21061+G21068+G21066-G21067-G21069,MAX(0,G21195-G21018-G21031-G21044-G21057))</f>
        <v>0</v>
      </c>
      <c r="H21070" s="16" t="n">
        <f aca="false">Assumptions!$N$61*MIN(H21061+H21068+H21066-H21067-H21069,MAX(0,H21195-H21018-H21031-H21044-H21057))</f>
        <v>0</v>
      </c>
      <c r="I21070" s="16" t="n">
        <f aca="false">Assumptions!$N$61*MIN(I21061+I21068+I21066-I21067-I21069,MAX(0,I21195-I21018-I21031-I21044-I21057))</f>
        <v>0</v>
      </c>
      <c r="J21070" s="16" t="n">
        <f aca="false">Assumptions!$N$61*MIN(J21061+J21068+J21066-J21067-J21069,MAX(0,J21195-J21018-J21031-J21044-J21057))</f>
        <v>0</v>
      </c>
      <c r="K21070" s="16" t="n">
        <f aca="false">Assumptions!$N$61*MIN(K21061+K21068+K21066-K21067-K21069,MAX(0,K21195-K21018-K21031-K21044-K21057))</f>
        <v>0</v>
      </c>
    </row>
    <row r="21071" customFormat="false" ht="15" hidden="false" customHeight="false" outlineLevel="0" collapsed="false">
      <c r="A21071" s="3" t="s">
        <v>338</v>
      </c>
      <c r="G21071" s="16" t="n">
        <f aca="false">G21062*(1-G21007)*(G21061-G21067+G21066-G21069)</f>
        <v>0</v>
      </c>
      <c r="H21071" s="16" t="n">
        <f aca="false">H21062*(1-H21007)*(H21061-H21067+H21066-H21069)</f>
        <v>389.6601068</v>
      </c>
      <c r="I21071" s="16" t="n">
        <f aca="false">I21062*(1-I21007)*(I21061-I21067+I21066-I21069)</f>
        <v>0</v>
      </c>
      <c r="J21071" s="16" t="n">
        <f aca="false">J21062*(1-J21007)*(J21061-J21067+J21066-J21069)</f>
        <v>0</v>
      </c>
      <c r="K21071" s="16" t="n">
        <f aca="false">K21062*(1-K21007)*(K21061-K21067+K21066-K21069)</f>
        <v>0</v>
      </c>
    </row>
    <row r="21072" customFormat="false" ht="15" hidden="false" customHeight="false" outlineLevel="0" collapsed="false">
      <c r="A21072" s="2" t="s">
        <v>339</v>
      </c>
      <c r="F21072" s="28" t="n">
        <f aca="false">Assumptions!$C$61</f>
        <v>450</v>
      </c>
      <c r="G21072" s="17" t="n">
        <f aca="false">G21061+G21068+G21066-G21067-G21069-G21070</f>
        <v>450</v>
      </c>
      <c r="H21072" s="17" t="n">
        <f aca="false">H21061+H21068+H21066-H21067-H21069-H21070</f>
        <v>389.6601068</v>
      </c>
      <c r="I21072" s="17" t="n">
        <f aca="false">I21061+I21068+I21066-I21067-I21069-I21070</f>
        <v>389.6601068</v>
      </c>
      <c r="J21072" s="17" t="n">
        <f aca="false">J21061+J21068+J21066-J21067-J21069-J21070</f>
        <v>389.6601068</v>
      </c>
      <c r="K21072" s="17" t="n">
        <f aca="false">K21061+K21068+K21066-K21067-K21069-K21070</f>
        <v>389.6601068</v>
      </c>
    </row>
    <row r="21073" customFormat="false" ht="15" hidden="false" customHeight="false" outlineLevel="0" collapsed="false">
      <c r="A21073" s="24" t="s">
        <v>344</v>
      </c>
      <c r="B21073" s="25"/>
      <c r="C21073" s="25"/>
      <c r="D21073" s="25"/>
      <c r="E21073" s="25"/>
      <c r="F21073" s="25"/>
      <c r="G21073" s="25"/>
      <c r="H21073" s="25"/>
      <c r="I21073" s="25"/>
      <c r="J21073" s="25"/>
      <c r="K21073" s="25"/>
    </row>
    <row r="21074" customFormat="false" ht="15" hidden="false" customHeight="false" outlineLevel="0" collapsed="false">
      <c r="A21074" s="3" t="s">
        <v>329</v>
      </c>
      <c r="G21074" s="16" t="n">
        <f aca="false">F21085</f>
        <v>350</v>
      </c>
      <c r="H21074" s="16" t="n">
        <f aca="false">G21085</f>
        <v>350</v>
      </c>
      <c r="I21074" s="16" t="n">
        <f aca="false">H21085</f>
        <v>350</v>
      </c>
      <c r="J21074" s="16" t="n">
        <f aca="false">I21085</f>
        <v>350</v>
      </c>
      <c r="K21074" s="16" t="n">
        <f aca="false">J21085</f>
        <v>350</v>
      </c>
    </row>
    <row r="21075" customFormat="false" ht="15" hidden="false" customHeight="false" outlineLevel="0" collapsed="false">
      <c r="A21075" s="3" t="s">
        <v>330</v>
      </c>
      <c r="G21075" s="21" t="n">
        <f aca="false">IF(G20973=Assumptions!$K$62,1,0)</f>
        <v>0</v>
      </c>
      <c r="H21075" s="21" t="n">
        <f aca="false">IF(H20973=Assumptions!$K$62,1,0)</f>
        <v>1</v>
      </c>
      <c r="I21075" s="21" t="n">
        <f aca="false">IF(I20973=Assumptions!$K$62,1,0)</f>
        <v>0</v>
      </c>
      <c r="J21075" s="21" t="n">
        <f aca="false">IF(J20973=Assumptions!$K$62,1,0)</f>
        <v>0</v>
      </c>
      <c r="K21075" s="21" t="n">
        <f aca="false">IF(K20973=Assumptions!$K$62,1,0)</f>
        <v>0</v>
      </c>
    </row>
    <row r="21077" customFormat="false" ht="15" hidden="false" customHeight="false" outlineLevel="0" collapsed="false">
      <c r="A21077" s="3" t="s">
        <v>331</v>
      </c>
      <c r="G21077" s="31" t="n">
        <f aca="false">IF(Assumptions!$I$62=1,MAX(G20999,Assumptions!$G$62)+Assumptions!$F$62+$C$21000,Assumptions!$E$62)</f>
        <v>0.083</v>
      </c>
      <c r="H21077" s="31" t="n">
        <f aca="false">IF(G21324=1,$C$21001,IF(Assumptions!$I$62=1,MAX(H20999,Assumptions!$G$62)+Assumptions!$F$62+$C$21000,Assumptions!$E$62))</f>
        <v>0.083</v>
      </c>
      <c r="I21077" s="31" t="n">
        <f aca="false">IF(H21324=1,$C$21001,IF(Assumptions!$I$62=1,MAX(I20999,Assumptions!$G$62)+Assumptions!$F$62+$C$21000,Assumptions!$E$62))</f>
        <v>0.083</v>
      </c>
      <c r="J21077" s="31" t="n">
        <f aca="false">IF(I21324=1,$C$21001,IF(Assumptions!$I$62=1,MAX(J20999,Assumptions!$G$62)+Assumptions!$F$62+$C$21000,Assumptions!$E$62))</f>
        <v>0.083</v>
      </c>
      <c r="K21077" s="31" t="n">
        <f aca="false">IF(J21324=1,$C$21001,IF(Assumptions!$I$62=1,MAX(K20999,Assumptions!$G$62)+Assumptions!$F$62+$C$21000,Assumptions!$E$62))</f>
        <v>0.083</v>
      </c>
    </row>
    <row r="21078" customFormat="false" ht="15" hidden="false" customHeight="false" outlineLevel="0" collapsed="false">
      <c r="A21078" s="3" t="s">
        <v>332</v>
      </c>
      <c r="G21078" s="16" t="n">
        <f aca="false">G21074*G21077</f>
        <v>29.05</v>
      </c>
      <c r="H21078" s="16" t="n">
        <f aca="false">H21074*H21077</f>
        <v>29.05</v>
      </c>
      <c r="I21078" s="16" t="n">
        <f aca="false">I21074*I21077</f>
        <v>29.05</v>
      </c>
      <c r="J21078" s="16" t="n">
        <f aca="false">J21074*J21077</f>
        <v>29.05</v>
      </c>
      <c r="K21078" s="16" t="n">
        <f aca="false">K21074*K21077</f>
        <v>29.05</v>
      </c>
    </row>
    <row r="21079" customFormat="false" ht="15" hidden="false" customHeight="false" outlineLevel="0" collapsed="false">
      <c r="A21079" s="3" t="s">
        <v>333</v>
      </c>
      <c r="G21079" s="16" t="n">
        <f aca="false">G21074*Assumptions!$H$62</f>
        <v>0</v>
      </c>
      <c r="H21079" s="16" t="n">
        <f aca="false">H21074*Assumptions!$H$62</f>
        <v>0</v>
      </c>
      <c r="I21079" s="16" t="n">
        <f aca="false">I21074*Assumptions!$H$62</f>
        <v>0</v>
      </c>
      <c r="J21079" s="16" t="n">
        <f aca="false">J21074*Assumptions!$H$62</f>
        <v>0</v>
      </c>
      <c r="K21079" s="16" t="n">
        <f aca="false">K21074*Assumptions!$H$62</f>
        <v>0</v>
      </c>
    </row>
    <row r="21080" customFormat="false" ht="15" hidden="false" customHeight="false" outlineLevel="0" collapsed="false">
      <c r="A21080" s="3" t="s">
        <v>334</v>
      </c>
      <c r="G21080" s="16" t="n">
        <f aca="false">MIN(G21074,Assumptions!$L$62*Assumptions!$C$62)</f>
        <v>0</v>
      </c>
      <c r="H21080" s="16" t="n">
        <f aca="false">MIN(H21074,Assumptions!$L$62*Assumptions!$C$62)</f>
        <v>0</v>
      </c>
      <c r="I21080" s="16" t="n">
        <f aca="false">MIN(I21074,Assumptions!$L$62*Assumptions!$C$62)</f>
        <v>0</v>
      </c>
      <c r="J21080" s="16" t="n">
        <f aca="false">MIN(J21074,Assumptions!$L$62*Assumptions!$C$62)</f>
        <v>0</v>
      </c>
      <c r="K21080" s="16" t="n">
        <f aca="false">MIN(K21074,Assumptions!$L$62*Assumptions!$C$62)</f>
        <v>0</v>
      </c>
    </row>
    <row r="21081" customFormat="false" ht="15" hidden="false" customHeight="false" outlineLevel="0" collapsed="false">
      <c r="A21081" s="3" t="s">
        <v>335</v>
      </c>
      <c r="G21081" s="16" t="n">
        <f aca="false">IF(AND(Assumptions!$P$62=1,G20973&lt;Assumptions!$K$62),MIN(MAX(0,-G21189),MAX(0,Assumptions!$D$62-G21074)),0)</f>
        <v>0</v>
      </c>
      <c r="H21081" s="16" t="n">
        <f aca="false">IF(AND(Assumptions!$P$62=1,OR(H20973&lt;Assumptions!$K$62,G21324=1)),MIN(MAX(0,-H21189),MAX(0,Assumptions!$D$62-H21074)),0)</f>
        <v>0</v>
      </c>
      <c r="I21081" s="16" t="n">
        <f aca="false">IF(AND(Assumptions!$P$62=1,OR(I20973&lt;Assumptions!$K$62,H21324=1)),MIN(MAX(0,-I21189),MAX(0,Assumptions!$D$62-I21074)),0)</f>
        <v>0</v>
      </c>
      <c r="J21081" s="16" t="n">
        <f aca="false">IF(AND(Assumptions!$P$62=1,OR(J20973&lt;Assumptions!$K$62,I21324=1)),MIN(MAX(0,-J21189),MAX(0,Assumptions!$D$62-J21074)),0)</f>
        <v>0</v>
      </c>
      <c r="K21081" s="16" t="n">
        <f aca="false">IF(AND(Assumptions!$P$62=1,OR(K20973&lt;Assumptions!$K$62,J21324=1)),MIN(MAX(0,-K21189),MAX(0,Assumptions!$D$62-K21074)),0)</f>
        <v>0</v>
      </c>
    </row>
    <row r="21082" customFormat="false" ht="15" hidden="false" customHeight="false" outlineLevel="0" collapsed="false">
      <c r="A21082" s="3" t="s">
        <v>336</v>
      </c>
      <c r="G21082" s="16" t="n">
        <f aca="false">G21075*MIN(G21074-G21080+G21079,MAX(0,G21191-Assumptions!$C$12*G21007-G21017-G21030-G21043-G21056-G21069))</f>
        <v>0</v>
      </c>
      <c r="H21082" s="16" t="n">
        <f aca="false">H21075*MIN(H21074-H21080+H21079,MAX(0,H21191-Assumptions!$C$12*H21007-H21017-H21030-H21043-H21056-H21069))</f>
        <v>0</v>
      </c>
      <c r="I21082" s="16" t="n">
        <f aca="false">I21075*MIN(I21074-I21080+I21079,MAX(0,I21191-Assumptions!$C$12*I21007-I21017-I21030-I21043-I21056-I21069))</f>
        <v>0</v>
      </c>
      <c r="J21082" s="16" t="n">
        <f aca="false">J21075*MIN(J21074-J21080+J21079,MAX(0,J21191-Assumptions!$C$12*J21007-J21017-J21030-J21043-J21056-J21069))</f>
        <v>0</v>
      </c>
      <c r="K21082" s="16" t="n">
        <f aca="false">K21075*MIN(K21074-K21080+K21079,MAX(0,K21191-Assumptions!$C$12*K21007-K21017-K21030-K21043-K21056-K21069))</f>
        <v>0</v>
      </c>
    </row>
    <row r="21083" customFormat="false" ht="15" hidden="false" customHeight="false" outlineLevel="0" collapsed="false">
      <c r="A21083" s="3" t="s">
        <v>337</v>
      </c>
      <c r="G21083" s="16" t="n">
        <f aca="false">Assumptions!$N$62*MIN(G21074+G21081+G21079-G21080-G21082,MAX(0,G21195-G21018-G21031-G21044-G21057-G21070))</f>
        <v>0</v>
      </c>
      <c r="H21083" s="16" t="n">
        <f aca="false">Assumptions!$N$62*MIN(H21074+H21081+H21079-H21080-H21082,MAX(0,H21195-H21018-H21031-H21044-H21057-H21070))</f>
        <v>0</v>
      </c>
      <c r="I21083" s="16" t="n">
        <f aca="false">Assumptions!$N$62*MIN(I21074+I21081+I21079-I21080-I21082,MAX(0,I21195-I21018-I21031-I21044-I21057-I21070))</f>
        <v>0</v>
      </c>
      <c r="J21083" s="16" t="n">
        <f aca="false">Assumptions!$N$62*MIN(J21074+J21081+J21079-J21080-J21082,MAX(0,J21195-J21018-J21031-J21044-J21057-J21070))</f>
        <v>0</v>
      </c>
      <c r="K21083" s="16" t="n">
        <f aca="false">Assumptions!$N$62*MIN(K21074+K21081+K21079-K21080-K21082,MAX(0,K21195-K21018-K21031-K21044-K21057-K21070))</f>
        <v>0</v>
      </c>
    </row>
    <row r="21084" customFormat="false" ht="15" hidden="false" customHeight="false" outlineLevel="0" collapsed="false">
      <c r="A21084" s="3" t="s">
        <v>338</v>
      </c>
      <c r="G21084" s="16" t="n">
        <f aca="false">G21075*(1-G21007)*(G21074-G21080+G21079-G21082)</f>
        <v>0</v>
      </c>
      <c r="H21084" s="16" t="n">
        <f aca="false">H21075*(1-H21007)*(H21074-H21080+H21079-H21082)</f>
        <v>350</v>
      </c>
      <c r="I21084" s="16" t="n">
        <f aca="false">I21075*(1-I21007)*(I21074-I21080+I21079-I21082)</f>
        <v>0</v>
      </c>
      <c r="J21084" s="16" t="n">
        <f aca="false">J21075*(1-J21007)*(J21074-J21080+J21079-J21082)</f>
        <v>0</v>
      </c>
      <c r="K21084" s="16" t="n">
        <f aca="false">K21075*(1-K21007)*(K21074-K21080+K21079-K21082)</f>
        <v>0</v>
      </c>
    </row>
    <row r="21085" customFormat="false" ht="15" hidden="false" customHeight="false" outlineLevel="0" collapsed="false">
      <c r="A21085" s="2" t="s">
        <v>339</v>
      </c>
      <c r="F21085" s="28" t="n">
        <f aca="false">Assumptions!$C$62</f>
        <v>350</v>
      </c>
      <c r="G21085" s="17" t="n">
        <f aca="false">G21074+G21081+G21079-G21080-G21082-G21083</f>
        <v>350</v>
      </c>
      <c r="H21085" s="17" t="n">
        <f aca="false">H21074+H21081+H21079-H21080-H21082-H21083</f>
        <v>350</v>
      </c>
      <c r="I21085" s="17" t="n">
        <f aca="false">I21074+I21081+I21079-I21080-I21082-I21083</f>
        <v>350</v>
      </c>
      <c r="J21085" s="17" t="n">
        <f aca="false">J21074+J21081+J21079-J21080-J21082-J21083</f>
        <v>350</v>
      </c>
      <c r="K21085" s="17" t="n">
        <f aca="false">K21074+K21081+K21079-K21080-K21082-K21083</f>
        <v>350</v>
      </c>
    </row>
    <row r="21086" customFormat="false" ht="15" hidden="false" customHeight="false" outlineLevel="0" collapsed="false">
      <c r="A21086" s="24" t="s">
        <v>345</v>
      </c>
      <c r="B21086" s="25"/>
      <c r="C21086" s="25"/>
      <c r="D21086" s="25"/>
      <c r="E21086" s="25"/>
      <c r="F21086" s="25"/>
      <c r="G21086" s="25"/>
      <c r="H21086" s="25"/>
      <c r="I21086" s="25"/>
      <c r="J21086" s="25"/>
      <c r="K21086" s="25"/>
    </row>
    <row r="21087" customFormat="false" ht="15" hidden="false" customHeight="false" outlineLevel="0" collapsed="false">
      <c r="A21087" s="3" t="s">
        <v>329</v>
      </c>
      <c r="G21087" s="16" t="n">
        <f aca="false">F21098</f>
        <v>550</v>
      </c>
      <c r="H21087" s="16" t="n">
        <f aca="false">G21098</f>
        <v>550</v>
      </c>
      <c r="I21087" s="16" t="n">
        <f aca="false">H21098</f>
        <v>550</v>
      </c>
      <c r="J21087" s="16" t="n">
        <f aca="false">I21098</f>
        <v>550</v>
      </c>
      <c r="K21087" s="16" t="n">
        <f aca="false">J21098</f>
        <v>550</v>
      </c>
    </row>
    <row r="21088" customFormat="false" ht="15" hidden="false" customHeight="false" outlineLevel="0" collapsed="false">
      <c r="A21088" s="3" t="s">
        <v>330</v>
      </c>
      <c r="G21088" s="21" t="n">
        <f aca="false">IF(G20973=Assumptions!$K$63,1,0)</f>
        <v>0</v>
      </c>
      <c r="H21088" s="21" t="n">
        <f aca="false">IF(H20973=Assumptions!$K$63,1,0)</f>
        <v>0</v>
      </c>
      <c r="I21088" s="21" t="n">
        <f aca="false">IF(I20973=Assumptions!$K$63,1,0)</f>
        <v>1</v>
      </c>
      <c r="J21088" s="21" t="n">
        <f aca="false">IF(J20973=Assumptions!$K$63,1,0)</f>
        <v>0</v>
      </c>
      <c r="K21088" s="21" t="n">
        <f aca="false">IF(K20973=Assumptions!$K$63,1,0)</f>
        <v>0</v>
      </c>
    </row>
    <row r="21090" customFormat="false" ht="15" hidden="false" customHeight="false" outlineLevel="0" collapsed="false">
      <c r="A21090" s="3" t="s">
        <v>331</v>
      </c>
      <c r="G21090" s="31" t="n">
        <f aca="false">IF(Assumptions!$I$63=1,MAX(G20999,Assumptions!$G$63)+Assumptions!$F$63+$C$21000,Assumptions!$E$63)</f>
        <v>0.08875</v>
      </c>
      <c r="H21090" s="31" t="n">
        <f aca="false">IF(G21325=1,$C$21001,IF(Assumptions!$I$63=1,MAX(H20999,Assumptions!$G$63)+Assumptions!$F$63+$C$21000,Assumptions!$E$63))</f>
        <v>0.08875</v>
      </c>
      <c r="I21090" s="31" t="n">
        <f aca="false">IF(H21325=1,$C$21001,IF(Assumptions!$I$63=1,MAX(I20999,Assumptions!$G$63)+Assumptions!$F$63+$C$21000,Assumptions!$E$63))</f>
        <v>0.08875</v>
      </c>
      <c r="J21090" s="31" t="n">
        <f aca="false">IF(I21325=1,$C$21001,IF(Assumptions!$I$63=1,MAX(J20999,Assumptions!$G$63)+Assumptions!$F$63+$C$21000,Assumptions!$E$63))</f>
        <v>0.08875</v>
      </c>
      <c r="K21090" s="31" t="n">
        <f aca="false">IF(J21325=1,$C$21001,IF(Assumptions!$I$63=1,MAX(K20999,Assumptions!$G$63)+Assumptions!$F$63+$C$21000,Assumptions!$E$63))</f>
        <v>0.08875</v>
      </c>
    </row>
    <row r="21091" customFormat="false" ht="15" hidden="false" customHeight="false" outlineLevel="0" collapsed="false">
      <c r="A21091" s="3" t="s">
        <v>332</v>
      </c>
      <c r="G21091" s="16" t="n">
        <f aca="false">G21087*G21090</f>
        <v>48.8125</v>
      </c>
      <c r="H21091" s="16" t="n">
        <f aca="false">H21087*H21090</f>
        <v>48.8125</v>
      </c>
      <c r="I21091" s="16" t="n">
        <f aca="false">I21087*I21090</f>
        <v>48.8125</v>
      </c>
      <c r="J21091" s="16" t="n">
        <f aca="false">J21087*J21090</f>
        <v>48.8125</v>
      </c>
      <c r="K21091" s="16" t="n">
        <f aca="false">K21087*K21090</f>
        <v>48.8125</v>
      </c>
    </row>
    <row r="21092" customFormat="false" ht="15" hidden="false" customHeight="false" outlineLevel="0" collapsed="false">
      <c r="A21092" s="3" t="s">
        <v>333</v>
      </c>
      <c r="G21092" s="16" t="n">
        <f aca="false">G21087*Assumptions!$H$63</f>
        <v>0</v>
      </c>
      <c r="H21092" s="16" t="n">
        <f aca="false">H21087*Assumptions!$H$63</f>
        <v>0</v>
      </c>
      <c r="I21092" s="16" t="n">
        <f aca="false">I21087*Assumptions!$H$63</f>
        <v>0</v>
      </c>
      <c r="J21092" s="16" t="n">
        <f aca="false">J21087*Assumptions!$H$63</f>
        <v>0</v>
      </c>
      <c r="K21092" s="16" t="n">
        <f aca="false">K21087*Assumptions!$H$63</f>
        <v>0</v>
      </c>
    </row>
    <row r="21093" customFormat="false" ht="15" hidden="false" customHeight="false" outlineLevel="0" collapsed="false">
      <c r="A21093" s="3" t="s">
        <v>334</v>
      </c>
      <c r="G21093" s="16" t="n">
        <f aca="false">MIN(G21087,Assumptions!$L$63*Assumptions!$C$63)</f>
        <v>0</v>
      </c>
      <c r="H21093" s="16" t="n">
        <f aca="false">MIN(H21087,Assumptions!$L$63*Assumptions!$C$63)</f>
        <v>0</v>
      </c>
      <c r="I21093" s="16" t="n">
        <f aca="false">MIN(I21087,Assumptions!$L$63*Assumptions!$C$63)</f>
        <v>0</v>
      </c>
      <c r="J21093" s="16" t="n">
        <f aca="false">MIN(J21087,Assumptions!$L$63*Assumptions!$C$63)</f>
        <v>0</v>
      </c>
      <c r="K21093" s="16" t="n">
        <f aca="false">MIN(K21087,Assumptions!$L$63*Assumptions!$C$63)</f>
        <v>0</v>
      </c>
    </row>
    <row r="21094" customFormat="false" ht="15" hidden="false" customHeight="false" outlineLevel="0" collapsed="false">
      <c r="A21094" s="3" t="s">
        <v>335</v>
      </c>
      <c r="G21094" s="16" t="n">
        <f aca="false">IF(AND(Assumptions!$P$63=1,G20973&lt;Assumptions!$K$63),MIN(MAX(0,-G21189),MAX(0,Assumptions!$D$63-G21087)),0)</f>
        <v>0</v>
      </c>
      <c r="H21094" s="16" t="n">
        <f aca="false">IF(AND(Assumptions!$P$63=1,OR(H20973&lt;Assumptions!$K$63,G21325=1)),MIN(MAX(0,-H21189),MAX(0,Assumptions!$D$63-H21087)),0)</f>
        <v>0</v>
      </c>
      <c r="I21094" s="16" t="n">
        <f aca="false">IF(AND(Assumptions!$P$63=1,OR(I20973&lt;Assumptions!$K$63,H21325=1)),MIN(MAX(0,-I21189),MAX(0,Assumptions!$D$63-I21087)),0)</f>
        <v>0</v>
      </c>
      <c r="J21094" s="16" t="n">
        <f aca="false">IF(AND(Assumptions!$P$63=1,OR(J20973&lt;Assumptions!$K$63,I21325=1)),MIN(MAX(0,-J21189),MAX(0,Assumptions!$D$63-J21087)),0)</f>
        <v>0</v>
      </c>
      <c r="K21094" s="16" t="n">
        <f aca="false">IF(AND(Assumptions!$P$63=1,OR(K20973&lt;Assumptions!$K$63,J21325=1)),MIN(MAX(0,-K21189),MAX(0,Assumptions!$D$63-K21087)),0)</f>
        <v>0</v>
      </c>
    </row>
    <row r="21095" customFormat="false" ht="15" hidden="false" customHeight="false" outlineLevel="0" collapsed="false">
      <c r="A21095" s="3" t="s">
        <v>336</v>
      </c>
      <c r="G21095" s="16" t="n">
        <f aca="false">G21088*MIN(G21087-G21093+G21092,MAX(0,G21191-Assumptions!$C$12*G21007-G21017-G21030-G21043-G21056-G21069-G21082))</f>
        <v>0</v>
      </c>
      <c r="H21095" s="16" t="n">
        <f aca="false">H21088*MIN(H21087-H21093+H21092,MAX(0,H21191-Assumptions!$C$12*H21007-H21017-H21030-H21043-H21056-H21069-H21082))</f>
        <v>0</v>
      </c>
      <c r="I21095" s="16" t="n">
        <f aca="false">I21088*MIN(I21087-I21093+I21092,MAX(0,I21191-Assumptions!$C$12*I21007-I21017-I21030-I21043-I21056-I21069-I21082))</f>
        <v>0</v>
      </c>
      <c r="J21095" s="16" t="n">
        <f aca="false">J21088*MIN(J21087-J21093+J21092,MAX(0,J21191-Assumptions!$C$12*J21007-J21017-J21030-J21043-J21056-J21069-J21082))</f>
        <v>0</v>
      </c>
      <c r="K21095" s="16" t="n">
        <f aca="false">K21088*MIN(K21087-K21093+K21092,MAX(0,K21191-Assumptions!$C$12*K21007-K21017-K21030-K21043-K21056-K21069-K21082))</f>
        <v>0</v>
      </c>
    </row>
    <row r="21096" customFormat="false" ht="15" hidden="false" customHeight="false" outlineLevel="0" collapsed="false">
      <c r="A21096" s="3" t="s">
        <v>337</v>
      </c>
      <c r="G21096" s="16" t="n">
        <f aca="false">Assumptions!$N$63*MIN(G21087+G21094+G21092-G21093-G21095,MAX(0,G21195-G21018-G21031-G21044-G21057-G21070-G21083))</f>
        <v>0</v>
      </c>
      <c r="H21096" s="16" t="n">
        <f aca="false">Assumptions!$N$63*MIN(H21087+H21094+H21092-H21093-H21095,MAX(0,H21195-H21018-H21031-H21044-H21057-H21070-H21083))</f>
        <v>0</v>
      </c>
      <c r="I21096" s="16" t="n">
        <f aca="false">Assumptions!$N$63*MIN(I21087+I21094+I21092-I21093-I21095,MAX(0,I21195-I21018-I21031-I21044-I21057-I21070-I21083))</f>
        <v>0</v>
      </c>
      <c r="J21096" s="16" t="n">
        <f aca="false">Assumptions!$N$63*MIN(J21087+J21094+J21092-J21093-J21095,MAX(0,J21195-J21018-J21031-J21044-J21057-J21070-J21083))</f>
        <v>0</v>
      </c>
      <c r="K21096" s="16" t="n">
        <f aca="false">Assumptions!$N$63*MIN(K21087+K21094+K21092-K21093-K21095,MAX(0,K21195-K21018-K21031-K21044-K21057-K21070-K21083))</f>
        <v>0</v>
      </c>
    </row>
    <row r="21097" customFormat="false" ht="15" hidden="false" customHeight="false" outlineLevel="0" collapsed="false">
      <c r="A21097" s="3" t="s">
        <v>338</v>
      </c>
      <c r="G21097" s="16" t="n">
        <f aca="false">G21088*(1-G21007)*(G21087-G21093+G21092-G21095)</f>
        <v>0</v>
      </c>
      <c r="H21097" s="16" t="n">
        <f aca="false">H21088*(1-H21007)*(H21087-H21093+H21092-H21095)</f>
        <v>0</v>
      </c>
      <c r="I21097" s="16" t="n">
        <f aca="false">I21088*(1-I21007)*(I21087-I21093+I21092-I21095)</f>
        <v>550</v>
      </c>
      <c r="J21097" s="16" t="n">
        <f aca="false">J21088*(1-J21007)*(J21087-J21093+J21092-J21095)</f>
        <v>0</v>
      </c>
      <c r="K21097" s="16" t="n">
        <f aca="false">K21088*(1-K21007)*(K21087-K21093+K21092-K21095)</f>
        <v>0</v>
      </c>
    </row>
    <row r="21098" customFormat="false" ht="15" hidden="false" customHeight="false" outlineLevel="0" collapsed="false">
      <c r="A21098" s="2" t="s">
        <v>339</v>
      </c>
      <c r="F21098" s="28" t="n">
        <f aca="false">Assumptions!$C$63</f>
        <v>550</v>
      </c>
      <c r="G21098" s="17" t="n">
        <f aca="false">G21087+G21094+G21092-G21093-G21095-G21096</f>
        <v>550</v>
      </c>
      <c r="H21098" s="17" t="n">
        <f aca="false">H21087+H21094+H21092-H21093-H21095-H21096</f>
        <v>550</v>
      </c>
      <c r="I21098" s="17" t="n">
        <f aca="false">I21087+I21094+I21092-I21093-I21095-I21096</f>
        <v>550</v>
      </c>
      <c r="J21098" s="17" t="n">
        <f aca="false">J21087+J21094+J21092-J21093-J21095-J21096</f>
        <v>550</v>
      </c>
      <c r="K21098" s="17" t="n">
        <f aca="false">K21087+K21094+K21092-K21093-K21095-K21096</f>
        <v>550</v>
      </c>
    </row>
    <row r="21099" customFormat="false" ht="15" hidden="false" customHeight="false" outlineLevel="0" collapsed="false">
      <c r="A21099" s="24" t="s">
        <v>346</v>
      </c>
      <c r="B21099" s="25"/>
      <c r="C21099" s="25"/>
      <c r="D21099" s="25"/>
      <c r="E21099" s="25"/>
      <c r="F21099" s="25"/>
      <c r="G21099" s="25"/>
      <c r="H21099" s="25"/>
      <c r="I21099" s="25"/>
      <c r="J21099" s="25"/>
      <c r="K21099" s="25"/>
    </row>
    <row r="21100" customFormat="false" ht="15" hidden="false" customHeight="false" outlineLevel="0" collapsed="false">
      <c r="A21100" s="3" t="s">
        <v>329</v>
      </c>
      <c r="G21100" s="16" t="n">
        <f aca="false">F21111</f>
        <v>350</v>
      </c>
      <c r="H21100" s="16" t="n">
        <f aca="false">G21111</f>
        <v>350</v>
      </c>
      <c r="I21100" s="16" t="n">
        <f aca="false">H21111</f>
        <v>350</v>
      </c>
      <c r="J21100" s="16" t="n">
        <f aca="false">I21111</f>
        <v>350</v>
      </c>
      <c r="K21100" s="16" t="n">
        <f aca="false">J21111</f>
        <v>350</v>
      </c>
    </row>
    <row r="21101" customFormat="false" ht="15" hidden="false" customHeight="false" outlineLevel="0" collapsed="false">
      <c r="A21101" s="3" t="s">
        <v>330</v>
      </c>
      <c r="G21101" s="21" t="n">
        <f aca="false">IF(G20973=Assumptions!$K$64,1,0)</f>
        <v>0</v>
      </c>
      <c r="H21101" s="21" t="n">
        <f aca="false">IF(H20973=Assumptions!$K$64,1,0)</f>
        <v>0</v>
      </c>
      <c r="I21101" s="21" t="n">
        <f aca="false">IF(I20973=Assumptions!$K$64,1,0)</f>
        <v>0</v>
      </c>
      <c r="J21101" s="21" t="n">
        <f aca="false">IF(J20973=Assumptions!$K$64,1,0)</f>
        <v>1</v>
      </c>
      <c r="K21101" s="21" t="n">
        <f aca="false">IF(K20973=Assumptions!$K$64,1,0)</f>
        <v>0</v>
      </c>
    </row>
    <row r="21103" customFormat="false" ht="15" hidden="false" customHeight="false" outlineLevel="0" collapsed="false">
      <c r="A21103" s="3" t="s">
        <v>331</v>
      </c>
      <c r="G21103" s="31" t="n">
        <f aca="false">IF(Assumptions!$I$64=1,MAX(G20999,Assumptions!$G$64)+Assumptions!$F$64+$C$21000,Assumptions!$E$64)</f>
        <v>0.0455</v>
      </c>
      <c r="H21103" s="31" t="n">
        <f aca="false">IF(G21326=1,$C$21001,IF(Assumptions!$I$64=1,MAX(H20999,Assumptions!$G$64)+Assumptions!$F$64+$C$21000,Assumptions!$E$64))</f>
        <v>0.0455</v>
      </c>
      <c r="I21103" s="31" t="n">
        <f aca="false">IF(H21326=1,$C$21001,IF(Assumptions!$I$64=1,MAX(I20999,Assumptions!$G$64)+Assumptions!$F$64+$C$21000,Assumptions!$E$64))</f>
        <v>0.0455</v>
      </c>
      <c r="J21103" s="31" t="n">
        <f aca="false">IF(I21326=1,$C$21001,IF(Assumptions!$I$64=1,MAX(J20999,Assumptions!$G$64)+Assumptions!$F$64+$C$21000,Assumptions!$E$64))</f>
        <v>0.0455</v>
      </c>
      <c r="K21103" s="31" t="n">
        <f aca="false">IF(J21326=1,$C$21001,IF(Assumptions!$I$64=1,MAX(K20999,Assumptions!$G$64)+Assumptions!$F$64+$C$21000,Assumptions!$E$64))</f>
        <v>0.0455</v>
      </c>
    </row>
    <row r="21104" customFormat="false" ht="15" hidden="false" customHeight="false" outlineLevel="0" collapsed="false">
      <c r="A21104" s="3" t="s">
        <v>332</v>
      </c>
      <c r="G21104" s="16" t="n">
        <f aca="false">G21100*G21103</f>
        <v>15.925</v>
      </c>
      <c r="H21104" s="16" t="n">
        <f aca="false">H21100*H21103</f>
        <v>15.925</v>
      </c>
      <c r="I21104" s="16" t="n">
        <f aca="false">I21100*I21103</f>
        <v>15.925</v>
      </c>
      <c r="J21104" s="16" t="n">
        <f aca="false">J21100*J21103</f>
        <v>15.925</v>
      </c>
      <c r="K21104" s="16" t="n">
        <f aca="false">K21100*K21103</f>
        <v>15.925</v>
      </c>
    </row>
    <row r="21105" customFormat="false" ht="15" hidden="false" customHeight="false" outlineLevel="0" collapsed="false">
      <c r="A21105" s="3" t="s">
        <v>333</v>
      </c>
      <c r="G21105" s="16" t="n">
        <f aca="false">G21100*Assumptions!$H$64</f>
        <v>0</v>
      </c>
      <c r="H21105" s="16" t="n">
        <f aca="false">H21100*Assumptions!$H$64</f>
        <v>0</v>
      </c>
      <c r="I21105" s="16" t="n">
        <f aca="false">I21100*Assumptions!$H$64</f>
        <v>0</v>
      </c>
      <c r="J21105" s="16" t="n">
        <f aca="false">J21100*Assumptions!$H$64</f>
        <v>0</v>
      </c>
      <c r="K21105" s="16" t="n">
        <f aca="false">K21100*Assumptions!$H$64</f>
        <v>0</v>
      </c>
    </row>
    <row r="21106" customFormat="false" ht="15" hidden="false" customHeight="false" outlineLevel="0" collapsed="false">
      <c r="A21106" s="3" t="s">
        <v>334</v>
      </c>
      <c r="G21106" s="16" t="n">
        <f aca="false">MIN(G21100,Assumptions!$L$64*Assumptions!$C$64)</f>
        <v>0</v>
      </c>
      <c r="H21106" s="16" t="n">
        <f aca="false">MIN(H21100,Assumptions!$L$64*Assumptions!$C$64)</f>
        <v>0</v>
      </c>
      <c r="I21106" s="16" t="n">
        <f aca="false">MIN(I21100,Assumptions!$L$64*Assumptions!$C$64)</f>
        <v>0</v>
      </c>
      <c r="J21106" s="16" t="n">
        <f aca="false">MIN(J21100,Assumptions!$L$64*Assumptions!$C$64)</f>
        <v>0</v>
      </c>
      <c r="K21106" s="16" t="n">
        <f aca="false">MIN(K21100,Assumptions!$L$64*Assumptions!$C$64)</f>
        <v>0</v>
      </c>
    </row>
    <row r="21107" customFormat="false" ht="15" hidden="false" customHeight="false" outlineLevel="0" collapsed="false">
      <c r="A21107" s="3" t="s">
        <v>335</v>
      </c>
      <c r="G21107" s="16" t="n">
        <f aca="false">IF(AND(Assumptions!$P$64=1,G20973&lt;Assumptions!$K$64),MIN(MAX(0,-G21189),MAX(0,Assumptions!$D$64-G21100)),0)</f>
        <v>0</v>
      </c>
      <c r="H21107" s="16" t="n">
        <f aca="false">IF(AND(Assumptions!$P$64=1,OR(H20973&lt;Assumptions!$K$64,G21326=1)),MIN(MAX(0,-H21189),MAX(0,Assumptions!$D$64-H21100)),0)</f>
        <v>0</v>
      </c>
      <c r="I21107" s="16" t="n">
        <f aca="false">IF(AND(Assumptions!$P$64=1,OR(I20973&lt;Assumptions!$K$64,H21326=1)),MIN(MAX(0,-I21189),MAX(0,Assumptions!$D$64-I21100)),0)</f>
        <v>0</v>
      </c>
      <c r="J21107" s="16" t="n">
        <f aca="false">IF(AND(Assumptions!$P$64=1,OR(J20973&lt;Assumptions!$K$64,I21326=1)),MIN(MAX(0,-J21189),MAX(0,Assumptions!$D$64-J21100)),0)</f>
        <v>0</v>
      </c>
      <c r="K21107" s="16" t="n">
        <f aca="false">IF(AND(Assumptions!$P$64=1,OR(K20973&lt;Assumptions!$K$64,J21326=1)),MIN(MAX(0,-K21189),MAX(0,Assumptions!$D$64-K21100)),0)</f>
        <v>0</v>
      </c>
    </row>
    <row r="21108" customFormat="false" ht="15" hidden="false" customHeight="false" outlineLevel="0" collapsed="false">
      <c r="A21108" s="3" t="s">
        <v>336</v>
      </c>
      <c r="G21108" s="16" t="n">
        <f aca="false">G21101*MIN(G21100-G21106+G21105,MAX(0,G21191-Assumptions!$C$12*G21007-G21017-G21030-G21043-G21056-G21069-G21082-G21095))</f>
        <v>0</v>
      </c>
      <c r="H21108" s="16" t="n">
        <f aca="false">H21101*MIN(H21100-H21106+H21105,MAX(0,H21191-Assumptions!$C$12*H21007-H21017-H21030-H21043-H21056-H21069-H21082-H21095))</f>
        <v>0</v>
      </c>
      <c r="I21108" s="16" t="n">
        <f aca="false">I21101*MIN(I21100-I21106+I21105,MAX(0,I21191-Assumptions!$C$12*I21007-I21017-I21030-I21043-I21056-I21069-I21082-I21095))</f>
        <v>0</v>
      </c>
      <c r="J21108" s="16" t="n">
        <f aca="false">J21101*MIN(J21100-J21106+J21105,MAX(0,J21191-Assumptions!$C$12*J21007-J21017-J21030-J21043-J21056-J21069-J21082-J21095))</f>
        <v>0</v>
      </c>
      <c r="K21108" s="16" t="n">
        <f aca="false">K21101*MIN(K21100-K21106+K21105,MAX(0,K21191-Assumptions!$C$12*K21007-K21017-K21030-K21043-K21056-K21069-K21082-K21095))</f>
        <v>0</v>
      </c>
    </row>
    <row r="21109" customFormat="false" ht="15" hidden="false" customHeight="false" outlineLevel="0" collapsed="false">
      <c r="A21109" s="3" t="s">
        <v>337</v>
      </c>
      <c r="G21109" s="16" t="n">
        <f aca="false">Assumptions!$N$64*MIN(G21100+G21107+G21105-G21106-G21108,MAX(0,G21195-G21018-G21031-G21044-G21057-G21070-G21083-G21096))</f>
        <v>0</v>
      </c>
      <c r="H21109" s="16" t="n">
        <f aca="false">Assumptions!$N$64*MIN(H21100+H21107+H21105-H21106-H21108,MAX(0,H21195-H21018-H21031-H21044-H21057-H21070-H21083-H21096))</f>
        <v>0</v>
      </c>
      <c r="I21109" s="16" t="n">
        <f aca="false">Assumptions!$N$64*MIN(I21100+I21107+I21105-I21106-I21108,MAX(0,I21195-I21018-I21031-I21044-I21057-I21070-I21083-I21096))</f>
        <v>0</v>
      </c>
      <c r="J21109" s="16" t="n">
        <f aca="false">Assumptions!$N$64*MIN(J21100+J21107+J21105-J21106-J21108,MAX(0,J21195-J21018-J21031-J21044-J21057-J21070-J21083-J21096))</f>
        <v>0</v>
      </c>
      <c r="K21109" s="16" t="n">
        <f aca="false">Assumptions!$N$64*MIN(K21100+K21107+K21105-K21106-K21108,MAX(0,K21195-K21018-K21031-K21044-K21057-K21070-K21083-K21096))</f>
        <v>0</v>
      </c>
    </row>
    <row r="21110" customFormat="false" ht="15" hidden="false" customHeight="false" outlineLevel="0" collapsed="false">
      <c r="A21110" s="3" t="s">
        <v>338</v>
      </c>
      <c r="G21110" s="16" t="n">
        <f aca="false">G21101*(1-G21007)*(G21100-G21106+G21105-G21108)</f>
        <v>0</v>
      </c>
      <c r="H21110" s="16" t="n">
        <f aca="false">H21101*(1-H21007)*(H21100-H21106+H21105-H21108)</f>
        <v>0</v>
      </c>
      <c r="I21110" s="16" t="n">
        <f aca="false">I21101*(1-I21007)*(I21100-I21106+I21105-I21108)</f>
        <v>0</v>
      </c>
      <c r="J21110" s="16" t="n">
        <f aca="false">J21101*(1-J21007)*(J21100-J21106+J21105-J21108)</f>
        <v>350</v>
      </c>
      <c r="K21110" s="16" t="n">
        <f aca="false">K21101*(1-K21007)*(K21100-K21106+K21105-K21108)</f>
        <v>0</v>
      </c>
    </row>
    <row r="21111" customFormat="false" ht="15" hidden="false" customHeight="false" outlineLevel="0" collapsed="false">
      <c r="A21111" s="2" t="s">
        <v>339</v>
      </c>
      <c r="F21111" s="28" t="n">
        <f aca="false">Assumptions!$C$64</f>
        <v>350</v>
      </c>
      <c r="G21111" s="17" t="n">
        <f aca="false">G21100+G21107+G21105-G21106-G21108-G21109</f>
        <v>350</v>
      </c>
      <c r="H21111" s="17" t="n">
        <f aca="false">H21100+H21107+H21105-H21106-H21108-H21109</f>
        <v>350</v>
      </c>
      <c r="I21111" s="17" t="n">
        <f aca="false">I21100+I21107+I21105-I21106-I21108-I21109</f>
        <v>350</v>
      </c>
      <c r="J21111" s="17" t="n">
        <f aca="false">J21100+J21107+J21105-J21106-J21108-J21109</f>
        <v>350</v>
      </c>
      <c r="K21111" s="17" t="n">
        <f aca="false">K21100+K21107+K21105-K21106-K21108-K21109</f>
        <v>350</v>
      </c>
    </row>
    <row r="21112" customFormat="false" ht="15" hidden="false" customHeight="false" outlineLevel="0" collapsed="false">
      <c r="A21112" s="24" t="s">
        <v>347</v>
      </c>
      <c r="B21112" s="25"/>
      <c r="C21112" s="25"/>
      <c r="D21112" s="25"/>
      <c r="E21112" s="25"/>
      <c r="F21112" s="25"/>
      <c r="G21112" s="25"/>
      <c r="H21112" s="25"/>
      <c r="I21112" s="25"/>
      <c r="J21112" s="25"/>
      <c r="K21112" s="25"/>
    </row>
    <row r="21113" customFormat="false" ht="15" hidden="false" customHeight="false" outlineLevel="0" collapsed="false">
      <c r="A21113" s="3" t="s">
        <v>329</v>
      </c>
      <c r="G21113" s="16" t="n">
        <f aca="false">F21124</f>
        <v>300</v>
      </c>
      <c r="H21113" s="16" t="n">
        <f aca="false">G21124</f>
        <v>300</v>
      </c>
      <c r="I21113" s="16" t="n">
        <f aca="false">H21124</f>
        <v>300</v>
      </c>
      <c r="J21113" s="16" t="n">
        <f aca="false">I21124</f>
        <v>300</v>
      </c>
      <c r="K21113" s="16" t="n">
        <f aca="false">J21124</f>
        <v>300</v>
      </c>
    </row>
    <row r="21114" customFormat="false" ht="15" hidden="false" customHeight="false" outlineLevel="0" collapsed="false">
      <c r="A21114" s="3" t="s">
        <v>330</v>
      </c>
      <c r="G21114" s="21" t="n">
        <f aca="false">IF(G20973=Assumptions!$K$65,1,0)</f>
        <v>0</v>
      </c>
      <c r="H21114" s="21" t="n">
        <f aca="false">IF(H20973=Assumptions!$K$65,1,0)</f>
        <v>0</v>
      </c>
      <c r="I21114" s="21" t="n">
        <f aca="false">IF(I20973=Assumptions!$K$65,1,0)</f>
        <v>0</v>
      </c>
      <c r="J21114" s="21" t="n">
        <f aca="false">IF(J20973=Assumptions!$K$65,1,0)</f>
        <v>0</v>
      </c>
      <c r="K21114" s="21" t="n">
        <f aca="false">IF(K20973=Assumptions!$K$65,1,0)</f>
        <v>1</v>
      </c>
    </row>
    <row r="21116" customFormat="false" ht="15" hidden="false" customHeight="false" outlineLevel="0" collapsed="false">
      <c r="A21116" s="3" t="s">
        <v>331</v>
      </c>
      <c r="G21116" s="31" t="n">
        <f aca="false">IF(Assumptions!$I$65=1,MAX(G20999,Assumptions!$G$65)+Assumptions!$F$65+$C$21000,Assumptions!$E$65)</f>
        <v>0.06125</v>
      </c>
      <c r="H21116" s="31" t="n">
        <f aca="false">IF(G21327=1,$C$21001,IF(Assumptions!$I$65=1,MAX(H20999,Assumptions!$G$65)+Assumptions!$F$65+$C$21000,Assumptions!$E$65))</f>
        <v>0.06125</v>
      </c>
      <c r="I21116" s="31" t="n">
        <f aca="false">IF(H21327=1,$C$21001,IF(Assumptions!$I$65=1,MAX(I20999,Assumptions!$G$65)+Assumptions!$F$65+$C$21000,Assumptions!$E$65))</f>
        <v>0.06125</v>
      </c>
      <c r="J21116" s="31" t="n">
        <f aca="false">IF(I21327=1,$C$21001,IF(Assumptions!$I$65=1,MAX(J20999,Assumptions!$G$65)+Assumptions!$F$65+$C$21000,Assumptions!$E$65))</f>
        <v>0.06125</v>
      </c>
      <c r="K21116" s="31" t="n">
        <f aca="false">IF(J21327=1,$C$21001,IF(Assumptions!$I$65=1,MAX(K20999,Assumptions!$G$65)+Assumptions!$F$65+$C$21000,Assumptions!$E$65))</f>
        <v>0.06125</v>
      </c>
    </row>
    <row r="21117" customFormat="false" ht="15" hidden="false" customHeight="false" outlineLevel="0" collapsed="false">
      <c r="A21117" s="3" t="s">
        <v>332</v>
      </c>
      <c r="G21117" s="16" t="n">
        <f aca="false">G21113*G21116</f>
        <v>18.375</v>
      </c>
      <c r="H21117" s="16" t="n">
        <f aca="false">H21113*H21116</f>
        <v>18.375</v>
      </c>
      <c r="I21117" s="16" t="n">
        <f aca="false">I21113*I21116</f>
        <v>18.375</v>
      </c>
      <c r="J21117" s="16" t="n">
        <f aca="false">J21113*J21116</f>
        <v>18.375</v>
      </c>
      <c r="K21117" s="16" t="n">
        <f aca="false">K21113*K21116</f>
        <v>18.375</v>
      </c>
    </row>
    <row r="21118" customFormat="false" ht="15" hidden="false" customHeight="false" outlineLevel="0" collapsed="false">
      <c r="A21118" s="3" t="s">
        <v>333</v>
      </c>
      <c r="G21118" s="16" t="n">
        <f aca="false">G21113*Assumptions!$H$65</f>
        <v>0</v>
      </c>
      <c r="H21118" s="16" t="n">
        <f aca="false">H21113*Assumptions!$H$65</f>
        <v>0</v>
      </c>
      <c r="I21118" s="16" t="n">
        <f aca="false">I21113*Assumptions!$H$65</f>
        <v>0</v>
      </c>
      <c r="J21118" s="16" t="n">
        <f aca="false">J21113*Assumptions!$H$65</f>
        <v>0</v>
      </c>
      <c r="K21118" s="16" t="n">
        <f aca="false">K21113*Assumptions!$H$65</f>
        <v>0</v>
      </c>
    </row>
    <row r="21119" customFormat="false" ht="15" hidden="false" customHeight="false" outlineLevel="0" collapsed="false">
      <c r="A21119" s="3" t="s">
        <v>334</v>
      </c>
      <c r="G21119" s="16" t="n">
        <f aca="false">MIN(G21113,Assumptions!$L$65*Assumptions!$C$65)</f>
        <v>0</v>
      </c>
      <c r="H21119" s="16" t="n">
        <f aca="false">MIN(H21113,Assumptions!$L$65*Assumptions!$C$65)</f>
        <v>0</v>
      </c>
      <c r="I21119" s="16" t="n">
        <f aca="false">MIN(I21113,Assumptions!$L$65*Assumptions!$C$65)</f>
        <v>0</v>
      </c>
      <c r="J21119" s="16" t="n">
        <f aca="false">MIN(J21113,Assumptions!$L$65*Assumptions!$C$65)</f>
        <v>0</v>
      </c>
      <c r="K21119" s="16" t="n">
        <f aca="false">MIN(K21113,Assumptions!$L$65*Assumptions!$C$65)</f>
        <v>0</v>
      </c>
    </row>
    <row r="21120" customFormat="false" ht="15" hidden="false" customHeight="false" outlineLevel="0" collapsed="false">
      <c r="A21120" s="3" t="s">
        <v>335</v>
      </c>
      <c r="G21120" s="16" t="n">
        <f aca="false">IF(AND(Assumptions!$P$65=1,G20973&lt;Assumptions!$K$65),MIN(MAX(0,-G21189),MAX(0,Assumptions!$D$65-G21113)),0)</f>
        <v>0</v>
      </c>
      <c r="H21120" s="16" t="n">
        <f aca="false">IF(AND(Assumptions!$P$65=1,OR(H20973&lt;Assumptions!$K$65,G21327=1)),MIN(MAX(0,-H21189),MAX(0,Assumptions!$D$65-H21113)),0)</f>
        <v>0</v>
      </c>
      <c r="I21120" s="16" t="n">
        <f aca="false">IF(AND(Assumptions!$P$65=1,OR(I20973&lt;Assumptions!$K$65,H21327=1)),MIN(MAX(0,-I21189),MAX(0,Assumptions!$D$65-I21113)),0)</f>
        <v>0</v>
      </c>
      <c r="J21120" s="16" t="n">
        <f aca="false">IF(AND(Assumptions!$P$65=1,OR(J20973&lt;Assumptions!$K$65,I21327=1)),MIN(MAX(0,-J21189),MAX(0,Assumptions!$D$65-J21113)),0)</f>
        <v>0</v>
      </c>
      <c r="K21120" s="16" t="n">
        <f aca="false">IF(AND(Assumptions!$P$65=1,OR(K20973&lt;Assumptions!$K$65,J21327=1)),MIN(MAX(0,-K21189),MAX(0,Assumptions!$D$65-K21113)),0)</f>
        <v>0</v>
      </c>
    </row>
    <row r="21121" customFormat="false" ht="15" hidden="false" customHeight="false" outlineLevel="0" collapsed="false">
      <c r="A21121" s="3" t="s">
        <v>336</v>
      </c>
      <c r="G21121" s="16" t="n">
        <f aca="false">G21114*MIN(G21113-G21119+G21118,MAX(0,G21191-Assumptions!$C$12*G21007-G21017-G21030-G21043-G21056-G21069-G21082-G21095-G21108))</f>
        <v>0</v>
      </c>
      <c r="H21121" s="16" t="n">
        <f aca="false">H21114*MIN(H21113-H21119+H21118,MAX(0,H21191-Assumptions!$C$12*H21007-H21017-H21030-H21043-H21056-H21069-H21082-H21095-H21108))</f>
        <v>0</v>
      </c>
      <c r="I21121" s="16" t="n">
        <f aca="false">I21114*MIN(I21113-I21119+I21118,MAX(0,I21191-Assumptions!$C$12*I21007-I21017-I21030-I21043-I21056-I21069-I21082-I21095-I21108))</f>
        <v>0</v>
      </c>
      <c r="J21121" s="16" t="n">
        <f aca="false">J21114*MIN(J21113-J21119+J21118,MAX(0,J21191-Assumptions!$C$12*J21007-J21017-J21030-J21043-J21056-J21069-J21082-J21095-J21108))</f>
        <v>0</v>
      </c>
      <c r="K21121" s="16" t="n">
        <f aca="false">K21114*MIN(K21113-K21119+K21118,MAX(0,K21191-Assumptions!$C$12*K21007-K21017-K21030-K21043-K21056-K21069-K21082-K21095-K21108))</f>
        <v>0</v>
      </c>
    </row>
    <row r="21122" customFormat="false" ht="15" hidden="false" customHeight="false" outlineLevel="0" collapsed="false">
      <c r="A21122" s="3" t="s">
        <v>337</v>
      </c>
      <c r="G21122" s="16" t="n">
        <f aca="false">Assumptions!$N$65*MIN(G21113+G21120+G21118-G21119-G21121,MAX(0,G21195-G21018-G21031-G21044-G21057-G21070-G21083-G21096-G21109))</f>
        <v>0</v>
      </c>
      <c r="H21122" s="16" t="n">
        <f aca="false">Assumptions!$N$65*MIN(H21113+H21120+H21118-H21119-H21121,MAX(0,H21195-H21018-H21031-H21044-H21057-H21070-H21083-H21096-H21109))</f>
        <v>0</v>
      </c>
      <c r="I21122" s="16" t="n">
        <f aca="false">Assumptions!$N$65*MIN(I21113+I21120+I21118-I21119-I21121,MAX(0,I21195-I21018-I21031-I21044-I21057-I21070-I21083-I21096-I21109))</f>
        <v>0</v>
      </c>
      <c r="J21122" s="16" t="n">
        <f aca="false">Assumptions!$N$65*MIN(J21113+J21120+J21118-J21119-J21121,MAX(0,J21195-J21018-J21031-J21044-J21057-J21070-J21083-J21096-J21109))</f>
        <v>0</v>
      </c>
      <c r="K21122" s="16" t="n">
        <f aca="false">Assumptions!$N$65*MIN(K21113+K21120+K21118-K21119-K21121,MAX(0,K21195-K21018-K21031-K21044-K21057-K21070-K21083-K21096-K21109))</f>
        <v>0</v>
      </c>
    </row>
    <row r="21123" customFormat="false" ht="15" hidden="false" customHeight="false" outlineLevel="0" collapsed="false">
      <c r="A21123" s="3" t="s">
        <v>338</v>
      </c>
      <c r="G21123" s="16" t="n">
        <f aca="false">G21114*(1-G21007)*(G21113-G21119+G21118-G21121)</f>
        <v>0</v>
      </c>
      <c r="H21123" s="16" t="n">
        <f aca="false">H21114*(1-H21007)*(H21113-H21119+H21118-H21121)</f>
        <v>0</v>
      </c>
      <c r="I21123" s="16" t="n">
        <f aca="false">I21114*(1-I21007)*(I21113-I21119+I21118-I21121)</f>
        <v>0</v>
      </c>
      <c r="J21123" s="16" t="n">
        <f aca="false">J21114*(1-J21007)*(J21113-J21119+J21118-J21121)</f>
        <v>0</v>
      </c>
      <c r="K21123" s="16" t="n">
        <f aca="false">K21114*(1-K21007)*(K21113-K21119+K21118-K21121)</f>
        <v>300</v>
      </c>
    </row>
    <row r="21124" customFormat="false" ht="15" hidden="false" customHeight="false" outlineLevel="0" collapsed="false">
      <c r="A21124" s="2" t="s">
        <v>339</v>
      </c>
      <c r="F21124" s="28" t="n">
        <f aca="false">Assumptions!$C$65</f>
        <v>300</v>
      </c>
      <c r="G21124" s="17" t="n">
        <f aca="false">G21113+G21120+G21118-G21119-G21121-G21122</f>
        <v>300</v>
      </c>
      <c r="H21124" s="17" t="n">
        <f aca="false">H21113+H21120+H21118-H21119-H21121-H21122</f>
        <v>300</v>
      </c>
      <c r="I21124" s="17" t="n">
        <f aca="false">I21113+I21120+I21118-I21119-I21121-I21122</f>
        <v>300</v>
      </c>
      <c r="J21124" s="17" t="n">
        <f aca="false">J21113+J21120+J21118-J21119-J21121-J21122</f>
        <v>300</v>
      </c>
      <c r="K21124" s="17" t="n">
        <f aca="false">K21113+K21120+K21118-K21119-K21121-K21122</f>
        <v>300</v>
      </c>
    </row>
    <row r="21125" customFormat="false" ht="15" hidden="false" customHeight="false" outlineLevel="0" collapsed="false">
      <c r="A21125" s="24" t="s">
        <v>348</v>
      </c>
      <c r="B21125" s="25"/>
      <c r="C21125" s="25"/>
      <c r="D21125" s="25"/>
      <c r="E21125" s="25"/>
      <c r="F21125" s="25"/>
      <c r="G21125" s="25"/>
      <c r="H21125" s="25"/>
      <c r="I21125" s="25"/>
      <c r="J21125" s="25"/>
      <c r="K21125" s="25"/>
    </row>
    <row r="21126" customFormat="false" ht="15" hidden="false" customHeight="false" outlineLevel="0" collapsed="false">
      <c r="A21126" s="3" t="s">
        <v>329</v>
      </c>
      <c r="G21126" s="16" t="n">
        <f aca="false">F21137</f>
        <v>78.61</v>
      </c>
      <c r="H21126" s="16" t="n">
        <f aca="false">G21137</f>
        <v>78.61</v>
      </c>
      <c r="I21126" s="16" t="n">
        <f aca="false">H21137</f>
        <v>78.61</v>
      </c>
      <c r="J21126" s="16" t="n">
        <f aca="false">I21137</f>
        <v>78.61</v>
      </c>
      <c r="K21126" s="16" t="n">
        <f aca="false">J21137</f>
        <v>78.61</v>
      </c>
    </row>
    <row r="21127" customFormat="false" ht="15" hidden="false" customHeight="false" outlineLevel="0" collapsed="false">
      <c r="A21127" s="3" t="s">
        <v>330</v>
      </c>
      <c r="G21127" s="21" t="n">
        <f aca="false">IF(G20973=Assumptions!$K$66,1,0)</f>
        <v>0</v>
      </c>
      <c r="H21127" s="21" t="n">
        <f aca="false">IF(H20973=Assumptions!$K$66,1,0)</f>
        <v>0</v>
      </c>
      <c r="I21127" s="21" t="n">
        <f aca="false">IF(I20973=Assumptions!$K$66,1,0)</f>
        <v>0</v>
      </c>
      <c r="J21127" s="21" t="n">
        <f aca="false">IF(J20973=Assumptions!$K$66,1,0)</f>
        <v>0</v>
      </c>
      <c r="K21127" s="21" t="n">
        <f aca="false">IF(K20973=Assumptions!$K$66,1,0)</f>
        <v>0</v>
      </c>
    </row>
    <row r="21129" customFormat="false" ht="15" hidden="false" customHeight="false" outlineLevel="0" collapsed="false">
      <c r="A21129" s="3" t="s">
        <v>331</v>
      </c>
      <c r="G21129" s="31" t="n">
        <f aca="false">IF(Assumptions!$I$66=1,MAX(G20999,Assumptions!$G$66)+Assumptions!$F$66+$C$21000,Assumptions!$E$66)</f>
        <v>0.0841</v>
      </c>
      <c r="H21129" s="31" t="n">
        <f aca="false">IF(G21328=1,$C$21001,IF(Assumptions!$I$66=1,MAX(H20999,Assumptions!$G$66)+Assumptions!$F$66+$C$21000,Assumptions!$E$66))</f>
        <v>0.0826</v>
      </c>
      <c r="I21129" s="31" t="n">
        <f aca="false">IF(H21328=1,$C$21001,IF(Assumptions!$I$66=1,MAX(I20999,Assumptions!$G$66)+Assumptions!$F$66+$C$21000,Assumptions!$E$66))</f>
        <v>0.0801</v>
      </c>
      <c r="J21129" s="31" t="n">
        <f aca="false">IF(I21328=1,$C$21001,IF(Assumptions!$I$66=1,MAX(J20999,Assumptions!$G$66)+Assumptions!$F$66+$C$21000,Assumptions!$E$66))</f>
        <v>0.0801</v>
      </c>
      <c r="K21129" s="31" t="n">
        <f aca="false">IF(J21328=1,$C$21001,IF(Assumptions!$I$66=1,MAX(K20999,Assumptions!$G$66)+Assumptions!$F$66+$C$21000,Assumptions!$E$66))</f>
        <v>0.0801</v>
      </c>
    </row>
    <row r="21130" customFormat="false" ht="15" hidden="false" customHeight="false" outlineLevel="0" collapsed="false">
      <c r="A21130" s="3" t="s">
        <v>332</v>
      </c>
      <c r="G21130" s="16" t="n">
        <f aca="false">G21126*G21129</f>
        <v>6.611101</v>
      </c>
      <c r="H21130" s="16" t="n">
        <f aca="false">H21126*H21129</f>
        <v>6.493186</v>
      </c>
      <c r="I21130" s="16" t="n">
        <f aca="false">I21126*I21129</f>
        <v>6.296661</v>
      </c>
      <c r="J21130" s="16" t="n">
        <f aca="false">J21126*J21129</f>
        <v>6.296661</v>
      </c>
      <c r="K21130" s="16" t="n">
        <f aca="false">K21126*K21129</f>
        <v>6.296661</v>
      </c>
    </row>
    <row r="21131" customFormat="false" ht="15" hidden="false" customHeight="false" outlineLevel="0" collapsed="false">
      <c r="A21131" s="3" t="s">
        <v>333</v>
      </c>
      <c r="G21131" s="16" t="n">
        <f aca="false">G21126*Assumptions!$H$66</f>
        <v>0</v>
      </c>
      <c r="H21131" s="16" t="n">
        <f aca="false">H21126*Assumptions!$H$66</f>
        <v>0</v>
      </c>
      <c r="I21131" s="16" t="n">
        <f aca="false">I21126*Assumptions!$H$66</f>
        <v>0</v>
      </c>
      <c r="J21131" s="16" t="n">
        <f aca="false">J21126*Assumptions!$H$66</f>
        <v>0</v>
      </c>
      <c r="K21131" s="16" t="n">
        <f aca="false">K21126*Assumptions!$H$66</f>
        <v>0</v>
      </c>
    </row>
    <row r="21132" customFormat="false" ht="15" hidden="false" customHeight="false" outlineLevel="0" collapsed="false">
      <c r="A21132" s="3" t="s">
        <v>334</v>
      </c>
      <c r="G21132" s="16" t="n">
        <f aca="false">MIN(G21126,Assumptions!$L$66*Assumptions!$C$66)</f>
        <v>0</v>
      </c>
      <c r="H21132" s="16" t="n">
        <f aca="false">MIN(H21126,Assumptions!$L$66*Assumptions!$C$66)</f>
        <v>0</v>
      </c>
      <c r="I21132" s="16" t="n">
        <f aca="false">MIN(I21126,Assumptions!$L$66*Assumptions!$C$66)</f>
        <v>0</v>
      </c>
      <c r="J21132" s="16" t="n">
        <f aca="false">MIN(J21126,Assumptions!$L$66*Assumptions!$C$66)</f>
        <v>0</v>
      </c>
      <c r="K21132" s="16" t="n">
        <f aca="false">MIN(K21126,Assumptions!$L$66*Assumptions!$C$66)</f>
        <v>0</v>
      </c>
    </row>
    <row r="21133" customFormat="false" ht="15" hidden="false" customHeight="false" outlineLevel="0" collapsed="false">
      <c r="A21133" s="3" t="s">
        <v>335</v>
      </c>
      <c r="G21133" s="16" t="n">
        <f aca="false">IF(AND(Assumptions!$P$66=1,G20973&lt;Assumptions!$K$66),MIN(MAX(0,-G21189),MAX(0,Assumptions!$D$66-G21126)),0)</f>
        <v>0</v>
      </c>
      <c r="H21133" s="16" t="n">
        <f aca="false">IF(AND(Assumptions!$P$66=1,OR(H20973&lt;Assumptions!$K$66,G21328=1)),MIN(MAX(0,-H21189),MAX(0,Assumptions!$D$66-H21126)),0)</f>
        <v>0</v>
      </c>
      <c r="I21133" s="16" t="n">
        <f aca="false">IF(AND(Assumptions!$P$66=1,OR(I20973&lt;Assumptions!$K$66,H21328=1)),MIN(MAX(0,-I21189),MAX(0,Assumptions!$D$66-I21126)),0)</f>
        <v>0</v>
      </c>
      <c r="J21133" s="16" t="n">
        <f aca="false">IF(AND(Assumptions!$P$66=1,OR(J20973&lt;Assumptions!$K$66,I21328=1)),MIN(MAX(0,-J21189),MAX(0,Assumptions!$D$66-J21126)),0)</f>
        <v>0</v>
      </c>
      <c r="K21133" s="16" t="n">
        <f aca="false">IF(AND(Assumptions!$P$66=1,OR(K20973&lt;Assumptions!$K$66,J21328=1)),MIN(MAX(0,-K21189),MAX(0,Assumptions!$D$66-K21126)),0)</f>
        <v>0</v>
      </c>
    </row>
    <row r="21134" customFormat="false" ht="15" hidden="false" customHeight="false" outlineLevel="0" collapsed="false">
      <c r="A21134" s="3" t="s">
        <v>336</v>
      </c>
      <c r="G21134" s="16" t="n">
        <f aca="false">G21127*MIN(G21126-G21132+G21131,MAX(0,G21191-Assumptions!$C$12*G21007-G21017-G21030-G21043-G21056-G21069-G21082-G21095-G21108-G21121))</f>
        <v>0</v>
      </c>
      <c r="H21134" s="16" t="n">
        <f aca="false">H21127*MIN(H21126-H21132+H21131,MAX(0,H21191-Assumptions!$C$12*H21007-H21017-H21030-H21043-H21056-H21069-H21082-H21095-H21108-H21121))</f>
        <v>0</v>
      </c>
      <c r="I21134" s="16" t="n">
        <f aca="false">I21127*MIN(I21126-I21132+I21131,MAX(0,I21191-Assumptions!$C$12*I21007-I21017-I21030-I21043-I21056-I21069-I21082-I21095-I21108-I21121))</f>
        <v>0</v>
      </c>
      <c r="J21134" s="16" t="n">
        <f aca="false">J21127*MIN(J21126-J21132+J21131,MAX(0,J21191-Assumptions!$C$12*J21007-J21017-J21030-J21043-J21056-J21069-J21082-J21095-J21108-J21121))</f>
        <v>0</v>
      </c>
      <c r="K21134" s="16" t="n">
        <f aca="false">K21127*MIN(K21126-K21132+K21131,MAX(0,K21191-Assumptions!$C$12*K21007-K21017-K21030-K21043-K21056-K21069-K21082-K21095-K21108-K21121))</f>
        <v>0</v>
      </c>
    </row>
    <row r="21135" customFormat="false" ht="15" hidden="false" customHeight="false" outlineLevel="0" collapsed="false">
      <c r="A21135" s="3" t="s">
        <v>337</v>
      </c>
      <c r="G21135" s="16" t="n">
        <f aca="false">Assumptions!$N$66*MIN(G21126+G21133+G21131-G21132-G21134,MAX(0,G21195-G21018-G21031-G21044-G21057-G21070-G21083-G21096-G21109-G21122))</f>
        <v>0</v>
      </c>
      <c r="H21135" s="16" t="n">
        <f aca="false">Assumptions!$N$66*MIN(H21126+H21133+H21131-H21132-H21134,MAX(0,H21195-H21018-H21031-H21044-H21057-H21070-H21083-H21096-H21109-H21122))</f>
        <v>0</v>
      </c>
      <c r="I21135" s="16" t="n">
        <f aca="false">Assumptions!$N$66*MIN(I21126+I21133+I21131-I21132-I21134,MAX(0,I21195-I21018-I21031-I21044-I21057-I21070-I21083-I21096-I21109-I21122))</f>
        <v>0</v>
      </c>
      <c r="J21135" s="16" t="n">
        <f aca="false">Assumptions!$N$66*MIN(J21126+J21133+J21131-J21132-J21134,MAX(0,J21195-J21018-J21031-J21044-J21057-J21070-J21083-J21096-J21109-J21122))</f>
        <v>0</v>
      </c>
      <c r="K21135" s="16" t="n">
        <f aca="false">Assumptions!$N$66*MIN(K21126+K21133+K21131-K21132-K21134,MAX(0,K21195-K21018-K21031-K21044-K21057-K21070-K21083-K21096-K21109-K21122))</f>
        <v>0</v>
      </c>
    </row>
    <row r="21136" customFormat="false" ht="15" hidden="false" customHeight="false" outlineLevel="0" collapsed="false">
      <c r="A21136" s="3" t="s">
        <v>338</v>
      </c>
      <c r="G21136" s="16" t="n">
        <f aca="false">G21127*(1-G21007)*(G21126-G21132+G21131-G21134)</f>
        <v>0</v>
      </c>
      <c r="H21136" s="16" t="n">
        <f aca="false">H21127*(1-H21007)*(H21126-H21132+H21131-H21134)</f>
        <v>0</v>
      </c>
      <c r="I21136" s="16" t="n">
        <f aca="false">I21127*(1-I21007)*(I21126-I21132+I21131-I21134)</f>
        <v>0</v>
      </c>
      <c r="J21136" s="16" t="n">
        <f aca="false">J21127*(1-J21007)*(J21126-J21132+J21131-J21134)</f>
        <v>0</v>
      </c>
      <c r="K21136" s="16" t="n">
        <f aca="false">K21127*(1-K21007)*(K21126-K21132+K21131-K21134)</f>
        <v>0</v>
      </c>
    </row>
    <row r="21137" customFormat="false" ht="15" hidden="false" customHeight="false" outlineLevel="0" collapsed="false">
      <c r="A21137" s="2" t="s">
        <v>339</v>
      </c>
      <c r="F21137" s="28" t="n">
        <f aca="false">Assumptions!$C$66</f>
        <v>78.61</v>
      </c>
      <c r="G21137" s="17" t="n">
        <f aca="false">G21126+G21133+G21131-G21132-G21134-G21135</f>
        <v>78.61</v>
      </c>
      <c r="H21137" s="17" t="n">
        <f aca="false">H21126+H21133+H21131-H21132-H21134-H21135</f>
        <v>78.61</v>
      </c>
      <c r="I21137" s="17" t="n">
        <f aca="false">I21126+I21133+I21131-I21132-I21134-I21135</f>
        <v>78.61</v>
      </c>
      <c r="J21137" s="17" t="n">
        <f aca="false">J21126+J21133+J21131-J21132-J21134-J21135</f>
        <v>78.61</v>
      </c>
      <c r="K21137" s="17" t="n">
        <f aca="false">K21126+K21133+K21131-K21132-K21134-K21135</f>
        <v>78.61</v>
      </c>
    </row>
    <row r="21138" customFormat="false" ht="15" hidden="false" customHeight="false" outlineLevel="0" collapsed="false">
      <c r="A21138" s="24" t="s">
        <v>349</v>
      </c>
      <c r="B21138" s="25"/>
      <c r="C21138" s="25"/>
      <c r="D21138" s="25"/>
      <c r="E21138" s="25"/>
      <c r="F21138" s="25"/>
      <c r="G21138" s="25"/>
      <c r="H21138" s="25"/>
      <c r="I21138" s="25"/>
      <c r="J21138" s="25"/>
      <c r="K21138" s="25"/>
    </row>
    <row r="21139" customFormat="false" ht="15" hidden="false" customHeight="false" outlineLevel="0" collapsed="false">
      <c r="A21139" s="2" t="s">
        <v>350</v>
      </c>
      <c r="F21139" s="17" t="n">
        <f aca="false">F21020+F21033+F21046+F21059+F21072+F21085+F21098+F21111+F21124+F21137</f>
        <v>2625.934</v>
      </c>
      <c r="G21139" s="17" t="n">
        <f aca="false">G21020+G21033+G21046+G21059+G21072+G21085+G21098+G21111+G21124+G21137</f>
        <v>2621.934</v>
      </c>
      <c r="H21139" s="17" t="n">
        <f aca="false">H21020+H21033+H21046+H21059+H21072+H21085+H21098+H21111+H21124+H21137</f>
        <v>2557.5941068</v>
      </c>
      <c r="I21139" s="17" t="n">
        <f aca="false">I21020+I21033+I21046+I21059+I21072+I21085+I21098+I21111+I21124+I21137</f>
        <v>2553.5941068</v>
      </c>
      <c r="J21139" s="17" t="n">
        <f aca="false">J21020+J21033+J21046+J21059+J21072+J21085+J21098+J21111+J21124+J21137</f>
        <v>2549.5941068</v>
      </c>
      <c r="K21139" s="17" t="n">
        <f aca="false">K21020+K21033+K21046+K21059+K21072+K21085+K21098+K21111+K21124+K21137</f>
        <v>2545.5941068</v>
      </c>
    </row>
    <row r="21140" customFormat="false" ht="15" hidden="false" customHeight="false" outlineLevel="0" collapsed="false">
      <c r="A21140" s="3" t="s">
        <v>351</v>
      </c>
      <c r="G21140" s="16" t="n">
        <f aca="false">G21010*Assumptions!$C$57+G21023*Assumptions!$C$58+G21036*Assumptions!$C$59+G21049*Assumptions!$C$60+G21062*Assumptions!$C$61+G21075*Assumptions!$C$62+G21088*Assumptions!$C$63+G21101*Assumptions!$C$64+G21114*Assumptions!$C$65+G21127*Assumptions!$C$66</f>
        <v>0</v>
      </c>
      <c r="H21140" s="16" t="n">
        <f aca="false">H21010*Assumptions!$C$57+H21023*Assumptions!$C$58+H21036*Assumptions!$C$59+H21049*Assumptions!$C$60+H21062*Assumptions!$C$61+H21075*Assumptions!$C$62+H21088*Assumptions!$C$63+H21101*Assumptions!$C$64+H21114*Assumptions!$C$65+H21127*Assumptions!$C$66</f>
        <v>800</v>
      </c>
      <c r="I21140" s="16" t="n">
        <f aca="false">I21010*Assumptions!$C$57+I21023*Assumptions!$C$58+I21036*Assumptions!$C$59+I21049*Assumptions!$C$60+I21062*Assumptions!$C$61+I21075*Assumptions!$C$62+I21088*Assumptions!$C$63+I21101*Assumptions!$C$64+I21114*Assumptions!$C$65+I21127*Assumptions!$C$66</f>
        <v>550</v>
      </c>
      <c r="J21140" s="16" t="n">
        <f aca="false">J21010*Assumptions!$C$57+J21023*Assumptions!$C$58+J21036*Assumptions!$C$59+J21049*Assumptions!$C$60+J21062*Assumptions!$C$61+J21075*Assumptions!$C$62+J21088*Assumptions!$C$63+J21101*Assumptions!$C$64+J21114*Assumptions!$C$65+J21127*Assumptions!$C$66</f>
        <v>350</v>
      </c>
      <c r="K21140" s="16" t="n">
        <f aca="false">K21010*Assumptions!$C$57+K21023*Assumptions!$C$58+K21036*Assumptions!$C$59+K21049*Assumptions!$C$60+K21062*Assumptions!$C$61+K21075*Assumptions!$C$62+K21088*Assumptions!$C$63+K21101*Assumptions!$C$64+K21114*Assumptions!$C$65+K21127*Assumptions!$C$66</f>
        <v>700</v>
      </c>
    </row>
    <row r="21141" customFormat="false" ht="15" hidden="false" customHeight="false" outlineLevel="0" collapsed="false">
      <c r="A21141" s="24" t="s">
        <v>352</v>
      </c>
      <c r="B21141" s="25"/>
      <c r="C21141" s="25"/>
      <c r="D21141" s="25"/>
      <c r="E21141" s="25"/>
      <c r="F21141" s="25"/>
      <c r="G21141" s="25"/>
      <c r="H21141" s="25"/>
      <c r="I21141" s="25"/>
      <c r="J21141" s="25"/>
      <c r="K21141" s="25"/>
    </row>
    <row r="21142" customFormat="false" ht="15" hidden="false" customHeight="false" outlineLevel="0" collapsed="false">
      <c r="A21142" s="3" t="s">
        <v>353</v>
      </c>
      <c r="C21142" s="16" t="n">
        <f aca="false">SUMPRODUCT($G$21010:$K$21010,$G$21009:$K$21009-$G$21015:$K$21015+$G$21014:$K$21014)</f>
        <v>380</v>
      </c>
    </row>
    <row r="21143" customFormat="false" ht="15" hidden="false" customHeight="false" outlineLevel="0" collapsed="false">
      <c r="A21143" s="3" t="s">
        <v>354</v>
      </c>
      <c r="C21143" s="16" t="n">
        <f aca="false">SUMPRODUCT($G$21010:$K$21010,$G$21017:$K$21017)</f>
        <v>0</v>
      </c>
    </row>
    <row r="21144" customFormat="false" ht="15" hidden="false" customHeight="false" outlineLevel="0" collapsed="false">
      <c r="A21144" s="3" t="s">
        <v>355</v>
      </c>
      <c r="C21144" s="3" t="str">
        <f aca="false">IF(SUM($G$21010:$K$21010)=0,"n/a (beyond horizon)",IF(SUMPRODUCT($G$21010:$K$21010,$G$21007:$K$21007)&gt;0,"REFINANCING PASS","REFINANCING FAILURE"))</f>
        <v>REFINANCING FAILURE</v>
      </c>
    </row>
    <row r="21145" customFormat="false" ht="15" hidden="false" customHeight="false" outlineLevel="0" collapsed="false">
      <c r="A21145" s="3" t="s">
        <v>356</v>
      </c>
      <c r="C21145" s="3" t="str">
        <f aca="false">IF(SUM($G$21010:$K$21010)=0,"n/a",IF(C21143&gt;=C21142-0.001,"Repaid from cash",IF(SUMPRODUCT($G$21010:$K$21010,$G$21007:$K$21007)&gt;0,IF(C21143&gt;0,"Partly repaid; remainder refinanced","Refinanced"),IF(SUM($G$21019:$K$21019)&gt;0.001,IF(C21143&gt;0,"Partial repayment; PAYMENT DEFAULT","PAYMENT DEFAULT"),"Repaid from cash"))))</f>
        <v>PAYMENT DEFAULT</v>
      </c>
    </row>
    <row r="21146" customFormat="false" ht="15" hidden="false" customHeight="false" outlineLevel="0" collapsed="false">
      <c r="A21146" s="3" t="s">
        <v>357</v>
      </c>
      <c r="C21146" s="16" t="n">
        <f aca="false">SUMPRODUCT($G$21023:$K$21023,$G$21022:$K$21022-$G$21028:$K$21028+$G$21027:$K$21027)</f>
        <v>0</v>
      </c>
    </row>
    <row r="21147" customFormat="false" ht="15" hidden="false" customHeight="false" outlineLevel="0" collapsed="false">
      <c r="A21147" s="3" t="s">
        <v>358</v>
      </c>
      <c r="C21147" s="16" t="n">
        <f aca="false">SUMPRODUCT($G$21023:$K$21023,$G$21030:$K$21030)</f>
        <v>0</v>
      </c>
    </row>
    <row r="21148" customFormat="false" ht="15" hidden="false" customHeight="false" outlineLevel="0" collapsed="false">
      <c r="A21148" s="3" t="s">
        <v>359</v>
      </c>
      <c r="C21148" s="3" t="str">
        <f aca="false">IF(SUM($G$21023:$K$21023)=0,"n/a (beyond horizon)",IF(SUMPRODUCT($G$21023:$K$21023,$G$21007:$K$21007)&gt;0,"REFINANCING PASS","REFINANCING FAILURE"))</f>
        <v>n/a (beyond horizon)</v>
      </c>
    </row>
    <row r="21149" customFormat="false" ht="15" hidden="false" customHeight="false" outlineLevel="0" collapsed="false">
      <c r="A21149" s="3" t="s">
        <v>360</v>
      </c>
      <c r="C21149" s="3" t="str">
        <f aca="false">IF(SUM($G$21023:$K$21023)=0,"n/a",IF(C21147&gt;=C21146-0.001,"Repaid from cash",IF(SUMPRODUCT($G$21023:$K$21023,$G$21007:$K$21007)&gt;0,IF(C21147&gt;0,"Partly repaid; remainder refinanced","Refinanced"),IF(SUM($G$21032:$K$21032)&gt;0.001,IF(C21147&gt;0,"Partial repayment; PAYMENT DEFAULT","PAYMENT DEFAULT"),"Repaid from cash"))))</f>
        <v>n/a</v>
      </c>
    </row>
    <row r="21150" customFormat="false" ht="15" hidden="false" customHeight="false" outlineLevel="0" collapsed="false">
      <c r="A21150" s="3" t="s">
        <v>361</v>
      </c>
      <c r="C21150" s="16" t="n">
        <f aca="false">SUMPRODUCT($G$21036:$K$21036,$G$21035:$K$21035-$G$21041:$K$21041+$G$21040:$K$21040)</f>
        <v>0</v>
      </c>
    </row>
    <row r="21151" customFormat="false" ht="15" hidden="false" customHeight="false" outlineLevel="0" collapsed="false">
      <c r="A21151" s="3" t="s">
        <v>362</v>
      </c>
      <c r="C21151" s="16" t="n">
        <f aca="false">SUMPRODUCT($G$21036:$K$21036,$G$21043:$K$21043)</f>
        <v>0</v>
      </c>
    </row>
    <row r="21152" customFormat="false" ht="15" hidden="false" customHeight="false" outlineLevel="0" collapsed="false">
      <c r="A21152" s="3" t="s">
        <v>363</v>
      </c>
      <c r="C21152" s="3" t="str">
        <f aca="false">IF(SUM($G$21036:$K$21036)=0,"n/a (beyond horizon)",IF(SUMPRODUCT($G$21036:$K$21036,$G$21007:$K$21007)&gt;0,"REFINANCING PASS","REFINANCING FAILURE"))</f>
        <v>n/a (beyond horizon)</v>
      </c>
    </row>
    <row r="21153" customFormat="false" ht="15" hidden="false" customHeight="false" outlineLevel="0" collapsed="false">
      <c r="A21153" s="3" t="s">
        <v>364</v>
      </c>
      <c r="C21153" s="3" t="str">
        <f aca="false">IF(SUM($G$21036:$K$21036)=0,"n/a",IF(C21151&gt;=C21150-0.001,"Repaid from cash",IF(SUMPRODUCT($G$21036:$K$21036,$G$21007:$K$21007)&gt;0,IF(C21151&gt;0,"Partly repaid; remainder refinanced","Refinanced"),IF(SUM($G$21045:$K$21045)&gt;0.001,IF(C21151&gt;0,"Partial repayment; PAYMENT DEFAULT","PAYMENT DEFAULT"),"Repaid from cash"))))</f>
        <v>n/a</v>
      </c>
    </row>
    <row r="21154" customFormat="false" ht="15" hidden="false" customHeight="false" outlineLevel="0" collapsed="false">
      <c r="A21154" s="3" t="s">
        <v>365</v>
      </c>
      <c r="C21154" s="16" t="n">
        <f aca="false">SUMPRODUCT($G$21049:$K$21049,$G$21048:$K$21048-$G$21054:$K$21054+$G$21053:$K$21053)</f>
        <v>0</v>
      </c>
    </row>
    <row r="21155" customFormat="false" ht="15" hidden="false" customHeight="false" outlineLevel="0" collapsed="false">
      <c r="A21155" s="3" t="s">
        <v>366</v>
      </c>
      <c r="C21155" s="16" t="n">
        <f aca="false">SUMPRODUCT($G$21049:$K$21049,$G$21056:$K$21056)</f>
        <v>0</v>
      </c>
    </row>
    <row r="21156" customFormat="false" ht="15" hidden="false" customHeight="false" outlineLevel="0" collapsed="false">
      <c r="A21156" s="3" t="s">
        <v>367</v>
      </c>
      <c r="C21156" s="3" t="str">
        <f aca="false">IF(SUM($G$21049:$K$21049)=0,"n/a (beyond horizon)",IF(SUMPRODUCT($G$21049:$K$21049,$G$21007:$K$21007)&gt;0,"REFINANCING PASS","REFINANCING FAILURE"))</f>
        <v>REFINANCING FAILURE</v>
      </c>
    </row>
    <row r="21157" customFormat="false" ht="15" hidden="false" customHeight="false" outlineLevel="0" collapsed="false">
      <c r="A21157" s="3" t="s">
        <v>368</v>
      </c>
      <c r="C21157" s="3" t="str">
        <f aca="false">IF(SUM($G$21049:$K$21049)=0,"n/a",IF(C21155&gt;=C21154-0.001,"Repaid from cash",IF(SUMPRODUCT($G$21049:$K$21049,$G$21007:$K$21007)&gt;0,IF(C21155&gt;0,"Partly repaid; remainder refinanced","Refinanced"),IF(SUM($G$21058:$K$21058)&gt;0.001,IF(C21155&gt;0,"Partial repayment; PAYMENT DEFAULT","PAYMENT DEFAULT"),"Repaid from cash"))))</f>
        <v>Repaid from cash</v>
      </c>
    </row>
    <row r="21158" customFormat="false" ht="15" hidden="false" customHeight="false" outlineLevel="0" collapsed="false">
      <c r="A21158" s="3" t="s">
        <v>369</v>
      </c>
      <c r="C21158" s="16" t="n">
        <f aca="false">SUMPRODUCT($G$21062:$K$21062,$G$21061:$K$21061-$G$21067:$K$21067+$G$21066:$K$21066)</f>
        <v>450</v>
      </c>
    </row>
    <row r="21159" customFormat="false" ht="15" hidden="false" customHeight="false" outlineLevel="0" collapsed="false">
      <c r="A21159" s="3" t="s">
        <v>370</v>
      </c>
      <c r="C21159" s="16" t="n">
        <f aca="false">SUMPRODUCT($G$21062:$K$21062,$G$21069:$K$21069)</f>
        <v>60.3398932000001</v>
      </c>
    </row>
    <row r="21160" customFormat="false" ht="15" hidden="false" customHeight="false" outlineLevel="0" collapsed="false">
      <c r="A21160" s="3" t="s">
        <v>371</v>
      </c>
      <c r="C21160" s="3" t="str">
        <f aca="false">IF(SUM($G$21062:$K$21062)=0,"n/a (beyond horizon)",IF(SUMPRODUCT($G$21062:$K$21062,$G$21007:$K$21007)&gt;0,"REFINANCING PASS","REFINANCING FAILURE"))</f>
        <v>REFINANCING FAILURE</v>
      </c>
    </row>
    <row r="21161" customFormat="false" ht="15" hidden="false" customHeight="false" outlineLevel="0" collapsed="false">
      <c r="A21161" s="3" t="s">
        <v>372</v>
      </c>
      <c r="C21161" s="3" t="str">
        <f aca="false">IF(SUM($G$21062:$K$21062)=0,"n/a",IF(C21159&gt;=C21158-0.001,"Repaid from cash",IF(SUMPRODUCT($G$21062:$K$21062,$G$21007:$K$21007)&gt;0,IF(C21159&gt;0,"Partly repaid; remainder refinanced","Refinanced"),IF(SUM($G$21071:$K$21071)&gt;0.001,IF(C21159&gt;0,"Partial repayment; PAYMENT DEFAULT","PAYMENT DEFAULT"),"Repaid from cash"))))</f>
        <v>Partial repayment; PAYMENT DEFAULT</v>
      </c>
    </row>
    <row r="21162" customFormat="false" ht="15" hidden="false" customHeight="false" outlineLevel="0" collapsed="false">
      <c r="A21162" s="3" t="s">
        <v>373</v>
      </c>
      <c r="C21162" s="16" t="n">
        <f aca="false">SUMPRODUCT($G$21075:$K$21075,$G$21074:$K$21074-$G$21080:$K$21080+$G$21079:$K$21079)</f>
        <v>350</v>
      </c>
    </row>
    <row r="21163" customFormat="false" ht="15" hidden="false" customHeight="false" outlineLevel="0" collapsed="false">
      <c r="A21163" s="3" t="s">
        <v>374</v>
      </c>
      <c r="C21163" s="16" t="n">
        <f aca="false">SUMPRODUCT($G$21075:$K$21075,$G$21082:$K$21082)</f>
        <v>0</v>
      </c>
    </row>
    <row r="21164" customFormat="false" ht="15" hidden="false" customHeight="false" outlineLevel="0" collapsed="false">
      <c r="A21164" s="3" t="s">
        <v>375</v>
      </c>
      <c r="C21164" s="3" t="str">
        <f aca="false">IF(SUM($G$21075:$K$21075)=0,"n/a (beyond horizon)",IF(SUMPRODUCT($G$21075:$K$21075,$G$21007:$K$21007)&gt;0,"REFINANCING PASS","REFINANCING FAILURE"))</f>
        <v>REFINANCING FAILURE</v>
      </c>
    </row>
    <row r="21165" customFormat="false" ht="15" hidden="false" customHeight="false" outlineLevel="0" collapsed="false">
      <c r="A21165" s="3" t="s">
        <v>376</v>
      </c>
      <c r="C21165" s="3" t="str">
        <f aca="false">IF(SUM($G$21075:$K$21075)=0,"n/a",IF(C21163&gt;=C21162-0.001,"Repaid from cash",IF(SUMPRODUCT($G$21075:$K$21075,$G$21007:$K$21007)&gt;0,IF(C21163&gt;0,"Partly repaid; remainder refinanced","Refinanced"),IF(SUM($G$21084:$K$21084)&gt;0.001,IF(C21163&gt;0,"Partial repayment; PAYMENT DEFAULT","PAYMENT DEFAULT"),"Repaid from cash"))))</f>
        <v>PAYMENT DEFAULT</v>
      </c>
    </row>
    <row r="21166" customFormat="false" ht="15" hidden="false" customHeight="false" outlineLevel="0" collapsed="false">
      <c r="A21166" s="3" t="s">
        <v>377</v>
      </c>
      <c r="C21166" s="16" t="n">
        <f aca="false">SUMPRODUCT($G$21088:$K$21088,$G$21087:$K$21087-$G$21093:$K$21093+$G$21092:$K$21092)</f>
        <v>550</v>
      </c>
    </row>
    <row r="21167" customFormat="false" ht="15" hidden="false" customHeight="false" outlineLevel="0" collapsed="false">
      <c r="A21167" s="3" t="s">
        <v>378</v>
      </c>
      <c r="C21167" s="16" t="n">
        <f aca="false">SUMPRODUCT($G$21088:$K$21088,$G$21095:$K$21095)</f>
        <v>0</v>
      </c>
    </row>
    <row r="21168" customFormat="false" ht="15" hidden="false" customHeight="false" outlineLevel="0" collapsed="false">
      <c r="A21168" s="3" t="s">
        <v>379</v>
      </c>
      <c r="C21168" s="3" t="str">
        <f aca="false">IF(SUM($G$21088:$K$21088)=0,"n/a (beyond horizon)",IF(SUMPRODUCT($G$21088:$K$21088,$G$21007:$K$21007)&gt;0,"REFINANCING PASS","REFINANCING FAILURE"))</f>
        <v>REFINANCING FAILURE</v>
      </c>
    </row>
    <row r="21169" customFormat="false" ht="15" hidden="false" customHeight="false" outlineLevel="0" collapsed="false">
      <c r="A21169" s="3" t="s">
        <v>380</v>
      </c>
      <c r="C21169" s="3" t="str">
        <f aca="false">IF(SUM($G$21088:$K$21088)=0,"n/a",IF(C21167&gt;=C21166-0.001,"Repaid from cash",IF(SUMPRODUCT($G$21088:$K$21088,$G$21007:$K$21007)&gt;0,IF(C21167&gt;0,"Partly repaid; remainder refinanced","Refinanced"),IF(SUM($G$21097:$K$21097)&gt;0.001,IF(C21167&gt;0,"Partial repayment; PAYMENT DEFAULT","PAYMENT DEFAULT"),"Repaid from cash"))))</f>
        <v>PAYMENT DEFAULT</v>
      </c>
    </row>
    <row r="21170" customFormat="false" ht="15" hidden="false" customHeight="false" outlineLevel="0" collapsed="false">
      <c r="A21170" s="3" t="s">
        <v>381</v>
      </c>
      <c r="C21170" s="16" t="n">
        <f aca="false">SUMPRODUCT($G$21101:$K$21101,$G$21100:$K$21100-$G$21106:$K$21106+$G$21105:$K$21105)</f>
        <v>350</v>
      </c>
    </row>
    <row r="21171" customFormat="false" ht="15" hidden="false" customHeight="false" outlineLevel="0" collapsed="false">
      <c r="A21171" s="3" t="s">
        <v>382</v>
      </c>
      <c r="C21171" s="16" t="n">
        <f aca="false">SUMPRODUCT($G$21101:$K$21101,$G$21108:$K$21108)</f>
        <v>0</v>
      </c>
    </row>
    <row r="21172" customFormat="false" ht="15" hidden="false" customHeight="false" outlineLevel="0" collapsed="false">
      <c r="A21172" s="3" t="s">
        <v>383</v>
      </c>
      <c r="C21172" s="3" t="str">
        <f aca="false">IF(SUM($G$21101:$K$21101)=0,"n/a (beyond horizon)",IF(SUMPRODUCT($G$21101:$K$21101,$G$21007:$K$21007)&gt;0,"REFINANCING PASS","REFINANCING FAILURE"))</f>
        <v>REFINANCING FAILURE</v>
      </c>
    </row>
    <row r="21173" customFormat="false" ht="15" hidden="false" customHeight="false" outlineLevel="0" collapsed="false">
      <c r="A21173" s="3" t="s">
        <v>384</v>
      </c>
      <c r="C21173" s="3" t="str">
        <f aca="false">IF(SUM($G$21101:$K$21101)=0,"n/a",IF(C21171&gt;=C21170-0.001,"Repaid from cash",IF(SUMPRODUCT($G$21101:$K$21101,$G$21007:$K$21007)&gt;0,IF(C21171&gt;0,"Partly repaid; remainder refinanced","Refinanced"),IF(SUM($G$21110:$K$21110)&gt;0.001,IF(C21171&gt;0,"Partial repayment; PAYMENT DEFAULT","PAYMENT DEFAULT"),"Repaid from cash"))))</f>
        <v>PAYMENT DEFAULT</v>
      </c>
    </row>
    <row r="21174" customFormat="false" ht="15" hidden="false" customHeight="false" outlineLevel="0" collapsed="false">
      <c r="A21174" s="3" t="s">
        <v>385</v>
      </c>
      <c r="C21174" s="16" t="n">
        <f aca="false">SUMPRODUCT($G$21114:$K$21114,$G$21113:$K$21113-$G$21119:$K$21119+$G$21118:$K$21118)</f>
        <v>300</v>
      </c>
    </row>
    <row r="21175" customFormat="false" ht="15" hidden="false" customHeight="false" outlineLevel="0" collapsed="false">
      <c r="A21175" s="3" t="s">
        <v>386</v>
      </c>
      <c r="C21175" s="16" t="n">
        <f aca="false">SUMPRODUCT($G$21114:$K$21114,$G$21121:$K$21121)</f>
        <v>0</v>
      </c>
    </row>
    <row r="21176" customFormat="false" ht="15" hidden="false" customHeight="false" outlineLevel="0" collapsed="false">
      <c r="A21176" s="3" t="s">
        <v>387</v>
      </c>
      <c r="C21176" s="3" t="str">
        <f aca="false">IF(SUM($G$21114:$K$21114)=0,"n/a (beyond horizon)",IF(SUMPRODUCT($G$21114:$K$21114,$G$21007:$K$21007)&gt;0,"REFINANCING PASS","REFINANCING FAILURE"))</f>
        <v>REFINANCING FAILURE</v>
      </c>
    </row>
    <row r="21177" customFormat="false" ht="15" hidden="false" customHeight="false" outlineLevel="0" collapsed="false">
      <c r="A21177" s="3" t="s">
        <v>388</v>
      </c>
      <c r="C21177" s="3" t="str">
        <f aca="false">IF(SUM($G$21114:$K$21114)=0,"n/a",IF(C21175&gt;=C21174-0.001,"Repaid from cash",IF(SUMPRODUCT($G$21114:$K$21114,$G$21007:$K$21007)&gt;0,IF(C21175&gt;0,"Partly repaid; remainder refinanced","Refinanced"),IF(SUM($G$21123:$K$21123)&gt;0.001,IF(C21175&gt;0,"Partial repayment; PAYMENT DEFAULT","PAYMENT DEFAULT"),"Repaid from cash"))))</f>
        <v>PAYMENT DEFAULT</v>
      </c>
    </row>
    <row r="21178" customFormat="false" ht="15" hidden="false" customHeight="false" outlineLevel="0" collapsed="false">
      <c r="A21178" s="3" t="s">
        <v>389</v>
      </c>
      <c r="C21178" s="16" t="n">
        <f aca="false">SUMPRODUCT($G$21127:$K$21127,$G$21126:$K$21126-$G$21132:$K$21132+$G$21131:$K$21131)</f>
        <v>0</v>
      </c>
    </row>
    <row r="21179" customFormat="false" ht="15" hidden="false" customHeight="false" outlineLevel="0" collapsed="false">
      <c r="A21179" s="3" t="s">
        <v>390</v>
      </c>
      <c r="C21179" s="16" t="n">
        <f aca="false">SUMPRODUCT($G$21127:$K$21127,$G$21134:$K$21134)</f>
        <v>0</v>
      </c>
    </row>
    <row r="21180" customFormat="false" ht="15" hidden="false" customHeight="false" outlineLevel="0" collapsed="false">
      <c r="A21180" s="3" t="s">
        <v>391</v>
      </c>
      <c r="C21180" s="3" t="str">
        <f aca="false">IF(SUM($G$21127:$K$21127)=0,"n/a (beyond horizon)",IF(SUMPRODUCT($G$21127:$K$21127,$G$21007:$K$21007)&gt;0,"REFINANCING PASS","REFINANCING FAILURE"))</f>
        <v>n/a (beyond horizon)</v>
      </c>
    </row>
    <row r="21181" customFormat="false" ht="15" hidden="false" customHeight="false" outlineLevel="0" collapsed="false">
      <c r="A21181" s="3" t="s">
        <v>392</v>
      </c>
      <c r="C21181" s="3" t="str">
        <f aca="false">IF(SUM($G$21127:$K$21127)=0,"n/a",IF(C21179&gt;=C21178-0.001,"Repaid from cash",IF(SUMPRODUCT($G$21127:$K$21127,$G$21007:$K$21007)&gt;0,IF(C21179&gt;0,"Partly repaid; remainder refinanced","Refinanced"),IF(SUM($G$21136:$K$21136)&gt;0.001,IF(C21179&gt;0,"Partial repayment; PAYMENT DEFAULT","PAYMENT DEFAULT"),"Repaid from cash"))))</f>
        <v>n/a</v>
      </c>
    </row>
    <row r="21182" customFormat="false" ht="15" hidden="false" customHeight="false" outlineLevel="0" collapsed="false">
      <c r="A21182" s="3" t="s">
        <v>393</v>
      </c>
      <c r="C21182" s="21" t="n">
        <f aca="false">IF(C21144="REFINANCING FAILURE",1,0)+IF(C21148="REFINANCING FAILURE",1,0)+IF(C21152="REFINANCING FAILURE",1,0)+IF(C21156="REFINANCING FAILURE",1,0)+IF(C21160="REFINANCING FAILURE",1,0)+IF(C21164="REFINANCING FAILURE",1,0)+IF(C21168="REFINANCING FAILURE",1,0)+IF(C21172="REFINANCING FAILURE",1,0)+IF(C21176="REFINANCING FAILURE",1,0)+IF(C21180="REFINANCING FAILURE",1,0)</f>
        <v>7</v>
      </c>
    </row>
    <row r="21184" customFormat="false" ht="15" hidden="false" customHeight="false" outlineLevel="0" collapsed="false">
      <c r="A21184" s="24" t="s">
        <v>395</v>
      </c>
      <c r="B21184" s="25"/>
      <c r="C21184" s="25"/>
      <c r="D21184" s="25"/>
      <c r="E21184" s="25"/>
      <c r="F21184" s="25"/>
      <c r="G21184" s="25"/>
      <c r="H21184" s="25"/>
      <c r="I21184" s="25"/>
      <c r="J21184" s="25"/>
      <c r="K21184" s="25"/>
    </row>
    <row r="21185" customFormat="false" ht="15" hidden="false" customHeight="false" outlineLevel="0" collapsed="false">
      <c r="A21185" s="3" t="s">
        <v>325</v>
      </c>
      <c r="G21185" s="16" t="n">
        <f aca="false">F21197</f>
        <v>37.87</v>
      </c>
      <c r="H21185" s="16" t="n">
        <f aca="false">G21197</f>
        <v>103.7380446</v>
      </c>
      <c r="I21185" s="16" t="n">
        <f aca="false">H21197</f>
        <v>0</v>
      </c>
      <c r="J21185" s="16" t="n">
        <f aca="false">I21197</f>
        <v>-31.3259988440999</v>
      </c>
      <c r="K21185" s="16" t="n">
        <f aca="false">J21197</f>
        <v>-42.9611697996998</v>
      </c>
    </row>
    <row r="21186" customFormat="false" ht="15" hidden="false" customHeight="false" outlineLevel="0" collapsed="false">
      <c r="A21186" s="3" t="s">
        <v>396</v>
      </c>
      <c r="G21186" s="16" t="n">
        <f aca="false">G20996</f>
        <v>-30.1319554</v>
      </c>
      <c r="H21186" s="16" t="n">
        <f aca="false">H20996</f>
        <v>-39.3981514</v>
      </c>
      <c r="I21186" s="16" t="n">
        <f aca="false">I20996</f>
        <v>-27.3259988440999</v>
      </c>
      <c r="J21186" s="16" t="n">
        <f aca="false">J20996</f>
        <v>-7.63517095559993</v>
      </c>
      <c r="K21186" s="16" t="n">
        <f aca="false">K20996</f>
        <v>19.4748964978611</v>
      </c>
    </row>
    <row r="21187" customFormat="false" ht="15" hidden="false" customHeight="false" outlineLevel="0" collapsed="false">
      <c r="A21187" s="3" t="s">
        <v>397</v>
      </c>
      <c r="G21187" s="16" t="n">
        <f aca="false">CHOOSE($C$20966,Assumptions!$G$82,Assumptions!$G$101,Assumptions!$G$120)</f>
        <v>100</v>
      </c>
      <c r="H21187" s="16" t="n">
        <f aca="false">CHOOSE($C$20966,Assumptions!$H$82,Assumptions!$H$101,Assumptions!$H$120)</f>
        <v>0</v>
      </c>
      <c r="I21187" s="16" t="n">
        <f aca="false">CHOOSE($C$20966,Assumptions!$I$82,Assumptions!$I$101,Assumptions!$I$120)</f>
        <v>0</v>
      </c>
      <c r="J21187" s="16" t="n">
        <f aca="false">CHOOSE($C$20966,Assumptions!$J$82,Assumptions!$J$101,Assumptions!$J$120)</f>
        <v>0</v>
      </c>
      <c r="K21187" s="16" t="n">
        <f aca="false">CHOOSE($C$20966,Assumptions!$K$82,Assumptions!$K$101,Assumptions!$K$120)</f>
        <v>0</v>
      </c>
    </row>
    <row r="21188" customFormat="false" ht="15" hidden="false" customHeight="false" outlineLevel="0" collapsed="false">
      <c r="A21188" s="3" t="s">
        <v>398</v>
      </c>
      <c r="G21188" s="16" t="n">
        <f aca="false">G21015+G21028+G21041+G21054+G21067+G21080+G21093+G21106+G21119+G21132</f>
        <v>4</v>
      </c>
      <c r="H21188" s="16" t="n">
        <f aca="false">H21015+H21028+H21041+H21054+H21067+H21080+H21093+H21106+H21119+H21132</f>
        <v>4</v>
      </c>
      <c r="I21188" s="16" t="n">
        <f aca="false">I21015+I21028+I21041+I21054+I21067+I21080+I21093+I21106+I21119+I21132</f>
        <v>4</v>
      </c>
      <c r="J21188" s="16" t="n">
        <f aca="false">J21015+J21028+J21041+J21054+J21067+J21080+J21093+J21106+J21119+J21132</f>
        <v>4</v>
      </c>
      <c r="K21188" s="16" t="n">
        <f aca="false">K21015+K21028+K21041+K21054+K21067+K21080+K21093+K21106+K21119+K21132</f>
        <v>4</v>
      </c>
    </row>
    <row r="21189" customFormat="false" ht="15" hidden="false" customHeight="false" outlineLevel="0" collapsed="false">
      <c r="A21189" s="2" t="s">
        <v>399</v>
      </c>
      <c r="G21189" s="17" t="n">
        <f aca="false">G21185+G21186+G21187-G21188</f>
        <v>103.7380446</v>
      </c>
      <c r="H21189" s="17" t="n">
        <f aca="false">H21185+H21186+H21187-H21188</f>
        <v>60.3398932000001</v>
      </c>
      <c r="I21189" s="17" t="n">
        <f aca="false">I21185+I21186+I21187-I21188</f>
        <v>-31.3259988440999</v>
      </c>
      <c r="J21189" s="17" t="n">
        <f aca="false">J21185+J21186+J21187-J21188</f>
        <v>-42.9611697996998</v>
      </c>
      <c r="K21189" s="17" t="n">
        <f aca="false">K21185+K21186+K21187-K21188</f>
        <v>-27.4862733018387</v>
      </c>
    </row>
    <row r="21190" customFormat="false" ht="15" hidden="false" customHeight="false" outlineLevel="0" collapsed="false">
      <c r="A21190" s="3" t="s">
        <v>400</v>
      </c>
      <c r="G21190" s="16" t="n">
        <f aca="false">G21016+G21029+G21042+G21055+G21068+G21081+G21094+G21107+G21120+G21133</f>
        <v>0</v>
      </c>
      <c r="H21190" s="16" t="n">
        <f aca="false">H21016+H21029+H21042+H21055+H21068+H21081+H21094+H21107+H21120+H21133</f>
        <v>0</v>
      </c>
      <c r="I21190" s="16" t="n">
        <f aca="false">I21016+I21029+I21042+I21055+I21068+I21081+I21094+I21107+I21120+I21133</f>
        <v>0</v>
      </c>
      <c r="J21190" s="16" t="n">
        <f aca="false">J21016+J21029+J21042+J21055+J21068+J21081+J21094+J21107+J21120+J21133</f>
        <v>0</v>
      </c>
      <c r="K21190" s="16" t="n">
        <f aca="false">K21016+K21029+K21042+K21055+K21068+K21081+K21094+K21107+K21120+K21133</f>
        <v>0</v>
      </c>
    </row>
    <row r="21191" customFormat="false" ht="15" hidden="false" customHeight="false" outlineLevel="0" collapsed="false">
      <c r="A21191" s="2" t="s">
        <v>401</v>
      </c>
      <c r="G21191" s="17" t="n">
        <f aca="false">G21189+G21190</f>
        <v>103.7380446</v>
      </c>
      <c r="H21191" s="17" t="n">
        <f aca="false">H21189+H21190</f>
        <v>60.3398932000001</v>
      </c>
      <c r="I21191" s="17" t="n">
        <f aca="false">I21189+I21190</f>
        <v>-31.3259988440999</v>
      </c>
      <c r="J21191" s="17" t="n">
        <f aca="false">J21189+J21190</f>
        <v>-42.9611697996998</v>
      </c>
      <c r="K21191" s="17" t="n">
        <f aca="false">K21189+K21190</f>
        <v>-27.4862733018387</v>
      </c>
    </row>
    <row r="21192" customFormat="false" ht="15" hidden="false" customHeight="false" outlineLevel="0" collapsed="false">
      <c r="A21192" s="3" t="s">
        <v>402</v>
      </c>
      <c r="G21192" s="16" t="n">
        <f aca="false">G21017+G21030+G21043+G21056+G21069+G21082+G21095+G21108+G21121+G21134</f>
        <v>0</v>
      </c>
      <c r="H21192" s="16" t="n">
        <f aca="false">H21017+H21030+H21043+H21056+H21069+H21082+H21095+H21108+H21121+H21134</f>
        <v>60.3398932000001</v>
      </c>
      <c r="I21192" s="16" t="n">
        <f aca="false">I21017+I21030+I21043+I21056+I21069+I21082+I21095+I21108+I21121+I21134</f>
        <v>0</v>
      </c>
      <c r="J21192" s="16" t="n">
        <f aca="false">J21017+J21030+J21043+J21056+J21069+J21082+J21095+J21108+J21121+J21134</f>
        <v>0</v>
      </c>
      <c r="K21192" s="16" t="n">
        <f aca="false">K21017+K21030+K21043+K21056+K21069+K21082+K21095+K21108+K21121+K21134</f>
        <v>0</v>
      </c>
    </row>
    <row r="21193" customFormat="false" ht="15" hidden="false" customHeight="false" outlineLevel="0" collapsed="false">
      <c r="A21193" s="2" t="s">
        <v>403</v>
      </c>
      <c r="G21193" s="17" t="n">
        <f aca="false">G21191-G21192</f>
        <v>103.7380446</v>
      </c>
      <c r="H21193" s="17" t="n">
        <f aca="false">H21191-H21192</f>
        <v>0</v>
      </c>
      <c r="I21193" s="17" t="n">
        <f aca="false">I21191-I21192</f>
        <v>-31.3259988440999</v>
      </c>
      <c r="J21193" s="17" t="n">
        <f aca="false">J21191-J21192</f>
        <v>-42.9611697996998</v>
      </c>
      <c r="K21193" s="17" t="n">
        <f aca="false">K21191-K21192</f>
        <v>-27.4862733018387</v>
      </c>
    </row>
    <row r="21194" customFormat="false" ht="15" hidden="false" customHeight="false" outlineLevel="0" collapsed="false">
      <c r="A21194" s="3" t="s">
        <v>404</v>
      </c>
      <c r="G21194" s="16" t="n">
        <f aca="false">MAX(0,-G21193)</f>
        <v>0</v>
      </c>
      <c r="H21194" s="16" t="n">
        <f aca="false">MAX(0,-H21193)</f>
        <v>-0</v>
      </c>
      <c r="I21194" s="16" t="n">
        <f aca="false">MAX(0,-I21193)</f>
        <v>31.3259988440999</v>
      </c>
      <c r="J21194" s="16" t="n">
        <f aca="false">MAX(0,-J21193)</f>
        <v>42.9611697996998</v>
      </c>
      <c r="K21194" s="16" t="n">
        <f aca="false">MAX(0,-K21193)</f>
        <v>27.4862733018387</v>
      </c>
    </row>
    <row r="21195" customFormat="false" ht="15" hidden="false" customHeight="false" outlineLevel="0" collapsed="false">
      <c r="A21195" s="3" t="s">
        <v>405</v>
      </c>
      <c r="G21195" s="16" t="n">
        <f aca="false">MAX(0,G21193-Assumptions!$C$12)*Assumptions!$C$13</f>
        <v>0</v>
      </c>
      <c r="H21195" s="16" t="n">
        <f aca="false">MAX(0,H21193-Assumptions!$C$12)*Assumptions!$C$13</f>
        <v>0</v>
      </c>
      <c r="I21195" s="16" t="n">
        <f aca="false">MAX(0,I21193-Assumptions!$C$12)*Assumptions!$C$13</f>
        <v>0</v>
      </c>
      <c r="J21195" s="16" t="n">
        <f aca="false">MAX(0,J21193-Assumptions!$C$12)*Assumptions!$C$13</f>
        <v>0</v>
      </c>
      <c r="K21195" s="16" t="n">
        <f aca="false">MAX(0,K21193-Assumptions!$C$12)*Assumptions!$C$13</f>
        <v>0</v>
      </c>
    </row>
    <row r="21196" customFormat="false" ht="15" hidden="false" customHeight="false" outlineLevel="0" collapsed="false">
      <c r="A21196" s="3" t="s">
        <v>406</v>
      </c>
      <c r="G21196" s="16" t="n">
        <f aca="false">G21018+G21031+G21044+G21057+G21070+G21083+G21096+G21109+G21122+G21135</f>
        <v>0</v>
      </c>
      <c r="H21196" s="16" t="n">
        <f aca="false">H21018+H21031+H21044+H21057+H21070+H21083+H21096+H21109+H21122+H21135</f>
        <v>0</v>
      </c>
      <c r="I21196" s="16" t="n">
        <f aca="false">I21018+I21031+I21044+I21057+I21070+I21083+I21096+I21109+I21122+I21135</f>
        <v>0</v>
      </c>
      <c r="J21196" s="16" t="n">
        <f aca="false">J21018+J21031+J21044+J21057+J21070+J21083+J21096+J21109+J21122+J21135</f>
        <v>0</v>
      </c>
      <c r="K21196" s="16" t="n">
        <f aca="false">K21018+K21031+K21044+K21057+K21070+K21083+K21096+K21109+K21122+K21135</f>
        <v>0</v>
      </c>
    </row>
    <row r="21197" customFormat="false" ht="15" hidden="false" customHeight="false" outlineLevel="0" collapsed="false">
      <c r="A21197" s="2" t="s">
        <v>407</v>
      </c>
      <c r="F21197" s="28" t="n">
        <f aca="false">Assumptions!$C$11</f>
        <v>37.87</v>
      </c>
      <c r="G21197" s="17" t="n">
        <f aca="false">G21193-G21196</f>
        <v>103.7380446</v>
      </c>
      <c r="H21197" s="17" t="n">
        <f aca="false">H21193-H21196</f>
        <v>0</v>
      </c>
      <c r="I21197" s="17" t="n">
        <f aca="false">I21193-I21196</f>
        <v>-31.3259988440999</v>
      </c>
      <c r="J21197" s="17" t="n">
        <f aca="false">J21193-J21196</f>
        <v>-42.9611697996998</v>
      </c>
      <c r="K21197" s="17" t="n">
        <f aca="false">K21193-K21196</f>
        <v>-27.4862733018387</v>
      </c>
    </row>
    <row r="21198" customFormat="false" ht="15" hidden="false" customHeight="false" outlineLevel="0" collapsed="false">
      <c r="A21198" s="3" t="s">
        <v>408</v>
      </c>
      <c r="G21198" s="16" t="n">
        <f aca="false">G21019+G21032+G21045+G21058+G21071+G21084+G21097+G21110+G21123+G21136</f>
        <v>0</v>
      </c>
      <c r="H21198" s="16" t="n">
        <f aca="false">H21019+H21032+H21045+H21058+H21071+H21084+H21097+H21110+H21123+H21136</f>
        <v>739.6601068</v>
      </c>
      <c r="I21198" s="16" t="n">
        <f aca="false">I21019+I21032+I21045+I21058+I21071+I21084+I21097+I21110+I21123+I21136</f>
        <v>550</v>
      </c>
      <c r="J21198" s="16" t="n">
        <f aca="false">J21019+J21032+J21045+J21058+J21071+J21084+J21097+J21110+J21123+J21136</f>
        <v>350</v>
      </c>
      <c r="K21198" s="16" t="n">
        <f aca="false">K21019+K21032+K21045+K21058+K21071+K21084+K21097+K21110+K21123+K21136</f>
        <v>680</v>
      </c>
    </row>
    <row r="21199" customFormat="false" ht="15" hidden="false" customHeight="false" outlineLevel="0" collapsed="false">
      <c r="A21199" s="3" t="s">
        <v>409</v>
      </c>
      <c r="G21199" s="21" t="n">
        <f aca="false">IF(OR(G21194&gt;0.001,G21198&gt;0.001),1,0)</f>
        <v>0</v>
      </c>
      <c r="H21199" s="21" t="n">
        <f aca="false">IF(OR(H21194&gt;0.001,H21198&gt;0.001),1,0)</f>
        <v>1</v>
      </c>
      <c r="I21199" s="21" t="n">
        <f aca="false">IF(OR(I21194&gt;0.001,I21198&gt;0.001),1,0)</f>
        <v>1</v>
      </c>
      <c r="J21199" s="21" t="n">
        <f aca="false">IF(OR(J21194&gt;0.001,J21198&gt;0.001),1,0)</f>
        <v>1</v>
      </c>
      <c r="K21199" s="21" t="n">
        <f aca="false">IF(OR(K21194&gt;0.001,K21198&gt;0.001),1,0)</f>
        <v>1</v>
      </c>
    </row>
    <row r="21200" customFormat="false" ht="15" hidden="false" customHeight="false" outlineLevel="0" collapsed="false">
      <c r="A21200" s="3" t="s">
        <v>410</v>
      </c>
      <c r="G21200" s="21" t="n">
        <f aca="false">IF(G21199=1,1,0)</f>
        <v>0</v>
      </c>
      <c r="H21200" s="21" t="n">
        <f aca="false">IF(AND(H21199=1,SUM($G$21199:G21199)=0),1,0)</f>
        <v>1</v>
      </c>
      <c r="I21200" s="21" t="n">
        <f aca="false">IF(AND(I21199=1,SUM($G$21199:H21199)=0),1,0)</f>
        <v>0</v>
      </c>
      <c r="J21200" s="21" t="n">
        <f aca="false">IF(AND(J21199=1,SUM($G$21199:I21199)=0),1,0)</f>
        <v>0</v>
      </c>
      <c r="K21200" s="21" t="n">
        <f aca="false">IF(AND(K21199=1,SUM($G$21199:J21199)=0),1,0)</f>
        <v>0</v>
      </c>
    </row>
    <row r="21201" customFormat="false" ht="15" hidden="false" customHeight="false" outlineLevel="0" collapsed="false">
      <c r="A21201" s="3" t="s">
        <v>411</v>
      </c>
      <c r="G21201" s="16" t="n">
        <f aca="false">(G21139-F21139)-(G21190+G20988-G21188-G21192-G21196)</f>
        <v>0</v>
      </c>
      <c r="H21201" s="16" t="n">
        <f aca="false">(H21139-G21139)-(H21190+H20988-H21188-H21192-H21196)</f>
        <v>-3.97903932025656E-013</v>
      </c>
      <c r="I21201" s="16" t="n">
        <f aca="false">(I21139-H21139)-(I21190+I20988-I21188-I21192-I21196)</f>
        <v>0</v>
      </c>
      <c r="J21201" s="16" t="n">
        <f aca="false">(J21139-I21139)-(J21190+J20988-J21188-J21192-J21196)</f>
        <v>0</v>
      </c>
      <c r="K21201" s="16" t="n">
        <f aca="false">(K21139-J21139)-(K21190+K20988-K21188-K21192-K21196)</f>
        <v>0</v>
      </c>
    </row>
    <row r="21203" customFormat="false" ht="15" hidden="false" customHeight="false" outlineLevel="0" collapsed="false">
      <c r="A21203" s="24" t="s">
        <v>413</v>
      </c>
      <c r="B21203" s="25"/>
      <c r="C21203" s="25"/>
      <c r="D21203" s="25"/>
      <c r="E21203" s="25"/>
      <c r="F21203" s="25"/>
      <c r="G21203" s="25"/>
      <c r="H21203" s="25"/>
      <c r="I21203" s="25"/>
      <c r="J21203" s="25"/>
      <c r="K21203" s="25"/>
    </row>
    <row r="21204" customFormat="false" ht="15" hidden="false" customHeight="false" outlineLevel="0" collapsed="false">
      <c r="A21204" s="3" t="s">
        <v>414</v>
      </c>
      <c r="G21204" s="16" t="n">
        <f aca="false">G21139</f>
        <v>2621.934</v>
      </c>
      <c r="H21204" s="16" t="n">
        <f aca="false">H21139</f>
        <v>2557.5941068</v>
      </c>
      <c r="I21204" s="16" t="n">
        <f aca="false">I21139</f>
        <v>2553.5941068</v>
      </c>
      <c r="J21204" s="16" t="n">
        <f aca="false">J21139</f>
        <v>2549.5941068</v>
      </c>
      <c r="K21204" s="16" t="n">
        <f aca="false">K21139</f>
        <v>2545.5941068</v>
      </c>
    </row>
    <row r="21205" customFormat="false" ht="15" hidden="false" customHeight="false" outlineLevel="0" collapsed="false">
      <c r="A21205" s="3" t="s">
        <v>415</v>
      </c>
      <c r="G21205" s="16" t="n">
        <f aca="false">Assumptions!$O$57*G21020+Assumptions!$O$58*G21033+Assumptions!$O$59*G21046+Assumptions!$O$60*G21059+Assumptions!$O$61*G21072+Assumptions!$O$62*G21085+Assumptions!$O$63*G21098+Assumptions!$O$64*G21111+Assumptions!$O$65*G21124+Assumptions!$O$66*G21137</f>
        <v>543.324</v>
      </c>
      <c r="H21205" s="16" t="n">
        <f aca="false">Assumptions!$O$57*H21020+Assumptions!$O$58*H21033+Assumptions!$O$59*H21046+Assumptions!$O$60*H21059+Assumptions!$O$61*H21072+Assumptions!$O$62*H21085+Assumptions!$O$63*H21098+Assumptions!$O$64*H21111+Assumptions!$O$65*H21124+Assumptions!$O$66*H21137</f>
        <v>539.324</v>
      </c>
      <c r="I21205" s="16" t="n">
        <f aca="false">Assumptions!$O$57*I21020+Assumptions!$O$58*I21033+Assumptions!$O$59*I21046+Assumptions!$O$60*I21059+Assumptions!$O$61*I21072+Assumptions!$O$62*I21085+Assumptions!$O$63*I21098+Assumptions!$O$64*I21111+Assumptions!$O$65*I21124+Assumptions!$O$66*I21137</f>
        <v>535.324</v>
      </c>
      <c r="J21205" s="16" t="n">
        <f aca="false">Assumptions!$O$57*J21020+Assumptions!$O$58*J21033+Assumptions!$O$59*J21046+Assumptions!$O$60*J21059+Assumptions!$O$61*J21072+Assumptions!$O$62*J21085+Assumptions!$O$63*J21098+Assumptions!$O$64*J21111+Assumptions!$O$65*J21124+Assumptions!$O$66*J21137</f>
        <v>531.324</v>
      </c>
      <c r="K21205" s="16" t="n">
        <f aca="false">Assumptions!$O$57*K21020+Assumptions!$O$58*K21033+Assumptions!$O$59*K21046+Assumptions!$O$60*K21059+Assumptions!$O$61*K21072+Assumptions!$O$62*K21085+Assumptions!$O$63*K21098+Assumptions!$O$64*K21111+Assumptions!$O$65*K21124+Assumptions!$O$66*K21137</f>
        <v>527.324</v>
      </c>
    </row>
    <row r="21206" customFormat="false" ht="15" hidden="false" customHeight="false" outlineLevel="0" collapsed="false">
      <c r="A21206" s="3" t="s">
        <v>416</v>
      </c>
      <c r="G21206" s="16" t="n">
        <f aca="false">G21204-G21197</f>
        <v>2518.1959554</v>
      </c>
      <c r="H21206" s="16" t="n">
        <f aca="false">H21204-H21197</f>
        <v>2557.5941068</v>
      </c>
      <c r="I21206" s="16" t="n">
        <f aca="false">I21204-I21197</f>
        <v>2584.9201056441</v>
      </c>
      <c r="J21206" s="16" t="n">
        <f aca="false">J21204-J21197</f>
        <v>2592.5552765997</v>
      </c>
      <c r="K21206" s="16" t="n">
        <f aca="false">K21204-K21197</f>
        <v>2573.08038010184</v>
      </c>
    </row>
    <row r="21207" customFormat="false" ht="15" hidden="false" customHeight="false" outlineLevel="0" collapsed="false">
      <c r="A21207" s="3" t="s">
        <v>417</v>
      </c>
      <c r="G21207" s="32" t="n">
        <f aca="false">IF(G20983&gt;0,G21204/G20983,0)</f>
        <v>11.4388108991315</v>
      </c>
      <c r="H21207" s="32" t="n">
        <f aca="false">IF(H20983&gt;0,H21204/H20983,0)</f>
        <v>11.5889182461145</v>
      </c>
      <c r="I21207" s="32" t="n">
        <f aca="false">IF(I20983&gt;0,I21204/I20983,0)</f>
        <v>10.9410472059689</v>
      </c>
      <c r="J21207" s="32" t="n">
        <f aca="false">IF(J20983&gt;0,J21204/J20983,0)</f>
        <v>9.81535157969506</v>
      </c>
      <c r="K21207" s="32" t="n">
        <f aca="false">IF(K20983&gt;0,K21204/K20983,0)</f>
        <v>8.62813180674325</v>
      </c>
    </row>
    <row r="21208" customFormat="false" ht="15" hidden="false" customHeight="false" outlineLevel="0" collapsed="false">
      <c r="A21208" s="3" t="s">
        <v>418</v>
      </c>
      <c r="G21208" s="32" t="n">
        <f aca="false">IF(G20983&gt;0,G21206/G20983,0)</f>
        <v>10.9862289976706</v>
      </c>
      <c r="H21208" s="32" t="n">
        <f aca="false">IF(H20983&gt;0,H21206/H20983,0)</f>
        <v>11.5889182461145</v>
      </c>
      <c r="I21208" s="32" t="n">
        <f aca="false">IF(I20983&gt;0,I21206/I20983,0)</f>
        <v>11.0752655734122</v>
      </c>
      <c r="J21208" s="32" t="n">
        <f aca="false">IF(J20983&gt;0,J21206/J20983,0)</f>
        <v>9.98074221373143</v>
      </c>
      <c r="K21208" s="32" t="n">
        <f aca="false">IF(K20983&gt;0,K21206/K20983,0)</f>
        <v>8.72129480876738</v>
      </c>
    </row>
    <row r="21209" customFormat="false" ht="15" hidden="false" customHeight="false" outlineLevel="0" collapsed="false">
      <c r="A21209" s="3" t="s">
        <v>419</v>
      </c>
      <c r="G21209" s="32" t="n">
        <f aca="false">IF(G20987&gt;0,G20983/G20987,0)</f>
        <v>1.17806564902635</v>
      </c>
      <c r="H21209" s="32" t="n">
        <f aca="false">IF(H20987&gt;0,H20983/H20987,0)</f>
        <v>1.14129908234237</v>
      </c>
      <c r="I21209" s="32" t="n">
        <f aca="false">IF(I20987&gt;0,I20983/I20987,0)</f>
        <v>1.23274504705152</v>
      </c>
      <c r="J21209" s="32" t="n">
        <f aca="false">IF(J20987&gt;0,J20983/J20987,0)</f>
        <v>1.37538703393216</v>
      </c>
      <c r="K21209" s="32" t="n">
        <f aca="false">IF(K20987&gt;0,K20983/K20987,0)</f>
        <v>1.56608115659498</v>
      </c>
    </row>
    <row r="21210" customFormat="false" ht="15" hidden="false" customHeight="false" outlineLevel="0" collapsed="false">
      <c r="A21210" s="3" t="s">
        <v>420</v>
      </c>
      <c r="G21210" s="32" t="n">
        <f aca="false">IF(G20987&gt;0,G20986/G20987,0)</f>
        <v>0.225735286870067</v>
      </c>
      <c r="H21210" s="32" t="n">
        <f aca="false">IF(H20987&gt;0,H20986/H20987,0)</f>
        <v>0.154322195975164</v>
      </c>
      <c r="I21210" s="32" t="n">
        <f aca="false">IF(I20987&gt;0,I20986/I20987,0)</f>
        <v>0.154145320228451</v>
      </c>
      <c r="J21210" s="32" t="n">
        <f aca="false">IF(J20987&gt;0,J20986/J20987,0)</f>
        <v>0.185974693816941</v>
      </c>
      <c r="K21210" s="32" t="n">
        <f aca="false">IF(K20987&gt;0,K20986/K20987,0)</f>
        <v>0.242539674769402</v>
      </c>
    </row>
    <row r="21211" customFormat="false" ht="15" hidden="false" customHeight="false" outlineLevel="0" collapsed="false">
      <c r="A21211" s="3" t="s">
        <v>213</v>
      </c>
      <c r="G21211" s="22" t="n">
        <f aca="false">IF(G21204&gt;0,G20996/G21204,0)</f>
        <v>-0.0114922631157001</v>
      </c>
      <c r="H21211" s="22" t="n">
        <f aca="false">IF(H21204&gt;0,H20996/H21204,0)</f>
        <v>-0.0154043799581998</v>
      </c>
      <c r="I21211" s="22" t="n">
        <f aca="false">IF(I21204&gt;0,I20996/I21204,0)</f>
        <v>-0.010700995421055</v>
      </c>
      <c r="J21211" s="22" t="n">
        <f aca="false">IF(J21204&gt;0,J20996/J21204,0)</f>
        <v>-0.00299466136011071</v>
      </c>
      <c r="K21211" s="22" t="n">
        <f aca="false">IF(K21204&gt;0,K20996/K21204,0)</f>
        <v>0.00765043274017574</v>
      </c>
    </row>
    <row r="21212" customFormat="false" ht="15" hidden="false" customHeight="false" outlineLevel="0" collapsed="false">
      <c r="A21212" s="3" t="s">
        <v>421</v>
      </c>
      <c r="G21212" s="32" t="n">
        <f aca="false">IF(G20987+G21188&gt;0,(G20983-G20994-G20991)/(G20987+G21188),0)</f>
        <v>0.828109474287893</v>
      </c>
      <c r="H21212" s="32" t="n">
        <f aca="false">IF(H20987+H21188&gt;0,(H20983-H20994-H20991)/(H20987+H21188),0)</f>
        <v>0.780117870394193</v>
      </c>
      <c r="I21212" s="32" t="n">
        <f aca="false">IF(I20987+I21188&gt;0,(I20983-I20994-I20991)/(I20987+I21188),0)</f>
        <v>0.837966278064176</v>
      </c>
      <c r="J21212" s="32" t="n">
        <f aca="false">IF(J20987+J21188&gt;0,(J20983-J20994-J20991)/(J20987+J21188),0)</f>
        <v>0.939670415124653</v>
      </c>
      <c r="K21212" s="32" t="n">
        <f aca="false">IF(K20987+K21188&gt;0,(K20983-K20994-K20991)/(K20987+K21188),0)</f>
        <v>1.08043498558314</v>
      </c>
    </row>
    <row r="21213" customFormat="false" ht="15" hidden="false" customHeight="false" outlineLevel="0" collapsed="false">
      <c r="A21213" s="3" t="s">
        <v>422</v>
      </c>
      <c r="G21213" s="16" t="n">
        <f aca="false">MAX(0,G21197)+Assumptions!$P$57*MAX(0,Assumptions!$D$57-G21020)+Assumptions!$P$58*MAX(0,Assumptions!$D$58-G21033)+Assumptions!$P$59*MAX(0,Assumptions!$D$59-G21046)+Assumptions!$P$60*MAX(0,Assumptions!$D$60-G21059)+Assumptions!$P$61*MAX(0,Assumptions!$D$61-G21072)+Assumptions!$P$62*MAX(0,Assumptions!$D$62-G21085)+Assumptions!$P$63*MAX(0,Assumptions!$D$63-G21098)+Assumptions!$P$64*MAX(0,Assumptions!$D$64-G21111)+Assumptions!$P$65*MAX(0,Assumptions!$D$65-G21124)+Assumptions!$P$66*MAX(0,Assumptions!$D$66-G21137)</f>
        <v>678.2380446</v>
      </c>
      <c r="H21213" s="16" t="n">
        <f aca="false">MAX(0,H21197)+Assumptions!$P$57*MAX(0,Assumptions!$D$57-H21020)+Assumptions!$P$58*MAX(0,Assumptions!$D$58-H21033)+Assumptions!$P$59*MAX(0,Assumptions!$D$59-H21046)+Assumptions!$P$60*MAX(0,Assumptions!$D$60-H21059)+Assumptions!$P$61*MAX(0,Assumptions!$D$61-H21072)+Assumptions!$P$62*MAX(0,Assumptions!$D$62-H21085)+Assumptions!$P$63*MAX(0,Assumptions!$D$63-H21098)+Assumptions!$P$64*MAX(0,Assumptions!$D$64-H21111)+Assumptions!$P$65*MAX(0,Assumptions!$D$65-H21124)+Assumptions!$P$66*MAX(0,Assumptions!$D$66-H21137)</f>
        <v>574.5</v>
      </c>
      <c r="I21213" s="16" t="n">
        <f aca="false">MAX(0,I21197)+Assumptions!$P$57*MAX(0,Assumptions!$D$57-I21020)+Assumptions!$P$58*MAX(0,Assumptions!$D$58-I21033)+Assumptions!$P$59*MAX(0,Assumptions!$D$59-I21046)+Assumptions!$P$60*MAX(0,Assumptions!$D$60-I21059)+Assumptions!$P$61*MAX(0,Assumptions!$D$61-I21072)+Assumptions!$P$62*MAX(0,Assumptions!$D$62-I21085)+Assumptions!$P$63*MAX(0,Assumptions!$D$63-I21098)+Assumptions!$P$64*MAX(0,Assumptions!$D$64-I21111)+Assumptions!$P$65*MAX(0,Assumptions!$D$65-I21124)+Assumptions!$P$66*MAX(0,Assumptions!$D$66-I21137)</f>
        <v>574.5</v>
      </c>
      <c r="J21213" s="16" t="n">
        <f aca="false">MAX(0,J21197)+Assumptions!$P$57*MAX(0,Assumptions!$D$57-J21020)+Assumptions!$P$58*MAX(0,Assumptions!$D$58-J21033)+Assumptions!$P$59*MAX(0,Assumptions!$D$59-J21046)+Assumptions!$P$60*MAX(0,Assumptions!$D$60-J21059)+Assumptions!$P$61*MAX(0,Assumptions!$D$61-J21072)+Assumptions!$P$62*MAX(0,Assumptions!$D$62-J21085)+Assumptions!$P$63*MAX(0,Assumptions!$D$63-J21098)+Assumptions!$P$64*MAX(0,Assumptions!$D$64-J21111)+Assumptions!$P$65*MAX(0,Assumptions!$D$65-J21124)+Assumptions!$P$66*MAX(0,Assumptions!$D$66-J21137)</f>
        <v>574.5</v>
      </c>
      <c r="K21213" s="16" t="n">
        <f aca="false">MAX(0,K21197)+Assumptions!$P$57*MAX(0,Assumptions!$D$57-K21020)+Assumptions!$P$58*MAX(0,Assumptions!$D$58-K21033)+Assumptions!$P$59*MAX(0,Assumptions!$D$59-K21046)+Assumptions!$P$60*MAX(0,Assumptions!$D$60-K21059)+Assumptions!$P$61*MAX(0,Assumptions!$D$61-K21072)+Assumptions!$P$62*MAX(0,Assumptions!$D$62-K21085)+Assumptions!$P$63*MAX(0,Assumptions!$D$63-K21098)+Assumptions!$P$64*MAX(0,Assumptions!$D$64-K21111)+Assumptions!$P$65*MAX(0,Assumptions!$D$65-K21124)+Assumptions!$P$66*MAX(0,Assumptions!$D$66-K21137)</f>
        <v>574.5</v>
      </c>
    </row>
    <row r="21214" customFormat="false" ht="15" hidden="false" customHeight="false" outlineLevel="0" collapsed="false">
      <c r="A21214" s="3" t="s">
        <v>423</v>
      </c>
      <c r="G21214" s="22" t="n">
        <f aca="false">IF(G21204&gt;0,G21204/(G21204+MAX(0,G20983*CHOOSE($C$20966,Assumptions!$C$90,Assumptions!$C$109,Assumptions!$C$128)-G21206)),0)</f>
        <v>1</v>
      </c>
      <c r="H21214" s="22" t="n">
        <f aca="false">IF(H21204&gt;0,H21204/(H21204+MAX(0,H20983*CHOOSE($C$20966,Assumptions!$C$90,Assumptions!$C$109,Assumptions!$C$128)-H21206)),0)</f>
        <v>1</v>
      </c>
      <c r="I21214" s="22" t="n">
        <f aca="false">IF(I21204&gt;0,I21204/(I21204+MAX(0,I20983*CHOOSE($C$20966,Assumptions!$C$90,Assumptions!$C$109,Assumptions!$C$128)-I21206)),0)</f>
        <v>1</v>
      </c>
      <c r="J21214" s="22" t="n">
        <f aca="false">IF(J21204&gt;0,J21204/(J21204+MAX(0,J20983*CHOOSE($C$20966,Assumptions!$C$90,Assumptions!$C$109,Assumptions!$C$128)-J21206)),0)</f>
        <v>1</v>
      </c>
      <c r="K21214" s="22" t="n">
        <f aca="false">IF(K21204&gt;0,K21204/(K21204+MAX(0,K20983*CHOOSE($C$20966,Assumptions!$C$90,Assumptions!$C$109,Assumptions!$C$128)-K21206)),0)</f>
        <v>0.917219231990501</v>
      </c>
    </row>
    <row r="21215" customFormat="false" ht="15" hidden="false" customHeight="false" outlineLevel="0" collapsed="false">
      <c r="A21215" s="3" t="s">
        <v>424</v>
      </c>
      <c r="G21215" s="22" t="n">
        <f aca="false">IF(G21204&gt;0,MAX(0,G21197)/G21204,0)</f>
        <v>0.0395654675518148</v>
      </c>
      <c r="H21215" s="22" t="n">
        <f aca="false">IF(H21204&gt;0,MAX(0,H21197)/H21204,0)</f>
        <v>0</v>
      </c>
      <c r="I21215" s="22" t="n">
        <f aca="false">IF(I21204&gt;0,MAX(0,I21197)/I21204,0)</f>
        <v>0</v>
      </c>
      <c r="J21215" s="22" t="n">
        <f aca="false">IF(J21204&gt;0,MAX(0,J21197)/J21204,0)</f>
        <v>0</v>
      </c>
      <c r="K21215" s="22" t="n">
        <f aca="false">IF(K21204&gt;0,MAX(0,K21197)/K21204,0)</f>
        <v>0</v>
      </c>
    </row>
    <row r="21216" customFormat="false" ht="15" hidden="false" customHeight="false" outlineLevel="0" collapsed="false">
      <c r="A21216" s="3" t="s">
        <v>425</v>
      </c>
      <c r="G21216" s="16" t="n">
        <f aca="false">Assumptions!$C$31*(1-CHOOSE($C$20966,Assumptions!$C$93,Assumptions!$C$112,Assumptions!$C$131))</f>
        <v>3162.39046666667</v>
      </c>
      <c r="H21216" s="16" t="n">
        <f aca="false">Assumptions!$C$31*(1-CHOOSE($C$20966,Assumptions!$C$93,Assumptions!$C$112,Assumptions!$C$131))</f>
        <v>3162.39046666667</v>
      </c>
      <c r="I21216" s="16" t="n">
        <f aca="false">Assumptions!$C$31*(1-CHOOSE($C$20966,Assumptions!$C$93,Assumptions!$C$112,Assumptions!$C$131))</f>
        <v>3162.39046666667</v>
      </c>
      <c r="J21216" s="16" t="n">
        <f aca="false">Assumptions!$C$31*(1-CHOOSE($C$20966,Assumptions!$C$93,Assumptions!$C$112,Assumptions!$C$131))</f>
        <v>3162.39046666667</v>
      </c>
      <c r="K21216" s="16" t="n">
        <f aca="false">Assumptions!$C$31*(1-CHOOSE($C$20966,Assumptions!$C$93,Assumptions!$C$112,Assumptions!$C$131))</f>
        <v>3162.39046666667</v>
      </c>
    </row>
    <row r="21217" customFormat="false" ht="15" hidden="false" customHeight="false" outlineLevel="0" collapsed="false">
      <c r="A21217" s="24" t="s">
        <v>426</v>
      </c>
      <c r="B21217" s="25"/>
      <c r="C21217" s="25"/>
      <c r="D21217" s="25"/>
      <c r="E21217" s="25"/>
      <c r="F21217" s="25"/>
      <c r="G21217" s="25"/>
      <c r="H21217" s="25"/>
      <c r="I21217" s="25"/>
      <c r="J21217" s="25"/>
      <c r="K21217" s="25"/>
    </row>
    <row r="21218" customFormat="false" ht="15" hidden="false" customHeight="false" outlineLevel="0" collapsed="false">
      <c r="A21218" s="24" t="s">
        <v>427</v>
      </c>
      <c r="B21218" s="25"/>
      <c r="C21218" s="25"/>
      <c r="D21218" s="25"/>
      <c r="E21218" s="25"/>
      <c r="F21218" s="25"/>
      <c r="G21218" s="25"/>
      <c r="H21218" s="25"/>
      <c r="I21218" s="25"/>
      <c r="J21218" s="25"/>
      <c r="K21218" s="25"/>
    </row>
    <row r="21219" customFormat="false" ht="15" hidden="false" customHeight="false" outlineLevel="0" collapsed="false">
      <c r="A21219" s="3" t="s">
        <v>428</v>
      </c>
      <c r="G21219" s="22" t="n">
        <f aca="false">IF(G21216&gt;0,G21204/G21216,99)</f>
        <v>0.829098755399318</v>
      </c>
      <c r="H21219" s="22" t="n">
        <f aca="false">IF(H21216&gt;0,H21204/H21216,99)</f>
        <v>0.808753420476835</v>
      </c>
      <c r="I21219" s="22" t="n">
        <f aca="false">IF(I21216&gt;0,I21204/I21216,99)</f>
        <v>0.807488554533757</v>
      </c>
      <c r="J21219" s="22" t="n">
        <f aca="false">IF(J21216&gt;0,J21204/J21216,99)</f>
        <v>0.806223688590679</v>
      </c>
      <c r="K21219" s="22" t="n">
        <f aca="false">IF(K21216&gt;0,K21204/K21216,99)</f>
        <v>0.804958822647602</v>
      </c>
    </row>
    <row r="21220" customFormat="false" ht="15" hidden="false" customHeight="false" outlineLevel="0" collapsed="false">
      <c r="A21220" s="3" t="s">
        <v>429</v>
      </c>
      <c r="G21220" s="33" t="n">
        <f aca="false">Assumptions!$G$71</f>
        <v>0.6</v>
      </c>
      <c r="H21220" s="33" t="n">
        <f aca="false">Assumptions!$H$71</f>
        <v>0.6</v>
      </c>
      <c r="I21220" s="33" t="n">
        <f aca="false">Assumptions!$I$71</f>
        <v>0.6</v>
      </c>
      <c r="J21220" s="33" t="n">
        <f aca="false">Assumptions!$J$71</f>
        <v>0.6</v>
      </c>
      <c r="K21220" s="33" t="n">
        <f aca="false">Assumptions!$K$71</f>
        <v>0.6</v>
      </c>
    </row>
    <row r="21221" customFormat="false" ht="15" hidden="false" customHeight="false" outlineLevel="0" collapsed="false">
      <c r="A21221" s="3" t="s">
        <v>430</v>
      </c>
      <c r="G21221" s="22" t="n">
        <f aca="false">G21220-G21219</f>
        <v>-0.229098755399318</v>
      </c>
      <c r="H21221" s="22" t="n">
        <f aca="false">H21220-H21219</f>
        <v>-0.208753420476835</v>
      </c>
      <c r="I21221" s="22" t="n">
        <f aca="false">I21220-I21219</f>
        <v>-0.207488554533757</v>
      </c>
      <c r="J21221" s="22" t="n">
        <f aca="false">J21220-J21219</f>
        <v>-0.206223688590679</v>
      </c>
      <c r="K21221" s="22" t="n">
        <f aca="false">K21220-K21219</f>
        <v>-0.204958822647602</v>
      </c>
    </row>
    <row r="21222" customFormat="false" ht="15" hidden="false" customHeight="false" outlineLevel="0" collapsed="false">
      <c r="A21222" s="3" t="s">
        <v>431</v>
      </c>
      <c r="G21222" s="22" t="n">
        <f aca="false">IF(G21220=0,0,G21221/ABS(G21220))</f>
        <v>-0.381831258998863</v>
      </c>
      <c r="H21222" s="22" t="n">
        <f aca="false">IF(H21220=0,0,H21221/ABS(H21220))</f>
        <v>-0.347922367461391</v>
      </c>
      <c r="I21222" s="22" t="n">
        <f aca="false">IF(I21220=0,0,I21221/ABS(I21220))</f>
        <v>-0.345814257556262</v>
      </c>
      <c r="J21222" s="22" t="n">
        <f aca="false">IF(J21220=0,0,J21221/ABS(J21220))</f>
        <v>-0.343706147651132</v>
      </c>
      <c r="K21222" s="22" t="n">
        <f aca="false">IF(K21220=0,0,K21221/ABS(K21220))</f>
        <v>-0.341598037746003</v>
      </c>
    </row>
    <row r="21223" customFormat="false" ht="15" hidden="false" customHeight="false" outlineLevel="0" collapsed="false">
      <c r="A21223" s="3" t="s">
        <v>432</v>
      </c>
      <c r="G21223" s="21" t="n">
        <f aca="false">IF(G21221&lt;0,1,0)</f>
        <v>1</v>
      </c>
      <c r="H21223" s="21" t="n">
        <f aca="false">IF(H21221&lt;0,1,0)</f>
        <v>1</v>
      </c>
      <c r="I21223" s="21" t="n">
        <f aca="false">IF(I21221&lt;0,1,0)</f>
        <v>1</v>
      </c>
      <c r="J21223" s="21" t="n">
        <f aca="false">IF(J21221&lt;0,1,0)</f>
        <v>1</v>
      </c>
      <c r="K21223" s="21" t="n">
        <f aca="false">IF(K21221&lt;0,1,0)</f>
        <v>1</v>
      </c>
    </row>
    <row r="21224" customFormat="false" ht="15" hidden="false" customHeight="false" outlineLevel="0" collapsed="false">
      <c r="A21224" s="3" t="s">
        <v>433</v>
      </c>
      <c r="C21224" s="21" t="n">
        <f aca="false">IFERROR(INDEX($G$20973:$K$20973,MATCH(1,$G$21223:$K$21223,0)),0)</f>
        <v>2027</v>
      </c>
    </row>
    <row r="21225" customFormat="false" ht="15" hidden="false" customHeight="false" outlineLevel="0" collapsed="false">
      <c r="A21225" s="3" t="s">
        <v>434</v>
      </c>
      <c r="C21225" s="22" t="n">
        <f aca="false">MIN($G$21222:$K$21222)</f>
        <v>-0.381831258998863</v>
      </c>
    </row>
    <row r="21226" customFormat="false" ht="15" hidden="false" customHeight="false" outlineLevel="0" collapsed="false">
      <c r="A21226" s="24" t="s">
        <v>435</v>
      </c>
      <c r="B21226" s="25"/>
      <c r="C21226" s="25"/>
      <c r="D21226" s="25"/>
      <c r="E21226" s="25"/>
      <c r="F21226" s="25"/>
      <c r="G21226" s="25"/>
      <c r="H21226" s="25"/>
      <c r="I21226" s="25"/>
      <c r="J21226" s="25"/>
      <c r="K21226" s="25"/>
    </row>
    <row r="21227" customFormat="false" ht="15" hidden="false" customHeight="false" outlineLevel="0" collapsed="false">
      <c r="A21227" s="3" t="s">
        <v>428</v>
      </c>
      <c r="G21227" s="32" t="n">
        <f aca="false">IF(G20987&gt;0,G20983/G20987,99)</f>
        <v>1.17806564902635</v>
      </c>
      <c r="H21227" s="32" t="n">
        <f aca="false">IF(H20987&gt;0,H20983/H20987,99)</f>
        <v>1.14129908234237</v>
      </c>
      <c r="I21227" s="32" t="n">
        <f aca="false">IF(I20987&gt;0,I20983/I20987,99)</f>
        <v>1.23274504705152</v>
      </c>
      <c r="J21227" s="32" t="n">
        <f aca="false">IF(J20987&gt;0,J20983/J20987,99)</f>
        <v>1.37538703393216</v>
      </c>
      <c r="K21227" s="32" t="n">
        <f aca="false">IF(K20987&gt;0,K20983/K20987,99)</f>
        <v>1.56608115659498</v>
      </c>
    </row>
    <row r="21228" customFormat="false" ht="15" hidden="false" customHeight="false" outlineLevel="0" collapsed="false">
      <c r="A21228" s="3" t="s">
        <v>429</v>
      </c>
      <c r="G21228" s="34" t="n">
        <f aca="false">Assumptions!$G$72</f>
        <v>1.5</v>
      </c>
      <c r="H21228" s="34" t="n">
        <f aca="false">Assumptions!$H$72</f>
        <v>1.5</v>
      </c>
      <c r="I21228" s="34" t="n">
        <f aca="false">Assumptions!$I$72</f>
        <v>1.5</v>
      </c>
      <c r="J21228" s="34" t="n">
        <f aca="false">Assumptions!$J$72</f>
        <v>1.5</v>
      </c>
      <c r="K21228" s="34" t="n">
        <f aca="false">Assumptions!$K$72</f>
        <v>1.5</v>
      </c>
    </row>
    <row r="21229" customFormat="false" ht="15" hidden="false" customHeight="false" outlineLevel="0" collapsed="false">
      <c r="A21229" s="3" t="s">
        <v>430</v>
      </c>
      <c r="G21229" s="32" t="n">
        <f aca="false">G21227-G21228</f>
        <v>-0.321934350973652</v>
      </c>
      <c r="H21229" s="32" t="n">
        <f aca="false">H21227-H21228</f>
        <v>-0.358700917657627</v>
      </c>
      <c r="I21229" s="32" t="n">
        <f aca="false">I21227-I21228</f>
        <v>-0.267254952948484</v>
      </c>
      <c r="J21229" s="32" t="n">
        <f aca="false">J21227-J21228</f>
        <v>-0.124612966067835</v>
      </c>
      <c r="K21229" s="32" t="n">
        <f aca="false">K21227-K21228</f>
        <v>0.0660811565949826</v>
      </c>
    </row>
    <row r="21230" customFormat="false" ht="15" hidden="false" customHeight="false" outlineLevel="0" collapsed="false">
      <c r="A21230" s="3" t="s">
        <v>431</v>
      </c>
      <c r="G21230" s="22" t="n">
        <f aca="false">IF(G21228=0,0,G21229/ABS(G21228))</f>
        <v>-0.214622900649101</v>
      </c>
      <c r="H21230" s="22" t="n">
        <f aca="false">IF(H21228=0,0,H21229/ABS(H21228))</f>
        <v>-0.239133945105085</v>
      </c>
      <c r="I21230" s="22" t="n">
        <f aca="false">IF(I21228=0,0,I21229/ABS(I21228))</f>
        <v>-0.178169968632323</v>
      </c>
      <c r="J21230" s="22" t="n">
        <f aca="false">IF(J21228=0,0,J21229/ABS(J21228))</f>
        <v>-0.0830753107118902</v>
      </c>
      <c r="K21230" s="22" t="n">
        <f aca="false">IF(K21228=0,0,K21229/ABS(K21228))</f>
        <v>0.0440541043966551</v>
      </c>
    </row>
    <row r="21231" customFormat="false" ht="15" hidden="false" customHeight="false" outlineLevel="0" collapsed="false">
      <c r="A21231" s="3" t="s">
        <v>432</v>
      </c>
      <c r="G21231" s="21" t="n">
        <f aca="false">IF(G21229&lt;0,1,0)</f>
        <v>1</v>
      </c>
      <c r="H21231" s="21" t="n">
        <f aca="false">IF(H21229&lt;0,1,0)</f>
        <v>1</v>
      </c>
      <c r="I21231" s="21" t="n">
        <f aca="false">IF(I21229&lt;0,1,0)</f>
        <v>1</v>
      </c>
      <c r="J21231" s="21" t="n">
        <f aca="false">IF(J21229&lt;0,1,0)</f>
        <v>1</v>
      </c>
      <c r="K21231" s="21" t="n">
        <f aca="false">IF(K21229&lt;0,1,0)</f>
        <v>0</v>
      </c>
    </row>
    <row r="21232" customFormat="false" ht="15" hidden="false" customHeight="false" outlineLevel="0" collapsed="false">
      <c r="A21232" s="3" t="s">
        <v>433</v>
      </c>
      <c r="C21232" s="21" t="n">
        <f aca="false">IFERROR(INDEX($G$20973:$K$20973,MATCH(1,$G$21231:$K$21231,0)),0)</f>
        <v>2027</v>
      </c>
    </row>
    <row r="21233" customFormat="false" ht="15" hidden="false" customHeight="false" outlineLevel="0" collapsed="false">
      <c r="A21233" s="3" t="s">
        <v>434</v>
      </c>
      <c r="C21233" s="22" t="n">
        <f aca="false">MIN($G$21230:$K$21230)</f>
        <v>-0.239133945105085</v>
      </c>
    </row>
    <row r="21234" customFormat="false" ht="15" hidden="false" customHeight="false" outlineLevel="0" collapsed="false">
      <c r="A21234" s="24" t="s">
        <v>436</v>
      </c>
      <c r="B21234" s="25"/>
      <c r="C21234" s="25"/>
      <c r="D21234" s="25"/>
      <c r="E21234" s="25"/>
      <c r="F21234" s="25"/>
      <c r="G21234" s="25"/>
      <c r="H21234" s="25"/>
      <c r="I21234" s="25"/>
      <c r="J21234" s="25"/>
      <c r="K21234" s="25"/>
    </row>
    <row r="21235" customFormat="false" ht="15" hidden="false" customHeight="false" outlineLevel="0" collapsed="false">
      <c r="A21235" s="3" t="s">
        <v>428</v>
      </c>
      <c r="G21235" s="22" t="n">
        <f aca="false">IF(G21216&gt;0,G21205/G21216,99)</f>
        <v>0.171808005914176</v>
      </c>
      <c r="H21235" s="22" t="n">
        <f aca="false">IF(H21216&gt;0,H21205/H21216,99)</f>
        <v>0.170543139971098</v>
      </c>
      <c r="I21235" s="22" t="n">
        <f aca="false">IF(I21216&gt;0,I21205/I21216,99)</f>
        <v>0.169278274028021</v>
      </c>
      <c r="J21235" s="22" t="n">
        <f aca="false">IF(J21216&gt;0,J21205/J21216,99)</f>
        <v>0.168013408084943</v>
      </c>
      <c r="K21235" s="22" t="n">
        <f aca="false">IF(K21216&gt;0,K21205/K21216,99)</f>
        <v>0.166748542141865</v>
      </c>
    </row>
    <row r="21236" customFormat="false" ht="15" hidden="false" customHeight="false" outlineLevel="0" collapsed="false">
      <c r="A21236" s="3" t="s">
        <v>429</v>
      </c>
      <c r="G21236" s="33" t="n">
        <f aca="false">Assumptions!$G$73</f>
        <v>0.4</v>
      </c>
      <c r="H21236" s="33" t="n">
        <f aca="false">Assumptions!$H$73</f>
        <v>0.4</v>
      </c>
      <c r="I21236" s="33" t="n">
        <f aca="false">Assumptions!$I$73</f>
        <v>0.4</v>
      </c>
      <c r="J21236" s="33" t="n">
        <f aca="false">Assumptions!$J$73</f>
        <v>0.4</v>
      </c>
      <c r="K21236" s="33" t="n">
        <f aca="false">Assumptions!$K$73</f>
        <v>0.4</v>
      </c>
    </row>
    <row r="21237" customFormat="false" ht="15" hidden="false" customHeight="false" outlineLevel="0" collapsed="false">
      <c r="A21237" s="3" t="s">
        <v>430</v>
      </c>
      <c r="G21237" s="22" t="n">
        <f aca="false">G21236-G21235</f>
        <v>0.228191994085824</v>
      </c>
      <c r="H21237" s="22" t="n">
        <f aca="false">H21236-H21235</f>
        <v>0.229456860028902</v>
      </c>
      <c r="I21237" s="22" t="n">
        <f aca="false">I21236-I21235</f>
        <v>0.230721725971979</v>
      </c>
      <c r="J21237" s="22" t="n">
        <f aca="false">J21236-J21235</f>
        <v>0.231986591915057</v>
      </c>
      <c r="K21237" s="22" t="n">
        <f aca="false">K21236-K21235</f>
        <v>0.233251457858135</v>
      </c>
    </row>
    <row r="21238" customFormat="false" ht="15" hidden="false" customHeight="false" outlineLevel="0" collapsed="false">
      <c r="A21238" s="3" t="s">
        <v>431</v>
      </c>
      <c r="G21238" s="22" t="n">
        <f aca="false">IF(G21236=0,0,G21237/ABS(G21236))</f>
        <v>0.57047998521456</v>
      </c>
      <c r="H21238" s="22" t="n">
        <f aca="false">IF(H21236=0,0,H21237/ABS(H21236))</f>
        <v>0.573642150072254</v>
      </c>
      <c r="I21238" s="22" t="n">
        <f aca="false">IF(I21236=0,0,I21237/ABS(I21236))</f>
        <v>0.576804314929948</v>
      </c>
      <c r="J21238" s="22" t="n">
        <f aca="false">IF(J21236=0,0,J21237/ABS(J21236))</f>
        <v>0.579966479787643</v>
      </c>
      <c r="K21238" s="22" t="n">
        <f aca="false">IF(K21236=0,0,K21237/ABS(K21236))</f>
        <v>0.583128644645337</v>
      </c>
    </row>
    <row r="21239" customFormat="false" ht="15" hidden="false" customHeight="false" outlineLevel="0" collapsed="false">
      <c r="A21239" s="3" t="s">
        <v>432</v>
      </c>
      <c r="G21239" s="21" t="n">
        <f aca="false">IF(G21237&lt;0,1,0)</f>
        <v>0</v>
      </c>
      <c r="H21239" s="21" t="n">
        <f aca="false">IF(H21237&lt;0,1,0)</f>
        <v>0</v>
      </c>
      <c r="I21239" s="21" t="n">
        <f aca="false">IF(I21237&lt;0,1,0)</f>
        <v>0</v>
      </c>
      <c r="J21239" s="21" t="n">
        <f aca="false">IF(J21237&lt;0,1,0)</f>
        <v>0</v>
      </c>
      <c r="K21239" s="21" t="n">
        <f aca="false">IF(K21237&lt;0,1,0)</f>
        <v>0</v>
      </c>
    </row>
    <row r="21240" customFormat="false" ht="15" hidden="false" customHeight="false" outlineLevel="0" collapsed="false">
      <c r="A21240" s="3" t="s">
        <v>433</v>
      </c>
      <c r="C21240" s="21" t="n">
        <f aca="false">IFERROR(INDEX($G$20973:$K$20973,MATCH(1,$G$21239:$K$21239,0)),0)</f>
        <v>0</v>
      </c>
    </row>
    <row r="21241" customFormat="false" ht="15" hidden="false" customHeight="false" outlineLevel="0" collapsed="false">
      <c r="A21241" s="3" t="s">
        <v>434</v>
      </c>
      <c r="C21241" s="22" t="n">
        <f aca="false">MIN($G$21238:$K$21238)</f>
        <v>0.57047998521456</v>
      </c>
    </row>
    <row r="21242" customFormat="false" ht="15" hidden="false" customHeight="false" outlineLevel="0" collapsed="false">
      <c r="A21242" s="24" t="s">
        <v>437</v>
      </c>
      <c r="B21242" s="25"/>
      <c r="C21242" s="25"/>
      <c r="D21242" s="25"/>
      <c r="E21242" s="25"/>
      <c r="F21242" s="25"/>
      <c r="G21242" s="25"/>
      <c r="H21242" s="25"/>
      <c r="I21242" s="25"/>
      <c r="J21242" s="25"/>
      <c r="K21242" s="25"/>
    </row>
    <row r="21243" customFormat="false" ht="15" hidden="false" customHeight="false" outlineLevel="0" collapsed="false">
      <c r="A21243" s="3" t="s">
        <v>428</v>
      </c>
      <c r="G21243" s="16" t="n">
        <f aca="false">G21213</f>
        <v>678.2380446</v>
      </c>
      <c r="H21243" s="16" t="n">
        <f aca="false">H21213</f>
        <v>574.5</v>
      </c>
      <c r="I21243" s="16" t="n">
        <f aca="false">I21213</f>
        <v>574.5</v>
      </c>
      <c r="J21243" s="16" t="n">
        <f aca="false">J21213</f>
        <v>574.5</v>
      </c>
      <c r="K21243" s="16" t="n">
        <f aca="false">K21213</f>
        <v>574.5</v>
      </c>
    </row>
    <row r="21244" customFormat="false" ht="15" hidden="false" customHeight="false" outlineLevel="0" collapsed="false">
      <c r="A21244" s="3" t="s">
        <v>429</v>
      </c>
      <c r="G21244" s="29" t="n">
        <f aca="false">Assumptions!$G$74</f>
        <v>100</v>
      </c>
      <c r="H21244" s="29" t="n">
        <f aca="false">Assumptions!$H$74</f>
        <v>100</v>
      </c>
      <c r="I21244" s="29" t="n">
        <f aca="false">Assumptions!$I$74</f>
        <v>100</v>
      </c>
      <c r="J21244" s="29" t="n">
        <f aca="false">Assumptions!$J$74</f>
        <v>100</v>
      </c>
      <c r="K21244" s="29" t="n">
        <f aca="false">Assumptions!$K$74</f>
        <v>100</v>
      </c>
    </row>
    <row r="21245" customFormat="false" ht="15" hidden="false" customHeight="false" outlineLevel="0" collapsed="false">
      <c r="A21245" s="3" t="s">
        <v>430</v>
      </c>
      <c r="G21245" s="16" t="n">
        <f aca="false">G21243-G21244</f>
        <v>578.2380446</v>
      </c>
      <c r="H21245" s="16" t="n">
        <f aca="false">H21243-H21244</f>
        <v>474.5</v>
      </c>
      <c r="I21245" s="16" t="n">
        <f aca="false">I21243-I21244</f>
        <v>474.5</v>
      </c>
      <c r="J21245" s="16" t="n">
        <f aca="false">J21243-J21244</f>
        <v>474.5</v>
      </c>
      <c r="K21245" s="16" t="n">
        <f aca="false">K21243-K21244</f>
        <v>474.5</v>
      </c>
    </row>
    <row r="21246" customFormat="false" ht="15" hidden="false" customHeight="false" outlineLevel="0" collapsed="false">
      <c r="A21246" s="3" t="s">
        <v>431</v>
      </c>
      <c r="G21246" s="22" t="n">
        <f aca="false">IF(G21244=0,0,G21245/ABS(G21244))</f>
        <v>5.782380446</v>
      </c>
      <c r="H21246" s="22" t="n">
        <f aca="false">IF(H21244=0,0,H21245/ABS(H21244))</f>
        <v>4.745</v>
      </c>
      <c r="I21246" s="22" t="n">
        <f aca="false">IF(I21244=0,0,I21245/ABS(I21244))</f>
        <v>4.745</v>
      </c>
      <c r="J21246" s="22" t="n">
        <f aca="false">IF(J21244=0,0,J21245/ABS(J21244))</f>
        <v>4.745</v>
      </c>
      <c r="K21246" s="22" t="n">
        <f aca="false">IF(K21244=0,0,K21245/ABS(K21244))</f>
        <v>4.745</v>
      </c>
    </row>
    <row r="21247" customFormat="false" ht="15" hidden="false" customHeight="false" outlineLevel="0" collapsed="false">
      <c r="A21247" s="3" t="s">
        <v>432</v>
      </c>
      <c r="G21247" s="21" t="n">
        <f aca="false">IF(G21245&lt;0,1,0)</f>
        <v>0</v>
      </c>
      <c r="H21247" s="21" t="n">
        <f aca="false">IF(H21245&lt;0,1,0)</f>
        <v>0</v>
      </c>
      <c r="I21247" s="21" t="n">
        <f aca="false">IF(I21245&lt;0,1,0)</f>
        <v>0</v>
      </c>
      <c r="J21247" s="21" t="n">
        <f aca="false">IF(J21245&lt;0,1,0)</f>
        <v>0</v>
      </c>
      <c r="K21247" s="21" t="n">
        <f aca="false">IF(K21245&lt;0,1,0)</f>
        <v>0</v>
      </c>
    </row>
    <row r="21248" customFormat="false" ht="15" hidden="false" customHeight="false" outlineLevel="0" collapsed="false">
      <c r="A21248" s="3" t="s">
        <v>433</v>
      </c>
      <c r="C21248" s="21" t="n">
        <f aca="false">IFERROR(INDEX($G$20973:$K$20973,MATCH(1,$G$21247:$K$21247,0)),0)</f>
        <v>0</v>
      </c>
    </row>
    <row r="21249" customFormat="false" ht="15" hidden="false" customHeight="false" outlineLevel="0" collapsed="false">
      <c r="A21249" s="3" t="s">
        <v>434</v>
      </c>
      <c r="C21249" s="22" t="n">
        <f aca="false">MIN($G$21246:$K$21246)</f>
        <v>4.745</v>
      </c>
    </row>
    <row r="21250" customFormat="false" ht="15" hidden="false" customHeight="false" outlineLevel="0" collapsed="false">
      <c r="A21250" s="24" t="s">
        <v>438</v>
      </c>
      <c r="B21250" s="25"/>
      <c r="C21250" s="25"/>
      <c r="D21250" s="25"/>
      <c r="E21250" s="25"/>
      <c r="F21250" s="25"/>
      <c r="G21250" s="25"/>
      <c r="H21250" s="25"/>
      <c r="I21250" s="25"/>
      <c r="J21250" s="25"/>
      <c r="K21250" s="25"/>
    </row>
    <row r="21251" customFormat="false" ht="15" hidden="false" customHeight="false" outlineLevel="0" collapsed="false">
      <c r="A21251" s="3" t="s">
        <v>428</v>
      </c>
      <c r="G21251" s="32" t="n">
        <f aca="false">IF(G20983&gt;0,G21206/G20983,99)</f>
        <v>10.9862289976706</v>
      </c>
      <c r="H21251" s="32" t="n">
        <f aca="false">IF(H20983&gt;0,H21206/H20983,99)</f>
        <v>11.5889182461145</v>
      </c>
      <c r="I21251" s="32" t="n">
        <f aca="false">IF(I20983&gt;0,I21206/I20983,99)</f>
        <v>11.0752655734122</v>
      </c>
      <c r="J21251" s="32" t="n">
        <f aca="false">IF(J20983&gt;0,J21206/J20983,99)</f>
        <v>9.98074221373143</v>
      </c>
      <c r="K21251" s="32" t="n">
        <f aca="false">IF(K20983&gt;0,K21206/K20983,99)</f>
        <v>8.72129480876738</v>
      </c>
    </row>
    <row r="21252" customFormat="false" ht="15" hidden="false" customHeight="false" outlineLevel="0" collapsed="false">
      <c r="A21252" s="3" t="s">
        <v>429</v>
      </c>
      <c r="G21252" s="34" t="n">
        <f aca="false">Assumptions!$G$75</f>
        <v>10.5</v>
      </c>
      <c r="H21252" s="34" t="n">
        <f aca="false">Assumptions!$H$75</f>
        <v>10.5</v>
      </c>
      <c r="I21252" s="34" t="n">
        <f aca="false">Assumptions!$I$75</f>
        <v>10</v>
      </c>
      <c r="J21252" s="34" t="n">
        <f aca="false">Assumptions!$J$75</f>
        <v>10</v>
      </c>
      <c r="K21252" s="34" t="n">
        <f aca="false">Assumptions!$K$75</f>
        <v>9.5</v>
      </c>
    </row>
    <row r="21253" customFormat="false" ht="15" hidden="false" customHeight="false" outlineLevel="0" collapsed="false">
      <c r="A21253" s="3" t="s">
        <v>430</v>
      </c>
      <c r="G21253" s="32" t="n">
        <f aca="false">G21252-G21251</f>
        <v>-0.486228997670558</v>
      </c>
      <c r="H21253" s="32" t="n">
        <f aca="false">H21252-H21251</f>
        <v>-1.08891824611455</v>
      </c>
      <c r="I21253" s="32" t="n">
        <f aca="false">I21252-I21251</f>
        <v>-1.07526557341217</v>
      </c>
      <c r="J21253" s="32" t="n">
        <f aca="false">J21252-J21251</f>
        <v>0.0192577862685717</v>
      </c>
      <c r="K21253" s="32" t="n">
        <f aca="false">K21252-K21251</f>
        <v>0.778705191232618</v>
      </c>
    </row>
    <row r="21254" customFormat="false" ht="15" hidden="false" customHeight="false" outlineLevel="0" collapsed="false">
      <c r="A21254" s="3" t="s">
        <v>431</v>
      </c>
      <c r="G21254" s="22" t="n">
        <f aca="false">IF(G21252=0,0,G21253/ABS(G21252))</f>
        <v>-0.0463075235876722</v>
      </c>
      <c r="H21254" s="22" t="n">
        <f aca="false">IF(H21252=0,0,H21253/ABS(H21252))</f>
        <v>-0.103706499629957</v>
      </c>
      <c r="I21254" s="22" t="n">
        <f aca="false">IF(I21252=0,0,I21253/ABS(I21252))</f>
        <v>-0.107526557341217</v>
      </c>
      <c r="J21254" s="22" t="n">
        <f aca="false">IF(J21252=0,0,J21253/ABS(J21252))</f>
        <v>0.00192577862685717</v>
      </c>
      <c r="K21254" s="22" t="n">
        <f aca="false">IF(K21252=0,0,K21253/ABS(K21252))</f>
        <v>0.0819689674981703</v>
      </c>
    </row>
    <row r="21255" customFormat="false" ht="15" hidden="false" customHeight="false" outlineLevel="0" collapsed="false">
      <c r="A21255" s="3" t="s">
        <v>432</v>
      </c>
      <c r="G21255" s="21" t="n">
        <f aca="false">IF(G21253&lt;0,1,0)</f>
        <v>1</v>
      </c>
      <c r="H21255" s="21" t="n">
        <f aca="false">IF(H21253&lt;0,1,0)</f>
        <v>1</v>
      </c>
      <c r="I21255" s="21" t="n">
        <f aca="false">IF(I21253&lt;0,1,0)</f>
        <v>1</v>
      </c>
      <c r="J21255" s="21" t="n">
        <f aca="false">IF(J21253&lt;0,1,0)</f>
        <v>0</v>
      </c>
      <c r="K21255" s="21" t="n">
        <f aca="false">IF(K21253&lt;0,1,0)</f>
        <v>0</v>
      </c>
    </row>
    <row r="21256" customFormat="false" ht="15" hidden="false" customHeight="false" outlineLevel="0" collapsed="false">
      <c r="A21256" s="3" t="s">
        <v>433</v>
      </c>
      <c r="C21256" s="21" t="n">
        <f aca="false">IFERROR(INDEX($G$20973:$K$20973,MATCH(1,$G$21255:$K$21255,0)),0)</f>
        <v>2027</v>
      </c>
    </row>
    <row r="21257" customFormat="false" ht="15" hidden="false" customHeight="false" outlineLevel="0" collapsed="false">
      <c r="A21257" s="3" t="s">
        <v>434</v>
      </c>
      <c r="C21257" s="22" t="n">
        <f aca="false">MIN($G$21254:$K$21254)</f>
        <v>-0.107526557341217</v>
      </c>
    </row>
    <row r="21258" customFormat="false" ht="15" hidden="false" customHeight="false" outlineLevel="0" collapsed="false">
      <c r="A21258" s="3" t="s">
        <v>439</v>
      </c>
      <c r="G21258" s="21" t="n">
        <f aca="false">G21223+G21231+G21239+G21247+G21255</f>
        <v>3</v>
      </c>
      <c r="H21258" s="21" t="n">
        <f aca="false">H21223+H21231+H21239+H21247+H21255</f>
        <v>3</v>
      </c>
      <c r="I21258" s="21" t="n">
        <f aca="false">I21223+I21231+I21239+I21247+I21255</f>
        <v>3</v>
      </c>
      <c r="J21258" s="21" t="n">
        <f aca="false">J21223+J21231+J21239+J21247+J21255</f>
        <v>2</v>
      </c>
      <c r="K21258" s="21" t="n">
        <f aca="false">K21223+K21231+K21239+K21247+K21255</f>
        <v>1</v>
      </c>
    </row>
    <row r="21259" customFormat="false" ht="15" hidden="false" customHeight="false" outlineLevel="0" collapsed="false">
      <c r="A21259" s="3" t="s">
        <v>440</v>
      </c>
      <c r="C21259" s="21" t="n">
        <f aca="false">SUM($G$21258:$K$21258)</f>
        <v>12</v>
      </c>
    </row>
    <row r="21260" customFormat="false" ht="15" hidden="false" customHeight="false" outlineLevel="0" collapsed="false">
      <c r="A21260" s="3" t="s">
        <v>441</v>
      </c>
      <c r="C21260" s="22" t="n">
        <f aca="false">MIN(C21225,C21233,C21241,C21249,C21257)</f>
        <v>-0.381831258998863</v>
      </c>
    </row>
    <row r="21262" customFormat="false" ht="15" hidden="false" customHeight="false" outlineLevel="0" collapsed="false">
      <c r="A21262" s="24" t="s">
        <v>543</v>
      </c>
      <c r="B21262" s="25"/>
      <c r="C21262" s="25"/>
      <c r="D21262" s="25"/>
      <c r="E21262" s="25"/>
      <c r="F21262" s="25"/>
      <c r="G21262" s="25"/>
      <c r="H21262" s="25"/>
      <c r="I21262" s="25"/>
      <c r="J21262" s="25"/>
      <c r="K21262" s="25"/>
    </row>
    <row r="21263" customFormat="false" ht="15" hidden="false" customHeight="false" outlineLevel="0" collapsed="false">
      <c r="A21263" s="3" t="s">
        <v>544</v>
      </c>
      <c r="G21263" s="21" t="n">
        <f aca="false">IF($C$21264=1,G21200,IF(G20983=MIN($G$20983:$K$20983),1,0))</f>
        <v>0</v>
      </c>
      <c r="H21263" s="21" t="n">
        <f aca="false">IF($C$21264=1,H21200,IF(AND(H20983=MIN($G$20983:$K$20983),SUM($G$21263:G21263)=0),1,0))</f>
        <v>1</v>
      </c>
      <c r="I21263" s="21" t="n">
        <f aca="false">IF($C$21264=1,I21200,IF(AND(I20983=MIN($G$20983:$K$20983),SUM($G$21263:H21263)=0),1,0))</f>
        <v>0</v>
      </c>
      <c r="J21263" s="21" t="n">
        <f aca="false">IF($C$21264=1,J21200,IF(AND(J20983=MIN($G$20983:$K$20983),SUM($G$21263:I21263)=0),1,0))</f>
        <v>0</v>
      </c>
      <c r="K21263" s="21" t="n">
        <f aca="false">IF($C$21264=1,K21200,IF(AND(K20983=MIN($G$20983:$K$20983),SUM($G$21263:J21263)=0),1,0))</f>
        <v>0</v>
      </c>
    </row>
    <row r="21264" customFormat="false" ht="15" hidden="false" customHeight="false" outlineLevel="0" collapsed="false">
      <c r="A21264" s="3" t="s">
        <v>545</v>
      </c>
      <c r="C21264" s="21" t="n">
        <f aca="false">IF(SUM($G$21200:$K$21200)&gt;0,1,0)</f>
        <v>1</v>
      </c>
    </row>
    <row r="21265" customFormat="false" ht="15" hidden="false" customHeight="false" outlineLevel="0" collapsed="false">
      <c r="A21265" s="3" t="s">
        <v>546</v>
      </c>
      <c r="C21265" s="21" t="n">
        <f aca="false">SUMPRODUCT($G$21263:$K$21263,$G$20973:$K$20973)</f>
        <v>2028</v>
      </c>
    </row>
    <row r="21266" customFormat="false" ht="15" hidden="false" customHeight="false" outlineLevel="0" collapsed="false">
      <c r="A21266" s="3" t="s">
        <v>547</v>
      </c>
      <c r="C21266" s="16" t="n">
        <f aca="false">SUMPRODUCT($G$21263:$K$21263,$G$20983:$K$20983)</f>
        <v>220.6930839</v>
      </c>
    </row>
    <row r="21267" customFormat="false" ht="15" hidden="false" customHeight="false" outlineLevel="0" collapsed="false">
      <c r="A21267" s="3" t="s">
        <v>548</v>
      </c>
      <c r="C21267" s="16" t="n">
        <f aca="false">MAX(0,SUMPRODUCT($G$21263:$K$21263,$G$21197:$K$21197))</f>
        <v>0</v>
      </c>
    </row>
    <row r="21268" customFormat="false" ht="15" hidden="false" customHeight="false" outlineLevel="0" collapsed="false">
      <c r="A21268" s="3" t="s">
        <v>549</v>
      </c>
      <c r="C21268" s="16" t="n">
        <f aca="false">(CHOOSE($C$20966,Assumptions!$C$92,Assumptions!$C$111,Assumptions!$C$130)+$C$20970)*C21266</f>
        <v>1765.5446712</v>
      </c>
    </row>
    <row r="21269" customFormat="false" ht="15" hidden="false" customHeight="false" outlineLevel="0" collapsed="false">
      <c r="A21269" s="3" t="s">
        <v>550</v>
      </c>
      <c r="C21269" s="16" t="n">
        <f aca="false">Assumptions!$C$31*(1-CHOOSE($C$20966,Assumptions!$C$93,Assumptions!$C$112,Assumptions!$C$131))*CHOOSE($C$20966,Assumptions!$C$94,Assumptions!$C$113,Assumptions!$C$132)</f>
        <v>2688.03189666667</v>
      </c>
    </row>
    <row r="21270" customFormat="false" ht="15" hidden="false" customHeight="false" outlineLevel="0" collapsed="false">
      <c r="A21270" s="3" t="s">
        <v>551</v>
      </c>
      <c r="C21270" s="16" t="n">
        <f aca="false">MAX(C21268,C21269)+C21267</f>
        <v>2688.03189666667</v>
      </c>
    </row>
    <row r="21271" customFormat="false" ht="15" hidden="false" customHeight="false" outlineLevel="0" collapsed="false">
      <c r="A21271" s="2" t="s">
        <v>552</v>
      </c>
      <c r="C21271" s="17" t="n">
        <f aca="false">IF(ISNUMBER(Assumptions!$C$14),Assumptions!$C$14,C21270)</f>
        <v>2688.03189666667</v>
      </c>
    </row>
    <row r="21272" customFormat="false" ht="15" hidden="false" customHeight="false" outlineLevel="0" collapsed="false">
      <c r="A21272" s="3" t="s">
        <v>553</v>
      </c>
      <c r="C21272" s="16" t="n">
        <f aca="false">C21271*Assumptions!$C$15</f>
        <v>107.521275866667</v>
      </c>
    </row>
    <row r="21273" customFormat="false" ht="15" hidden="false" customHeight="false" outlineLevel="0" collapsed="false">
      <c r="A21273" s="2" t="s">
        <v>554</v>
      </c>
      <c r="C21273" s="17" t="n">
        <f aca="false">C21271-C21272</f>
        <v>2580.5106208</v>
      </c>
    </row>
    <row r="21274" customFormat="false" ht="15" hidden="false" customHeight="false" outlineLevel="0" collapsed="false">
      <c r="A21274" s="24" t="s">
        <v>555</v>
      </c>
      <c r="B21274" s="25"/>
      <c r="C21274" s="25"/>
      <c r="D21274" s="25"/>
      <c r="E21274" s="25"/>
      <c r="F21274" s="25"/>
      <c r="G21274" s="25"/>
      <c r="H21274" s="25"/>
      <c r="I21274" s="25"/>
      <c r="J21274" s="25"/>
      <c r="K21274" s="25"/>
    </row>
    <row r="21275" customFormat="false" ht="15" hidden="false" customHeight="false" outlineLevel="0" collapsed="false">
      <c r="A21275" s="3" t="s">
        <v>556</v>
      </c>
      <c r="C21275" s="16" t="n">
        <f aca="false">SUMPRODUCT($G$21263:$K$21263,$G$21020:$K$21020)*(1+SUMPRODUCT($G$21263:$K$21263,$G$21012:$K$21012)*Assumptions!$C$16/12)</f>
        <v>403.76</v>
      </c>
    </row>
    <row r="21276" customFormat="false" ht="15" hidden="false" customHeight="false" outlineLevel="0" collapsed="false">
      <c r="A21276" s="3" t="s">
        <v>557</v>
      </c>
      <c r="C21276" s="16" t="n">
        <f aca="false">SUMPRODUCT($G$21263:$K$21263,$G$21033:$K$21033)*(1+SUMPRODUCT($G$21263:$K$21263,$G$21025:$K$21025)*Assumptions!$C$16/12)</f>
        <v>91.30725</v>
      </c>
    </row>
    <row r="21277" customFormat="false" ht="15" hidden="false" customHeight="false" outlineLevel="0" collapsed="false">
      <c r="A21277" s="3" t="s">
        <v>558</v>
      </c>
      <c r="C21277" s="16" t="n">
        <f aca="false">SUMPRODUCT($G$21263:$K$21263,$G$21046:$K$21046)*(1+SUMPRODUCT($G$21263:$K$21263,$G$21038:$K$21038)*Assumptions!$C$16/12)</f>
        <v>58.3715961</v>
      </c>
    </row>
    <row r="21278" customFormat="false" ht="15" hidden="false" customHeight="false" outlineLevel="0" collapsed="false">
      <c r="A21278" s="3" t="s">
        <v>559</v>
      </c>
      <c r="C21278" s="16" t="n">
        <f aca="false">SUMPRODUCT($G$21263:$K$21263,$G$21059:$K$21059)*(1+SUMPRODUCT($G$21263:$K$21263,$G$21051:$K$21051)*Assumptions!$C$16/12)</f>
        <v>0</v>
      </c>
    </row>
    <row r="21279" customFormat="false" ht="15" hidden="false" customHeight="false" outlineLevel="0" collapsed="false">
      <c r="A21279" s="3" t="s">
        <v>560</v>
      </c>
      <c r="C21279" s="16" t="n">
        <f aca="false">SUMPRODUCT($G$21263:$K$21263,$G$21072:$K$21072)*(1+SUMPRODUCT($G$21263:$K$21263,$G$21064:$K$21064)*Assumptions!$C$16/12)</f>
        <v>393.50800035465</v>
      </c>
    </row>
    <row r="21280" customFormat="false" ht="15" hidden="false" customHeight="false" outlineLevel="0" collapsed="false">
      <c r="A21280" s="3" t="s">
        <v>561</v>
      </c>
      <c r="C21280" s="16" t="n">
        <f aca="false">SUMPRODUCT($G$21263:$K$21263,$G$21085:$K$21085)*(1+SUMPRODUCT($G$21263:$K$21263,$G$21077:$K$21077)*Assumptions!$C$16/12)</f>
        <v>357.2625</v>
      </c>
    </row>
    <row r="21281" customFormat="false" ht="15" hidden="false" customHeight="false" outlineLevel="0" collapsed="false">
      <c r="A21281" s="3" t="s">
        <v>562</v>
      </c>
      <c r="C21281" s="16" t="n">
        <f aca="false">SUMPRODUCT($G$21263:$K$21263,$G$21098:$K$21098)*(1+SUMPRODUCT($G$21263:$K$21263,$G$21090:$K$21090)*Assumptions!$C$16/12)</f>
        <v>562.203125</v>
      </c>
    </row>
    <row r="21282" customFormat="false" ht="15" hidden="false" customHeight="false" outlineLevel="0" collapsed="false">
      <c r="A21282" s="3" t="s">
        <v>563</v>
      </c>
      <c r="C21282" s="16" t="n">
        <f aca="false">SUMPRODUCT($G$21263:$K$21263,$G$21111:$K$21111)*(1+SUMPRODUCT($G$21263:$K$21263,$G$21103:$K$21103)*Assumptions!$C$16/12)</f>
        <v>353.98125</v>
      </c>
    </row>
    <row r="21283" customFormat="false" ht="15" hidden="false" customHeight="false" outlineLevel="0" collapsed="false">
      <c r="A21283" s="3" t="s">
        <v>564</v>
      </c>
      <c r="C21283" s="16" t="n">
        <f aca="false">SUMPRODUCT($G$21263:$K$21263,$G$21124:$K$21124)*(1+SUMPRODUCT($G$21263:$K$21263,$G$21116:$K$21116)*Assumptions!$C$16/12)</f>
        <v>304.59375</v>
      </c>
    </row>
    <row r="21284" customFormat="false" ht="15" hidden="false" customHeight="false" outlineLevel="0" collapsed="false">
      <c r="A21284" s="3" t="s">
        <v>565</v>
      </c>
      <c r="C21284" s="16" t="n">
        <f aca="false">SUMPRODUCT($G$21263:$K$21263,$G$21137:$K$21137)*(1+SUMPRODUCT($G$21263:$K$21263,$G$21129:$K$21129)*Assumptions!$C$16/12)</f>
        <v>80.2332965</v>
      </c>
    </row>
    <row r="21285" customFormat="false" ht="15" hidden="false" customHeight="false" outlineLevel="0" collapsed="false">
      <c r="A21285" s="24" t="s">
        <v>566</v>
      </c>
      <c r="B21285" s="25"/>
      <c r="C21285" s="25"/>
      <c r="D21285" s="25"/>
      <c r="E21285" s="25"/>
      <c r="F21285" s="25"/>
      <c r="G21285" s="25"/>
      <c r="H21285" s="25"/>
      <c r="I21285" s="25"/>
      <c r="J21285" s="25"/>
      <c r="K21285" s="25"/>
    </row>
    <row r="21286" customFormat="false" ht="15" hidden="false" customHeight="false" outlineLevel="0" collapsed="false">
      <c r="A21286" s="3" t="s">
        <v>556</v>
      </c>
      <c r="C21286" s="27" t="n">
        <f aca="false">Assumptions!$M$57</f>
        <v>1</v>
      </c>
    </row>
    <row r="21287" customFormat="false" ht="15" hidden="false" customHeight="false" outlineLevel="0" collapsed="false">
      <c r="A21287" s="3" t="s">
        <v>557</v>
      </c>
      <c r="C21287" s="27" t="n">
        <f aca="false">Assumptions!$M$58</f>
        <v>1</v>
      </c>
    </row>
    <row r="21288" customFormat="false" ht="15" hidden="false" customHeight="false" outlineLevel="0" collapsed="false">
      <c r="A21288" s="3" t="s">
        <v>558</v>
      </c>
      <c r="C21288" s="27" t="n">
        <f aca="false">Assumptions!$M$59</f>
        <v>1</v>
      </c>
    </row>
    <row r="21289" customFormat="false" ht="15" hidden="false" customHeight="false" outlineLevel="0" collapsed="false">
      <c r="A21289" s="3" t="s">
        <v>559</v>
      </c>
      <c r="C21289" s="27" t="n">
        <f aca="false">Assumptions!$M$60</f>
        <v>2</v>
      </c>
    </row>
    <row r="21290" customFormat="false" ht="15" hidden="false" customHeight="false" outlineLevel="0" collapsed="false">
      <c r="A21290" s="3" t="s">
        <v>560</v>
      </c>
      <c r="C21290" s="27" t="n">
        <f aca="false">Assumptions!$M$61</f>
        <v>2</v>
      </c>
    </row>
    <row r="21291" customFormat="false" ht="15" hidden="false" customHeight="false" outlineLevel="0" collapsed="false">
      <c r="A21291" s="3" t="s">
        <v>561</v>
      </c>
      <c r="C21291" s="27" t="n">
        <f aca="false">Assumptions!$M$62</f>
        <v>2</v>
      </c>
    </row>
    <row r="21292" customFormat="false" ht="15" hidden="false" customHeight="false" outlineLevel="0" collapsed="false">
      <c r="A21292" s="3" t="s">
        <v>562</v>
      </c>
      <c r="C21292" s="27" t="n">
        <f aca="false">Assumptions!$M$63</f>
        <v>2</v>
      </c>
    </row>
    <row r="21293" customFormat="false" ht="15" hidden="false" customHeight="false" outlineLevel="0" collapsed="false">
      <c r="A21293" s="3" t="s">
        <v>563</v>
      </c>
      <c r="C21293" s="27" t="n">
        <f aca="false">Assumptions!$M$64</f>
        <v>2</v>
      </c>
    </row>
    <row r="21294" customFormat="false" ht="15" hidden="false" customHeight="false" outlineLevel="0" collapsed="false">
      <c r="A21294" s="3" t="s">
        <v>564</v>
      </c>
      <c r="C21294" s="27" t="n">
        <f aca="false">Assumptions!$M$65</f>
        <v>2</v>
      </c>
    </row>
    <row r="21295" customFormat="false" ht="15" hidden="false" customHeight="false" outlineLevel="0" collapsed="false">
      <c r="A21295" s="3" t="s">
        <v>565</v>
      </c>
      <c r="C21295" s="27" t="n">
        <f aca="false">Assumptions!$M$66</f>
        <v>3</v>
      </c>
    </row>
    <row r="21296" customFormat="false" ht="15" hidden="false" customHeight="false" outlineLevel="0" collapsed="false">
      <c r="A21296" s="24" t="s">
        <v>567</v>
      </c>
      <c r="B21296" s="25"/>
      <c r="C21296" s="25"/>
      <c r="D21296" s="25"/>
      <c r="E21296" s="25"/>
      <c r="F21296" s="25"/>
      <c r="G21296" s="25"/>
      <c r="H21296" s="25"/>
      <c r="I21296" s="25"/>
      <c r="J21296" s="25"/>
      <c r="K21296" s="25"/>
    </row>
    <row r="21297" customFormat="false" ht="15" hidden="false" customHeight="false" outlineLevel="0" collapsed="false">
      <c r="A21297" s="3" t="s">
        <v>556</v>
      </c>
      <c r="C21297" s="33" t="n">
        <f aca="false">Assumptions!$Q$57</f>
        <v>0.3</v>
      </c>
    </row>
    <row r="21298" customFormat="false" ht="15" hidden="false" customHeight="false" outlineLevel="0" collapsed="false">
      <c r="A21298" s="3" t="s">
        <v>557</v>
      </c>
      <c r="C21298" s="33" t="n">
        <f aca="false">Assumptions!$Q$58</f>
        <v>0.033</v>
      </c>
    </row>
    <row r="21299" customFormat="false" ht="15" hidden="false" customHeight="false" outlineLevel="0" collapsed="false">
      <c r="A21299" s="3" t="s">
        <v>558</v>
      </c>
      <c r="C21299" s="33" t="n">
        <f aca="false">Assumptions!$Q$59</f>
        <v>0.021</v>
      </c>
    </row>
    <row r="21300" customFormat="false" ht="15" hidden="false" customHeight="false" outlineLevel="0" collapsed="false">
      <c r="A21300" s="3" t="s">
        <v>559</v>
      </c>
      <c r="C21300" s="33" t="n">
        <f aca="false">Assumptions!$Q$60</f>
        <v>0</v>
      </c>
    </row>
    <row r="21301" customFormat="false" ht="15" hidden="false" customHeight="false" outlineLevel="0" collapsed="false">
      <c r="A21301" s="3" t="s">
        <v>560</v>
      </c>
      <c r="C21301" s="33" t="n">
        <f aca="false">Assumptions!$Q$61</f>
        <v>0</v>
      </c>
    </row>
    <row r="21302" customFormat="false" ht="15" hidden="false" customHeight="false" outlineLevel="0" collapsed="false">
      <c r="A21302" s="3" t="s">
        <v>561</v>
      </c>
      <c r="C21302" s="33" t="n">
        <f aca="false">Assumptions!$Q$62</f>
        <v>0</v>
      </c>
    </row>
    <row r="21303" customFormat="false" ht="15" hidden="false" customHeight="false" outlineLevel="0" collapsed="false">
      <c r="A21303" s="3" t="s">
        <v>562</v>
      </c>
      <c r="C21303" s="33" t="n">
        <f aca="false">Assumptions!$Q$63</f>
        <v>0</v>
      </c>
    </row>
    <row r="21304" customFormat="false" ht="15" hidden="false" customHeight="false" outlineLevel="0" collapsed="false">
      <c r="A21304" s="3" t="s">
        <v>563</v>
      </c>
      <c r="C21304" s="33" t="n">
        <f aca="false">Assumptions!$Q$64</f>
        <v>0</v>
      </c>
    </row>
    <row r="21305" customFormat="false" ht="15" hidden="false" customHeight="false" outlineLevel="0" collapsed="false">
      <c r="A21305" s="3" t="s">
        <v>564</v>
      </c>
      <c r="C21305" s="33" t="n">
        <f aca="false">Assumptions!$Q$65</f>
        <v>0</v>
      </c>
    </row>
    <row r="21306" customFormat="false" ht="15" hidden="false" customHeight="false" outlineLevel="0" collapsed="false">
      <c r="A21306" s="3" t="s">
        <v>565</v>
      </c>
      <c r="C21306" s="33" t="n">
        <f aca="false">Assumptions!$Q$66</f>
        <v>0</v>
      </c>
    </row>
    <row r="21307" customFormat="false" ht="15" hidden="false" customHeight="false" outlineLevel="0" collapsed="false">
      <c r="A21307" s="24" t="s">
        <v>568</v>
      </c>
      <c r="B21307" s="25"/>
      <c r="C21307" s="25"/>
      <c r="D21307" s="25"/>
      <c r="E21307" s="25"/>
      <c r="F21307" s="25"/>
      <c r="G21307" s="25"/>
      <c r="H21307" s="25"/>
      <c r="I21307" s="25"/>
      <c r="J21307" s="25"/>
      <c r="K21307" s="25"/>
    </row>
    <row r="21308" customFormat="false" ht="15" hidden="false" customHeight="false" outlineLevel="0" collapsed="false">
      <c r="A21308" s="3" t="s">
        <v>556</v>
      </c>
      <c r="C21308" s="16" t="n">
        <f aca="false">IF(C21297&gt;0,MIN(C21275,C21297*$C$21273),0)</f>
        <v>403.76</v>
      </c>
    </row>
    <row r="21309" customFormat="false" ht="15" hidden="false" customHeight="false" outlineLevel="0" collapsed="false">
      <c r="A21309" s="3" t="s">
        <v>557</v>
      </c>
      <c r="C21309" s="16" t="n">
        <f aca="false">IF(C21298&gt;0,MIN(C21276,C21298*$C$21273),0)</f>
        <v>85.1568504864</v>
      </c>
    </row>
    <row r="21310" customFormat="false" ht="15" hidden="false" customHeight="false" outlineLevel="0" collapsed="false">
      <c r="A21310" s="3" t="s">
        <v>558</v>
      </c>
      <c r="C21310" s="16" t="n">
        <f aca="false">IF(C21299&gt;0,MIN(C21277,C21299*$C$21273),0)</f>
        <v>54.1907230368</v>
      </c>
    </row>
    <row r="21311" customFormat="false" ht="15" hidden="false" customHeight="false" outlineLevel="0" collapsed="false">
      <c r="A21311" s="3" t="s">
        <v>559</v>
      </c>
      <c r="C21311" s="16" t="n">
        <f aca="false">IF(C21300&gt;0,MIN(C21278,C21300*$C$21273),0)</f>
        <v>0</v>
      </c>
    </row>
    <row r="21312" customFormat="false" ht="15" hidden="false" customHeight="false" outlineLevel="0" collapsed="false">
      <c r="A21312" s="3" t="s">
        <v>560</v>
      </c>
      <c r="C21312" s="16" t="n">
        <f aca="false">IF(C21301&gt;0,MIN(C21279,C21301*$C$21273),0)</f>
        <v>0</v>
      </c>
    </row>
    <row r="21313" customFormat="false" ht="15" hidden="false" customHeight="false" outlineLevel="0" collapsed="false">
      <c r="A21313" s="3" t="s">
        <v>561</v>
      </c>
      <c r="C21313" s="16" t="n">
        <f aca="false">IF(C21302&gt;0,MIN(C21280,C21302*$C$21273),0)</f>
        <v>0</v>
      </c>
    </row>
    <row r="21314" customFormat="false" ht="15" hidden="false" customHeight="false" outlineLevel="0" collapsed="false">
      <c r="A21314" s="3" t="s">
        <v>562</v>
      </c>
      <c r="C21314" s="16" t="n">
        <f aca="false">IF(C21303&gt;0,MIN(C21281,C21303*$C$21273),0)</f>
        <v>0</v>
      </c>
    </row>
    <row r="21315" customFormat="false" ht="15" hidden="false" customHeight="false" outlineLevel="0" collapsed="false">
      <c r="A21315" s="3" t="s">
        <v>563</v>
      </c>
      <c r="C21315" s="16" t="n">
        <f aca="false">IF(C21304&gt;0,MIN(C21282,C21304*$C$21273),0)</f>
        <v>0</v>
      </c>
    </row>
    <row r="21316" customFormat="false" ht="15" hidden="false" customHeight="false" outlineLevel="0" collapsed="false">
      <c r="A21316" s="3" t="s">
        <v>564</v>
      </c>
      <c r="C21316" s="16" t="n">
        <f aca="false">IF(C21305&gt;0,MIN(C21283,C21305*$C$21273),0)</f>
        <v>0</v>
      </c>
    </row>
    <row r="21317" customFormat="false" ht="15" hidden="false" customHeight="false" outlineLevel="0" collapsed="false">
      <c r="A21317" s="3" t="s">
        <v>565</v>
      </c>
      <c r="C21317" s="16" t="n">
        <f aca="false">IF(C21306&gt;0,MIN(C21284,C21306*$C$21273),0)</f>
        <v>0</v>
      </c>
    </row>
    <row r="21318" customFormat="false" ht="15" hidden="false" customHeight="false" outlineLevel="0" collapsed="false">
      <c r="A21318" s="24" t="s">
        <v>569</v>
      </c>
      <c r="B21318" s="25"/>
      <c r="C21318" s="25"/>
      <c r="D21318" s="25"/>
      <c r="E21318" s="25"/>
      <c r="F21318" s="25"/>
      <c r="G21318" s="25"/>
      <c r="H21318" s="25"/>
      <c r="I21318" s="25"/>
      <c r="J21318" s="25"/>
      <c r="K21318" s="25"/>
    </row>
    <row r="21319" customFormat="false" ht="15" hidden="false" customHeight="false" outlineLevel="0" collapsed="false">
      <c r="A21319" s="3" t="s">
        <v>556</v>
      </c>
      <c r="C21319" s="16" t="n">
        <f aca="false">IF(C21297&gt;0,C21275-C21308,0)</f>
        <v>0</v>
      </c>
      <c r="G21319" s="21" t="n">
        <f aca="false">IF(AND(G21010=1,G21007=1),1,0)</f>
        <v>0</v>
      </c>
      <c r="H21319" s="21" t="n">
        <f aca="false">IF(G21319=1,1,IF(AND(H21010=1,H21007=1),1,0))</f>
        <v>0</v>
      </c>
      <c r="I21319" s="21" t="n">
        <f aca="false">IF(H21319=1,1,IF(AND(I21010=1,I21007=1),1,0))</f>
        <v>0</v>
      </c>
      <c r="J21319" s="21" t="n">
        <f aca="false">IF(I21319=1,1,IF(AND(J21010=1,J21007=1),1,0))</f>
        <v>0</v>
      </c>
      <c r="K21319" s="21" t="n">
        <f aca="false">IF(J21319=1,1,IF(AND(K21010=1,K21007=1),1,0))</f>
        <v>0</v>
      </c>
    </row>
    <row r="21320" customFormat="false" ht="15" hidden="false" customHeight="false" outlineLevel="0" collapsed="false">
      <c r="A21320" s="3" t="s">
        <v>557</v>
      </c>
      <c r="C21320" s="16" t="n">
        <f aca="false">IF(C21298&gt;0,C21276-C21309,0)</f>
        <v>6.15039951360001</v>
      </c>
      <c r="G21320" s="21" t="n">
        <f aca="false">IF(AND(G21023=1,G21007=1),1,0)</f>
        <v>0</v>
      </c>
      <c r="H21320" s="21" t="n">
        <f aca="false">IF(G21320=1,1,IF(AND(H21023=1,H21007=1),1,0))</f>
        <v>0</v>
      </c>
      <c r="I21320" s="21" t="n">
        <f aca="false">IF(H21320=1,1,IF(AND(I21023=1,I21007=1),1,0))</f>
        <v>0</v>
      </c>
      <c r="J21320" s="21" t="n">
        <f aca="false">IF(I21320=1,1,IF(AND(J21023=1,J21007=1),1,0))</f>
        <v>0</v>
      </c>
      <c r="K21320" s="21" t="n">
        <f aca="false">IF(J21320=1,1,IF(AND(K21023=1,K21007=1),1,0))</f>
        <v>0</v>
      </c>
    </row>
    <row r="21321" customFormat="false" ht="15" hidden="false" customHeight="false" outlineLevel="0" collapsed="false">
      <c r="A21321" s="3" t="s">
        <v>558</v>
      </c>
      <c r="C21321" s="16" t="n">
        <f aca="false">IF(C21299&gt;0,C21277-C21310,0)</f>
        <v>4.1808730632</v>
      </c>
      <c r="G21321" s="21" t="n">
        <f aca="false">IF(AND(G21036=1,G21007=1),1,0)</f>
        <v>0</v>
      </c>
      <c r="H21321" s="21" t="n">
        <f aca="false">IF(G21321=1,1,IF(AND(H21036=1,H21007=1),1,0))</f>
        <v>0</v>
      </c>
      <c r="I21321" s="21" t="n">
        <f aca="false">IF(H21321=1,1,IF(AND(I21036=1,I21007=1),1,0))</f>
        <v>0</v>
      </c>
      <c r="J21321" s="21" t="n">
        <f aca="false">IF(I21321=1,1,IF(AND(J21036=1,J21007=1),1,0))</f>
        <v>0</v>
      </c>
      <c r="K21321" s="21" t="n">
        <f aca="false">IF(J21321=1,1,IF(AND(K21036=1,K21007=1),1,0))</f>
        <v>0</v>
      </c>
    </row>
    <row r="21322" customFormat="false" ht="15" hidden="false" customHeight="false" outlineLevel="0" collapsed="false">
      <c r="A21322" s="3" t="s">
        <v>559</v>
      </c>
      <c r="C21322" s="16" t="n">
        <f aca="false">IF(C21300&gt;0,C21278-C21311,0)</f>
        <v>0</v>
      </c>
      <c r="G21322" s="21" t="n">
        <f aca="false">IF(AND(G21049=1,G21007=1),1,0)</f>
        <v>0</v>
      </c>
      <c r="H21322" s="21" t="n">
        <f aca="false">IF(G21322=1,1,IF(AND(H21049=1,H21007=1),1,0))</f>
        <v>0</v>
      </c>
      <c r="I21322" s="21" t="n">
        <f aca="false">IF(H21322=1,1,IF(AND(I21049=1,I21007=1),1,0))</f>
        <v>0</v>
      </c>
      <c r="J21322" s="21" t="n">
        <f aca="false">IF(I21322=1,1,IF(AND(J21049=1,J21007=1),1,0))</f>
        <v>0</v>
      </c>
      <c r="K21322" s="21" t="n">
        <f aca="false">IF(J21322=1,1,IF(AND(K21049=1,K21007=1),1,0))</f>
        <v>0</v>
      </c>
    </row>
    <row r="21323" customFormat="false" ht="15" hidden="false" customHeight="false" outlineLevel="0" collapsed="false">
      <c r="A21323" s="3" t="s">
        <v>560</v>
      </c>
      <c r="C21323" s="16" t="n">
        <f aca="false">IF(C21301&gt;0,C21279-C21312,0)</f>
        <v>0</v>
      </c>
      <c r="G21323" s="21" t="n">
        <f aca="false">IF(AND(G21062=1,G21007=1),1,0)</f>
        <v>0</v>
      </c>
      <c r="H21323" s="21" t="n">
        <f aca="false">IF(G21323=1,1,IF(AND(H21062=1,H21007=1),1,0))</f>
        <v>0</v>
      </c>
      <c r="I21323" s="21" t="n">
        <f aca="false">IF(H21323=1,1,IF(AND(I21062=1,I21007=1),1,0))</f>
        <v>0</v>
      </c>
      <c r="J21323" s="21" t="n">
        <f aca="false">IF(I21323=1,1,IF(AND(J21062=1,J21007=1),1,0))</f>
        <v>0</v>
      </c>
      <c r="K21323" s="21" t="n">
        <f aca="false">IF(J21323=1,1,IF(AND(K21062=1,K21007=1),1,0))</f>
        <v>0</v>
      </c>
    </row>
    <row r="21324" customFormat="false" ht="15" hidden="false" customHeight="false" outlineLevel="0" collapsed="false">
      <c r="A21324" s="3" t="s">
        <v>561</v>
      </c>
      <c r="C21324" s="16" t="n">
        <f aca="false">IF(C21302&gt;0,C21280-C21313,0)</f>
        <v>0</v>
      </c>
      <c r="G21324" s="21" t="n">
        <f aca="false">IF(AND(G21075=1,G21007=1),1,0)</f>
        <v>0</v>
      </c>
      <c r="H21324" s="21" t="n">
        <f aca="false">IF(G21324=1,1,IF(AND(H21075=1,H21007=1),1,0))</f>
        <v>0</v>
      </c>
      <c r="I21324" s="21" t="n">
        <f aca="false">IF(H21324=1,1,IF(AND(I21075=1,I21007=1),1,0))</f>
        <v>0</v>
      </c>
      <c r="J21324" s="21" t="n">
        <f aca="false">IF(I21324=1,1,IF(AND(J21075=1,J21007=1),1,0))</f>
        <v>0</v>
      </c>
      <c r="K21324" s="21" t="n">
        <f aca="false">IF(J21324=1,1,IF(AND(K21075=1,K21007=1),1,0))</f>
        <v>0</v>
      </c>
    </row>
    <row r="21325" customFormat="false" ht="15" hidden="false" customHeight="false" outlineLevel="0" collapsed="false">
      <c r="A21325" s="3" t="s">
        <v>562</v>
      </c>
      <c r="C21325" s="16" t="n">
        <f aca="false">IF(C21303&gt;0,C21281-C21314,0)</f>
        <v>0</v>
      </c>
      <c r="G21325" s="21" t="n">
        <f aca="false">IF(AND(G21088=1,G21007=1),1,0)</f>
        <v>0</v>
      </c>
      <c r="H21325" s="21" t="n">
        <f aca="false">IF(G21325=1,1,IF(AND(H21088=1,H21007=1),1,0))</f>
        <v>0</v>
      </c>
      <c r="I21325" s="21" t="n">
        <f aca="false">IF(H21325=1,1,IF(AND(I21088=1,I21007=1),1,0))</f>
        <v>0</v>
      </c>
      <c r="J21325" s="21" t="n">
        <f aca="false">IF(I21325=1,1,IF(AND(J21088=1,J21007=1),1,0))</f>
        <v>0</v>
      </c>
      <c r="K21325" s="21" t="n">
        <f aca="false">IF(J21325=1,1,IF(AND(K21088=1,K21007=1),1,0))</f>
        <v>0</v>
      </c>
    </row>
    <row r="21326" customFormat="false" ht="15" hidden="false" customHeight="false" outlineLevel="0" collapsed="false">
      <c r="A21326" s="3" t="s">
        <v>563</v>
      </c>
      <c r="C21326" s="16" t="n">
        <f aca="false">IF(C21304&gt;0,C21282-C21315,0)</f>
        <v>0</v>
      </c>
      <c r="G21326" s="21" t="n">
        <f aca="false">IF(AND(G21101=1,G21007=1),1,0)</f>
        <v>0</v>
      </c>
      <c r="H21326" s="21" t="n">
        <f aca="false">IF(G21326=1,1,IF(AND(H21101=1,H21007=1),1,0))</f>
        <v>0</v>
      </c>
      <c r="I21326" s="21" t="n">
        <f aca="false">IF(H21326=1,1,IF(AND(I21101=1,I21007=1),1,0))</f>
        <v>0</v>
      </c>
      <c r="J21326" s="21" t="n">
        <f aca="false">IF(I21326=1,1,IF(AND(J21101=1,J21007=1),1,0))</f>
        <v>0</v>
      </c>
      <c r="K21326" s="21" t="n">
        <f aca="false">IF(J21326=1,1,IF(AND(K21101=1,K21007=1),1,0))</f>
        <v>0</v>
      </c>
    </row>
    <row r="21327" customFormat="false" ht="15" hidden="false" customHeight="false" outlineLevel="0" collapsed="false">
      <c r="A21327" s="3" t="s">
        <v>564</v>
      </c>
      <c r="C21327" s="16" t="n">
        <f aca="false">IF(C21305&gt;0,C21283-C21316,0)</f>
        <v>0</v>
      </c>
      <c r="G21327" s="21" t="n">
        <f aca="false">IF(AND(G21114=1,G21007=1),1,0)</f>
        <v>0</v>
      </c>
      <c r="H21327" s="21" t="n">
        <f aca="false">IF(G21327=1,1,IF(AND(H21114=1,H21007=1),1,0))</f>
        <v>0</v>
      </c>
      <c r="I21327" s="21" t="n">
        <f aca="false">IF(H21327=1,1,IF(AND(I21114=1,I21007=1),1,0))</f>
        <v>0</v>
      </c>
      <c r="J21327" s="21" t="n">
        <f aca="false">IF(I21327=1,1,IF(AND(J21114=1,J21007=1),1,0))</f>
        <v>0</v>
      </c>
      <c r="K21327" s="21" t="n">
        <f aca="false">IF(J21327=1,1,IF(AND(K21114=1,K21007=1),1,0))</f>
        <v>0</v>
      </c>
    </row>
    <row r="21328" customFormat="false" ht="15" hidden="false" customHeight="false" outlineLevel="0" collapsed="false">
      <c r="A21328" s="3" t="s">
        <v>565</v>
      </c>
      <c r="C21328" s="16" t="n">
        <f aca="false">IF(C21306&gt;0,C21284-C21317,0)</f>
        <v>0</v>
      </c>
      <c r="G21328" s="21" t="n">
        <f aca="false">IF(AND(G21127=1,G21007=1),1,0)</f>
        <v>0</v>
      </c>
      <c r="H21328" s="21" t="n">
        <f aca="false">IF(G21328=1,1,IF(AND(H21127=1,H21007=1),1,0))</f>
        <v>0</v>
      </c>
      <c r="I21328" s="21" t="n">
        <f aca="false">IF(H21328=1,1,IF(AND(I21127=1,I21007=1),1,0))</f>
        <v>0</v>
      </c>
      <c r="J21328" s="21" t="n">
        <f aca="false">IF(I21328=1,1,IF(AND(J21127=1,J21007=1),1,0))</f>
        <v>0</v>
      </c>
      <c r="K21328" s="21" t="n">
        <f aca="false">IF(J21328=1,1,IF(AND(K21127=1,K21007=1),1,0))</f>
        <v>0</v>
      </c>
    </row>
    <row r="21329" customFormat="false" ht="15" hidden="false" customHeight="false" outlineLevel="0" collapsed="false">
      <c r="A21329" s="24" t="s">
        <v>570</v>
      </c>
      <c r="B21329" s="25"/>
      <c r="C21329" s="25"/>
      <c r="D21329" s="25"/>
      <c r="E21329" s="25"/>
      <c r="F21329" s="25"/>
      <c r="G21329" s="25"/>
      <c r="H21329" s="25"/>
      <c r="I21329" s="25"/>
      <c r="J21329" s="25"/>
      <c r="K21329" s="25"/>
    </row>
    <row r="21330" customFormat="false" ht="15" hidden="false" customHeight="false" outlineLevel="0" collapsed="false">
      <c r="A21330" s="3" t="s">
        <v>556</v>
      </c>
      <c r="C21330" s="16" t="n">
        <f aca="false">IF(C21297&gt;0,C21319,C21275)</f>
        <v>0</v>
      </c>
    </row>
    <row r="21331" customFormat="false" ht="15" hidden="false" customHeight="false" outlineLevel="0" collapsed="false">
      <c r="A21331" s="3" t="s">
        <v>557</v>
      </c>
      <c r="C21331" s="16" t="n">
        <f aca="false">IF(C21298&gt;0,C21320,C21276)</f>
        <v>6.15039951360001</v>
      </c>
    </row>
    <row r="21332" customFormat="false" ht="15" hidden="false" customHeight="false" outlineLevel="0" collapsed="false">
      <c r="A21332" s="3" t="s">
        <v>558</v>
      </c>
      <c r="C21332" s="16" t="n">
        <f aca="false">IF(C21299&gt;0,C21321,C21277)</f>
        <v>4.1808730632</v>
      </c>
    </row>
    <row r="21333" customFormat="false" ht="15" hidden="false" customHeight="false" outlineLevel="0" collapsed="false">
      <c r="A21333" s="3" t="s">
        <v>559</v>
      </c>
      <c r="C21333" s="16" t="n">
        <f aca="false">IF(C21300&gt;0,C21322,C21278)</f>
        <v>0</v>
      </c>
    </row>
    <row r="21334" customFormat="false" ht="15" hidden="false" customHeight="false" outlineLevel="0" collapsed="false">
      <c r="A21334" s="3" t="s">
        <v>560</v>
      </c>
      <c r="C21334" s="16" t="n">
        <f aca="false">IF(C21301&gt;0,C21323,C21279)</f>
        <v>393.50800035465</v>
      </c>
    </row>
    <row r="21335" customFormat="false" ht="15" hidden="false" customHeight="false" outlineLevel="0" collapsed="false">
      <c r="A21335" s="3" t="s">
        <v>561</v>
      </c>
      <c r="C21335" s="16" t="n">
        <f aca="false">IF(C21302&gt;0,C21324,C21280)</f>
        <v>357.2625</v>
      </c>
    </row>
    <row r="21336" customFormat="false" ht="15" hidden="false" customHeight="false" outlineLevel="0" collapsed="false">
      <c r="A21336" s="3" t="s">
        <v>562</v>
      </c>
      <c r="C21336" s="16" t="n">
        <f aca="false">IF(C21303&gt;0,C21325,C21281)</f>
        <v>562.203125</v>
      </c>
    </row>
    <row r="21337" customFormat="false" ht="15" hidden="false" customHeight="false" outlineLevel="0" collapsed="false">
      <c r="A21337" s="3" t="s">
        <v>563</v>
      </c>
      <c r="C21337" s="16" t="n">
        <f aca="false">IF(C21304&gt;0,C21326,C21282)</f>
        <v>353.98125</v>
      </c>
    </row>
    <row r="21338" customFormat="false" ht="15" hidden="false" customHeight="false" outlineLevel="0" collapsed="false">
      <c r="A21338" s="3" t="s">
        <v>564</v>
      </c>
      <c r="C21338" s="16" t="n">
        <f aca="false">IF(C21305&gt;0,C21327,C21283)</f>
        <v>304.59375</v>
      </c>
    </row>
    <row r="21339" customFormat="false" ht="15" hidden="false" customHeight="false" outlineLevel="0" collapsed="false">
      <c r="A21339" s="3" t="s">
        <v>565</v>
      </c>
      <c r="C21339" s="16" t="n">
        <f aca="false">IF(C21306&gt;0,C21328,C21284)</f>
        <v>80.2332965</v>
      </c>
    </row>
    <row r="21340" customFormat="false" ht="15" hidden="false" customHeight="false" outlineLevel="0" collapsed="false">
      <c r="A21340" s="24" t="s">
        <v>571</v>
      </c>
      <c r="B21340" s="25"/>
      <c r="C21340" s="25"/>
      <c r="D21340" s="25"/>
      <c r="E21340" s="25"/>
      <c r="F21340" s="25"/>
      <c r="G21340" s="25"/>
      <c r="H21340" s="25"/>
      <c r="I21340" s="25"/>
      <c r="J21340" s="25"/>
      <c r="K21340" s="25"/>
    </row>
    <row r="21341" customFormat="false" ht="15" hidden="false" customHeight="false" outlineLevel="0" collapsed="false">
      <c r="A21341" s="3" t="s">
        <v>556</v>
      </c>
      <c r="C21341" s="21" t="n">
        <f aca="false">IF(C21297&gt;0,Assumptions!$C$17,C21286)</f>
        <v>99</v>
      </c>
    </row>
    <row r="21342" customFormat="false" ht="15" hidden="false" customHeight="false" outlineLevel="0" collapsed="false">
      <c r="A21342" s="3" t="s">
        <v>557</v>
      </c>
      <c r="C21342" s="21" t="n">
        <f aca="false">IF(C21298&gt;0,Assumptions!$C$17,C21287)</f>
        <v>99</v>
      </c>
    </row>
    <row r="21343" customFormat="false" ht="15" hidden="false" customHeight="false" outlineLevel="0" collapsed="false">
      <c r="A21343" s="3" t="s">
        <v>558</v>
      </c>
      <c r="C21343" s="21" t="n">
        <f aca="false">IF(C21299&gt;0,Assumptions!$C$17,C21288)</f>
        <v>99</v>
      </c>
    </row>
    <row r="21344" customFormat="false" ht="15" hidden="false" customHeight="false" outlineLevel="0" collapsed="false">
      <c r="A21344" s="3" t="s">
        <v>559</v>
      </c>
      <c r="C21344" s="21" t="n">
        <f aca="false">IF(C21300&gt;0,Assumptions!$C$17,C21289)</f>
        <v>2</v>
      </c>
    </row>
    <row r="21345" customFormat="false" ht="15" hidden="false" customHeight="false" outlineLevel="0" collapsed="false">
      <c r="A21345" s="3" t="s">
        <v>560</v>
      </c>
      <c r="C21345" s="21" t="n">
        <f aca="false">IF(C21301&gt;0,Assumptions!$C$17,C21290)</f>
        <v>2</v>
      </c>
    </row>
    <row r="21346" customFormat="false" ht="15" hidden="false" customHeight="false" outlineLevel="0" collapsed="false">
      <c r="A21346" s="3" t="s">
        <v>561</v>
      </c>
      <c r="C21346" s="21" t="n">
        <f aca="false">IF(C21302&gt;0,Assumptions!$C$17,C21291)</f>
        <v>2</v>
      </c>
    </row>
    <row r="21347" customFormat="false" ht="15" hidden="false" customHeight="false" outlineLevel="0" collapsed="false">
      <c r="A21347" s="3" t="s">
        <v>562</v>
      </c>
      <c r="C21347" s="21" t="n">
        <f aca="false">IF(C21303&gt;0,Assumptions!$C$17,C21292)</f>
        <v>2</v>
      </c>
    </row>
    <row r="21348" customFormat="false" ht="15" hidden="false" customHeight="false" outlineLevel="0" collapsed="false">
      <c r="A21348" s="3" t="s">
        <v>563</v>
      </c>
      <c r="C21348" s="21" t="n">
        <f aca="false">IF(C21304&gt;0,Assumptions!$C$17,C21293)</f>
        <v>2</v>
      </c>
    </row>
    <row r="21349" customFormat="false" ht="15" hidden="false" customHeight="false" outlineLevel="0" collapsed="false">
      <c r="A21349" s="3" t="s">
        <v>564</v>
      </c>
      <c r="C21349" s="21" t="n">
        <f aca="false">IF(C21305&gt;0,Assumptions!$C$17,C21294)</f>
        <v>2</v>
      </c>
    </row>
    <row r="21350" customFormat="false" ht="15" hidden="false" customHeight="false" outlineLevel="0" collapsed="false">
      <c r="A21350" s="3" t="s">
        <v>565</v>
      </c>
      <c r="C21350" s="21" t="n">
        <f aca="false">IF(C21306&gt;0,Assumptions!$C$17,C21295)</f>
        <v>3</v>
      </c>
    </row>
    <row r="21351" customFormat="false" ht="15" hidden="false" customHeight="false" outlineLevel="0" collapsed="false">
      <c r="A21351" s="24" t="s">
        <v>572</v>
      </c>
      <c r="B21351" s="25"/>
      <c r="C21351" s="25"/>
      <c r="D21351" s="25"/>
      <c r="E21351" s="25"/>
      <c r="F21351" s="25"/>
      <c r="G21351" s="25"/>
      <c r="H21351" s="25"/>
      <c r="I21351" s="25"/>
      <c r="J21351" s="25"/>
      <c r="K21351" s="25"/>
    </row>
    <row r="21352" customFormat="false" ht="15" hidden="false" customHeight="false" outlineLevel="0" collapsed="false">
      <c r="A21352" s="3" t="s">
        <v>556</v>
      </c>
      <c r="C21352" s="16" t="n">
        <f aca="false">SUMPRODUCT(($C$21341:$C$21350&lt;C21341)*$C$21330:$C$21339)</f>
        <v>2051.78192185465</v>
      </c>
    </row>
    <row r="21353" customFormat="false" ht="15" hidden="false" customHeight="false" outlineLevel="0" collapsed="false">
      <c r="A21353" s="3" t="s">
        <v>557</v>
      </c>
      <c r="C21353" s="16" t="n">
        <f aca="false">SUMPRODUCT(($C$21341:$C$21350&lt;C21342)*$C$21330:$C$21339)</f>
        <v>2051.78192185465</v>
      </c>
    </row>
    <row r="21354" customFormat="false" ht="15" hidden="false" customHeight="false" outlineLevel="0" collapsed="false">
      <c r="A21354" s="3" t="s">
        <v>558</v>
      </c>
      <c r="C21354" s="16" t="n">
        <f aca="false">SUMPRODUCT(($C$21341:$C$21350&lt;C21343)*$C$21330:$C$21339)</f>
        <v>2051.78192185465</v>
      </c>
    </row>
    <row r="21355" customFormat="false" ht="15" hidden="false" customHeight="false" outlineLevel="0" collapsed="false">
      <c r="A21355" s="3" t="s">
        <v>559</v>
      </c>
      <c r="C21355" s="16" t="n">
        <f aca="false">SUMPRODUCT(($C$21341:$C$21350&lt;C21344)*$C$21330:$C$21339)</f>
        <v>0</v>
      </c>
    </row>
    <row r="21356" customFormat="false" ht="15" hidden="false" customHeight="false" outlineLevel="0" collapsed="false">
      <c r="A21356" s="3" t="s">
        <v>560</v>
      </c>
      <c r="C21356" s="16" t="n">
        <f aca="false">SUMPRODUCT(($C$21341:$C$21350&lt;C21345)*$C$21330:$C$21339)</f>
        <v>0</v>
      </c>
    </row>
    <row r="21357" customFormat="false" ht="15" hidden="false" customHeight="false" outlineLevel="0" collapsed="false">
      <c r="A21357" s="3" t="s">
        <v>561</v>
      </c>
      <c r="C21357" s="16" t="n">
        <f aca="false">SUMPRODUCT(($C$21341:$C$21350&lt;C21346)*$C$21330:$C$21339)</f>
        <v>0</v>
      </c>
    </row>
    <row r="21358" customFormat="false" ht="15" hidden="false" customHeight="false" outlineLevel="0" collapsed="false">
      <c r="A21358" s="3" t="s">
        <v>562</v>
      </c>
      <c r="C21358" s="16" t="n">
        <f aca="false">SUMPRODUCT(($C$21341:$C$21350&lt;C21347)*$C$21330:$C$21339)</f>
        <v>0</v>
      </c>
    </row>
    <row r="21359" customFormat="false" ht="15" hidden="false" customHeight="false" outlineLevel="0" collapsed="false">
      <c r="A21359" s="3" t="s">
        <v>563</v>
      </c>
      <c r="C21359" s="16" t="n">
        <f aca="false">SUMPRODUCT(($C$21341:$C$21350&lt;C21348)*$C$21330:$C$21339)</f>
        <v>0</v>
      </c>
    </row>
    <row r="21360" customFormat="false" ht="15" hidden="false" customHeight="false" outlineLevel="0" collapsed="false">
      <c r="A21360" s="3" t="s">
        <v>564</v>
      </c>
      <c r="C21360" s="16" t="n">
        <f aca="false">SUMPRODUCT(($C$21341:$C$21350&lt;C21349)*$C$21330:$C$21339)</f>
        <v>0</v>
      </c>
    </row>
    <row r="21361" customFormat="false" ht="15" hidden="false" customHeight="false" outlineLevel="0" collapsed="false">
      <c r="A21361" s="3" t="s">
        <v>565</v>
      </c>
      <c r="C21361" s="16" t="n">
        <f aca="false">SUMPRODUCT(($C$21341:$C$21350&lt;C21350)*$C$21330:$C$21339)</f>
        <v>1971.54862535465</v>
      </c>
    </row>
    <row r="21362" customFormat="false" ht="15" hidden="false" customHeight="false" outlineLevel="0" collapsed="false">
      <c r="A21362" s="24" t="s">
        <v>573</v>
      </c>
      <c r="B21362" s="25"/>
      <c r="C21362" s="25"/>
      <c r="D21362" s="25"/>
      <c r="E21362" s="25"/>
      <c r="F21362" s="25"/>
      <c r="G21362" s="25"/>
      <c r="H21362" s="25"/>
      <c r="I21362" s="25"/>
      <c r="J21362" s="25"/>
      <c r="K21362" s="25"/>
    </row>
    <row r="21363" customFormat="false" ht="15" hidden="false" customHeight="false" outlineLevel="0" collapsed="false">
      <c r="A21363" s="3" t="s">
        <v>556</v>
      </c>
      <c r="C21363" s="16" t="n">
        <f aca="false">SUMPRODUCT(($C$21341:$C$21350=C21341)*$C$21330:$C$21339)</f>
        <v>10.3312725768</v>
      </c>
    </row>
    <row r="21364" customFormat="false" ht="15" hidden="false" customHeight="false" outlineLevel="0" collapsed="false">
      <c r="A21364" s="3" t="s">
        <v>557</v>
      </c>
      <c r="C21364" s="16" t="n">
        <f aca="false">SUMPRODUCT(($C$21341:$C$21350=C21342)*$C$21330:$C$21339)</f>
        <v>10.3312725768</v>
      </c>
    </row>
    <row r="21365" customFormat="false" ht="15" hidden="false" customHeight="false" outlineLevel="0" collapsed="false">
      <c r="A21365" s="3" t="s">
        <v>558</v>
      </c>
      <c r="C21365" s="16" t="n">
        <f aca="false">SUMPRODUCT(($C$21341:$C$21350=C21343)*$C$21330:$C$21339)</f>
        <v>10.3312725768</v>
      </c>
    </row>
    <row r="21366" customFormat="false" ht="15" hidden="false" customHeight="false" outlineLevel="0" collapsed="false">
      <c r="A21366" s="3" t="s">
        <v>559</v>
      </c>
      <c r="C21366" s="16" t="n">
        <f aca="false">SUMPRODUCT(($C$21341:$C$21350=C21344)*$C$21330:$C$21339)</f>
        <v>1971.54862535465</v>
      </c>
    </row>
    <row r="21367" customFormat="false" ht="15" hidden="false" customHeight="false" outlineLevel="0" collapsed="false">
      <c r="A21367" s="3" t="s">
        <v>560</v>
      </c>
      <c r="C21367" s="16" t="n">
        <f aca="false">SUMPRODUCT(($C$21341:$C$21350=C21345)*$C$21330:$C$21339)</f>
        <v>1971.54862535465</v>
      </c>
    </row>
    <row r="21368" customFormat="false" ht="15" hidden="false" customHeight="false" outlineLevel="0" collapsed="false">
      <c r="A21368" s="3" t="s">
        <v>561</v>
      </c>
      <c r="C21368" s="16" t="n">
        <f aca="false">SUMPRODUCT(($C$21341:$C$21350=C21346)*$C$21330:$C$21339)</f>
        <v>1971.54862535465</v>
      </c>
    </row>
    <row r="21369" customFormat="false" ht="15" hidden="false" customHeight="false" outlineLevel="0" collapsed="false">
      <c r="A21369" s="3" t="s">
        <v>562</v>
      </c>
      <c r="C21369" s="16" t="n">
        <f aca="false">SUMPRODUCT(($C$21341:$C$21350=C21347)*$C$21330:$C$21339)</f>
        <v>1971.54862535465</v>
      </c>
    </row>
    <row r="21370" customFormat="false" ht="15" hidden="false" customHeight="false" outlineLevel="0" collapsed="false">
      <c r="A21370" s="3" t="s">
        <v>563</v>
      </c>
      <c r="C21370" s="16" t="n">
        <f aca="false">SUMPRODUCT(($C$21341:$C$21350=C21348)*$C$21330:$C$21339)</f>
        <v>1971.54862535465</v>
      </c>
    </row>
    <row r="21371" customFormat="false" ht="15" hidden="false" customHeight="false" outlineLevel="0" collapsed="false">
      <c r="A21371" s="3" t="s">
        <v>564</v>
      </c>
      <c r="C21371" s="16" t="n">
        <f aca="false">SUMPRODUCT(($C$21341:$C$21350=C21349)*$C$21330:$C$21339)</f>
        <v>1971.54862535465</v>
      </c>
    </row>
    <row r="21372" customFormat="false" ht="15" hidden="false" customHeight="false" outlineLevel="0" collapsed="false">
      <c r="A21372" s="3" t="s">
        <v>565</v>
      </c>
      <c r="C21372" s="16" t="n">
        <f aca="false">SUMPRODUCT(($C$21341:$C$21350=C21350)*$C$21330:$C$21339)</f>
        <v>80.2332965</v>
      </c>
    </row>
    <row r="21373" customFormat="false" ht="15" hidden="false" customHeight="false" outlineLevel="0" collapsed="false">
      <c r="A21373" s="24" t="s">
        <v>574</v>
      </c>
      <c r="B21373" s="25"/>
      <c r="C21373" s="25"/>
      <c r="D21373" s="25"/>
      <c r="E21373" s="25"/>
      <c r="F21373" s="25"/>
      <c r="G21373" s="25"/>
      <c r="H21373" s="25"/>
      <c r="I21373" s="25"/>
      <c r="J21373" s="25"/>
      <c r="K21373" s="25"/>
    </row>
    <row r="21374" customFormat="false" ht="15" hidden="false" customHeight="false" outlineLevel="0" collapsed="false">
      <c r="A21374" s="3" t="s">
        <v>556</v>
      </c>
      <c r="C21374" s="16" t="n">
        <f aca="false">IF(C21363=0,0,C21330/C21363*MAX(0,MIN(C21363,$C$21273-SUM($C$21308:$C$21317)-C21352)))</f>
        <v>0</v>
      </c>
    </row>
    <row r="21375" customFormat="false" ht="15" hidden="false" customHeight="false" outlineLevel="0" collapsed="false">
      <c r="A21375" s="3" t="s">
        <v>557</v>
      </c>
      <c r="C21375" s="16" t="n">
        <f aca="false">IF(C21364=0,0,C21331/C21364*MAX(0,MIN(C21364,$C$21273-SUM($C$21308:$C$21317)-C21353)))</f>
        <v>0</v>
      </c>
    </row>
    <row r="21376" customFormat="false" ht="15" hidden="false" customHeight="false" outlineLevel="0" collapsed="false">
      <c r="A21376" s="3" t="s">
        <v>558</v>
      </c>
      <c r="C21376" s="16" t="n">
        <f aca="false">IF(C21365=0,0,C21332/C21365*MAX(0,MIN(C21365,$C$21273-SUM($C$21308:$C$21317)-C21354)))</f>
        <v>0</v>
      </c>
    </row>
    <row r="21377" customFormat="false" ht="15" hidden="false" customHeight="false" outlineLevel="0" collapsed="false">
      <c r="A21377" s="3" t="s">
        <v>559</v>
      </c>
      <c r="C21377" s="16" t="n">
        <f aca="false">IF(C21366=0,0,C21333/C21366*MAX(0,MIN(C21366,$C$21273-SUM($C$21308:$C$21317)-C21355)))</f>
        <v>0</v>
      </c>
    </row>
    <row r="21378" customFormat="false" ht="15" hidden="false" customHeight="false" outlineLevel="0" collapsed="false">
      <c r="A21378" s="3" t="s">
        <v>560</v>
      </c>
      <c r="C21378" s="16" t="n">
        <f aca="false">IF(C21367=0,0,C21334/C21367*MAX(0,MIN(C21367,$C$21273-SUM($C$21308:$C$21317)-C21356)))</f>
        <v>393.50800035465</v>
      </c>
    </row>
    <row r="21379" customFormat="false" ht="15" hidden="false" customHeight="false" outlineLevel="0" collapsed="false">
      <c r="A21379" s="3" t="s">
        <v>561</v>
      </c>
      <c r="C21379" s="16" t="n">
        <f aca="false">IF(C21368=0,0,C21335/C21368*MAX(0,MIN(C21368,$C$21273-SUM($C$21308:$C$21317)-C21357)))</f>
        <v>357.2625</v>
      </c>
    </row>
    <row r="21380" customFormat="false" ht="15" hidden="false" customHeight="false" outlineLevel="0" collapsed="false">
      <c r="A21380" s="3" t="s">
        <v>562</v>
      </c>
      <c r="C21380" s="16" t="n">
        <f aca="false">IF(C21369=0,0,C21336/C21369*MAX(0,MIN(C21369,$C$21273-SUM($C$21308:$C$21317)-C21358)))</f>
        <v>562.203125</v>
      </c>
    </row>
    <row r="21381" customFormat="false" ht="15" hidden="false" customHeight="false" outlineLevel="0" collapsed="false">
      <c r="A21381" s="3" t="s">
        <v>563</v>
      </c>
      <c r="C21381" s="16" t="n">
        <f aca="false">IF(C21370=0,0,C21337/C21370*MAX(0,MIN(C21370,$C$21273-SUM($C$21308:$C$21317)-C21359)))</f>
        <v>353.98125</v>
      </c>
    </row>
    <row r="21382" customFormat="false" ht="15" hidden="false" customHeight="false" outlineLevel="0" collapsed="false">
      <c r="A21382" s="3" t="s">
        <v>564</v>
      </c>
      <c r="C21382" s="16" t="n">
        <f aca="false">IF(C21371=0,0,C21338/C21371*MAX(0,MIN(C21371,$C$21273-SUM($C$21308:$C$21317)-C21360)))</f>
        <v>304.59375</v>
      </c>
    </row>
    <row r="21383" customFormat="false" ht="15" hidden="false" customHeight="false" outlineLevel="0" collapsed="false">
      <c r="A21383" s="3" t="s">
        <v>565</v>
      </c>
      <c r="C21383" s="16" t="n">
        <f aca="false">IF(C21372=0,0,C21339/C21372*MAX(0,MIN(C21372,$C$21273-SUM($C$21308:$C$21317)-C21361)))</f>
        <v>65.8544219221496</v>
      </c>
    </row>
    <row r="21384" customFormat="false" ht="15" hidden="false" customHeight="false" outlineLevel="0" collapsed="false">
      <c r="A21384" s="24" t="s">
        <v>575</v>
      </c>
      <c r="B21384" s="25"/>
      <c r="C21384" s="25"/>
      <c r="D21384" s="25"/>
      <c r="E21384" s="25"/>
      <c r="F21384" s="25"/>
      <c r="G21384" s="25"/>
      <c r="H21384" s="25"/>
      <c r="I21384" s="25"/>
      <c r="J21384" s="25"/>
      <c r="K21384" s="25"/>
    </row>
    <row r="21385" customFormat="false" ht="15" hidden="false" customHeight="false" outlineLevel="0" collapsed="false">
      <c r="A21385" s="2" t="s">
        <v>556</v>
      </c>
      <c r="C21385" s="17" t="n">
        <f aca="false">C21308+C21374</f>
        <v>403.76</v>
      </c>
    </row>
    <row r="21386" customFormat="false" ht="15" hidden="false" customHeight="false" outlineLevel="0" collapsed="false">
      <c r="A21386" s="2" t="s">
        <v>557</v>
      </c>
      <c r="C21386" s="17" t="n">
        <f aca="false">C21309+C21375</f>
        <v>85.1568504864</v>
      </c>
    </row>
    <row r="21387" customFormat="false" ht="15" hidden="false" customHeight="false" outlineLevel="0" collapsed="false">
      <c r="A21387" s="2" t="s">
        <v>558</v>
      </c>
      <c r="C21387" s="17" t="n">
        <f aca="false">C21310+C21376</f>
        <v>54.1907230368</v>
      </c>
    </row>
    <row r="21388" customFormat="false" ht="15" hidden="false" customHeight="false" outlineLevel="0" collapsed="false">
      <c r="A21388" s="2" t="s">
        <v>559</v>
      </c>
      <c r="C21388" s="17" t="n">
        <f aca="false">C21311+C21377</f>
        <v>0</v>
      </c>
    </row>
    <row r="21389" customFormat="false" ht="15" hidden="false" customHeight="false" outlineLevel="0" collapsed="false">
      <c r="A21389" s="2" t="s">
        <v>560</v>
      </c>
      <c r="C21389" s="17" t="n">
        <f aca="false">C21312+C21378</f>
        <v>393.50800035465</v>
      </c>
    </row>
    <row r="21390" customFormat="false" ht="15" hidden="false" customHeight="false" outlineLevel="0" collapsed="false">
      <c r="A21390" s="2" t="s">
        <v>561</v>
      </c>
      <c r="C21390" s="17" t="n">
        <f aca="false">C21313+C21379</f>
        <v>357.2625</v>
      </c>
    </row>
    <row r="21391" customFormat="false" ht="15" hidden="false" customHeight="false" outlineLevel="0" collapsed="false">
      <c r="A21391" s="2" t="s">
        <v>562</v>
      </c>
      <c r="C21391" s="17" t="n">
        <f aca="false">C21314+C21380</f>
        <v>562.203125</v>
      </c>
    </row>
    <row r="21392" customFormat="false" ht="15" hidden="false" customHeight="false" outlineLevel="0" collapsed="false">
      <c r="A21392" s="2" t="s">
        <v>563</v>
      </c>
      <c r="C21392" s="17" t="n">
        <f aca="false">C21315+C21381</f>
        <v>353.98125</v>
      </c>
    </row>
    <row r="21393" customFormat="false" ht="15" hidden="false" customHeight="false" outlineLevel="0" collapsed="false">
      <c r="A21393" s="2" t="s">
        <v>564</v>
      </c>
      <c r="C21393" s="17" t="n">
        <f aca="false">C21316+C21382</f>
        <v>304.59375</v>
      </c>
    </row>
    <row r="21394" customFormat="false" ht="15" hidden="false" customHeight="false" outlineLevel="0" collapsed="false">
      <c r="A21394" s="2" t="s">
        <v>565</v>
      </c>
      <c r="C21394" s="17" t="n">
        <f aca="false">C21317+C21383</f>
        <v>65.8544219221496</v>
      </c>
    </row>
    <row r="21395" customFormat="false" ht="15" hidden="false" customHeight="false" outlineLevel="0" collapsed="false">
      <c r="A21395" s="24" t="s">
        <v>576</v>
      </c>
      <c r="B21395" s="25"/>
      <c r="C21395" s="25"/>
      <c r="D21395" s="25"/>
      <c r="E21395" s="25"/>
      <c r="F21395" s="25"/>
      <c r="G21395" s="25"/>
      <c r="H21395" s="25"/>
      <c r="I21395" s="25"/>
      <c r="J21395" s="25"/>
      <c r="K21395" s="25"/>
    </row>
    <row r="21396" customFormat="false" ht="15" hidden="false" customHeight="false" outlineLevel="0" collapsed="false">
      <c r="A21396" s="3" t="s">
        <v>556</v>
      </c>
      <c r="C21396" s="22" t="n">
        <f aca="false">IF(C21275=0,1,C21385/C21275)</f>
        <v>1</v>
      </c>
    </row>
    <row r="21397" customFormat="false" ht="15" hidden="false" customHeight="false" outlineLevel="0" collapsed="false">
      <c r="A21397" s="3" t="s">
        <v>557</v>
      </c>
      <c r="C21397" s="22" t="n">
        <f aca="false">IF(C21276=0,1,C21386/C21276)</f>
        <v>0.932640622583639</v>
      </c>
    </row>
    <row r="21398" customFormat="false" ht="15" hidden="false" customHeight="false" outlineLevel="0" collapsed="false">
      <c r="A21398" s="3" t="s">
        <v>558</v>
      </c>
      <c r="C21398" s="22" t="n">
        <f aca="false">IF(C21277=0,1,C21387/C21277)</f>
        <v>0.928374871640695</v>
      </c>
    </row>
    <row r="21399" customFormat="false" ht="15" hidden="false" customHeight="false" outlineLevel="0" collapsed="false">
      <c r="A21399" s="3" t="s">
        <v>559</v>
      </c>
      <c r="C21399" s="22" t="n">
        <f aca="false">IF(C21278=0,1,C21388/C21278)</f>
        <v>1</v>
      </c>
    </row>
    <row r="21400" customFormat="false" ht="15" hidden="false" customHeight="false" outlineLevel="0" collapsed="false">
      <c r="A21400" s="3" t="s">
        <v>560</v>
      </c>
      <c r="C21400" s="22" t="n">
        <f aca="false">IF(C21279=0,1,C21389/C21279)</f>
        <v>1</v>
      </c>
    </row>
    <row r="21401" customFormat="false" ht="15" hidden="false" customHeight="false" outlineLevel="0" collapsed="false">
      <c r="A21401" s="3" t="s">
        <v>561</v>
      </c>
      <c r="C21401" s="22" t="n">
        <f aca="false">IF(C21280=0,1,C21390/C21280)</f>
        <v>1</v>
      </c>
    </row>
    <row r="21402" customFormat="false" ht="15" hidden="false" customHeight="false" outlineLevel="0" collapsed="false">
      <c r="A21402" s="3" t="s">
        <v>562</v>
      </c>
      <c r="C21402" s="22" t="n">
        <f aca="false">IF(C21281=0,1,C21391/C21281)</f>
        <v>1</v>
      </c>
    </row>
    <row r="21403" customFormat="false" ht="15" hidden="false" customHeight="false" outlineLevel="0" collapsed="false">
      <c r="A21403" s="3" t="s">
        <v>563</v>
      </c>
      <c r="C21403" s="22" t="n">
        <f aca="false">IF(C21282=0,1,C21392/C21282)</f>
        <v>1</v>
      </c>
    </row>
    <row r="21404" customFormat="false" ht="15" hidden="false" customHeight="false" outlineLevel="0" collapsed="false">
      <c r="A21404" s="3" t="s">
        <v>564</v>
      </c>
      <c r="C21404" s="22" t="n">
        <f aca="false">IF(C21283=0,1,C21393/C21283)</f>
        <v>1</v>
      </c>
    </row>
    <row r="21405" customFormat="false" ht="15" hidden="false" customHeight="false" outlineLevel="0" collapsed="false">
      <c r="A21405" s="3" t="s">
        <v>565</v>
      </c>
      <c r="C21405" s="22" t="n">
        <f aca="false">IF(C21284=0,1,C21394/C21284)</f>
        <v>0.82078669074939</v>
      </c>
    </row>
    <row r="21406" customFormat="false" ht="15" hidden="false" customHeight="false" outlineLevel="0" collapsed="false">
      <c r="A21406" s="24" t="s">
        <v>577</v>
      </c>
      <c r="B21406" s="25"/>
      <c r="C21406" s="25"/>
      <c r="D21406" s="25"/>
      <c r="E21406" s="25"/>
      <c r="F21406" s="25"/>
      <c r="G21406" s="25"/>
      <c r="H21406" s="25"/>
      <c r="I21406" s="25"/>
      <c r="J21406" s="25"/>
      <c r="K21406" s="25"/>
    </row>
    <row r="21407" customFormat="false" ht="15" hidden="false" customHeight="false" outlineLevel="0" collapsed="false">
      <c r="A21407" s="3" t="s">
        <v>556</v>
      </c>
      <c r="C21407" s="16" t="n">
        <f aca="false">C21275-C21385</f>
        <v>0</v>
      </c>
    </row>
    <row r="21408" customFormat="false" ht="15" hidden="false" customHeight="false" outlineLevel="0" collapsed="false">
      <c r="A21408" s="3" t="s">
        <v>557</v>
      </c>
      <c r="C21408" s="16" t="n">
        <f aca="false">C21276-C21386</f>
        <v>6.15039951360001</v>
      </c>
    </row>
    <row r="21409" customFormat="false" ht="15" hidden="false" customHeight="false" outlineLevel="0" collapsed="false">
      <c r="A21409" s="3" t="s">
        <v>558</v>
      </c>
      <c r="C21409" s="16" t="n">
        <f aca="false">C21277-C21387</f>
        <v>4.1808730632</v>
      </c>
    </row>
    <row r="21410" customFormat="false" ht="15" hidden="false" customHeight="false" outlineLevel="0" collapsed="false">
      <c r="A21410" s="3" t="s">
        <v>559</v>
      </c>
      <c r="C21410" s="16" t="n">
        <f aca="false">C21278-C21388</f>
        <v>0</v>
      </c>
    </row>
    <row r="21411" customFormat="false" ht="15" hidden="false" customHeight="false" outlineLevel="0" collapsed="false">
      <c r="A21411" s="3" t="s">
        <v>560</v>
      </c>
      <c r="C21411" s="16" t="n">
        <f aca="false">C21279-C21389</f>
        <v>0</v>
      </c>
    </row>
    <row r="21412" customFormat="false" ht="15" hidden="false" customHeight="false" outlineLevel="0" collapsed="false">
      <c r="A21412" s="3" t="s">
        <v>561</v>
      </c>
      <c r="C21412" s="16" t="n">
        <f aca="false">C21280-C21390</f>
        <v>0</v>
      </c>
    </row>
    <row r="21413" customFormat="false" ht="15" hidden="false" customHeight="false" outlineLevel="0" collapsed="false">
      <c r="A21413" s="3" t="s">
        <v>562</v>
      </c>
      <c r="C21413" s="16" t="n">
        <f aca="false">C21281-C21391</f>
        <v>0</v>
      </c>
    </row>
    <row r="21414" customFormat="false" ht="15" hidden="false" customHeight="false" outlineLevel="0" collapsed="false">
      <c r="A21414" s="3" t="s">
        <v>563</v>
      </c>
      <c r="C21414" s="16" t="n">
        <f aca="false">C21282-C21392</f>
        <v>0</v>
      </c>
    </row>
    <row r="21415" customFormat="false" ht="15" hidden="false" customHeight="false" outlineLevel="0" collapsed="false">
      <c r="A21415" s="3" t="s">
        <v>564</v>
      </c>
      <c r="C21415" s="16" t="n">
        <f aca="false">C21283-C21393</f>
        <v>0</v>
      </c>
    </row>
    <row r="21416" customFormat="false" ht="15" hidden="false" customHeight="false" outlineLevel="0" collapsed="false">
      <c r="A21416" s="3" t="s">
        <v>565</v>
      </c>
      <c r="C21416" s="16" t="n">
        <f aca="false">C21284-C21394</f>
        <v>14.3788745778504</v>
      </c>
    </row>
    <row r="21417" customFormat="false" ht="15" hidden="false" customHeight="false" outlineLevel="0" collapsed="false">
      <c r="A21417" s="24" t="s">
        <v>578</v>
      </c>
      <c r="B21417" s="25"/>
      <c r="C21417" s="25"/>
      <c r="D21417" s="25"/>
      <c r="E21417" s="25"/>
      <c r="F21417" s="25"/>
      <c r="G21417" s="25"/>
      <c r="H21417" s="25"/>
      <c r="I21417" s="25"/>
      <c r="J21417" s="25"/>
      <c r="K21417" s="25"/>
    </row>
    <row r="21418" customFormat="false" ht="15" hidden="false" customHeight="false" outlineLevel="0" collapsed="false">
      <c r="A21418" s="3" t="s">
        <v>556</v>
      </c>
      <c r="C21418" s="22" t="n">
        <f aca="false">IF(C21275=0,0,C21407/C21275)</f>
        <v>0</v>
      </c>
    </row>
    <row r="21419" customFormat="false" ht="15" hidden="false" customHeight="false" outlineLevel="0" collapsed="false">
      <c r="A21419" s="3" t="s">
        <v>557</v>
      </c>
      <c r="C21419" s="22" t="n">
        <f aca="false">IF(C21276=0,0,C21408/C21276)</f>
        <v>0.0673593774163608</v>
      </c>
    </row>
    <row r="21420" customFormat="false" ht="15" hidden="false" customHeight="false" outlineLevel="0" collapsed="false">
      <c r="A21420" s="3" t="s">
        <v>558</v>
      </c>
      <c r="C21420" s="22" t="n">
        <f aca="false">IF(C21277=0,0,C21409/C21277)</f>
        <v>0.0716251283593048</v>
      </c>
    </row>
    <row r="21421" customFormat="false" ht="15" hidden="false" customHeight="false" outlineLevel="0" collapsed="false">
      <c r="A21421" s="3" t="s">
        <v>559</v>
      </c>
      <c r="C21421" s="22" t="n">
        <f aca="false">IF(C21278=0,0,C21410/C21278)</f>
        <v>0</v>
      </c>
    </row>
    <row r="21422" customFormat="false" ht="15" hidden="false" customHeight="false" outlineLevel="0" collapsed="false">
      <c r="A21422" s="3" t="s">
        <v>560</v>
      </c>
      <c r="C21422" s="22" t="n">
        <f aca="false">IF(C21279=0,0,C21411/C21279)</f>
        <v>0</v>
      </c>
    </row>
    <row r="21423" customFormat="false" ht="15" hidden="false" customHeight="false" outlineLevel="0" collapsed="false">
      <c r="A21423" s="3" t="s">
        <v>561</v>
      </c>
      <c r="C21423" s="22" t="n">
        <f aca="false">IF(C21280=0,0,C21412/C21280)</f>
        <v>0</v>
      </c>
    </row>
    <row r="21424" customFormat="false" ht="15" hidden="false" customHeight="false" outlineLevel="0" collapsed="false">
      <c r="A21424" s="3" t="s">
        <v>562</v>
      </c>
      <c r="C21424" s="22" t="n">
        <f aca="false">IF(C21281=0,0,C21413/C21281)</f>
        <v>0</v>
      </c>
    </row>
    <row r="21425" customFormat="false" ht="15" hidden="false" customHeight="false" outlineLevel="0" collapsed="false">
      <c r="A21425" s="3" t="s">
        <v>563</v>
      </c>
      <c r="C21425" s="22" t="n">
        <f aca="false">IF(C21282=0,0,C21414/C21282)</f>
        <v>0</v>
      </c>
    </row>
    <row r="21426" customFormat="false" ht="15" hidden="false" customHeight="false" outlineLevel="0" collapsed="false">
      <c r="A21426" s="3" t="s">
        <v>564</v>
      </c>
      <c r="C21426" s="22" t="n">
        <f aca="false">IF(C21283=0,0,C21415/C21283)</f>
        <v>0</v>
      </c>
    </row>
    <row r="21427" customFormat="false" ht="15" hidden="false" customHeight="false" outlineLevel="0" collapsed="false">
      <c r="A21427" s="3" t="s">
        <v>565</v>
      </c>
      <c r="C21427" s="22" t="n">
        <f aca="false">IF(C21284=0,0,C21416/C21284)</f>
        <v>0.17921330925061</v>
      </c>
    </row>
    <row r="21428" customFormat="false" ht="15" hidden="false" customHeight="false" outlineLevel="0" collapsed="false">
      <c r="A21428" s="2" t="s">
        <v>579</v>
      </c>
      <c r="C21428" s="17" t="n">
        <f aca="false">MAX(0,$C$21273-SUM($C$21308:$C$21317)-SUM($C$21330:$C$21339))</f>
        <v>0</v>
      </c>
    </row>
    <row r="21429" customFormat="false" ht="15" hidden="false" customHeight="false" outlineLevel="0" collapsed="false">
      <c r="A21429" s="3" t="s">
        <v>580</v>
      </c>
      <c r="C21429" s="16" t="n">
        <f aca="false">SUM($C$21385:$C$21394)+C21428+C21272-C21271</f>
        <v>0</v>
      </c>
    </row>
    <row r="21431" customFormat="false" ht="15" hidden="false" customHeight="false" outlineLevel="0" collapsed="false">
      <c r="A21431" s="24" t="s">
        <v>583</v>
      </c>
      <c r="B21431" s="25"/>
      <c r="C21431" s="25"/>
      <c r="D21431" s="25"/>
      <c r="E21431" s="25"/>
      <c r="F21431" s="25"/>
      <c r="G21431" s="25"/>
      <c r="H21431" s="25"/>
      <c r="I21431" s="25"/>
      <c r="J21431" s="25"/>
      <c r="K21431" s="25"/>
    </row>
    <row r="21432" customFormat="false" ht="15" hidden="false" customHeight="false" outlineLevel="0" collapsed="false">
      <c r="A21432" s="3" t="s">
        <v>584</v>
      </c>
      <c r="C21432" s="27" t="n">
        <f aca="false">Assumptions!$C$34</f>
        <v>1</v>
      </c>
    </row>
    <row r="21433" customFormat="false" ht="15" hidden="false" customHeight="false" outlineLevel="0" collapsed="false">
      <c r="A21433" s="3" t="s">
        <v>585</v>
      </c>
      <c r="C21433" s="29" t="n">
        <f aca="false">Assumptions!$C$35</f>
        <v>100</v>
      </c>
    </row>
    <row r="21434" customFormat="false" ht="15" hidden="false" customHeight="false" outlineLevel="0" collapsed="false">
      <c r="A21434" s="3" t="s">
        <v>586</v>
      </c>
      <c r="C21434" s="40" t="n">
        <f aca="false">Assumptions!$C$36</f>
        <v>98</v>
      </c>
    </row>
    <row r="21435" customFormat="false" ht="15" hidden="false" customHeight="false" outlineLevel="0" collapsed="false">
      <c r="A21435" s="3" t="s">
        <v>587</v>
      </c>
      <c r="C21435" s="16" t="n">
        <f aca="false">C21433*C21434/100*(1+Assumptions!$C$37)</f>
        <v>98.49</v>
      </c>
    </row>
    <row r="21436" customFormat="false" ht="15" hidden="false" customHeight="false" outlineLevel="0" collapsed="false">
      <c r="A21436" s="3" t="s">
        <v>588</v>
      </c>
      <c r="C21436" s="27" t="n">
        <f aca="false">Assumptions!$C$38</f>
        <v>3</v>
      </c>
    </row>
    <row r="21437" customFormat="false" ht="15" hidden="false" customHeight="false" outlineLevel="0" collapsed="false">
      <c r="A21437" s="3" t="s">
        <v>589</v>
      </c>
      <c r="C21437" s="21" t="n">
        <f aca="false">IF(C21264=1,SUMPRODUCT($G$21200:$K$21200,$G$20974:$K$20974),0)</f>
        <v>2</v>
      </c>
    </row>
    <row r="21438" customFormat="false" ht="15" hidden="false" customHeight="false" outlineLevel="0" collapsed="false">
      <c r="A21438" s="3" t="s">
        <v>590</v>
      </c>
      <c r="C21438" s="22" t="n">
        <f aca="false">IFERROR(C21433/CHOOSE(C21432,SUMPRODUCT($G$21263:$K$21263,$G$21020:$K$21020),SUMPRODUCT($G$21263:$K$21263,$G$21033:$K$21033),SUMPRODUCT($G$21263:$K$21263,$G$21046:$K$21046),SUMPRODUCT($G$21263:$K$21263,$G$21059:$K$21059),SUMPRODUCT($G$21263:$K$21263,$G$21072:$K$21072),SUMPRODUCT($G$21263:$K$21263,$G$21085:$K$21085),SUMPRODUCT($G$21263:$K$21263,$G$21098:$K$21098),SUMPRODUCT($G$21263:$K$21263,$G$21111:$K$21111),SUMPRODUCT($G$21263:$K$21263,$G$21124:$K$21124),SUMPRODUCT($G$21263:$K$21263,$G$21137:$K$21137)),0)</f>
        <v>0.255102040816327</v>
      </c>
    </row>
    <row r="21439" customFormat="false" ht="15" hidden="false" customHeight="false" outlineLevel="0" collapsed="false">
      <c r="A21439" s="3" t="s">
        <v>591</v>
      </c>
      <c r="C21439" s="16" t="n">
        <f aca="false">CHOOSE(C21432,C21385,C21386,C21387,C21388,C21389,C21390,C21391,C21392,C21393,C21394)*C21438</f>
        <v>103</v>
      </c>
    </row>
    <row r="21440" customFormat="false" ht="15" hidden="false" customHeight="false" outlineLevel="0" collapsed="false">
      <c r="A21440" s="3" t="s">
        <v>592</v>
      </c>
      <c r="C21440" s="22" t="n">
        <f aca="false">CHOOSE(C21432,C21396,C21397,C21398,C21399,C21400,C21401,C21402,C21403,C21404,C21405)</f>
        <v>1</v>
      </c>
    </row>
    <row r="21441" customFormat="false" ht="15" hidden="false" customHeight="false" outlineLevel="0" collapsed="false">
      <c r="A21441" s="3" t="s">
        <v>593</v>
      </c>
      <c r="C21441" s="21" t="n">
        <f aca="false">IF(C21264=1,C21437,C21436)</f>
        <v>2</v>
      </c>
    </row>
    <row r="21442" customFormat="false" ht="15" hidden="false" customHeight="false" outlineLevel="0" collapsed="false">
      <c r="A21442" s="3" t="s">
        <v>594</v>
      </c>
      <c r="C21442" s="35" t="n">
        <f aca="false">CHOOSE($C$20966,Assumptions!$C$91,Assumptions!$C$110,Assumptions!$C$129)</f>
        <v>85</v>
      </c>
    </row>
    <row r="21443" customFormat="false" ht="15" hidden="false" customHeight="false" outlineLevel="0" collapsed="false">
      <c r="A21443" s="3" t="s">
        <v>595</v>
      </c>
      <c r="C21443" s="16" t="n">
        <f aca="false">INDEX($G$20983:$K$20983,C21436)*CHOOSE($C$20966,Assumptions!$C$90,Assumptions!$C$109,Assumptions!$C$128)+MAX(0,INDEX($G$21197:$K$21197,C21436))</f>
        <v>2217.25978856625</v>
      </c>
    </row>
    <row r="21444" customFormat="false" ht="15" hidden="false" customHeight="false" outlineLevel="0" collapsed="false">
      <c r="A21444" s="24" t="s">
        <v>596</v>
      </c>
      <c r="B21444" s="25"/>
      <c r="C21444" s="25"/>
      <c r="D21444" s="25"/>
      <c r="E21444" s="25"/>
      <c r="F21444" s="25"/>
      <c r="G21444" s="25"/>
      <c r="H21444" s="25"/>
      <c r="I21444" s="25"/>
      <c r="J21444" s="25"/>
      <c r="K21444" s="25"/>
    </row>
    <row r="21445" customFormat="false" ht="15" hidden="false" customHeight="false" outlineLevel="0" collapsed="false">
      <c r="A21445" s="3" t="s">
        <v>556</v>
      </c>
      <c r="C21445" s="16" t="n">
        <f aca="false">INDEX($G$21020:$K$21020,C21436)</f>
        <v>388</v>
      </c>
    </row>
    <row r="21446" customFormat="false" ht="15" hidden="false" customHeight="false" outlineLevel="0" collapsed="false">
      <c r="A21446" s="3" t="s">
        <v>557</v>
      </c>
      <c r="C21446" s="16" t="n">
        <f aca="false">INDEX($G$21033:$K$21033,C21436)</f>
        <v>90</v>
      </c>
    </row>
    <row r="21447" customFormat="false" ht="15" hidden="false" customHeight="false" outlineLevel="0" collapsed="false">
      <c r="A21447" s="3" t="s">
        <v>558</v>
      </c>
      <c r="C21447" s="16" t="n">
        <f aca="false">INDEX($G$21046:$K$21046,C21436)</f>
        <v>57.324</v>
      </c>
    </row>
    <row r="21448" customFormat="false" ht="15" hidden="false" customHeight="false" outlineLevel="0" collapsed="false">
      <c r="A21448" s="3" t="s">
        <v>559</v>
      </c>
      <c r="C21448" s="16" t="n">
        <f aca="false">INDEX($G$21059:$K$21059,C21436)</f>
        <v>0</v>
      </c>
    </row>
    <row r="21449" customFormat="false" ht="15" hidden="false" customHeight="false" outlineLevel="0" collapsed="false">
      <c r="A21449" s="3" t="s">
        <v>560</v>
      </c>
      <c r="C21449" s="16" t="n">
        <f aca="false">INDEX($G$21072:$K$21072,C21436)</f>
        <v>389.6601068</v>
      </c>
    </row>
    <row r="21450" customFormat="false" ht="15" hidden="false" customHeight="false" outlineLevel="0" collapsed="false">
      <c r="A21450" s="3" t="s">
        <v>561</v>
      </c>
      <c r="C21450" s="16" t="n">
        <f aca="false">INDEX($G$21085:$K$21085,C21436)</f>
        <v>350</v>
      </c>
    </row>
    <row r="21451" customFormat="false" ht="15" hidden="false" customHeight="false" outlineLevel="0" collapsed="false">
      <c r="A21451" s="3" t="s">
        <v>562</v>
      </c>
      <c r="C21451" s="16" t="n">
        <f aca="false">INDEX($G$21098:$K$21098,C21436)</f>
        <v>550</v>
      </c>
    </row>
    <row r="21452" customFormat="false" ht="15" hidden="false" customHeight="false" outlineLevel="0" collapsed="false">
      <c r="A21452" s="3" t="s">
        <v>563</v>
      </c>
      <c r="C21452" s="16" t="n">
        <f aca="false">INDEX($G$21111:$K$21111,C21436)</f>
        <v>350</v>
      </c>
    </row>
    <row r="21453" customFormat="false" ht="15" hidden="false" customHeight="false" outlineLevel="0" collapsed="false">
      <c r="A21453" s="3" t="s">
        <v>564</v>
      </c>
      <c r="C21453" s="16" t="n">
        <f aca="false">INDEX($G$21124:$K$21124,C21436)</f>
        <v>300</v>
      </c>
    </row>
    <row r="21454" customFormat="false" ht="15" hidden="false" customHeight="false" outlineLevel="0" collapsed="false">
      <c r="A21454" s="3" t="s">
        <v>565</v>
      </c>
      <c r="C21454" s="16" t="n">
        <f aca="false">INDEX($G$21137:$K$21137,C21436)</f>
        <v>78.61</v>
      </c>
    </row>
    <row r="21455" customFormat="false" ht="15" hidden="false" customHeight="false" outlineLevel="0" collapsed="false">
      <c r="A21455" s="24" t="s">
        <v>566</v>
      </c>
      <c r="B21455" s="25"/>
      <c r="C21455" s="25"/>
      <c r="D21455" s="25"/>
      <c r="E21455" s="25"/>
      <c r="F21455" s="25"/>
      <c r="G21455" s="25"/>
      <c r="H21455" s="25"/>
      <c r="I21455" s="25"/>
      <c r="J21455" s="25"/>
      <c r="K21455" s="25"/>
    </row>
    <row r="21456" customFormat="false" ht="15" hidden="false" customHeight="false" outlineLevel="0" collapsed="false">
      <c r="A21456" s="3" t="s">
        <v>556</v>
      </c>
      <c r="C21456" s="27" t="n">
        <f aca="false">Assumptions!$M$57</f>
        <v>1</v>
      </c>
    </row>
    <row r="21457" customFormat="false" ht="15" hidden="false" customHeight="false" outlineLevel="0" collapsed="false">
      <c r="A21457" s="3" t="s">
        <v>557</v>
      </c>
      <c r="C21457" s="27" t="n">
        <f aca="false">Assumptions!$M$58</f>
        <v>1</v>
      </c>
    </row>
    <row r="21458" customFormat="false" ht="15" hidden="false" customHeight="false" outlineLevel="0" collapsed="false">
      <c r="A21458" s="3" t="s">
        <v>558</v>
      </c>
      <c r="C21458" s="27" t="n">
        <f aca="false">Assumptions!$M$59</f>
        <v>1</v>
      </c>
    </row>
    <row r="21459" customFormat="false" ht="15" hidden="false" customHeight="false" outlineLevel="0" collapsed="false">
      <c r="A21459" s="3" t="s">
        <v>559</v>
      </c>
      <c r="C21459" s="27" t="n">
        <f aca="false">Assumptions!$M$60</f>
        <v>2</v>
      </c>
    </row>
    <row r="21460" customFormat="false" ht="15" hidden="false" customHeight="false" outlineLevel="0" collapsed="false">
      <c r="A21460" s="3" t="s">
        <v>560</v>
      </c>
      <c r="C21460" s="27" t="n">
        <f aca="false">Assumptions!$M$61</f>
        <v>2</v>
      </c>
    </row>
    <row r="21461" customFormat="false" ht="15" hidden="false" customHeight="false" outlineLevel="0" collapsed="false">
      <c r="A21461" s="3" t="s">
        <v>561</v>
      </c>
      <c r="C21461" s="27" t="n">
        <f aca="false">Assumptions!$M$62</f>
        <v>2</v>
      </c>
    </row>
    <row r="21462" customFormat="false" ht="15" hidden="false" customHeight="false" outlineLevel="0" collapsed="false">
      <c r="A21462" s="3" t="s">
        <v>562</v>
      </c>
      <c r="C21462" s="27" t="n">
        <f aca="false">Assumptions!$M$63</f>
        <v>2</v>
      </c>
    </row>
    <row r="21463" customFormat="false" ht="15" hidden="false" customHeight="false" outlineLevel="0" collapsed="false">
      <c r="A21463" s="3" t="s">
        <v>563</v>
      </c>
      <c r="C21463" s="27" t="n">
        <f aca="false">Assumptions!$M$64</f>
        <v>2</v>
      </c>
    </row>
    <row r="21464" customFormat="false" ht="15" hidden="false" customHeight="false" outlineLevel="0" collapsed="false">
      <c r="A21464" s="3" t="s">
        <v>564</v>
      </c>
      <c r="C21464" s="27" t="n">
        <f aca="false">Assumptions!$M$65</f>
        <v>2</v>
      </c>
    </row>
    <row r="21465" customFormat="false" ht="15" hidden="false" customHeight="false" outlineLevel="0" collapsed="false">
      <c r="A21465" s="3" t="s">
        <v>565</v>
      </c>
      <c r="C21465" s="27" t="n">
        <f aca="false">Assumptions!$M$66</f>
        <v>3</v>
      </c>
    </row>
    <row r="21466" customFormat="false" ht="15" hidden="false" customHeight="false" outlineLevel="0" collapsed="false">
      <c r="A21466" s="24" t="s">
        <v>567</v>
      </c>
      <c r="B21466" s="25"/>
      <c r="C21466" s="25"/>
      <c r="D21466" s="25"/>
      <c r="E21466" s="25"/>
      <c r="F21466" s="25"/>
      <c r="G21466" s="25"/>
      <c r="H21466" s="25"/>
      <c r="I21466" s="25"/>
      <c r="J21466" s="25"/>
      <c r="K21466" s="25"/>
    </row>
    <row r="21467" customFormat="false" ht="15" hidden="false" customHeight="false" outlineLevel="0" collapsed="false">
      <c r="A21467" s="3" t="s">
        <v>556</v>
      </c>
      <c r="C21467" s="33" t="n">
        <f aca="false">Assumptions!$Q$57</f>
        <v>0.3</v>
      </c>
    </row>
    <row r="21468" customFormat="false" ht="15" hidden="false" customHeight="false" outlineLevel="0" collapsed="false">
      <c r="A21468" s="3" t="s">
        <v>557</v>
      </c>
      <c r="C21468" s="33" t="n">
        <f aca="false">Assumptions!$Q$58</f>
        <v>0.033</v>
      </c>
    </row>
    <row r="21469" customFormat="false" ht="15" hidden="false" customHeight="false" outlineLevel="0" collapsed="false">
      <c r="A21469" s="3" t="s">
        <v>558</v>
      </c>
      <c r="C21469" s="33" t="n">
        <f aca="false">Assumptions!$Q$59</f>
        <v>0.021</v>
      </c>
    </row>
    <row r="21470" customFormat="false" ht="15" hidden="false" customHeight="false" outlineLevel="0" collapsed="false">
      <c r="A21470" s="3" t="s">
        <v>559</v>
      </c>
      <c r="C21470" s="33" t="n">
        <f aca="false">Assumptions!$Q$60</f>
        <v>0</v>
      </c>
    </row>
    <row r="21471" customFormat="false" ht="15" hidden="false" customHeight="false" outlineLevel="0" collapsed="false">
      <c r="A21471" s="3" t="s">
        <v>560</v>
      </c>
      <c r="C21471" s="33" t="n">
        <f aca="false">Assumptions!$Q$61</f>
        <v>0</v>
      </c>
    </row>
    <row r="21472" customFormat="false" ht="15" hidden="false" customHeight="false" outlineLevel="0" collapsed="false">
      <c r="A21472" s="3" t="s">
        <v>561</v>
      </c>
      <c r="C21472" s="33" t="n">
        <f aca="false">Assumptions!$Q$62</f>
        <v>0</v>
      </c>
    </row>
    <row r="21473" customFormat="false" ht="15" hidden="false" customHeight="false" outlineLevel="0" collapsed="false">
      <c r="A21473" s="3" t="s">
        <v>562</v>
      </c>
      <c r="C21473" s="33" t="n">
        <f aca="false">Assumptions!$Q$63</f>
        <v>0</v>
      </c>
    </row>
    <row r="21474" customFormat="false" ht="15" hidden="false" customHeight="false" outlineLevel="0" collapsed="false">
      <c r="A21474" s="3" t="s">
        <v>563</v>
      </c>
      <c r="C21474" s="33" t="n">
        <f aca="false">Assumptions!$Q$64</f>
        <v>0</v>
      </c>
    </row>
    <row r="21475" customFormat="false" ht="15" hidden="false" customHeight="false" outlineLevel="0" collapsed="false">
      <c r="A21475" s="3" t="s">
        <v>564</v>
      </c>
      <c r="C21475" s="33" t="n">
        <f aca="false">Assumptions!$Q$65</f>
        <v>0</v>
      </c>
    </row>
    <row r="21476" customFormat="false" ht="15" hidden="false" customHeight="false" outlineLevel="0" collapsed="false">
      <c r="A21476" s="3" t="s">
        <v>565</v>
      </c>
      <c r="C21476" s="33" t="n">
        <f aca="false">Assumptions!$Q$66</f>
        <v>0</v>
      </c>
    </row>
    <row r="21477" customFormat="false" ht="15" hidden="false" customHeight="false" outlineLevel="0" collapsed="false">
      <c r="A21477" s="24" t="s">
        <v>568</v>
      </c>
      <c r="B21477" s="25"/>
      <c r="C21477" s="25"/>
      <c r="D21477" s="25"/>
      <c r="E21477" s="25"/>
      <c r="F21477" s="25"/>
      <c r="G21477" s="25"/>
      <c r="H21477" s="25"/>
      <c r="I21477" s="25"/>
      <c r="J21477" s="25"/>
      <c r="K21477" s="25"/>
    </row>
    <row r="21478" customFormat="false" ht="15" hidden="false" customHeight="false" outlineLevel="0" collapsed="false">
      <c r="A21478" s="3" t="s">
        <v>556</v>
      </c>
      <c r="C21478" s="16" t="n">
        <f aca="false">IF(C21467&gt;0,MIN(C21445,C21467*$C$21443),0)</f>
        <v>388</v>
      </c>
    </row>
    <row r="21479" customFormat="false" ht="15" hidden="false" customHeight="false" outlineLevel="0" collapsed="false">
      <c r="A21479" s="3" t="s">
        <v>557</v>
      </c>
      <c r="C21479" s="16" t="n">
        <f aca="false">IF(C21468&gt;0,MIN(C21446,C21468*$C$21443),0)</f>
        <v>73.1695730226863</v>
      </c>
    </row>
    <row r="21480" customFormat="false" ht="15" hidden="false" customHeight="false" outlineLevel="0" collapsed="false">
      <c r="A21480" s="3" t="s">
        <v>558</v>
      </c>
      <c r="C21480" s="16" t="n">
        <f aca="false">IF(C21469&gt;0,MIN(C21447,C21469*$C$21443),0)</f>
        <v>46.5624555598913</v>
      </c>
    </row>
    <row r="21481" customFormat="false" ht="15" hidden="false" customHeight="false" outlineLevel="0" collapsed="false">
      <c r="A21481" s="3" t="s">
        <v>559</v>
      </c>
      <c r="C21481" s="16" t="n">
        <f aca="false">IF(C21470&gt;0,MIN(C21448,C21470*$C$21443),0)</f>
        <v>0</v>
      </c>
    </row>
    <row r="21482" customFormat="false" ht="15" hidden="false" customHeight="false" outlineLevel="0" collapsed="false">
      <c r="A21482" s="3" t="s">
        <v>560</v>
      </c>
      <c r="C21482" s="16" t="n">
        <f aca="false">IF(C21471&gt;0,MIN(C21449,C21471*$C$21443),0)</f>
        <v>0</v>
      </c>
    </row>
    <row r="21483" customFormat="false" ht="15" hidden="false" customHeight="false" outlineLevel="0" collapsed="false">
      <c r="A21483" s="3" t="s">
        <v>561</v>
      </c>
      <c r="C21483" s="16" t="n">
        <f aca="false">IF(C21472&gt;0,MIN(C21450,C21472*$C$21443),0)</f>
        <v>0</v>
      </c>
    </row>
    <row r="21484" customFormat="false" ht="15" hidden="false" customHeight="false" outlineLevel="0" collapsed="false">
      <c r="A21484" s="3" t="s">
        <v>562</v>
      </c>
      <c r="C21484" s="16" t="n">
        <f aca="false">IF(C21473&gt;0,MIN(C21451,C21473*$C$21443),0)</f>
        <v>0</v>
      </c>
    </row>
    <row r="21485" customFormat="false" ht="15" hidden="false" customHeight="false" outlineLevel="0" collapsed="false">
      <c r="A21485" s="3" t="s">
        <v>563</v>
      </c>
      <c r="C21485" s="16" t="n">
        <f aca="false">IF(C21474&gt;0,MIN(C21452,C21474*$C$21443),0)</f>
        <v>0</v>
      </c>
    </row>
    <row r="21486" customFormat="false" ht="15" hidden="false" customHeight="false" outlineLevel="0" collapsed="false">
      <c r="A21486" s="3" t="s">
        <v>564</v>
      </c>
      <c r="C21486" s="16" t="n">
        <f aca="false">IF(C21475&gt;0,MIN(C21453,C21475*$C$21443),0)</f>
        <v>0</v>
      </c>
    </row>
    <row r="21487" customFormat="false" ht="15" hidden="false" customHeight="false" outlineLevel="0" collapsed="false">
      <c r="A21487" s="3" t="s">
        <v>565</v>
      </c>
      <c r="C21487" s="16" t="n">
        <f aca="false">IF(C21476&gt;0,MIN(C21454,C21476*$C$21443),0)</f>
        <v>0</v>
      </c>
    </row>
    <row r="21488" customFormat="false" ht="15" hidden="false" customHeight="false" outlineLevel="0" collapsed="false">
      <c r="A21488" s="24" t="s">
        <v>569</v>
      </c>
      <c r="B21488" s="25"/>
      <c r="C21488" s="25"/>
      <c r="D21488" s="25"/>
      <c r="E21488" s="25"/>
      <c r="F21488" s="25"/>
      <c r="G21488" s="25"/>
      <c r="H21488" s="25"/>
      <c r="I21488" s="25"/>
      <c r="J21488" s="25"/>
      <c r="K21488" s="25"/>
    </row>
    <row r="21489" customFormat="false" ht="15" hidden="false" customHeight="false" outlineLevel="0" collapsed="false">
      <c r="A21489" s="3" t="s">
        <v>556</v>
      </c>
      <c r="C21489" s="16" t="n">
        <f aca="false">IF(C21467&gt;0,C21445-C21478,0)</f>
        <v>0</v>
      </c>
    </row>
    <row r="21490" customFormat="false" ht="15" hidden="false" customHeight="false" outlineLevel="0" collapsed="false">
      <c r="A21490" s="3" t="s">
        <v>557</v>
      </c>
      <c r="C21490" s="16" t="n">
        <f aca="false">IF(C21468&gt;0,C21446-C21479,0)</f>
        <v>16.8304269773137</v>
      </c>
    </row>
    <row r="21491" customFormat="false" ht="15" hidden="false" customHeight="false" outlineLevel="0" collapsed="false">
      <c r="A21491" s="3" t="s">
        <v>558</v>
      </c>
      <c r="C21491" s="16" t="n">
        <f aca="false">IF(C21469&gt;0,C21447-C21480,0)</f>
        <v>10.7615444401087</v>
      </c>
    </row>
    <row r="21492" customFormat="false" ht="15" hidden="false" customHeight="false" outlineLevel="0" collapsed="false">
      <c r="A21492" s="3" t="s">
        <v>559</v>
      </c>
      <c r="C21492" s="16" t="n">
        <f aca="false">IF(C21470&gt;0,C21448-C21481,0)</f>
        <v>0</v>
      </c>
    </row>
    <row r="21493" customFormat="false" ht="15" hidden="false" customHeight="false" outlineLevel="0" collapsed="false">
      <c r="A21493" s="3" t="s">
        <v>560</v>
      </c>
      <c r="C21493" s="16" t="n">
        <f aca="false">IF(C21471&gt;0,C21449-C21482,0)</f>
        <v>0</v>
      </c>
    </row>
    <row r="21494" customFormat="false" ht="15" hidden="false" customHeight="false" outlineLevel="0" collapsed="false">
      <c r="A21494" s="3" t="s">
        <v>561</v>
      </c>
      <c r="C21494" s="16" t="n">
        <f aca="false">IF(C21472&gt;0,C21450-C21483,0)</f>
        <v>0</v>
      </c>
    </row>
    <row r="21495" customFormat="false" ht="15" hidden="false" customHeight="false" outlineLevel="0" collapsed="false">
      <c r="A21495" s="3" t="s">
        <v>562</v>
      </c>
      <c r="C21495" s="16" t="n">
        <f aca="false">IF(C21473&gt;0,C21451-C21484,0)</f>
        <v>0</v>
      </c>
    </row>
    <row r="21496" customFormat="false" ht="15" hidden="false" customHeight="false" outlineLevel="0" collapsed="false">
      <c r="A21496" s="3" t="s">
        <v>563</v>
      </c>
      <c r="C21496" s="16" t="n">
        <f aca="false">IF(C21474&gt;0,C21452-C21485,0)</f>
        <v>0</v>
      </c>
    </row>
    <row r="21497" customFormat="false" ht="15" hidden="false" customHeight="false" outlineLevel="0" collapsed="false">
      <c r="A21497" s="3" t="s">
        <v>564</v>
      </c>
      <c r="C21497" s="16" t="n">
        <f aca="false">IF(C21475&gt;0,C21453-C21486,0)</f>
        <v>0</v>
      </c>
    </row>
    <row r="21498" customFormat="false" ht="15" hidden="false" customHeight="false" outlineLevel="0" collapsed="false">
      <c r="A21498" s="3" t="s">
        <v>565</v>
      </c>
      <c r="C21498" s="16" t="n">
        <f aca="false">IF(C21476&gt;0,C21454-C21487,0)</f>
        <v>0</v>
      </c>
    </row>
    <row r="21499" customFormat="false" ht="15" hidden="false" customHeight="false" outlineLevel="0" collapsed="false">
      <c r="A21499" s="24" t="s">
        <v>570</v>
      </c>
      <c r="B21499" s="25"/>
      <c r="C21499" s="25"/>
      <c r="D21499" s="25"/>
      <c r="E21499" s="25"/>
      <c r="F21499" s="25"/>
      <c r="G21499" s="25"/>
      <c r="H21499" s="25"/>
      <c r="I21499" s="25"/>
      <c r="J21499" s="25"/>
      <c r="K21499" s="25"/>
    </row>
    <row r="21500" customFormat="false" ht="15" hidden="false" customHeight="false" outlineLevel="0" collapsed="false">
      <c r="A21500" s="3" t="s">
        <v>556</v>
      </c>
      <c r="C21500" s="16" t="n">
        <f aca="false">IF(C21467&gt;0,C21489,C21445)</f>
        <v>0</v>
      </c>
    </row>
    <row r="21501" customFormat="false" ht="15" hidden="false" customHeight="false" outlineLevel="0" collapsed="false">
      <c r="A21501" s="3" t="s">
        <v>557</v>
      </c>
      <c r="C21501" s="16" t="n">
        <f aca="false">IF(C21468&gt;0,C21490,C21446)</f>
        <v>16.8304269773137</v>
      </c>
    </row>
    <row r="21502" customFormat="false" ht="15" hidden="false" customHeight="false" outlineLevel="0" collapsed="false">
      <c r="A21502" s="3" t="s">
        <v>558</v>
      </c>
      <c r="C21502" s="16" t="n">
        <f aca="false">IF(C21469&gt;0,C21491,C21447)</f>
        <v>10.7615444401087</v>
      </c>
    </row>
    <row r="21503" customFormat="false" ht="15" hidden="false" customHeight="false" outlineLevel="0" collapsed="false">
      <c r="A21503" s="3" t="s">
        <v>559</v>
      </c>
      <c r="C21503" s="16" t="n">
        <f aca="false">IF(C21470&gt;0,C21492,C21448)</f>
        <v>0</v>
      </c>
    </row>
    <row r="21504" customFormat="false" ht="15" hidden="false" customHeight="false" outlineLevel="0" collapsed="false">
      <c r="A21504" s="3" t="s">
        <v>560</v>
      </c>
      <c r="C21504" s="16" t="n">
        <f aca="false">IF(C21471&gt;0,C21493,C21449)</f>
        <v>389.6601068</v>
      </c>
    </row>
    <row r="21505" customFormat="false" ht="15" hidden="false" customHeight="false" outlineLevel="0" collapsed="false">
      <c r="A21505" s="3" t="s">
        <v>561</v>
      </c>
      <c r="C21505" s="16" t="n">
        <f aca="false">IF(C21472&gt;0,C21494,C21450)</f>
        <v>350</v>
      </c>
    </row>
    <row r="21506" customFormat="false" ht="15" hidden="false" customHeight="false" outlineLevel="0" collapsed="false">
      <c r="A21506" s="3" t="s">
        <v>562</v>
      </c>
      <c r="C21506" s="16" t="n">
        <f aca="false">IF(C21473&gt;0,C21495,C21451)</f>
        <v>550</v>
      </c>
    </row>
    <row r="21507" customFormat="false" ht="15" hidden="false" customHeight="false" outlineLevel="0" collapsed="false">
      <c r="A21507" s="3" t="s">
        <v>563</v>
      </c>
      <c r="C21507" s="16" t="n">
        <f aca="false">IF(C21474&gt;0,C21496,C21452)</f>
        <v>350</v>
      </c>
    </row>
    <row r="21508" customFormat="false" ht="15" hidden="false" customHeight="false" outlineLevel="0" collapsed="false">
      <c r="A21508" s="3" t="s">
        <v>564</v>
      </c>
      <c r="C21508" s="16" t="n">
        <f aca="false">IF(C21475&gt;0,C21497,C21453)</f>
        <v>300</v>
      </c>
    </row>
    <row r="21509" customFormat="false" ht="15" hidden="false" customHeight="false" outlineLevel="0" collapsed="false">
      <c r="A21509" s="3" t="s">
        <v>565</v>
      </c>
      <c r="C21509" s="16" t="n">
        <f aca="false">IF(C21476&gt;0,C21498,C21454)</f>
        <v>78.61</v>
      </c>
    </row>
    <row r="21510" customFormat="false" ht="15" hidden="false" customHeight="false" outlineLevel="0" collapsed="false">
      <c r="A21510" s="24" t="s">
        <v>571</v>
      </c>
      <c r="B21510" s="25"/>
      <c r="C21510" s="25"/>
      <c r="D21510" s="25"/>
      <c r="E21510" s="25"/>
      <c r="F21510" s="25"/>
      <c r="G21510" s="25"/>
      <c r="H21510" s="25"/>
      <c r="I21510" s="25"/>
      <c r="J21510" s="25"/>
      <c r="K21510" s="25"/>
    </row>
    <row r="21511" customFormat="false" ht="15" hidden="false" customHeight="false" outlineLevel="0" collapsed="false">
      <c r="A21511" s="3" t="s">
        <v>556</v>
      </c>
      <c r="C21511" s="21" t="n">
        <f aca="false">IF(C21467&gt;0,Assumptions!$C$17,C21456)</f>
        <v>99</v>
      </c>
    </row>
    <row r="21512" customFormat="false" ht="15" hidden="false" customHeight="false" outlineLevel="0" collapsed="false">
      <c r="A21512" s="3" t="s">
        <v>557</v>
      </c>
      <c r="C21512" s="21" t="n">
        <f aca="false">IF(C21468&gt;0,Assumptions!$C$17,C21457)</f>
        <v>99</v>
      </c>
    </row>
    <row r="21513" customFormat="false" ht="15" hidden="false" customHeight="false" outlineLevel="0" collapsed="false">
      <c r="A21513" s="3" t="s">
        <v>558</v>
      </c>
      <c r="C21513" s="21" t="n">
        <f aca="false">IF(C21469&gt;0,Assumptions!$C$17,C21458)</f>
        <v>99</v>
      </c>
    </row>
    <row r="21514" customFormat="false" ht="15" hidden="false" customHeight="false" outlineLevel="0" collapsed="false">
      <c r="A21514" s="3" t="s">
        <v>559</v>
      </c>
      <c r="C21514" s="21" t="n">
        <f aca="false">IF(C21470&gt;0,Assumptions!$C$17,C21459)</f>
        <v>2</v>
      </c>
    </row>
    <row r="21515" customFormat="false" ht="15" hidden="false" customHeight="false" outlineLevel="0" collapsed="false">
      <c r="A21515" s="3" t="s">
        <v>560</v>
      </c>
      <c r="C21515" s="21" t="n">
        <f aca="false">IF(C21471&gt;0,Assumptions!$C$17,C21460)</f>
        <v>2</v>
      </c>
    </row>
    <row r="21516" customFormat="false" ht="15" hidden="false" customHeight="false" outlineLevel="0" collapsed="false">
      <c r="A21516" s="3" t="s">
        <v>561</v>
      </c>
      <c r="C21516" s="21" t="n">
        <f aca="false">IF(C21472&gt;0,Assumptions!$C$17,C21461)</f>
        <v>2</v>
      </c>
    </row>
    <row r="21517" customFormat="false" ht="15" hidden="false" customHeight="false" outlineLevel="0" collapsed="false">
      <c r="A21517" s="3" t="s">
        <v>562</v>
      </c>
      <c r="C21517" s="21" t="n">
        <f aca="false">IF(C21473&gt;0,Assumptions!$C$17,C21462)</f>
        <v>2</v>
      </c>
    </row>
    <row r="21518" customFormat="false" ht="15" hidden="false" customHeight="false" outlineLevel="0" collapsed="false">
      <c r="A21518" s="3" t="s">
        <v>563</v>
      </c>
      <c r="C21518" s="21" t="n">
        <f aca="false">IF(C21474&gt;0,Assumptions!$C$17,C21463)</f>
        <v>2</v>
      </c>
    </row>
    <row r="21519" customFormat="false" ht="15" hidden="false" customHeight="false" outlineLevel="0" collapsed="false">
      <c r="A21519" s="3" t="s">
        <v>564</v>
      </c>
      <c r="C21519" s="21" t="n">
        <f aca="false">IF(C21475&gt;0,Assumptions!$C$17,C21464)</f>
        <v>2</v>
      </c>
    </row>
    <row r="21520" customFormat="false" ht="15" hidden="false" customHeight="false" outlineLevel="0" collapsed="false">
      <c r="A21520" s="3" t="s">
        <v>565</v>
      </c>
      <c r="C21520" s="21" t="n">
        <f aca="false">IF(C21476&gt;0,Assumptions!$C$17,C21465)</f>
        <v>3</v>
      </c>
    </row>
    <row r="21521" customFormat="false" ht="15" hidden="false" customHeight="false" outlineLevel="0" collapsed="false">
      <c r="A21521" s="24" t="s">
        <v>572</v>
      </c>
      <c r="B21521" s="25"/>
      <c r="C21521" s="25"/>
      <c r="D21521" s="25"/>
      <c r="E21521" s="25"/>
      <c r="F21521" s="25"/>
      <c r="G21521" s="25"/>
      <c r="H21521" s="25"/>
      <c r="I21521" s="25"/>
      <c r="J21521" s="25"/>
      <c r="K21521" s="25"/>
    </row>
    <row r="21522" customFormat="false" ht="15" hidden="false" customHeight="false" outlineLevel="0" collapsed="false">
      <c r="A21522" s="3" t="s">
        <v>556</v>
      </c>
      <c r="C21522" s="16" t="n">
        <f aca="false">SUMPRODUCT(($C$21511:$C$21520&lt;C21511)*$C$21500:$C$21509)</f>
        <v>2018.2701068</v>
      </c>
    </row>
    <row r="21523" customFormat="false" ht="15" hidden="false" customHeight="false" outlineLevel="0" collapsed="false">
      <c r="A21523" s="3" t="s">
        <v>557</v>
      </c>
      <c r="C21523" s="16" t="n">
        <f aca="false">SUMPRODUCT(($C$21511:$C$21520&lt;C21512)*$C$21500:$C$21509)</f>
        <v>2018.2701068</v>
      </c>
    </row>
    <row r="21524" customFormat="false" ht="15" hidden="false" customHeight="false" outlineLevel="0" collapsed="false">
      <c r="A21524" s="3" t="s">
        <v>558</v>
      </c>
      <c r="C21524" s="16" t="n">
        <f aca="false">SUMPRODUCT(($C$21511:$C$21520&lt;C21513)*$C$21500:$C$21509)</f>
        <v>2018.2701068</v>
      </c>
    </row>
    <row r="21525" customFormat="false" ht="15" hidden="false" customHeight="false" outlineLevel="0" collapsed="false">
      <c r="A21525" s="3" t="s">
        <v>559</v>
      </c>
      <c r="C21525" s="16" t="n">
        <f aca="false">SUMPRODUCT(($C$21511:$C$21520&lt;C21514)*$C$21500:$C$21509)</f>
        <v>0</v>
      </c>
    </row>
    <row r="21526" customFormat="false" ht="15" hidden="false" customHeight="false" outlineLevel="0" collapsed="false">
      <c r="A21526" s="3" t="s">
        <v>560</v>
      </c>
      <c r="C21526" s="16" t="n">
        <f aca="false">SUMPRODUCT(($C$21511:$C$21520&lt;C21515)*$C$21500:$C$21509)</f>
        <v>0</v>
      </c>
    </row>
    <row r="21527" customFormat="false" ht="15" hidden="false" customHeight="false" outlineLevel="0" collapsed="false">
      <c r="A21527" s="3" t="s">
        <v>561</v>
      </c>
      <c r="C21527" s="16" t="n">
        <f aca="false">SUMPRODUCT(($C$21511:$C$21520&lt;C21516)*$C$21500:$C$21509)</f>
        <v>0</v>
      </c>
    </row>
    <row r="21528" customFormat="false" ht="15" hidden="false" customHeight="false" outlineLevel="0" collapsed="false">
      <c r="A21528" s="3" t="s">
        <v>562</v>
      </c>
      <c r="C21528" s="16" t="n">
        <f aca="false">SUMPRODUCT(($C$21511:$C$21520&lt;C21517)*$C$21500:$C$21509)</f>
        <v>0</v>
      </c>
    </row>
    <row r="21529" customFormat="false" ht="15" hidden="false" customHeight="false" outlineLevel="0" collapsed="false">
      <c r="A21529" s="3" t="s">
        <v>563</v>
      </c>
      <c r="C21529" s="16" t="n">
        <f aca="false">SUMPRODUCT(($C$21511:$C$21520&lt;C21518)*$C$21500:$C$21509)</f>
        <v>0</v>
      </c>
    </row>
    <row r="21530" customFormat="false" ht="15" hidden="false" customHeight="false" outlineLevel="0" collapsed="false">
      <c r="A21530" s="3" t="s">
        <v>564</v>
      </c>
      <c r="C21530" s="16" t="n">
        <f aca="false">SUMPRODUCT(($C$21511:$C$21520&lt;C21519)*$C$21500:$C$21509)</f>
        <v>0</v>
      </c>
    </row>
    <row r="21531" customFormat="false" ht="15" hidden="false" customHeight="false" outlineLevel="0" collapsed="false">
      <c r="A21531" s="3" t="s">
        <v>565</v>
      </c>
      <c r="C21531" s="16" t="n">
        <f aca="false">SUMPRODUCT(($C$21511:$C$21520&lt;C21520)*$C$21500:$C$21509)</f>
        <v>1939.6601068</v>
      </c>
    </row>
    <row r="21532" customFormat="false" ht="15" hidden="false" customHeight="false" outlineLevel="0" collapsed="false">
      <c r="A21532" s="24" t="s">
        <v>573</v>
      </c>
      <c r="B21532" s="25"/>
      <c r="C21532" s="25"/>
      <c r="D21532" s="25"/>
      <c r="E21532" s="25"/>
      <c r="F21532" s="25"/>
      <c r="G21532" s="25"/>
      <c r="H21532" s="25"/>
      <c r="I21532" s="25"/>
      <c r="J21532" s="25"/>
      <c r="K21532" s="25"/>
    </row>
    <row r="21533" customFormat="false" ht="15" hidden="false" customHeight="false" outlineLevel="0" collapsed="false">
      <c r="A21533" s="3" t="s">
        <v>556</v>
      </c>
      <c r="C21533" s="16" t="n">
        <f aca="false">SUMPRODUCT(($C$21511:$C$21520=C21511)*$C$21500:$C$21509)</f>
        <v>27.5919714174225</v>
      </c>
    </row>
    <row r="21534" customFormat="false" ht="15" hidden="false" customHeight="false" outlineLevel="0" collapsed="false">
      <c r="A21534" s="3" t="s">
        <v>557</v>
      </c>
      <c r="C21534" s="16" t="n">
        <f aca="false">SUMPRODUCT(($C$21511:$C$21520=C21512)*$C$21500:$C$21509)</f>
        <v>27.5919714174225</v>
      </c>
    </row>
    <row r="21535" customFormat="false" ht="15" hidden="false" customHeight="false" outlineLevel="0" collapsed="false">
      <c r="A21535" s="3" t="s">
        <v>558</v>
      </c>
      <c r="C21535" s="16" t="n">
        <f aca="false">SUMPRODUCT(($C$21511:$C$21520=C21513)*$C$21500:$C$21509)</f>
        <v>27.5919714174225</v>
      </c>
    </row>
    <row r="21536" customFormat="false" ht="15" hidden="false" customHeight="false" outlineLevel="0" collapsed="false">
      <c r="A21536" s="3" t="s">
        <v>559</v>
      </c>
      <c r="C21536" s="16" t="n">
        <f aca="false">SUMPRODUCT(($C$21511:$C$21520=C21514)*$C$21500:$C$21509)</f>
        <v>1939.6601068</v>
      </c>
    </row>
    <row r="21537" customFormat="false" ht="15" hidden="false" customHeight="false" outlineLevel="0" collapsed="false">
      <c r="A21537" s="3" t="s">
        <v>560</v>
      </c>
      <c r="C21537" s="16" t="n">
        <f aca="false">SUMPRODUCT(($C$21511:$C$21520=C21515)*$C$21500:$C$21509)</f>
        <v>1939.6601068</v>
      </c>
    </row>
    <row r="21538" customFormat="false" ht="15" hidden="false" customHeight="false" outlineLevel="0" collapsed="false">
      <c r="A21538" s="3" t="s">
        <v>561</v>
      </c>
      <c r="C21538" s="16" t="n">
        <f aca="false">SUMPRODUCT(($C$21511:$C$21520=C21516)*$C$21500:$C$21509)</f>
        <v>1939.6601068</v>
      </c>
    </row>
    <row r="21539" customFormat="false" ht="15" hidden="false" customHeight="false" outlineLevel="0" collapsed="false">
      <c r="A21539" s="3" t="s">
        <v>562</v>
      </c>
      <c r="C21539" s="16" t="n">
        <f aca="false">SUMPRODUCT(($C$21511:$C$21520=C21517)*$C$21500:$C$21509)</f>
        <v>1939.6601068</v>
      </c>
    </row>
    <row r="21540" customFormat="false" ht="15" hidden="false" customHeight="false" outlineLevel="0" collapsed="false">
      <c r="A21540" s="3" t="s">
        <v>563</v>
      </c>
      <c r="C21540" s="16" t="n">
        <f aca="false">SUMPRODUCT(($C$21511:$C$21520=C21518)*$C$21500:$C$21509)</f>
        <v>1939.6601068</v>
      </c>
    </row>
    <row r="21541" customFormat="false" ht="15" hidden="false" customHeight="false" outlineLevel="0" collapsed="false">
      <c r="A21541" s="3" t="s">
        <v>564</v>
      </c>
      <c r="C21541" s="16" t="n">
        <f aca="false">SUMPRODUCT(($C$21511:$C$21520=C21519)*$C$21500:$C$21509)</f>
        <v>1939.6601068</v>
      </c>
    </row>
    <row r="21542" customFormat="false" ht="15" hidden="false" customHeight="false" outlineLevel="0" collapsed="false">
      <c r="A21542" s="3" t="s">
        <v>565</v>
      </c>
      <c r="C21542" s="16" t="n">
        <f aca="false">SUMPRODUCT(($C$21511:$C$21520=C21520)*$C$21500:$C$21509)</f>
        <v>78.61</v>
      </c>
    </row>
    <row r="21543" customFormat="false" ht="15" hidden="false" customHeight="false" outlineLevel="0" collapsed="false">
      <c r="A21543" s="24" t="s">
        <v>574</v>
      </c>
      <c r="B21543" s="25"/>
      <c r="C21543" s="25"/>
      <c r="D21543" s="25"/>
      <c r="E21543" s="25"/>
      <c r="F21543" s="25"/>
      <c r="G21543" s="25"/>
      <c r="H21543" s="25"/>
      <c r="I21543" s="25"/>
      <c r="J21543" s="25"/>
      <c r="K21543" s="25"/>
    </row>
    <row r="21544" customFormat="false" ht="15" hidden="false" customHeight="false" outlineLevel="0" collapsed="false">
      <c r="A21544" s="3" t="s">
        <v>556</v>
      </c>
      <c r="C21544" s="16" t="n">
        <f aca="false">IF(C21533=0,0,C21500/C21533*MAX(0,MIN(C21533,$C$21443-SUM($C$21478:$C$21487)-C21522)))</f>
        <v>0</v>
      </c>
    </row>
    <row r="21545" customFormat="false" ht="15" hidden="false" customHeight="false" outlineLevel="0" collapsed="false">
      <c r="A21545" s="3" t="s">
        <v>557</v>
      </c>
      <c r="C21545" s="16" t="n">
        <f aca="false">IF(C21534=0,0,C21501/C21534*MAX(0,MIN(C21534,$C$21443-SUM($C$21478:$C$21487)-C21523)))</f>
        <v>0</v>
      </c>
    </row>
    <row r="21546" customFormat="false" ht="15" hidden="false" customHeight="false" outlineLevel="0" collapsed="false">
      <c r="A21546" s="3" t="s">
        <v>558</v>
      </c>
      <c r="C21546" s="16" t="n">
        <f aca="false">IF(C21535=0,0,C21502/C21535*MAX(0,MIN(C21535,$C$21443-SUM($C$21478:$C$21487)-C21524)))</f>
        <v>0</v>
      </c>
    </row>
    <row r="21547" customFormat="false" ht="15" hidden="false" customHeight="false" outlineLevel="0" collapsed="false">
      <c r="A21547" s="3" t="s">
        <v>559</v>
      </c>
      <c r="C21547" s="16" t="n">
        <f aca="false">IF(C21536=0,0,C21503/C21536*MAX(0,MIN(C21536,$C$21443-SUM($C$21478:$C$21487)-C21525)))</f>
        <v>0</v>
      </c>
    </row>
    <row r="21548" customFormat="false" ht="15" hidden="false" customHeight="false" outlineLevel="0" collapsed="false">
      <c r="A21548" s="3" t="s">
        <v>560</v>
      </c>
      <c r="C21548" s="16" t="n">
        <f aca="false">IF(C21537=0,0,C21504/C21537*MAX(0,MIN(C21537,$C$21443-SUM($C$21478:$C$21487)-C21526)))</f>
        <v>343.428607516074</v>
      </c>
    </row>
    <row r="21549" customFormat="false" ht="15" hidden="false" customHeight="false" outlineLevel="0" collapsed="false">
      <c r="A21549" s="3" t="s">
        <v>561</v>
      </c>
      <c r="C21549" s="16" t="n">
        <f aca="false">IF(C21538=0,0,C21505/C21538*MAX(0,MIN(C21538,$C$21443-SUM($C$21478:$C$21487)-C21527)))</f>
        <v>308.474002170103</v>
      </c>
    </row>
    <row r="21550" customFormat="false" ht="15" hidden="false" customHeight="false" outlineLevel="0" collapsed="false">
      <c r="A21550" s="3" t="s">
        <v>562</v>
      </c>
      <c r="C21550" s="16" t="n">
        <f aca="false">IF(C21539=0,0,C21506/C21539*MAX(0,MIN(C21539,$C$21443-SUM($C$21478:$C$21487)-C21528)))</f>
        <v>484.744860553019</v>
      </c>
    </row>
    <row r="21551" customFormat="false" ht="15" hidden="false" customHeight="false" outlineLevel="0" collapsed="false">
      <c r="A21551" s="3" t="s">
        <v>563</v>
      </c>
      <c r="C21551" s="16" t="n">
        <f aca="false">IF(C21540=0,0,C21507/C21540*MAX(0,MIN(C21540,$C$21443-SUM($C$21478:$C$21487)-C21529)))</f>
        <v>308.474002170103</v>
      </c>
    </row>
    <row r="21552" customFormat="false" ht="15" hidden="false" customHeight="false" outlineLevel="0" collapsed="false">
      <c r="A21552" s="3" t="s">
        <v>564</v>
      </c>
      <c r="C21552" s="16" t="n">
        <f aca="false">IF(C21541=0,0,C21508/C21541*MAX(0,MIN(C21541,$C$21443-SUM($C$21478:$C$21487)-C21530)))</f>
        <v>264.406287574374</v>
      </c>
    </row>
    <row r="21553" customFormat="false" ht="15" hidden="false" customHeight="false" outlineLevel="0" collapsed="false">
      <c r="A21553" s="3" t="s">
        <v>565</v>
      </c>
      <c r="C21553" s="16" t="n">
        <f aca="false">IF(C21542=0,0,C21509/C21542*MAX(0,MIN(C21542,$C$21443-SUM($C$21478:$C$21487)-C21531)))</f>
        <v>0</v>
      </c>
    </row>
    <row r="21554" customFormat="false" ht="15" hidden="false" customHeight="false" outlineLevel="0" collapsed="false">
      <c r="A21554" s="24" t="s">
        <v>575</v>
      </c>
      <c r="B21554" s="25"/>
      <c r="C21554" s="25"/>
      <c r="D21554" s="25"/>
      <c r="E21554" s="25"/>
      <c r="F21554" s="25"/>
      <c r="G21554" s="25"/>
      <c r="H21554" s="25"/>
      <c r="I21554" s="25"/>
      <c r="J21554" s="25"/>
      <c r="K21554" s="25"/>
    </row>
    <row r="21555" customFormat="false" ht="15" hidden="false" customHeight="false" outlineLevel="0" collapsed="false">
      <c r="A21555" s="2" t="s">
        <v>556</v>
      </c>
      <c r="C21555" s="17" t="n">
        <f aca="false">C21478+C21544</f>
        <v>388</v>
      </c>
    </row>
    <row r="21556" customFormat="false" ht="15" hidden="false" customHeight="false" outlineLevel="0" collapsed="false">
      <c r="A21556" s="2" t="s">
        <v>557</v>
      </c>
      <c r="C21556" s="17" t="n">
        <f aca="false">C21479+C21545</f>
        <v>73.1695730226863</v>
      </c>
    </row>
    <row r="21557" customFormat="false" ht="15" hidden="false" customHeight="false" outlineLevel="0" collapsed="false">
      <c r="A21557" s="2" t="s">
        <v>558</v>
      </c>
      <c r="C21557" s="17" t="n">
        <f aca="false">C21480+C21546</f>
        <v>46.5624555598913</v>
      </c>
    </row>
    <row r="21558" customFormat="false" ht="15" hidden="false" customHeight="false" outlineLevel="0" collapsed="false">
      <c r="A21558" s="2" t="s">
        <v>559</v>
      </c>
      <c r="C21558" s="17" t="n">
        <f aca="false">C21481+C21547</f>
        <v>0</v>
      </c>
    </row>
    <row r="21559" customFormat="false" ht="15" hidden="false" customHeight="false" outlineLevel="0" collapsed="false">
      <c r="A21559" s="2" t="s">
        <v>560</v>
      </c>
      <c r="C21559" s="17" t="n">
        <f aca="false">C21482+C21548</f>
        <v>343.428607516074</v>
      </c>
    </row>
    <row r="21560" customFormat="false" ht="15" hidden="false" customHeight="false" outlineLevel="0" collapsed="false">
      <c r="A21560" s="2" t="s">
        <v>561</v>
      </c>
      <c r="C21560" s="17" t="n">
        <f aca="false">C21483+C21549</f>
        <v>308.474002170103</v>
      </c>
    </row>
    <row r="21561" customFormat="false" ht="15" hidden="false" customHeight="false" outlineLevel="0" collapsed="false">
      <c r="A21561" s="2" t="s">
        <v>562</v>
      </c>
      <c r="C21561" s="17" t="n">
        <f aca="false">C21484+C21550</f>
        <v>484.744860553019</v>
      </c>
    </row>
    <row r="21562" customFormat="false" ht="15" hidden="false" customHeight="false" outlineLevel="0" collapsed="false">
      <c r="A21562" s="2" t="s">
        <v>563</v>
      </c>
      <c r="C21562" s="17" t="n">
        <f aca="false">C21485+C21551</f>
        <v>308.474002170103</v>
      </c>
    </row>
    <row r="21563" customFormat="false" ht="15" hidden="false" customHeight="false" outlineLevel="0" collapsed="false">
      <c r="A21563" s="2" t="s">
        <v>564</v>
      </c>
      <c r="C21563" s="17" t="n">
        <f aca="false">C21486+C21552</f>
        <v>264.406287574374</v>
      </c>
    </row>
    <row r="21564" customFormat="false" ht="15" hidden="false" customHeight="false" outlineLevel="0" collapsed="false">
      <c r="A21564" s="2" t="s">
        <v>565</v>
      </c>
      <c r="C21564" s="17" t="n">
        <f aca="false">C21487+C21553</f>
        <v>0</v>
      </c>
    </row>
    <row r="21565" customFormat="false" ht="15" hidden="false" customHeight="false" outlineLevel="0" collapsed="false">
      <c r="A21565" s="24" t="s">
        <v>576</v>
      </c>
      <c r="B21565" s="25"/>
      <c r="C21565" s="25"/>
      <c r="D21565" s="25"/>
      <c r="E21565" s="25"/>
      <c r="F21565" s="25"/>
      <c r="G21565" s="25"/>
      <c r="H21565" s="25"/>
      <c r="I21565" s="25"/>
      <c r="J21565" s="25"/>
      <c r="K21565" s="25"/>
    </row>
    <row r="21566" customFormat="false" ht="15" hidden="false" customHeight="false" outlineLevel="0" collapsed="false">
      <c r="A21566" s="3" t="s">
        <v>556</v>
      </c>
      <c r="C21566" s="22" t="n">
        <f aca="false">IF(C21445=0,1,C21555/C21445)</f>
        <v>1</v>
      </c>
    </row>
    <row r="21567" customFormat="false" ht="15" hidden="false" customHeight="false" outlineLevel="0" collapsed="false">
      <c r="A21567" s="3" t="s">
        <v>557</v>
      </c>
      <c r="C21567" s="22" t="n">
        <f aca="false">IF(C21446=0,1,C21556/C21446)</f>
        <v>0.812995255807625</v>
      </c>
    </row>
    <row r="21568" customFormat="false" ht="15" hidden="false" customHeight="false" outlineLevel="0" collapsed="false">
      <c r="A21568" s="3" t="s">
        <v>558</v>
      </c>
      <c r="C21568" s="22" t="n">
        <f aca="false">IF(C21447=0,1,C21557/C21447)</f>
        <v>0.812268082476646</v>
      </c>
    </row>
    <row r="21569" customFormat="false" ht="15" hidden="false" customHeight="false" outlineLevel="0" collapsed="false">
      <c r="A21569" s="3" t="s">
        <v>559</v>
      </c>
      <c r="C21569" s="22" t="n">
        <f aca="false">IF(C21448=0,1,C21558/C21448)</f>
        <v>1</v>
      </c>
    </row>
    <row r="21570" customFormat="false" ht="15" hidden="false" customHeight="false" outlineLevel="0" collapsed="false">
      <c r="A21570" s="3" t="s">
        <v>560</v>
      </c>
      <c r="C21570" s="22" t="n">
        <f aca="false">IF(C21449=0,1,C21559/C21449)</f>
        <v>0.88135429191458</v>
      </c>
    </row>
    <row r="21571" customFormat="false" ht="15" hidden="false" customHeight="false" outlineLevel="0" collapsed="false">
      <c r="A21571" s="3" t="s">
        <v>561</v>
      </c>
      <c r="C21571" s="22" t="n">
        <f aca="false">IF(C21450=0,1,C21560/C21450)</f>
        <v>0.88135429191458</v>
      </c>
    </row>
    <row r="21572" customFormat="false" ht="15" hidden="false" customHeight="false" outlineLevel="0" collapsed="false">
      <c r="A21572" s="3" t="s">
        <v>562</v>
      </c>
      <c r="C21572" s="22" t="n">
        <f aca="false">IF(C21451=0,1,C21561/C21451)</f>
        <v>0.88135429191458</v>
      </c>
    </row>
    <row r="21573" customFormat="false" ht="15" hidden="false" customHeight="false" outlineLevel="0" collapsed="false">
      <c r="A21573" s="3" t="s">
        <v>563</v>
      </c>
      <c r="C21573" s="22" t="n">
        <f aca="false">IF(C21452=0,1,C21562/C21452)</f>
        <v>0.88135429191458</v>
      </c>
    </row>
    <row r="21574" customFormat="false" ht="15" hidden="false" customHeight="false" outlineLevel="0" collapsed="false">
      <c r="A21574" s="3" t="s">
        <v>564</v>
      </c>
      <c r="C21574" s="22" t="n">
        <f aca="false">IF(C21453=0,1,C21563/C21453)</f>
        <v>0.88135429191458</v>
      </c>
    </row>
    <row r="21575" customFormat="false" ht="15" hidden="false" customHeight="false" outlineLevel="0" collapsed="false">
      <c r="A21575" s="3" t="s">
        <v>565</v>
      </c>
      <c r="C21575" s="22" t="n">
        <f aca="false">IF(C21454=0,1,C21564/C21454)</f>
        <v>0</v>
      </c>
    </row>
    <row r="21576" customFormat="false" ht="15" hidden="false" customHeight="false" outlineLevel="0" collapsed="false">
      <c r="A21576" s="24" t="s">
        <v>577</v>
      </c>
      <c r="B21576" s="25"/>
      <c r="C21576" s="25"/>
      <c r="D21576" s="25"/>
      <c r="E21576" s="25"/>
      <c r="F21576" s="25"/>
      <c r="G21576" s="25"/>
      <c r="H21576" s="25"/>
      <c r="I21576" s="25"/>
      <c r="J21576" s="25"/>
      <c r="K21576" s="25"/>
    </row>
    <row r="21577" customFormat="false" ht="15" hidden="false" customHeight="false" outlineLevel="0" collapsed="false">
      <c r="A21577" s="3" t="s">
        <v>556</v>
      </c>
      <c r="C21577" s="16" t="n">
        <f aca="false">C21445-C21555</f>
        <v>0</v>
      </c>
    </row>
    <row r="21578" customFormat="false" ht="15" hidden="false" customHeight="false" outlineLevel="0" collapsed="false">
      <c r="A21578" s="3" t="s">
        <v>557</v>
      </c>
      <c r="C21578" s="16" t="n">
        <f aca="false">C21446-C21556</f>
        <v>16.8304269773137</v>
      </c>
    </row>
    <row r="21579" customFormat="false" ht="15" hidden="false" customHeight="false" outlineLevel="0" collapsed="false">
      <c r="A21579" s="3" t="s">
        <v>558</v>
      </c>
      <c r="C21579" s="16" t="n">
        <f aca="false">C21447-C21557</f>
        <v>10.7615444401087</v>
      </c>
    </row>
    <row r="21580" customFormat="false" ht="15" hidden="false" customHeight="false" outlineLevel="0" collapsed="false">
      <c r="A21580" s="3" t="s">
        <v>559</v>
      </c>
      <c r="C21580" s="16" t="n">
        <f aca="false">C21448-C21558</f>
        <v>0</v>
      </c>
    </row>
    <row r="21581" customFormat="false" ht="15" hidden="false" customHeight="false" outlineLevel="0" collapsed="false">
      <c r="A21581" s="3" t="s">
        <v>560</v>
      </c>
      <c r="C21581" s="16" t="n">
        <f aca="false">C21449-C21559</f>
        <v>46.2314992839263</v>
      </c>
    </row>
    <row r="21582" customFormat="false" ht="15" hidden="false" customHeight="false" outlineLevel="0" collapsed="false">
      <c r="A21582" s="3" t="s">
        <v>561</v>
      </c>
      <c r="C21582" s="16" t="n">
        <f aca="false">C21450-C21560</f>
        <v>41.5259978298969</v>
      </c>
    </row>
    <row r="21583" customFormat="false" ht="15" hidden="false" customHeight="false" outlineLevel="0" collapsed="false">
      <c r="A21583" s="3" t="s">
        <v>562</v>
      </c>
      <c r="C21583" s="16" t="n">
        <f aca="false">C21451-C21561</f>
        <v>65.2551394469809</v>
      </c>
    </row>
    <row r="21584" customFormat="false" ht="15" hidden="false" customHeight="false" outlineLevel="0" collapsed="false">
      <c r="A21584" s="3" t="s">
        <v>563</v>
      </c>
      <c r="C21584" s="16" t="n">
        <f aca="false">C21452-C21562</f>
        <v>41.5259978298969</v>
      </c>
    </row>
    <row r="21585" customFormat="false" ht="15" hidden="false" customHeight="false" outlineLevel="0" collapsed="false">
      <c r="A21585" s="3" t="s">
        <v>564</v>
      </c>
      <c r="C21585" s="16" t="n">
        <f aca="false">C21453-C21563</f>
        <v>35.5937124256259</v>
      </c>
    </row>
    <row r="21586" customFormat="false" ht="15" hidden="false" customHeight="false" outlineLevel="0" collapsed="false">
      <c r="A21586" s="3" t="s">
        <v>565</v>
      </c>
      <c r="C21586" s="16" t="n">
        <f aca="false">C21454-C21564</f>
        <v>78.61</v>
      </c>
    </row>
    <row r="21587" customFormat="false" ht="15" hidden="false" customHeight="false" outlineLevel="0" collapsed="false">
      <c r="A21587" s="24" t="s">
        <v>578</v>
      </c>
      <c r="B21587" s="25"/>
      <c r="C21587" s="25"/>
      <c r="D21587" s="25"/>
      <c r="E21587" s="25"/>
      <c r="F21587" s="25"/>
      <c r="G21587" s="25"/>
      <c r="H21587" s="25"/>
      <c r="I21587" s="25"/>
      <c r="J21587" s="25"/>
      <c r="K21587" s="25"/>
    </row>
    <row r="21588" customFormat="false" ht="15" hidden="false" customHeight="false" outlineLevel="0" collapsed="false">
      <c r="A21588" s="3" t="s">
        <v>556</v>
      </c>
      <c r="C21588" s="22" t="n">
        <f aca="false">IF(C21445=0,0,C21577/C21445)</f>
        <v>0</v>
      </c>
    </row>
    <row r="21589" customFormat="false" ht="15" hidden="false" customHeight="false" outlineLevel="0" collapsed="false">
      <c r="A21589" s="3" t="s">
        <v>557</v>
      </c>
      <c r="C21589" s="22" t="n">
        <f aca="false">IF(C21446=0,0,C21578/C21446)</f>
        <v>0.187004744192375</v>
      </c>
    </row>
    <row r="21590" customFormat="false" ht="15" hidden="false" customHeight="false" outlineLevel="0" collapsed="false">
      <c r="A21590" s="3" t="s">
        <v>558</v>
      </c>
      <c r="C21590" s="22" t="n">
        <f aca="false">IF(C21447=0,0,C21579/C21447)</f>
        <v>0.187731917523354</v>
      </c>
    </row>
    <row r="21591" customFormat="false" ht="15" hidden="false" customHeight="false" outlineLevel="0" collapsed="false">
      <c r="A21591" s="3" t="s">
        <v>559</v>
      </c>
      <c r="C21591" s="22" t="n">
        <f aca="false">IF(C21448=0,0,C21580/C21448)</f>
        <v>0</v>
      </c>
    </row>
    <row r="21592" customFormat="false" ht="15" hidden="false" customHeight="false" outlineLevel="0" collapsed="false">
      <c r="A21592" s="3" t="s">
        <v>560</v>
      </c>
      <c r="C21592" s="22" t="n">
        <f aca="false">IF(C21449=0,0,C21581/C21449)</f>
        <v>0.11864570808542</v>
      </c>
    </row>
    <row r="21593" customFormat="false" ht="15" hidden="false" customHeight="false" outlineLevel="0" collapsed="false">
      <c r="A21593" s="3" t="s">
        <v>561</v>
      </c>
      <c r="C21593" s="22" t="n">
        <f aca="false">IF(C21450=0,0,C21582/C21450)</f>
        <v>0.11864570808542</v>
      </c>
    </row>
    <row r="21594" customFormat="false" ht="15" hidden="false" customHeight="false" outlineLevel="0" collapsed="false">
      <c r="A21594" s="3" t="s">
        <v>562</v>
      </c>
      <c r="C21594" s="22" t="n">
        <f aca="false">IF(C21451=0,0,C21583/C21451)</f>
        <v>0.11864570808542</v>
      </c>
    </row>
    <row r="21595" customFormat="false" ht="15" hidden="false" customHeight="false" outlineLevel="0" collapsed="false">
      <c r="A21595" s="3" t="s">
        <v>563</v>
      </c>
      <c r="C21595" s="22" t="n">
        <f aca="false">IF(C21452=0,0,C21584/C21452)</f>
        <v>0.11864570808542</v>
      </c>
    </row>
    <row r="21596" customFormat="false" ht="15" hidden="false" customHeight="false" outlineLevel="0" collapsed="false">
      <c r="A21596" s="3" t="s">
        <v>564</v>
      </c>
      <c r="C21596" s="22" t="n">
        <f aca="false">IF(C21453=0,0,C21585/C21453)</f>
        <v>0.11864570808542</v>
      </c>
    </row>
    <row r="21597" customFormat="false" ht="15" hidden="false" customHeight="false" outlineLevel="0" collapsed="false">
      <c r="A21597" s="3" t="s">
        <v>565</v>
      </c>
      <c r="C21597" s="22" t="n">
        <f aca="false">IF(C21454=0,0,C21586/C21454)</f>
        <v>1</v>
      </c>
    </row>
    <row r="21598" customFormat="false" ht="15" hidden="false" customHeight="false" outlineLevel="0" collapsed="false">
      <c r="A21598" s="2" t="s">
        <v>579</v>
      </c>
      <c r="C21598" s="17" t="n">
        <f aca="false">MAX(0,$C$21443-SUM($C$21478:$C$21487)-SUM($C$21500:$C$21509))</f>
        <v>0</v>
      </c>
    </row>
    <row r="21599" customFormat="false" ht="15" hidden="false" customHeight="false" outlineLevel="0" collapsed="false">
      <c r="A21599" s="3" t="s">
        <v>597</v>
      </c>
      <c r="C21599" s="35" t="n">
        <f aca="false">MIN(C21442,100*CHOOSE(C21432,C21566,C21567,C21568,C21569,C21570,C21571,C21572,C21573,C21574,C21575))</f>
        <v>85</v>
      </c>
    </row>
    <row r="21600" customFormat="false" ht="15" hidden="false" customHeight="false" outlineLevel="0" collapsed="false">
      <c r="A21600" s="3" t="s">
        <v>598</v>
      </c>
      <c r="C21600" s="21" t="n">
        <f aca="false">IF(C21264=1,C21437+Assumptions!$C$40,C21436)</f>
        <v>3</v>
      </c>
    </row>
    <row r="21601" customFormat="false" ht="15" hidden="false" customHeight="false" outlineLevel="0" collapsed="false">
      <c r="A21601" s="24" t="s">
        <v>599</v>
      </c>
      <c r="B21601" s="25"/>
      <c r="C21601" s="25"/>
      <c r="D21601" s="25"/>
      <c r="E21601" s="25"/>
      <c r="F21601" s="25"/>
      <c r="G21601" s="25"/>
      <c r="H21601" s="25"/>
      <c r="I21601" s="25"/>
      <c r="J21601" s="25"/>
      <c r="K21601" s="25"/>
    </row>
    <row r="21602" customFormat="false" ht="15" hidden="false" customHeight="false" outlineLevel="0" collapsed="false">
      <c r="A21602" s="3" t="s">
        <v>600</v>
      </c>
      <c r="C21602" s="21" t="n">
        <f aca="false">COLUMN()-COLUMN($C$1)</f>
        <v>0</v>
      </c>
      <c r="D21602" s="21" t="n">
        <f aca="false">COLUMN()-COLUMN($C$1)</f>
        <v>1</v>
      </c>
      <c r="E21602" s="21" t="n">
        <f aca="false">COLUMN()-COLUMN($C$1)</f>
        <v>2</v>
      </c>
      <c r="F21602" s="21" t="n">
        <f aca="false">COLUMN()-COLUMN($C$1)</f>
        <v>3</v>
      </c>
      <c r="G21602" s="21" t="n">
        <f aca="false">COLUMN()-COLUMN($C$1)</f>
        <v>4</v>
      </c>
      <c r="H21602" s="21" t="n">
        <f aca="false">COLUMN()-COLUMN($C$1)</f>
        <v>5</v>
      </c>
      <c r="I21602" s="21" t="n">
        <f aca="false">COLUMN()-COLUMN($C$1)</f>
        <v>6</v>
      </c>
    </row>
    <row r="21603" customFormat="false" ht="15" hidden="false" customHeight="false" outlineLevel="0" collapsed="false">
      <c r="A21603" s="3" t="s">
        <v>601</v>
      </c>
      <c r="D21603" s="31" t="n">
        <f aca="false">CHOOSE($C$21432,G21012,G21025,G21038,G21051,G21064,G21077,G21090,G21103,G21116,G21129)</f>
        <v>0.1215</v>
      </c>
      <c r="E21603" s="31" t="n">
        <f aca="false">CHOOSE($C$21432,H21012,H21025,H21038,H21051,H21064,H21077,H21090,H21103,H21116,H21129)</f>
        <v>0.12</v>
      </c>
      <c r="F21603" s="31" t="n">
        <f aca="false">CHOOSE($C$21432,I21012,I21025,I21038,I21051,I21064,I21077,I21090,I21103,I21116,I21129)</f>
        <v>0.1175</v>
      </c>
      <c r="G21603" s="31" t="n">
        <f aca="false">CHOOSE($C$21432,J21012,J21025,J21038,J21051,J21064,J21077,J21090,J21103,J21116,J21129)</f>
        <v>0.1175</v>
      </c>
      <c r="H21603" s="31" t="n">
        <f aca="false">CHOOSE($C$21432,K21012,K21025,K21038,K21051,K21064,K21077,K21090,K21103,K21116,K21129)</f>
        <v>0.1175</v>
      </c>
    </row>
    <row r="21604" customFormat="false" ht="15" hidden="false" customHeight="false" outlineLevel="0" collapsed="false">
      <c r="A21604" s="3" t="s">
        <v>602</v>
      </c>
      <c r="D21604" s="16" t="n">
        <f aca="false">IF(D21602&lt;=$C$21441,$C$21433*D21603,0)</f>
        <v>12.15</v>
      </c>
      <c r="E21604" s="16" t="n">
        <f aca="false">IF(E21602&lt;=$C$21441,$C$21433*E21603,0)</f>
        <v>12</v>
      </c>
      <c r="F21604" s="16" t="n">
        <f aca="false">IF(F21602&lt;=$C$21441,$C$21433*F21603,0)</f>
        <v>0</v>
      </c>
      <c r="G21604" s="16" t="n">
        <f aca="false">IF(G21602&lt;=$C$21441,$C$21433*G21603,0)</f>
        <v>0</v>
      </c>
      <c r="H21604" s="16" t="n">
        <f aca="false">IF(H21602&lt;=$C$21441,$C$21433*H21603,0)</f>
        <v>0</v>
      </c>
    </row>
    <row r="21605" customFormat="false" ht="15" hidden="false" customHeight="false" outlineLevel="0" collapsed="false">
      <c r="A21605" s="3" t="s">
        <v>603</v>
      </c>
      <c r="D21605" s="16" t="n">
        <f aca="false">IF(AND($C$21264=0,D21602=$C$21436),$C$21433*$C$21599/100,0)+IF(AND($C$21264=1,D21602=$C$21600),$C$21439,0)</f>
        <v>0</v>
      </c>
      <c r="E21605" s="16" t="n">
        <f aca="false">IF(AND($C$21264=0,E21602=$C$21436),$C$21433*$C$21599/100,0)+IF(AND($C$21264=1,E21602=$C$21600),$C$21439,0)</f>
        <v>0</v>
      </c>
      <c r="F21605" s="16" t="n">
        <f aca="false">IF(AND($C$21264=0,F21602=$C$21436),$C$21433*$C$21599/100,0)+IF(AND($C$21264=1,F21602=$C$21600),$C$21439,0)</f>
        <v>103</v>
      </c>
      <c r="G21605" s="16" t="n">
        <f aca="false">IF(AND($C$21264=0,G21602=$C$21436),$C$21433*$C$21599/100,0)+IF(AND($C$21264=1,G21602=$C$21600),$C$21439,0)</f>
        <v>0</v>
      </c>
      <c r="H21605" s="16" t="n">
        <f aca="false">IF(AND($C$21264=0,H21602=$C$21436),$C$21433*$C$21599/100,0)+IF(AND($C$21264=1,H21602=$C$21600),$C$21439,0)</f>
        <v>0</v>
      </c>
      <c r="I21605" s="16" t="n">
        <f aca="false">IF(AND($C$21264=0,I21602=$C$21436),$C$21433*$C$21599/100,0)+IF(AND($C$21264=1,I21602=$C$21600),$C$21439,0)</f>
        <v>0</v>
      </c>
    </row>
    <row r="21606" customFormat="false" ht="15" hidden="false" customHeight="false" outlineLevel="0" collapsed="false">
      <c r="A21606" s="2" t="s">
        <v>604</v>
      </c>
      <c r="C21606" s="17" t="n">
        <f aca="false">-$C$21435</f>
        <v>-98.49</v>
      </c>
      <c r="D21606" s="17" t="n">
        <f aca="false">D21604+D21605</f>
        <v>12.15</v>
      </c>
      <c r="E21606" s="17" t="n">
        <f aca="false">E21604+E21605</f>
        <v>12</v>
      </c>
      <c r="F21606" s="17" t="n">
        <f aca="false">F21604+F21605</f>
        <v>103</v>
      </c>
      <c r="G21606" s="17" t="n">
        <f aca="false">G21604+G21605</f>
        <v>0</v>
      </c>
      <c r="H21606" s="17" t="n">
        <f aca="false">H21604+H21605</f>
        <v>0</v>
      </c>
      <c r="I21606" s="17" t="n">
        <f aca="false">I21604+I21605</f>
        <v>0</v>
      </c>
    </row>
    <row r="21607" customFormat="false" ht="15" hidden="false" customHeight="false" outlineLevel="0" collapsed="false">
      <c r="A21607" s="3" t="s">
        <v>605</v>
      </c>
      <c r="C21607" s="16" t="n">
        <f aca="false">SUM($C$21604:$I$21604)</f>
        <v>24.15</v>
      </c>
    </row>
    <row r="21608" customFormat="false" ht="15" hidden="false" customHeight="false" outlineLevel="0" collapsed="false">
      <c r="A21608" s="3" t="s">
        <v>606</v>
      </c>
      <c r="C21608" s="16" t="n">
        <f aca="false">SUM($C$21605:$I$21605)</f>
        <v>103</v>
      </c>
    </row>
    <row r="21609" customFormat="false" ht="15" hidden="false" customHeight="false" outlineLevel="0" collapsed="false">
      <c r="A21609" s="3" t="s">
        <v>607</v>
      </c>
      <c r="C21609" s="16" t="n">
        <f aca="false">C21607+C21608</f>
        <v>127.15</v>
      </c>
    </row>
    <row r="21610" customFormat="false" ht="15" hidden="false" customHeight="false" outlineLevel="0" collapsed="false">
      <c r="A21610" s="3" t="s">
        <v>608</v>
      </c>
      <c r="C21610" s="16" t="n">
        <f aca="false">C21608-C21433*C21434/100</f>
        <v>5</v>
      </c>
    </row>
    <row r="21611" customFormat="false" ht="15" hidden="false" customHeight="false" outlineLevel="0" collapsed="false">
      <c r="A21611" s="3" t="s">
        <v>609</v>
      </c>
      <c r="C21611" s="16" t="n">
        <f aca="false">C21609-C21435</f>
        <v>28.66</v>
      </c>
    </row>
    <row r="21612" customFormat="false" ht="15" hidden="false" customHeight="false" outlineLevel="0" collapsed="false">
      <c r="A21612" s="2" t="s">
        <v>484</v>
      </c>
      <c r="C21612" s="44" t="n">
        <f aca="false">C21609/C21435</f>
        <v>1.29099400954412</v>
      </c>
    </row>
    <row r="21613" customFormat="false" ht="15" hidden="false" customHeight="false" outlineLevel="0" collapsed="false">
      <c r="A21613" s="2" t="s">
        <v>483</v>
      </c>
      <c r="C21613" s="42" t="n">
        <f aca="false">IF(C21609&lt;=0,-1,IFERROR(IRR($C$21606:$I$21606,MAX(-0.9,C21612^(1/C21600)-1)),IRR($C$21606:$I$21606,0.1)))</f>
        <v>0.0994077590660149</v>
      </c>
    </row>
    <row r="21614" customFormat="false" ht="15" hidden="false" customHeight="false" outlineLevel="0" collapsed="false">
      <c r="A21614" s="3" t="s">
        <v>610</v>
      </c>
      <c r="C21614" s="32" t="n">
        <f aca="false">MAX($G$21208:$K$21208)</f>
        <v>11.5889182461145</v>
      </c>
    </row>
    <row r="21615" customFormat="false" ht="15" hidden="false" customHeight="false" outlineLevel="0" collapsed="false">
      <c r="A21615" s="3" t="s">
        <v>611</v>
      </c>
      <c r="C21615" s="32" t="n">
        <f aca="false">MIN($G$21209:$K$21209)</f>
        <v>1.14129908234237</v>
      </c>
    </row>
    <row r="21616" customFormat="false" ht="15" hidden="false" customHeight="false" outlineLevel="0" collapsed="false">
      <c r="A21616" s="3" t="s">
        <v>612</v>
      </c>
      <c r="C21616" s="16" t="n">
        <f aca="false">SUM($G$20996:$K$20996)</f>
        <v>-85.0163801018386</v>
      </c>
    </row>
    <row r="21620" customFormat="false" ht="15" hidden="false" customHeight="false" outlineLevel="0" collapsed="false">
      <c r="A21620" s="9" t="s">
        <v>1163</v>
      </c>
      <c r="B21620" s="10"/>
      <c r="C21620" s="10"/>
      <c r="D21620" s="10"/>
      <c r="E21620" s="10"/>
      <c r="F21620" s="10"/>
      <c r="G21620" s="10"/>
      <c r="H21620" s="10"/>
      <c r="I21620" s="10"/>
      <c r="J21620" s="10"/>
      <c r="K21620" s="10"/>
    </row>
    <row r="21621" customFormat="false" ht="15" hidden="false" customHeight="false" outlineLevel="0" collapsed="false">
      <c r="A21621" s="3" t="s">
        <v>1126</v>
      </c>
      <c r="C21621" s="11" t="n">
        <v>1</v>
      </c>
    </row>
    <row r="21622" customFormat="false" ht="15" hidden="false" customHeight="false" outlineLevel="0" collapsed="false">
      <c r="A21622" s="3" t="s">
        <v>1127</v>
      </c>
      <c r="C21622" s="19" t="n">
        <v>0</v>
      </c>
    </row>
    <row r="21623" customFormat="false" ht="15" hidden="false" customHeight="false" outlineLevel="0" collapsed="false">
      <c r="A21623" s="3" t="s">
        <v>1128</v>
      </c>
      <c r="C21623" s="19" t="n">
        <v>0</v>
      </c>
    </row>
    <row r="21624" customFormat="false" ht="15" hidden="false" customHeight="false" outlineLevel="0" collapsed="false">
      <c r="A21624" s="3" t="s">
        <v>1129</v>
      </c>
      <c r="C21624" s="30" t="n">
        <f aca="false">Sensitivities!$A$50</f>
        <v>-0.01</v>
      </c>
    </row>
    <row r="21625" customFormat="false" ht="15" hidden="false" customHeight="false" outlineLevel="0" collapsed="false">
      <c r="A21625" s="3" t="s">
        <v>1130</v>
      </c>
      <c r="C21625" s="15" t="n">
        <v>0</v>
      </c>
    </row>
    <row r="21627" customFormat="false" ht="15" hidden="false" customHeight="false" outlineLevel="0" collapsed="false">
      <c r="A21627" s="24" t="s">
        <v>301</v>
      </c>
      <c r="B21627" s="25"/>
      <c r="C21627" s="25"/>
      <c r="D21627" s="25"/>
      <c r="E21627" s="25"/>
      <c r="F21627" s="25"/>
      <c r="G21627" s="25"/>
      <c r="H21627" s="25"/>
      <c r="I21627" s="25"/>
      <c r="J21627" s="25"/>
      <c r="K21627" s="25"/>
    </row>
    <row r="21628" customFormat="false" ht="15" hidden="false" customHeight="false" outlineLevel="0" collapsed="false">
      <c r="A21628" s="3" t="s">
        <v>302</v>
      </c>
      <c r="F21628" s="27" t="n">
        <f aca="false">Assumptions!$C$6</f>
        <v>2026</v>
      </c>
      <c r="G21628" s="21" t="n">
        <f aca="false">F21628+1</f>
        <v>2027</v>
      </c>
      <c r="H21628" s="21" t="n">
        <f aca="false">G21628+1</f>
        <v>2028</v>
      </c>
      <c r="I21628" s="21" t="n">
        <f aca="false">H21628+1</f>
        <v>2029</v>
      </c>
      <c r="J21628" s="21" t="n">
        <f aca="false">I21628+1</f>
        <v>2030</v>
      </c>
      <c r="K21628" s="21" t="n">
        <f aca="false">J21628+1</f>
        <v>2031</v>
      </c>
    </row>
    <row r="21629" customFormat="false" ht="15" hidden="false" customHeight="false" outlineLevel="0" collapsed="false">
      <c r="A21629" s="3" t="s">
        <v>303</v>
      </c>
      <c r="G21629" s="21" t="n">
        <f aca="false">G21628-Assumptions!$C$6</f>
        <v>1</v>
      </c>
      <c r="H21629" s="21" t="n">
        <f aca="false">H21628-Assumptions!$C$6</f>
        <v>2</v>
      </c>
      <c r="I21629" s="21" t="n">
        <f aca="false">I21628-Assumptions!$C$6</f>
        <v>3</v>
      </c>
      <c r="J21629" s="21" t="n">
        <f aca="false">J21628-Assumptions!$C$6</f>
        <v>4</v>
      </c>
      <c r="K21629" s="21" t="n">
        <f aca="false">K21628-Assumptions!$C$6</f>
        <v>5</v>
      </c>
    </row>
    <row r="21630" customFormat="false" ht="15" hidden="false" customHeight="false" outlineLevel="0" collapsed="false">
      <c r="A21630" s="3" t="s">
        <v>180</v>
      </c>
      <c r="G21630" s="22" t="n">
        <f aca="false">CHOOSE($C$21621,Assumptions!$G$79,Assumptions!$G$98,Assumptions!$G$117)+$C$21622</f>
        <v>-0.03</v>
      </c>
      <c r="H21630" s="22" t="n">
        <f aca="false">CHOOSE($C$21621,Assumptions!$H$79,Assumptions!$H$98,Assumptions!$H$117)+$C$21622</f>
        <v>0.02</v>
      </c>
      <c r="I21630" s="22" t="n">
        <f aca="false">CHOOSE($C$21621,Assumptions!$I$79,Assumptions!$I$98,Assumptions!$I$117)+$C$21622</f>
        <v>0.02</v>
      </c>
      <c r="J21630" s="22" t="n">
        <f aca="false">CHOOSE($C$21621,Assumptions!$J$79,Assumptions!$J$98,Assumptions!$J$117)+$C$21622</f>
        <v>0.02</v>
      </c>
      <c r="K21630" s="22" t="n">
        <f aca="false">CHOOSE($C$21621,Assumptions!$K$79,Assumptions!$K$98,Assumptions!$K$117)+$C$21622</f>
        <v>0.02</v>
      </c>
    </row>
    <row r="21631" customFormat="false" ht="15" hidden="false" customHeight="false" outlineLevel="0" collapsed="false">
      <c r="A21631" s="3" t="s">
        <v>181</v>
      </c>
      <c r="G21631" s="22" t="n">
        <f aca="false">CHOOSE($C$21621,Assumptions!$G$80,Assumptions!$G$99,Assumptions!$G$118)</f>
        <v>0.603920660818678</v>
      </c>
      <c r="H21631" s="22" t="n">
        <f aca="false">CHOOSE($C$21621,Assumptions!$H$80,Assumptions!$H$99,Assumptions!$H$118)</f>
        <v>0.606920660818678</v>
      </c>
      <c r="I21631" s="22" t="n">
        <f aca="false">CHOOSE($C$21621,Assumptions!$I$80,Assumptions!$I$99,Assumptions!$I$118)</f>
        <v>0.609920660818678</v>
      </c>
      <c r="J21631" s="22" t="n">
        <f aca="false">CHOOSE($C$21621,Assumptions!$J$80,Assumptions!$J$99,Assumptions!$J$118)</f>
        <v>0.611920660818678</v>
      </c>
      <c r="K21631" s="22" t="n">
        <f aca="false">CHOOSE($C$21621,Assumptions!$K$80,Assumptions!$K$99,Assumptions!$K$118)</f>
        <v>0.613920660818678</v>
      </c>
    </row>
    <row r="21632" customFormat="false" ht="15" hidden="false" customHeight="false" outlineLevel="0" collapsed="false">
      <c r="A21632" s="3" t="s">
        <v>182</v>
      </c>
      <c r="G21632" s="22" t="n">
        <f aca="false">CHOOSE($C$21621,Assumptions!$G$81,Assumptions!$G$100,Assumptions!$G$119)+$C$21623</f>
        <v>0.53</v>
      </c>
      <c r="H21632" s="22" t="n">
        <f aca="false">CHOOSE($C$21621,Assumptions!$H$81,Assumptions!$H$100,Assumptions!$H$119)+$C$21623</f>
        <v>0.533</v>
      </c>
      <c r="I21632" s="22" t="n">
        <f aca="false">CHOOSE($C$21621,Assumptions!$I$81,Assumptions!$I$100,Assumptions!$I$119)+$C$21623</f>
        <v>0.536</v>
      </c>
      <c r="J21632" s="22" t="n">
        <f aca="false">CHOOSE($C$21621,Assumptions!$J$81,Assumptions!$J$100,Assumptions!$J$119)+$C$21623</f>
        <v>0.538</v>
      </c>
      <c r="K21632" s="22" t="n">
        <f aca="false">CHOOSE($C$21621,Assumptions!$K$81,Assumptions!$K$100,Assumptions!$K$119)+$C$21623</f>
        <v>0.54</v>
      </c>
    </row>
    <row r="21633" customFormat="false" ht="15" hidden="false" customHeight="false" outlineLevel="0" collapsed="false">
      <c r="A21633" s="24" t="s">
        <v>304</v>
      </c>
      <c r="B21633" s="25"/>
      <c r="C21633" s="25"/>
      <c r="D21633" s="25"/>
      <c r="E21633" s="25"/>
      <c r="F21633" s="25"/>
      <c r="G21633" s="25"/>
      <c r="H21633" s="25"/>
      <c r="I21633" s="25"/>
      <c r="J21633" s="25"/>
      <c r="K21633" s="25"/>
    </row>
    <row r="21634" customFormat="false" ht="15" hidden="false" customHeight="false" outlineLevel="0" collapsed="false">
      <c r="A21634" s="2" t="s">
        <v>275</v>
      </c>
      <c r="F21634" s="28" t="n">
        <f aca="false">'Historical Financials'!G25</f>
        <v>498.291</v>
      </c>
      <c r="G21634" s="17" t="n">
        <f aca="false">F21634*(1+G21630)</f>
        <v>483.34227</v>
      </c>
      <c r="H21634" s="17" t="n">
        <f aca="false">G21634*(1+H21630)</f>
        <v>493.0091154</v>
      </c>
      <c r="I21634" s="17" t="n">
        <f aca="false">H21634*(1+I21630)</f>
        <v>502.869297708</v>
      </c>
      <c r="J21634" s="17" t="n">
        <f aca="false">I21634*(1+J21630)</f>
        <v>512.92668366216</v>
      </c>
      <c r="K21634" s="17" t="n">
        <f aca="false">J21634*(1+K21630)</f>
        <v>523.185217335403</v>
      </c>
    </row>
    <row r="21635" customFormat="false" ht="15" hidden="false" customHeight="false" outlineLevel="0" collapsed="false">
      <c r="A21635" s="3" t="s">
        <v>276</v>
      </c>
      <c r="G21635" s="16" t="n">
        <f aca="false">G21634*(1-G21631)</f>
        <v>191.4418869</v>
      </c>
      <c r="H21635" s="16" t="n">
        <f aca="false">H21634*(1-H21631)</f>
        <v>193.7916972918</v>
      </c>
      <c r="I21635" s="16" t="n">
        <f aca="false">I21634*(1-I21631)</f>
        <v>196.158923344512</v>
      </c>
      <c r="J21635" s="16" t="n">
        <f aca="false">J21634*(1-J21631)</f>
        <v>199.056248444078</v>
      </c>
      <c r="K21635" s="16" t="n">
        <f aca="false">K21634*(1-K21631)</f>
        <v>201.991002978289</v>
      </c>
    </row>
    <row r="21636" customFormat="false" ht="15" hidden="false" customHeight="false" outlineLevel="0" collapsed="false">
      <c r="A21636" s="2" t="s">
        <v>277</v>
      </c>
      <c r="G21636" s="17" t="n">
        <f aca="false">G21634-G21635</f>
        <v>291.9003831</v>
      </c>
      <c r="H21636" s="17" t="n">
        <f aca="false">H21634-H21635</f>
        <v>299.2174181082</v>
      </c>
      <c r="I21636" s="17" t="n">
        <f aca="false">I21634-I21635</f>
        <v>306.710374363488</v>
      </c>
      <c r="J21636" s="17" t="n">
        <f aca="false">J21634-J21635</f>
        <v>313.870435218082</v>
      </c>
      <c r="K21636" s="17" t="n">
        <f aca="false">K21634-K21635</f>
        <v>321.194214357115</v>
      </c>
    </row>
    <row r="21637" customFormat="false" ht="15" hidden="false" customHeight="false" outlineLevel="0" collapsed="false">
      <c r="A21637" s="3" t="s">
        <v>305</v>
      </c>
      <c r="G21637" s="16" t="n">
        <f aca="false">G21636-G21638</f>
        <v>35.72898</v>
      </c>
      <c r="H21637" s="16" t="n">
        <f aca="false">H21636-H21638</f>
        <v>36.4435596</v>
      </c>
      <c r="I21637" s="16" t="n">
        <f aca="false">I21636-I21638</f>
        <v>37.172430792</v>
      </c>
      <c r="J21637" s="16" t="n">
        <f aca="false">J21636-J21638</f>
        <v>37.91587940784</v>
      </c>
      <c r="K21637" s="16" t="n">
        <f aca="false">K21636-K21638</f>
        <v>38.6741969959968</v>
      </c>
    </row>
    <row r="21638" customFormat="false" ht="15" hidden="false" customHeight="false" outlineLevel="0" collapsed="false">
      <c r="A21638" s="2" t="s">
        <v>306</v>
      </c>
      <c r="G21638" s="17" t="n">
        <f aca="false">G21634*G21632</f>
        <v>256.1714031</v>
      </c>
      <c r="H21638" s="17" t="n">
        <f aca="false">H21634*H21632</f>
        <v>262.7738585082</v>
      </c>
      <c r="I21638" s="17" t="n">
        <f aca="false">I21634*I21632</f>
        <v>269.537943571488</v>
      </c>
      <c r="J21638" s="17" t="n">
        <f aca="false">J21634*J21632</f>
        <v>275.954555810242</v>
      </c>
      <c r="K21638" s="17" t="n">
        <f aca="false">K21634*K21632</f>
        <v>282.520017361118</v>
      </c>
    </row>
    <row r="21639" customFormat="false" ht="15" hidden="false" customHeight="false" outlineLevel="0" collapsed="false">
      <c r="A21639" s="3" t="s">
        <v>307</v>
      </c>
      <c r="G21639" s="16" t="n">
        <f aca="false">G21634*'Historical Financials'!G30/'Historical Financials'!G25</f>
        <v>179.73421</v>
      </c>
      <c r="H21639" s="16" t="n">
        <f aca="false">H21634*'Historical Financials'!G30/'Historical Financials'!G25</f>
        <v>183.3288942</v>
      </c>
      <c r="I21639" s="16" t="n">
        <f aca="false">I21634*'Historical Financials'!G30/'Historical Financials'!G25</f>
        <v>186.995472084</v>
      </c>
      <c r="J21639" s="16" t="n">
        <f aca="false">J21634*'Historical Financials'!G30/'Historical Financials'!G25</f>
        <v>190.73538152568</v>
      </c>
      <c r="K21639" s="16" t="n">
        <f aca="false">K21634*'Historical Financials'!G30/'Historical Financials'!G25</f>
        <v>194.550089156194</v>
      </c>
    </row>
    <row r="21640" customFormat="false" ht="15" hidden="false" customHeight="false" outlineLevel="0" collapsed="false">
      <c r="A21640" s="3" t="s">
        <v>308</v>
      </c>
      <c r="G21640" s="16" t="n">
        <f aca="false">G21634*'Historical Financials'!G31/'Historical Financials'!G25</f>
        <v>0</v>
      </c>
      <c r="H21640" s="16" t="n">
        <f aca="false">H21634*'Historical Financials'!G31/'Historical Financials'!G25</f>
        <v>0</v>
      </c>
      <c r="I21640" s="16" t="n">
        <f aca="false">I21634*'Historical Financials'!G31/'Historical Financials'!G25</f>
        <v>0</v>
      </c>
      <c r="J21640" s="16" t="n">
        <f aca="false">J21634*'Historical Financials'!G31/'Historical Financials'!G25</f>
        <v>0</v>
      </c>
      <c r="K21640" s="16" t="n">
        <f aca="false">K21634*'Historical Financials'!G31/'Historical Financials'!G25</f>
        <v>0</v>
      </c>
    </row>
    <row r="21641" customFormat="false" ht="15" hidden="false" customHeight="false" outlineLevel="0" collapsed="false">
      <c r="A21641" s="2" t="s">
        <v>309</v>
      </c>
      <c r="G21641" s="17" t="n">
        <f aca="false">G21638-G21639-G21640</f>
        <v>76.4371931</v>
      </c>
      <c r="H21641" s="17" t="n">
        <f aca="false">H21638-H21639-H21640</f>
        <v>79.4449643082</v>
      </c>
      <c r="I21641" s="17" t="n">
        <f aca="false">I21638-I21639-I21640</f>
        <v>82.542471487488</v>
      </c>
      <c r="J21641" s="17" t="n">
        <f aca="false">J21638-J21639-J21640</f>
        <v>85.2191742845621</v>
      </c>
      <c r="K21641" s="17" t="n">
        <f aca="false">K21638-K21639-K21640</f>
        <v>87.9699282049242</v>
      </c>
    </row>
    <row r="21642" customFormat="false" ht="15" hidden="false" customHeight="false" outlineLevel="0" collapsed="false">
      <c r="A21642" s="3" t="s">
        <v>310</v>
      </c>
      <c r="G21642" s="16" t="n">
        <f aca="false">G21668+G21681+G21694+G21707+G21720+G21733+G21746+G21759+G21772+G21785</f>
        <v>175.4235854</v>
      </c>
      <c r="H21642" s="16" t="n">
        <f aca="false">H21668+H21681+H21694+H21707+H21720+H21733+H21746+H21759+H21772+H21785</f>
        <v>174.3856704</v>
      </c>
      <c r="I21642" s="16" t="n">
        <f aca="false">I21668+I21681+I21694+I21707+I21720+I21733+I21746+I21759+I21772+I21785</f>
        <v>185.919341509904</v>
      </c>
      <c r="J21642" s="16" t="n">
        <f aca="false">J21668+J21681+J21694+J21707+J21720+J21733+J21746+J21759+J21772+J21785</f>
        <v>185.703102804469</v>
      </c>
      <c r="K21642" s="16" t="n">
        <f aca="false">K21668+K21681+K21694+K21707+K21720+K21733+K21746+K21759+K21772+K21785</f>
        <v>204.109251012688</v>
      </c>
    </row>
    <row r="21643" customFormat="false" ht="15" hidden="false" customHeight="false" outlineLevel="0" collapsed="false">
      <c r="A21643" s="3" t="s">
        <v>311</v>
      </c>
      <c r="G21643" s="16" t="n">
        <f aca="false">G21669+G21682+G21695+G21708+G21721+G21734+G21747+G21760+G21773+G21786</f>
        <v>0</v>
      </c>
      <c r="H21643" s="16" t="n">
        <f aca="false">H21669+H21682+H21695+H21708+H21721+H21734+H21747+H21760+H21773+H21786</f>
        <v>0</v>
      </c>
      <c r="I21643" s="16" t="n">
        <f aca="false">I21669+I21682+I21695+I21708+I21721+I21734+I21747+I21760+I21773+I21786</f>
        <v>0</v>
      </c>
      <c r="J21643" s="16" t="n">
        <f aca="false">J21669+J21682+J21695+J21708+J21721+J21734+J21747+J21760+J21773+J21786</f>
        <v>0</v>
      </c>
      <c r="K21643" s="16" t="n">
        <f aca="false">K21669+K21682+K21695+K21708+K21721+K21734+K21747+K21760+K21773+K21786</f>
        <v>0</v>
      </c>
    </row>
    <row r="21644" customFormat="false" ht="15" hidden="false" customHeight="false" outlineLevel="0" collapsed="false">
      <c r="A21644" s="3" t="s">
        <v>283</v>
      </c>
      <c r="G21644" s="16" t="n">
        <f aca="false">G21642+G21643</f>
        <v>175.4235854</v>
      </c>
      <c r="H21644" s="16" t="n">
        <f aca="false">H21642+H21643</f>
        <v>174.3856704</v>
      </c>
      <c r="I21644" s="16" t="n">
        <f aca="false">I21642+I21643</f>
        <v>185.919341509904</v>
      </c>
      <c r="J21644" s="16" t="n">
        <f aca="false">J21642+J21643</f>
        <v>185.703102804469</v>
      </c>
      <c r="K21644" s="16" t="n">
        <f aca="false">K21642+K21643</f>
        <v>204.109251012688</v>
      </c>
    </row>
    <row r="21645" customFormat="false" ht="15" hidden="false" customHeight="false" outlineLevel="0" collapsed="false">
      <c r="A21645" s="2" t="s">
        <v>284</v>
      </c>
      <c r="G21645" s="17" t="n">
        <f aca="false">G21641-G21644</f>
        <v>-98.9863923</v>
      </c>
      <c r="H21645" s="17" t="n">
        <f aca="false">H21641-H21644</f>
        <v>-94.9407060918</v>
      </c>
      <c r="I21645" s="17" t="n">
        <f aca="false">I21641-I21644</f>
        <v>-103.376870022416</v>
      </c>
      <c r="J21645" s="17" t="n">
        <f aca="false">J21641-J21644</f>
        <v>-100.483928519906</v>
      </c>
      <c r="K21645" s="17" t="n">
        <f aca="false">K21641-K21644</f>
        <v>-116.139322807763</v>
      </c>
    </row>
    <row r="21646" customFormat="false" ht="15" hidden="false" customHeight="false" outlineLevel="0" collapsed="false">
      <c r="A21646" s="3" t="s">
        <v>312</v>
      </c>
      <c r="G21646" s="16" t="n">
        <f aca="false">MAX(0,G21645)*Assumptions!$C$9</f>
        <v>0</v>
      </c>
      <c r="H21646" s="16" t="n">
        <f aca="false">MAX(0,H21645)*Assumptions!$C$9</f>
        <v>0</v>
      </c>
      <c r="I21646" s="16" t="n">
        <f aca="false">MAX(0,I21645)*Assumptions!$C$9</f>
        <v>0</v>
      </c>
      <c r="J21646" s="16" t="n">
        <f aca="false">MAX(0,J21645)*Assumptions!$C$9</f>
        <v>0</v>
      </c>
      <c r="K21646" s="16" t="n">
        <f aca="false">MAX(0,K21645)*Assumptions!$C$9</f>
        <v>0</v>
      </c>
    </row>
    <row r="21647" customFormat="false" ht="15" hidden="false" customHeight="false" outlineLevel="0" collapsed="false">
      <c r="A21647" s="2" t="s">
        <v>313</v>
      </c>
      <c r="G21647" s="17" t="n">
        <f aca="false">G21645-G21646</f>
        <v>-98.9863923</v>
      </c>
      <c r="H21647" s="17" t="n">
        <f aca="false">H21645-H21646</f>
        <v>-94.9407060918</v>
      </c>
      <c r="I21647" s="17" t="n">
        <f aca="false">I21645-I21646</f>
        <v>-103.376870022416</v>
      </c>
      <c r="J21647" s="17" t="n">
        <f aca="false">J21645-J21646</f>
        <v>-100.483928519906</v>
      </c>
      <c r="K21647" s="17" t="n">
        <f aca="false">K21645-K21646</f>
        <v>-116.139322807763</v>
      </c>
    </row>
    <row r="21648" customFormat="false" ht="15" hidden="false" customHeight="false" outlineLevel="0" collapsed="false">
      <c r="A21648" s="24" t="s">
        <v>314</v>
      </c>
      <c r="B21648" s="25"/>
      <c r="C21648" s="25"/>
      <c r="D21648" s="25"/>
      <c r="E21648" s="25"/>
      <c r="F21648" s="25"/>
      <c r="G21648" s="25"/>
      <c r="H21648" s="25"/>
      <c r="I21648" s="25"/>
      <c r="J21648" s="25"/>
      <c r="K21648" s="25"/>
    </row>
    <row r="21649" customFormat="false" ht="15" hidden="false" customHeight="false" outlineLevel="0" collapsed="false">
      <c r="A21649" s="3" t="s">
        <v>184</v>
      </c>
      <c r="G21649" s="16" t="n">
        <f aca="false">G21634*CHOOSE($C$21621,Assumptions!$C$83,Assumptions!$C$102,Assumptions!$C$121)</f>
        <v>106.3352994</v>
      </c>
      <c r="H21649" s="16" t="n">
        <f aca="false">H21634*CHOOSE($C$21621,Assumptions!$C$83,Assumptions!$C$102,Assumptions!$C$121)</f>
        <v>108.462005388</v>
      </c>
      <c r="I21649" s="16" t="n">
        <f aca="false">I21634*CHOOSE($C$21621,Assumptions!$C$83,Assumptions!$C$102,Assumptions!$C$121)</f>
        <v>110.63124549576</v>
      </c>
      <c r="J21649" s="16" t="n">
        <f aca="false">J21634*CHOOSE($C$21621,Assumptions!$C$83,Assumptions!$C$102,Assumptions!$C$121)</f>
        <v>112.843870405675</v>
      </c>
      <c r="K21649" s="16" t="n">
        <f aca="false">K21634*CHOOSE($C$21621,Assumptions!$C$83,Assumptions!$C$102,Assumptions!$C$121)</f>
        <v>115.100747813789</v>
      </c>
    </row>
    <row r="21650" customFormat="false" ht="15" hidden="false" customHeight="false" outlineLevel="0" collapsed="false">
      <c r="A21650" s="3" t="s">
        <v>315</v>
      </c>
      <c r="G21650" s="16" t="n">
        <f aca="false">CHOOSE($C$21621,Assumptions!$C$84,Assumptions!$C$103,Assumptions!$C$122)*(G21634-F21634)+CHOOSE($C$21621,Assumptions!$C$85,Assumptions!$C$104,Assumptions!$C$123)*G21634</f>
        <v>53.1676497</v>
      </c>
      <c r="H21650" s="16" t="n">
        <f aca="false">CHOOSE($C$21621,Assumptions!$C$84,Assumptions!$C$103,Assumptions!$C$122)*(H21634-G21634)+CHOOSE($C$21621,Assumptions!$C$85,Assumptions!$C$104,Assumptions!$C$123)*H21634</f>
        <v>54.231002694</v>
      </c>
      <c r="I21650" s="16" t="n">
        <f aca="false">CHOOSE($C$21621,Assumptions!$C$84,Assumptions!$C$103,Assumptions!$C$122)*(I21634-H21634)+CHOOSE($C$21621,Assumptions!$C$85,Assumptions!$C$104,Assumptions!$C$123)*I21634</f>
        <v>55.31562274788</v>
      </c>
      <c r="J21650" s="16" t="n">
        <f aca="false">CHOOSE($C$21621,Assumptions!$C$84,Assumptions!$C$103,Assumptions!$C$122)*(J21634-I21634)+CHOOSE($C$21621,Assumptions!$C$85,Assumptions!$C$104,Assumptions!$C$123)*J21634</f>
        <v>56.4219352028376</v>
      </c>
      <c r="K21650" s="16" t="n">
        <f aca="false">CHOOSE($C$21621,Assumptions!$C$84,Assumptions!$C$103,Assumptions!$C$122)*(K21634-J21634)+CHOOSE($C$21621,Assumptions!$C$85,Assumptions!$C$104,Assumptions!$C$123)*K21634</f>
        <v>57.5503739068944</v>
      </c>
    </row>
    <row r="21651" customFormat="false" ht="15" hidden="false" customHeight="false" outlineLevel="0" collapsed="false">
      <c r="A21651" s="2" t="s">
        <v>316</v>
      </c>
      <c r="G21651" s="17" t="n">
        <f aca="false">G21647+G21639+G21640+G21643-G21649-G21650</f>
        <v>-78.7551314</v>
      </c>
      <c r="H21651" s="17" t="n">
        <f aca="false">H21647+H21639+H21640+H21643-H21649-H21650</f>
        <v>-74.3048199738</v>
      </c>
      <c r="I21651" s="17" t="n">
        <f aca="false">I21647+I21639+I21640+I21643-I21649-I21650</f>
        <v>-82.328266182056</v>
      </c>
      <c r="J21651" s="17" t="n">
        <f aca="false">J21647+J21639+J21640+J21643-J21649-J21650</f>
        <v>-79.0143526027392</v>
      </c>
      <c r="K21651" s="17" t="n">
        <f aca="false">K21647+K21639+K21640+K21643-K21649-K21650</f>
        <v>-94.2403553722529</v>
      </c>
    </row>
    <row r="21653" customFormat="false" ht="15" hidden="false" customHeight="false" outlineLevel="0" collapsed="false">
      <c r="A21653" s="24" t="s">
        <v>318</v>
      </c>
      <c r="B21653" s="25"/>
      <c r="C21653" s="25"/>
      <c r="D21653" s="25"/>
      <c r="E21653" s="25"/>
      <c r="F21653" s="25"/>
      <c r="G21653" s="25"/>
      <c r="H21653" s="25"/>
      <c r="I21653" s="25"/>
      <c r="J21653" s="25"/>
      <c r="K21653" s="25"/>
    </row>
    <row r="21654" customFormat="false" ht="15" hidden="false" customHeight="false" outlineLevel="0" collapsed="false">
      <c r="A21654" s="3" t="s">
        <v>319</v>
      </c>
      <c r="G21654" s="30" t="n">
        <f aca="false">Assumptions!$G$53</f>
        <v>0.039</v>
      </c>
      <c r="H21654" s="30" t="n">
        <f aca="false">Assumptions!$H$53</f>
        <v>0.0375</v>
      </c>
      <c r="I21654" s="30" t="n">
        <f aca="false">Assumptions!$I$53</f>
        <v>0.035</v>
      </c>
      <c r="J21654" s="30" t="n">
        <f aca="false">Assumptions!$J$53</f>
        <v>0.035</v>
      </c>
      <c r="K21654" s="30" t="n">
        <f aca="false">Assumptions!$K$53</f>
        <v>0.035</v>
      </c>
    </row>
    <row r="21655" customFormat="false" ht="15" hidden="false" customHeight="false" outlineLevel="0" collapsed="false">
      <c r="A21655" s="3" t="s">
        <v>320</v>
      </c>
      <c r="C21655" s="31" t="n">
        <f aca="false">CHOOSE($C$21621,Assumptions!$C$86,Assumptions!$C$105,Assumptions!$C$124)+$C$21624</f>
        <v>-0.01</v>
      </c>
    </row>
    <row r="21656" customFormat="false" ht="15" hidden="false" customHeight="false" outlineLevel="0" collapsed="false">
      <c r="A21656" s="3" t="s">
        <v>321</v>
      </c>
      <c r="C21656" s="31" t="n">
        <f aca="false">CHOOSE($C$21621,Assumptions!$C$87,Assumptions!$C$106,Assumptions!$C$125)</f>
        <v>0.08</v>
      </c>
    </row>
    <row r="21657" customFormat="false" ht="15" hidden="false" customHeight="false" outlineLevel="0" collapsed="false">
      <c r="A21657" s="3" t="s">
        <v>322</v>
      </c>
      <c r="C21657" s="32" t="n">
        <f aca="false">CHOOSE($C$21621,Assumptions!$C$88,Assumptions!$C$107,Assumptions!$C$126)</f>
        <v>11</v>
      </c>
    </row>
    <row r="21658" customFormat="false" ht="15" hidden="false" customHeight="false" outlineLevel="0" collapsed="false">
      <c r="A21658" s="3" t="s">
        <v>323</v>
      </c>
      <c r="C21658" s="32" t="n">
        <f aca="false">CHOOSE($C$21621,Assumptions!$C$89,Assumptions!$C$108,Assumptions!$C$127)</f>
        <v>1.2</v>
      </c>
    </row>
    <row r="21659" customFormat="false" ht="15" hidden="false" customHeight="false" outlineLevel="0" collapsed="false">
      <c r="A21659" s="3" t="s">
        <v>324</v>
      </c>
      <c r="G21659" s="16" t="n">
        <f aca="false">G21664+G21677+G21690+G21703+G21716+G21729+G21742+G21755+G21768+G21781</f>
        <v>2625.934</v>
      </c>
      <c r="H21659" s="16" t="n">
        <f aca="false">H21664+H21677+H21690+H21703+H21716+H21729+H21742+H21755+H21768+H21781</f>
        <v>2621.934</v>
      </c>
      <c r="I21659" s="16" t="n">
        <f aca="false">I21664+I21677+I21690+I21703+I21716+I21729+I21742+I21755+I21768+I21781</f>
        <v>2566.1239513738</v>
      </c>
      <c r="J21659" s="16" t="n">
        <f aca="false">J21664+J21677+J21690+J21703+J21716+J21729+J21742+J21755+J21768+J21781</f>
        <v>2623.45221755586</v>
      </c>
      <c r="K21659" s="16" t="n">
        <f aca="false">K21664+K21677+K21690+K21703+K21716+K21729+K21742+K21755+K21768+K21781</f>
        <v>2702.4665701586</v>
      </c>
    </row>
    <row r="21660" customFormat="false" ht="15" hidden="false" customHeight="false" outlineLevel="0" collapsed="false">
      <c r="A21660" s="3" t="s">
        <v>325</v>
      </c>
      <c r="G21660" s="16" t="n">
        <f aca="false">F21852</f>
        <v>37.87</v>
      </c>
      <c r="H21660" s="16" t="n">
        <f aca="false">G21852</f>
        <v>155.1148686</v>
      </c>
      <c r="I21660" s="16" t="n">
        <f aca="false">H21852</f>
        <v>25</v>
      </c>
      <c r="J21660" s="16" t="n">
        <f aca="false">I21852</f>
        <v>0</v>
      </c>
      <c r="K21660" s="16" t="n">
        <f aca="false">J21852</f>
        <v>0</v>
      </c>
    </row>
    <row r="21661" customFormat="false" ht="15" hidden="false" customHeight="false" outlineLevel="0" collapsed="false">
      <c r="A21661" s="3" t="s">
        <v>326</v>
      </c>
      <c r="G21661" s="16" t="n">
        <f aca="false">G21664*IF(G21665=1,$C$21656,IF(Assumptions!$I$57=1,MAX(G21654,Assumptions!$G$57)+Assumptions!$F$57+$C$21655,Assumptions!$E$57))+G21677*IF(G21678=1,$C$21656,IF(Assumptions!$I$58=1,MAX(G21654,Assumptions!$G$58)+Assumptions!$F$58+$C$21655,Assumptions!$E$58))+G21690*IF(G21691=1,$C$21656,IF(Assumptions!$I$59=1,MAX(G21654,Assumptions!$G$59)+Assumptions!$F$59+$C$21655,Assumptions!$E$59))+G21703*IF(G21704=1,$C$21656,IF(Assumptions!$I$60=1,MAX(G21654,Assumptions!$G$60)+Assumptions!$F$60+$C$21655,Assumptions!$E$60))+G21716*IF(G21717=1,$C$21656,IF(Assumptions!$I$61=1,MAX(G21654,Assumptions!$G$61)+Assumptions!$F$61+$C$21655,Assumptions!$E$61))+G21729*IF(G21730=1,$C$21656,IF(Assumptions!$I$62=1,MAX(G21654,Assumptions!$G$62)+Assumptions!$F$62+$C$21655,Assumptions!$E$62))+G21742*IF(G21743=1,$C$21656,IF(Assumptions!$I$63=1,MAX(G21654,Assumptions!$G$63)+Assumptions!$F$63+$C$21655,Assumptions!$E$63))+G21755*IF(G21756=1,$C$21656,IF(Assumptions!$I$64=1,MAX(G21654,Assumptions!$G$64)+Assumptions!$F$64+$C$21655,Assumptions!$E$64))+G21768*IF(G21769=1,$C$21656,IF(Assumptions!$I$65=1,MAX(G21654,Assumptions!$G$65)+Assumptions!$F$65+$C$21655,Assumptions!$E$65))+G21781*IF(G21782=1,$C$21656,IF(Assumptions!$I$66=1,MAX(G21654,Assumptions!$G$66)+Assumptions!$F$66+$C$21655,Assumptions!$E$66))</f>
        <v>175.4235854</v>
      </c>
      <c r="H21661" s="16" t="n">
        <f aca="false">H21664*IF(OR(H21665=1,G21974=1),$C$21656,IF(Assumptions!$I$57=1,MAX(H21654,Assumptions!$G$57)+Assumptions!$F$57+$C$21655,Assumptions!$E$57))+H21677*IF(OR(H21678=1,G21975=1),$C$21656,IF(Assumptions!$I$58=1,MAX(H21654,Assumptions!$G$58)+Assumptions!$F$58+$C$21655,Assumptions!$E$58))+H21690*IF(OR(H21691=1,G21976=1),$C$21656,IF(Assumptions!$I$59=1,MAX(H21654,Assumptions!$G$59)+Assumptions!$F$59+$C$21655,Assumptions!$E$59))+H21703*IF(OR(H21704=1,G21977=1),$C$21656,IF(Assumptions!$I$60=1,MAX(H21654,Assumptions!$G$60)+Assumptions!$F$60+$C$21655,Assumptions!$E$60))+H21716*IF(OR(H21717=1,G21978=1),$C$21656,IF(Assumptions!$I$61=1,MAX(H21654,Assumptions!$G$61)+Assumptions!$F$61+$C$21655,Assumptions!$E$61))+H21729*IF(OR(H21730=1,G21979=1),$C$21656,IF(Assumptions!$I$62=1,MAX(H21654,Assumptions!$G$62)+Assumptions!$F$62+$C$21655,Assumptions!$E$62))+H21742*IF(OR(H21743=1,G21980=1),$C$21656,IF(Assumptions!$I$63=1,MAX(H21654,Assumptions!$G$63)+Assumptions!$F$63+$C$21655,Assumptions!$E$63))+H21755*IF(OR(H21756=1,G21981=1),$C$21656,IF(Assumptions!$I$64=1,MAX(H21654,Assumptions!$G$64)+Assumptions!$F$64+$C$21655,Assumptions!$E$64))+H21768*IF(OR(H21769=1,G21982=1),$C$21656,IF(Assumptions!$I$65=1,MAX(H21654,Assumptions!$G$65)+Assumptions!$F$65+$C$21655,Assumptions!$E$65))+H21781*IF(OR(H21782=1,G21983=1),$C$21656,IF(Assumptions!$I$66=1,MAX(H21654,Assumptions!$G$66)+Assumptions!$F$66+$C$21655,Assumptions!$E$66))</f>
        <v>191.5606704</v>
      </c>
      <c r="I21661" s="16" t="n">
        <f aca="false">I21664*IF(OR(I21665=1,H21974=1),$C$21656,IF(Assumptions!$I$57=1,MAX(I21654,Assumptions!$G$57)+Assumptions!$F$57+$C$21655,Assumptions!$E$57))+I21677*IF(OR(I21678=1,H21975=1),$C$21656,IF(Assumptions!$I$58=1,MAX(I21654,Assumptions!$G$58)+Assumptions!$F$58+$C$21655,Assumptions!$E$58))+I21690*IF(OR(I21691=1,H21976=1),$C$21656,IF(Assumptions!$I$59=1,MAX(I21654,Assumptions!$G$59)+Assumptions!$F$59+$C$21655,Assumptions!$E$59))+I21703*IF(OR(I21704=1,H21977=1),$C$21656,IF(Assumptions!$I$60=1,MAX(I21654,Assumptions!$G$60)+Assumptions!$F$60+$C$21655,Assumptions!$E$60))+I21716*IF(OR(I21717=1,H21978=1),$C$21656,IF(Assumptions!$I$61=1,MAX(I21654,Assumptions!$G$61)+Assumptions!$F$61+$C$21655,Assumptions!$E$61))+I21729*IF(OR(I21730=1,H21979=1),$C$21656,IF(Assumptions!$I$62=1,MAX(I21654,Assumptions!$G$62)+Assumptions!$F$62+$C$21655,Assumptions!$E$62))+I21742*IF(OR(I21743=1,H21980=1),$C$21656,IF(Assumptions!$I$63=1,MAX(I21654,Assumptions!$G$63)+Assumptions!$F$63+$C$21655,Assumptions!$E$63))+I21755*IF(OR(I21756=1,H21981=1),$C$21656,IF(Assumptions!$I$64=1,MAX(I21654,Assumptions!$G$64)+Assumptions!$F$64+$C$21655,Assumptions!$E$64))+I21768*IF(OR(I21769=1,H21982=1),$C$21656,IF(Assumptions!$I$65=1,MAX(I21654,Assumptions!$G$65)+Assumptions!$F$65+$C$21655,Assumptions!$E$65))+I21781*IF(OR(I21782=1,H21983=1),$C$21656,IF(Assumptions!$I$66=1,MAX(I21654,Assumptions!$G$66)+Assumptions!$F$66+$C$21655,Assumptions!$E$66))</f>
        <v>181.106841509904</v>
      </c>
      <c r="J21661" s="16" t="n">
        <f aca="false">J21664*IF(OR(J21665=1,I21974=1),$C$21656,IF(Assumptions!$I$57=1,MAX(J21654,Assumptions!$G$57)+Assumptions!$F$57+$C$21655,Assumptions!$E$57))+J21677*IF(OR(J21678=1,I21975=1),$C$21656,IF(Assumptions!$I$58=1,MAX(J21654,Assumptions!$G$58)+Assumptions!$F$58+$C$21655,Assumptions!$E$58))+J21690*IF(OR(J21691=1,I21976=1),$C$21656,IF(Assumptions!$I$59=1,MAX(J21654,Assumptions!$G$59)+Assumptions!$F$59+$C$21655,Assumptions!$E$59))+J21703*IF(OR(J21704=1,I21977=1),$C$21656,IF(Assumptions!$I$60=1,MAX(J21654,Assumptions!$G$60)+Assumptions!$F$60+$C$21655,Assumptions!$E$60))+J21716*IF(OR(J21717=1,I21978=1),$C$21656,IF(Assumptions!$I$61=1,MAX(J21654,Assumptions!$G$61)+Assumptions!$F$61+$C$21655,Assumptions!$E$61))+J21729*IF(OR(J21730=1,I21979=1),$C$21656,IF(Assumptions!$I$62=1,MAX(J21654,Assumptions!$G$62)+Assumptions!$F$62+$C$21655,Assumptions!$E$62))+J21742*IF(OR(J21743=1,I21980=1),$C$21656,IF(Assumptions!$I$63=1,MAX(J21654,Assumptions!$G$63)+Assumptions!$F$63+$C$21655,Assumptions!$E$63))+J21755*IF(OR(J21756=1,I21981=1),$C$21656,IF(Assumptions!$I$64=1,MAX(J21654,Assumptions!$G$64)+Assumptions!$F$64+$C$21655,Assumptions!$E$64))+J21768*IF(OR(J21769=1,I21982=1),$C$21656,IF(Assumptions!$I$65=1,MAX(J21654,Assumptions!$G$65)+Assumptions!$F$65+$C$21655,Assumptions!$E$65))+J21781*IF(OR(J21782=1,I21983=1),$C$21656,IF(Assumptions!$I$66=1,MAX(J21654,Assumptions!$G$66)+Assumptions!$F$66+$C$21655,Assumptions!$E$66))</f>
        <v>197.778102804469</v>
      </c>
      <c r="K21661" s="16" t="n">
        <f aca="false">K21664*IF(OR(K21665=1,J21974=1),$C$21656,IF(Assumptions!$I$57=1,MAX(K21654,Assumptions!$G$57)+Assumptions!$F$57+$C$21655,Assumptions!$E$57))+K21677*IF(OR(K21678=1,J21975=1),$C$21656,IF(Assumptions!$I$58=1,MAX(K21654,Assumptions!$G$58)+Assumptions!$F$58+$C$21655,Assumptions!$E$58))+K21690*IF(OR(K21691=1,J21976=1),$C$21656,IF(Assumptions!$I$59=1,MAX(K21654,Assumptions!$G$59)+Assumptions!$F$59+$C$21655,Assumptions!$E$59))+K21703*IF(OR(K21704=1,J21977=1),$C$21656,IF(Assumptions!$I$60=1,MAX(K21654,Assumptions!$G$60)+Assumptions!$F$60+$C$21655,Assumptions!$E$60))+K21716*IF(OR(K21717=1,J21978=1),$C$21656,IF(Assumptions!$I$61=1,MAX(K21654,Assumptions!$G$61)+Assumptions!$F$61+$C$21655,Assumptions!$E$61))+K21729*IF(OR(K21730=1,J21979=1),$C$21656,IF(Assumptions!$I$62=1,MAX(K21654,Assumptions!$G$62)+Assumptions!$F$62+$C$21655,Assumptions!$E$62))+K21742*IF(OR(K21743=1,J21980=1),$C$21656,IF(Assumptions!$I$63=1,MAX(K21654,Assumptions!$G$63)+Assumptions!$F$63+$C$21655,Assumptions!$E$63))+K21755*IF(OR(K21756=1,J21981=1),$C$21656,IF(Assumptions!$I$64=1,MAX(K21654,Assumptions!$G$64)+Assumptions!$F$64+$C$21655,Assumptions!$E$64))+K21768*IF(OR(K21769=1,J21982=1),$C$21656,IF(Assumptions!$I$65=1,MAX(K21654,Assumptions!$G$65)+Assumptions!$F$65+$C$21655,Assumptions!$E$65))+K21781*IF(OR(K21782=1,J21983=1),$C$21656,IF(Assumptions!$I$66=1,MAX(K21654,Assumptions!$G$66)+Assumptions!$F$66+$C$21655,Assumptions!$E$66))</f>
        <v>210.694251012688</v>
      </c>
    </row>
    <row r="21662" customFormat="false" ht="15" hidden="false" customHeight="false" outlineLevel="0" collapsed="false">
      <c r="A21662" s="3" t="s">
        <v>327</v>
      </c>
      <c r="G21662" s="21" t="n">
        <f aca="false">IF(G21638&lt;=0,0,IF(AND((G21659-G21660)/G21638&lt;=$C$21657,G21638/G21661&gt;=$C$21658),1,0))</f>
        <v>1</v>
      </c>
      <c r="H21662" s="21" t="n">
        <f aca="false">IF(H21638&lt;=0,0,IF(AND((H21659-H21660)/H21638&lt;=$C$21657,H21638/H21661&gt;=$C$21658),1,0))</f>
        <v>1</v>
      </c>
      <c r="I21662" s="21" t="n">
        <f aca="false">IF(I21638&lt;=0,0,IF(AND((I21659-I21660)/I21638&lt;=$C$21657,I21638/I21661&gt;=$C$21658),1,0))</f>
        <v>1</v>
      </c>
      <c r="J21662" s="21" t="n">
        <f aca="false">IF(J21638&lt;=0,0,IF(AND((J21659-J21660)/J21638&lt;=$C$21657,J21638/J21661&gt;=$C$21658),1,0))</f>
        <v>1</v>
      </c>
      <c r="K21662" s="21" t="n">
        <f aca="false">IF(K21638&lt;=0,0,IF(AND((K21659-K21660)/K21638&lt;=$C$21657,K21638/K21661&gt;=$C$21658),1,0))</f>
        <v>1</v>
      </c>
    </row>
    <row r="21663" customFormat="false" ht="15" hidden="false" customHeight="false" outlineLevel="0" collapsed="false">
      <c r="A21663" s="24" t="s">
        <v>328</v>
      </c>
      <c r="B21663" s="25"/>
      <c r="C21663" s="25"/>
      <c r="D21663" s="25"/>
      <c r="E21663" s="25"/>
      <c r="F21663" s="25"/>
      <c r="G21663" s="25"/>
      <c r="H21663" s="25"/>
      <c r="I21663" s="25"/>
      <c r="J21663" s="25"/>
      <c r="K21663" s="25"/>
    </row>
    <row r="21664" customFormat="false" ht="15" hidden="false" customHeight="false" outlineLevel="0" collapsed="false">
      <c r="A21664" s="3" t="s">
        <v>329</v>
      </c>
      <c r="G21664" s="16" t="n">
        <f aca="false">F21675</f>
        <v>400</v>
      </c>
      <c r="H21664" s="16" t="n">
        <f aca="false">G21675</f>
        <v>396</v>
      </c>
      <c r="I21664" s="16" t="n">
        <f aca="false">H21675</f>
        <v>392</v>
      </c>
      <c r="J21664" s="16" t="n">
        <f aca="false">I21675</f>
        <v>388</v>
      </c>
      <c r="K21664" s="16" t="n">
        <f aca="false">J21675</f>
        <v>384</v>
      </c>
    </row>
    <row r="21665" customFormat="false" ht="15" hidden="false" customHeight="false" outlineLevel="0" collapsed="false">
      <c r="A21665" s="3" t="s">
        <v>330</v>
      </c>
      <c r="G21665" s="21" t="n">
        <f aca="false">IF(G21628=Assumptions!$K$57,1,0)</f>
        <v>0</v>
      </c>
      <c r="H21665" s="21" t="n">
        <f aca="false">IF(H21628=Assumptions!$K$57,1,0)</f>
        <v>0</v>
      </c>
      <c r="I21665" s="21" t="n">
        <f aca="false">IF(I21628=Assumptions!$K$57,1,0)</f>
        <v>0</v>
      </c>
      <c r="J21665" s="21" t="n">
        <f aca="false">IF(J21628=Assumptions!$K$57,1,0)</f>
        <v>0</v>
      </c>
      <c r="K21665" s="21" t="n">
        <f aca="false">IF(K21628=Assumptions!$K$57,1,0)</f>
        <v>1</v>
      </c>
    </row>
    <row r="21667" customFormat="false" ht="15" hidden="false" customHeight="false" outlineLevel="0" collapsed="false">
      <c r="A21667" s="3" t="s">
        <v>331</v>
      </c>
      <c r="G21667" s="31" t="n">
        <f aca="false">IF(Assumptions!$I$57=1,MAX(G21654,Assumptions!$G$57)+Assumptions!$F$57+$C$21655,Assumptions!$E$57)</f>
        <v>0.0815</v>
      </c>
      <c r="H21667" s="31" t="n">
        <f aca="false">IF(G21974=1,$C$21656,IF(Assumptions!$I$57=1,MAX(H21654,Assumptions!$G$57)+Assumptions!$F$57+$C$21655,Assumptions!$E$57))</f>
        <v>0.08</v>
      </c>
      <c r="I21667" s="31" t="n">
        <f aca="false">IF(H21974=1,$C$21656,IF(Assumptions!$I$57=1,MAX(I21654,Assumptions!$G$57)+Assumptions!$F$57+$C$21655,Assumptions!$E$57))</f>
        <v>0.0775</v>
      </c>
      <c r="J21667" s="31" t="n">
        <f aca="false">IF(I21974=1,$C$21656,IF(Assumptions!$I$57=1,MAX(J21654,Assumptions!$G$57)+Assumptions!$F$57+$C$21655,Assumptions!$E$57))</f>
        <v>0.0775</v>
      </c>
      <c r="K21667" s="31" t="n">
        <f aca="false">IF(J21974=1,$C$21656,IF(Assumptions!$I$57=1,MAX(K21654,Assumptions!$G$57)+Assumptions!$F$57+$C$21655,Assumptions!$E$57))</f>
        <v>0.0775</v>
      </c>
    </row>
    <row r="21668" customFormat="false" ht="15" hidden="false" customHeight="false" outlineLevel="0" collapsed="false">
      <c r="A21668" s="3" t="s">
        <v>332</v>
      </c>
      <c r="G21668" s="16" t="n">
        <f aca="false">G21664*G21667</f>
        <v>32.6</v>
      </c>
      <c r="H21668" s="16" t="n">
        <f aca="false">H21664*H21667</f>
        <v>31.68</v>
      </c>
      <c r="I21668" s="16" t="n">
        <f aca="false">I21664*I21667</f>
        <v>30.38</v>
      </c>
      <c r="J21668" s="16" t="n">
        <f aca="false">J21664*J21667</f>
        <v>30.07</v>
      </c>
      <c r="K21668" s="16" t="n">
        <f aca="false">K21664*K21667</f>
        <v>29.76</v>
      </c>
    </row>
    <row r="21669" customFormat="false" ht="15" hidden="false" customHeight="false" outlineLevel="0" collapsed="false">
      <c r="A21669" s="3" t="s">
        <v>333</v>
      </c>
      <c r="G21669" s="16" t="n">
        <f aca="false">G21664*Assumptions!$H$57</f>
        <v>0</v>
      </c>
      <c r="H21669" s="16" t="n">
        <f aca="false">H21664*Assumptions!$H$57</f>
        <v>0</v>
      </c>
      <c r="I21669" s="16" t="n">
        <f aca="false">I21664*Assumptions!$H$57</f>
        <v>0</v>
      </c>
      <c r="J21669" s="16" t="n">
        <f aca="false">J21664*Assumptions!$H$57</f>
        <v>0</v>
      </c>
      <c r="K21669" s="16" t="n">
        <f aca="false">K21664*Assumptions!$H$57</f>
        <v>0</v>
      </c>
    </row>
    <row r="21670" customFormat="false" ht="15" hidden="false" customHeight="false" outlineLevel="0" collapsed="false">
      <c r="A21670" s="3" t="s">
        <v>334</v>
      </c>
      <c r="G21670" s="16" t="n">
        <f aca="false">MIN(G21664,Assumptions!$L$57*Assumptions!$C$57)</f>
        <v>4</v>
      </c>
      <c r="H21670" s="16" t="n">
        <f aca="false">MIN(H21664,Assumptions!$L$57*Assumptions!$C$57)</f>
        <v>4</v>
      </c>
      <c r="I21670" s="16" t="n">
        <f aca="false">MIN(I21664,Assumptions!$L$57*Assumptions!$C$57)</f>
        <v>4</v>
      </c>
      <c r="J21670" s="16" t="n">
        <f aca="false">MIN(J21664,Assumptions!$L$57*Assumptions!$C$57)</f>
        <v>4</v>
      </c>
      <c r="K21670" s="16" t="n">
        <f aca="false">MIN(K21664,Assumptions!$L$57*Assumptions!$C$57)</f>
        <v>4</v>
      </c>
    </row>
    <row r="21671" customFormat="false" ht="15" hidden="false" customHeight="false" outlineLevel="0" collapsed="false">
      <c r="A21671" s="3" t="s">
        <v>335</v>
      </c>
      <c r="G21671" s="16" t="n">
        <f aca="false">IF(AND(Assumptions!$P$57=1,G21628&lt;Assumptions!$K$57),MIN(MAX(0,-G21844),MAX(0,Assumptions!$D$57-G21664)),0)</f>
        <v>0</v>
      </c>
      <c r="H21671" s="16" t="n">
        <f aca="false">IF(AND(Assumptions!$P$57=1,OR(H21628&lt;Assumptions!$K$57,G21974=1)),MIN(MAX(0,-H21844),MAX(0,Assumptions!$D$57-H21664)),0)</f>
        <v>0</v>
      </c>
      <c r="I21671" s="16" t="n">
        <f aca="false">IF(AND(Assumptions!$P$57=1,OR(I21628&lt;Assumptions!$K$57,H21974=1)),MIN(MAX(0,-I21844),MAX(0,Assumptions!$D$57-I21664)),0)</f>
        <v>0</v>
      </c>
      <c r="J21671" s="16" t="n">
        <f aca="false">IF(AND(Assumptions!$P$57=1,OR(J21628&lt;Assumptions!$K$57,I21974=1)),MIN(MAX(0,-J21844),MAX(0,Assumptions!$D$57-J21664)),0)</f>
        <v>0</v>
      </c>
      <c r="K21671" s="16" t="n">
        <f aca="false">IF(AND(Assumptions!$P$57=1,OR(K21628&lt;Assumptions!$K$57,J21974=1)),MIN(MAX(0,-K21844),MAX(0,Assumptions!$D$57-K21664)),0)</f>
        <v>0</v>
      </c>
    </row>
    <row r="21672" customFormat="false" ht="15" hidden="false" customHeight="false" outlineLevel="0" collapsed="false">
      <c r="A21672" s="3" t="s">
        <v>336</v>
      </c>
      <c r="G21672" s="16" t="n">
        <f aca="false">G21665*MIN(G21664-G21670+G21669,MAX(0,G21846-Assumptions!$C$12*G21662))</f>
        <v>0</v>
      </c>
      <c r="H21672" s="16" t="n">
        <f aca="false">H21665*MIN(H21664-H21670+H21669,MAX(0,H21846-Assumptions!$C$12*H21662))</f>
        <v>0</v>
      </c>
      <c r="I21672" s="16" t="n">
        <f aca="false">I21665*MIN(I21664-I21670+I21669,MAX(0,I21846-Assumptions!$C$12*I21662))</f>
        <v>0</v>
      </c>
      <c r="J21672" s="16" t="n">
        <f aca="false">J21665*MIN(J21664-J21670+J21669,MAX(0,J21846-Assumptions!$C$12*J21662))</f>
        <v>0</v>
      </c>
      <c r="K21672" s="16" t="n">
        <f aca="false">K21665*MIN(K21664-K21670+K21669,MAX(0,K21846-Assumptions!$C$12*K21662))</f>
        <v>0</v>
      </c>
    </row>
    <row r="21673" customFormat="false" ht="15" hidden="false" customHeight="false" outlineLevel="0" collapsed="false">
      <c r="A21673" s="3" t="s">
        <v>337</v>
      </c>
      <c r="G21673" s="16" t="n">
        <f aca="false">Assumptions!$N$57*MIN(G21664+G21671+G21669-G21670-G21672,MAX(0,G21850))</f>
        <v>0</v>
      </c>
      <c r="H21673" s="16" t="n">
        <f aca="false">Assumptions!$N$57*MIN(H21664+H21671+H21669-H21670-H21672,MAX(0,H21850))</f>
        <v>0</v>
      </c>
      <c r="I21673" s="16" t="n">
        <f aca="false">Assumptions!$N$57*MIN(I21664+I21671+I21669-I21670-I21672,MAX(0,I21850))</f>
        <v>0</v>
      </c>
      <c r="J21673" s="16" t="n">
        <f aca="false">Assumptions!$N$57*MIN(J21664+J21671+J21669-J21670-J21672,MAX(0,J21850))</f>
        <v>0</v>
      </c>
      <c r="K21673" s="16" t="n">
        <f aca="false">Assumptions!$N$57*MIN(K21664+K21671+K21669-K21670-K21672,MAX(0,K21850))</f>
        <v>0</v>
      </c>
    </row>
    <row r="21674" customFormat="false" ht="15" hidden="false" customHeight="false" outlineLevel="0" collapsed="false">
      <c r="A21674" s="3" t="s">
        <v>338</v>
      </c>
      <c r="G21674" s="16" t="n">
        <f aca="false">G21665*(1-G21662)*(G21664-G21670+G21669-G21672)</f>
        <v>0</v>
      </c>
      <c r="H21674" s="16" t="n">
        <f aca="false">H21665*(1-H21662)*(H21664-H21670+H21669-H21672)</f>
        <v>0</v>
      </c>
      <c r="I21674" s="16" t="n">
        <f aca="false">I21665*(1-I21662)*(I21664-I21670+I21669-I21672)</f>
        <v>0</v>
      </c>
      <c r="J21674" s="16" t="n">
        <f aca="false">J21665*(1-J21662)*(J21664-J21670+J21669-J21672)</f>
        <v>0</v>
      </c>
      <c r="K21674" s="16" t="n">
        <f aca="false">K21665*(1-K21662)*(K21664-K21670+K21669-K21672)</f>
        <v>0</v>
      </c>
    </row>
    <row r="21675" customFormat="false" ht="15" hidden="false" customHeight="false" outlineLevel="0" collapsed="false">
      <c r="A21675" s="2" t="s">
        <v>339</v>
      </c>
      <c r="F21675" s="28" t="n">
        <f aca="false">Assumptions!$C$57</f>
        <v>400</v>
      </c>
      <c r="G21675" s="17" t="n">
        <f aca="false">G21664+G21671+G21669-G21670-G21672-G21673</f>
        <v>396</v>
      </c>
      <c r="H21675" s="17" t="n">
        <f aca="false">H21664+H21671+H21669-H21670-H21672-H21673</f>
        <v>392</v>
      </c>
      <c r="I21675" s="17" t="n">
        <f aca="false">I21664+I21671+I21669-I21670-I21672-I21673</f>
        <v>388</v>
      </c>
      <c r="J21675" s="17" t="n">
        <f aca="false">J21664+J21671+J21669-J21670-J21672-J21673</f>
        <v>384</v>
      </c>
      <c r="K21675" s="17" t="n">
        <f aca="false">K21664+K21671+K21669-K21670-K21672-K21673</f>
        <v>380</v>
      </c>
    </row>
    <row r="21676" customFormat="false" ht="15" hidden="false" customHeight="false" outlineLevel="0" collapsed="false">
      <c r="A21676" s="24" t="s">
        <v>340</v>
      </c>
      <c r="B21676" s="25"/>
      <c r="C21676" s="25"/>
      <c r="D21676" s="25"/>
      <c r="E21676" s="25"/>
      <c r="F21676" s="25"/>
      <c r="G21676" s="25"/>
      <c r="H21676" s="25"/>
      <c r="I21676" s="25"/>
      <c r="J21676" s="25"/>
      <c r="K21676" s="25"/>
    </row>
    <row r="21677" customFormat="false" ht="15" hidden="false" customHeight="false" outlineLevel="0" collapsed="false">
      <c r="A21677" s="3" t="s">
        <v>329</v>
      </c>
      <c r="G21677" s="16" t="n">
        <f aca="false">F21688</f>
        <v>90</v>
      </c>
      <c r="H21677" s="16" t="n">
        <f aca="false">G21688</f>
        <v>90</v>
      </c>
      <c r="I21677" s="16" t="n">
        <f aca="false">H21688</f>
        <v>90</v>
      </c>
      <c r="J21677" s="16" t="n">
        <f aca="false">I21688</f>
        <v>90</v>
      </c>
      <c r="K21677" s="16" t="n">
        <f aca="false">J21688</f>
        <v>90</v>
      </c>
    </row>
    <row r="21678" customFormat="false" ht="15" hidden="false" customHeight="false" outlineLevel="0" collapsed="false">
      <c r="A21678" s="3" t="s">
        <v>330</v>
      </c>
      <c r="G21678" s="21" t="n">
        <f aca="false">IF(G21628=Assumptions!$K$58,1,0)</f>
        <v>0</v>
      </c>
      <c r="H21678" s="21" t="n">
        <f aca="false">IF(H21628=Assumptions!$K$58,1,0)</f>
        <v>0</v>
      </c>
      <c r="I21678" s="21" t="n">
        <f aca="false">IF(I21628=Assumptions!$K$58,1,0)</f>
        <v>0</v>
      </c>
      <c r="J21678" s="21" t="n">
        <f aca="false">IF(J21628=Assumptions!$K$58,1,0)</f>
        <v>0</v>
      </c>
      <c r="K21678" s="21" t="n">
        <f aca="false">IF(K21628=Assumptions!$K$58,1,0)</f>
        <v>0</v>
      </c>
    </row>
    <row r="21680" customFormat="false" ht="15" hidden="false" customHeight="false" outlineLevel="0" collapsed="false">
      <c r="A21680" s="3" t="s">
        <v>331</v>
      </c>
      <c r="G21680" s="31" t="n">
        <f aca="false">IF(Assumptions!$I$58=1,MAX(G21654,Assumptions!$G$58)+Assumptions!$F$58+$C$21655,Assumptions!$E$58)</f>
        <v>0.0581</v>
      </c>
      <c r="H21680" s="31" t="n">
        <f aca="false">IF(G21975=1,$C$21656,IF(Assumptions!$I$58=1,MAX(H21654,Assumptions!$G$58)+Assumptions!$F$58+$C$21655,Assumptions!$E$58))</f>
        <v>0.0581</v>
      </c>
      <c r="I21680" s="31" t="n">
        <f aca="false">IF(H21975=1,$C$21656,IF(Assumptions!$I$58=1,MAX(I21654,Assumptions!$G$58)+Assumptions!$F$58+$C$21655,Assumptions!$E$58))</f>
        <v>0.0581</v>
      </c>
      <c r="J21680" s="31" t="n">
        <f aca="false">IF(I21975=1,$C$21656,IF(Assumptions!$I$58=1,MAX(J21654,Assumptions!$G$58)+Assumptions!$F$58+$C$21655,Assumptions!$E$58))</f>
        <v>0.0581</v>
      </c>
      <c r="K21680" s="31" t="n">
        <f aca="false">IF(J21975=1,$C$21656,IF(Assumptions!$I$58=1,MAX(K21654,Assumptions!$G$58)+Assumptions!$F$58+$C$21655,Assumptions!$E$58))</f>
        <v>0.0581</v>
      </c>
    </row>
    <row r="21681" customFormat="false" ht="15" hidden="false" customHeight="false" outlineLevel="0" collapsed="false">
      <c r="A21681" s="3" t="s">
        <v>332</v>
      </c>
      <c r="G21681" s="16" t="n">
        <f aca="false">G21677*G21680</f>
        <v>5.229</v>
      </c>
      <c r="H21681" s="16" t="n">
        <f aca="false">H21677*H21680</f>
        <v>5.229</v>
      </c>
      <c r="I21681" s="16" t="n">
        <f aca="false">I21677*I21680</f>
        <v>5.229</v>
      </c>
      <c r="J21681" s="16" t="n">
        <f aca="false">J21677*J21680</f>
        <v>5.229</v>
      </c>
      <c r="K21681" s="16" t="n">
        <f aca="false">K21677*K21680</f>
        <v>5.229</v>
      </c>
    </row>
    <row r="21682" customFormat="false" ht="15" hidden="false" customHeight="false" outlineLevel="0" collapsed="false">
      <c r="A21682" s="3" t="s">
        <v>333</v>
      </c>
      <c r="G21682" s="16" t="n">
        <f aca="false">G21677*Assumptions!$H$58</f>
        <v>0</v>
      </c>
      <c r="H21682" s="16" t="n">
        <f aca="false">H21677*Assumptions!$H$58</f>
        <v>0</v>
      </c>
      <c r="I21682" s="16" t="n">
        <f aca="false">I21677*Assumptions!$H$58</f>
        <v>0</v>
      </c>
      <c r="J21682" s="16" t="n">
        <f aca="false">J21677*Assumptions!$H$58</f>
        <v>0</v>
      </c>
      <c r="K21682" s="16" t="n">
        <f aca="false">K21677*Assumptions!$H$58</f>
        <v>0</v>
      </c>
    </row>
    <row r="21683" customFormat="false" ht="15" hidden="false" customHeight="false" outlineLevel="0" collapsed="false">
      <c r="A21683" s="3" t="s">
        <v>334</v>
      </c>
      <c r="G21683" s="16" t="n">
        <f aca="false">MIN(G21677,Assumptions!$L$58*Assumptions!$C$58)</f>
        <v>0</v>
      </c>
      <c r="H21683" s="16" t="n">
        <f aca="false">MIN(H21677,Assumptions!$L$58*Assumptions!$C$58)</f>
        <v>0</v>
      </c>
      <c r="I21683" s="16" t="n">
        <f aca="false">MIN(I21677,Assumptions!$L$58*Assumptions!$C$58)</f>
        <v>0</v>
      </c>
      <c r="J21683" s="16" t="n">
        <f aca="false">MIN(J21677,Assumptions!$L$58*Assumptions!$C$58)</f>
        <v>0</v>
      </c>
      <c r="K21683" s="16" t="n">
        <f aca="false">MIN(K21677,Assumptions!$L$58*Assumptions!$C$58)</f>
        <v>0</v>
      </c>
    </row>
    <row r="21684" customFormat="false" ht="15" hidden="false" customHeight="false" outlineLevel="0" collapsed="false">
      <c r="A21684" s="3" t="s">
        <v>335</v>
      </c>
      <c r="G21684" s="16" t="n">
        <f aca="false">IF(AND(Assumptions!$P$58=1,G21628&lt;Assumptions!$K$58),MIN(MAX(0,-G21844),MAX(0,Assumptions!$D$58-G21677)),0)</f>
        <v>0</v>
      </c>
      <c r="H21684" s="16" t="n">
        <f aca="false">IF(AND(Assumptions!$P$58=1,OR(H21628&lt;Assumptions!$K$58,G21975=1)),MIN(MAX(0,-H21844),MAX(0,Assumptions!$D$58-H21677)),0)</f>
        <v>0</v>
      </c>
      <c r="I21684" s="16" t="n">
        <f aca="false">IF(AND(Assumptions!$P$58=1,OR(I21628&lt;Assumptions!$K$58,H21975=1)),MIN(MAX(0,-I21844),MAX(0,Assumptions!$D$58-I21677)),0)</f>
        <v>0</v>
      </c>
      <c r="J21684" s="16" t="n">
        <f aca="false">IF(AND(Assumptions!$P$58=1,OR(J21628&lt;Assumptions!$K$58,I21975=1)),MIN(MAX(0,-J21844),MAX(0,Assumptions!$D$58-J21677)),0)</f>
        <v>0</v>
      </c>
      <c r="K21684" s="16" t="n">
        <f aca="false">IF(AND(Assumptions!$P$58=1,OR(K21628&lt;Assumptions!$K$58,J21975=1)),MIN(MAX(0,-K21844),MAX(0,Assumptions!$D$58-K21677)),0)</f>
        <v>0</v>
      </c>
    </row>
    <row r="21685" customFormat="false" ht="15" hidden="false" customHeight="false" outlineLevel="0" collapsed="false">
      <c r="A21685" s="3" t="s">
        <v>336</v>
      </c>
      <c r="G21685" s="16" t="n">
        <f aca="false">G21678*MIN(G21677-G21683+G21682,MAX(0,G21846-Assumptions!$C$12*G21662-G21672))</f>
        <v>0</v>
      </c>
      <c r="H21685" s="16" t="n">
        <f aca="false">H21678*MIN(H21677-H21683+H21682,MAX(0,H21846-Assumptions!$C$12*H21662-H21672))</f>
        <v>0</v>
      </c>
      <c r="I21685" s="16" t="n">
        <f aca="false">I21678*MIN(I21677-I21683+I21682,MAX(0,I21846-Assumptions!$C$12*I21662-I21672))</f>
        <v>0</v>
      </c>
      <c r="J21685" s="16" t="n">
        <f aca="false">J21678*MIN(J21677-J21683+J21682,MAX(0,J21846-Assumptions!$C$12*J21662-J21672))</f>
        <v>0</v>
      </c>
      <c r="K21685" s="16" t="n">
        <f aca="false">K21678*MIN(K21677-K21683+K21682,MAX(0,K21846-Assumptions!$C$12*K21662-K21672))</f>
        <v>0</v>
      </c>
    </row>
    <row r="21686" customFormat="false" ht="15" hidden="false" customHeight="false" outlineLevel="0" collapsed="false">
      <c r="A21686" s="3" t="s">
        <v>337</v>
      </c>
      <c r="G21686" s="16" t="n">
        <f aca="false">Assumptions!$N$58*MIN(G21677+G21684+G21682-G21683-G21685,MAX(0,G21850-G21673))</f>
        <v>0</v>
      </c>
      <c r="H21686" s="16" t="n">
        <f aca="false">Assumptions!$N$58*MIN(H21677+H21684+H21682-H21683-H21685,MAX(0,H21850-H21673))</f>
        <v>0</v>
      </c>
      <c r="I21686" s="16" t="n">
        <f aca="false">Assumptions!$N$58*MIN(I21677+I21684+I21682-I21683-I21685,MAX(0,I21850-I21673))</f>
        <v>0</v>
      </c>
      <c r="J21686" s="16" t="n">
        <f aca="false">Assumptions!$N$58*MIN(J21677+J21684+J21682-J21683-J21685,MAX(0,J21850-J21673))</f>
        <v>0</v>
      </c>
      <c r="K21686" s="16" t="n">
        <f aca="false">Assumptions!$N$58*MIN(K21677+K21684+K21682-K21683-K21685,MAX(0,K21850-K21673))</f>
        <v>0</v>
      </c>
    </row>
    <row r="21687" customFormat="false" ht="15" hidden="false" customHeight="false" outlineLevel="0" collapsed="false">
      <c r="A21687" s="3" t="s">
        <v>338</v>
      </c>
      <c r="G21687" s="16" t="n">
        <f aca="false">G21678*(1-G21662)*(G21677-G21683+G21682-G21685)</f>
        <v>0</v>
      </c>
      <c r="H21687" s="16" t="n">
        <f aca="false">H21678*(1-H21662)*(H21677-H21683+H21682-H21685)</f>
        <v>0</v>
      </c>
      <c r="I21687" s="16" t="n">
        <f aca="false">I21678*(1-I21662)*(I21677-I21683+I21682-I21685)</f>
        <v>0</v>
      </c>
      <c r="J21687" s="16" t="n">
        <f aca="false">J21678*(1-J21662)*(J21677-J21683+J21682-J21685)</f>
        <v>0</v>
      </c>
      <c r="K21687" s="16" t="n">
        <f aca="false">K21678*(1-K21662)*(K21677-K21683+K21682-K21685)</f>
        <v>0</v>
      </c>
    </row>
    <row r="21688" customFormat="false" ht="15" hidden="false" customHeight="false" outlineLevel="0" collapsed="false">
      <c r="A21688" s="2" t="s">
        <v>339</v>
      </c>
      <c r="F21688" s="28" t="n">
        <f aca="false">Assumptions!$C$58</f>
        <v>90</v>
      </c>
      <c r="G21688" s="17" t="n">
        <f aca="false">G21677+G21684+G21682-G21683-G21685-G21686</f>
        <v>90</v>
      </c>
      <c r="H21688" s="17" t="n">
        <f aca="false">H21677+H21684+H21682-H21683-H21685-H21686</f>
        <v>90</v>
      </c>
      <c r="I21688" s="17" t="n">
        <f aca="false">I21677+I21684+I21682-I21683-I21685-I21686</f>
        <v>90</v>
      </c>
      <c r="J21688" s="17" t="n">
        <f aca="false">J21677+J21684+J21682-J21683-J21685-J21686</f>
        <v>90</v>
      </c>
      <c r="K21688" s="17" t="n">
        <f aca="false">K21677+K21684+K21682-K21683-K21685-K21686</f>
        <v>90</v>
      </c>
    </row>
    <row r="21689" customFormat="false" ht="15" hidden="false" customHeight="false" outlineLevel="0" collapsed="false">
      <c r="A21689" s="24" t="s">
        <v>341</v>
      </c>
      <c r="B21689" s="25"/>
      <c r="C21689" s="25"/>
      <c r="D21689" s="25"/>
      <c r="E21689" s="25"/>
      <c r="F21689" s="25"/>
      <c r="G21689" s="25"/>
      <c r="H21689" s="25"/>
      <c r="I21689" s="25"/>
      <c r="J21689" s="25"/>
      <c r="K21689" s="25"/>
    </row>
    <row r="21690" customFormat="false" ht="15" hidden="false" customHeight="false" outlineLevel="0" collapsed="false">
      <c r="A21690" s="3" t="s">
        <v>329</v>
      </c>
      <c r="G21690" s="16" t="n">
        <f aca="false">F21701</f>
        <v>57.324</v>
      </c>
      <c r="H21690" s="16" t="n">
        <f aca="false">G21701</f>
        <v>57.324</v>
      </c>
      <c r="I21690" s="16" t="n">
        <f aca="false">H21701</f>
        <v>57.324</v>
      </c>
      <c r="J21690" s="16" t="n">
        <f aca="false">I21701</f>
        <v>57.324</v>
      </c>
      <c r="K21690" s="16" t="n">
        <f aca="false">J21701</f>
        <v>57.324</v>
      </c>
    </row>
    <row r="21691" customFormat="false" ht="15" hidden="false" customHeight="false" outlineLevel="0" collapsed="false">
      <c r="A21691" s="3" t="s">
        <v>330</v>
      </c>
      <c r="G21691" s="21" t="n">
        <f aca="false">IF(G21628=Assumptions!$K$59,1,0)</f>
        <v>0</v>
      </c>
      <c r="H21691" s="21" t="n">
        <f aca="false">IF(H21628=Assumptions!$K$59,1,0)</f>
        <v>0</v>
      </c>
      <c r="I21691" s="21" t="n">
        <f aca="false">IF(I21628=Assumptions!$K$59,1,0)</f>
        <v>0</v>
      </c>
      <c r="J21691" s="21" t="n">
        <f aca="false">IF(J21628=Assumptions!$K$59,1,0)</f>
        <v>0</v>
      </c>
      <c r="K21691" s="21" t="n">
        <f aca="false">IF(K21628=Assumptions!$K$59,1,0)</f>
        <v>0</v>
      </c>
    </row>
    <row r="21693" customFormat="false" ht="15" hidden="false" customHeight="false" outlineLevel="0" collapsed="false">
      <c r="A21693" s="3" t="s">
        <v>331</v>
      </c>
      <c r="G21693" s="31" t="n">
        <f aca="false">IF(Assumptions!$I$59=1,MAX(G21654,Assumptions!$G$59)+Assumptions!$F$59+$C$21655,Assumptions!$E$59)</f>
        <v>0.0731</v>
      </c>
      <c r="H21693" s="31" t="n">
        <f aca="false">IF(G21976=1,$C$21656,IF(Assumptions!$I$59=1,MAX(H21654,Assumptions!$G$59)+Assumptions!$F$59+$C$21655,Assumptions!$E$59))</f>
        <v>0.0731</v>
      </c>
      <c r="I21693" s="31" t="n">
        <f aca="false">IF(H21976=1,$C$21656,IF(Assumptions!$I$59=1,MAX(I21654,Assumptions!$G$59)+Assumptions!$F$59+$C$21655,Assumptions!$E$59))</f>
        <v>0.0731</v>
      </c>
      <c r="J21693" s="31" t="n">
        <f aca="false">IF(I21976=1,$C$21656,IF(Assumptions!$I$59=1,MAX(J21654,Assumptions!$G$59)+Assumptions!$F$59+$C$21655,Assumptions!$E$59))</f>
        <v>0.0731</v>
      </c>
      <c r="K21693" s="31" t="n">
        <f aca="false">IF(J21976=1,$C$21656,IF(Assumptions!$I$59=1,MAX(K21654,Assumptions!$G$59)+Assumptions!$F$59+$C$21655,Assumptions!$E$59))</f>
        <v>0.0731</v>
      </c>
    </row>
    <row r="21694" customFormat="false" ht="15" hidden="false" customHeight="false" outlineLevel="0" collapsed="false">
      <c r="A21694" s="3" t="s">
        <v>332</v>
      </c>
      <c r="G21694" s="16" t="n">
        <f aca="false">G21690*G21693</f>
        <v>4.1903844</v>
      </c>
      <c r="H21694" s="16" t="n">
        <f aca="false">H21690*H21693</f>
        <v>4.1903844</v>
      </c>
      <c r="I21694" s="16" t="n">
        <f aca="false">I21690*I21693</f>
        <v>4.1903844</v>
      </c>
      <c r="J21694" s="16" t="n">
        <f aca="false">J21690*J21693</f>
        <v>4.1903844</v>
      </c>
      <c r="K21694" s="16" t="n">
        <f aca="false">K21690*K21693</f>
        <v>4.1903844</v>
      </c>
    </row>
    <row r="21695" customFormat="false" ht="15" hidden="false" customHeight="false" outlineLevel="0" collapsed="false">
      <c r="A21695" s="3" t="s">
        <v>333</v>
      </c>
      <c r="G21695" s="16" t="n">
        <f aca="false">G21690*Assumptions!$H$59</f>
        <v>0</v>
      </c>
      <c r="H21695" s="16" t="n">
        <f aca="false">H21690*Assumptions!$H$59</f>
        <v>0</v>
      </c>
      <c r="I21695" s="16" t="n">
        <f aca="false">I21690*Assumptions!$H$59</f>
        <v>0</v>
      </c>
      <c r="J21695" s="16" t="n">
        <f aca="false">J21690*Assumptions!$H$59</f>
        <v>0</v>
      </c>
      <c r="K21695" s="16" t="n">
        <f aca="false">K21690*Assumptions!$H$59</f>
        <v>0</v>
      </c>
    </row>
    <row r="21696" customFormat="false" ht="15" hidden="false" customHeight="false" outlineLevel="0" collapsed="false">
      <c r="A21696" s="3" t="s">
        <v>334</v>
      </c>
      <c r="G21696" s="16" t="n">
        <f aca="false">MIN(G21690,Assumptions!$L$59*Assumptions!$C$59)</f>
        <v>0</v>
      </c>
      <c r="H21696" s="16" t="n">
        <f aca="false">MIN(H21690,Assumptions!$L$59*Assumptions!$C$59)</f>
        <v>0</v>
      </c>
      <c r="I21696" s="16" t="n">
        <f aca="false">MIN(I21690,Assumptions!$L$59*Assumptions!$C$59)</f>
        <v>0</v>
      </c>
      <c r="J21696" s="16" t="n">
        <f aca="false">MIN(J21690,Assumptions!$L$59*Assumptions!$C$59)</f>
        <v>0</v>
      </c>
      <c r="K21696" s="16" t="n">
        <f aca="false">MIN(K21690,Assumptions!$L$59*Assumptions!$C$59)</f>
        <v>0</v>
      </c>
    </row>
    <row r="21697" customFormat="false" ht="15" hidden="false" customHeight="false" outlineLevel="0" collapsed="false">
      <c r="A21697" s="3" t="s">
        <v>335</v>
      </c>
      <c r="G21697" s="16" t="n">
        <f aca="false">IF(AND(Assumptions!$P$59=1,G21628&lt;Assumptions!$K$59),MIN(MAX(0,-G21844),MAX(0,Assumptions!$D$59-G21690)),0)</f>
        <v>0</v>
      </c>
      <c r="H21697" s="16" t="n">
        <f aca="false">IF(AND(Assumptions!$P$59=1,OR(H21628&lt;Assumptions!$K$59,G21976=1)),MIN(MAX(0,-H21844),MAX(0,Assumptions!$D$59-H21690)),0)</f>
        <v>0</v>
      </c>
      <c r="I21697" s="16" t="n">
        <f aca="false">IF(AND(Assumptions!$P$59=1,OR(I21628&lt;Assumptions!$K$59,H21976=1)),MIN(MAX(0,-I21844),MAX(0,Assumptions!$D$59-I21690)),0)</f>
        <v>0</v>
      </c>
      <c r="J21697" s="16" t="n">
        <f aca="false">IF(AND(Assumptions!$P$59=1,OR(J21628&lt;Assumptions!$K$59,I21976=1)),MIN(MAX(0,-J21844),MAX(0,Assumptions!$D$59-J21690)),0)</f>
        <v>0</v>
      </c>
      <c r="K21697" s="16" t="n">
        <f aca="false">IF(AND(Assumptions!$P$59=1,OR(K21628&lt;Assumptions!$K$59,J21976=1)),MIN(MAX(0,-K21844),MAX(0,Assumptions!$D$59-K21690)),0)</f>
        <v>0</v>
      </c>
    </row>
    <row r="21698" customFormat="false" ht="15" hidden="false" customHeight="false" outlineLevel="0" collapsed="false">
      <c r="A21698" s="3" t="s">
        <v>336</v>
      </c>
      <c r="G21698" s="16" t="n">
        <f aca="false">G21691*MIN(G21690-G21696+G21695,MAX(0,G21846-Assumptions!$C$12*G21662-G21672-G21685))</f>
        <v>0</v>
      </c>
      <c r="H21698" s="16" t="n">
        <f aca="false">H21691*MIN(H21690-H21696+H21695,MAX(0,H21846-Assumptions!$C$12*H21662-H21672-H21685))</f>
        <v>0</v>
      </c>
      <c r="I21698" s="16" t="n">
        <f aca="false">I21691*MIN(I21690-I21696+I21695,MAX(0,I21846-Assumptions!$C$12*I21662-I21672-I21685))</f>
        <v>0</v>
      </c>
      <c r="J21698" s="16" t="n">
        <f aca="false">J21691*MIN(J21690-J21696+J21695,MAX(0,J21846-Assumptions!$C$12*J21662-J21672-J21685))</f>
        <v>0</v>
      </c>
      <c r="K21698" s="16" t="n">
        <f aca="false">K21691*MIN(K21690-K21696+K21695,MAX(0,K21846-Assumptions!$C$12*K21662-K21672-K21685))</f>
        <v>0</v>
      </c>
    </row>
    <row r="21699" customFormat="false" ht="15" hidden="false" customHeight="false" outlineLevel="0" collapsed="false">
      <c r="A21699" s="3" t="s">
        <v>337</v>
      </c>
      <c r="G21699" s="16" t="n">
        <f aca="false">Assumptions!$N$59*MIN(G21690+G21697+G21695-G21696-G21698,MAX(0,G21850-G21673-G21686))</f>
        <v>0</v>
      </c>
      <c r="H21699" s="16" t="n">
        <f aca="false">Assumptions!$N$59*MIN(H21690+H21697+H21695-H21696-H21698,MAX(0,H21850-H21673-H21686))</f>
        <v>0</v>
      </c>
      <c r="I21699" s="16" t="n">
        <f aca="false">Assumptions!$N$59*MIN(I21690+I21697+I21695-I21696-I21698,MAX(0,I21850-I21673-I21686))</f>
        <v>0</v>
      </c>
      <c r="J21699" s="16" t="n">
        <f aca="false">Assumptions!$N$59*MIN(J21690+J21697+J21695-J21696-J21698,MAX(0,J21850-J21673-J21686))</f>
        <v>0</v>
      </c>
      <c r="K21699" s="16" t="n">
        <f aca="false">Assumptions!$N$59*MIN(K21690+K21697+K21695-K21696-K21698,MAX(0,K21850-K21673-K21686))</f>
        <v>0</v>
      </c>
    </row>
    <row r="21700" customFormat="false" ht="15" hidden="false" customHeight="false" outlineLevel="0" collapsed="false">
      <c r="A21700" s="3" t="s">
        <v>338</v>
      </c>
      <c r="G21700" s="16" t="n">
        <f aca="false">G21691*(1-G21662)*(G21690-G21696+G21695-G21698)</f>
        <v>0</v>
      </c>
      <c r="H21700" s="16" t="n">
        <f aca="false">H21691*(1-H21662)*(H21690-H21696+H21695-H21698)</f>
        <v>0</v>
      </c>
      <c r="I21700" s="16" t="n">
        <f aca="false">I21691*(1-I21662)*(I21690-I21696+I21695-I21698)</f>
        <v>0</v>
      </c>
      <c r="J21700" s="16" t="n">
        <f aca="false">J21691*(1-J21662)*(J21690-J21696+J21695-J21698)</f>
        <v>0</v>
      </c>
      <c r="K21700" s="16" t="n">
        <f aca="false">K21691*(1-K21662)*(K21690-K21696+K21695-K21698)</f>
        <v>0</v>
      </c>
    </row>
    <row r="21701" customFormat="false" ht="15" hidden="false" customHeight="false" outlineLevel="0" collapsed="false">
      <c r="A21701" s="2" t="s">
        <v>339</v>
      </c>
      <c r="F21701" s="28" t="n">
        <f aca="false">Assumptions!$C$59</f>
        <v>57.324</v>
      </c>
      <c r="G21701" s="17" t="n">
        <f aca="false">G21690+G21697+G21695-G21696-G21698-G21699</f>
        <v>57.324</v>
      </c>
      <c r="H21701" s="17" t="n">
        <f aca="false">H21690+H21697+H21695-H21696-H21698-H21699</f>
        <v>57.324</v>
      </c>
      <c r="I21701" s="17" t="n">
        <f aca="false">I21690+I21697+I21695-I21696-I21698-I21699</f>
        <v>57.324</v>
      </c>
      <c r="J21701" s="17" t="n">
        <f aca="false">J21690+J21697+J21695-J21696-J21698-J21699</f>
        <v>57.324</v>
      </c>
      <c r="K21701" s="17" t="n">
        <f aca="false">K21690+K21697+K21695-K21696-K21698-K21699</f>
        <v>57.324</v>
      </c>
    </row>
    <row r="21702" customFormat="false" ht="15" hidden="false" customHeight="false" outlineLevel="0" collapsed="false">
      <c r="A21702" s="24" t="s">
        <v>342</v>
      </c>
      <c r="B21702" s="25"/>
      <c r="C21702" s="25"/>
      <c r="D21702" s="25"/>
      <c r="E21702" s="25"/>
      <c r="F21702" s="25"/>
      <c r="G21702" s="25"/>
      <c r="H21702" s="25"/>
      <c r="I21702" s="25"/>
      <c r="J21702" s="25"/>
      <c r="K21702" s="25"/>
    </row>
    <row r="21703" customFormat="false" ht="15" hidden="false" customHeight="false" outlineLevel="0" collapsed="false">
      <c r="A21703" s="3" t="s">
        <v>329</v>
      </c>
      <c r="G21703" s="16" t="n">
        <f aca="false">F21714</f>
        <v>0</v>
      </c>
      <c r="H21703" s="16" t="n">
        <f aca="false">G21714</f>
        <v>0</v>
      </c>
      <c r="I21703" s="16" t="n">
        <f aca="false">H21714</f>
        <v>0</v>
      </c>
      <c r="J21703" s="16" t="n">
        <f aca="false">I21714</f>
        <v>61.328266182056</v>
      </c>
      <c r="K21703" s="16" t="n">
        <f aca="false">J21714</f>
        <v>144.342618784795</v>
      </c>
    </row>
    <row r="21704" customFormat="false" ht="15" hidden="false" customHeight="false" outlineLevel="0" collapsed="false">
      <c r="A21704" s="3" t="s">
        <v>330</v>
      </c>
      <c r="G21704" s="21" t="n">
        <f aca="false">IF(G21628=Assumptions!$K$60,1,0)</f>
        <v>1</v>
      </c>
      <c r="H21704" s="21" t="n">
        <f aca="false">IF(H21628=Assumptions!$K$60,1,0)</f>
        <v>0</v>
      </c>
      <c r="I21704" s="21" t="n">
        <f aca="false">IF(I21628=Assumptions!$K$60,1,0)</f>
        <v>0</v>
      </c>
      <c r="J21704" s="21" t="n">
        <f aca="false">IF(J21628=Assumptions!$K$60,1,0)</f>
        <v>0</v>
      </c>
      <c r="K21704" s="21" t="n">
        <f aca="false">IF(K21628=Assumptions!$K$60,1,0)</f>
        <v>0</v>
      </c>
    </row>
    <row r="21706" customFormat="false" ht="15" hidden="false" customHeight="false" outlineLevel="0" collapsed="false">
      <c r="A21706" s="3" t="s">
        <v>331</v>
      </c>
      <c r="G21706" s="31" t="n">
        <f aca="false">IF(Assumptions!$I$60=1,MAX(G21654,Assumptions!$G$60)+Assumptions!$F$60+$C$21655,Assumptions!$E$60)</f>
        <v>0.044</v>
      </c>
      <c r="H21706" s="31" t="n">
        <f aca="false">IF(G21977=1,$C$21656,IF(Assumptions!$I$60=1,MAX(H21654,Assumptions!$G$60)+Assumptions!$F$60+$C$21655,Assumptions!$E$60))</f>
        <v>0.08</v>
      </c>
      <c r="I21706" s="31" t="n">
        <f aca="false">IF(H21977=1,$C$21656,IF(Assumptions!$I$60=1,MAX(I21654,Assumptions!$G$60)+Assumptions!$F$60+$C$21655,Assumptions!$E$60))</f>
        <v>0.08</v>
      </c>
      <c r="J21706" s="31" t="n">
        <f aca="false">IF(I21977=1,$C$21656,IF(Assumptions!$I$60=1,MAX(J21654,Assumptions!$G$60)+Assumptions!$F$60+$C$21655,Assumptions!$E$60))</f>
        <v>0.08</v>
      </c>
      <c r="K21706" s="31" t="n">
        <f aca="false">IF(J21977=1,$C$21656,IF(Assumptions!$I$60=1,MAX(K21654,Assumptions!$G$60)+Assumptions!$F$60+$C$21655,Assumptions!$E$60))</f>
        <v>0.08</v>
      </c>
    </row>
    <row r="21707" customFormat="false" ht="15" hidden="false" customHeight="false" outlineLevel="0" collapsed="false">
      <c r="A21707" s="3" t="s">
        <v>332</v>
      </c>
      <c r="G21707" s="16" t="n">
        <f aca="false">G21703*G21706</f>
        <v>0</v>
      </c>
      <c r="H21707" s="16" t="n">
        <f aca="false">H21703*H21706</f>
        <v>0</v>
      </c>
      <c r="I21707" s="16" t="n">
        <f aca="false">I21703*I21706</f>
        <v>0</v>
      </c>
      <c r="J21707" s="16" t="n">
        <f aca="false">J21703*J21706</f>
        <v>4.90626129456448</v>
      </c>
      <c r="K21707" s="16" t="n">
        <f aca="false">K21703*K21706</f>
        <v>11.5474095027836</v>
      </c>
    </row>
    <row r="21708" customFormat="false" ht="15" hidden="false" customHeight="false" outlineLevel="0" collapsed="false">
      <c r="A21708" s="3" t="s">
        <v>333</v>
      </c>
      <c r="G21708" s="16" t="n">
        <f aca="false">G21703*Assumptions!$H$60</f>
        <v>0</v>
      </c>
      <c r="H21708" s="16" t="n">
        <f aca="false">H21703*Assumptions!$H$60</f>
        <v>0</v>
      </c>
      <c r="I21708" s="16" t="n">
        <f aca="false">I21703*Assumptions!$H$60</f>
        <v>0</v>
      </c>
      <c r="J21708" s="16" t="n">
        <f aca="false">J21703*Assumptions!$H$60</f>
        <v>0</v>
      </c>
      <c r="K21708" s="16" t="n">
        <f aca="false">K21703*Assumptions!$H$60</f>
        <v>0</v>
      </c>
    </row>
    <row r="21709" customFormat="false" ht="15" hidden="false" customHeight="false" outlineLevel="0" collapsed="false">
      <c r="A21709" s="3" t="s">
        <v>334</v>
      </c>
      <c r="G21709" s="16" t="n">
        <f aca="false">MIN(G21703,Assumptions!$L$60*Assumptions!$C$60)</f>
        <v>0</v>
      </c>
      <c r="H21709" s="16" t="n">
        <f aca="false">MIN(H21703,Assumptions!$L$60*Assumptions!$C$60)</f>
        <v>0</v>
      </c>
      <c r="I21709" s="16" t="n">
        <f aca="false">MIN(I21703,Assumptions!$L$60*Assumptions!$C$60)</f>
        <v>0</v>
      </c>
      <c r="J21709" s="16" t="n">
        <f aca="false">MIN(J21703,Assumptions!$L$60*Assumptions!$C$60)</f>
        <v>0</v>
      </c>
      <c r="K21709" s="16" t="n">
        <f aca="false">MIN(K21703,Assumptions!$L$60*Assumptions!$C$60)</f>
        <v>0</v>
      </c>
    </row>
    <row r="21710" customFormat="false" ht="15" hidden="false" customHeight="false" outlineLevel="0" collapsed="false">
      <c r="A21710" s="3" t="s">
        <v>335</v>
      </c>
      <c r="G21710" s="16" t="n">
        <f aca="false">IF(AND(Assumptions!$P$60=1,G21628&lt;Assumptions!$K$60),MIN(MAX(0,-G21844),MAX(0,Assumptions!$D$60-G21703)),0)</f>
        <v>0</v>
      </c>
      <c r="H21710" s="16" t="n">
        <f aca="false">IF(AND(Assumptions!$P$60=1,OR(H21628&lt;Assumptions!$K$60,G21977=1)),MIN(MAX(0,-H21844),MAX(0,Assumptions!$D$60-H21703)),0)</f>
        <v>0</v>
      </c>
      <c r="I21710" s="16" t="n">
        <f aca="false">IF(AND(Assumptions!$P$60=1,OR(I21628&lt;Assumptions!$K$60,H21977=1)),MIN(MAX(0,-I21844),MAX(0,Assumptions!$D$60-I21703)),0)</f>
        <v>61.328266182056</v>
      </c>
      <c r="J21710" s="16" t="n">
        <f aca="false">IF(AND(Assumptions!$P$60=1,OR(J21628&lt;Assumptions!$K$60,I21977=1)),MIN(MAX(0,-J21844),MAX(0,Assumptions!$D$60-J21703)),0)</f>
        <v>83.0143526027392</v>
      </c>
      <c r="K21710" s="16" t="n">
        <f aca="false">IF(AND(Assumptions!$P$60=1,OR(K21628&lt;Assumptions!$K$60,J21977=1)),MIN(MAX(0,-K21844),MAX(0,Assumptions!$D$60-K21703)),0)</f>
        <v>98.2403553722529</v>
      </c>
    </row>
    <row r="21711" customFormat="false" ht="15" hidden="false" customHeight="false" outlineLevel="0" collapsed="false">
      <c r="A21711" s="3" t="s">
        <v>336</v>
      </c>
      <c r="G21711" s="16" t="n">
        <f aca="false">G21704*MIN(G21703-G21709+G21708,MAX(0,G21846-Assumptions!$C$12*G21662-G21672-G21685-G21698))</f>
        <v>0</v>
      </c>
      <c r="H21711" s="16" t="n">
        <f aca="false">H21704*MIN(H21703-H21709+H21708,MAX(0,H21846-Assumptions!$C$12*H21662-H21672-H21685-H21698))</f>
        <v>0</v>
      </c>
      <c r="I21711" s="16" t="n">
        <f aca="false">I21704*MIN(I21703-I21709+I21708,MAX(0,I21846-Assumptions!$C$12*I21662-I21672-I21685-I21698))</f>
        <v>0</v>
      </c>
      <c r="J21711" s="16" t="n">
        <f aca="false">J21704*MIN(J21703-J21709+J21708,MAX(0,J21846-Assumptions!$C$12*J21662-J21672-J21685-J21698))</f>
        <v>0</v>
      </c>
      <c r="K21711" s="16" t="n">
        <f aca="false">K21704*MIN(K21703-K21709+K21708,MAX(0,K21846-Assumptions!$C$12*K21662-K21672-K21685-K21698))</f>
        <v>0</v>
      </c>
    </row>
    <row r="21712" customFormat="false" ht="15" hidden="false" customHeight="false" outlineLevel="0" collapsed="false">
      <c r="A21712" s="3" t="s">
        <v>337</v>
      </c>
      <c r="G21712" s="16" t="n">
        <f aca="false">Assumptions!$N$60*MIN(G21703+G21710+G21708-G21709-G21711,MAX(0,G21850-G21673-G21686-G21699))</f>
        <v>0</v>
      </c>
      <c r="H21712" s="16" t="n">
        <f aca="false">Assumptions!$N$60*MIN(H21703+H21710+H21708-H21709-H21711,MAX(0,H21850-H21673-H21686-H21699))</f>
        <v>0</v>
      </c>
      <c r="I21712" s="16" t="n">
        <f aca="false">Assumptions!$N$60*MIN(I21703+I21710+I21708-I21709-I21711,MAX(0,I21850-I21673-I21686-I21699))</f>
        <v>0</v>
      </c>
      <c r="J21712" s="16" t="n">
        <f aca="false">Assumptions!$N$60*MIN(J21703+J21710+J21708-J21709-J21711,MAX(0,J21850-J21673-J21686-J21699))</f>
        <v>0</v>
      </c>
      <c r="K21712" s="16" t="n">
        <f aca="false">Assumptions!$N$60*MIN(K21703+K21710+K21708-K21709-K21711,MAX(0,K21850-K21673-K21686-K21699))</f>
        <v>0</v>
      </c>
    </row>
    <row r="21713" customFormat="false" ht="15" hidden="false" customHeight="false" outlineLevel="0" collapsed="false">
      <c r="A21713" s="3" t="s">
        <v>338</v>
      </c>
      <c r="G21713" s="16" t="n">
        <f aca="false">G21704*(1-G21662)*(G21703-G21709+G21708-G21711)</f>
        <v>0</v>
      </c>
      <c r="H21713" s="16" t="n">
        <f aca="false">H21704*(1-H21662)*(H21703-H21709+H21708-H21711)</f>
        <v>0</v>
      </c>
      <c r="I21713" s="16" t="n">
        <f aca="false">I21704*(1-I21662)*(I21703-I21709+I21708-I21711)</f>
        <v>0</v>
      </c>
      <c r="J21713" s="16" t="n">
        <f aca="false">J21704*(1-J21662)*(J21703-J21709+J21708-J21711)</f>
        <v>0</v>
      </c>
      <c r="K21713" s="16" t="n">
        <f aca="false">K21704*(1-K21662)*(K21703-K21709+K21708-K21711)</f>
        <v>0</v>
      </c>
    </row>
    <row r="21714" customFormat="false" ht="15" hidden="false" customHeight="false" outlineLevel="0" collapsed="false">
      <c r="A21714" s="2" t="s">
        <v>339</v>
      </c>
      <c r="F21714" s="28" t="n">
        <f aca="false">Assumptions!$C$60</f>
        <v>0</v>
      </c>
      <c r="G21714" s="17" t="n">
        <f aca="false">G21703+G21710+G21708-G21709-G21711-G21712</f>
        <v>0</v>
      </c>
      <c r="H21714" s="17" t="n">
        <f aca="false">H21703+H21710+H21708-H21709-H21711-H21712</f>
        <v>0</v>
      </c>
      <c r="I21714" s="17" t="n">
        <f aca="false">I21703+I21710+I21708-I21709-I21711-I21712</f>
        <v>61.328266182056</v>
      </c>
      <c r="J21714" s="17" t="n">
        <f aca="false">J21703+J21710+J21708-J21709-J21711-J21712</f>
        <v>144.342618784795</v>
      </c>
      <c r="K21714" s="17" t="n">
        <f aca="false">K21703+K21710+K21708-K21709-K21711-K21712</f>
        <v>242.582974157048</v>
      </c>
    </row>
    <row r="21715" customFormat="false" ht="15" hidden="false" customHeight="false" outlineLevel="0" collapsed="false">
      <c r="A21715" s="24" t="s">
        <v>343</v>
      </c>
      <c r="B21715" s="25"/>
      <c r="C21715" s="25"/>
      <c r="D21715" s="25"/>
      <c r="E21715" s="25"/>
      <c r="F21715" s="25"/>
      <c r="G21715" s="25"/>
      <c r="H21715" s="25"/>
      <c r="I21715" s="25"/>
      <c r="J21715" s="25"/>
      <c r="K21715" s="25"/>
    </row>
    <row r="21716" customFormat="false" ht="15" hidden="false" customHeight="false" outlineLevel="0" collapsed="false">
      <c r="A21716" s="3" t="s">
        <v>329</v>
      </c>
      <c r="G21716" s="16" t="n">
        <f aca="false">F21727</f>
        <v>450</v>
      </c>
      <c r="H21716" s="16" t="n">
        <f aca="false">G21727</f>
        <v>450</v>
      </c>
      <c r="I21716" s="16" t="n">
        <f aca="false">H21727</f>
        <v>398.1899513738</v>
      </c>
      <c r="J21716" s="16" t="n">
        <f aca="false">I21727</f>
        <v>398.1899513738</v>
      </c>
      <c r="K21716" s="16" t="n">
        <f aca="false">J21727</f>
        <v>398.1899513738</v>
      </c>
    </row>
    <row r="21717" customFormat="false" ht="15" hidden="false" customHeight="false" outlineLevel="0" collapsed="false">
      <c r="A21717" s="3" t="s">
        <v>330</v>
      </c>
      <c r="G21717" s="21" t="n">
        <f aca="false">IF(G21628=Assumptions!$K$61,1,0)</f>
        <v>0</v>
      </c>
      <c r="H21717" s="21" t="n">
        <f aca="false">IF(H21628=Assumptions!$K$61,1,0)</f>
        <v>1</v>
      </c>
      <c r="I21717" s="21" t="n">
        <f aca="false">IF(I21628=Assumptions!$K$61,1,0)</f>
        <v>0</v>
      </c>
      <c r="J21717" s="21" t="n">
        <f aca="false">IF(J21628=Assumptions!$K$61,1,0)</f>
        <v>0</v>
      </c>
      <c r="K21717" s="21" t="n">
        <f aca="false">IF(K21628=Assumptions!$K$61,1,0)</f>
        <v>0</v>
      </c>
    </row>
    <row r="21719" customFormat="false" ht="15" hidden="false" customHeight="false" outlineLevel="0" collapsed="false">
      <c r="A21719" s="3" t="s">
        <v>331</v>
      </c>
      <c r="G21719" s="31" t="n">
        <f aca="false">IF(Assumptions!$I$61=1,MAX(G21654,Assumptions!$G$61)+Assumptions!$F$61+$C$21655,Assumptions!$E$61)</f>
        <v>0.0395</v>
      </c>
      <c r="H21719" s="31" t="n">
        <f aca="false">IF(G21978=1,$C$21656,IF(Assumptions!$I$61=1,MAX(H21654,Assumptions!$G$61)+Assumptions!$F$61+$C$21655,Assumptions!$E$61))</f>
        <v>0.0395</v>
      </c>
      <c r="I21719" s="31" t="n">
        <f aca="false">IF(H21978=1,$C$21656,IF(Assumptions!$I$61=1,MAX(I21654,Assumptions!$G$61)+Assumptions!$F$61+$C$21655,Assumptions!$E$61))</f>
        <v>0.08</v>
      </c>
      <c r="J21719" s="31" t="n">
        <f aca="false">IF(I21978=1,$C$21656,IF(Assumptions!$I$61=1,MAX(J21654,Assumptions!$G$61)+Assumptions!$F$61+$C$21655,Assumptions!$E$61))</f>
        <v>0.08</v>
      </c>
      <c r="K21719" s="31" t="n">
        <f aca="false">IF(J21978=1,$C$21656,IF(Assumptions!$I$61=1,MAX(K21654,Assumptions!$G$61)+Assumptions!$F$61+$C$21655,Assumptions!$E$61))</f>
        <v>0.08</v>
      </c>
    </row>
    <row r="21720" customFormat="false" ht="15" hidden="false" customHeight="false" outlineLevel="0" collapsed="false">
      <c r="A21720" s="3" t="s">
        <v>332</v>
      </c>
      <c r="G21720" s="16" t="n">
        <f aca="false">G21716*G21719</f>
        <v>17.775</v>
      </c>
      <c r="H21720" s="16" t="n">
        <f aca="false">H21716*H21719</f>
        <v>17.775</v>
      </c>
      <c r="I21720" s="16" t="n">
        <f aca="false">I21716*I21719</f>
        <v>31.855196109904</v>
      </c>
      <c r="J21720" s="16" t="n">
        <f aca="false">J21716*J21719</f>
        <v>31.855196109904</v>
      </c>
      <c r="K21720" s="16" t="n">
        <f aca="false">K21716*K21719</f>
        <v>31.855196109904</v>
      </c>
    </row>
    <row r="21721" customFormat="false" ht="15" hidden="false" customHeight="false" outlineLevel="0" collapsed="false">
      <c r="A21721" s="3" t="s">
        <v>333</v>
      </c>
      <c r="G21721" s="16" t="n">
        <f aca="false">G21716*Assumptions!$H$61</f>
        <v>0</v>
      </c>
      <c r="H21721" s="16" t="n">
        <f aca="false">H21716*Assumptions!$H$61</f>
        <v>0</v>
      </c>
      <c r="I21721" s="16" t="n">
        <f aca="false">I21716*Assumptions!$H$61</f>
        <v>0</v>
      </c>
      <c r="J21721" s="16" t="n">
        <f aca="false">J21716*Assumptions!$H$61</f>
        <v>0</v>
      </c>
      <c r="K21721" s="16" t="n">
        <f aca="false">K21716*Assumptions!$H$61</f>
        <v>0</v>
      </c>
    </row>
    <row r="21722" customFormat="false" ht="15" hidden="false" customHeight="false" outlineLevel="0" collapsed="false">
      <c r="A21722" s="3" t="s">
        <v>334</v>
      </c>
      <c r="G21722" s="16" t="n">
        <f aca="false">MIN(G21716,Assumptions!$L$61*Assumptions!$C$61)</f>
        <v>0</v>
      </c>
      <c r="H21722" s="16" t="n">
        <f aca="false">MIN(H21716,Assumptions!$L$61*Assumptions!$C$61)</f>
        <v>0</v>
      </c>
      <c r="I21722" s="16" t="n">
        <f aca="false">MIN(I21716,Assumptions!$L$61*Assumptions!$C$61)</f>
        <v>0</v>
      </c>
      <c r="J21722" s="16" t="n">
        <f aca="false">MIN(J21716,Assumptions!$L$61*Assumptions!$C$61)</f>
        <v>0</v>
      </c>
      <c r="K21722" s="16" t="n">
        <f aca="false">MIN(K21716,Assumptions!$L$61*Assumptions!$C$61)</f>
        <v>0</v>
      </c>
    </row>
    <row r="21723" customFormat="false" ht="15" hidden="false" customHeight="false" outlineLevel="0" collapsed="false">
      <c r="A21723" s="3" t="s">
        <v>335</v>
      </c>
      <c r="G21723" s="16" t="n">
        <f aca="false">IF(AND(Assumptions!$P$61=1,G21628&lt;Assumptions!$K$61),MIN(MAX(0,-G21844),MAX(0,Assumptions!$D$61-G21716)),0)</f>
        <v>0</v>
      </c>
      <c r="H21723" s="16" t="n">
        <f aca="false">IF(AND(Assumptions!$P$61=1,OR(H21628&lt;Assumptions!$K$61,G21978=1)),MIN(MAX(0,-H21844),MAX(0,Assumptions!$D$61-H21716)),0)</f>
        <v>0</v>
      </c>
      <c r="I21723" s="16" t="n">
        <f aca="false">IF(AND(Assumptions!$P$61=1,OR(I21628&lt;Assumptions!$K$61,H21978=1)),MIN(MAX(0,-I21844),MAX(0,Assumptions!$D$61-I21716)),0)</f>
        <v>0</v>
      </c>
      <c r="J21723" s="16" t="n">
        <f aca="false">IF(AND(Assumptions!$P$61=1,OR(J21628&lt;Assumptions!$K$61,I21978=1)),MIN(MAX(0,-J21844),MAX(0,Assumptions!$D$61-J21716)),0)</f>
        <v>0</v>
      </c>
      <c r="K21723" s="16" t="n">
        <f aca="false">IF(AND(Assumptions!$P$61=1,OR(K21628&lt;Assumptions!$K$61,J21978=1)),MIN(MAX(0,-K21844),MAX(0,Assumptions!$D$61-K21716)),0)</f>
        <v>0</v>
      </c>
    </row>
    <row r="21724" customFormat="false" ht="15" hidden="false" customHeight="false" outlineLevel="0" collapsed="false">
      <c r="A21724" s="3" t="s">
        <v>336</v>
      </c>
      <c r="G21724" s="16" t="n">
        <f aca="false">G21717*MIN(G21716-G21722+G21721,MAX(0,G21846-Assumptions!$C$12*G21662-G21672-G21685-G21698-G21711))</f>
        <v>0</v>
      </c>
      <c r="H21724" s="16" t="n">
        <f aca="false">H21717*MIN(H21716-H21722+H21721,MAX(0,H21846-Assumptions!$C$12*H21662-H21672-H21685-H21698-H21711))</f>
        <v>51.8100486262</v>
      </c>
      <c r="I21724" s="16" t="n">
        <f aca="false">I21717*MIN(I21716-I21722+I21721,MAX(0,I21846-Assumptions!$C$12*I21662-I21672-I21685-I21698-I21711))</f>
        <v>0</v>
      </c>
      <c r="J21724" s="16" t="n">
        <f aca="false">J21717*MIN(J21716-J21722+J21721,MAX(0,J21846-Assumptions!$C$12*J21662-J21672-J21685-J21698-J21711))</f>
        <v>0</v>
      </c>
      <c r="K21724" s="16" t="n">
        <f aca="false">K21717*MIN(K21716-K21722+K21721,MAX(0,K21846-Assumptions!$C$12*K21662-K21672-K21685-K21698-K21711))</f>
        <v>0</v>
      </c>
    </row>
    <row r="21725" customFormat="false" ht="15" hidden="false" customHeight="false" outlineLevel="0" collapsed="false">
      <c r="A21725" s="3" t="s">
        <v>337</v>
      </c>
      <c r="G21725" s="16" t="n">
        <f aca="false">Assumptions!$N$61*MIN(G21716+G21723+G21721-G21722-G21724,MAX(0,G21850-G21673-G21686-G21699-G21712))</f>
        <v>0</v>
      </c>
      <c r="H21725" s="16" t="n">
        <f aca="false">Assumptions!$N$61*MIN(H21716+H21723+H21721-H21722-H21724,MAX(0,H21850-H21673-H21686-H21699-H21712))</f>
        <v>0</v>
      </c>
      <c r="I21725" s="16" t="n">
        <f aca="false">Assumptions!$N$61*MIN(I21716+I21723+I21721-I21722-I21724,MAX(0,I21850-I21673-I21686-I21699-I21712))</f>
        <v>0</v>
      </c>
      <c r="J21725" s="16" t="n">
        <f aca="false">Assumptions!$N$61*MIN(J21716+J21723+J21721-J21722-J21724,MAX(0,J21850-J21673-J21686-J21699-J21712))</f>
        <v>0</v>
      </c>
      <c r="K21725" s="16" t="n">
        <f aca="false">Assumptions!$N$61*MIN(K21716+K21723+K21721-K21722-K21724,MAX(0,K21850-K21673-K21686-K21699-K21712))</f>
        <v>0</v>
      </c>
    </row>
    <row r="21726" customFormat="false" ht="15" hidden="false" customHeight="false" outlineLevel="0" collapsed="false">
      <c r="A21726" s="3" t="s">
        <v>338</v>
      </c>
      <c r="G21726" s="16" t="n">
        <f aca="false">G21717*(1-G21662)*(G21716-G21722+G21721-G21724)</f>
        <v>0</v>
      </c>
      <c r="H21726" s="16" t="n">
        <f aca="false">H21717*(1-H21662)*(H21716-H21722+H21721-H21724)</f>
        <v>0</v>
      </c>
      <c r="I21726" s="16" t="n">
        <f aca="false">I21717*(1-I21662)*(I21716-I21722+I21721-I21724)</f>
        <v>0</v>
      </c>
      <c r="J21726" s="16" t="n">
        <f aca="false">J21717*(1-J21662)*(J21716-J21722+J21721-J21724)</f>
        <v>0</v>
      </c>
      <c r="K21726" s="16" t="n">
        <f aca="false">K21717*(1-K21662)*(K21716-K21722+K21721-K21724)</f>
        <v>0</v>
      </c>
    </row>
    <row r="21727" customFormat="false" ht="15" hidden="false" customHeight="false" outlineLevel="0" collapsed="false">
      <c r="A21727" s="2" t="s">
        <v>339</v>
      </c>
      <c r="F21727" s="28" t="n">
        <f aca="false">Assumptions!$C$61</f>
        <v>450</v>
      </c>
      <c r="G21727" s="17" t="n">
        <f aca="false">G21716+G21723+G21721-G21722-G21724-G21725</f>
        <v>450</v>
      </c>
      <c r="H21727" s="17" t="n">
        <f aca="false">H21716+H21723+H21721-H21722-H21724-H21725</f>
        <v>398.1899513738</v>
      </c>
      <c r="I21727" s="17" t="n">
        <f aca="false">I21716+I21723+I21721-I21722-I21724-I21725</f>
        <v>398.1899513738</v>
      </c>
      <c r="J21727" s="17" t="n">
        <f aca="false">J21716+J21723+J21721-J21722-J21724-J21725</f>
        <v>398.1899513738</v>
      </c>
      <c r="K21727" s="17" t="n">
        <f aca="false">K21716+K21723+K21721-K21722-K21724-K21725</f>
        <v>398.1899513738</v>
      </c>
    </row>
    <row r="21728" customFormat="false" ht="15" hidden="false" customHeight="false" outlineLevel="0" collapsed="false">
      <c r="A21728" s="24" t="s">
        <v>344</v>
      </c>
      <c r="B21728" s="25"/>
      <c r="C21728" s="25"/>
      <c r="D21728" s="25"/>
      <c r="E21728" s="25"/>
      <c r="F21728" s="25"/>
      <c r="G21728" s="25"/>
      <c r="H21728" s="25"/>
      <c r="I21728" s="25"/>
      <c r="J21728" s="25"/>
      <c r="K21728" s="25"/>
    </row>
    <row r="21729" customFormat="false" ht="15" hidden="false" customHeight="false" outlineLevel="0" collapsed="false">
      <c r="A21729" s="3" t="s">
        <v>329</v>
      </c>
      <c r="G21729" s="16" t="n">
        <f aca="false">F21740</f>
        <v>350</v>
      </c>
      <c r="H21729" s="16" t="n">
        <f aca="false">G21740</f>
        <v>350</v>
      </c>
      <c r="I21729" s="16" t="n">
        <f aca="false">H21740</f>
        <v>350</v>
      </c>
      <c r="J21729" s="16" t="n">
        <f aca="false">I21740</f>
        <v>350</v>
      </c>
      <c r="K21729" s="16" t="n">
        <f aca="false">J21740</f>
        <v>350</v>
      </c>
    </row>
    <row r="21730" customFormat="false" ht="15" hidden="false" customHeight="false" outlineLevel="0" collapsed="false">
      <c r="A21730" s="3" t="s">
        <v>330</v>
      </c>
      <c r="G21730" s="21" t="n">
        <f aca="false">IF(G21628=Assumptions!$K$62,1,0)</f>
        <v>0</v>
      </c>
      <c r="H21730" s="21" t="n">
        <f aca="false">IF(H21628=Assumptions!$K$62,1,0)</f>
        <v>1</v>
      </c>
      <c r="I21730" s="21" t="n">
        <f aca="false">IF(I21628=Assumptions!$K$62,1,0)</f>
        <v>0</v>
      </c>
      <c r="J21730" s="21" t="n">
        <f aca="false">IF(J21628=Assumptions!$K$62,1,0)</f>
        <v>0</v>
      </c>
      <c r="K21730" s="21" t="n">
        <f aca="false">IF(K21628=Assumptions!$K$62,1,0)</f>
        <v>0</v>
      </c>
    </row>
    <row r="21732" customFormat="false" ht="15" hidden="false" customHeight="false" outlineLevel="0" collapsed="false">
      <c r="A21732" s="3" t="s">
        <v>331</v>
      </c>
      <c r="G21732" s="31" t="n">
        <f aca="false">IF(Assumptions!$I$62=1,MAX(G21654,Assumptions!$G$62)+Assumptions!$F$62+$C$21655,Assumptions!$E$62)</f>
        <v>0.083</v>
      </c>
      <c r="H21732" s="31" t="n">
        <f aca="false">IF(G21979=1,$C$21656,IF(Assumptions!$I$62=1,MAX(H21654,Assumptions!$G$62)+Assumptions!$F$62+$C$21655,Assumptions!$E$62))</f>
        <v>0.083</v>
      </c>
      <c r="I21732" s="31" t="n">
        <f aca="false">IF(H21979=1,$C$21656,IF(Assumptions!$I$62=1,MAX(I21654,Assumptions!$G$62)+Assumptions!$F$62+$C$21655,Assumptions!$E$62))</f>
        <v>0.08</v>
      </c>
      <c r="J21732" s="31" t="n">
        <f aca="false">IF(I21979=1,$C$21656,IF(Assumptions!$I$62=1,MAX(J21654,Assumptions!$G$62)+Assumptions!$F$62+$C$21655,Assumptions!$E$62))</f>
        <v>0.08</v>
      </c>
      <c r="K21732" s="31" t="n">
        <f aca="false">IF(J21979=1,$C$21656,IF(Assumptions!$I$62=1,MAX(K21654,Assumptions!$G$62)+Assumptions!$F$62+$C$21655,Assumptions!$E$62))</f>
        <v>0.08</v>
      </c>
    </row>
    <row r="21733" customFormat="false" ht="15" hidden="false" customHeight="false" outlineLevel="0" collapsed="false">
      <c r="A21733" s="3" t="s">
        <v>332</v>
      </c>
      <c r="G21733" s="16" t="n">
        <f aca="false">G21729*G21732</f>
        <v>29.05</v>
      </c>
      <c r="H21733" s="16" t="n">
        <f aca="false">H21729*H21732</f>
        <v>29.05</v>
      </c>
      <c r="I21733" s="16" t="n">
        <f aca="false">I21729*I21732</f>
        <v>28</v>
      </c>
      <c r="J21733" s="16" t="n">
        <f aca="false">J21729*J21732</f>
        <v>28</v>
      </c>
      <c r="K21733" s="16" t="n">
        <f aca="false">K21729*K21732</f>
        <v>28</v>
      </c>
    </row>
    <row r="21734" customFormat="false" ht="15" hidden="false" customHeight="false" outlineLevel="0" collapsed="false">
      <c r="A21734" s="3" t="s">
        <v>333</v>
      </c>
      <c r="G21734" s="16" t="n">
        <f aca="false">G21729*Assumptions!$H$62</f>
        <v>0</v>
      </c>
      <c r="H21734" s="16" t="n">
        <f aca="false">H21729*Assumptions!$H$62</f>
        <v>0</v>
      </c>
      <c r="I21734" s="16" t="n">
        <f aca="false">I21729*Assumptions!$H$62</f>
        <v>0</v>
      </c>
      <c r="J21734" s="16" t="n">
        <f aca="false">J21729*Assumptions!$H$62</f>
        <v>0</v>
      </c>
      <c r="K21734" s="16" t="n">
        <f aca="false">K21729*Assumptions!$H$62</f>
        <v>0</v>
      </c>
    </row>
    <row r="21735" customFormat="false" ht="15" hidden="false" customHeight="false" outlineLevel="0" collapsed="false">
      <c r="A21735" s="3" t="s">
        <v>334</v>
      </c>
      <c r="G21735" s="16" t="n">
        <f aca="false">MIN(G21729,Assumptions!$L$62*Assumptions!$C$62)</f>
        <v>0</v>
      </c>
      <c r="H21735" s="16" t="n">
        <f aca="false">MIN(H21729,Assumptions!$L$62*Assumptions!$C$62)</f>
        <v>0</v>
      </c>
      <c r="I21735" s="16" t="n">
        <f aca="false">MIN(I21729,Assumptions!$L$62*Assumptions!$C$62)</f>
        <v>0</v>
      </c>
      <c r="J21735" s="16" t="n">
        <f aca="false">MIN(J21729,Assumptions!$L$62*Assumptions!$C$62)</f>
        <v>0</v>
      </c>
      <c r="K21735" s="16" t="n">
        <f aca="false">MIN(K21729,Assumptions!$L$62*Assumptions!$C$62)</f>
        <v>0</v>
      </c>
    </row>
    <row r="21736" customFormat="false" ht="15" hidden="false" customHeight="false" outlineLevel="0" collapsed="false">
      <c r="A21736" s="3" t="s">
        <v>335</v>
      </c>
      <c r="G21736" s="16" t="n">
        <f aca="false">IF(AND(Assumptions!$P$62=1,G21628&lt;Assumptions!$K$62),MIN(MAX(0,-G21844),MAX(0,Assumptions!$D$62-G21729)),0)</f>
        <v>0</v>
      </c>
      <c r="H21736" s="16" t="n">
        <f aca="false">IF(AND(Assumptions!$P$62=1,OR(H21628&lt;Assumptions!$K$62,G21979=1)),MIN(MAX(0,-H21844),MAX(0,Assumptions!$D$62-H21729)),0)</f>
        <v>0</v>
      </c>
      <c r="I21736" s="16" t="n">
        <f aca="false">IF(AND(Assumptions!$P$62=1,OR(I21628&lt;Assumptions!$K$62,H21979=1)),MIN(MAX(0,-I21844),MAX(0,Assumptions!$D$62-I21729)),0)</f>
        <v>0</v>
      </c>
      <c r="J21736" s="16" t="n">
        <f aca="false">IF(AND(Assumptions!$P$62=1,OR(J21628&lt;Assumptions!$K$62,I21979=1)),MIN(MAX(0,-J21844),MAX(0,Assumptions!$D$62-J21729)),0)</f>
        <v>0</v>
      </c>
      <c r="K21736" s="16" t="n">
        <f aca="false">IF(AND(Assumptions!$P$62=1,OR(K21628&lt;Assumptions!$K$62,J21979=1)),MIN(MAX(0,-K21844),MAX(0,Assumptions!$D$62-K21729)),0)</f>
        <v>0</v>
      </c>
    </row>
    <row r="21737" customFormat="false" ht="15" hidden="false" customHeight="false" outlineLevel="0" collapsed="false">
      <c r="A21737" s="3" t="s">
        <v>336</v>
      </c>
      <c r="G21737" s="16" t="n">
        <f aca="false">G21730*MIN(G21729-G21735+G21734,MAX(0,G21846-Assumptions!$C$12*G21662-G21672-G21685-G21698-G21711-G21724))</f>
        <v>0</v>
      </c>
      <c r="H21737" s="16" t="n">
        <f aca="false">H21730*MIN(H21729-H21735+H21734,MAX(0,H21846-Assumptions!$C$12*H21662-H21672-H21685-H21698-H21711-H21724))</f>
        <v>0</v>
      </c>
      <c r="I21737" s="16" t="n">
        <f aca="false">I21730*MIN(I21729-I21735+I21734,MAX(0,I21846-Assumptions!$C$12*I21662-I21672-I21685-I21698-I21711-I21724))</f>
        <v>0</v>
      </c>
      <c r="J21737" s="16" t="n">
        <f aca="false">J21730*MIN(J21729-J21735+J21734,MAX(0,J21846-Assumptions!$C$12*J21662-J21672-J21685-J21698-J21711-J21724))</f>
        <v>0</v>
      </c>
      <c r="K21737" s="16" t="n">
        <f aca="false">K21730*MIN(K21729-K21735+K21734,MAX(0,K21846-Assumptions!$C$12*K21662-K21672-K21685-K21698-K21711-K21724))</f>
        <v>0</v>
      </c>
    </row>
    <row r="21738" customFormat="false" ht="15" hidden="false" customHeight="false" outlineLevel="0" collapsed="false">
      <c r="A21738" s="3" t="s">
        <v>337</v>
      </c>
      <c r="G21738" s="16" t="n">
        <f aca="false">Assumptions!$N$62*MIN(G21729+G21736+G21734-G21735-G21737,MAX(0,G21850-G21673-G21686-G21699-G21712-G21725))</f>
        <v>0</v>
      </c>
      <c r="H21738" s="16" t="n">
        <f aca="false">Assumptions!$N$62*MIN(H21729+H21736+H21734-H21735-H21737,MAX(0,H21850-H21673-H21686-H21699-H21712-H21725))</f>
        <v>0</v>
      </c>
      <c r="I21738" s="16" t="n">
        <f aca="false">Assumptions!$N$62*MIN(I21729+I21736+I21734-I21735-I21737,MAX(0,I21850-I21673-I21686-I21699-I21712-I21725))</f>
        <v>0</v>
      </c>
      <c r="J21738" s="16" t="n">
        <f aca="false">Assumptions!$N$62*MIN(J21729+J21736+J21734-J21735-J21737,MAX(0,J21850-J21673-J21686-J21699-J21712-J21725))</f>
        <v>0</v>
      </c>
      <c r="K21738" s="16" t="n">
        <f aca="false">Assumptions!$N$62*MIN(K21729+K21736+K21734-K21735-K21737,MAX(0,K21850-K21673-K21686-K21699-K21712-K21725))</f>
        <v>0</v>
      </c>
    </row>
    <row r="21739" customFormat="false" ht="15" hidden="false" customHeight="false" outlineLevel="0" collapsed="false">
      <c r="A21739" s="3" t="s">
        <v>338</v>
      </c>
      <c r="G21739" s="16" t="n">
        <f aca="false">G21730*(1-G21662)*(G21729-G21735+G21734-G21737)</f>
        <v>0</v>
      </c>
      <c r="H21739" s="16" t="n">
        <f aca="false">H21730*(1-H21662)*(H21729-H21735+H21734-H21737)</f>
        <v>0</v>
      </c>
      <c r="I21739" s="16" t="n">
        <f aca="false">I21730*(1-I21662)*(I21729-I21735+I21734-I21737)</f>
        <v>0</v>
      </c>
      <c r="J21739" s="16" t="n">
        <f aca="false">J21730*(1-J21662)*(J21729-J21735+J21734-J21737)</f>
        <v>0</v>
      </c>
      <c r="K21739" s="16" t="n">
        <f aca="false">K21730*(1-K21662)*(K21729-K21735+K21734-K21737)</f>
        <v>0</v>
      </c>
    </row>
    <row r="21740" customFormat="false" ht="15" hidden="false" customHeight="false" outlineLevel="0" collapsed="false">
      <c r="A21740" s="2" t="s">
        <v>339</v>
      </c>
      <c r="F21740" s="28" t="n">
        <f aca="false">Assumptions!$C$62</f>
        <v>350</v>
      </c>
      <c r="G21740" s="17" t="n">
        <f aca="false">G21729+G21736+G21734-G21735-G21737-G21738</f>
        <v>350</v>
      </c>
      <c r="H21740" s="17" t="n">
        <f aca="false">H21729+H21736+H21734-H21735-H21737-H21738</f>
        <v>350</v>
      </c>
      <c r="I21740" s="17" t="n">
        <f aca="false">I21729+I21736+I21734-I21735-I21737-I21738</f>
        <v>350</v>
      </c>
      <c r="J21740" s="17" t="n">
        <f aca="false">J21729+J21736+J21734-J21735-J21737-J21738</f>
        <v>350</v>
      </c>
      <c r="K21740" s="17" t="n">
        <f aca="false">K21729+K21736+K21734-K21735-K21737-K21738</f>
        <v>350</v>
      </c>
    </row>
    <row r="21741" customFormat="false" ht="15" hidden="false" customHeight="false" outlineLevel="0" collapsed="false">
      <c r="A21741" s="24" t="s">
        <v>345</v>
      </c>
      <c r="B21741" s="25"/>
      <c r="C21741" s="25"/>
      <c r="D21741" s="25"/>
      <c r="E21741" s="25"/>
      <c r="F21741" s="25"/>
      <c r="G21741" s="25"/>
      <c r="H21741" s="25"/>
      <c r="I21741" s="25"/>
      <c r="J21741" s="25"/>
      <c r="K21741" s="25"/>
    </row>
    <row r="21742" customFormat="false" ht="15" hidden="false" customHeight="false" outlineLevel="0" collapsed="false">
      <c r="A21742" s="3" t="s">
        <v>329</v>
      </c>
      <c r="G21742" s="16" t="n">
        <f aca="false">F21753</f>
        <v>550</v>
      </c>
      <c r="H21742" s="16" t="n">
        <f aca="false">G21753</f>
        <v>550</v>
      </c>
      <c r="I21742" s="16" t="n">
        <f aca="false">H21753</f>
        <v>550</v>
      </c>
      <c r="J21742" s="16" t="n">
        <f aca="false">I21753</f>
        <v>550</v>
      </c>
      <c r="K21742" s="16" t="n">
        <f aca="false">J21753</f>
        <v>550</v>
      </c>
    </row>
    <row r="21743" customFormat="false" ht="15" hidden="false" customHeight="false" outlineLevel="0" collapsed="false">
      <c r="A21743" s="3" t="s">
        <v>330</v>
      </c>
      <c r="G21743" s="21" t="n">
        <f aca="false">IF(G21628=Assumptions!$K$63,1,0)</f>
        <v>0</v>
      </c>
      <c r="H21743" s="21" t="n">
        <f aca="false">IF(H21628=Assumptions!$K$63,1,0)</f>
        <v>0</v>
      </c>
      <c r="I21743" s="21" t="n">
        <f aca="false">IF(I21628=Assumptions!$K$63,1,0)</f>
        <v>1</v>
      </c>
      <c r="J21743" s="21" t="n">
        <f aca="false">IF(J21628=Assumptions!$K$63,1,0)</f>
        <v>0</v>
      </c>
      <c r="K21743" s="21" t="n">
        <f aca="false">IF(K21628=Assumptions!$K$63,1,0)</f>
        <v>0</v>
      </c>
    </row>
    <row r="21745" customFormat="false" ht="15" hidden="false" customHeight="false" outlineLevel="0" collapsed="false">
      <c r="A21745" s="3" t="s">
        <v>331</v>
      </c>
      <c r="G21745" s="31" t="n">
        <f aca="false">IF(Assumptions!$I$63=1,MAX(G21654,Assumptions!$G$63)+Assumptions!$F$63+$C$21655,Assumptions!$E$63)</f>
        <v>0.08875</v>
      </c>
      <c r="H21745" s="31" t="n">
        <f aca="false">IF(G21980=1,$C$21656,IF(Assumptions!$I$63=1,MAX(H21654,Assumptions!$G$63)+Assumptions!$F$63+$C$21655,Assumptions!$E$63))</f>
        <v>0.08875</v>
      </c>
      <c r="I21745" s="31" t="n">
        <f aca="false">IF(H21980=1,$C$21656,IF(Assumptions!$I$63=1,MAX(I21654,Assumptions!$G$63)+Assumptions!$F$63+$C$21655,Assumptions!$E$63))</f>
        <v>0.08875</v>
      </c>
      <c r="J21745" s="31" t="n">
        <f aca="false">IF(I21980=1,$C$21656,IF(Assumptions!$I$63=1,MAX(J21654,Assumptions!$G$63)+Assumptions!$F$63+$C$21655,Assumptions!$E$63))</f>
        <v>0.08</v>
      </c>
      <c r="K21745" s="31" t="n">
        <f aca="false">IF(J21980=1,$C$21656,IF(Assumptions!$I$63=1,MAX(K21654,Assumptions!$G$63)+Assumptions!$F$63+$C$21655,Assumptions!$E$63))</f>
        <v>0.08</v>
      </c>
    </row>
    <row r="21746" customFormat="false" ht="15" hidden="false" customHeight="false" outlineLevel="0" collapsed="false">
      <c r="A21746" s="3" t="s">
        <v>332</v>
      </c>
      <c r="G21746" s="16" t="n">
        <f aca="false">G21742*G21745</f>
        <v>48.8125</v>
      </c>
      <c r="H21746" s="16" t="n">
        <f aca="false">H21742*H21745</f>
        <v>48.8125</v>
      </c>
      <c r="I21746" s="16" t="n">
        <f aca="false">I21742*I21745</f>
        <v>48.8125</v>
      </c>
      <c r="J21746" s="16" t="n">
        <f aca="false">J21742*J21745</f>
        <v>44</v>
      </c>
      <c r="K21746" s="16" t="n">
        <f aca="false">K21742*K21745</f>
        <v>44</v>
      </c>
    </row>
    <row r="21747" customFormat="false" ht="15" hidden="false" customHeight="false" outlineLevel="0" collapsed="false">
      <c r="A21747" s="3" t="s">
        <v>333</v>
      </c>
      <c r="G21747" s="16" t="n">
        <f aca="false">G21742*Assumptions!$H$63</f>
        <v>0</v>
      </c>
      <c r="H21747" s="16" t="n">
        <f aca="false">H21742*Assumptions!$H$63</f>
        <v>0</v>
      </c>
      <c r="I21747" s="16" t="n">
        <f aca="false">I21742*Assumptions!$H$63</f>
        <v>0</v>
      </c>
      <c r="J21747" s="16" t="n">
        <f aca="false">J21742*Assumptions!$H$63</f>
        <v>0</v>
      </c>
      <c r="K21747" s="16" t="n">
        <f aca="false">K21742*Assumptions!$H$63</f>
        <v>0</v>
      </c>
    </row>
    <row r="21748" customFormat="false" ht="15" hidden="false" customHeight="false" outlineLevel="0" collapsed="false">
      <c r="A21748" s="3" t="s">
        <v>334</v>
      </c>
      <c r="G21748" s="16" t="n">
        <f aca="false">MIN(G21742,Assumptions!$L$63*Assumptions!$C$63)</f>
        <v>0</v>
      </c>
      <c r="H21748" s="16" t="n">
        <f aca="false">MIN(H21742,Assumptions!$L$63*Assumptions!$C$63)</f>
        <v>0</v>
      </c>
      <c r="I21748" s="16" t="n">
        <f aca="false">MIN(I21742,Assumptions!$L$63*Assumptions!$C$63)</f>
        <v>0</v>
      </c>
      <c r="J21748" s="16" t="n">
        <f aca="false">MIN(J21742,Assumptions!$L$63*Assumptions!$C$63)</f>
        <v>0</v>
      </c>
      <c r="K21748" s="16" t="n">
        <f aca="false">MIN(K21742,Assumptions!$L$63*Assumptions!$C$63)</f>
        <v>0</v>
      </c>
    </row>
    <row r="21749" customFormat="false" ht="15" hidden="false" customHeight="false" outlineLevel="0" collapsed="false">
      <c r="A21749" s="3" t="s">
        <v>335</v>
      </c>
      <c r="G21749" s="16" t="n">
        <f aca="false">IF(AND(Assumptions!$P$63=1,G21628&lt;Assumptions!$K$63),MIN(MAX(0,-G21844),MAX(0,Assumptions!$D$63-G21742)),0)</f>
        <v>0</v>
      </c>
      <c r="H21749" s="16" t="n">
        <f aca="false">IF(AND(Assumptions!$P$63=1,OR(H21628&lt;Assumptions!$K$63,G21980=1)),MIN(MAX(0,-H21844),MAX(0,Assumptions!$D$63-H21742)),0)</f>
        <v>0</v>
      </c>
      <c r="I21749" s="16" t="n">
        <f aca="false">IF(AND(Assumptions!$P$63=1,OR(I21628&lt;Assumptions!$K$63,H21980=1)),MIN(MAX(0,-I21844),MAX(0,Assumptions!$D$63-I21742)),0)</f>
        <v>0</v>
      </c>
      <c r="J21749" s="16" t="n">
        <f aca="false">IF(AND(Assumptions!$P$63=1,OR(J21628&lt;Assumptions!$K$63,I21980=1)),MIN(MAX(0,-J21844),MAX(0,Assumptions!$D$63-J21742)),0)</f>
        <v>0</v>
      </c>
      <c r="K21749" s="16" t="n">
        <f aca="false">IF(AND(Assumptions!$P$63=1,OR(K21628&lt;Assumptions!$K$63,J21980=1)),MIN(MAX(0,-K21844),MAX(0,Assumptions!$D$63-K21742)),0)</f>
        <v>0</v>
      </c>
    </row>
    <row r="21750" customFormat="false" ht="15" hidden="false" customHeight="false" outlineLevel="0" collapsed="false">
      <c r="A21750" s="3" t="s">
        <v>336</v>
      </c>
      <c r="G21750" s="16" t="n">
        <f aca="false">G21743*MIN(G21742-G21748+G21747,MAX(0,G21846-Assumptions!$C$12*G21662-G21672-G21685-G21698-G21711-G21724-G21737))</f>
        <v>0</v>
      </c>
      <c r="H21750" s="16" t="n">
        <f aca="false">H21743*MIN(H21742-H21748+H21747,MAX(0,H21846-Assumptions!$C$12*H21662-H21672-H21685-H21698-H21711-H21724-H21737))</f>
        <v>0</v>
      </c>
      <c r="I21750" s="16" t="n">
        <f aca="false">I21743*MIN(I21742-I21748+I21747,MAX(0,I21846-Assumptions!$C$12*I21662-I21672-I21685-I21698-I21711-I21724-I21737))</f>
        <v>0</v>
      </c>
      <c r="J21750" s="16" t="n">
        <f aca="false">J21743*MIN(J21742-J21748+J21747,MAX(0,J21846-Assumptions!$C$12*J21662-J21672-J21685-J21698-J21711-J21724-J21737))</f>
        <v>0</v>
      </c>
      <c r="K21750" s="16" t="n">
        <f aca="false">K21743*MIN(K21742-K21748+K21747,MAX(0,K21846-Assumptions!$C$12*K21662-K21672-K21685-K21698-K21711-K21724-K21737))</f>
        <v>0</v>
      </c>
    </row>
    <row r="21751" customFormat="false" ht="15" hidden="false" customHeight="false" outlineLevel="0" collapsed="false">
      <c r="A21751" s="3" t="s">
        <v>337</v>
      </c>
      <c r="G21751" s="16" t="n">
        <f aca="false">Assumptions!$N$63*MIN(G21742+G21749+G21747-G21748-G21750,MAX(0,G21850-G21673-G21686-G21699-G21712-G21725-G21738))</f>
        <v>0</v>
      </c>
      <c r="H21751" s="16" t="n">
        <f aca="false">Assumptions!$N$63*MIN(H21742+H21749+H21747-H21748-H21750,MAX(0,H21850-H21673-H21686-H21699-H21712-H21725-H21738))</f>
        <v>0</v>
      </c>
      <c r="I21751" s="16" t="n">
        <f aca="false">Assumptions!$N$63*MIN(I21742+I21749+I21747-I21748-I21750,MAX(0,I21850-I21673-I21686-I21699-I21712-I21725-I21738))</f>
        <v>0</v>
      </c>
      <c r="J21751" s="16" t="n">
        <f aca="false">Assumptions!$N$63*MIN(J21742+J21749+J21747-J21748-J21750,MAX(0,J21850-J21673-J21686-J21699-J21712-J21725-J21738))</f>
        <v>0</v>
      </c>
      <c r="K21751" s="16" t="n">
        <f aca="false">Assumptions!$N$63*MIN(K21742+K21749+K21747-K21748-K21750,MAX(0,K21850-K21673-K21686-K21699-K21712-K21725-K21738))</f>
        <v>0</v>
      </c>
    </row>
    <row r="21752" customFormat="false" ht="15" hidden="false" customHeight="false" outlineLevel="0" collapsed="false">
      <c r="A21752" s="3" t="s">
        <v>338</v>
      </c>
      <c r="G21752" s="16" t="n">
        <f aca="false">G21743*(1-G21662)*(G21742-G21748+G21747-G21750)</f>
        <v>0</v>
      </c>
      <c r="H21752" s="16" t="n">
        <f aca="false">H21743*(1-H21662)*(H21742-H21748+H21747-H21750)</f>
        <v>0</v>
      </c>
      <c r="I21752" s="16" t="n">
        <f aca="false">I21743*(1-I21662)*(I21742-I21748+I21747-I21750)</f>
        <v>0</v>
      </c>
      <c r="J21752" s="16" t="n">
        <f aca="false">J21743*(1-J21662)*(J21742-J21748+J21747-J21750)</f>
        <v>0</v>
      </c>
      <c r="K21752" s="16" t="n">
        <f aca="false">K21743*(1-K21662)*(K21742-K21748+K21747-K21750)</f>
        <v>0</v>
      </c>
    </row>
    <row r="21753" customFormat="false" ht="15" hidden="false" customHeight="false" outlineLevel="0" collapsed="false">
      <c r="A21753" s="2" t="s">
        <v>339</v>
      </c>
      <c r="F21753" s="28" t="n">
        <f aca="false">Assumptions!$C$63</f>
        <v>550</v>
      </c>
      <c r="G21753" s="17" t="n">
        <f aca="false">G21742+G21749+G21747-G21748-G21750-G21751</f>
        <v>550</v>
      </c>
      <c r="H21753" s="17" t="n">
        <f aca="false">H21742+H21749+H21747-H21748-H21750-H21751</f>
        <v>550</v>
      </c>
      <c r="I21753" s="17" t="n">
        <f aca="false">I21742+I21749+I21747-I21748-I21750-I21751</f>
        <v>550</v>
      </c>
      <c r="J21753" s="17" t="n">
        <f aca="false">J21742+J21749+J21747-J21748-J21750-J21751</f>
        <v>550</v>
      </c>
      <c r="K21753" s="17" t="n">
        <f aca="false">K21742+K21749+K21747-K21748-K21750-K21751</f>
        <v>550</v>
      </c>
    </row>
    <row r="21754" customFormat="false" ht="15" hidden="false" customHeight="false" outlineLevel="0" collapsed="false">
      <c r="A21754" s="24" t="s">
        <v>346</v>
      </c>
      <c r="B21754" s="25"/>
      <c r="C21754" s="25"/>
      <c r="D21754" s="25"/>
      <c r="E21754" s="25"/>
      <c r="F21754" s="25"/>
      <c r="G21754" s="25"/>
      <c r="H21754" s="25"/>
      <c r="I21754" s="25"/>
      <c r="J21754" s="25"/>
      <c r="K21754" s="25"/>
    </row>
    <row r="21755" customFormat="false" ht="15" hidden="false" customHeight="false" outlineLevel="0" collapsed="false">
      <c r="A21755" s="3" t="s">
        <v>329</v>
      </c>
      <c r="G21755" s="16" t="n">
        <f aca="false">F21766</f>
        <v>350</v>
      </c>
      <c r="H21755" s="16" t="n">
        <f aca="false">G21766</f>
        <v>350</v>
      </c>
      <c r="I21755" s="16" t="n">
        <f aca="false">H21766</f>
        <v>350</v>
      </c>
      <c r="J21755" s="16" t="n">
        <f aca="false">I21766</f>
        <v>350</v>
      </c>
      <c r="K21755" s="16" t="n">
        <f aca="false">J21766</f>
        <v>350</v>
      </c>
    </row>
    <row r="21756" customFormat="false" ht="15" hidden="false" customHeight="false" outlineLevel="0" collapsed="false">
      <c r="A21756" s="3" t="s">
        <v>330</v>
      </c>
      <c r="G21756" s="21" t="n">
        <f aca="false">IF(G21628=Assumptions!$K$64,1,0)</f>
        <v>0</v>
      </c>
      <c r="H21756" s="21" t="n">
        <f aca="false">IF(H21628=Assumptions!$K$64,1,0)</f>
        <v>0</v>
      </c>
      <c r="I21756" s="21" t="n">
        <f aca="false">IF(I21628=Assumptions!$K$64,1,0)</f>
        <v>0</v>
      </c>
      <c r="J21756" s="21" t="n">
        <f aca="false">IF(J21628=Assumptions!$K$64,1,0)</f>
        <v>1</v>
      </c>
      <c r="K21756" s="21" t="n">
        <f aca="false">IF(K21628=Assumptions!$K$64,1,0)</f>
        <v>0</v>
      </c>
    </row>
    <row r="21758" customFormat="false" ht="15" hidden="false" customHeight="false" outlineLevel="0" collapsed="false">
      <c r="A21758" s="3" t="s">
        <v>331</v>
      </c>
      <c r="G21758" s="31" t="n">
        <f aca="false">IF(Assumptions!$I$64=1,MAX(G21654,Assumptions!$G$64)+Assumptions!$F$64+$C$21655,Assumptions!$E$64)</f>
        <v>0.0455</v>
      </c>
      <c r="H21758" s="31" t="n">
        <f aca="false">IF(G21981=1,$C$21656,IF(Assumptions!$I$64=1,MAX(H21654,Assumptions!$G$64)+Assumptions!$F$64+$C$21655,Assumptions!$E$64))</f>
        <v>0.0455</v>
      </c>
      <c r="I21758" s="31" t="n">
        <f aca="false">IF(H21981=1,$C$21656,IF(Assumptions!$I$64=1,MAX(I21654,Assumptions!$G$64)+Assumptions!$F$64+$C$21655,Assumptions!$E$64))</f>
        <v>0.0455</v>
      </c>
      <c r="J21758" s="31" t="n">
        <f aca="false">IF(I21981=1,$C$21656,IF(Assumptions!$I$64=1,MAX(J21654,Assumptions!$G$64)+Assumptions!$F$64+$C$21655,Assumptions!$E$64))</f>
        <v>0.0455</v>
      </c>
      <c r="K21758" s="31" t="n">
        <f aca="false">IF(J21981=1,$C$21656,IF(Assumptions!$I$64=1,MAX(K21654,Assumptions!$G$64)+Assumptions!$F$64+$C$21655,Assumptions!$E$64))</f>
        <v>0.08</v>
      </c>
    </row>
    <row r="21759" customFormat="false" ht="15" hidden="false" customHeight="false" outlineLevel="0" collapsed="false">
      <c r="A21759" s="3" t="s">
        <v>332</v>
      </c>
      <c r="G21759" s="16" t="n">
        <f aca="false">G21755*G21758</f>
        <v>15.925</v>
      </c>
      <c r="H21759" s="16" t="n">
        <f aca="false">H21755*H21758</f>
        <v>15.925</v>
      </c>
      <c r="I21759" s="16" t="n">
        <f aca="false">I21755*I21758</f>
        <v>15.925</v>
      </c>
      <c r="J21759" s="16" t="n">
        <f aca="false">J21755*J21758</f>
        <v>15.925</v>
      </c>
      <c r="K21759" s="16" t="n">
        <f aca="false">K21755*K21758</f>
        <v>28</v>
      </c>
    </row>
    <row r="21760" customFormat="false" ht="15" hidden="false" customHeight="false" outlineLevel="0" collapsed="false">
      <c r="A21760" s="3" t="s">
        <v>333</v>
      </c>
      <c r="G21760" s="16" t="n">
        <f aca="false">G21755*Assumptions!$H$64</f>
        <v>0</v>
      </c>
      <c r="H21760" s="16" t="n">
        <f aca="false">H21755*Assumptions!$H$64</f>
        <v>0</v>
      </c>
      <c r="I21760" s="16" t="n">
        <f aca="false">I21755*Assumptions!$H$64</f>
        <v>0</v>
      </c>
      <c r="J21760" s="16" t="n">
        <f aca="false">J21755*Assumptions!$H$64</f>
        <v>0</v>
      </c>
      <c r="K21760" s="16" t="n">
        <f aca="false">K21755*Assumptions!$H$64</f>
        <v>0</v>
      </c>
    </row>
    <row r="21761" customFormat="false" ht="15" hidden="false" customHeight="false" outlineLevel="0" collapsed="false">
      <c r="A21761" s="3" t="s">
        <v>334</v>
      </c>
      <c r="G21761" s="16" t="n">
        <f aca="false">MIN(G21755,Assumptions!$L$64*Assumptions!$C$64)</f>
        <v>0</v>
      </c>
      <c r="H21761" s="16" t="n">
        <f aca="false">MIN(H21755,Assumptions!$L$64*Assumptions!$C$64)</f>
        <v>0</v>
      </c>
      <c r="I21761" s="16" t="n">
        <f aca="false">MIN(I21755,Assumptions!$L$64*Assumptions!$C$64)</f>
        <v>0</v>
      </c>
      <c r="J21761" s="16" t="n">
        <f aca="false">MIN(J21755,Assumptions!$L$64*Assumptions!$C$64)</f>
        <v>0</v>
      </c>
      <c r="K21761" s="16" t="n">
        <f aca="false">MIN(K21755,Assumptions!$L$64*Assumptions!$C$64)</f>
        <v>0</v>
      </c>
    </row>
    <row r="21762" customFormat="false" ht="15" hidden="false" customHeight="false" outlineLevel="0" collapsed="false">
      <c r="A21762" s="3" t="s">
        <v>335</v>
      </c>
      <c r="G21762" s="16" t="n">
        <f aca="false">IF(AND(Assumptions!$P$64=1,G21628&lt;Assumptions!$K$64),MIN(MAX(0,-G21844),MAX(0,Assumptions!$D$64-G21755)),0)</f>
        <v>0</v>
      </c>
      <c r="H21762" s="16" t="n">
        <f aca="false">IF(AND(Assumptions!$P$64=1,OR(H21628&lt;Assumptions!$K$64,G21981=1)),MIN(MAX(0,-H21844),MAX(0,Assumptions!$D$64-H21755)),0)</f>
        <v>0</v>
      </c>
      <c r="I21762" s="16" t="n">
        <f aca="false">IF(AND(Assumptions!$P$64=1,OR(I21628&lt;Assumptions!$K$64,H21981=1)),MIN(MAX(0,-I21844),MAX(0,Assumptions!$D$64-I21755)),0)</f>
        <v>0</v>
      </c>
      <c r="J21762" s="16" t="n">
        <f aca="false">IF(AND(Assumptions!$P$64=1,OR(J21628&lt;Assumptions!$K$64,I21981=1)),MIN(MAX(0,-J21844),MAX(0,Assumptions!$D$64-J21755)),0)</f>
        <v>0</v>
      </c>
      <c r="K21762" s="16" t="n">
        <f aca="false">IF(AND(Assumptions!$P$64=1,OR(K21628&lt;Assumptions!$K$64,J21981=1)),MIN(MAX(0,-K21844),MAX(0,Assumptions!$D$64-K21755)),0)</f>
        <v>0</v>
      </c>
    </row>
    <row r="21763" customFormat="false" ht="15" hidden="false" customHeight="false" outlineLevel="0" collapsed="false">
      <c r="A21763" s="3" t="s">
        <v>336</v>
      </c>
      <c r="G21763" s="16" t="n">
        <f aca="false">G21756*MIN(G21755-G21761+G21760,MAX(0,G21846-Assumptions!$C$12*G21662-G21672-G21685-G21698-G21711-G21724-G21737-G21750))</f>
        <v>0</v>
      </c>
      <c r="H21763" s="16" t="n">
        <f aca="false">H21756*MIN(H21755-H21761+H21760,MAX(0,H21846-Assumptions!$C$12*H21662-H21672-H21685-H21698-H21711-H21724-H21737-H21750))</f>
        <v>0</v>
      </c>
      <c r="I21763" s="16" t="n">
        <f aca="false">I21756*MIN(I21755-I21761+I21760,MAX(0,I21846-Assumptions!$C$12*I21662-I21672-I21685-I21698-I21711-I21724-I21737-I21750))</f>
        <v>0</v>
      </c>
      <c r="J21763" s="16" t="n">
        <f aca="false">J21756*MIN(J21755-J21761+J21760,MAX(0,J21846-Assumptions!$C$12*J21662-J21672-J21685-J21698-J21711-J21724-J21737-J21750))</f>
        <v>0</v>
      </c>
      <c r="K21763" s="16" t="n">
        <f aca="false">K21756*MIN(K21755-K21761+K21760,MAX(0,K21846-Assumptions!$C$12*K21662-K21672-K21685-K21698-K21711-K21724-K21737-K21750))</f>
        <v>0</v>
      </c>
    </row>
    <row r="21764" customFormat="false" ht="15" hidden="false" customHeight="false" outlineLevel="0" collapsed="false">
      <c r="A21764" s="3" t="s">
        <v>337</v>
      </c>
      <c r="G21764" s="16" t="n">
        <f aca="false">Assumptions!$N$64*MIN(G21755+G21762+G21760-G21761-G21763,MAX(0,G21850-G21673-G21686-G21699-G21712-G21725-G21738-G21751))</f>
        <v>0</v>
      </c>
      <c r="H21764" s="16" t="n">
        <f aca="false">Assumptions!$N$64*MIN(H21755+H21762+H21760-H21761-H21763,MAX(0,H21850-H21673-H21686-H21699-H21712-H21725-H21738-H21751))</f>
        <v>0</v>
      </c>
      <c r="I21764" s="16" t="n">
        <f aca="false">Assumptions!$N$64*MIN(I21755+I21762+I21760-I21761-I21763,MAX(0,I21850-I21673-I21686-I21699-I21712-I21725-I21738-I21751))</f>
        <v>0</v>
      </c>
      <c r="J21764" s="16" t="n">
        <f aca="false">Assumptions!$N$64*MIN(J21755+J21762+J21760-J21761-J21763,MAX(0,J21850-J21673-J21686-J21699-J21712-J21725-J21738-J21751))</f>
        <v>0</v>
      </c>
      <c r="K21764" s="16" t="n">
        <f aca="false">Assumptions!$N$64*MIN(K21755+K21762+K21760-K21761-K21763,MAX(0,K21850-K21673-K21686-K21699-K21712-K21725-K21738-K21751))</f>
        <v>0</v>
      </c>
    </row>
    <row r="21765" customFormat="false" ht="15" hidden="false" customHeight="false" outlineLevel="0" collapsed="false">
      <c r="A21765" s="3" t="s">
        <v>338</v>
      </c>
      <c r="G21765" s="16" t="n">
        <f aca="false">G21756*(1-G21662)*(G21755-G21761+G21760-G21763)</f>
        <v>0</v>
      </c>
      <c r="H21765" s="16" t="n">
        <f aca="false">H21756*(1-H21662)*(H21755-H21761+H21760-H21763)</f>
        <v>0</v>
      </c>
      <c r="I21765" s="16" t="n">
        <f aca="false">I21756*(1-I21662)*(I21755-I21761+I21760-I21763)</f>
        <v>0</v>
      </c>
      <c r="J21765" s="16" t="n">
        <f aca="false">J21756*(1-J21662)*(J21755-J21761+J21760-J21763)</f>
        <v>0</v>
      </c>
      <c r="K21765" s="16" t="n">
        <f aca="false">K21756*(1-K21662)*(K21755-K21761+K21760-K21763)</f>
        <v>0</v>
      </c>
    </row>
    <row r="21766" customFormat="false" ht="15" hidden="false" customHeight="false" outlineLevel="0" collapsed="false">
      <c r="A21766" s="2" t="s">
        <v>339</v>
      </c>
      <c r="F21766" s="28" t="n">
        <f aca="false">Assumptions!$C$64</f>
        <v>350</v>
      </c>
      <c r="G21766" s="17" t="n">
        <f aca="false">G21755+G21762+G21760-G21761-G21763-G21764</f>
        <v>350</v>
      </c>
      <c r="H21766" s="17" t="n">
        <f aca="false">H21755+H21762+H21760-H21761-H21763-H21764</f>
        <v>350</v>
      </c>
      <c r="I21766" s="17" t="n">
        <f aca="false">I21755+I21762+I21760-I21761-I21763-I21764</f>
        <v>350</v>
      </c>
      <c r="J21766" s="17" t="n">
        <f aca="false">J21755+J21762+J21760-J21761-J21763-J21764</f>
        <v>350</v>
      </c>
      <c r="K21766" s="17" t="n">
        <f aca="false">K21755+K21762+K21760-K21761-K21763-K21764</f>
        <v>350</v>
      </c>
    </row>
    <row r="21767" customFormat="false" ht="15" hidden="false" customHeight="false" outlineLevel="0" collapsed="false">
      <c r="A21767" s="24" t="s">
        <v>347</v>
      </c>
      <c r="B21767" s="25"/>
      <c r="C21767" s="25"/>
      <c r="D21767" s="25"/>
      <c r="E21767" s="25"/>
      <c r="F21767" s="25"/>
      <c r="G21767" s="25"/>
      <c r="H21767" s="25"/>
      <c r="I21767" s="25"/>
      <c r="J21767" s="25"/>
      <c r="K21767" s="25"/>
    </row>
    <row r="21768" customFormat="false" ht="15" hidden="false" customHeight="false" outlineLevel="0" collapsed="false">
      <c r="A21768" s="3" t="s">
        <v>329</v>
      </c>
      <c r="G21768" s="16" t="n">
        <f aca="false">F21779</f>
        <v>300</v>
      </c>
      <c r="H21768" s="16" t="n">
        <f aca="false">G21779</f>
        <v>300</v>
      </c>
      <c r="I21768" s="16" t="n">
        <f aca="false">H21779</f>
        <v>300</v>
      </c>
      <c r="J21768" s="16" t="n">
        <f aca="false">I21779</f>
        <v>300</v>
      </c>
      <c r="K21768" s="16" t="n">
        <f aca="false">J21779</f>
        <v>300</v>
      </c>
    </row>
    <row r="21769" customFormat="false" ht="15" hidden="false" customHeight="false" outlineLevel="0" collapsed="false">
      <c r="A21769" s="3" t="s">
        <v>330</v>
      </c>
      <c r="G21769" s="21" t="n">
        <f aca="false">IF(G21628=Assumptions!$K$65,1,0)</f>
        <v>0</v>
      </c>
      <c r="H21769" s="21" t="n">
        <f aca="false">IF(H21628=Assumptions!$K$65,1,0)</f>
        <v>0</v>
      </c>
      <c r="I21769" s="21" t="n">
        <f aca="false">IF(I21628=Assumptions!$K$65,1,0)</f>
        <v>0</v>
      </c>
      <c r="J21769" s="21" t="n">
        <f aca="false">IF(J21628=Assumptions!$K$65,1,0)</f>
        <v>0</v>
      </c>
      <c r="K21769" s="21" t="n">
        <f aca="false">IF(K21628=Assumptions!$K$65,1,0)</f>
        <v>1</v>
      </c>
    </row>
    <row r="21771" customFormat="false" ht="15" hidden="false" customHeight="false" outlineLevel="0" collapsed="false">
      <c r="A21771" s="3" t="s">
        <v>331</v>
      </c>
      <c r="G21771" s="31" t="n">
        <f aca="false">IF(Assumptions!$I$65=1,MAX(G21654,Assumptions!$G$65)+Assumptions!$F$65+$C$21655,Assumptions!$E$65)</f>
        <v>0.06125</v>
      </c>
      <c r="H21771" s="31" t="n">
        <f aca="false">IF(G21982=1,$C$21656,IF(Assumptions!$I$65=1,MAX(H21654,Assumptions!$G$65)+Assumptions!$F$65+$C$21655,Assumptions!$E$65))</f>
        <v>0.06125</v>
      </c>
      <c r="I21771" s="31" t="n">
        <f aca="false">IF(H21982=1,$C$21656,IF(Assumptions!$I$65=1,MAX(I21654,Assumptions!$G$65)+Assumptions!$F$65+$C$21655,Assumptions!$E$65))</f>
        <v>0.06125</v>
      </c>
      <c r="J21771" s="31" t="n">
        <f aca="false">IF(I21982=1,$C$21656,IF(Assumptions!$I$65=1,MAX(J21654,Assumptions!$G$65)+Assumptions!$F$65+$C$21655,Assumptions!$E$65))</f>
        <v>0.06125</v>
      </c>
      <c r="K21771" s="31" t="n">
        <f aca="false">IF(J21982=1,$C$21656,IF(Assumptions!$I$65=1,MAX(K21654,Assumptions!$G$65)+Assumptions!$F$65+$C$21655,Assumptions!$E$65))</f>
        <v>0.06125</v>
      </c>
    </row>
    <row r="21772" customFormat="false" ht="15" hidden="false" customHeight="false" outlineLevel="0" collapsed="false">
      <c r="A21772" s="3" t="s">
        <v>332</v>
      </c>
      <c r="G21772" s="16" t="n">
        <f aca="false">G21768*G21771</f>
        <v>18.375</v>
      </c>
      <c r="H21772" s="16" t="n">
        <f aca="false">H21768*H21771</f>
        <v>18.375</v>
      </c>
      <c r="I21772" s="16" t="n">
        <f aca="false">I21768*I21771</f>
        <v>18.375</v>
      </c>
      <c r="J21772" s="16" t="n">
        <f aca="false">J21768*J21771</f>
        <v>18.375</v>
      </c>
      <c r="K21772" s="16" t="n">
        <f aca="false">K21768*K21771</f>
        <v>18.375</v>
      </c>
    </row>
    <row r="21773" customFormat="false" ht="15" hidden="false" customHeight="false" outlineLevel="0" collapsed="false">
      <c r="A21773" s="3" t="s">
        <v>333</v>
      </c>
      <c r="G21773" s="16" t="n">
        <f aca="false">G21768*Assumptions!$H$65</f>
        <v>0</v>
      </c>
      <c r="H21773" s="16" t="n">
        <f aca="false">H21768*Assumptions!$H$65</f>
        <v>0</v>
      </c>
      <c r="I21773" s="16" t="n">
        <f aca="false">I21768*Assumptions!$H$65</f>
        <v>0</v>
      </c>
      <c r="J21773" s="16" t="n">
        <f aca="false">J21768*Assumptions!$H$65</f>
        <v>0</v>
      </c>
      <c r="K21773" s="16" t="n">
        <f aca="false">K21768*Assumptions!$H$65</f>
        <v>0</v>
      </c>
    </row>
    <row r="21774" customFormat="false" ht="15" hidden="false" customHeight="false" outlineLevel="0" collapsed="false">
      <c r="A21774" s="3" t="s">
        <v>334</v>
      </c>
      <c r="G21774" s="16" t="n">
        <f aca="false">MIN(G21768,Assumptions!$L$65*Assumptions!$C$65)</f>
        <v>0</v>
      </c>
      <c r="H21774" s="16" t="n">
        <f aca="false">MIN(H21768,Assumptions!$L$65*Assumptions!$C$65)</f>
        <v>0</v>
      </c>
      <c r="I21774" s="16" t="n">
        <f aca="false">MIN(I21768,Assumptions!$L$65*Assumptions!$C$65)</f>
        <v>0</v>
      </c>
      <c r="J21774" s="16" t="n">
        <f aca="false">MIN(J21768,Assumptions!$L$65*Assumptions!$C$65)</f>
        <v>0</v>
      </c>
      <c r="K21774" s="16" t="n">
        <f aca="false">MIN(K21768,Assumptions!$L$65*Assumptions!$C$65)</f>
        <v>0</v>
      </c>
    </row>
    <row r="21775" customFormat="false" ht="15" hidden="false" customHeight="false" outlineLevel="0" collapsed="false">
      <c r="A21775" s="3" t="s">
        <v>335</v>
      </c>
      <c r="G21775" s="16" t="n">
        <f aca="false">IF(AND(Assumptions!$P$65=1,G21628&lt;Assumptions!$K$65),MIN(MAX(0,-G21844),MAX(0,Assumptions!$D$65-G21768)),0)</f>
        <v>0</v>
      </c>
      <c r="H21775" s="16" t="n">
        <f aca="false">IF(AND(Assumptions!$P$65=1,OR(H21628&lt;Assumptions!$K$65,G21982=1)),MIN(MAX(0,-H21844),MAX(0,Assumptions!$D$65-H21768)),0)</f>
        <v>0</v>
      </c>
      <c r="I21775" s="16" t="n">
        <f aca="false">IF(AND(Assumptions!$P$65=1,OR(I21628&lt;Assumptions!$K$65,H21982=1)),MIN(MAX(0,-I21844),MAX(0,Assumptions!$D$65-I21768)),0)</f>
        <v>0</v>
      </c>
      <c r="J21775" s="16" t="n">
        <f aca="false">IF(AND(Assumptions!$P$65=1,OR(J21628&lt;Assumptions!$K$65,I21982=1)),MIN(MAX(0,-J21844),MAX(0,Assumptions!$D$65-J21768)),0)</f>
        <v>0</v>
      </c>
      <c r="K21775" s="16" t="n">
        <f aca="false">IF(AND(Assumptions!$P$65=1,OR(K21628&lt;Assumptions!$K$65,J21982=1)),MIN(MAX(0,-K21844),MAX(0,Assumptions!$D$65-K21768)),0)</f>
        <v>0</v>
      </c>
    </row>
    <row r="21776" customFormat="false" ht="15" hidden="false" customHeight="false" outlineLevel="0" collapsed="false">
      <c r="A21776" s="3" t="s">
        <v>336</v>
      </c>
      <c r="G21776" s="16" t="n">
        <f aca="false">G21769*MIN(G21768-G21774+G21773,MAX(0,G21846-Assumptions!$C$12*G21662-G21672-G21685-G21698-G21711-G21724-G21737-G21750-G21763))</f>
        <v>0</v>
      </c>
      <c r="H21776" s="16" t="n">
        <f aca="false">H21769*MIN(H21768-H21774+H21773,MAX(0,H21846-Assumptions!$C$12*H21662-H21672-H21685-H21698-H21711-H21724-H21737-H21750-H21763))</f>
        <v>0</v>
      </c>
      <c r="I21776" s="16" t="n">
        <f aca="false">I21769*MIN(I21768-I21774+I21773,MAX(0,I21846-Assumptions!$C$12*I21662-I21672-I21685-I21698-I21711-I21724-I21737-I21750-I21763))</f>
        <v>0</v>
      </c>
      <c r="J21776" s="16" t="n">
        <f aca="false">J21769*MIN(J21768-J21774+J21773,MAX(0,J21846-Assumptions!$C$12*J21662-J21672-J21685-J21698-J21711-J21724-J21737-J21750-J21763))</f>
        <v>0</v>
      </c>
      <c r="K21776" s="16" t="n">
        <f aca="false">K21769*MIN(K21768-K21774+K21773,MAX(0,K21846-Assumptions!$C$12*K21662-K21672-K21685-K21698-K21711-K21724-K21737-K21750-K21763))</f>
        <v>0</v>
      </c>
    </row>
    <row r="21777" customFormat="false" ht="15" hidden="false" customHeight="false" outlineLevel="0" collapsed="false">
      <c r="A21777" s="3" t="s">
        <v>337</v>
      </c>
      <c r="G21777" s="16" t="n">
        <f aca="false">Assumptions!$N$65*MIN(G21768+G21775+G21773-G21774-G21776,MAX(0,G21850-G21673-G21686-G21699-G21712-G21725-G21738-G21751-G21764))</f>
        <v>0</v>
      </c>
      <c r="H21777" s="16" t="n">
        <f aca="false">Assumptions!$N$65*MIN(H21768+H21775+H21773-H21774-H21776,MAX(0,H21850-H21673-H21686-H21699-H21712-H21725-H21738-H21751-H21764))</f>
        <v>0</v>
      </c>
      <c r="I21777" s="16" t="n">
        <f aca="false">Assumptions!$N$65*MIN(I21768+I21775+I21773-I21774-I21776,MAX(0,I21850-I21673-I21686-I21699-I21712-I21725-I21738-I21751-I21764))</f>
        <v>0</v>
      </c>
      <c r="J21777" s="16" t="n">
        <f aca="false">Assumptions!$N$65*MIN(J21768+J21775+J21773-J21774-J21776,MAX(0,J21850-J21673-J21686-J21699-J21712-J21725-J21738-J21751-J21764))</f>
        <v>0</v>
      </c>
      <c r="K21777" s="16" t="n">
        <f aca="false">Assumptions!$N$65*MIN(K21768+K21775+K21773-K21774-K21776,MAX(0,K21850-K21673-K21686-K21699-K21712-K21725-K21738-K21751-K21764))</f>
        <v>0</v>
      </c>
    </row>
    <row r="21778" customFormat="false" ht="15" hidden="false" customHeight="false" outlineLevel="0" collapsed="false">
      <c r="A21778" s="3" t="s">
        <v>338</v>
      </c>
      <c r="G21778" s="16" t="n">
        <f aca="false">G21769*(1-G21662)*(G21768-G21774+G21773-G21776)</f>
        <v>0</v>
      </c>
      <c r="H21778" s="16" t="n">
        <f aca="false">H21769*(1-H21662)*(H21768-H21774+H21773-H21776)</f>
        <v>0</v>
      </c>
      <c r="I21778" s="16" t="n">
        <f aca="false">I21769*(1-I21662)*(I21768-I21774+I21773-I21776)</f>
        <v>0</v>
      </c>
      <c r="J21778" s="16" t="n">
        <f aca="false">J21769*(1-J21662)*(J21768-J21774+J21773-J21776)</f>
        <v>0</v>
      </c>
      <c r="K21778" s="16" t="n">
        <f aca="false">K21769*(1-K21662)*(K21768-K21774+K21773-K21776)</f>
        <v>0</v>
      </c>
    </row>
    <row r="21779" customFormat="false" ht="15" hidden="false" customHeight="false" outlineLevel="0" collapsed="false">
      <c r="A21779" s="2" t="s">
        <v>339</v>
      </c>
      <c r="F21779" s="28" t="n">
        <f aca="false">Assumptions!$C$65</f>
        <v>300</v>
      </c>
      <c r="G21779" s="17" t="n">
        <f aca="false">G21768+G21775+G21773-G21774-G21776-G21777</f>
        <v>300</v>
      </c>
      <c r="H21779" s="17" t="n">
        <f aca="false">H21768+H21775+H21773-H21774-H21776-H21777</f>
        <v>300</v>
      </c>
      <c r="I21779" s="17" t="n">
        <f aca="false">I21768+I21775+I21773-I21774-I21776-I21777</f>
        <v>300</v>
      </c>
      <c r="J21779" s="17" t="n">
        <f aca="false">J21768+J21775+J21773-J21774-J21776-J21777</f>
        <v>300</v>
      </c>
      <c r="K21779" s="17" t="n">
        <f aca="false">K21768+K21775+K21773-K21774-K21776-K21777</f>
        <v>300</v>
      </c>
    </row>
    <row r="21780" customFormat="false" ht="15" hidden="false" customHeight="false" outlineLevel="0" collapsed="false">
      <c r="A21780" s="24" t="s">
        <v>348</v>
      </c>
      <c r="B21780" s="25"/>
      <c r="C21780" s="25"/>
      <c r="D21780" s="25"/>
      <c r="E21780" s="25"/>
      <c r="F21780" s="25"/>
      <c r="G21780" s="25"/>
      <c r="H21780" s="25"/>
      <c r="I21780" s="25"/>
      <c r="J21780" s="25"/>
      <c r="K21780" s="25"/>
    </row>
    <row r="21781" customFormat="false" ht="15" hidden="false" customHeight="false" outlineLevel="0" collapsed="false">
      <c r="A21781" s="3" t="s">
        <v>329</v>
      </c>
      <c r="G21781" s="16" t="n">
        <f aca="false">F21792</f>
        <v>78.61</v>
      </c>
      <c r="H21781" s="16" t="n">
        <f aca="false">G21792</f>
        <v>78.61</v>
      </c>
      <c r="I21781" s="16" t="n">
        <f aca="false">H21792</f>
        <v>78.61</v>
      </c>
      <c r="J21781" s="16" t="n">
        <f aca="false">I21792</f>
        <v>78.61</v>
      </c>
      <c r="K21781" s="16" t="n">
        <f aca="false">J21792</f>
        <v>78.61</v>
      </c>
    </row>
    <row r="21782" customFormat="false" ht="15" hidden="false" customHeight="false" outlineLevel="0" collapsed="false">
      <c r="A21782" s="3" t="s">
        <v>330</v>
      </c>
      <c r="G21782" s="21" t="n">
        <f aca="false">IF(G21628=Assumptions!$K$66,1,0)</f>
        <v>0</v>
      </c>
      <c r="H21782" s="21" t="n">
        <f aca="false">IF(H21628=Assumptions!$K$66,1,0)</f>
        <v>0</v>
      </c>
      <c r="I21782" s="21" t="n">
        <f aca="false">IF(I21628=Assumptions!$K$66,1,0)</f>
        <v>0</v>
      </c>
      <c r="J21782" s="21" t="n">
        <f aca="false">IF(J21628=Assumptions!$K$66,1,0)</f>
        <v>0</v>
      </c>
      <c r="K21782" s="21" t="n">
        <f aca="false">IF(K21628=Assumptions!$K$66,1,0)</f>
        <v>0</v>
      </c>
    </row>
    <row r="21784" customFormat="false" ht="15" hidden="false" customHeight="false" outlineLevel="0" collapsed="false">
      <c r="A21784" s="3" t="s">
        <v>331</v>
      </c>
      <c r="G21784" s="31" t="n">
        <f aca="false">IF(Assumptions!$I$66=1,MAX(G21654,Assumptions!$G$66)+Assumptions!$F$66+$C$21655,Assumptions!$E$66)</f>
        <v>0.0441</v>
      </c>
      <c r="H21784" s="31" t="n">
        <f aca="false">IF(G21983=1,$C$21656,IF(Assumptions!$I$66=1,MAX(H21654,Assumptions!$G$66)+Assumptions!$F$66+$C$21655,Assumptions!$E$66))</f>
        <v>0.0426</v>
      </c>
      <c r="I21784" s="31" t="n">
        <f aca="false">IF(H21983=1,$C$21656,IF(Assumptions!$I$66=1,MAX(I21654,Assumptions!$G$66)+Assumptions!$F$66+$C$21655,Assumptions!$E$66))</f>
        <v>0.0401</v>
      </c>
      <c r="J21784" s="31" t="n">
        <f aca="false">IF(I21983=1,$C$21656,IF(Assumptions!$I$66=1,MAX(J21654,Assumptions!$G$66)+Assumptions!$F$66+$C$21655,Assumptions!$E$66))</f>
        <v>0.0401</v>
      </c>
      <c r="K21784" s="31" t="n">
        <f aca="false">IF(J21983=1,$C$21656,IF(Assumptions!$I$66=1,MAX(K21654,Assumptions!$G$66)+Assumptions!$F$66+$C$21655,Assumptions!$E$66))</f>
        <v>0.0401</v>
      </c>
    </row>
    <row r="21785" customFormat="false" ht="15" hidden="false" customHeight="false" outlineLevel="0" collapsed="false">
      <c r="A21785" s="3" t="s">
        <v>332</v>
      </c>
      <c r="G21785" s="16" t="n">
        <f aca="false">G21781*G21784</f>
        <v>3.466701</v>
      </c>
      <c r="H21785" s="16" t="n">
        <f aca="false">H21781*H21784</f>
        <v>3.348786</v>
      </c>
      <c r="I21785" s="16" t="n">
        <f aca="false">I21781*I21784</f>
        <v>3.152261</v>
      </c>
      <c r="J21785" s="16" t="n">
        <f aca="false">J21781*J21784</f>
        <v>3.152261</v>
      </c>
      <c r="K21785" s="16" t="n">
        <f aca="false">K21781*K21784</f>
        <v>3.152261</v>
      </c>
    </row>
    <row r="21786" customFormat="false" ht="15" hidden="false" customHeight="false" outlineLevel="0" collapsed="false">
      <c r="A21786" s="3" t="s">
        <v>333</v>
      </c>
      <c r="G21786" s="16" t="n">
        <f aca="false">G21781*Assumptions!$H$66</f>
        <v>0</v>
      </c>
      <c r="H21786" s="16" t="n">
        <f aca="false">H21781*Assumptions!$H$66</f>
        <v>0</v>
      </c>
      <c r="I21786" s="16" t="n">
        <f aca="false">I21781*Assumptions!$H$66</f>
        <v>0</v>
      </c>
      <c r="J21786" s="16" t="n">
        <f aca="false">J21781*Assumptions!$H$66</f>
        <v>0</v>
      </c>
      <c r="K21786" s="16" t="n">
        <f aca="false">K21781*Assumptions!$H$66</f>
        <v>0</v>
      </c>
    </row>
    <row r="21787" customFormat="false" ht="15" hidden="false" customHeight="false" outlineLevel="0" collapsed="false">
      <c r="A21787" s="3" t="s">
        <v>334</v>
      </c>
      <c r="G21787" s="16" t="n">
        <f aca="false">MIN(G21781,Assumptions!$L$66*Assumptions!$C$66)</f>
        <v>0</v>
      </c>
      <c r="H21787" s="16" t="n">
        <f aca="false">MIN(H21781,Assumptions!$L$66*Assumptions!$C$66)</f>
        <v>0</v>
      </c>
      <c r="I21787" s="16" t="n">
        <f aca="false">MIN(I21781,Assumptions!$L$66*Assumptions!$C$66)</f>
        <v>0</v>
      </c>
      <c r="J21787" s="16" t="n">
        <f aca="false">MIN(J21781,Assumptions!$L$66*Assumptions!$C$66)</f>
        <v>0</v>
      </c>
      <c r="K21787" s="16" t="n">
        <f aca="false">MIN(K21781,Assumptions!$L$66*Assumptions!$C$66)</f>
        <v>0</v>
      </c>
    </row>
    <row r="21788" customFormat="false" ht="15" hidden="false" customHeight="false" outlineLevel="0" collapsed="false">
      <c r="A21788" s="3" t="s">
        <v>335</v>
      </c>
      <c r="G21788" s="16" t="n">
        <f aca="false">IF(AND(Assumptions!$P$66=1,G21628&lt;Assumptions!$K$66),MIN(MAX(0,-G21844),MAX(0,Assumptions!$D$66-G21781)),0)</f>
        <v>0</v>
      </c>
      <c r="H21788" s="16" t="n">
        <f aca="false">IF(AND(Assumptions!$P$66=1,OR(H21628&lt;Assumptions!$K$66,G21983=1)),MIN(MAX(0,-H21844),MAX(0,Assumptions!$D$66-H21781)),0)</f>
        <v>0</v>
      </c>
      <c r="I21788" s="16" t="n">
        <f aca="false">IF(AND(Assumptions!$P$66=1,OR(I21628&lt;Assumptions!$K$66,H21983=1)),MIN(MAX(0,-I21844),MAX(0,Assumptions!$D$66-I21781)),0)</f>
        <v>0</v>
      </c>
      <c r="J21788" s="16" t="n">
        <f aca="false">IF(AND(Assumptions!$P$66=1,OR(J21628&lt;Assumptions!$K$66,I21983=1)),MIN(MAX(0,-J21844),MAX(0,Assumptions!$D$66-J21781)),0)</f>
        <v>0</v>
      </c>
      <c r="K21788" s="16" t="n">
        <f aca="false">IF(AND(Assumptions!$P$66=1,OR(K21628&lt;Assumptions!$K$66,J21983=1)),MIN(MAX(0,-K21844),MAX(0,Assumptions!$D$66-K21781)),0)</f>
        <v>0</v>
      </c>
    </row>
    <row r="21789" customFormat="false" ht="15" hidden="false" customHeight="false" outlineLevel="0" collapsed="false">
      <c r="A21789" s="3" t="s">
        <v>336</v>
      </c>
      <c r="G21789" s="16" t="n">
        <f aca="false">G21782*MIN(G21781-G21787+G21786,MAX(0,G21846-Assumptions!$C$12*G21662-G21672-G21685-G21698-G21711-G21724-G21737-G21750-G21763-G21776))</f>
        <v>0</v>
      </c>
      <c r="H21789" s="16" t="n">
        <f aca="false">H21782*MIN(H21781-H21787+H21786,MAX(0,H21846-Assumptions!$C$12*H21662-H21672-H21685-H21698-H21711-H21724-H21737-H21750-H21763-H21776))</f>
        <v>0</v>
      </c>
      <c r="I21789" s="16" t="n">
        <f aca="false">I21782*MIN(I21781-I21787+I21786,MAX(0,I21846-Assumptions!$C$12*I21662-I21672-I21685-I21698-I21711-I21724-I21737-I21750-I21763-I21776))</f>
        <v>0</v>
      </c>
      <c r="J21789" s="16" t="n">
        <f aca="false">J21782*MIN(J21781-J21787+J21786,MAX(0,J21846-Assumptions!$C$12*J21662-J21672-J21685-J21698-J21711-J21724-J21737-J21750-J21763-J21776))</f>
        <v>0</v>
      </c>
      <c r="K21789" s="16" t="n">
        <f aca="false">K21782*MIN(K21781-K21787+K21786,MAX(0,K21846-Assumptions!$C$12*K21662-K21672-K21685-K21698-K21711-K21724-K21737-K21750-K21763-K21776))</f>
        <v>0</v>
      </c>
    </row>
    <row r="21790" customFormat="false" ht="15" hidden="false" customHeight="false" outlineLevel="0" collapsed="false">
      <c r="A21790" s="3" t="s">
        <v>337</v>
      </c>
      <c r="G21790" s="16" t="n">
        <f aca="false">Assumptions!$N$66*MIN(G21781+G21788+G21786-G21787-G21789,MAX(0,G21850-G21673-G21686-G21699-G21712-G21725-G21738-G21751-G21764-G21777))</f>
        <v>0</v>
      </c>
      <c r="H21790" s="16" t="n">
        <f aca="false">Assumptions!$N$66*MIN(H21781+H21788+H21786-H21787-H21789,MAX(0,H21850-H21673-H21686-H21699-H21712-H21725-H21738-H21751-H21764-H21777))</f>
        <v>0</v>
      </c>
      <c r="I21790" s="16" t="n">
        <f aca="false">Assumptions!$N$66*MIN(I21781+I21788+I21786-I21787-I21789,MAX(0,I21850-I21673-I21686-I21699-I21712-I21725-I21738-I21751-I21764-I21777))</f>
        <v>0</v>
      </c>
      <c r="J21790" s="16" t="n">
        <f aca="false">Assumptions!$N$66*MIN(J21781+J21788+J21786-J21787-J21789,MAX(0,J21850-J21673-J21686-J21699-J21712-J21725-J21738-J21751-J21764-J21777))</f>
        <v>0</v>
      </c>
      <c r="K21790" s="16" t="n">
        <f aca="false">Assumptions!$N$66*MIN(K21781+K21788+K21786-K21787-K21789,MAX(0,K21850-K21673-K21686-K21699-K21712-K21725-K21738-K21751-K21764-K21777))</f>
        <v>0</v>
      </c>
    </row>
    <row r="21791" customFormat="false" ht="15" hidden="false" customHeight="false" outlineLevel="0" collapsed="false">
      <c r="A21791" s="3" t="s">
        <v>338</v>
      </c>
      <c r="G21791" s="16" t="n">
        <f aca="false">G21782*(1-G21662)*(G21781-G21787+G21786-G21789)</f>
        <v>0</v>
      </c>
      <c r="H21791" s="16" t="n">
        <f aca="false">H21782*(1-H21662)*(H21781-H21787+H21786-H21789)</f>
        <v>0</v>
      </c>
      <c r="I21791" s="16" t="n">
        <f aca="false">I21782*(1-I21662)*(I21781-I21787+I21786-I21789)</f>
        <v>0</v>
      </c>
      <c r="J21791" s="16" t="n">
        <f aca="false">J21782*(1-J21662)*(J21781-J21787+J21786-J21789)</f>
        <v>0</v>
      </c>
      <c r="K21791" s="16" t="n">
        <f aca="false">K21782*(1-K21662)*(K21781-K21787+K21786-K21789)</f>
        <v>0</v>
      </c>
    </row>
    <row r="21792" customFormat="false" ht="15" hidden="false" customHeight="false" outlineLevel="0" collapsed="false">
      <c r="A21792" s="2" t="s">
        <v>339</v>
      </c>
      <c r="F21792" s="28" t="n">
        <f aca="false">Assumptions!$C$66</f>
        <v>78.61</v>
      </c>
      <c r="G21792" s="17" t="n">
        <f aca="false">G21781+G21788+G21786-G21787-G21789-G21790</f>
        <v>78.61</v>
      </c>
      <c r="H21792" s="17" t="n">
        <f aca="false">H21781+H21788+H21786-H21787-H21789-H21790</f>
        <v>78.61</v>
      </c>
      <c r="I21792" s="17" t="n">
        <f aca="false">I21781+I21788+I21786-I21787-I21789-I21790</f>
        <v>78.61</v>
      </c>
      <c r="J21792" s="17" t="n">
        <f aca="false">J21781+J21788+J21786-J21787-J21789-J21790</f>
        <v>78.61</v>
      </c>
      <c r="K21792" s="17" t="n">
        <f aca="false">K21781+K21788+K21786-K21787-K21789-K21790</f>
        <v>78.61</v>
      </c>
    </row>
    <row r="21793" customFormat="false" ht="15" hidden="false" customHeight="false" outlineLevel="0" collapsed="false">
      <c r="A21793" s="24" t="s">
        <v>349</v>
      </c>
      <c r="B21793" s="25"/>
      <c r="C21793" s="25"/>
      <c r="D21793" s="25"/>
      <c r="E21793" s="25"/>
      <c r="F21793" s="25"/>
      <c r="G21793" s="25"/>
      <c r="H21793" s="25"/>
      <c r="I21793" s="25"/>
      <c r="J21793" s="25"/>
      <c r="K21793" s="25"/>
    </row>
    <row r="21794" customFormat="false" ht="15" hidden="false" customHeight="false" outlineLevel="0" collapsed="false">
      <c r="A21794" s="2" t="s">
        <v>350</v>
      </c>
      <c r="F21794" s="17" t="n">
        <f aca="false">F21675+F21688+F21701+F21714+F21727+F21740+F21753+F21766+F21779+F21792</f>
        <v>2625.934</v>
      </c>
      <c r="G21794" s="17" t="n">
        <f aca="false">G21675+G21688+G21701+G21714+G21727+G21740+G21753+G21766+G21779+G21792</f>
        <v>2621.934</v>
      </c>
      <c r="H21794" s="17" t="n">
        <f aca="false">H21675+H21688+H21701+H21714+H21727+H21740+H21753+H21766+H21779+H21792</f>
        <v>2566.1239513738</v>
      </c>
      <c r="I21794" s="17" t="n">
        <f aca="false">I21675+I21688+I21701+I21714+I21727+I21740+I21753+I21766+I21779+I21792</f>
        <v>2623.45221755586</v>
      </c>
      <c r="J21794" s="17" t="n">
        <f aca="false">J21675+J21688+J21701+J21714+J21727+J21740+J21753+J21766+J21779+J21792</f>
        <v>2702.4665701586</v>
      </c>
      <c r="K21794" s="17" t="n">
        <f aca="false">K21675+K21688+K21701+K21714+K21727+K21740+K21753+K21766+K21779+K21792</f>
        <v>2796.70692553085</v>
      </c>
    </row>
    <row r="21795" customFormat="false" ht="15" hidden="false" customHeight="false" outlineLevel="0" collapsed="false">
      <c r="A21795" s="3" t="s">
        <v>351</v>
      </c>
      <c r="G21795" s="16" t="n">
        <f aca="false">G21665*Assumptions!$C$57+G21678*Assumptions!$C$58+G21691*Assumptions!$C$59+G21704*Assumptions!$C$60+G21717*Assumptions!$C$61+G21730*Assumptions!$C$62+G21743*Assumptions!$C$63+G21756*Assumptions!$C$64+G21769*Assumptions!$C$65+G21782*Assumptions!$C$66</f>
        <v>0</v>
      </c>
      <c r="H21795" s="16" t="n">
        <f aca="false">H21665*Assumptions!$C$57+H21678*Assumptions!$C$58+H21691*Assumptions!$C$59+H21704*Assumptions!$C$60+H21717*Assumptions!$C$61+H21730*Assumptions!$C$62+H21743*Assumptions!$C$63+H21756*Assumptions!$C$64+H21769*Assumptions!$C$65+H21782*Assumptions!$C$66</f>
        <v>800</v>
      </c>
      <c r="I21795" s="16" t="n">
        <f aca="false">I21665*Assumptions!$C$57+I21678*Assumptions!$C$58+I21691*Assumptions!$C$59+I21704*Assumptions!$C$60+I21717*Assumptions!$C$61+I21730*Assumptions!$C$62+I21743*Assumptions!$C$63+I21756*Assumptions!$C$64+I21769*Assumptions!$C$65+I21782*Assumptions!$C$66</f>
        <v>550</v>
      </c>
      <c r="J21795" s="16" t="n">
        <f aca="false">J21665*Assumptions!$C$57+J21678*Assumptions!$C$58+J21691*Assumptions!$C$59+J21704*Assumptions!$C$60+J21717*Assumptions!$C$61+J21730*Assumptions!$C$62+J21743*Assumptions!$C$63+J21756*Assumptions!$C$64+J21769*Assumptions!$C$65+J21782*Assumptions!$C$66</f>
        <v>350</v>
      </c>
      <c r="K21795" s="16" t="n">
        <f aca="false">K21665*Assumptions!$C$57+K21678*Assumptions!$C$58+K21691*Assumptions!$C$59+K21704*Assumptions!$C$60+K21717*Assumptions!$C$61+K21730*Assumptions!$C$62+K21743*Assumptions!$C$63+K21756*Assumptions!$C$64+K21769*Assumptions!$C$65+K21782*Assumptions!$C$66</f>
        <v>700</v>
      </c>
    </row>
    <row r="21796" customFormat="false" ht="15" hidden="false" customHeight="false" outlineLevel="0" collapsed="false">
      <c r="A21796" s="24" t="s">
        <v>352</v>
      </c>
      <c r="B21796" s="25"/>
      <c r="C21796" s="25"/>
      <c r="D21796" s="25"/>
      <c r="E21796" s="25"/>
      <c r="F21796" s="25"/>
      <c r="G21796" s="25"/>
      <c r="H21796" s="25"/>
      <c r="I21796" s="25"/>
      <c r="J21796" s="25"/>
      <c r="K21796" s="25"/>
    </row>
    <row r="21797" customFormat="false" ht="15" hidden="false" customHeight="false" outlineLevel="0" collapsed="false">
      <c r="A21797" s="3" t="s">
        <v>353</v>
      </c>
      <c r="C21797" s="16" t="n">
        <f aca="false">SUMPRODUCT($G$21665:$K$21665,$G$21664:$K$21664-$G$21670:$K$21670+$G$21669:$K$21669)</f>
        <v>380</v>
      </c>
    </row>
    <row r="21798" customFormat="false" ht="15" hidden="false" customHeight="false" outlineLevel="0" collapsed="false">
      <c r="A21798" s="3" t="s">
        <v>354</v>
      </c>
      <c r="C21798" s="16" t="n">
        <f aca="false">SUMPRODUCT($G$21665:$K$21665,$G$21672:$K$21672)</f>
        <v>0</v>
      </c>
    </row>
    <row r="21799" customFormat="false" ht="15" hidden="false" customHeight="false" outlineLevel="0" collapsed="false">
      <c r="A21799" s="3" t="s">
        <v>355</v>
      </c>
      <c r="C21799" s="3" t="str">
        <f aca="false">IF(SUM($G$21665:$K$21665)=0,"n/a (beyond horizon)",IF(SUMPRODUCT($G$21665:$K$21665,$G$21662:$K$21662)&gt;0,"REFINANCING PASS","REFINANCING FAILURE"))</f>
        <v>REFINANCING PASS</v>
      </c>
    </row>
    <row r="21800" customFormat="false" ht="15" hidden="false" customHeight="false" outlineLevel="0" collapsed="false">
      <c r="A21800" s="3" t="s">
        <v>356</v>
      </c>
      <c r="C21800" s="3" t="str">
        <f aca="false">IF(SUM($G$21665:$K$21665)=0,"n/a",IF(C21798&gt;=C21797-0.001,"Repaid from cash",IF(SUMPRODUCT($G$21665:$K$21665,$G$21662:$K$21662)&gt;0,IF(C21798&gt;0,"Partly repaid; remainder refinanced","Refinanced"),IF(SUM($G$21674:$K$21674)&gt;0.001,IF(C21798&gt;0,"Partial repayment; PAYMENT DEFAULT","PAYMENT DEFAULT"),"Repaid from cash"))))</f>
        <v>Refinanced</v>
      </c>
    </row>
    <row r="21801" customFormat="false" ht="15" hidden="false" customHeight="false" outlineLevel="0" collapsed="false">
      <c r="A21801" s="3" t="s">
        <v>357</v>
      </c>
      <c r="C21801" s="16" t="n">
        <f aca="false">SUMPRODUCT($G$21678:$K$21678,$G$21677:$K$21677-$G$21683:$K$21683+$G$21682:$K$21682)</f>
        <v>0</v>
      </c>
    </row>
    <row r="21802" customFormat="false" ht="15" hidden="false" customHeight="false" outlineLevel="0" collapsed="false">
      <c r="A21802" s="3" t="s">
        <v>358</v>
      </c>
      <c r="C21802" s="16" t="n">
        <f aca="false">SUMPRODUCT($G$21678:$K$21678,$G$21685:$K$21685)</f>
        <v>0</v>
      </c>
    </row>
    <row r="21803" customFormat="false" ht="15" hidden="false" customHeight="false" outlineLevel="0" collapsed="false">
      <c r="A21803" s="3" t="s">
        <v>359</v>
      </c>
      <c r="C21803" s="3" t="str">
        <f aca="false">IF(SUM($G$21678:$K$21678)=0,"n/a (beyond horizon)",IF(SUMPRODUCT($G$21678:$K$21678,$G$21662:$K$21662)&gt;0,"REFINANCING PASS","REFINANCING FAILURE"))</f>
        <v>n/a (beyond horizon)</v>
      </c>
    </row>
    <row r="21804" customFormat="false" ht="15" hidden="false" customHeight="false" outlineLevel="0" collapsed="false">
      <c r="A21804" s="3" t="s">
        <v>360</v>
      </c>
      <c r="C21804" s="3" t="str">
        <f aca="false">IF(SUM($G$21678:$K$21678)=0,"n/a",IF(C21802&gt;=C21801-0.001,"Repaid from cash",IF(SUMPRODUCT($G$21678:$K$21678,$G$21662:$K$21662)&gt;0,IF(C21802&gt;0,"Partly repaid; remainder refinanced","Refinanced"),IF(SUM($G$21687:$K$21687)&gt;0.001,IF(C21802&gt;0,"Partial repayment; PAYMENT DEFAULT","PAYMENT DEFAULT"),"Repaid from cash"))))</f>
        <v>n/a</v>
      </c>
    </row>
    <row r="21805" customFormat="false" ht="15" hidden="false" customHeight="false" outlineLevel="0" collapsed="false">
      <c r="A21805" s="3" t="s">
        <v>361</v>
      </c>
      <c r="C21805" s="16" t="n">
        <f aca="false">SUMPRODUCT($G$21691:$K$21691,$G$21690:$K$21690-$G$21696:$K$21696+$G$21695:$K$21695)</f>
        <v>0</v>
      </c>
    </row>
    <row r="21806" customFormat="false" ht="15" hidden="false" customHeight="false" outlineLevel="0" collapsed="false">
      <c r="A21806" s="3" t="s">
        <v>362</v>
      </c>
      <c r="C21806" s="16" t="n">
        <f aca="false">SUMPRODUCT($G$21691:$K$21691,$G$21698:$K$21698)</f>
        <v>0</v>
      </c>
    </row>
    <row r="21807" customFormat="false" ht="15" hidden="false" customHeight="false" outlineLevel="0" collapsed="false">
      <c r="A21807" s="3" t="s">
        <v>363</v>
      </c>
      <c r="C21807" s="3" t="str">
        <f aca="false">IF(SUM($G$21691:$K$21691)=0,"n/a (beyond horizon)",IF(SUMPRODUCT($G$21691:$K$21691,$G$21662:$K$21662)&gt;0,"REFINANCING PASS","REFINANCING FAILURE"))</f>
        <v>n/a (beyond horizon)</v>
      </c>
    </row>
    <row r="21808" customFormat="false" ht="15" hidden="false" customHeight="false" outlineLevel="0" collapsed="false">
      <c r="A21808" s="3" t="s">
        <v>364</v>
      </c>
      <c r="C21808" s="3" t="str">
        <f aca="false">IF(SUM($G$21691:$K$21691)=0,"n/a",IF(C21806&gt;=C21805-0.001,"Repaid from cash",IF(SUMPRODUCT($G$21691:$K$21691,$G$21662:$K$21662)&gt;0,IF(C21806&gt;0,"Partly repaid; remainder refinanced","Refinanced"),IF(SUM($G$21700:$K$21700)&gt;0.001,IF(C21806&gt;0,"Partial repayment; PAYMENT DEFAULT","PAYMENT DEFAULT"),"Repaid from cash"))))</f>
        <v>n/a</v>
      </c>
    </row>
    <row r="21809" customFormat="false" ht="15" hidden="false" customHeight="false" outlineLevel="0" collapsed="false">
      <c r="A21809" s="3" t="s">
        <v>365</v>
      </c>
      <c r="C21809" s="16" t="n">
        <f aca="false">SUMPRODUCT($G$21704:$K$21704,$G$21703:$K$21703-$G$21709:$K$21709+$G$21708:$K$21708)</f>
        <v>0</v>
      </c>
    </row>
    <row r="21810" customFormat="false" ht="15" hidden="false" customHeight="false" outlineLevel="0" collapsed="false">
      <c r="A21810" s="3" t="s">
        <v>366</v>
      </c>
      <c r="C21810" s="16" t="n">
        <f aca="false">SUMPRODUCT($G$21704:$K$21704,$G$21711:$K$21711)</f>
        <v>0</v>
      </c>
    </row>
    <row r="21811" customFormat="false" ht="15" hidden="false" customHeight="false" outlineLevel="0" collapsed="false">
      <c r="A21811" s="3" t="s">
        <v>367</v>
      </c>
      <c r="C21811" s="3" t="str">
        <f aca="false">IF(SUM($G$21704:$K$21704)=0,"n/a (beyond horizon)",IF(SUMPRODUCT($G$21704:$K$21704,$G$21662:$K$21662)&gt;0,"REFINANCING PASS","REFINANCING FAILURE"))</f>
        <v>REFINANCING PASS</v>
      </c>
    </row>
    <row r="21812" customFormat="false" ht="15" hidden="false" customHeight="false" outlineLevel="0" collapsed="false">
      <c r="A21812" s="3" t="s">
        <v>368</v>
      </c>
      <c r="C21812" s="3" t="str">
        <f aca="false">IF(SUM($G$21704:$K$21704)=0,"n/a",IF(C21810&gt;=C21809-0.001,"Repaid from cash",IF(SUMPRODUCT($G$21704:$K$21704,$G$21662:$K$21662)&gt;0,IF(C21810&gt;0,"Partly repaid; remainder refinanced","Refinanced"),IF(SUM($G$21713:$K$21713)&gt;0.001,IF(C21810&gt;0,"Partial repayment; PAYMENT DEFAULT","PAYMENT DEFAULT"),"Repaid from cash"))))</f>
        <v>Repaid from cash</v>
      </c>
    </row>
    <row r="21813" customFormat="false" ht="15" hidden="false" customHeight="false" outlineLevel="0" collapsed="false">
      <c r="A21813" s="3" t="s">
        <v>369</v>
      </c>
      <c r="C21813" s="16" t="n">
        <f aca="false">SUMPRODUCT($G$21717:$K$21717,$G$21716:$K$21716-$G$21722:$K$21722+$G$21721:$K$21721)</f>
        <v>450</v>
      </c>
    </row>
    <row r="21814" customFormat="false" ht="15" hidden="false" customHeight="false" outlineLevel="0" collapsed="false">
      <c r="A21814" s="3" t="s">
        <v>370</v>
      </c>
      <c r="C21814" s="16" t="n">
        <f aca="false">SUMPRODUCT($G$21717:$K$21717,$G$21724:$K$21724)</f>
        <v>51.8100486262</v>
      </c>
    </row>
    <row r="21815" customFormat="false" ht="15" hidden="false" customHeight="false" outlineLevel="0" collapsed="false">
      <c r="A21815" s="3" t="s">
        <v>371</v>
      </c>
      <c r="C21815" s="3" t="str">
        <f aca="false">IF(SUM($G$21717:$K$21717)=0,"n/a (beyond horizon)",IF(SUMPRODUCT($G$21717:$K$21717,$G$21662:$K$21662)&gt;0,"REFINANCING PASS","REFINANCING FAILURE"))</f>
        <v>REFINANCING PASS</v>
      </c>
    </row>
    <row r="21816" customFormat="false" ht="15" hidden="false" customHeight="false" outlineLevel="0" collapsed="false">
      <c r="A21816" s="3" t="s">
        <v>372</v>
      </c>
      <c r="C21816" s="3" t="str">
        <f aca="false">IF(SUM($G$21717:$K$21717)=0,"n/a",IF(C21814&gt;=C21813-0.001,"Repaid from cash",IF(SUMPRODUCT($G$21717:$K$21717,$G$21662:$K$21662)&gt;0,IF(C21814&gt;0,"Partly repaid; remainder refinanced","Refinanced"),IF(SUM($G$21726:$K$21726)&gt;0.001,IF(C21814&gt;0,"Partial repayment; PAYMENT DEFAULT","PAYMENT DEFAULT"),"Repaid from cash"))))</f>
        <v>Partly repaid; remainder refinanced</v>
      </c>
    </row>
    <row r="21817" customFormat="false" ht="15" hidden="false" customHeight="false" outlineLevel="0" collapsed="false">
      <c r="A21817" s="3" t="s">
        <v>373</v>
      </c>
      <c r="C21817" s="16" t="n">
        <f aca="false">SUMPRODUCT($G$21730:$K$21730,$G$21729:$K$21729-$G$21735:$K$21735+$G$21734:$K$21734)</f>
        <v>350</v>
      </c>
    </row>
    <row r="21818" customFormat="false" ht="15" hidden="false" customHeight="false" outlineLevel="0" collapsed="false">
      <c r="A21818" s="3" t="s">
        <v>374</v>
      </c>
      <c r="C21818" s="16" t="n">
        <f aca="false">SUMPRODUCT($G$21730:$K$21730,$G$21737:$K$21737)</f>
        <v>0</v>
      </c>
    </row>
    <row r="21819" customFormat="false" ht="15" hidden="false" customHeight="false" outlineLevel="0" collapsed="false">
      <c r="A21819" s="3" t="s">
        <v>375</v>
      </c>
      <c r="C21819" s="3" t="str">
        <f aca="false">IF(SUM($G$21730:$K$21730)=0,"n/a (beyond horizon)",IF(SUMPRODUCT($G$21730:$K$21730,$G$21662:$K$21662)&gt;0,"REFINANCING PASS","REFINANCING FAILURE"))</f>
        <v>REFINANCING PASS</v>
      </c>
    </row>
    <row r="21820" customFormat="false" ht="15" hidden="false" customHeight="false" outlineLevel="0" collapsed="false">
      <c r="A21820" s="3" t="s">
        <v>376</v>
      </c>
      <c r="C21820" s="3" t="str">
        <f aca="false">IF(SUM($G$21730:$K$21730)=0,"n/a",IF(C21818&gt;=C21817-0.001,"Repaid from cash",IF(SUMPRODUCT($G$21730:$K$21730,$G$21662:$K$21662)&gt;0,IF(C21818&gt;0,"Partly repaid; remainder refinanced","Refinanced"),IF(SUM($G$21739:$K$21739)&gt;0.001,IF(C21818&gt;0,"Partial repayment; PAYMENT DEFAULT","PAYMENT DEFAULT"),"Repaid from cash"))))</f>
        <v>Refinanced</v>
      </c>
    </row>
    <row r="21821" customFormat="false" ht="15" hidden="false" customHeight="false" outlineLevel="0" collapsed="false">
      <c r="A21821" s="3" t="s">
        <v>377</v>
      </c>
      <c r="C21821" s="16" t="n">
        <f aca="false">SUMPRODUCT($G$21743:$K$21743,$G$21742:$K$21742-$G$21748:$K$21748+$G$21747:$K$21747)</f>
        <v>550</v>
      </c>
    </row>
    <row r="21822" customFormat="false" ht="15" hidden="false" customHeight="false" outlineLevel="0" collapsed="false">
      <c r="A21822" s="3" t="s">
        <v>378</v>
      </c>
      <c r="C21822" s="16" t="n">
        <f aca="false">SUMPRODUCT($G$21743:$K$21743,$G$21750:$K$21750)</f>
        <v>0</v>
      </c>
    </row>
    <row r="21823" customFormat="false" ht="15" hidden="false" customHeight="false" outlineLevel="0" collapsed="false">
      <c r="A21823" s="3" t="s">
        <v>379</v>
      </c>
      <c r="C21823" s="3" t="str">
        <f aca="false">IF(SUM($G$21743:$K$21743)=0,"n/a (beyond horizon)",IF(SUMPRODUCT($G$21743:$K$21743,$G$21662:$K$21662)&gt;0,"REFINANCING PASS","REFINANCING FAILURE"))</f>
        <v>REFINANCING PASS</v>
      </c>
    </row>
    <row r="21824" customFormat="false" ht="15" hidden="false" customHeight="false" outlineLevel="0" collapsed="false">
      <c r="A21824" s="3" t="s">
        <v>380</v>
      </c>
      <c r="C21824" s="3" t="str">
        <f aca="false">IF(SUM($G$21743:$K$21743)=0,"n/a",IF(C21822&gt;=C21821-0.001,"Repaid from cash",IF(SUMPRODUCT($G$21743:$K$21743,$G$21662:$K$21662)&gt;0,IF(C21822&gt;0,"Partly repaid; remainder refinanced","Refinanced"),IF(SUM($G$21752:$K$21752)&gt;0.001,IF(C21822&gt;0,"Partial repayment; PAYMENT DEFAULT","PAYMENT DEFAULT"),"Repaid from cash"))))</f>
        <v>Refinanced</v>
      </c>
    </row>
    <row r="21825" customFormat="false" ht="15" hidden="false" customHeight="false" outlineLevel="0" collapsed="false">
      <c r="A21825" s="3" t="s">
        <v>381</v>
      </c>
      <c r="C21825" s="16" t="n">
        <f aca="false">SUMPRODUCT($G$21756:$K$21756,$G$21755:$K$21755-$G$21761:$K$21761+$G$21760:$K$21760)</f>
        <v>350</v>
      </c>
    </row>
    <row r="21826" customFormat="false" ht="15" hidden="false" customHeight="false" outlineLevel="0" collapsed="false">
      <c r="A21826" s="3" t="s">
        <v>382</v>
      </c>
      <c r="C21826" s="16" t="n">
        <f aca="false">SUMPRODUCT($G$21756:$K$21756,$G$21763:$K$21763)</f>
        <v>0</v>
      </c>
    </row>
    <row r="21827" customFormat="false" ht="15" hidden="false" customHeight="false" outlineLevel="0" collapsed="false">
      <c r="A21827" s="3" t="s">
        <v>383</v>
      </c>
      <c r="C21827" s="3" t="str">
        <f aca="false">IF(SUM($G$21756:$K$21756)=0,"n/a (beyond horizon)",IF(SUMPRODUCT($G$21756:$K$21756,$G$21662:$K$21662)&gt;0,"REFINANCING PASS","REFINANCING FAILURE"))</f>
        <v>REFINANCING PASS</v>
      </c>
    </row>
    <row r="21828" customFormat="false" ht="15" hidden="false" customHeight="false" outlineLevel="0" collapsed="false">
      <c r="A21828" s="3" t="s">
        <v>384</v>
      </c>
      <c r="C21828" s="3" t="str">
        <f aca="false">IF(SUM($G$21756:$K$21756)=0,"n/a",IF(C21826&gt;=C21825-0.001,"Repaid from cash",IF(SUMPRODUCT($G$21756:$K$21756,$G$21662:$K$21662)&gt;0,IF(C21826&gt;0,"Partly repaid; remainder refinanced","Refinanced"),IF(SUM($G$21765:$K$21765)&gt;0.001,IF(C21826&gt;0,"Partial repayment; PAYMENT DEFAULT","PAYMENT DEFAULT"),"Repaid from cash"))))</f>
        <v>Refinanced</v>
      </c>
    </row>
    <row r="21829" customFormat="false" ht="15" hidden="false" customHeight="false" outlineLevel="0" collapsed="false">
      <c r="A21829" s="3" t="s">
        <v>385</v>
      </c>
      <c r="C21829" s="16" t="n">
        <f aca="false">SUMPRODUCT($G$21769:$K$21769,$G$21768:$K$21768-$G$21774:$K$21774+$G$21773:$K$21773)</f>
        <v>300</v>
      </c>
    </row>
    <row r="21830" customFormat="false" ht="15" hidden="false" customHeight="false" outlineLevel="0" collapsed="false">
      <c r="A21830" s="3" t="s">
        <v>386</v>
      </c>
      <c r="C21830" s="16" t="n">
        <f aca="false">SUMPRODUCT($G$21769:$K$21769,$G$21776:$K$21776)</f>
        <v>0</v>
      </c>
    </row>
    <row r="21831" customFormat="false" ht="15" hidden="false" customHeight="false" outlineLevel="0" collapsed="false">
      <c r="A21831" s="3" t="s">
        <v>387</v>
      </c>
      <c r="C21831" s="3" t="str">
        <f aca="false">IF(SUM($G$21769:$K$21769)=0,"n/a (beyond horizon)",IF(SUMPRODUCT($G$21769:$K$21769,$G$21662:$K$21662)&gt;0,"REFINANCING PASS","REFINANCING FAILURE"))</f>
        <v>REFINANCING PASS</v>
      </c>
    </row>
    <row r="21832" customFormat="false" ht="15" hidden="false" customHeight="false" outlineLevel="0" collapsed="false">
      <c r="A21832" s="3" t="s">
        <v>388</v>
      </c>
      <c r="C21832" s="3" t="str">
        <f aca="false">IF(SUM($G$21769:$K$21769)=0,"n/a",IF(C21830&gt;=C21829-0.001,"Repaid from cash",IF(SUMPRODUCT($G$21769:$K$21769,$G$21662:$K$21662)&gt;0,IF(C21830&gt;0,"Partly repaid; remainder refinanced","Refinanced"),IF(SUM($G$21778:$K$21778)&gt;0.001,IF(C21830&gt;0,"Partial repayment; PAYMENT DEFAULT","PAYMENT DEFAULT"),"Repaid from cash"))))</f>
        <v>Refinanced</v>
      </c>
    </row>
    <row r="21833" customFormat="false" ht="15" hidden="false" customHeight="false" outlineLevel="0" collapsed="false">
      <c r="A21833" s="3" t="s">
        <v>389</v>
      </c>
      <c r="C21833" s="16" t="n">
        <f aca="false">SUMPRODUCT($G$21782:$K$21782,$G$21781:$K$21781-$G$21787:$K$21787+$G$21786:$K$21786)</f>
        <v>0</v>
      </c>
    </row>
    <row r="21834" customFormat="false" ht="15" hidden="false" customHeight="false" outlineLevel="0" collapsed="false">
      <c r="A21834" s="3" t="s">
        <v>390</v>
      </c>
      <c r="C21834" s="16" t="n">
        <f aca="false">SUMPRODUCT($G$21782:$K$21782,$G$21789:$K$21789)</f>
        <v>0</v>
      </c>
    </row>
    <row r="21835" customFormat="false" ht="15" hidden="false" customHeight="false" outlineLevel="0" collapsed="false">
      <c r="A21835" s="3" t="s">
        <v>391</v>
      </c>
      <c r="C21835" s="3" t="str">
        <f aca="false">IF(SUM($G$21782:$K$21782)=0,"n/a (beyond horizon)",IF(SUMPRODUCT($G$21782:$K$21782,$G$21662:$K$21662)&gt;0,"REFINANCING PASS","REFINANCING FAILURE"))</f>
        <v>n/a (beyond horizon)</v>
      </c>
    </row>
    <row r="21836" customFormat="false" ht="15" hidden="false" customHeight="false" outlineLevel="0" collapsed="false">
      <c r="A21836" s="3" t="s">
        <v>392</v>
      </c>
      <c r="C21836" s="3" t="str">
        <f aca="false">IF(SUM($G$21782:$K$21782)=0,"n/a",IF(C21834&gt;=C21833-0.001,"Repaid from cash",IF(SUMPRODUCT($G$21782:$K$21782,$G$21662:$K$21662)&gt;0,IF(C21834&gt;0,"Partly repaid; remainder refinanced","Refinanced"),IF(SUM($G$21791:$K$21791)&gt;0.001,IF(C21834&gt;0,"Partial repayment; PAYMENT DEFAULT","PAYMENT DEFAULT"),"Repaid from cash"))))</f>
        <v>n/a</v>
      </c>
    </row>
    <row r="21837" customFormat="false" ht="15" hidden="false" customHeight="false" outlineLevel="0" collapsed="false">
      <c r="A21837" s="3" t="s">
        <v>393</v>
      </c>
      <c r="C21837" s="21" t="n">
        <f aca="false">IF(C21799="REFINANCING FAILURE",1,0)+IF(C21803="REFINANCING FAILURE",1,0)+IF(C21807="REFINANCING FAILURE",1,0)+IF(C21811="REFINANCING FAILURE",1,0)+IF(C21815="REFINANCING FAILURE",1,0)+IF(C21819="REFINANCING FAILURE",1,0)+IF(C21823="REFINANCING FAILURE",1,0)+IF(C21827="REFINANCING FAILURE",1,0)+IF(C21831="REFINANCING FAILURE",1,0)+IF(C21835="REFINANCING FAILURE",1,0)</f>
        <v>0</v>
      </c>
    </row>
    <row r="21839" customFormat="false" ht="15" hidden="false" customHeight="false" outlineLevel="0" collapsed="false">
      <c r="A21839" s="24" t="s">
        <v>395</v>
      </c>
      <c r="B21839" s="25"/>
      <c r="C21839" s="25"/>
      <c r="D21839" s="25"/>
      <c r="E21839" s="25"/>
      <c r="F21839" s="25"/>
      <c r="G21839" s="25"/>
      <c r="H21839" s="25"/>
      <c r="I21839" s="25"/>
      <c r="J21839" s="25"/>
      <c r="K21839" s="25"/>
    </row>
    <row r="21840" customFormat="false" ht="15" hidden="false" customHeight="false" outlineLevel="0" collapsed="false">
      <c r="A21840" s="3" t="s">
        <v>325</v>
      </c>
      <c r="G21840" s="16" t="n">
        <f aca="false">F21852</f>
        <v>37.87</v>
      </c>
      <c r="H21840" s="16" t="n">
        <f aca="false">G21852</f>
        <v>155.1148686</v>
      </c>
      <c r="I21840" s="16" t="n">
        <f aca="false">H21852</f>
        <v>25</v>
      </c>
      <c r="J21840" s="16" t="n">
        <f aca="false">I21852</f>
        <v>0</v>
      </c>
      <c r="K21840" s="16" t="n">
        <f aca="false">J21852</f>
        <v>0</v>
      </c>
    </row>
    <row r="21841" customFormat="false" ht="15" hidden="false" customHeight="false" outlineLevel="0" collapsed="false">
      <c r="A21841" s="3" t="s">
        <v>396</v>
      </c>
      <c r="G21841" s="16" t="n">
        <f aca="false">G21651</f>
        <v>-78.7551314</v>
      </c>
      <c r="H21841" s="16" t="n">
        <f aca="false">H21651</f>
        <v>-74.3048199738</v>
      </c>
      <c r="I21841" s="16" t="n">
        <f aca="false">I21651</f>
        <v>-82.328266182056</v>
      </c>
      <c r="J21841" s="16" t="n">
        <f aca="false">J21651</f>
        <v>-79.0143526027392</v>
      </c>
      <c r="K21841" s="16" t="n">
        <f aca="false">K21651</f>
        <v>-94.2403553722529</v>
      </c>
    </row>
    <row r="21842" customFormat="false" ht="15" hidden="false" customHeight="false" outlineLevel="0" collapsed="false">
      <c r="A21842" s="3" t="s">
        <v>397</v>
      </c>
      <c r="G21842" s="16" t="n">
        <f aca="false">CHOOSE($C$21621,Assumptions!$G$82,Assumptions!$G$101,Assumptions!$G$120)</f>
        <v>200</v>
      </c>
      <c r="H21842" s="16" t="n">
        <f aca="false">CHOOSE($C$21621,Assumptions!$H$82,Assumptions!$H$101,Assumptions!$H$120)</f>
        <v>0</v>
      </c>
      <c r="I21842" s="16" t="n">
        <f aca="false">CHOOSE($C$21621,Assumptions!$I$82,Assumptions!$I$101,Assumptions!$I$120)</f>
        <v>0</v>
      </c>
      <c r="J21842" s="16" t="n">
        <f aca="false">CHOOSE($C$21621,Assumptions!$J$82,Assumptions!$J$101,Assumptions!$J$120)</f>
        <v>0</v>
      </c>
      <c r="K21842" s="16" t="n">
        <f aca="false">CHOOSE($C$21621,Assumptions!$K$82,Assumptions!$K$101,Assumptions!$K$120)</f>
        <v>0</v>
      </c>
    </row>
    <row r="21843" customFormat="false" ht="15" hidden="false" customHeight="false" outlineLevel="0" collapsed="false">
      <c r="A21843" s="3" t="s">
        <v>398</v>
      </c>
      <c r="G21843" s="16" t="n">
        <f aca="false">G21670+G21683+G21696+G21709+G21722+G21735+G21748+G21761+G21774+G21787</f>
        <v>4</v>
      </c>
      <c r="H21843" s="16" t="n">
        <f aca="false">H21670+H21683+H21696+H21709+H21722+H21735+H21748+H21761+H21774+H21787</f>
        <v>4</v>
      </c>
      <c r="I21843" s="16" t="n">
        <f aca="false">I21670+I21683+I21696+I21709+I21722+I21735+I21748+I21761+I21774+I21787</f>
        <v>4</v>
      </c>
      <c r="J21843" s="16" t="n">
        <f aca="false">J21670+J21683+J21696+J21709+J21722+J21735+J21748+J21761+J21774+J21787</f>
        <v>4</v>
      </c>
      <c r="K21843" s="16" t="n">
        <f aca="false">K21670+K21683+K21696+K21709+K21722+K21735+K21748+K21761+K21774+K21787</f>
        <v>4</v>
      </c>
    </row>
    <row r="21844" customFormat="false" ht="15" hidden="false" customHeight="false" outlineLevel="0" collapsed="false">
      <c r="A21844" s="2" t="s">
        <v>399</v>
      </c>
      <c r="G21844" s="17" t="n">
        <f aca="false">G21840+G21841+G21842-G21843</f>
        <v>155.1148686</v>
      </c>
      <c r="H21844" s="17" t="n">
        <f aca="false">H21840+H21841+H21842-H21843</f>
        <v>76.8100486262</v>
      </c>
      <c r="I21844" s="17" t="n">
        <f aca="false">I21840+I21841+I21842-I21843</f>
        <v>-61.328266182056</v>
      </c>
      <c r="J21844" s="17" t="n">
        <f aca="false">J21840+J21841+J21842-J21843</f>
        <v>-83.0143526027392</v>
      </c>
      <c r="K21844" s="17" t="n">
        <f aca="false">K21840+K21841+K21842-K21843</f>
        <v>-98.2403553722529</v>
      </c>
    </row>
    <row r="21845" customFormat="false" ht="15" hidden="false" customHeight="false" outlineLevel="0" collapsed="false">
      <c r="A21845" s="3" t="s">
        <v>400</v>
      </c>
      <c r="G21845" s="16" t="n">
        <f aca="false">G21671+G21684+G21697+G21710+G21723+G21736+G21749+G21762+G21775+G21788</f>
        <v>0</v>
      </c>
      <c r="H21845" s="16" t="n">
        <f aca="false">H21671+H21684+H21697+H21710+H21723+H21736+H21749+H21762+H21775+H21788</f>
        <v>0</v>
      </c>
      <c r="I21845" s="16" t="n">
        <f aca="false">I21671+I21684+I21697+I21710+I21723+I21736+I21749+I21762+I21775+I21788</f>
        <v>61.328266182056</v>
      </c>
      <c r="J21845" s="16" t="n">
        <f aca="false">J21671+J21684+J21697+J21710+J21723+J21736+J21749+J21762+J21775+J21788</f>
        <v>83.0143526027392</v>
      </c>
      <c r="K21845" s="16" t="n">
        <f aca="false">K21671+K21684+K21697+K21710+K21723+K21736+K21749+K21762+K21775+K21788</f>
        <v>98.2403553722529</v>
      </c>
    </row>
    <row r="21846" customFormat="false" ht="15" hidden="false" customHeight="false" outlineLevel="0" collapsed="false">
      <c r="A21846" s="2" t="s">
        <v>401</v>
      </c>
      <c r="G21846" s="17" t="n">
        <f aca="false">G21844+G21845</f>
        <v>155.1148686</v>
      </c>
      <c r="H21846" s="17" t="n">
        <f aca="false">H21844+H21845</f>
        <v>76.8100486262</v>
      </c>
      <c r="I21846" s="17" t="n">
        <f aca="false">I21844+I21845</f>
        <v>0</v>
      </c>
      <c r="J21846" s="17" t="n">
        <f aca="false">J21844+J21845</f>
        <v>0</v>
      </c>
      <c r="K21846" s="17" t="n">
        <f aca="false">K21844+K21845</f>
        <v>0</v>
      </c>
    </row>
    <row r="21847" customFormat="false" ht="15" hidden="false" customHeight="false" outlineLevel="0" collapsed="false">
      <c r="A21847" s="3" t="s">
        <v>402</v>
      </c>
      <c r="G21847" s="16" t="n">
        <f aca="false">G21672+G21685+G21698+G21711+G21724+G21737+G21750+G21763+G21776+G21789</f>
        <v>0</v>
      </c>
      <c r="H21847" s="16" t="n">
        <f aca="false">H21672+H21685+H21698+H21711+H21724+H21737+H21750+H21763+H21776+H21789</f>
        <v>51.8100486262</v>
      </c>
      <c r="I21847" s="16" t="n">
        <f aca="false">I21672+I21685+I21698+I21711+I21724+I21737+I21750+I21763+I21776+I21789</f>
        <v>0</v>
      </c>
      <c r="J21847" s="16" t="n">
        <f aca="false">J21672+J21685+J21698+J21711+J21724+J21737+J21750+J21763+J21776+J21789</f>
        <v>0</v>
      </c>
      <c r="K21847" s="16" t="n">
        <f aca="false">K21672+K21685+K21698+K21711+K21724+K21737+K21750+K21763+K21776+K21789</f>
        <v>0</v>
      </c>
    </row>
    <row r="21848" customFormat="false" ht="15" hidden="false" customHeight="false" outlineLevel="0" collapsed="false">
      <c r="A21848" s="2" t="s">
        <v>403</v>
      </c>
      <c r="G21848" s="17" t="n">
        <f aca="false">G21846-G21847</f>
        <v>155.1148686</v>
      </c>
      <c r="H21848" s="17" t="n">
        <f aca="false">H21846-H21847</f>
        <v>25</v>
      </c>
      <c r="I21848" s="17" t="n">
        <f aca="false">I21846-I21847</f>
        <v>0</v>
      </c>
      <c r="J21848" s="17" t="n">
        <f aca="false">J21846-J21847</f>
        <v>0</v>
      </c>
      <c r="K21848" s="17" t="n">
        <f aca="false">K21846-K21847</f>
        <v>0</v>
      </c>
    </row>
    <row r="21849" customFormat="false" ht="15" hidden="false" customHeight="false" outlineLevel="0" collapsed="false">
      <c r="A21849" s="3" t="s">
        <v>404</v>
      </c>
      <c r="G21849" s="16" t="n">
        <f aca="false">MAX(0,-G21848)</f>
        <v>0</v>
      </c>
      <c r="H21849" s="16" t="n">
        <f aca="false">MAX(0,-H21848)</f>
        <v>0</v>
      </c>
      <c r="I21849" s="16" t="n">
        <f aca="false">MAX(0,-I21848)</f>
        <v>-0</v>
      </c>
      <c r="J21849" s="16" t="n">
        <f aca="false">MAX(0,-J21848)</f>
        <v>-0</v>
      </c>
      <c r="K21849" s="16" t="n">
        <f aca="false">MAX(0,-K21848)</f>
        <v>-0</v>
      </c>
    </row>
    <row r="21850" customFormat="false" ht="15" hidden="false" customHeight="false" outlineLevel="0" collapsed="false">
      <c r="A21850" s="3" t="s">
        <v>405</v>
      </c>
      <c r="G21850" s="16" t="n">
        <f aca="false">MAX(0,G21848-Assumptions!$C$12)*Assumptions!$C$13</f>
        <v>0</v>
      </c>
      <c r="H21850" s="16" t="n">
        <f aca="false">MAX(0,H21848-Assumptions!$C$12)*Assumptions!$C$13</f>
        <v>0</v>
      </c>
      <c r="I21850" s="16" t="n">
        <f aca="false">MAX(0,I21848-Assumptions!$C$12)*Assumptions!$C$13</f>
        <v>0</v>
      </c>
      <c r="J21850" s="16" t="n">
        <f aca="false">MAX(0,J21848-Assumptions!$C$12)*Assumptions!$C$13</f>
        <v>0</v>
      </c>
      <c r="K21850" s="16" t="n">
        <f aca="false">MAX(0,K21848-Assumptions!$C$12)*Assumptions!$C$13</f>
        <v>0</v>
      </c>
    </row>
    <row r="21851" customFormat="false" ht="15" hidden="false" customHeight="false" outlineLevel="0" collapsed="false">
      <c r="A21851" s="3" t="s">
        <v>406</v>
      </c>
      <c r="G21851" s="16" t="n">
        <f aca="false">G21673+G21686+G21699+G21712+G21725+G21738+G21751+G21764+G21777+G21790</f>
        <v>0</v>
      </c>
      <c r="H21851" s="16" t="n">
        <f aca="false">H21673+H21686+H21699+H21712+H21725+H21738+H21751+H21764+H21777+H21790</f>
        <v>0</v>
      </c>
      <c r="I21851" s="16" t="n">
        <f aca="false">I21673+I21686+I21699+I21712+I21725+I21738+I21751+I21764+I21777+I21790</f>
        <v>0</v>
      </c>
      <c r="J21851" s="16" t="n">
        <f aca="false">J21673+J21686+J21699+J21712+J21725+J21738+J21751+J21764+J21777+J21790</f>
        <v>0</v>
      </c>
      <c r="K21851" s="16" t="n">
        <f aca="false">K21673+K21686+K21699+K21712+K21725+K21738+K21751+K21764+K21777+K21790</f>
        <v>0</v>
      </c>
    </row>
    <row r="21852" customFormat="false" ht="15" hidden="false" customHeight="false" outlineLevel="0" collapsed="false">
      <c r="A21852" s="2" t="s">
        <v>407</v>
      </c>
      <c r="F21852" s="28" t="n">
        <f aca="false">Assumptions!$C$11</f>
        <v>37.87</v>
      </c>
      <c r="G21852" s="17" t="n">
        <f aca="false">G21848-G21851</f>
        <v>155.1148686</v>
      </c>
      <c r="H21852" s="17" t="n">
        <f aca="false">H21848-H21851</f>
        <v>25</v>
      </c>
      <c r="I21852" s="17" t="n">
        <f aca="false">I21848-I21851</f>
        <v>0</v>
      </c>
      <c r="J21852" s="17" t="n">
        <f aca="false">J21848-J21851</f>
        <v>0</v>
      </c>
      <c r="K21852" s="17" t="n">
        <f aca="false">K21848-K21851</f>
        <v>0</v>
      </c>
    </row>
    <row r="21853" customFormat="false" ht="15" hidden="false" customHeight="false" outlineLevel="0" collapsed="false">
      <c r="A21853" s="3" t="s">
        <v>408</v>
      </c>
      <c r="G21853" s="16" t="n">
        <f aca="false">G21674+G21687+G21700+G21713+G21726+G21739+G21752+G21765+G21778+G21791</f>
        <v>0</v>
      </c>
      <c r="H21853" s="16" t="n">
        <f aca="false">H21674+H21687+H21700+H21713+H21726+H21739+H21752+H21765+H21778+H21791</f>
        <v>0</v>
      </c>
      <c r="I21853" s="16" t="n">
        <f aca="false">I21674+I21687+I21700+I21713+I21726+I21739+I21752+I21765+I21778+I21791</f>
        <v>0</v>
      </c>
      <c r="J21853" s="16" t="n">
        <f aca="false">J21674+J21687+J21700+J21713+J21726+J21739+J21752+J21765+J21778+J21791</f>
        <v>0</v>
      </c>
      <c r="K21853" s="16" t="n">
        <f aca="false">K21674+K21687+K21700+K21713+K21726+K21739+K21752+K21765+K21778+K21791</f>
        <v>0</v>
      </c>
    </row>
    <row r="21854" customFormat="false" ht="15" hidden="false" customHeight="false" outlineLevel="0" collapsed="false">
      <c r="A21854" s="3" t="s">
        <v>409</v>
      </c>
      <c r="G21854" s="21" t="n">
        <f aca="false">IF(OR(G21849&gt;0.001,G21853&gt;0.001),1,0)</f>
        <v>0</v>
      </c>
      <c r="H21854" s="21" t="n">
        <f aca="false">IF(OR(H21849&gt;0.001,H21853&gt;0.001),1,0)</f>
        <v>0</v>
      </c>
      <c r="I21854" s="21" t="n">
        <f aca="false">IF(OR(I21849&gt;0.001,I21853&gt;0.001),1,0)</f>
        <v>0</v>
      </c>
      <c r="J21854" s="21" t="n">
        <f aca="false">IF(OR(J21849&gt;0.001,J21853&gt;0.001),1,0)</f>
        <v>0</v>
      </c>
      <c r="K21854" s="21" t="n">
        <f aca="false">IF(OR(K21849&gt;0.001,K21853&gt;0.001),1,0)</f>
        <v>0</v>
      </c>
    </row>
    <row r="21855" customFormat="false" ht="15" hidden="false" customHeight="false" outlineLevel="0" collapsed="false">
      <c r="A21855" s="3" t="s">
        <v>410</v>
      </c>
      <c r="G21855" s="21" t="n">
        <f aca="false">IF(G21854=1,1,0)</f>
        <v>0</v>
      </c>
      <c r="H21855" s="21" t="n">
        <f aca="false">IF(AND(H21854=1,SUM($G$21854:G21854)=0),1,0)</f>
        <v>0</v>
      </c>
      <c r="I21855" s="21" t="n">
        <f aca="false">IF(AND(I21854=1,SUM($G$21854:H21854)=0),1,0)</f>
        <v>0</v>
      </c>
      <c r="J21855" s="21" t="n">
        <f aca="false">IF(AND(J21854=1,SUM($G$21854:I21854)=0),1,0)</f>
        <v>0</v>
      </c>
      <c r="K21855" s="21" t="n">
        <f aca="false">IF(AND(K21854=1,SUM($G$21854:J21854)=0),1,0)</f>
        <v>0</v>
      </c>
    </row>
    <row r="21856" customFormat="false" ht="15" hidden="false" customHeight="false" outlineLevel="0" collapsed="false">
      <c r="A21856" s="3" t="s">
        <v>411</v>
      </c>
      <c r="G21856" s="16" t="n">
        <f aca="false">(G21794-F21794)-(G21845+G21643-G21843-G21847-G21851)</f>
        <v>0</v>
      </c>
      <c r="H21856" s="16" t="n">
        <f aca="false">(H21794-G21794)-(H21845+H21643-H21843-H21847-H21851)</f>
        <v>0</v>
      </c>
      <c r="I21856" s="16" t="n">
        <f aca="false">(I21794-H21794)-(I21845+I21643-I21843-I21847-I21851)</f>
        <v>2.55795384873636E-013</v>
      </c>
      <c r="J21856" s="16" t="n">
        <f aca="false">(J21794-I21794)-(J21845+J21643-J21843-J21847-J21851)</f>
        <v>-5.11590769747272E-013</v>
      </c>
      <c r="K21856" s="16" t="n">
        <f aca="false">(K21794-J21794)-(K21845+K21643-K21843-K21847-K21851)</f>
        <v>4.54747350886464E-013</v>
      </c>
    </row>
    <row r="21858" customFormat="false" ht="15" hidden="false" customHeight="false" outlineLevel="0" collapsed="false">
      <c r="A21858" s="24" t="s">
        <v>413</v>
      </c>
      <c r="B21858" s="25"/>
      <c r="C21858" s="25"/>
      <c r="D21858" s="25"/>
      <c r="E21858" s="25"/>
      <c r="F21858" s="25"/>
      <c r="G21858" s="25"/>
      <c r="H21858" s="25"/>
      <c r="I21858" s="25"/>
      <c r="J21858" s="25"/>
      <c r="K21858" s="25"/>
    </row>
    <row r="21859" customFormat="false" ht="15" hidden="false" customHeight="false" outlineLevel="0" collapsed="false">
      <c r="A21859" s="3" t="s">
        <v>414</v>
      </c>
      <c r="G21859" s="16" t="n">
        <f aca="false">G21794</f>
        <v>2621.934</v>
      </c>
      <c r="H21859" s="16" t="n">
        <f aca="false">H21794</f>
        <v>2566.1239513738</v>
      </c>
      <c r="I21859" s="16" t="n">
        <f aca="false">I21794</f>
        <v>2623.45221755586</v>
      </c>
      <c r="J21859" s="16" t="n">
        <f aca="false">J21794</f>
        <v>2702.4665701586</v>
      </c>
      <c r="K21859" s="16" t="n">
        <f aca="false">K21794</f>
        <v>2796.70692553085</v>
      </c>
    </row>
    <row r="21860" customFormat="false" ht="15" hidden="false" customHeight="false" outlineLevel="0" collapsed="false">
      <c r="A21860" s="3" t="s">
        <v>415</v>
      </c>
      <c r="G21860" s="16" t="n">
        <f aca="false">Assumptions!$O$57*G21675+Assumptions!$O$58*G21688+Assumptions!$O$59*G21701+Assumptions!$O$60*G21714+Assumptions!$O$61*G21727+Assumptions!$O$62*G21740+Assumptions!$O$63*G21753+Assumptions!$O$64*G21766+Assumptions!$O$65*G21779+Assumptions!$O$66*G21792</f>
        <v>543.324</v>
      </c>
      <c r="H21860" s="16" t="n">
        <f aca="false">Assumptions!$O$57*H21675+Assumptions!$O$58*H21688+Assumptions!$O$59*H21701+Assumptions!$O$60*H21714+Assumptions!$O$61*H21727+Assumptions!$O$62*H21740+Assumptions!$O$63*H21753+Assumptions!$O$64*H21766+Assumptions!$O$65*H21779+Assumptions!$O$66*H21792</f>
        <v>539.324</v>
      </c>
      <c r="I21860" s="16" t="n">
        <f aca="false">Assumptions!$O$57*I21675+Assumptions!$O$58*I21688+Assumptions!$O$59*I21701+Assumptions!$O$60*I21714+Assumptions!$O$61*I21727+Assumptions!$O$62*I21740+Assumptions!$O$63*I21753+Assumptions!$O$64*I21766+Assumptions!$O$65*I21779+Assumptions!$O$66*I21792</f>
        <v>535.324</v>
      </c>
      <c r="J21860" s="16" t="n">
        <f aca="false">Assumptions!$O$57*J21675+Assumptions!$O$58*J21688+Assumptions!$O$59*J21701+Assumptions!$O$60*J21714+Assumptions!$O$61*J21727+Assumptions!$O$62*J21740+Assumptions!$O$63*J21753+Assumptions!$O$64*J21766+Assumptions!$O$65*J21779+Assumptions!$O$66*J21792</f>
        <v>531.324</v>
      </c>
      <c r="K21860" s="16" t="n">
        <f aca="false">Assumptions!$O$57*K21675+Assumptions!$O$58*K21688+Assumptions!$O$59*K21701+Assumptions!$O$60*K21714+Assumptions!$O$61*K21727+Assumptions!$O$62*K21740+Assumptions!$O$63*K21753+Assumptions!$O$64*K21766+Assumptions!$O$65*K21779+Assumptions!$O$66*K21792</f>
        <v>527.324</v>
      </c>
    </row>
    <row r="21861" customFormat="false" ht="15" hidden="false" customHeight="false" outlineLevel="0" collapsed="false">
      <c r="A21861" s="3" t="s">
        <v>416</v>
      </c>
      <c r="G21861" s="16" t="n">
        <f aca="false">G21859-G21852</f>
        <v>2466.8191314</v>
      </c>
      <c r="H21861" s="16" t="n">
        <f aca="false">H21859-H21852</f>
        <v>2541.1239513738</v>
      </c>
      <c r="I21861" s="16" t="n">
        <f aca="false">I21859-I21852</f>
        <v>2623.45221755586</v>
      </c>
      <c r="J21861" s="16" t="n">
        <f aca="false">J21859-J21852</f>
        <v>2702.4665701586</v>
      </c>
      <c r="K21861" s="16" t="n">
        <f aca="false">K21859-K21852</f>
        <v>2796.70692553085</v>
      </c>
    </row>
    <row r="21862" customFormat="false" ht="15" hidden="false" customHeight="false" outlineLevel="0" collapsed="false">
      <c r="A21862" s="3" t="s">
        <v>417</v>
      </c>
      <c r="G21862" s="32" t="n">
        <f aca="false">IF(G21638&gt;0,G21859/G21638,0)</f>
        <v>10.2350768597559</v>
      </c>
      <c r="H21862" s="32" t="n">
        <f aca="false">IF(H21638&gt;0,H21859/H21638,0)</f>
        <v>9.76552220963686</v>
      </c>
      <c r="I21862" s="32" t="n">
        <f aca="false">IF(I21638&gt;0,I21859/I21638,0)</f>
        <v>9.7331462234743</v>
      </c>
      <c r="J21862" s="32" t="n">
        <f aca="false">IF(J21638&gt;0,J21859/J21638,0)</f>
        <v>9.79315801554269</v>
      </c>
      <c r="K21862" s="32" t="n">
        <f aca="false">IF(K21638&gt;0,K21859/K21638,0)</f>
        <v>9.89914609114614</v>
      </c>
    </row>
    <row r="21863" customFormat="false" ht="15" hidden="false" customHeight="false" outlineLevel="0" collapsed="false">
      <c r="A21863" s="3" t="s">
        <v>418</v>
      </c>
      <c r="G21863" s="32" t="n">
        <f aca="false">IF(G21638&gt;0,G21861/G21638,0)</f>
        <v>9.62956482085178</v>
      </c>
      <c r="H21863" s="32" t="n">
        <f aca="false">IF(H21638&gt;0,H21861/H21638,0)</f>
        <v>9.67038336994432</v>
      </c>
      <c r="I21863" s="32" t="n">
        <f aca="false">IF(I21638&gt;0,I21861/I21638,0)</f>
        <v>9.7331462234743</v>
      </c>
      <c r="J21863" s="32" t="n">
        <f aca="false">IF(J21638&gt;0,J21861/J21638,0)</f>
        <v>9.79315801554269</v>
      </c>
      <c r="K21863" s="32" t="n">
        <f aca="false">IF(K21638&gt;0,K21861/K21638,0)</f>
        <v>9.89914609114614</v>
      </c>
    </row>
    <row r="21864" customFormat="false" ht="15" hidden="false" customHeight="false" outlineLevel="0" collapsed="false">
      <c r="A21864" s="3" t="s">
        <v>419</v>
      </c>
      <c r="G21864" s="32" t="n">
        <f aca="false">IF(G21642&gt;0,G21638/G21642,0)</f>
        <v>1.46030194580666</v>
      </c>
      <c r="H21864" s="32" t="n">
        <f aca="false">IF(H21642&gt;0,H21638/H21642,0)</f>
        <v>1.50685465098972</v>
      </c>
      <c r="I21864" s="32" t="n">
        <f aca="false">IF(I21642&gt;0,I21638/I21642,0)</f>
        <v>1.44975741298616</v>
      </c>
      <c r="J21864" s="32" t="n">
        <f aca="false">IF(J21642&gt;0,J21638/J21642,0)</f>
        <v>1.48599862707088</v>
      </c>
      <c r="K21864" s="32" t="n">
        <f aca="false">IF(K21642&gt;0,K21638/K21642,0)</f>
        <v>1.38416076664529</v>
      </c>
    </row>
    <row r="21865" customFormat="false" ht="15" hidden="false" customHeight="false" outlineLevel="0" collapsed="false">
      <c r="A21865" s="3" t="s">
        <v>420</v>
      </c>
      <c r="G21865" s="32" t="n">
        <f aca="false">IF(G21642&gt;0,G21641/G21642,0)</f>
        <v>0.435729283070508</v>
      </c>
      <c r="H21865" s="32" t="n">
        <f aca="false">IF(H21642&gt;0,H21641/H21642,0)</f>
        <v>0.455570484237448</v>
      </c>
      <c r="I21865" s="32" t="n">
        <f aca="false">IF(I21642&gt;0,I21641/I21642,0)</f>
        <v>0.44396925471625</v>
      </c>
      <c r="J21865" s="32" t="n">
        <f aca="false">IF(J21642&gt;0,J21641/J21642,0)</f>
        <v>0.458900109893649</v>
      </c>
      <c r="K21865" s="32" t="n">
        <f aca="false">IF(K21642&gt;0,K21641/K21642,0)</f>
        <v>0.43099432175887</v>
      </c>
    </row>
    <row r="21866" customFormat="false" ht="15" hidden="false" customHeight="false" outlineLevel="0" collapsed="false">
      <c r="A21866" s="3" t="s">
        <v>213</v>
      </c>
      <c r="G21866" s="22" t="n">
        <f aca="false">IF(G21859&gt;0,G21651/G21859,0)</f>
        <v>-0.0300370380795245</v>
      </c>
      <c r="H21866" s="22" t="n">
        <f aca="false">IF(H21859&gt;0,H21651/H21859,0)</f>
        <v>-0.0289560525453263</v>
      </c>
      <c r="I21866" s="22" t="n">
        <f aca="false">IF(I21859&gt;0,I21651/I21859,0)</f>
        <v>-0.0313816526297389</v>
      </c>
      <c r="J21866" s="22" t="n">
        <f aca="false">IF(J21859&gt;0,J21651/J21859,0)</f>
        <v>-0.0292378649472442</v>
      </c>
      <c r="K21866" s="22" t="n">
        <f aca="false">IF(K21859&gt;0,K21651/K21859,0)</f>
        <v>-0.0336969006340788</v>
      </c>
    </row>
    <row r="21867" customFormat="false" ht="15" hidden="false" customHeight="false" outlineLevel="0" collapsed="false">
      <c r="A21867" s="3" t="s">
        <v>421</v>
      </c>
      <c r="G21867" s="32" t="n">
        <f aca="false">IF(G21642+G21843&gt;0,(G21638-G21649-G21646)/(G21642+G21843),0)</f>
        <v>0.835097032343664</v>
      </c>
      <c r="H21867" s="32" t="n">
        <f aca="false">IF(H21642+H21843&gt;0,(H21638-H21649-H21646)/(H21642+H21843),0)</f>
        <v>0.865046238154564</v>
      </c>
      <c r="I21867" s="32" t="n">
        <f aca="false">IF(I21642+I21843&gt;0,(I21638-I21649-I21646)/(I21642+I21843),0)</f>
        <v>0.836706239671967</v>
      </c>
      <c r="J21867" s="32" t="n">
        <f aca="false">IF(J21642+J21843&gt;0,(J21638-J21649-J21646)/(J21642+J21843),0)</f>
        <v>0.859820862143141</v>
      </c>
      <c r="K21867" s="32" t="n">
        <f aca="false">IF(K21642+K21843&gt;0,(K21638-K21649-K21646)/(K21642+K21843),0)</f>
        <v>0.804477786223555</v>
      </c>
    </row>
    <row r="21868" customFormat="false" ht="15" hidden="false" customHeight="false" outlineLevel="0" collapsed="false">
      <c r="A21868" s="3" t="s">
        <v>422</v>
      </c>
      <c r="G21868" s="16" t="n">
        <f aca="false">MAX(0,G21852)+Assumptions!$P$57*MAX(0,Assumptions!$D$57-G21675)+Assumptions!$P$58*MAX(0,Assumptions!$D$58-G21688)+Assumptions!$P$59*MAX(0,Assumptions!$D$59-G21701)+Assumptions!$P$60*MAX(0,Assumptions!$D$60-G21714)+Assumptions!$P$61*MAX(0,Assumptions!$D$61-G21727)+Assumptions!$P$62*MAX(0,Assumptions!$D$62-G21740)+Assumptions!$P$63*MAX(0,Assumptions!$D$63-G21753)+Assumptions!$P$64*MAX(0,Assumptions!$D$64-G21766)+Assumptions!$P$65*MAX(0,Assumptions!$D$65-G21779)+Assumptions!$P$66*MAX(0,Assumptions!$D$66-G21792)</f>
        <v>729.6148686</v>
      </c>
      <c r="H21868" s="16" t="n">
        <f aca="false">MAX(0,H21852)+Assumptions!$P$57*MAX(0,Assumptions!$D$57-H21675)+Assumptions!$P$58*MAX(0,Assumptions!$D$58-H21688)+Assumptions!$P$59*MAX(0,Assumptions!$D$59-H21701)+Assumptions!$P$60*MAX(0,Assumptions!$D$60-H21714)+Assumptions!$P$61*MAX(0,Assumptions!$D$61-H21727)+Assumptions!$P$62*MAX(0,Assumptions!$D$62-H21740)+Assumptions!$P$63*MAX(0,Assumptions!$D$63-H21753)+Assumptions!$P$64*MAX(0,Assumptions!$D$64-H21766)+Assumptions!$P$65*MAX(0,Assumptions!$D$65-H21779)+Assumptions!$P$66*MAX(0,Assumptions!$D$66-H21792)</f>
        <v>599.5</v>
      </c>
      <c r="I21868" s="16" t="n">
        <f aca="false">MAX(0,I21852)+Assumptions!$P$57*MAX(0,Assumptions!$D$57-I21675)+Assumptions!$P$58*MAX(0,Assumptions!$D$58-I21688)+Assumptions!$P$59*MAX(0,Assumptions!$D$59-I21701)+Assumptions!$P$60*MAX(0,Assumptions!$D$60-I21714)+Assumptions!$P$61*MAX(0,Assumptions!$D$61-I21727)+Assumptions!$P$62*MAX(0,Assumptions!$D$62-I21740)+Assumptions!$P$63*MAX(0,Assumptions!$D$63-I21753)+Assumptions!$P$64*MAX(0,Assumptions!$D$64-I21766)+Assumptions!$P$65*MAX(0,Assumptions!$D$65-I21779)+Assumptions!$P$66*MAX(0,Assumptions!$D$66-I21792)</f>
        <v>513.171733817944</v>
      </c>
      <c r="J21868" s="16" t="n">
        <f aca="false">MAX(0,J21852)+Assumptions!$P$57*MAX(0,Assumptions!$D$57-J21675)+Assumptions!$P$58*MAX(0,Assumptions!$D$58-J21688)+Assumptions!$P$59*MAX(0,Assumptions!$D$59-J21701)+Assumptions!$P$60*MAX(0,Assumptions!$D$60-J21714)+Assumptions!$P$61*MAX(0,Assumptions!$D$61-J21727)+Assumptions!$P$62*MAX(0,Assumptions!$D$62-J21740)+Assumptions!$P$63*MAX(0,Assumptions!$D$63-J21753)+Assumptions!$P$64*MAX(0,Assumptions!$D$64-J21766)+Assumptions!$P$65*MAX(0,Assumptions!$D$65-J21779)+Assumptions!$P$66*MAX(0,Assumptions!$D$66-J21792)</f>
        <v>430.157381215205</v>
      </c>
      <c r="K21868" s="16" t="n">
        <f aca="false">MAX(0,K21852)+Assumptions!$P$57*MAX(0,Assumptions!$D$57-K21675)+Assumptions!$P$58*MAX(0,Assumptions!$D$58-K21688)+Assumptions!$P$59*MAX(0,Assumptions!$D$59-K21701)+Assumptions!$P$60*MAX(0,Assumptions!$D$60-K21714)+Assumptions!$P$61*MAX(0,Assumptions!$D$61-K21727)+Assumptions!$P$62*MAX(0,Assumptions!$D$62-K21740)+Assumptions!$P$63*MAX(0,Assumptions!$D$63-K21753)+Assumptions!$P$64*MAX(0,Assumptions!$D$64-K21766)+Assumptions!$P$65*MAX(0,Assumptions!$D$65-K21779)+Assumptions!$P$66*MAX(0,Assumptions!$D$66-K21792)</f>
        <v>331.917025842952</v>
      </c>
    </row>
    <row r="21869" customFormat="false" ht="15" hidden="false" customHeight="false" outlineLevel="0" collapsed="false">
      <c r="A21869" s="3" t="s">
        <v>423</v>
      </c>
      <c r="G21869" s="22" t="n">
        <f aca="false">IF(G21859&gt;0,G21859/(G21859+MAX(0,G21638*CHOOSE($C$21621,Assumptions!$C$90,Assumptions!$C$109,Assumptions!$C$128)-G21861)),0)</f>
        <v>0.780974969110153</v>
      </c>
      <c r="H21869" s="22" t="n">
        <f aca="false">IF(H21859&gt;0,H21859/(H21859+MAX(0,H21638*CHOOSE($C$21621,Assumptions!$C$90,Assumptions!$C$109,Assumptions!$C$128)-H21861)),0)</f>
        <v>0.775340576545423</v>
      </c>
      <c r="I21869" s="22" t="n">
        <f aca="false">IF(I21859&gt;0,I21859/(I21859+MAX(0,I21638*CHOOSE($C$21621,Assumptions!$C$90,Assumptions!$C$109,Assumptions!$C$128)-I21861)),0)</f>
        <v>0.778651697877944</v>
      </c>
      <c r="J21869" s="22" t="n">
        <f aca="false">IF(J21859&gt;0,J21859/(J21859+MAX(0,J21638*CHOOSE($C$21621,Assumptions!$C$90,Assumptions!$C$109,Assumptions!$C$128)-J21861)),0)</f>
        <v>0.783452641243415</v>
      </c>
      <c r="K21869" s="22" t="n">
        <f aca="false">IF(K21859&gt;0,K21859/(K21859+MAX(0,K21638*CHOOSE($C$21621,Assumptions!$C$90,Assumptions!$C$109,Assumptions!$C$128)-K21861)),0)</f>
        <v>0.791931687291691</v>
      </c>
    </row>
    <row r="21870" customFormat="false" ht="15" hidden="false" customHeight="false" outlineLevel="0" collapsed="false">
      <c r="A21870" s="3" t="s">
        <v>424</v>
      </c>
      <c r="G21870" s="22" t="n">
        <f aca="false">IF(G21859&gt;0,MAX(0,G21852)/G21859,0)</f>
        <v>0.0591604779525343</v>
      </c>
      <c r="H21870" s="22" t="n">
        <f aca="false">IF(H21859&gt;0,MAX(0,H21852)/H21859,0)</f>
        <v>0.00974231972957347</v>
      </c>
      <c r="I21870" s="22" t="n">
        <f aca="false">IF(I21859&gt;0,MAX(0,I21852)/I21859,0)</f>
        <v>0</v>
      </c>
      <c r="J21870" s="22" t="n">
        <f aca="false">IF(J21859&gt;0,MAX(0,J21852)/J21859,0)</f>
        <v>0</v>
      </c>
      <c r="K21870" s="22" t="n">
        <f aca="false">IF(K21859&gt;0,MAX(0,K21852)/K21859,0)</f>
        <v>0</v>
      </c>
    </row>
    <row r="21871" customFormat="false" ht="15" hidden="false" customHeight="false" outlineLevel="0" collapsed="false">
      <c r="A21871" s="3" t="s">
        <v>425</v>
      </c>
      <c r="G21871" s="16" t="n">
        <f aca="false">Assumptions!$C$31*(1-CHOOSE($C$21621,Assumptions!$C$93,Assumptions!$C$112,Assumptions!$C$131))</f>
        <v>4517.70066666667</v>
      </c>
      <c r="H21871" s="16" t="n">
        <f aca="false">Assumptions!$C$31*(1-CHOOSE($C$21621,Assumptions!$C$93,Assumptions!$C$112,Assumptions!$C$131))</f>
        <v>4517.70066666667</v>
      </c>
      <c r="I21871" s="16" t="n">
        <f aca="false">Assumptions!$C$31*(1-CHOOSE($C$21621,Assumptions!$C$93,Assumptions!$C$112,Assumptions!$C$131))</f>
        <v>4517.70066666667</v>
      </c>
      <c r="J21871" s="16" t="n">
        <f aca="false">Assumptions!$C$31*(1-CHOOSE($C$21621,Assumptions!$C$93,Assumptions!$C$112,Assumptions!$C$131))</f>
        <v>4517.70066666667</v>
      </c>
      <c r="K21871" s="16" t="n">
        <f aca="false">Assumptions!$C$31*(1-CHOOSE($C$21621,Assumptions!$C$93,Assumptions!$C$112,Assumptions!$C$131))</f>
        <v>4517.70066666667</v>
      </c>
    </row>
    <row r="21872" customFormat="false" ht="15" hidden="false" customHeight="false" outlineLevel="0" collapsed="false">
      <c r="A21872" s="24" t="s">
        <v>426</v>
      </c>
      <c r="B21872" s="25"/>
      <c r="C21872" s="25"/>
      <c r="D21872" s="25"/>
      <c r="E21872" s="25"/>
      <c r="F21872" s="25"/>
      <c r="G21872" s="25"/>
      <c r="H21872" s="25"/>
      <c r="I21872" s="25"/>
      <c r="J21872" s="25"/>
      <c r="K21872" s="25"/>
    </row>
    <row r="21873" customFormat="false" ht="15" hidden="false" customHeight="false" outlineLevel="0" collapsed="false">
      <c r="A21873" s="24" t="s">
        <v>427</v>
      </c>
      <c r="B21873" s="25"/>
      <c r="C21873" s="25"/>
      <c r="D21873" s="25"/>
      <c r="E21873" s="25"/>
      <c r="F21873" s="25"/>
      <c r="G21873" s="25"/>
      <c r="H21873" s="25"/>
      <c r="I21873" s="25"/>
      <c r="J21873" s="25"/>
      <c r="K21873" s="25"/>
    </row>
    <row r="21874" customFormat="false" ht="15" hidden="false" customHeight="false" outlineLevel="0" collapsed="false">
      <c r="A21874" s="3" t="s">
        <v>428</v>
      </c>
      <c r="G21874" s="22" t="n">
        <f aca="false">IF(G21871&gt;0,G21859/G21871,99)</f>
        <v>0.580369128779522</v>
      </c>
      <c r="H21874" s="22" t="n">
        <f aca="false">IF(H21871&gt;0,H21859/H21871,99)</f>
        <v>0.568015488566485</v>
      </c>
      <c r="I21874" s="22" t="n">
        <f aca="false">IF(I21871&gt;0,I21859/I21871,99)</f>
        <v>0.580705188573625</v>
      </c>
      <c r="J21874" s="22" t="n">
        <f aca="false">IF(J21871&gt;0,J21859/J21871,99)</f>
        <v>0.598195137207393</v>
      </c>
      <c r="K21874" s="22" t="n">
        <f aca="false">IF(K21871&gt;0,K21859/K21871,99)</f>
        <v>0.619055385002824</v>
      </c>
    </row>
    <row r="21875" customFormat="false" ht="15" hidden="false" customHeight="false" outlineLevel="0" collapsed="false">
      <c r="A21875" s="3" t="s">
        <v>429</v>
      </c>
      <c r="G21875" s="33" t="n">
        <f aca="false">Assumptions!$G$71</f>
        <v>0.6</v>
      </c>
      <c r="H21875" s="33" t="n">
        <f aca="false">Assumptions!$H$71</f>
        <v>0.6</v>
      </c>
      <c r="I21875" s="33" t="n">
        <f aca="false">Assumptions!$I$71</f>
        <v>0.6</v>
      </c>
      <c r="J21875" s="33" t="n">
        <f aca="false">Assumptions!$J$71</f>
        <v>0.6</v>
      </c>
      <c r="K21875" s="33" t="n">
        <f aca="false">Assumptions!$K$71</f>
        <v>0.6</v>
      </c>
    </row>
    <row r="21876" customFormat="false" ht="15" hidden="false" customHeight="false" outlineLevel="0" collapsed="false">
      <c r="A21876" s="3" t="s">
        <v>430</v>
      </c>
      <c r="G21876" s="22" t="n">
        <f aca="false">G21875-G21874</f>
        <v>0.0196308712204777</v>
      </c>
      <c r="H21876" s="22" t="n">
        <f aca="false">H21875-H21874</f>
        <v>0.0319845114335153</v>
      </c>
      <c r="I21876" s="22" t="n">
        <f aca="false">I21875-I21874</f>
        <v>0.0192948114263753</v>
      </c>
      <c r="J21876" s="22" t="n">
        <f aca="false">J21875-J21874</f>
        <v>0.0018048627926075</v>
      </c>
      <c r="K21876" s="22" t="n">
        <f aca="false">K21875-K21874</f>
        <v>-0.0190553850028241</v>
      </c>
    </row>
    <row r="21877" customFormat="false" ht="15" hidden="false" customHeight="false" outlineLevel="0" collapsed="false">
      <c r="A21877" s="3" t="s">
        <v>431</v>
      </c>
      <c r="G21877" s="22" t="n">
        <f aca="false">IF(G21875=0,0,G21876/ABS(G21875))</f>
        <v>0.0327181187007962</v>
      </c>
      <c r="H21877" s="22" t="n">
        <f aca="false">IF(H21875=0,0,H21876/ABS(H21875))</f>
        <v>0.0533075190558589</v>
      </c>
      <c r="I21877" s="22" t="n">
        <f aca="false">IF(I21875=0,0,I21876/ABS(I21875))</f>
        <v>0.0321580190439589</v>
      </c>
      <c r="J21877" s="22" t="n">
        <f aca="false">IF(J21875=0,0,J21876/ABS(J21875))</f>
        <v>0.00300810465434583</v>
      </c>
      <c r="K21877" s="22" t="n">
        <f aca="false">IF(K21875=0,0,K21876/ABS(K21875))</f>
        <v>-0.0317589750047069</v>
      </c>
    </row>
    <row r="21878" customFormat="false" ht="15" hidden="false" customHeight="false" outlineLevel="0" collapsed="false">
      <c r="A21878" s="3" t="s">
        <v>432</v>
      </c>
      <c r="G21878" s="21" t="n">
        <f aca="false">IF(G21876&lt;0,1,0)</f>
        <v>0</v>
      </c>
      <c r="H21878" s="21" t="n">
        <f aca="false">IF(H21876&lt;0,1,0)</f>
        <v>0</v>
      </c>
      <c r="I21878" s="21" t="n">
        <f aca="false">IF(I21876&lt;0,1,0)</f>
        <v>0</v>
      </c>
      <c r="J21878" s="21" t="n">
        <f aca="false">IF(J21876&lt;0,1,0)</f>
        <v>0</v>
      </c>
      <c r="K21878" s="21" t="n">
        <f aca="false">IF(K21876&lt;0,1,0)</f>
        <v>1</v>
      </c>
    </row>
    <row r="21879" customFormat="false" ht="15" hidden="false" customHeight="false" outlineLevel="0" collapsed="false">
      <c r="A21879" s="3" t="s">
        <v>433</v>
      </c>
      <c r="C21879" s="21" t="n">
        <f aca="false">IFERROR(INDEX($G$21628:$K$21628,MATCH(1,$G$21878:$K$21878,0)),0)</f>
        <v>2031</v>
      </c>
    </row>
    <row r="21880" customFormat="false" ht="15" hidden="false" customHeight="false" outlineLevel="0" collapsed="false">
      <c r="A21880" s="3" t="s">
        <v>434</v>
      </c>
      <c r="C21880" s="22" t="n">
        <f aca="false">MIN($G$21877:$K$21877)</f>
        <v>-0.0317589750047069</v>
      </c>
    </row>
    <row r="21881" customFormat="false" ht="15" hidden="false" customHeight="false" outlineLevel="0" collapsed="false">
      <c r="A21881" s="24" t="s">
        <v>435</v>
      </c>
      <c r="B21881" s="25"/>
      <c r="C21881" s="25"/>
      <c r="D21881" s="25"/>
      <c r="E21881" s="25"/>
      <c r="F21881" s="25"/>
      <c r="G21881" s="25"/>
      <c r="H21881" s="25"/>
      <c r="I21881" s="25"/>
      <c r="J21881" s="25"/>
      <c r="K21881" s="25"/>
    </row>
    <row r="21882" customFormat="false" ht="15" hidden="false" customHeight="false" outlineLevel="0" collapsed="false">
      <c r="A21882" s="3" t="s">
        <v>428</v>
      </c>
      <c r="G21882" s="32" t="n">
        <f aca="false">IF(G21642&gt;0,G21638/G21642,99)</f>
        <v>1.46030194580666</v>
      </c>
      <c r="H21882" s="32" t="n">
        <f aca="false">IF(H21642&gt;0,H21638/H21642,99)</f>
        <v>1.50685465098972</v>
      </c>
      <c r="I21882" s="32" t="n">
        <f aca="false">IF(I21642&gt;0,I21638/I21642,99)</f>
        <v>1.44975741298616</v>
      </c>
      <c r="J21882" s="32" t="n">
        <f aca="false">IF(J21642&gt;0,J21638/J21642,99)</f>
        <v>1.48599862707088</v>
      </c>
      <c r="K21882" s="32" t="n">
        <f aca="false">IF(K21642&gt;0,K21638/K21642,99)</f>
        <v>1.38416076664529</v>
      </c>
    </row>
    <row r="21883" customFormat="false" ht="15" hidden="false" customHeight="false" outlineLevel="0" collapsed="false">
      <c r="A21883" s="3" t="s">
        <v>429</v>
      </c>
      <c r="G21883" s="34" t="n">
        <f aca="false">Assumptions!$G$72</f>
        <v>1.5</v>
      </c>
      <c r="H21883" s="34" t="n">
        <f aca="false">Assumptions!$H$72</f>
        <v>1.5</v>
      </c>
      <c r="I21883" s="34" t="n">
        <f aca="false">Assumptions!$I$72</f>
        <v>1.5</v>
      </c>
      <c r="J21883" s="34" t="n">
        <f aca="false">Assumptions!$J$72</f>
        <v>1.5</v>
      </c>
      <c r="K21883" s="34" t="n">
        <f aca="false">Assumptions!$K$72</f>
        <v>1.5</v>
      </c>
    </row>
    <row r="21884" customFormat="false" ht="15" hidden="false" customHeight="false" outlineLevel="0" collapsed="false">
      <c r="A21884" s="3" t="s">
        <v>430</v>
      </c>
      <c r="G21884" s="32" t="n">
        <f aca="false">G21882-G21883</f>
        <v>-0.0396980541933445</v>
      </c>
      <c r="H21884" s="32" t="n">
        <f aca="false">H21882-H21883</f>
        <v>0.00685465098971805</v>
      </c>
      <c r="I21884" s="32" t="n">
        <f aca="false">I21882-I21883</f>
        <v>-0.0502425870138445</v>
      </c>
      <c r="J21884" s="32" t="n">
        <f aca="false">J21882-J21883</f>
        <v>-0.0140013729291228</v>
      </c>
      <c r="K21884" s="32" t="n">
        <f aca="false">K21882-K21883</f>
        <v>-0.115839233354709</v>
      </c>
    </row>
    <row r="21885" customFormat="false" ht="15" hidden="false" customHeight="false" outlineLevel="0" collapsed="false">
      <c r="A21885" s="3" t="s">
        <v>431</v>
      </c>
      <c r="G21885" s="22" t="n">
        <f aca="false">IF(G21883=0,0,G21884/ABS(G21883))</f>
        <v>-0.0264653694622297</v>
      </c>
      <c r="H21885" s="22" t="n">
        <f aca="false">IF(H21883=0,0,H21884/ABS(H21883))</f>
        <v>0.0045697673264787</v>
      </c>
      <c r="I21885" s="22" t="n">
        <f aca="false">IF(I21883=0,0,I21884/ABS(I21883))</f>
        <v>-0.0334950580092297</v>
      </c>
      <c r="J21885" s="22" t="n">
        <f aca="false">IF(J21883=0,0,J21884/ABS(J21883))</f>
        <v>-0.00933424861941523</v>
      </c>
      <c r="K21885" s="22" t="n">
        <f aca="false">IF(K21883=0,0,K21884/ABS(K21883))</f>
        <v>-0.0772261555698062</v>
      </c>
    </row>
    <row r="21886" customFormat="false" ht="15" hidden="false" customHeight="false" outlineLevel="0" collapsed="false">
      <c r="A21886" s="3" t="s">
        <v>432</v>
      </c>
      <c r="G21886" s="21" t="n">
        <f aca="false">IF(G21884&lt;0,1,0)</f>
        <v>1</v>
      </c>
      <c r="H21886" s="21" t="n">
        <f aca="false">IF(H21884&lt;0,1,0)</f>
        <v>0</v>
      </c>
      <c r="I21886" s="21" t="n">
        <f aca="false">IF(I21884&lt;0,1,0)</f>
        <v>1</v>
      </c>
      <c r="J21886" s="21" t="n">
        <f aca="false">IF(J21884&lt;0,1,0)</f>
        <v>1</v>
      </c>
      <c r="K21886" s="21" t="n">
        <f aca="false">IF(K21884&lt;0,1,0)</f>
        <v>1</v>
      </c>
    </row>
    <row r="21887" customFormat="false" ht="15" hidden="false" customHeight="false" outlineLevel="0" collapsed="false">
      <c r="A21887" s="3" t="s">
        <v>433</v>
      </c>
      <c r="C21887" s="21" t="n">
        <f aca="false">IFERROR(INDEX($G$21628:$K$21628,MATCH(1,$G$21886:$K$21886,0)),0)</f>
        <v>2027</v>
      </c>
    </row>
    <row r="21888" customFormat="false" ht="15" hidden="false" customHeight="false" outlineLevel="0" collapsed="false">
      <c r="A21888" s="3" t="s">
        <v>434</v>
      </c>
      <c r="C21888" s="22" t="n">
        <f aca="false">MIN($G$21885:$K$21885)</f>
        <v>-0.0772261555698062</v>
      </c>
    </row>
    <row r="21889" customFormat="false" ht="15" hidden="false" customHeight="false" outlineLevel="0" collapsed="false">
      <c r="A21889" s="24" t="s">
        <v>436</v>
      </c>
      <c r="B21889" s="25"/>
      <c r="C21889" s="25"/>
      <c r="D21889" s="25"/>
      <c r="E21889" s="25"/>
      <c r="F21889" s="25"/>
      <c r="G21889" s="25"/>
      <c r="H21889" s="25"/>
      <c r="I21889" s="25"/>
      <c r="J21889" s="25"/>
      <c r="K21889" s="25"/>
    </row>
    <row r="21890" customFormat="false" ht="15" hidden="false" customHeight="false" outlineLevel="0" collapsed="false">
      <c r="A21890" s="3" t="s">
        <v>428</v>
      </c>
      <c r="G21890" s="22" t="n">
        <f aca="false">IF(G21871&gt;0,G21860/G21871,99)</f>
        <v>0.120265604139923</v>
      </c>
      <c r="H21890" s="22" t="n">
        <f aca="false">IF(H21871&gt;0,H21860/H21871,99)</f>
        <v>0.119380197979769</v>
      </c>
      <c r="I21890" s="22" t="n">
        <f aca="false">IF(I21871&gt;0,I21860/I21871,99)</f>
        <v>0.118494791819614</v>
      </c>
      <c r="J21890" s="22" t="n">
        <f aca="false">IF(J21871&gt;0,J21860/J21871,99)</f>
        <v>0.11760938565946</v>
      </c>
      <c r="K21890" s="22" t="n">
        <f aca="false">IF(K21871&gt;0,K21860/K21871,99)</f>
        <v>0.116723979499306</v>
      </c>
    </row>
    <row r="21891" customFormat="false" ht="15" hidden="false" customHeight="false" outlineLevel="0" collapsed="false">
      <c r="A21891" s="3" t="s">
        <v>429</v>
      </c>
      <c r="G21891" s="33" t="n">
        <f aca="false">Assumptions!$G$73</f>
        <v>0.4</v>
      </c>
      <c r="H21891" s="33" t="n">
        <f aca="false">Assumptions!$H$73</f>
        <v>0.4</v>
      </c>
      <c r="I21891" s="33" t="n">
        <f aca="false">Assumptions!$I$73</f>
        <v>0.4</v>
      </c>
      <c r="J21891" s="33" t="n">
        <f aca="false">Assumptions!$J$73</f>
        <v>0.4</v>
      </c>
      <c r="K21891" s="33" t="n">
        <f aca="false">Assumptions!$K$73</f>
        <v>0.4</v>
      </c>
    </row>
    <row r="21892" customFormat="false" ht="15" hidden="false" customHeight="false" outlineLevel="0" collapsed="false">
      <c r="A21892" s="3" t="s">
        <v>430</v>
      </c>
      <c r="G21892" s="22" t="n">
        <f aca="false">G21891-G21890</f>
        <v>0.279734395860077</v>
      </c>
      <c r="H21892" s="22" t="n">
        <f aca="false">H21891-H21890</f>
        <v>0.280619802020231</v>
      </c>
      <c r="I21892" s="22" t="n">
        <f aca="false">I21891-I21890</f>
        <v>0.281505208180386</v>
      </c>
      <c r="J21892" s="22" t="n">
        <f aca="false">J21891-J21890</f>
        <v>0.28239061434054</v>
      </c>
      <c r="K21892" s="22" t="n">
        <f aca="false">K21891-K21890</f>
        <v>0.283276020500694</v>
      </c>
    </row>
    <row r="21893" customFormat="false" ht="15" hidden="false" customHeight="false" outlineLevel="0" collapsed="false">
      <c r="A21893" s="3" t="s">
        <v>431</v>
      </c>
      <c r="G21893" s="22" t="n">
        <f aca="false">IF(G21891=0,0,G21892/ABS(G21891))</f>
        <v>0.699335989650192</v>
      </c>
      <c r="H21893" s="22" t="n">
        <f aca="false">IF(H21891=0,0,H21892/ABS(H21891))</f>
        <v>0.701549505050578</v>
      </c>
      <c r="I21893" s="22" t="n">
        <f aca="false">IF(I21891=0,0,I21892/ABS(I21891))</f>
        <v>0.703763020450964</v>
      </c>
      <c r="J21893" s="22" t="n">
        <f aca="false">IF(J21891=0,0,J21892/ABS(J21891))</f>
        <v>0.70597653585135</v>
      </c>
      <c r="K21893" s="22" t="n">
        <f aca="false">IF(K21891=0,0,K21892/ABS(K21891))</f>
        <v>0.708190051251736</v>
      </c>
    </row>
    <row r="21894" customFormat="false" ht="15" hidden="false" customHeight="false" outlineLevel="0" collapsed="false">
      <c r="A21894" s="3" t="s">
        <v>432</v>
      </c>
      <c r="G21894" s="21" t="n">
        <f aca="false">IF(G21892&lt;0,1,0)</f>
        <v>0</v>
      </c>
      <c r="H21894" s="21" t="n">
        <f aca="false">IF(H21892&lt;0,1,0)</f>
        <v>0</v>
      </c>
      <c r="I21894" s="21" t="n">
        <f aca="false">IF(I21892&lt;0,1,0)</f>
        <v>0</v>
      </c>
      <c r="J21894" s="21" t="n">
        <f aca="false">IF(J21892&lt;0,1,0)</f>
        <v>0</v>
      </c>
      <c r="K21894" s="21" t="n">
        <f aca="false">IF(K21892&lt;0,1,0)</f>
        <v>0</v>
      </c>
    </row>
    <row r="21895" customFormat="false" ht="15" hidden="false" customHeight="false" outlineLevel="0" collapsed="false">
      <c r="A21895" s="3" t="s">
        <v>433</v>
      </c>
      <c r="C21895" s="21" t="n">
        <f aca="false">IFERROR(INDEX($G$21628:$K$21628,MATCH(1,$G$21894:$K$21894,0)),0)</f>
        <v>0</v>
      </c>
    </row>
    <row r="21896" customFormat="false" ht="15" hidden="false" customHeight="false" outlineLevel="0" collapsed="false">
      <c r="A21896" s="3" t="s">
        <v>434</v>
      </c>
      <c r="C21896" s="22" t="n">
        <f aca="false">MIN($G$21893:$K$21893)</f>
        <v>0.699335989650192</v>
      </c>
    </row>
    <row r="21897" customFormat="false" ht="15" hidden="false" customHeight="false" outlineLevel="0" collapsed="false">
      <c r="A21897" s="24" t="s">
        <v>437</v>
      </c>
      <c r="B21897" s="25"/>
      <c r="C21897" s="25"/>
      <c r="D21897" s="25"/>
      <c r="E21897" s="25"/>
      <c r="F21897" s="25"/>
      <c r="G21897" s="25"/>
      <c r="H21897" s="25"/>
      <c r="I21897" s="25"/>
      <c r="J21897" s="25"/>
      <c r="K21897" s="25"/>
    </row>
    <row r="21898" customFormat="false" ht="15" hidden="false" customHeight="false" outlineLevel="0" collapsed="false">
      <c r="A21898" s="3" t="s">
        <v>428</v>
      </c>
      <c r="G21898" s="16" t="n">
        <f aca="false">G21868</f>
        <v>729.6148686</v>
      </c>
      <c r="H21898" s="16" t="n">
        <f aca="false">H21868</f>
        <v>599.5</v>
      </c>
      <c r="I21898" s="16" t="n">
        <f aca="false">I21868</f>
        <v>513.171733817944</v>
      </c>
      <c r="J21898" s="16" t="n">
        <f aca="false">J21868</f>
        <v>430.157381215205</v>
      </c>
      <c r="K21898" s="16" t="n">
        <f aca="false">K21868</f>
        <v>331.917025842952</v>
      </c>
    </row>
    <row r="21899" customFormat="false" ht="15" hidden="false" customHeight="false" outlineLevel="0" collapsed="false">
      <c r="A21899" s="3" t="s">
        <v>429</v>
      </c>
      <c r="G21899" s="29" t="n">
        <f aca="false">Assumptions!$G$74</f>
        <v>100</v>
      </c>
      <c r="H21899" s="29" t="n">
        <f aca="false">Assumptions!$H$74</f>
        <v>100</v>
      </c>
      <c r="I21899" s="29" t="n">
        <f aca="false">Assumptions!$I$74</f>
        <v>100</v>
      </c>
      <c r="J21899" s="29" t="n">
        <f aca="false">Assumptions!$J$74</f>
        <v>100</v>
      </c>
      <c r="K21899" s="29" t="n">
        <f aca="false">Assumptions!$K$74</f>
        <v>100</v>
      </c>
    </row>
    <row r="21900" customFormat="false" ht="15" hidden="false" customHeight="false" outlineLevel="0" collapsed="false">
      <c r="A21900" s="3" t="s">
        <v>430</v>
      </c>
      <c r="G21900" s="16" t="n">
        <f aca="false">G21898-G21899</f>
        <v>629.6148686</v>
      </c>
      <c r="H21900" s="16" t="n">
        <f aca="false">H21898-H21899</f>
        <v>499.5</v>
      </c>
      <c r="I21900" s="16" t="n">
        <f aca="false">I21898-I21899</f>
        <v>413.171733817944</v>
      </c>
      <c r="J21900" s="16" t="n">
        <f aca="false">J21898-J21899</f>
        <v>330.157381215205</v>
      </c>
      <c r="K21900" s="16" t="n">
        <f aca="false">K21898-K21899</f>
        <v>231.917025842952</v>
      </c>
    </row>
    <row r="21901" customFormat="false" ht="15" hidden="false" customHeight="false" outlineLevel="0" collapsed="false">
      <c r="A21901" s="3" t="s">
        <v>431</v>
      </c>
      <c r="G21901" s="22" t="n">
        <f aca="false">IF(G21899=0,0,G21900/ABS(G21899))</f>
        <v>6.296148686</v>
      </c>
      <c r="H21901" s="22" t="n">
        <f aca="false">IF(H21899=0,0,H21900/ABS(H21899))</f>
        <v>4.995</v>
      </c>
      <c r="I21901" s="22" t="n">
        <f aca="false">IF(I21899=0,0,I21900/ABS(I21899))</f>
        <v>4.13171733817944</v>
      </c>
      <c r="J21901" s="22" t="n">
        <f aca="false">IF(J21899=0,0,J21900/ABS(J21899))</f>
        <v>3.30157381215205</v>
      </c>
      <c r="K21901" s="22" t="n">
        <f aca="false">IF(K21899=0,0,K21900/ABS(K21899))</f>
        <v>2.31917025842952</v>
      </c>
    </row>
    <row r="21902" customFormat="false" ht="15" hidden="false" customHeight="false" outlineLevel="0" collapsed="false">
      <c r="A21902" s="3" t="s">
        <v>432</v>
      </c>
      <c r="G21902" s="21" t="n">
        <f aca="false">IF(G21900&lt;0,1,0)</f>
        <v>0</v>
      </c>
      <c r="H21902" s="21" t="n">
        <f aca="false">IF(H21900&lt;0,1,0)</f>
        <v>0</v>
      </c>
      <c r="I21902" s="21" t="n">
        <f aca="false">IF(I21900&lt;0,1,0)</f>
        <v>0</v>
      </c>
      <c r="J21902" s="21" t="n">
        <f aca="false">IF(J21900&lt;0,1,0)</f>
        <v>0</v>
      </c>
      <c r="K21902" s="21" t="n">
        <f aca="false">IF(K21900&lt;0,1,0)</f>
        <v>0</v>
      </c>
    </row>
    <row r="21903" customFormat="false" ht="15" hidden="false" customHeight="false" outlineLevel="0" collapsed="false">
      <c r="A21903" s="3" t="s">
        <v>433</v>
      </c>
      <c r="C21903" s="21" t="n">
        <f aca="false">IFERROR(INDEX($G$21628:$K$21628,MATCH(1,$G$21902:$K$21902,0)),0)</f>
        <v>0</v>
      </c>
    </row>
    <row r="21904" customFormat="false" ht="15" hidden="false" customHeight="false" outlineLevel="0" collapsed="false">
      <c r="A21904" s="3" t="s">
        <v>434</v>
      </c>
      <c r="C21904" s="22" t="n">
        <f aca="false">MIN($G$21901:$K$21901)</f>
        <v>2.31917025842952</v>
      </c>
    </row>
    <row r="21905" customFormat="false" ht="15" hidden="false" customHeight="false" outlineLevel="0" collapsed="false">
      <c r="A21905" s="24" t="s">
        <v>438</v>
      </c>
      <c r="B21905" s="25"/>
      <c r="C21905" s="25"/>
      <c r="D21905" s="25"/>
      <c r="E21905" s="25"/>
      <c r="F21905" s="25"/>
      <c r="G21905" s="25"/>
      <c r="H21905" s="25"/>
      <c r="I21905" s="25"/>
      <c r="J21905" s="25"/>
      <c r="K21905" s="25"/>
    </row>
    <row r="21906" customFormat="false" ht="15" hidden="false" customHeight="false" outlineLevel="0" collapsed="false">
      <c r="A21906" s="3" t="s">
        <v>428</v>
      </c>
      <c r="G21906" s="32" t="n">
        <f aca="false">IF(G21638&gt;0,G21861/G21638,99)</f>
        <v>9.62956482085178</v>
      </c>
      <c r="H21906" s="32" t="n">
        <f aca="false">IF(H21638&gt;0,H21861/H21638,99)</f>
        <v>9.67038336994432</v>
      </c>
      <c r="I21906" s="32" t="n">
        <f aca="false">IF(I21638&gt;0,I21861/I21638,99)</f>
        <v>9.7331462234743</v>
      </c>
      <c r="J21906" s="32" t="n">
        <f aca="false">IF(J21638&gt;0,J21861/J21638,99)</f>
        <v>9.79315801554269</v>
      </c>
      <c r="K21906" s="32" t="n">
        <f aca="false">IF(K21638&gt;0,K21861/K21638,99)</f>
        <v>9.89914609114614</v>
      </c>
    </row>
    <row r="21907" customFormat="false" ht="15" hidden="false" customHeight="false" outlineLevel="0" collapsed="false">
      <c r="A21907" s="3" t="s">
        <v>429</v>
      </c>
      <c r="G21907" s="34" t="n">
        <f aca="false">Assumptions!$G$75</f>
        <v>10.5</v>
      </c>
      <c r="H21907" s="34" t="n">
        <f aca="false">Assumptions!$H$75</f>
        <v>10.5</v>
      </c>
      <c r="I21907" s="34" t="n">
        <f aca="false">Assumptions!$I$75</f>
        <v>10</v>
      </c>
      <c r="J21907" s="34" t="n">
        <f aca="false">Assumptions!$J$75</f>
        <v>10</v>
      </c>
      <c r="K21907" s="34" t="n">
        <f aca="false">Assumptions!$K$75</f>
        <v>9.5</v>
      </c>
    </row>
    <row r="21908" customFormat="false" ht="15" hidden="false" customHeight="false" outlineLevel="0" collapsed="false">
      <c r="A21908" s="3" t="s">
        <v>430</v>
      </c>
      <c r="G21908" s="32" t="n">
        <f aca="false">G21907-G21906</f>
        <v>0.870435179148222</v>
      </c>
      <c r="H21908" s="32" t="n">
        <f aca="false">H21907-H21906</f>
        <v>0.829616630055677</v>
      </c>
      <c r="I21908" s="32" t="n">
        <f aca="false">I21907-I21906</f>
        <v>0.266853776525705</v>
      </c>
      <c r="J21908" s="32" t="n">
        <f aca="false">J21907-J21906</f>
        <v>0.206841984457311</v>
      </c>
      <c r="K21908" s="32" t="n">
        <f aca="false">K21907-K21906</f>
        <v>-0.39914609114614</v>
      </c>
    </row>
    <row r="21909" customFormat="false" ht="15" hidden="false" customHeight="false" outlineLevel="0" collapsed="false">
      <c r="A21909" s="3" t="s">
        <v>431</v>
      </c>
      <c r="G21909" s="22" t="n">
        <f aca="false">IF(G21907=0,0,G21908/ABS(G21907))</f>
        <v>0.0828985884903069</v>
      </c>
      <c r="H21909" s="22" t="n">
        <f aca="false">IF(H21907=0,0,H21908/ABS(H21907))</f>
        <v>0.0790111076243502</v>
      </c>
      <c r="I21909" s="22" t="n">
        <f aca="false">IF(I21907=0,0,I21908/ABS(I21907))</f>
        <v>0.0266853776525705</v>
      </c>
      <c r="J21909" s="22" t="n">
        <f aca="false">IF(J21907=0,0,J21908/ABS(J21907))</f>
        <v>0.0206841984457311</v>
      </c>
      <c r="K21909" s="22" t="n">
        <f aca="false">IF(K21907=0,0,K21908/ABS(K21907))</f>
        <v>-0.0420153780153831</v>
      </c>
    </row>
    <row r="21910" customFormat="false" ht="15" hidden="false" customHeight="false" outlineLevel="0" collapsed="false">
      <c r="A21910" s="3" t="s">
        <v>432</v>
      </c>
      <c r="G21910" s="21" t="n">
        <f aca="false">IF(G21908&lt;0,1,0)</f>
        <v>0</v>
      </c>
      <c r="H21910" s="21" t="n">
        <f aca="false">IF(H21908&lt;0,1,0)</f>
        <v>0</v>
      </c>
      <c r="I21910" s="21" t="n">
        <f aca="false">IF(I21908&lt;0,1,0)</f>
        <v>0</v>
      </c>
      <c r="J21910" s="21" t="n">
        <f aca="false">IF(J21908&lt;0,1,0)</f>
        <v>0</v>
      </c>
      <c r="K21910" s="21" t="n">
        <f aca="false">IF(K21908&lt;0,1,0)</f>
        <v>1</v>
      </c>
    </row>
    <row r="21911" customFormat="false" ht="15" hidden="false" customHeight="false" outlineLevel="0" collapsed="false">
      <c r="A21911" s="3" t="s">
        <v>433</v>
      </c>
      <c r="C21911" s="21" t="n">
        <f aca="false">IFERROR(INDEX($G$21628:$K$21628,MATCH(1,$G$21910:$K$21910,0)),0)</f>
        <v>2031</v>
      </c>
    </row>
    <row r="21912" customFormat="false" ht="15" hidden="false" customHeight="false" outlineLevel="0" collapsed="false">
      <c r="A21912" s="3" t="s">
        <v>434</v>
      </c>
      <c r="C21912" s="22" t="n">
        <f aca="false">MIN($G$21909:$K$21909)</f>
        <v>-0.0420153780153831</v>
      </c>
    </row>
    <row r="21913" customFormat="false" ht="15" hidden="false" customHeight="false" outlineLevel="0" collapsed="false">
      <c r="A21913" s="3" t="s">
        <v>439</v>
      </c>
      <c r="G21913" s="21" t="n">
        <f aca="false">G21878+G21886+G21894+G21902+G21910</f>
        <v>1</v>
      </c>
      <c r="H21913" s="21" t="n">
        <f aca="false">H21878+H21886+H21894+H21902+H21910</f>
        <v>0</v>
      </c>
      <c r="I21913" s="21" t="n">
        <f aca="false">I21878+I21886+I21894+I21902+I21910</f>
        <v>1</v>
      </c>
      <c r="J21913" s="21" t="n">
        <f aca="false">J21878+J21886+J21894+J21902+J21910</f>
        <v>1</v>
      </c>
      <c r="K21913" s="21" t="n">
        <f aca="false">K21878+K21886+K21894+K21902+K21910</f>
        <v>3</v>
      </c>
    </row>
    <row r="21914" customFormat="false" ht="15" hidden="false" customHeight="false" outlineLevel="0" collapsed="false">
      <c r="A21914" s="3" t="s">
        <v>440</v>
      </c>
      <c r="C21914" s="21" t="n">
        <f aca="false">SUM($G$21913:$K$21913)</f>
        <v>6</v>
      </c>
    </row>
    <row r="21915" customFormat="false" ht="15" hidden="false" customHeight="false" outlineLevel="0" collapsed="false">
      <c r="A21915" s="3" t="s">
        <v>441</v>
      </c>
      <c r="C21915" s="22" t="n">
        <f aca="false">MIN(C21880,C21888,C21896,C21904,C21912)</f>
        <v>-0.0772261555698062</v>
      </c>
    </row>
    <row r="21917" customFormat="false" ht="15" hidden="false" customHeight="false" outlineLevel="0" collapsed="false">
      <c r="A21917" s="24" t="s">
        <v>543</v>
      </c>
      <c r="B21917" s="25"/>
      <c r="C21917" s="25"/>
      <c r="D21917" s="25"/>
      <c r="E21917" s="25"/>
      <c r="F21917" s="25"/>
      <c r="G21917" s="25"/>
      <c r="H21917" s="25"/>
      <c r="I21917" s="25"/>
      <c r="J21917" s="25"/>
      <c r="K21917" s="25"/>
    </row>
    <row r="21918" customFormat="false" ht="15" hidden="false" customHeight="false" outlineLevel="0" collapsed="false">
      <c r="A21918" s="3" t="s">
        <v>544</v>
      </c>
      <c r="G21918" s="21" t="n">
        <f aca="false">IF($C$21919=1,G21855,IF(G21638=MIN($G$21638:$K$21638),1,0))</f>
        <v>1</v>
      </c>
      <c r="H21918" s="21" t="n">
        <f aca="false">IF($C$21919=1,H21855,IF(AND(H21638=MIN($G$21638:$K$21638),SUM($G$21918:G21918)=0),1,0))</f>
        <v>0</v>
      </c>
      <c r="I21918" s="21" t="n">
        <f aca="false">IF($C$21919=1,I21855,IF(AND(I21638=MIN($G$21638:$K$21638),SUM($G$21918:H21918)=0),1,0))</f>
        <v>0</v>
      </c>
      <c r="J21918" s="21" t="n">
        <f aca="false">IF($C$21919=1,J21855,IF(AND(J21638=MIN($G$21638:$K$21638),SUM($G$21918:I21918)=0),1,0))</f>
        <v>0</v>
      </c>
      <c r="K21918" s="21" t="n">
        <f aca="false">IF($C$21919=1,K21855,IF(AND(K21638=MIN($G$21638:$K$21638),SUM($G$21918:J21918)=0),1,0))</f>
        <v>0</v>
      </c>
    </row>
    <row r="21919" customFormat="false" ht="15" hidden="false" customHeight="false" outlineLevel="0" collapsed="false">
      <c r="A21919" s="3" t="s">
        <v>545</v>
      </c>
      <c r="C21919" s="21" t="n">
        <f aca="false">IF(SUM($G$21855:$K$21855)&gt;0,1,0)</f>
        <v>0</v>
      </c>
    </row>
    <row r="21920" customFormat="false" ht="15" hidden="false" customHeight="false" outlineLevel="0" collapsed="false">
      <c r="A21920" s="3" t="s">
        <v>546</v>
      </c>
      <c r="C21920" s="21" t="n">
        <f aca="false">SUMPRODUCT($G$21918:$K$21918,$G$21628:$K$21628)</f>
        <v>2027</v>
      </c>
    </row>
    <row r="21921" customFormat="false" ht="15" hidden="false" customHeight="false" outlineLevel="0" collapsed="false">
      <c r="A21921" s="3" t="s">
        <v>547</v>
      </c>
      <c r="C21921" s="16" t="n">
        <f aca="false">SUMPRODUCT($G$21918:$K$21918,$G$21638:$K$21638)</f>
        <v>256.1714031</v>
      </c>
    </row>
    <row r="21922" customFormat="false" ht="15" hidden="false" customHeight="false" outlineLevel="0" collapsed="false">
      <c r="A21922" s="3" t="s">
        <v>548</v>
      </c>
      <c r="C21922" s="16" t="n">
        <f aca="false">MAX(0,SUMPRODUCT($G$21918:$K$21918,$G$21852:$K$21852))</f>
        <v>155.1148686</v>
      </c>
    </row>
    <row r="21923" customFormat="false" ht="15" hidden="false" customHeight="false" outlineLevel="0" collapsed="false">
      <c r="A21923" s="3" t="s">
        <v>549</v>
      </c>
      <c r="C21923" s="16" t="n">
        <f aca="false">(CHOOSE($C$21621,Assumptions!$C$92,Assumptions!$C$111,Assumptions!$C$130)+$C$21625)*C21921</f>
        <v>2561.714031</v>
      </c>
    </row>
    <row r="21924" customFormat="false" ht="15" hidden="false" customHeight="false" outlineLevel="0" collapsed="false">
      <c r="A21924" s="3" t="s">
        <v>550</v>
      </c>
      <c r="C21924" s="16" t="n">
        <f aca="false">Assumptions!$C$31*(1-CHOOSE($C$21621,Assumptions!$C$93,Assumptions!$C$112,Assumptions!$C$131))*CHOOSE($C$21621,Assumptions!$C$94,Assumptions!$C$113,Assumptions!$C$132)</f>
        <v>3840.04556666667</v>
      </c>
    </row>
    <row r="21925" customFormat="false" ht="15" hidden="false" customHeight="false" outlineLevel="0" collapsed="false">
      <c r="A21925" s="3" t="s">
        <v>551</v>
      </c>
      <c r="C21925" s="16" t="n">
        <f aca="false">MAX(C21923,C21924)+C21922</f>
        <v>3995.16043526667</v>
      </c>
    </row>
    <row r="21926" customFormat="false" ht="15" hidden="false" customHeight="false" outlineLevel="0" collapsed="false">
      <c r="A21926" s="2" t="s">
        <v>552</v>
      </c>
      <c r="C21926" s="17" t="n">
        <f aca="false">IF(ISNUMBER(Assumptions!$C$14),Assumptions!$C$14,C21925)</f>
        <v>3995.16043526667</v>
      </c>
    </row>
    <row r="21927" customFormat="false" ht="15" hidden="false" customHeight="false" outlineLevel="0" collapsed="false">
      <c r="A21927" s="3" t="s">
        <v>553</v>
      </c>
      <c r="C21927" s="16" t="n">
        <f aca="false">C21926*Assumptions!$C$15</f>
        <v>159.806417410667</v>
      </c>
    </row>
    <row r="21928" customFormat="false" ht="15" hidden="false" customHeight="false" outlineLevel="0" collapsed="false">
      <c r="A21928" s="2" t="s">
        <v>554</v>
      </c>
      <c r="C21928" s="17" t="n">
        <f aca="false">C21926-C21927</f>
        <v>3835.354017856</v>
      </c>
    </row>
    <row r="21929" customFormat="false" ht="15" hidden="false" customHeight="false" outlineLevel="0" collapsed="false">
      <c r="A21929" s="24" t="s">
        <v>555</v>
      </c>
      <c r="B21929" s="25"/>
      <c r="C21929" s="25"/>
      <c r="D21929" s="25"/>
      <c r="E21929" s="25"/>
      <c r="F21929" s="25"/>
      <c r="G21929" s="25"/>
      <c r="H21929" s="25"/>
      <c r="I21929" s="25"/>
      <c r="J21929" s="25"/>
      <c r="K21929" s="25"/>
    </row>
    <row r="21930" customFormat="false" ht="15" hidden="false" customHeight="false" outlineLevel="0" collapsed="false">
      <c r="A21930" s="3" t="s">
        <v>556</v>
      </c>
      <c r="C21930" s="16" t="n">
        <f aca="false">SUMPRODUCT($G$21918:$K$21918,$G$21675:$K$21675)*(1+SUMPRODUCT($G$21918:$K$21918,$G$21667:$K$21667)*Assumptions!$C$16/12)</f>
        <v>404.0685</v>
      </c>
    </row>
    <row r="21931" customFormat="false" ht="15" hidden="false" customHeight="false" outlineLevel="0" collapsed="false">
      <c r="A21931" s="3" t="s">
        <v>557</v>
      </c>
      <c r="C21931" s="16" t="n">
        <f aca="false">SUMPRODUCT($G$21918:$K$21918,$G$21688:$K$21688)*(1+SUMPRODUCT($G$21918:$K$21918,$G$21680:$K$21680)*Assumptions!$C$16/12)</f>
        <v>91.30725</v>
      </c>
    </row>
    <row r="21932" customFormat="false" ht="15" hidden="false" customHeight="false" outlineLevel="0" collapsed="false">
      <c r="A21932" s="3" t="s">
        <v>558</v>
      </c>
      <c r="C21932" s="16" t="n">
        <f aca="false">SUMPRODUCT($G$21918:$K$21918,$G$21701:$K$21701)*(1+SUMPRODUCT($G$21918:$K$21918,$G$21693:$K$21693)*Assumptions!$C$16/12)</f>
        <v>58.3715961</v>
      </c>
    </row>
    <row r="21933" customFormat="false" ht="15" hidden="false" customHeight="false" outlineLevel="0" collapsed="false">
      <c r="A21933" s="3" t="s">
        <v>559</v>
      </c>
      <c r="C21933" s="16" t="n">
        <f aca="false">SUMPRODUCT($G$21918:$K$21918,$G$21714:$K$21714)*(1+SUMPRODUCT($G$21918:$K$21918,$G$21706:$K$21706)*Assumptions!$C$16/12)</f>
        <v>0</v>
      </c>
    </row>
    <row r="21934" customFormat="false" ht="15" hidden="false" customHeight="false" outlineLevel="0" collapsed="false">
      <c r="A21934" s="3" t="s">
        <v>560</v>
      </c>
      <c r="C21934" s="16" t="n">
        <f aca="false">SUMPRODUCT($G$21918:$K$21918,$G$21727:$K$21727)*(1+SUMPRODUCT($G$21918:$K$21918,$G$21719:$K$21719)*Assumptions!$C$16/12)</f>
        <v>454.44375</v>
      </c>
    </row>
    <row r="21935" customFormat="false" ht="15" hidden="false" customHeight="false" outlineLevel="0" collapsed="false">
      <c r="A21935" s="3" t="s">
        <v>561</v>
      </c>
      <c r="C21935" s="16" t="n">
        <f aca="false">SUMPRODUCT($G$21918:$K$21918,$G$21740:$K$21740)*(1+SUMPRODUCT($G$21918:$K$21918,$G$21732:$K$21732)*Assumptions!$C$16/12)</f>
        <v>357.2625</v>
      </c>
    </row>
    <row r="21936" customFormat="false" ht="15" hidden="false" customHeight="false" outlineLevel="0" collapsed="false">
      <c r="A21936" s="3" t="s">
        <v>562</v>
      </c>
      <c r="C21936" s="16" t="n">
        <f aca="false">SUMPRODUCT($G$21918:$K$21918,$G$21753:$K$21753)*(1+SUMPRODUCT($G$21918:$K$21918,$G$21745:$K$21745)*Assumptions!$C$16/12)</f>
        <v>562.203125</v>
      </c>
    </row>
    <row r="21937" customFormat="false" ht="15" hidden="false" customHeight="false" outlineLevel="0" collapsed="false">
      <c r="A21937" s="3" t="s">
        <v>563</v>
      </c>
      <c r="C21937" s="16" t="n">
        <f aca="false">SUMPRODUCT($G$21918:$K$21918,$G$21766:$K$21766)*(1+SUMPRODUCT($G$21918:$K$21918,$G$21758:$K$21758)*Assumptions!$C$16/12)</f>
        <v>353.98125</v>
      </c>
    </row>
    <row r="21938" customFormat="false" ht="15" hidden="false" customHeight="false" outlineLevel="0" collapsed="false">
      <c r="A21938" s="3" t="s">
        <v>564</v>
      </c>
      <c r="C21938" s="16" t="n">
        <f aca="false">SUMPRODUCT($G$21918:$K$21918,$G$21779:$K$21779)*(1+SUMPRODUCT($G$21918:$K$21918,$G$21771:$K$21771)*Assumptions!$C$16/12)</f>
        <v>304.59375</v>
      </c>
    </row>
    <row r="21939" customFormat="false" ht="15" hidden="false" customHeight="false" outlineLevel="0" collapsed="false">
      <c r="A21939" s="3" t="s">
        <v>565</v>
      </c>
      <c r="C21939" s="16" t="n">
        <f aca="false">SUMPRODUCT($G$21918:$K$21918,$G$21792:$K$21792)*(1+SUMPRODUCT($G$21918:$K$21918,$G$21784:$K$21784)*Assumptions!$C$16/12)</f>
        <v>79.47667525</v>
      </c>
    </row>
    <row r="21940" customFormat="false" ht="15" hidden="false" customHeight="false" outlineLevel="0" collapsed="false">
      <c r="A21940" s="24" t="s">
        <v>566</v>
      </c>
      <c r="B21940" s="25"/>
      <c r="C21940" s="25"/>
      <c r="D21940" s="25"/>
      <c r="E21940" s="25"/>
      <c r="F21940" s="25"/>
      <c r="G21940" s="25"/>
      <c r="H21940" s="25"/>
      <c r="I21940" s="25"/>
      <c r="J21940" s="25"/>
      <c r="K21940" s="25"/>
    </row>
    <row r="21941" customFormat="false" ht="15" hidden="false" customHeight="false" outlineLevel="0" collapsed="false">
      <c r="A21941" s="3" t="s">
        <v>556</v>
      </c>
      <c r="C21941" s="27" t="n">
        <f aca="false">Assumptions!$M$57</f>
        <v>1</v>
      </c>
    </row>
    <row r="21942" customFormat="false" ht="15" hidden="false" customHeight="false" outlineLevel="0" collapsed="false">
      <c r="A21942" s="3" t="s">
        <v>557</v>
      </c>
      <c r="C21942" s="27" t="n">
        <f aca="false">Assumptions!$M$58</f>
        <v>1</v>
      </c>
    </row>
    <row r="21943" customFormat="false" ht="15" hidden="false" customHeight="false" outlineLevel="0" collapsed="false">
      <c r="A21943" s="3" t="s">
        <v>558</v>
      </c>
      <c r="C21943" s="27" t="n">
        <f aca="false">Assumptions!$M$59</f>
        <v>1</v>
      </c>
    </row>
    <row r="21944" customFormat="false" ht="15" hidden="false" customHeight="false" outlineLevel="0" collapsed="false">
      <c r="A21944" s="3" t="s">
        <v>559</v>
      </c>
      <c r="C21944" s="27" t="n">
        <f aca="false">Assumptions!$M$60</f>
        <v>2</v>
      </c>
    </row>
    <row r="21945" customFormat="false" ht="15" hidden="false" customHeight="false" outlineLevel="0" collapsed="false">
      <c r="A21945" s="3" t="s">
        <v>560</v>
      </c>
      <c r="C21945" s="27" t="n">
        <f aca="false">Assumptions!$M$61</f>
        <v>2</v>
      </c>
    </row>
    <row r="21946" customFormat="false" ht="15" hidden="false" customHeight="false" outlineLevel="0" collapsed="false">
      <c r="A21946" s="3" t="s">
        <v>561</v>
      </c>
      <c r="C21946" s="27" t="n">
        <f aca="false">Assumptions!$M$62</f>
        <v>2</v>
      </c>
    </row>
    <row r="21947" customFormat="false" ht="15" hidden="false" customHeight="false" outlineLevel="0" collapsed="false">
      <c r="A21947" s="3" t="s">
        <v>562</v>
      </c>
      <c r="C21947" s="27" t="n">
        <f aca="false">Assumptions!$M$63</f>
        <v>2</v>
      </c>
    </row>
    <row r="21948" customFormat="false" ht="15" hidden="false" customHeight="false" outlineLevel="0" collapsed="false">
      <c r="A21948" s="3" t="s">
        <v>563</v>
      </c>
      <c r="C21948" s="27" t="n">
        <f aca="false">Assumptions!$M$64</f>
        <v>2</v>
      </c>
    </row>
    <row r="21949" customFormat="false" ht="15" hidden="false" customHeight="false" outlineLevel="0" collapsed="false">
      <c r="A21949" s="3" t="s">
        <v>564</v>
      </c>
      <c r="C21949" s="27" t="n">
        <f aca="false">Assumptions!$M$65</f>
        <v>2</v>
      </c>
    </row>
    <row r="21950" customFormat="false" ht="15" hidden="false" customHeight="false" outlineLevel="0" collapsed="false">
      <c r="A21950" s="3" t="s">
        <v>565</v>
      </c>
      <c r="C21950" s="27" t="n">
        <f aca="false">Assumptions!$M$66</f>
        <v>3</v>
      </c>
    </row>
    <row r="21951" customFormat="false" ht="15" hidden="false" customHeight="false" outlineLevel="0" collapsed="false">
      <c r="A21951" s="24" t="s">
        <v>567</v>
      </c>
      <c r="B21951" s="25"/>
      <c r="C21951" s="25"/>
      <c r="D21951" s="25"/>
      <c r="E21951" s="25"/>
      <c r="F21951" s="25"/>
      <c r="G21951" s="25"/>
      <c r="H21951" s="25"/>
      <c r="I21951" s="25"/>
      <c r="J21951" s="25"/>
      <c r="K21951" s="25"/>
    </row>
    <row r="21952" customFormat="false" ht="15" hidden="false" customHeight="false" outlineLevel="0" collapsed="false">
      <c r="A21952" s="3" t="s">
        <v>556</v>
      </c>
      <c r="C21952" s="33" t="n">
        <f aca="false">Assumptions!$Q$57</f>
        <v>0.3</v>
      </c>
    </row>
    <row r="21953" customFormat="false" ht="15" hidden="false" customHeight="false" outlineLevel="0" collapsed="false">
      <c r="A21953" s="3" t="s">
        <v>557</v>
      </c>
      <c r="C21953" s="33" t="n">
        <f aca="false">Assumptions!$Q$58</f>
        <v>0.033</v>
      </c>
    </row>
    <row r="21954" customFormat="false" ht="15" hidden="false" customHeight="false" outlineLevel="0" collapsed="false">
      <c r="A21954" s="3" t="s">
        <v>558</v>
      </c>
      <c r="C21954" s="33" t="n">
        <f aca="false">Assumptions!$Q$59</f>
        <v>0.021</v>
      </c>
    </row>
    <row r="21955" customFormat="false" ht="15" hidden="false" customHeight="false" outlineLevel="0" collapsed="false">
      <c r="A21955" s="3" t="s">
        <v>559</v>
      </c>
      <c r="C21955" s="33" t="n">
        <f aca="false">Assumptions!$Q$60</f>
        <v>0</v>
      </c>
    </row>
    <row r="21956" customFormat="false" ht="15" hidden="false" customHeight="false" outlineLevel="0" collapsed="false">
      <c r="A21956" s="3" t="s">
        <v>560</v>
      </c>
      <c r="C21956" s="33" t="n">
        <f aca="false">Assumptions!$Q$61</f>
        <v>0</v>
      </c>
    </row>
    <row r="21957" customFormat="false" ht="15" hidden="false" customHeight="false" outlineLevel="0" collapsed="false">
      <c r="A21957" s="3" t="s">
        <v>561</v>
      </c>
      <c r="C21957" s="33" t="n">
        <f aca="false">Assumptions!$Q$62</f>
        <v>0</v>
      </c>
    </row>
    <row r="21958" customFormat="false" ht="15" hidden="false" customHeight="false" outlineLevel="0" collapsed="false">
      <c r="A21958" s="3" t="s">
        <v>562</v>
      </c>
      <c r="C21958" s="33" t="n">
        <f aca="false">Assumptions!$Q$63</f>
        <v>0</v>
      </c>
    </row>
    <row r="21959" customFormat="false" ht="15" hidden="false" customHeight="false" outlineLevel="0" collapsed="false">
      <c r="A21959" s="3" t="s">
        <v>563</v>
      </c>
      <c r="C21959" s="33" t="n">
        <f aca="false">Assumptions!$Q$64</f>
        <v>0</v>
      </c>
    </row>
    <row r="21960" customFormat="false" ht="15" hidden="false" customHeight="false" outlineLevel="0" collapsed="false">
      <c r="A21960" s="3" t="s">
        <v>564</v>
      </c>
      <c r="C21960" s="33" t="n">
        <f aca="false">Assumptions!$Q$65</f>
        <v>0</v>
      </c>
    </row>
    <row r="21961" customFormat="false" ht="15" hidden="false" customHeight="false" outlineLevel="0" collapsed="false">
      <c r="A21961" s="3" t="s">
        <v>565</v>
      </c>
      <c r="C21961" s="33" t="n">
        <f aca="false">Assumptions!$Q$66</f>
        <v>0</v>
      </c>
    </row>
    <row r="21962" customFormat="false" ht="15" hidden="false" customHeight="false" outlineLevel="0" collapsed="false">
      <c r="A21962" s="24" t="s">
        <v>568</v>
      </c>
      <c r="B21962" s="25"/>
      <c r="C21962" s="25"/>
      <c r="D21962" s="25"/>
      <c r="E21962" s="25"/>
      <c r="F21962" s="25"/>
      <c r="G21962" s="25"/>
      <c r="H21962" s="25"/>
      <c r="I21962" s="25"/>
      <c r="J21962" s="25"/>
      <c r="K21962" s="25"/>
    </row>
    <row r="21963" customFormat="false" ht="15" hidden="false" customHeight="false" outlineLevel="0" collapsed="false">
      <c r="A21963" s="3" t="s">
        <v>556</v>
      </c>
      <c r="C21963" s="16" t="n">
        <f aca="false">IF(C21952&gt;0,MIN(C21930,C21952*$C$21928),0)</f>
        <v>404.0685</v>
      </c>
    </row>
    <row r="21964" customFormat="false" ht="15" hidden="false" customHeight="false" outlineLevel="0" collapsed="false">
      <c r="A21964" s="3" t="s">
        <v>557</v>
      </c>
      <c r="C21964" s="16" t="n">
        <f aca="false">IF(C21953&gt;0,MIN(C21931,C21953*$C$21928),0)</f>
        <v>91.30725</v>
      </c>
    </row>
    <row r="21965" customFormat="false" ht="15" hidden="false" customHeight="false" outlineLevel="0" collapsed="false">
      <c r="A21965" s="3" t="s">
        <v>558</v>
      </c>
      <c r="C21965" s="16" t="n">
        <f aca="false">IF(C21954&gt;0,MIN(C21932,C21954*$C$21928),0)</f>
        <v>58.3715961</v>
      </c>
    </row>
    <row r="21966" customFormat="false" ht="15" hidden="false" customHeight="false" outlineLevel="0" collapsed="false">
      <c r="A21966" s="3" t="s">
        <v>559</v>
      </c>
      <c r="C21966" s="16" t="n">
        <f aca="false">IF(C21955&gt;0,MIN(C21933,C21955*$C$21928),0)</f>
        <v>0</v>
      </c>
    </row>
    <row r="21967" customFormat="false" ht="15" hidden="false" customHeight="false" outlineLevel="0" collapsed="false">
      <c r="A21967" s="3" t="s">
        <v>560</v>
      </c>
      <c r="C21967" s="16" t="n">
        <f aca="false">IF(C21956&gt;0,MIN(C21934,C21956*$C$21928),0)</f>
        <v>0</v>
      </c>
    </row>
    <row r="21968" customFormat="false" ht="15" hidden="false" customHeight="false" outlineLevel="0" collapsed="false">
      <c r="A21968" s="3" t="s">
        <v>561</v>
      </c>
      <c r="C21968" s="16" t="n">
        <f aca="false">IF(C21957&gt;0,MIN(C21935,C21957*$C$21928),0)</f>
        <v>0</v>
      </c>
    </row>
    <row r="21969" customFormat="false" ht="15" hidden="false" customHeight="false" outlineLevel="0" collapsed="false">
      <c r="A21969" s="3" t="s">
        <v>562</v>
      </c>
      <c r="C21969" s="16" t="n">
        <f aca="false">IF(C21958&gt;0,MIN(C21936,C21958*$C$21928),0)</f>
        <v>0</v>
      </c>
    </row>
    <row r="21970" customFormat="false" ht="15" hidden="false" customHeight="false" outlineLevel="0" collapsed="false">
      <c r="A21970" s="3" t="s">
        <v>563</v>
      </c>
      <c r="C21970" s="16" t="n">
        <f aca="false">IF(C21959&gt;0,MIN(C21937,C21959*$C$21928),0)</f>
        <v>0</v>
      </c>
    </row>
    <row r="21971" customFormat="false" ht="15" hidden="false" customHeight="false" outlineLevel="0" collapsed="false">
      <c r="A21971" s="3" t="s">
        <v>564</v>
      </c>
      <c r="C21971" s="16" t="n">
        <f aca="false">IF(C21960&gt;0,MIN(C21938,C21960*$C$21928),0)</f>
        <v>0</v>
      </c>
    </row>
    <row r="21972" customFormat="false" ht="15" hidden="false" customHeight="false" outlineLevel="0" collapsed="false">
      <c r="A21972" s="3" t="s">
        <v>565</v>
      </c>
      <c r="C21972" s="16" t="n">
        <f aca="false">IF(C21961&gt;0,MIN(C21939,C21961*$C$21928),0)</f>
        <v>0</v>
      </c>
    </row>
    <row r="21973" customFormat="false" ht="15" hidden="false" customHeight="false" outlineLevel="0" collapsed="false">
      <c r="A21973" s="24" t="s">
        <v>569</v>
      </c>
      <c r="B21973" s="25"/>
      <c r="C21973" s="25"/>
      <c r="D21973" s="25"/>
      <c r="E21973" s="25"/>
      <c r="F21973" s="25"/>
      <c r="G21973" s="25"/>
      <c r="H21973" s="25"/>
      <c r="I21973" s="25"/>
      <c r="J21973" s="25"/>
      <c r="K21973" s="25"/>
    </row>
    <row r="21974" customFormat="false" ht="15" hidden="false" customHeight="false" outlineLevel="0" collapsed="false">
      <c r="A21974" s="3" t="s">
        <v>556</v>
      </c>
      <c r="C21974" s="16" t="n">
        <f aca="false">IF(C21952&gt;0,C21930-C21963,0)</f>
        <v>0</v>
      </c>
      <c r="G21974" s="21" t="n">
        <f aca="false">IF(AND(G21665=1,G21662=1),1,0)</f>
        <v>0</v>
      </c>
      <c r="H21974" s="21" t="n">
        <f aca="false">IF(G21974=1,1,IF(AND(H21665=1,H21662=1),1,0))</f>
        <v>0</v>
      </c>
      <c r="I21974" s="21" t="n">
        <f aca="false">IF(H21974=1,1,IF(AND(I21665=1,I21662=1),1,0))</f>
        <v>0</v>
      </c>
      <c r="J21974" s="21" t="n">
        <f aca="false">IF(I21974=1,1,IF(AND(J21665=1,J21662=1),1,0))</f>
        <v>0</v>
      </c>
      <c r="K21974" s="21" t="n">
        <f aca="false">IF(J21974=1,1,IF(AND(K21665=1,K21662=1),1,0))</f>
        <v>1</v>
      </c>
    </row>
    <row r="21975" customFormat="false" ht="15" hidden="false" customHeight="false" outlineLevel="0" collapsed="false">
      <c r="A21975" s="3" t="s">
        <v>557</v>
      </c>
      <c r="C21975" s="16" t="n">
        <f aca="false">IF(C21953&gt;0,C21931-C21964,0)</f>
        <v>0</v>
      </c>
      <c r="G21975" s="21" t="n">
        <f aca="false">IF(AND(G21678=1,G21662=1),1,0)</f>
        <v>0</v>
      </c>
      <c r="H21975" s="21" t="n">
        <f aca="false">IF(G21975=1,1,IF(AND(H21678=1,H21662=1),1,0))</f>
        <v>0</v>
      </c>
      <c r="I21975" s="21" t="n">
        <f aca="false">IF(H21975=1,1,IF(AND(I21678=1,I21662=1),1,0))</f>
        <v>0</v>
      </c>
      <c r="J21975" s="21" t="n">
        <f aca="false">IF(I21975=1,1,IF(AND(J21678=1,J21662=1),1,0))</f>
        <v>0</v>
      </c>
      <c r="K21975" s="21" t="n">
        <f aca="false">IF(J21975=1,1,IF(AND(K21678=1,K21662=1),1,0))</f>
        <v>0</v>
      </c>
    </row>
    <row r="21976" customFormat="false" ht="15" hidden="false" customHeight="false" outlineLevel="0" collapsed="false">
      <c r="A21976" s="3" t="s">
        <v>558</v>
      </c>
      <c r="C21976" s="16" t="n">
        <f aca="false">IF(C21954&gt;0,C21932-C21965,0)</f>
        <v>0</v>
      </c>
      <c r="G21976" s="21" t="n">
        <f aca="false">IF(AND(G21691=1,G21662=1),1,0)</f>
        <v>0</v>
      </c>
      <c r="H21976" s="21" t="n">
        <f aca="false">IF(G21976=1,1,IF(AND(H21691=1,H21662=1),1,0))</f>
        <v>0</v>
      </c>
      <c r="I21976" s="21" t="n">
        <f aca="false">IF(H21976=1,1,IF(AND(I21691=1,I21662=1),1,0))</f>
        <v>0</v>
      </c>
      <c r="J21976" s="21" t="n">
        <f aca="false">IF(I21976=1,1,IF(AND(J21691=1,J21662=1),1,0))</f>
        <v>0</v>
      </c>
      <c r="K21976" s="21" t="n">
        <f aca="false">IF(J21976=1,1,IF(AND(K21691=1,K21662=1),1,0))</f>
        <v>0</v>
      </c>
    </row>
    <row r="21977" customFormat="false" ht="15" hidden="false" customHeight="false" outlineLevel="0" collapsed="false">
      <c r="A21977" s="3" t="s">
        <v>559</v>
      </c>
      <c r="C21977" s="16" t="n">
        <f aca="false">IF(C21955&gt;0,C21933-C21966,0)</f>
        <v>0</v>
      </c>
      <c r="G21977" s="21" t="n">
        <f aca="false">IF(AND(G21704=1,G21662=1),1,0)</f>
        <v>1</v>
      </c>
      <c r="H21977" s="21" t="n">
        <f aca="false">IF(G21977=1,1,IF(AND(H21704=1,H21662=1),1,0))</f>
        <v>1</v>
      </c>
      <c r="I21977" s="21" t="n">
        <f aca="false">IF(H21977=1,1,IF(AND(I21704=1,I21662=1),1,0))</f>
        <v>1</v>
      </c>
      <c r="J21977" s="21" t="n">
        <f aca="false">IF(I21977=1,1,IF(AND(J21704=1,J21662=1),1,0))</f>
        <v>1</v>
      </c>
      <c r="K21977" s="21" t="n">
        <f aca="false">IF(J21977=1,1,IF(AND(K21704=1,K21662=1),1,0))</f>
        <v>1</v>
      </c>
    </row>
    <row r="21978" customFormat="false" ht="15" hidden="false" customHeight="false" outlineLevel="0" collapsed="false">
      <c r="A21978" s="3" t="s">
        <v>560</v>
      </c>
      <c r="C21978" s="16" t="n">
        <f aca="false">IF(C21956&gt;0,C21934-C21967,0)</f>
        <v>0</v>
      </c>
      <c r="G21978" s="21" t="n">
        <f aca="false">IF(AND(G21717=1,G21662=1),1,0)</f>
        <v>0</v>
      </c>
      <c r="H21978" s="21" t="n">
        <f aca="false">IF(G21978=1,1,IF(AND(H21717=1,H21662=1),1,0))</f>
        <v>1</v>
      </c>
      <c r="I21978" s="21" t="n">
        <f aca="false">IF(H21978=1,1,IF(AND(I21717=1,I21662=1),1,0))</f>
        <v>1</v>
      </c>
      <c r="J21978" s="21" t="n">
        <f aca="false">IF(I21978=1,1,IF(AND(J21717=1,J21662=1),1,0))</f>
        <v>1</v>
      </c>
      <c r="K21978" s="21" t="n">
        <f aca="false">IF(J21978=1,1,IF(AND(K21717=1,K21662=1),1,0))</f>
        <v>1</v>
      </c>
    </row>
    <row r="21979" customFormat="false" ht="15" hidden="false" customHeight="false" outlineLevel="0" collapsed="false">
      <c r="A21979" s="3" t="s">
        <v>561</v>
      </c>
      <c r="C21979" s="16" t="n">
        <f aca="false">IF(C21957&gt;0,C21935-C21968,0)</f>
        <v>0</v>
      </c>
      <c r="G21979" s="21" t="n">
        <f aca="false">IF(AND(G21730=1,G21662=1),1,0)</f>
        <v>0</v>
      </c>
      <c r="H21979" s="21" t="n">
        <f aca="false">IF(G21979=1,1,IF(AND(H21730=1,H21662=1),1,0))</f>
        <v>1</v>
      </c>
      <c r="I21979" s="21" t="n">
        <f aca="false">IF(H21979=1,1,IF(AND(I21730=1,I21662=1),1,0))</f>
        <v>1</v>
      </c>
      <c r="J21979" s="21" t="n">
        <f aca="false">IF(I21979=1,1,IF(AND(J21730=1,J21662=1),1,0))</f>
        <v>1</v>
      </c>
      <c r="K21979" s="21" t="n">
        <f aca="false">IF(J21979=1,1,IF(AND(K21730=1,K21662=1),1,0))</f>
        <v>1</v>
      </c>
    </row>
    <row r="21980" customFormat="false" ht="15" hidden="false" customHeight="false" outlineLevel="0" collapsed="false">
      <c r="A21980" s="3" t="s">
        <v>562</v>
      </c>
      <c r="C21980" s="16" t="n">
        <f aca="false">IF(C21958&gt;0,C21936-C21969,0)</f>
        <v>0</v>
      </c>
      <c r="G21980" s="21" t="n">
        <f aca="false">IF(AND(G21743=1,G21662=1),1,0)</f>
        <v>0</v>
      </c>
      <c r="H21980" s="21" t="n">
        <f aca="false">IF(G21980=1,1,IF(AND(H21743=1,H21662=1),1,0))</f>
        <v>0</v>
      </c>
      <c r="I21980" s="21" t="n">
        <f aca="false">IF(H21980=1,1,IF(AND(I21743=1,I21662=1),1,0))</f>
        <v>1</v>
      </c>
      <c r="J21980" s="21" t="n">
        <f aca="false">IF(I21980=1,1,IF(AND(J21743=1,J21662=1),1,0))</f>
        <v>1</v>
      </c>
      <c r="K21980" s="21" t="n">
        <f aca="false">IF(J21980=1,1,IF(AND(K21743=1,K21662=1),1,0))</f>
        <v>1</v>
      </c>
    </row>
    <row r="21981" customFormat="false" ht="15" hidden="false" customHeight="false" outlineLevel="0" collapsed="false">
      <c r="A21981" s="3" t="s">
        <v>563</v>
      </c>
      <c r="C21981" s="16" t="n">
        <f aca="false">IF(C21959&gt;0,C21937-C21970,0)</f>
        <v>0</v>
      </c>
      <c r="G21981" s="21" t="n">
        <f aca="false">IF(AND(G21756=1,G21662=1),1,0)</f>
        <v>0</v>
      </c>
      <c r="H21981" s="21" t="n">
        <f aca="false">IF(G21981=1,1,IF(AND(H21756=1,H21662=1),1,0))</f>
        <v>0</v>
      </c>
      <c r="I21981" s="21" t="n">
        <f aca="false">IF(H21981=1,1,IF(AND(I21756=1,I21662=1),1,0))</f>
        <v>0</v>
      </c>
      <c r="J21981" s="21" t="n">
        <f aca="false">IF(I21981=1,1,IF(AND(J21756=1,J21662=1),1,0))</f>
        <v>1</v>
      </c>
      <c r="K21981" s="21" t="n">
        <f aca="false">IF(J21981=1,1,IF(AND(K21756=1,K21662=1),1,0))</f>
        <v>1</v>
      </c>
    </row>
    <row r="21982" customFormat="false" ht="15" hidden="false" customHeight="false" outlineLevel="0" collapsed="false">
      <c r="A21982" s="3" t="s">
        <v>564</v>
      </c>
      <c r="C21982" s="16" t="n">
        <f aca="false">IF(C21960&gt;0,C21938-C21971,0)</f>
        <v>0</v>
      </c>
      <c r="G21982" s="21" t="n">
        <f aca="false">IF(AND(G21769=1,G21662=1),1,0)</f>
        <v>0</v>
      </c>
      <c r="H21982" s="21" t="n">
        <f aca="false">IF(G21982=1,1,IF(AND(H21769=1,H21662=1),1,0))</f>
        <v>0</v>
      </c>
      <c r="I21982" s="21" t="n">
        <f aca="false">IF(H21982=1,1,IF(AND(I21769=1,I21662=1),1,0))</f>
        <v>0</v>
      </c>
      <c r="J21982" s="21" t="n">
        <f aca="false">IF(I21982=1,1,IF(AND(J21769=1,J21662=1),1,0))</f>
        <v>0</v>
      </c>
      <c r="K21982" s="21" t="n">
        <f aca="false">IF(J21982=1,1,IF(AND(K21769=1,K21662=1),1,0))</f>
        <v>1</v>
      </c>
    </row>
    <row r="21983" customFormat="false" ht="15" hidden="false" customHeight="false" outlineLevel="0" collapsed="false">
      <c r="A21983" s="3" t="s">
        <v>565</v>
      </c>
      <c r="C21983" s="16" t="n">
        <f aca="false">IF(C21961&gt;0,C21939-C21972,0)</f>
        <v>0</v>
      </c>
      <c r="G21983" s="21" t="n">
        <f aca="false">IF(AND(G21782=1,G21662=1),1,0)</f>
        <v>0</v>
      </c>
      <c r="H21983" s="21" t="n">
        <f aca="false">IF(G21983=1,1,IF(AND(H21782=1,H21662=1),1,0))</f>
        <v>0</v>
      </c>
      <c r="I21983" s="21" t="n">
        <f aca="false">IF(H21983=1,1,IF(AND(I21782=1,I21662=1),1,0))</f>
        <v>0</v>
      </c>
      <c r="J21983" s="21" t="n">
        <f aca="false">IF(I21983=1,1,IF(AND(J21782=1,J21662=1),1,0))</f>
        <v>0</v>
      </c>
      <c r="K21983" s="21" t="n">
        <f aca="false">IF(J21983=1,1,IF(AND(K21782=1,K21662=1),1,0))</f>
        <v>0</v>
      </c>
    </row>
    <row r="21984" customFormat="false" ht="15" hidden="false" customHeight="false" outlineLevel="0" collapsed="false">
      <c r="A21984" s="24" t="s">
        <v>570</v>
      </c>
      <c r="B21984" s="25"/>
      <c r="C21984" s="25"/>
      <c r="D21984" s="25"/>
      <c r="E21984" s="25"/>
      <c r="F21984" s="25"/>
      <c r="G21984" s="25"/>
      <c r="H21984" s="25"/>
      <c r="I21984" s="25"/>
      <c r="J21984" s="25"/>
      <c r="K21984" s="25"/>
    </row>
    <row r="21985" customFormat="false" ht="15" hidden="false" customHeight="false" outlineLevel="0" collapsed="false">
      <c r="A21985" s="3" t="s">
        <v>556</v>
      </c>
      <c r="C21985" s="16" t="n">
        <f aca="false">IF(C21952&gt;0,C21974,C21930)</f>
        <v>0</v>
      </c>
    </row>
    <row r="21986" customFormat="false" ht="15" hidden="false" customHeight="false" outlineLevel="0" collapsed="false">
      <c r="A21986" s="3" t="s">
        <v>557</v>
      </c>
      <c r="C21986" s="16" t="n">
        <f aca="false">IF(C21953&gt;0,C21975,C21931)</f>
        <v>0</v>
      </c>
    </row>
    <row r="21987" customFormat="false" ht="15" hidden="false" customHeight="false" outlineLevel="0" collapsed="false">
      <c r="A21987" s="3" t="s">
        <v>558</v>
      </c>
      <c r="C21987" s="16" t="n">
        <f aca="false">IF(C21954&gt;0,C21976,C21932)</f>
        <v>0</v>
      </c>
    </row>
    <row r="21988" customFormat="false" ht="15" hidden="false" customHeight="false" outlineLevel="0" collapsed="false">
      <c r="A21988" s="3" t="s">
        <v>559</v>
      </c>
      <c r="C21988" s="16" t="n">
        <f aca="false">IF(C21955&gt;0,C21977,C21933)</f>
        <v>0</v>
      </c>
    </row>
    <row r="21989" customFormat="false" ht="15" hidden="false" customHeight="false" outlineLevel="0" collapsed="false">
      <c r="A21989" s="3" t="s">
        <v>560</v>
      </c>
      <c r="C21989" s="16" t="n">
        <f aca="false">IF(C21956&gt;0,C21978,C21934)</f>
        <v>454.44375</v>
      </c>
    </row>
    <row r="21990" customFormat="false" ht="15" hidden="false" customHeight="false" outlineLevel="0" collapsed="false">
      <c r="A21990" s="3" t="s">
        <v>561</v>
      </c>
      <c r="C21990" s="16" t="n">
        <f aca="false">IF(C21957&gt;0,C21979,C21935)</f>
        <v>357.2625</v>
      </c>
    </row>
    <row r="21991" customFormat="false" ht="15" hidden="false" customHeight="false" outlineLevel="0" collapsed="false">
      <c r="A21991" s="3" t="s">
        <v>562</v>
      </c>
      <c r="C21991" s="16" t="n">
        <f aca="false">IF(C21958&gt;0,C21980,C21936)</f>
        <v>562.203125</v>
      </c>
    </row>
    <row r="21992" customFormat="false" ht="15" hidden="false" customHeight="false" outlineLevel="0" collapsed="false">
      <c r="A21992" s="3" t="s">
        <v>563</v>
      </c>
      <c r="C21992" s="16" t="n">
        <f aca="false">IF(C21959&gt;0,C21981,C21937)</f>
        <v>353.98125</v>
      </c>
    </row>
    <row r="21993" customFormat="false" ht="15" hidden="false" customHeight="false" outlineLevel="0" collapsed="false">
      <c r="A21993" s="3" t="s">
        <v>564</v>
      </c>
      <c r="C21993" s="16" t="n">
        <f aca="false">IF(C21960&gt;0,C21982,C21938)</f>
        <v>304.59375</v>
      </c>
    </row>
    <row r="21994" customFormat="false" ht="15" hidden="false" customHeight="false" outlineLevel="0" collapsed="false">
      <c r="A21994" s="3" t="s">
        <v>565</v>
      </c>
      <c r="C21994" s="16" t="n">
        <f aca="false">IF(C21961&gt;0,C21983,C21939)</f>
        <v>79.47667525</v>
      </c>
    </row>
    <row r="21995" customFormat="false" ht="15" hidden="false" customHeight="false" outlineLevel="0" collapsed="false">
      <c r="A21995" s="24" t="s">
        <v>571</v>
      </c>
      <c r="B21995" s="25"/>
      <c r="C21995" s="25"/>
      <c r="D21995" s="25"/>
      <c r="E21995" s="25"/>
      <c r="F21995" s="25"/>
      <c r="G21995" s="25"/>
      <c r="H21995" s="25"/>
      <c r="I21995" s="25"/>
      <c r="J21995" s="25"/>
      <c r="K21995" s="25"/>
    </row>
    <row r="21996" customFormat="false" ht="15" hidden="false" customHeight="false" outlineLevel="0" collapsed="false">
      <c r="A21996" s="3" t="s">
        <v>556</v>
      </c>
      <c r="C21996" s="21" t="n">
        <f aca="false">IF(C21952&gt;0,Assumptions!$C$17,C21941)</f>
        <v>99</v>
      </c>
    </row>
    <row r="21997" customFormat="false" ht="15" hidden="false" customHeight="false" outlineLevel="0" collapsed="false">
      <c r="A21997" s="3" t="s">
        <v>557</v>
      </c>
      <c r="C21997" s="21" t="n">
        <f aca="false">IF(C21953&gt;0,Assumptions!$C$17,C21942)</f>
        <v>99</v>
      </c>
    </row>
    <row r="21998" customFormat="false" ht="15" hidden="false" customHeight="false" outlineLevel="0" collapsed="false">
      <c r="A21998" s="3" t="s">
        <v>558</v>
      </c>
      <c r="C21998" s="21" t="n">
        <f aca="false">IF(C21954&gt;0,Assumptions!$C$17,C21943)</f>
        <v>99</v>
      </c>
    </row>
    <row r="21999" customFormat="false" ht="15" hidden="false" customHeight="false" outlineLevel="0" collapsed="false">
      <c r="A21999" s="3" t="s">
        <v>559</v>
      </c>
      <c r="C21999" s="21" t="n">
        <f aca="false">IF(C21955&gt;0,Assumptions!$C$17,C21944)</f>
        <v>2</v>
      </c>
    </row>
    <row r="22000" customFormat="false" ht="15" hidden="false" customHeight="false" outlineLevel="0" collapsed="false">
      <c r="A22000" s="3" t="s">
        <v>560</v>
      </c>
      <c r="C22000" s="21" t="n">
        <f aca="false">IF(C21956&gt;0,Assumptions!$C$17,C21945)</f>
        <v>2</v>
      </c>
    </row>
    <row r="22001" customFormat="false" ht="15" hidden="false" customHeight="false" outlineLevel="0" collapsed="false">
      <c r="A22001" s="3" t="s">
        <v>561</v>
      </c>
      <c r="C22001" s="21" t="n">
        <f aca="false">IF(C21957&gt;0,Assumptions!$C$17,C21946)</f>
        <v>2</v>
      </c>
    </row>
    <row r="22002" customFormat="false" ht="15" hidden="false" customHeight="false" outlineLevel="0" collapsed="false">
      <c r="A22002" s="3" t="s">
        <v>562</v>
      </c>
      <c r="C22002" s="21" t="n">
        <f aca="false">IF(C21958&gt;0,Assumptions!$C$17,C21947)</f>
        <v>2</v>
      </c>
    </row>
    <row r="22003" customFormat="false" ht="15" hidden="false" customHeight="false" outlineLevel="0" collapsed="false">
      <c r="A22003" s="3" t="s">
        <v>563</v>
      </c>
      <c r="C22003" s="21" t="n">
        <f aca="false">IF(C21959&gt;0,Assumptions!$C$17,C21948)</f>
        <v>2</v>
      </c>
    </row>
    <row r="22004" customFormat="false" ht="15" hidden="false" customHeight="false" outlineLevel="0" collapsed="false">
      <c r="A22004" s="3" t="s">
        <v>564</v>
      </c>
      <c r="C22004" s="21" t="n">
        <f aca="false">IF(C21960&gt;0,Assumptions!$C$17,C21949)</f>
        <v>2</v>
      </c>
    </row>
    <row r="22005" customFormat="false" ht="15" hidden="false" customHeight="false" outlineLevel="0" collapsed="false">
      <c r="A22005" s="3" t="s">
        <v>565</v>
      </c>
      <c r="C22005" s="21" t="n">
        <f aca="false">IF(C21961&gt;0,Assumptions!$C$17,C21950)</f>
        <v>3</v>
      </c>
    </row>
    <row r="22006" customFormat="false" ht="15" hidden="false" customHeight="false" outlineLevel="0" collapsed="false">
      <c r="A22006" s="24" t="s">
        <v>572</v>
      </c>
      <c r="B22006" s="25"/>
      <c r="C22006" s="25"/>
      <c r="D22006" s="25"/>
      <c r="E22006" s="25"/>
      <c r="F22006" s="25"/>
      <c r="G22006" s="25"/>
      <c r="H22006" s="25"/>
      <c r="I22006" s="25"/>
      <c r="J22006" s="25"/>
      <c r="K22006" s="25"/>
    </row>
    <row r="22007" customFormat="false" ht="15" hidden="false" customHeight="false" outlineLevel="0" collapsed="false">
      <c r="A22007" s="3" t="s">
        <v>556</v>
      </c>
      <c r="C22007" s="16" t="n">
        <f aca="false">SUMPRODUCT(($C$21996:$C$22005&lt;C21996)*$C$21985:$C$21994)</f>
        <v>2111.96105025</v>
      </c>
    </row>
    <row r="22008" customFormat="false" ht="15" hidden="false" customHeight="false" outlineLevel="0" collapsed="false">
      <c r="A22008" s="3" t="s">
        <v>557</v>
      </c>
      <c r="C22008" s="16" t="n">
        <f aca="false">SUMPRODUCT(($C$21996:$C$22005&lt;C21997)*$C$21985:$C$21994)</f>
        <v>2111.96105025</v>
      </c>
    </row>
    <row r="22009" customFormat="false" ht="15" hidden="false" customHeight="false" outlineLevel="0" collapsed="false">
      <c r="A22009" s="3" t="s">
        <v>558</v>
      </c>
      <c r="C22009" s="16" t="n">
        <f aca="false">SUMPRODUCT(($C$21996:$C$22005&lt;C21998)*$C$21985:$C$21994)</f>
        <v>2111.96105025</v>
      </c>
    </row>
    <row r="22010" customFormat="false" ht="15" hidden="false" customHeight="false" outlineLevel="0" collapsed="false">
      <c r="A22010" s="3" t="s">
        <v>559</v>
      </c>
      <c r="C22010" s="16" t="n">
        <f aca="false">SUMPRODUCT(($C$21996:$C$22005&lt;C21999)*$C$21985:$C$21994)</f>
        <v>0</v>
      </c>
    </row>
    <row r="22011" customFormat="false" ht="15" hidden="false" customHeight="false" outlineLevel="0" collapsed="false">
      <c r="A22011" s="3" t="s">
        <v>560</v>
      </c>
      <c r="C22011" s="16" t="n">
        <f aca="false">SUMPRODUCT(($C$21996:$C$22005&lt;C22000)*$C$21985:$C$21994)</f>
        <v>0</v>
      </c>
    </row>
    <row r="22012" customFormat="false" ht="15" hidden="false" customHeight="false" outlineLevel="0" collapsed="false">
      <c r="A22012" s="3" t="s">
        <v>561</v>
      </c>
      <c r="C22012" s="16" t="n">
        <f aca="false">SUMPRODUCT(($C$21996:$C$22005&lt;C22001)*$C$21985:$C$21994)</f>
        <v>0</v>
      </c>
    </row>
    <row r="22013" customFormat="false" ht="15" hidden="false" customHeight="false" outlineLevel="0" collapsed="false">
      <c r="A22013" s="3" t="s">
        <v>562</v>
      </c>
      <c r="C22013" s="16" t="n">
        <f aca="false">SUMPRODUCT(($C$21996:$C$22005&lt;C22002)*$C$21985:$C$21994)</f>
        <v>0</v>
      </c>
    </row>
    <row r="22014" customFormat="false" ht="15" hidden="false" customHeight="false" outlineLevel="0" collapsed="false">
      <c r="A22014" s="3" t="s">
        <v>563</v>
      </c>
      <c r="C22014" s="16" t="n">
        <f aca="false">SUMPRODUCT(($C$21996:$C$22005&lt;C22003)*$C$21985:$C$21994)</f>
        <v>0</v>
      </c>
    </row>
    <row r="22015" customFormat="false" ht="15" hidden="false" customHeight="false" outlineLevel="0" collapsed="false">
      <c r="A22015" s="3" t="s">
        <v>564</v>
      </c>
      <c r="C22015" s="16" t="n">
        <f aca="false">SUMPRODUCT(($C$21996:$C$22005&lt;C22004)*$C$21985:$C$21994)</f>
        <v>0</v>
      </c>
    </row>
    <row r="22016" customFormat="false" ht="15" hidden="false" customHeight="false" outlineLevel="0" collapsed="false">
      <c r="A22016" s="3" t="s">
        <v>565</v>
      </c>
      <c r="C22016" s="16" t="n">
        <f aca="false">SUMPRODUCT(($C$21996:$C$22005&lt;C22005)*$C$21985:$C$21994)</f>
        <v>2032.484375</v>
      </c>
    </row>
    <row r="22017" customFormat="false" ht="15" hidden="false" customHeight="false" outlineLevel="0" collapsed="false">
      <c r="A22017" s="24" t="s">
        <v>573</v>
      </c>
      <c r="B22017" s="25"/>
      <c r="C22017" s="25"/>
      <c r="D22017" s="25"/>
      <c r="E22017" s="25"/>
      <c r="F22017" s="25"/>
      <c r="G22017" s="25"/>
      <c r="H22017" s="25"/>
      <c r="I22017" s="25"/>
      <c r="J22017" s="25"/>
      <c r="K22017" s="25"/>
    </row>
    <row r="22018" customFormat="false" ht="15" hidden="false" customHeight="false" outlineLevel="0" collapsed="false">
      <c r="A22018" s="3" t="s">
        <v>556</v>
      </c>
      <c r="C22018" s="16" t="n">
        <f aca="false">SUMPRODUCT(($C$21996:$C$22005=C21996)*$C$21985:$C$21994)</f>
        <v>0</v>
      </c>
    </row>
    <row r="22019" customFormat="false" ht="15" hidden="false" customHeight="false" outlineLevel="0" collapsed="false">
      <c r="A22019" s="3" t="s">
        <v>557</v>
      </c>
      <c r="C22019" s="16" t="n">
        <f aca="false">SUMPRODUCT(($C$21996:$C$22005=C21997)*$C$21985:$C$21994)</f>
        <v>0</v>
      </c>
    </row>
    <row r="22020" customFormat="false" ht="15" hidden="false" customHeight="false" outlineLevel="0" collapsed="false">
      <c r="A22020" s="3" t="s">
        <v>558</v>
      </c>
      <c r="C22020" s="16" t="n">
        <f aca="false">SUMPRODUCT(($C$21996:$C$22005=C21998)*$C$21985:$C$21994)</f>
        <v>0</v>
      </c>
    </row>
    <row r="22021" customFormat="false" ht="15" hidden="false" customHeight="false" outlineLevel="0" collapsed="false">
      <c r="A22021" s="3" t="s">
        <v>559</v>
      </c>
      <c r="C22021" s="16" t="n">
        <f aca="false">SUMPRODUCT(($C$21996:$C$22005=C21999)*$C$21985:$C$21994)</f>
        <v>2032.484375</v>
      </c>
    </row>
    <row r="22022" customFormat="false" ht="15" hidden="false" customHeight="false" outlineLevel="0" collapsed="false">
      <c r="A22022" s="3" t="s">
        <v>560</v>
      </c>
      <c r="C22022" s="16" t="n">
        <f aca="false">SUMPRODUCT(($C$21996:$C$22005=C22000)*$C$21985:$C$21994)</f>
        <v>2032.484375</v>
      </c>
    </row>
    <row r="22023" customFormat="false" ht="15" hidden="false" customHeight="false" outlineLevel="0" collapsed="false">
      <c r="A22023" s="3" t="s">
        <v>561</v>
      </c>
      <c r="C22023" s="16" t="n">
        <f aca="false">SUMPRODUCT(($C$21996:$C$22005=C22001)*$C$21985:$C$21994)</f>
        <v>2032.484375</v>
      </c>
    </row>
    <row r="22024" customFormat="false" ht="15" hidden="false" customHeight="false" outlineLevel="0" collapsed="false">
      <c r="A22024" s="3" t="s">
        <v>562</v>
      </c>
      <c r="C22024" s="16" t="n">
        <f aca="false">SUMPRODUCT(($C$21996:$C$22005=C22002)*$C$21985:$C$21994)</f>
        <v>2032.484375</v>
      </c>
    </row>
    <row r="22025" customFormat="false" ht="15" hidden="false" customHeight="false" outlineLevel="0" collapsed="false">
      <c r="A22025" s="3" t="s">
        <v>563</v>
      </c>
      <c r="C22025" s="16" t="n">
        <f aca="false">SUMPRODUCT(($C$21996:$C$22005=C22003)*$C$21985:$C$21994)</f>
        <v>2032.484375</v>
      </c>
    </row>
    <row r="22026" customFormat="false" ht="15" hidden="false" customHeight="false" outlineLevel="0" collapsed="false">
      <c r="A22026" s="3" t="s">
        <v>564</v>
      </c>
      <c r="C22026" s="16" t="n">
        <f aca="false">SUMPRODUCT(($C$21996:$C$22005=C22004)*$C$21985:$C$21994)</f>
        <v>2032.484375</v>
      </c>
    </row>
    <row r="22027" customFormat="false" ht="15" hidden="false" customHeight="false" outlineLevel="0" collapsed="false">
      <c r="A22027" s="3" t="s">
        <v>565</v>
      </c>
      <c r="C22027" s="16" t="n">
        <f aca="false">SUMPRODUCT(($C$21996:$C$22005=C22005)*$C$21985:$C$21994)</f>
        <v>79.47667525</v>
      </c>
    </row>
    <row r="22028" customFormat="false" ht="15" hidden="false" customHeight="false" outlineLevel="0" collapsed="false">
      <c r="A22028" s="24" t="s">
        <v>574</v>
      </c>
      <c r="B22028" s="25"/>
      <c r="C22028" s="25"/>
      <c r="D22028" s="25"/>
      <c r="E22028" s="25"/>
      <c r="F22028" s="25"/>
      <c r="G22028" s="25"/>
      <c r="H22028" s="25"/>
      <c r="I22028" s="25"/>
      <c r="J22028" s="25"/>
      <c r="K22028" s="25"/>
    </row>
    <row r="22029" customFormat="false" ht="15" hidden="false" customHeight="false" outlineLevel="0" collapsed="false">
      <c r="A22029" s="3" t="s">
        <v>556</v>
      </c>
      <c r="C22029" s="16" t="n">
        <f aca="false">IF(C22018=0,0,C21985/C22018*MAX(0,MIN(C22018,$C$21928-SUM($C$21963:$C$21972)-C22007)))</f>
        <v>0</v>
      </c>
    </row>
    <row r="22030" customFormat="false" ht="15" hidden="false" customHeight="false" outlineLevel="0" collapsed="false">
      <c r="A22030" s="3" t="s">
        <v>557</v>
      </c>
      <c r="C22030" s="16" t="n">
        <f aca="false">IF(C22019=0,0,C21986/C22019*MAX(0,MIN(C22019,$C$21928-SUM($C$21963:$C$21972)-C22008)))</f>
        <v>0</v>
      </c>
    </row>
    <row r="22031" customFormat="false" ht="15" hidden="false" customHeight="false" outlineLevel="0" collapsed="false">
      <c r="A22031" s="3" t="s">
        <v>558</v>
      </c>
      <c r="C22031" s="16" t="n">
        <f aca="false">IF(C22020=0,0,C21987/C22020*MAX(0,MIN(C22020,$C$21928-SUM($C$21963:$C$21972)-C22009)))</f>
        <v>0</v>
      </c>
    </row>
    <row r="22032" customFormat="false" ht="15" hidden="false" customHeight="false" outlineLevel="0" collapsed="false">
      <c r="A22032" s="3" t="s">
        <v>559</v>
      </c>
      <c r="C22032" s="16" t="n">
        <f aca="false">IF(C22021=0,0,C21988/C22021*MAX(0,MIN(C22021,$C$21928-SUM($C$21963:$C$21972)-C22010)))</f>
        <v>0</v>
      </c>
    </row>
    <row r="22033" customFormat="false" ht="15" hidden="false" customHeight="false" outlineLevel="0" collapsed="false">
      <c r="A22033" s="3" t="s">
        <v>560</v>
      </c>
      <c r="C22033" s="16" t="n">
        <f aca="false">IF(C22022=0,0,C21989/C22022*MAX(0,MIN(C22022,$C$21928-SUM($C$21963:$C$21972)-C22011)))</f>
        <v>454.44375</v>
      </c>
    </row>
    <row r="22034" customFormat="false" ht="15" hidden="false" customHeight="false" outlineLevel="0" collapsed="false">
      <c r="A22034" s="3" t="s">
        <v>561</v>
      </c>
      <c r="C22034" s="16" t="n">
        <f aca="false">IF(C22023=0,0,C21990/C22023*MAX(0,MIN(C22023,$C$21928-SUM($C$21963:$C$21972)-C22012)))</f>
        <v>357.2625</v>
      </c>
    </row>
    <row r="22035" customFormat="false" ht="15" hidden="false" customHeight="false" outlineLevel="0" collapsed="false">
      <c r="A22035" s="3" t="s">
        <v>562</v>
      </c>
      <c r="C22035" s="16" t="n">
        <f aca="false">IF(C22024=0,0,C21991/C22024*MAX(0,MIN(C22024,$C$21928-SUM($C$21963:$C$21972)-C22013)))</f>
        <v>562.203125</v>
      </c>
    </row>
    <row r="22036" customFormat="false" ht="15" hidden="false" customHeight="false" outlineLevel="0" collapsed="false">
      <c r="A22036" s="3" t="s">
        <v>563</v>
      </c>
      <c r="C22036" s="16" t="n">
        <f aca="false">IF(C22025=0,0,C21992/C22025*MAX(0,MIN(C22025,$C$21928-SUM($C$21963:$C$21972)-C22014)))</f>
        <v>353.98125</v>
      </c>
    </row>
    <row r="22037" customFormat="false" ht="15" hidden="false" customHeight="false" outlineLevel="0" collapsed="false">
      <c r="A22037" s="3" t="s">
        <v>564</v>
      </c>
      <c r="C22037" s="16" t="n">
        <f aca="false">IF(C22026=0,0,C21993/C22026*MAX(0,MIN(C22026,$C$21928-SUM($C$21963:$C$21972)-C22015)))</f>
        <v>304.59375</v>
      </c>
    </row>
    <row r="22038" customFormat="false" ht="15" hidden="false" customHeight="false" outlineLevel="0" collapsed="false">
      <c r="A22038" s="3" t="s">
        <v>565</v>
      </c>
      <c r="C22038" s="16" t="n">
        <f aca="false">IF(C22027=0,0,C21994/C22027*MAX(0,MIN(C22027,$C$21928-SUM($C$21963:$C$21972)-C22016)))</f>
        <v>79.47667525</v>
      </c>
    </row>
    <row r="22039" customFormat="false" ht="15" hidden="false" customHeight="false" outlineLevel="0" collapsed="false">
      <c r="A22039" s="24" t="s">
        <v>575</v>
      </c>
      <c r="B22039" s="25"/>
      <c r="C22039" s="25"/>
      <c r="D22039" s="25"/>
      <c r="E22039" s="25"/>
      <c r="F22039" s="25"/>
      <c r="G22039" s="25"/>
      <c r="H22039" s="25"/>
      <c r="I22039" s="25"/>
      <c r="J22039" s="25"/>
      <c r="K22039" s="25"/>
    </row>
    <row r="22040" customFormat="false" ht="15" hidden="false" customHeight="false" outlineLevel="0" collapsed="false">
      <c r="A22040" s="2" t="s">
        <v>556</v>
      </c>
      <c r="C22040" s="17" t="n">
        <f aca="false">C21963+C22029</f>
        <v>404.0685</v>
      </c>
    </row>
    <row r="22041" customFormat="false" ht="15" hidden="false" customHeight="false" outlineLevel="0" collapsed="false">
      <c r="A22041" s="2" t="s">
        <v>557</v>
      </c>
      <c r="C22041" s="17" t="n">
        <f aca="false">C21964+C22030</f>
        <v>91.30725</v>
      </c>
    </row>
    <row r="22042" customFormat="false" ht="15" hidden="false" customHeight="false" outlineLevel="0" collapsed="false">
      <c r="A22042" s="2" t="s">
        <v>558</v>
      </c>
      <c r="C22042" s="17" t="n">
        <f aca="false">C21965+C22031</f>
        <v>58.3715961</v>
      </c>
    </row>
    <row r="22043" customFormat="false" ht="15" hidden="false" customHeight="false" outlineLevel="0" collapsed="false">
      <c r="A22043" s="2" t="s">
        <v>559</v>
      </c>
      <c r="C22043" s="17" t="n">
        <f aca="false">C21966+C22032</f>
        <v>0</v>
      </c>
    </row>
    <row r="22044" customFormat="false" ht="15" hidden="false" customHeight="false" outlineLevel="0" collapsed="false">
      <c r="A22044" s="2" t="s">
        <v>560</v>
      </c>
      <c r="C22044" s="17" t="n">
        <f aca="false">C21967+C22033</f>
        <v>454.44375</v>
      </c>
    </row>
    <row r="22045" customFormat="false" ht="15" hidden="false" customHeight="false" outlineLevel="0" collapsed="false">
      <c r="A22045" s="2" t="s">
        <v>561</v>
      </c>
      <c r="C22045" s="17" t="n">
        <f aca="false">C21968+C22034</f>
        <v>357.2625</v>
      </c>
    </row>
    <row r="22046" customFormat="false" ht="15" hidden="false" customHeight="false" outlineLevel="0" collapsed="false">
      <c r="A22046" s="2" t="s">
        <v>562</v>
      </c>
      <c r="C22046" s="17" t="n">
        <f aca="false">C21969+C22035</f>
        <v>562.203125</v>
      </c>
    </row>
    <row r="22047" customFormat="false" ht="15" hidden="false" customHeight="false" outlineLevel="0" collapsed="false">
      <c r="A22047" s="2" t="s">
        <v>563</v>
      </c>
      <c r="C22047" s="17" t="n">
        <f aca="false">C21970+C22036</f>
        <v>353.98125</v>
      </c>
    </row>
    <row r="22048" customFormat="false" ht="15" hidden="false" customHeight="false" outlineLevel="0" collapsed="false">
      <c r="A22048" s="2" t="s">
        <v>564</v>
      </c>
      <c r="C22048" s="17" t="n">
        <f aca="false">C21971+C22037</f>
        <v>304.59375</v>
      </c>
    </row>
    <row r="22049" customFormat="false" ht="15" hidden="false" customHeight="false" outlineLevel="0" collapsed="false">
      <c r="A22049" s="2" t="s">
        <v>565</v>
      </c>
      <c r="C22049" s="17" t="n">
        <f aca="false">C21972+C22038</f>
        <v>79.47667525</v>
      </c>
    </row>
    <row r="22050" customFormat="false" ht="15" hidden="false" customHeight="false" outlineLevel="0" collapsed="false">
      <c r="A22050" s="24" t="s">
        <v>576</v>
      </c>
      <c r="B22050" s="25"/>
      <c r="C22050" s="25"/>
      <c r="D22050" s="25"/>
      <c r="E22050" s="25"/>
      <c r="F22050" s="25"/>
      <c r="G22050" s="25"/>
      <c r="H22050" s="25"/>
      <c r="I22050" s="25"/>
      <c r="J22050" s="25"/>
      <c r="K22050" s="25"/>
    </row>
    <row r="22051" customFormat="false" ht="15" hidden="false" customHeight="false" outlineLevel="0" collapsed="false">
      <c r="A22051" s="3" t="s">
        <v>556</v>
      </c>
      <c r="C22051" s="22" t="n">
        <f aca="false">IF(C21930=0,1,C22040/C21930)</f>
        <v>1</v>
      </c>
    </row>
    <row r="22052" customFormat="false" ht="15" hidden="false" customHeight="false" outlineLevel="0" collapsed="false">
      <c r="A22052" s="3" t="s">
        <v>557</v>
      </c>
      <c r="C22052" s="22" t="n">
        <f aca="false">IF(C21931=0,1,C22041/C21931)</f>
        <v>1</v>
      </c>
    </row>
    <row r="22053" customFormat="false" ht="15" hidden="false" customHeight="false" outlineLevel="0" collapsed="false">
      <c r="A22053" s="3" t="s">
        <v>558</v>
      </c>
      <c r="C22053" s="22" t="n">
        <f aca="false">IF(C21932=0,1,C22042/C21932)</f>
        <v>1</v>
      </c>
    </row>
    <row r="22054" customFormat="false" ht="15" hidden="false" customHeight="false" outlineLevel="0" collapsed="false">
      <c r="A22054" s="3" t="s">
        <v>559</v>
      </c>
      <c r="C22054" s="22" t="n">
        <f aca="false">IF(C21933=0,1,C22043/C21933)</f>
        <v>1</v>
      </c>
    </row>
    <row r="22055" customFormat="false" ht="15" hidden="false" customHeight="false" outlineLevel="0" collapsed="false">
      <c r="A22055" s="3" t="s">
        <v>560</v>
      </c>
      <c r="C22055" s="22" t="n">
        <f aca="false">IF(C21934=0,1,C22044/C21934)</f>
        <v>1</v>
      </c>
    </row>
    <row r="22056" customFormat="false" ht="15" hidden="false" customHeight="false" outlineLevel="0" collapsed="false">
      <c r="A22056" s="3" t="s">
        <v>561</v>
      </c>
      <c r="C22056" s="22" t="n">
        <f aca="false">IF(C21935=0,1,C22045/C21935)</f>
        <v>1</v>
      </c>
    </row>
    <row r="22057" customFormat="false" ht="15" hidden="false" customHeight="false" outlineLevel="0" collapsed="false">
      <c r="A22057" s="3" t="s">
        <v>562</v>
      </c>
      <c r="C22057" s="22" t="n">
        <f aca="false">IF(C21936=0,1,C22046/C21936)</f>
        <v>1</v>
      </c>
    </row>
    <row r="22058" customFormat="false" ht="15" hidden="false" customHeight="false" outlineLevel="0" collapsed="false">
      <c r="A22058" s="3" t="s">
        <v>563</v>
      </c>
      <c r="C22058" s="22" t="n">
        <f aca="false">IF(C21937=0,1,C22047/C21937)</f>
        <v>1</v>
      </c>
    </row>
    <row r="22059" customFormat="false" ht="15" hidden="false" customHeight="false" outlineLevel="0" collapsed="false">
      <c r="A22059" s="3" t="s">
        <v>564</v>
      </c>
      <c r="C22059" s="22" t="n">
        <f aca="false">IF(C21938=0,1,C22048/C21938)</f>
        <v>1</v>
      </c>
    </row>
    <row r="22060" customFormat="false" ht="15" hidden="false" customHeight="false" outlineLevel="0" collapsed="false">
      <c r="A22060" s="3" t="s">
        <v>565</v>
      </c>
      <c r="C22060" s="22" t="n">
        <f aca="false">IF(C21939=0,1,C22049/C21939)</f>
        <v>1</v>
      </c>
    </row>
    <row r="22061" customFormat="false" ht="15" hidden="false" customHeight="false" outlineLevel="0" collapsed="false">
      <c r="A22061" s="24" t="s">
        <v>577</v>
      </c>
      <c r="B22061" s="25"/>
      <c r="C22061" s="25"/>
      <c r="D22061" s="25"/>
      <c r="E22061" s="25"/>
      <c r="F22061" s="25"/>
      <c r="G22061" s="25"/>
      <c r="H22061" s="25"/>
      <c r="I22061" s="25"/>
      <c r="J22061" s="25"/>
      <c r="K22061" s="25"/>
    </row>
    <row r="22062" customFormat="false" ht="15" hidden="false" customHeight="false" outlineLevel="0" collapsed="false">
      <c r="A22062" s="3" t="s">
        <v>556</v>
      </c>
      <c r="C22062" s="16" t="n">
        <f aca="false">C21930-C22040</f>
        <v>0</v>
      </c>
    </row>
    <row r="22063" customFormat="false" ht="15" hidden="false" customHeight="false" outlineLevel="0" collapsed="false">
      <c r="A22063" s="3" t="s">
        <v>557</v>
      </c>
      <c r="C22063" s="16" t="n">
        <f aca="false">C21931-C22041</f>
        <v>0</v>
      </c>
    </row>
    <row r="22064" customFormat="false" ht="15" hidden="false" customHeight="false" outlineLevel="0" collapsed="false">
      <c r="A22064" s="3" t="s">
        <v>558</v>
      </c>
      <c r="C22064" s="16" t="n">
        <f aca="false">C21932-C22042</f>
        <v>0</v>
      </c>
    </row>
    <row r="22065" customFormat="false" ht="15" hidden="false" customHeight="false" outlineLevel="0" collapsed="false">
      <c r="A22065" s="3" t="s">
        <v>559</v>
      </c>
      <c r="C22065" s="16" t="n">
        <f aca="false">C21933-C22043</f>
        <v>0</v>
      </c>
    </row>
    <row r="22066" customFormat="false" ht="15" hidden="false" customHeight="false" outlineLevel="0" collapsed="false">
      <c r="A22066" s="3" t="s">
        <v>560</v>
      </c>
      <c r="C22066" s="16" t="n">
        <f aca="false">C21934-C22044</f>
        <v>0</v>
      </c>
    </row>
    <row r="22067" customFormat="false" ht="15" hidden="false" customHeight="false" outlineLevel="0" collapsed="false">
      <c r="A22067" s="3" t="s">
        <v>561</v>
      </c>
      <c r="C22067" s="16" t="n">
        <f aca="false">C21935-C22045</f>
        <v>0</v>
      </c>
    </row>
    <row r="22068" customFormat="false" ht="15" hidden="false" customHeight="false" outlineLevel="0" collapsed="false">
      <c r="A22068" s="3" t="s">
        <v>562</v>
      </c>
      <c r="C22068" s="16" t="n">
        <f aca="false">C21936-C22046</f>
        <v>0</v>
      </c>
    </row>
    <row r="22069" customFormat="false" ht="15" hidden="false" customHeight="false" outlineLevel="0" collapsed="false">
      <c r="A22069" s="3" t="s">
        <v>563</v>
      </c>
      <c r="C22069" s="16" t="n">
        <f aca="false">C21937-C22047</f>
        <v>0</v>
      </c>
    </row>
    <row r="22070" customFormat="false" ht="15" hidden="false" customHeight="false" outlineLevel="0" collapsed="false">
      <c r="A22070" s="3" t="s">
        <v>564</v>
      </c>
      <c r="C22070" s="16" t="n">
        <f aca="false">C21938-C22048</f>
        <v>0</v>
      </c>
    </row>
    <row r="22071" customFormat="false" ht="15" hidden="false" customHeight="false" outlineLevel="0" collapsed="false">
      <c r="A22071" s="3" t="s">
        <v>565</v>
      </c>
      <c r="C22071" s="16" t="n">
        <f aca="false">C21939-C22049</f>
        <v>0</v>
      </c>
    </row>
    <row r="22072" customFormat="false" ht="15" hidden="false" customHeight="false" outlineLevel="0" collapsed="false">
      <c r="A22072" s="24" t="s">
        <v>578</v>
      </c>
      <c r="B22072" s="25"/>
      <c r="C22072" s="25"/>
      <c r="D22072" s="25"/>
      <c r="E22072" s="25"/>
      <c r="F22072" s="25"/>
      <c r="G22072" s="25"/>
      <c r="H22072" s="25"/>
      <c r="I22072" s="25"/>
      <c r="J22072" s="25"/>
      <c r="K22072" s="25"/>
    </row>
    <row r="22073" customFormat="false" ht="15" hidden="false" customHeight="false" outlineLevel="0" collapsed="false">
      <c r="A22073" s="3" t="s">
        <v>556</v>
      </c>
      <c r="C22073" s="22" t="n">
        <f aca="false">IF(C21930=0,0,C22062/C21930)</f>
        <v>0</v>
      </c>
    </row>
    <row r="22074" customFormat="false" ht="15" hidden="false" customHeight="false" outlineLevel="0" collapsed="false">
      <c r="A22074" s="3" t="s">
        <v>557</v>
      </c>
      <c r="C22074" s="22" t="n">
        <f aca="false">IF(C21931=0,0,C22063/C21931)</f>
        <v>0</v>
      </c>
    </row>
    <row r="22075" customFormat="false" ht="15" hidden="false" customHeight="false" outlineLevel="0" collapsed="false">
      <c r="A22075" s="3" t="s">
        <v>558</v>
      </c>
      <c r="C22075" s="22" t="n">
        <f aca="false">IF(C21932=0,0,C22064/C21932)</f>
        <v>0</v>
      </c>
    </row>
    <row r="22076" customFormat="false" ht="15" hidden="false" customHeight="false" outlineLevel="0" collapsed="false">
      <c r="A22076" s="3" t="s">
        <v>559</v>
      </c>
      <c r="C22076" s="22" t="n">
        <f aca="false">IF(C21933=0,0,C22065/C21933)</f>
        <v>0</v>
      </c>
    </row>
    <row r="22077" customFormat="false" ht="15" hidden="false" customHeight="false" outlineLevel="0" collapsed="false">
      <c r="A22077" s="3" t="s">
        <v>560</v>
      </c>
      <c r="C22077" s="22" t="n">
        <f aca="false">IF(C21934=0,0,C22066/C21934)</f>
        <v>0</v>
      </c>
    </row>
    <row r="22078" customFormat="false" ht="15" hidden="false" customHeight="false" outlineLevel="0" collapsed="false">
      <c r="A22078" s="3" t="s">
        <v>561</v>
      </c>
      <c r="C22078" s="22" t="n">
        <f aca="false">IF(C21935=0,0,C22067/C21935)</f>
        <v>0</v>
      </c>
    </row>
    <row r="22079" customFormat="false" ht="15" hidden="false" customHeight="false" outlineLevel="0" collapsed="false">
      <c r="A22079" s="3" t="s">
        <v>562</v>
      </c>
      <c r="C22079" s="22" t="n">
        <f aca="false">IF(C21936=0,0,C22068/C21936)</f>
        <v>0</v>
      </c>
    </row>
    <row r="22080" customFormat="false" ht="15" hidden="false" customHeight="false" outlineLevel="0" collapsed="false">
      <c r="A22080" s="3" t="s">
        <v>563</v>
      </c>
      <c r="C22080" s="22" t="n">
        <f aca="false">IF(C21937=0,0,C22069/C21937)</f>
        <v>0</v>
      </c>
    </row>
    <row r="22081" customFormat="false" ht="15" hidden="false" customHeight="false" outlineLevel="0" collapsed="false">
      <c r="A22081" s="3" t="s">
        <v>564</v>
      </c>
      <c r="C22081" s="22" t="n">
        <f aca="false">IF(C21938=0,0,C22070/C21938)</f>
        <v>0</v>
      </c>
    </row>
    <row r="22082" customFormat="false" ht="15" hidden="false" customHeight="false" outlineLevel="0" collapsed="false">
      <c r="A22082" s="3" t="s">
        <v>565</v>
      </c>
      <c r="C22082" s="22" t="n">
        <f aca="false">IF(C21939=0,0,C22071/C21939)</f>
        <v>0</v>
      </c>
    </row>
    <row r="22083" customFormat="false" ht="15" hidden="false" customHeight="false" outlineLevel="0" collapsed="false">
      <c r="A22083" s="2" t="s">
        <v>579</v>
      </c>
      <c r="C22083" s="17" t="n">
        <f aca="false">MAX(0,$C$21928-SUM($C$21963:$C$21972)-SUM($C$21985:$C$21994))</f>
        <v>1169.645621506</v>
      </c>
    </row>
    <row r="22084" customFormat="false" ht="15" hidden="false" customHeight="false" outlineLevel="0" collapsed="false">
      <c r="A22084" s="3" t="s">
        <v>580</v>
      </c>
      <c r="C22084" s="16" t="n">
        <f aca="false">SUM($C$22040:$C$22049)+C22083+C21927-C21926</f>
        <v>0</v>
      </c>
    </row>
    <row r="22086" customFormat="false" ht="15" hidden="false" customHeight="false" outlineLevel="0" collapsed="false">
      <c r="A22086" s="24" t="s">
        <v>583</v>
      </c>
      <c r="B22086" s="25"/>
      <c r="C22086" s="25"/>
      <c r="D22086" s="25"/>
      <c r="E22086" s="25"/>
      <c r="F22086" s="25"/>
      <c r="G22086" s="25"/>
      <c r="H22086" s="25"/>
      <c r="I22086" s="25"/>
      <c r="J22086" s="25"/>
      <c r="K22086" s="25"/>
    </row>
    <row r="22087" customFormat="false" ht="15" hidden="false" customHeight="false" outlineLevel="0" collapsed="false">
      <c r="A22087" s="3" t="s">
        <v>584</v>
      </c>
      <c r="C22087" s="27" t="n">
        <f aca="false">Assumptions!$C$34</f>
        <v>1</v>
      </c>
    </row>
    <row r="22088" customFormat="false" ht="15" hidden="false" customHeight="false" outlineLevel="0" collapsed="false">
      <c r="A22088" s="3" t="s">
        <v>585</v>
      </c>
      <c r="C22088" s="29" t="n">
        <f aca="false">Assumptions!$C$35</f>
        <v>100</v>
      </c>
    </row>
    <row r="22089" customFormat="false" ht="15" hidden="false" customHeight="false" outlineLevel="0" collapsed="false">
      <c r="A22089" s="3" t="s">
        <v>586</v>
      </c>
      <c r="C22089" s="40" t="n">
        <f aca="false">Assumptions!$C$36</f>
        <v>98</v>
      </c>
    </row>
    <row r="22090" customFormat="false" ht="15" hidden="false" customHeight="false" outlineLevel="0" collapsed="false">
      <c r="A22090" s="3" t="s">
        <v>587</v>
      </c>
      <c r="C22090" s="16" t="n">
        <f aca="false">C22088*C22089/100*(1+Assumptions!$C$37)</f>
        <v>98.49</v>
      </c>
    </row>
    <row r="22091" customFormat="false" ht="15" hidden="false" customHeight="false" outlineLevel="0" collapsed="false">
      <c r="A22091" s="3" t="s">
        <v>588</v>
      </c>
      <c r="C22091" s="27" t="n">
        <f aca="false">Assumptions!$C$38</f>
        <v>3</v>
      </c>
    </row>
    <row r="22092" customFormat="false" ht="15" hidden="false" customHeight="false" outlineLevel="0" collapsed="false">
      <c r="A22092" s="3" t="s">
        <v>589</v>
      </c>
      <c r="C22092" s="21" t="n">
        <f aca="false">IF(C21919=1,SUMPRODUCT($G$21855:$K$21855,$G$21629:$K$21629),0)</f>
        <v>0</v>
      </c>
    </row>
    <row r="22093" customFormat="false" ht="15" hidden="false" customHeight="false" outlineLevel="0" collapsed="false">
      <c r="A22093" s="3" t="s">
        <v>590</v>
      </c>
      <c r="C22093" s="22" t="n">
        <f aca="false">IFERROR(C22088/CHOOSE(C22087,SUMPRODUCT($G$21918:$K$21918,$G$21675:$K$21675),SUMPRODUCT($G$21918:$K$21918,$G$21688:$K$21688),SUMPRODUCT($G$21918:$K$21918,$G$21701:$K$21701),SUMPRODUCT($G$21918:$K$21918,$G$21714:$K$21714),SUMPRODUCT($G$21918:$K$21918,$G$21727:$K$21727),SUMPRODUCT($G$21918:$K$21918,$G$21740:$K$21740),SUMPRODUCT($G$21918:$K$21918,$G$21753:$K$21753),SUMPRODUCT($G$21918:$K$21918,$G$21766:$K$21766),SUMPRODUCT($G$21918:$K$21918,$G$21779:$K$21779),SUMPRODUCT($G$21918:$K$21918,$G$21792:$K$21792)),0)</f>
        <v>0.252525252525253</v>
      </c>
    </row>
    <row r="22094" customFormat="false" ht="15" hidden="false" customHeight="false" outlineLevel="0" collapsed="false">
      <c r="A22094" s="3" t="s">
        <v>591</v>
      </c>
      <c r="C22094" s="16" t="n">
        <f aca="false">CHOOSE(C22087,C22040,C22041,C22042,C22043,C22044,C22045,C22046,C22047,C22048,C22049)*C22093</f>
        <v>102.0375</v>
      </c>
    </row>
    <row r="22095" customFormat="false" ht="15" hidden="false" customHeight="false" outlineLevel="0" collapsed="false">
      <c r="A22095" s="3" t="s">
        <v>592</v>
      </c>
      <c r="C22095" s="22" t="n">
        <f aca="false">CHOOSE(C22087,C22051,C22052,C22053,C22054,C22055,C22056,C22057,C22058,C22059,C22060)</f>
        <v>1</v>
      </c>
    </row>
    <row r="22096" customFormat="false" ht="15" hidden="false" customHeight="false" outlineLevel="0" collapsed="false">
      <c r="A22096" s="3" t="s">
        <v>593</v>
      </c>
      <c r="C22096" s="21" t="n">
        <f aca="false">IF(C21919=1,C22092,C22091)</f>
        <v>3</v>
      </c>
    </row>
    <row r="22097" customFormat="false" ht="15" hidden="false" customHeight="false" outlineLevel="0" collapsed="false">
      <c r="A22097" s="3" t="s">
        <v>594</v>
      </c>
      <c r="C22097" s="35" t="n">
        <f aca="false">CHOOSE($C$21621,Assumptions!$C$91,Assumptions!$C$110,Assumptions!$C$129)</f>
        <v>100</v>
      </c>
    </row>
    <row r="22098" customFormat="false" ht="15" hidden="false" customHeight="false" outlineLevel="0" collapsed="false">
      <c r="A22098" s="3" t="s">
        <v>595</v>
      </c>
      <c r="C22098" s="16" t="n">
        <f aca="false">INDEX($G$21638:$K$21638,C22091)*CHOOSE($C$21621,Assumptions!$C$90,Assumptions!$C$109,Assumptions!$C$128)+MAX(0,INDEX($G$21852:$K$21852,C22091))</f>
        <v>3369.2242946436</v>
      </c>
    </row>
    <row r="22099" customFormat="false" ht="15" hidden="false" customHeight="false" outlineLevel="0" collapsed="false">
      <c r="A22099" s="24" t="s">
        <v>596</v>
      </c>
      <c r="B22099" s="25"/>
      <c r="C22099" s="25"/>
      <c r="D22099" s="25"/>
      <c r="E22099" s="25"/>
      <c r="F22099" s="25"/>
      <c r="G22099" s="25"/>
      <c r="H22099" s="25"/>
      <c r="I22099" s="25"/>
      <c r="J22099" s="25"/>
      <c r="K22099" s="25"/>
    </row>
    <row r="22100" customFormat="false" ht="15" hidden="false" customHeight="false" outlineLevel="0" collapsed="false">
      <c r="A22100" s="3" t="s">
        <v>556</v>
      </c>
      <c r="C22100" s="16" t="n">
        <f aca="false">INDEX($G$21675:$K$21675,C22091)</f>
        <v>388</v>
      </c>
    </row>
    <row r="22101" customFormat="false" ht="15" hidden="false" customHeight="false" outlineLevel="0" collapsed="false">
      <c r="A22101" s="3" t="s">
        <v>557</v>
      </c>
      <c r="C22101" s="16" t="n">
        <f aca="false">INDEX($G$21688:$K$21688,C22091)</f>
        <v>90</v>
      </c>
    </row>
    <row r="22102" customFormat="false" ht="15" hidden="false" customHeight="false" outlineLevel="0" collapsed="false">
      <c r="A22102" s="3" t="s">
        <v>558</v>
      </c>
      <c r="C22102" s="16" t="n">
        <f aca="false">INDEX($G$21701:$K$21701,C22091)</f>
        <v>57.324</v>
      </c>
    </row>
    <row r="22103" customFormat="false" ht="15" hidden="false" customHeight="false" outlineLevel="0" collapsed="false">
      <c r="A22103" s="3" t="s">
        <v>559</v>
      </c>
      <c r="C22103" s="16" t="n">
        <f aca="false">INDEX($G$21714:$K$21714,C22091)</f>
        <v>61.328266182056</v>
      </c>
    </row>
    <row r="22104" customFormat="false" ht="15" hidden="false" customHeight="false" outlineLevel="0" collapsed="false">
      <c r="A22104" s="3" t="s">
        <v>560</v>
      </c>
      <c r="C22104" s="16" t="n">
        <f aca="false">INDEX($G$21727:$K$21727,C22091)</f>
        <v>398.1899513738</v>
      </c>
    </row>
    <row r="22105" customFormat="false" ht="15" hidden="false" customHeight="false" outlineLevel="0" collapsed="false">
      <c r="A22105" s="3" t="s">
        <v>561</v>
      </c>
      <c r="C22105" s="16" t="n">
        <f aca="false">INDEX($G$21740:$K$21740,C22091)</f>
        <v>350</v>
      </c>
    </row>
    <row r="22106" customFormat="false" ht="15" hidden="false" customHeight="false" outlineLevel="0" collapsed="false">
      <c r="A22106" s="3" t="s">
        <v>562</v>
      </c>
      <c r="C22106" s="16" t="n">
        <f aca="false">INDEX($G$21753:$K$21753,C22091)</f>
        <v>550</v>
      </c>
    </row>
    <row r="22107" customFormat="false" ht="15" hidden="false" customHeight="false" outlineLevel="0" collapsed="false">
      <c r="A22107" s="3" t="s">
        <v>563</v>
      </c>
      <c r="C22107" s="16" t="n">
        <f aca="false">INDEX($G$21766:$K$21766,C22091)</f>
        <v>350</v>
      </c>
    </row>
    <row r="22108" customFormat="false" ht="15" hidden="false" customHeight="false" outlineLevel="0" collapsed="false">
      <c r="A22108" s="3" t="s">
        <v>564</v>
      </c>
      <c r="C22108" s="16" t="n">
        <f aca="false">INDEX($G$21779:$K$21779,C22091)</f>
        <v>300</v>
      </c>
    </row>
    <row r="22109" customFormat="false" ht="15" hidden="false" customHeight="false" outlineLevel="0" collapsed="false">
      <c r="A22109" s="3" t="s">
        <v>565</v>
      </c>
      <c r="C22109" s="16" t="n">
        <f aca="false">INDEX($G$21792:$K$21792,C22091)</f>
        <v>78.61</v>
      </c>
    </row>
    <row r="22110" customFormat="false" ht="15" hidden="false" customHeight="false" outlineLevel="0" collapsed="false">
      <c r="A22110" s="24" t="s">
        <v>566</v>
      </c>
      <c r="B22110" s="25"/>
      <c r="C22110" s="25"/>
      <c r="D22110" s="25"/>
      <c r="E22110" s="25"/>
      <c r="F22110" s="25"/>
      <c r="G22110" s="25"/>
      <c r="H22110" s="25"/>
      <c r="I22110" s="25"/>
      <c r="J22110" s="25"/>
      <c r="K22110" s="25"/>
    </row>
    <row r="22111" customFormat="false" ht="15" hidden="false" customHeight="false" outlineLevel="0" collapsed="false">
      <c r="A22111" s="3" t="s">
        <v>556</v>
      </c>
      <c r="C22111" s="27" t="n">
        <f aca="false">Assumptions!$M$57</f>
        <v>1</v>
      </c>
    </row>
    <row r="22112" customFormat="false" ht="15" hidden="false" customHeight="false" outlineLevel="0" collapsed="false">
      <c r="A22112" s="3" t="s">
        <v>557</v>
      </c>
      <c r="C22112" s="27" t="n">
        <f aca="false">Assumptions!$M$58</f>
        <v>1</v>
      </c>
    </row>
    <row r="22113" customFormat="false" ht="15" hidden="false" customHeight="false" outlineLevel="0" collapsed="false">
      <c r="A22113" s="3" t="s">
        <v>558</v>
      </c>
      <c r="C22113" s="27" t="n">
        <f aca="false">Assumptions!$M$59</f>
        <v>1</v>
      </c>
    </row>
    <row r="22114" customFormat="false" ht="15" hidden="false" customHeight="false" outlineLevel="0" collapsed="false">
      <c r="A22114" s="3" t="s">
        <v>559</v>
      </c>
      <c r="C22114" s="27" t="n">
        <f aca="false">Assumptions!$M$60</f>
        <v>2</v>
      </c>
    </row>
    <row r="22115" customFormat="false" ht="15" hidden="false" customHeight="false" outlineLevel="0" collapsed="false">
      <c r="A22115" s="3" t="s">
        <v>560</v>
      </c>
      <c r="C22115" s="27" t="n">
        <f aca="false">Assumptions!$M$61</f>
        <v>2</v>
      </c>
    </row>
    <row r="22116" customFormat="false" ht="15" hidden="false" customHeight="false" outlineLevel="0" collapsed="false">
      <c r="A22116" s="3" t="s">
        <v>561</v>
      </c>
      <c r="C22116" s="27" t="n">
        <f aca="false">Assumptions!$M$62</f>
        <v>2</v>
      </c>
    </row>
    <row r="22117" customFormat="false" ht="15" hidden="false" customHeight="false" outlineLevel="0" collapsed="false">
      <c r="A22117" s="3" t="s">
        <v>562</v>
      </c>
      <c r="C22117" s="27" t="n">
        <f aca="false">Assumptions!$M$63</f>
        <v>2</v>
      </c>
    </row>
    <row r="22118" customFormat="false" ht="15" hidden="false" customHeight="false" outlineLevel="0" collapsed="false">
      <c r="A22118" s="3" t="s">
        <v>563</v>
      </c>
      <c r="C22118" s="27" t="n">
        <f aca="false">Assumptions!$M$64</f>
        <v>2</v>
      </c>
    </row>
    <row r="22119" customFormat="false" ht="15" hidden="false" customHeight="false" outlineLevel="0" collapsed="false">
      <c r="A22119" s="3" t="s">
        <v>564</v>
      </c>
      <c r="C22119" s="27" t="n">
        <f aca="false">Assumptions!$M$65</f>
        <v>2</v>
      </c>
    </row>
    <row r="22120" customFormat="false" ht="15" hidden="false" customHeight="false" outlineLevel="0" collapsed="false">
      <c r="A22120" s="3" t="s">
        <v>565</v>
      </c>
      <c r="C22120" s="27" t="n">
        <f aca="false">Assumptions!$M$66</f>
        <v>3</v>
      </c>
    </row>
    <row r="22121" customFormat="false" ht="15" hidden="false" customHeight="false" outlineLevel="0" collapsed="false">
      <c r="A22121" s="24" t="s">
        <v>567</v>
      </c>
      <c r="B22121" s="25"/>
      <c r="C22121" s="25"/>
      <c r="D22121" s="25"/>
      <c r="E22121" s="25"/>
      <c r="F22121" s="25"/>
      <c r="G22121" s="25"/>
      <c r="H22121" s="25"/>
      <c r="I22121" s="25"/>
      <c r="J22121" s="25"/>
      <c r="K22121" s="25"/>
    </row>
    <row r="22122" customFormat="false" ht="15" hidden="false" customHeight="false" outlineLevel="0" collapsed="false">
      <c r="A22122" s="3" t="s">
        <v>556</v>
      </c>
      <c r="C22122" s="33" t="n">
        <f aca="false">Assumptions!$Q$57</f>
        <v>0.3</v>
      </c>
    </row>
    <row r="22123" customFormat="false" ht="15" hidden="false" customHeight="false" outlineLevel="0" collapsed="false">
      <c r="A22123" s="3" t="s">
        <v>557</v>
      </c>
      <c r="C22123" s="33" t="n">
        <f aca="false">Assumptions!$Q$58</f>
        <v>0.033</v>
      </c>
    </row>
    <row r="22124" customFormat="false" ht="15" hidden="false" customHeight="false" outlineLevel="0" collapsed="false">
      <c r="A22124" s="3" t="s">
        <v>558</v>
      </c>
      <c r="C22124" s="33" t="n">
        <f aca="false">Assumptions!$Q$59</f>
        <v>0.021</v>
      </c>
    </row>
    <row r="22125" customFormat="false" ht="15" hidden="false" customHeight="false" outlineLevel="0" collapsed="false">
      <c r="A22125" s="3" t="s">
        <v>559</v>
      </c>
      <c r="C22125" s="33" t="n">
        <f aca="false">Assumptions!$Q$60</f>
        <v>0</v>
      </c>
    </row>
    <row r="22126" customFormat="false" ht="15" hidden="false" customHeight="false" outlineLevel="0" collapsed="false">
      <c r="A22126" s="3" t="s">
        <v>560</v>
      </c>
      <c r="C22126" s="33" t="n">
        <f aca="false">Assumptions!$Q$61</f>
        <v>0</v>
      </c>
    </row>
    <row r="22127" customFormat="false" ht="15" hidden="false" customHeight="false" outlineLevel="0" collapsed="false">
      <c r="A22127" s="3" t="s">
        <v>561</v>
      </c>
      <c r="C22127" s="33" t="n">
        <f aca="false">Assumptions!$Q$62</f>
        <v>0</v>
      </c>
    </row>
    <row r="22128" customFormat="false" ht="15" hidden="false" customHeight="false" outlineLevel="0" collapsed="false">
      <c r="A22128" s="3" t="s">
        <v>562</v>
      </c>
      <c r="C22128" s="33" t="n">
        <f aca="false">Assumptions!$Q$63</f>
        <v>0</v>
      </c>
    </row>
    <row r="22129" customFormat="false" ht="15" hidden="false" customHeight="false" outlineLevel="0" collapsed="false">
      <c r="A22129" s="3" t="s">
        <v>563</v>
      </c>
      <c r="C22129" s="33" t="n">
        <f aca="false">Assumptions!$Q$64</f>
        <v>0</v>
      </c>
    </row>
    <row r="22130" customFormat="false" ht="15" hidden="false" customHeight="false" outlineLevel="0" collapsed="false">
      <c r="A22130" s="3" t="s">
        <v>564</v>
      </c>
      <c r="C22130" s="33" t="n">
        <f aca="false">Assumptions!$Q$65</f>
        <v>0</v>
      </c>
    </row>
    <row r="22131" customFormat="false" ht="15" hidden="false" customHeight="false" outlineLevel="0" collapsed="false">
      <c r="A22131" s="3" t="s">
        <v>565</v>
      </c>
      <c r="C22131" s="33" t="n">
        <f aca="false">Assumptions!$Q$66</f>
        <v>0</v>
      </c>
    </row>
    <row r="22132" customFormat="false" ht="15" hidden="false" customHeight="false" outlineLevel="0" collapsed="false">
      <c r="A22132" s="24" t="s">
        <v>568</v>
      </c>
      <c r="B22132" s="25"/>
      <c r="C22132" s="25"/>
      <c r="D22132" s="25"/>
      <c r="E22132" s="25"/>
      <c r="F22132" s="25"/>
      <c r="G22132" s="25"/>
      <c r="H22132" s="25"/>
      <c r="I22132" s="25"/>
      <c r="J22132" s="25"/>
      <c r="K22132" s="25"/>
    </row>
    <row r="22133" customFormat="false" ht="15" hidden="false" customHeight="false" outlineLevel="0" collapsed="false">
      <c r="A22133" s="3" t="s">
        <v>556</v>
      </c>
      <c r="C22133" s="16" t="n">
        <f aca="false">IF(C22122&gt;0,MIN(C22100,C22122*$C$22098),0)</f>
        <v>388</v>
      </c>
    </row>
    <row r="22134" customFormat="false" ht="15" hidden="false" customHeight="false" outlineLevel="0" collapsed="false">
      <c r="A22134" s="3" t="s">
        <v>557</v>
      </c>
      <c r="C22134" s="16" t="n">
        <f aca="false">IF(C22123&gt;0,MIN(C22101,C22123*$C$22098),0)</f>
        <v>90</v>
      </c>
    </row>
    <row r="22135" customFormat="false" ht="15" hidden="false" customHeight="false" outlineLevel="0" collapsed="false">
      <c r="A22135" s="3" t="s">
        <v>558</v>
      </c>
      <c r="C22135" s="16" t="n">
        <f aca="false">IF(C22124&gt;0,MIN(C22102,C22124*$C$22098),0)</f>
        <v>57.324</v>
      </c>
    </row>
    <row r="22136" customFormat="false" ht="15" hidden="false" customHeight="false" outlineLevel="0" collapsed="false">
      <c r="A22136" s="3" t="s">
        <v>559</v>
      </c>
      <c r="C22136" s="16" t="n">
        <f aca="false">IF(C22125&gt;0,MIN(C22103,C22125*$C$22098),0)</f>
        <v>0</v>
      </c>
    </row>
    <row r="22137" customFormat="false" ht="15" hidden="false" customHeight="false" outlineLevel="0" collapsed="false">
      <c r="A22137" s="3" t="s">
        <v>560</v>
      </c>
      <c r="C22137" s="16" t="n">
        <f aca="false">IF(C22126&gt;0,MIN(C22104,C22126*$C$22098),0)</f>
        <v>0</v>
      </c>
    </row>
    <row r="22138" customFormat="false" ht="15" hidden="false" customHeight="false" outlineLevel="0" collapsed="false">
      <c r="A22138" s="3" t="s">
        <v>561</v>
      </c>
      <c r="C22138" s="16" t="n">
        <f aca="false">IF(C22127&gt;0,MIN(C22105,C22127*$C$22098),0)</f>
        <v>0</v>
      </c>
    </row>
    <row r="22139" customFormat="false" ht="15" hidden="false" customHeight="false" outlineLevel="0" collapsed="false">
      <c r="A22139" s="3" t="s">
        <v>562</v>
      </c>
      <c r="C22139" s="16" t="n">
        <f aca="false">IF(C22128&gt;0,MIN(C22106,C22128*$C$22098),0)</f>
        <v>0</v>
      </c>
    </row>
    <row r="22140" customFormat="false" ht="15" hidden="false" customHeight="false" outlineLevel="0" collapsed="false">
      <c r="A22140" s="3" t="s">
        <v>563</v>
      </c>
      <c r="C22140" s="16" t="n">
        <f aca="false">IF(C22129&gt;0,MIN(C22107,C22129*$C$22098),0)</f>
        <v>0</v>
      </c>
    </row>
    <row r="22141" customFormat="false" ht="15" hidden="false" customHeight="false" outlineLevel="0" collapsed="false">
      <c r="A22141" s="3" t="s">
        <v>564</v>
      </c>
      <c r="C22141" s="16" t="n">
        <f aca="false">IF(C22130&gt;0,MIN(C22108,C22130*$C$22098),0)</f>
        <v>0</v>
      </c>
    </row>
    <row r="22142" customFormat="false" ht="15" hidden="false" customHeight="false" outlineLevel="0" collapsed="false">
      <c r="A22142" s="3" t="s">
        <v>565</v>
      </c>
      <c r="C22142" s="16" t="n">
        <f aca="false">IF(C22131&gt;0,MIN(C22109,C22131*$C$22098),0)</f>
        <v>0</v>
      </c>
    </row>
    <row r="22143" customFormat="false" ht="15" hidden="false" customHeight="false" outlineLevel="0" collapsed="false">
      <c r="A22143" s="24" t="s">
        <v>569</v>
      </c>
      <c r="B22143" s="25"/>
      <c r="C22143" s="25"/>
      <c r="D22143" s="25"/>
      <c r="E22143" s="25"/>
      <c r="F22143" s="25"/>
      <c r="G22143" s="25"/>
      <c r="H22143" s="25"/>
      <c r="I22143" s="25"/>
      <c r="J22143" s="25"/>
      <c r="K22143" s="25"/>
    </row>
    <row r="22144" customFormat="false" ht="15" hidden="false" customHeight="false" outlineLevel="0" collapsed="false">
      <c r="A22144" s="3" t="s">
        <v>556</v>
      </c>
      <c r="C22144" s="16" t="n">
        <f aca="false">IF(C22122&gt;0,C22100-C22133,0)</f>
        <v>0</v>
      </c>
    </row>
    <row r="22145" customFormat="false" ht="15" hidden="false" customHeight="false" outlineLevel="0" collapsed="false">
      <c r="A22145" s="3" t="s">
        <v>557</v>
      </c>
      <c r="C22145" s="16" t="n">
        <f aca="false">IF(C22123&gt;0,C22101-C22134,0)</f>
        <v>0</v>
      </c>
    </row>
    <row r="22146" customFormat="false" ht="15" hidden="false" customHeight="false" outlineLevel="0" collapsed="false">
      <c r="A22146" s="3" t="s">
        <v>558</v>
      </c>
      <c r="C22146" s="16" t="n">
        <f aca="false">IF(C22124&gt;0,C22102-C22135,0)</f>
        <v>0</v>
      </c>
    </row>
    <row r="22147" customFormat="false" ht="15" hidden="false" customHeight="false" outlineLevel="0" collapsed="false">
      <c r="A22147" s="3" t="s">
        <v>559</v>
      </c>
      <c r="C22147" s="16" t="n">
        <f aca="false">IF(C22125&gt;0,C22103-C22136,0)</f>
        <v>0</v>
      </c>
    </row>
    <row r="22148" customFormat="false" ht="15" hidden="false" customHeight="false" outlineLevel="0" collapsed="false">
      <c r="A22148" s="3" t="s">
        <v>560</v>
      </c>
      <c r="C22148" s="16" t="n">
        <f aca="false">IF(C22126&gt;0,C22104-C22137,0)</f>
        <v>0</v>
      </c>
    </row>
    <row r="22149" customFormat="false" ht="15" hidden="false" customHeight="false" outlineLevel="0" collapsed="false">
      <c r="A22149" s="3" t="s">
        <v>561</v>
      </c>
      <c r="C22149" s="16" t="n">
        <f aca="false">IF(C22127&gt;0,C22105-C22138,0)</f>
        <v>0</v>
      </c>
    </row>
    <row r="22150" customFormat="false" ht="15" hidden="false" customHeight="false" outlineLevel="0" collapsed="false">
      <c r="A22150" s="3" t="s">
        <v>562</v>
      </c>
      <c r="C22150" s="16" t="n">
        <f aca="false">IF(C22128&gt;0,C22106-C22139,0)</f>
        <v>0</v>
      </c>
    </row>
    <row r="22151" customFormat="false" ht="15" hidden="false" customHeight="false" outlineLevel="0" collapsed="false">
      <c r="A22151" s="3" t="s">
        <v>563</v>
      </c>
      <c r="C22151" s="16" t="n">
        <f aca="false">IF(C22129&gt;0,C22107-C22140,0)</f>
        <v>0</v>
      </c>
    </row>
    <row r="22152" customFormat="false" ht="15" hidden="false" customHeight="false" outlineLevel="0" collapsed="false">
      <c r="A22152" s="3" t="s">
        <v>564</v>
      </c>
      <c r="C22152" s="16" t="n">
        <f aca="false">IF(C22130&gt;0,C22108-C22141,0)</f>
        <v>0</v>
      </c>
    </row>
    <row r="22153" customFormat="false" ht="15" hidden="false" customHeight="false" outlineLevel="0" collapsed="false">
      <c r="A22153" s="3" t="s">
        <v>565</v>
      </c>
      <c r="C22153" s="16" t="n">
        <f aca="false">IF(C22131&gt;0,C22109-C22142,0)</f>
        <v>0</v>
      </c>
    </row>
    <row r="22154" customFormat="false" ht="15" hidden="false" customHeight="false" outlineLevel="0" collapsed="false">
      <c r="A22154" s="24" t="s">
        <v>570</v>
      </c>
      <c r="B22154" s="25"/>
      <c r="C22154" s="25"/>
      <c r="D22154" s="25"/>
      <c r="E22154" s="25"/>
      <c r="F22154" s="25"/>
      <c r="G22154" s="25"/>
      <c r="H22154" s="25"/>
      <c r="I22154" s="25"/>
      <c r="J22154" s="25"/>
      <c r="K22154" s="25"/>
    </row>
    <row r="22155" customFormat="false" ht="15" hidden="false" customHeight="false" outlineLevel="0" collapsed="false">
      <c r="A22155" s="3" t="s">
        <v>556</v>
      </c>
      <c r="C22155" s="16" t="n">
        <f aca="false">IF(C22122&gt;0,C22144,C22100)</f>
        <v>0</v>
      </c>
    </row>
    <row r="22156" customFormat="false" ht="15" hidden="false" customHeight="false" outlineLevel="0" collapsed="false">
      <c r="A22156" s="3" t="s">
        <v>557</v>
      </c>
      <c r="C22156" s="16" t="n">
        <f aca="false">IF(C22123&gt;0,C22145,C22101)</f>
        <v>0</v>
      </c>
    </row>
    <row r="22157" customFormat="false" ht="15" hidden="false" customHeight="false" outlineLevel="0" collapsed="false">
      <c r="A22157" s="3" t="s">
        <v>558</v>
      </c>
      <c r="C22157" s="16" t="n">
        <f aca="false">IF(C22124&gt;0,C22146,C22102)</f>
        <v>0</v>
      </c>
    </row>
    <row r="22158" customFormat="false" ht="15" hidden="false" customHeight="false" outlineLevel="0" collapsed="false">
      <c r="A22158" s="3" t="s">
        <v>559</v>
      </c>
      <c r="C22158" s="16" t="n">
        <f aca="false">IF(C22125&gt;0,C22147,C22103)</f>
        <v>61.328266182056</v>
      </c>
    </row>
    <row r="22159" customFormat="false" ht="15" hidden="false" customHeight="false" outlineLevel="0" collapsed="false">
      <c r="A22159" s="3" t="s">
        <v>560</v>
      </c>
      <c r="C22159" s="16" t="n">
        <f aca="false">IF(C22126&gt;0,C22148,C22104)</f>
        <v>398.1899513738</v>
      </c>
    </row>
    <row r="22160" customFormat="false" ht="15" hidden="false" customHeight="false" outlineLevel="0" collapsed="false">
      <c r="A22160" s="3" t="s">
        <v>561</v>
      </c>
      <c r="C22160" s="16" t="n">
        <f aca="false">IF(C22127&gt;0,C22149,C22105)</f>
        <v>350</v>
      </c>
    </row>
    <row r="22161" customFormat="false" ht="15" hidden="false" customHeight="false" outlineLevel="0" collapsed="false">
      <c r="A22161" s="3" t="s">
        <v>562</v>
      </c>
      <c r="C22161" s="16" t="n">
        <f aca="false">IF(C22128&gt;0,C22150,C22106)</f>
        <v>550</v>
      </c>
    </row>
    <row r="22162" customFormat="false" ht="15" hidden="false" customHeight="false" outlineLevel="0" collapsed="false">
      <c r="A22162" s="3" t="s">
        <v>563</v>
      </c>
      <c r="C22162" s="16" t="n">
        <f aca="false">IF(C22129&gt;0,C22151,C22107)</f>
        <v>350</v>
      </c>
    </row>
    <row r="22163" customFormat="false" ht="15" hidden="false" customHeight="false" outlineLevel="0" collapsed="false">
      <c r="A22163" s="3" t="s">
        <v>564</v>
      </c>
      <c r="C22163" s="16" t="n">
        <f aca="false">IF(C22130&gt;0,C22152,C22108)</f>
        <v>300</v>
      </c>
    </row>
    <row r="22164" customFormat="false" ht="15" hidden="false" customHeight="false" outlineLevel="0" collapsed="false">
      <c r="A22164" s="3" t="s">
        <v>565</v>
      </c>
      <c r="C22164" s="16" t="n">
        <f aca="false">IF(C22131&gt;0,C22153,C22109)</f>
        <v>78.61</v>
      </c>
    </row>
    <row r="22165" customFormat="false" ht="15" hidden="false" customHeight="false" outlineLevel="0" collapsed="false">
      <c r="A22165" s="24" t="s">
        <v>571</v>
      </c>
      <c r="B22165" s="25"/>
      <c r="C22165" s="25"/>
      <c r="D22165" s="25"/>
      <c r="E22165" s="25"/>
      <c r="F22165" s="25"/>
      <c r="G22165" s="25"/>
      <c r="H22165" s="25"/>
      <c r="I22165" s="25"/>
      <c r="J22165" s="25"/>
      <c r="K22165" s="25"/>
    </row>
    <row r="22166" customFormat="false" ht="15" hidden="false" customHeight="false" outlineLevel="0" collapsed="false">
      <c r="A22166" s="3" t="s">
        <v>556</v>
      </c>
      <c r="C22166" s="21" t="n">
        <f aca="false">IF(C22122&gt;0,Assumptions!$C$17,C22111)</f>
        <v>99</v>
      </c>
    </row>
    <row r="22167" customFormat="false" ht="15" hidden="false" customHeight="false" outlineLevel="0" collapsed="false">
      <c r="A22167" s="3" t="s">
        <v>557</v>
      </c>
      <c r="C22167" s="21" t="n">
        <f aca="false">IF(C22123&gt;0,Assumptions!$C$17,C22112)</f>
        <v>99</v>
      </c>
    </row>
    <row r="22168" customFormat="false" ht="15" hidden="false" customHeight="false" outlineLevel="0" collapsed="false">
      <c r="A22168" s="3" t="s">
        <v>558</v>
      </c>
      <c r="C22168" s="21" t="n">
        <f aca="false">IF(C22124&gt;0,Assumptions!$C$17,C22113)</f>
        <v>99</v>
      </c>
    </row>
    <row r="22169" customFormat="false" ht="15" hidden="false" customHeight="false" outlineLevel="0" collapsed="false">
      <c r="A22169" s="3" t="s">
        <v>559</v>
      </c>
      <c r="C22169" s="21" t="n">
        <f aca="false">IF(C22125&gt;0,Assumptions!$C$17,C22114)</f>
        <v>2</v>
      </c>
    </row>
    <row r="22170" customFormat="false" ht="15" hidden="false" customHeight="false" outlineLevel="0" collapsed="false">
      <c r="A22170" s="3" t="s">
        <v>560</v>
      </c>
      <c r="C22170" s="21" t="n">
        <f aca="false">IF(C22126&gt;0,Assumptions!$C$17,C22115)</f>
        <v>2</v>
      </c>
    </row>
    <row r="22171" customFormat="false" ht="15" hidden="false" customHeight="false" outlineLevel="0" collapsed="false">
      <c r="A22171" s="3" t="s">
        <v>561</v>
      </c>
      <c r="C22171" s="21" t="n">
        <f aca="false">IF(C22127&gt;0,Assumptions!$C$17,C22116)</f>
        <v>2</v>
      </c>
    </row>
    <row r="22172" customFormat="false" ht="15" hidden="false" customHeight="false" outlineLevel="0" collapsed="false">
      <c r="A22172" s="3" t="s">
        <v>562</v>
      </c>
      <c r="C22172" s="21" t="n">
        <f aca="false">IF(C22128&gt;0,Assumptions!$C$17,C22117)</f>
        <v>2</v>
      </c>
    </row>
    <row r="22173" customFormat="false" ht="15" hidden="false" customHeight="false" outlineLevel="0" collapsed="false">
      <c r="A22173" s="3" t="s">
        <v>563</v>
      </c>
      <c r="C22173" s="21" t="n">
        <f aca="false">IF(C22129&gt;0,Assumptions!$C$17,C22118)</f>
        <v>2</v>
      </c>
    </row>
    <row r="22174" customFormat="false" ht="15" hidden="false" customHeight="false" outlineLevel="0" collapsed="false">
      <c r="A22174" s="3" t="s">
        <v>564</v>
      </c>
      <c r="C22174" s="21" t="n">
        <f aca="false">IF(C22130&gt;0,Assumptions!$C$17,C22119)</f>
        <v>2</v>
      </c>
    </row>
    <row r="22175" customFormat="false" ht="15" hidden="false" customHeight="false" outlineLevel="0" collapsed="false">
      <c r="A22175" s="3" t="s">
        <v>565</v>
      </c>
      <c r="C22175" s="21" t="n">
        <f aca="false">IF(C22131&gt;0,Assumptions!$C$17,C22120)</f>
        <v>3</v>
      </c>
    </row>
    <row r="22176" customFormat="false" ht="15" hidden="false" customHeight="false" outlineLevel="0" collapsed="false">
      <c r="A22176" s="24" t="s">
        <v>572</v>
      </c>
      <c r="B22176" s="25"/>
      <c r="C22176" s="25"/>
      <c r="D22176" s="25"/>
      <c r="E22176" s="25"/>
      <c r="F22176" s="25"/>
      <c r="G22176" s="25"/>
      <c r="H22176" s="25"/>
      <c r="I22176" s="25"/>
      <c r="J22176" s="25"/>
      <c r="K22176" s="25"/>
    </row>
    <row r="22177" customFormat="false" ht="15" hidden="false" customHeight="false" outlineLevel="0" collapsed="false">
      <c r="A22177" s="3" t="s">
        <v>556</v>
      </c>
      <c r="C22177" s="16" t="n">
        <f aca="false">SUMPRODUCT(($C$22166:$C$22175&lt;C22166)*$C$22155:$C$22164)</f>
        <v>2088.12821755586</v>
      </c>
    </row>
    <row r="22178" customFormat="false" ht="15" hidden="false" customHeight="false" outlineLevel="0" collapsed="false">
      <c r="A22178" s="3" t="s">
        <v>557</v>
      </c>
      <c r="C22178" s="16" t="n">
        <f aca="false">SUMPRODUCT(($C$22166:$C$22175&lt;C22167)*$C$22155:$C$22164)</f>
        <v>2088.12821755586</v>
      </c>
    </row>
    <row r="22179" customFormat="false" ht="15" hidden="false" customHeight="false" outlineLevel="0" collapsed="false">
      <c r="A22179" s="3" t="s">
        <v>558</v>
      </c>
      <c r="C22179" s="16" t="n">
        <f aca="false">SUMPRODUCT(($C$22166:$C$22175&lt;C22168)*$C$22155:$C$22164)</f>
        <v>2088.12821755586</v>
      </c>
    </row>
    <row r="22180" customFormat="false" ht="15" hidden="false" customHeight="false" outlineLevel="0" collapsed="false">
      <c r="A22180" s="3" t="s">
        <v>559</v>
      </c>
      <c r="C22180" s="16" t="n">
        <f aca="false">SUMPRODUCT(($C$22166:$C$22175&lt;C22169)*$C$22155:$C$22164)</f>
        <v>0</v>
      </c>
    </row>
    <row r="22181" customFormat="false" ht="15" hidden="false" customHeight="false" outlineLevel="0" collapsed="false">
      <c r="A22181" s="3" t="s">
        <v>560</v>
      </c>
      <c r="C22181" s="16" t="n">
        <f aca="false">SUMPRODUCT(($C$22166:$C$22175&lt;C22170)*$C$22155:$C$22164)</f>
        <v>0</v>
      </c>
    </row>
    <row r="22182" customFormat="false" ht="15" hidden="false" customHeight="false" outlineLevel="0" collapsed="false">
      <c r="A22182" s="3" t="s">
        <v>561</v>
      </c>
      <c r="C22182" s="16" t="n">
        <f aca="false">SUMPRODUCT(($C$22166:$C$22175&lt;C22171)*$C$22155:$C$22164)</f>
        <v>0</v>
      </c>
    </row>
    <row r="22183" customFormat="false" ht="15" hidden="false" customHeight="false" outlineLevel="0" collapsed="false">
      <c r="A22183" s="3" t="s">
        <v>562</v>
      </c>
      <c r="C22183" s="16" t="n">
        <f aca="false">SUMPRODUCT(($C$22166:$C$22175&lt;C22172)*$C$22155:$C$22164)</f>
        <v>0</v>
      </c>
    </row>
    <row r="22184" customFormat="false" ht="15" hidden="false" customHeight="false" outlineLevel="0" collapsed="false">
      <c r="A22184" s="3" t="s">
        <v>563</v>
      </c>
      <c r="C22184" s="16" t="n">
        <f aca="false">SUMPRODUCT(($C$22166:$C$22175&lt;C22173)*$C$22155:$C$22164)</f>
        <v>0</v>
      </c>
    </row>
    <row r="22185" customFormat="false" ht="15" hidden="false" customHeight="false" outlineLevel="0" collapsed="false">
      <c r="A22185" s="3" t="s">
        <v>564</v>
      </c>
      <c r="C22185" s="16" t="n">
        <f aca="false">SUMPRODUCT(($C$22166:$C$22175&lt;C22174)*$C$22155:$C$22164)</f>
        <v>0</v>
      </c>
    </row>
    <row r="22186" customFormat="false" ht="15" hidden="false" customHeight="false" outlineLevel="0" collapsed="false">
      <c r="A22186" s="3" t="s">
        <v>565</v>
      </c>
      <c r="C22186" s="16" t="n">
        <f aca="false">SUMPRODUCT(($C$22166:$C$22175&lt;C22175)*$C$22155:$C$22164)</f>
        <v>2009.51821755586</v>
      </c>
    </row>
    <row r="22187" customFormat="false" ht="15" hidden="false" customHeight="false" outlineLevel="0" collapsed="false">
      <c r="A22187" s="24" t="s">
        <v>573</v>
      </c>
      <c r="B22187" s="25"/>
      <c r="C22187" s="25"/>
      <c r="D22187" s="25"/>
      <c r="E22187" s="25"/>
      <c r="F22187" s="25"/>
      <c r="G22187" s="25"/>
      <c r="H22187" s="25"/>
      <c r="I22187" s="25"/>
      <c r="J22187" s="25"/>
      <c r="K22187" s="25"/>
    </row>
    <row r="22188" customFormat="false" ht="15" hidden="false" customHeight="false" outlineLevel="0" collapsed="false">
      <c r="A22188" s="3" t="s">
        <v>556</v>
      </c>
      <c r="C22188" s="16" t="n">
        <f aca="false">SUMPRODUCT(($C$22166:$C$22175=C22166)*$C$22155:$C$22164)</f>
        <v>0</v>
      </c>
    </row>
    <row r="22189" customFormat="false" ht="15" hidden="false" customHeight="false" outlineLevel="0" collapsed="false">
      <c r="A22189" s="3" t="s">
        <v>557</v>
      </c>
      <c r="C22189" s="16" t="n">
        <f aca="false">SUMPRODUCT(($C$22166:$C$22175=C22167)*$C$22155:$C$22164)</f>
        <v>0</v>
      </c>
    </row>
    <row r="22190" customFormat="false" ht="15" hidden="false" customHeight="false" outlineLevel="0" collapsed="false">
      <c r="A22190" s="3" t="s">
        <v>558</v>
      </c>
      <c r="C22190" s="16" t="n">
        <f aca="false">SUMPRODUCT(($C$22166:$C$22175=C22168)*$C$22155:$C$22164)</f>
        <v>0</v>
      </c>
    </row>
    <row r="22191" customFormat="false" ht="15" hidden="false" customHeight="false" outlineLevel="0" collapsed="false">
      <c r="A22191" s="3" t="s">
        <v>559</v>
      </c>
      <c r="C22191" s="16" t="n">
        <f aca="false">SUMPRODUCT(($C$22166:$C$22175=C22169)*$C$22155:$C$22164)</f>
        <v>2009.51821755586</v>
      </c>
    </row>
    <row r="22192" customFormat="false" ht="15" hidden="false" customHeight="false" outlineLevel="0" collapsed="false">
      <c r="A22192" s="3" t="s">
        <v>560</v>
      </c>
      <c r="C22192" s="16" t="n">
        <f aca="false">SUMPRODUCT(($C$22166:$C$22175=C22170)*$C$22155:$C$22164)</f>
        <v>2009.51821755586</v>
      </c>
    </row>
    <row r="22193" customFormat="false" ht="15" hidden="false" customHeight="false" outlineLevel="0" collapsed="false">
      <c r="A22193" s="3" t="s">
        <v>561</v>
      </c>
      <c r="C22193" s="16" t="n">
        <f aca="false">SUMPRODUCT(($C$22166:$C$22175=C22171)*$C$22155:$C$22164)</f>
        <v>2009.51821755586</v>
      </c>
    </row>
    <row r="22194" customFormat="false" ht="15" hidden="false" customHeight="false" outlineLevel="0" collapsed="false">
      <c r="A22194" s="3" t="s">
        <v>562</v>
      </c>
      <c r="C22194" s="16" t="n">
        <f aca="false">SUMPRODUCT(($C$22166:$C$22175=C22172)*$C$22155:$C$22164)</f>
        <v>2009.51821755586</v>
      </c>
    </row>
    <row r="22195" customFormat="false" ht="15" hidden="false" customHeight="false" outlineLevel="0" collapsed="false">
      <c r="A22195" s="3" t="s">
        <v>563</v>
      </c>
      <c r="C22195" s="16" t="n">
        <f aca="false">SUMPRODUCT(($C$22166:$C$22175=C22173)*$C$22155:$C$22164)</f>
        <v>2009.51821755586</v>
      </c>
    </row>
    <row r="22196" customFormat="false" ht="15" hidden="false" customHeight="false" outlineLevel="0" collapsed="false">
      <c r="A22196" s="3" t="s">
        <v>564</v>
      </c>
      <c r="C22196" s="16" t="n">
        <f aca="false">SUMPRODUCT(($C$22166:$C$22175=C22174)*$C$22155:$C$22164)</f>
        <v>2009.51821755586</v>
      </c>
    </row>
    <row r="22197" customFormat="false" ht="15" hidden="false" customHeight="false" outlineLevel="0" collapsed="false">
      <c r="A22197" s="3" t="s">
        <v>565</v>
      </c>
      <c r="C22197" s="16" t="n">
        <f aca="false">SUMPRODUCT(($C$22166:$C$22175=C22175)*$C$22155:$C$22164)</f>
        <v>78.61</v>
      </c>
    </row>
    <row r="22198" customFormat="false" ht="15" hidden="false" customHeight="false" outlineLevel="0" collapsed="false">
      <c r="A22198" s="24" t="s">
        <v>574</v>
      </c>
      <c r="B22198" s="25"/>
      <c r="C22198" s="25"/>
      <c r="D22198" s="25"/>
      <c r="E22198" s="25"/>
      <c r="F22198" s="25"/>
      <c r="G22198" s="25"/>
      <c r="H22198" s="25"/>
      <c r="I22198" s="25"/>
      <c r="J22198" s="25"/>
      <c r="K22198" s="25"/>
    </row>
    <row r="22199" customFormat="false" ht="15" hidden="false" customHeight="false" outlineLevel="0" collapsed="false">
      <c r="A22199" s="3" t="s">
        <v>556</v>
      </c>
      <c r="C22199" s="16" t="n">
        <f aca="false">IF(C22188=0,0,C22155/C22188*MAX(0,MIN(C22188,$C$22098-SUM($C$22133:$C$22142)-C22177)))</f>
        <v>0</v>
      </c>
    </row>
    <row r="22200" customFormat="false" ht="15" hidden="false" customHeight="false" outlineLevel="0" collapsed="false">
      <c r="A22200" s="3" t="s">
        <v>557</v>
      </c>
      <c r="C22200" s="16" t="n">
        <f aca="false">IF(C22189=0,0,C22156/C22189*MAX(0,MIN(C22189,$C$22098-SUM($C$22133:$C$22142)-C22178)))</f>
        <v>0</v>
      </c>
    </row>
    <row r="22201" customFormat="false" ht="15" hidden="false" customHeight="false" outlineLevel="0" collapsed="false">
      <c r="A22201" s="3" t="s">
        <v>558</v>
      </c>
      <c r="C22201" s="16" t="n">
        <f aca="false">IF(C22190=0,0,C22157/C22190*MAX(0,MIN(C22190,$C$22098-SUM($C$22133:$C$22142)-C22179)))</f>
        <v>0</v>
      </c>
    </row>
    <row r="22202" customFormat="false" ht="15" hidden="false" customHeight="false" outlineLevel="0" collapsed="false">
      <c r="A22202" s="3" t="s">
        <v>559</v>
      </c>
      <c r="C22202" s="16" t="n">
        <f aca="false">IF(C22191=0,0,C22158/C22191*MAX(0,MIN(C22191,$C$22098-SUM($C$22133:$C$22142)-C22180)))</f>
        <v>61.328266182056</v>
      </c>
    </row>
    <row r="22203" customFormat="false" ht="15" hidden="false" customHeight="false" outlineLevel="0" collapsed="false">
      <c r="A22203" s="3" t="s">
        <v>560</v>
      </c>
      <c r="C22203" s="16" t="n">
        <f aca="false">IF(C22192=0,0,C22159/C22192*MAX(0,MIN(C22192,$C$22098-SUM($C$22133:$C$22142)-C22181)))</f>
        <v>398.1899513738</v>
      </c>
    </row>
    <row r="22204" customFormat="false" ht="15" hidden="false" customHeight="false" outlineLevel="0" collapsed="false">
      <c r="A22204" s="3" t="s">
        <v>561</v>
      </c>
      <c r="C22204" s="16" t="n">
        <f aca="false">IF(C22193=0,0,C22160/C22193*MAX(0,MIN(C22193,$C$22098-SUM($C$22133:$C$22142)-C22182)))</f>
        <v>350</v>
      </c>
    </row>
    <row r="22205" customFormat="false" ht="15" hidden="false" customHeight="false" outlineLevel="0" collapsed="false">
      <c r="A22205" s="3" t="s">
        <v>562</v>
      </c>
      <c r="C22205" s="16" t="n">
        <f aca="false">IF(C22194=0,0,C22161/C22194*MAX(0,MIN(C22194,$C$22098-SUM($C$22133:$C$22142)-C22183)))</f>
        <v>550</v>
      </c>
    </row>
    <row r="22206" customFormat="false" ht="15" hidden="false" customHeight="false" outlineLevel="0" collapsed="false">
      <c r="A22206" s="3" t="s">
        <v>563</v>
      </c>
      <c r="C22206" s="16" t="n">
        <f aca="false">IF(C22195=0,0,C22162/C22195*MAX(0,MIN(C22195,$C$22098-SUM($C$22133:$C$22142)-C22184)))</f>
        <v>350</v>
      </c>
    </row>
    <row r="22207" customFormat="false" ht="15" hidden="false" customHeight="false" outlineLevel="0" collapsed="false">
      <c r="A22207" s="3" t="s">
        <v>564</v>
      </c>
      <c r="C22207" s="16" t="n">
        <f aca="false">IF(C22196=0,0,C22163/C22196*MAX(0,MIN(C22196,$C$22098-SUM($C$22133:$C$22142)-C22185)))</f>
        <v>300</v>
      </c>
    </row>
    <row r="22208" customFormat="false" ht="15" hidden="false" customHeight="false" outlineLevel="0" collapsed="false">
      <c r="A22208" s="3" t="s">
        <v>565</v>
      </c>
      <c r="C22208" s="16" t="n">
        <f aca="false">IF(C22197=0,0,C22164/C22197*MAX(0,MIN(C22197,$C$22098-SUM($C$22133:$C$22142)-C22186)))</f>
        <v>78.61</v>
      </c>
    </row>
    <row r="22209" customFormat="false" ht="15" hidden="false" customHeight="false" outlineLevel="0" collapsed="false">
      <c r="A22209" s="24" t="s">
        <v>575</v>
      </c>
      <c r="B22209" s="25"/>
      <c r="C22209" s="25"/>
      <c r="D22209" s="25"/>
      <c r="E22209" s="25"/>
      <c r="F22209" s="25"/>
      <c r="G22209" s="25"/>
      <c r="H22209" s="25"/>
      <c r="I22209" s="25"/>
      <c r="J22209" s="25"/>
      <c r="K22209" s="25"/>
    </row>
    <row r="22210" customFormat="false" ht="15" hidden="false" customHeight="false" outlineLevel="0" collapsed="false">
      <c r="A22210" s="2" t="s">
        <v>556</v>
      </c>
      <c r="C22210" s="17" t="n">
        <f aca="false">C22133+C22199</f>
        <v>388</v>
      </c>
    </row>
    <row r="22211" customFormat="false" ht="15" hidden="false" customHeight="false" outlineLevel="0" collapsed="false">
      <c r="A22211" s="2" t="s">
        <v>557</v>
      </c>
      <c r="C22211" s="17" t="n">
        <f aca="false">C22134+C22200</f>
        <v>90</v>
      </c>
    </row>
    <row r="22212" customFormat="false" ht="15" hidden="false" customHeight="false" outlineLevel="0" collapsed="false">
      <c r="A22212" s="2" t="s">
        <v>558</v>
      </c>
      <c r="C22212" s="17" t="n">
        <f aca="false">C22135+C22201</f>
        <v>57.324</v>
      </c>
    </row>
    <row r="22213" customFormat="false" ht="15" hidden="false" customHeight="false" outlineLevel="0" collapsed="false">
      <c r="A22213" s="2" t="s">
        <v>559</v>
      </c>
      <c r="C22213" s="17" t="n">
        <f aca="false">C22136+C22202</f>
        <v>61.328266182056</v>
      </c>
    </row>
    <row r="22214" customFormat="false" ht="15" hidden="false" customHeight="false" outlineLevel="0" collapsed="false">
      <c r="A22214" s="2" t="s">
        <v>560</v>
      </c>
      <c r="C22214" s="17" t="n">
        <f aca="false">C22137+C22203</f>
        <v>398.1899513738</v>
      </c>
    </row>
    <row r="22215" customFormat="false" ht="15" hidden="false" customHeight="false" outlineLevel="0" collapsed="false">
      <c r="A22215" s="2" t="s">
        <v>561</v>
      </c>
      <c r="C22215" s="17" t="n">
        <f aca="false">C22138+C22204</f>
        <v>350</v>
      </c>
    </row>
    <row r="22216" customFormat="false" ht="15" hidden="false" customHeight="false" outlineLevel="0" collapsed="false">
      <c r="A22216" s="2" t="s">
        <v>562</v>
      </c>
      <c r="C22216" s="17" t="n">
        <f aca="false">C22139+C22205</f>
        <v>550</v>
      </c>
    </row>
    <row r="22217" customFormat="false" ht="15" hidden="false" customHeight="false" outlineLevel="0" collapsed="false">
      <c r="A22217" s="2" t="s">
        <v>563</v>
      </c>
      <c r="C22217" s="17" t="n">
        <f aca="false">C22140+C22206</f>
        <v>350</v>
      </c>
    </row>
    <row r="22218" customFormat="false" ht="15" hidden="false" customHeight="false" outlineLevel="0" collapsed="false">
      <c r="A22218" s="2" t="s">
        <v>564</v>
      </c>
      <c r="C22218" s="17" t="n">
        <f aca="false">C22141+C22207</f>
        <v>300</v>
      </c>
    </row>
    <row r="22219" customFormat="false" ht="15" hidden="false" customHeight="false" outlineLevel="0" collapsed="false">
      <c r="A22219" s="2" t="s">
        <v>565</v>
      </c>
      <c r="C22219" s="17" t="n">
        <f aca="false">C22142+C22208</f>
        <v>78.61</v>
      </c>
    </row>
    <row r="22220" customFormat="false" ht="15" hidden="false" customHeight="false" outlineLevel="0" collapsed="false">
      <c r="A22220" s="24" t="s">
        <v>576</v>
      </c>
      <c r="B22220" s="25"/>
      <c r="C22220" s="25"/>
      <c r="D22220" s="25"/>
      <c r="E22220" s="25"/>
      <c r="F22220" s="25"/>
      <c r="G22220" s="25"/>
      <c r="H22220" s="25"/>
      <c r="I22220" s="25"/>
      <c r="J22220" s="25"/>
      <c r="K22220" s="25"/>
    </row>
    <row r="22221" customFormat="false" ht="15" hidden="false" customHeight="false" outlineLevel="0" collapsed="false">
      <c r="A22221" s="3" t="s">
        <v>556</v>
      </c>
      <c r="C22221" s="22" t="n">
        <f aca="false">IF(C22100=0,1,C22210/C22100)</f>
        <v>1</v>
      </c>
    </row>
    <row r="22222" customFormat="false" ht="15" hidden="false" customHeight="false" outlineLevel="0" collapsed="false">
      <c r="A22222" s="3" t="s">
        <v>557</v>
      </c>
      <c r="C22222" s="22" t="n">
        <f aca="false">IF(C22101=0,1,C22211/C22101)</f>
        <v>1</v>
      </c>
    </row>
    <row r="22223" customFormat="false" ht="15" hidden="false" customHeight="false" outlineLevel="0" collapsed="false">
      <c r="A22223" s="3" t="s">
        <v>558</v>
      </c>
      <c r="C22223" s="22" t="n">
        <f aca="false">IF(C22102=0,1,C22212/C22102)</f>
        <v>1</v>
      </c>
    </row>
    <row r="22224" customFormat="false" ht="15" hidden="false" customHeight="false" outlineLevel="0" collapsed="false">
      <c r="A22224" s="3" t="s">
        <v>559</v>
      </c>
      <c r="C22224" s="22" t="n">
        <f aca="false">IF(C22103=0,1,C22213/C22103)</f>
        <v>1</v>
      </c>
    </row>
    <row r="22225" customFormat="false" ht="15" hidden="false" customHeight="false" outlineLevel="0" collapsed="false">
      <c r="A22225" s="3" t="s">
        <v>560</v>
      </c>
      <c r="C22225" s="22" t="n">
        <f aca="false">IF(C22104=0,1,C22214/C22104)</f>
        <v>1</v>
      </c>
    </row>
    <row r="22226" customFormat="false" ht="15" hidden="false" customHeight="false" outlineLevel="0" collapsed="false">
      <c r="A22226" s="3" t="s">
        <v>561</v>
      </c>
      <c r="C22226" s="22" t="n">
        <f aca="false">IF(C22105=0,1,C22215/C22105)</f>
        <v>1</v>
      </c>
    </row>
    <row r="22227" customFormat="false" ht="15" hidden="false" customHeight="false" outlineLevel="0" collapsed="false">
      <c r="A22227" s="3" t="s">
        <v>562</v>
      </c>
      <c r="C22227" s="22" t="n">
        <f aca="false">IF(C22106=0,1,C22216/C22106)</f>
        <v>1</v>
      </c>
    </row>
    <row r="22228" customFormat="false" ht="15" hidden="false" customHeight="false" outlineLevel="0" collapsed="false">
      <c r="A22228" s="3" t="s">
        <v>563</v>
      </c>
      <c r="C22228" s="22" t="n">
        <f aca="false">IF(C22107=0,1,C22217/C22107)</f>
        <v>1</v>
      </c>
    </row>
    <row r="22229" customFormat="false" ht="15" hidden="false" customHeight="false" outlineLevel="0" collapsed="false">
      <c r="A22229" s="3" t="s">
        <v>564</v>
      </c>
      <c r="C22229" s="22" t="n">
        <f aca="false">IF(C22108=0,1,C22218/C22108)</f>
        <v>1</v>
      </c>
    </row>
    <row r="22230" customFormat="false" ht="15" hidden="false" customHeight="false" outlineLevel="0" collapsed="false">
      <c r="A22230" s="3" t="s">
        <v>565</v>
      </c>
      <c r="C22230" s="22" t="n">
        <f aca="false">IF(C22109=0,1,C22219/C22109)</f>
        <v>1</v>
      </c>
    </row>
    <row r="22231" customFormat="false" ht="15" hidden="false" customHeight="false" outlineLevel="0" collapsed="false">
      <c r="A22231" s="24" t="s">
        <v>577</v>
      </c>
      <c r="B22231" s="25"/>
      <c r="C22231" s="25"/>
      <c r="D22231" s="25"/>
      <c r="E22231" s="25"/>
      <c r="F22231" s="25"/>
      <c r="G22231" s="25"/>
      <c r="H22231" s="25"/>
      <c r="I22231" s="25"/>
      <c r="J22231" s="25"/>
      <c r="K22231" s="25"/>
    </row>
    <row r="22232" customFormat="false" ht="15" hidden="false" customHeight="false" outlineLevel="0" collapsed="false">
      <c r="A22232" s="3" t="s">
        <v>556</v>
      </c>
      <c r="C22232" s="16" t="n">
        <f aca="false">C22100-C22210</f>
        <v>0</v>
      </c>
    </row>
    <row r="22233" customFormat="false" ht="15" hidden="false" customHeight="false" outlineLevel="0" collapsed="false">
      <c r="A22233" s="3" t="s">
        <v>557</v>
      </c>
      <c r="C22233" s="16" t="n">
        <f aca="false">C22101-C22211</f>
        <v>0</v>
      </c>
    </row>
    <row r="22234" customFormat="false" ht="15" hidden="false" customHeight="false" outlineLevel="0" collapsed="false">
      <c r="A22234" s="3" t="s">
        <v>558</v>
      </c>
      <c r="C22234" s="16" t="n">
        <f aca="false">C22102-C22212</f>
        <v>0</v>
      </c>
    </row>
    <row r="22235" customFormat="false" ht="15" hidden="false" customHeight="false" outlineLevel="0" collapsed="false">
      <c r="A22235" s="3" t="s">
        <v>559</v>
      </c>
      <c r="C22235" s="16" t="n">
        <f aca="false">C22103-C22213</f>
        <v>0</v>
      </c>
    </row>
    <row r="22236" customFormat="false" ht="15" hidden="false" customHeight="false" outlineLevel="0" collapsed="false">
      <c r="A22236" s="3" t="s">
        <v>560</v>
      </c>
      <c r="C22236" s="16" t="n">
        <f aca="false">C22104-C22214</f>
        <v>0</v>
      </c>
    </row>
    <row r="22237" customFormat="false" ht="15" hidden="false" customHeight="false" outlineLevel="0" collapsed="false">
      <c r="A22237" s="3" t="s">
        <v>561</v>
      </c>
      <c r="C22237" s="16" t="n">
        <f aca="false">C22105-C22215</f>
        <v>0</v>
      </c>
    </row>
    <row r="22238" customFormat="false" ht="15" hidden="false" customHeight="false" outlineLevel="0" collapsed="false">
      <c r="A22238" s="3" t="s">
        <v>562</v>
      </c>
      <c r="C22238" s="16" t="n">
        <f aca="false">C22106-C22216</f>
        <v>0</v>
      </c>
    </row>
    <row r="22239" customFormat="false" ht="15" hidden="false" customHeight="false" outlineLevel="0" collapsed="false">
      <c r="A22239" s="3" t="s">
        <v>563</v>
      </c>
      <c r="C22239" s="16" t="n">
        <f aca="false">C22107-C22217</f>
        <v>0</v>
      </c>
    </row>
    <row r="22240" customFormat="false" ht="15" hidden="false" customHeight="false" outlineLevel="0" collapsed="false">
      <c r="A22240" s="3" t="s">
        <v>564</v>
      </c>
      <c r="C22240" s="16" t="n">
        <f aca="false">C22108-C22218</f>
        <v>0</v>
      </c>
    </row>
    <row r="22241" customFormat="false" ht="15" hidden="false" customHeight="false" outlineLevel="0" collapsed="false">
      <c r="A22241" s="3" t="s">
        <v>565</v>
      </c>
      <c r="C22241" s="16" t="n">
        <f aca="false">C22109-C22219</f>
        <v>0</v>
      </c>
    </row>
    <row r="22242" customFormat="false" ht="15" hidden="false" customHeight="false" outlineLevel="0" collapsed="false">
      <c r="A22242" s="24" t="s">
        <v>578</v>
      </c>
      <c r="B22242" s="25"/>
      <c r="C22242" s="25"/>
      <c r="D22242" s="25"/>
      <c r="E22242" s="25"/>
      <c r="F22242" s="25"/>
      <c r="G22242" s="25"/>
      <c r="H22242" s="25"/>
      <c r="I22242" s="25"/>
      <c r="J22242" s="25"/>
      <c r="K22242" s="25"/>
    </row>
    <row r="22243" customFormat="false" ht="15" hidden="false" customHeight="false" outlineLevel="0" collapsed="false">
      <c r="A22243" s="3" t="s">
        <v>556</v>
      </c>
      <c r="C22243" s="22" t="n">
        <f aca="false">IF(C22100=0,0,C22232/C22100)</f>
        <v>0</v>
      </c>
    </row>
    <row r="22244" customFormat="false" ht="15" hidden="false" customHeight="false" outlineLevel="0" collapsed="false">
      <c r="A22244" s="3" t="s">
        <v>557</v>
      </c>
      <c r="C22244" s="22" t="n">
        <f aca="false">IF(C22101=0,0,C22233/C22101)</f>
        <v>0</v>
      </c>
    </row>
    <row r="22245" customFormat="false" ht="15" hidden="false" customHeight="false" outlineLevel="0" collapsed="false">
      <c r="A22245" s="3" t="s">
        <v>558</v>
      </c>
      <c r="C22245" s="22" t="n">
        <f aca="false">IF(C22102=0,0,C22234/C22102)</f>
        <v>0</v>
      </c>
    </row>
    <row r="22246" customFormat="false" ht="15" hidden="false" customHeight="false" outlineLevel="0" collapsed="false">
      <c r="A22246" s="3" t="s">
        <v>559</v>
      </c>
      <c r="C22246" s="22" t="n">
        <f aca="false">IF(C22103=0,0,C22235/C22103)</f>
        <v>0</v>
      </c>
    </row>
    <row r="22247" customFormat="false" ht="15" hidden="false" customHeight="false" outlineLevel="0" collapsed="false">
      <c r="A22247" s="3" t="s">
        <v>560</v>
      </c>
      <c r="C22247" s="22" t="n">
        <f aca="false">IF(C22104=0,0,C22236/C22104)</f>
        <v>0</v>
      </c>
    </row>
    <row r="22248" customFormat="false" ht="15" hidden="false" customHeight="false" outlineLevel="0" collapsed="false">
      <c r="A22248" s="3" t="s">
        <v>561</v>
      </c>
      <c r="C22248" s="22" t="n">
        <f aca="false">IF(C22105=0,0,C22237/C22105)</f>
        <v>0</v>
      </c>
    </row>
    <row r="22249" customFormat="false" ht="15" hidden="false" customHeight="false" outlineLevel="0" collapsed="false">
      <c r="A22249" s="3" t="s">
        <v>562</v>
      </c>
      <c r="C22249" s="22" t="n">
        <f aca="false">IF(C22106=0,0,C22238/C22106)</f>
        <v>0</v>
      </c>
    </row>
    <row r="22250" customFormat="false" ht="15" hidden="false" customHeight="false" outlineLevel="0" collapsed="false">
      <c r="A22250" s="3" t="s">
        <v>563</v>
      </c>
      <c r="C22250" s="22" t="n">
        <f aca="false">IF(C22107=0,0,C22239/C22107)</f>
        <v>0</v>
      </c>
    </row>
    <row r="22251" customFormat="false" ht="15" hidden="false" customHeight="false" outlineLevel="0" collapsed="false">
      <c r="A22251" s="3" t="s">
        <v>564</v>
      </c>
      <c r="C22251" s="22" t="n">
        <f aca="false">IF(C22108=0,0,C22240/C22108)</f>
        <v>0</v>
      </c>
    </row>
    <row r="22252" customFormat="false" ht="15" hidden="false" customHeight="false" outlineLevel="0" collapsed="false">
      <c r="A22252" s="3" t="s">
        <v>565</v>
      </c>
      <c r="C22252" s="22" t="n">
        <f aca="false">IF(C22109=0,0,C22241/C22109)</f>
        <v>0</v>
      </c>
    </row>
    <row r="22253" customFormat="false" ht="15" hidden="false" customHeight="false" outlineLevel="0" collapsed="false">
      <c r="A22253" s="2" t="s">
        <v>579</v>
      </c>
      <c r="C22253" s="17" t="n">
        <f aca="false">MAX(0,$C$22098-SUM($C$22133:$C$22142)-SUM($C$22155:$C$22164))</f>
        <v>745.772077087745</v>
      </c>
    </row>
    <row r="22254" customFormat="false" ht="15" hidden="false" customHeight="false" outlineLevel="0" collapsed="false">
      <c r="A22254" s="3" t="s">
        <v>597</v>
      </c>
      <c r="C22254" s="35" t="n">
        <f aca="false">MIN(C22097,100*CHOOSE(C22087,C22221,C22222,C22223,C22224,C22225,C22226,C22227,C22228,C22229,C22230))</f>
        <v>100</v>
      </c>
    </row>
    <row r="22255" customFormat="false" ht="15" hidden="false" customHeight="false" outlineLevel="0" collapsed="false">
      <c r="A22255" s="3" t="s">
        <v>598</v>
      </c>
      <c r="C22255" s="21" t="n">
        <f aca="false">IF(C21919=1,C22092+Assumptions!$C$40,C22091)</f>
        <v>3</v>
      </c>
    </row>
    <row r="22256" customFormat="false" ht="15" hidden="false" customHeight="false" outlineLevel="0" collapsed="false">
      <c r="A22256" s="24" t="s">
        <v>599</v>
      </c>
      <c r="B22256" s="25"/>
      <c r="C22256" s="25"/>
      <c r="D22256" s="25"/>
      <c r="E22256" s="25"/>
      <c r="F22256" s="25"/>
      <c r="G22256" s="25"/>
      <c r="H22256" s="25"/>
      <c r="I22256" s="25"/>
      <c r="J22256" s="25"/>
      <c r="K22256" s="25"/>
    </row>
    <row r="22257" customFormat="false" ht="15" hidden="false" customHeight="false" outlineLevel="0" collapsed="false">
      <c r="A22257" s="3" t="s">
        <v>600</v>
      </c>
      <c r="C22257" s="21" t="n">
        <f aca="false">COLUMN()-COLUMN($C$1)</f>
        <v>0</v>
      </c>
      <c r="D22257" s="21" t="n">
        <f aca="false">COLUMN()-COLUMN($C$1)</f>
        <v>1</v>
      </c>
      <c r="E22257" s="21" t="n">
        <f aca="false">COLUMN()-COLUMN($C$1)</f>
        <v>2</v>
      </c>
      <c r="F22257" s="21" t="n">
        <f aca="false">COLUMN()-COLUMN($C$1)</f>
        <v>3</v>
      </c>
      <c r="G22257" s="21" t="n">
        <f aca="false">COLUMN()-COLUMN($C$1)</f>
        <v>4</v>
      </c>
      <c r="H22257" s="21" t="n">
        <f aca="false">COLUMN()-COLUMN($C$1)</f>
        <v>5</v>
      </c>
      <c r="I22257" s="21" t="n">
        <f aca="false">COLUMN()-COLUMN($C$1)</f>
        <v>6</v>
      </c>
    </row>
    <row r="22258" customFormat="false" ht="15" hidden="false" customHeight="false" outlineLevel="0" collapsed="false">
      <c r="A22258" s="3" t="s">
        <v>601</v>
      </c>
      <c r="D22258" s="31" t="n">
        <f aca="false">CHOOSE($C$22087,G21667,G21680,G21693,G21706,G21719,G21732,G21745,G21758,G21771,G21784)</f>
        <v>0.0815</v>
      </c>
      <c r="E22258" s="31" t="n">
        <f aca="false">CHOOSE($C$22087,H21667,H21680,H21693,H21706,H21719,H21732,H21745,H21758,H21771,H21784)</f>
        <v>0.08</v>
      </c>
      <c r="F22258" s="31" t="n">
        <f aca="false">CHOOSE($C$22087,I21667,I21680,I21693,I21706,I21719,I21732,I21745,I21758,I21771,I21784)</f>
        <v>0.0775</v>
      </c>
      <c r="G22258" s="31" t="n">
        <f aca="false">CHOOSE($C$22087,J21667,J21680,J21693,J21706,J21719,J21732,J21745,J21758,J21771,J21784)</f>
        <v>0.0775</v>
      </c>
      <c r="H22258" s="31" t="n">
        <f aca="false">CHOOSE($C$22087,K21667,K21680,K21693,K21706,K21719,K21732,K21745,K21758,K21771,K21784)</f>
        <v>0.0775</v>
      </c>
    </row>
    <row r="22259" customFormat="false" ht="15" hidden="false" customHeight="false" outlineLevel="0" collapsed="false">
      <c r="A22259" s="3" t="s">
        <v>602</v>
      </c>
      <c r="D22259" s="16" t="n">
        <f aca="false">IF(D22257&lt;=$C$22096,$C$22088*D22258,0)</f>
        <v>8.15</v>
      </c>
      <c r="E22259" s="16" t="n">
        <f aca="false">IF(E22257&lt;=$C$22096,$C$22088*E22258,0)</f>
        <v>8</v>
      </c>
      <c r="F22259" s="16" t="n">
        <f aca="false">IF(F22257&lt;=$C$22096,$C$22088*F22258,0)</f>
        <v>7.75</v>
      </c>
      <c r="G22259" s="16" t="n">
        <f aca="false">IF(G22257&lt;=$C$22096,$C$22088*G22258,0)</f>
        <v>0</v>
      </c>
      <c r="H22259" s="16" t="n">
        <f aca="false">IF(H22257&lt;=$C$22096,$C$22088*H22258,0)</f>
        <v>0</v>
      </c>
    </row>
    <row r="22260" customFormat="false" ht="15" hidden="false" customHeight="false" outlineLevel="0" collapsed="false">
      <c r="A22260" s="3" t="s">
        <v>603</v>
      </c>
      <c r="D22260" s="16" t="n">
        <f aca="false">IF(AND($C$21919=0,D22257=$C$22091),$C$22088*$C$22254/100,0)+IF(AND($C$21919=1,D22257=$C$22255),$C$22094,0)</f>
        <v>0</v>
      </c>
      <c r="E22260" s="16" t="n">
        <f aca="false">IF(AND($C$21919=0,E22257=$C$22091),$C$22088*$C$22254/100,0)+IF(AND($C$21919=1,E22257=$C$22255),$C$22094,0)</f>
        <v>0</v>
      </c>
      <c r="F22260" s="16" t="n">
        <f aca="false">IF(AND($C$21919=0,F22257=$C$22091),$C$22088*$C$22254/100,0)+IF(AND($C$21919=1,F22257=$C$22255),$C$22094,0)</f>
        <v>100</v>
      </c>
      <c r="G22260" s="16" t="n">
        <f aca="false">IF(AND($C$21919=0,G22257=$C$22091),$C$22088*$C$22254/100,0)+IF(AND($C$21919=1,G22257=$C$22255),$C$22094,0)</f>
        <v>0</v>
      </c>
      <c r="H22260" s="16" t="n">
        <f aca="false">IF(AND($C$21919=0,H22257=$C$22091),$C$22088*$C$22254/100,0)+IF(AND($C$21919=1,H22257=$C$22255),$C$22094,0)</f>
        <v>0</v>
      </c>
      <c r="I22260" s="16" t="n">
        <f aca="false">IF(AND($C$21919=0,I22257=$C$22091),$C$22088*$C$22254/100,0)+IF(AND($C$21919=1,I22257=$C$22255),$C$22094,0)</f>
        <v>0</v>
      </c>
    </row>
    <row r="22261" customFormat="false" ht="15" hidden="false" customHeight="false" outlineLevel="0" collapsed="false">
      <c r="A22261" s="2" t="s">
        <v>604</v>
      </c>
      <c r="C22261" s="17" t="n">
        <f aca="false">-$C$22090</f>
        <v>-98.49</v>
      </c>
      <c r="D22261" s="17" t="n">
        <f aca="false">D22259+D22260</f>
        <v>8.15</v>
      </c>
      <c r="E22261" s="17" t="n">
        <f aca="false">E22259+E22260</f>
        <v>8</v>
      </c>
      <c r="F22261" s="17" t="n">
        <f aca="false">F22259+F22260</f>
        <v>107.75</v>
      </c>
      <c r="G22261" s="17" t="n">
        <f aca="false">G22259+G22260</f>
        <v>0</v>
      </c>
      <c r="H22261" s="17" t="n">
        <f aca="false">H22259+H22260</f>
        <v>0</v>
      </c>
      <c r="I22261" s="17" t="n">
        <f aca="false">I22259+I22260</f>
        <v>0</v>
      </c>
    </row>
    <row r="22262" customFormat="false" ht="15" hidden="false" customHeight="false" outlineLevel="0" collapsed="false">
      <c r="A22262" s="3" t="s">
        <v>605</v>
      </c>
      <c r="C22262" s="16" t="n">
        <f aca="false">SUM($C$22259:$I$22259)</f>
        <v>23.9</v>
      </c>
    </row>
    <row r="22263" customFormat="false" ht="15" hidden="false" customHeight="false" outlineLevel="0" collapsed="false">
      <c r="A22263" s="3" t="s">
        <v>606</v>
      </c>
      <c r="C22263" s="16" t="n">
        <f aca="false">SUM($C$22260:$I$22260)</f>
        <v>100</v>
      </c>
    </row>
    <row r="22264" customFormat="false" ht="15" hidden="false" customHeight="false" outlineLevel="0" collapsed="false">
      <c r="A22264" s="3" t="s">
        <v>607</v>
      </c>
      <c r="C22264" s="16" t="n">
        <f aca="false">C22262+C22263</f>
        <v>123.9</v>
      </c>
    </row>
    <row r="22265" customFormat="false" ht="15" hidden="false" customHeight="false" outlineLevel="0" collapsed="false">
      <c r="A22265" s="3" t="s">
        <v>608</v>
      </c>
      <c r="C22265" s="16" t="n">
        <f aca="false">C22263-C22088*C22089/100</f>
        <v>2</v>
      </c>
    </row>
    <row r="22266" customFormat="false" ht="15" hidden="false" customHeight="false" outlineLevel="0" collapsed="false">
      <c r="A22266" s="3" t="s">
        <v>609</v>
      </c>
      <c r="C22266" s="16" t="n">
        <f aca="false">C22264-C22090</f>
        <v>25.41</v>
      </c>
    </row>
    <row r="22267" customFormat="false" ht="15" hidden="false" customHeight="false" outlineLevel="0" collapsed="false">
      <c r="A22267" s="2" t="s">
        <v>484</v>
      </c>
      <c r="C22267" s="44" t="n">
        <f aca="false">C22264/C22090</f>
        <v>1.25799573560768</v>
      </c>
    </row>
    <row r="22268" customFormat="false" ht="15" hidden="false" customHeight="false" outlineLevel="0" collapsed="false">
      <c r="A22268" s="2" t="s">
        <v>483</v>
      </c>
      <c r="C22268" s="42" t="n">
        <f aca="false">IF(C22264&lt;=0,-1,IFERROR(IRR($C$22261:$I$22261,MAX(-0.9,C22267^(1/C22255)-1)),IRR($C$22261:$I$22261,0.1)))</f>
        <v>0.0856954129412381</v>
      </c>
    </row>
    <row r="22269" customFormat="false" ht="15" hidden="false" customHeight="false" outlineLevel="0" collapsed="false">
      <c r="A22269" s="3" t="s">
        <v>610</v>
      </c>
      <c r="C22269" s="32" t="n">
        <f aca="false">MAX($G$21863:$K$21863)</f>
        <v>9.89914609114614</v>
      </c>
    </row>
    <row r="22270" customFormat="false" ht="15" hidden="false" customHeight="false" outlineLevel="0" collapsed="false">
      <c r="A22270" s="3" t="s">
        <v>611</v>
      </c>
      <c r="C22270" s="32" t="n">
        <f aca="false">MIN($G$21864:$K$21864)</f>
        <v>1.38416076664529</v>
      </c>
    </row>
    <row r="22271" customFormat="false" ht="15" hidden="false" customHeight="false" outlineLevel="0" collapsed="false">
      <c r="A22271" s="3" t="s">
        <v>612</v>
      </c>
      <c r="C22271" s="16" t="n">
        <f aca="false">SUM($G$21651:$K$21651)</f>
        <v>-408.642925530848</v>
      </c>
    </row>
    <row r="22275" customFormat="false" ht="15" hidden="false" customHeight="false" outlineLevel="0" collapsed="false">
      <c r="A22275" s="9" t="s">
        <v>1164</v>
      </c>
      <c r="B22275" s="10"/>
      <c r="C22275" s="10"/>
      <c r="D22275" s="10"/>
      <c r="E22275" s="10"/>
      <c r="F22275" s="10"/>
      <c r="G22275" s="10"/>
      <c r="H22275" s="10"/>
      <c r="I22275" s="10"/>
      <c r="J22275" s="10"/>
      <c r="K22275" s="10"/>
    </row>
    <row r="22276" customFormat="false" ht="15" hidden="false" customHeight="false" outlineLevel="0" collapsed="false">
      <c r="A22276" s="3" t="s">
        <v>1126</v>
      </c>
      <c r="C22276" s="11" t="n">
        <v>1</v>
      </c>
    </row>
    <row r="22277" customFormat="false" ht="15" hidden="false" customHeight="false" outlineLevel="0" collapsed="false">
      <c r="A22277" s="3" t="s">
        <v>1127</v>
      </c>
      <c r="C22277" s="19" t="n">
        <v>0</v>
      </c>
    </row>
    <row r="22278" customFormat="false" ht="15" hidden="false" customHeight="false" outlineLevel="0" collapsed="false">
      <c r="A22278" s="3" t="s">
        <v>1128</v>
      </c>
      <c r="C22278" s="19" t="n">
        <v>0</v>
      </c>
    </row>
    <row r="22279" customFormat="false" ht="15" hidden="false" customHeight="false" outlineLevel="0" collapsed="false">
      <c r="A22279" s="3" t="s">
        <v>1129</v>
      </c>
      <c r="C22279" s="30" t="n">
        <f aca="false">Sensitivities!$A$51</f>
        <v>-0.005</v>
      </c>
    </row>
    <row r="22280" customFormat="false" ht="15" hidden="false" customHeight="false" outlineLevel="0" collapsed="false">
      <c r="A22280" s="3" t="s">
        <v>1130</v>
      </c>
      <c r="C22280" s="15" t="n">
        <v>0</v>
      </c>
    </row>
    <row r="22282" customFormat="false" ht="15" hidden="false" customHeight="false" outlineLevel="0" collapsed="false">
      <c r="A22282" s="24" t="s">
        <v>301</v>
      </c>
      <c r="B22282" s="25"/>
      <c r="C22282" s="25"/>
      <c r="D22282" s="25"/>
      <c r="E22282" s="25"/>
      <c r="F22282" s="25"/>
      <c r="G22282" s="25"/>
      <c r="H22282" s="25"/>
      <c r="I22282" s="25"/>
      <c r="J22282" s="25"/>
      <c r="K22282" s="25"/>
    </row>
    <row r="22283" customFormat="false" ht="15" hidden="false" customHeight="false" outlineLevel="0" collapsed="false">
      <c r="A22283" s="3" t="s">
        <v>302</v>
      </c>
      <c r="F22283" s="27" t="n">
        <f aca="false">Assumptions!$C$6</f>
        <v>2026</v>
      </c>
      <c r="G22283" s="21" t="n">
        <f aca="false">F22283+1</f>
        <v>2027</v>
      </c>
      <c r="H22283" s="21" t="n">
        <f aca="false">G22283+1</f>
        <v>2028</v>
      </c>
      <c r="I22283" s="21" t="n">
        <f aca="false">H22283+1</f>
        <v>2029</v>
      </c>
      <c r="J22283" s="21" t="n">
        <f aca="false">I22283+1</f>
        <v>2030</v>
      </c>
      <c r="K22283" s="21" t="n">
        <f aca="false">J22283+1</f>
        <v>2031</v>
      </c>
    </row>
    <row r="22284" customFormat="false" ht="15" hidden="false" customHeight="false" outlineLevel="0" collapsed="false">
      <c r="A22284" s="3" t="s">
        <v>303</v>
      </c>
      <c r="G22284" s="21" t="n">
        <f aca="false">G22283-Assumptions!$C$6</f>
        <v>1</v>
      </c>
      <c r="H22284" s="21" t="n">
        <f aca="false">H22283-Assumptions!$C$6</f>
        <v>2</v>
      </c>
      <c r="I22284" s="21" t="n">
        <f aca="false">I22283-Assumptions!$C$6</f>
        <v>3</v>
      </c>
      <c r="J22284" s="21" t="n">
        <f aca="false">J22283-Assumptions!$C$6</f>
        <v>4</v>
      </c>
      <c r="K22284" s="21" t="n">
        <f aca="false">K22283-Assumptions!$C$6</f>
        <v>5</v>
      </c>
    </row>
    <row r="22285" customFormat="false" ht="15" hidden="false" customHeight="false" outlineLevel="0" collapsed="false">
      <c r="A22285" s="3" t="s">
        <v>180</v>
      </c>
      <c r="G22285" s="22" t="n">
        <f aca="false">CHOOSE($C$22276,Assumptions!$G$79,Assumptions!$G$98,Assumptions!$G$117)+$C$22277</f>
        <v>-0.03</v>
      </c>
      <c r="H22285" s="22" t="n">
        <f aca="false">CHOOSE($C$22276,Assumptions!$H$79,Assumptions!$H$98,Assumptions!$H$117)+$C$22277</f>
        <v>0.02</v>
      </c>
      <c r="I22285" s="22" t="n">
        <f aca="false">CHOOSE($C$22276,Assumptions!$I$79,Assumptions!$I$98,Assumptions!$I$117)+$C$22277</f>
        <v>0.02</v>
      </c>
      <c r="J22285" s="22" t="n">
        <f aca="false">CHOOSE($C$22276,Assumptions!$J$79,Assumptions!$J$98,Assumptions!$J$117)+$C$22277</f>
        <v>0.02</v>
      </c>
      <c r="K22285" s="22" t="n">
        <f aca="false">CHOOSE($C$22276,Assumptions!$K$79,Assumptions!$K$98,Assumptions!$K$117)+$C$22277</f>
        <v>0.02</v>
      </c>
    </row>
    <row r="22286" customFormat="false" ht="15" hidden="false" customHeight="false" outlineLevel="0" collapsed="false">
      <c r="A22286" s="3" t="s">
        <v>181</v>
      </c>
      <c r="G22286" s="22" t="n">
        <f aca="false">CHOOSE($C$22276,Assumptions!$G$80,Assumptions!$G$99,Assumptions!$G$118)</f>
        <v>0.603920660818678</v>
      </c>
      <c r="H22286" s="22" t="n">
        <f aca="false">CHOOSE($C$22276,Assumptions!$H$80,Assumptions!$H$99,Assumptions!$H$118)</f>
        <v>0.606920660818678</v>
      </c>
      <c r="I22286" s="22" t="n">
        <f aca="false">CHOOSE($C$22276,Assumptions!$I$80,Assumptions!$I$99,Assumptions!$I$118)</f>
        <v>0.609920660818678</v>
      </c>
      <c r="J22286" s="22" t="n">
        <f aca="false">CHOOSE($C$22276,Assumptions!$J$80,Assumptions!$J$99,Assumptions!$J$118)</f>
        <v>0.611920660818678</v>
      </c>
      <c r="K22286" s="22" t="n">
        <f aca="false">CHOOSE($C$22276,Assumptions!$K$80,Assumptions!$K$99,Assumptions!$K$118)</f>
        <v>0.613920660818678</v>
      </c>
    </row>
    <row r="22287" customFormat="false" ht="15" hidden="false" customHeight="false" outlineLevel="0" collapsed="false">
      <c r="A22287" s="3" t="s">
        <v>182</v>
      </c>
      <c r="G22287" s="22" t="n">
        <f aca="false">CHOOSE($C$22276,Assumptions!$G$81,Assumptions!$G$100,Assumptions!$G$119)+$C$22278</f>
        <v>0.53</v>
      </c>
      <c r="H22287" s="22" t="n">
        <f aca="false">CHOOSE($C$22276,Assumptions!$H$81,Assumptions!$H$100,Assumptions!$H$119)+$C$22278</f>
        <v>0.533</v>
      </c>
      <c r="I22287" s="22" t="n">
        <f aca="false">CHOOSE($C$22276,Assumptions!$I$81,Assumptions!$I$100,Assumptions!$I$119)+$C$22278</f>
        <v>0.536</v>
      </c>
      <c r="J22287" s="22" t="n">
        <f aca="false">CHOOSE($C$22276,Assumptions!$J$81,Assumptions!$J$100,Assumptions!$J$119)+$C$22278</f>
        <v>0.538</v>
      </c>
      <c r="K22287" s="22" t="n">
        <f aca="false">CHOOSE($C$22276,Assumptions!$K$81,Assumptions!$K$100,Assumptions!$K$119)+$C$22278</f>
        <v>0.54</v>
      </c>
    </row>
    <row r="22288" customFormat="false" ht="15" hidden="false" customHeight="false" outlineLevel="0" collapsed="false">
      <c r="A22288" s="24" t="s">
        <v>304</v>
      </c>
      <c r="B22288" s="25"/>
      <c r="C22288" s="25"/>
      <c r="D22288" s="25"/>
      <c r="E22288" s="25"/>
      <c r="F22288" s="25"/>
      <c r="G22288" s="25"/>
      <c r="H22288" s="25"/>
      <c r="I22288" s="25"/>
      <c r="J22288" s="25"/>
      <c r="K22288" s="25"/>
    </row>
    <row r="22289" customFormat="false" ht="15" hidden="false" customHeight="false" outlineLevel="0" collapsed="false">
      <c r="A22289" s="2" t="s">
        <v>275</v>
      </c>
      <c r="F22289" s="28" t="n">
        <f aca="false">'Historical Financials'!G25</f>
        <v>498.291</v>
      </c>
      <c r="G22289" s="17" t="n">
        <f aca="false">F22289*(1+G22285)</f>
        <v>483.34227</v>
      </c>
      <c r="H22289" s="17" t="n">
        <f aca="false">G22289*(1+H22285)</f>
        <v>493.0091154</v>
      </c>
      <c r="I22289" s="17" t="n">
        <f aca="false">H22289*(1+I22285)</f>
        <v>502.869297708</v>
      </c>
      <c r="J22289" s="17" t="n">
        <f aca="false">I22289*(1+J22285)</f>
        <v>512.92668366216</v>
      </c>
      <c r="K22289" s="17" t="n">
        <f aca="false">J22289*(1+K22285)</f>
        <v>523.185217335403</v>
      </c>
    </row>
    <row r="22290" customFormat="false" ht="15" hidden="false" customHeight="false" outlineLevel="0" collapsed="false">
      <c r="A22290" s="3" t="s">
        <v>276</v>
      </c>
      <c r="G22290" s="16" t="n">
        <f aca="false">G22289*(1-G22286)</f>
        <v>191.4418869</v>
      </c>
      <c r="H22290" s="16" t="n">
        <f aca="false">H22289*(1-H22286)</f>
        <v>193.7916972918</v>
      </c>
      <c r="I22290" s="16" t="n">
        <f aca="false">I22289*(1-I22286)</f>
        <v>196.158923344512</v>
      </c>
      <c r="J22290" s="16" t="n">
        <f aca="false">J22289*(1-J22286)</f>
        <v>199.056248444078</v>
      </c>
      <c r="K22290" s="16" t="n">
        <f aca="false">K22289*(1-K22286)</f>
        <v>201.991002978289</v>
      </c>
    </row>
    <row r="22291" customFormat="false" ht="15" hidden="false" customHeight="false" outlineLevel="0" collapsed="false">
      <c r="A22291" s="2" t="s">
        <v>277</v>
      </c>
      <c r="G22291" s="17" t="n">
        <f aca="false">G22289-G22290</f>
        <v>291.9003831</v>
      </c>
      <c r="H22291" s="17" t="n">
        <f aca="false">H22289-H22290</f>
        <v>299.2174181082</v>
      </c>
      <c r="I22291" s="17" t="n">
        <f aca="false">I22289-I22290</f>
        <v>306.710374363488</v>
      </c>
      <c r="J22291" s="17" t="n">
        <f aca="false">J22289-J22290</f>
        <v>313.870435218082</v>
      </c>
      <c r="K22291" s="17" t="n">
        <f aca="false">K22289-K22290</f>
        <v>321.194214357115</v>
      </c>
    </row>
    <row r="22292" customFormat="false" ht="15" hidden="false" customHeight="false" outlineLevel="0" collapsed="false">
      <c r="A22292" s="3" t="s">
        <v>305</v>
      </c>
      <c r="G22292" s="16" t="n">
        <f aca="false">G22291-G22293</f>
        <v>35.72898</v>
      </c>
      <c r="H22292" s="16" t="n">
        <f aca="false">H22291-H22293</f>
        <v>36.4435596</v>
      </c>
      <c r="I22292" s="16" t="n">
        <f aca="false">I22291-I22293</f>
        <v>37.172430792</v>
      </c>
      <c r="J22292" s="16" t="n">
        <f aca="false">J22291-J22293</f>
        <v>37.91587940784</v>
      </c>
      <c r="K22292" s="16" t="n">
        <f aca="false">K22291-K22293</f>
        <v>38.6741969959968</v>
      </c>
    </row>
    <row r="22293" customFormat="false" ht="15" hidden="false" customHeight="false" outlineLevel="0" collapsed="false">
      <c r="A22293" s="2" t="s">
        <v>306</v>
      </c>
      <c r="G22293" s="17" t="n">
        <f aca="false">G22289*G22287</f>
        <v>256.1714031</v>
      </c>
      <c r="H22293" s="17" t="n">
        <f aca="false">H22289*H22287</f>
        <v>262.7738585082</v>
      </c>
      <c r="I22293" s="17" t="n">
        <f aca="false">I22289*I22287</f>
        <v>269.537943571488</v>
      </c>
      <c r="J22293" s="17" t="n">
        <f aca="false">J22289*J22287</f>
        <v>275.954555810242</v>
      </c>
      <c r="K22293" s="17" t="n">
        <f aca="false">K22289*K22287</f>
        <v>282.520017361118</v>
      </c>
    </row>
    <row r="22294" customFormat="false" ht="15" hidden="false" customHeight="false" outlineLevel="0" collapsed="false">
      <c r="A22294" s="3" t="s">
        <v>307</v>
      </c>
      <c r="G22294" s="16" t="n">
        <f aca="false">G22289*'Historical Financials'!G30/'Historical Financials'!G25</f>
        <v>179.73421</v>
      </c>
      <c r="H22294" s="16" t="n">
        <f aca="false">H22289*'Historical Financials'!G30/'Historical Financials'!G25</f>
        <v>183.3288942</v>
      </c>
      <c r="I22294" s="16" t="n">
        <f aca="false">I22289*'Historical Financials'!G30/'Historical Financials'!G25</f>
        <v>186.995472084</v>
      </c>
      <c r="J22294" s="16" t="n">
        <f aca="false">J22289*'Historical Financials'!G30/'Historical Financials'!G25</f>
        <v>190.73538152568</v>
      </c>
      <c r="K22294" s="16" t="n">
        <f aca="false">K22289*'Historical Financials'!G30/'Historical Financials'!G25</f>
        <v>194.550089156194</v>
      </c>
    </row>
    <row r="22295" customFormat="false" ht="15" hidden="false" customHeight="false" outlineLevel="0" collapsed="false">
      <c r="A22295" s="3" t="s">
        <v>308</v>
      </c>
      <c r="G22295" s="16" t="n">
        <f aca="false">G22289*'Historical Financials'!G31/'Historical Financials'!G25</f>
        <v>0</v>
      </c>
      <c r="H22295" s="16" t="n">
        <f aca="false">H22289*'Historical Financials'!G31/'Historical Financials'!G25</f>
        <v>0</v>
      </c>
      <c r="I22295" s="16" t="n">
        <f aca="false">I22289*'Historical Financials'!G31/'Historical Financials'!G25</f>
        <v>0</v>
      </c>
      <c r="J22295" s="16" t="n">
        <f aca="false">J22289*'Historical Financials'!G31/'Historical Financials'!G25</f>
        <v>0</v>
      </c>
      <c r="K22295" s="16" t="n">
        <f aca="false">K22289*'Historical Financials'!G31/'Historical Financials'!G25</f>
        <v>0</v>
      </c>
    </row>
    <row r="22296" customFormat="false" ht="15" hidden="false" customHeight="false" outlineLevel="0" collapsed="false">
      <c r="A22296" s="2" t="s">
        <v>309</v>
      </c>
      <c r="G22296" s="17" t="n">
        <f aca="false">G22293-G22294-G22295</f>
        <v>76.4371931</v>
      </c>
      <c r="H22296" s="17" t="n">
        <f aca="false">H22293-H22294-H22295</f>
        <v>79.4449643082</v>
      </c>
      <c r="I22296" s="17" t="n">
        <f aca="false">I22293-I22294-I22295</f>
        <v>82.542471487488</v>
      </c>
      <c r="J22296" s="17" t="n">
        <f aca="false">J22293-J22294-J22295</f>
        <v>85.2191742845621</v>
      </c>
      <c r="K22296" s="17" t="n">
        <f aca="false">K22293-K22294-K22295</f>
        <v>87.9699282049242</v>
      </c>
    </row>
    <row r="22297" customFormat="false" ht="15" hidden="false" customHeight="false" outlineLevel="0" collapsed="false">
      <c r="A22297" s="3" t="s">
        <v>310</v>
      </c>
      <c r="G22297" s="16" t="n">
        <f aca="false">G22323+G22336+G22349+G22362+G22375+G22388+G22401+G22414+G22427+G22440</f>
        <v>177.8166354</v>
      </c>
      <c r="H22297" s="16" t="n">
        <f aca="false">H22323+H22336+H22349+H22362+H22375+H22388+H22401+H22414+H22427+H22440</f>
        <v>176.7587204</v>
      </c>
      <c r="I22297" s="16" t="n">
        <f aca="false">I22323+I22336+I22349+I22362+I22375+I22388+I22401+I22414+I22427+I22440</f>
        <v>188.653679509904</v>
      </c>
      <c r="J22297" s="16" t="n">
        <f aca="false">J22323+J22336+J22349+J22362+J22375+J22388+J22401+J22414+J22427+J22440</f>
        <v>188.636187844468</v>
      </c>
      <c r="K22297" s="16" t="n">
        <f aca="false">K22323+K22336+K22349+K22362+K22375+K22388+K22401+K22414+K22427+K22440</f>
        <v>207.256982855888</v>
      </c>
    </row>
    <row r="22298" customFormat="false" ht="15" hidden="false" customHeight="false" outlineLevel="0" collapsed="false">
      <c r="A22298" s="3" t="s">
        <v>311</v>
      </c>
      <c r="G22298" s="16" t="n">
        <f aca="false">G22324+G22337+G22350+G22363+G22376+G22389+G22402+G22415+G22428+G22441</f>
        <v>0</v>
      </c>
      <c r="H22298" s="16" t="n">
        <f aca="false">H22324+H22337+H22350+H22363+H22376+H22389+H22402+H22415+H22428+H22441</f>
        <v>0</v>
      </c>
      <c r="I22298" s="16" t="n">
        <f aca="false">I22324+I22337+I22350+I22363+I22376+I22389+I22402+I22415+I22428+I22441</f>
        <v>0</v>
      </c>
      <c r="J22298" s="16" t="n">
        <f aca="false">J22324+J22337+J22350+J22363+J22376+J22389+J22402+J22415+J22428+J22441</f>
        <v>0</v>
      </c>
      <c r="K22298" s="16" t="n">
        <f aca="false">K22324+K22337+K22350+K22363+K22376+K22389+K22402+K22415+K22428+K22441</f>
        <v>0</v>
      </c>
    </row>
    <row r="22299" customFormat="false" ht="15" hidden="false" customHeight="false" outlineLevel="0" collapsed="false">
      <c r="A22299" s="3" t="s">
        <v>283</v>
      </c>
      <c r="G22299" s="16" t="n">
        <f aca="false">G22297+G22298</f>
        <v>177.8166354</v>
      </c>
      <c r="H22299" s="16" t="n">
        <f aca="false">H22297+H22298</f>
        <v>176.7587204</v>
      </c>
      <c r="I22299" s="16" t="n">
        <f aca="false">I22297+I22298</f>
        <v>188.653679509904</v>
      </c>
      <c r="J22299" s="16" t="n">
        <f aca="false">J22297+J22298</f>
        <v>188.636187844468</v>
      </c>
      <c r="K22299" s="16" t="n">
        <f aca="false">K22297+K22298</f>
        <v>207.256982855888</v>
      </c>
    </row>
    <row r="22300" customFormat="false" ht="15" hidden="false" customHeight="false" outlineLevel="0" collapsed="false">
      <c r="A22300" s="2" t="s">
        <v>284</v>
      </c>
      <c r="G22300" s="17" t="n">
        <f aca="false">G22296-G22299</f>
        <v>-101.3794423</v>
      </c>
      <c r="H22300" s="17" t="n">
        <f aca="false">H22296-H22299</f>
        <v>-97.3137560918</v>
      </c>
      <c r="I22300" s="17" t="n">
        <f aca="false">I22296-I22299</f>
        <v>-106.111208022416</v>
      </c>
      <c r="J22300" s="17" t="n">
        <f aca="false">J22296-J22299</f>
        <v>-103.417013559906</v>
      </c>
      <c r="K22300" s="17" t="n">
        <f aca="false">K22296-K22299</f>
        <v>-119.287054650963</v>
      </c>
    </row>
    <row r="22301" customFormat="false" ht="15" hidden="false" customHeight="false" outlineLevel="0" collapsed="false">
      <c r="A22301" s="3" t="s">
        <v>312</v>
      </c>
      <c r="G22301" s="16" t="n">
        <f aca="false">MAX(0,G22300)*Assumptions!$C$9</f>
        <v>0</v>
      </c>
      <c r="H22301" s="16" t="n">
        <f aca="false">MAX(0,H22300)*Assumptions!$C$9</f>
        <v>0</v>
      </c>
      <c r="I22301" s="16" t="n">
        <f aca="false">MAX(0,I22300)*Assumptions!$C$9</f>
        <v>0</v>
      </c>
      <c r="J22301" s="16" t="n">
        <f aca="false">MAX(0,J22300)*Assumptions!$C$9</f>
        <v>0</v>
      </c>
      <c r="K22301" s="16" t="n">
        <f aca="false">MAX(0,K22300)*Assumptions!$C$9</f>
        <v>0</v>
      </c>
    </row>
    <row r="22302" customFormat="false" ht="15" hidden="false" customHeight="false" outlineLevel="0" collapsed="false">
      <c r="A22302" s="2" t="s">
        <v>313</v>
      </c>
      <c r="G22302" s="17" t="n">
        <f aca="false">G22300-G22301</f>
        <v>-101.3794423</v>
      </c>
      <c r="H22302" s="17" t="n">
        <f aca="false">H22300-H22301</f>
        <v>-97.3137560918</v>
      </c>
      <c r="I22302" s="17" t="n">
        <f aca="false">I22300-I22301</f>
        <v>-106.111208022416</v>
      </c>
      <c r="J22302" s="17" t="n">
        <f aca="false">J22300-J22301</f>
        <v>-103.417013559906</v>
      </c>
      <c r="K22302" s="17" t="n">
        <f aca="false">K22300-K22301</f>
        <v>-119.287054650963</v>
      </c>
    </row>
    <row r="22303" customFormat="false" ht="15" hidden="false" customHeight="false" outlineLevel="0" collapsed="false">
      <c r="A22303" s="24" t="s">
        <v>314</v>
      </c>
      <c r="B22303" s="25"/>
      <c r="C22303" s="25"/>
      <c r="D22303" s="25"/>
      <c r="E22303" s="25"/>
      <c r="F22303" s="25"/>
      <c r="G22303" s="25"/>
      <c r="H22303" s="25"/>
      <c r="I22303" s="25"/>
      <c r="J22303" s="25"/>
      <c r="K22303" s="25"/>
    </row>
    <row r="22304" customFormat="false" ht="15" hidden="false" customHeight="false" outlineLevel="0" collapsed="false">
      <c r="A22304" s="3" t="s">
        <v>184</v>
      </c>
      <c r="G22304" s="16" t="n">
        <f aca="false">G22289*CHOOSE($C$22276,Assumptions!$C$83,Assumptions!$C$102,Assumptions!$C$121)</f>
        <v>106.3352994</v>
      </c>
      <c r="H22304" s="16" t="n">
        <f aca="false">H22289*CHOOSE($C$22276,Assumptions!$C$83,Assumptions!$C$102,Assumptions!$C$121)</f>
        <v>108.462005388</v>
      </c>
      <c r="I22304" s="16" t="n">
        <f aca="false">I22289*CHOOSE($C$22276,Assumptions!$C$83,Assumptions!$C$102,Assumptions!$C$121)</f>
        <v>110.63124549576</v>
      </c>
      <c r="J22304" s="16" t="n">
        <f aca="false">J22289*CHOOSE($C$22276,Assumptions!$C$83,Assumptions!$C$102,Assumptions!$C$121)</f>
        <v>112.843870405675</v>
      </c>
      <c r="K22304" s="16" t="n">
        <f aca="false">K22289*CHOOSE($C$22276,Assumptions!$C$83,Assumptions!$C$102,Assumptions!$C$121)</f>
        <v>115.100747813789</v>
      </c>
    </row>
    <row r="22305" customFormat="false" ht="15" hidden="false" customHeight="false" outlineLevel="0" collapsed="false">
      <c r="A22305" s="3" t="s">
        <v>315</v>
      </c>
      <c r="G22305" s="16" t="n">
        <f aca="false">CHOOSE($C$22276,Assumptions!$C$84,Assumptions!$C$103,Assumptions!$C$122)*(G22289-F22289)+CHOOSE($C$22276,Assumptions!$C$85,Assumptions!$C$104,Assumptions!$C$123)*G22289</f>
        <v>53.1676497</v>
      </c>
      <c r="H22305" s="16" t="n">
        <f aca="false">CHOOSE($C$22276,Assumptions!$C$84,Assumptions!$C$103,Assumptions!$C$122)*(H22289-G22289)+CHOOSE($C$22276,Assumptions!$C$85,Assumptions!$C$104,Assumptions!$C$123)*H22289</f>
        <v>54.231002694</v>
      </c>
      <c r="I22305" s="16" t="n">
        <f aca="false">CHOOSE($C$22276,Assumptions!$C$84,Assumptions!$C$103,Assumptions!$C$122)*(I22289-H22289)+CHOOSE($C$22276,Assumptions!$C$85,Assumptions!$C$104,Assumptions!$C$123)*I22289</f>
        <v>55.31562274788</v>
      </c>
      <c r="J22305" s="16" t="n">
        <f aca="false">CHOOSE($C$22276,Assumptions!$C$84,Assumptions!$C$103,Assumptions!$C$122)*(J22289-I22289)+CHOOSE($C$22276,Assumptions!$C$85,Assumptions!$C$104,Assumptions!$C$123)*J22289</f>
        <v>56.4219352028376</v>
      </c>
      <c r="K22305" s="16" t="n">
        <f aca="false">CHOOSE($C$22276,Assumptions!$C$84,Assumptions!$C$103,Assumptions!$C$122)*(K22289-J22289)+CHOOSE($C$22276,Assumptions!$C$85,Assumptions!$C$104,Assumptions!$C$123)*K22289</f>
        <v>57.5503739068944</v>
      </c>
    </row>
    <row r="22306" customFormat="false" ht="15" hidden="false" customHeight="false" outlineLevel="0" collapsed="false">
      <c r="A22306" s="2" t="s">
        <v>316</v>
      </c>
      <c r="G22306" s="17" t="n">
        <f aca="false">G22302+G22294+G22295+G22298-G22304-G22305</f>
        <v>-81.1481814</v>
      </c>
      <c r="H22306" s="17" t="n">
        <f aca="false">H22302+H22294+H22295+H22298-H22304-H22305</f>
        <v>-76.6778699738</v>
      </c>
      <c r="I22306" s="17" t="n">
        <f aca="false">I22302+I22294+I22295+I22298-I22304-I22305</f>
        <v>-85.062604182056</v>
      </c>
      <c r="J22306" s="17" t="n">
        <f aca="false">J22302+J22294+J22295+J22298-J22304-J22305</f>
        <v>-81.9474376427392</v>
      </c>
      <c r="K22306" s="17" t="n">
        <f aca="false">K22302+K22294+K22295+K22298-K22304-K22305</f>
        <v>-97.3880872154529</v>
      </c>
    </row>
    <row r="22308" customFormat="false" ht="15" hidden="false" customHeight="false" outlineLevel="0" collapsed="false">
      <c r="A22308" s="24" t="s">
        <v>318</v>
      </c>
      <c r="B22308" s="25"/>
      <c r="C22308" s="25"/>
      <c r="D22308" s="25"/>
      <c r="E22308" s="25"/>
      <c r="F22308" s="25"/>
      <c r="G22308" s="25"/>
      <c r="H22308" s="25"/>
      <c r="I22308" s="25"/>
      <c r="J22308" s="25"/>
      <c r="K22308" s="25"/>
    </row>
    <row r="22309" customFormat="false" ht="15" hidden="false" customHeight="false" outlineLevel="0" collapsed="false">
      <c r="A22309" s="3" t="s">
        <v>319</v>
      </c>
      <c r="G22309" s="30" t="n">
        <f aca="false">Assumptions!$G$53</f>
        <v>0.039</v>
      </c>
      <c r="H22309" s="30" t="n">
        <f aca="false">Assumptions!$H$53</f>
        <v>0.0375</v>
      </c>
      <c r="I22309" s="30" t="n">
        <f aca="false">Assumptions!$I$53</f>
        <v>0.035</v>
      </c>
      <c r="J22309" s="30" t="n">
        <f aca="false">Assumptions!$J$53</f>
        <v>0.035</v>
      </c>
      <c r="K22309" s="30" t="n">
        <f aca="false">Assumptions!$K$53</f>
        <v>0.035</v>
      </c>
    </row>
    <row r="22310" customFormat="false" ht="15" hidden="false" customHeight="false" outlineLevel="0" collapsed="false">
      <c r="A22310" s="3" t="s">
        <v>320</v>
      </c>
      <c r="C22310" s="31" t="n">
        <f aca="false">CHOOSE($C$22276,Assumptions!$C$86,Assumptions!$C$105,Assumptions!$C$124)+$C$22279</f>
        <v>-0.005</v>
      </c>
    </row>
    <row r="22311" customFormat="false" ht="15" hidden="false" customHeight="false" outlineLevel="0" collapsed="false">
      <c r="A22311" s="3" t="s">
        <v>321</v>
      </c>
      <c r="C22311" s="31" t="n">
        <f aca="false">CHOOSE($C$22276,Assumptions!$C$87,Assumptions!$C$106,Assumptions!$C$125)</f>
        <v>0.08</v>
      </c>
    </row>
    <row r="22312" customFormat="false" ht="15" hidden="false" customHeight="false" outlineLevel="0" collapsed="false">
      <c r="A22312" s="3" t="s">
        <v>322</v>
      </c>
      <c r="C22312" s="32" t="n">
        <f aca="false">CHOOSE($C$22276,Assumptions!$C$88,Assumptions!$C$107,Assumptions!$C$126)</f>
        <v>11</v>
      </c>
    </row>
    <row r="22313" customFormat="false" ht="15" hidden="false" customHeight="false" outlineLevel="0" collapsed="false">
      <c r="A22313" s="3" t="s">
        <v>323</v>
      </c>
      <c r="C22313" s="32" t="n">
        <f aca="false">CHOOSE($C$22276,Assumptions!$C$89,Assumptions!$C$108,Assumptions!$C$127)</f>
        <v>1.2</v>
      </c>
    </row>
    <row r="22314" customFormat="false" ht="15" hidden="false" customHeight="false" outlineLevel="0" collapsed="false">
      <c r="A22314" s="3" t="s">
        <v>324</v>
      </c>
      <c r="G22314" s="16" t="n">
        <f aca="false">G22319+G22332+G22345+G22358+G22371+G22384+G22397+G22410+G22423+G22436</f>
        <v>2625.934</v>
      </c>
      <c r="H22314" s="16" t="n">
        <f aca="false">H22319+H22332+H22345+H22358+H22371+H22384+H22397+H22410+H22423+H22436</f>
        <v>2621.934</v>
      </c>
      <c r="I22314" s="16" t="n">
        <f aca="false">I22319+I22332+I22345+I22358+I22371+I22384+I22397+I22410+I22423+I22436</f>
        <v>2570.8900513738</v>
      </c>
      <c r="J22314" s="16" t="n">
        <f aca="false">J22319+J22332+J22345+J22358+J22371+J22384+J22397+J22410+J22423+J22436</f>
        <v>2630.95265555586</v>
      </c>
      <c r="K22314" s="16" t="n">
        <f aca="false">K22319+K22332+K22345+K22358+K22371+K22384+K22397+K22410+K22423+K22436</f>
        <v>2712.9000931986</v>
      </c>
    </row>
    <row r="22315" customFormat="false" ht="15" hidden="false" customHeight="false" outlineLevel="0" collapsed="false">
      <c r="A22315" s="3" t="s">
        <v>325</v>
      </c>
      <c r="G22315" s="16" t="n">
        <f aca="false">F22507</f>
        <v>37.87</v>
      </c>
      <c r="H22315" s="16" t="n">
        <f aca="false">G22507</f>
        <v>152.7218186</v>
      </c>
      <c r="I22315" s="16" t="n">
        <f aca="false">H22507</f>
        <v>25</v>
      </c>
      <c r="J22315" s="16" t="n">
        <f aca="false">I22507</f>
        <v>0</v>
      </c>
      <c r="K22315" s="16" t="n">
        <f aca="false">J22507</f>
        <v>0</v>
      </c>
    </row>
    <row r="22316" customFormat="false" ht="15" hidden="false" customHeight="false" outlineLevel="0" collapsed="false">
      <c r="A22316" s="3" t="s">
        <v>326</v>
      </c>
      <c r="G22316" s="16" t="n">
        <f aca="false">G22319*IF(G22320=1,$C$22311,IF(Assumptions!$I$57=1,MAX(G22309,Assumptions!$G$57)+Assumptions!$F$57+$C$22310,Assumptions!$E$57))+G22332*IF(G22333=1,$C$22311,IF(Assumptions!$I$58=1,MAX(G22309,Assumptions!$G$58)+Assumptions!$F$58+$C$22310,Assumptions!$E$58))+G22345*IF(G22346=1,$C$22311,IF(Assumptions!$I$59=1,MAX(G22309,Assumptions!$G$59)+Assumptions!$F$59+$C$22310,Assumptions!$E$59))+G22358*IF(G22359=1,$C$22311,IF(Assumptions!$I$60=1,MAX(G22309,Assumptions!$G$60)+Assumptions!$F$60+$C$22310,Assumptions!$E$60))+G22371*IF(G22372=1,$C$22311,IF(Assumptions!$I$61=1,MAX(G22309,Assumptions!$G$61)+Assumptions!$F$61+$C$22310,Assumptions!$E$61))+G22384*IF(G22385=1,$C$22311,IF(Assumptions!$I$62=1,MAX(G22309,Assumptions!$G$62)+Assumptions!$F$62+$C$22310,Assumptions!$E$62))+G22397*IF(G22398=1,$C$22311,IF(Assumptions!$I$63=1,MAX(G22309,Assumptions!$G$63)+Assumptions!$F$63+$C$22310,Assumptions!$E$63))+G22410*IF(G22411=1,$C$22311,IF(Assumptions!$I$64=1,MAX(G22309,Assumptions!$G$64)+Assumptions!$F$64+$C$22310,Assumptions!$E$64))+G22423*IF(G22424=1,$C$22311,IF(Assumptions!$I$65=1,MAX(G22309,Assumptions!$G$65)+Assumptions!$F$65+$C$22310,Assumptions!$E$65))+G22436*IF(G22437=1,$C$22311,IF(Assumptions!$I$66=1,MAX(G22309,Assumptions!$G$66)+Assumptions!$F$66+$C$22310,Assumptions!$E$66))</f>
        <v>177.8166354</v>
      </c>
      <c r="H22316" s="16" t="n">
        <f aca="false">H22319*IF(OR(H22320=1,G22629=1),$C$22311,IF(Assumptions!$I$57=1,MAX(H22309,Assumptions!$G$57)+Assumptions!$F$57+$C$22310,Assumptions!$E$57))+H22332*IF(OR(H22333=1,G22630=1),$C$22311,IF(Assumptions!$I$58=1,MAX(H22309,Assumptions!$G$58)+Assumptions!$F$58+$C$22310,Assumptions!$E$58))+H22345*IF(OR(H22346=1,G22631=1),$C$22311,IF(Assumptions!$I$59=1,MAX(H22309,Assumptions!$G$59)+Assumptions!$F$59+$C$22310,Assumptions!$E$59))+H22358*IF(OR(H22359=1,G22632=1),$C$22311,IF(Assumptions!$I$60=1,MAX(H22309,Assumptions!$G$60)+Assumptions!$F$60+$C$22310,Assumptions!$E$60))+H22371*IF(OR(H22372=1,G22633=1),$C$22311,IF(Assumptions!$I$61=1,MAX(H22309,Assumptions!$G$61)+Assumptions!$F$61+$C$22310,Assumptions!$E$61))+H22384*IF(OR(H22385=1,G22634=1),$C$22311,IF(Assumptions!$I$62=1,MAX(H22309,Assumptions!$G$62)+Assumptions!$F$62+$C$22310,Assumptions!$E$62))+H22397*IF(OR(H22398=1,G22635=1),$C$22311,IF(Assumptions!$I$63=1,MAX(H22309,Assumptions!$G$63)+Assumptions!$F$63+$C$22310,Assumptions!$E$63))+H22410*IF(OR(H22411=1,G22636=1),$C$22311,IF(Assumptions!$I$64=1,MAX(H22309,Assumptions!$G$64)+Assumptions!$F$64+$C$22310,Assumptions!$E$64))+H22423*IF(OR(H22424=1,G22637=1),$C$22311,IF(Assumptions!$I$65=1,MAX(H22309,Assumptions!$G$65)+Assumptions!$F$65+$C$22310,Assumptions!$E$65))+H22436*IF(OR(H22437=1,G22638=1),$C$22311,IF(Assumptions!$I$66=1,MAX(H22309,Assumptions!$G$66)+Assumptions!$F$66+$C$22310,Assumptions!$E$66))</f>
        <v>193.9337204</v>
      </c>
      <c r="I22316" s="16" t="n">
        <f aca="false">I22319*IF(OR(I22320=1,H22629=1),$C$22311,IF(Assumptions!$I$57=1,MAX(I22309,Assumptions!$G$57)+Assumptions!$F$57+$C$22310,Assumptions!$E$57))+I22332*IF(OR(I22333=1,H22630=1),$C$22311,IF(Assumptions!$I$58=1,MAX(I22309,Assumptions!$G$58)+Assumptions!$F$58+$C$22310,Assumptions!$E$58))+I22345*IF(OR(I22346=1,H22631=1),$C$22311,IF(Assumptions!$I$59=1,MAX(I22309,Assumptions!$G$59)+Assumptions!$F$59+$C$22310,Assumptions!$E$59))+I22358*IF(OR(I22359=1,H22632=1),$C$22311,IF(Assumptions!$I$60=1,MAX(I22309,Assumptions!$G$60)+Assumptions!$F$60+$C$22310,Assumptions!$E$60))+I22371*IF(OR(I22372=1,H22633=1),$C$22311,IF(Assumptions!$I$61=1,MAX(I22309,Assumptions!$G$61)+Assumptions!$F$61+$C$22310,Assumptions!$E$61))+I22384*IF(OR(I22385=1,H22634=1),$C$22311,IF(Assumptions!$I$62=1,MAX(I22309,Assumptions!$G$62)+Assumptions!$F$62+$C$22310,Assumptions!$E$62))+I22397*IF(OR(I22398=1,H22635=1),$C$22311,IF(Assumptions!$I$63=1,MAX(I22309,Assumptions!$G$63)+Assumptions!$F$63+$C$22310,Assumptions!$E$63))+I22410*IF(OR(I22411=1,H22636=1),$C$22311,IF(Assumptions!$I$64=1,MAX(I22309,Assumptions!$G$64)+Assumptions!$F$64+$C$22310,Assumptions!$E$64))+I22423*IF(OR(I22424=1,H22637=1),$C$22311,IF(Assumptions!$I$65=1,MAX(I22309,Assumptions!$G$65)+Assumptions!$F$65+$C$22310,Assumptions!$E$65))+I22436*IF(OR(I22437=1,H22638=1),$C$22311,IF(Assumptions!$I$66=1,MAX(I22309,Assumptions!$G$66)+Assumptions!$F$66+$C$22310,Assumptions!$E$66))</f>
        <v>183.841179509904</v>
      </c>
      <c r="J22316" s="16" t="n">
        <f aca="false">J22319*IF(OR(J22320=1,I22629=1),$C$22311,IF(Assumptions!$I$57=1,MAX(J22309,Assumptions!$G$57)+Assumptions!$F$57+$C$22310,Assumptions!$E$57))+J22332*IF(OR(J22333=1,I22630=1),$C$22311,IF(Assumptions!$I$58=1,MAX(J22309,Assumptions!$G$58)+Assumptions!$F$58+$C$22310,Assumptions!$E$58))+J22345*IF(OR(J22346=1,I22631=1),$C$22311,IF(Assumptions!$I$59=1,MAX(J22309,Assumptions!$G$59)+Assumptions!$F$59+$C$22310,Assumptions!$E$59))+J22358*IF(OR(J22359=1,I22632=1),$C$22311,IF(Assumptions!$I$60=1,MAX(J22309,Assumptions!$G$60)+Assumptions!$F$60+$C$22310,Assumptions!$E$60))+J22371*IF(OR(J22372=1,I22633=1),$C$22311,IF(Assumptions!$I$61=1,MAX(J22309,Assumptions!$G$61)+Assumptions!$F$61+$C$22310,Assumptions!$E$61))+J22384*IF(OR(J22385=1,I22634=1),$C$22311,IF(Assumptions!$I$62=1,MAX(J22309,Assumptions!$G$62)+Assumptions!$F$62+$C$22310,Assumptions!$E$62))+J22397*IF(OR(J22398=1,I22635=1),$C$22311,IF(Assumptions!$I$63=1,MAX(J22309,Assumptions!$G$63)+Assumptions!$F$63+$C$22310,Assumptions!$E$63))+J22410*IF(OR(J22411=1,I22636=1),$C$22311,IF(Assumptions!$I$64=1,MAX(J22309,Assumptions!$G$64)+Assumptions!$F$64+$C$22310,Assumptions!$E$64))+J22423*IF(OR(J22424=1,I22637=1),$C$22311,IF(Assumptions!$I$65=1,MAX(J22309,Assumptions!$G$65)+Assumptions!$F$65+$C$22310,Assumptions!$E$65))+J22436*IF(OR(J22437=1,I22638=1),$C$22311,IF(Assumptions!$I$66=1,MAX(J22309,Assumptions!$G$66)+Assumptions!$F$66+$C$22310,Assumptions!$E$66))</f>
        <v>200.711187844468</v>
      </c>
      <c r="K22316" s="16" t="n">
        <f aca="false">K22319*IF(OR(K22320=1,J22629=1),$C$22311,IF(Assumptions!$I$57=1,MAX(K22309,Assumptions!$G$57)+Assumptions!$F$57+$C$22310,Assumptions!$E$57))+K22332*IF(OR(K22333=1,J22630=1),$C$22311,IF(Assumptions!$I$58=1,MAX(K22309,Assumptions!$G$58)+Assumptions!$F$58+$C$22310,Assumptions!$E$58))+K22345*IF(OR(K22346=1,J22631=1),$C$22311,IF(Assumptions!$I$59=1,MAX(K22309,Assumptions!$G$59)+Assumptions!$F$59+$C$22310,Assumptions!$E$59))+K22358*IF(OR(K22359=1,J22632=1),$C$22311,IF(Assumptions!$I$60=1,MAX(K22309,Assumptions!$G$60)+Assumptions!$F$60+$C$22310,Assumptions!$E$60))+K22371*IF(OR(K22372=1,J22633=1),$C$22311,IF(Assumptions!$I$61=1,MAX(K22309,Assumptions!$G$61)+Assumptions!$F$61+$C$22310,Assumptions!$E$61))+K22384*IF(OR(K22385=1,J22634=1),$C$22311,IF(Assumptions!$I$62=1,MAX(K22309,Assumptions!$G$62)+Assumptions!$F$62+$C$22310,Assumptions!$E$62))+K22397*IF(OR(K22398=1,J22635=1),$C$22311,IF(Assumptions!$I$63=1,MAX(K22309,Assumptions!$G$63)+Assumptions!$F$63+$C$22310,Assumptions!$E$63))+K22410*IF(OR(K22411=1,J22636=1),$C$22311,IF(Assumptions!$I$64=1,MAX(K22309,Assumptions!$G$64)+Assumptions!$F$64+$C$22310,Assumptions!$E$64))+K22423*IF(OR(K22424=1,J22637=1),$C$22311,IF(Assumptions!$I$65=1,MAX(K22309,Assumptions!$G$65)+Assumptions!$F$65+$C$22310,Assumptions!$E$65))+K22436*IF(OR(K22437=1,J22638=1),$C$22311,IF(Assumptions!$I$66=1,MAX(K22309,Assumptions!$G$66)+Assumptions!$F$66+$C$22310,Assumptions!$E$66))</f>
        <v>211.921982855888</v>
      </c>
    </row>
    <row r="22317" customFormat="false" ht="15" hidden="false" customHeight="false" outlineLevel="0" collapsed="false">
      <c r="A22317" s="3" t="s">
        <v>327</v>
      </c>
      <c r="G22317" s="21" t="n">
        <f aca="false">IF(G22293&lt;=0,0,IF(AND((G22314-G22315)/G22293&lt;=$C$22312,G22293/G22316&gt;=$C$22313),1,0))</f>
        <v>1</v>
      </c>
      <c r="H22317" s="21" t="n">
        <f aca="false">IF(H22293&lt;=0,0,IF(AND((H22314-H22315)/H22293&lt;=$C$22312,H22293/H22316&gt;=$C$22313),1,0))</f>
        <v>1</v>
      </c>
      <c r="I22317" s="21" t="n">
        <f aca="false">IF(I22293&lt;=0,0,IF(AND((I22314-I22315)/I22293&lt;=$C$22312,I22293/I22316&gt;=$C$22313),1,0))</f>
        <v>1</v>
      </c>
      <c r="J22317" s="21" t="n">
        <f aca="false">IF(J22293&lt;=0,0,IF(AND((J22314-J22315)/J22293&lt;=$C$22312,J22293/J22316&gt;=$C$22313),1,0))</f>
        <v>1</v>
      </c>
      <c r="K22317" s="21" t="n">
        <f aca="false">IF(K22293&lt;=0,0,IF(AND((K22314-K22315)/K22293&lt;=$C$22312,K22293/K22316&gt;=$C$22313),1,0))</f>
        <v>1</v>
      </c>
    </row>
    <row r="22318" customFormat="false" ht="15" hidden="false" customHeight="false" outlineLevel="0" collapsed="false">
      <c r="A22318" s="24" t="s">
        <v>328</v>
      </c>
      <c r="B22318" s="25"/>
      <c r="C22318" s="25"/>
      <c r="D22318" s="25"/>
      <c r="E22318" s="25"/>
      <c r="F22318" s="25"/>
      <c r="G22318" s="25"/>
      <c r="H22318" s="25"/>
      <c r="I22318" s="25"/>
      <c r="J22318" s="25"/>
      <c r="K22318" s="25"/>
    </row>
    <row r="22319" customFormat="false" ht="15" hidden="false" customHeight="false" outlineLevel="0" collapsed="false">
      <c r="A22319" s="3" t="s">
        <v>329</v>
      </c>
      <c r="G22319" s="16" t="n">
        <f aca="false">F22330</f>
        <v>400</v>
      </c>
      <c r="H22319" s="16" t="n">
        <f aca="false">G22330</f>
        <v>396</v>
      </c>
      <c r="I22319" s="16" t="n">
        <f aca="false">H22330</f>
        <v>392</v>
      </c>
      <c r="J22319" s="16" t="n">
        <f aca="false">I22330</f>
        <v>388</v>
      </c>
      <c r="K22319" s="16" t="n">
        <f aca="false">J22330</f>
        <v>384</v>
      </c>
    </row>
    <row r="22320" customFormat="false" ht="15" hidden="false" customHeight="false" outlineLevel="0" collapsed="false">
      <c r="A22320" s="3" t="s">
        <v>330</v>
      </c>
      <c r="G22320" s="21" t="n">
        <f aca="false">IF(G22283=Assumptions!$K$57,1,0)</f>
        <v>0</v>
      </c>
      <c r="H22320" s="21" t="n">
        <f aca="false">IF(H22283=Assumptions!$K$57,1,0)</f>
        <v>0</v>
      </c>
      <c r="I22320" s="21" t="n">
        <f aca="false">IF(I22283=Assumptions!$K$57,1,0)</f>
        <v>0</v>
      </c>
      <c r="J22320" s="21" t="n">
        <f aca="false">IF(J22283=Assumptions!$K$57,1,0)</f>
        <v>0</v>
      </c>
      <c r="K22320" s="21" t="n">
        <f aca="false">IF(K22283=Assumptions!$K$57,1,0)</f>
        <v>1</v>
      </c>
    </row>
    <row r="22322" customFormat="false" ht="15" hidden="false" customHeight="false" outlineLevel="0" collapsed="false">
      <c r="A22322" s="3" t="s">
        <v>331</v>
      </c>
      <c r="G22322" s="31" t="n">
        <f aca="false">IF(Assumptions!$I$57=1,MAX(G22309,Assumptions!$G$57)+Assumptions!$F$57+$C$22310,Assumptions!$E$57)</f>
        <v>0.0865</v>
      </c>
      <c r="H22322" s="31" t="n">
        <f aca="false">IF(G22629=1,$C$22311,IF(Assumptions!$I$57=1,MAX(H22309,Assumptions!$G$57)+Assumptions!$F$57+$C$22310,Assumptions!$E$57))</f>
        <v>0.085</v>
      </c>
      <c r="I22322" s="31" t="n">
        <f aca="false">IF(H22629=1,$C$22311,IF(Assumptions!$I$57=1,MAX(I22309,Assumptions!$G$57)+Assumptions!$F$57+$C$22310,Assumptions!$E$57))</f>
        <v>0.0825</v>
      </c>
      <c r="J22322" s="31" t="n">
        <f aca="false">IF(I22629=1,$C$22311,IF(Assumptions!$I$57=1,MAX(J22309,Assumptions!$G$57)+Assumptions!$F$57+$C$22310,Assumptions!$E$57))</f>
        <v>0.0825</v>
      </c>
      <c r="K22322" s="31" t="n">
        <f aca="false">IF(J22629=1,$C$22311,IF(Assumptions!$I$57=1,MAX(K22309,Assumptions!$G$57)+Assumptions!$F$57+$C$22310,Assumptions!$E$57))</f>
        <v>0.0825</v>
      </c>
    </row>
    <row r="22323" customFormat="false" ht="15" hidden="false" customHeight="false" outlineLevel="0" collapsed="false">
      <c r="A22323" s="3" t="s">
        <v>332</v>
      </c>
      <c r="G22323" s="16" t="n">
        <f aca="false">G22319*G22322</f>
        <v>34.6</v>
      </c>
      <c r="H22323" s="16" t="n">
        <f aca="false">H22319*H22322</f>
        <v>33.66</v>
      </c>
      <c r="I22323" s="16" t="n">
        <f aca="false">I22319*I22322</f>
        <v>32.34</v>
      </c>
      <c r="J22323" s="16" t="n">
        <f aca="false">J22319*J22322</f>
        <v>32.01</v>
      </c>
      <c r="K22323" s="16" t="n">
        <f aca="false">K22319*K22322</f>
        <v>31.68</v>
      </c>
    </row>
    <row r="22324" customFormat="false" ht="15" hidden="false" customHeight="false" outlineLevel="0" collapsed="false">
      <c r="A22324" s="3" t="s">
        <v>333</v>
      </c>
      <c r="G22324" s="16" t="n">
        <f aca="false">G22319*Assumptions!$H$57</f>
        <v>0</v>
      </c>
      <c r="H22324" s="16" t="n">
        <f aca="false">H22319*Assumptions!$H$57</f>
        <v>0</v>
      </c>
      <c r="I22324" s="16" t="n">
        <f aca="false">I22319*Assumptions!$H$57</f>
        <v>0</v>
      </c>
      <c r="J22324" s="16" t="n">
        <f aca="false">J22319*Assumptions!$H$57</f>
        <v>0</v>
      </c>
      <c r="K22324" s="16" t="n">
        <f aca="false">K22319*Assumptions!$H$57</f>
        <v>0</v>
      </c>
    </row>
    <row r="22325" customFormat="false" ht="15" hidden="false" customHeight="false" outlineLevel="0" collapsed="false">
      <c r="A22325" s="3" t="s">
        <v>334</v>
      </c>
      <c r="G22325" s="16" t="n">
        <f aca="false">MIN(G22319,Assumptions!$L$57*Assumptions!$C$57)</f>
        <v>4</v>
      </c>
      <c r="H22325" s="16" t="n">
        <f aca="false">MIN(H22319,Assumptions!$L$57*Assumptions!$C$57)</f>
        <v>4</v>
      </c>
      <c r="I22325" s="16" t="n">
        <f aca="false">MIN(I22319,Assumptions!$L$57*Assumptions!$C$57)</f>
        <v>4</v>
      </c>
      <c r="J22325" s="16" t="n">
        <f aca="false">MIN(J22319,Assumptions!$L$57*Assumptions!$C$57)</f>
        <v>4</v>
      </c>
      <c r="K22325" s="16" t="n">
        <f aca="false">MIN(K22319,Assumptions!$L$57*Assumptions!$C$57)</f>
        <v>4</v>
      </c>
    </row>
    <row r="22326" customFormat="false" ht="15" hidden="false" customHeight="false" outlineLevel="0" collapsed="false">
      <c r="A22326" s="3" t="s">
        <v>335</v>
      </c>
      <c r="G22326" s="16" t="n">
        <f aca="false">IF(AND(Assumptions!$P$57=1,G22283&lt;Assumptions!$K$57),MIN(MAX(0,-G22499),MAX(0,Assumptions!$D$57-G22319)),0)</f>
        <v>0</v>
      </c>
      <c r="H22326" s="16" t="n">
        <f aca="false">IF(AND(Assumptions!$P$57=1,OR(H22283&lt;Assumptions!$K$57,G22629=1)),MIN(MAX(0,-H22499),MAX(0,Assumptions!$D$57-H22319)),0)</f>
        <v>0</v>
      </c>
      <c r="I22326" s="16" t="n">
        <f aca="false">IF(AND(Assumptions!$P$57=1,OR(I22283&lt;Assumptions!$K$57,H22629=1)),MIN(MAX(0,-I22499),MAX(0,Assumptions!$D$57-I22319)),0)</f>
        <v>0</v>
      </c>
      <c r="J22326" s="16" t="n">
        <f aca="false">IF(AND(Assumptions!$P$57=1,OR(J22283&lt;Assumptions!$K$57,I22629=1)),MIN(MAX(0,-J22499),MAX(0,Assumptions!$D$57-J22319)),0)</f>
        <v>0</v>
      </c>
      <c r="K22326" s="16" t="n">
        <f aca="false">IF(AND(Assumptions!$P$57=1,OR(K22283&lt;Assumptions!$K$57,J22629=1)),MIN(MAX(0,-K22499),MAX(0,Assumptions!$D$57-K22319)),0)</f>
        <v>0</v>
      </c>
    </row>
    <row r="22327" customFormat="false" ht="15" hidden="false" customHeight="false" outlineLevel="0" collapsed="false">
      <c r="A22327" s="3" t="s">
        <v>336</v>
      </c>
      <c r="G22327" s="16" t="n">
        <f aca="false">G22320*MIN(G22319-G22325+G22324,MAX(0,G22501-Assumptions!$C$12*G22317))</f>
        <v>0</v>
      </c>
      <c r="H22327" s="16" t="n">
        <f aca="false">H22320*MIN(H22319-H22325+H22324,MAX(0,H22501-Assumptions!$C$12*H22317))</f>
        <v>0</v>
      </c>
      <c r="I22327" s="16" t="n">
        <f aca="false">I22320*MIN(I22319-I22325+I22324,MAX(0,I22501-Assumptions!$C$12*I22317))</f>
        <v>0</v>
      </c>
      <c r="J22327" s="16" t="n">
        <f aca="false">J22320*MIN(J22319-J22325+J22324,MAX(0,J22501-Assumptions!$C$12*J22317))</f>
        <v>0</v>
      </c>
      <c r="K22327" s="16" t="n">
        <f aca="false">K22320*MIN(K22319-K22325+K22324,MAX(0,K22501-Assumptions!$C$12*K22317))</f>
        <v>0</v>
      </c>
    </row>
    <row r="22328" customFormat="false" ht="15" hidden="false" customHeight="false" outlineLevel="0" collapsed="false">
      <c r="A22328" s="3" t="s">
        <v>337</v>
      </c>
      <c r="G22328" s="16" t="n">
        <f aca="false">Assumptions!$N$57*MIN(G22319+G22326+G22324-G22325-G22327,MAX(0,G22505))</f>
        <v>0</v>
      </c>
      <c r="H22328" s="16" t="n">
        <f aca="false">Assumptions!$N$57*MIN(H22319+H22326+H22324-H22325-H22327,MAX(0,H22505))</f>
        <v>0</v>
      </c>
      <c r="I22328" s="16" t="n">
        <f aca="false">Assumptions!$N$57*MIN(I22319+I22326+I22324-I22325-I22327,MAX(0,I22505))</f>
        <v>0</v>
      </c>
      <c r="J22328" s="16" t="n">
        <f aca="false">Assumptions!$N$57*MIN(J22319+J22326+J22324-J22325-J22327,MAX(0,J22505))</f>
        <v>0</v>
      </c>
      <c r="K22328" s="16" t="n">
        <f aca="false">Assumptions!$N$57*MIN(K22319+K22326+K22324-K22325-K22327,MAX(0,K22505))</f>
        <v>0</v>
      </c>
    </row>
    <row r="22329" customFormat="false" ht="15" hidden="false" customHeight="false" outlineLevel="0" collapsed="false">
      <c r="A22329" s="3" t="s">
        <v>338</v>
      </c>
      <c r="G22329" s="16" t="n">
        <f aca="false">G22320*(1-G22317)*(G22319-G22325+G22324-G22327)</f>
        <v>0</v>
      </c>
      <c r="H22329" s="16" t="n">
        <f aca="false">H22320*(1-H22317)*(H22319-H22325+H22324-H22327)</f>
        <v>0</v>
      </c>
      <c r="I22329" s="16" t="n">
        <f aca="false">I22320*(1-I22317)*(I22319-I22325+I22324-I22327)</f>
        <v>0</v>
      </c>
      <c r="J22329" s="16" t="n">
        <f aca="false">J22320*(1-J22317)*(J22319-J22325+J22324-J22327)</f>
        <v>0</v>
      </c>
      <c r="K22329" s="16" t="n">
        <f aca="false">K22320*(1-K22317)*(K22319-K22325+K22324-K22327)</f>
        <v>0</v>
      </c>
    </row>
    <row r="22330" customFormat="false" ht="15" hidden="false" customHeight="false" outlineLevel="0" collapsed="false">
      <c r="A22330" s="2" t="s">
        <v>339</v>
      </c>
      <c r="F22330" s="28" t="n">
        <f aca="false">Assumptions!$C$57</f>
        <v>400</v>
      </c>
      <c r="G22330" s="17" t="n">
        <f aca="false">G22319+G22326+G22324-G22325-G22327-G22328</f>
        <v>396</v>
      </c>
      <c r="H22330" s="17" t="n">
        <f aca="false">H22319+H22326+H22324-H22325-H22327-H22328</f>
        <v>392</v>
      </c>
      <c r="I22330" s="17" t="n">
        <f aca="false">I22319+I22326+I22324-I22325-I22327-I22328</f>
        <v>388</v>
      </c>
      <c r="J22330" s="17" t="n">
        <f aca="false">J22319+J22326+J22324-J22325-J22327-J22328</f>
        <v>384</v>
      </c>
      <c r="K22330" s="17" t="n">
        <f aca="false">K22319+K22326+K22324-K22325-K22327-K22328</f>
        <v>380</v>
      </c>
    </row>
    <row r="22331" customFormat="false" ht="15" hidden="false" customHeight="false" outlineLevel="0" collapsed="false">
      <c r="A22331" s="24" t="s">
        <v>340</v>
      </c>
      <c r="B22331" s="25"/>
      <c r="C22331" s="25"/>
      <c r="D22331" s="25"/>
      <c r="E22331" s="25"/>
      <c r="F22331" s="25"/>
      <c r="G22331" s="25"/>
      <c r="H22331" s="25"/>
      <c r="I22331" s="25"/>
      <c r="J22331" s="25"/>
      <c r="K22331" s="25"/>
    </row>
    <row r="22332" customFormat="false" ht="15" hidden="false" customHeight="false" outlineLevel="0" collapsed="false">
      <c r="A22332" s="3" t="s">
        <v>329</v>
      </c>
      <c r="G22332" s="16" t="n">
        <f aca="false">F22343</f>
        <v>90</v>
      </c>
      <c r="H22332" s="16" t="n">
        <f aca="false">G22343</f>
        <v>90</v>
      </c>
      <c r="I22332" s="16" t="n">
        <f aca="false">H22343</f>
        <v>90</v>
      </c>
      <c r="J22332" s="16" t="n">
        <f aca="false">I22343</f>
        <v>90</v>
      </c>
      <c r="K22332" s="16" t="n">
        <f aca="false">J22343</f>
        <v>90</v>
      </c>
    </row>
    <row r="22333" customFormat="false" ht="15" hidden="false" customHeight="false" outlineLevel="0" collapsed="false">
      <c r="A22333" s="3" t="s">
        <v>330</v>
      </c>
      <c r="G22333" s="21" t="n">
        <f aca="false">IF(G22283=Assumptions!$K$58,1,0)</f>
        <v>0</v>
      </c>
      <c r="H22333" s="21" t="n">
        <f aca="false">IF(H22283=Assumptions!$K$58,1,0)</f>
        <v>0</v>
      </c>
      <c r="I22333" s="21" t="n">
        <f aca="false">IF(I22283=Assumptions!$K$58,1,0)</f>
        <v>0</v>
      </c>
      <c r="J22333" s="21" t="n">
        <f aca="false">IF(J22283=Assumptions!$K$58,1,0)</f>
        <v>0</v>
      </c>
      <c r="K22333" s="21" t="n">
        <f aca="false">IF(K22283=Assumptions!$K$58,1,0)</f>
        <v>0</v>
      </c>
    </row>
    <row r="22335" customFormat="false" ht="15" hidden="false" customHeight="false" outlineLevel="0" collapsed="false">
      <c r="A22335" s="3" t="s">
        <v>331</v>
      </c>
      <c r="G22335" s="31" t="n">
        <f aca="false">IF(Assumptions!$I$58=1,MAX(G22309,Assumptions!$G$58)+Assumptions!$F$58+$C$22310,Assumptions!$E$58)</f>
        <v>0.0581</v>
      </c>
      <c r="H22335" s="31" t="n">
        <f aca="false">IF(G22630=1,$C$22311,IF(Assumptions!$I$58=1,MAX(H22309,Assumptions!$G$58)+Assumptions!$F$58+$C$22310,Assumptions!$E$58))</f>
        <v>0.0581</v>
      </c>
      <c r="I22335" s="31" t="n">
        <f aca="false">IF(H22630=1,$C$22311,IF(Assumptions!$I$58=1,MAX(I22309,Assumptions!$G$58)+Assumptions!$F$58+$C$22310,Assumptions!$E$58))</f>
        <v>0.0581</v>
      </c>
      <c r="J22335" s="31" t="n">
        <f aca="false">IF(I22630=1,$C$22311,IF(Assumptions!$I$58=1,MAX(J22309,Assumptions!$G$58)+Assumptions!$F$58+$C$22310,Assumptions!$E$58))</f>
        <v>0.0581</v>
      </c>
      <c r="K22335" s="31" t="n">
        <f aca="false">IF(J22630=1,$C$22311,IF(Assumptions!$I$58=1,MAX(K22309,Assumptions!$G$58)+Assumptions!$F$58+$C$22310,Assumptions!$E$58))</f>
        <v>0.0581</v>
      </c>
    </row>
    <row r="22336" customFormat="false" ht="15" hidden="false" customHeight="false" outlineLevel="0" collapsed="false">
      <c r="A22336" s="3" t="s">
        <v>332</v>
      </c>
      <c r="G22336" s="16" t="n">
        <f aca="false">G22332*G22335</f>
        <v>5.229</v>
      </c>
      <c r="H22336" s="16" t="n">
        <f aca="false">H22332*H22335</f>
        <v>5.229</v>
      </c>
      <c r="I22336" s="16" t="n">
        <f aca="false">I22332*I22335</f>
        <v>5.229</v>
      </c>
      <c r="J22336" s="16" t="n">
        <f aca="false">J22332*J22335</f>
        <v>5.229</v>
      </c>
      <c r="K22336" s="16" t="n">
        <f aca="false">K22332*K22335</f>
        <v>5.229</v>
      </c>
    </row>
    <row r="22337" customFormat="false" ht="15" hidden="false" customHeight="false" outlineLevel="0" collapsed="false">
      <c r="A22337" s="3" t="s">
        <v>333</v>
      </c>
      <c r="G22337" s="16" t="n">
        <f aca="false">G22332*Assumptions!$H$58</f>
        <v>0</v>
      </c>
      <c r="H22337" s="16" t="n">
        <f aca="false">H22332*Assumptions!$H$58</f>
        <v>0</v>
      </c>
      <c r="I22337" s="16" t="n">
        <f aca="false">I22332*Assumptions!$H$58</f>
        <v>0</v>
      </c>
      <c r="J22337" s="16" t="n">
        <f aca="false">J22332*Assumptions!$H$58</f>
        <v>0</v>
      </c>
      <c r="K22337" s="16" t="n">
        <f aca="false">K22332*Assumptions!$H$58</f>
        <v>0</v>
      </c>
    </row>
    <row r="22338" customFormat="false" ht="15" hidden="false" customHeight="false" outlineLevel="0" collapsed="false">
      <c r="A22338" s="3" t="s">
        <v>334</v>
      </c>
      <c r="G22338" s="16" t="n">
        <f aca="false">MIN(G22332,Assumptions!$L$58*Assumptions!$C$58)</f>
        <v>0</v>
      </c>
      <c r="H22338" s="16" t="n">
        <f aca="false">MIN(H22332,Assumptions!$L$58*Assumptions!$C$58)</f>
        <v>0</v>
      </c>
      <c r="I22338" s="16" t="n">
        <f aca="false">MIN(I22332,Assumptions!$L$58*Assumptions!$C$58)</f>
        <v>0</v>
      </c>
      <c r="J22338" s="16" t="n">
        <f aca="false">MIN(J22332,Assumptions!$L$58*Assumptions!$C$58)</f>
        <v>0</v>
      </c>
      <c r="K22338" s="16" t="n">
        <f aca="false">MIN(K22332,Assumptions!$L$58*Assumptions!$C$58)</f>
        <v>0</v>
      </c>
    </row>
    <row r="22339" customFormat="false" ht="15" hidden="false" customHeight="false" outlineLevel="0" collapsed="false">
      <c r="A22339" s="3" t="s">
        <v>335</v>
      </c>
      <c r="G22339" s="16" t="n">
        <f aca="false">IF(AND(Assumptions!$P$58=1,G22283&lt;Assumptions!$K$58),MIN(MAX(0,-G22499),MAX(0,Assumptions!$D$58-G22332)),0)</f>
        <v>0</v>
      </c>
      <c r="H22339" s="16" t="n">
        <f aca="false">IF(AND(Assumptions!$P$58=1,OR(H22283&lt;Assumptions!$K$58,G22630=1)),MIN(MAX(0,-H22499),MAX(0,Assumptions!$D$58-H22332)),0)</f>
        <v>0</v>
      </c>
      <c r="I22339" s="16" t="n">
        <f aca="false">IF(AND(Assumptions!$P$58=1,OR(I22283&lt;Assumptions!$K$58,H22630=1)),MIN(MAX(0,-I22499),MAX(0,Assumptions!$D$58-I22332)),0)</f>
        <v>0</v>
      </c>
      <c r="J22339" s="16" t="n">
        <f aca="false">IF(AND(Assumptions!$P$58=1,OR(J22283&lt;Assumptions!$K$58,I22630=1)),MIN(MAX(0,-J22499),MAX(0,Assumptions!$D$58-J22332)),0)</f>
        <v>0</v>
      </c>
      <c r="K22339" s="16" t="n">
        <f aca="false">IF(AND(Assumptions!$P$58=1,OR(K22283&lt;Assumptions!$K$58,J22630=1)),MIN(MAX(0,-K22499),MAX(0,Assumptions!$D$58-K22332)),0)</f>
        <v>0</v>
      </c>
    </row>
    <row r="22340" customFormat="false" ht="15" hidden="false" customHeight="false" outlineLevel="0" collapsed="false">
      <c r="A22340" s="3" t="s">
        <v>336</v>
      </c>
      <c r="G22340" s="16" t="n">
        <f aca="false">G22333*MIN(G22332-G22338+G22337,MAX(0,G22501-Assumptions!$C$12*G22317-G22327))</f>
        <v>0</v>
      </c>
      <c r="H22340" s="16" t="n">
        <f aca="false">H22333*MIN(H22332-H22338+H22337,MAX(0,H22501-Assumptions!$C$12*H22317-H22327))</f>
        <v>0</v>
      </c>
      <c r="I22340" s="16" t="n">
        <f aca="false">I22333*MIN(I22332-I22338+I22337,MAX(0,I22501-Assumptions!$C$12*I22317-I22327))</f>
        <v>0</v>
      </c>
      <c r="J22340" s="16" t="n">
        <f aca="false">J22333*MIN(J22332-J22338+J22337,MAX(0,J22501-Assumptions!$C$12*J22317-J22327))</f>
        <v>0</v>
      </c>
      <c r="K22340" s="16" t="n">
        <f aca="false">K22333*MIN(K22332-K22338+K22337,MAX(0,K22501-Assumptions!$C$12*K22317-K22327))</f>
        <v>0</v>
      </c>
    </row>
    <row r="22341" customFormat="false" ht="15" hidden="false" customHeight="false" outlineLevel="0" collapsed="false">
      <c r="A22341" s="3" t="s">
        <v>337</v>
      </c>
      <c r="G22341" s="16" t="n">
        <f aca="false">Assumptions!$N$58*MIN(G22332+G22339+G22337-G22338-G22340,MAX(0,G22505-G22328))</f>
        <v>0</v>
      </c>
      <c r="H22341" s="16" t="n">
        <f aca="false">Assumptions!$N$58*MIN(H22332+H22339+H22337-H22338-H22340,MAX(0,H22505-H22328))</f>
        <v>0</v>
      </c>
      <c r="I22341" s="16" t="n">
        <f aca="false">Assumptions!$N$58*MIN(I22332+I22339+I22337-I22338-I22340,MAX(0,I22505-I22328))</f>
        <v>0</v>
      </c>
      <c r="J22341" s="16" t="n">
        <f aca="false">Assumptions!$N$58*MIN(J22332+J22339+J22337-J22338-J22340,MAX(0,J22505-J22328))</f>
        <v>0</v>
      </c>
      <c r="K22341" s="16" t="n">
        <f aca="false">Assumptions!$N$58*MIN(K22332+K22339+K22337-K22338-K22340,MAX(0,K22505-K22328))</f>
        <v>0</v>
      </c>
    </row>
    <row r="22342" customFormat="false" ht="15" hidden="false" customHeight="false" outlineLevel="0" collapsed="false">
      <c r="A22342" s="3" t="s">
        <v>338</v>
      </c>
      <c r="G22342" s="16" t="n">
        <f aca="false">G22333*(1-G22317)*(G22332-G22338+G22337-G22340)</f>
        <v>0</v>
      </c>
      <c r="H22342" s="16" t="n">
        <f aca="false">H22333*(1-H22317)*(H22332-H22338+H22337-H22340)</f>
        <v>0</v>
      </c>
      <c r="I22342" s="16" t="n">
        <f aca="false">I22333*(1-I22317)*(I22332-I22338+I22337-I22340)</f>
        <v>0</v>
      </c>
      <c r="J22342" s="16" t="n">
        <f aca="false">J22333*(1-J22317)*(J22332-J22338+J22337-J22340)</f>
        <v>0</v>
      </c>
      <c r="K22342" s="16" t="n">
        <f aca="false">K22333*(1-K22317)*(K22332-K22338+K22337-K22340)</f>
        <v>0</v>
      </c>
    </row>
    <row r="22343" customFormat="false" ht="15" hidden="false" customHeight="false" outlineLevel="0" collapsed="false">
      <c r="A22343" s="2" t="s">
        <v>339</v>
      </c>
      <c r="F22343" s="28" t="n">
        <f aca="false">Assumptions!$C$58</f>
        <v>90</v>
      </c>
      <c r="G22343" s="17" t="n">
        <f aca="false">G22332+G22339+G22337-G22338-G22340-G22341</f>
        <v>90</v>
      </c>
      <c r="H22343" s="17" t="n">
        <f aca="false">H22332+H22339+H22337-H22338-H22340-H22341</f>
        <v>90</v>
      </c>
      <c r="I22343" s="17" t="n">
        <f aca="false">I22332+I22339+I22337-I22338-I22340-I22341</f>
        <v>90</v>
      </c>
      <c r="J22343" s="17" t="n">
        <f aca="false">J22332+J22339+J22337-J22338-J22340-J22341</f>
        <v>90</v>
      </c>
      <c r="K22343" s="17" t="n">
        <f aca="false">K22332+K22339+K22337-K22338-K22340-K22341</f>
        <v>90</v>
      </c>
    </row>
    <row r="22344" customFormat="false" ht="15" hidden="false" customHeight="false" outlineLevel="0" collapsed="false">
      <c r="A22344" s="24" t="s">
        <v>341</v>
      </c>
      <c r="B22344" s="25"/>
      <c r="C22344" s="25"/>
      <c r="D22344" s="25"/>
      <c r="E22344" s="25"/>
      <c r="F22344" s="25"/>
      <c r="G22344" s="25"/>
      <c r="H22344" s="25"/>
      <c r="I22344" s="25"/>
      <c r="J22344" s="25"/>
      <c r="K22344" s="25"/>
    </row>
    <row r="22345" customFormat="false" ht="15" hidden="false" customHeight="false" outlineLevel="0" collapsed="false">
      <c r="A22345" s="3" t="s">
        <v>329</v>
      </c>
      <c r="G22345" s="16" t="n">
        <f aca="false">F22356</f>
        <v>57.324</v>
      </c>
      <c r="H22345" s="16" t="n">
        <f aca="false">G22356</f>
        <v>57.324</v>
      </c>
      <c r="I22345" s="16" t="n">
        <f aca="false">H22356</f>
        <v>57.324</v>
      </c>
      <c r="J22345" s="16" t="n">
        <f aca="false">I22356</f>
        <v>57.324</v>
      </c>
      <c r="K22345" s="16" t="n">
        <f aca="false">J22356</f>
        <v>57.324</v>
      </c>
    </row>
    <row r="22346" customFormat="false" ht="15" hidden="false" customHeight="false" outlineLevel="0" collapsed="false">
      <c r="A22346" s="3" t="s">
        <v>330</v>
      </c>
      <c r="G22346" s="21" t="n">
        <f aca="false">IF(G22283=Assumptions!$K$59,1,0)</f>
        <v>0</v>
      </c>
      <c r="H22346" s="21" t="n">
        <f aca="false">IF(H22283=Assumptions!$K$59,1,0)</f>
        <v>0</v>
      </c>
      <c r="I22346" s="21" t="n">
        <f aca="false">IF(I22283=Assumptions!$K$59,1,0)</f>
        <v>0</v>
      </c>
      <c r="J22346" s="21" t="n">
        <f aca="false">IF(J22283=Assumptions!$K$59,1,0)</f>
        <v>0</v>
      </c>
      <c r="K22346" s="21" t="n">
        <f aca="false">IF(K22283=Assumptions!$K$59,1,0)</f>
        <v>0</v>
      </c>
    </row>
    <row r="22348" customFormat="false" ht="15" hidden="false" customHeight="false" outlineLevel="0" collapsed="false">
      <c r="A22348" s="3" t="s">
        <v>331</v>
      </c>
      <c r="G22348" s="31" t="n">
        <f aca="false">IF(Assumptions!$I$59=1,MAX(G22309,Assumptions!$G$59)+Assumptions!$F$59+$C$22310,Assumptions!$E$59)</f>
        <v>0.0731</v>
      </c>
      <c r="H22348" s="31" t="n">
        <f aca="false">IF(G22631=1,$C$22311,IF(Assumptions!$I$59=1,MAX(H22309,Assumptions!$G$59)+Assumptions!$F$59+$C$22310,Assumptions!$E$59))</f>
        <v>0.0731</v>
      </c>
      <c r="I22348" s="31" t="n">
        <f aca="false">IF(H22631=1,$C$22311,IF(Assumptions!$I$59=1,MAX(I22309,Assumptions!$G$59)+Assumptions!$F$59+$C$22310,Assumptions!$E$59))</f>
        <v>0.0731</v>
      </c>
      <c r="J22348" s="31" t="n">
        <f aca="false">IF(I22631=1,$C$22311,IF(Assumptions!$I$59=1,MAX(J22309,Assumptions!$G$59)+Assumptions!$F$59+$C$22310,Assumptions!$E$59))</f>
        <v>0.0731</v>
      </c>
      <c r="K22348" s="31" t="n">
        <f aca="false">IF(J22631=1,$C$22311,IF(Assumptions!$I$59=1,MAX(K22309,Assumptions!$G$59)+Assumptions!$F$59+$C$22310,Assumptions!$E$59))</f>
        <v>0.0731</v>
      </c>
    </row>
    <row r="22349" customFormat="false" ht="15" hidden="false" customHeight="false" outlineLevel="0" collapsed="false">
      <c r="A22349" s="3" t="s">
        <v>332</v>
      </c>
      <c r="G22349" s="16" t="n">
        <f aca="false">G22345*G22348</f>
        <v>4.1903844</v>
      </c>
      <c r="H22349" s="16" t="n">
        <f aca="false">H22345*H22348</f>
        <v>4.1903844</v>
      </c>
      <c r="I22349" s="16" t="n">
        <f aca="false">I22345*I22348</f>
        <v>4.1903844</v>
      </c>
      <c r="J22349" s="16" t="n">
        <f aca="false">J22345*J22348</f>
        <v>4.1903844</v>
      </c>
      <c r="K22349" s="16" t="n">
        <f aca="false">K22345*K22348</f>
        <v>4.1903844</v>
      </c>
    </row>
    <row r="22350" customFormat="false" ht="15" hidden="false" customHeight="false" outlineLevel="0" collapsed="false">
      <c r="A22350" s="3" t="s">
        <v>333</v>
      </c>
      <c r="G22350" s="16" t="n">
        <f aca="false">G22345*Assumptions!$H$59</f>
        <v>0</v>
      </c>
      <c r="H22350" s="16" t="n">
        <f aca="false">H22345*Assumptions!$H$59</f>
        <v>0</v>
      </c>
      <c r="I22350" s="16" t="n">
        <f aca="false">I22345*Assumptions!$H$59</f>
        <v>0</v>
      </c>
      <c r="J22350" s="16" t="n">
        <f aca="false">J22345*Assumptions!$H$59</f>
        <v>0</v>
      </c>
      <c r="K22350" s="16" t="n">
        <f aca="false">K22345*Assumptions!$H$59</f>
        <v>0</v>
      </c>
    </row>
    <row r="22351" customFormat="false" ht="15" hidden="false" customHeight="false" outlineLevel="0" collapsed="false">
      <c r="A22351" s="3" t="s">
        <v>334</v>
      </c>
      <c r="G22351" s="16" t="n">
        <f aca="false">MIN(G22345,Assumptions!$L$59*Assumptions!$C$59)</f>
        <v>0</v>
      </c>
      <c r="H22351" s="16" t="n">
        <f aca="false">MIN(H22345,Assumptions!$L$59*Assumptions!$C$59)</f>
        <v>0</v>
      </c>
      <c r="I22351" s="16" t="n">
        <f aca="false">MIN(I22345,Assumptions!$L$59*Assumptions!$C$59)</f>
        <v>0</v>
      </c>
      <c r="J22351" s="16" t="n">
        <f aca="false">MIN(J22345,Assumptions!$L$59*Assumptions!$C$59)</f>
        <v>0</v>
      </c>
      <c r="K22351" s="16" t="n">
        <f aca="false">MIN(K22345,Assumptions!$L$59*Assumptions!$C$59)</f>
        <v>0</v>
      </c>
    </row>
    <row r="22352" customFormat="false" ht="15" hidden="false" customHeight="false" outlineLevel="0" collapsed="false">
      <c r="A22352" s="3" t="s">
        <v>335</v>
      </c>
      <c r="G22352" s="16" t="n">
        <f aca="false">IF(AND(Assumptions!$P$59=1,G22283&lt;Assumptions!$K$59),MIN(MAX(0,-G22499),MAX(0,Assumptions!$D$59-G22345)),0)</f>
        <v>0</v>
      </c>
      <c r="H22352" s="16" t="n">
        <f aca="false">IF(AND(Assumptions!$P$59=1,OR(H22283&lt;Assumptions!$K$59,G22631=1)),MIN(MAX(0,-H22499),MAX(0,Assumptions!$D$59-H22345)),0)</f>
        <v>0</v>
      </c>
      <c r="I22352" s="16" t="n">
        <f aca="false">IF(AND(Assumptions!$P$59=1,OR(I22283&lt;Assumptions!$K$59,H22631=1)),MIN(MAX(0,-I22499),MAX(0,Assumptions!$D$59-I22345)),0)</f>
        <v>0</v>
      </c>
      <c r="J22352" s="16" t="n">
        <f aca="false">IF(AND(Assumptions!$P$59=1,OR(J22283&lt;Assumptions!$K$59,I22631=1)),MIN(MAX(0,-J22499),MAX(0,Assumptions!$D$59-J22345)),0)</f>
        <v>0</v>
      </c>
      <c r="K22352" s="16" t="n">
        <f aca="false">IF(AND(Assumptions!$P$59=1,OR(K22283&lt;Assumptions!$K$59,J22631=1)),MIN(MAX(0,-K22499),MAX(0,Assumptions!$D$59-K22345)),0)</f>
        <v>0</v>
      </c>
    </row>
    <row r="22353" customFormat="false" ht="15" hidden="false" customHeight="false" outlineLevel="0" collapsed="false">
      <c r="A22353" s="3" t="s">
        <v>336</v>
      </c>
      <c r="G22353" s="16" t="n">
        <f aca="false">G22346*MIN(G22345-G22351+G22350,MAX(0,G22501-Assumptions!$C$12*G22317-G22327-G22340))</f>
        <v>0</v>
      </c>
      <c r="H22353" s="16" t="n">
        <f aca="false">H22346*MIN(H22345-H22351+H22350,MAX(0,H22501-Assumptions!$C$12*H22317-H22327-H22340))</f>
        <v>0</v>
      </c>
      <c r="I22353" s="16" t="n">
        <f aca="false">I22346*MIN(I22345-I22351+I22350,MAX(0,I22501-Assumptions!$C$12*I22317-I22327-I22340))</f>
        <v>0</v>
      </c>
      <c r="J22353" s="16" t="n">
        <f aca="false">J22346*MIN(J22345-J22351+J22350,MAX(0,J22501-Assumptions!$C$12*J22317-J22327-J22340))</f>
        <v>0</v>
      </c>
      <c r="K22353" s="16" t="n">
        <f aca="false">K22346*MIN(K22345-K22351+K22350,MAX(0,K22501-Assumptions!$C$12*K22317-K22327-K22340))</f>
        <v>0</v>
      </c>
    </row>
    <row r="22354" customFormat="false" ht="15" hidden="false" customHeight="false" outlineLevel="0" collapsed="false">
      <c r="A22354" s="3" t="s">
        <v>337</v>
      </c>
      <c r="G22354" s="16" t="n">
        <f aca="false">Assumptions!$N$59*MIN(G22345+G22352+G22350-G22351-G22353,MAX(0,G22505-G22328-G22341))</f>
        <v>0</v>
      </c>
      <c r="H22354" s="16" t="n">
        <f aca="false">Assumptions!$N$59*MIN(H22345+H22352+H22350-H22351-H22353,MAX(0,H22505-H22328-H22341))</f>
        <v>0</v>
      </c>
      <c r="I22354" s="16" t="n">
        <f aca="false">Assumptions!$N$59*MIN(I22345+I22352+I22350-I22351-I22353,MAX(0,I22505-I22328-I22341))</f>
        <v>0</v>
      </c>
      <c r="J22354" s="16" t="n">
        <f aca="false">Assumptions!$N$59*MIN(J22345+J22352+J22350-J22351-J22353,MAX(0,J22505-J22328-J22341))</f>
        <v>0</v>
      </c>
      <c r="K22354" s="16" t="n">
        <f aca="false">Assumptions!$N$59*MIN(K22345+K22352+K22350-K22351-K22353,MAX(0,K22505-K22328-K22341))</f>
        <v>0</v>
      </c>
    </row>
    <row r="22355" customFormat="false" ht="15" hidden="false" customHeight="false" outlineLevel="0" collapsed="false">
      <c r="A22355" s="3" t="s">
        <v>338</v>
      </c>
      <c r="G22355" s="16" t="n">
        <f aca="false">G22346*(1-G22317)*(G22345-G22351+G22350-G22353)</f>
        <v>0</v>
      </c>
      <c r="H22355" s="16" t="n">
        <f aca="false">H22346*(1-H22317)*(H22345-H22351+H22350-H22353)</f>
        <v>0</v>
      </c>
      <c r="I22355" s="16" t="n">
        <f aca="false">I22346*(1-I22317)*(I22345-I22351+I22350-I22353)</f>
        <v>0</v>
      </c>
      <c r="J22355" s="16" t="n">
        <f aca="false">J22346*(1-J22317)*(J22345-J22351+J22350-J22353)</f>
        <v>0</v>
      </c>
      <c r="K22355" s="16" t="n">
        <f aca="false">K22346*(1-K22317)*(K22345-K22351+K22350-K22353)</f>
        <v>0</v>
      </c>
    </row>
    <row r="22356" customFormat="false" ht="15" hidden="false" customHeight="false" outlineLevel="0" collapsed="false">
      <c r="A22356" s="2" t="s">
        <v>339</v>
      </c>
      <c r="F22356" s="28" t="n">
        <f aca="false">Assumptions!$C$59</f>
        <v>57.324</v>
      </c>
      <c r="G22356" s="17" t="n">
        <f aca="false">G22345+G22352+G22350-G22351-G22353-G22354</f>
        <v>57.324</v>
      </c>
      <c r="H22356" s="17" t="n">
        <f aca="false">H22345+H22352+H22350-H22351-H22353-H22354</f>
        <v>57.324</v>
      </c>
      <c r="I22356" s="17" t="n">
        <f aca="false">I22345+I22352+I22350-I22351-I22353-I22354</f>
        <v>57.324</v>
      </c>
      <c r="J22356" s="17" t="n">
        <f aca="false">J22345+J22352+J22350-J22351-J22353-J22354</f>
        <v>57.324</v>
      </c>
      <c r="K22356" s="17" t="n">
        <f aca="false">K22345+K22352+K22350-K22351-K22353-K22354</f>
        <v>57.324</v>
      </c>
    </row>
    <row r="22357" customFormat="false" ht="15" hidden="false" customHeight="false" outlineLevel="0" collapsed="false">
      <c r="A22357" s="24" t="s">
        <v>342</v>
      </c>
      <c r="B22357" s="25"/>
      <c r="C22357" s="25"/>
      <c r="D22357" s="25"/>
      <c r="E22357" s="25"/>
      <c r="F22357" s="25"/>
      <c r="G22357" s="25"/>
      <c r="H22357" s="25"/>
      <c r="I22357" s="25"/>
      <c r="J22357" s="25"/>
      <c r="K22357" s="25"/>
    </row>
    <row r="22358" customFormat="false" ht="15" hidden="false" customHeight="false" outlineLevel="0" collapsed="false">
      <c r="A22358" s="3" t="s">
        <v>329</v>
      </c>
      <c r="G22358" s="16" t="n">
        <f aca="false">F22369</f>
        <v>0</v>
      </c>
      <c r="H22358" s="16" t="n">
        <f aca="false">G22369</f>
        <v>0</v>
      </c>
      <c r="I22358" s="16" t="n">
        <f aca="false">H22369</f>
        <v>0</v>
      </c>
      <c r="J22358" s="16" t="n">
        <f aca="false">I22369</f>
        <v>64.062604182056</v>
      </c>
      <c r="K22358" s="16" t="n">
        <f aca="false">J22369</f>
        <v>150.010041824795</v>
      </c>
    </row>
    <row r="22359" customFormat="false" ht="15" hidden="false" customHeight="false" outlineLevel="0" collapsed="false">
      <c r="A22359" s="3" t="s">
        <v>330</v>
      </c>
      <c r="G22359" s="21" t="n">
        <f aca="false">IF(G22283=Assumptions!$K$60,1,0)</f>
        <v>1</v>
      </c>
      <c r="H22359" s="21" t="n">
        <f aca="false">IF(H22283=Assumptions!$K$60,1,0)</f>
        <v>0</v>
      </c>
      <c r="I22359" s="21" t="n">
        <f aca="false">IF(I22283=Assumptions!$K$60,1,0)</f>
        <v>0</v>
      </c>
      <c r="J22359" s="21" t="n">
        <f aca="false">IF(J22283=Assumptions!$K$60,1,0)</f>
        <v>0</v>
      </c>
      <c r="K22359" s="21" t="n">
        <f aca="false">IF(K22283=Assumptions!$K$60,1,0)</f>
        <v>0</v>
      </c>
    </row>
    <row r="22361" customFormat="false" ht="15" hidden="false" customHeight="false" outlineLevel="0" collapsed="false">
      <c r="A22361" s="3" t="s">
        <v>331</v>
      </c>
      <c r="G22361" s="31" t="n">
        <f aca="false">IF(Assumptions!$I$60=1,MAX(G22309,Assumptions!$G$60)+Assumptions!$F$60+$C$22310,Assumptions!$E$60)</f>
        <v>0.049</v>
      </c>
      <c r="H22361" s="31" t="n">
        <f aca="false">IF(G22632=1,$C$22311,IF(Assumptions!$I$60=1,MAX(H22309,Assumptions!$G$60)+Assumptions!$F$60+$C$22310,Assumptions!$E$60))</f>
        <v>0.08</v>
      </c>
      <c r="I22361" s="31" t="n">
        <f aca="false">IF(H22632=1,$C$22311,IF(Assumptions!$I$60=1,MAX(I22309,Assumptions!$G$60)+Assumptions!$F$60+$C$22310,Assumptions!$E$60))</f>
        <v>0.08</v>
      </c>
      <c r="J22361" s="31" t="n">
        <f aca="false">IF(I22632=1,$C$22311,IF(Assumptions!$I$60=1,MAX(J22309,Assumptions!$G$60)+Assumptions!$F$60+$C$22310,Assumptions!$E$60))</f>
        <v>0.08</v>
      </c>
      <c r="K22361" s="31" t="n">
        <f aca="false">IF(J22632=1,$C$22311,IF(Assumptions!$I$60=1,MAX(K22309,Assumptions!$G$60)+Assumptions!$F$60+$C$22310,Assumptions!$E$60))</f>
        <v>0.08</v>
      </c>
    </row>
    <row r="22362" customFormat="false" ht="15" hidden="false" customHeight="false" outlineLevel="0" collapsed="false">
      <c r="A22362" s="3" t="s">
        <v>332</v>
      </c>
      <c r="G22362" s="16" t="n">
        <f aca="false">G22358*G22361</f>
        <v>0</v>
      </c>
      <c r="H22362" s="16" t="n">
        <f aca="false">H22358*H22361</f>
        <v>0</v>
      </c>
      <c r="I22362" s="16" t="n">
        <f aca="false">I22358*I22361</f>
        <v>0</v>
      </c>
      <c r="J22362" s="16" t="n">
        <f aca="false">J22358*J22361</f>
        <v>5.12500833456448</v>
      </c>
      <c r="K22362" s="16" t="n">
        <f aca="false">K22358*K22361</f>
        <v>12.0008033459836</v>
      </c>
    </row>
    <row r="22363" customFormat="false" ht="15" hidden="false" customHeight="false" outlineLevel="0" collapsed="false">
      <c r="A22363" s="3" t="s">
        <v>333</v>
      </c>
      <c r="G22363" s="16" t="n">
        <f aca="false">G22358*Assumptions!$H$60</f>
        <v>0</v>
      </c>
      <c r="H22363" s="16" t="n">
        <f aca="false">H22358*Assumptions!$H$60</f>
        <v>0</v>
      </c>
      <c r="I22363" s="16" t="n">
        <f aca="false">I22358*Assumptions!$H$60</f>
        <v>0</v>
      </c>
      <c r="J22363" s="16" t="n">
        <f aca="false">J22358*Assumptions!$H$60</f>
        <v>0</v>
      </c>
      <c r="K22363" s="16" t="n">
        <f aca="false">K22358*Assumptions!$H$60</f>
        <v>0</v>
      </c>
    </row>
    <row r="22364" customFormat="false" ht="15" hidden="false" customHeight="false" outlineLevel="0" collapsed="false">
      <c r="A22364" s="3" t="s">
        <v>334</v>
      </c>
      <c r="G22364" s="16" t="n">
        <f aca="false">MIN(G22358,Assumptions!$L$60*Assumptions!$C$60)</f>
        <v>0</v>
      </c>
      <c r="H22364" s="16" t="n">
        <f aca="false">MIN(H22358,Assumptions!$L$60*Assumptions!$C$60)</f>
        <v>0</v>
      </c>
      <c r="I22364" s="16" t="n">
        <f aca="false">MIN(I22358,Assumptions!$L$60*Assumptions!$C$60)</f>
        <v>0</v>
      </c>
      <c r="J22364" s="16" t="n">
        <f aca="false">MIN(J22358,Assumptions!$L$60*Assumptions!$C$60)</f>
        <v>0</v>
      </c>
      <c r="K22364" s="16" t="n">
        <f aca="false">MIN(K22358,Assumptions!$L$60*Assumptions!$C$60)</f>
        <v>0</v>
      </c>
    </row>
    <row r="22365" customFormat="false" ht="15" hidden="false" customHeight="false" outlineLevel="0" collapsed="false">
      <c r="A22365" s="3" t="s">
        <v>335</v>
      </c>
      <c r="G22365" s="16" t="n">
        <f aca="false">IF(AND(Assumptions!$P$60=1,G22283&lt;Assumptions!$K$60),MIN(MAX(0,-G22499),MAX(0,Assumptions!$D$60-G22358)),0)</f>
        <v>0</v>
      </c>
      <c r="H22365" s="16" t="n">
        <f aca="false">IF(AND(Assumptions!$P$60=1,OR(H22283&lt;Assumptions!$K$60,G22632=1)),MIN(MAX(0,-H22499),MAX(0,Assumptions!$D$60-H22358)),0)</f>
        <v>0</v>
      </c>
      <c r="I22365" s="16" t="n">
        <f aca="false">IF(AND(Assumptions!$P$60=1,OR(I22283&lt;Assumptions!$K$60,H22632=1)),MIN(MAX(0,-I22499),MAX(0,Assumptions!$D$60-I22358)),0)</f>
        <v>64.062604182056</v>
      </c>
      <c r="J22365" s="16" t="n">
        <f aca="false">IF(AND(Assumptions!$P$60=1,OR(J22283&lt;Assumptions!$K$60,I22632=1)),MIN(MAX(0,-J22499),MAX(0,Assumptions!$D$60-J22358)),0)</f>
        <v>85.9474376427392</v>
      </c>
      <c r="K22365" s="16" t="n">
        <f aca="false">IF(AND(Assumptions!$P$60=1,OR(K22283&lt;Assumptions!$K$60,J22632=1)),MIN(MAX(0,-K22499),MAX(0,Assumptions!$D$60-K22358)),0)</f>
        <v>101.388087215453</v>
      </c>
    </row>
    <row r="22366" customFormat="false" ht="15" hidden="false" customHeight="false" outlineLevel="0" collapsed="false">
      <c r="A22366" s="3" t="s">
        <v>336</v>
      </c>
      <c r="G22366" s="16" t="n">
        <f aca="false">G22359*MIN(G22358-G22364+G22363,MAX(0,G22501-Assumptions!$C$12*G22317-G22327-G22340-G22353))</f>
        <v>0</v>
      </c>
      <c r="H22366" s="16" t="n">
        <f aca="false">H22359*MIN(H22358-H22364+H22363,MAX(0,H22501-Assumptions!$C$12*H22317-H22327-H22340-H22353))</f>
        <v>0</v>
      </c>
      <c r="I22366" s="16" t="n">
        <f aca="false">I22359*MIN(I22358-I22364+I22363,MAX(0,I22501-Assumptions!$C$12*I22317-I22327-I22340-I22353))</f>
        <v>0</v>
      </c>
      <c r="J22366" s="16" t="n">
        <f aca="false">J22359*MIN(J22358-J22364+J22363,MAX(0,J22501-Assumptions!$C$12*J22317-J22327-J22340-J22353))</f>
        <v>0</v>
      </c>
      <c r="K22366" s="16" t="n">
        <f aca="false">K22359*MIN(K22358-K22364+K22363,MAX(0,K22501-Assumptions!$C$12*K22317-K22327-K22340-K22353))</f>
        <v>0</v>
      </c>
    </row>
    <row r="22367" customFormat="false" ht="15" hidden="false" customHeight="false" outlineLevel="0" collapsed="false">
      <c r="A22367" s="3" t="s">
        <v>337</v>
      </c>
      <c r="G22367" s="16" t="n">
        <f aca="false">Assumptions!$N$60*MIN(G22358+G22365+G22363-G22364-G22366,MAX(0,G22505-G22328-G22341-G22354))</f>
        <v>0</v>
      </c>
      <c r="H22367" s="16" t="n">
        <f aca="false">Assumptions!$N$60*MIN(H22358+H22365+H22363-H22364-H22366,MAX(0,H22505-H22328-H22341-H22354))</f>
        <v>0</v>
      </c>
      <c r="I22367" s="16" t="n">
        <f aca="false">Assumptions!$N$60*MIN(I22358+I22365+I22363-I22364-I22366,MAX(0,I22505-I22328-I22341-I22354))</f>
        <v>0</v>
      </c>
      <c r="J22367" s="16" t="n">
        <f aca="false">Assumptions!$N$60*MIN(J22358+J22365+J22363-J22364-J22366,MAX(0,J22505-J22328-J22341-J22354))</f>
        <v>0</v>
      </c>
      <c r="K22367" s="16" t="n">
        <f aca="false">Assumptions!$N$60*MIN(K22358+K22365+K22363-K22364-K22366,MAX(0,K22505-K22328-K22341-K22354))</f>
        <v>0</v>
      </c>
    </row>
    <row r="22368" customFormat="false" ht="15" hidden="false" customHeight="false" outlineLevel="0" collapsed="false">
      <c r="A22368" s="3" t="s">
        <v>338</v>
      </c>
      <c r="G22368" s="16" t="n">
        <f aca="false">G22359*(1-G22317)*(G22358-G22364+G22363-G22366)</f>
        <v>0</v>
      </c>
      <c r="H22368" s="16" t="n">
        <f aca="false">H22359*(1-H22317)*(H22358-H22364+H22363-H22366)</f>
        <v>0</v>
      </c>
      <c r="I22368" s="16" t="n">
        <f aca="false">I22359*(1-I22317)*(I22358-I22364+I22363-I22366)</f>
        <v>0</v>
      </c>
      <c r="J22368" s="16" t="n">
        <f aca="false">J22359*(1-J22317)*(J22358-J22364+J22363-J22366)</f>
        <v>0</v>
      </c>
      <c r="K22368" s="16" t="n">
        <f aca="false">K22359*(1-K22317)*(K22358-K22364+K22363-K22366)</f>
        <v>0</v>
      </c>
    </row>
    <row r="22369" customFormat="false" ht="15" hidden="false" customHeight="false" outlineLevel="0" collapsed="false">
      <c r="A22369" s="2" t="s">
        <v>339</v>
      </c>
      <c r="F22369" s="28" t="n">
        <f aca="false">Assumptions!$C$60</f>
        <v>0</v>
      </c>
      <c r="G22369" s="17" t="n">
        <f aca="false">G22358+G22365+G22363-G22364-G22366-G22367</f>
        <v>0</v>
      </c>
      <c r="H22369" s="17" t="n">
        <f aca="false">H22358+H22365+H22363-H22364-H22366-H22367</f>
        <v>0</v>
      </c>
      <c r="I22369" s="17" t="n">
        <f aca="false">I22358+I22365+I22363-I22364-I22366-I22367</f>
        <v>64.062604182056</v>
      </c>
      <c r="J22369" s="17" t="n">
        <f aca="false">J22358+J22365+J22363-J22364-J22366-J22367</f>
        <v>150.010041824795</v>
      </c>
      <c r="K22369" s="17" t="n">
        <f aca="false">K22358+K22365+K22363-K22364-K22366-K22367</f>
        <v>251.398129040248</v>
      </c>
    </row>
    <row r="22370" customFormat="false" ht="15" hidden="false" customHeight="false" outlineLevel="0" collapsed="false">
      <c r="A22370" s="24" t="s">
        <v>343</v>
      </c>
      <c r="B22370" s="25"/>
      <c r="C22370" s="25"/>
      <c r="D22370" s="25"/>
      <c r="E22370" s="25"/>
      <c r="F22370" s="25"/>
      <c r="G22370" s="25"/>
      <c r="H22370" s="25"/>
      <c r="I22370" s="25"/>
      <c r="J22370" s="25"/>
      <c r="K22370" s="25"/>
    </row>
    <row r="22371" customFormat="false" ht="15" hidden="false" customHeight="false" outlineLevel="0" collapsed="false">
      <c r="A22371" s="3" t="s">
        <v>329</v>
      </c>
      <c r="G22371" s="16" t="n">
        <f aca="false">F22382</f>
        <v>450</v>
      </c>
      <c r="H22371" s="16" t="n">
        <f aca="false">G22382</f>
        <v>450</v>
      </c>
      <c r="I22371" s="16" t="n">
        <f aca="false">H22382</f>
        <v>402.9560513738</v>
      </c>
      <c r="J22371" s="16" t="n">
        <f aca="false">I22382</f>
        <v>402.9560513738</v>
      </c>
      <c r="K22371" s="16" t="n">
        <f aca="false">J22382</f>
        <v>402.9560513738</v>
      </c>
    </row>
    <row r="22372" customFormat="false" ht="15" hidden="false" customHeight="false" outlineLevel="0" collapsed="false">
      <c r="A22372" s="3" t="s">
        <v>330</v>
      </c>
      <c r="G22372" s="21" t="n">
        <f aca="false">IF(G22283=Assumptions!$K$61,1,0)</f>
        <v>0</v>
      </c>
      <c r="H22372" s="21" t="n">
        <f aca="false">IF(H22283=Assumptions!$K$61,1,0)</f>
        <v>1</v>
      </c>
      <c r="I22372" s="21" t="n">
        <f aca="false">IF(I22283=Assumptions!$K$61,1,0)</f>
        <v>0</v>
      </c>
      <c r="J22372" s="21" t="n">
        <f aca="false">IF(J22283=Assumptions!$K$61,1,0)</f>
        <v>0</v>
      </c>
      <c r="K22372" s="21" t="n">
        <f aca="false">IF(K22283=Assumptions!$K$61,1,0)</f>
        <v>0</v>
      </c>
    </row>
    <row r="22374" customFormat="false" ht="15" hidden="false" customHeight="false" outlineLevel="0" collapsed="false">
      <c r="A22374" s="3" t="s">
        <v>331</v>
      </c>
      <c r="G22374" s="31" t="n">
        <f aca="false">IF(Assumptions!$I$61=1,MAX(G22309,Assumptions!$G$61)+Assumptions!$F$61+$C$22310,Assumptions!$E$61)</f>
        <v>0.0395</v>
      </c>
      <c r="H22374" s="31" t="n">
        <f aca="false">IF(G22633=1,$C$22311,IF(Assumptions!$I$61=1,MAX(H22309,Assumptions!$G$61)+Assumptions!$F$61+$C$22310,Assumptions!$E$61))</f>
        <v>0.0395</v>
      </c>
      <c r="I22374" s="31" t="n">
        <f aca="false">IF(H22633=1,$C$22311,IF(Assumptions!$I$61=1,MAX(I22309,Assumptions!$G$61)+Assumptions!$F$61+$C$22310,Assumptions!$E$61))</f>
        <v>0.08</v>
      </c>
      <c r="J22374" s="31" t="n">
        <f aca="false">IF(I22633=1,$C$22311,IF(Assumptions!$I$61=1,MAX(J22309,Assumptions!$G$61)+Assumptions!$F$61+$C$22310,Assumptions!$E$61))</f>
        <v>0.08</v>
      </c>
      <c r="K22374" s="31" t="n">
        <f aca="false">IF(J22633=1,$C$22311,IF(Assumptions!$I$61=1,MAX(K22309,Assumptions!$G$61)+Assumptions!$F$61+$C$22310,Assumptions!$E$61))</f>
        <v>0.08</v>
      </c>
    </row>
    <row r="22375" customFormat="false" ht="15" hidden="false" customHeight="false" outlineLevel="0" collapsed="false">
      <c r="A22375" s="3" t="s">
        <v>332</v>
      </c>
      <c r="G22375" s="16" t="n">
        <f aca="false">G22371*G22374</f>
        <v>17.775</v>
      </c>
      <c r="H22375" s="16" t="n">
        <f aca="false">H22371*H22374</f>
        <v>17.775</v>
      </c>
      <c r="I22375" s="16" t="n">
        <f aca="false">I22371*I22374</f>
        <v>32.236484109904</v>
      </c>
      <c r="J22375" s="16" t="n">
        <f aca="false">J22371*J22374</f>
        <v>32.236484109904</v>
      </c>
      <c r="K22375" s="16" t="n">
        <f aca="false">K22371*K22374</f>
        <v>32.236484109904</v>
      </c>
    </row>
    <row r="22376" customFormat="false" ht="15" hidden="false" customHeight="false" outlineLevel="0" collapsed="false">
      <c r="A22376" s="3" t="s">
        <v>333</v>
      </c>
      <c r="G22376" s="16" t="n">
        <f aca="false">G22371*Assumptions!$H$61</f>
        <v>0</v>
      </c>
      <c r="H22376" s="16" t="n">
        <f aca="false">H22371*Assumptions!$H$61</f>
        <v>0</v>
      </c>
      <c r="I22376" s="16" t="n">
        <f aca="false">I22371*Assumptions!$H$61</f>
        <v>0</v>
      </c>
      <c r="J22376" s="16" t="n">
        <f aca="false">J22371*Assumptions!$H$61</f>
        <v>0</v>
      </c>
      <c r="K22376" s="16" t="n">
        <f aca="false">K22371*Assumptions!$H$61</f>
        <v>0</v>
      </c>
    </row>
    <row r="22377" customFormat="false" ht="15" hidden="false" customHeight="false" outlineLevel="0" collapsed="false">
      <c r="A22377" s="3" t="s">
        <v>334</v>
      </c>
      <c r="G22377" s="16" t="n">
        <f aca="false">MIN(G22371,Assumptions!$L$61*Assumptions!$C$61)</f>
        <v>0</v>
      </c>
      <c r="H22377" s="16" t="n">
        <f aca="false">MIN(H22371,Assumptions!$L$61*Assumptions!$C$61)</f>
        <v>0</v>
      </c>
      <c r="I22377" s="16" t="n">
        <f aca="false">MIN(I22371,Assumptions!$L$61*Assumptions!$C$61)</f>
        <v>0</v>
      </c>
      <c r="J22377" s="16" t="n">
        <f aca="false">MIN(J22371,Assumptions!$L$61*Assumptions!$C$61)</f>
        <v>0</v>
      </c>
      <c r="K22377" s="16" t="n">
        <f aca="false">MIN(K22371,Assumptions!$L$61*Assumptions!$C$61)</f>
        <v>0</v>
      </c>
    </row>
    <row r="22378" customFormat="false" ht="15" hidden="false" customHeight="false" outlineLevel="0" collapsed="false">
      <c r="A22378" s="3" t="s">
        <v>335</v>
      </c>
      <c r="G22378" s="16" t="n">
        <f aca="false">IF(AND(Assumptions!$P$61=1,G22283&lt;Assumptions!$K$61),MIN(MAX(0,-G22499),MAX(0,Assumptions!$D$61-G22371)),0)</f>
        <v>0</v>
      </c>
      <c r="H22378" s="16" t="n">
        <f aca="false">IF(AND(Assumptions!$P$61=1,OR(H22283&lt;Assumptions!$K$61,G22633=1)),MIN(MAX(0,-H22499),MAX(0,Assumptions!$D$61-H22371)),0)</f>
        <v>0</v>
      </c>
      <c r="I22378" s="16" t="n">
        <f aca="false">IF(AND(Assumptions!$P$61=1,OR(I22283&lt;Assumptions!$K$61,H22633=1)),MIN(MAX(0,-I22499),MAX(0,Assumptions!$D$61-I22371)),0)</f>
        <v>0</v>
      </c>
      <c r="J22378" s="16" t="n">
        <f aca="false">IF(AND(Assumptions!$P$61=1,OR(J22283&lt;Assumptions!$K$61,I22633=1)),MIN(MAX(0,-J22499),MAX(0,Assumptions!$D$61-J22371)),0)</f>
        <v>0</v>
      </c>
      <c r="K22378" s="16" t="n">
        <f aca="false">IF(AND(Assumptions!$P$61=1,OR(K22283&lt;Assumptions!$K$61,J22633=1)),MIN(MAX(0,-K22499),MAX(0,Assumptions!$D$61-K22371)),0)</f>
        <v>0</v>
      </c>
    </row>
    <row r="22379" customFormat="false" ht="15" hidden="false" customHeight="false" outlineLevel="0" collapsed="false">
      <c r="A22379" s="3" t="s">
        <v>336</v>
      </c>
      <c r="G22379" s="16" t="n">
        <f aca="false">G22372*MIN(G22371-G22377+G22376,MAX(0,G22501-Assumptions!$C$12*G22317-G22327-G22340-G22353-G22366))</f>
        <v>0</v>
      </c>
      <c r="H22379" s="16" t="n">
        <f aca="false">H22372*MIN(H22371-H22377+H22376,MAX(0,H22501-Assumptions!$C$12*H22317-H22327-H22340-H22353-H22366))</f>
        <v>47.0439486262</v>
      </c>
      <c r="I22379" s="16" t="n">
        <f aca="false">I22372*MIN(I22371-I22377+I22376,MAX(0,I22501-Assumptions!$C$12*I22317-I22327-I22340-I22353-I22366))</f>
        <v>0</v>
      </c>
      <c r="J22379" s="16" t="n">
        <f aca="false">J22372*MIN(J22371-J22377+J22376,MAX(0,J22501-Assumptions!$C$12*J22317-J22327-J22340-J22353-J22366))</f>
        <v>0</v>
      </c>
      <c r="K22379" s="16" t="n">
        <f aca="false">K22372*MIN(K22371-K22377+K22376,MAX(0,K22501-Assumptions!$C$12*K22317-K22327-K22340-K22353-K22366))</f>
        <v>0</v>
      </c>
    </row>
    <row r="22380" customFormat="false" ht="15" hidden="false" customHeight="false" outlineLevel="0" collapsed="false">
      <c r="A22380" s="3" t="s">
        <v>337</v>
      </c>
      <c r="G22380" s="16" t="n">
        <f aca="false">Assumptions!$N$61*MIN(G22371+G22378+G22376-G22377-G22379,MAX(0,G22505-G22328-G22341-G22354-G22367))</f>
        <v>0</v>
      </c>
      <c r="H22380" s="16" t="n">
        <f aca="false">Assumptions!$N$61*MIN(H22371+H22378+H22376-H22377-H22379,MAX(0,H22505-H22328-H22341-H22354-H22367))</f>
        <v>0</v>
      </c>
      <c r="I22380" s="16" t="n">
        <f aca="false">Assumptions!$N$61*MIN(I22371+I22378+I22376-I22377-I22379,MAX(0,I22505-I22328-I22341-I22354-I22367))</f>
        <v>0</v>
      </c>
      <c r="J22380" s="16" t="n">
        <f aca="false">Assumptions!$N$61*MIN(J22371+J22378+J22376-J22377-J22379,MAX(0,J22505-J22328-J22341-J22354-J22367))</f>
        <v>0</v>
      </c>
      <c r="K22380" s="16" t="n">
        <f aca="false">Assumptions!$N$61*MIN(K22371+K22378+K22376-K22377-K22379,MAX(0,K22505-K22328-K22341-K22354-K22367))</f>
        <v>0</v>
      </c>
    </row>
    <row r="22381" customFormat="false" ht="15" hidden="false" customHeight="false" outlineLevel="0" collapsed="false">
      <c r="A22381" s="3" t="s">
        <v>338</v>
      </c>
      <c r="G22381" s="16" t="n">
        <f aca="false">G22372*(1-G22317)*(G22371-G22377+G22376-G22379)</f>
        <v>0</v>
      </c>
      <c r="H22381" s="16" t="n">
        <f aca="false">H22372*(1-H22317)*(H22371-H22377+H22376-H22379)</f>
        <v>0</v>
      </c>
      <c r="I22381" s="16" t="n">
        <f aca="false">I22372*(1-I22317)*(I22371-I22377+I22376-I22379)</f>
        <v>0</v>
      </c>
      <c r="J22381" s="16" t="n">
        <f aca="false">J22372*(1-J22317)*(J22371-J22377+J22376-J22379)</f>
        <v>0</v>
      </c>
      <c r="K22381" s="16" t="n">
        <f aca="false">K22372*(1-K22317)*(K22371-K22377+K22376-K22379)</f>
        <v>0</v>
      </c>
    </row>
    <row r="22382" customFormat="false" ht="15" hidden="false" customHeight="false" outlineLevel="0" collapsed="false">
      <c r="A22382" s="2" t="s">
        <v>339</v>
      </c>
      <c r="F22382" s="28" t="n">
        <f aca="false">Assumptions!$C$61</f>
        <v>450</v>
      </c>
      <c r="G22382" s="17" t="n">
        <f aca="false">G22371+G22378+G22376-G22377-G22379-G22380</f>
        <v>450</v>
      </c>
      <c r="H22382" s="17" t="n">
        <f aca="false">H22371+H22378+H22376-H22377-H22379-H22380</f>
        <v>402.9560513738</v>
      </c>
      <c r="I22382" s="17" t="n">
        <f aca="false">I22371+I22378+I22376-I22377-I22379-I22380</f>
        <v>402.9560513738</v>
      </c>
      <c r="J22382" s="17" t="n">
        <f aca="false">J22371+J22378+J22376-J22377-J22379-J22380</f>
        <v>402.9560513738</v>
      </c>
      <c r="K22382" s="17" t="n">
        <f aca="false">K22371+K22378+K22376-K22377-K22379-K22380</f>
        <v>402.9560513738</v>
      </c>
    </row>
    <row r="22383" customFormat="false" ht="15" hidden="false" customHeight="false" outlineLevel="0" collapsed="false">
      <c r="A22383" s="24" t="s">
        <v>344</v>
      </c>
      <c r="B22383" s="25"/>
      <c r="C22383" s="25"/>
      <c r="D22383" s="25"/>
      <c r="E22383" s="25"/>
      <c r="F22383" s="25"/>
      <c r="G22383" s="25"/>
      <c r="H22383" s="25"/>
      <c r="I22383" s="25"/>
      <c r="J22383" s="25"/>
      <c r="K22383" s="25"/>
    </row>
    <row r="22384" customFormat="false" ht="15" hidden="false" customHeight="false" outlineLevel="0" collapsed="false">
      <c r="A22384" s="3" t="s">
        <v>329</v>
      </c>
      <c r="G22384" s="16" t="n">
        <f aca="false">F22395</f>
        <v>350</v>
      </c>
      <c r="H22384" s="16" t="n">
        <f aca="false">G22395</f>
        <v>350</v>
      </c>
      <c r="I22384" s="16" t="n">
        <f aca="false">H22395</f>
        <v>350</v>
      </c>
      <c r="J22384" s="16" t="n">
        <f aca="false">I22395</f>
        <v>350</v>
      </c>
      <c r="K22384" s="16" t="n">
        <f aca="false">J22395</f>
        <v>350</v>
      </c>
    </row>
    <row r="22385" customFormat="false" ht="15" hidden="false" customHeight="false" outlineLevel="0" collapsed="false">
      <c r="A22385" s="3" t="s">
        <v>330</v>
      </c>
      <c r="G22385" s="21" t="n">
        <f aca="false">IF(G22283=Assumptions!$K$62,1,0)</f>
        <v>0</v>
      </c>
      <c r="H22385" s="21" t="n">
        <f aca="false">IF(H22283=Assumptions!$K$62,1,0)</f>
        <v>1</v>
      </c>
      <c r="I22385" s="21" t="n">
        <f aca="false">IF(I22283=Assumptions!$K$62,1,0)</f>
        <v>0</v>
      </c>
      <c r="J22385" s="21" t="n">
        <f aca="false">IF(J22283=Assumptions!$K$62,1,0)</f>
        <v>0</v>
      </c>
      <c r="K22385" s="21" t="n">
        <f aca="false">IF(K22283=Assumptions!$K$62,1,0)</f>
        <v>0</v>
      </c>
    </row>
    <row r="22387" customFormat="false" ht="15" hidden="false" customHeight="false" outlineLevel="0" collapsed="false">
      <c r="A22387" s="3" t="s">
        <v>331</v>
      </c>
      <c r="G22387" s="31" t="n">
        <f aca="false">IF(Assumptions!$I$62=1,MAX(G22309,Assumptions!$G$62)+Assumptions!$F$62+$C$22310,Assumptions!$E$62)</f>
        <v>0.083</v>
      </c>
      <c r="H22387" s="31" t="n">
        <f aca="false">IF(G22634=1,$C$22311,IF(Assumptions!$I$62=1,MAX(H22309,Assumptions!$G$62)+Assumptions!$F$62+$C$22310,Assumptions!$E$62))</f>
        <v>0.083</v>
      </c>
      <c r="I22387" s="31" t="n">
        <f aca="false">IF(H22634=1,$C$22311,IF(Assumptions!$I$62=1,MAX(I22309,Assumptions!$G$62)+Assumptions!$F$62+$C$22310,Assumptions!$E$62))</f>
        <v>0.08</v>
      </c>
      <c r="J22387" s="31" t="n">
        <f aca="false">IF(I22634=1,$C$22311,IF(Assumptions!$I$62=1,MAX(J22309,Assumptions!$G$62)+Assumptions!$F$62+$C$22310,Assumptions!$E$62))</f>
        <v>0.08</v>
      </c>
      <c r="K22387" s="31" t="n">
        <f aca="false">IF(J22634=1,$C$22311,IF(Assumptions!$I$62=1,MAX(K22309,Assumptions!$G$62)+Assumptions!$F$62+$C$22310,Assumptions!$E$62))</f>
        <v>0.08</v>
      </c>
    </row>
    <row r="22388" customFormat="false" ht="15" hidden="false" customHeight="false" outlineLevel="0" collapsed="false">
      <c r="A22388" s="3" t="s">
        <v>332</v>
      </c>
      <c r="G22388" s="16" t="n">
        <f aca="false">G22384*G22387</f>
        <v>29.05</v>
      </c>
      <c r="H22388" s="16" t="n">
        <f aca="false">H22384*H22387</f>
        <v>29.05</v>
      </c>
      <c r="I22388" s="16" t="n">
        <f aca="false">I22384*I22387</f>
        <v>28</v>
      </c>
      <c r="J22388" s="16" t="n">
        <f aca="false">J22384*J22387</f>
        <v>28</v>
      </c>
      <c r="K22388" s="16" t="n">
        <f aca="false">K22384*K22387</f>
        <v>28</v>
      </c>
    </row>
    <row r="22389" customFormat="false" ht="15" hidden="false" customHeight="false" outlineLevel="0" collapsed="false">
      <c r="A22389" s="3" t="s">
        <v>333</v>
      </c>
      <c r="G22389" s="16" t="n">
        <f aca="false">G22384*Assumptions!$H$62</f>
        <v>0</v>
      </c>
      <c r="H22389" s="16" t="n">
        <f aca="false">H22384*Assumptions!$H$62</f>
        <v>0</v>
      </c>
      <c r="I22389" s="16" t="n">
        <f aca="false">I22384*Assumptions!$H$62</f>
        <v>0</v>
      </c>
      <c r="J22389" s="16" t="n">
        <f aca="false">J22384*Assumptions!$H$62</f>
        <v>0</v>
      </c>
      <c r="K22389" s="16" t="n">
        <f aca="false">K22384*Assumptions!$H$62</f>
        <v>0</v>
      </c>
    </row>
    <row r="22390" customFormat="false" ht="15" hidden="false" customHeight="false" outlineLevel="0" collapsed="false">
      <c r="A22390" s="3" t="s">
        <v>334</v>
      </c>
      <c r="G22390" s="16" t="n">
        <f aca="false">MIN(G22384,Assumptions!$L$62*Assumptions!$C$62)</f>
        <v>0</v>
      </c>
      <c r="H22390" s="16" t="n">
        <f aca="false">MIN(H22384,Assumptions!$L$62*Assumptions!$C$62)</f>
        <v>0</v>
      </c>
      <c r="I22390" s="16" t="n">
        <f aca="false">MIN(I22384,Assumptions!$L$62*Assumptions!$C$62)</f>
        <v>0</v>
      </c>
      <c r="J22390" s="16" t="n">
        <f aca="false">MIN(J22384,Assumptions!$L$62*Assumptions!$C$62)</f>
        <v>0</v>
      </c>
      <c r="K22390" s="16" t="n">
        <f aca="false">MIN(K22384,Assumptions!$L$62*Assumptions!$C$62)</f>
        <v>0</v>
      </c>
    </row>
    <row r="22391" customFormat="false" ht="15" hidden="false" customHeight="false" outlineLevel="0" collapsed="false">
      <c r="A22391" s="3" t="s">
        <v>335</v>
      </c>
      <c r="G22391" s="16" t="n">
        <f aca="false">IF(AND(Assumptions!$P$62=1,G22283&lt;Assumptions!$K$62),MIN(MAX(0,-G22499),MAX(0,Assumptions!$D$62-G22384)),0)</f>
        <v>0</v>
      </c>
      <c r="H22391" s="16" t="n">
        <f aca="false">IF(AND(Assumptions!$P$62=1,OR(H22283&lt;Assumptions!$K$62,G22634=1)),MIN(MAX(0,-H22499),MAX(0,Assumptions!$D$62-H22384)),0)</f>
        <v>0</v>
      </c>
      <c r="I22391" s="16" t="n">
        <f aca="false">IF(AND(Assumptions!$P$62=1,OR(I22283&lt;Assumptions!$K$62,H22634=1)),MIN(MAX(0,-I22499),MAX(0,Assumptions!$D$62-I22384)),0)</f>
        <v>0</v>
      </c>
      <c r="J22391" s="16" t="n">
        <f aca="false">IF(AND(Assumptions!$P$62=1,OR(J22283&lt;Assumptions!$K$62,I22634=1)),MIN(MAX(0,-J22499),MAX(0,Assumptions!$D$62-J22384)),0)</f>
        <v>0</v>
      </c>
      <c r="K22391" s="16" t="n">
        <f aca="false">IF(AND(Assumptions!$P$62=1,OR(K22283&lt;Assumptions!$K$62,J22634=1)),MIN(MAX(0,-K22499),MAX(0,Assumptions!$D$62-K22384)),0)</f>
        <v>0</v>
      </c>
    </row>
    <row r="22392" customFormat="false" ht="15" hidden="false" customHeight="false" outlineLevel="0" collapsed="false">
      <c r="A22392" s="3" t="s">
        <v>336</v>
      </c>
      <c r="G22392" s="16" t="n">
        <f aca="false">G22385*MIN(G22384-G22390+G22389,MAX(0,G22501-Assumptions!$C$12*G22317-G22327-G22340-G22353-G22366-G22379))</f>
        <v>0</v>
      </c>
      <c r="H22392" s="16" t="n">
        <f aca="false">H22385*MIN(H22384-H22390+H22389,MAX(0,H22501-Assumptions!$C$12*H22317-H22327-H22340-H22353-H22366-H22379))</f>
        <v>0</v>
      </c>
      <c r="I22392" s="16" t="n">
        <f aca="false">I22385*MIN(I22384-I22390+I22389,MAX(0,I22501-Assumptions!$C$12*I22317-I22327-I22340-I22353-I22366-I22379))</f>
        <v>0</v>
      </c>
      <c r="J22392" s="16" t="n">
        <f aca="false">J22385*MIN(J22384-J22390+J22389,MAX(0,J22501-Assumptions!$C$12*J22317-J22327-J22340-J22353-J22366-J22379))</f>
        <v>0</v>
      </c>
      <c r="K22392" s="16" t="n">
        <f aca="false">K22385*MIN(K22384-K22390+K22389,MAX(0,K22501-Assumptions!$C$12*K22317-K22327-K22340-K22353-K22366-K22379))</f>
        <v>0</v>
      </c>
    </row>
    <row r="22393" customFormat="false" ht="15" hidden="false" customHeight="false" outlineLevel="0" collapsed="false">
      <c r="A22393" s="3" t="s">
        <v>337</v>
      </c>
      <c r="G22393" s="16" t="n">
        <f aca="false">Assumptions!$N$62*MIN(G22384+G22391+G22389-G22390-G22392,MAX(0,G22505-G22328-G22341-G22354-G22367-G22380))</f>
        <v>0</v>
      </c>
      <c r="H22393" s="16" t="n">
        <f aca="false">Assumptions!$N$62*MIN(H22384+H22391+H22389-H22390-H22392,MAX(0,H22505-H22328-H22341-H22354-H22367-H22380))</f>
        <v>0</v>
      </c>
      <c r="I22393" s="16" t="n">
        <f aca="false">Assumptions!$N$62*MIN(I22384+I22391+I22389-I22390-I22392,MAX(0,I22505-I22328-I22341-I22354-I22367-I22380))</f>
        <v>0</v>
      </c>
      <c r="J22393" s="16" t="n">
        <f aca="false">Assumptions!$N$62*MIN(J22384+J22391+J22389-J22390-J22392,MAX(0,J22505-J22328-J22341-J22354-J22367-J22380))</f>
        <v>0</v>
      </c>
      <c r="K22393" s="16" t="n">
        <f aca="false">Assumptions!$N$62*MIN(K22384+K22391+K22389-K22390-K22392,MAX(0,K22505-K22328-K22341-K22354-K22367-K22380))</f>
        <v>0</v>
      </c>
    </row>
    <row r="22394" customFormat="false" ht="15" hidden="false" customHeight="false" outlineLevel="0" collapsed="false">
      <c r="A22394" s="3" t="s">
        <v>338</v>
      </c>
      <c r="G22394" s="16" t="n">
        <f aca="false">G22385*(1-G22317)*(G22384-G22390+G22389-G22392)</f>
        <v>0</v>
      </c>
      <c r="H22394" s="16" t="n">
        <f aca="false">H22385*(1-H22317)*(H22384-H22390+H22389-H22392)</f>
        <v>0</v>
      </c>
      <c r="I22394" s="16" t="n">
        <f aca="false">I22385*(1-I22317)*(I22384-I22390+I22389-I22392)</f>
        <v>0</v>
      </c>
      <c r="J22394" s="16" t="n">
        <f aca="false">J22385*(1-J22317)*(J22384-J22390+J22389-J22392)</f>
        <v>0</v>
      </c>
      <c r="K22394" s="16" t="n">
        <f aca="false">K22385*(1-K22317)*(K22384-K22390+K22389-K22392)</f>
        <v>0</v>
      </c>
    </row>
    <row r="22395" customFormat="false" ht="15" hidden="false" customHeight="false" outlineLevel="0" collapsed="false">
      <c r="A22395" s="2" t="s">
        <v>339</v>
      </c>
      <c r="F22395" s="28" t="n">
        <f aca="false">Assumptions!$C$62</f>
        <v>350</v>
      </c>
      <c r="G22395" s="17" t="n">
        <f aca="false">G22384+G22391+G22389-G22390-G22392-G22393</f>
        <v>350</v>
      </c>
      <c r="H22395" s="17" t="n">
        <f aca="false">H22384+H22391+H22389-H22390-H22392-H22393</f>
        <v>350</v>
      </c>
      <c r="I22395" s="17" t="n">
        <f aca="false">I22384+I22391+I22389-I22390-I22392-I22393</f>
        <v>350</v>
      </c>
      <c r="J22395" s="17" t="n">
        <f aca="false">J22384+J22391+J22389-J22390-J22392-J22393</f>
        <v>350</v>
      </c>
      <c r="K22395" s="17" t="n">
        <f aca="false">K22384+K22391+K22389-K22390-K22392-K22393</f>
        <v>350</v>
      </c>
    </row>
    <row r="22396" customFormat="false" ht="15" hidden="false" customHeight="false" outlineLevel="0" collapsed="false">
      <c r="A22396" s="24" t="s">
        <v>345</v>
      </c>
      <c r="B22396" s="25"/>
      <c r="C22396" s="25"/>
      <c r="D22396" s="25"/>
      <c r="E22396" s="25"/>
      <c r="F22396" s="25"/>
      <c r="G22396" s="25"/>
      <c r="H22396" s="25"/>
      <c r="I22396" s="25"/>
      <c r="J22396" s="25"/>
      <c r="K22396" s="25"/>
    </row>
    <row r="22397" customFormat="false" ht="15" hidden="false" customHeight="false" outlineLevel="0" collapsed="false">
      <c r="A22397" s="3" t="s">
        <v>329</v>
      </c>
      <c r="G22397" s="16" t="n">
        <f aca="false">F22408</f>
        <v>550</v>
      </c>
      <c r="H22397" s="16" t="n">
        <f aca="false">G22408</f>
        <v>550</v>
      </c>
      <c r="I22397" s="16" t="n">
        <f aca="false">H22408</f>
        <v>550</v>
      </c>
      <c r="J22397" s="16" t="n">
        <f aca="false">I22408</f>
        <v>550</v>
      </c>
      <c r="K22397" s="16" t="n">
        <f aca="false">J22408</f>
        <v>550</v>
      </c>
    </row>
    <row r="22398" customFormat="false" ht="15" hidden="false" customHeight="false" outlineLevel="0" collapsed="false">
      <c r="A22398" s="3" t="s">
        <v>330</v>
      </c>
      <c r="G22398" s="21" t="n">
        <f aca="false">IF(G22283=Assumptions!$K$63,1,0)</f>
        <v>0</v>
      </c>
      <c r="H22398" s="21" t="n">
        <f aca="false">IF(H22283=Assumptions!$K$63,1,0)</f>
        <v>0</v>
      </c>
      <c r="I22398" s="21" t="n">
        <f aca="false">IF(I22283=Assumptions!$K$63,1,0)</f>
        <v>1</v>
      </c>
      <c r="J22398" s="21" t="n">
        <f aca="false">IF(J22283=Assumptions!$K$63,1,0)</f>
        <v>0</v>
      </c>
      <c r="K22398" s="21" t="n">
        <f aca="false">IF(K22283=Assumptions!$K$63,1,0)</f>
        <v>0</v>
      </c>
    </row>
    <row r="22400" customFormat="false" ht="15" hidden="false" customHeight="false" outlineLevel="0" collapsed="false">
      <c r="A22400" s="3" t="s">
        <v>331</v>
      </c>
      <c r="G22400" s="31" t="n">
        <f aca="false">IF(Assumptions!$I$63=1,MAX(G22309,Assumptions!$G$63)+Assumptions!$F$63+$C$22310,Assumptions!$E$63)</f>
        <v>0.08875</v>
      </c>
      <c r="H22400" s="31" t="n">
        <f aca="false">IF(G22635=1,$C$22311,IF(Assumptions!$I$63=1,MAX(H22309,Assumptions!$G$63)+Assumptions!$F$63+$C$22310,Assumptions!$E$63))</f>
        <v>0.08875</v>
      </c>
      <c r="I22400" s="31" t="n">
        <f aca="false">IF(H22635=1,$C$22311,IF(Assumptions!$I$63=1,MAX(I22309,Assumptions!$G$63)+Assumptions!$F$63+$C$22310,Assumptions!$E$63))</f>
        <v>0.08875</v>
      </c>
      <c r="J22400" s="31" t="n">
        <f aca="false">IF(I22635=1,$C$22311,IF(Assumptions!$I$63=1,MAX(J22309,Assumptions!$G$63)+Assumptions!$F$63+$C$22310,Assumptions!$E$63))</f>
        <v>0.08</v>
      </c>
      <c r="K22400" s="31" t="n">
        <f aca="false">IF(J22635=1,$C$22311,IF(Assumptions!$I$63=1,MAX(K22309,Assumptions!$G$63)+Assumptions!$F$63+$C$22310,Assumptions!$E$63))</f>
        <v>0.08</v>
      </c>
    </row>
    <row r="22401" customFormat="false" ht="15" hidden="false" customHeight="false" outlineLevel="0" collapsed="false">
      <c r="A22401" s="3" t="s">
        <v>332</v>
      </c>
      <c r="G22401" s="16" t="n">
        <f aca="false">G22397*G22400</f>
        <v>48.8125</v>
      </c>
      <c r="H22401" s="16" t="n">
        <f aca="false">H22397*H22400</f>
        <v>48.8125</v>
      </c>
      <c r="I22401" s="16" t="n">
        <f aca="false">I22397*I22400</f>
        <v>48.8125</v>
      </c>
      <c r="J22401" s="16" t="n">
        <f aca="false">J22397*J22400</f>
        <v>44</v>
      </c>
      <c r="K22401" s="16" t="n">
        <f aca="false">K22397*K22400</f>
        <v>44</v>
      </c>
    </row>
    <row r="22402" customFormat="false" ht="15" hidden="false" customHeight="false" outlineLevel="0" collapsed="false">
      <c r="A22402" s="3" t="s">
        <v>333</v>
      </c>
      <c r="G22402" s="16" t="n">
        <f aca="false">G22397*Assumptions!$H$63</f>
        <v>0</v>
      </c>
      <c r="H22402" s="16" t="n">
        <f aca="false">H22397*Assumptions!$H$63</f>
        <v>0</v>
      </c>
      <c r="I22402" s="16" t="n">
        <f aca="false">I22397*Assumptions!$H$63</f>
        <v>0</v>
      </c>
      <c r="J22402" s="16" t="n">
        <f aca="false">J22397*Assumptions!$H$63</f>
        <v>0</v>
      </c>
      <c r="K22402" s="16" t="n">
        <f aca="false">K22397*Assumptions!$H$63</f>
        <v>0</v>
      </c>
    </row>
    <row r="22403" customFormat="false" ht="15" hidden="false" customHeight="false" outlineLevel="0" collapsed="false">
      <c r="A22403" s="3" t="s">
        <v>334</v>
      </c>
      <c r="G22403" s="16" t="n">
        <f aca="false">MIN(G22397,Assumptions!$L$63*Assumptions!$C$63)</f>
        <v>0</v>
      </c>
      <c r="H22403" s="16" t="n">
        <f aca="false">MIN(H22397,Assumptions!$L$63*Assumptions!$C$63)</f>
        <v>0</v>
      </c>
      <c r="I22403" s="16" t="n">
        <f aca="false">MIN(I22397,Assumptions!$L$63*Assumptions!$C$63)</f>
        <v>0</v>
      </c>
      <c r="J22403" s="16" t="n">
        <f aca="false">MIN(J22397,Assumptions!$L$63*Assumptions!$C$63)</f>
        <v>0</v>
      </c>
      <c r="K22403" s="16" t="n">
        <f aca="false">MIN(K22397,Assumptions!$L$63*Assumptions!$C$63)</f>
        <v>0</v>
      </c>
    </row>
    <row r="22404" customFormat="false" ht="15" hidden="false" customHeight="false" outlineLevel="0" collapsed="false">
      <c r="A22404" s="3" t="s">
        <v>335</v>
      </c>
      <c r="G22404" s="16" t="n">
        <f aca="false">IF(AND(Assumptions!$P$63=1,G22283&lt;Assumptions!$K$63),MIN(MAX(0,-G22499),MAX(0,Assumptions!$D$63-G22397)),0)</f>
        <v>0</v>
      </c>
      <c r="H22404" s="16" t="n">
        <f aca="false">IF(AND(Assumptions!$P$63=1,OR(H22283&lt;Assumptions!$K$63,G22635=1)),MIN(MAX(0,-H22499),MAX(0,Assumptions!$D$63-H22397)),0)</f>
        <v>0</v>
      </c>
      <c r="I22404" s="16" t="n">
        <f aca="false">IF(AND(Assumptions!$P$63=1,OR(I22283&lt;Assumptions!$K$63,H22635=1)),MIN(MAX(0,-I22499),MAX(0,Assumptions!$D$63-I22397)),0)</f>
        <v>0</v>
      </c>
      <c r="J22404" s="16" t="n">
        <f aca="false">IF(AND(Assumptions!$P$63=1,OR(J22283&lt;Assumptions!$K$63,I22635=1)),MIN(MAX(0,-J22499),MAX(0,Assumptions!$D$63-J22397)),0)</f>
        <v>0</v>
      </c>
      <c r="K22404" s="16" t="n">
        <f aca="false">IF(AND(Assumptions!$P$63=1,OR(K22283&lt;Assumptions!$K$63,J22635=1)),MIN(MAX(0,-K22499),MAX(0,Assumptions!$D$63-K22397)),0)</f>
        <v>0</v>
      </c>
    </row>
    <row r="22405" customFormat="false" ht="15" hidden="false" customHeight="false" outlineLevel="0" collapsed="false">
      <c r="A22405" s="3" t="s">
        <v>336</v>
      </c>
      <c r="G22405" s="16" t="n">
        <f aca="false">G22398*MIN(G22397-G22403+G22402,MAX(0,G22501-Assumptions!$C$12*G22317-G22327-G22340-G22353-G22366-G22379-G22392))</f>
        <v>0</v>
      </c>
      <c r="H22405" s="16" t="n">
        <f aca="false">H22398*MIN(H22397-H22403+H22402,MAX(0,H22501-Assumptions!$C$12*H22317-H22327-H22340-H22353-H22366-H22379-H22392))</f>
        <v>0</v>
      </c>
      <c r="I22405" s="16" t="n">
        <f aca="false">I22398*MIN(I22397-I22403+I22402,MAX(0,I22501-Assumptions!$C$12*I22317-I22327-I22340-I22353-I22366-I22379-I22392))</f>
        <v>0</v>
      </c>
      <c r="J22405" s="16" t="n">
        <f aca="false">J22398*MIN(J22397-J22403+J22402,MAX(0,J22501-Assumptions!$C$12*J22317-J22327-J22340-J22353-J22366-J22379-J22392))</f>
        <v>0</v>
      </c>
      <c r="K22405" s="16" t="n">
        <f aca="false">K22398*MIN(K22397-K22403+K22402,MAX(0,K22501-Assumptions!$C$12*K22317-K22327-K22340-K22353-K22366-K22379-K22392))</f>
        <v>0</v>
      </c>
    </row>
    <row r="22406" customFormat="false" ht="15" hidden="false" customHeight="false" outlineLevel="0" collapsed="false">
      <c r="A22406" s="3" t="s">
        <v>337</v>
      </c>
      <c r="G22406" s="16" t="n">
        <f aca="false">Assumptions!$N$63*MIN(G22397+G22404+G22402-G22403-G22405,MAX(0,G22505-G22328-G22341-G22354-G22367-G22380-G22393))</f>
        <v>0</v>
      </c>
      <c r="H22406" s="16" t="n">
        <f aca="false">Assumptions!$N$63*MIN(H22397+H22404+H22402-H22403-H22405,MAX(0,H22505-H22328-H22341-H22354-H22367-H22380-H22393))</f>
        <v>0</v>
      </c>
      <c r="I22406" s="16" t="n">
        <f aca="false">Assumptions!$N$63*MIN(I22397+I22404+I22402-I22403-I22405,MAX(0,I22505-I22328-I22341-I22354-I22367-I22380-I22393))</f>
        <v>0</v>
      </c>
      <c r="J22406" s="16" t="n">
        <f aca="false">Assumptions!$N$63*MIN(J22397+J22404+J22402-J22403-J22405,MAX(0,J22505-J22328-J22341-J22354-J22367-J22380-J22393))</f>
        <v>0</v>
      </c>
      <c r="K22406" s="16" t="n">
        <f aca="false">Assumptions!$N$63*MIN(K22397+K22404+K22402-K22403-K22405,MAX(0,K22505-K22328-K22341-K22354-K22367-K22380-K22393))</f>
        <v>0</v>
      </c>
    </row>
    <row r="22407" customFormat="false" ht="15" hidden="false" customHeight="false" outlineLevel="0" collapsed="false">
      <c r="A22407" s="3" t="s">
        <v>338</v>
      </c>
      <c r="G22407" s="16" t="n">
        <f aca="false">G22398*(1-G22317)*(G22397-G22403+G22402-G22405)</f>
        <v>0</v>
      </c>
      <c r="H22407" s="16" t="n">
        <f aca="false">H22398*(1-H22317)*(H22397-H22403+H22402-H22405)</f>
        <v>0</v>
      </c>
      <c r="I22407" s="16" t="n">
        <f aca="false">I22398*(1-I22317)*(I22397-I22403+I22402-I22405)</f>
        <v>0</v>
      </c>
      <c r="J22407" s="16" t="n">
        <f aca="false">J22398*(1-J22317)*(J22397-J22403+J22402-J22405)</f>
        <v>0</v>
      </c>
      <c r="K22407" s="16" t="n">
        <f aca="false">K22398*(1-K22317)*(K22397-K22403+K22402-K22405)</f>
        <v>0</v>
      </c>
    </row>
    <row r="22408" customFormat="false" ht="15" hidden="false" customHeight="false" outlineLevel="0" collapsed="false">
      <c r="A22408" s="2" t="s">
        <v>339</v>
      </c>
      <c r="F22408" s="28" t="n">
        <f aca="false">Assumptions!$C$63</f>
        <v>550</v>
      </c>
      <c r="G22408" s="17" t="n">
        <f aca="false">G22397+G22404+G22402-G22403-G22405-G22406</f>
        <v>550</v>
      </c>
      <c r="H22408" s="17" t="n">
        <f aca="false">H22397+H22404+H22402-H22403-H22405-H22406</f>
        <v>550</v>
      </c>
      <c r="I22408" s="17" t="n">
        <f aca="false">I22397+I22404+I22402-I22403-I22405-I22406</f>
        <v>550</v>
      </c>
      <c r="J22408" s="17" t="n">
        <f aca="false">J22397+J22404+J22402-J22403-J22405-J22406</f>
        <v>550</v>
      </c>
      <c r="K22408" s="17" t="n">
        <f aca="false">K22397+K22404+K22402-K22403-K22405-K22406</f>
        <v>550</v>
      </c>
    </row>
    <row r="22409" customFormat="false" ht="15" hidden="false" customHeight="false" outlineLevel="0" collapsed="false">
      <c r="A22409" s="24" t="s">
        <v>346</v>
      </c>
      <c r="B22409" s="25"/>
      <c r="C22409" s="25"/>
      <c r="D22409" s="25"/>
      <c r="E22409" s="25"/>
      <c r="F22409" s="25"/>
      <c r="G22409" s="25"/>
      <c r="H22409" s="25"/>
      <c r="I22409" s="25"/>
      <c r="J22409" s="25"/>
      <c r="K22409" s="25"/>
    </row>
    <row r="22410" customFormat="false" ht="15" hidden="false" customHeight="false" outlineLevel="0" collapsed="false">
      <c r="A22410" s="3" t="s">
        <v>329</v>
      </c>
      <c r="G22410" s="16" t="n">
        <f aca="false">F22421</f>
        <v>350</v>
      </c>
      <c r="H22410" s="16" t="n">
        <f aca="false">G22421</f>
        <v>350</v>
      </c>
      <c r="I22410" s="16" t="n">
        <f aca="false">H22421</f>
        <v>350</v>
      </c>
      <c r="J22410" s="16" t="n">
        <f aca="false">I22421</f>
        <v>350</v>
      </c>
      <c r="K22410" s="16" t="n">
        <f aca="false">J22421</f>
        <v>350</v>
      </c>
    </row>
    <row r="22411" customFormat="false" ht="15" hidden="false" customHeight="false" outlineLevel="0" collapsed="false">
      <c r="A22411" s="3" t="s">
        <v>330</v>
      </c>
      <c r="G22411" s="21" t="n">
        <f aca="false">IF(G22283=Assumptions!$K$64,1,0)</f>
        <v>0</v>
      </c>
      <c r="H22411" s="21" t="n">
        <f aca="false">IF(H22283=Assumptions!$K$64,1,0)</f>
        <v>0</v>
      </c>
      <c r="I22411" s="21" t="n">
        <f aca="false">IF(I22283=Assumptions!$K$64,1,0)</f>
        <v>0</v>
      </c>
      <c r="J22411" s="21" t="n">
        <f aca="false">IF(J22283=Assumptions!$K$64,1,0)</f>
        <v>1</v>
      </c>
      <c r="K22411" s="21" t="n">
        <f aca="false">IF(K22283=Assumptions!$K$64,1,0)</f>
        <v>0</v>
      </c>
    </row>
    <row r="22413" customFormat="false" ht="15" hidden="false" customHeight="false" outlineLevel="0" collapsed="false">
      <c r="A22413" s="3" t="s">
        <v>331</v>
      </c>
      <c r="G22413" s="31" t="n">
        <f aca="false">IF(Assumptions!$I$64=1,MAX(G22309,Assumptions!$G$64)+Assumptions!$F$64+$C$22310,Assumptions!$E$64)</f>
        <v>0.0455</v>
      </c>
      <c r="H22413" s="31" t="n">
        <f aca="false">IF(G22636=1,$C$22311,IF(Assumptions!$I$64=1,MAX(H22309,Assumptions!$G$64)+Assumptions!$F$64+$C$22310,Assumptions!$E$64))</f>
        <v>0.0455</v>
      </c>
      <c r="I22413" s="31" t="n">
        <f aca="false">IF(H22636=1,$C$22311,IF(Assumptions!$I$64=1,MAX(I22309,Assumptions!$G$64)+Assumptions!$F$64+$C$22310,Assumptions!$E$64))</f>
        <v>0.0455</v>
      </c>
      <c r="J22413" s="31" t="n">
        <f aca="false">IF(I22636=1,$C$22311,IF(Assumptions!$I$64=1,MAX(J22309,Assumptions!$G$64)+Assumptions!$F$64+$C$22310,Assumptions!$E$64))</f>
        <v>0.0455</v>
      </c>
      <c r="K22413" s="31" t="n">
        <f aca="false">IF(J22636=1,$C$22311,IF(Assumptions!$I$64=1,MAX(K22309,Assumptions!$G$64)+Assumptions!$F$64+$C$22310,Assumptions!$E$64))</f>
        <v>0.08</v>
      </c>
    </row>
    <row r="22414" customFormat="false" ht="15" hidden="false" customHeight="false" outlineLevel="0" collapsed="false">
      <c r="A22414" s="3" t="s">
        <v>332</v>
      </c>
      <c r="G22414" s="16" t="n">
        <f aca="false">G22410*G22413</f>
        <v>15.925</v>
      </c>
      <c r="H22414" s="16" t="n">
        <f aca="false">H22410*H22413</f>
        <v>15.925</v>
      </c>
      <c r="I22414" s="16" t="n">
        <f aca="false">I22410*I22413</f>
        <v>15.925</v>
      </c>
      <c r="J22414" s="16" t="n">
        <f aca="false">J22410*J22413</f>
        <v>15.925</v>
      </c>
      <c r="K22414" s="16" t="n">
        <f aca="false">K22410*K22413</f>
        <v>28</v>
      </c>
    </row>
    <row r="22415" customFormat="false" ht="15" hidden="false" customHeight="false" outlineLevel="0" collapsed="false">
      <c r="A22415" s="3" t="s">
        <v>333</v>
      </c>
      <c r="G22415" s="16" t="n">
        <f aca="false">G22410*Assumptions!$H$64</f>
        <v>0</v>
      </c>
      <c r="H22415" s="16" t="n">
        <f aca="false">H22410*Assumptions!$H$64</f>
        <v>0</v>
      </c>
      <c r="I22415" s="16" t="n">
        <f aca="false">I22410*Assumptions!$H$64</f>
        <v>0</v>
      </c>
      <c r="J22415" s="16" t="n">
        <f aca="false">J22410*Assumptions!$H$64</f>
        <v>0</v>
      </c>
      <c r="K22415" s="16" t="n">
        <f aca="false">K22410*Assumptions!$H$64</f>
        <v>0</v>
      </c>
    </row>
    <row r="22416" customFormat="false" ht="15" hidden="false" customHeight="false" outlineLevel="0" collapsed="false">
      <c r="A22416" s="3" t="s">
        <v>334</v>
      </c>
      <c r="G22416" s="16" t="n">
        <f aca="false">MIN(G22410,Assumptions!$L$64*Assumptions!$C$64)</f>
        <v>0</v>
      </c>
      <c r="H22416" s="16" t="n">
        <f aca="false">MIN(H22410,Assumptions!$L$64*Assumptions!$C$64)</f>
        <v>0</v>
      </c>
      <c r="I22416" s="16" t="n">
        <f aca="false">MIN(I22410,Assumptions!$L$64*Assumptions!$C$64)</f>
        <v>0</v>
      </c>
      <c r="J22416" s="16" t="n">
        <f aca="false">MIN(J22410,Assumptions!$L$64*Assumptions!$C$64)</f>
        <v>0</v>
      </c>
      <c r="K22416" s="16" t="n">
        <f aca="false">MIN(K22410,Assumptions!$L$64*Assumptions!$C$64)</f>
        <v>0</v>
      </c>
    </row>
    <row r="22417" customFormat="false" ht="15" hidden="false" customHeight="false" outlineLevel="0" collapsed="false">
      <c r="A22417" s="3" t="s">
        <v>335</v>
      </c>
      <c r="G22417" s="16" t="n">
        <f aca="false">IF(AND(Assumptions!$P$64=1,G22283&lt;Assumptions!$K$64),MIN(MAX(0,-G22499),MAX(0,Assumptions!$D$64-G22410)),0)</f>
        <v>0</v>
      </c>
      <c r="H22417" s="16" t="n">
        <f aca="false">IF(AND(Assumptions!$P$64=1,OR(H22283&lt;Assumptions!$K$64,G22636=1)),MIN(MAX(0,-H22499),MAX(0,Assumptions!$D$64-H22410)),0)</f>
        <v>0</v>
      </c>
      <c r="I22417" s="16" t="n">
        <f aca="false">IF(AND(Assumptions!$P$64=1,OR(I22283&lt;Assumptions!$K$64,H22636=1)),MIN(MAX(0,-I22499),MAX(0,Assumptions!$D$64-I22410)),0)</f>
        <v>0</v>
      </c>
      <c r="J22417" s="16" t="n">
        <f aca="false">IF(AND(Assumptions!$P$64=1,OR(J22283&lt;Assumptions!$K$64,I22636=1)),MIN(MAX(0,-J22499),MAX(0,Assumptions!$D$64-J22410)),0)</f>
        <v>0</v>
      </c>
      <c r="K22417" s="16" t="n">
        <f aca="false">IF(AND(Assumptions!$P$64=1,OR(K22283&lt;Assumptions!$K$64,J22636=1)),MIN(MAX(0,-K22499),MAX(0,Assumptions!$D$64-K22410)),0)</f>
        <v>0</v>
      </c>
    </row>
    <row r="22418" customFormat="false" ht="15" hidden="false" customHeight="false" outlineLevel="0" collapsed="false">
      <c r="A22418" s="3" t="s">
        <v>336</v>
      </c>
      <c r="G22418" s="16" t="n">
        <f aca="false">G22411*MIN(G22410-G22416+G22415,MAX(0,G22501-Assumptions!$C$12*G22317-G22327-G22340-G22353-G22366-G22379-G22392-G22405))</f>
        <v>0</v>
      </c>
      <c r="H22418" s="16" t="n">
        <f aca="false">H22411*MIN(H22410-H22416+H22415,MAX(0,H22501-Assumptions!$C$12*H22317-H22327-H22340-H22353-H22366-H22379-H22392-H22405))</f>
        <v>0</v>
      </c>
      <c r="I22418" s="16" t="n">
        <f aca="false">I22411*MIN(I22410-I22416+I22415,MAX(0,I22501-Assumptions!$C$12*I22317-I22327-I22340-I22353-I22366-I22379-I22392-I22405))</f>
        <v>0</v>
      </c>
      <c r="J22418" s="16" t="n">
        <f aca="false">J22411*MIN(J22410-J22416+J22415,MAX(0,J22501-Assumptions!$C$12*J22317-J22327-J22340-J22353-J22366-J22379-J22392-J22405))</f>
        <v>0</v>
      </c>
      <c r="K22418" s="16" t="n">
        <f aca="false">K22411*MIN(K22410-K22416+K22415,MAX(0,K22501-Assumptions!$C$12*K22317-K22327-K22340-K22353-K22366-K22379-K22392-K22405))</f>
        <v>0</v>
      </c>
    </row>
    <row r="22419" customFormat="false" ht="15" hidden="false" customHeight="false" outlineLevel="0" collapsed="false">
      <c r="A22419" s="3" t="s">
        <v>337</v>
      </c>
      <c r="G22419" s="16" t="n">
        <f aca="false">Assumptions!$N$64*MIN(G22410+G22417+G22415-G22416-G22418,MAX(0,G22505-G22328-G22341-G22354-G22367-G22380-G22393-G22406))</f>
        <v>0</v>
      </c>
      <c r="H22419" s="16" t="n">
        <f aca="false">Assumptions!$N$64*MIN(H22410+H22417+H22415-H22416-H22418,MAX(0,H22505-H22328-H22341-H22354-H22367-H22380-H22393-H22406))</f>
        <v>0</v>
      </c>
      <c r="I22419" s="16" t="n">
        <f aca="false">Assumptions!$N$64*MIN(I22410+I22417+I22415-I22416-I22418,MAX(0,I22505-I22328-I22341-I22354-I22367-I22380-I22393-I22406))</f>
        <v>0</v>
      </c>
      <c r="J22419" s="16" t="n">
        <f aca="false">Assumptions!$N$64*MIN(J22410+J22417+J22415-J22416-J22418,MAX(0,J22505-J22328-J22341-J22354-J22367-J22380-J22393-J22406))</f>
        <v>0</v>
      </c>
      <c r="K22419" s="16" t="n">
        <f aca="false">Assumptions!$N$64*MIN(K22410+K22417+K22415-K22416-K22418,MAX(0,K22505-K22328-K22341-K22354-K22367-K22380-K22393-K22406))</f>
        <v>0</v>
      </c>
    </row>
    <row r="22420" customFormat="false" ht="15" hidden="false" customHeight="false" outlineLevel="0" collapsed="false">
      <c r="A22420" s="3" t="s">
        <v>338</v>
      </c>
      <c r="G22420" s="16" t="n">
        <f aca="false">G22411*(1-G22317)*(G22410-G22416+G22415-G22418)</f>
        <v>0</v>
      </c>
      <c r="H22420" s="16" t="n">
        <f aca="false">H22411*(1-H22317)*(H22410-H22416+H22415-H22418)</f>
        <v>0</v>
      </c>
      <c r="I22420" s="16" t="n">
        <f aca="false">I22411*(1-I22317)*(I22410-I22416+I22415-I22418)</f>
        <v>0</v>
      </c>
      <c r="J22420" s="16" t="n">
        <f aca="false">J22411*(1-J22317)*(J22410-J22416+J22415-J22418)</f>
        <v>0</v>
      </c>
      <c r="K22420" s="16" t="n">
        <f aca="false">K22411*(1-K22317)*(K22410-K22416+K22415-K22418)</f>
        <v>0</v>
      </c>
    </row>
    <row r="22421" customFormat="false" ht="15" hidden="false" customHeight="false" outlineLevel="0" collapsed="false">
      <c r="A22421" s="2" t="s">
        <v>339</v>
      </c>
      <c r="F22421" s="28" t="n">
        <f aca="false">Assumptions!$C$64</f>
        <v>350</v>
      </c>
      <c r="G22421" s="17" t="n">
        <f aca="false">G22410+G22417+G22415-G22416-G22418-G22419</f>
        <v>350</v>
      </c>
      <c r="H22421" s="17" t="n">
        <f aca="false">H22410+H22417+H22415-H22416-H22418-H22419</f>
        <v>350</v>
      </c>
      <c r="I22421" s="17" t="n">
        <f aca="false">I22410+I22417+I22415-I22416-I22418-I22419</f>
        <v>350</v>
      </c>
      <c r="J22421" s="17" t="n">
        <f aca="false">J22410+J22417+J22415-J22416-J22418-J22419</f>
        <v>350</v>
      </c>
      <c r="K22421" s="17" t="n">
        <f aca="false">K22410+K22417+K22415-K22416-K22418-K22419</f>
        <v>350</v>
      </c>
    </row>
    <row r="22422" customFormat="false" ht="15" hidden="false" customHeight="false" outlineLevel="0" collapsed="false">
      <c r="A22422" s="24" t="s">
        <v>347</v>
      </c>
      <c r="B22422" s="25"/>
      <c r="C22422" s="25"/>
      <c r="D22422" s="25"/>
      <c r="E22422" s="25"/>
      <c r="F22422" s="25"/>
      <c r="G22422" s="25"/>
      <c r="H22422" s="25"/>
      <c r="I22422" s="25"/>
      <c r="J22422" s="25"/>
      <c r="K22422" s="25"/>
    </row>
    <row r="22423" customFormat="false" ht="15" hidden="false" customHeight="false" outlineLevel="0" collapsed="false">
      <c r="A22423" s="3" t="s">
        <v>329</v>
      </c>
      <c r="G22423" s="16" t="n">
        <f aca="false">F22434</f>
        <v>300</v>
      </c>
      <c r="H22423" s="16" t="n">
        <f aca="false">G22434</f>
        <v>300</v>
      </c>
      <c r="I22423" s="16" t="n">
        <f aca="false">H22434</f>
        <v>300</v>
      </c>
      <c r="J22423" s="16" t="n">
        <f aca="false">I22434</f>
        <v>300</v>
      </c>
      <c r="K22423" s="16" t="n">
        <f aca="false">J22434</f>
        <v>300</v>
      </c>
    </row>
    <row r="22424" customFormat="false" ht="15" hidden="false" customHeight="false" outlineLevel="0" collapsed="false">
      <c r="A22424" s="3" t="s">
        <v>330</v>
      </c>
      <c r="G22424" s="21" t="n">
        <f aca="false">IF(G22283=Assumptions!$K$65,1,0)</f>
        <v>0</v>
      </c>
      <c r="H22424" s="21" t="n">
        <f aca="false">IF(H22283=Assumptions!$K$65,1,0)</f>
        <v>0</v>
      </c>
      <c r="I22424" s="21" t="n">
        <f aca="false">IF(I22283=Assumptions!$K$65,1,0)</f>
        <v>0</v>
      </c>
      <c r="J22424" s="21" t="n">
        <f aca="false">IF(J22283=Assumptions!$K$65,1,0)</f>
        <v>0</v>
      </c>
      <c r="K22424" s="21" t="n">
        <f aca="false">IF(K22283=Assumptions!$K$65,1,0)</f>
        <v>1</v>
      </c>
    </row>
    <row r="22426" customFormat="false" ht="15" hidden="false" customHeight="false" outlineLevel="0" collapsed="false">
      <c r="A22426" s="3" t="s">
        <v>331</v>
      </c>
      <c r="G22426" s="31" t="n">
        <f aca="false">IF(Assumptions!$I$65=1,MAX(G22309,Assumptions!$G$65)+Assumptions!$F$65+$C$22310,Assumptions!$E$65)</f>
        <v>0.06125</v>
      </c>
      <c r="H22426" s="31" t="n">
        <f aca="false">IF(G22637=1,$C$22311,IF(Assumptions!$I$65=1,MAX(H22309,Assumptions!$G$65)+Assumptions!$F$65+$C$22310,Assumptions!$E$65))</f>
        <v>0.06125</v>
      </c>
      <c r="I22426" s="31" t="n">
        <f aca="false">IF(H22637=1,$C$22311,IF(Assumptions!$I$65=1,MAX(I22309,Assumptions!$G$65)+Assumptions!$F$65+$C$22310,Assumptions!$E$65))</f>
        <v>0.06125</v>
      </c>
      <c r="J22426" s="31" t="n">
        <f aca="false">IF(I22637=1,$C$22311,IF(Assumptions!$I$65=1,MAX(J22309,Assumptions!$G$65)+Assumptions!$F$65+$C$22310,Assumptions!$E$65))</f>
        <v>0.06125</v>
      </c>
      <c r="K22426" s="31" t="n">
        <f aca="false">IF(J22637=1,$C$22311,IF(Assumptions!$I$65=1,MAX(K22309,Assumptions!$G$65)+Assumptions!$F$65+$C$22310,Assumptions!$E$65))</f>
        <v>0.06125</v>
      </c>
    </row>
    <row r="22427" customFormat="false" ht="15" hidden="false" customHeight="false" outlineLevel="0" collapsed="false">
      <c r="A22427" s="3" t="s">
        <v>332</v>
      </c>
      <c r="G22427" s="16" t="n">
        <f aca="false">G22423*G22426</f>
        <v>18.375</v>
      </c>
      <c r="H22427" s="16" t="n">
        <f aca="false">H22423*H22426</f>
        <v>18.375</v>
      </c>
      <c r="I22427" s="16" t="n">
        <f aca="false">I22423*I22426</f>
        <v>18.375</v>
      </c>
      <c r="J22427" s="16" t="n">
        <f aca="false">J22423*J22426</f>
        <v>18.375</v>
      </c>
      <c r="K22427" s="16" t="n">
        <f aca="false">K22423*K22426</f>
        <v>18.375</v>
      </c>
    </row>
    <row r="22428" customFormat="false" ht="15" hidden="false" customHeight="false" outlineLevel="0" collapsed="false">
      <c r="A22428" s="3" t="s">
        <v>333</v>
      </c>
      <c r="G22428" s="16" t="n">
        <f aca="false">G22423*Assumptions!$H$65</f>
        <v>0</v>
      </c>
      <c r="H22428" s="16" t="n">
        <f aca="false">H22423*Assumptions!$H$65</f>
        <v>0</v>
      </c>
      <c r="I22428" s="16" t="n">
        <f aca="false">I22423*Assumptions!$H$65</f>
        <v>0</v>
      </c>
      <c r="J22428" s="16" t="n">
        <f aca="false">J22423*Assumptions!$H$65</f>
        <v>0</v>
      </c>
      <c r="K22428" s="16" t="n">
        <f aca="false">K22423*Assumptions!$H$65</f>
        <v>0</v>
      </c>
    </row>
    <row r="22429" customFormat="false" ht="15" hidden="false" customHeight="false" outlineLevel="0" collapsed="false">
      <c r="A22429" s="3" t="s">
        <v>334</v>
      </c>
      <c r="G22429" s="16" t="n">
        <f aca="false">MIN(G22423,Assumptions!$L$65*Assumptions!$C$65)</f>
        <v>0</v>
      </c>
      <c r="H22429" s="16" t="n">
        <f aca="false">MIN(H22423,Assumptions!$L$65*Assumptions!$C$65)</f>
        <v>0</v>
      </c>
      <c r="I22429" s="16" t="n">
        <f aca="false">MIN(I22423,Assumptions!$L$65*Assumptions!$C$65)</f>
        <v>0</v>
      </c>
      <c r="J22429" s="16" t="n">
        <f aca="false">MIN(J22423,Assumptions!$L$65*Assumptions!$C$65)</f>
        <v>0</v>
      </c>
      <c r="K22429" s="16" t="n">
        <f aca="false">MIN(K22423,Assumptions!$L$65*Assumptions!$C$65)</f>
        <v>0</v>
      </c>
    </row>
    <row r="22430" customFormat="false" ht="15" hidden="false" customHeight="false" outlineLevel="0" collapsed="false">
      <c r="A22430" s="3" t="s">
        <v>335</v>
      </c>
      <c r="G22430" s="16" t="n">
        <f aca="false">IF(AND(Assumptions!$P$65=1,G22283&lt;Assumptions!$K$65),MIN(MAX(0,-G22499),MAX(0,Assumptions!$D$65-G22423)),0)</f>
        <v>0</v>
      </c>
      <c r="H22430" s="16" t="n">
        <f aca="false">IF(AND(Assumptions!$P$65=1,OR(H22283&lt;Assumptions!$K$65,G22637=1)),MIN(MAX(0,-H22499),MAX(0,Assumptions!$D$65-H22423)),0)</f>
        <v>0</v>
      </c>
      <c r="I22430" s="16" t="n">
        <f aca="false">IF(AND(Assumptions!$P$65=1,OR(I22283&lt;Assumptions!$K$65,H22637=1)),MIN(MAX(0,-I22499),MAX(0,Assumptions!$D$65-I22423)),0)</f>
        <v>0</v>
      </c>
      <c r="J22430" s="16" t="n">
        <f aca="false">IF(AND(Assumptions!$P$65=1,OR(J22283&lt;Assumptions!$K$65,I22637=1)),MIN(MAX(0,-J22499),MAX(0,Assumptions!$D$65-J22423)),0)</f>
        <v>0</v>
      </c>
      <c r="K22430" s="16" t="n">
        <f aca="false">IF(AND(Assumptions!$P$65=1,OR(K22283&lt;Assumptions!$K$65,J22637=1)),MIN(MAX(0,-K22499),MAX(0,Assumptions!$D$65-K22423)),0)</f>
        <v>0</v>
      </c>
    </row>
    <row r="22431" customFormat="false" ht="15" hidden="false" customHeight="false" outlineLevel="0" collapsed="false">
      <c r="A22431" s="3" t="s">
        <v>336</v>
      </c>
      <c r="G22431" s="16" t="n">
        <f aca="false">G22424*MIN(G22423-G22429+G22428,MAX(0,G22501-Assumptions!$C$12*G22317-G22327-G22340-G22353-G22366-G22379-G22392-G22405-G22418))</f>
        <v>0</v>
      </c>
      <c r="H22431" s="16" t="n">
        <f aca="false">H22424*MIN(H22423-H22429+H22428,MAX(0,H22501-Assumptions!$C$12*H22317-H22327-H22340-H22353-H22366-H22379-H22392-H22405-H22418))</f>
        <v>0</v>
      </c>
      <c r="I22431" s="16" t="n">
        <f aca="false">I22424*MIN(I22423-I22429+I22428,MAX(0,I22501-Assumptions!$C$12*I22317-I22327-I22340-I22353-I22366-I22379-I22392-I22405-I22418))</f>
        <v>0</v>
      </c>
      <c r="J22431" s="16" t="n">
        <f aca="false">J22424*MIN(J22423-J22429+J22428,MAX(0,J22501-Assumptions!$C$12*J22317-J22327-J22340-J22353-J22366-J22379-J22392-J22405-J22418))</f>
        <v>0</v>
      </c>
      <c r="K22431" s="16" t="n">
        <f aca="false">K22424*MIN(K22423-K22429+K22428,MAX(0,K22501-Assumptions!$C$12*K22317-K22327-K22340-K22353-K22366-K22379-K22392-K22405-K22418))</f>
        <v>0</v>
      </c>
    </row>
    <row r="22432" customFormat="false" ht="15" hidden="false" customHeight="false" outlineLevel="0" collapsed="false">
      <c r="A22432" s="3" t="s">
        <v>337</v>
      </c>
      <c r="G22432" s="16" t="n">
        <f aca="false">Assumptions!$N$65*MIN(G22423+G22430+G22428-G22429-G22431,MAX(0,G22505-G22328-G22341-G22354-G22367-G22380-G22393-G22406-G22419))</f>
        <v>0</v>
      </c>
      <c r="H22432" s="16" t="n">
        <f aca="false">Assumptions!$N$65*MIN(H22423+H22430+H22428-H22429-H22431,MAX(0,H22505-H22328-H22341-H22354-H22367-H22380-H22393-H22406-H22419))</f>
        <v>0</v>
      </c>
      <c r="I22432" s="16" t="n">
        <f aca="false">Assumptions!$N$65*MIN(I22423+I22430+I22428-I22429-I22431,MAX(0,I22505-I22328-I22341-I22354-I22367-I22380-I22393-I22406-I22419))</f>
        <v>0</v>
      </c>
      <c r="J22432" s="16" t="n">
        <f aca="false">Assumptions!$N$65*MIN(J22423+J22430+J22428-J22429-J22431,MAX(0,J22505-J22328-J22341-J22354-J22367-J22380-J22393-J22406-J22419))</f>
        <v>0</v>
      </c>
      <c r="K22432" s="16" t="n">
        <f aca="false">Assumptions!$N$65*MIN(K22423+K22430+K22428-K22429-K22431,MAX(0,K22505-K22328-K22341-K22354-K22367-K22380-K22393-K22406-K22419))</f>
        <v>0</v>
      </c>
    </row>
    <row r="22433" customFormat="false" ht="15" hidden="false" customHeight="false" outlineLevel="0" collapsed="false">
      <c r="A22433" s="3" t="s">
        <v>338</v>
      </c>
      <c r="G22433" s="16" t="n">
        <f aca="false">G22424*(1-G22317)*(G22423-G22429+G22428-G22431)</f>
        <v>0</v>
      </c>
      <c r="H22433" s="16" t="n">
        <f aca="false">H22424*(1-H22317)*(H22423-H22429+H22428-H22431)</f>
        <v>0</v>
      </c>
      <c r="I22433" s="16" t="n">
        <f aca="false">I22424*(1-I22317)*(I22423-I22429+I22428-I22431)</f>
        <v>0</v>
      </c>
      <c r="J22433" s="16" t="n">
        <f aca="false">J22424*(1-J22317)*(J22423-J22429+J22428-J22431)</f>
        <v>0</v>
      </c>
      <c r="K22433" s="16" t="n">
        <f aca="false">K22424*(1-K22317)*(K22423-K22429+K22428-K22431)</f>
        <v>0</v>
      </c>
    </row>
    <row r="22434" customFormat="false" ht="15" hidden="false" customHeight="false" outlineLevel="0" collapsed="false">
      <c r="A22434" s="2" t="s">
        <v>339</v>
      </c>
      <c r="F22434" s="28" t="n">
        <f aca="false">Assumptions!$C$65</f>
        <v>300</v>
      </c>
      <c r="G22434" s="17" t="n">
        <f aca="false">G22423+G22430+G22428-G22429-G22431-G22432</f>
        <v>300</v>
      </c>
      <c r="H22434" s="17" t="n">
        <f aca="false">H22423+H22430+H22428-H22429-H22431-H22432</f>
        <v>300</v>
      </c>
      <c r="I22434" s="17" t="n">
        <f aca="false">I22423+I22430+I22428-I22429-I22431-I22432</f>
        <v>300</v>
      </c>
      <c r="J22434" s="17" t="n">
        <f aca="false">J22423+J22430+J22428-J22429-J22431-J22432</f>
        <v>300</v>
      </c>
      <c r="K22434" s="17" t="n">
        <f aca="false">K22423+K22430+K22428-K22429-K22431-K22432</f>
        <v>300</v>
      </c>
    </row>
    <row r="22435" customFormat="false" ht="15" hidden="false" customHeight="false" outlineLevel="0" collapsed="false">
      <c r="A22435" s="24" t="s">
        <v>348</v>
      </c>
      <c r="B22435" s="25"/>
      <c r="C22435" s="25"/>
      <c r="D22435" s="25"/>
      <c r="E22435" s="25"/>
      <c r="F22435" s="25"/>
      <c r="G22435" s="25"/>
      <c r="H22435" s="25"/>
      <c r="I22435" s="25"/>
      <c r="J22435" s="25"/>
      <c r="K22435" s="25"/>
    </row>
    <row r="22436" customFormat="false" ht="15" hidden="false" customHeight="false" outlineLevel="0" collapsed="false">
      <c r="A22436" s="3" t="s">
        <v>329</v>
      </c>
      <c r="G22436" s="16" t="n">
        <f aca="false">F22447</f>
        <v>78.61</v>
      </c>
      <c r="H22436" s="16" t="n">
        <f aca="false">G22447</f>
        <v>78.61</v>
      </c>
      <c r="I22436" s="16" t="n">
        <f aca="false">H22447</f>
        <v>78.61</v>
      </c>
      <c r="J22436" s="16" t="n">
        <f aca="false">I22447</f>
        <v>78.61</v>
      </c>
      <c r="K22436" s="16" t="n">
        <f aca="false">J22447</f>
        <v>78.61</v>
      </c>
    </row>
    <row r="22437" customFormat="false" ht="15" hidden="false" customHeight="false" outlineLevel="0" collapsed="false">
      <c r="A22437" s="3" t="s">
        <v>330</v>
      </c>
      <c r="G22437" s="21" t="n">
        <f aca="false">IF(G22283=Assumptions!$K$66,1,0)</f>
        <v>0</v>
      </c>
      <c r="H22437" s="21" t="n">
        <f aca="false">IF(H22283=Assumptions!$K$66,1,0)</f>
        <v>0</v>
      </c>
      <c r="I22437" s="21" t="n">
        <f aca="false">IF(I22283=Assumptions!$K$66,1,0)</f>
        <v>0</v>
      </c>
      <c r="J22437" s="21" t="n">
        <f aca="false">IF(J22283=Assumptions!$K$66,1,0)</f>
        <v>0</v>
      </c>
      <c r="K22437" s="21" t="n">
        <f aca="false">IF(K22283=Assumptions!$K$66,1,0)</f>
        <v>0</v>
      </c>
    </row>
    <row r="22439" customFormat="false" ht="15" hidden="false" customHeight="false" outlineLevel="0" collapsed="false">
      <c r="A22439" s="3" t="s">
        <v>331</v>
      </c>
      <c r="G22439" s="31" t="n">
        <f aca="false">IF(Assumptions!$I$66=1,MAX(G22309,Assumptions!$G$66)+Assumptions!$F$66+$C$22310,Assumptions!$E$66)</f>
        <v>0.0491</v>
      </c>
      <c r="H22439" s="31" t="n">
        <f aca="false">IF(G22638=1,$C$22311,IF(Assumptions!$I$66=1,MAX(H22309,Assumptions!$G$66)+Assumptions!$F$66+$C$22310,Assumptions!$E$66))</f>
        <v>0.0476</v>
      </c>
      <c r="I22439" s="31" t="n">
        <f aca="false">IF(H22638=1,$C$22311,IF(Assumptions!$I$66=1,MAX(I22309,Assumptions!$G$66)+Assumptions!$F$66+$C$22310,Assumptions!$E$66))</f>
        <v>0.0451</v>
      </c>
      <c r="J22439" s="31" t="n">
        <f aca="false">IF(I22638=1,$C$22311,IF(Assumptions!$I$66=1,MAX(J22309,Assumptions!$G$66)+Assumptions!$F$66+$C$22310,Assumptions!$E$66))</f>
        <v>0.0451</v>
      </c>
      <c r="K22439" s="31" t="n">
        <f aca="false">IF(J22638=1,$C$22311,IF(Assumptions!$I$66=1,MAX(K22309,Assumptions!$G$66)+Assumptions!$F$66+$C$22310,Assumptions!$E$66))</f>
        <v>0.0451</v>
      </c>
    </row>
    <row r="22440" customFormat="false" ht="15" hidden="false" customHeight="false" outlineLevel="0" collapsed="false">
      <c r="A22440" s="3" t="s">
        <v>332</v>
      </c>
      <c r="G22440" s="16" t="n">
        <f aca="false">G22436*G22439</f>
        <v>3.859751</v>
      </c>
      <c r="H22440" s="16" t="n">
        <f aca="false">H22436*H22439</f>
        <v>3.741836</v>
      </c>
      <c r="I22440" s="16" t="n">
        <f aca="false">I22436*I22439</f>
        <v>3.545311</v>
      </c>
      <c r="J22440" s="16" t="n">
        <f aca="false">J22436*J22439</f>
        <v>3.545311</v>
      </c>
      <c r="K22440" s="16" t="n">
        <f aca="false">K22436*K22439</f>
        <v>3.545311</v>
      </c>
    </row>
    <row r="22441" customFormat="false" ht="15" hidden="false" customHeight="false" outlineLevel="0" collapsed="false">
      <c r="A22441" s="3" t="s">
        <v>333</v>
      </c>
      <c r="G22441" s="16" t="n">
        <f aca="false">G22436*Assumptions!$H$66</f>
        <v>0</v>
      </c>
      <c r="H22441" s="16" t="n">
        <f aca="false">H22436*Assumptions!$H$66</f>
        <v>0</v>
      </c>
      <c r="I22441" s="16" t="n">
        <f aca="false">I22436*Assumptions!$H$66</f>
        <v>0</v>
      </c>
      <c r="J22441" s="16" t="n">
        <f aca="false">J22436*Assumptions!$H$66</f>
        <v>0</v>
      </c>
      <c r="K22441" s="16" t="n">
        <f aca="false">K22436*Assumptions!$H$66</f>
        <v>0</v>
      </c>
    </row>
    <row r="22442" customFormat="false" ht="15" hidden="false" customHeight="false" outlineLevel="0" collapsed="false">
      <c r="A22442" s="3" t="s">
        <v>334</v>
      </c>
      <c r="G22442" s="16" t="n">
        <f aca="false">MIN(G22436,Assumptions!$L$66*Assumptions!$C$66)</f>
        <v>0</v>
      </c>
      <c r="H22442" s="16" t="n">
        <f aca="false">MIN(H22436,Assumptions!$L$66*Assumptions!$C$66)</f>
        <v>0</v>
      </c>
      <c r="I22442" s="16" t="n">
        <f aca="false">MIN(I22436,Assumptions!$L$66*Assumptions!$C$66)</f>
        <v>0</v>
      </c>
      <c r="J22442" s="16" t="n">
        <f aca="false">MIN(J22436,Assumptions!$L$66*Assumptions!$C$66)</f>
        <v>0</v>
      </c>
      <c r="K22442" s="16" t="n">
        <f aca="false">MIN(K22436,Assumptions!$L$66*Assumptions!$C$66)</f>
        <v>0</v>
      </c>
    </row>
    <row r="22443" customFormat="false" ht="15" hidden="false" customHeight="false" outlineLevel="0" collapsed="false">
      <c r="A22443" s="3" t="s">
        <v>335</v>
      </c>
      <c r="G22443" s="16" t="n">
        <f aca="false">IF(AND(Assumptions!$P$66=1,G22283&lt;Assumptions!$K$66),MIN(MAX(0,-G22499),MAX(0,Assumptions!$D$66-G22436)),0)</f>
        <v>0</v>
      </c>
      <c r="H22443" s="16" t="n">
        <f aca="false">IF(AND(Assumptions!$P$66=1,OR(H22283&lt;Assumptions!$K$66,G22638=1)),MIN(MAX(0,-H22499),MAX(0,Assumptions!$D$66-H22436)),0)</f>
        <v>0</v>
      </c>
      <c r="I22443" s="16" t="n">
        <f aca="false">IF(AND(Assumptions!$P$66=1,OR(I22283&lt;Assumptions!$K$66,H22638=1)),MIN(MAX(0,-I22499),MAX(0,Assumptions!$D$66-I22436)),0)</f>
        <v>0</v>
      </c>
      <c r="J22443" s="16" t="n">
        <f aca="false">IF(AND(Assumptions!$P$66=1,OR(J22283&lt;Assumptions!$K$66,I22638=1)),MIN(MAX(0,-J22499),MAX(0,Assumptions!$D$66-J22436)),0)</f>
        <v>0</v>
      </c>
      <c r="K22443" s="16" t="n">
        <f aca="false">IF(AND(Assumptions!$P$66=1,OR(K22283&lt;Assumptions!$K$66,J22638=1)),MIN(MAX(0,-K22499),MAX(0,Assumptions!$D$66-K22436)),0)</f>
        <v>0</v>
      </c>
    </row>
    <row r="22444" customFormat="false" ht="15" hidden="false" customHeight="false" outlineLevel="0" collapsed="false">
      <c r="A22444" s="3" t="s">
        <v>336</v>
      </c>
      <c r="G22444" s="16" t="n">
        <f aca="false">G22437*MIN(G22436-G22442+G22441,MAX(0,G22501-Assumptions!$C$12*G22317-G22327-G22340-G22353-G22366-G22379-G22392-G22405-G22418-G22431))</f>
        <v>0</v>
      </c>
      <c r="H22444" s="16" t="n">
        <f aca="false">H22437*MIN(H22436-H22442+H22441,MAX(0,H22501-Assumptions!$C$12*H22317-H22327-H22340-H22353-H22366-H22379-H22392-H22405-H22418-H22431))</f>
        <v>0</v>
      </c>
      <c r="I22444" s="16" t="n">
        <f aca="false">I22437*MIN(I22436-I22442+I22441,MAX(0,I22501-Assumptions!$C$12*I22317-I22327-I22340-I22353-I22366-I22379-I22392-I22405-I22418-I22431))</f>
        <v>0</v>
      </c>
      <c r="J22444" s="16" t="n">
        <f aca="false">J22437*MIN(J22436-J22442+J22441,MAX(0,J22501-Assumptions!$C$12*J22317-J22327-J22340-J22353-J22366-J22379-J22392-J22405-J22418-J22431))</f>
        <v>0</v>
      </c>
      <c r="K22444" s="16" t="n">
        <f aca="false">K22437*MIN(K22436-K22442+K22441,MAX(0,K22501-Assumptions!$C$12*K22317-K22327-K22340-K22353-K22366-K22379-K22392-K22405-K22418-K22431))</f>
        <v>0</v>
      </c>
    </row>
    <row r="22445" customFormat="false" ht="15" hidden="false" customHeight="false" outlineLevel="0" collapsed="false">
      <c r="A22445" s="3" t="s">
        <v>337</v>
      </c>
      <c r="G22445" s="16" t="n">
        <f aca="false">Assumptions!$N$66*MIN(G22436+G22443+G22441-G22442-G22444,MAX(0,G22505-G22328-G22341-G22354-G22367-G22380-G22393-G22406-G22419-G22432))</f>
        <v>0</v>
      </c>
      <c r="H22445" s="16" t="n">
        <f aca="false">Assumptions!$N$66*MIN(H22436+H22443+H22441-H22442-H22444,MAX(0,H22505-H22328-H22341-H22354-H22367-H22380-H22393-H22406-H22419-H22432))</f>
        <v>0</v>
      </c>
      <c r="I22445" s="16" t="n">
        <f aca="false">Assumptions!$N$66*MIN(I22436+I22443+I22441-I22442-I22444,MAX(0,I22505-I22328-I22341-I22354-I22367-I22380-I22393-I22406-I22419-I22432))</f>
        <v>0</v>
      </c>
      <c r="J22445" s="16" t="n">
        <f aca="false">Assumptions!$N$66*MIN(J22436+J22443+J22441-J22442-J22444,MAX(0,J22505-J22328-J22341-J22354-J22367-J22380-J22393-J22406-J22419-J22432))</f>
        <v>0</v>
      </c>
      <c r="K22445" s="16" t="n">
        <f aca="false">Assumptions!$N$66*MIN(K22436+K22443+K22441-K22442-K22444,MAX(0,K22505-K22328-K22341-K22354-K22367-K22380-K22393-K22406-K22419-K22432))</f>
        <v>0</v>
      </c>
    </row>
    <row r="22446" customFormat="false" ht="15" hidden="false" customHeight="false" outlineLevel="0" collapsed="false">
      <c r="A22446" s="3" t="s">
        <v>338</v>
      </c>
      <c r="G22446" s="16" t="n">
        <f aca="false">G22437*(1-G22317)*(G22436-G22442+G22441-G22444)</f>
        <v>0</v>
      </c>
      <c r="H22446" s="16" t="n">
        <f aca="false">H22437*(1-H22317)*(H22436-H22442+H22441-H22444)</f>
        <v>0</v>
      </c>
      <c r="I22446" s="16" t="n">
        <f aca="false">I22437*(1-I22317)*(I22436-I22442+I22441-I22444)</f>
        <v>0</v>
      </c>
      <c r="J22446" s="16" t="n">
        <f aca="false">J22437*(1-J22317)*(J22436-J22442+J22441-J22444)</f>
        <v>0</v>
      </c>
      <c r="K22446" s="16" t="n">
        <f aca="false">K22437*(1-K22317)*(K22436-K22442+K22441-K22444)</f>
        <v>0</v>
      </c>
    </row>
    <row r="22447" customFormat="false" ht="15" hidden="false" customHeight="false" outlineLevel="0" collapsed="false">
      <c r="A22447" s="2" t="s">
        <v>339</v>
      </c>
      <c r="F22447" s="28" t="n">
        <f aca="false">Assumptions!$C$66</f>
        <v>78.61</v>
      </c>
      <c r="G22447" s="17" t="n">
        <f aca="false">G22436+G22443+G22441-G22442-G22444-G22445</f>
        <v>78.61</v>
      </c>
      <c r="H22447" s="17" t="n">
        <f aca="false">H22436+H22443+H22441-H22442-H22444-H22445</f>
        <v>78.61</v>
      </c>
      <c r="I22447" s="17" t="n">
        <f aca="false">I22436+I22443+I22441-I22442-I22444-I22445</f>
        <v>78.61</v>
      </c>
      <c r="J22447" s="17" t="n">
        <f aca="false">J22436+J22443+J22441-J22442-J22444-J22445</f>
        <v>78.61</v>
      </c>
      <c r="K22447" s="17" t="n">
        <f aca="false">K22436+K22443+K22441-K22442-K22444-K22445</f>
        <v>78.61</v>
      </c>
    </row>
    <row r="22448" customFormat="false" ht="15" hidden="false" customHeight="false" outlineLevel="0" collapsed="false">
      <c r="A22448" s="24" t="s">
        <v>349</v>
      </c>
      <c r="B22448" s="25"/>
      <c r="C22448" s="25"/>
      <c r="D22448" s="25"/>
      <c r="E22448" s="25"/>
      <c r="F22448" s="25"/>
      <c r="G22448" s="25"/>
      <c r="H22448" s="25"/>
      <c r="I22448" s="25"/>
      <c r="J22448" s="25"/>
      <c r="K22448" s="25"/>
    </row>
    <row r="22449" customFormat="false" ht="15" hidden="false" customHeight="false" outlineLevel="0" collapsed="false">
      <c r="A22449" s="2" t="s">
        <v>350</v>
      </c>
      <c r="F22449" s="17" t="n">
        <f aca="false">F22330+F22343+F22356+F22369+F22382+F22395+F22408+F22421+F22434+F22447</f>
        <v>2625.934</v>
      </c>
      <c r="G22449" s="17" t="n">
        <f aca="false">G22330+G22343+G22356+G22369+G22382+G22395+G22408+G22421+G22434+G22447</f>
        <v>2621.934</v>
      </c>
      <c r="H22449" s="17" t="n">
        <f aca="false">H22330+H22343+H22356+H22369+H22382+H22395+H22408+H22421+H22434+H22447</f>
        <v>2570.8900513738</v>
      </c>
      <c r="I22449" s="17" t="n">
        <f aca="false">I22330+I22343+I22356+I22369+I22382+I22395+I22408+I22421+I22434+I22447</f>
        <v>2630.95265555586</v>
      </c>
      <c r="J22449" s="17" t="n">
        <f aca="false">J22330+J22343+J22356+J22369+J22382+J22395+J22408+J22421+J22434+J22447</f>
        <v>2712.9000931986</v>
      </c>
      <c r="K22449" s="17" t="n">
        <f aca="false">K22330+K22343+K22356+K22369+K22382+K22395+K22408+K22421+K22434+K22447</f>
        <v>2810.28818041405</v>
      </c>
    </row>
    <row r="22450" customFormat="false" ht="15" hidden="false" customHeight="false" outlineLevel="0" collapsed="false">
      <c r="A22450" s="3" t="s">
        <v>351</v>
      </c>
      <c r="G22450" s="16" t="n">
        <f aca="false">G22320*Assumptions!$C$57+G22333*Assumptions!$C$58+G22346*Assumptions!$C$59+G22359*Assumptions!$C$60+G22372*Assumptions!$C$61+G22385*Assumptions!$C$62+G22398*Assumptions!$C$63+G22411*Assumptions!$C$64+G22424*Assumptions!$C$65+G22437*Assumptions!$C$66</f>
        <v>0</v>
      </c>
      <c r="H22450" s="16" t="n">
        <f aca="false">H22320*Assumptions!$C$57+H22333*Assumptions!$C$58+H22346*Assumptions!$C$59+H22359*Assumptions!$C$60+H22372*Assumptions!$C$61+H22385*Assumptions!$C$62+H22398*Assumptions!$C$63+H22411*Assumptions!$C$64+H22424*Assumptions!$C$65+H22437*Assumptions!$C$66</f>
        <v>800</v>
      </c>
      <c r="I22450" s="16" t="n">
        <f aca="false">I22320*Assumptions!$C$57+I22333*Assumptions!$C$58+I22346*Assumptions!$C$59+I22359*Assumptions!$C$60+I22372*Assumptions!$C$61+I22385*Assumptions!$C$62+I22398*Assumptions!$C$63+I22411*Assumptions!$C$64+I22424*Assumptions!$C$65+I22437*Assumptions!$C$66</f>
        <v>550</v>
      </c>
      <c r="J22450" s="16" t="n">
        <f aca="false">J22320*Assumptions!$C$57+J22333*Assumptions!$C$58+J22346*Assumptions!$C$59+J22359*Assumptions!$C$60+J22372*Assumptions!$C$61+J22385*Assumptions!$C$62+J22398*Assumptions!$C$63+J22411*Assumptions!$C$64+J22424*Assumptions!$C$65+J22437*Assumptions!$C$66</f>
        <v>350</v>
      </c>
      <c r="K22450" s="16" t="n">
        <f aca="false">K22320*Assumptions!$C$57+K22333*Assumptions!$C$58+K22346*Assumptions!$C$59+K22359*Assumptions!$C$60+K22372*Assumptions!$C$61+K22385*Assumptions!$C$62+K22398*Assumptions!$C$63+K22411*Assumptions!$C$64+K22424*Assumptions!$C$65+K22437*Assumptions!$C$66</f>
        <v>700</v>
      </c>
    </row>
    <row r="22451" customFormat="false" ht="15" hidden="false" customHeight="false" outlineLevel="0" collapsed="false">
      <c r="A22451" s="24" t="s">
        <v>352</v>
      </c>
      <c r="B22451" s="25"/>
      <c r="C22451" s="25"/>
      <c r="D22451" s="25"/>
      <c r="E22451" s="25"/>
      <c r="F22451" s="25"/>
      <c r="G22451" s="25"/>
      <c r="H22451" s="25"/>
      <c r="I22451" s="25"/>
      <c r="J22451" s="25"/>
      <c r="K22451" s="25"/>
    </row>
    <row r="22452" customFormat="false" ht="15" hidden="false" customHeight="false" outlineLevel="0" collapsed="false">
      <c r="A22452" s="3" t="s">
        <v>353</v>
      </c>
      <c r="C22452" s="16" t="n">
        <f aca="false">SUMPRODUCT($G$22320:$K$22320,$G$22319:$K$22319-$G$22325:$K$22325+$G$22324:$K$22324)</f>
        <v>380</v>
      </c>
    </row>
    <row r="22453" customFormat="false" ht="15" hidden="false" customHeight="false" outlineLevel="0" collapsed="false">
      <c r="A22453" s="3" t="s">
        <v>354</v>
      </c>
      <c r="C22453" s="16" t="n">
        <f aca="false">SUMPRODUCT($G$22320:$K$22320,$G$22327:$K$22327)</f>
        <v>0</v>
      </c>
    </row>
    <row r="22454" customFormat="false" ht="15" hidden="false" customHeight="false" outlineLevel="0" collapsed="false">
      <c r="A22454" s="3" t="s">
        <v>355</v>
      </c>
      <c r="C22454" s="3" t="str">
        <f aca="false">IF(SUM($G$22320:$K$22320)=0,"n/a (beyond horizon)",IF(SUMPRODUCT($G$22320:$K$22320,$G$22317:$K$22317)&gt;0,"REFINANCING PASS","REFINANCING FAILURE"))</f>
        <v>REFINANCING PASS</v>
      </c>
    </row>
    <row r="22455" customFormat="false" ht="15" hidden="false" customHeight="false" outlineLevel="0" collapsed="false">
      <c r="A22455" s="3" t="s">
        <v>356</v>
      </c>
      <c r="C22455" s="3" t="str">
        <f aca="false">IF(SUM($G$22320:$K$22320)=0,"n/a",IF(C22453&gt;=C22452-0.001,"Repaid from cash",IF(SUMPRODUCT($G$22320:$K$22320,$G$22317:$K$22317)&gt;0,IF(C22453&gt;0,"Partly repaid; remainder refinanced","Refinanced"),IF(SUM($G$22329:$K$22329)&gt;0.001,IF(C22453&gt;0,"Partial repayment; PAYMENT DEFAULT","PAYMENT DEFAULT"),"Repaid from cash"))))</f>
        <v>Refinanced</v>
      </c>
    </row>
    <row r="22456" customFormat="false" ht="15" hidden="false" customHeight="false" outlineLevel="0" collapsed="false">
      <c r="A22456" s="3" t="s">
        <v>357</v>
      </c>
      <c r="C22456" s="16" t="n">
        <f aca="false">SUMPRODUCT($G$22333:$K$22333,$G$22332:$K$22332-$G$22338:$K$22338+$G$22337:$K$22337)</f>
        <v>0</v>
      </c>
    </row>
    <row r="22457" customFormat="false" ht="15" hidden="false" customHeight="false" outlineLevel="0" collapsed="false">
      <c r="A22457" s="3" t="s">
        <v>358</v>
      </c>
      <c r="C22457" s="16" t="n">
        <f aca="false">SUMPRODUCT($G$22333:$K$22333,$G$22340:$K$22340)</f>
        <v>0</v>
      </c>
    </row>
    <row r="22458" customFormat="false" ht="15" hidden="false" customHeight="false" outlineLevel="0" collapsed="false">
      <c r="A22458" s="3" t="s">
        <v>359</v>
      </c>
      <c r="C22458" s="3" t="str">
        <f aca="false">IF(SUM($G$22333:$K$22333)=0,"n/a (beyond horizon)",IF(SUMPRODUCT($G$22333:$K$22333,$G$22317:$K$22317)&gt;0,"REFINANCING PASS","REFINANCING FAILURE"))</f>
        <v>n/a (beyond horizon)</v>
      </c>
    </row>
    <row r="22459" customFormat="false" ht="15" hidden="false" customHeight="false" outlineLevel="0" collapsed="false">
      <c r="A22459" s="3" t="s">
        <v>360</v>
      </c>
      <c r="C22459" s="3" t="str">
        <f aca="false">IF(SUM($G$22333:$K$22333)=0,"n/a",IF(C22457&gt;=C22456-0.001,"Repaid from cash",IF(SUMPRODUCT($G$22333:$K$22333,$G$22317:$K$22317)&gt;0,IF(C22457&gt;0,"Partly repaid; remainder refinanced","Refinanced"),IF(SUM($G$22342:$K$22342)&gt;0.001,IF(C22457&gt;0,"Partial repayment; PAYMENT DEFAULT","PAYMENT DEFAULT"),"Repaid from cash"))))</f>
        <v>n/a</v>
      </c>
    </row>
    <row r="22460" customFormat="false" ht="15" hidden="false" customHeight="false" outlineLevel="0" collapsed="false">
      <c r="A22460" s="3" t="s">
        <v>361</v>
      </c>
      <c r="C22460" s="16" t="n">
        <f aca="false">SUMPRODUCT($G$22346:$K$22346,$G$22345:$K$22345-$G$22351:$K$22351+$G$22350:$K$22350)</f>
        <v>0</v>
      </c>
    </row>
    <row r="22461" customFormat="false" ht="15" hidden="false" customHeight="false" outlineLevel="0" collapsed="false">
      <c r="A22461" s="3" t="s">
        <v>362</v>
      </c>
      <c r="C22461" s="16" t="n">
        <f aca="false">SUMPRODUCT($G$22346:$K$22346,$G$22353:$K$22353)</f>
        <v>0</v>
      </c>
    </row>
    <row r="22462" customFormat="false" ht="15" hidden="false" customHeight="false" outlineLevel="0" collapsed="false">
      <c r="A22462" s="3" t="s">
        <v>363</v>
      </c>
      <c r="C22462" s="3" t="str">
        <f aca="false">IF(SUM($G$22346:$K$22346)=0,"n/a (beyond horizon)",IF(SUMPRODUCT($G$22346:$K$22346,$G$22317:$K$22317)&gt;0,"REFINANCING PASS","REFINANCING FAILURE"))</f>
        <v>n/a (beyond horizon)</v>
      </c>
    </row>
    <row r="22463" customFormat="false" ht="15" hidden="false" customHeight="false" outlineLevel="0" collapsed="false">
      <c r="A22463" s="3" t="s">
        <v>364</v>
      </c>
      <c r="C22463" s="3" t="str">
        <f aca="false">IF(SUM($G$22346:$K$22346)=0,"n/a",IF(C22461&gt;=C22460-0.001,"Repaid from cash",IF(SUMPRODUCT($G$22346:$K$22346,$G$22317:$K$22317)&gt;0,IF(C22461&gt;0,"Partly repaid; remainder refinanced","Refinanced"),IF(SUM($G$22355:$K$22355)&gt;0.001,IF(C22461&gt;0,"Partial repayment; PAYMENT DEFAULT","PAYMENT DEFAULT"),"Repaid from cash"))))</f>
        <v>n/a</v>
      </c>
    </row>
    <row r="22464" customFormat="false" ht="15" hidden="false" customHeight="false" outlineLevel="0" collapsed="false">
      <c r="A22464" s="3" t="s">
        <v>365</v>
      </c>
      <c r="C22464" s="16" t="n">
        <f aca="false">SUMPRODUCT($G$22359:$K$22359,$G$22358:$K$22358-$G$22364:$K$22364+$G$22363:$K$22363)</f>
        <v>0</v>
      </c>
    </row>
    <row r="22465" customFormat="false" ht="15" hidden="false" customHeight="false" outlineLevel="0" collapsed="false">
      <c r="A22465" s="3" t="s">
        <v>366</v>
      </c>
      <c r="C22465" s="16" t="n">
        <f aca="false">SUMPRODUCT($G$22359:$K$22359,$G$22366:$K$22366)</f>
        <v>0</v>
      </c>
    </row>
    <row r="22466" customFormat="false" ht="15" hidden="false" customHeight="false" outlineLevel="0" collapsed="false">
      <c r="A22466" s="3" t="s">
        <v>367</v>
      </c>
      <c r="C22466" s="3" t="str">
        <f aca="false">IF(SUM($G$22359:$K$22359)=0,"n/a (beyond horizon)",IF(SUMPRODUCT($G$22359:$K$22359,$G$22317:$K$22317)&gt;0,"REFINANCING PASS","REFINANCING FAILURE"))</f>
        <v>REFINANCING PASS</v>
      </c>
    </row>
    <row r="22467" customFormat="false" ht="15" hidden="false" customHeight="false" outlineLevel="0" collapsed="false">
      <c r="A22467" s="3" t="s">
        <v>368</v>
      </c>
      <c r="C22467" s="3" t="str">
        <f aca="false">IF(SUM($G$22359:$K$22359)=0,"n/a",IF(C22465&gt;=C22464-0.001,"Repaid from cash",IF(SUMPRODUCT($G$22359:$K$22359,$G$22317:$K$22317)&gt;0,IF(C22465&gt;0,"Partly repaid; remainder refinanced","Refinanced"),IF(SUM($G$22368:$K$22368)&gt;0.001,IF(C22465&gt;0,"Partial repayment; PAYMENT DEFAULT","PAYMENT DEFAULT"),"Repaid from cash"))))</f>
        <v>Repaid from cash</v>
      </c>
    </row>
    <row r="22468" customFormat="false" ht="15" hidden="false" customHeight="false" outlineLevel="0" collapsed="false">
      <c r="A22468" s="3" t="s">
        <v>369</v>
      </c>
      <c r="C22468" s="16" t="n">
        <f aca="false">SUMPRODUCT($G$22372:$K$22372,$G$22371:$K$22371-$G$22377:$K$22377+$G$22376:$K$22376)</f>
        <v>450</v>
      </c>
    </row>
    <row r="22469" customFormat="false" ht="15" hidden="false" customHeight="false" outlineLevel="0" collapsed="false">
      <c r="A22469" s="3" t="s">
        <v>370</v>
      </c>
      <c r="C22469" s="16" t="n">
        <f aca="false">SUMPRODUCT($G$22372:$K$22372,$G$22379:$K$22379)</f>
        <v>47.0439486262</v>
      </c>
    </row>
    <row r="22470" customFormat="false" ht="15" hidden="false" customHeight="false" outlineLevel="0" collapsed="false">
      <c r="A22470" s="3" t="s">
        <v>371</v>
      </c>
      <c r="C22470" s="3" t="str">
        <f aca="false">IF(SUM($G$22372:$K$22372)=0,"n/a (beyond horizon)",IF(SUMPRODUCT($G$22372:$K$22372,$G$22317:$K$22317)&gt;0,"REFINANCING PASS","REFINANCING FAILURE"))</f>
        <v>REFINANCING PASS</v>
      </c>
    </row>
    <row r="22471" customFormat="false" ht="15" hidden="false" customHeight="false" outlineLevel="0" collapsed="false">
      <c r="A22471" s="3" t="s">
        <v>372</v>
      </c>
      <c r="C22471" s="3" t="str">
        <f aca="false">IF(SUM($G$22372:$K$22372)=0,"n/a",IF(C22469&gt;=C22468-0.001,"Repaid from cash",IF(SUMPRODUCT($G$22372:$K$22372,$G$22317:$K$22317)&gt;0,IF(C22469&gt;0,"Partly repaid; remainder refinanced","Refinanced"),IF(SUM($G$22381:$K$22381)&gt;0.001,IF(C22469&gt;0,"Partial repayment; PAYMENT DEFAULT","PAYMENT DEFAULT"),"Repaid from cash"))))</f>
        <v>Partly repaid; remainder refinanced</v>
      </c>
    </row>
    <row r="22472" customFormat="false" ht="15" hidden="false" customHeight="false" outlineLevel="0" collapsed="false">
      <c r="A22472" s="3" t="s">
        <v>373</v>
      </c>
      <c r="C22472" s="16" t="n">
        <f aca="false">SUMPRODUCT($G$22385:$K$22385,$G$22384:$K$22384-$G$22390:$K$22390+$G$22389:$K$22389)</f>
        <v>350</v>
      </c>
    </row>
    <row r="22473" customFormat="false" ht="15" hidden="false" customHeight="false" outlineLevel="0" collapsed="false">
      <c r="A22473" s="3" t="s">
        <v>374</v>
      </c>
      <c r="C22473" s="16" t="n">
        <f aca="false">SUMPRODUCT($G$22385:$K$22385,$G$22392:$K$22392)</f>
        <v>0</v>
      </c>
    </row>
    <row r="22474" customFormat="false" ht="15" hidden="false" customHeight="false" outlineLevel="0" collapsed="false">
      <c r="A22474" s="3" t="s">
        <v>375</v>
      </c>
      <c r="C22474" s="3" t="str">
        <f aca="false">IF(SUM($G$22385:$K$22385)=0,"n/a (beyond horizon)",IF(SUMPRODUCT($G$22385:$K$22385,$G$22317:$K$22317)&gt;0,"REFINANCING PASS","REFINANCING FAILURE"))</f>
        <v>REFINANCING PASS</v>
      </c>
    </row>
    <row r="22475" customFormat="false" ht="15" hidden="false" customHeight="false" outlineLevel="0" collapsed="false">
      <c r="A22475" s="3" t="s">
        <v>376</v>
      </c>
      <c r="C22475" s="3" t="str">
        <f aca="false">IF(SUM($G$22385:$K$22385)=0,"n/a",IF(C22473&gt;=C22472-0.001,"Repaid from cash",IF(SUMPRODUCT($G$22385:$K$22385,$G$22317:$K$22317)&gt;0,IF(C22473&gt;0,"Partly repaid; remainder refinanced","Refinanced"),IF(SUM($G$22394:$K$22394)&gt;0.001,IF(C22473&gt;0,"Partial repayment; PAYMENT DEFAULT","PAYMENT DEFAULT"),"Repaid from cash"))))</f>
        <v>Refinanced</v>
      </c>
    </row>
    <row r="22476" customFormat="false" ht="15" hidden="false" customHeight="false" outlineLevel="0" collapsed="false">
      <c r="A22476" s="3" t="s">
        <v>377</v>
      </c>
      <c r="C22476" s="16" t="n">
        <f aca="false">SUMPRODUCT($G$22398:$K$22398,$G$22397:$K$22397-$G$22403:$K$22403+$G$22402:$K$22402)</f>
        <v>550</v>
      </c>
    </row>
    <row r="22477" customFormat="false" ht="15" hidden="false" customHeight="false" outlineLevel="0" collapsed="false">
      <c r="A22477" s="3" t="s">
        <v>378</v>
      </c>
      <c r="C22477" s="16" t="n">
        <f aca="false">SUMPRODUCT($G$22398:$K$22398,$G$22405:$K$22405)</f>
        <v>0</v>
      </c>
    </row>
    <row r="22478" customFormat="false" ht="15" hidden="false" customHeight="false" outlineLevel="0" collapsed="false">
      <c r="A22478" s="3" t="s">
        <v>379</v>
      </c>
      <c r="C22478" s="3" t="str">
        <f aca="false">IF(SUM($G$22398:$K$22398)=0,"n/a (beyond horizon)",IF(SUMPRODUCT($G$22398:$K$22398,$G$22317:$K$22317)&gt;0,"REFINANCING PASS","REFINANCING FAILURE"))</f>
        <v>REFINANCING PASS</v>
      </c>
    </row>
    <row r="22479" customFormat="false" ht="15" hidden="false" customHeight="false" outlineLevel="0" collapsed="false">
      <c r="A22479" s="3" t="s">
        <v>380</v>
      </c>
      <c r="C22479" s="3" t="str">
        <f aca="false">IF(SUM($G$22398:$K$22398)=0,"n/a",IF(C22477&gt;=C22476-0.001,"Repaid from cash",IF(SUMPRODUCT($G$22398:$K$22398,$G$22317:$K$22317)&gt;0,IF(C22477&gt;0,"Partly repaid; remainder refinanced","Refinanced"),IF(SUM($G$22407:$K$22407)&gt;0.001,IF(C22477&gt;0,"Partial repayment; PAYMENT DEFAULT","PAYMENT DEFAULT"),"Repaid from cash"))))</f>
        <v>Refinanced</v>
      </c>
    </row>
    <row r="22480" customFormat="false" ht="15" hidden="false" customHeight="false" outlineLevel="0" collapsed="false">
      <c r="A22480" s="3" t="s">
        <v>381</v>
      </c>
      <c r="C22480" s="16" t="n">
        <f aca="false">SUMPRODUCT($G$22411:$K$22411,$G$22410:$K$22410-$G$22416:$K$22416+$G$22415:$K$22415)</f>
        <v>350</v>
      </c>
    </row>
    <row r="22481" customFormat="false" ht="15" hidden="false" customHeight="false" outlineLevel="0" collapsed="false">
      <c r="A22481" s="3" t="s">
        <v>382</v>
      </c>
      <c r="C22481" s="16" t="n">
        <f aca="false">SUMPRODUCT($G$22411:$K$22411,$G$22418:$K$22418)</f>
        <v>0</v>
      </c>
    </row>
    <row r="22482" customFormat="false" ht="15" hidden="false" customHeight="false" outlineLevel="0" collapsed="false">
      <c r="A22482" s="3" t="s">
        <v>383</v>
      </c>
      <c r="C22482" s="3" t="str">
        <f aca="false">IF(SUM($G$22411:$K$22411)=0,"n/a (beyond horizon)",IF(SUMPRODUCT($G$22411:$K$22411,$G$22317:$K$22317)&gt;0,"REFINANCING PASS","REFINANCING FAILURE"))</f>
        <v>REFINANCING PASS</v>
      </c>
    </row>
    <row r="22483" customFormat="false" ht="15" hidden="false" customHeight="false" outlineLevel="0" collapsed="false">
      <c r="A22483" s="3" t="s">
        <v>384</v>
      </c>
      <c r="C22483" s="3" t="str">
        <f aca="false">IF(SUM($G$22411:$K$22411)=0,"n/a",IF(C22481&gt;=C22480-0.001,"Repaid from cash",IF(SUMPRODUCT($G$22411:$K$22411,$G$22317:$K$22317)&gt;0,IF(C22481&gt;0,"Partly repaid; remainder refinanced","Refinanced"),IF(SUM($G$22420:$K$22420)&gt;0.001,IF(C22481&gt;0,"Partial repayment; PAYMENT DEFAULT","PAYMENT DEFAULT"),"Repaid from cash"))))</f>
        <v>Refinanced</v>
      </c>
    </row>
    <row r="22484" customFormat="false" ht="15" hidden="false" customHeight="false" outlineLevel="0" collapsed="false">
      <c r="A22484" s="3" t="s">
        <v>385</v>
      </c>
      <c r="C22484" s="16" t="n">
        <f aca="false">SUMPRODUCT($G$22424:$K$22424,$G$22423:$K$22423-$G$22429:$K$22429+$G$22428:$K$22428)</f>
        <v>300</v>
      </c>
    </row>
    <row r="22485" customFormat="false" ht="15" hidden="false" customHeight="false" outlineLevel="0" collapsed="false">
      <c r="A22485" s="3" t="s">
        <v>386</v>
      </c>
      <c r="C22485" s="16" t="n">
        <f aca="false">SUMPRODUCT($G$22424:$K$22424,$G$22431:$K$22431)</f>
        <v>0</v>
      </c>
    </row>
    <row r="22486" customFormat="false" ht="15" hidden="false" customHeight="false" outlineLevel="0" collapsed="false">
      <c r="A22486" s="3" t="s">
        <v>387</v>
      </c>
      <c r="C22486" s="3" t="str">
        <f aca="false">IF(SUM($G$22424:$K$22424)=0,"n/a (beyond horizon)",IF(SUMPRODUCT($G$22424:$K$22424,$G$22317:$K$22317)&gt;0,"REFINANCING PASS","REFINANCING FAILURE"))</f>
        <v>REFINANCING PASS</v>
      </c>
    </row>
    <row r="22487" customFormat="false" ht="15" hidden="false" customHeight="false" outlineLevel="0" collapsed="false">
      <c r="A22487" s="3" t="s">
        <v>388</v>
      </c>
      <c r="C22487" s="3" t="str">
        <f aca="false">IF(SUM($G$22424:$K$22424)=0,"n/a",IF(C22485&gt;=C22484-0.001,"Repaid from cash",IF(SUMPRODUCT($G$22424:$K$22424,$G$22317:$K$22317)&gt;0,IF(C22485&gt;0,"Partly repaid; remainder refinanced","Refinanced"),IF(SUM($G$22433:$K$22433)&gt;0.001,IF(C22485&gt;0,"Partial repayment; PAYMENT DEFAULT","PAYMENT DEFAULT"),"Repaid from cash"))))</f>
        <v>Refinanced</v>
      </c>
    </row>
    <row r="22488" customFormat="false" ht="15" hidden="false" customHeight="false" outlineLevel="0" collapsed="false">
      <c r="A22488" s="3" t="s">
        <v>389</v>
      </c>
      <c r="C22488" s="16" t="n">
        <f aca="false">SUMPRODUCT($G$22437:$K$22437,$G$22436:$K$22436-$G$22442:$K$22442+$G$22441:$K$22441)</f>
        <v>0</v>
      </c>
    </row>
    <row r="22489" customFormat="false" ht="15" hidden="false" customHeight="false" outlineLevel="0" collapsed="false">
      <c r="A22489" s="3" t="s">
        <v>390</v>
      </c>
      <c r="C22489" s="16" t="n">
        <f aca="false">SUMPRODUCT($G$22437:$K$22437,$G$22444:$K$22444)</f>
        <v>0</v>
      </c>
    </row>
    <row r="22490" customFormat="false" ht="15" hidden="false" customHeight="false" outlineLevel="0" collapsed="false">
      <c r="A22490" s="3" t="s">
        <v>391</v>
      </c>
      <c r="C22490" s="3" t="str">
        <f aca="false">IF(SUM($G$22437:$K$22437)=0,"n/a (beyond horizon)",IF(SUMPRODUCT($G$22437:$K$22437,$G$22317:$K$22317)&gt;0,"REFINANCING PASS","REFINANCING FAILURE"))</f>
        <v>n/a (beyond horizon)</v>
      </c>
    </row>
    <row r="22491" customFormat="false" ht="15" hidden="false" customHeight="false" outlineLevel="0" collapsed="false">
      <c r="A22491" s="3" t="s">
        <v>392</v>
      </c>
      <c r="C22491" s="3" t="str">
        <f aca="false">IF(SUM($G$22437:$K$22437)=0,"n/a",IF(C22489&gt;=C22488-0.001,"Repaid from cash",IF(SUMPRODUCT($G$22437:$K$22437,$G$22317:$K$22317)&gt;0,IF(C22489&gt;0,"Partly repaid; remainder refinanced","Refinanced"),IF(SUM($G$22446:$K$22446)&gt;0.001,IF(C22489&gt;0,"Partial repayment; PAYMENT DEFAULT","PAYMENT DEFAULT"),"Repaid from cash"))))</f>
        <v>n/a</v>
      </c>
    </row>
    <row r="22492" customFormat="false" ht="15" hidden="false" customHeight="false" outlineLevel="0" collapsed="false">
      <c r="A22492" s="3" t="s">
        <v>393</v>
      </c>
      <c r="C22492" s="21" t="n">
        <f aca="false">IF(C22454="REFINANCING FAILURE",1,0)+IF(C22458="REFINANCING FAILURE",1,0)+IF(C22462="REFINANCING FAILURE",1,0)+IF(C22466="REFINANCING FAILURE",1,0)+IF(C22470="REFINANCING FAILURE",1,0)+IF(C22474="REFINANCING FAILURE",1,0)+IF(C22478="REFINANCING FAILURE",1,0)+IF(C22482="REFINANCING FAILURE",1,0)+IF(C22486="REFINANCING FAILURE",1,0)+IF(C22490="REFINANCING FAILURE",1,0)</f>
        <v>0</v>
      </c>
    </row>
    <row r="22494" customFormat="false" ht="15" hidden="false" customHeight="false" outlineLevel="0" collapsed="false">
      <c r="A22494" s="24" t="s">
        <v>395</v>
      </c>
      <c r="B22494" s="25"/>
      <c r="C22494" s="25"/>
      <c r="D22494" s="25"/>
      <c r="E22494" s="25"/>
      <c r="F22494" s="25"/>
      <c r="G22494" s="25"/>
      <c r="H22494" s="25"/>
      <c r="I22494" s="25"/>
      <c r="J22494" s="25"/>
      <c r="K22494" s="25"/>
    </row>
    <row r="22495" customFormat="false" ht="15" hidden="false" customHeight="false" outlineLevel="0" collapsed="false">
      <c r="A22495" s="3" t="s">
        <v>325</v>
      </c>
      <c r="G22495" s="16" t="n">
        <f aca="false">F22507</f>
        <v>37.87</v>
      </c>
      <c r="H22495" s="16" t="n">
        <f aca="false">G22507</f>
        <v>152.7218186</v>
      </c>
      <c r="I22495" s="16" t="n">
        <f aca="false">H22507</f>
        <v>25</v>
      </c>
      <c r="J22495" s="16" t="n">
        <f aca="false">I22507</f>
        <v>0</v>
      </c>
      <c r="K22495" s="16" t="n">
        <f aca="false">J22507</f>
        <v>0</v>
      </c>
    </row>
    <row r="22496" customFormat="false" ht="15" hidden="false" customHeight="false" outlineLevel="0" collapsed="false">
      <c r="A22496" s="3" t="s">
        <v>396</v>
      </c>
      <c r="G22496" s="16" t="n">
        <f aca="false">G22306</f>
        <v>-81.1481814</v>
      </c>
      <c r="H22496" s="16" t="n">
        <f aca="false">H22306</f>
        <v>-76.6778699738</v>
      </c>
      <c r="I22496" s="16" t="n">
        <f aca="false">I22306</f>
        <v>-85.062604182056</v>
      </c>
      <c r="J22496" s="16" t="n">
        <f aca="false">J22306</f>
        <v>-81.9474376427392</v>
      </c>
      <c r="K22496" s="16" t="n">
        <f aca="false">K22306</f>
        <v>-97.3880872154529</v>
      </c>
    </row>
    <row r="22497" customFormat="false" ht="15" hidden="false" customHeight="false" outlineLevel="0" collapsed="false">
      <c r="A22497" s="3" t="s">
        <v>397</v>
      </c>
      <c r="G22497" s="16" t="n">
        <f aca="false">CHOOSE($C$22276,Assumptions!$G$82,Assumptions!$G$101,Assumptions!$G$120)</f>
        <v>200</v>
      </c>
      <c r="H22497" s="16" t="n">
        <f aca="false">CHOOSE($C$22276,Assumptions!$H$82,Assumptions!$H$101,Assumptions!$H$120)</f>
        <v>0</v>
      </c>
      <c r="I22497" s="16" t="n">
        <f aca="false">CHOOSE($C$22276,Assumptions!$I$82,Assumptions!$I$101,Assumptions!$I$120)</f>
        <v>0</v>
      </c>
      <c r="J22497" s="16" t="n">
        <f aca="false">CHOOSE($C$22276,Assumptions!$J$82,Assumptions!$J$101,Assumptions!$J$120)</f>
        <v>0</v>
      </c>
      <c r="K22497" s="16" t="n">
        <f aca="false">CHOOSE($C$22276,Assumptions!$K$82,Assumptions!$K$101,Assumptions!$K$120)</f>
        <v>0</v>
      </c>
    </row>
    <row r="22498" customFormat="false" ht="15" hidden="false" customHeight="false" outlineLevel="0" collapsed="false">
      <c r="A22498" s="3" t="s">
        <v>398</v>
      </c>
      <c r="G22498" s="16" t="n">
        <f aca="false">G22325+G22338+G22351+G22364+G22377+G22390+G22403+G22416+G22429+G22442</f>
        <v>4</v>
      </c>
      <c r="H22498" s="16" t="n">
        <f aca="false">H22325+H22338+H22351+H22364+H22377+H22390+H22403+H22416+H22429+H22442</f>
        <v>4</v>
      </c>
      <c r="I22498" s="16" t="n">
        <f aca="false">I22325+I22338+I22351+I22364+I22377+I22390+I22403+I22416+I22429+I22442</f>
        <v>4</v>
      </c>
      <c r="J22498" s="16" t="n">
        <f aca="false">J22325+J22338+J22351+J22364+J22377+J22390+J22403+J22416+J22429+J22442</f>
        <v>4</v>
      </c>
      <c r="K22498" s="16" t="n">
        <f aca="false">K22325+K22338+K22351+K22364+K22377+K22390+K22403+K22416+K22429+K22442</f>
        <v>4</v>
      </c>
    </row>
    <row r="22499" customFormat="false" ht="15" hidden="false" customHeight="false" outlineLevel="0" collapsed="false">
      <c r="A22499" s="2" t="s">
        <v>399</v>
      </c>
      <c r="G22499" s="17" t="n">
        <f aca="false">G22495+G22496+G22497-G22498</f>
        <v>152.7218186</v>
      </c>
      <c r="H22499" s="17" t="n">
        <f aca="false">H22495+H22496+H22497-H22498</f>
        <v>72.0439486262</v>
      </c>
      <c r="I22499" s="17" t="n">
        <f aca="false">I22495+I22496+I22497-I22498</f>
        <v>-64.062604182056</v>
      </c>
      <c r="J22499" s="17" t="n">
        <f aca="false">J22495+J22496+J22497-J22498</f>
        <v>-85.9474376427392</v>
      </c>
      <c r="K22499" s="17" t="n">
        <f aca="false">K22495+K22496+K22497-K22498</f>
        <v>-101.388087215453</v>
      </c>
    </row>
    <row r="22500" customFormat="false" ht="15" hidden="false" customHeight="false" outlineLevel="0" collapsed="false">
      <c r="A22500" s="3" t="s">
        <v>400</v>
      </c>
      <c r="G22500" s="16" t="n">
        <f aca="false">G22326+G22339+G22352+G22365+G22378+G22391+G22404+G22417+G22430+G22443</f>
        <v>0</v>
      </c>
      <c r="H22500" s="16" t="n">
        <f aca="false">H22326+H22339+H22352+H22365+H22378+H22391+H22404+H22417+H22430+H22443</f>
        <v>0</v>
      </c>
      <c r="I22500" s="16" t="n">
        <f aca="false">I22326+I22339+I22352+I22365+I22378+I22391+I22404+I22417+I22430+I22443</f>
        <v>64.062604182056</v>
      </c>
      <c r="J22500" s="16" t="n">
        <f aca="false">J22326+J22339+J22352+J22365+J22378+J22391+J22404+J22417+J22430+J22443</f>
        <v>85.9474376427392</v>
      </c>
      <c r="K22500" s="16" t="n">
        <f aca="false">K22326+K22339+K22352+K22365+K22378+K22391+K22404+K22417+K22430+K22443</f>
        <v>101.388087215453</v>
      </c>
    </row>
    <row r="22501" customFormat="false" ht="15" hidden="false" customHeight="false" outlineLevel="0" collapsed="false">
      <c r="A22501" s="2" t="s">
        <v>401</v>
      </c>
      <c r="G22501" s="17" t="n">
        <f aca="false">G22499+G22500</f>
        <v>152.7218186</v>
      </c>
      <c r="H22501" s="17" t="n">
        <f aca="false">H22499+H22500</f>
        <v>72.0439486262</v>
      </c>
      <c r="I22501" s="17" t="n">
        <f aca="false">I22499+I22500</f>
        <v>0</v>
      </c>
      <c r="J22501" s="17" t="n">
        <f aca="false">J22499+J22500</f>
        <v>0</v>
      </c>
      <c r="K22501" s="17" t="n">
        <f aca="false">K22499+K22500</f>
        <v>0</v>
      </c>
    </row>
    <row r="22502" customFormat="false" ht="15" hidden="false" customHeight="false" outlineLevel="0" collapsed="false">
      <c r="A22502" s="3" t="s">
        <v>402</v>
      </c>
      <c r="G22502" s="16" t="n">
        <f aca="false">G22327+G22340+G22353+G22366+G22379+G22392+G22405+G22418+G22431+G22444</f>
        <v>0</v>
      </c>
      <c r="H22502" s="16" t="n">
        <f aca="false">H22327+H22340+H22353+H22366+H22379+H22392+H22405+H22418+H22431+H22444</f>
        <v>47.0439486262</v>
      </c>
      <c r="I22502" s="16" t="n">
        <f aca="false">I22327+I22340+I22353+I22366+I22379+I22392+I22405+I22418+I22431+I22444</f>
        <v>0</v>
      </c>
      <c r="J22502" s="16" t="n">
        <f aca="false">J22327+J22340+J22353+J22366+J22379+J22392+J22405+J22418+J22431+J22444</f>
        <v>0</v>
      </c>
      <c r="K22502" s="16" t="n">
        <f aca="false">K22327+K22340+K22353+K22366+K22379+K22392+K22405+K22418+K22431+K22444</f>
        <v>0</v>
      </c>
    </row>
    <row r="22503" customFormat="false" ht="15" hidden="false" customHeight="false" outlineLevel="0" collapsed="false">
      <c r="A22503" s="2" t="s">
        <v>403</v>
      </c>
      <c r="G22503" s="17" t="n">
        <f aca="false">G22501-G22502</f>
        <v>152.7218186</v>
      </c>
      <c r="H22503" s="17" t="n">
        <f aca="false">H22501-H22502</f>
        <v>25</v>
      </c>
      <c r="I22503" s="17" t="n">
        <f aca="false">I22501-I22502</f>
        <v>0</v>
      </c>
      <c r="J22503" s="17" t="n">
        <f aca="false">J22501-J22502</f>
        <v>0</v>
      </c>
      <c r="K22503" s="17" t="n">
        <f aca="false">K22501-K22502</f>
        <v>0</v>
      </c>
    </row>
    <row r="22504" customFormat="false" ht="15" hidden="false" customHeight="false" outlineLevel="0" collapsed="false">
      <c r="A22504" s="3" t="s">
        <v>404</v>
      </c>
      <c r="G22504" s="16" t="n">
        <f aca="false">MAX(0,-G22503)</f>
        <v>0</v>
      </c>
      <c r="H22504" s="16" t="n">
        <f aca="false">MAX(0,-H22503)</f>
        <v>0</v>
      </c>
      <c r="I22504" s="16" t="n">
        <f aca="false">MAX(0,-I22503)</f>
        <v>-0</v>
      </c>
      <c r="J22504" s="16" t="n">
        <f aca="false">MAX(0,-J22503)</f>
        <v>-0</v>
      </c>
      <c r="K22504" s="16" t="n">
        <f aca="false">MAX(0,-K22503)</f>
        <v>-0</v>
      </c>
    </row>
    <row r="22505" customFormat="false" ht="15" hidden="false" customHeight="false" outlineLevel="0" collapsed="false">
      <c r="A22505" s="3" t="s">
        <v>405</v>
      </c>
      <c r="G22505" s="16" t="n">
        <f aca="false">MAX(0,G22503-Assumptions!$C$12)*Assumptions!$C$13</f>
        <v>0</v>
      </c>
      <c r="H22505" s="16" t="n">
        <f aca="false">MAX(0,H22503-Assumptions!$C$12)*Assumptions!$C$13</f>
        <v>0</v>
      </c>
      <c r="I22505" s="16" t="n">
        <f aca="false">MAX(0,I22503-Assumptions!$C$12)*Assumptions!$C$13</f>
        <v>0</v>
      </c>
      <c r="J22505" s="16" t="n">
        <f aca="false">MAX(0,J22503-Assumptions!$C$12)*Assumptions!$C$13</f>
        <v>0</v>
      </c>
      <c r="K22505" s="16" t="n">
        <f aca="false">MAX(0,K22503-Assumptions!$C$12)*Assumptions!$C$13</f>
        <v>0</v>
      </c>
    </row>
    <row r="22506" customFormat="false" ht="15" hidden="false" customHeight="false" outlineLevel="0" collapsed="false">
      <c r="A22506" s="3" t="s">
        <v>406</v>
      </c>
      <c r="G22506" s="16" t="n">
        <f aca="false">G22328+G22341+G22354+G22367+G22380+G22393+G22406+G22419+G22432+G22445</f>
        <v>0</v>
      </c>
      <c r="H22506" s="16" t="n">
        <f aca="false">H22328+H22341+H22354+H22367+H22380+H22393+H22406+H22419+H22432+H22445</f>
        <v>0</v>
      </c>
      <c r="I22506" s="16" t="n">
        <f aca="false">I22328+I22341+I22354+I22367+I22380+I22393+I22406+I22419+I22432+I22445</f>
        <v>0</v>
      </c>
      <c r="J22506" s="16" t="n">
        <f aca="false">J22328+J22341+J22354+J22367+J22380+J22393+J22406+J22419+J22432+J22445</f>
        <v>0</v>
      </c>
      <c r="K22506" s="16" t="n">
        <f aca="false">K22328+K22341+K22354+K22367+K22380+K22393+K22406+K22419+K22432+K22445</f>
        <v>0</v>
      </c>
    </row>
    <row r="22507" customFormat="false" ht="15" hidden="false" customHeight="false" outlineLevel="0" collapsed="false">
      <c r="A22507" s="2" t="s">
        <v>407</v>
      </c>
      <c r="F22507" s="28" t="n">
        <f aca="false">Assumptions!$C$11</f>
        <v>37.87</v>
      </c>
      <c r="G22507" s="17" t="n">
        <f aca="false">G22503-G22506</f>
        <v>152.7218186</v>
      </c>
      <c r="H22507" s="17" t="n">
        <f aca="false">H22503-H22506</f>
        <v>25</v>
      </c>
      <c r="I22507" s="17" t="n">
        <f aca="false">I22503-I22506</f>
        <v>0</v>
      </c>
      <c r="J22507" s="17" t="n">
        <f aca="false">J22503-J22506</f>
        <v>0</v>
      </c>
      <c r="K22507" s="17" t="n">
        <f aca="false">K22503-K22506</f>
        <v>0</v>
      </c>
    </row>
    <row r="22508" customFormat="false" ht="15" hidden="false" customHeight="false" outlineLevel="0" collapsed="false">
      <c r="A22508" s="3" t="s">
        <v>408</v>
      </c>
      <c r="G22508" s="16" t="n">
        <f aca="false">G22329+G22342+G22355+G22368+G22381+G22394+G22407+G22420+G22433+G22446</f>
        <v>0</v>
      </c>
      <c r="H22508" s="16" t="n">
        <f aca="false">H22329+H22342+H22355+H22368+H22381+H22394+H22407+H22420+H22433+H22446</f>
        <v>0</v>
      </c>
      <c r="I22508" s="16" t="n">
        <f aca="false">I22329+I22342+I22355+I22368+I22381+I22394+I22407+I22420+I22433+I22446</f>
        <v>0</v>
      </c>
      <c r="J22508" s="16" t="n">
        <f aca="false">J22329+J22342+J22355+J22368+J22381+J22394+J22407+J22420+J22433+J22446</f>
        <v>0</v>
      </c>
      <c r="K22508" s="16" t="n">
        <f aca="false">K22329+K22342+K22355+K22368+K22381+K22394+K22407+K22420+K22433+K22446</f>
        <v>0</v>
      </c>
    </row>
    <row r="22509" customFormat="false" ht="15" hidden="false" customHeight="false" outlineLevel="0" collapsed="false">
      <c r="A22509" s="3" t="s">
        <v>409</v>
      </c>
      <c r="G22509" s="21" t="n">
        <f aca="false">IF(OR(G22504&gt;0.001,G22508&gt;0.001),1,0)</f>
        <v>0</v>
      </c>
      <c r="H22509" s="21" t="n">
        <f aca="false">IF(OR(H22504&gt;0.001,H22508&gt;0.001),1,0)</f>
        <v>0</v>
      </c>
      <c r="I22509" s="21" t="n">
        <f aca="false">IF(OR(I22504&gt;0.001,I22508&gt;0.001),1,0)</f>
        <v>0</v>
      </c>
      <c r="J22509" s="21" t="n">
        <f aca="false">IF(OR(J22504&gt;0.001,J22508&gt;0.001),1,0)</f>
        <v>0</v>
      </c>
      <c r="K22509" s="21" t="n">
        <f aca="false">IF(OR(K22504&gt;0.001,K22508&gt;0.001),1,0)</f>
        <v>0</v>
      </c>
    </row>
    <row r="22510" customFormat="false" ht="15" hidden="false" customHeight="false" outlineLevel="0" collapsed="false">
      <c r="A22510" s="3" t="s">
        <v>410</v>
      </c>
      <c r="G22510" s="21" t="n">
        <f aca="false">IF(G22509=1,1,0)</f>
        <v>0</v>
      </c>
      <c r="H22510" s="21" t="n">
        <f aca="false">IF(AND(H22509=1,SUM($G$22509:G22509)=0),1,0)</f>
        <v>0</v>
      </c>
      <c r="I22510" s="21" t="n">
        <f aca="false">IF(AND(I22509=1,SUM($G$22509:H22509)=0),1,0)</f>
        <v>0</v>
      </c>
      <c r="J22510" s="21" t="n">
        <f aca="false">IF(AND(J22509=1,SUM($G$22509:I22509)=0),1,0)</f>
        <v>0</v>
      </c>
      <c r="K22510" s="21" t="n">
        <f aca="false">IF(AND(K22509=1,SUM($G$22509:J22509)=0),1,0)</f>
        <v>0</v>
      </c>
    </row>
    <row r="22511" customFormat="false" ht="15" hidden="false" customHeight="false" outlineLevel="0" collapsed="false">
      <c r="A22511" s="3" t="s">
        <v>411</v>
      </c>
      <c r="G22511" s="16" t="n">
        <f aca="false">(G22449-F22449)-(G22500+G22298-G22498-G22502-G22506)</f>
        <v>0</v>
      </c>
      <c r="H22511" s="16" t="n">
        <f aca="false">(H22449-G22449)-(H22500+H22298-H22498-H22502-H22506)</f>
        <v>0</v>
      </c>
      <c r="I22511" s="16" t="n">
        <f aca="false">(I22449-H22449)-(I22500+I22298-I22498-I22502-I22506)</f>
        <v>0</v>
      </c>
      <c r="J22511" s="16" t="n">
        <f aca="false">(J22449-I22449)-(J22500+J22298-J22498-J22502-J22506)</f>
        <v>-3.41060513164848E-013</v>
      </c>
      <c r="K22511" s="16" t="n">
        <f aca="false">(K22449-J22449)-(K22500+K22298-K22498-K22502-K22506)</f>
        <v>0</v>
      </c>
    </row>
    <row r="22513" customFormat="false" ht="15" hidden="false" customHeight="false" outlineLevel="0" collapsed="false">
      <c r="A22513" s="24" t="s">
        <v>413</v>
      </c>
      <c r="B22513" s="25"/>
      <c r="C22513" s="25"/>
      <c r="D22513" s="25"/>
      <c r="E22513" s="25"/>
      <c r="F22513" s="25"/>
      <c r="G22513" s="25"/>
      <c r="H22513" s="25"/>
      <c r="I22513" s="25"/>
      <c r="J22513" s="25"/>
      <c r="K22513" s="25"/>
    </row>
    <row r="22514" customFormat="false" ht="15" hidden="false" customHeight="false" outlineLevel="0" collapsed="false">
      <c r="A22514" s="3" t="s">
        <v>414</v>
      </c>
      <c r="G22514" s="16" t="n">
        <f aca="false">G22449</f>
        <v>2621.934</v>
      </c>
      <c r="H22514" s="16" t="n">
        <f aca="false">H22449</f>
        <v>2570.8900513738</v>
      </c>
      <c r="I22514" s="16" t="n">
        <f aca="false">I22449</f>
        <v>2630.95265555586</v>
      </c>
      <c r="J22514" s="16" t="n">
        <f aca="false">J22449</f>
        <v>2712.9000931986</v>
      </c>
      <c r="K22514" s="16" t="n">
        <f aca="false">K22449</f>
        <v>2810.28818041405</v>
      </c>
    </row>
    <row r="22515" customFormat="false" ht="15" hidden="false" customHeight="false" outlineLevel="0" collapsed="false">
      <c r="A22515" s="3" t="s">
        <v>415</v>
      </c>
      <c r="G22515" s="16" t="n">
        <f aca="false">Assumptions!$O$57*G22330+Assumptions!$O$58*G22343+Assumptions!$O$59*G22356+Assumptions!$O$60*G22369+Assumptions!$O$61*G22382+Assumptions!$O$62*G22395+Assumptions!$O$63*G22408+Assumptions!$O$64*G22421+Assumptions!$O$65*G22434+Assumptions!$O$66*G22447</f>
        <v>543.324</v>
      </c>
      <c r="H22515" s="16" t="n">
        <f aca="false">Assumptions!$O$57*H22330+Assumptions!$O$58*H22343+Assumptions!$O$59*H22356+Assumptions!$O$60*H22369+Assumptions!$O$61*H22382+Assumptions!$O$62*H22395+Assumptions!$O$63*H22408+Assumptions!$O$64*H22421+Assumptions!$O$65*H22434+Assumptions!$O$66*H22447</f>
        <v>539.324</v>
      </c>
      <c r="I22515" s="16" t="n">
        <f aca="false">Assumptions!$O$57*I22330+Assumptions!$O$58*I22343+Assumptions!$O$59*I22356+Assumptions!$O$60*I22369+Assumptions!$O$61*I22382+Assumptions!$O$62*I22395+Assumptions!$O$63*I22408+Assumptions!$O$64*I22421+Assumptions!$O$65*I22434+Assumptions!$O$66*I22447</f>
        <v>535.324</v>
      </c>
      <c r="J22515" s="16" t="n">
        <f aca="false">Assumptions!$O$57*J22330+Assumptions!$O$58*J22343+Assumptions!$O$59*J22356+Assumptions!$O$60*J22369+Assumptions!$O$61*J22382+Assumptions!$O$62*J22395+Assumptions!$O$63*J22408+Assumptions!$O$64*J22421+Assumptions!$O$65*J22434+Assumptions!$O$66*J22447</f>
        <v>531.324</v>
      </c>
      <c r="K22515" s="16" t="n">
        <f aca="false">Assumptions!$O$57*K22330+Assumptions!$O$58*K22343+Assumptions!$O$59*K22356+Assumptions!$O$60*K22369+Assumptions!$O$61*K22382+Assumptions!$O$62*K22395+Assumptions!$O$63*K22408+Assumptions!$O$64*K22421+Assumptions!$O$65*K22434+Assumptions!$O$66*K22447</f>
        <v>527.324</v>
      </c>
    </row>
    <row r="22516" customFormat="false" ht="15" hidden="false" customHeight="false" outlineLevel="0" collapsed="false">
      <c r="A22516" s="3" t="s">
        <v>416</v>
      </c>
      <c r="G22516" s="16" t="n">
        <f aca="false">G22514-G22507</f>
        <v>2469.2121814</v>
      </c>
      <c r="H22516" s="16" t="n">
        <f aca="false">H22514-H22507</f>
        <v>2545.8900513738</v>
      </c>
      <c r="I22516" s="16" t="n">
        <f aca="false">I22514-I22507</f>
        <v>2630.95265555586</v>
      </c>
      <c r="J22516" s="16" t="n">
        <f aca="false">J22514-J22507</f>
        <v>2712.9000931986</v>
      </c>
      <c r="K22516" s="16" t="n">
        <f aca="false">K22514-K22507</f>
        <v>2810.28818041405</v>
      </c>
    </row>
    <row r="22517" customFormat="false" ht="15" hidden="false" customHeight="false" outlineLevel="0" collapsed="false">
      <c r="A22517" s="3" t="s">
        <v>417</v>
      </c>
      <c r="G22517" s="32" t="n">
        <f aca="false">IF(G22293&gt;0,G22514/G22293,0)</f>
        <v>10.2350768597559</v>
      </c>
      <c r="H22517" s="32" t="n">
        <f aca="false">IF(H22293&gt;0,H22514/H22293,0)</f>
        <v>9.7836598585912</v>
      </c>
      <c r="I22517" s="32" t="n">
        <f aca="false">IF(I22293&gt;0,I22514/I22293,0)</f>
        <v>9.76097324441471</v>
      </c>
      <c r="J22517" s="32" t="n">
        <f aca="false">IF(J22293&gt;0,J22514/J22293,0)</f>
        <v>9.83096686058736</v>
      </c>
      <c r="K22517" s="32" t="n">
        <f aca="false">IF(K22293&gt;0,K22514/K22293,0)</f>
        <v>9.94721792340092</v>
      </c>
    </row>
    <row r="22518" customFormat="false" ht="15" hidden="false" customHeight="false" outlineLevel="0" collapsed="false">
      <c r="A22518" s="3" t="s">
        <v>418</v>
      </c>
      <c r="G22518" s="32" t="n">
        <f aca="false">IF(G22293&gt;0,G22516/G22293,0)</f>
        <v>9.63890641781007</v>
      </c>
      <c r="H22518" s="32" t="n">
        <f aca="false">IF(H22293&gt;0,H22516/H22293,0)</f>
        <v>9.68852101889867</v>
      </c>
      <c r="I22518" s="32" t="n">
        <f aca="false">IF(I22293&gt;0,I22516/I22293,0)</f>
        <v>9.76097324441471</v>
      </c>
      <c r="J22518" s="32" t="n">
        <f aca="false">IF(J22293&gt;0,J22516/J22293,0)</f>
        <v>9.83096686058736</v>
      </c>
      <c r="K22518" s="32" t="n">
        <f aca="false">IF(K22293&gt;0,K22516/K22293,0)</f>
        <v>9.94721792340092</v>
      </c>
    </row>
    <row r="22519" customFormat="false" ht="15" hidden="false" customHeight="false" outlineLevel="0" collapsed="false">
      <c r="A22519" s="3" t="s">
        <v>419</v>
      </c>
      <c r="G22519" s="32" t="n">
        <f aca="false">IF(G22297&gt;0,G22293/G22297,0)</f>
        <v>1.44064925378742</v>
      </c>
      <c r="H22519" s="32" t="n">
        <f aca="false">IF(H22297&gt;0,H22293/H22297,0)</f>
        <v>1.48662458018224</v>
      </c>
      <c r="I22519" s="32" t="n">
        <f aca="false">IF(I22297&gt;0,I22293/I22297,0)</f>
        <v>1.4287446938311</v>
      </c>
      <c r="J22519" s="32" t="n">
        <f aca="false">IF(J22297&gt;0,J22293/J22297,0)</f>
        <v>1.46289298444564</v>
      </c>
      <c r="K22519" s="32" t="n">
        <f aca="false">IF(K22297&gt;0,K22293/K22297,0)</f>
        <v>1.3631387153675</v>
      </c>
    </row>
    <row r="22520" customFormat="false" ht="15" hidden="false" customHeight="false" outlineLevel="0" collapsed="false">
      <c r="A22520" s="3" t="s">
        <v>420</v>
      </c>
      <c r="G22520" s="32" t="n">
        <f aca="false">IF(G22297&gt;0,G22296/G22297,0)</f>
        <v>0.42986525376579</v>
      </c>
      <c r="H22520" s="32" t="n">
        <f aca="false">IF(H22297&gt;0,H22296/H22297,0)</f>
        <v>0.449454285075262</v>
      </c>
      <c r="I22520" s="32" t="n">
        <f aca="false">IF(I22297&gt;0,I22296/I22297,0)</f>
        <v>0.437534384179105</v>
      </c>
      <c r="J22520" s="32" t="n">
        <f aca="false">IF(J22297&gt;0,J22296/J22297,0)</f>
        <v>0.451764718415672</v>
      </c>
      <c r="K22520" s="32" t="n">
        <f aca="false">IF(K22297&gt;0,K22296/K22297,0)</f>
        <v>0.424448561359655</v>
      </c>
    </row>
    <row r="22521" customFormat="false" ht="15" hidden="false" customHeight="false" outlineLevel="0" collapsed="false">
      <c r="A22521" s="3" t="s">
        <v>213</v>
      </c>
      <c r="G22521" s="22" t="n">
        <f aca="false">IF(G22514&gt;0,G22306/G22514,0)</f>
        <v>-0.0309497422131907</v>
      </c>
      <c r="H22521" s="22" t="n">
        <f aca="false">IF(H22514&gt;0,H22306/H22514,0)</f>
        <v>-0.0298254178286721</v>
      </c>
      <c r="I22521" s="22" t="n">
        <f aca="false">IF(I22514&gt;0,I22306/I22514,0)</f>
        <v>-0.0323314841878385</v>
      </c>
      <c r="J22521" s="22" t="n">
        <f aca="false">IF(J22514&gt;0,J22306/J22514,0)</f>
        <v>-0.0302065814543581</v>
      </c>
      <c r="K22521" s="22" t="n">
        <f aca="false">IF(K22514&gt;0,K22306/K22514,0)</f>
        <v>-0.0346541283182938</v>
      </c>
    </row>
    <row r="22522" customFormat="false" ht="15" hidden="false" customHeight="false" outlineLevel="0" collapsed="false">
      <c r="A22522" s="3" t="s">
        <v>421</v>
      </c>
      <c r="G22522" s="32" t="n">
        <f aca="false">IF(G22297+G22498&gt;0,(G22293-G22304-G22301)/(G22297+G22498),0)</f>
        <v>0.824105579615187</v>
      </c>
      <c r="H22522" s="32" t="n">
        <f aca="false">IF(H22297+H22498&gt;0,(H22293-H22304-H22301)/(H22297+H22498),0)</f>
        <v>0.853689674161911</v>
      </c>
      <c r="I22522" s="32" t="n">
        <f aca="false">IF(I22297+I22498&gt;0,(I22293-I22304-I22301)/(I22297+I22498),0)</f>
        <v>0.824830849221122</v>
      </c>
      <c r="J22522" s="32" t="n">
        <f aca="false">IF(J22297+J22498&gt;0,(J22293-J22304-J22301)/(J22297+J22498),0)</f>
        <v>0.84672920093425</v>
      </c>
      <c r="K22522" s="32" t="n">
        <f aca="false">IF(K22297+K22498&gt;0,(K22293-K22304-K22301)/(K22297+K22498),0)</f>
        <v>0.792491056551427</v>
      </c>
    </row>
    <row r="22523" customFormat="false" ht="15" hidden="false" customHeight="false" outlineLevel="0" collapsed="false">
      <c r="A22523" s="3" t="s">
        <v>422</v>
      </c>
      <c r="G22523" s="16" t="n">
        <f aca="false">MAX(0,G22507)+Assumptions!$P$57*MAX(0,Assumptions!$D$57-G22330)+Assumptions!$P$58*MAX(0,Assumptions!$D$58-G22343)+Assumptions!$P$59*MAX(0,Assumptions!$D$59-G22356)+Assumptions!$P$60*MAX(0,Assumptions!$D$60-G22369)+Assumptions!$P$61*MAX(0,Assumptions!$D$61-G22382)+Assumptions!$P$62*MAX(0,Assumptions!$D$62-G22395)+Assumptions!$P$63*MAX(0,Assumptions!$D$63-G22408)+Assumptions!$P$64*MAX(0,Assumptions!$D$64-G22421)+Assumptions!$P$65*MAX(0,Assumptions!$D$65-G22434)+Assumptions!$P$66*MAX(0,Assumptions!$D$66-G22447)</f>
        <v>727.2218186</v>
      </c>
      <c r="H22523" s="16" t="n">
        <f aca="false">MAX(0,H22507)+Assumptions!$P$57*MAX(0,Assumptions!$D$57-H22330)+Assumptions!$P$58*MAX(0,Assumptions!$D$58-H22343)+Assumptions!$P$59*MAX(0,Assumptions!$D$59-H22356)+Assumptions!$P$60*MAX(0,Assumptions!$D$60-H22369)+Assumptions!$P$61*MAX(0,Assumptions!$D$61-H22382)+Assumptions!$P$62*MAX(0,Assumptions!$D$62-H22395)+Assumptions!$P$63*MAX(0,Assumptions!$D$63-H22408)+Assumptions!$P$64*MAX(0,Assumptions!$D$64-H22421)+Assumptions!$P$65*MAX(0,Assumptions!$D$65-H22434)+Assumptions!$P$66*MAX(0,Assumptions!$D$66-H22447)</f>
        <v>599.5</v>
      </c>
      <c r="I22523" s="16" t="n">
        <f aca="false">MAX(0,I22507)+Assumptions!$P$57*MAX(0,Assumptions!$D$57-I22330)+Assumptions!$P$58*MAX(0,Assumptions!$D$58-I22343)+Assumptions!$P$59*MAX(0,Assumptions!$D$59-I22356)+Assumptions!$P$60*MAX(0,Assumptions!$D$60-I22369)+Assumptions!$P$61*MAX(0,Assumptions!$D$61-I22382)+Assumptions!$P$62*MAX(0,Assumptions!$D$62-I22395)+Assumptions!$P$63*MAX(0,Assumptions!$D$63-I22408)+Assumptions!$P$64*MAX(0,Assumptions!$D$64-I22421)+Assumptions!$P$65*MAX(0,Assumptions!$D$65-I22434)+Assumptions!$P$66*MAX(0,Assumptions!$D$66-I22447)</f>
        <v>510.437395817944</v>
      </c>
      <c r="J22523" s="16" t="n">
        <f aca="false">MAX(0,J22507)+Assumptions!$P$57*MAX(0,Assumptions!$D$57-J22330)+Assumptions!$P$58*MAX(0,Assumptions!$D$58-J22343)+Assumptions!$P$59*MAX(0,Assumptions!$D$59-J22356)+Assumptions!$P$60*MAX(0,Assumptions!$D$60-J22369)+Assumptions!$P$61*MAX(0,Assumptions!$D$61-J22382)+Assumptions!$P$62*MAX(0,Assumptions!$D$62-J22395)+Assumptions!$P$63*MAX(0,Assumptions!$D$63-J22408)+Assumptions!$P$64*MAX(0,Assumptions!$D$64-J22421)+Assumptions!$P$65*MAX(0,Assumptions!$D$65-J22434)+Assumptions!$P$66*MAX(0,Assumptions!$D$66-J22447)</f>
        <v>424.489958175205</v>
      </c>
      <c r="K22523" s="16" t="n">
        <f aca="false">MAX(0,K22507)+Assumptions!$P$57*MAX(0,Assumptions!$D$57-K22330)+Assumptions!$P$58*MAX(0,Assumptions!$D$58-K22343)+Assumptions!$P$59*MAX(0,Assumptions!$D$59-K22356)+Assumptions!$P$60*MAX(0,Assumptions!$D$60-K22369)+Assumptions!$P$61*MAX(0,Assumptions!$D$61-K22382)+Assumptions!$P$62*MAX(0,Assumptions!$D$62-K22395)+Assumptions!$P$63*MAX(0,Assumptions!$D$63-K22408)+Assumptions!$P$64*MAX(0,Assumptions!$D$64-K22421)+Assumptions!$P$65*MAX(0,Assumptions!$D$65-K22434)+Assumptions!$P$66*MAX(0,Assumptions!$D$66-K22447)</f>
        <v>323.101870959752</v>
      </c>
    </row>
    <row r="22524" customFormat="false" ht="15" hidden="false" customHeight="false" outlineLevel="0" collapsed="false">
      <c r="A22524" s="3" t="s">
        <v>423</v>
      </c>
      <c r="G22524" s="22" t="n">
        <f aca="false">IF(G22514&gt;0,G22514/(G22514+MAX(0,G22293*CHOOSE($C$22276,Assumptions!$C$90,Assumptions!$C$109,Assumptions!$C$128)-G22516)),0)</f>
        <v>0.781532044434446</v>
      </c>
      <c r="H22524" s="22" t="n">
        <f aca="false">IF(H22514&gt;0,H22514/(H22514+MAX(0,H22293*CHOOSE($C$22276,Assumptions!$C$90,Assumptions!$C$109,Assumptions!$C$128)-H22516)),0)</f>
        <v>0.776780628075239</v>
      </c>
      <c r="I22524" s="22" t="n">
        <f aca="false">IF(I22514&gt;0,I22514/(I22514+MAX(0,I22293*CHOOSE($C$22276,Assumptions!$C$90,Assumptions!$C$109,Assumptions!$C$128)-I22516)),0)</f>
        <v>0.780877859553177</v>
      </c>
      <c r="J22524" s="22" t="n">
        <f aca="false">IF(J22514&gt;0,J22514/(J22514+MAX(0,J22293*CHOOSE($C$22276,Assumptions!$C$90,Assumptions!$C$109,Assumptions!$C$128)-J22516)),0)</f>
        <v>0.786477348846989</v>
      </c>
      <c r="K22524" s="22" t="n">
        <f aca="false">IF(K22514&gt;0,K22514/(K22514+MAX(0,K22293*CHOOSE($C$22276,Assumptions!$C$90,Assumptions!$C$109,Assumptions!$C$128)-K22516)),0)</f>
        <v>0.795777433872073</v>
      </c>
    </row>
    <row r="22525" customFormat="false" ht="15" hidden="false" customHeight="false" outlineLevel="0" collapsed="false">
      <c r="A22525" s="3" t="s">
        <v>424</v>
      </c>
      <c r="G22525" s="22" t="n">
        <f aca="false">IF(G22514&gt;0,MAX(0,G22507)/G22514,0)</f>
        <v>0.0582477738188681</v>
      </c>
      <c r="H22525" s="22" t="n">
        <f aca="false">IF(H22514&gt;0,MAX(0,H22507)/H22514,0)</f>
        <v>0.0097242587199094</v>
      </c>
      <c r="I22525" s="22" t="n">
        <f aca="false">IF(I22514&gt;0,MAX(0,I22507)/I22514,0)</f>
        <v>0</v>
      </c>
      <c r="J22525" s="22" t="n">
        <f aca="false">IF(J22514&gt;0,MAX(0,J22507)/J22514,0)</f>
        <v>0</v>
      </c>
      <c r="K22525" s="22" t="n">
        <f aca="false">IF(K22514&gt;0,MAX(0,K22507)/K22514,0)</f>
        <v>0</v>
      </c>
    </row>
    <row r="22526" customFormat="false" ht="15" hidden="false" customHeight="false" outlineLevel="0" collapsed="false">
      <c r="A22526" s="3" t="s">
        <v>425</v>
      </c>
      <c r="G22526" s="16" t="n">
        <f aca="false">Assumptions!$C$31*(1-CHOOSE($C$22276,Assumptions!$C$93,Assumptions!$C$112,Assumptions!$C$131))</f>
        <v>4517.70066666667</v>
      </c>
      <c r="H22526" s="16" t="n">
        <f aca="false">Assumptions!$C$31*(1-CHOOSE($C$22276,Assumptions!$C$93,Assumptions!$C$112,Assumptions!$C$131))</f>
        <v>4517.70066666667</v>
      </c>
      <c r="I22526" s="16" t="n">
        <f aca="false">Assumptions!$C$31*(1-CHOOSE($C$22276,Assumptions!$C$93,Assumptions!$C$112,Assumptions!$C$131))</f>
        <v>4517.70066666667</v>
      </c>
      <c r="J22526" s="16" t="n">
        <f aca="false">Assumptions!$C$31*(1-CHOOSE($C$22276,Assumptions!$C$93,Assumptions!$C$112,Assumptions!$C$131))</f>
        <v>4517.70066666667</v>
      </c>
      <c r="K22526" s="16" t="n">
        <f aca="false">Assumptions!$C$31*(1-CHOOSE($C$22276,Assumptions!$C$93,Assumptions!$C$112,Assumptions!$C$131))</f>
        <v>4517.70066666667</v>
      </c>
    </row>
    <row r="22527" customFormat="false" ht="15" hidden="false" customHeight="false" outlineLevel="0" collapsed="false">
      <c r="A22527" s="24" t="s">
        <v>426</v>
      </c>
      <c r="B22527" s="25"/>
      <c r="C22527" s="25"/>
      <c r="D22527" s="25"/>
      <c r="E22527" s="25"/>
      <c r="F22527" s="25"/>
      <c r="G22527" s="25"/>
      <c r="H22527" s="25"/>
      <c r="I22527" s="25"/>
      <c r="J22527" s="25"/>
      <c r="K22527" s="25"/>
    </row>
    <row r="22528" customFormat="false" ht="15" hidden="false" customHeight="false" outlineLevel="0" collapsed="false">
      <c r="A22528" s="24" t="s">
        <v>427</v>
      </c>
      <c r="B22528" s="25"/>
      <c r="C22528" s="25"/>
      <c r="D22528" s="25"/>
      <c r="E22528" s="25"/>
      <c r="F22528" s="25"/>
      <c r="G22528" s="25"/>
      <c r="H22528" s="25"/>
      <c r="I22528" s="25"/>
      <c r="J22528" s="25"/>
      <c r="K22528" s="25"/>
    </row>
    <row r="22529" customFormat="false" ht="15" hidden="false" customHeight="false" outlineLevel="0" collapsed="false">
      <c r="A22529" s="3" t="s">
        <v>428</v>
      </c>
      <c r="G22529" s="22" t="n">
        <f aca="false">IF(G22526&gt;0,G22514/G22526,99)</f>
        <v>0.580369128779522</v>
      </c>
      <c r="H22529" s="22" t="n">
        <f aca="false">IF(H22526&gt;0,H22514/H22526,99)</f>
        <v>0.569070472141463</v>
      </c>
      <c r="I22529" s="22" t="n">
        <f aca="false">IF(I22526&gt;0,I22514/I22526,99)</f>
        <v>0.582365422075889</v>
      </c>
      <c r="J22529" s="22" t="n">
        <f aca="false">IF(J22526&gt;0,J22514/J22526,99)</f>
        <v>0.600504613600325</v>
      </c>
      <c r="K22529" s="22" t="n">
        <f aca="false">IF(K22526&gt;0,K22514/K22526,99)</f>
        <v>0.622061616686877</v>
      </c>
    </row>
    <row r="22530" customFormat="false" ht="15" hidden="false" customHeight="false" outlineLevel="0" collapsed="false">
      <c r="A22530" s="3" t="s">
        <v>429</v>
      </c>
      <c r="G22530" s="33" t="n">
        <f aca="false">Assumptions!$G$71</f>
        <v>0.6</v>
      </c>
      <c r="H22530" s="33" t="n">
        <f aca="false">Assumptions!$H$71</f>
        <v>0.6</v>
      </c>
      <c r="I22530" s="33" t="n">
        <f aca="false">Assumptions!$I$71</f>
        <v>0.6</v>
      </c>
      <c r="J22530" s="33" t="n">
        <f aca="false">Assumptions!$J$71</f>
        <v>0.6</v>
      </c>
      <c r="K22530" s="33" t="n">
        <f aca="false">Assumptions!$K$71</f>
        <v>0.6</v>
      </c>
    </row>
    <row r="22531" customFormat="false" ht="15" hidden="false" customHeight="false" outlineLevel="0" collapsed="false">
      <c r="A22531" s="3" t="s">
        <v>430</v>
      </c>
      <c r="G22531" s="22" t="n">
        <f aca="false">G22530-G22529</f>
        <v>0.0196308712204777</v>
      </c>
      <c r="H22531" s="22" t="n">
        <f aca="false">H22530-H22529</f>
        <v>0.0309295278585374</v>
      </c>
      <c r="I22531" s="22" t="n">
        <f aca="false">I22530-I22529</f>
        <v>0.0176345779241114</v>
      </c>
      <c r="J22531" s="22" t="n">
        <f aca="false">J22530-J22529</f>
        <v>-0.00050461360032461</v>
      </c>
      <c r="K22531" s="22" t="n">
        <f aca="false">K22530-K22529</f>
        <v>-0.022061616686877</v>
      </c>
    </row>
    <row r="22532" customFormat="false" ht="15" hidden="false" customHeight="false" outlineLevel="0" collapsed="false">
      <c r="A22532" s="3" t="s">
        <v>431</v>
      </c>
      <c r="G22532" s="22" t="n">
        <f aca="false">IF(G22530=0,0,G22531/ABS(G22530))</f>
        <v>0.0327181187007962</v>
      </c>
      <c r="H22532" s="22" t="n">
        <f aca="false">IF(H22530=0,0,H22531/ABS(H22530))</f>
        <v>0.0515492130975624</v>
      </c>
      <c r="I22532" s="22" t="n">
        <f aca="false">IF(I22530=0,0,I22531/ABS(I22530))</f>
        <v>0.0293909632068523</v>
      </c>
      <c r="J22532" s="22" t="n">
        <f aca="false">IF(J22530=0,0,J22531/ABS(J22530))</f>
        <v>-0.000841022667207684</v>
      </c>
      <c r="K22532" s="22" t="n">
        <f aca="false">IF(K22530=0,0,K22531/ABS(K22530))</f>
        <v>-0.036769361144795</v>
      </c>
    </row>
    <row r="22533" customFormat="false" ht="15" hidden="false" customHeight="false" outlineLevel="0" collapsed="false">
      <c r="A22533" s="3" t="s">
        <v>432</v>
      </c>
      <c r="G22533" s="21" t="n">
        <f aca="false">IF(G22531&lt;0,1,0)</f>
        <v>0</v>
      </c>
      <c r="H22533" s="21" t="n">
        <f aca="false">IF(H22531&lt;0,1,0)</f>
        <v>0</v>
      </c>
      <c r="I22533" s="21" t="n">
        <f aca="false">IF(I22531&lt;0,1,0)</f>
        <v>0</v>
      </c>
      <c r="J22533" s="21" t="n">
        <f aca="false">IF(J22531&lt;0,1,0)</f>
        <v>1</v>
      </c>
      <c r="K22533" s="21" t="n">
        <f aca="false">IF(K22531&lt;0,1,0)</f>
        <v>1</v>
      </c>
    </row>
    <row r="22534" customFormat="false" ht="15" hidden="false" customHeight="false" outlineLevel="0" collapsed="false">
      <c r="A22534" s="3" t="s">
        <v>433</v>
      </c>
      <c r="C22534" s="21" t="n">
        <f aca="false">IFERROR(INDEX($G$22283:$K$22283,MATCH(1,$G$22533:$K$22533,0)),0)</f>
        <v>2030</v>
      </c>
    </row>
    <row r="22535" customFormat="false" ht="15" hidden="false" customHeight="false" outlineLevel="0" collapsed="false">
      <c r="A22535" s="3" t="s">
        <v>434</v>
      </c>
      <c r="C22535" s="22" t="n">
        <f aca="false">MIN($G$22532:$K$22532)</f>
        <v>-0.036769361144795</v>
      </c>
    </row>
    <row r="22536" customFormat="false" ht="15" hidden="false" customHeight="false" outlineLevel="0" collapsed="false">
      <c r="A22536" s="24" t="s">
        <v>435</v>
      </c>
      <c r="B22536" s="25"/>
      <c r="C22536" s="25"/>
      <c r="D22536" s="25"/>
      <c r="E22536" s="25"/>
      <c r="F22536" s="25"/>
      <c r="G22536" s="25"/>
      <c r="H22536" s="25"/>
      <c r="I22536" s="25"/>
      <c r="J22536" s="25"/>
      <c r="K22536" s="25"/>
    </row>
    <row r="22537" customFormat="false" ht="15" hidden="false" customHeight="false" outlineLevel="0" collapsed="false">
      <c r="A22537" s="3" t="s">
        <v>428</v>
      </c>
      <c r="G22537" s="32" t="n">
        <f aca="false">IF(G22297&gt;0,G22293/G22297,99)</f>
        <v>1.44064925378742</v>
      </c>
      <c r="H22537" s="32" t="n">
        <f aca="false">IF(H22297&gt;0,H22293/H22297,99)</f>
        <v>1.48662458018224</v>
      </c>
      <c r="I22537" s="32" t="n">
        <f aca="false">IF(I22297&gt;0,I22293/I22297,99)</f>
        <v>1.4287446938311</v>
      </c>
      <c r="J22537" s="32" t="n">
        <f aca="false">IF(J22297&gt;0,J22293/J22297,99)</f>
        <v>1.46289298444564</v>
      </c>
      <c r="K22537" s="32" t="n">
        <f aca="false">IF(K22297&gt;0,K22293/K22297,99)</f>
        <v>1.3631387153675</v>
      </c>
    </row>
    <row r="22538" customFormat="false" ht="15" hidden="false" customHeight="false" outlineLevel="0" collapsed="false">
      <c r="A22538" s="3" t="s">
        <v>429</v>
      </c>
      <c r="G22538" s="34" t="n">
        <f aca="false">Assumptions!$G$72</f>
        <v>1.5</v>
      </c>
      <c r="H22538" s="34" t="n">
        <f aca="false">Assumptions!$H$72</f>
        <v>1.5</v>
      </c>
      <c r="I22538" s="34" t="n">
        <f aca="false">Assumptions!$I$72</f>
        <v>1.5</v>
      </c>
      <c r="J22538" s="34" t="n">
        <f aca="false">Assumptions!$J$72</f>
        <v>1.5</v>
      </c>
      <c r="K22538" s="34" t="n">
        <f aca="false">Assumptions!$K$72</f>
        <v>1.5</v>
      </c>
    </row>
    <row r="22539" customFormat="false" ht="15" hidden="false" customHeight="false" outlineLevel="0" collapsed="false">
      <c r="A22539" s="3" t="s">
        <v>430</v>
      </c>
      <c r="G22539" s="32" t="n">
        <f aca="false">G22537-G22538</f>
        <v>-0.0593507462125784</v>
      </c>
      <c r="H22539" s="32" t="n">
        <f aca="false">H22537-H22538</f>
        <v>-0.0133754198177596</v>
      </c>
      <c r="I22539" s="32" t="n">
        <f aca="false">I22537-I22538</f>
        <v>-0.0712553061689012</v>
      </c>
      <c r="J22539" s="32" t="n">
        <f aca="false">J22537-J22538</f>
        <v>-0.0371070155543638</v>
      </c>
      <c r="K22539" s="32" t="n">
        <f aca="false">K22537-K22538</f>
        <v>-0.136861284632504</v>
      </c>
    </row>
    <row r="22540" customFormat="false" ht="15" hidden="false" customHeight="false" outlineLevel="0" collapsed="false">
      <c r="A22540" s="3" t="s">
        <v>431</v>
      </c>
      <c r="G22540" s="22" t="n">
        <f aca="false">IF(G22538=0,0,G22539/ABS(G22538))</f>
        <v>-0.0395671641417189</v>
      </c>
      <c r="H22540" s="22" t="n">
        <f aca="false">IF(H22538=0,0,H22539/ABS(H22538))</f>
        <v>-0.00891694654517306</v>
      </c>
      <c r="I22540" s="22" t="n">
        <f aca="false">IF(I22538=0,0,I22539/ABS(I22538))</f>
        <v>-0.0475035374459341</v>
      </c>
      <c r="J22540" s="22" t="n">
        <f aca="false">IF(J22538=0,0,J22539/ABS(J22538))</f>
        <v>-0.0247380103695759</v>
      </c>
      <c r="K22540" s="22" t="n">
        <f aca="false">IF(K22538=0,0,K22539/ABS(K22538))</f>
        <v>-0.0912408564216693</v>
      </c>
    </row>
    <row r="22541" customFormat="false" ht="15" hidden="false" customHeight="false" outlineLevel="0" collapsed="false">
      <c r="A22541" s="3" t="s">
        <v>432</v>
      </c>
      <c r="G22541" s="21" t="n">
        <f aca="false">IF(G22539&lt;0,1,0)</f>
        <v>1</v>
      </c>
      <c r="H22541" s="21" t="n">
        <f aca="false">IF(H22539&lt;0,1,0)</f>
        <v>1</v>
      </c>
      <c r="I22541" s="21" t="n">
        <f aca="false">IF(I22539&lt;0,1,0)</f>
        <v>1</v>
      </c>
      <c r="J22541" s="21" t="n">
        <f aca="false">IF(J22539&lt;0,1,0)</f>
        <v>1</v>
      </c>
      <c r="K22541" s="21" t="n">
        <f aca="false">IF(K22539&lt;0,1,0)</f>
        <v>1</v>
      </c>
    </row>
    <row r="22542" customFormat="false" ht="15" hidden="false" customHeight="false" outlineLevel="0" collapsed="false">
      <c r="A22542" s="3" t="s">
        <v>433</v>
      </c>
      <c r="C22542" s="21" t="n">
        <f aca="false">IFERROR(INDEX($G$22283:$K$22283,MATCH(1,$G$22541:$K$22541,0)),0)</f>
        <v>2027</v>
      </c>
    </row>
    <row r="22543" customFormat="false" ht="15" hidden="false" customHeight="false" outlineLevel="0" collapsed="false">
      <c r="A22543" s="3" t="s">
        <v>434</v>
      </c>
      <c r="C22543" s="22" t="n">
        <f aca="false">MIN($G$22540:$K$22540)</f>
        <v>-0.0912408564216693</v>
      </c>
    </row>
    <row r="22544" customFormat="false" ht="15" hidden="false" customHeight="false" outlineLevel="0" collapsed="false">
      <c r="A22544" s="24" t="s">
        <v>436</v>
      </c>
      <c r="B22544" s="25"/>
      <c r="C22544" s="25"/>
      <c r="D22544" s="25"/>
      <c r="E22544" s="25"/>
      <c r="F22544" s="25"/>
      <c r="G22544" s="25"/>
      <c r="H22544" s="25"/>
      <c r="I22544" s="25"/>
      <c r="J22544" s="25"/>
      <c r="K22544" s="25"/>
    </row>
    <row r="22545" customFormat="false" ht="15" hidden="false" customHeight="false" outlineLevel="0" collapsed="false">
      <c r="A22545" s="3" t="s">
        <v>428</v>
      </c>
      <c r="G22545" s="22" t="n">
        <f aca="false">IF(G22526&gt;0,G22515/G22526,99)</f>
        <v>0.120265604139923</v>
      </c>
      <c r="H22545" s="22" t="n">
        <f aca="false">IF(H22526&gt;0,H22515/H22526,99)</f>
        <v>0.119380197979769</v>
      </c>
      <c r="I22545" s="22" t="n">
        <f aca="false">IF(I22526&gt;0,I22515/I22526,99)</f>
        <v>0.118494791819614</v>
      </c>
      <c r="J22545" s="22" t="n">
        <f aca="false">IF(J22526&gt;0,J22515/J22526,99)</f>
        <v>0.11760938565946</v>
      </c>
      <c r="K22545" s="22" t="n">
        <f aca="false">IF(K22526&gt;0,K22515/K22526,99)</f>
        <v>0.116723979499306</v>
      </c>
    </row>
    <row r="22546" customFormat="false" ht="15" hidden="false" customHeight="false" outlineLevel="0" collapsed="false">
      <c r="A22546" s="3" t="s">
        <v>429</v>
      </c>
      <c r="G22546" s="33" t="n">
        <f aca="false">Assumptions!$G$73</f>
        <v>0.4</v>
      </c>
      <c r="H22546" s="33" t="n">
        <f aca="false">Assumptions!$H$73</f>
        <v>0.4</v>
      </c>
      <c r="I22546" s="33" t="n">
        <f aca="false">Assumptions!$I$73</f>
        <v>0.4</v>
      </c>
      <c r="J22546" s="33" t="n">
        <f aca="false">Assumptions!$J$73</f>
        <v>0.4</v>
      </c>
      <c r="K22546" s="33" t="n">
        <f aca="false">Assumptions!$K$73</f>
        <v>0.4</v>
      </c>
    </row>
    <row r="22547" customFormat="false" ht="15" hidden="false" customHeight="false" outlineLevel="0" collapsed="false">
      <c r="A22547" s="3" t="s">
        <v>430</v>
      </c>
      <c r="G22547" s="22" t="n">
        <f aca="false">G22546-G22545</f>
        <v>0.279734395860077</v>
      </c>
      <c r="H22547" s="22" t="n">
        <f aca="false">H22546-H22545</f>
        <v>0.280619802020231</v>
      </c>
      <c r="I22547" s="22" t="n">
        <f aca="false">I22546-I22545</f>
        <v>0.281505208180386</v>
      </c>
      <c r="J22547" s="22" t="n">
        <f aca="false">J22546-J22545</f>
        <v>0.28239061434054</v>
      </c>
      <c r="K22547" s="22" t="n">
        <f aca="false">K22546-K22545</f>
        <v>0.283276020500694</v>
      </c>
    </row>
    <row r="22548" customFormat="false" ht="15" hidden="false" customHeight="false" outlineLevel="0" collapsed="false">
      <c r="A22548" s="3" t="s">
        <v>431</v>
      </c>
      <c r="G22548" s="22" t="n">
        <f aca="false">IF(G22546=0,0,G22547/ABS(G22546))</f>
        <v>0.699335989650192</v>
      </c>
      <c r="H22548" s="22" t="n">
        <f aca="false">IF(H22546=0,0,H22547/ABS(H22546))</f>
        <v>0.701549505050578</v>
      </c>
      <c r="I22548" s="22" t="n">
        <f aca="false">IF(I22546=0,0,I22547/ABS(I22546))</f>
        <v>0.703763020450964</v>
      </c>
      <c r="J22548" s="22" t="n">
        <f aca="false">IF(J22546=0,0,J22547/ABS(J22546))</f>
        <v>0.70597653585135</v>
      </c>
      <c r="K22548" s="22" t="n">
        <f aca="false">IF(K22546=0,0,K22547/ABS(K22546))</f>
        <v>0.708190051251736</v>
      </c>
    </row>
    <row r="22549" customFormat="false" ht="15" hidden="false" customHeight="false" outlineLevel="0" collapsed="false">
      <c r="A22549" s="3" t="s">
        <v>432</v>
      </c>
      <c r="G22549" s="21" t="n">
        <f aca="false">IF(G22547&lt;0,1,0)</f>
        <v>0</v>
      </c>
      <c r="H22549" s="21" t="n">
        <f aca="false">IF(H22547&lt;0,1,0)</f>
        <v>0</v>
      </c>
      <c r="I22549" s="21" t="n">
        <f aca="false">IF(I22547&lt;0,1,0)</f>
        <v>0</v>
      </c>
      <c r="J22549" s="21" t="n">
        <f aca="false">IF(J22547&lt;0,1,0)</f>
        <v>0</v>
      </c>
      <c r="K22549" s="21" t="n">
        <f aca="false">IF(K22547&lt;0,1,0)</f>
        <v>0</v>
      </c>
    </row>
    <row r="22550" customFormat="false" ht="15" hidden="false" customHeight="false" outlineLevel="0" collapsed="false">
      <c r="A22550" s="3" t="s">
        <v>433</v>
      </c>
      <c r="C22550" s="21" t="n">
        <f aca="false">IFERROR(INDEX($G$22283:$K$22283,MATCH(1,$G$22549:$K$22549,0)),0)</f>
        <v>0</v>
      </c>
    </row>
    <row r="22551" customFormat="false" ht="15" hidden="false" customHeight="false" outlineLevel="0" collapsed="false">
      <c r="A22551" s="3" t="s">
        <v>434</v>
      </c>
      <c r="C22551" s="22" t="n">
        <f aca="false">MIN($G$22548:$K$22548)</f>
        <v>0.699335989650192</v>
      </c>
    </row>
    <row r="22552" customFormat="false" ht="15" hidden="false" customHeight="false" outlineLevel="0" collapsed="false">
      <c r="A22552" s="24" t="s">
        <v>437</v>
      </c>
      <c r="B22552" s="25"/>
      <c r="C22552" s="25"/>
      <c r="D22552" s="25"/>
      <c r="E22552" s="25"/>
      <c r="F22552" s="25"/>
      <c r="G22552" s="25"/>
      <c r="H22552" s="25"/>
      <c r="I22552" s="25"/>
      <c r="J22552" s="25"/>
      <c r="K22552" s="25"/>
    </row>
    <row r="22553" customFormat="false" ht="15" hidden="false" customHeight="false" outlineLevel="0" collapsed="false">
      <c r="A22553" s="3" t="s">
        <v>428</v>
      </c>
      <c r="G22553" s="16" t="n">
        <f aca="false">G22523</f>
        <v>727.2218186</v>
      </c>
      <c r="H22553" s="16" t="n">
        <f aca="false">H22523</f>
        <v>599.5</v>
      </c>
      <c r="I22553" s="16" t="n">
        <f aca="false">I22523</f>
        <v>510.437395817944</v>
      </c>
      <c r="J22553" s="16" t="n">
        <f aca="false">J22523</f>
        <v>424.489958175205</v>
      </c>
      <c r="K22553" s="16" t="n">
        <f aca="false">K22523</f>
        <v>323.101870959752</v>
      </c>
    </row>
    <row r="22554" customFormat="false" ht="15" hidden="false" customHeight="false" outlineLevel="0" collapsed="false">
      <c r="A22554" s="3" t="s">
        <v>429</v>
      </c>
      <c r="G22554" s="29" t="n">
        <f aca="false">Assumptions!$G$74</f>
        <v>100</v>
      </c>
      <c r="H22554" s="29" t="n">
        <f aca="false">Assumptions!$H$74</f>
        <v>100</v>
      </c>
      <c r="I22554" s="29" t="n">
        <f aca="false">Assumptions!$I$74</f>
        <v>100</v>
      </c>
      <c r="J22554" s="29" t="n">
        <f aca="false">Assumptions!$J$74</f>
        <v>100</v>
      </c>
      <c r="K22554" s="29" t="n">
        <f aca="false">Assumptions!$K$74</f>
        <v>100</v>
      </c>
    </row>
    <row r="22555" customFormat="false" ht="15" hidden="false" customHeight="false" outlineLevel="0" collapsed="false">
      <c r="A22555" s="3" t="s">
        <v>430</v>
      </c>
      <c r="G22555" s="16" t="n">
        <f aca="false">G22553-G22554</f>
        <v>627.2218186</v>
      </c>
      <c r="H22555" s="16" t="n">
        <f aca="false">H22553-H22554</f>
        <v>499.5</v>
      </c>
      <c r="I22555" s="16" t="n">
        <f aca="false">I22553-I22554</f>
        <v>410.437395817944</v>
      </c>
      <c r="J22555" s="16" t="n">
        <f aca="false">J22553-J22554</f>
        <v>324.489958175205</v>
      </c>
      <c r="K22555" s="16" t="n">
        <f aca="false">K22553-K22554</f>
        <v>223.101870959752</v>
      </c>
    </row>
    <row r="22556" customFormat="false" ht="15" hidden="false" customHeight="false" outlineLevel="0" collapsed="false">
      <c r="A22556" s="3" t="s">
        <v>431</v>
      </c>
      <c r="G22556" s="22" t="n">
        <f aca="false">IF(G22554=0,0,G22555/ABS(G22554))</f>
        <v>6.272218186</v>
      </c>
      <c r="H22556" s="22" t="n">
        <f aca="false">IF(H22554=0,0,H22555/ABS(H22554))</f>
        <v>4.995</v>
      </c>
      <c r="I22556" s="22" t="n">
        <f aca="false">IF(I22554=0,0,I22555/ABS(I22554))</f>
        <v>4.10437395817944</v>
      </c>
      <c r="J22556" s="22" t="n">
        <f aca="false">IF(J22554=0,0,J22555/ABS(J22554))</f>
        <v>3.24489958175205</v>
      </c>
      <c r="K22556" s="22" t="n">
        <f aca="false">IF(K22554=0,0,K22555/ABS(K22554))</f>
        <v>2.23101870959752</v>
      </c>
    </row>
    <row r="22557" customFormat="false" ht="15" hidden="false" customHeight="false" outlineLevel="0" collapsed="false">
      <c r="A22557" s="3" t="s">
        <v>432</v>
      </c>
      <c r="G22557" s="21" t="n">
        <f aca="false">IF(G22555&lt;0,1,0)</f>
        <v>0</v>
      </c>
      <c r="H22557" s="21" t="n">
        <f aca="false">IF(H22555&lt;0,1,0)</f>
        <v>0</v>
      </c>
      <c r="I22557" s="21" t="n">
        <f aca="false">IF(I22555&lt;0,1,0)</f>
        <v>0</v>
      </c>
      <c r="J22557" s="21" t="n">
        <f aca="false">IF(J22555&lt;0,1,0)</f>
        <v>0</v>
      </c>
      <c r="K22557" s="21" t="n">
        <f aca="false">IF(K22555&lt;0,1,0)</f>
        <v>0</v>
      </c>
    </row>
    <row r="22558" customFormat="false" ht="15" hidden="false" customHeight="false" outlineLevel="0" collapsed="false">
      <c r="A22558" s="3" t="s">
        <v>433</v>
      </c>
      <c r="C22558" s="21" t="n">
        <f aca="false">IFERROR(INDEX($G$22283:$K$22283,MATCH(1,$G$22557:$K$22557,0)),0)</f>
        <v>0</v>
      </c>
    </row>
    <row r="22559" customFormat="false" ht="15" hidden="false" customHeight="false" outlineLevel="0" collapsed="false">
      <c r="A22559" s="3" t="s">
        <v>434</v>
      </c>
      <c r="C22559" s="22" t="n">
        <f aca="false">MIN($G$22556:$K$22556)</f>
        <v>2.23101870959752</v>
      </c>
    </row>
    <row r="22560" customFormat="false" ht="15" hidden="false" customHeight="false" outlineLevel="0" collapsed="false">
      <c r="A22560" s="24" t="s">
        <v>438</v>
      </c>
      <c r="B22560" s="25"/>
      <c r="C22560" s="25"/>
      <c r="D22560" s="25"/>
      <c r="E22560" s="25"/>
      <c r="F22560" s="25"/>
      <c r="G22560" s="25"/>
      <c r="H22560" s="25"/>
      <c r="I22560" s="25"/>
      <c r="J22560" s="25"/>
      <c r="K22560" s="25"/>
    </row>
    <row r="22561" customFormat="false" ht="15" hidden="false" customHeight="false" outlineLevel="0" collapsed="false">
      <c r="A22561" s="3" t="s">
        <v>428</v>
      </c>
      <c r="G22561" s="32" t="n">
        <f aca="false">IF(G22293&gt;0,G22516/G22293,99)</f>
        <v>9.63890641781007</v>
      </c>
      <c r="H22561" s="32" t="n">
        <f aca="false">IF(H22293&gt;0,H22516/H22293,99)</f>
        <v>9.68852101889867</v>
      </c>
      <c r="I22561" s="32" t="n">
        <f aca="false">IF(I22293&gt;0,I22516/I22293,99)</f>
        <v>9.76097324441471</v>
      </c>
      <c r="J22561" s="32" t="n">
        <f aca="false">IF(J22293&gt;0,J22516/J22293,99)</f>
        <v>9.83096686058736</v>
      </c>
      <c r="K22561" s="32" t="n">
        <f aca="false">IF(K22293&gt;0,K22516/K22293,99)</f>
        <v>9.94721792340092</v>
      </c>
    </row>
    <row r="22562" customFormat="false" ht="15" hidden="false" customHeight="false" outlineLevel="0" collapsed="false">
      <c r="A22562" s="3" t="s">
        <v>429</v>
      </c>
      <c r="G22562" s="34" t="n">
        <f aca="false">Assumptions!$G$75</f>
        <v>10.5</v>
      </c>
      <c r="H22562" s="34" t="n">
        <f aca="false">Assumptions!$H$75</f>
        <v>10.5</v>
      </c>
      <c r="I22562" s="34" t="n">
        <f aca="false">Assumptions!$I$75</f>
        <v>10</v>
      </c>
      <c r="J22562" s="34" t="n">
        <f aca="false">Assumptions!$J$75</f>
        <v>10</v>
      </c>
      <c r="K22562" s="34" t="n">
        <f aca="false">Assumptions!$K$75</f>
        <v>9.5</v>
      </c>
    </row>
    <row r="22563" customFormat="false" ht="15" hidden="false" customHeight="false" outlineLevel="0" collapsed="false">
      <c r="A22563" s="3" t="s">
        <v>430</v>
      </c>
      <c r="G22563" s="32" t="n">
        <f aca="false">G22562-G22561</f>
        <v>0.861093582189932</v>
      </c>
      <c r="H22563" s="32" t="n">
        <f aca="false">H22562-H22561</f>
        <v>0.811478981101333</v>
      </c>
      <c r="I22563" s="32" t="n">
        <f aca="false">I22562-I22561</f>
        <v>0.239026755585291</v>
      </c>
      <c r="J22563" s="32" t="n">
        <f aca="false">J22562-J22561</f>
        <v>0.169033139412642</v>
      </c>
      <c r="K22563" s="32" t="n">
        <f aca="false">K22562-K22561</f>
        <v>-0.447217923400915</v>
      </c>
    </row>
    <row r="22564" customFormat="false" ht="15" hidden="false" customHeight="false" outlineLevel="0" collapsed="false">
      <c r="A22564" s="3" t="s">
        <v>431</v>
      </c>
      <c r="G22564" s="22" t="n">
        <f aca="false">IF(G22562=0,0,G22563/ABS(G22562))</f>
        <v>0.0820089125895173</v>
      </c>
      <c r="H22564" s="22" t="n">
        <f aca="false">IF(H22562=0,0,H22563/ABS(H22562))</f>
        <v>0.0772837124858412</v>
      </c>
      <c r="I22564" s="22" t="n">
        <f aca="false">IF(I22562=0,0,I22563/ABS(I22562))</f>
        <v>0.0239026755585291</v>
      </c>
      <c r="J22564" s="22" t="n">
        <f aca="false">IF(J22562=0,0,J22563/ABS(J22562))</f>
        <v>0.0169033139412642</v>
      </c>
      <c r="K22564" s="22" t="n">
        <f aca="false">IF(K22562=0,0,K22563/ABS(K22562))</f>
        <v>-0.0470755708843069</v>
      </c>
    </row>
    <row r="22565" customFormat="false" ht="15" hidden="false" customHeight="false" outlineLevel="0" collapsed="false">
      <c r="A22565" s="3" t="s">
        <v>432</v>
      </c>
      <c r="G22565" s="21" t="n">
        <f aca="false">IF(G22563&lt;0,1,0)</f>
        <v>0</v>
      </c>
      <c r="H22565" s="21" t="n">
        <f aca="false">IF(H22563&lt;0,1,0)</f>
        <v>0</v>
      </c>
      <c r="I22565" s="21" t="n">
        <f aca="false">IF(I22563&lt;0,1,0)</f>
        <v>0</v>
      </c>
      <c r="J22565" s="21" t="n">
        <f aca="false">IF(J22563&lt;0,1,0)</f>
        <v>0</v>
      </c>
      <c r="K22565" s="21" t="n">
        <f aca="false">IF(K22563&lt;0,1,0)</f>
        <v>1</v>
      </c>
    </row>
    <row r="22566" customFormat="false" ht="15" hidden="false" customHeight="false" outlineLevel="0" collapsed="false">
      <c r="A22566" s="3" t="s">
        <v>433</v>
      </c>
      <c r="C22566" s="21" t="n">
        <f aca="false">IFERROR(INDEX($G$22283:$K$22283,MATCH(1,$G$22565:$K$22565,0)),0)</f>
        <v>2031</v>
      </c>
    </row>
    <row r="22567" customFormat="false" ht="15" hidden="false" customHeight="false" outlineLevel="0" collapsed="false">
      <c r="A22567" s="3" t="s">
        <v>434</v>
      </c>
      <c r="C22567" s="22" t="n">
        <f aca="false">MIN($G$22564:$K$22564)</f>
        <v>-0.0470755708843069</v>
      </c>
    </row>
    <row r="22568" customFormat="false" ht="15" hidden="false" customHeight="false" outlineLevel="0" collapsed="false">
      <c r="A22568" s="3" t="s">
        <v>439</v>
      </c>
      <c r="G22568" s="21" t="n">
        <f aca="false">G22533+G22541+G22549+G22557+G22565</f>
        <v>1</v>
      </c>
      <c r="H22568" s="21" t="n">
        <f aca="false">H22533+H22541+H22549+H22557+H22565</f>
        <v>1</v>
      </c>
      <c r="I22568" s="21" t="n">
        <f aca="false">I22533+I22541+I22549+I22557+I22565</f>
        <v>1</v>
      </c>
      <c r="J22568" s="21" t="n">
        <f aca="false">J22533+J22541+J22549+J22557+J22565</f>
        <v>2</v>
      </c>
      <c r="K22568" s="21" t="n">
        <f aca="false">K22533+K22541+K22549+K22557+K22565</f>
        <v>3</v>
      </c>
    </row>
    <row r="22569" customFormat="false" ht="15" hidden="false" customHeight="false" outlineLevel="0" collapsed="false">
      <c r="A22569" s="3" t="s">
        <v>440</v>
      </c>
      <c r="C22569" s="21" t="n">
        <f aca="false">SUM($G$22568:$K$22568)</f>
        <v>8</v>
      </c>
    </row>
    <row r="22570" customFormat="false" ht="15" hidden="false" customHeight="false" outlineLevel="0" collapsed="false">
      <c r="A22570" s="3" t="s">
        <v>441</v>
      </c>
      <c r="C22570" s="22" t="n">
        <f aca="false">MIN(C22535,C22543,C22551,C22559,C22567)</f>
        <v>-0.0912408564216693</v>
      </c>
    </row>
    <row r="22572" customFormat="false" ht="15" hidden="false" customHeight="false" outlineLevel="0" collapsed="false">
      <c r="A22572" s="24" t="s">
        <v>543</v>
      </c>
      <c r="B22572" s="25"/>
      <c r="C22572" s="25"/>
      <c r="D22572" s="25"/>
      <c r="E22572" s="25"/>
      <c r="F22572" s="25"/>
      <c r="G22572" s="25"/>
      <c r="H22572" s="25"/>
      <c r="I22572" s="25"/>
      <c r="J22572" s="25"/>
      <c r="K22572" s="25"/>
    </row>
    <row r="22573" customFormat="false" ht="15" hidden="false" customHeight="false" outlineLevel="0" collapsed="false">
      <c r="A22573" s="3" t="s">
        <v>544</v>
      </c>
      <c r="G22573" s="21" t="n">
        <f aca="false">IF($C$22574=1,G22510,IF(G22293=MIN($G$22293:$K$22293),1,0))</f>
        <v>1</v>
      </c>
      <c r="H22573" s="21" t="n">
        <f aca="false">IF($C$22574=1,H22510,IF(AND(H22293=MIN($G$22293:$K$22293),SUM($G$22573:G22573)=0),1,0))</f>
        <v>0</v>
      </c>
      <c r="I22573" s="21" t="n">
        <f aca="false">IF($C$22574=1,I22510,IF(AND(I22293=MIN($G$22293:$K$22293),SUM($G$22573:H22573)=0),1,0))</f>
        <v>0</v>
      </c>
      <c r="J22573" s="21" t="n">
        <f aca="false">IF($C$22574=1,J22510,IF(AND(J22293=MIN($G$22293:$K$22293),SUM($G$22573:I22573)=0),1,0))</f>
        <v>0</v>
      </c>
      <c r="K22573" s="21" t="n">
        <f aca="false">IF($C$22574=1,K22510,IF(AND(K22293=MIN($G$22293:$K$22293),SUM($G$22573:J22573)=0),1,0))</f>
        <v>0</v>
      </c>
    </row>
    <row r="22574" customFormat="false" ht="15" hidden="false" customHeight="false" outlineLevel="0" collapsed="false">
      <c r="A22574" s="3" t="s">
        <v>545</v>
      </c>
      <c r="C22574" s="21" t="n">
        <f aca="false">IF(SUM($G$22510:$K$22510)&gt;0,1,0)</f>
        <v>0</v>
      </c>
    </row>
    <row r="22575" customFormat="false" ht="15" hidden="false" customHeight="false" outlineLevel="0" collapsed="false">
      <c r="A22575" s="3" t="s">
        <v>546</v>
      </c>
      <c r="C22575" s="21" t="n">
        <f aca="false">SUMPRODUCT($G$22573:$K$22573,$G$22283:$K$22283)</f>
        <v>2027</v>
      </c>
    </row>
    <row r="22576" customFormat="false" ht="15" hidden="false" customHeight="false" outlineLevel="0" collapsed="false">
      <c r="A22576" s="3" t="s">
        <v>547</v>
      </c>
      <c r="C22576" s="16" t="n">
        <f aca="false">SUMPRODUCT($G$22573:$K$22573,$G$22293:$K$22293)</f>
        <v>256.1714031</v>
      </c>
    </row>
    <row r="22577" customFormat="false" ht="15" hidden="false" customHeight="false" outlineLevel="0" collapsed="false">
      <c r="A22577" s="3" t="s">
        <v>548</v>
      </c>
      <c r="C22577" s="16" t="n">
        <f aca="false">MAX(0,SUMPRODUCT($G$22573:$K$22573,$G$22507:$K$22507))</f>
        <v>152.7218186</v>
      </c>
    </row>
    <row r="22578" customFormat="false" ht="15" hidden="false" customHeight="false" outlineLevel="0" collapsed="false">
      <c r="A22578" s="3" t="s">
        <v>549</v>
      </c>
      <c r="C22578" s="16" t="n">
        <f aca="false">(CHOOSE($C$22276,Assumptions!$C$92,Assumptions!$C$111,Assumptions!$C$130)+$C$22280)*C22576</f>
        <v>2561.714031</v>
      </c>
    </row>
    <row r="22579" customFormat="false" ht="15" hidden="false" customHeight="false" outlineLevel="0" collapsed="false">
      <c r="A22579" s="3" t="s">
        <v>550</v>
      </c>
      <c r="C22579" s="16" t="n">
        <f aca="false">Assumptions!$C$31*(1-CHOOSE($C$22276,Assumptions!$C$93,Assumptions!$C$112,Assumptions!$C$131))*CHOOSE($C$22276,Assumptions!$C$94,Assumptions!$C$113,Assumptions!$C$132)</f>
        <v>3840.04556666667</v>
      </c>
    </row>
    <row r="22580" customFormat="false" ht="15" hidden="false" customHeight="false" outlineLevel="0" collapsed="false">
      <c r="A22580" s="3" t="s">
        <v>551</v>
      </c>
      <c r="C22580" s="16" t="n">
        <f aca="false">MAX(C22578,C22579)+C22577</f>
        <v>3992.76738526667</v>
      </c>
    </row>
    <row r="22581" customFormat="false" ht="15" hidden="false" customHeight="false" outlineLevel="0" collapsed="false">
      <c r="A22581" s="2" t="s">
        <v>552</v>
      </c>
      <c r="C22581" s="17" t="n">
        <f aca="false">IF(ISNUMBER(Assumptions!$C$14),Assumptions!$C$14,C22580)</f>
        <v>3992.76738526667</v>
      </c>
    </row>
    <row r="22582" customFormat="false" ht="15" hidden="false" customHeight="false" outlineLevel="0" collapsed="false">
      <c r="A22582" s="3" t="s">
        <v>553</v>
      </c>
      <c r="C22582" s="16" t="n">
        <f aca="false">C22581*Assumptions!$C$15</f>
        <v>159.710695410667</v>
      </c>
    </row>
    <row r="22583" customFormat="false" ht="15" hidden="false" customHeight="false" outlineLevel="0" collapsed="false">
      <c r="A22583" s="2" t="s">
        <v>554</v>
      </c>
      <c r="C22583" s="17" t="n">
        <f aca="false">C22581-C22582</f>
        <v>3833.056689856</v>
      </c>
    </row>
    <row r="22584" customFormat="false" ht="15" hidden="false" customHeight="false" outlineLevel="0" collapsed="false">
      <c r="A22584" s="24" t="s">
        <v>555</v>
      </c>
      <c r="B22584" s="25"/>
      <c r="C22584" s="25"/>
      <c r="D22584" s="25"/>
      <c r="E22584" s="25"/>
      <c r="F22584" s="25"/>
      <c r="G22584" s="25"/>
      <c r="H22584" s="25"/>
      <c r="I22584" s="25"/>
      <c r="J22584" s="25"/>
      <c r="K22584" s="25"/>
    </row>
    <row r="22585" customFormat="false" ht="15" hidden="false" customHeight="false" outlineLevel="0" collapsed="false">
      <c r="A22585" s="3" t="s">
        <v>556</v>
      </c>
      <c r="C22585" s="16" t="n">
        <f aca="false">SUMPRODUCT($G$22573:$K$22573,$G$22330:$K$22330)*(1+SUMPRODUCT($G$22573:$K$22573,$G$22322:$K$22322)*Assumptions!$C$16/12)</f>
        <v>404.5635</v>
      </c>
    </row>
    <row r="22586" customFormat="false" ht="15" hidden="false" customHeight="false" outlineLevel="0" collapsed="false">
      <c r="A22586" s="3" t="s">
        <v>557</v>
      </c>
      <c r="C22586" s="16" t="n">
        <f aca="false">SUMPRODUCT($G$22573:$K$22573,$G$22343:$K$22343)*(1+SUMPRODUCT($G$22573:$K$22573,$G$22335:$K$22335)*Assumptions!$C$16/12)</f>
        <v>91.30725</v>
      </c>
    </row>
    <row r="22587" customFormat="false" ht="15" hidden="false" customHeight="false" outlineLevel="0" collapsed="false">
      <c r="A22587" s="3" t="s">
        <v>558</v>
      </c>
      <c r="C22587" s="16" t="n">
        <f aca="false">SUMPRODUCT($G$22573:$K$22573,$G$22356:$K$22356)*(1+SUMPRODUCT($G$22573:$K$22573,$G$22348:$K$22348)*Assumptions!$C$16/12)</f>
        <v>58.3715961</v>
      </c>
    </row>
    <row r="22588" customFormat="false" ht="15" hidden="false" customHeight="false" outlineLevel="0" collapsed="false">
      <c r="A22588" s="3" t="s">
        <v>559</v>
      </c>
      <c r="C22588" s="16" t="n">
        <f aca="false">SUMPRODUCT($G$22573:$K$22573,$G$22369:$K$22369)*(1+SUMPRODUCT($G$22573:$K$22573,$G$22361:$K$22361)*Assumptions!$C$16/12)</f>
        <v>0</v>
      </c>
    </row>
    <row r="22589" customFormat="false" ht="15" hidden="false" customHeight="false" outlineLevel="0" collapsed="false">
      <c r="A22589" s="3" t="s">
        <v>560</v>
      </c>
      <c r="C22589" s="16" t="n">
        <f aca="false">SUMPRODUCT($G$22573:$K$22573,$G$22382:$K$22382)*(1+SUMPRODUCT($G$22573:$K$22573,$G$22374:$K$22374)*Assumptions!$C$16/12)</f>
        <v>454.44375</v>
      </c>
    </row>
    <row r="22590" customFormat="false" ht="15" hidden="false" customHeight="false" outlineLevel="0" collapsed="false">
      <c r="A22590" s="3" t="s">
        <v>561</v>
      </c>
      <c r="C22590" s="16" t="n">
        <f aca="false">SUMPRODUCT($G$22573:$K$22573,$G$22395:$K$22395)*(1+SUMPRODUCT($G$22573:$K$22573,$G$22387:$K$22387)*Assumptions!$C$16/12)</f>
        <v>357.2625</v>
      </c>
    </row>
    <row r="22591" customFormat="false" ht="15" hidden="false" customHeight="false" outlineLevel="0" collapsed="false">
      <c r="A22591" s="3" t="s">
        <v>562</v>
      </c>
      <c r="C22591" s="16" t="n">
        <f aca="false">SUMPRODUCT($G$22573:$K$22573,$G$22408:$K$22408)*(1+SUMPRODUCT($G$22573:$K$22573,$G$22400:$K$22400)*Assumptions!$C$16/12)</f>
        <v>562.203125</v>
      </c>
    </row>
    <row r="22592" customFormat="false" ht="15" hidden="false" customHeight="false" outlineLevel="0" collapsed="false">
      <c r="A22592" s="3" t="s">
        <v>563</v>
      </c>
      <c r="C22592" s="16" t="n">
        <f aca="false">SUMPRODUCT($G$22573:$K$22573,$G$22421:$K$22421)*(1+SUMPRODUCT($G$22573:$K$22573,$G$22413:$K$22413)*Assumptions!$C$16/12)</f>
        <v>353.98125</v>
      </c>
    </row>
    <row r="22593" customFormat="false" ht="15" hidden="false" customHeight="false" outlineLevel="0" collapsed="false">
      <c r="A22593" s="3" t="s">
        <v>564</v>
      </c>
      <c r="C22593" s="16" t="n">
        <f aca="false">SUMPRODUCT($G$22573:$K$22573,$G$22434:$K$22434)*(1+SUMPRODUCT($G$22573:$K$22573,$G$22426:$K$22426)*Assumptions!$C$16/12)</f>
        <v>304.59375</v>
      </c>
    </row>
    <row r="22594" customFormat="false" ht="15" hidden="false" customHeight="false" outlineLevel="0" collapsed="false">
      <c r="A22594" s="3" t="s">
        <v>565</v>
      </c>
      <c r="C22594" s="16" t="n">
        <f aca="false">SUMPRODUCT($G$22573:$K$22573,$G$22447:$K$22447)*(1+SUMPRODUCT($G$22573:$K$22573,$G$22439:$K$22439)*Assumptions!$C$16/12)</f>
        <v>79.57493775</v>
      </c>
    </row>
    <row r="22595" customFormat="false" ht="15" hidden="false" customHeight="false" outlineLevel="0" collapsed="false">
      <c r="A22595" s="24" t="s">
        <v>566</v>
      </c>
      <c r="B22595" s="25"/>
      <c r="C22595" s="25"/>
      <c r="D22595" s="25"/>
      <c r="E22595" s="25"/>
      <c r="F22595" s="25"/>
      <c r="G22595" s="25"/>
      <c r="H22595" s="25"/>
      <c r="I22595" s="25"/>
      <c r="J22595" s="25"/>
      <c r="K22595" s="25"/>
    </row>
    <row r="22596" customFormat="false" ht="15" hidden="false" customHeight="false" outlineLevel="0" collapsed="false">
      <c r="A22596" s="3" t="s">
        <v>556</v>
      </c>
      <c r="C22596" s="27" t="n">
        <f aca="false">Assumptions!$M$57</f>
        <v>1</v>
      </c>
    </row>
    <row r="22597" customFormat="false" ht="15" hidden="false" customHeight="false" outlineLevel="0" collapsed="false">
      <c r="A22597" s="3" t="s">
        <v>557</v>
      </c>
      <c r="C22597" s="27" t="n">
        <f aca="false">Assumptions!$M$58</f>
        <v>1</v>
      </c>
    </row>
    <row r="22598" customFormat="false" ht="15" hidden="false" customHeight="false" outlineLevel="0" collapsed="false">
      <c r="A22598" s="3" t="s">
        <v>558</v>
      </c>
      <c r="C22598" s="27" t="n">
        <f aca="false">Assumptions!$M$59</f>
        <v>1</v>
      </c>
    </row>
    <row r="22599" customFormat="false" ht="15" hidden="false" customHeight="false" outlineLevel="0" collapsed="false">
      <c r="A22599" s="3" t="s">
        <v>559</v>
      </c>
      <c r="C22599" s="27" t="n">
        <f aca="false">Assumptions!$M$60</f>
        <v>2</v>
      </c>
    </row>
    <row r="22600" customFormat="false" ht="15" hidden="false" customHeight="false" outlineLevel="0" collapsed="false">
      <c r="A22600" s="3" t="s">
        <v>560</v>
      </c>
      <c r="C22600" s="27" t="n">
        <f aca="false">Assumptions!$M$61</f>
        <v>2</v>
      </c>
    </row>
    <row r="22601" customFormat="false" ht="15" hidden="false" customHeight="false" outlineLevel="0" collapsed="false">
      <c r="A22601" s="3" t="s">
        <v>561</v>
      </c>
      <c r="C22601" s="27" t="n">
        <f aca="false">Assumptions!$M$62</f>
        <v>2</v>
      </c>
    </row>
    <row r="22602" customFormat="false" ht="15" hidden="false" customHeight="false" outlineLevel="0" collapsed="false">
      <c r="A22602" s="3" t="s">
        <v>562</v>
      </c>
      <c r="C22602" s="27" t="n">
        <f aca="false">Assumptions!$M$63</f>
        <v>2</v>
      </c>
    </row>
    <row r="22603" customFormat="false" ht="15" hidden="false" customHeight="false" outlineLevel="0" collapsed="false">
      <c r="A22603" s="3" t="s">
        <v>563</v>
      </c>
      <c r="C22603" s="27" t="n">
        <f aca="false">Assumptions!$M$64</f>
        <v>2</v>
      </c>
    </row>
    <row r="22604" customFormat="false" ht="15" hidden="false" customHeight="false" outlineLevel="0" collapsed="false">
      <c r="A22604" s="3" t="s">
        <v>564</v>
      </c>
      <c r="C22604" s="27" t="n">
        <f aca="false">Assumptions!$M$65</f>
        <v>2</v>
      </c>
    </row>
    <row r="22605" customFormat="false" ht="15" hidden="false" customHeight="false" outlineLevel="0" collapsed="false">
      <c r="A22605" s="3" t="s">
        <v>565</v>
      </c>
      <c r="C22605" s="27" t="n">
        <f aca="false">Assumptions!$M$66</f>
        <v>3</v>
      </c>
    </row>
    <row r="22606" customFormat="false" ht="15" hidden="false" customHeight="false" outlineLevel="0" collapsed="false">
      <c r="A22606" s="24" t="s">
        <v>567</v>
      </c>
      <c r="B22606" s="25"/>
      <c r="C22606" s="25"/>
      <c r="D22606" s="25"/>
      <c r="E22606" s="25"/>
      <c r="F22606" s="25"/>
      <c r="G22606" s="25"/>
      <c r="H22606" s="25"/>
      <c r="I22606" s="25"/>
      <c r="J22606" s="25"/>
      <c r="K22606" s="25"/>
    </row>
    <row r="22607" customFormat="false" ht="15" hidden="false" customHeight="false" outlineLevel="0" collapsed="false">
      <c r="A22607" s="3" t="s">
        <v>556</v>
      </c>
      <c r="C22607" s="33" t="n">
        <f aca="false">Assumptions!$Q$57</f>
        <v>0.3</v>
      </c>
    </row>
    <row r="22608" customFormat="false" ht="15" hidden="false" customHeight="false" outlineLevel="0" collapsed="false">
      <c r="A22608" s="3" t="s">
        <v>557</v>
      </c>
      <c r="C22608" s="33" t="n">
        <f aca="false">Assumptions!$Q$58</f>
        <v>0.033</v>
      </c>
    </row>
    <row r="22609" customFormat="false" ht="15" hidden="false" customHeight="false" outlineLevel="0" collapsed="false">
      <c r="A22609" s="3" t="s">
        <v>558</v>
      </c>
      <c r="C22609" s="33" t="n">
        <f aca="false">Assumptions!$Q$59</f>
        <v>0.021</v>
      </c>
    </row>
    <row r="22610" customFormat="false" ht="15" hidden="false" customHeight="false" outlineLevel="0" collapsed="false">
      <c r="A22610" s="3" t="s">
        <v>559</v>
      </c>
      <c r="C22610" s="33" t="n">
        <f aca="false">Assumptions!$Q$60</f>
        <v>0</v>
      </c>
    </row>
    <row r="22611" customFormat="false" ht="15" hidden="false" customHeight="false" outlineLevel="0" collapsed="false">
      <c r="A22611" s="3" t="s">
        <v>560</v>
      </c>
      <c r="C22611" s="33" t="n">
        <f aca="false">Assumptions!$Q$61</f>
        <v>0</v>
      </c>
    </row>
    <row r="22612" customFormat="false" ht="15" hidden="false" customHeight="false" outlineLevel="0" collapsed="false">
      <c r="A22612" s="3" t="s">
        <v>561</v>
      </c>
      <c r="C22612" s="33" t="n">
        <f aca="false">Assumptions!$Q$62</f>
        <v>0</v>
      </c>
    </row>
    <row r="22613" customFormat="false" ht="15" hidden="false" customHeight="false" outlineLevel="0" collapsed="false">
      <c r="A22613" s="3" t="s">
        <v>562</v>
      </c>
      <c r="C22613" s="33" t="n">
        <f aca="false">Assumptions!$Q$63</f>
        <v>0</v>
      </c>
    </row>
    <row r="22614" customFormat="false" ht="15" hidden="false" customHeight="false" outlineLevel="0" collapsed="false">
      <c r="A22614" s="3" t="s">
        <v>563</v>
      </c>
      <c r="C22614" s="33" t="n">
        <f aca="false">Assumptions!$Q$64</f>
        <v>0</v>
      </c>
    </row>
    <row r="22615" customFormat="false" ht="15" hidden="false" customHeight="false" outlineLevel="0" collapsed="false">
      <c r="A22615" s="3" t="s">
        <v>564</v>
      </c>
      <c r="C22615" s="33" t="n">
        <f aca="false">Assumptions!$Q$65</f>
        <v>0</v>
      </c>
    </row>
    <row r="22616" customFormat="false" ht="15" hidden="false" customHeight="false" outlineLevel="0" collapsed="false">
      <c r="A22616" s="3" t="s">
        <v>565</v>
      </c>
      <c r="C22616" s="33" t="n">
        <f aca="false">Assumptions!$Q$66</f>
        <v>0</v>
      </c>
    </row>
    <row r="22617" customFormat="false" ht="15" hidden="false" customHeight="false" outlineLevel="0" collapsed="false">
      <c r="A22617" s="24" t="s">
        <v>568</v>
      </c>
      <c r="B22617" s="25"/>
      <c r="C22617" s="25"/>
      <c r="D22617" s="25"/>
      <c r="E22617" s="25"/>
      <c r="F22617" s="25"/>
      <c r="G22617" s="25"/>
      <c r="H22617" s="25"/>
      <c r="I22617" s="25"/>
      <c r="J22617" s="25"/>
      <c r="K22617" s="25"/>
    </row>
    <row r="22618" customFormat="false" ht="15" hidden="false" customHeight="false" outlineLevel="0" collapsed="false">
      <c r="A22618" s="3" t="s">
        <v>556</v>
      </c>
      <c r="C22618" s="16" t="n">
        <f aca="false">IF(C22607&gt;0,MIN(C22585,C22607*$C$22583),0)</f>
        <v>404.5635</v>
      </c>
    </row>
    <row r="22619" customFormat="false" ht="15" hidden="false" customHeight="false" outlineLevel="0" collapsed="false">
      <c r="A22619" s="3" t="s">
        <v>557</v>
      </c>
      <c r="C22619" s="16" t="n">
        <f aca="false">IF(C22608&gt;0,MIN(C22586,C22608*$C$22583),0)</f>
        <v>91.30725</v>
      </c>
    </row>
    <row r="22620" customFormat="false" ht="15" hidden="false" customHeight="false" outlineLevel="0" collapsed="false">
      <c r="A22620" s="3" t="s">
        <v>558</v>
      </c>
      <c r="C22620" s="16" t="n">
        <f aca="false">IF(C22609&gt;0,MIN(C22587,C22609*$C$22583),0)</f>
        <v>58.3715961</v>
      </c>
    </row>
    <row r="22621" customFormat="false" ht="15" hidden="false" customHeight="false" outlineLevel="0" collapsed="false">
      <c r="A22621" s="3" t="s">
        <v>559</v>
      </c>
      <c r="C22621" s="16" t="n">
        <f aca="false">IF(C22610&gt;0,MIN(C22588,C22610*$C$22583),0)</f>
        <v>0</v>
      </c>
    </row>
    <row r="22622" customFormat="false" ht="15" hidden="false" customHeight="false" outlineLevel="0" collapsed="false">
      <c r="A22622" s="3" t="s">
        <v>560</v>
      </c>
      <c r="C22622" s="16" t="n">
        <f aca="false">IF(C22611&gt;0,MIN(C22589,C22611*$C$22583),0)</f>
        <v>0</v>
      </c>
    </row>
    <row r="22623" customFormat="false" ht="15" hidden="false" customHeight="false" outlineLevel="0" collapsed="false">
      <c r="A22623" s="3" t="s">
        <v>561</v>
      </c>
      <c r="C22623" s="16" t="n">
        <f aca="false">IF(C22612&gt;0,MIN(C22590,C22612*$C$22583),0)</f>
        <v>0</v>
      </c>
    </row>
    <row r="22624" customFormat="false" ht="15" hidden="false" customHeight="false" outlineLevel="0" collapsed="false">
      <c r="A22624" s="3" t="s">
        <v>562</v>
      </c>
      <c r="C22624" s="16" t="n">
        <f aca="false">IF(C22613&gt;0,MIN(C22591,C22613*$C$22583),0)</f>
        <v>0</v>
      </c>
    </row>
    <row r="22625" customFormat="false" ht="15" hidden="false" customHeight="false" outlineLevel="0" collapsed="false">
      <c r="A22625" s="3" t="s">
        <v>563</v>
      </c>
      <c r="C22625" s="16" t="n">
        <f aca="false">IF(C22614&gt;0,MIN(C22592,C22614*$C$22583),0)</f>
        <v>0</v>
      </c>
    </row>
    <row r="22626" customFormat="false" ht="15" hidden="false" customHeight="false" outlineLevel="0" collapsed="false">
      <c r="A22626" s="3" t="s">
        <v>564</v>
      </c>
      <c r="C22626" s="16" t="n">
        <f aca="false">IF(C22615&gt;0,MIN(C22593,C22615*$C$22583),0)</f>
        <v>0</v>
      </c>
    </row>
    <row r="22627" customFormat="false" ht="15" hidden="false" customHeight="false" outlineLevel="0" collapsed="false">
      <c r="A22627" s="3" t="s">
        <v>565</v>
      </c>
      <c r="C22627" s="16" t="n">
        <f aca="false">IF(C22616&gt;0,MIN(C22594,C22616*$C$22583),0)</f>
        <v>0</v>
      </c>
    </row>
    <row r="22628" customFormat="false" ht="15" hidden="false" customHeight="false" outlineLevel="0" collapsed="false">
      <c r="A22628" s="24" t="s">
        <v>569</v>
      </c>
      <c r="B22628" s="25"/>
      <c r="C22628" s="25"/>
      <c r="D22628" s="25"/>
      <c r="E22628" s="25"/>
      <c r="F22628" s="25"/>
      <c r="G22628" s="25"/>
      <c r="H22628" s="25"/>
      <c r="I22628" s="25"/>
      <c r="J22628" s="25"/>
      <c r="K22628" s="25"/>
    </row>
    <row r="22629" customFormat="false" ht="15" hidden="false" customHeight="false" outlineLevel="0" collapsed="false">
      <c r="A22629" s="3" t="s">
        <v>556</v>
      </c>
      <c r="C22629" s="16" t="n">
        <f aca="false">IF(C22607&gt;0,C22585-C22618,0)</f>
        <v>0</v>
      </c>
      <c r="G22629" s="21" t="n">
        <f aca="false">IF(AND(G22320=1,G22317=1),1,0)</f>
        <v>0</v>
      </c>
      <c r="H22629" s="21" t="n">
        <f aca="false">IF(G22629=1,1,IF(AND(H22320=1,H22317=1),1,0))</f>
        <v>0</v>
      </c>
      <c r="I22629" s="21" t="n">
        <f aca="false">IF(H22629=1,1,IF(AND(I22320=1,I22317=1),1,0))</f>
        <v>0</v>
      </c>
      <c r="J22629" s="21" t="n">
        <f aca="false">IF(I22629=1,1,IF(AND(J22320=1,J22317=1),1,0))</f>
        <v>0</v>
      </c>
      <c r="K22629" s="21" t="n">
        <f aca="false">IF(J22629=1,1,IF(AND(K22320=1,K22317=1),1,0))</f>
        <v>1</v>
      </c>
    </row>
    <row r="22630" customFormat="false" ht="15" hidden="false" customHeight="false" outlineLevel="0" collapsed="false">
      <c r="A22630" s="3" t="s">
        <v>557</v>
      </c>
      <c r="C22630" s="16" t="n">
        <f aca="false">IF(C22608&gt;0,C22586-C22619,0)</f>
        <v>0</v>
      </c>
      <c r="G22630" s="21" t="n">
        <f aca="false">IF(AND(G22333=1,G22317=1),1,0)</f>
        <v>0</v>
      </c>
      <c r="H22630" s="21" t="n">
        <f aca="false">IF(G22630=1,1,IF(AND(H22333=1,H22317=1),1,0))</f>
        <v>0</v>
      </c>
      <c r="I22630" s="21" t="n">
        <f aca="false">IF(H22630=1,1,IF(AND(I22333=1,I22317=1),1,0))</f>
        <v>0</v>
      </c>
      <c r="J22630" s="21" t="n">
        <f aca="false">IF(I22630=1,1,IF(AND(J22333=1,J22317=1),1,0))</f>
        <v>0</v>
      </c>
      <c r="K22630" s="21" t="n">
        <f aca="false">IF(J22630=1,1,IF(AND(K22333=1,K22317=1),1,0))</f>
        <v>0</v>
      </c>
    </row>
    <row r="22631" customFormat="false" ht="15" hidden="false" customHeight="false" outlineLevel="0" collapsed="false">
      <c r="A22631" s="3" t="s">
        <v>558</v>
      </c>
      <c r="C22631" s="16" t="n">
        <f aca="false">IF(C22609&gt;0,C22587-C22620,0)</f>
        <v>0</v>
      </c>
      <c r="G22631" s="21" t="n">
        <f aca="false">IF(AND(G22346=1,G22317=1),1,0)</f>
        <v>0</v>
      </c>
      <c r="H22631" s="21" t="n">
        <f aca="false">IF(G22631=1,1,IF(AND(H22346=1,H22317=1),1,0))</f>
        <v>0</v>
      </c>
      <c r="I22631" s="21" t="n">
        <f aca="false">IF(H22631=1,1,IF(AND(I22346=1,I22317=1),1,0))</f>
        <v>0</v>
      </c>
      <c r="J22631" s="21" t="n">
        <f aca="false">IF(I22631=1,1,IF(AND(J22346=1,J22317=1),1,0))</f>
        <v>0</v>
      </c>
      <c r="K22631" s="21" t="n">
        <f aca="false">IF(J22631=1,1,IF(AND(K22346=1,K22317=1),1,0))</f>
        <v>0</v>
      </c>
    </row>
    <row r="22632" customFormat="false" ht="15" hidden="false" customHeight="false" outlineLevel="0" collapsed="false">
      <c r="A22632" s="3" t="s">
        <v>559</v>
      </c>
      <c r="C22632" s="16" t="n">
        <f aca="false">IF(C22610&gt;0,C22588-C22621,0)</f>
        <v>0</v>
      </c>
      <c r="G22632" s="21" t="n">
        <f aca="false">IF(AND(G22359=1,G22317=1),1,0)</f>
        <v>1</v>
      </c>
      <c r="H22632" s="21" t="n">
        <f aca="false">IF(G22632=1,1,IF(AND(H22359=1,H22317=1),1,0))</f>
        <v>1</v>
      </c>
      <c r="I22632" s="21" t="n">
        <f aca="false">IF(H22632=1,1,IF(AND(I22359=1,I22317=1),1,0))</f>
        <v>1</v>
      </c>
      <c r="J22632" s="21" t="n">
        <f aca="false">IF(I22632=1,1,IF(AND(J22359=1,J22317=1),1,0))</f>
        <v>1</v>
      </c>
      <c r="K22632" s="21" t="n">
        <f aca="false">IF(J22632=1,1,IF(AND(K22359=1,K22317=1),1,0))</f>
        <v>1</v>
      </c>
    </row>
    <row r="22633" customFormat="false" ht="15" hidden="false" customHeight="false" outlineLevel="0" collapsed="false">
      <c r="A22633" s="3" t="s">
        <v>560</v>
      </c>
      <c r="C22633" s="16" t="n">
        <f aca="false">IF(C22611&gt;0,C22589-C22622,0)</f>
        <v>0</v>
      </c>
      <c r="G22633" s="21" t="n">
        <f aca="false">IF(AND(G22372=1,G22317=1),1,0)</f>
        <v>0</v>
      </c>
      <c r="H22633" s="21" t="n">
        <f aca="false">IF(G22633=1,1,IF(AND(H22372=1,H22317=1),1,0))</f>
        <v>1</v>
      </c>
      <c r="I22633" s="21" t="n">
        <f aca="false">IF(H22633=1,1,IF(AND(I22372=1,I22317=1),1,0))</f>
        <v>1</v>
      </c>
      <c r="J22633" s="21" t="n">
        <f aca="false">IF(I22633=1,1,IF(AND(J22372=1,J22317=1),1,0))</f>
        <v>1</v>
      </c>
      <c r="K22633" s="21" t="n">
        <f aca="false">IF(J22633=1,1,IF(AND(K22372=1,K22317=1),1,0))</f>
        <v>1</v>
      </c>
    </row>
    <row r="22634" customFormat="false" ht="15" hidden="false" customHeight="false" outlineLevel="0" collapsed="false">
      <c r="A22634" s="3" t="s">
        <v>561</v>
      </c>
      <c r="C22634" s="16" t="n">
        <f aca="false">IF(C22612&gt;0,C22590-C22623,0)</f>
        <v>0</v>
      </c>
      <c r="G22634" s="21" t="n">
        <f aca="false">IF(AND(G22385=1,G22317=1),1,0)</f>
        <v>0</v>
      </c>
      <c r="H22634" s="21" t="n">
        <f aca="false">IF(G22634=1,1,IF(AND(H22385=1,H22317=1),1,0))</f>
        <v>1</v>
      </c>
      <c r="I22634" s="21" t="n">
        <f aca="false">IF(H22634=1,1,IF(AND(I22385=1,I22317=1),1,0))</f>
        <v>1</v>
      </c>
      <c r="J22634" s="21" t="n">
        <f aca="false">IF(I22634=1,1,IF(AND(J22385=1,J22317=1),1,0))</f>
        <v>1</v>
      </c>
      <c r="K22634" s="21" t="n">
        <f aca="false">IF(J22634=1,1,IF(AND(K22385=1,K22317=1),1,0))</f>
        <v>1</v>
      </c>
    </row>
    <row r="22635" customFormat="false" ht="15" hidden="false" customHeight="false" outlineLevel="0" collapsed="false">
      <c r="A22635" s="3" t="s">
        <v>562</v>
      </c>
      <c r="C22635" s="16" t="n">
        <f aca="false">IF(C22613&gt;0,C22591-C22624,0)</f>
        <v>0</v>
      </c>
      <c r="G22635" s="21" t="n">
        <f aca="false">IF(AND(G22398=1,G22317=1),1,0)</f>
        <v>0</v>
      </c>
      <c r="H22635" s="21" t="n">
        <f aca="false">IF(G22635=1,1,IF(AND(H22398=1,H22317=1),1,0))</f>
        <v>0</v>
      </c>
      <c r="I22635" s="21" t="n">
        <f aca="false">IF(H22635=1,1,IF(AND(I22398=1,I22317=1),1,0))</f>
        <v>1</v>
      </c>
      <c r="J22635" s="21" t="n">
        <f aca="false">IF(I22635=1,1,IF(AND(J22398=1,J22317=1),1,0))</f>
        <v>1</v>
      </c>
      <c r="K22635" s="21" t="n">
        <f aca="false">IF(J22635=1,1,IF(AND(K22398=1,K22317=1),1,0))</f>
        <v>1</v>
      </c>
    </row>
    <row r="22636" customFormat="false" ht="15" hidden="false" customHeight="false" outlineLevel="0" collapsed="false">
      <c r="A22636" s="3" t="s">
        <v>563</v>
      </c>
      <c r="C22636" s="16" t="n">
        <f aca="false">IF(C22614&gt;0,C22592-C22625,0)</f>
        <v>0</v>
      </c>
      <c r="G22636" s="21" t="n">
        <f aca="false">IF(AND(G22411=1,G22317=1),1,0)</f>
        <v>0</v>
      </c>
      <c r="H22636" s="21" t="n">
        <f aca="false">IF(G22636=1,1,IF(AND(H22411=1,H22317=1),1,0))</f>
        <v>0</v>
      </c>
      <c r="I22636" s="21" t="n">
        <f aca="false">IF(H22636=1,1,IF(AND(I22411=1,I22317=1),1,0))</f>
        <v>0</v>
      </c>
      <c r="J22636" s="21" t="n">
        <f aca="false">IF(I22636=1,1,IF(AND(J22411=1,J22317=1),1,0))</f>
        <v>1</v>
      </c>
      <c r="K22636" s="21" t="n">
        <f aca="false">IF(J22636=1,1,IF(AND(K22411=1,K22317=1),1,0))</f>
        <v>1</v>
      </c>
    </row>
    <row r="22637" customFormat="false" ht="15" hidden="false" customHeight="false" outlineLevel="0" collapsed="false">
      <c r="A22637" s="3" t="s">
        <v>564</v>
      </c>
      <c r="C22637" s="16" t="n">
        <f aca="false">IF(C22615&gt;0,C22593-C22626,0)</f>
        <v>0</v>
      </c>
      <c r="G22637" s="21" t="n">
        <f aca="false">IF(AND(G22424=1,G22317=1),1,0)</f>
        <v>0</v>
      </c>
      <c r="H22637" s="21" t="n">
        <f aca="false">IF(G22637=1,1,IF(AND(H22424=1,H22317=1),1,0))</f>
        <v>0</v>
      </c>
      <c r="I22637" s="21" t="n">
        <f aca="false">IF(H22637=1,1,IF(AND(I22424=1,I22317=1),1,0))</f>
        <v>0</v>
      </c>
      <c r="J22637" s="21" t="n">
        <f aca="false">IF(I22637=1,1,IF(AND(J22424=1,J22317=1),1,0))</f>
        <v>0</v>
      </c>
      <c r="K22637" s="21" t="n">
        <f aca="false">IF(J22637=1,1,IF(AND(K22424=1,K22317=1),1,0))</f>
        <v>1</v>
      </c>
    </row>
    <row r="22638" customFormat="false" ht="15" hidden="false" customHeight="false" outlineLevel="0" collapsed="false">
      <c r="A22638" s="3" t="s">
        <v>565</v>
      </c>
      <c r="C22638" s="16" t="n">
        <f aca="false">IF(C22616&gt;0,C22594-C22627,0)</f>
        <v>0</v>
      </c>
      <c r="G22638" s="21" t="n">
        <f aca="false">IF(AND(G22437=1,G22317=1),1,0)</f>
        <v>0</v>
      </c>
      <c r="H22638" s="21" t="n">
        <f aca="false">IF(G22638=1,1,IF(AND(H22437=1,H22317=1),1,0))</f>
        <v>0</v>
      </c>
      <c r="I22638" s="21" t="n">
        <f aca="false">IF(H22638=1,1,IF(AND(I22437=1,I22317=1),1,0))</f>
        <v>0</v>
      </c>
      <c r="J22638" s="21" t="n">
        <f aca="false">IF(I22638=1,1,IF(AND(J22437=1,J22317=1),1,0))</f>
        <v>0</v>
      </c>
      <c r="K22638" s="21" t="n">
        <f aca="false">IF(J22638=1,1,IF(AND(K22437=1,K22317=1),1,0))</f>
        <v>0</v>
      </c>
    </row>
    <row r="22639" customFormat="false" ht="15" hidden="false" customHeight="false" outlineLevel="0" collapsed="false">
      <c r="A22639" s="24" t="s">
        <v>570</v>
      </c>
      <c r="B22639" s="25"/>
      <c r="C22639" s="25"/>
      <c r="D22639" s="25"/>
      <c r="E22639" s="25"/>
      <c r="F22639" s="25"/>
      <c r="G22639" s="25"/>
      <c r="H22639" s="25"/>
      <c r="I22639" s="25"/>
      <c r="J22639" s="25"/>
      <c r="K22639" s="25"/>
    </row>
    <row r="22640" customFormat="false" ht="15" hidden="false" customHeight="false" outlineLevel="0" collapsed="false">
      <c r="A22640" s="3" t="s">
        <v>556</v>
      </c>
      <c r="C22640" s="16" t="n">
        <f aca="false">IF(C22607&gt;0,C22629,C22585)</f>
        <v>0</v>
      </c>
    </row>
    <row r="22641" customFormat="false" ht="15" hidden="false" customHeight="false" outlineLevel="0" collapsed="false">
      <c r="A22641" s="3" t="s">
        <v>557</v>
      </c>
      <c r="C22641" s="16" t="n">
        <f aca="false">IF(C22608&gt;0,C22630,C22586)</f>
        <v>0</v>
      </c>
    </row>
    <row r="22642" customFormat="false" ht="15" hidden="false" customHeight="false" outlineLevel="0" collapsed="false">
      <c r="A22642" s="3" t="s">
        <v>558</v>
      </c>
      <c r="C22642" s="16" t="n">
        <f aca="false">IF(C22609&gt;0,C22631,C22587)</f>
        <v>0</v>
      </c>
    </row>
    <row r="22643" customFormat="false" ht="15" hidden="false" customHeight="false" outlineLevel="0" collapsed="false">
      <c r="A22643" s="3" t="s">
        <v>559</v>
      </c>
      <c r="C22643" s="16" t="n">
        <f aca="false">IF(C22610&gt;0,C22632,C22588)</f>
        <v>0</v>
      </c>
    </row>
    <row r="22644" customFormat="false" ht="15" hidden="false" customHeight="false" outlineLevel="0" collapsed="false">
      <c r="A22644" s="3" t="s">
        <v>560</v>
      </c>
      <c r="C22644" s="16" t="n">
        <f aca="false">IF(C22611&gt;0,C22633,C22589)</f>
        <v>454.44375</v>
      </c>
    </row>
    <row r="22645" customFormat="false" ht="15" hidden="false" customHeight="false" outlineLevel="0" collapsed="false">
      <c r="A22645" s="3" t="s">
        <v>561</v>
      </c>
      <c r="C22645" s="16" t="n">
        <f aca="false">IF(C22612&gt;0,C22634,C22590)</f>
        <v>357.2625</v>
      </c>
    </row>
    <row r="22646" customFormat="false" ht="15" hidden="false" customHeight="false" outlineLevel="0" collapsed="false">
      <c r="A22646" s="3" t="s">
        <v>562</v>
      </c>
      <c r="C22646" s="16" t="n">
        <f aca="false">IF(C22613&gt;0,C22635,C22591)</f>
        <v>562.203125</v>
      </c>
    </row>
    <row r="22647" customFormat="false" ht="15" hidden="false" customHeight="false" outlineLevel="0" collapsed="false">
      <c r="A22647" s="3" t="s">
        <v>563</v>
      </c>
      <c r="C22647" s="16" t="n">
        <f aca="false">IF(C22614&gt;0,C22636,C22592)</f>
        <v>353.98125</v>
      </c>
    </row>
    <row r="22648" customFormat="false" ht="15" hidden="false" customHeight="false" outlineLevel="0" collapsed="false">
      <c r="A22648" s="3" t="s">
        <v>564</v>
      </c>
      <c r="C22648" s="16" t="n">
        <f aca="false">IF(C22615&gt;0,C22637,C22593)</f>
        <v>304.59375</v>
      </c>
    </row>
    <row r="22649" customFormat="false" ht="15" hidden="false" customHeight="false" outlineLevel="0" collapsed="false">
      <c r="A22649" s="3" t="s">
        <v>565</v>
      </c>
      <c r="C22649" s="16" t="n">
        <f aca="false">IF(C22616&gt;0,C22638,C22594)</f>
        <v>79.57493775</v>
      </c>
    </row>
    <row r="22650" customFormat="false" ht="15" hidden="false" customHeight="false" outlineLevel="0" collapsed="false">
      <c r="A22650" s="24" t="s">
        <v>571</v>
      </c>
      <c r="B22650" s="25"/>
      <c r="C22650" s="25"/>
      <c r="D22650" s="25"/>
      <c r="E22650" s="25"/>
      <c r="F22650" s="25"/>
      <c r="G22650" s="25"/>
      <c r="H22650" s="25"/>
      <c r="I22650" s="25"/>
      <c r="J22650" s="25"/>
      <c r="K22650" s="25"/>
    </row>
    <row r="22651" customFormat="false" ht="15" hidden="false" customHeight="false" outlineLevel="0" collapsed="false">
      <c r="A22651" s="3" t="s">
        <v>556</v>
      </c>
      <c r="C22651" s="21" t="n">
        <f aca="false">IF(C22607&gt;0,Assumptions!$C$17,C22596)</f>
        <v>99</v>
      </c>
    </row>
    <row r="22652" customFormat="false" ht="15" hidden="false" customHeight="false" outlineLevel="0" collapsed="false">
      <c r="A22652" s="3" t="s">
        <v>557</v>
      </c>
      <c r="C22652" s="21" t="n">
        <f aca="false">IF(C22608&gt;0,Assumptions!$C$17,C22597)</f>
        <v>99</v>
      </c>
    </row>
    <row r="22653" customFormat="false" ht="15" hidden="false" customHeight="false" outlineLevel="0" collapsed="false">
      <c r="A22653" s="3" t="s">
        <v>558</v>
      </c>
      <c r="C22653" s="21" t="n">
        <f aca="false">IF(C22609&gt;0,Assumptions!$C$17,C22598)</f>
        <v>99</v>
      </c>
    </row>
    <row r="22654" customFormat="false" ht="15" hidden="false" customHeight="false" outlineLevel="0" collapsed="false">
      <c r="A22654" s="3" t="s">
        <v>559</v>
      </c>
      <c r="C22654" s="21" t="n">
        <f aca="false">IF(C22610&gt;0,Assumptions!$C$17,C22599)</f>
        <v>2</v>
      </c>
    </row>
    <row r="22655" customFormat="false" ht="15" hidden="false" customHeight="false" outlineLevel="0" collapsed="false">
      <c r="A22655" s="3" t="s">
        <v>560</v>
      </c>
      <c r="C22655" s="21" t="n">
        <f aca="false">IF(C22611&gt;0,Assumptions!$C$17,C22600)</f>
        <v>2</v>
      </c>
    </row>
    <row r="22656" customFormat="false" ht="15" hidden="false" customHeight="false" outlineLevel="0" collapsed="false">
      <c r="A22656" s="3" t="s">
        <v>561</v>
      </c>
      <c r="C22656" s="21" t="n">
        <f aca="false">IF(C22612&gt;0,Assumptions!$C$17,C22601)</f>
        <v>2</v>
      </c>
    </row>
    <row r="22657" customFormat="false" ht="15" hidden="false" customHeight="false" outlineLevel="0" collapsed="false">
      <c r="A22657" s="3" t="s">
        <v>562</v>
      </c>
      <c r="C22657" s="21" t="n">
        <f aca="false">IF(C22613&gt;0,Assumptions!$C$17,C22602)</f>
        <v>2</v>
      </c>
    </row>
    <row r="22658" customFormat="false" ht="15" hidden="false" customHeight="false" outlineLevel="0" collapsed="false">
      <c r="A22658" s="3" t="s">
        <v>563</v>
      </c>
      <c r="C22658" s="21" t="n">
        <f aca="false">IF(C22614&gt;0,Assumptions!$C$17,C22603)</f>
        <v>2</v>
      </c>
    </row>
    <row r="22659" customFormat="false" ht="15" hidden="false" customHeight="false" outlineLevel="0" collapsed="false">
      <c r="A22659" s="3" t="s">
        <v>564</v>
      </c>
      <c r="C22659" s="21" t="n">
        <f aca="false">IF(C22615&gt;0,Assumptions!$C$17,C22604)</f>
        <v>2</v>
      </c>
    </row>
    <row r="22660" customFormat="false" ht="15" hidden="false" customHeight="false" outlineLevel="0" collapsed="false">
      <c r="A22660" s="3" t="s">
        <v>565</v>
      </c>
      <c r="C22660" s="21" t="n">
        <f aca="false">IF(C22616&gt;0,Assumptions!$C$17,C22605)</f>
        <v>3</v>
      </c>
    </row>
    <row r="22661" customFormat="false" ht="15" hidden="false" customHeight="false" outlineLevel="0" collapsed="false">
      <c r="A22661" s="24" t="s">
        <v>572</v>
      </c>
      <c r="B22661" s="25"/>
      <c r="C22661" s="25"/>
      <c r="D22661" s="25"/>
      <c r="E22661" s="25"/>
      <c r="F22661" s="25"/>
      <c r="G22661" s="25"/>
      <c r="H22661" s="25"/>
      <c r="I22661" s="25"/>
      <c r="J22661" s="25"/>
      <c r="K22661" s="25"/>
    </row>
    <row r="22662" customFormat="false" ht="15" hidden="false" customHeight="false" outlineLevel="0" collapsed="false">
      <c r="A22662" s="3" t="s">
        <v>556</v>
      </c>
      <c r="C22662" s="16" t="n">
        <f aca="false">SUMPRODUCT(($C$22651:$C$22660&lt;C22651)*$C$22640:$C$22649)</f>
        <v>2112.05931275</v>
      </c>
    </row>
    <row r="22663" customFormat="false" ht="15" hidden="false" customHeight="false" outlineLevel="0" collapsed="false">
      <c r="A22663" s="3" t="s">
        <v>557</v>
      </c>
      <c r="C22663" s="16" t="n">
        <f aca="false">SUMPRODUCT(($C$22651:$C$22660&lt;C22652)*$C$22640:$C$22649)</f>
        <v>2112.05931275</v>
      </c>
    </row>
    <row r="22664" customFormat="false" ht="15" hidden="false" customHeight="false" outlineLevel="0" collapsed="false">
      <c r="A22664" s="3" t="s">
        <v>558</v>
      </c>
      <c r="C22664" s="16" t="n">
        <f aca="false">SUMPRODUCT(($C$22651:$C$22660&lt;C22653)*$C$22640:$C$22649)</f>
        <v>2112.05931275</v>
      </c>
    </row>
    <row r="22665" customFormat="false" ht="15" hidden="false" customHeight="false" outlineLevel="0" collapsed="false">
      <c r="A22665" s="3" t="s">
        <v>559</v>
      </c>
      <c r="C22665" s="16" t="n">
        <f aca="false">SUMPRODUCT(($C$22651:$C$22660&lt;C22654)*$C$22640:$C$22649)</f>
        <v>0</v>
      </c>
    </row>
    <row r="22666" customFormat="false" ht="15" hidden="false" customHeight="false" outlineLevel="0" collapsed="false">
      <c r="A22666" s="3" t="s">
        <v>560</v>
      </c>
      <c r="C22666" s="16" t="n">
        <f aca="false">SUMPRODUCT(($C$22651:$C$22660&lt;C22655)*$C$22640:$C$22649)</f>
        <v>0</v>
      </c>
    </row>
    <row r="22667" customFormat="false" ht="15" hidden="false" customHeight="false" outlineLevel="0" collapsed="false">
      <c r="A22667" s="3" t="s">
        <v>561</v>
      </c>
      <c r="C22667" s="16" t="n">
        <f aca="false">SUMPRODUCT(($C$22651:$C$22660&lt;C22656)*$C$22640:$C$22649)</f>
        <v>0</v>
      </c>
    </row>
    <row r="22668" customFormat="false" ht="15" hidden="false" customHeight="false" outlineLevel="0" collapsed="false">
      <c r="A22668" s="3" t="s">
        <v>562</v>
      </c>
      <c r="C22668" s="16" t="n">
        <f aca="false">SUMPRODUCT(($C$22651:$C$22660&lt;C22657)*$C$22640:$C$22649)</f>
        <v>0</v>
      </c>
    </row>
    <row r="22669" customFormat="false" ht="15" hidden="false" customHeight="false" outlineLevel="0" collapsed="false">
      <c r="A22669" s="3" t="s">
        <v>563</v>
      </c>
      <c r="C22669" s="16" t="n">
        <f aca="false">SUMPRODUCT(($C$22651:$C$22660&lt;C22658)*$C$22640:$C$22649)</f>
        <v>0</v>
      </c>
    </row>
    <row r="22670" customFormat="false" ht="15" hidden="false" customHeight="false" outlineLevel="0" collapsed="false">
      <c r="A22670" s="3" t="s">
        <v>564</v>
      </c>
      <c r="C22670" s="16" t="n">
        <f aca="false">SUMPRODUCT(($C$22651:$C$22660&lt;C22659)*$C$22640:$C$22649)</f>
        <v>0</v>
      </c>
    </row>
    <row r="22671" customFormat="false" ht="15" hidden="false" customHeight="false" outlineLevel="0" collapsed="false">
      <c r="A22671" s="3" t="s">
        <v>565</v>
      </c>
      <c r="C22671" s="16" t="n">
        <f aca="false">SUMPRODUCT(($C$22651:$C$22660&lt;C22660)*$C$22640:$C$22649)</f>
        <v>2032.484375</v>
      </c>
    </row>
    <row r="22672" customFormat="false" ht="15" hidden="false" customHeight="false" outlineLevel="0" collapsed="false">
      <c r="A22672" s="24" t="s">
        <v>573</v>
      </c>
      <c r="B22672" s="25"/>
      <c r="C22672" s="25"/>
      <c r="D22672" s="25"/>
      <c r="E22672" s="25"/>
      <c r="F22672" s="25"/>
      <c r="G22672" s="25"/>
      <c r="H22672" s="25"/>
      <c r="I22672" s="25"/>
      <c r="J22672" s="25"/>
      <c r="K22672" s="25"/>
    </row>
    <row r="22673" customFormat="false" ht="15" hidden="false" customHeight="false" outlineLevel="0" collapsed="false">
      <c r="A22673" s="3" t="s">
        <v>556</v>
      </c>
      <c r="C22673" s="16" t="n">
        <f aca="false">SUMPRODUCT(($C$22651:$C$22660=C22651)*$C$22640:$C$22649)</f>
        <v>0</v>
      </c>
    </row>
    <row r="22674" customFormat="false" ht="15" hidden="false" customHeight="false" outlineLevel="0" collapsed="false">
      <c r="A22674" s="3" t="s">
        <v>557</v>
      </c>
      <c r="C22674" s="16" t="n">
        <f aca="false">SUMPRODUCT(($C$22651:$C$22660=C22652)*$C$22640:$C$22649)</f>
        <v>0</v>
      </c>
    </row>
    <row r="22675" customFormat="false" ht="15" hidden="false" customHeight="false" outlineLevel="0" collapsed="false">
      <c r="A22675" s="3" t="s">
        <v>558</v>
      </c>
      <c r="C22675" s="16" t="n">
        <f aca="false">SUMPRODUCT(($C$22651:$C$22660=C22653)*$C$22640:$C$22649)</f>
        <v>0</v>
      </c>
    </row>
    <row r="22676" customFormat="false" ht="15" hidden="false" customHeight="false" outlineLevel="0" collapsed="false">
      <c r="A22676" s="3" t="s">
        <v>559</v>
      </c>
      <c r="C22676" s="16" t="n">
        <f aca="false">SUMPRODUCT(($C$22651:$C$22660=C22654)*$C$22640:$C$22649)</f>
        <v>2032.484375</v>
      </c>
    </row>
    <row r="22677" customFormat="false" ht="15" hidden="false" customHeight="false" outlineLevel="0" collapsed="false">
      <c r="A22677" s="3" t="s">
        <v>560</v>
      </c>
      <c r="C22677" s="16" t="n">
        <f aca="false">SUMPRODUCT(($C$22651:$C$22660=C22655)*$C$22640:$C$22649)</f>
        <v>2032.484375</v>
      </c>
    </row>
    <row r="22678" customFormat="false" ht="15" hidden="false" customHeight="false" outlineLevel="0" collapsed="false">
      <c r="A22678" s="3" t="s">
        <v>561</v>
      </c>
      <c r="C22678" s="16" t="n">
        <f aca="false">SUMPRODUCT(($C$22651:$C$22660=C22656)*$C$22640:$C$22649)</f>
        <v>2032.484375</v>
      </c>
    </row>
    <row r="22679" customFormat="false" ht="15" hidden="false" customHeight="false" outlineLevel="0" collapsed="false">
      <c r="A22679" s="3" t="s">
        <v>562</v>
      </c>
      <c r="C22679" s="16" t="n">
        <f aca="false">SUMPRODUCT(($C$22651:$C$22660=C22657)*$C$22640:$C$22649)</f>
        <v>2032.484375</v>
      </c>
    </row>
    <row r="22680" customFormat="false" ht="15" hidden="false" customHeight="false" outlineLevel="0" collapsed="false">
      <c r="A22680" s="3" t="s">
        <v>563</v>
      </c>
      <c r="C22680" s="16" t="n">
        <f aca="false">SUMPRODUCT(($C$22651:$C$22660=C22658)*$C$22640:$C$22649)</f>
        <v>2032.484375</v>
      </c>
    </row>
    <row r="22681" customFormat="false" ht="15" hidden="false" customHeight="false" outlineLevel="0" collapsed="false">
      <c r="A22681" s="3" t="s">
        <v>564</v>
      </c>
      <c r="C22681" s="16" t="n">
        <f aca="false">SUMPRODUCT(($C$22651:$C$22660=C22659)*$C$22640:$C$22649)</f>
        <v>2032.484375</v>
      </c>
    </row>
    <row r="22682" customFormat="false" ht="15" hidden="false" customHeight="false" outlineLevel="0" collapsed="false">
      <c r="A22682" s="3" t="s">
        <v>565</v>
      </c>
      <c r="C22682" s="16" t="n">
        <f aca="false">SUMPRODUCT(($C$22651:$C$22660=C22660)*$C$22640:$C$22649)</f>
        <v>79.57493775</v>
      </c>
    </row>
    <row r="22683" customFormat="false" ht="15" hidden="false" customHeight="false" outlineLevel="0" collapsed="false">
      <c r="A22683" s="24" t="s">
        <v>574</v>
      </c>
      <c r="B22683" s="25"/>
      <c r="C22683" s="25"/>
      <c r="D22683" s="25"/>
      <c r="E22683" s="25"/>
      <c r="F22683" s="25"/>
      <c r="G22683" s="25"/>
      <c r="H22683" s="25"/>
      <c r="I22683" s="25"/>
      <c r="J22683" s="25"/>
      <c r="K22683" s="25"/>
    </row>
    <row r="22684" customFormat="false" ht="15" hidden="false" customHeight="false" outlineLevel="0" collapsed="false">
      <c r="A22684" s="3" t="s">
        <v>556</v>
      </c>
      <c r="C22684" s="16" t="n">
        <f aca="false">IF(C22673=0,0,C22640/C22673*MAX(0,MIN(C22673,$C$22583-SUM($C$22618:$C$22627)-C22662)))</f>
        <v>0</v>
      </c>
    </row>
    <row r="22685" customFormat="false" ht="15" hidden="false" customHeight="false" outlineLevel="0" collapsed="false">
      <c r="A22685" s="3" t="s">
        <v>557</v>
      </c>
      <c r="C22685" s="16" t="n">
        <f aca="false">IF(C22674=0,0,C22641/C22674*MAX(0,MIN(C22674,$C$22583-SUM($C$22618:$C$22627)-C22663)))</f>
        <v>0</v>
      </c>
    </row>
    <row r="22686" customFormat="false" ht="15" hidden="false" customHeight="false" outlineLevel="0" collapsed="false">
      <c r="A22686" s="3" t="s">
        <v>558</v>
      </c>
      <c r="C22686" s="16" t="n">
        <f aca="false">IF(C22675=0,0,C22642/C22675*MAX(0,MIN(C22675,$C$22583-SUM($C$22618:$C$22627)-C22664)))</f>
        <v>0</v>
      </c>
    </row>
    <row r="22687" customFormat="false" ht="15" hidden="false" customHeight="false" outlineLevel="0" collapsed="false">
      <c r="A22687" s="3" t="s">
        <v>559</v>
      </c>
      <c r="C22687" s="16" t="n">
        <f aca="false">IF(C22676=0,0,C22643/C22676*MAX(0,MIN(C22676,$C$22583-SUM($C$22618:$C$22627)-C22665)))</f>
        <v>0</v>
      </c>
    </row>
    <row r="22688" customFormat="false" ht="15" hidden="false" customHeight="false" outlineLevel="0" collapsed="false">
      <c r="A22688" s="3" t="s">
        <v>560</v>
      </c>
      <c r="C22688" s="16" t="n">
        <f aca="false">IF(C22677=0,0,C22644/C22677*MAX(0,MIN(C22677,$C$22583-SUM($C$22618:$C$22627)-C22666)))</f>
        <v>454.44375</v>
      </c>
    </row>
    <row r="22689" customFormat="false" ht="15" hidden="false" customHeight="false" outlineLevel="0" collapsed="false">
      <c r="A22689" s="3" t="s">
        <v>561</v>
      </c>
      <c r="C22689" s="16" t="n">
        <f aca="false">IF(C22678=0,0,C22645/C22678*MAX(0,MIN(C22678,$C$22583-SUM($C$22618:$C$22627)-C22667)))</f>
        <v>357.2625</v>
      </c>
    </row>
    <row r="22690" customFormat="false" ht="15" hidden="false" customHeight="false" outlineLevel="0" collapsed="false">
      <c r="A22690" s="3" t="s">
        <v>562</v>
      </c>
      <c r="C22690" s="16" t="n">
        <f aca="false">IF(C22679=0,0,C22646/C22679*MAX(0,MIN(C22679,$C$22583-SUM($C$22618:$C$22627)-C22668)))</f>
        <v>562.203125</v>
      </c>
    </row>
    <row r="22691" customFormat="false" ht="15" hidden="false" customHeight="false" outlineLevel="0" collapsed="false">
      <c r="A22691" s="3" t="s">
        <v>563</v>
      </c>
      <c r="C22691" s="16" t="n">
        <f aca="false">IF(C22680=0,0,C22647/C22680*MAX(0,MIN(C22680,$C$22583-SUM($C$22618:$C$22627)-C22669)))</f>
        <v>353.98125</v>
      </c>
    </row>
    <row r="22692" customFormat="false" ht="15" hidden="false" customHeight="false" outlineLevel="0" collapsed="false">
      <c r="A22692" s="3" t="s">
        <v>564</v>
      </c>
      <c r="C22692" s="16" t="n">
        <f aca="false">IF(C22681=0,0,C22648/C22681*MAX(0,MIN(C22681,$C$22583-SUM($C$22618:$C$22627)-C22670)))</f>
        <v>304.59375</v>
      </c>
    </row>
    <row r="22693" customFormat="false" ht="15" hidden="false" customHeight="false" outlineLevel="0" collapsed="false">
      <c r="A22693" s="3" t="s">
        <v>565</v>
      </c>
      <c r="C22693" s="16" t="n">
        <f aca="false">IF(C22682=0,0,C22649/C22682*MAX(0,MIN(C22682,$C$22583-SUM($C$22618:$C$22627)-C22671)))</f>
        <v>79.57493775</v>
      </c>
    </row>
    <row r="22694" customFormat="false" ht="15" hidden="false" customHeight="false" outlineLevel="0" collapsed="false">
      <c r="A22694" s="24" t="s">
        <v>575</v>
      </c>
      <c r="B22694" s="25"/>
      <c r="C22694" s="25"/>
      <c r="D22694" s="25"/>
      <c r="E22694" s="25"/>
      <c r="F22694" s="25"/>
      <c r="G22694" s="25"/>
      <c r="H22694" s="25"/>
      <c r="I22694" s="25"/>
      <c r="J22694" s="25"/>
      <c r="K22694" s="25"/>
    </row>
    <row r="22695" customFormat="false" ht="15" hidden="false" customHeight="false" outlineLevel="0" collapsed="false">
      <c r="A22695" s="2" t="s">
        <v>556</v>
      </c>
      <c r="C22695" s="17" t="n">
        <f aca="false">C22618+C22684</f>
        <v>404.5635</v>
      </c>
    </row>
    <row r="22696" customFormat="false" ht="15" hidden="false" customHeight="false" outlineLevel="0" collapsed="false">
      <c r="A22696" s="2" t="s">
        <v>557</v>
      </c>
      <c r="C22696" s="17" t="n">
        <f aca="false">C22619+C22685</f>
        <v>91.30725</v>
      </c>
    </row>
    <row r="22697" customFormat="false" ht="15" hidden="false" customHeight="false" outlineLevel="0" collapsed="false">
      <c r="A22697" s="2" t="s">
        <v>558</v>
      </c>
      <c r="C22697" s="17" t="n">
        <f aca="false">C22620+C22686</f>
        <v>58.3715961</v>
      </c>
    </row>
    <row r="22698" customFormat="false" ht="15" hidden="false" customHeight="false" outlineLevel="0" collapsed="false">
      <c r="A22698" s="2" t="s">
        <v>559</v>
      </c>
      <c r="C22698" s="17" t="n">
        <f aca="false">C22621+C22687</f>
        <v>0</v>
      </c>
    </row>
    <row r="22699" customFormat="false" ht="15" hidden="false" customHeight="false" outlineLevel="0" collapsed="false">
      <c r="A22699" s="2" t="s">
        <v>560</v>
      </c>
      <c r="C22699" s="17" t="n">
        <f aca="false">C22622+C22688</f>
        <v>454.44375</v>
      </c>
    </row>
    <row r="22700" customFormat="false" ht="15" hidden="false" customHeight="false" outlineLevel="0" collapsed="false">
      <c r="A22700" s="2" t="s">
        <v>561</v>
      </c>
      <c r="C22700" s="17" t="n">
        <f aca="false">C22623+C22689</f>
        <v>357.2625</v>
      </c>
    </row>
    <row r="22701" customFormat="false" ht="15" hidden="false" customHeight="false" outlineLevel="0" collapsed="false">
      <c r="A22701" s="2" t="s">
        <v>562</v>
      </c>
      <c r="C22701" s="17" t="n">
        <f aca="false">C22624+C22690</f>
        <v>562.203125</v>
      </c>
    </row>
    <row r="22702" customFormat="false" ht="15" hidden="false" customHeight="false" outlineLevel="0" collapsed="false">
      <c r="A22702" s="2" t="s">
        <v>563</v>
      </c>
      <c r="C22702" s="17" t="n">
        <f aca="false">C22625+C22691</f>
        <v>353.98125</v>
      </c>
    </row>
    <row r="22703" customFormat="false" ht="15" hidden="false" customHeight="false" outlineLevel="0" collapsed="false">
      <c r="A22703" s="2" t="s">
        <v>564</v>
      </c>
      <c r="C22703" s="17" t="n">
        <f aca="false">C22626+C22692</f>
        <v>304.59375</v>
      </c>
    </row>
    <row r="22704" customFormat="false" ht="15" hidden="false" customHeight="false" outlineLevel="0" collapsed="false">
      <c r="A22704" s="2" t="s">
        <v>565</v>
      </c>
      <c r="C22704" s="17" t="n">
        <f aca="false">C22627+C22693</f>
        <v>79.57493775</v>
      </c>
    </row>
    <row r="22705" customFormat="false" ht="15" hidden="false" customHeight="false" outlineLevel="0" collapsed="false">
      <c r="A22705" s="24" t="s">
        <v>576</v>
      </c>
      <c r="B22705" s="25"/>
      <c r="C22705" s="25"/>
      <c r="D22705" s="25"/>
      <c r="E22705" s="25"/>
      <c r="F22705" s="25"/>
      <c r="G22705" s="25"/>
      <c r="H22705" s="25"/>
      <c r="I22705" s="25"/>
      <c r="J22705" s="25"/>
      <c r="K22705" s="25"/>
    </row>
    <row r="22706" customFormat="false" ht="15" hidden="false" customHeight="false" outlineLevel="0" collapsed="false">
      <c r="A22706" s="3" t="s">
        <v>556</v>
      </c>
      <c r="C22706" s="22" t="n">
        <f aca="false">IF(C22585=0,1,C22695/C22585)</f>
        <v>1</v>
      </c>
    </row>
    <row r="22707" customFormat="false" ht="15" hidden="false" customHeight="false" outlineLevel="0" collapsed="false">
      <c r="A22707" s="3" t="s">
        <v>557</v>
      </c>
      <c r="C22707" s="22" t="n">
        <f aca="false">IF(C22586=0,1,C22696/C22586)</f>
        <v>1</v>
      </c>
    </row>
    <row r="22708" customFormat="false" ht="15" hidden="false" customHeight="false" outlineLevel="0" collapsed="false">
      <c r="A22708" s="3" t="s">
        <v>558</v>
      </c>
      <c r="C22708" s="22" t="n">
        <f aca="false">IF(C22587=0,1,C22697/C22587)</f>
        <v>1</v>
      </c>
    </row>
    <row r="22709" customFormat="false" ht="15" hidden="false" customHeight="false" outlineLevel="0" collapsed="false">
      <c r="A22709" s="3" t="s">
        <v>559</v>
      </c>
      <c r="C22709" s="22" t="n">
        <f aca="false">IF(C22588=0,1,C22698/C22588)</f>
        <v>1</v>
      </c>
    </row>
    <row r="22710" customFormat="false" ht="15" hidden="false" customHeight="false" outlineLevel="0" collapsed="false">
      <c r="A22710" s="3" t="s">
        <v>560</v>
      </c>
      <c r="C22710" s="22" t="n">
        <f aca="false">IF(C22589=0,1,C22699/C22589)</f>
        <v>1</v>
      </c>
    </row>
    <row r="22711" customFormat="false" ht="15" hidden="false" customHeight="false" outlineLevel="0" collapsed="false">
      <c r="A22711" s="3" t="s">
        <v>561</v>
      </c>
      <c r="C22711" s="22" t="n">
        <f aca="false">IF(C22590=0,1,C22700/C22590)</f>
        <v>1</v>
      </c>
    </row>
    <row r="22712" customFormat="false" ht="15" hidden="false" customHeight="false" outlineLevel="0" collapsed="false">
      <c r="A22712" s="3" t="s">
        <v>562</v>
      </c>
      <c r="C22712" s="22" t="n">
        <f aca="false">IF(C22591=0,1,C22701/C22591)</f>
        <v>1</v>
      </c>
    </row>
    <row r="22713" customFormat="false" ht="15" hidden="false" customHeight="false" outlineLevel="0" collapsed="false">
      <c r="A22713" s="3" t="s">
        <v>563</v>
      </c>
      <c r="C22713" s="22" t="n">
        <f aca="false">IF(C22592=0,1,C22702/C22592)</f>
        <v>1</v>
      </c>
    </row>
    <row r="22714" customFormat="false" ht="15" hidden="false" customHeight="false" outlineLevel="0" collapsed="false">
      <c r="A22714" s="3" t="s">
        <v>564</v>
      </c>
      <c r="C22714" s="22" t="n">
        <f aca="false">IF(C22593=0,1,C22703/C22593)</f>
        <v>1</v>
      </c>
    </row>
    <row r="22715" customFormat="false" ht="15" hidden="false" customHeight="false" outlineLevel="0" collapsed="false">
      <c r="A22715" s="3" t="s">
        <v>565</v>
      </c>
      <c r="C22715" s="22" t="n">
        <f aca="false">IF(C22594=0,1,C22704/C22594)</f>
        <v>1</v>
      </c>
    </row>
    <row r="22716" customFormat="false" ht="15" hidden="false" customHeight="false" outlineLevel="0" collapsed="false">
      <c r="A22716" s="24" t="s">
        <v>577</v>
      </c>
      <c r="B22716" s="25"/>
      <c r="C22716" s="25"/>
      <c r="D22716" s="25"/>
      <c r="E22716" s="25"/>
      <c r="F22716" s="25"/>
      <c r="G22716" s="25"/>
      <c r="H22716" s="25"/>
      <c r="I22716" s="25"/>
      <c r="J22716" s="25"/>
      <c r="K22716" s="25"/>
    </row>
    <row r="22717" customFormat="false" ht="15" hidden="false" customHeight="false" outlineLevel="0" collapsed="false">
      <c r="A22717" s="3" t="s">
        <v>556</v>
      </c>
      <c r="C22717" s="16" t="n">
        <f aca="false">C22585-C22695</f>
        <v>0</v>
      </c>
    </row>
    <row r="22718" customFormat="false" ht="15" hidden="false" customHeight="false" outlineLevel="0" collapsed="false">
      <c r="A22718" s="3" t="s">
        <v>557</v>
      </c>
      <c r="C22718" s="16" t="n">
        <f aca="false">C22586-C22696</f>
        <v>0</v>
      </c>
    </row>
    <row r="22719" customFormat="false" ht="15" hidden="false" customHeight="false" outlineLevel="0" collapsed="false">
      <c r="A22719" s="3" t="s">
        <v>558</v>
      </c>
      <c r="C22719" s="16" t="n">
        <f aca="false">C22587-C22697</f>
        <v>0</v>
      </c>
    </row>
    <row r="22720" customFormat="false" ht="15" hidden="false" customHeight="false" outlineLevel="0" collapsed="false">
      <c r="A22720" s="3" t="s">
        <v>559</v>
      </c>
      <c r="C22720" s="16" t="n">
        <f aca="false">C22588-C22698</f>
        <v>0</v>
      </c>
    </row>
    <row r="22721" customFormat="false" ht="15" hidden="false" customHeight="false" outlineLevel="0" collapsed="false">
      <c r="A22721" s="3" t="s">
        <v>560</v>
      </c>
      <c r="C22721" s="16" t="n">
        <f aca="false">C22589-C22699</f>
        <v>0</v>
      </c>
    </row>
    <row r="22722" customFormat="false" ht="15" hidden="false" customHeight="false" outlineLevel="0" collapsed="false">
      <c r="A22722" s="3" t="s">
        <v>561</v>
      </c>
      <c r="C22722" s="16" t="n">
        <f aca="false">C22590-C22700</f>
        <v>0</v>
      </c>
    </row>
    <row r="22723" customFormat="false" ht="15" hidden="false" customHeight="false" outlineLevel="0" collapsed="false">
      <c r="A22723" s="3" t="s">
        <v>562</v>
      </c>
      <c r="C22723" s="16" t="n">
        <f aca="false">C22591-C22701</f>
        <v>0</v>
      </c>
    </row>
    <row r="22724" customFormat="false" ht="15" hidden="false" customHeight="false" outlineLevel="0" collapsed="false">
      <c r="A22724" s="3" t="s">
        <v>563</v>
      </c>
      <c r="C22724" s="16" t="n">
        <f aca="false">C22592-C22702</f>
        <v>0</v>
      </c>
    </row>
    <row r="22725" customFormat="false" ht="15" hidden="false" customHeight="false" outlineLevel="0" collapsed="false">
      <c r="A22725" s="3" t="s">
        <v>564</v>
      </c>
      <c r="C22725" s="16" t="n">
        <f aca="false">C22593-C22703</f>
        <v>0</v>
      </c>
    </row>
    <row r="22726" customFormat="false" ht="15" hidden="false" customHeight="false" outlineLevel="0" collapsed="false">
      <c r="A22726" s="3" t="s">
        <v>565</v>
      </c>
      <c r="C22726" s="16" t="n">
        <f aca="false">C22594-C22704</f>
        <v>0</v>
      </c>
    </row>
    <row r="22727" customFormat="false" ht="15" hidden="false" customHeight="false" outlineLevel="0" collapsed="false">
      <c r="A22727" s="24" t="s">
        <v>578</v>
      </c>
      <c r="B22727" s="25"/>
      <c r="C22727" s="25"/>
      <c r="D22727" s="25"/>
      <c r="E22727" s="25"/>
      <c r="F22727" s="25"/>
      <c r="G22727" s="25"/>
      <c r="H22727" s="25"/>
      <c r="I22727" s="25"/>
      <c r="J22727" s="25"/>
      <c r="K22727" s="25"/>
    </row>
    <row r="22728" customFormat="false" ht="15" hidden="false" customHeight="false" outlineLevel="0" collapsed="false">
      <c r="A22728" s="3" t="s">
        <v>556</v>
      </c>
      <c r="C22728" s="22" t="n">
        <f aca="false">IF(C22585=0,0,C22717/C22585)</f>
        <v>0</v>
      </c>
    </row>
    <row r="22729" customFormat="false" ht="15" hidden="false" customHeight="false" outlineLevel="0" collapsed="false">
      <c r="A22729" s="3" t="s">
        <v>557</v>
      </c>
      <c r="C22729" s="22" t="n">
        <f aca="false">IF(C22586=0,0,C22718/C22586)</f>
        <v>0</v>
      </c>
    </row>
    <row r="22730" customFormat="false" ht="15" hidden="false" customHeight="false" outlineLevel="0" collapsed="false">
      <c r="A22730" s="3" t="s">
        <v>558</v>
      </c>
      <c r="C22730" s="22" t="n">
        <f aca="false">IF(C22587=0,0,C22719/C22587)</f>
        <v>0</v>
      </c>
    </row>
    <row r="22731" customFormat="false" ht="15" hidden="false" customHeight="false" outlineLevel="0" collapsed="false">
      <c r="A22731" s="3" t="s">
        <v>559</v>
      </c>
      <c r="C22731" s="22" t="n">
        <f aca="false">IF(C22588=0,0,C22720/C22588)</f>
        <v>0</v>
      </c>
    </row>
    <row r="22732" customFormat="false" ht="15" hidden="false" customHeight="false" outlineLevel="0" collapsed="false">
      <c r="A22732" s="3" t="s">
        <v>560</v>
      </c>
      <c r="C22732" s="22" t="n">
        <f aca="false">IF(C22589=0,0,C22721/C22589)</f>
        <v>0</v>
      </c>
    </row>
    <row r="22733" customFormat="false" ht="15" hidden="false" customHeight="false" outlineLevel="0" collapsed="false">
      <c r="A22733" s="3" t="s">
        <v>561</v>
      </c>
      <c r="C22733" s="22" t="n">
        <f aca="false">IF(C22590=0,0,C22722/C22590)</f>
        <v>0</v>
      </c>
    </row>
    <row r="22734" customFormat="false" ht="15" hidden="false" customHeight="false" outlineLevel="0" collapsed="false">
      <c r="A22734" s="3" t="s">
        <v>562</v>
      </c>
      <c r="C22734" s="22" t="n">
        <f aca="false">IF(C22591=0,0,C22723/C22591)</f>
        <v>0</v>
      </c>
    </row>
    <row r="22735" customFormat="false" ht="15" hidden="false" customHeight="false" outlineLevel="0" collapsed="false">
      <c r="A22735" s="3" t="s">
        <v>563</v>
      </c>
      <c r="C22735" s="22" t="n">
        <f aca="false">IF(C22592=0,0,C22724/C22592)</f>
        <v>0</v>
      </c>
    </row>
    <row r="22736" customFormat="false" ht="15" hidden="false" customHeight="false" outlineLevel="0" collapsed="false">
      <c r="A22736" s="3" t="s">
        <v>564</v>
      </c>
      <c r="C22736" s="22" t="n">
        <f aca="false">IF(C22593=0,0,C22725/C22593)</f>
        <v>0</v>
      </c>
    </row>
    <row r="22737" customFormat="false" ht="15" hidden="false" customHeight="false" outlineLevel="0" collapsed="false">
      <c r="A22737" s="3" t="s">
        <v>565</v>
      </c>
      <c r="C22737" s="22" t="n">
        <f aca="false">IF(C22594=0,0,C22726/C22594)</f>
        <v>0</v>
      </c>
    </row>
    <row r="22738" customFormat="false" ht="15" hidden="false" customHeight="false" outlineLevel="0" collapsed="false">
      <c r="A22738" s="2" t="s">
        <v>579</v>
      </c>
      <c r="C22738" s="17" t="n">
        <f aca="false">MAX(0,$C$22583-SUM($C$22618:$C$22627)-SUM($C$22640:$C$22649))</f>
        <v>1166.755031006</v>
      </c>
    </row>
    <row r="22739" customFormat="false" ht="15" hidden="false" customHeight="false" outlineLevel="0" collapsed="false">
      <c r="A22739" s="3" t="s">
        <v>580</v>
      </c>
      <c r="C22739" s="16" t="n">
        <f aca="false">SUM($C$22695:$C$22704)+C22738+C22582-C22581</f>
        <v>0</v>
      </c>
    </row>
    <row r="22741" customFormat="false" ht="15" hidden="false" customHeight="false" outlineLevel="0" collapsed="false">
      <c r="A22741" s="24" t="s">
        <v>583</v>
      </c>
      <c r="B22741" s="25"/>
      <c r="C22741" s="25"/>
      <c r="D22741" s="25"/>
      <c r="E22741" s="25"/>
      <c r="F22741" s="25"/>
      <c r="G22741" s="25"/>
      <c r="H22741" s="25"/>
      <c r="I22741" s="25"/>
      <c r="J22741" s="25"/>
      <c r="K22741" s="25"/>
    </row>
    <row r="22742" customFormat="false" ht="15" hidden="false" customHeight="false" outlineLevel="0" collapsed="false">
      <c r="A22742" s="3" t="s">
        <v>584</v>
      </c>
      <c r="C22742" s="27" t="n">
        <f aca="false">Assumptions!$C$34</f>
        <v>1</v>
      </c>
    </row>
    <row r="22743" customFormat="false" ht="15" hidden="false" customHeight="false" outlineLevel="0" collapsed="false">
      <c r="A22743" s="3" t="s">
        <v>585</v>
      </c>
      <c r="C22743" s="29" t="n">
        <f aca="false">Assumptions!$C$35</f>
        <v>100</v>
      </c>
    </row>
    <row r="22744" customFormat="false" ht="15" hidden="false" customHeight="false" outlineLevel="0" collapsed="false">
      <c r="A22744" s="3" t="s">
        <v>586</v>
      </c>
      <c r="C22744" s="40" t="n">
        <f aca="false">Assumptions!$C$36</f>
        <v>98</v>
      </c>
    </row>
    <row r="22745" customFormat="false" ht="15" hidden="false" customHeight="false" outlineLevel="0" collapsed="false">
      <c r="A22745" s="3" t="s">
        <v>587</v>
      </c>
      <c r="C22745" s="16" t="n">
        <f aca="false">C22743*C22744/100*(1+Assumptions!$C$37)</f>
        <v>98.49</v>
      </c>
    </row>
    <row r="22746" customFormat="false" ht="15" hidden="false" customHeight="false" outlineLevel="0" collapsed="false">
      <c r="A22746" s="3" t="s">
        <v>588</v>
      </c>
      <c r="C22746" s="27" t="n">
        <f aca="false">Assumptions!$C$38</f>
        <v>3</v>
      </c>
    </row>
    <row r="22747" customFormat="false" ht="15" hidden="false" customHeight="false" outlineLevel="0" collapsed="false">
      <c r="A22747" s="3" t="s">
        <v>589</v>
      </c>
      <c r="C22747" s="21" t="n">
        <f aca="false">IF(C22574=1,SUMPRODUCT($G$22510:$K$22510,$G$22284:$K$22284),0)</f>
        <v>0</v>
      </c>
    </row>
    <row r="22748" customFormat="false" ht="15" hidden="false" customHeight="false" outlineLevel="0" collapsed="false">
      <c r="A22748" s="3" t="s">
        <v>590</v>
      </c>
      <c r="C22748" s="22" t="n">
        <f aca="false">IFERROR(C22743/CHOOSE(C22742,SUMPRODUCT($G$22573:$K$22573,$G$22330:$K$22330),SUMPRODUCT($G$22573:$K$22573,$G$22343:$K$22343),SUMPRODUCT($G$22573:$K$22573,$G$22356:$K$22356),SUMPRODUCT($G$22573:$K$22573,$G$22369:$K$22369),SUMPRODUCT($G$22573:$K$22573,$G$22382:$K$22382),SUMPRODUCT($G$22573:$K$22573,$G$22395:$K$22395),SUMPRODUCT($G$22573:$K$22573,$G$22408:$K$22408),SUMPRODUCT($G$22573:$K$22573,$G$22421:$K$22421),SUMPRODUCT($G$22573:$K$22573,$G$22434:$K$22434),SUMPRODUCT($G$22573:$K$22573,$G$22447:$K$22447)),0)</f>
        <v>0.252525252525253</v>
      </c>
    </row>
    <row r="22749" customFormat="false" ht="15" hidden="false" customHeight="false" outlineLevel="0" collapsed="false">
      <c r="A22749" s="3" t="s">
        <v>591</v>
      </c>
      <c r="C22749" s="16" t="n">
        <f aca="false">CHOOSE(C22742,C22695,C22696,C22697,C22698,C22699,C22700,C22701,C22702,C22703,C22704)*C22748</f>
        <v>102.1625</v>
      </c>
    </row>
    <row r="22750" customFormat="false" ht="15" hidden="false" customHeight="false" outlineLevel="0" collapsed="false">
      <c r="A22750" s="3" t="s">
        <v>592</v>
      </c>
      <c r="C22750" s="22" t="n">
        <f aca="false">CHOOSE(C22742,C22706,C22707,C22708,C22709,C22710,C22711,C22712,C22713,C22714,C22715)</f>
        <v>1</v>
      </c>
    </row>
    <row r="22751" customFormat="false" ht="15" hidden="false" customHeight="false" outlineLevel="0" collapsed="false">
      <c r="A22751" s="3" t="s">
        <v>593</v>
      </c>
      <c r="C22751" s="21" t="n">
        <f aca="false">IF(C22574=1,C22747,C22746)</f>
        <v>3</v>
      </c>
    </row>
    <row r="22752" customFormat="false" ht="15" hidden="false" customHeight="false" outlineLevel="0" collapsed="false">
      <c r="A22752" s="3" t="s">
        <v>594</v>
      </c>
      <c r="C22752" s="35" t="n">
        <f aca="false">CHOOSE($C$22276,Assumptions!$C$91,Assumptions!$C$110,Assumptions!$C$129)</f>
        <v>100</v>
      </c>
    </row>
    <row r="22753" customFormat="false" ht="15" hidden="false" customHeight="false" outlineLevel="0" collapsed="false">
      <c r="A22753" s="3" t="s">
        <v>595</v>
      </c>
      <c r="C22753" s="16" t="n">
        <f aca="false">INDEX($G$22293:$K$22293,C22746)*CHOOSE($C$22276,Assumptions!$C$90,Assumptions!$C$109,Assumptions!$C$128)+MAX(0,INDEX($G$22507:$K$22507,C22746))</f>
        <v>3369.2242946436</v>
      </c>
    </row>
    <row r="22754" customFormat="false" ht="15" hidden="false" customHeight="false" outlineLevel="0" collapsed="false">
      <c r="A22754" s="24" t="s">
        <v>596</v>
      </c>
      <c r="B22754" s="25"/>
      <c r="C22754" s="25"/>
      <c r="D22754" s="25"/>
      <c r="E22754" s="25"/>
      <c r="F22754" s="25"/>
      <c r="G22754" s="25"/>
      <c r="H22754" s="25"/>
      <c r="I22754" s="25"/>
      <c r="J22754" s="25"/>
      <c r="K22754" s="25"/>
    </row>
    <row r="22755" customFormat="false" ht="15" hidden="false" customHeight="false" outlineLevel="0" collapsed="false">
      <c r="A22755" s="3" t="s">
        <v>556</v>
      </c>
      <c r="C22755" s="16" t="n">
        <f aca="false">INDEX($G$22330:$K$22330,C22746)</f>
        <v>388</v>
      </c>
    </row>
    <row r="22756" customFormat="false" ht="15" hidden="false" customHeight="false" outlineLevel="0" collapsed="false">
      <c r="A22756" s="3" t="s">
        <v>557</v>
      </c>
      <c r="C22756" s="16" t="n">
        <f aca="false">INDEX($G$22343:$K$22343,C22746)</f>
        <v>90</v>
      </c>
    </row>
    <row r="22757" customFormat="false" ht="15" hidden="false" customHeight="false" outlineLevel="0" collapsed="false">
      <c r="A22757" s="3" t="s">
        <v>558</v>
      </c>
      <c r="C22757" s="16" t="n">
        <f aca="false">INDEX($G$22356:$K$22356,C22746)</f>
        <v>57.324</v>
      </c>
    </row>
    <row r="22758" customFormat="false" ht="15" hidden="false" customHeight="false" outlineLevel="0" collapsed="false">
      <c r="A22758" s="3" t="s">
        <v>559</v>
      </c>
      <c r="C22758" s="16" t="n">
        <f aca="false">INDEX($G$22369:$K$22369,C22746)</f>
        <v>64.062604182056</v>
      </c>
    </row>
    <row r="22759" customFormat="false" ht="15" hidden="false" customHeight="false" outlineLevel="0" collapsed="false">
      <c r="A22759" s="3" t="s">
        <v>560</v>
      </c>
      <c r="C22759" s="16" t="n">
        <f aca="false">INDEX($G$22382:$K$22382,C22746)</f>
        <v>402.9560513738</v>
      </c>
    </row>
    <row r="22760" customFormat="false" ht="15" hidden="false" customHeight="false" outlineLevel="0" collapsed="false">
      <c r="A22760" s="3" t="s">
        <v>561</v>
      </c>
      <c r="C22760" s="16" t="n">
        <f aca="false">INDEX($G$22395:$K$22395,C22746)</f>
        <v>350</v>
      </c>
    </row>
    <row r="22761" customFormat="false" ht="15" hidden="false" customHeight="false" outlineLevel="0" collapsed="false">
      <c r="A22761" s="3" t="s">
        <v>562</v>
      </c>
      <c r="C22761" s="16" t="n">
        <f aca="false">INDEX($G$22408:$K$22408,C22746)</f>
        <v>550</v>
      </c>
    </row>
    <row r="22762" customFormat="false" ht="15" hidden="false" customHeight="false" outlineLevel="0" collapsed="false">
      <c r="A22762" s="3" t="s">
        <v>563</v>
      </c>
      <c r="C22762" s="16" t="n">
        <f aca="false">INDEX($G$22421:$K$22421,C22746)</f>
        <v>350</v>
      </c>
    </row>
    <row r="22763" customFormat="false" ht="15" hidden="false" customHeight="false" outlineLevel="0" collapsed="false">
      <c r="A22763" s="3" t="s">
        <v>564</v>
      </c>
      <c r="C22763" s="16" t="n">
        <f aca="false">INDEX($G$22434:$K$22434,C22746)</f>
        <v>300</v>
      </c>
    </row>
    <row r="22764" customFormat="false" ht="15" hidden="false" customHeight="false" outlineLevel="0" collapsed="false">
      <c r="A22764" s="3" t="s">
        <v>565</v>
      </c>
      <c r="C22764" s="16" t="n">
        <f aca="false">INDEX($G$22447:$K$22447,C22746)</f>
        <v>78.61</v>
      </c>
    </row>
    <row r="22765" customFormat="false" ht="15" hidden="false" customHeight="false" outlineLevel="0" collapsed="false">
      <c r="A22765" s="24" t="s">
        <v>566</v>
      </c>
      <c r="B22765" s="25"/>
      <c r="C22765" s="25"/>
      <c r="D22765" s="25"/>
      <c r="E22765" s="25"/>
      <c r="F22765" s="25"/>
      <c r="G22765" s="25"/>
      <c r="H22765" s="25"/>
      <c r="I22765" s="25"/>
      <c r="J22765" s="25"/>
      <c r="K22765" s="25"/>
    </row>
    <row r="22766" customFormat="false" ht="15" hidden="false" customHeight="false" outlineLevel="0" collapsed="false">
      <c r="A22766" s="3" t="s">
        <v>556</v>
      </c>
      <c r="C22766" s="27" t="n">
        <f aca="false">Assumptions!$M$57</f>
        <v>1</v>
      </c>
    </row>
    <row r="22767" customFormat="false" ht="15" hidden="false" customHeight="false" outlineLevel="0" collapsed="false">
      <c r="A22767" s="3" t="s">
        <v>557</v>
      </c>
      <c r="C22767" s="27" t="n">
        <f aca="false">Assumptions!$M$58</f>
        <v>1</v>
      </c>
    </row>
    <row r="22768" customFormat="false" ht="15" hidden="false" customHeight="false" outlineLevel="0" collapsed="false">
      <c r="A22768" s="3" t="s">
        <v>558</v>
      </c>
      <c r="C22768" s="27" t="n">
        <f aca="false">Assumptions!$M$59</f>
        <v>1</v>
      </c>
    </row>
    <row r="22769" customFormat="false" ht="15" hidden="false" customHeight="false" outlineLevel="0" collapsed="false">
      <c r="A22769" s="3" t="s">
        <v>559</v>
      </c>
      <c r="C22769" s="27" t="n">
        <f aca="false">Assumptions!$M$60</f>
        <v>2</v>
      </c>
    </row>
    <row r="22770" customFormat="false" ht="15" hidden="false" customHeight="false" outlineLevel="0" collapsed="false">
      <c r="A22770" s="3" t="s">
        <v>560</v>
      </c>
      <c r="C22770" s="27" t="n">
        <f aca="false">Assumptions!$M$61</f>
        <v>2</v>
      </c>
    </row>
    <row r="22771" customFormat="false" ht="15" hidden="false" customHeight="false" outlineLevel="0" collapsed="false">
      <c r="A22771" s="3" t="s">
        <v>561</v>
      </c>
      <c r="C22771" s="27" t="n">
        <f aca="false">Assumptions!$M$62</f>
        <v>2</v>
      </c>
    </row>
    <row r="22772" customFormat="false" ht="15" hidden="false" customHeight="false" outlineLevel="0" collapsed="false">
      <c r="A22772" s="3" t="s">
        <v>562</v>
      </c>
      <c r="C22772" s="27" t="n">
        <f aca="false">Assumptions!$M$63</f>
        <v>2</v>
      </c>
    </row>
    <row r="22773" customFormat="false" ht="15" hidden="false" customHeight="false" outlineLevel="0" collapsed="false">
      <c r="A22773" s="3" t="s">
        <v>563</v>
      </c>
      <c r="C22773" s="27" t="n">
        <f aca="false">Assumptions!$M$64</f>
        <v>2</v>
      </c>
    </row>
    <row r="22774" customFormat="false" ht="15" hidden="false" customHeight="false" outlineLevel="0" collapsed="false">
      <c r="A22774" s="3" t="s">
        <v>564</v>
      </c>
      <c r="C22774" s="27" t="n">
        <f aca="false">Assumptions!$M$65</f>
        <v>2</v>
      </c>
    </row>
    <row r="22775" customFormat="false" ht="15" hidden="false" customHeight="false" outlineLevel="0" collapsed="false">
      <c r="A22775" s="3" t="s">
        <v>565</v>
      </c>
      <c r="C22775" s="27" t="n">
        <f aca="false">Assumptions!$M$66</f>
        <v>3</v>
      </c>
    </row>
    <row r="22776" customFormat="false" ht="15" hidden="false" customHeight="false" outlineLevel="0" collapsed="false">
      <c r="A22776" s="24" t="s">
        <v>567</v>
      </c>
      <c r="B22776" s="25"/>
      <c r="C22776" s="25"/>
      <c r="D22776" s="25"/>
      <c r="E22776" s="25"/>
      <c r="F22776" s="25"/>
      <c r="G22776" s="25"/>
      <c r="H22776" s="25"/>
      <c r="I22776" s="25"/>
      <c r="J22776" s="25"/>
      <c r="K22776" s="25"/>
    </row>
    <row r="22777" customFormat="false" ht="15" hidden="false" customHeight="false" outlineLevel="0" collapsed="false">
      <c r="A22777" s="3" t="s">
        <v>556</v>
      </c>
      <c r="C22777" s="33" t="n">
        <f aca="false">Assumptions!$Q$57</f>
        <v>0.3</v>
      </c>
    </row>
    <row r="22778" customFormat="false" ht="15" hidden="false" customHeight="false" outlineLevel="0" collapsed="false">
      <c r="A22778" s="3" t="s">
        <v>557</v>
      </c>
      <c r="C22778" s="33" t="n">
        <f aca="false">Assumptions!$Q$58</f>
        <v>0.033</v>
      </c>
    </row>
    <row r="22779" customFormat="false" ht="15" hidden="false" customHeight="false" outlineLevel="0" collapsed="false">
      <c r="A22779" s="3" t="s">
        <v>558</v>
      </c>
      <c r="C22779" s="33" t="n">
        <f aca="false">Assumptions!$Q$59</f>
        <v>0.021</v>
      </c>
    </row>
    <row r="22780" customFormat="false" ht="15" hidden="false" customHeight="false" outlineLevel="0" collapsed="false">
      <c r="A22780" s="3" t="s">
        <v>559</v>
      </c>
      <c r="C22780" s="33" t="n">
        <f aca="false">Assumptions!$Q$60</f>
        <v>0</v>
      </c>
    </row>
    <row r="22781" customFormat="false" ht="15" hidden="false" customHeight="false" outlineLevel="0" collapsed="false">
      <c r="A22781" s="3" t="s">
        <v>560</v>
      </c>
      <c r="C22781" s="33" t="n">
        <f aca="false">Assumptions!$Q$61</f>
        <v>0</v>
      </c>
    </row>
    <row r="22782" customFormat="false" ht="15" hidden="false" customHeight="false" outlineLevel="0" collapsed="false">
      <c r="A22782" s="3" t="s">
        <v>561</v>
      </c>
      <c r="C22782" s="33" t="n">
        <f aca="false">Assumptions!$Q$62</f>
        <v>0</v>
      </c>
    </row>
    <row r="22783" customFormat="false" ht="15" hidden="false" customHeight="false" outlineLevel="0" collapsed="false">
      <c r="A22783" s="3" t="s">
        <v>562</v>
      </c>
      <c r="C22783" s="33" t="n">
        <f aca="false">Assumptions!$Q$63</f>
        <v>0</v>
      </c>
    </row>
    <row r="22784" customFormat="false" ht="15" hidden="false" customHeight="false" outlineLevel="0" collapsed="false">
      <c r="A22784" s="3" t="s">
        <v>563</v>
      </c>
      <c r="C22784" s="33" t="n">
        <f aca="false">Assumptions!$Q$64</f>
        <v>0</v>
      </c>
    </row>
    <row r="22785" customFormat="false" ht="15" hidden="false" customHeight="false" outlineLevel="0" collapsed="false">
      <c r="A22785" s="3" t="s">
        <v>564</v>
      </c>
      <c r="C22785" s="33" t="n">
        <f aca="false">Assumptions!$Q$65</f>
        <v>0</v>
      </c>
    </row>
    <row r="22786" customFormat="false" ht="15" hidden="false" customHeight="false" outlineLevel="0" collapsed="false">
      <c r="A22786" s="3" t="s">
        <v>565</v>
      </c>
      <c r="C22786" s="33" t="n">
        <f aca="false">Assumptions!$Q$66</f>
        <v>0</v>
      </c>
    </row>
    <row r="22787" customFormat="false" ht="15" hidden="false" customHeight="false" outlineLevel="0" collapsed="false">
      <c r="A22787" s="24" t="s">
        <v>568</v>
      </c>
      <c r="B22787" s="25"/>
      <c r="C22787" s="25"/>
      <c r="D22787" s="25"/>
      <c r="E22787" s="25"/>
      <c r="F22787" s="25"/>
      <c r="G22787" s="25"/>
      <c r="H22787" s="25"/>
      <c r="I22787" s="25"/>
      <c r="J22787" s="25"/>
      <c r="K22787" s="25"/>
    </row>
    <row r="22788" customFormat="false" ht="15" hidden="false" customHeight="false" outlineLevel="0" collapsed="false">
      <c r="A22788" s="3" t="s">
        <v>556</v>
      </c>
      <c r="C22788" s="16" t="n">
        <f aca="false">IF(C22777&gt;0,MIN(C22755,C22777*$C$22753),0)</f>
        <v>388</v>
      </c>
    </row>
    <row r="22789" customFormat="false" ht="15" hidden="false" customHeight="false" outlineLevel="0" collapsed="false">
      <c r="A22789" s="3" t="s">
        <v>557</v>
      </c>
      <c r="C22789" s="16" t="n">
        <f aca="false">IF(C22778&gt;0,MIN(C22756,C22778*$C$22753),0)</f>
        <v>90</v>
      </c>
    </row>
    <row r="22790" customFormat="false" ht="15" hidden="false" customHeight="false" outlineLevel="0" collapsed="false">
      <c r="A22790" s="3" t="s">
        <v>558</v>
      </c>
      <c r="C22790" s="16" t="n">
        <f aca="false">IF(C22779&gt;0,MIN(C22757,C22779*$C$22753),0)</f>
        <v>57.324</v>
      </c>
    </row>
    <row r="22791" customFormat="false" ht="15" hidden="false" customHeight="false" outlineLevel="0" collapsed="false">
      <c r="A22791" s="3" t="s">
        <v>559</v>
      </c>
      <c r="C22791" s="16" t="n">
        <f aca="false">IF(C22780&gt;0,MIN(C22758,C22780*$C$22753),0)</f>
        <v>0</v>
      </c>
    </row>
    <row r="22792" customFormat="false" ht="15" hidden="false" customHeight="false" outlineLevel="0" collapsed="false">
      <c r="A22792" s="3" t="s">
        <v>560</v>
      </c>
      <c r="C22792" s="16" t="n">
        <f aca="false">IF(C22781&gt;0,MIN(C22759,C22781*$C$22753),0)</f>
        <v>0</v>
      </c>
    </row>
    <row r="22793" customFormat="false" ht="15" hidden="false" customHeight="false" outlineLevel="0" collapsed="false">
      <c r="A22793" s="3" t="s">
        <v>561</v>
      </c>
      <c r="C22793" s="16" t="n">
        <f aca="false">IF(C22782&gt;0,MIN(C22760,C22782*$C$22753),0)</f>
        <v>0</v>
      </c>
    </row>
    <row r="22794" customFormat="false" ht="15" hidden="false" customHeight="false" outlineLevel="0" collapsed="false">
      <c r="A22794" s="3" t="s">
        <v>562</v>
      </c>
      <c r="C22794" s="16" t="n">
        <f aca="false">IF(C22783&gt;0,MIN(C22761,C22783*$C$22753),0)</f>
        <v>0</v>
      </c>
    </row>
    <row r="22795" customFormat="false" ht="15" hidden="false" customHeight="false" outlineLevel="0" collapsed="false">
      <c r="A22795" s="3" t="s">
        <v>563</v>
      </c>
      <c r="C22795" s="16" t="n">
        <f aca="false">IF(C22784&gt;0,MIN(C22762,C22784*$C$22753),0)</f>
        <v>0</v>
      </c>
    </row>
    <row r="22796" customFormat="false" ht="15" hidden="false" customHeight="false" outlineLevel="0" collapsed="false">
      <c r="A22796" s="3" t="s">
        <v>564</v>
      </c>
      <c r="C22796" s="16" t="n">
        <f aca="false">IF(C22785&gt;0,MIN(C22763,C22785*$C$22753),0)</f>
        <v>0</v>
      </c>
    </row>
    <row r="22797" customFormat="false" ht="15" hidden="false" customHeight="false" outlineLevel="0" collapsed="false">
      <c r="A22797" s="3" t="s">
        <v>565</v>
      </c>
      <c r="C22797" s="16" t="n">
        <f aca="false">IF(C22786&gt;0,MIN(C22764,C22786*$C$22753),0)</f>
        <v>0</v>
      </c>
    </row>
    <row r="22798" customFormat="false" ht="15" hidden="false" customHeight="false" outlineLevel="0" collapsed="false">
      <c r="A22798" s="24" t="s">
        <v>569</v>
      </c>
      <c r="B22798" s="25"/>
      <c r="C22798" s="25"/>
      <c r="D22798" s="25"/>
      <c r="E22798" s="25"/>
      <c r="F22798" s="25"/>
      <c r="G22798" s="25"/>
      <c r="H22798" s="25"/>
      <c r="I22798" s="25"/>
      <c r="J22798" s="25"/>
      <c r="K22798" s="25"/>
    </row>
    <row r="22799" customFormat="false" ht="15" hidden="false" customHeight="false" outlineLevel="0" collapsed="false">
      <c r="A22799" s="3" t="s">
        <v>556</v>
      </c>
      <c r="C22799" s="16" t="n">
        <f aca="false">IF(C22777&gt;0,C22755-C22788,0)</f>
        <v>0</v>
      </c>
    </row>
    <row r="22800" customFormat="false" ht="15" hidden="false" customHeight="false" outlineLevel="0" collapsed="false">
      <c r="A22800" s="3" t="s">
        <v>557</v>
      </c>
      <c r="C22800" s="16" t="n">
        <f aca="false">IF(C22778&gt;0,C22756-C22789,0)</f>
        <v>0</v>
      </c>
    </row>
    <row r="22801" customFormat="false" ht="15" hidden="false" customHeight="false" outlineLevel="0" collapsed="false">
      <c r="A22801" s="3" t="s">
        <v>558</v>
      </c>
      <c r="C22801" s="16" t="n">
        <f aca="false">IF(C22779&gt;0,C22757-C22790,0)</f>
        <v>0</v>
      </c>
    </row>
    <row r="22802" customFormat="false" ht="15" hidden="false" customHeight="false" outlineLevel="0" collapsed="false">
      <c r="A22802" s="3" t="s">
        <v>559</v>
      </c>
      <c r="C22802" s="16" t="n">
        <f aca="false">IF(C22780&gt;0,C22758-C22791,0)</f>
        <v>0</v>
      </c>
    </row>
    <row r="22803" customFormat="false" ht="15" hidden="false" customHeight="false" outlineLevel="0" collapsed="false">
      <c r="A22803" s="3" t="s">
        <v>560</v>
      </c>
      <c r="C22803" s="16" t="n">
        <f aca="false">IF(C22781&gt;0,C22759-C22792,0)</f>
        <v>0</v>
      </c>
    </row>
    <row r="22804" customFormat="false" ht="15" hidden="false" customHeight="false" outlineLevel="0" collapsed="false">
      <c r="A22804" s="3" t="s">
        <v>561</v>
      </c>
      <c r="C22804" s="16" t="n">
        <f aca="false">IF(C22782&gt;0,C22760-C22793,0)</f>
        <v>0</v>
      </c>
    </row>
    <row r="22805" customFormat="false" ht="15" hidden="false" customHeight="false" outlineLevel="0" collapsed="false">
      <c r="A22805" s="3" t="s">
        <v>562</v>
      </c>
      <c r="C22805" s="16" t="n">
        <f aca="false">IF(C22783&gt;0,C22761-C22794,0)</f>
        <v>0</v>
      </c>
    </row>
    <row r="22806" customFormat="false" ht="15" hidden="false" customHeight="false" outlineLevel="0" collapsed="false">
      <c r="A22806" s="3" t="s">
        <v>563</v>
      </c>
      <c r="C22806" s="16" t="n">
        <f aca="false">IF(C22784&gt;0,C22762-C22795,0)</f>
        <v>0</v>
      </c>
    </row>
    <row r="22807" customFormat="false" ht="15" hidden="false" customHeight="false" outlineLevel="0" collapsed="false">
      <c r="A22807" s="3" t="s">
        <v>564</v>
      </c>
      <c r="C22807" s="16" t="n">
        <f aca="false">IF(C22785&gt;0,C22763-C22796,0)</f>
        <v>0</v>
      </c>
    </row>
    <row r="22808" customFormat="false" ht="15" hidden="false" customHeight="false" outlineLevel="0" collapsed="false">
      <c r="A22808" s="3" t="s">
        <v>565</v>
      </c>
      <c r="C22808" s="16" t="n">
        <f aca="false">IF(C22786&gt;0,C22764-C22797,0)</f>
        <v>0</v>
      </c>
    </row>
    <row r="22809" customFormat="false" ht="15" hidden="false" customHeight="false" outlineLevel="0" collapsed="false">
      <c r="A22809" s="24" t="s">
        <v>570</v>
      </c>
      <c r="B22809" s="25"/>
      <c r="C22809" s="25"/>
      <c r="D22809" s="25"/>
      <c r="E22809" s="25"/>
      <c r="F22809" s="25"/>
      <c r="G22809" s="25"/>
      <c r="H22809" s="25"/>
      <c r="I22809" s="25"/>
      <c r="J22809" s="25"/>
      <c r="K22809" s="25"/>
    </row>
    <row r="22810" customFormat="false" ht="15" hidden="false" customHeight="false" outlineLevel="0" collapsed="false">
      <c r="A22810" s="3" t="s">
        <v>556</v>
      </c>
      <c r="C22810" s="16" t="n">
        <f aca="false">IF(C22777&gt;0,C22799,C22755)</f>
        <v>0</v>
      </c>
    </row>
    <row r="22811" customFormat="false" ht="15" hidden="false" customHeight="false" outlineLevel="0" collapsed="false">
      <c r="A22811" s="3" t="s">
        <v>557</v>
      </c>
      <c r="C22811" s="16" t="n">
        <f aca="false">IF(C22778&gt;0,C22800,C22756)</f>
        <v>0</v>
      </c>
    </row>
    <row r="22812" customFormat="false" ht="15" hidden="false" customHeight="false" outlineLevel="0" collapsed="false">
      <c r="A22812" s="3" t="s">
        <v>558</v>
      </c>
      <c r="C22812" s="16" t="n">
        <f aca="false">IF(C22779&gt;0,C22801,C22757)</f>
        <v>0</v>
      </c>
    </row>
    <row r="22813" customFormat="false" ht="15" hidden="false" customHeight="false" outlineLevel="0" collapsed="false">
      <c r="A22813" s="3" t="s">
        <v>559</v>
      </c>
      <c r="C22813" s="16" t="n">
        <f aca="false">IF(C22780&gt;0,C22802,C22758)</f>
        <v>64.062604182056</v>
      </c>
    </row>
    <row r="22814" customFormat="false" ht="15" hidden="false" customHeight="false" outlineLevel="0" collapsed="false">
      <c r="A22814" s="3" t="s">
        <v>560</v>
      </c>
      <c r="C22814" s="16" t="n">
        <f aca="false">IF(C22781&gt;0,C22803,C22759)</f>
        <v>402.9560513738</v>
      </c>
    </row>
    <row r="22815" customFormat="false" ht="15" hidden="false" customHeight="false" outlineLevel="0" collapsed="false">
      <c r="A22815" s="3" t="s">
        <v>561</v>
      </c>
      <c r="C22815" s="16" t="n">
        <f aca="false">IF(C22782&gt;0,C22804,C22760)</f>
        <v>350</v>
      </c>
    </row>
    <row r="22816" customFormat="false" ht="15" hidden="false" customHeight="false" outlineLevel="0" collapsed="false">
      <c r="A22816" s="3" t="s">
        <v>562</v>
      </c>
      <c r="C22816" s="16" t="n">
        <f aca="false">IF(C22783&gt;0,C22805,C22761)</f>
        <v>550</v>
      </c>
    </row>
    <row r="22817" customFormat="false" ht="15" hidden="false" customHeight="false" outlineLevel="0" collapsed="false">
      <c r="A22817" s="3" t="s">
        <v>563</v>
      </c>
      <c r="C22817" s="16" t="n">
        <f aca="false">IF(C22784&gt;0,C22806,C22762)</f>
        <v>350</v>
      </c>
    </row>
    <row r="22818" customFormat="false" ht="15" hidden="false" customHeight="false" outlineLevel="0" collapsed="false">
      <c r="A22818" s="3" t="s">
        <v>564</v>
      </c>
      <c r="C22818" s="16" t="n">
        <f aca="false">IF(C22785&gt;0,C22807,C22763)</f>
        <v>300</v>
      </c>
    </row>
    <row r="22819" customFormat="false" ht="15" hidden="false" customHeight="false" outlineLevel="0" collapsed="false">
      <c r="A22819" s="3" t="s">
        <v>565</v>
      </c>
      <c r="C22819" s="16" t="n">
        <f aca="false">IF(C22786&gt;0,C22808,C22764)</f>
        <v>78.61</v>
      </c>
    </row>
    <row r="22820" customFormat="false" ht="15" hidden="false" customHeight="false" outlineLevel="0" collapsed="false">
      <c r="A22820" s="24" t="s">
        <v>571</v>
      </c>
      <c r="B22820" s="25"/>
      <c r="C22820" s="25"/>
      <c r="D22820" s="25"/>
      <c r="E22820" s="25"/>
      <c r="F22820" s="25"/>
      <c r="G22820" s="25"/>
      <c r="H22820" s="25"/>
      <c r="I22820" s="25"/>
      <c r="J22820" s="25"/>
      <c r="K22820" s="25"/>
    </row>
    <row r="22821" customFormat="false" ht="15" hidden="false" customHeight="false" outlineLevel="0" collapsed="false">
      <c r="A22821" s="3" t="s">
        <v>556</v>
      </c>
      <c r="C22821" s="21" t="n">
        <f aca="false">IF(C22777&gt;0,Assumptions!$C$17,C22766)</f>
        <v>99</v>
      </c>
    </row>
    <row r="22822" customFormat="false" ht="15" hidden="false" customHeight="false" outlineLevel="0" collapsed="false">
      <c r="A22822" s="3" t="s">
        <v>557</v>
      </c>
      <c r="C22822" s="21" t="n">
        <f aca="false">IF(C22778&gt;0,Assumptions!$C$17,C22767)</f>
        <v>99</v>
      </c>
    </row>
    <row r="22823" customFormat="false" ht="15" hidden="false" customHeight="false" outlineLevel="0" collapsed="false">
      <c r="A22823" s="3" t="s">
        <v>558</v>
      </c>
      <c r="C22823" s="21" t="n">
        <f aca="false">IF(C22779&gt;0,Assumptions!$C$17,C22768)</f>
        <v>99</v>
      </c>
    </row>
    <row r="22824" customFormat="false" ht="15" hidden="false" customHeight="false" outlineLevel="0" collapsed="false">
      <c r="A22824" s="3" t="s">
        <v>559</v>
      </c>
      <c r="C22824" s="21" t="n">
        <f aca="false">IF(C22780&gt;0,Assumptions!$C$17,C22769)</f>
        <v>2</v>
      </c>
    </row>
    <row r="22825" customFormat="false" ht="15" hidden="false" customHeight="false" outlineLevel="0" collapsed="false">
      <c r="A22825" s="3" t="s">
        <v>560</v>
      </c>
      <c r="C22825" s="21" t="n">
        <f aca="false">IF(C22781&gt;0,Assumptions!$C$17,C22770)</f>
        <v>2</v>
      </c>
    </row>
    <row r="22826" customFormat="false" ht="15" hidden="false" customHeight="false" outlineLevel="0" collapsed="false">
      <c r="A22826" s="3" t="s">
        <v>561</v>
      </c>
      <c r="C22826" s="21" t="n">
        <f aca="false">IF(C22782&gt;0,Assumptions!$C$17,C22771)</f>
        <v>2</v>
      </c>
    </row>
    <row r="22827" customFormat="false" ht="15" hidden="false" customHeight="false" outlineLevel="0" collapsed="false">
      <c r="A22827" s="3" t="s">
        <v>562</v>
      </c>
      <c r="C22827" s="21" t="n">
        <f aca="false">IF(C22783&gt;0,Assumptions!$C$17,C22772)</f>
        <v>2</v>
      </c>
    </row>
    <row r="22828" customFormat="false" ht="15" hidden="false" customHeight="false" outlineLevel="0" collapsed="false">
      <c r="A22828" s="3" t="s">
        <v>563</v>
      </c>
      <c r="C22828" s="21" t="n">
        <f aca="false">IF(C22784&gt;0,Assumptions!$C$17,C22773)</f>
        <v>2</v>
      </c>
    </row>
    <row r="22829" customFormat="false" ht="15" hidden="false" customHeight="false" outlineLevel="0" collapsed="false">
      <c r="A22829" s="3" t="s">
        <v>564</v>
      </c>
      <c r="C22829" s="21" t="n">
        <f aca="false">IF(C22785&gt;0,Assumptions!$C$17,C22774)</f>
        <v>2</v>
      </c>
    </row>
    <row r="22830" customFormat="false" ht="15" hidden="false" customHeight="false" outlineLevel="0" collapsed="false">
      <c r="A22830" s="3" t="s">
        <v>565</v>
      </c>
      <c r="C22830" s="21" t="n">
        <f aca="false">IF(C22786&gt;0,Assumptions!$C$17,C22775)</f>
        <v>3</v>
      </c>
    </row>
    <row r="22831" customFormat="false" ht="15" hidden="false" customHeight="false" outlineLevel="0" collapsed="false">
      <c r="A22831" s="24" t="s">
        <v>572</v>
      </c>
      <c r="B22831" s="25"/>
      <c r="C22831" s="25"/>
      <c r="D22831" s="25"/>
      <c r="E22831" s="25"/>
      <c r="F22831" s="25"/>
      <c r="G22831" s="25"/>
      <c r="H22831" s="25"/>
      <c r="I22831" s="25"/>
      <c r="J22831" s="25"/>
      <c r="K22831" s="25"/>
    </row>
    <row r="22832" customFormat="false" ht="15" hidden="false" customHeight="false" outlineLevel="0" collapsed="false">
      <c r="A22832" s="3" t="s">
        <v>556</v>
      </c>
      <c r="C22832" s="16" t="n">
        <f aca="false">SUMPRODUCT(($C$22821:$C$22830&lt;C22821)*$C$22810:$C$22819)</f>
        <v>2095.62865555586</v>
      </c>
    </row>
    <row r="22833" customFormat="false" ht="15" hidden="false" customHeight="false" outlineLevel="0" collapsed="false">
      <c r="A22833" s="3" t="s">
        <v>557</v>
      </c>
      <c r="C22833" s="16" t="n">
        <f aca="false">SUMPRODUCT(($C$22821:$C$22830&lt;C22822)*$C$22810:$C$22819)</f>
        <v>2095.62865555586</v>
      </c>
    </row>
    <row r="22834" customFormat="false" ht="15" hidden="false" customHeight="false" outlineLevel="0" collapsed="false">
      <c r="A22834" s="3" t="s">
        <v>558</v>
      </c>
      <c r="C22834" s="16" t="n">
        <f aca="false">SUMPRODUCT(($C$22821:$C$22830&lt;C22823)*$C$22810:$C$22819)</f>
        <v>2095.62865555586</v>
      </c>
    </row>
    <row r="22835" customFormat="false" ht="15" hidden="false" customHeight="false" outlineLevel="0" collapsed="false">
      <c r="A22835" s="3" t="s">
        <v>559</v>
      </c>
      <c r="C22835" s="16" t="n">
        <f aca="false">SUMPRODUCT(($C$22821:$C$22830&lt;C22824)*$C$22810:$C$22819)</f>
        <v>0</v>
      </c>
    </row>
    <row r="22836" customFormat="false" ht="15" hidden="false" customHeight="false" outlineLevel="0" collapsed="false">
      <c r="A22836" s="3" t="s">
        <v>560</v>
      </c>
      <c r="C22836" s="16" t="n">
        <f aca="false">SUMPRODUCT(($C$22821:$C$22830&lt;C22825)*$C$22810:$C$22819)</f>
        <v>0</v>
      </c>
    </row>
    <row r="22837" customFormat="false" ht="15" hidden="false" customHeight="false" outlineLevel="0" collapsed="false">
      <c r="A22837" s="3" t="s">
        <v>561</v>
      </c>
      <c r="C22837" s="16" t="n">
        <f aca="false">SUMPRODUCT(($C$22821:$C$22830&lt;C22826)*$C$22810:$C$22819)</f>
        <v>0</v>
      </c>
    </row>
    <row r="22838" customFormat="false" ht="15" hidden="false" customHeight="false" outlineLevel="0" collapsed="false">
      <c r="A22838" s="3" t="s">
        <v>562</v>
      </c>
      <c r="C22838" s="16" t="n">
        <f aca="false">SUMPRODUCT(($C$22821:$C$22830&lt;C22827)*$C$22810:$C$22819)</f>
        <v>0</v>
      </c>
    </row>
    <row r="22839" customFormat="false" ht="15" hidden="false" customHeight="false" outlineLevel="0" collapsed="false">
      <c r="A22839" s="3" t="s">
        <v>563</v>
      </c>
      <c r="C22839" s="16" t="n">
        <f aca="false">SUMPRODUCT(($C$22821:$C$22830&lt;C22828)*$C$22810:$C$22819)</f>
        <v>0</v>
      </c>
    </row>
    <row r="22840" customFormat="false" ht="15" hidden="false" customHeight="false" outlineLevel="0" collapsed="false">
      <c r="A22840" s="3" t="s">
        <v>564</v>
      </c>
      <c r="C22840" s="16" t="n">
        <f aca="false">SUMPRODUCT(($C$22821:$C$22830&lt;C22829)*$C$22810:$C$22819)</f>
        <v>0</v>
      </c>
    </row>
    <row r="22841" customFormat="false" ht="15" hidden="false" customHeight="false" outlineLevel="0" collapsed="false">
      <c r="A22841" s="3" t="s">
        <v>565</v>
      </c>
      <c r="C22841" s="16" t="n">
        <f aca="false">SUMPRODUCT(($C$22821:$C$22830&lt;C22830)*$C$22810:$C$22819)</f>
        <v>2017.01865555586</v>
      </c>
    </row>
    <row r="22842" customFormat="false" ht="15" hidden="false" customHeight="false" outlineLevel="0" collapsed="false">
      <c r="A22842" s="24" t="s">
        <v>573</v>
      </c>
      <c r="B22842" s="25"/>
      <c r="C22842" s="25"/>
      <c r="D22842" s="25"/>
      <c r="E22842" s="25"/>
      <c r="F22842" s="25"/>
      <c r="G22842" s="25"/>
      <c r="H22842" s="25"/>
      <c r="I22842" s="25"/>
      <c r="J22842" s="25"/>
      <c r="K22842" s="25"/>
    </row>
    <row r="22843" customFormat="false" ht="15" hidden="false" customHeight="false" outlineLevel="0" collapsed="false">
      <c r="A22843" s="3" t="s">
        <v>556</v>
      </c>
      <c r="C22843" s="16" t="n">
        <f aca="false">SUMPRODUCT(($C$22821:$C$22830=C22821)*$C$22810:$C$22819)</f>
        <v>0</v>
      </c>
    </row>
    <row r="22844" customFormat="false" ht="15" hidden="false" customHeight="false" outlineLevel="0" collapsed="false">
      <c r="A22844" s="3" t="s">
        <v>557</v>
      </c>
      <c r="C22844" s="16" t="n">
        <f aca="false">SUMPRODUCT(($C$22821:$C$22830=C22822)*$C$22810:$C$22819)</f>
        <v>0</v>
      </c>
    </row>
    <row r="22845" customFormat="false" ht="15" hidden="false" customHeight="false" outlineLevel="0" collapsed="false">
      <c r="A22845" s="3" t="s">
        <v>558</v>
      </c>
      <c r="C22845" s="16" t="n">
        <f aca="false">SUMPRODUCT(($C$22821:$C$22830=C22823)*$C$22810:$C$22819)</f>
        <v>0</v>
      </c>
    </row>
    <row r="22846" customFormat="false" ht="15" hidden="false" customHeight="false" outlineLevel="0" collapsed="false">
      <c r="A22846" s="3" t="s">
        <v>559</v>
      </c>
      <c r="C22846" s="16" t="n">
        <f aca="false">SUMPRODUCT(($C$22821:$C$22830=C22824)*$C$22810:$C$22819)</f>
        <v>2017.01865555586</v>
      </c>
    </row>
    <row r="22847" customFormat="false" ht="15" hidden="false" customHeight="false" outlineLevel="0" collapsed="false">
      <c r="A22847" s="3" t="s">
        <v>560</v>
      </c>
      <c r="C22847" s="16" t="n">
        <f aca="false">SUMPRODUCT(($C$22821:$C$22830=C22825)*$C$22810:$C$22819)</f>
        <v>2017.01865555586</v>
      </c>
    </row>
    <row r="22848" customFormat="false" ht="15" hidden="false" customHeight="false" outlineLevel="0" collapsed="false">
      <c r="A22848" s="3" t="s">
        <v>561</v>
      </c>
      <c r="C22848" s="16" t="n">
        <f aca="false">SUMPRODUCT(($C$22821:$C$22830=C22826)*$C$22810:$C$22819)</f>
        <v>2017.01865555586</v>
      </c>
    </row>
    <row r="22849" customFormat="false" ht="15" hidden="false" customHeight="false" outlineLevel="0" collapsed="false">
      <c r="A22849" s="3" t="s">
        <v>562</v>
      </c>
      <c r="C22849" s="16" t="n">
        <f aca="false">SUMPRODUCT(($C$22821:$C$22830=C22827)*$C$22810:$C$22819)</f>
        <v>2017.01865555586</v>
      </c>
    </row>
    <row r="22850" customFormat="false" ht="15" hidden="false" customHeight="false" outlineLevel="0" collapsed="false">
      <c r="A22850" s="3" t="s">
        <v>563</v>
      </c>
      <c r="C22850" s="16" t="n">
        <f aca="false">SUMPRODUCT(($C$22821:$C$22830=C22828)*$C$22810:$C$22819)</f>
        <v>2017.01865555586</v>
      </c>
    </row>
    <row r="22851" customFormat="false" ht="15" hidden="false" customHeight="false" outlineLevel="0" collapsed="false">
      <c r="A22851" s="3" t="s">
        <v>564</v>
      </c>
      <c r="C22851" s="16" t="n">
        <f aca="false">SUMPRODUCT(($C$22821:$C$22830=C22829)*$C$22810:$C$22819)</f>
        <v>2017.01865555586</v>
      </c>
    </row>
    <row r="22852" customFormat="false" ht="15" hidden="false" customHeight="false" outlineLevel="0" collapsed="false">
      <c r="A22852" s="3" t="s">
        <v>565</v>
      </c>
      <c r="C22852" s="16" t="n">
        <f aca="false">SUMPRODUCT(($C$22821:$C$22830=C22830)*$C$22810:$C$22819)</f>
        <v>78.61</v>
      </c>
    </row>
    <row r="22853" customFormat="false" ht="15" hidden="false" customHeight="false" outlineLevel="0" collapsed="false">
      <c r="A22853" s="24" t="s">
        <v>574</v>
      </c>
      <c r="B22853" s="25"/>
      <c r="C22853" s="25"/>
      <c r="D22853" s="25"/>
      <c r="E22853" s="25"/>
      <c r="F22853" s="25"/>
      <c r="G22853" s="25"/>
      <c r="H22853" s="25"/>
      <c r="I22853" s="25"/>
      <c r="J22853" s="25"/>
      <c r="K22853" s="25"/>
    </row>
    <row r="22854" customFormat="false" ht="15" hidden="false" customHeight="false" outlineLevel="0" collapsed="false">
      <c r="A22854" s="3" t="s">
        <v>556</v>
      </c>
      <c r="C22854" s="16" t="n">
        <f aca="false">IF(C22843=0,0,C22810/C22843*MAX(0,MIN(C22843,$C$22753-SUM($C$22788:$C$22797)-C22832)))</f>
        <v>0</v>
      </c>
    </row>
    <row r="22855" customFormat="false" ht="15" hidden="false" customHeight="false" outlineLevel="0" collapsed="false">
      <c r="A22855" s="3" t="s">
        <v>557</v>
      </c>
      <c r="C22855" s="16" t="n">
        <f aca="false">IF(C22844=0,0,C22811/C22844*MAX(0,MIN(C22844,$C$22753-SUM($C$22788:$C$22797)-C22833)))</f>
        <v>0</v>
      </c>
    </row>
    <row r="22856" customFormat="false" ht="15" hidden="false" customHeight="false" outlineLevel="0" collapsed="false">
      <c r="A22856" s="3" t="s">
        <v>558</v>
      </c>
      <c r="C22856" s="16" t="n">
        <f aca="false">IF(C22845=0,0,C22812/C22845*MAX(0,MIN(C22845,$C$22753-SUM($C$22788:$C$22797)-C22834)))</f>
        <v>0</v>
      </c>
    </row>
    <row r="22857" customFormat="false" ht="15" hidden="false" customHeight="false" outlineLevel="0" collapsed="false">
      <c r="A22857" s="3" t="s">
        <v>559</v>
      </c>
      <c r="C22857" s="16" t="n">
        <f aca="false">IF(C22846=0,0,C22813/C22846*MAX(0,MIN(C22846,$C$22753-SUM($C$22788:$C$22797)-C22835)))</f>
        <v>64.062604182056</v>
      </c>
    </row>
    <row r="22858" customFormat="false" ht="15" hidden="false" customHeight="false" outlineLevel="0" collapsed="false">
      <c r="A22858" s="3" t="s">
        <v>560</v>
      </c>
      <c r="C22858" s="16" t="n">
        <f aca="false">IF(C22847=0,0,C22814/C22847*MAX(0,MIN(C22847,$C$22753-SUM($C$22788:$C$22797)-C22836)))</f>
        <v>402.9560513738</v>
      </c>
    </row>
    <row r="22859" customFormat="false" ht="15" hidden="false" customHeight="false" outlineLevel="0" collapsed="false">
      <c r="A22859" s="3" t="s">
        <v>561</v>
      </c>
      <c r="C22859" s="16" t="n">
        <f aca="false">IF(C22848=0,0,C22815/C22848*MAX(0,MIN(C22848,$C$22753-SUM($C$22788:$C$22797)-C22837)))</f>
        <v>350</v>
      </c>
    </row>
    <row r="22860" customFormat="false" ht="15" hidden="false" customHeight="false" outlineLevel="0" collapsed="false">
      <c r="A22860" s="3" t="s">
        <v>562</v>
      </c>
      <c r="C22860" s="16" t="n">
        <f aca="false">IF(C22849=0,0,C22816/C22849*MAX(0,MIN(C22849,$C$22753-SUM($C$22788:$C$22797)-C22838)))</f>
        <v>550</v>
      </c>
    </row>
    <row r="22861" customFormat="false" ht="15" hidden="false" customHeight="false" outlineLevel="0" collapsed="false">
      <c r="A22861" s="3" t="s">
        <v>563</v>
      </c>
      <c r="C22861" s="16" t="n">
        <f aca="false">IF(C22850=0,0,C22817/C22850*MAX(0,MIN(C22850,$C$22753-SUM($C$22788:$C$22797)-C22839)))</f>
        <v>350</v>
      </c>
    </row>
    <row r="22862" customFormat="false" ht="15" hidden="false" customHeight="false" outlineLevel="0" collapsed="false">
      <c r="A22862" s="3" t="s">
        <v>564</v>
      </c>
      <c r="C22862" s="16" t="n">
        <f aca="false">IF(C22851=0,0,C22818/C22851*MAX(0,MIN(C22851,$C$22753-SUM($C$22788:$C$22797)-C22840)))</f>
        <v>300</v>
      </c>
    </row>
    <row r="22863" customFormat="false" ht="15" hidden="false" customHeight="false" outlineLevel="0" collapsed="false">
      <c r="A22863" s="3" t="s">
        <v>565</v>
      </c>
      <c r="C22863" s="16" t="n">
        <f aca="false">IF(C22852=0,0,C22819/C22852*MAX(0,MIN(C22852,$C$22753-SUM($C$22788:$C$22797)-C22841)))</f>
        <v>78.61</v>
      </c>
    </row>
    <row r="22864" customFormat="false" ht="15" hidden="false" customHeight="false" outlineLevel="0" collapsed="false">
      <c r="A22864" s="24" t="s">
        <v>575</v>
      </c>
      <c r="B22864" s="25"/>
      <c r="C22864" s="25"/>
      <c r="D22864" s="25"/>
      <c r="E22864" s="25"/>
      <c r="F22864" s="25"/>
      <c r="G22864" s="25"/>
      <c r="H22864" s="25"/>
      <c r="I22864" s="25"/>
      <c r="J22864" s="25"/>
      <c r="K22864" s="25"/>
    </row>
    <row r="22865" customFormat="false" ht="15" hidden="false" customHeight="false" outlineLevel="0" collapsed="false">
      <c r="A22865" s="2" t="s">
        <v>556</v>
      </c>
      <c r="C22865" s="17" t="n">
        <f aca="false">C22788+C22854</f>
        <v>388</v>
      </c>
    </row>
    <row r="22866" customFormat="false" ht="15" hidden="false" customHeight="false" outlineLevel="0" collapsed="false">
      <c r="A22866" s="2" t="s">
        <v>557</v>
      </c>
      <c r="C22866" s="17" t="n">
        <f aca="false">C22789+C22855</f>
        <v>90</v>
      </c>
    </row>
    <row r="22867" customFormat="false" ht="15" hidden="false" customHeight="false" outlineLevel="0" collapsed="false">
      <c r="A22867" s="2" t="s">
        <v>558</v>
      </c>
      <c r="C22867" s="17" t="n">
        <f aca="false">C22790+C22856</f>
        <v>57.324</v>
      </c>
    </row>
    <row r="22868" customFormat="false" ht="15" hidden="false" customHeight="false" outlineLevel="0" collapsed="false">
      <c r="A22868" s="2" t="s">
        <v>559</v>
      </c>
      <c r="C22868" s="17" t="n">
        <f aca="false">C22791+C22857</f>
        <v>64.062604182056</v>
      </c>
    </row>
    <row r="22869" customFormat="false" ht="15" hidden="false" customHeight="false" outlineLevel="0" collapsed="false">
      <c r="A22869" s="2" t="s">
        <v>560</v>
      </c>
      <c r="C22869" s="17" t="n">
        <f aca="false">C22792+C22858</f>
        <v>402.9560513738</v>
      </c>
    </row>
    <row r="22870" customFormat="false" ht="15" hidden="false" customHeight="false" outlineLevel="0" collapsed="false">
      <c r="A22870" s="2" t="s">
        <v>561</v>
      </c>
      <c r="C22870" s="17" t="n">
        <f aca="false">C22793+C22859</f>
        <v>350</v>
      </c>
    </row>
    <row r="22871" customFormat="false" ht="15" hidden="false" customHeight="false" outlineLevel="0" collapsed="false">
      <c r="A22871" s="2" t="s">
        <v>562</v>
      </c>
      <c r="C22871" s="17" t="n">
        <f aca="false">C22794+C22860</f>
        <v>550</v>
      </c>
    </row>
    <row r="22872" customFormat="false" ht="15" hidden="false" customHeight="false" outlineLevel="0" collapsed="false">
      <c r="A22872" s="2" t="s">
        <v>563</v>
      </c>
      <c r="C22872" s="17" t="n">
        <f aca="false">C22795+C22861</f>
        <v>350</v>
      </c>
    </row>
    <row r="22873" customFormat="false" ht="15" hidden="false" customHeight="false" outlineLevel="0" collapsed="false">
      <c r="A22873" s="2" t="s">
        <v>564</v>
      </c>
      <c r="C22873" s="17" t="n">
        <f aca="false">C22796+C22862</f>
        <v>300</v>
      </c>
    </row>
    <row r="22874" customFormat="false" ht="15" hidden="false" customHeight="false" outlineLevel="0" collapsed="false">
      <c r="A22874" s="2" t="s">
        <v>565</v>
      </c>
      <c r="C22874" s="17" t="n">
        <f aca="false">C22797+C22863</f>
        <v>78.61</v>
      </c>
    </row>
    <row r="22875" customFormat="false" ht="15" hidden="false" customHeight="false" outlineLevel="0" collapsed="false">
      <c r="A22875" s="24" t="s">
        <v>576</v>
      </c>
      <c r="B22875" s="25"/>
      <c r="C22875" s="25"/>
      <c r="D22875" s="25"/>
      <c r="E22875" s="25"/>
      <c r="F22875" s="25"/>
      <c r="G22875" s="25"/>
      <c r="H22875" s="25"/>
      <c r="I22875" s="25"/>
      <c r="J22875" s="25"/>
      <c r="K22875" s="25"/>
    </row>
    <row r="22876" customFormat="false" ht="15" hidden="false" customHeight="false" outlineLevel="0" collapsed="false">
      <c r="A22876" s="3" t="s">
        <v>556</v>
      </c>
      <c r="C22876" s="22" t="n">
        <f aca="false">IF(C22755=0,1,C22865/C22755)</f>
        <v>1</v>
      </c>
    </row>
    <row r="22877" customFormat="false" ht="15" hidden="false" customHeight="false" outlineLevel="0" collapsed="false">
      <c r="A22877" s="3" t="s">
        <v>557</v>
      </c>
      <c r="C22877" s="22" t="n">
        <f aca="false">IF(C22756=0,1,C22866/C22756)</f>
        <v>1</v>
      </c>
    </row>
    <row r="22878" customFormat="false" ht="15" hidden="false" customHeight="false" outlineLevel="0" collapsed="false">
      <c r="A22878" s="3" t="s">
        <v>558</v>
      </c>
      <c r="C22878" s="22" t="n">
        <f aca="false">IF(C22757=0,1,C22867/C22757)</f>
        <v>1</v>
      </c>
    </row>
    <row r="22879" customFormat="false" ht="15" hidden="false" customHeight="false" outlineLevel="0" collapsed="false">
      <c r="A22879" s="3" t="s">
        <v>559</v>
      </c>
      <c r="C22879" s="22" t="n">
        <f aca="false">IF(C22758=0,1,C22868/C22758)</f>
        <v>1</v>
      </c>
    </row>
    <row r="22880" customFormat="false" ht="15" hidden="false" customHeight="false" outlineLevel="0" collapsed="false">
      <c r="A22880" s="3" t="s">
        <v>560</v>
      </c>
      <c r="C22880" s="22" t="n">
        <f aca="false">IF(C22759=0,1,C22869/C22759)</f>
        <v>1</v>
      </c>
    </row>
    <row r="22881" customFormat="false" ht="15" hidden="false" customHeight="false" outlineLevel="0" collapsed="false">
      <c r="A22881" s="3" t="s">
        <v>561</v>
      </c>
      <c r="C22881" s="22" t="n">
        <f aca="false">IF(C22760=0,1,C22870/C22760)</f>
        <v>1</v>
      </c>
    </row>
    <row r="22882" customFormat="false" ht="15" hidden="false" customHeight="false" outlineLevel="0" collapsed="false">
      <c r="A22882" s="3" t="s">
        <v>562</v>
      </c>
      <c r="C22882" s="22" t="n">
        <f aca="false">IF(C22761=0,1,C22871/C22761)</f>
        <v>1</v>
      </c>
    </row>
    <row r="22883" customFormat="false" ht="15" hidden="false" customHeight="false" outlineLevel="0" collapsed="false">
      <c r="A22883" s="3" t="s">
        <v>563</v>
      </c>
      <c r="C22883" s="22" t="n">
        <f aca="false">IF(C22762=0,1,C22872/C22762)</f>
        <v>1</v>
      </c>
    </row>
    <row r="22884" customFormat="false" ht="15" hidden="false" customHeight="false" outlineLevel="0" collapsed="false">
      <c r="A22884" s="3" t="s">
        <v>564</v>
      </c>
      <c r="C22884" s="22" t="n">
        <f aca="false">IF(C22763=0,1,C22873/C22763)</f>
        <v>1</v>
      </c>
    </row>
    <row r="22885" customFormat="false" ht="15" hidden="false" customHeight="false" outlineLevel="0" collapsed="false">
      <c r="A22885" s="3" t="s">
        <v>565</v>
      </c>
      <c r="C22885" s="22" t="n">
        <f aca="false">IF(C22764=0,1,C22874/C22764)</f>
        <v>1</v>
      </c>
    </row>
    <row r="22886" customFormat="false" ht="15" hidden="false" customHeight="false" outlineLevel="0" collapsed="false">
      <c r="A22886" s="24" t="s">
        <v>577</v>
      </c>
      <c r="B22886" s="25"/>
      <c r="C22886" s="25"/>
      <c r="D22886" s="25"/>
      <c r="E22886" s="25"/>
      <c r="F22886" s="25"/>
      <c r="G22886" s="25"/>
      <c r="H22886" s="25"/>
      <c r="I22886" s="25"/>
      <c r="J22886" s="25"/>
      <c r="K22886" s="25"/>
    </row>
    <row r="22887" customFormat="false" ht="15" hidden="false" customHeight="false" outlineLevel="0" collapsed="false">
      <c r="A22887" s="3" t="s">
        <v>556</v>
      </c>
      <c r="C22887" s="16" t="n">
        <f aca="false">C22755-C22865</f>
        <v>0</v>
      </c>
    </row>
    <row r="22888" customFormat="false" ht="15" hidden="false" customHeight="false" outlineLevel="0" collapsed="false">
      <c r="A22888" s="3" t="s">
        <v>557</v>
      </c>
      <c r="C22888" s="16" t="n">
        <f aca="false">C22756-C22866</f>
        <v>0</v>
      </c>
    </row>
    <row r="22889" customFormat="false" ht="15" hidden="false" customHeight="false" outlineLevel="0" collapsed="false">
      <c r="A22889" s="3" t="s">
        <v>558</v>
      </c>
      <c r="C22889" s="16" t="n">
        <f aca="false">C22757-C22867</f>
        <v>0</v>
      </c>
    </row>
    <row r="22890" customFormat="false" ht="15" hidden="false" customHeight="false" outlineLevel="0" collapsed="false">
      <c r="A22890" s="3" t="s">
        <v>559</v>
      </c>
      <c r="C22890" s="16" t="n">
        <f aca="false">C22758-C22868</f>
        <v>0</v>
      </c>
    </row>
    <row r="22891" customFormat="false" ht="15" hidden="false" customHeight="false" outlineLevel="0" collapsed="false">
      <c r="A22891" s="3" t="s">
        <v>560</v>
      </c>
      <c r="C22891" s="16" t="n">
        <f aca="false">C22759-C22869</f>
        <v>0</v>
      </c>
    </row>
    <row r="22892" customFormat="false" ht="15" hidden="false" customHeight="false" outlineLevel="0" collapsed="false">
      <c r="A22892" s="3" t="s">
        <v>561</v>
      </c>
      <c r="C22892" s="16" t="n">
        <f aca="false">C22760-C22870</f>
        <v>0</v>
      </c>
    </row>
    <row r="22893" customFormat="false" ht="15" hidden="false" customHeight="false" outlineLevel="0" collapsed="false">
      <c r="A22893" s="3" t="s">
        <v>562</v>
      </c>
      <c r="C22893" s="16" t="n">
        <f aca="false">C22761-C22871</f>
        <v>0</v>
      </c>
    </row>
    <row r="22894" customFormat="false" ht="15" hidden="false" customHeight="false" outlineLevel="0" collapsed="false">
      <c r="A22894" s="3" t="s">
        <v>563</v>
      </c>
      <c r="C22894" s="16" t="n">
        <f aca="false">C22762-C22872</f>
        <v>0</v>
      </c>
    </row>
    <row r="22895" customFormat="false" ht="15" hidden="false" customHeight="false" outlineLevel="0" collapsed="false">
      <c r="A22895" s="3" t="s">
        <v>564</v>
      </c>
      <c r="C22895" s="16" t="n">
        <f aca="false">C22763-C22873</f>
        <v>0</v>
      </c>
    </row>
    <row r="22896" customFormat="false" ht="15" hidden="false" customHeight="false" outlineLevel="0" collapsed="false">
      <c r="A22896" s="3" t="s">
        <v>565</v>
      </c>
      <c r="C22896" s="16" t="n">
        <f aca="false">C22764-C22874</f>
        <v>0</v>
      </c>
    </row>
    <row r="22897" customFormat="false" ht="15" hidden="false" customHeight="false" outlineLevel="0" collapsed="false">
      <c r="A22897" s="24" t="s">
        <v>578</v>
      </c>
      <c r="B22897" s="25"/>
      <c r="C22897" s="25"/>
      <c r="D22897" s="25"/>
      <c r="E22897" s="25"/>
      <c r="F22897" s="25"/>
      <c r="G22897" s="25"/>
      <c r="H22897" s="25"/>
      <c r="I22897" s="25"/>
      <c r="J22897" s="25"/>
      <c r="K22897" s="25"/>
    </row>
    <row r="22898" customFormat="false" ht="15" hidden="false" customHeight="false" outlineLevel="0" collapsed="false">
      <c r="A22898" s="3" t="s">
        <v>556</v>
      </c>
      <c r="C22898" s="22" t="n">
        <f aca="false">IF(C22755=0,0,C22887/C22755)</f>
        <v>0</v>
      </c>
    </row>
    <row r="22899" customFormat="false" ht="15" hidden="false" customHeight="false" outlineLevel="0" collapsed="false">
      <c r="A22899" s="3" t="s">
        <v>557</v>
      </c>
      <c r="C22899" s="22" t="n">
        <f aca="false">IF(C22756=0,0,C22888/C22756)</f>
        <v>0</v>
      </c>
    </row>
    <row r="22900" customFormat="false" ht="15" hidden="false" customHeight="false" outlineLevel="0" collapsed="false">
      <c r="A22900" s="3" t="s">
        <v>558</v>
      </c>
      <c r="C22900" s="22" t="n">
        <f aca="false">IF(C22757=0,0,C22889/C22757)</f>
        <v>0</v>
      </c>
    </row>
    <row r="22901" customFormat="false" ht="15" hidden="false" customHeight="false" outlineLevel="0" collapsed="false">
      <c r="A22901" s="3" t="s">
        <v>559</v>
      </c>
      <c r="C22901" s="22" t="n">
        <f aca="false">IF(C22758=0,0,C22890/C22758)</f>
        <v>0</v>
      </c>
    </row>
    <row r="22902" customFormat="false" ht="15" hidden="false" customHeight="false" outlineLevel="0" collapsed="false">
      <c r="A22902" s="3" t="s">
        <v>560</v>
      </c>
      <c r="C22902" s="22" t="n">
        <f aca="false">IF(C22759=0,0,C22891/C22759)</f>
        <v>0</v>
      </c>
    </row>
    <row r="22903" customFormat="false" ht="15" hidden="false" customHeight="false" outlineLevel="0" collapsed="false">
      <c r="A22903" s="3" t="s">
        <v>561</v>
      </c>
      <c r="C22903" s="22" t="n">
        <f aca="false">IF(C22760=0,0,C22892/C22760)</f>
        <v>0</v>
      </c>
    </row>
    <row r="22904" customFormat="false" ht="15" hidden="false" customHeight="false" outlineLevel="0" collapsed="false">
      <c r="A22904" s="3" t="s">
        <v>562</v>
      </c>
      <c r="C22904" s="22" t="n">
        <f aca="false">IF(C22761=0,0,C22893/C22761)</f>
        <v>0</v>
      </c>
    </row>
    <row r="22905" customFormat="false" ht="15" hidden="false" customHeight="false" outlineLevel="0" collapsed="false">
      <c r="A22905" s="3" t="s">
        <v>563</v>
      </c>
      <c r="C22905" s="22" t="n">
        <f aca="false">IF(C22762=0,0,C22894/C22762)</f>
        <v>0</v>
      </c>
    </row>
    <row r="22906" customFormat="false" ht="15" hidden="false" customHeight="false" outlineLevel="0" collapsed="false">
      <c r="A22906" s="3" t="s">
        <v>564</v>
      </c>
      <c r="C22906" s="22" t="n">
        <f aca="false">IF(C22763=0,0,C22895/C22763)</f>
        <v>0</v>
      </c>
    </row>
    <row r="22907" customFormat="false" ht="15" hidden="false" customHeight="false" outlineLevel="0" collapsed="false">
      <c r="A22907" s="3" t="s">
        <v>565</v>
      </c>
      <c r="C22907" s="22" t="n">
        <f aca="false">IF(C22764=0,0,C22896/C22764)</f>
        <v>0</v>
      </c>
    </row>
    <row r="22908" customFormat="false" ht="15" hidden="false" customHeight="false" outlineLevel="0" collapsed="false">
      <c r="A22908" s="2" t="s">
        <v>579</v>
      </c>
      <c r="C22908" s="17" t="n">
        <f aca="false">MAX(0,$C$22753-SUM($C$22788:$C$22797)-SUM($C$22810:$C$22819))</f>
        <v>738.271639087745</v>
      </c>
    </row>
    <row r="22909" customFormat="false" ht="15" hidden="false" customHeight="false" outlineLevel="0" collapsed="false">
      <c r="A22909" s="3" t="s">
        <v>597</v>
      </c>
      <c r="C22909" s="35" t="n">
        <f aca="false">MIN(C22752,100*CHOOSE(C22742,C22876,C22877,C22878,C22879,C22880,C22881,C22882,C22883,C22884,C22885))</f>
        <v>100</v>
      </c>
    </row>
    <row r="22910" customFormat="false" ht="15" hidden="false" customHeight="false" outlineLevel="0" collapsed="false">
      <c r="A22910" s="3" t="s">
        <v>598</v>
      </c>
      <c r="C22910" s="21" t="n">
        <f aca="false">IF(C22574=1,C22747+Assumptions!$C$40,C22746)</f>
        <v>3</v>
      </c>
    </row>
    <row r="22911" customFormat="false" ht="15" hidden="false" customHeight="false" outlineLevel="0" collapsed="false">
      <c r="A22911" s="24" t="s">
        <v>599</v>
      </c>
      <c r="B22911" s="25"/>
      <c r="C22911" s="25"/>
      <c r="D22911" s="25"/>
      <c r="E22911" s="25"/>
      <c r="F22911" s="25"/>
      <c r="G22911" s="25"/>
      <c r="H22911" s="25"/>
      <c r="I22911" s="25"/>
      <c r="J22911" s="25"/>
      <c r="K22911" s="25"/>
    </row>
    <row r="22912" customFormat="false" ht="15" hidden="false" customHeight="false" outlineLevel="0" collapsed="false">
      <c r="A22912" s="3" t="s">
        <v>600</v>
      </c>
      <c r="C22912" s="21" t="n">
        <f aca="false">COLUMN()-COLUMN($C$1)</f>
        <v>0</v>
      </c>
      <c r="D22912" s="21" t="n">
        <f aca="false">COLUMN()-COLUMN($C$1)</f>
        <v>1</v>
      </c>
      <c r="E22912" s="21" t="n">
        <f aca="false">COLUMN()-COLUMN($C$1)</f>
        <v>2</v>
      </c>
      <c r="F22912" s="21" t="n">
        <f aca="false">COLUMN()-COLUMN($C$1)</f>
        <v>3</v>
      </c>
      <c r="G22912" s="21" t="n">
        <f aca="false">COLUMN()-COLUMN($C$1)</f>
        <v>4</v>
      </c>
      <c r="H22912" s="21" t="n">
        <f aca="false">COLUMN()-COLUMN($C$1)</f>
        <v>5</v>
      </c>
      <c r="I22912" s="21" t="n">
        <f aca="false">COLUMN()-COLUMN($C$1)</f>
        <v>6</v>
      </c>
    </row>
    <row r="22913" customFormat="false" ht="15" hidden="false" customHeight="false" outlineLevel="0" collapsed="false">
      <c r="A22913" s="3" t="s">
        <v>601</v>
      </c>
      <c r="D22913" s="31" t="n">
        <f aca="false">CHOOSE($C$22742,G22322,G22335,G22348,G22361,G22374,G22387,G22400,G22413,G22426,G22439)</f>
        <v>0.0865</v>
      </c>
      <c r="E22913" s="31" t="n">
        <f aca="false">CHOOSE($C$22742,H22322,H22335,H22348,H22361,H22374,H22387,H22400,H22413,H22426,H22439)</f>
        <v>0.085</v>
      </c>
      <c r="F22913" s="31" t="n">
        <f aca="false">CHOOSE($C$22742,I22322,I22335,I22348,I22361,I22374,I22387,I22400,I22413,I22426,I22439)</f>
        <v>0.0825</v>
      </c>
      <c r="G22913" s="31" t="n">
        <f aca="false">CHOOSE($C$22742,J22322,J22335,J22348,J22361,J22374,J22387,J22400,J22413,J22426,J22439)</f>
        <v>0.0825</v>
      </c>
      <c r="H22913" s="31" t="n">
        <f aca="false">CHOOSE($C$22742,K22322,K22335,K22348,K22361,K22374,K22387,K22400,K22413,K22426,K22439)</f>
        <v>0.0825</v>
      </c>
    </row>
    <row r="22914" customFormat="false" ht="15" hidden="false" customHeight="false" outlineLevel="0" collapsed="false">
      <c r="A22914" s="3" t="s">
        <v>602</v>
      </c>
      <c r="D22914" s="16" t="n">
        <f aca="false">IF(D22912&lt;=$C$22751,$C$22743*D22913,0)</f>
        <v>8.65</v>
      </c>
      <c r="E22914" s="16" t="n">
        <f aca="false">IF(E22912&lt;=$C$22751,$C$22743*E22913,0)</f>
        <v>8.5</v>
      </c>
      <c r="F22914" s="16" t="n">
        <f aca="false">IF(F22912&lt;=$C$22751,$C$22743*F22913,0)</f>
        <v>8.25</v>
      </c>
      <c r="G22914" s="16" t="n">
        <f aca="false">IF(G22912&lt;=$C$22751,$C$22743*G22913,0)</f>
        <v>0</v>
      </c>
      <c r="H22914" s="16" t="n">
        <f aca="false">IF(H22912&lt;=$C$22751,$C$22743*H22913,0)</f>
        <v>0</v>
      </c>
    </row>
    <row r="22915" customFormat="false" ht="15" hidden="false" customHeight="false" outlineLevel="0" collapsed="false">
      <c r="A22915" s="3" t="s">
        <v>603</v>
      </c>
      <c r="D22915" s="16" t="n">
        <f aca="false">IF(AND($C$22574=0,D22912=$C$22746),$C$22743*$C$22909/100,0)+IF(AND($C$22574=1,D22912=$C$22910),$C$22749,0)</f>
        <v>0</v>
      </c>
      <c r="E22915" s="16" t="n">
        <f aca="false">IF(AND($C$22574=0,E22912=$C$22746),$C$22743*$C$22909/100,0)+IF(AND($C$22574=1,E22912=$C$22910),$C$22749,0)</f>
        <v>0</v>
      </c>
      <c r="F22915" s="16" t="n">
        <f aca="false">IF(AND($C$22574=0,F22912=$C$22746),$C$22743*$C$22909/100,0)+IF(AND($C$22574=1,F22912=$C$22910),$C$22749,0)</f>
        <v>100</v>
      </c>
      <c r="G22915" s="16" t="n">
        <f aca="false">IF(AND($C$22574=0,G22912=$C$22746),$C$22743*$C$22909/100,0)+IF(AND($C$22574=1,G22912=$C$22910),$C$22749,0)</f>
        <v>0</v>
      </c>
      <c r="H22915" s="16" t="n">
        <f aca="false">IF(AND($C$22574=0,H22912=$C$22746),$C$22743*$C$22909/100,0)+IF(AND($C$22574=1,H22912=$C$22910),$C$22749,0)</f>
        <v>0</v>
      </c>
      <c r="I22915" s="16" t="n">
        <f aca="false">IF(AND($C$22574=0,I22912=$C$22746),$C$22743*$C$22909/100,0)+IF(AND($C$22574=1,I22912=$C$22910),$C$22749,0)</f>
        <v>0</v>
      </c>
    </row>
    <row r="22916" customFormat="false" ht="15" hidden="false" customHeight="false" outlineLevel="0" collapsed="false">
      <c r="A22916" s="2" t="s">
        <v>604</v>
      </c>
      <c r="C22916" s="17" t="n">
        <f aca="false">-$C$22745</f>
        <v>-98.49</v>
      </c>
      <c r="D22916" s="17" t="n">
        <f aca="false">D22914+D22915</f>
        <v>8.65</v>
      </c>
      <c r="E22916" s="17" t="n">
        <f aca="false">E22914+E22915</f>
        <v>8.5</v>
      </c>
      <c r="F22916" s="17" t="n">
        <f aca="false">F22914+F22915</f>
        <v>108.25</v>
      </c>
      <c r="G22916" s="17" t="n">
        <f aca="false">G22914+G22915</f>
        <v>0</v>
      </c>
      <c r="H22916" s="17" t="n">
        <f aca="false">H22914+H22915</f>
        <v>0</v>
      </c>
      <c r="I22916" s="17" t="n">
        <f aca="false">I22914+I22915</f>
        <v>0</v>
      </c>
    </row>
    <row r="22917" customFormat="false" ht="15" hidden="false" customHeight="false" outlineLevel="0" collapsed="false">
      <c r="A22917" s="3" t="s">
        <v>605</v>
      </c>
      <c r="C22917" s="16" t="n">
        <f aca="false">SUM($C$22914:$I$22914)</f>
        <v>25.4</v>
      </c>
    </row>
    <row r="22918" customFormat="false" ht="15" hidden="false" customHeight="false" outlineLevel="0" collapsed="false">
      <c r="A22918" s="3" t="s">
        <v>606</v>
      </c>
      <c r="C22918" s="16" t="n">
        <f aca="false">SUM($C$22915:$I$22915)</f>
        <v>100</v>
      </c>
    </row>
    <row r="22919" customFormat="false" ht="15" hidden="false" customHeight="false" outlineLevel="0" collapsed="false">
      <c r="A22919" s="3" t="s">
        <v>607</v>
      </c>
      <c r="C22919" s="16" t="n">
        <f aca="false">C22917+C22918</f>
        <v>125.4</v>
      </c>
    </row>
    <row r="22920" customFormat="false" ht="15" hidden="false" customHeight="false" outlineLevel="0" collapsed="false">
      <c r="A22920" s="3" t="s">
        <v>608</v>
      </c>
      <c r="C22920" s="16" t="n">
        <f aca="false">C22918-C22743*C22744/100</f>
        <v>2</v>
      </c>
    </row>
    <row r="22921" customFormat="false" ht="15" hidden="false" customHeight="false" outlineLevel="0" collapsed="false">
      <c r="A22921" s="3" t="s">
        <v>609</v>
      </c>
      <c r="C22921" s="16" t="n">
        <f aca="false">C22919-C22745</f>
        <v>26.91</v>
      </c>
    </row>
    <row r="22922" customFormat="false" ht="15" hidden="false" customHeight="false" outlineLevel="0" collapsed="false">
      <c r="A22922" s="2" t="s">
        <v>484</v>
      </c>
      <c r="C22922" s="44" t="n">
        <f aca="false">C22919/C22745</f>
        <v>1.27322570819373</v>
      </c>
    </row>
    <row r="22923" customFormat="false" ht="15" hidden="false" customHeight="false" outlineLevel="0" collapsed="false">
      <c r="A22923" s="2" t="s">
        <v>483</v>
      </c>
      <c r="C22923" s="42" t="n">
        <f aca="false">IF(C22919&lt;=0,-1,IFERROR(IRR($C$22916:$I$22916,MAX(-0.9,C22922^(1/C22910)-1)),IRR($C$22916:$I$22916,0.1)))</f>
        <v>0.0907552883104259</v>
      </c>
    </row>
    <row r="22924" customFormat="false" ht="15" hidden="false" customHeight="false" outlineLevel="0" collapsed="false">
      <c r="A22924" s="3" t="s">
        <v>610</v>
      </c>
      <c r="C22924" s="32" t="n">
        <f aca="false">MAX($G$22518:$K$22518)</f>
        <v>9.94721792340092</v>
      </c>
    </row>
    <row r="22925" customFormat="false" ht="15" hidden="false" customHeight="false" outlineLevel="0" collapsed="false">
      <c r="A22925" s="3" t="s">
        <v>611</v>
      </c>
      <c r="C22925" s="32" t="n">
        <f aca="false">MIN($G$22519:$K$22519)</f>
        <v>1.3631387153675</v>
      </c>
    </row>
    <row r="22926" customFormat="false" ht="15" hidden="false" customHeight="false" outlineLevel="0" collapsed="false">
      <c r="A22926" s="3" t="s">
        <v>612</v>
      </c>
      <c r="C22926" s="16" t="n">
        <f aca="false">SUM($G$22306:$K$22306)</f>
        <v>-422.224180414048</v>
      </c>
    </row>
    <row r="22930" customFormat="false" ht="15" hidden="false" customHeight="false" outlineLevel="0" collapsed="false">
      <c r="A22930" s="9" t="s">
        <v>1165</v>
      </c>
      <c r="B22930" s="10"/>
      <c r="C22930" s="10"/>
      <c r="D22930" s="10"/>
      <c r="E22930" s="10"/>
      <c r="F22930" s="10"/>
      <c r="G22930" s="10"/>
      <c r="H22930" s="10"/>
      <c r="I22930" s="10"/>
      <c r="J22930" s="10"/>
      <c r="K22930" s="10"/>
    </row>
    <row r="22931" customFormat="false" ht="15" hidden="false" customHeight="false" outlineLevel="0" collapsed="false">
      <c r="A22931" s="3" t="s">
        <v>1126</v>
      </c>
      <c r="C22931" s="11" t="n">
        <v>1</v>
      </c>
    </row>
    <row r="22932" customFormat="false" ht="15" hidden="false" customHeight="false" outlineLevel="0" collapsed="false">
      <c r="A22932" s="3" t="s">
        <v>1127</v>
      </c>
      <c r="C22932" s="19" t="n">
        <v>0</v>
      </c>
    </row>
    <row r="22933" customFormat="false" ht="15" hidden="false" customHeight="false" outlineLevel="0" collapsed="false">
      <c r="A22933" s="3" t="s">
        <v>1128</v>
      </c>
      <c r="C22933" s="19" t="n">
        <v>0</v>
      </c>
    </row>
    <row r="22934" customFormat="false" ht="15" hidden="false" customHeight="false" outlineLevel="0" collapsed="false">
      <c r="A22934" s="3" t="s">
        <v>1129</v>
      </c>
      <c r="C22934" s="30" t="n">
        <f aca="false">Sensitivities!$A$52</f>
        <v>0</v>
      </c>
    </row>
    <row r="22935" customFormat="false" ht="15" hidden="false" customHeight="false" outlineLevel="0" collapsed="false">
      <c r="A22935" s="3" t="s">
        <v>1130</v>
      </c>
      <c r="C22935" s="15" t="n">
        <v>0</v>
      </c>
    </row>
    <row r="22937" customFormat="false" ht="15" hidden="false" customHeight="false" outlineLevel="0" collapsed="false">
      <c r="A22937" s="24" t="s">
        <v>301</v>
      </c>
      <c r="B22937" s="25"/>
      <c r="C22937" s="25"/>
      <c r="D22937" s="25"/>
      <c r="E22937" s="25"/>
      <c r="F22937" s="25"/>
      <c r="G22937" s="25"/>
      <c r="H22937" s="25"/>
      <c r="I22937" s="25"/>
      <c r="J22937" s="25"/>
      <c r="K22937" s="25"/>
    </row>
    <row r="22938" customFormat="false" ht="15" hidden="false" customHeight="false" outlineLevel="0" collapsed="false">
      <c r="A22938" s="3" t="s">
        <v>302</v>
      </c>
      <c r="F22938" s="27" t="n">
        <f aca="false">Assumptions!$C$6</f>
        <v>2026</v>
      </c>
      <c r="G22938" s="21" t="n">
        <f aca="false">F22938+1</f>
        <v>2027</v>
      </c>
      <c r="H22938" s="21" t="n">
        <f aca="false">G22938+1</f>
        <v>2028</v>
      </c>
      <c r="I22938" s="21" t="n">
        <f aca="false">H22938+1</f>
        <v>2029</v>
      </c>
      <c r="J22938" s="21" t="n">
        <f aca="false">I22938+1</f>
        <v>2030</v>
      </c>
      <c r="K22938" s="21" t="n">
        <f aca="false">J22938+1</f>
        <v>2031</v>
      </c>
    </row>
    <row r="22939" customFormat="false" ht="15" hidden="false" customHeight="false" outlineLevel="0" collapsed="false">
      <c r="A22939" s="3" t="s">
        <v>303</v>
      </c>
      <c r="G22939" s="21" t="n">
        <f aca="false">G22938-Assumptions!$C$6</f>
        <v>1</v>
      </c>
      <c r="H22939" s="21" t="n">
        <f aca="false">H22938-Assumptions!$C$6</f>
        <v>2</v>
      </c>
      <c r="I22939" s="21" t="n">
        <f aca="false">I22938-Assumptions!$C$6</f>
        <v>3</v>
      </c>
      <c r="J22939" s="21" t="n">
        <f aca="false">J22938-Assumptions!$C$6</f>
        <v>4</v>
      </c>
      <c r="K22939" s="21" t="n">
        <f aca="false">K22938-Assumptions!$C$6</f>
        <v>5</v>
      </c>
    </row>
    <row r="22940" customFormat="false" ht="15" hidden="false" customHeight="false" outlineLevel="0" collapsed="false">
      <c r="A22940" s="3" t="s">
        <v>180</v>
      </c>
      <c r="G22940" s="22" t="n">
        <f aca="false">CHOOSE($C$22931,Assumptions!$G$79,Assumptions!$G$98,Assumptions!$G$117)+$C$22932</f>
        <v>-0.03</v>
      </c>
      <c r="H22940" s="22" t="n">
        <f aca="false">CHOOSE($C$22931,Assumptions!$H$79,Assumptions!$H$98,Assumptions!$H$117)+$C$22932</f>
        <v>0.02</v>
      </c>
      <c r="I22940" s="22" t="n">
        <f aca="false">CHOOSE($C$22931,Assumptions!$I$79,Assumptions!$I$98,Assumptions!$I$117)+$C$22932</f>
        <v>0.02</v>
      </c>
      <c r="J22940" s="22" t="n">
        <f aca="false">CHOOSE($C$22931,Assumptions!$J$79,Assumptions!$J$98,Assumptions!$J$117)+$C$22932</f>
        <v>0.02</v>
      </c>
      <c r="K22940" s="22" t="n">
        <f aca="false">CHOOSE($C$22931,Assumptions!$K$79,Assumptions!$K$98,Assumptions!$K$117)+$C$22932</f>
        <v>0.02</v>
      </c>
    </row>
    <row r="22941" customFormat="false" ht="15" hidden="false" customHeight="false" outlineLevel="0" collapsed="false">
      <c r="A22941" s="3" t="s">
        <v>181</v>
      </c>
      <c r="G22941" s="22" t="n">
        <f aca="false">CHOOSE($C$22931,Assumptions!$G$80,Assumptions!$G$99,Assumptions!$G$118)</f>
        <v>0.603920660818678</v>
      </c>
      <c r="H22941" s="22" t="n">
        <f aca="false">CHOOSE($C$22931,Assumptions!$H$80,Assumptions!$H$99,Assumptions!$H$118)</f>
        <v>0.606920660818678</v>
      </c>
      <c r="I22941" s="22" t="n">
        <f aca="false">CHOOSE($C$22931,Assumptions!$I$80,Assumptions!$I$99,Assumptions!$I$118)</f>
        <v>0.609920660818678</v>
      </c>
      <c r="J22941" s="22" t="n">
        <f aca="false">CHOOSE($C$22931,Assumptions!$J$80,Assumptions!$J$99,Assumptions!$J$118)</f>
        <v>0.611920660818678</v>
      </c>
      <c r="K22941" s="22" t="n">
        <f aca="false">CHOOSE($C$22931,Assumptions!$K$80,Assumptions!$K$99,Assumptions!$K$118)</f>
        <v>0.613920660818678</v>
      </c>
    </row>
    <row r="22942" customFormat="false" ht="15" hidden="false" customHeight="false" outlineLevel="0" collapsed="false">
      <c r="A22942" s="3" t="s">
        <v>182</v>
      </c>
      <c r="G22942" s="22" t="n">
        <f aca="false">CHOOSE($C$22931,Assumptions!$G$81,Assumptions!$G$100,Assumptions!$G$119)+$C$22933</f>
        <v>0.53</v>
      </c>
      <c r="H22942" s="22" t="n">
        <f aca="false">CHOOSE($C$22931,Assumptions!$H$81,Assumptions!$H$100,Assumptions!$H$119)+$C$22933</f>
        <v>0.533</v>
      </c>
      <c r="I22942" s="22" t="n">
        <f aca="false">CHOOSE($C$22931,Assumptions!$I$81,Assumptions!$I$100,Assumptions!$I$119)+$C$22933</f>
        <v>0.536</v>
      </c>
      <c r="J22942" s="22" t="n">
        <f aca="false">CHOOSE($C$22931,Assumptions!$J$81,Assumptions!$J$100,Assumptions!$J$119)+$C$22933</f>
        <v>0.538</v>
      </c>
      <c r="K22942" s="22" t="n">
        <f aca="false">CHOOSE($C$22931,Assumptions!$K$81,Assumptions!$K$100,Assumptions!$K$119)+$C$22933</f>
        <v>0.54</v>
      </c>
    </row>
    <row r="22943" customFormat="false" ht="15" hidden="false" customHeight="false" outlineLevel="0" collapsed="false">
      <c r="A22943" s="24" t="s">
        <v>304</v>
      </c>
      <c r="B22943" s="25"/>
      <c r="C22943" s="25"/>
      <c r="D22943" s="25"/>
      <c r="E22943" s="25"/>
      <c r="F22943" s="25"/>
      <c r="G22943" s="25"/>
      <c r="H22943" s="25"/>
      <c r="I22943" s="25"/>
      <c r="J22943" s="25"/>
      <c r="K22943" s="25"/>
    </row>
    <row r="22944" customFormat="false" ht="15" hidden="false" customHeight="false" outlineLevel="0" collapsed="false">
      <c r="A22944" s="2" t="s">
        <v>275</v>
      </c>
      <c r="F22944" s="28" t="n">
        <f aca="false">'Historical Financials'!G25</f>
        <v>498.291</v>
      </c>
      <c r="G22944" s="17" t="n">
        <f aca="false">F22944*(1+G22940)</f>
        <v>483.34227</v>
      </c>
      <c r="H22944" s="17" t="n">
        <f aca="false">G22944*(1+H22940)</f>
        <v>493.0091154</v>
      </c>
      <c r="I22944" s="17" t="n">
        <f aca="false">H22944*(1+I22940)</f>
        <v>502.869297708</v>
      </c>
      <c r="J22944" s="17" t="n">
        <f aca="false">I22944*(1+J22940)</f>
        <v>512.92668366216</v>
      </c>
      <c r="K22944" s="17" t="n">
        <f aca="false">J22944*(1+K22940)</f>
        <v>523.185217335403</v>
      </c>
    </row>
    <row r="22945" customFormat="false" ht="15" hidden="false" customHeight="false" outlineLevel="0" collapsed="false">
      <c r="A22945" s="3" t="s">
        <v>276</v>
      </c>
      <c r="G22945" s="16" t="n">
        <f aca="false">G22944*(1-G22941)</f>
        <v>191.4418869</v>
      </c>
      <c r="H22945" s="16" t="n">
        <f aca="false">H22944*(1-H22941)</f>
        <v>193.7916972918</v>
      </c>
      <c r="I22945" s="16" t="n">
        <f aca="false">I22944*(1-I22941)</f>
        <v>196.158923344512</v>
      </c>
      <c r="J22945" s="16" t="n">
        <f aca="false">J22944*(1-J22941)</f>
        <v>199.056248444078</v>
      </c>
      <c r="K22945" s="16" t="n">
        <f aca="false">K22944*(1-K22941)</f>
        <v>201.991002978289</v>
      </c>
    </row>
    <row r="22946" customFormat="false" ht="15" hidden="false" customHeight="false" outlineLevel="0" collapsed="false">
      <c r="A22946" s="2" t="s">
        <v>277</v>
      </c>
      <c r="G22946" s="17" t="n">
        <f aca="false">G22944-G22945</f>
        <v>291.9003831</v>
      </c>
      <c r="H22946" s="17" t="n">
        <f aca="false">H22944-H22945</f>
        <v>299.2174181082</v>
      </c>
      <c r="I22946" s="17" t="n">
        <f aca="false">I22944-I22945</f>
        <v>306.710374363488</v>
      </c>
      <c r="J22946" s="17" t="n">
        <f aca="false">J22944-J22945</f>
        <v>313.870435218082</v>
      </c>
      <c r="K22946" s="17" t="n">
        <f aca="false">K22944-K22945</f>
        <v>321.194214357115</v>
      </c>
    </row>
    <row r="22947" customFormat="false" ht="15" hidden="false" customHeight="false" outlineLevel="0" collapsed="false">
      <c r="A22947" s="3" t="s">
        <v>305</v>
      </c>
      <c r="G22947" s="16" t="n">
        <f aca="false">G22946-G22948</f>
        <v>35.72898</v>
      </c>
      <c r="H22947" s="16" t="n">
        <f aca="false">H22946-H22948</f>
        <v>36.4435596</v>
      </c>
      <c r="I22947" s="16" t="n">
        <f aca="false">I22946-I22948</f>
        <v>37.172430792</v>
      </c>
      <c r="J22947" s="16" t="n">
        <f aca="false">J22946-J22948</f>
        <v>37.91587940784</v>
      </c>
      <c r="K22947" s="16" t="n">
        <f aca="false">K22946-K22948</f>
        <v>38.6741969959968</v>
      </c>
    </row>
    <row r="22948" customFormat="false" ht="15" hidden="false" customHeight="false" outlineLevel="0" collapsed="false">
      <c r="A22948" s="2" t="s">
        <v>306</v>
      </c>
      <c r="G22948" s="17" t="n">
        <f aca="false">G22944*G22942</f>
        <v>256.1714031</v>
      </c>
      <c r="H22948" s="17" t="n">
        <f aca="false">H22944*H22942</f>
        <v>262.7738585082</v>
      </c>
      <c r="I22948" s="17" t="n">
        <f aca="false">I22944*I22942</f>
        <v>269.537943571488</v>
      </c>
      <c r="J22948" s="17" t="n">
        <f aca="false">J22944*J22942</f>
        <v>275.954555810242</v>
      </c>
      <c r="K22948" s="17" t="n">
        <f aca="false">K22944*K22942</f>
        <v>282.520017361118</v>
      </c>
    </row>
    <row r="22949" customFormat="false" ht="15" hidden="false" customHeight="false" outlineLevel="0" collapsed="false">
      <c r="A22949" s="3" t="s">
        <v>307</v>
      </c>
      <c r="G22949" s="16" t="n">
        <f aca="false">G22944*'Historical Financials'!G30/'Historical Financials'!G25</f>
        <v>179.73421</v>
      </c>
      <c r="H22949" s="16" t="n">
        <f aca="false">H22944*'Historical Financials'!G30/'Historical Financials'!G25</f>
        <v>183.3288942</v>
      </c>
      <c r="I22949" s="16" t="n">
        <f aca="false">I22944*'Historical Financials'!G30/'Historical Financials'!G25</f>
        <v>186.995472084</v>
      </c>
      <c r="J22949" s="16" t="n">
        <f aca="false">J22944*'Historical Financials'!G30/'Historical Financials'!G25</f>
        <v>190.73538152568</v>
      </c>
      <c r="K22949" s="16" t="n">
        <f aca="false">K22944*'Historical Financials'!G30/'Historical Financials'!G25</f>
        <v>194.550089156194</v>
      </c>
    </row>
    <row r="22950" customFormat="false" ht="15" hidden="false" customHeight="false" outlineLevel="0" collapsed="false">
      <c r="A22950" s="3" t="s">
        <v>308</v>
      </c>
      <c r="G22950" s="16" t="n">
        <f aca="false">G22944*'Historical Financials'!G31/'Historical Financials'!G25</f>
        <v>0</v>
      </c>
      <c r="H22950" s="16" t="n">
        <f aca="false">H22944*'Historical Financials'!G31/'Historical Financials'!G25</f>
        <v>0</v>
      </c>
      <c r="I22950" s="16" t="n">
        <f aca="false">I22944*'Historical Financials'!G31/'Historical Financials'!G25</f>
        <v>0</v>
      </c>
      <c r="J22950" s="16" t="n">
        <f aca="false">J22944*'Historical Financials'!G31/'Historical Financials'!G25</f>
        <v>0</v>
      </c>
      <c r="K22950" s="16" t="n">
        <f aca="false">K22944*'Historical Financials'!G31/'Historical Financials'!G25</f>
        <v>0</v>
      </c>
    </row>
    <row r="22951" customFormat="false" ht="15" hidden="false" customHeight="false" outlineLevel="0" collapsed="false">
      <c r="A22951" s="2" t="s">
        <v>309</v>
      </c>
      <c r="G22951" s="17" t="n">
        <f aca="false">G22948-G22949-G22950</f>
        <v>76.4371931</v>
      </c>
      <c r="H22951" s="17" t="n">
        <f aca="false">H22948-H22949-H22950</f>
        <v>79.4449643082</v>
      </c>
      <c r="I22951" s="17" t="n">
        <f aca="false">I22948-I22949-I22950</f>
        <v>82.542471487488</v>
      </c>
      <c r="J22951" s="17" t="n">
        <f aca="false">J22948-J22949-J22950</f>
        <v>85.2191742845621</v>
      </c>
      <c r="K22951" s="17" t="n">
        <f aca="false">K22948-K22949-K22950</f>
        <v>87.9699282049242</v>
      </c>
    </row>
    <row r="22952" customFormat="false" ht="15" hidden="false" customHeight="false" outlineLevel="0" collapsed="false">
      <c r="A22952" s="3" t="s">
        <v>310</v>
      </c>
      <c r="G22952" s="16" t="n">
        <f aca="false">G22978+G22991+G23004+G23017+G23030+G23043+G23056+G23069+G23082+G23095</f>
        <v>180.2096854</v>
      </c>
      <c r="H22952" s="16" t="n">
        <f aca="false">H22978+H22991+H23004+H23017+H23030+H23043+H23056+H23069+H23082+H23095</f>
        <v>179.1317704</v>
      </c>
      <c r="I22952" s="16" t="n">
        <f aca="false">I22978+I22991+I23004+I23017+I23030+I23043+I23056+I23069+I23082+I23095</f>
        <v>191.388017509904</v>
      </c>
      <c r="J22952" s="16" t="n">
        <f aca="false">J22978+J22991+J23004+J23017+J23030+J23043+J23056+J23069+J23082+J23095</f>
        <v>191.569272884469</v>
      </c>
      <c r="K22952" s="16" t="n">
        <f aca="false">K22978+K22991+K23004+K23017+K23030+K23043+K23056+K23069+K23082+K23095</f>
        <v>210.404714699088</v>
      </c>
    </row>
    <row r="22953" customFormat="false" ht="15" hidden="false" customHeight="false" outlineLevel="0" collapsed="false">
      <c r="A22953" s="3" t="s">
        <v>311</v>
      </c>
      <c r="G22953" s="16" t="n">
        <f aca="false">G22979+G22992+G23005+G23018+G23031+G23044+G23057+G23070+G23083+G23096</f>
        <v>0</v>
      </c>
      <c r="H22953" s="16" t="n">
        <f aca="false">H22979+H22992+H23005+H23018+H23031+H23044+H23057+H23070+H23083+H23096</f>
        <v>0</v>
      </c>
      <c r="I22953" s="16" t="n">
        <f aca="false">I22979+I22992+I23005+I23018+I23031+I23044+I23057+I23070+I23083+I23096</f>
        <v>0</v>
      </c>
      <c r="J22953" s="16" t="n">
        <f aca="false">J22979+J22992+J23005+J23018+J23031+J23044+J23057+J23070+J23083+J23096</f>
        <v>0</v>
      </c>
      <c r="K22953" s="16" t="n">
        <f aca="false">K22979+K22992+K23005+K23018+K23031+K23044+K23057+K23070+K23083+K23096</f>
        <v>0</v>
      </c>
    </row>
    <row r="22954" customFormat="false" ht="15" hidden="false" customHeight="false" outlineLevel="0" collapsed="false">
      <c r="A22954" s="3" t="s">
        <v>283</v>
      </c>
      <c r="G22954" s="16" t="n">
        <f aca="false">G22952+G22953</f>
        <v>180.2096854</v>
      </c>
      <c r="H22954" s="16" t="n">
        <f aca="false">H22952+H22953</f>
        <v>179.1317704</v>
      </c>
      <c r="I22954" s="16" t="n">
        <f aca="false">I22952+I22953</f>
        <v>191.388017509904</v>
      </c>
      <c r="J22954" s="16" t="n">
        <f aca="false">J22952+J22953</f>
        <v>191.569272884469</v>
      </c>
      <c r="K22954" s="16" t="n">
        <f aca="false">K22952+K22953</f>
        <v>210.404714699088</v>
      </c>
    </row>
    <row r="22955" customFormat="false" ht="15" hidden="false" customHeight="false" outlineLevel="0" collapsed="false">
      <c r="A22955" s="2" t="s">
        <v>284</v>
      </c>
      <c r="G22955" s="17" t="n">
        <f aca="false">G22951-G22954</f>
        <v>-103.7724923</v>
      </c>
      <c r="H22955" s="17" t="n">
        <f aca="false">H22951-H22954</f>
        <v>-99.6868060918</v>
      </c>
      <c r="I22955" s="17" t="n">
        <f aca="false">I22951-I22954</f>
        <v>-108.845546022416</v>
      </c>
      <c r="J22955" s="17" t="n">
        <f aca="false">J22951-J22954</f>
        <v>-106.350098599906</v>
      </c>
      <c r="K22955" s="17" t="n">
        <f aca="false">K22951-K22954</f>
        <v>-122.434786494163</v>
      </c>
    </row>
    <row r="22956" customFormat="false" ht="15" hidden="false" customHeight="false" outlineLevel="0" collapsed="false">
      <c r="A22956" s="3" t="s">
        <v>312</v>
      </c>
      <c r="G22956" s="16" t="n">
        <f aca="false">MAX(0,G22955)*Assumptions!$C$9</f>
        <v>0</v>
      </c>
      <c r="H22956" s="16" t="n">
        <f aca="false">MAX(0,H22955)*Assumptions!$C$9</f>
        <v>0</v>
      </c>
      <c r="I22956" s="16" t="n">
        <f aca="false">MAX(0,I22955)*Assumptions!$C$9</f>
        <v>0</v>
      </c>
      <c r="J22956" s="16" t="n">
        <f aca="false">MAX(0,J22955)*Assumptions!$C$9</f>
        <v>0</v>
      </c>
      <c r="K22956" s="16" t="n">
        <f aca="false">MAX(0,K22955)*Assumptions!$C$9</f>
        <v>0</v>
      </c>
    </row>
    <row r="22957" customFormat="false" ht="15" hidden="false" customHeight="false" outlineLevel="0" collapsed="false">
      <c r="A22957" s="2" t="s">
        <v>313</v>
      </c>
      <c r="G22957" s="17" t="n">
        <f aca="false">G22955-G22956</f>
        <v>-103.7724923</v>
      </c>
      <c r="H22957" s="17" t="n">
        <f aca="false">H22955-H22956</f>
        <v>-99.6868060918</v>
      </c>
      <c r="I22957" s="17" t="n">
        <f aca="false">I22955-I22956</f>
        <v>-108.845546022416</v>
      </c>
      <c r="J22957" s="17" t="n">
        <f aca="false">J22955-J22956</f>
        <v>-106.350098599906</v>
      </c>
      <c r="K22957" s="17" t="n">
        <f aca="false">K22955-K22956</f>
        <v>-122.434786494163</v>
      </c>
    </row>
    <row r="22958" customFormat="false" ht="15" hidden="false" customHeight="false" outlineLevel="0" collapsed="false">
      <c r="A22958" s="24" t="s">
        <v>314</v>
      </c>
      <c r="B22958" s="25"/>
      <c r="C22958" s="25"/>
      <c r="D22958" s="25"/>
      <c r="E22958" s="25"/>
      <c r="F22958" s="25"/>
      <c r="G22958" s="25"/>
      <c r="H22958" s="25"/>
      <c r="I22958" s="25"/>
      <c r="J22958" s="25"/>
      <c r="K22958" s="25"/>
    </row>
    <row r="22959" customFormat="false" ht="15" hidden="false" customHeight="false" outlineLevel="0" collapsed="false">
      <c r="A22959" s="3" t="s">
        <v>184</v>
      </c>
      <c r="G22959" s="16" t="n">
        <f aca="false">G22944*CHOOSE($C$22931,Assumptions!$C$83,Assumptions!$C$102,Assumptions!$C$121)</f>
        <v>106.3352994</v>
      </c>
      <c r="H22959" s="16" t="n">
        <f aca="false">H22944*CHOOSE($C$22931,Assumptions!$C$83,Assumptions!$C$102,Assumptions!$C$121)</f>
        <v>108.462005388</v>
      </c>
      <c r="I22959" s="16" t="n">
        <f aca="false">I22944*CHOOSE($C$22931,Assumptions!$C$83,Assumptions!$C$102,Assumptions!$C$121)</f>
        <v>110.63124549576</v>
      </c>
      <c r="J22959" s="16" t="n">
        <f aca="false">J22944*CHOOSE($C$22931,Assumptions!$C$83,Assumptions!$C$102,Assumptions!$C$121)</f>
        <v>112.843870405675</v>
      </c>
      <c r="K22959" s="16" t="n">
        <f aca="false">K22944*CHOOSE($C$22931,Assumptions!$C$83,Assumptions!$C$102,Assumptions!$C$121)</f>
        <v>115.100747813789</v>
      </c>
    </row>
    <row r="22960" customFormat="false" ht="15" hidden="false" customHeight="false" outlineLevel="0" collapsed="false">
      <c r="A22960" s="3" t="s">
        <v>315</v>
      </c>
      <c r="G22960" s="16" t="n">
        <f aca="false">CHOOSE($C$22931,Assumptions!$C$84,Assumptions!$C$103,Assumptions!$C$122)*(G22944-F22944)+CHOOSE($C$22931,Assumptions!$C$85,Assumptions!$C$104,Assumptions!$C$123)*G22944</f>
        <v>53.1676497</v>
      </c>
      <c r="H22960" s="16" t="n">
        <f aca="false">CHOOSE($C$22931,Assumptions!$C$84,Assumptions!$C$103,Assumptions!$C$122)*(H22944-G22944)+CHOOSE($C$22931,Assumptions!$C$85,Assumptions!$C$104,Assumptions!$C$123)*H22944</f>
        <v>54.231002694</v>
      </c>
      <c r="I22960" s="16" t="n">
        <f aca="false">CHOOSE($C$22931,Assumptions!$C$84,Assumptions!$C$103,Assumptions!$C$122)*(I22944-H22944)+CHOOSE($C$22931,Assumptions!$C$85,Assumptions!$C$104,Assumptions!$C$123)*I22944</f>
        <v>55.31562274788</v>
      </c>
      <c r="J22960" s="16" t="n">
        <f aca="false">CHOOSE($C$22931,Assumptions!$C$84,Assumptions!$C$103,Assumptions!$C$122)*(J22944-I22944)+CHOOSE($C$22931,Assumptions!$C$85,Assumptions!$C$104,Assumptions!$C$123)*J22944</f>
        <v>56.4219352028376</v>
      </c>
      <c r="K22960" s="16" t="n">
        <f aca="false">CHOOSE($C$22931,Assumptions!$C$84,Assumptions!$C$103,Assumptions!$C$122)*(K22944-J22944)+CHOOSE($C$22931,Assumptions!$C$85,Assumptions!$C$104,Assumptions!$C$123)*K22944</f>
        <v>57.5503739068944</v>
      </c>
    </row>
    <row r="22961" customFormat="false" ht="15" hidden="false" customHeight="false" outlineLevel="0" collapsed="false">
      <c r="A22961" s="2" t="s">
        <v>316</v>
      </c>
      <c r="G22961" s="17" t="n">
        <f aca="false">G22957+G22949+G22950+G22953-G22959-G22960</f>
        <v>-83.5412314</v>
      </c>
      <c r="H22961" s="17" t="n">
        <f aca="false">H22957+H22949+H22950+H22953-H22959-H22960</f>
        <v>-79.0509199738</v>
      </c>
      <c r="I22961" s="17" t="n">
        <f aca="false">I22957+I22949+I22950+I22953-I22959-I22960</f>
        <v>-87.796942182056</v>
      </c>
      <c r="J22961" s="17" t="n">
        <f aca="false">J22957+J22949+J22950+J22953-J22959-J22960</f>
        <v>-84.8805226827392</v>
      </c>
      <c r="K22961" s="17" t="n">
        <f aca="false">K22957+K22949+K22950+K22953-K22959-K22960</f>
        <v>-100.535819058653</v>
      </c>
    </row>
    <row r="22963" customFormat="false" ht="15" hidden="false" customHeight="false" outlineLevel="0" collapsed="false">
      <c r="A22963" s="24" t="s">
        <v>318</v>
      </c>
      <c r="B22963" s="25"/>
      <c r="C22963" s="25"/>
      <c r="D22963" s="25"/>
      <c r="E22963" s="25"/>
      <c r="F22963" s="25"/>
      <c r="G22963" s="25"/>
      <c r="H22963" s="25"/>
      <c r="I22963" s="25"/>
      <c r="J22963" s="25"/>
      <c r="K22963" s="25"/>
    </row>
    <row r="22964" customFormat="false" ht="15" hidden="false" customHeight="false" outlineLevel="0" collapsed="false">
      <c r="A22964" s="3" t="s">
        <v>319</v>
      </c>
      <c r="G22964" s="30" t="n">
        <f aca="false">Assumptions!$G$53</f>
        <v>0.039</v>
      </c>
      <c r="H22964" s="30" t="n">
        <f aca="false">Assumptions!$H$53</f>
        <v>0.0375</v>
      </c>
      <c r="I22964" s="30" t="n">
        <f aca="false">Assumptions!$I$53</f>
        <v>0.035</v>
      </c>
      <c r="J22964" s="30" t="n">
        <f aca="false">Assumptions!$J$53</f>
        <v>0.035</v>
      </c>
      <c r="K22964" s="30" t="n">
        <f aca="false">Assumptions!$K$53</f>
        <v>0.035</v>
      </c>
    </row>
    <row r="22965" customFormat="false" ht="15" hidden="false" customHeight="false" outlineLevel="0" collapsed="false">
      <c r="A22965" s="3" t="s">
        <v>320</v>
      </c>
      <c r="C22965" s="31" t="n">
        <f aca="false">CHOOSE($C$22931,Assumptions!$C$86,Assumptions!$C$105,Assumptions!$C$124)+$C$22934</f>
        <v>0</v>
      </c>
    </row>
    <row r="22966" customFormat="false" ht="15" hidden="false" customHeight="false" outlineLevel="0" collapsed="false">
      <c r="A22966" s="3" t="s">
        <v>321</v>
      </c>
      <c r="C22966" s="31" t="n">
        <f aca="false">CHOOSE($C$22931,Assumptions!$C$87,Assumptions!$C$106,Assumptions!$C$125)</f>
        <v>0.08</v>
      </c>
    </row>
    <row r="22967" customFormat="false" ht="15" hidden="false" customHeight="false" outlineLevel="0" collapsed="false">
      <c r="A22967" s="3" t="s">
        <v>322</v>
      </c>
      <c r="C22967" s="32" t="n">
        <f aca="false">CHOOSE($C$22931,Assumptions!$C$88,Assumptions!$C$107,Assumptions!$C$126)</f>
        <v>11</v>
      </c>
    </row>
    <row r="22968" customFormat="false" ht="15" hidden="false" customHeight="false" outlineLevel="0" collapsed="false">
      <c r="A22968" s="3" t="s">
        <v>323</v>
      </c>
      <c r="C22968" s="32" t="n">
        <f aca="false">CHOOSE($C$22931,Assumptions!$C$89,Assumptions!$C$108,Assumptions!$C$127)</f>
        <v>1.2</v>
      </c>
    </row>
    <row r="22969" customFormat="false" ht="15" hidden="false" customHeight="false" outlineLevel="0" collapsed="false">
      <c r="A22969" s="3" t="s">
        <v>324</v>
      </c>
      <c r="G22969" s="16" t="n">
        <f aca="false">G22974+G22987+G23000+G23013+G23026+G23039+G23052+G23065+G23078+G23091</f>
        <v>2625.934</v>
      </c>
      <c r="H22969" s="16" t="n">
        <f aca="false">H22974+H22987+H23000+H23013+H23026+H23039+H23052+H23065+H23078+H23091</f>
        <v>2621.934</v>
      </c>
      <c r="I22969" s="16" t="n">
        <f aca="false">I22974+I22987+I23000+I23013+I23026+I23039+I23052+I23065+I23078+I23091</f>
        <v>2575.6561513738</v>
      </c>
      <c r="J22969" s="16" t="n">
        <f aca="false">J22974+J22987+J23000+J23013+J23026+J23039+J23052+J23065+J23078+J23091</f>
        <v>2638.45309355586</v>
      </c>
      <c r="K22969" s="16" t="n">
        <f aca="false">K22974+K22987+K23000+K23013+K23026+K23039+K23052+K23065+K23078+K23091</f>
        <v>2723.3336162386</v>
      </c>
    </row>
    <row r="22970" customFormat="false" ht="15" hidden="false" customHeight="false" outlineLevel="0" collapsed="false">
      <c r="A22970" s="3" t="s">
        <v>325</v>
      </c>
      <c r="G22970" s="16" t="n">
        <f aca="false">F23162</f>
        <v>37.87</v>
      </c>
      <c r="H22970" s="16" t="n">
        <f aca="false">G23162</f>
        <v>150.3287686</v>
      </c>
      <c r="I22970" s="16" t="n">
        <f aca="false">H23162</f>
        <v>25</v>
      </c>
      <c r="J22970" s="16" t="n">
        <f aca="false">I23162</f>
        <v>0</v>
      </c>
      <c r="K22970" s="16" t="n">
        <f aca="false">J23162</f>
        <v>0</v>
      </c>
    </row>
    <row r="22971" customFormat="false" ht="15" hidden="false" customHeight="false" outlineLevel="0" collapsed="false">
      <c r="A22971" s="3" t="s">
        <v>326</v>
      </c>
      <c r="G22971" s="16" t="n">
        <f aca="false">G22974*IF(G22975=1,$C$22966,IF(Assumptions!$I$57=1,MAX(G22964,Assumptions!$G$57)+Assumptions!$F$57+$C$22965,Assumptions!$E$57))+G22987*IF(G22988=1,$C$22966,IF(Assumptions!$I$58=1,MAX(G22964,Assumptions!$G$58)+Assumptions!$F$58+$C$22965,Assumptions!$E$58))+G23000*IF(G23001=1,$C$22966,IF(Assumptions!$I$59=1,MAX(G22964,Assumptions!$G$59)+Assumptions!$F$59+$C$22965,Assumptions!$E$59))+G23013*IF(G23014=1,$C$22966,IF(Assumptions!$I$60=1,MAX(G22964,Assumptions!$G$60)+Assumptions!$F$60+$C$22965,Assumptions!$E$60))+G23026*IF(G23027=1,$C$22966,IF(Assumptions!$I$61=1,MAX(G22964,Assumptions!$G$61)+Assumptions!$F$61+$C$22965,Assumptions!$E$61))+G23039*IF(G23040=1,$C$22966,IF(Assumptions!$I$62=1,MAX(G22964,Assumptions!$G$62)+Assumptions!$F$62+$C$22965,Assumptions!$E$62))+G23052*IF(G23053=1,$C$22966,IF(Assumptions!$I$63=1,MAX(G22964,Assumptions!$G$63)+Assumptions!$F$63+$C$22965,Assumptions!$E$63))+G23065*IF(G23066=1,$C$22966,IF(Assumptions!$I$64=1,MAX(G22964,Assumptions!$G$64)+Assumptions!$F$64+$C$22965,Assumptions!$E$64))+G23078*IF(G23079=1,$C$22966,IF(Assumptions!$I$65=1,MAX(G22964,Assumptions!$G$65)+Assumptions!$F$65+$C$22965,Assumptions!$E$65))+G23091*IF(G23092=1,$C$22966,IF(Assumptions!$I$66=1,MAX(G22964,Assumptions!$G$66)+Assumptions!$F$66+$C$22965,Assumptions!$E$66))</f>
        <v>180.2096854</v>
      </c>
      <c r="H22971" s="16" t="n">
        <f aca="false">H22974*IF(OR(H22975=1,G23284=1),$C$22966,IF(Assumptions!$I$57=1,MAX(H22964,Assumptions!$G$57)+Assumptions!$F$57+$C$22965,Assumptions!$E$57))+H22987*IF(OR(H22988=1,G23285=1),$C$22966,IF(Assumptions!$I$58=1,MAX(H22964,Assumptions!$G$58)+Assumptions!$F$58+$C$22965,Assumptions!$E$58))+H23000*IF(OR(H23001=1,G23286=1),$C$22966,IF(Assumptions!$I$59=1,MAX(H22964,Assumptions!$G$59)+Assumptions!$F$59+$C$22965,Assumptions!$E$59))+H23013*IF(OR(H23014=1,G23287=1),$C$22966,IF(Assumptions!$I$60=1,MAX(H22964,Assumptions!$G$60)+Assumptions!$F$60+$C$22965,Assumptions!$E$60))+H23026*IF(OR(H23027=1,G23288=1),$C$22966,IF(Assumptions!$I$61=1,MAX(H22964,Assumptions!$G$61)+Assumptions!$F$61+$C$22965,Assumptions!$E$61))+H23039*IF(OR(H23040=1,G23289=1),$C$22966,IF(Assumptions!$I$62=1,MAX(H22964,Assumptions!$G$62)+Assumptions!$F$62+$C$22965,Assumptions!$E$62))+H23052*IF(OR(H23053=1,G23290=1),$C$22966,IF(Assumptions!$I$63=1,MAX(H22964,Assumptions!$G$63)+Assumptions!$F$63+$C$22965,Assumptions!$E$63))+H23065*IF(OR(H23066=1,G23291=1),$C$22966,IF(Assumptions!$I$64=1,MAX(H22964,Assumptions!$G$64)+Assumptions!$F$64+$C$22965,Assumptions!$E$64))+H23078*IF(OR(H23079=1,G23292=1),$C$22966,IF(Assumptions!$I$65=1,MAX(H22964,Assumptions!$G$65)+Assumptions!$F$65+$C$22965,Assumptions!$E$65))+H23091*IF(OR(H23092=1,G23293=1),$C$22966,IF(Assumptions!$I$66=1,MAX(H22964,Assumptions!$G$66)+Assumptions!$F$66+$C$22965,Assumptions!$E$66))</f>
        <v>196.3067704</v>
      </c>
      <c r="I22971" s="16" t="n">
        <f aca="false">I22974*IF(OR(I22975=1,H23284=1),$C$22966,IF(Assumptions!$I$57=1,MAX(I22964,Assumptions!$G$57)+Assumptions!$F$57+$C$22965,Assumptions!$E$57))+I22987*IF(OR(I22988=1,H23285=1),$C$22966,IF(Assumptions!$I$58=1,MAX(I22964,Assumptions!$G$58)+Assumptions!$F$58+$C$22965,Assumptions!$E$58))+I23000*IF(OR(I23001=1,H23286=1),$C$22966,IF(Assumptions!$I$59=1,MAX(I22964,Assumptions!$G$59)+Assumptions!$F$59+$C$22965,Assumptions!$E$59))+I23013*IF(OR(I23014=1,H23287=1),$C$22966,IF(Assumptions!$I$60=1,MAX(I22964,Assumptions!$G$60)+Assumptions!$F$60+$C$22965,Assumptions!$E$60))+I23026*IF(OR(I23027=1,H23288=1),$C$22966,IF(Assumptions!$I$61=1,MAX(I22964,Assumptions!$G$61)+Assumptions!$F$61+$C$22965,Assumptions!$E$61))+I23039*IF(OR(I23040=1,H23289=1),$C$22966,IF(Assumptions!$I$62=1,MAX(I22964,Assumptions!$G$62)+Assumptions!$F$62+$C$22965,Assumptions!$E$62))+I23052*IF(OR(I23053=1,H23290=1),$C$22966,IF(Assumptions!$I$63=1,MAX(I22964,Assumptions!$G$63)+Assumptions!$F$63+$C$22965,Assumptions!$E$63))+I23065*IF(OR(I23066=1,H23291=1),$C$22966,IF(Assumptions!$I$64=1,MAX(I22964,Assumptions!$G$64)+Assumptions!$F$64+$C$22965,Assumptions!$E$64))+I23078*IF(OR(I23079=1,H23292=1),$C$22966,IF(Assumptions!$I$65=1,MAX(I22964,Assumptions!$G$65)+Assumptions!$F$65+$C$22965,Assumptions!$E$65))+I23091*IF(OR(I23092=1,H23293=1),$C$22966,IF(Assumptions!$I$66=1,MAX(I22964,Assumptions!$G$66)+Assumptions!$F$66+$C$22965,Assumptions!$E$66))</f>
        <v>186.575517509904</v>
      </c>
      <c r="J22971" s="16" t="n">
        <f aca="false">J22974*IF(OR(J22975=1,I23284=1),$C$22966,IF(Assumptions!$I$57=1,MAX(J22964,Assumptions!$G$57)+Assumptions!$F$57+$C$22965,Assumptions!$E$57))+J22987*IF(OR(J22988=1,I23285=1),$C$22966,IF(Assumptions!$I$58=1,MAX(J22964,Assumptions!$G$58)+Assumptions!$F$58+$C$22965,Assumptions!$E$58))+J23000*IF(OR(J23001=1,I23286=1),$C$22966,IF(Assumptions!$I$59=1,MAX(J22964,Assumptions!$G$59)+Assumptions!$F$59+$C$22965,Assumptions!$E$59))+J23013*IF(OR(J23014=1,I23287=1),$C$22966,IF(Assumptions!$I$60=1,MAX(J22964,Assumptions!$G$60)+Assumptions!$F$60+$C$22965,Assumptions!$E$60))+J23026*IF(OR(J23027=1,I23288=1),$C$22966,IF(Assumptions!$I$61=1,MAX(J22964,Assumptions!$G$61)+Assumptions!$F$61+$C$22965,Assumptions!$E$61))+J23039*IF(OR(J23040=1,I23289=1),$C$22966,IF(Assumptions!$I$62=1,MAX(J22964,Assumptions!$G$62)+Assumptions!$F$62+$C$22965,Assumptions!$E$62))+J23052*IF(OR(J23053=1,I23290=1),$C$22966,IF(Assumptions!$I$63=1,MAX(J22964,Assumptions!$G$63)+Assumptions!$F$63+$C$22965,Assumptions!$E$63))+J23065*IF(OR(J23066=1,I23291=1),$C$22966,IF(Assumptions!$I$64=1,MAX(J22964,Assumptions!$G$64)+Assumptions!$F$64+$C$22965,Assumptions!$E$64))+J23078*IF(OR(J23079=1,I23292=1),$C$22966,IF(Assumptions!$I$65=1,MAX(J22964,Assumptions!$G$65)+Assumptions!$F$65+$C$22965,Assumptions!$E$65))+J23091*IF(OR(J23092=1,I23293=1),$C$22966,IF(Assumptions!$I$66=1,MAX(J22964,Assumptions!$G$66)+Assumptions!$F$66+$C$22965,Assumptions!$E$66))</f>
        <v>203.644272884468</v>
      </c>
      <c r="K22971" s="16" t="n">
        <f aca="false">K22974*IF(OR(K22975=1,J23284=1),$C$22966,IF(Assumptions!$I$57=1,MAX(K22964,Assumptions!$G$57)+Assumptions!$F$57+$C$22965,Assumptions!$E$57))+K22987*IF(OR(K22988=1,J23285=1),$C$22966,IF(Assumptions!$I$58=1,MAX(K22964,Assumptions!$G$58)+Assumptions!$F$58+$C$22965,Assumptions!$E$58))+K23000*IF(OR(K23001=1,J23286=1),$C$22966,IF(Assumptions!$I$59=1,MAX(K22964,Assumptions!$G$59)+Assumptions!$F$59+$C$22965,Assumptions!$E$59))+K23013*IF(OR(K23014=1,J23287=1),$C$22966,IF(Assumptions!$I$60=1,MAX(K22964,Assumptions!$G$60)+Assumptions!$F$60+$C$22965,Assumptions!$E$60))+K23026*IF(OR(K23027=1,J23288=1),$C$22966,IF(Assumptions!$I$61=1,MAX(K22964,Assumptions!$G$61)+Assumptions!$F$61+$C$22965,Assumptions!$E$61))+K23039*IF(OR(K23040=1,J23289=1),$C$22966,IF(Assumptions!$I$62=1,MAX(K22964,Assumptions!$G$62)+Assumptions!$F$62+$C$22965,Assumptions!$E$62))+K23052*IF(OR(K23053=1,J23290=1),$C$22966,IF(Assumptions!$I$63=1,MAX(K22964,Assumptions!$G$63)+Assumptions!$F$63+$C$22965,Assumptions!$E$63))+K23065*IF(OR(K23066=1,J23291=1),$C$22966,IF(Assumptions!$I$64=1,MAX(K22964,Assumptions!$G$64)+Assumptions!$F$64+$C$22965,Assumptions!$E$64))+K23078*IF(OR(K23079=1,J23292=1),$C$22966,IF(Assumptions!$I$65=1,MAX(K22964,Assumptions!$G$65)+Assumptions!$F$65+$C$22965,Assumptions!$E$65))+K23091*IF(OR(K23092=1,J23293=1),$C$22966,IF(Assumptions!$I$66=1,MAX(K22964,Assumptions!$G$66)+Assumptions!$F$66+$C$22965,Assumptions!$E$66))</f>
        <v>213.149714699088</v>
      </c>
    </row>
    <row r="22972" customFormat="false" ht="15" hidden="false" customHeight="false" outlineLevel="0" collapsed="false">
      <c r="A22972" s="3" t="s">
        <v>327</v>
      </c>
      <c r="G22972" s="21" t="n">
        <f aca="false">IF(G22948&lt;=0,0,IF(AND((G22969-G22970)/G22948&lt;=$C$22967,G22948/G22971&gt;=$C$22968),1,0))</f>
        <v>1</v>
      </c>
      <c r="H22972" s="21" t="n">
        <f aca="false">IF(H22948&lt;=0,0,IF(AND((H22969-H22970)/H22948&lt;=$C$22967,H22948/H22971&gt;=$C$22968),1,0))</f>
        <v>1</v>
      </c>
      <c r="I22972" s="21" t="n">
        <f aca="false">IF(I22948&lt;=0,0,IF(AND((I22969-I22970)/I22948&lt;=$C$22967,I22948/I22971&gt;=$C$22968),1,0))</f>
        <v>1</v>
      </c>
      <c r="J22972" s="21" t="n">
        <f aca="false">IF(J22948&lt;=0,0,IF(AND((J22969-J22970)/J22948&lt;=$C$22967,J22948/J22971&gt;=$C$22968),1,0))</f>
        <v>1</v>
      </c>
      <c r="K22972" s="21" t="n">
        <f aca="false">IF(K22948&lt;=0,0,IF(AND((K22969-K22970)/K22948&lt;=$C$22967,K22948/K22971&gt;=$C$22968),1,0))</f>
        <v>1</v>
      </c>
    </row>
    <row r="22973" customFormat="false" ht="15" hidden="false" customHeight="false" outlineLevel="0" collapsed="false">
      <c r="A22973" s="24" t="s">
        <v>328</v>
      </c>
      <c r="B22973" s="25"/>
      <c r="C22973" s="25"/>
      <c r="D22973" s="25"/>
      <c r="E22973" s="25"/>
      <c r="F22973" s="25"/>
      <c r="G22973" s="25"/>
      <c r="H22973" s="25"/>
      <c r="I22973" s="25"/>
      <c r="J22973" s="25"/>
      <c r="K22973" s="25"/>
    </row>
    <row r="22974" customFormat="false" ht="15" hidden="false" customHeight="false" outlineLevel="0" collapsed="false">
      <c r="A22974" s="3" t="s">
        <v>329</v>
      </c>
      <c r="G22974" s="16" t="n">
        <f aca="false">F22985</f>
        <v>400</v>
      </c>
      <c r="H22974" s="16" t="n">
        <f aca="false">G22985</f>
        <v>396</v>
      </c>
      <c r="I22974" s="16" t="n">
        <f aca="false">H22985</f>
        <v>392</v>
      </c>
      <c r="J22974" s="16" t="n">
        <f aca="false">I22985</f>
        <v>388</v>
      </c>
      <c r="K22974" s="16" t="n">
        <f aca="false">J22985</f>
        <v>384</v>
      </c>
    </row>
    <row r="22975" customFormat="false" ht="15" hidden="false" customHeight="false" outlineLevel="0" collapsed="false">
      <c r="A22975" s="3" t="s">
        <v>330</v>
      </c>
      <c r="G22975" s="21" t="n">
        <f aca="false">IF(G22938=Assumptions!$K$57,1,0)</f>
        <v>0</v>
      </c>
      <c r="H22975" s="21" t="n">
        <f aca="false">IF(H22938=Assumptions!$K$57,1,0)</f>
        <v>0</v>
      </c>
      <c r="I22975" s="21" t="n">
        <f aca="false">IF(I22938=Assumptions!$K$57,1,0)</f>
        <v>0</v>
      </c>
      <c r="J22975" s="21" t="n">
        <f aca="false">IF(J22938=Assumptions!$K$57,1,0)</f>
        <v>0</v>
      </c>
      <c r="K22975" s="21" t="n">
        <f aca="false">IF(K22938=Assumptions!$K$57,1,0)</f>
        <v>1</v>
      </c>
    </row>
    <row r="22977" customFormat="false" ht="15" hidden="false" customHeight="false" outlineLevel="0" collapsed="false">
      <c r="A22977" s="3" t="s">
        <v>331</v>
      </c>
      <c r="G22977" s="31" t="n">
        <f aca="false">IF(Assumptions!$I$57=1,MAX(G22964,Assumptions!$G$57)+Assumptions!$F$57+$C$22965,Assumptions!$E$57)</f>
        <v>0.0915</v>
      </c>
      <c r="H22977" s="31" t="n">
        <f aca="false">IF(G23284=1,$C$22966,IF(Assumptions!$I$57=1,MAX(H22964,Assumptions!$G$57)+Assumptions!$F$57+$C$22965,Assumptions!$E$57))</f>
        <v>0.09</v>
      </c>
      <c r="I22977" s="31" t="n">
        <f aca="false">IF(H23284=1,$C$22966,IF(Assumptions!$I$57=1,MAX(I22964,Assumptions!$G$57)+Assumptions!$F$57+$C$22965,Assumptions!$E$57))</f>
        <v>0.0875</v>
      </c>
      <c r="J22977" s="31" t="n">
        <f aca="false">IF(I23284=1,$C$22966,IF(Assumptions!$I$57=1,MAX(J22964,Assumptions!$G$57)+Assumptions!$F$57+$C$22965,Assumptions!$E$57))</f>
        <v>0.0875</v>
      </c>
      <c r="K22977" s="31" t="n">
        <f aca="false">IF(J23284=1,$C$22966,IF(Assumptions!$I$57=1,MAX(K22964,Assumptions!$G$57)+Assumptions!$F$57+$C$22965,Assumptions!$E$57))</f>
        <v>0.0875</v>
      </c>
    </row>
    <row r="22978" customFormat="false" ht="15" hidden="false" customHeight="false" outlineLevel="0" collapsed="false">
      <c r="A22978" s="3" t="s">
        <v>332</v>
      </c>
      <c r="G22978" s="16" t="n">
        <f aca="false">G22974*G22977</f>
        <v>36.6</v>
      </c>
      <c r="H22978" s="16" t="n">
        <f aca="false">H22974*H22977</f>
        <v>35.64</v>
      </c>
      <c r="I22978" s="16" t="n">
        <f aca="false">I22974*I22977</f>
        <v>34.3</v>
      </c>
      <c r="J22978" s="16" t="n">
        <f aca="false">J22974*J22977</f>
        <v>33.95</v>
      </c>
      <c r="K22978" s="16" t="n">
        <f aca="false">K22974*K22977</f>
        <v>33.6</v>
      </c>
    </row>
    <row r="22979" customFormat="false" ht="15" hidden="false" customHeight="false" outlineLevel="0" collapsed="false">
      <c r="A22979" s="3" t="s">
        <v>333</v>
      </c>
      <c r="G22979" s="16" t="n">
        <f aca="false">G22974*Assumptions!$H$57</f>
        <v>0</v>
      </c>
      <c r="H22979" s="16" t="n">
        <f aca="false">H22974*Assumptions!$H$57</f>
        <v>0</v>
      </c>
      <c r="I22979" s="16" t="n">
        <f aca="false">I22974*Assumptions!$H$57</f>
        <v>0</v>
      </c>
      <c r="J22979" s="16" t="n">
        <f aca="false">J22974*Assumptions!$H$57</f>
        <v>0</v>
      </c>
      <c r="K22979" s="16" t="n">
        <f aca="false">K22974*Assumptions!$H$57</f>
        <v>0</v>
      </c>
    </row>
    <row r="22980" customFormat="false" ht="15" hidden="false" customHeight="false" outlineLevel="0" collapsed="false">
      <c r="A22980" s="3" t="s">
        <v>334</v>
      </c>
      <c r="G22980" s="16" t="n">
        <f aca="false">MIN(G22974,Assumptions!$L$57*Assumptions!$C$57)</f>
        <v>4</v>
      </c>
      <c r="H22980" s="16" t="n">
        <f aca="false">MIN(H22974,Assumptions!$L$57*Assumptions!$C$57)</f>
        <v>4</v>
      </c>
      <c r="I22980" s="16" t="n">
        <f aca="false">MIN(I22974,Assumptions!$L$57*Assumptions!$C$57)</f>
        <v>4</v>
      </c>
      <c r="J22980" s="16" t="n">
        <f aca="false">MIN(J22974,Assumptions!$L$57*Assumptions!$C$57)</f>
        <v>4</v>
      </c>
      <c r="K22980" s="16" t="n">
        <f aca="false">MIN(K22974,Assumptions!$L$57*Assumptions!$C$57)</f>
        <v>4</v>
      </c>
    </row>
    <row r="22981" customFormat="false" ht="15" hidden="false" customHeight="false" outlineLevel="0" collapsed="false">
      <c r="A22981" s="3" t="s">
        <v>335</v>
      </c>
      <c r="G22981" s="16" t="n">
        <f aca="false">IF(AND(Assumptions!$P$57=1,G22938&lt;Assumptions!$K$57),MIN(MAX(0,-G23154),MAX(0,Assumptions!$D$57-G22974)),0)</f>
        <v>0</v>
      </c>
      <c r="H22981" s="16" t="n">
        <f aca="false">IF(AND(Assumptions!$P$57=1,OR(H22938&lt;Assumptions!$K$57,G23284=1)),MIN(MAX(0,-H23154),MAX(0,Assumptions!$D$57-H22974)),0)</f>
        <v>0</v>
      </c>
      <c r="I22981" s="16" t="n">
        <f aca="false">IF(AND(Assumptions!$P$57=1,OR(I22938&lt;Assumptions!$K$57,H23284=1)),MIN(MAX(0,-I23154),MAX(0,Assumptions!$D$57-I22974)),0)</f>
        <v>0</v>
      </c>
      <c r="J22981" s="16" t="n">
        <f aca="false">IF(AND(Assumptions!$P$57=1,OR(J22938&lt;Assumptions!$K$57,I23284=1)),MIN(MAX(0,-J23154),MAX(0,Assumptions!$D$57-J22974)),0)</f>
        <v>0</v>
      </c>
      <c r="K22981" s="16" t="n">
        <f aca="false">IF(AND(Assumptions!$P$57=1,OR(K22938&lt;Assumptions!$K$57,J23284=1)),MIN(MAX(0,-K23154),MAX(0,Assumptions!$D$57-K22974)),0)</f>
        <v>0</v>
      </c>
    </row>
    <row r="22982" customFormat="false" ht="15" hidden="false" customHeight="false" outlineLevel="0" collapsed="false">
      <c r="A22982" s="3" t="s">
        <v>336</v>
      </c>
      <c r="G22982" s="16" t="n">
        <f aca="false">G22975*MIN(G22974-G22980+G22979,MAX(0,G23156-Assumptions!$C$12*G22972))</f>
        <v>0</v>
      </c>
      <c r="H22982" s="16" t="n">
        <f aca="false">H22975*MIN(H22974-H22980+H22979,MAX(0,H23156-Assumptions!$C$12*H22972))</f>
        <v>0</v>
      </c>
      <c r="I22982" s="16" t="n">
        <f aca="false">I22975*MIN(I22974-I22980+I22979,MAX(0,I23156-Assumptions!$C$12*I22972))</f>
        <v>0</v>
      </c>
      <c r="J22982" s="16" t="n">
        <f aca="false">J22975*MIN(J22974-J22980+J22979,MAX(0,J23156-Assumptions!$C$12*J22972))</f>
        <v>0</v>
      </c>
      <c r="K22982" s="16" t="n">
        <f aca="false">K22975*MIN(K22974-K22980+K22979,MAX(0,K23156-Assumptions!$C$12*K22972))</f>
        <v>0</v>
      </c>
    </row>
    <row r="22983" customFormat="false" ht="15" hidden="false" customHeight="false" outlineLevel="0" collapsed="false">
      <c r="A22983" s="3" t="s">
        <v>337</v>
      </c>
      <c r="G22983" s="16" t="n">
        <f aca="false">Assumptions!$N$57*MIN(G22974+G22981+G22979-G22980-G22982,MAX(0,G23160))</f>
        <v>0</v>
      </c>
      <c r="H22983" s="16" t="n">
        <f aca="false">Assumptions!$N$57*MIN(H22974+H22981+H22979-H22980-H22982,MAX(0,H23160))</f>
        <v>0</v>
      </c>
      <c r="I22983" s="16" t="n">
        <f aca="false">Assumptions!$N$57*MIN(I22974+I22981+I22979-I22980-I22982,MAX(0,I23160))</f>
        <v>0</v>
      </c>
      <c r="J22983" s="16" t="n">
        <f aca="false">Assumptions!$N$57*MIN(J22974+J22981+J22979-J22980-J22982,MAX(0,J23160))</f>
        <v>0</v>
      </c>
      <c r="K22983" s="16" t="n">
        <f aca="false">Assumptions!$N$57*MIN(K22974+K22981+K22979-K22980-K22982,MAX(0,K23160))</f>
        <v>0</v>
      </c>
    </row>
    <row r="22984" customFormat="false" ht="15" hidden="false" customHeight="false" outlineLevel="0" collapsed="false">
      <c r="A22984" s="3" t="s">
        <v>338</v>
      </c>
      <c r="G22984" s="16" t="n">
        <f aca="false">G22975*(1-G22972)*(G22974-G22980+G22979-G22982)</f>
        <v>0</v>
      </c>
      <c r="H22984" s="16" t="n">
        <f aca="false">H22975*(1-H22972)*(H22974-H22980+H22979-H22982)</f>
        <v>0</v>
      </c>
      <c r="I22984" s="16" t="n">
        <f aca="false">I22975*(1-I22972)*(I22974-I22980+I22979-I22982)</f>
        <v>0</v>
      </c>
      <c r="J22984" s="16" t="n">
        <f aca="false">J22975*(1-J22972)*(J22974-J22980+J22979-J22982)</f>
        <v>0</v>
      </c>
      <c r="K22984" s="16" t="n">
        <f aca="false">K22975*(1-K22972)*(K22974-K22980+K22979-K22982)</f>
        <v>0</v>
      </c>
    </row>
    <row r="22985" customFormat="false" ht="15" hidden="false" customHeight="false" outlineLevel="0" collapsed="false">
      <c r="A22985" s="2" t="s">
        <v>339</v>
      </c>
      <c r="F22985" s="28" t="n">
        <f aca="false">Assumptions!$C$57</f>
        <v>400</v>
      </c>
      <c r="G22985" s="17" t="n">
        <f aca="false">G22974+G22981+G22979-G22980-G22982-G22983</f>
        <v>396</v>
      </c>
      <c r="H22985" s="17" t="n">
        <f aca="false">H22974+H22981+H22979-H22980-H22982-H22983</f>
        <v>392</v>
      </c>
      <c r="I22985" s="17" t="n">
        <f aca="false">I22974+I22981+I22979-I22980-I22982-I22983</f>
        <v>388</v>
      </c>
      <c r="J22985" s="17" t="n">
        <f aca="false">J22974+J22981+J22979-J22980-J22982-J22983</f>
        <v>384</v>
      </c>
      <c r="K22985" s="17" t="n">
        <f aca="false">K22974+K22981+K22979-K22980-K22982-K22983</f>
        <v>380</v>
      </c>
    </row>
    <row r="22986" customFormat="false" ht="15" hidden="false" customHeight="false" outlineLevel="0" collapsed="false">
      <c r="A22986" s="24" t="s">
        <v>340</v>
      </c>
      <c r="B22986" s="25"/>
      <c r="C22986" s="25"/>
      <c r="D22986" s="25"/>
      <c r="E22986" s="25"/>
      <c r="F22986" s="25"/>
      <c r="G22986" s="25"/>
      <c r="H22986" s="25"/>
      <c r="I22986" s="25"/>
      <c r="J22986" s="25"/>
      <c r="K22986" s="25"/>
    </row>
    <row r="22987" customFormat="false" ht="15" hidden="false" customHeight="false" outlineLevel="0" collapsed="false">
      <c r="A22987" s="3" t="s">
        <v>329</v>
      </c>
      <c r="G22987" s="16" t="n">
        <f aca="false">F22998</f>
        <v>90</v>
      </c>
      <c r="H22987" s="16" t="n">
        <f aca="false">G22998</f>
        <v>90</v>
      </c>
      <c r="I22987" s="16" t="n">
        <f aca="false">H22998</f>
        <v>90</v>
      </c>
      <c r="J22987" s="16" t="n">
        <f aca="false">I22998</f>
        <v>90</v>
      </c>
      <c r="K22987" s="16" t="n">
        <f aca="false">J22998</f>
        <v>90</v>
      </c>
    </row>
    <row r="22988" customFormat="false" ht="15" hidden="false" customHeight="false" outlineLevel="0" collapsed="false">
      <c r="A22988" s="3" t="s">
        <v>330</v>
      </c>
      <c r="G22988" s="21" t="n">
        <f aca="false">IF(G22938=Assumptions!$K$58,1,0)</f>
        <v>0</v>
      </c>
      <c r="H22988" s="21" t="n">
        <f aca="false">IF(H22938=Assumptions!$K$58,1,0)</f>
        <v>0</v>
      </c>
      <c r="I22988" s="21" t="n">
        <f aca="false">IF(I22938=Assumptions!$K$58,1,0)</f>
        <v>0</v>
      </c>
      <c r="J22988" s="21" t="n">
        <f aca="false">IF(J22938=Assumptions!$K$58,1,0)</f>
        <v>0</v>
      </c>
      <c r="K22988" s="21" t="n">
        <f aca="false">IF(K22938=Assumptions!$K$58,1,0)</f>
        <v>0</v>
      </c>
    </row>
    <row r="22990" customFormat="false" ht="15" hidden="false" customHeight="false" outlineLevel="0" collapsed="false">
      <c r="A22990" s="3" t="s">
        <v>331</v>
      </c>
      <c r="G22990" s="31" t="n">
        <f aca="false">IF(Assumptions!$I$58=1,MAX(G22964,Assumptions!$G$58)+Assumptions!$F$58+$C$22965,Assumptions!$E$58)</f>
        <v>0.0581</v>
      </c>
      <c r="H22990" s="31" t="n">
        <f aca="false">IF(G23285=1,$C$22966,IF(Assumptions!$I$58=1,MAX(H22964,Assumptions!$G$58)+Assumptions!$F$58+$C$22965,Assumptions!$E$58))</f>
        <v>0.0581</v>
      </c>
      <c r="I22990" s="31" t="n">
        <f aca="false">IF(H23285=1,$C$22966,IF(Assumptions!$I$58=1,MAX(I22964,Assumptions!$G$58)+Assumptions!$F$58+$C$22965,Assumptions!$E$58))</f>
        <v>0.0581</v>
      </c>
      <c r="J22990" s="31" t="n">
        <f aca="false">IF(I23285=1,$C$22966,IF(Assumptions!$I$58=1,MAX(J22964,Assumptions!$G$58)+Assumptions!$F$58+$C$22965,Assumptions!$E$58))</f>
        <v>0.0581</v>
      </c>
      <c r="K22990" s="31" t="n">
        <f aca="false">IF(J23285=1,$C$22966,IF(Assumptions!$I$58=1,MAX(K22964,Assumptions!$G$58)+Assumptions!$F$58+$C$22965,Assumptions!$E$58))</f>
        <v>0.0581</v>
      </c>
    </row>
    <row r="22991" customFormat="false" ht="15" hidden="false" customHeight="false" outlineLevel="0" collapsed="false">
      <c r="A22991" s="3" t="s">
        <v>332</v>
      </c>
      <c r="G22991" s="16" t="n">
        <f aca="false">G22987*G22990</f>
        <v>5.229</v>
      </c>
      <c r="H22991" s="16" t="n">
        <f aca="false">H22987*H22990</f>
        <v>5.229</v>
      </c>
      <c r="I22991" s="16" t="n">
        <f aca="false">I22987*I22990</f>
        <v>5.229</v>
      </c>
      <c r="J22991" s="16" t="n">
        <f aca="false">J22987*J22990</f>
        <v>5.229</v>
      </c>
      <c r="K22991" s="16" t="n">
        <f aca="false">K22987*K22990</f>
        <v>5.229</v>
      </c>
    </row>
    <row r="22992" customFormat="false" ht="15" hidden="false" customHeight="false" outlineLevel="0" collapsed="false">
      <c r="A22992" s="3" t="s">
        <v>333</v>
      </c>
      <c r="G22992" s="16" t="n">
        <f aca="false">G22987*Assumptions!$H$58</f>
        <v>0</v>
      </c>
      <c r="H22992" s="16" t="n">
        <f aca="false">H22987*Assumptions!$H$58</f>
        <v>0</v>
      </c>
      <c r="I22992" s="16" t="n">
        <f aca="false">I22987*Assumptions!$H$58</f>
        <v>0</v>
      </c>
      <c r="J22992" s="16" t="n">
        <f aca="false">J22987*Assumptions!$H$58</f>
        <v>0</v>
      </c>
      <c r="K22992" s="16" t="n">
        <f aca="false">K22987*Assumptions!$H$58</f>
        <v>0</v>
      </c>
    </row>
    <row r="22993" customFormat="false" ht="15" hidden="false" customHeight="false" outlineLevel="0" collapsed="false">
      <c r="A22993" s="3" t="s">
        <v>334</v>
      </c>
      <c r="G22993" s="16" t="n">
        <f aca="false">MIN(G22987,Assumptions!$L$58*Assumptions!$C$58)</f>
        <v>0</v>
      </c>
      <c r="H22993" s="16" t="n">
        <f aca="false">MIN(H22987,Assumptions!$L$58*Assumptions!$C$58)</f>
        <v>0</v>
      </c>
      <c r="I22993" s="16" t="n">
        <f aca="false">MIN(I22987,Assumptions!$L$58*Assumptions!$C$58)</f>
        <v>0</v>
      </c>
      <c r="J22993" s="16" t="n">
        <f aca="false">MIN(J22987,Assumptions!$L$58*Assumptions!$C$58)</f>
        <v>0</v>
      </c>
      <c r="K22993" s="16" t="n">
        <f aca="false">MIN(K22987,Assumptions!$L$58*Assumptions!$C$58)</f>
        <v>0</v>
      </c>
    </row>
    <row r="22994" customFormat="false" ht="15" hidden="false" customHeight="false" outlineLevel="0" collapsed="false">
      <c r="A22994" s="3" t="s">
        <v>335</v>
      </c>
      <c r="G22994" s="16" t="n">
        <f aca="false">IF(AND(Assumptions!$P$58=1,G22938&lt;Assumptions!$K$58),MIN(MAX(0,-G23154),MAX(0,Assumptions!$D$58-G22987)),0)</f>
        <v>0</v>
      </c>
      <c r="H22994" s="16" t="n">
        <f aca="false">IF(AND(Assumptions!$P$58=1,OR(H22938&lt;Assumptions!$K$58,G23285=1)),MIN(MAX(0,-H23154),MAX(0,Assumptions!$D$58-H22987)),0)</f>
        <v>0</v>
      </c>
      <c r="I22994" s="16" t="n">
        <f aca="false">IF(AND(Assumptions!$P$58=1,OR(I22938&lt;Assumptions!$K$58,H23285=1)),MIN(MAX(0,-I23154),MAX(0,Assumptions!$D$58-I22987)),0)</f>
        <v>0</v>
      </c>
      <c r="J22994" s="16" t="n">
        <f aca="false">IF(AND(Assumptions!$P$58=1,OR(J22938&lt;Assumptions!$K$58,I23285=1)),MIN(MAX(0,-J23154),MAX(0,Assumptions!$D$58-J22987)),0)</f>
        <v>0</v>
      </c>
      <c r="K22994" s="16" t="n">
        <f aca="false">IF(AND(Assumptions!$P$58=1,OR(K22938&lt;Assumptions!$K$58,J23285=1)),MIN(MAX(0,-K23154),MAX(0,Assumptions!$D$58-K22987)),0)</f>
        <v>0</v>
      </c>
    </row>
    <row r="22995" customFormat="false" ht="15" hidden="false" customHeight="false" outlineLevel="0" collapsed="false">
      <c r="A22995" s="3" t="s">
        <v>336</v>
      </c>
      <c r="G22995" s="16" t="n">
        <f aca="false">G22988*MIN(G22987-G22993+G22992,MAX(0,G23156-Assumptions!$C$12*G22972-G22982))</f>
        <v>0</v>
      </c>
      <c r="H22995" s="16" t="n">
        <f aca="false">H22988*MIN(H22987-H22993+H22992,MAX(0,H23156-Assumptions!$C$12*H22972-H22982))</f>
        <v>0</v>
      </c>
      <c r="I22995" s="16" t="n">
        <f aca="false">I22988*MIN(I22987-I22993+I22992,MAX(0,I23156-Assumptions!$C$12*I22972-I22982))</f>
        <v>0</v>
      </c>
      <c r="J22995" s="16" t="n">
        <f aca="false">J22988*MIN(J22987-J22993+J22992,MAX(0,J23156-Assumptions!$C$12*J22972-J22982))</f>
        <v>0</v>
      </c>
      <c r="K22995" s="16" t="n">
        <f aca="false">K22988*MIN(K22987-K22993+K22992,MAX(0,K23156-Assumptions!$C$12*K22972-K22982))</f>
        <v>0</v>
      </c>
    </row>
    <row r="22996" customFormat="false" ht="15" hidden="false" customHeight="false" outlineLevel="0" collapsed="false">
      <c r="A22996" s="3" t="s">
        <v>337</v>
      </c>
      <c r="G22996" s="16" t="n">
        <f aca="false">Assumptions!$N$58*MIN(G22987+G22994+G22992-G22993-G22995,MAX(0,G23160-G22983))</f>
        <v>0</v>
      </c>
      <c r="H22996" s="16" t="n">
        <f aca="false">Assumptions!$N$58*MIN(H22987+H22994+H22992-H22993-H22995,MAX(0,H23160-H22983))</f>
        <v>0</v>
      </c>
      <c r="I22996" s="16" t="n">
        <f aca="false">Assumptions!$N$58*MIN(I22987+I22994+I22992-I22993-I22995,MAX(0,I23160-I22983))</f>
        <v>0</v>
      </c>
      <c r="J22996" s="16" t="n">
        <f aca="false">Assumptions!$N$58*MIN(J22987+J22994+J22992-J22993-J22995,MAX(0,J23160-J22983))</f>
        <v>0</v>
      </c>
      <c r="K22996" s="16" t="n">
        <f aca="false">Assumptions!$N$58*MIN(K22987+K22994+K22992-K22993-K22995,MAX(0,K23160-K22983))</f>
        <v>0</v>
      </c>
    </row>
    <row r="22997" customFormat="false" ht="15" hidden="false" customHeight="false" outlineLevel="0" collapsed="false">
      <c r="A22997" s="3" t="s">
        <v>338</v>
      </c>
      <c r="G22997" s="16" t="n">
        <f aca="false">G22988*(1-G22972)*(G22987-G22993+G22992-G22995)</f>
        <v>0</v>
      </c>
      <c r="H22997" s="16" t="n">
        <f aca="false">H22988*(1-H22972)*(H22987-H22993+H22992-H22995)</f>
        <v>0</v>
      </c>
      <c r="I22997" s="16" t="n">
        <f aca="false">I22988*(1-I22972)*(I22987-I22993+I22992-I22995)</f>
        <v>0</v>
      </c>
      <c r="J22997" s="16" t="n">
        <f aca="false">J22988*(1-J22972)*(J22987-J22993+J22992-J22995)</f>
        <v>0</v>
      </c>
      <c r="K22997" s="16" t="n">
        <f aca="false">K22988*(1-K22972)*(K22987-K22993+K22992-K22995)</f>
        <v>0</v>
      </c>
    </row>
    <row r="22998" customFormat="false" ht="15" hidden="false" customHeight="false" outlineLevel="0" collapsed="false">
      <c r="A22998" s="2" t="s">
        <v>339</v>
      </c>
      <c r="F22998" s="28" t="n">
        <f aca="false">Assumptions!$C$58</f>
        <v>90</v>
      </c>
      <c r="G22998" s="17" t="n">
        <f aca="false">G22987+G22994+G22992-G22993-G22995-G22996</f>
        <v>90</v>
      </c>
      <c r="H22998" s="17" t="n">
        <f aca="false">H22987+H22994+H22992-H22993-H22995-H22996</f>
        <v>90</v>
      </c>
      <c r="I22998" s="17" t="n">
        <f aca="false">I22987+I22994+I22992-I22993-I22995-I22996</f>
        <v>90</v>
      </c>
      <c r="J22998" s="17" t="n">
        <f aca="false">J22987+J22994+J22992-J22993-J22995-J22996</f>
        <v>90</v>
      </c>
      <c r="K22998" s="17" t="n">
        <f aca="false">K22987+K22994+K22992-K22993-K22995-K22996</f>
        <v>90</v>
      </c>
    </row>
    <row r="22999" customFormat="false" ht="15" hidden="false" customHeight="false" outlineLevel="0" collapsed="false">
      <c r="A22999" s="24" t="s">
        <v>341</v>
      </c>
      <c r="B22999" s="25"/>
      <c r="C22999" s="25"/>
      <c r="D22999" s="25"/>
      <c r="E22999" s="25"/>
      <c r="F22999" s="25"/>
      <c r="G22999" s="25"/>
      <c r="H22999" s="25"/>
      <c r="I22999" s="25"/>
      <c r="J22999" s="25"/>
      <c r="K22999" s="25"/>
    </row>
    <row r="23000" customFormat="false" ht="15" hidden="false" customHeight="false" outlineLevel="0" collapsed="false">
      <c r="A23000" s="3" t="s">
        <v>329</v>
      </c>
      <c r="G23000" s="16" t="n">
        <f aca="false">F23011</f>
        <v>57.324</v>
      </c>
      <c r="H23000" s="16" t="n">
        <f aca="false">G23011</f>
        <v>57.324</v>
      </c>
      <c r="I23000" s="16" t="n">
        <f aca="false">H23011</f>
        <v>57.324</v>
      </c>
      <c r="J23000" s="16" t="n">
        <f aca="false">I23011</f>
        <v>57.324</v>
      </c>
      <c r="K23000" s="16" t="n">
        <f aca="false">J23011</f>
        <v>57.324</v>
      </c>
    </row>
    <row r="23001" customFormat="false" ht="15" hidden="false" customHeight="false" outlineLevel="0" collapsed="false">
      <c r="A23001" s="3" t="s">
        <v>330</v>
      </c>
      <c r="G23001" s="21" t="n">
        <f aca="false">IF(G22938=Assumptions!$K$59,1,0)</f>
        <v>0</v>
      </c>
      <c r="H23001" s="21" t="n">
        <f aca="false">IF(H22938=Assumptions!$K$59,1,0)</f>
        <v>0</v>
      </c>
      <c r="I23001" s="21" t="n">
        <f aca="false">IF(I22938=Assumptions!$K$59,1,0)</f>
        <v>0</v>
      </c>
      <c r="J23001" s="21" t="n">
        <f aca="false">IF(J22938=Assumptions!$K$59,1,0)</f>
        <v>0</v>
      </c>
      <c r="K23001" s="21" t="n">
        <f aca="false">IF(K22938=Assumptions!$K$59,1,0)</f>
        <v>0</v>
      </c>
    </row>
    <row r="23003" customFormat="false" ht="15" hidden="false" customHeight="false" outlineLevel="0" collapsed="false">
      <c r="A23003" s="3" t="s">
        <v>331</v>
      </c>
      <c r="G23003" s="31" t="n">
        <f aca="false">IF(Assumptions!$I$59=1,MAX(G22964,Assumptions!$G$59)+Assumptions!$F$59+$C$22965,Assumptions!$E$59)</f>
        <v>0.0731</v>
      </c>
      <c r="H23003" s="31" t="n">
        <f aca="false">IF(G23286=1,$C$22966,IF(Assumptions!$I$59=1,MAX(H22964,Assumptions!$G$59)+Assumptions!$F$59+$C$22965,Assumptions!$E$59))</f>
        <v>0.0731</v>
      </c>
      <c r="I23003" s="31" t="n">
        <f aca="false">IF(H23286=1,$C$22966,IF(Assumptions!$I$59=1,MAX(I22964,Assumptions!$G$59)+Assumptions!$F$59+$C$22965,Assumptions!$E$59))</f>
        <v>0.0731</v>
      </c>
      <c r="J23003" s="31" t="n">
        <f aca="false">IF(I23286=1,$C$22966,IF(Assumptions!$I$59=1,MAX(J22964,Assumptions!$G$59)+Assumptions!$F$59+$C$22965,Assumptions!$E$59))</f>
        <v>0.0731</v>
      </c>
      <c r="K23003" s="31" t="n">
        <f aca="false">IF(J23286=1,$C$22966,IF(Assumptions!$I$59=1,MAX(K22964,Assumptions!$G$59)+Assumptions!$F$59+$C$22965,Assumptions!$E$59))</f>
        <v>0.0731</v>
      </c>
    </row>
    <row r="23004" customFormat="false" ht="15" hidden="false" customHeight="false" outlineLevel="0" collapsed="false">
      <c r="A23004" s="3" t="s">
        <v>332</v>
      </c>
      <c r="G23004" s="16" t="n">
        <f aca="false">G23000*G23003</f>
        <v>4.1903844</v>
      </c>
      <c r="H23004" s="16" t="n">
        <f aca="false">H23000*H23003</f>
        <v>4.1903844</v>
      </c>
      <c r="I23004" s="16" t="n">
        <f aca="false">I23000*I23003</f>
        <v>4.1903844</v>
      </c>
      <c r="J23004" s="16" t="n">
        <f aca="false">J23000*J23003</f>
        <v>4.1903844</v>
      </c>
      <c r="K23004" s="16" t="n">
        <f aca="false">K23000*K23003</f>
        <v>4.1903844</v>
      </c>
    </row>
    <row r="23005" customFormat="false" ht="15" hidden="false" customHeight="false" outlineLevel="0" collapsed="false">
      <c r="A23005" s="3" t="s">
        <v>333</v>
      </c>
      <c r="G23005" s="16" t="n">
        <f aca="false">G23000*Assumptions!$H$59</f>
        <v>0</v>
      </c>
      <c r="H23005" s="16" t="n">
        <f aca="false">H23000*Assumptions!$H$59</f>
        <v>0</v>
      </c>
      <c r="I23005" s="16" t="n">
        <f aca="false">I23000*Assumptions!$H$59</f>
        <v>0</v>
      </c>
      <c r="J23005" s="16" t="n">
        <f aca="false">J23000*Assumptions!$H$59</f>
        <v>0</v>
      </c>
      <c r="K23005" s="16" t="n">
        <f aca="false">K23000*Assumptions!$H$59</f>
        <v>0</v>
      </c>
    </row>
    <row r="23006" customFormat="false" ht="15" hidden="false" customHeight="false" outlineLevel="0" collapsed="false">
      <c r="A23006" s="3" t="s">
        <v>334</v>
      </c>
      <c r="G23006" s="16" t="n">
        <f aca="false">MIN(G23000,Assumptions!$L$59*Assumptions!$C$59)</f>
        <v>0</v>
      </c>
      <c r="H23006" s="16" t="n">
        <f aca="false">MIN(H23000,Assumptions!$L$59*Assumptions!$C$59)</f>
        <v>0</v>
      </c>
      <c r="I23006" s="16" t="n">
        <f aca="false">MIN(I23000,Assumptions!$L$59*Assumptions!$C$59)</f>
        <v>0</v>
      </c>
      <c r="J23006" s="16" t="n">
        <f aca="false">MIN(J23000,Assumptions!$L$59*Assumptions!$C$59)</f>
        <v>0</v>
      </c>
      <c r="K23006" s="16" t="n">
        <f aca="false">MIN(K23000,Assumptions!$L$59*Assumptions!$C$59)</f>
        <v>0</v>
      </c>
    </row>
    <row r="23007" customFormat="false" ht="15" hidden="false" customHeight="false" outlineLevel="0" collapsed="false">
      <c r="A23007" s="3" t="s">
        <v>335</v>
      </c>
      <c r="G23007" s="16" t="n">
        <f aca="false">IF(AND(Assumptions!$P$59=1,G22938&lt;Assumptions!$K$59),MIN(MAX(0,-G23154),MAX(0,Assumptions!$D$59-G23000)),0)</f>
        <v>0</v>
      </c>
      <c r="H23007" s="16" t="n">
        <f aca="false">IF(AND(Assumptions!$P$59=1,OR(H22938&lt;Assumptions!$K$59,G23286=1)),MIN(MAX(0,-H23154),MAX(0,Assumptions!$D$59-H23000)),0)</f>
        <v>0</v>
      </c>
      <c r="I23007" s="16" t="n">
        <f aca="false">IF(AND(Assumptions!$P$59=1,OR(I22938&lt;Assumptions!$K$59,H23286=1)),MIN(MAX(0,-I23154),MAX(0,Assumptions!$D$59-I23000)),0)</f>
        <v>0</v>
      </c>
      <c r="J23007" s="16" t="n">
        <f aca="false">IF(AND(Assumptions!$P$59=1,OR(J22938&lt;Assumptions!$K$59,I23286=1)),MIN(MAX(0,-J23154),MAX(0,Assumptions!$D$59-J23000)),0)</f>
        <v>0</v>
      </c>
      <c r="K23007" s="16" t="n">
        <f aca="false">IF(AND(Assumptions!$P$59=1,OR(K22938&lt;Assumptions!$K$59,J23286=1)),MIN(MAX(0,-K23154),MAX(0,Assumptions!$D$59-K23000)),0)</f>
        <v>0</v>
      </c>
    </row>
    <row r="23008" customFormat="false" ht="15" hidden="false" customHeight="false" outlineLevel="0" collapsed="false">
      <c r="A23008" s="3" t="s">
        <v>336</v>
      </c>
      <c r="G23008" s="16" t="n">
        <f aca="false">G23001*MIN(G23000-G23006+G23005,MAX(0,G23156-Assumptions!$C$12*G22972-G22982-G22995))</f>
        <v>0</v>
      </c>
      <c r="H23008" s="16" t="n">
        <f aca="false">H23001*MIN(H23000-H23006+H23005,MAX(0,H23156-Assumptions!$C$12*H22972-H22982-H22995))</f>
        <v>0</v>
      </c>
      <c r="I23008" s="16" t="n">
        <f aca="false">I23001*MIN(I23000-I23006+I23005,MAX(0,I23156-Assumptions!$C$12*I22972-I22982-I22995))</f>
        <v>0</v>
      </c>
      <c r="J23008" s="16" t="n">
        <f aca="false">J23001*MIN(J23000-J23006+J23005,MAX(0,J23156-Assumptions!$C$12*J22972-J22982-J22995))</f>
        <v>0</v>
      </c>
      <c r="K23008" s="16" t="n">
        <f aca="false">K23001*MIN(K23000-K23006+K23005,MAX(0,K23156-Assumptions!$C$12*K22972-K22982-K22995))</f>
        <v>0</v>
      </c>
    </row>
    <row r="23009" customFormat="false" ht="15" hidden="false" customHeight="false" outlineLevel="0" collapsed="false">
      <c r="A23009" s="3" t="s">
        <v>337</v>
      </c>
      <c r="G23009" s="16" t="n">
        <f aca="false">Assumptions!$N$59*MIN(G23000+G23007+G23005-G23006-G23008,MAX(0,G23160-G22983-G22996))</f>
        <v>0</v>
      </c>
      <c r="H23009" s="16" t="n">
        <f aca="false">Assumptions!$N$59*MIN(H23000+H23007+H23005-H23006-H23008,MAX(0,H23160-H22983-H22996))</f>
        <v>0</v>
      </c>
      <c r="I23009" s="16" t="n">
        <f aca="false">Assumptions!$N$59*MIN(I23000+I23007+I23005-I23006-I23008,MAX(0,I23160-I22983-I22996))</f>
        <v>0</v>
      </c>
      <c r="J23009" s="16" t="n">
        <f aca="false">Assumptions!$N$59*MIN(J23000+J23007+J23005-J23006-J23008,MAX(0,J23160-J22983-J22996))</f>
        <v>0</v>
      </c>
      <c r="K23009" s="16" t="n">
        <f aca="false">Assumptions!$N$59*MIN(K23000+K23007+K23005-K23006-K23008,MAX(0,K23160-K22983-K22996))</f>
        <v>0</v>
      </c>
    </row>
    <row r="23010" customFormat="false" ht="15" hidden="false" customHeight="false" outlineLevel="0" collapsed="false">
      <c r="A23010" s="3" t="s">
        <v>338</v>
      </c>
      <c r="G23010" s="16" t="n">
        <f aca="false">G23001*(1-G22972)*(G23000-G23006+G23005-G23008)</f>
        <v>0</v>
      </c>
      <c r="H23010" s="16" t="n">
        <f aca="false">H23001*(1-H22972)*(H23000-H23006+H23005-H23008)</f>
        <v>0</v>
      </c>
      <c r="I23010" s="16" t="n">
        <f aca="false">I23001*(1-I22972)*(I23000-I23006+I23005-I23008)</f>
        <v>0</v>
      </c>
      <c r="J23010" s="16" t="n">
        <f aca="false">J23001*(1-J22972)*(J23000-J23006+J23005-J23008)</f>
        <v>0</v>
      </c>
      <c r="K23010" s="16" t="n">
        <f aca="false">K23001*(1-K22972)*(K23000-K23006+K23005-K23008)</f>
        <v>0</v>
      </c>
    </row>
    <row r="23011" customFormat="false" ht="15" hidden="false" customHeight="false" outlineLevel="0" collapsed="false">
      <c r="A23011" s="2" t="s">
        <v>339</v>
      </c>
      <c r="F23011" s="28" t="n">
        <f aca="false">Assumptions!$C$59</f>
        <v>57.324</v>
      </c>
      <c r="G23011" s="17" t="n">
        <f aca="false">G23000+G23007+G23005-G23006-G23008-G23009</f>
        <v>57.324</v>
      </c>
      <c r="H23011" s="17" t="n">
        <f aca="false">H23000+H23007+H23005-H23006-H23008-H23009</f>
        <v>57.324</v>
      </c>
      <c r="I23011" s="17" t="n">
        <f aca="false">I23000+I23007+I23005-I23006-I23008-I23009</f>
        <v>57.324</v>
      </c>
      <c r="J23011" s="17" t="n">
        <f aca="false">J23000+J23007+J23005-J23006-J23008-J23009</f>
        <v>57.324</v>
      </c>
      <c r="K23011" s="17" t="n">
        <f aca="false">K23000+K23007+K23005-K23006-K23008-K23009</f>
        <v>57.324</v>
      </c>
    </row>
    <row r="23012" customFormat="false" ht="15" hidden="false" customHeight="false" outlineLevel="0" collapsed="false">
      <c r="A23012" s="24" t="s">
        <v>342</v>
      </c>
      <c r="B23012" s="25"/>
      <c r="C23012" s="25"/>
      <c r="D23012" s="25"/>
      <c r="E23012" s="25"/>
      <c r="F23012" s="25"/>
      <c r="G23012" s="25"/>
      <c r="H23012" s="25"/>
      <c r="I23012" s="25"/>
      <c r="J23012" s="25"/>
      <c r="K23012" s="25"/>
    </row>
    <row r="23013" customFormat="false" ht="15" hidden="false" customHeight="false" outlineLevel="0" collapsed="false">
      <c r="A23013" s="3" t="s">
        <v>329</v>
      </c>
      <c r="G23013" s="16" t="n">
        <f aca="false">F23024</f>
        <v>0</v>
      </c>
      <c r="H23013" s="16" t="n">
        <f aca="false">G23024</f>
        <v>0</v>
      </c>
      <c r="I23013" s="16" t="n">
        <f aca="false">H23024</f>
        <v>0</v>
      </c>
      <c r="J23013" s="16" t="n">
        <f aca="false">I23024</f>
        <v>66.796942182056</v>
      </c>
      <c r="K23013" s="16" t="n">
        <f aca="false">J23024</f>
        <v>155.677464864795</v>
      </c>
    </row>
    <row r="23014" customFormat="false" ht="15" hidden="false" customHeight="false" outlineLevel="0" collapsed="false">
      <c r="A23014" s="3" t="s">
        <v>330</v>
      </c>
      <c r="G23014" s="21" t="n">
        <f aca="false">IF(G22938=Assumptions!$K$60,1,0)</f>
        <v>1</v>
      </c>
      <c r="H23014" s="21" t="n">
        <f aca="false">IF(H22938=Assumptions!$K$60,1,0)</f>
        <v>0</v>
      </c>
      <c r="I23014" s="21" t="n">
        <f aca="false">IF(I22938=Assumptions!$K$60,1,0)</f>
        <v>0</v>
      </c>
      <c r="J23014" s="21" t="n">
        <f aca="false">IF(J22938=Assumptions!$K$60,1,0)</f>
        <v>0</v>
      </c>
      <c r="K23014" s="21" t="n">
        <f aca="false">IF(K22938=Assumptions!$K$60,1,0)</f>
        <v>0</v>
      </c>
    </row>
    <row r="23016" customFormat="false" ht="15" hidden="false" customHeight="false" outlineLevel="0" collapsed="false">
      <c r="A23016" s="3" t="s">
        <v>331</v>
      </c>
      <c r="G23016" s="31" t="n">
        <f aca="false">IF(Assumptions!$I$60=1,MAX(G22964,Assumptions!$G$60)+Assumptions!$F$60+$C$22965,Assumptions!$E$60)</f>
        <v>0.054</v>
      </c>
      <c r="H23016" s="31" t="n">
        <f aca="false">IF(G23287=1,$C$22966,IF(Assumptions!$I$60=1,MAX(H22964,Assumptions!$G$60)+Assumptions!$F$60+$C$22965,Assumptions!$E$60))</f>
        <v>0.08</v>
      </c>
      <c r="I23016" s="31" t="n">
        <f aca="false">IF(H23287=1,$C$22966,IF(Assumptions!$I$60=1,MAX(I22964,Assumptions!$G$60)+Assumptions!$F$60+$C$22965,Assumptions!$E$60))</f>
        <v>0.08</v>
      </c>
      <c r="J23016" s="31" t="n">
        <f aca="false">IF(I23287=1,$C$22966,IF(Assumptions!$I$60=1,MAX(J22964,Assumptions!$G$60)+Assumptions!$F$60+$C$22965,Assumptions!$E$60))</f>
        <v>0.08</v>
      </c>
      <c r="K23016" s="31" t="n">
        <f aca="false">IF(J23287=1,$C$22966,IF(Assumptions!$I$60=1,MAX(K22964,Assumptions!$G$60)+Assumptions!$F$60+$C$22965,Assumptions!$E$60))</f>
        <v>0.08</v>
      </c>
    </row>
    <row r="23017" customFormat="false" ht="15" hidden="false" customHeight="false" outlineLevel="0" collapsed="false">
      <c r="A23017" s="3" t="s">
        <v>332</v>
      </c>
      <c r="G23017" s="16" t="n">
        <f aca="false">G23013*G23016</f>
        <v>0</v>
      </c>
      <c r="H23017" s="16" t="n">
        <f aca="false">H23013*H23016</f>
        <v>0</v>
      </c>
      <c r="I23017" s="16" t="n">
        <f aca="false">I23013*I23016</f>
        <v>0</v>
      </c>
      <c r="J23017" s="16" t="n">
        <f aca="false">J23013*J23016</f>
        <v>5.34375537456448</v>
      </c>
      <c r="K23017" s="16" t="n">
        <f aca="false">K23013*K23016</f>
        <v>12.4541971891836</v>
      </c>
    </row>
    <row r="23018" customFormat="false" ht="15" hidden="false" customHeight="false" outlineLevel="0" collapsed="false">
      <c r="A23018" s="3" t="s">
        <v>333</v>
      </c>
      <c r="G23018" s="16" t="n">
        <f aca="false">G23013*Assumptions!$H$60</f>
        <v>0</v>
      </c>
      <c r="H23018" s="16" t="n">
        <f aca="false">H23013*Assumptions!$H$60</f>
        <v>0</v>
      </c>
      <c r="I23018" s="16" t="n">
        <f aca="false">I23013*Assumptions!$H$60</f>
        <v>0</v>
      </c>
      <c r="J23018" s="16" t="n">
        <f aca="false">J23013*Assumptions!$H$60</f>
        <v>0</v>
      </c>
      <c r="K23018" s="16" t="n">
        <f aca="false">K23013*Assumptions!$H$60</f>
        <v>0</v>
      </c>
    </row>
    <row r="23019" customFormat="false" ht="15" hidden="false" customHeight="false" outlineLevel="0" collapsed="false">
      <c r="A23019" s="3" t="s">
        <v>334</v>
      </c>
      <c r="G23019" s="16" t="n">
        <f aca="false">MIN(G23013,Assumptions!$L$60*Assumptions!$C$60)</f>
        <v>0</v>
      </c>
      <c r="H23019" s="16" t="n">
        <f aca="false">MIN(H23013,Assumptions!$L$60*Assumptions!$C$60)</f>
        <v>0</v>
      </c>
      <c r="I23019" s="16" t="n">
        <f aca="false">MIN(I23013,Assumptions!$L$60*Assumptions!$C$60)</f>
        <v>0</v>
      </c>
      <c r="J23019" s="16" t="n">
        <f aca="false">MIN(J23013,Assumptions!$L$60*Assumptions!$C$60)</f>
        <v>0</v>
      </c>
      <c r="K23019" s="16" t="n">
        <f aca="false">MIN(K23013,Assumptions!$L$60*Assumptions!$C$60)</f>
        <v>0</v>
      </c>
    </row>
    <row r="23020" customFormat="false" ht="15" hidden="false" customHeight="false" outlineLevel="0" collapsed="false">
      <c r="A23020" s="3" t="s">
        <v>335</v>
      </c>
      <c r="G23020" s="16" t="n">
        <f aca="false">IF(AND(Assumptions!$P$60=1,G22938&lt;Assumptions!$K$60),MIN(MAX(0,-G23154),MAX(0,Assumptions!$D$60-G23013)),0)</f>
        <v>0</v>
      </c>
      <c r="H23020" s="16" t="n">
        <f aca="false">IF(AND(Assumptions!$P$60=1,OR(H22938&lt;Assumptions!$K$60,G23287=1)),MIN(MAX(0,-H23154),MAX(0,Assumptions!$D$60-H23013)),0)</f>
        <v>0</v>
      </c>
      <c r="I23020" s="16" t="n">
        <f aca="false">IF(AND(Assumptions!$P$60=1,OR(I22938&lt;Assumptions!$K$60,H23287=1)),MIN(MAX(0,-I23154),MAX(0,Assumptions!$D$60-I23013)),0)</f>
        <v>66.796942182056</v>
      </c>
      <c r="J23020" s="16" t="n">
        <f aca="false">IF(AND(Assumptions!$P$60=1,OR(J22938&lt;Assumptions!$K$60,I23287=1)),MIN(MAX(0,-J23154),MAX(0,Assumptions!$D$60-J23013)),0)</f>
        <v>88.8805226827392</v>
      </c>
      <c r="K23020" s="16" t="n">
        <f aca="false">IF(AND(Assumptions!$P$60=1,OR(K22938&lt;Assumptions!$K$60,J23287=1)),MIN(MAX(0,-K23154),MAX(0,Assumptions!$D$60-K23013)),0)</f>
        <v>104.535819058653</v>
      </c>
    </row>
    <row r="23021" customFormat="false" ht="15" hidden="false" customHeight="false" outlineLevel="0" collapsed="false">
      <c r="A23021" s="3" t="s">
        <v>336</v>
      </c>
      <c r="G23021" s="16" t="n">
        <f aca="false">G23014*MIN(G23013-G23019+G23018,MAX(0,G23156-Assumptions!$C$12*G22972-G22982-G22995-G23008))</f>
        <v>0</v>
      </c>
      <c r="H23021" s="16" t="n">
        <f aca="false">H23014*MIN(H23013-H23019+H23018,MAX(0,H23156-Assumptions!$C$12*H22972-H22982-H22995-H23008))</f>
        <v>0</v>
      </c>
      <c r="I23021" s="16" t="n">
        <f aca="false">I23014*MIN(I23013-I23019+I23018,MAX(0,I23156-Assumptions!$C$12*I22972-I22982-I22995-I23008))</f>
        <v>0</v>
      </c>
      <c r="J23021" s="16" t="n">
        <f aca="false">J23014*MIN(J23013-J23019+J23018,MAX(0,J23156-Assumptions!$C$12*J22972-J22982-J22995-J23008))</f>
        <v>0</v>
      </c>
      <c r="K23021" s="16" t="n">
        <f aca="false">K23014*MIN(K23013-K23019+K23018,MAX(0,K23156-Assumptions!$C$12*K22972-K22982-K22995-K23008))</f>
        <v>0</v>
      </c>
    </row>
    <row r="23022" customFormat="false" ht="15" hidden="false" customHeight="false" outlineLevel="0" collapsed="false">
      <c r="A23022" s="3" t="s">
        <v>337</v>
      </c>
      <c r="G23022" s="16" t="n">
        <f aca="false">Assumptions!$N$60*MIN(G23013+G23020+G23018-G23019-G23021,MAX(0,G23160-G22983-G22996-G23009))</f>
        <v>0</v>
      </c>
      <c r="H23022" s="16" t="n">
        <f aca="false">Assumptions!$N$60*MIN(H23013+H23020+H23018-H23019-H23021,MAX(0,H23160-H22983-H22996-H23009))</f>
        <v>0</v>
      </c>
      <c r="I23022" s="16" t="n">
        <f aca="false">Assumptions!$N$60*MIN(I23013+I23020+I23018-I23019-I23021,MAX(0,I23160-I22983-I22996-I23009))</f>
        <v>0</v>
      </c>
      <c r="J23022" s="16" t="n">
        <f aca="false">Assumptions!$N$60*MIN(J23013+J23020+J23018-J23019-J23021,MAX(0,J23160-J22983-J22996-J23009))</f>
        <v>0</v>
      </c>
      <c r="K23022" s="16" t="n">
        <f aca="false">Assumptions!$N$60*MIN(K23013+K23020+K23018-K23019-K23021,MAX(0,K23160-K22983-K22996-K23009))</f>
        <v>0</v>
      </c>
    </row>
    <row r="23023" customFormat="false" ht="15" hidden="false" customHeight="false" outlineLevel="0" collapsed="false">
      <c r="A23023" s="3" t="s">
        <v>338</v>
      </c>
      <c r="G23023" s="16" t="n">
        <f aca="false">G23014*(1-G22972)*(G23013-G23019+G23018-G23021)</f>
        <v>0</v>
      </c>
      <c r="H23023" s="16" t="n">
        <f aca="false">H23014*(1-H22972)*(H23013-H23019+H23018-H23021)</f>
        <v>0</v>
      </c>
      <c r="I23023" s="16" t="n">
        <f aca="false">I23014*(1-I22972)*(I23013-I23019+I23018-I23021)</f>
        <v>0</v>
      </c>
      <c r="J23023" s="16" t="n">
        <f aca="false">J23014*(1-J22972)*(J23013-J23019+J23018-J23021)</f>
        <v>0</v>
      </c>
      <c r="K23023" s="16" t="n">
        <f aca="false">K23014*(1-K22972)*(K23013-K23019+K23018-K23021)</f>
        <v>0</v>
      </c>
    </row>
    <row r="23024" customFormat="false" ht="15" hidden="false" customHeight="false" outlineLevel="0" collapsed="false">
      <c r="A23024" s="2" t="s">
        <v>339</v>
      </c>
      <c r="F23024" s="28" t="n">
        <f aca="false">Assumptions!$C$60</f>
        <v>0</v>
      </c>
      <c r="G23024" s="17" t="n">
        <f aca="false">G23013+G23020+G23018-G23019-G23021-G23022</f>
        <v>0</v>
      </c>
      <c r="H23024" s="17" t="n">
        <f aca="false">H23013+H23020+H23018-H23019-H23021-H23022</f>
        <v>0</v>
      </c>
      <c r="I23024" s="17" t="n">
        <f aca="false">I23013+I23020+I23018-I23019-I23021-I23022</f>
        <v>66.796942182056</v>
      </c>
      <c r="J23024" s="17" t="n">
        <f aca="false">J23013+J23020+J23018-J23019-J23021-J23022</f>
        <v>155.677464864795</v>
      </c>
      <c r="K23024" s="17" t="n">
        <f aca="false">K23013+K23020+K23018-K23019-K23021-K23022</f>
        <v>260.213283923448</v>
      </c>
    </row>
    <row r="23025" customFormat="false" ht="15" hidden="false" customHeight="false" outlineLevel="0" collapsed="false">
      <c r="A23025" s="24" t="s">
        <v>343</v>
      </c>
      <c r="B23025" s="25"/>
      <c r="C23025" s="25"/>
      <c r="D23025" s="25"/>
      <c r="E23025" s="25"/>
      <c r="F23025" s="25"/>
      <c r="G23025" s="25"/>
      <c r="H23025" s="25"/>
      <c r="I23025" s="25"/>
      <c r="J23025" s="25"/>
      <c r="K23025" s="25"/>
    </row>
    <row r="23026" customFormat="false" ht="15" hidden="false" customHeight="false" outlineLevel="0" collapsed="false">
      <c r="A23026" s="3" t="s">
        <v>329</v>
      </c>
      <c r="G23026" s="16" t="n">
        <f aca="false">F23037</f>
        <v>450</v>
      </c>
      <c r="H23026" s="16" t="n">
        <f aca="false">G23037</f>
        <v>450</v>
      </c>
      <c r="I23026" s="16" t="n">
        <f aca="false">H23037</f>
        <v>407.7221513738</v>
      </c>
      <c r="J23026" s="16" t="n">
        <f aca="false">I23037</f>
        <v>407.7221513738</v>
      </c>
      <c r="K23026" s="16" t="n">
        <f aca="false">J23037</f>
        <v>407.7221513738</v>
      </c>
    </row>
    <row r="23027" customFormat="false" ht="15" hidden="false" customHeight="false" outlineLevel="0" collapsed="false">
      <c r="A23027" s="3" t="s">
        <v>330</v>
      </c>
      <c r="G23027" s="21" t="n">
        <f aca="false">IF(G22938=Assumptions!$K$61,1,0)</f>
        <v>0</v>
      </c>
      <c r="H23027" s="21" t="n">
        <f aca="false">IF(H22938=Assumptions!$K$61,1,0)</f>
        <v>1</v>
      </c>
      <c r="I23027" s="21" t="n">
        <f aca="false">IF(I22938=Assumptions!$K$61,1,0)</f>
        <v>0</v>
      </c>
      <c r="J23027" s="21" t="n">
        <f aca="false">IF(J22938=Assumptions!$K$61,1,0)</f>
        <v>0</v>
      </c>
      <c r="K23027" s="21" t="n">
        <f aca="false">IF(K22938=Assumptions!$K$61,1,0)</f>
        <v>0</v>
      </c>
    </row>
    <row r="23029" customFormat="false" ht="15" hidden="false" customHeight="false" outlineLevel="0" collapsed="false">
      <c r="A23029" s="3" t="s">
        <v>331</v>
      </c>
      <c r="G23029" s="31" t="n">
        <f aca="false">IF(Assumptions!$I$61=1,MAX(G22964,Assumptions!$G$61)+Assumptions!$F$61+$C$22965,Assumptions!$E$61)</f>
        <v>0.0395</v>
      </c>
      <c r="H23029" s="31" t="n">
        <f aca="false">IF(G23288=1,$C$22966,IF(Assumptions!$I$61=1,MAX(H22964,Assumptions!$G$61)+Assumptions!$F$61+$C$22965,Assumptions!$E$61))</f>
        <v>0.0395</v>
      </c>
      <c r="I23029" s="31" t="n">
        <f aca="false">IF(H23288=1,$C$22966,IF(Assumptions!$I$61=1,MAX(I22964,Assumptions!$G$61)+Assumptions!$F$61+$C$22965,Assumptions!$E$61))</f>
        <v>0.08</v>
      </c>
      <c r="J23029" s="31" t="n">
        <f aca="false">IF(I23288=1,$C$22966,IF(Assumptions!$I$61=1,MAX(J22964,Assumptions!$G$61)+Assumptions!$F$61+$C$22965,Assumptions!$E$61))</f>
        <v>0.08</v>
      </c>
      <c r="K23029" s="31" t="n">
        <f aca="false">IF(J23288=1,$C$22966,IF(Assumptions!$I$61=1,MAX(K22964,Assumptions!$G$61)+Assumptions!$F$61+$C$22965,Assumptions!$E$61))</f>
        <v>0.08</v>
      </c>
    </row>
    <row r="23030" customFormat="false" ht="15" hidden="false" customHeight="false" outlineLevel="0" collapsed="false">
      <c r="A23030" s="3" t="s">
        <v>332</v>
      </c>
      <c r="G23030" s="16" t="n">
        <f aca="false">G23026*G23029</f>
        <v>17.775</v>
      </c>
      <c r="H23030" s="16" t="n">
        <f aca="false">H23026*H23029</f>
        <v>17.775</v>
      </c>
      <c r="I23030" s="16" t="n">
        <f aca="false">I23026*I23029</f>
        <v>32.617772109904</v>
      </c>
      <c r="J23030" s="16" t="n">
        <f aca="false">J23026*J23029</f>
        <v>32.617772109904</v>
      </c>
      <c r="K23030" s="16" t="n">
        <f aca="false">K23026*K23029</f>
        <v>32.617772109904</v>
      </c>
    </row>
    <row r="23031" customFormat="false" ht="15" hidden="false" customHeight="false" outlineLevel="0" collapsed="false">
      <c r="A23031" s="3" t="s">
        <v>333</v>
      </c>
      <c r="G23031" s="16" t="n">
        <f aca="false">G23026*Assumptions!$H$61</f>
        <v>0</v>
      </c>
      <c r="H23031" s="16" t="n">
        <f aca="false">H23026*Assumptions!$H$61</f>
        <v>0</v>
      </c>
      <c r="I23031" s="16" t="n">
        <f aca="false">I23026*Assumptions!$H$61</f>
        <v>0</v>
      </c>
      <c r="J23031" s="16" t="n">
        <f aca="false">J23026*Assumptions!$H$61</f>
        <v>0</v>
      </c>
      <c r="K23031" s="16" t="n">
        <f aca="false">K23026*Assumptions!$H$61</f>
        <v>0</v>
      </c>
    </row>
    <row r="23032" customFormat="false" ht="15" hidden="false" customHeight="false" outlineLevel="0" collapsed="false">
      <c r="A23032" s="3" t="s">
        <v>334</v>
      </c>
      <c r="G23032" s="16" t="n">
        <f aca="false">MIN(G23026,Assumptions!$L$61*Assumptions!$C$61)</f>
        <v>0</v>
      </c>
      <c r="H23032" s="16" t="n">
        <f aca="false">MIN(H23026,Assumptions!$L$61*Assumptions!$C$61)</f>
        <v>0</v>
      </c>
      <c r="I23032" s="16" t="n">
        <f aca="false">MIN(I23026,Assumptions!$L$61*Assumptions!$C$61)</f>
        <v>0</v>
      </c>
      <c r="J23032" s="16" t="n">
        <f aca="false">MIN(J23026,Assumptions!$L$61*Assumptions!$C$61)</f>
        <v>0</v>
      </c>
      <c r="K23032" s="16" t="n">
        <f aca="false">MIN(K23026,Assumptions!$L$61*Assumptions!$C$61)</f>
        <v>0</v>
      </c>
    </row>
    <row r="23033" customFormat="false" ht="15" hidden="false" customHeight="false" outlineLevel="0" collapsed="false">
      <c r="A23033" s="3" t="s">
        <v>335</v>
      </c>
      <c r="G23033" s="16" t="n">
        <f aca="false">IF(AND(Assumptions!$P$61=1,G22938&lt;Assumptions!$K$61),MIN(MAX(0,-G23154),MAX(0,Assumptions!$D$61-G23026)),0)</f>
        <v>0</v>
      </c>
      <c r="H23033" s="16" t="n">
        <f aca="false">IF(AND(Assumptions!$P$61=1,OR(H22938&lt;Assumptions!$K$61,G23288=1)),MIN(MAX(0,-H23154),MAX(0,Assumptions!$D$61-H23026)),0)</f>
        <v>0</v>
      </c>
      <c r="I23033" s="16" t="n">
        <f aca="false">IF(AND(Assumptions!$P$61=1,OR(I22938&lt;Assumptions!$K$61,H23288=1)),MIN(MAX(0,-I23154),MAX(0,Assumptions!$D$61-I23026)),0)</f>
        <v>0</v>
      </c>
      <c r="J23033" s="16" t="n">
        <f aca="false">IF(AND(Assumptions!$P$61=1,OR(J22938&lt;Assumptions!$K$61,I23288=1)),MIN(MAX(0,-J23154),MAX(0,Assumptions!$D$61-J23026)),0)</f>
        <v>0</v>
      </c>
      <c r="K23033" s="16" t="n">
        <f aca="false">IF(AND(Assumptions!$P$61=1,OR(K22938&lt;Assumptions!$K$61,J23288=1)),MIN(MAX(0,-K23154),MAX(0,Assumptions!$D$61-K23026)),0)</f>
        <v>0</v>
      </c>
    </row>
    <row r="23034" customFormat="false" ht="15" hidden="false" customHeight="false" outlineLevel="0" collapsed="false">
      <c r="A23034" s="3" t="s">
        <v>336</v>
      </c>
      <c r="G23034" s="16" t="n">
        <f aca="false">G23027*MIN(G23026-G23032+G23031,MAX(0,G23156-Assumptions!$C$12*G22972-G22982-G22995-G23008-G23021))</f>
        <v>0</v>
      </c>
      <c r="H23034" s="16" t="n">
        <f aca="false">H23027*MIN(H23026-H23032+H23031,MAX(0,H23156-Assumptions!$C$12*H22972-H22982-H22995-H23008-H23021))</f>
        <v>42.2778486262</v>
      </c>
      <c r="I23034" s="16" t="n">
        <f aca="false">I23027*MIN(I23026-I23032+I23031,MAX(0,I23156-Assumptions!$C$12*I22972-I22982-I22995-I23008-I23021))</f>
        <v>0</v>
      </c>
      <c r="J23034" s="16" t="n">
        <f aca="false">J23027*MIN(J23026-J23032+J23031,MAX(0,J23156-Assumptions!$C$12*J22972-J22982-J22995-J23008-J23021))</f>
        <v>0</v>
      </c>
      <c r="K23034" s="16" t="n">
        <f aca="false">K23027*MIN(K23026-K23032+K23031,MAX(0,K23156-Assumptions!$C$12*K22972-K22982-K22995-K23008-K23021))</f>
        <v>0</v>
      </c>
    </row>
    <row r="23035" customFormat="false" ht="15" hidden="false" customHeight="false" outlineLevel="0" collapsed="false">
      <c r="A23035" s="3" t="s">
        <v>337</v>
      </c>
      <c r="G23035" s="16" t="n">
        <f aca="false">Assumptions!$N$61*MIN(G23026+G23033+G23031-G23032-G23034,MAX(0,G23160-G22983-G22996-G23009-G23022))</f>
        <v>0</v>
      </c>
      <c r="H23035" s="16" t="n">
        <f aca="false">Assumptions!$N$61*MIN(H23026+H23033+H23031-H23032-H23034,MAX(0,H23160-H22983-H22996-H23009-H23022))</f>
        <v>0</v>
      </c>
      <c r="I23035" s="16" t="n">
        <f aca="false">Assumptions!$N$61*MIN(I23026+I23033+I23031-I23032-I23034,MAX(0,I23160-I22983-I22996-I23009-I23022))</f>
        <v>0</v>
      </c>
      <c r="J23035" s="16" t="n">
        <f aca="false">Assumptions!$N$61*MIN(J23026+J23033+J23031-J23032-J23034,MAX(0,J23160-J22983-J22996-J23009-J23022))</f>
        <v>0</v>
      </c>
      <c r="K23035" s="16" t="n">
        <f aca="false">Assumptions!$N$61*MIN(K23026+K23033+K23031-K23032-K23034,MAX(0,K23160-K22983-K22996-K23009-K23022))</f>
        <v>0</v>
      </c>
    </row>
    <row r="23036" customFormat="false" ht="15" hidden="false" customHeight="false" outlineLevel="0" collapsed="false">
      <c r="A23036" s="3" t="s">
        <v>338</v>
      </c>
      <c r="G23036" s="16" t="n">
        <f aca="false">G23027*(1-G22972)*(G23026-G23032+G23031-G23034)</f>
        <v>0</v>
      </c>
      <c r="H23036" s="16" t="n">
        <f aca="false">H23027*(1-H22972)*(H23026-H23032+H23031-H23034)</f>
        <v>0</v>
      </c>
      <c r="I23036" s="16" t="n">
        <f aca="false">I23027*(1-I22972)*(I23026-I23032+I23031-I23034)</f>
        <v>0</v>
      </c>
      <c r="J23036" s="16" t="n">
        <f aca="false">J23027*(1-J22972)*(J23026-J23032+J23031-J23034)</f>
        <v>0</v>
      </c>
      <c r="K23036" s="16" t="n">
        <f aca="false">K23027*(1-K22972)*(K23026-K23032+K23031-K23034)</f>
        <v>0</v>
      </c>
    </row>
    <row r="23037" customFormat="false" ht="15" hidden="false" customHeight="false" outlineLevel="0" collapsed="false">
      <c r="A23037" s="2" t="s">
        <v>339</v>
      </c>
      <c r="F23037" s="28" t="n">
        <f aca="false">Assumptions!$C$61</f>
        <v>450</v>
      </c>
      <c r="G23037" s="17" t="n">
        <f aca="false">G23026+G23033+G23031-G23032-G23034-G23035</f>
        <v>450</v>
      </c>
      <c r="H23037" s="17" t="n">
        <f aca="false">H23026+H23033+H23031-H23032-H23034-H23035</f>
        <v>407.7221513738</v>
      </c>
      <c r="I23037" s="17" t="n">
        <f aca="false">I23026+I23033+I23031-I23032-I23034-I23035</f>
        <v>407.7221513738</v>
      </c>
      <c r="J23037" s="17" t="n">
        <f aca="false">J23026+J23033+J23031-J23032-J23034-J23035</f>
        <v>407.7221513738</v>
      </c>
      <c r="K23037" s="17" t="n">
        <f aca="false">K23026+K23033+K23031-K23032-K23034-K23035</f>
        <v>407.7221513738</v>
      </c>
    </row>
    <row r="23038" customFormat="false" ht="15" hidden="false" customHeight="false" outlineLevel="0" collapsed="false">
      <c r="A23038" s="24" t="s">
        <v>344</v>
      </c>
      <c r="B23038" s="25"/>
      <c r="C23038" s="25"/>
      <c r="D23038" s="25"/>
      <c r="E23038" s="25"/>
      <c r="F23038" s="25"/>
      <c r="G23038" s="25"/>
      <c r="H23038" s="25"/>
      <c r="I23038" s="25"/>
      <c r="J23038" s="25"/>
      <c r="K23038" s="25"/>
    </row>
    <row r="23039" customFormat="false" ht="15" hidden="false" customHeight="false" outlineLevel="0" collapsed="false">
      <c r="A23039" s="3" t="s">
        <v>329</v>
      </c>
      <c r="G23039" s="16" t="n">
        <f aca="false">F23050</f>
        <v>350</v>
      </c>
      <c r="H23039" s="16" t="n">
        <f aca="false">G23050</f>
        <v>350</v>
      </c>
      <c r="I23039" s="16" t="n">
        <f aca="false">H23050</f>
        <v>350</v>
      </c>
      <c r="J23039" s="16" t="n">
        <f aca="false">I23050</f>
        <v>350</v>
      </c>
      <c r="K23039" s="16" t="n">
        <f aca="false">J23050</f>
        <v>350</v>
      </c>
    </row>
    <row r="23040" customFormat="false" ht="15" hidden="false" customHeight="false" outlineLevel="0" collapsed="false">
      <c r="A23040" s="3" t="s">
        <v>330</v>
      </c>
      <c r="G23040" s="21" t="n">
        <f aca="false">IF(G22938=Assumptions!$K$62,1,0)</f>
        <v>0</v>
      </c>
      <c r="H23040" s="21" t="n">
        <f aca="false">IF(H22938=Assumptions!$K$62,1,0)</f>
        <v>1</v>
      </c>
      <c r="I23040" s="21" t="n">
        <f aca="false">IF(I22938=Assumptions!$K$62,1,0)</f>
        <v>0</v>
      </c>
      <c r="J23040" s="21" t="n">
        <f aca="false">IF(J22938=Assumptions!$K$62,1,0)</f>
        <v>0</v>
      </c>
      <c r="K23040" s="21" t="n">
        <f aca="false">IF(K22938=Assumptions!$K$62,1,0)</f>
        <v>0</v>
      </c>
    </row>
    <row r="23042" customFormat="false" ht="15" hidden="false" customHeight="false" outlineLevel="0" collapsed="false">
      <c r="A23042" s="3" t="s">
        <v>331</v>
      </c>
      <c r="G23042" s="31" t="n">
        <f aca="false">IF(Assumptions!$I$62=1,MAX(G22964,Assumptions!$G$62)+Assumptions!$F$62+$C$22965,Assumptions!$E$62)</f>
        <v>0.083</v>
      </c>
      <c r="H23042" s="31" t="n">
        <f aca="false">IF(G23289=1,$C$22966,IF(Assumptions!$I$62=1,MAX(H22964,Assumptions!$G$62)+Assumptions!$F$62+$C$22965,Assumptions!$E$62))</f>
        <v>0.083</v>
      </c>
      <c r="I23042" s="31" t="n">
        <f aca="false">IF(H23289=1,$C$22966,IF(Assumptions!$I$62=1,MAX(I22964,Assumptions!$G$62)+Assumptions!$F$62+$C$22965,Assumptions!$E$62))</f>
        <v>0.08</v>
      </c>
      <c r="J23042" s="31" t="n">
        <f aca="false">IF(I23289=1,$C$22966,IF(Assumptions!$I$62=1,MAX(J22964,Assumptions!$G$62)+Assumptions!$F$62+$C$22965,Assumptions!$E$62))</f>
        <v>0.08</v>
      </c>
      <c r="K23042" s="31" t="n">
        <f aca="false">IF(J23289=1,$C$22966,IF(Assumptions!$I$62=1,MAX(K22964,Assumptions!$G$62)+Assumptions!$F$62+$C$22965,Assumptions!$E$62))</f>
        <v>0.08</v>
      </c>
    </row>
    <row r="23043" customFormat="false" ht="15" hidden="false" customHeight="false" outlineLevel="0" collapsed="false">
      <c r="A23043" s="3" t="s">
        <v>332</v>
      </c>
      <c r="G23043" s="16" t="n">
        <f aca="false">G23039*G23042</f>
        <v>29.05</v>
      </c>
      <c r="H23043" s="16" t="n">
        <f aca="false">H23039*H23042</f>
        <v>29.05</v>
      </c>
      <c r="I23043" s="16" t="n">
        <f aca="false">I23039*I23042</f>
        <v>28</v>
      </c>
      <c r="J23043" s="16" t="n">
        <f aca="false">J23039*J23042</f>
        <v>28</v>
      </c>
      <c r="K23043" s="16" t="n">
        <f aca="false">K23039*K23042</f>
        <v>28</v>
      </c>
    </row>
    <row r="23044" customFormat="false" ht="15" hidden="false" customHeight="false" outlineLevel="0" collapsed="false">
      <c r="A23044" s="3" t="s">
        <v>333</v>
      </c>
      <c r="G23044" s="16" t="n">
        <f aca="false">G23039*Assumptions!$H$62</f>
        <v>0</v>
      </c>
      <c r="H23044" s="16" t="n">
        <f aca="false">H23039*Assumptions!$H$62</f>
        <v>0</v>
      </c>
      <c r="I23044" s="16" t="n">
        <f aca="false">I23039*Assumptions!$H$62</f>
        <v>0</v>
      </c>
      <c r="J23044" s="16" t="n">
        <f aca="false">J23039*Assumptions!$H$62</f>
        <v>0</v>
      </c>
      <c r="K23044" s="16" t="n">
        <f aca="false">K23039*Assumptions!$H$62</f>
        <v>0</v>
      </c>
    </row>
    <row r="23045" customFormat="false" ht="15" hidden="false" customHeight="false" outlineLevel="0" collapsed="false">
      <c r="A23045" s="3" t="s">
        <v>334</v>
      </c>
      <c r="G23045" s="16" t="n">
        <f aca="false">MIN(G23039,Assumptions!$L$62*Assumptions!$C$62)</f>
        <v>0</v>
      </c>
      <c r="H23045" s="16" t="n">
        <f aca="false">MIN(H23039,Assumptions!$L$62*Assumptions!$C$62)</f>
        <v>0</v>
      </c>
      <c r="I23045" s="16" t="n">
        <f aca="false">MIN(I23039,Assumptions!$L$62*Assumptions!$C$62)</f>
        <v>0</v>
      </c>
      <c r="J23045" s="16" t="n">
        <f aca="false">MIN(J23039,Assumptions!$L$62*Assumptions!$C$62)</f>
        <v>0</v>
      </c>
      <c r="K23045" s="16" t="n">
        <f aca="false">MIN(K23039,Assumptions!$L$62*Assumptions!$C$62)</f>
        <v>0</v>
      </c>
    </row>
    <row r="23046" customFormat="false" ht="15" hidden="false" customHeight="false" outlineLevel="0" collapsed="false">
      <c r="A23046" s="3" t="s">
        <v>335</v>
      </c>
      <c r="G23046" s="16" t="n">
        <f aca="false">IF(AND(Assumptions!$P$62=1,G22938&lt;Assumptions!$K$62),MIN(MAX(0,-G23154),MAX(0,Assumptions!$D$62-G23039)),0)</f>
        <v>0</v>
      </c>
      <c r="H23046" s="16" t="n">
        <f aca="false">IF(AND(Assumptions!$P$62=1,OR(H22938&lt;Assumptions!$K$62,G23289=1)),MIN(MAX(0,-H23154),MAX(0,Assumptions!$D$62-H23039)),0)</f>
        <v>0</v>
      </c>
      <c r="I23046" s="16" t="n">
        <f aca="false">IF(AND(Assumptions!$P$62=1,OR(I22938&lt;Assumptions!$K$62,H23289=1)),MIN(MAX(0,-I23154),MAX(0,Assumptions!$D$62-I23039)),0)</f>
        <v>0</v>
      </c>
      <c r="J23046" s="16" t="n">
        <f aca="false">IF(AND(Assumptions!$P$62=1,OR(J22938&lt;Assumptions!$K$62,I23289=1)),MIN(MAX(0,-J23154),MAX(0,Assumptions!$D$62-J23039)),0)</f>
        <v>0</v>
      </c>
      <c r="K23046" s="16" t="n">
        <f aca="false">IF(AND(Assumptions!$P$62=1,OR(K22938&lt;Assumptions!$K$62,J23289=1)),MIN(MAX(0,-K23154),MAX(0,Assumptions!$D$62-K23039)),0)</f>
        <v>0</v>
      </c>
    </row>
    <row r="23047" customFormat="false" ht="15" hidden="false" customHeight="false" outlineLevel="0" collapsed="false">
      <c r="A23047" s="3" t="s">
        <v>336</v>
      </c>
      <c r="G23047" s="16" t="n">
        <f aca="false">G23040*MIN(G23039-G23045+G23044,MAX(0,G23156-Assumptions!$C$12*G22972-G22982-G22995-G23008-G23021-G23034))</f>
        <v>0</v>
      </c>
      <c r="H23047" s="16" t="n">
        <f aca="false">H23040*MIN(H23039-H23045+H23044,MAX(0,H23156-Assumptions!$C$12*H22972-H22982-H22995-H23008-H23021-H23034))</f>
        <v>0</v>
      </c>
      <c r="I23047" s="16" t="n">
        <f aca="false">I23040*MIN(I23039-I23045+I23044,MAX(0,I23156-Assumptions!$C$12*I22972-I22982-I22995-I23008-I23021-I23034))</f>
        <v>0</v>
      </c>
      <c r="J23047" s="16" t="n">
        <f aca="false">J23040*MIN(J23039-J23045+J23044,MAX(0,J23156-Assumptions!$C$12*J22972-J22982-J22995-J23008-J23021-J23034))</f>
        <v>0</v>
      </c>
      <c r="K23047" s="16" t="n">
        <f aca="false">K23040*MIN(K23039-K23045+K23044,MAX(0,K23156-Assumptions!$C$12*K22972-K22982-K22995-K23008-K23021-K23034))</f>
        <v>0</v>
      </c>
    </row>
    <row r="23048" customFormat="false" ht="15" hidden="false" customHeight="false" outlineLevel="0" collapsed="false">
      <c r="A23048" s="3" t="s">
        <v>337</v>
      </c>
      <c r="G23048" s="16" t="n">
        <f aca="false">Assumptions!$N$62*MIN(G23039+G23046+G23044-G23045-G23047,MAX(0,G23160-G22983-G22996-G23009-G23022-G23035))</f>
        <v>0</v>
      </c>
      <c r="H23048" s="16" t="n">
        <f aca="false">Assumptions!$N$62*MIN(H23039+H23046+H23044-H23045-H23047,MAX(0,H23160-H22983-H22996-H23009-H23022-H23035))</f>
        <v>0</v>
      </c>
      <c r="I23048" s="16" t="n">
        <f aca="false">Assumptions!$N$62*MIN(I23039+I23046+I23044-I23045-I23047,MAX(0,I23160-I22983-I22996-I23009-I23022-I23035))</f>
        <v>0</v>
      </c>
      <c r="J23048" s="16" t="n">
        <f aca="false">Assumptions!$N$62*MIN(J23039+J23046+J23044-J23045-J23047,MAX(0,J23160-J22983-J22996-J23009-J23022-J23035))</f>
        <v>0</v>
      </c>
      <c r="K23048" s="16" t="n">
        <f aca="false">Assumptions!$N$62*MIN(K23039+K23046+K23044-K23045-K23047,MAX(0,K23160-K22983-K22996-K23009-K23022-K23035))</f>
        <v>0</v>
      </c>
    </row>
    <row r="23049" customFormat="false" ht="15" hidden="false" customHeight="false" outlineLevel="0" collapsed="false">
      <c r="A23049" s="3" t="s">
        <v>338</v>
      </c>
      <c r="G23049" s="16" t="n">
        <f aca="false">G23040*(1-G22972)*(G23039-G23045+G23044-G23047)</f>
        <v>0</v>
      </c>
      <c r="H23049" s="16" t="n">
        <f aca="false">H23040*(1-H22972)*(H23039-H23045+H23044-H23047)</f>
        <v>0</v>
      </c>
      <c r="I23049" s="16" t="n">
        <f aca="false">I23040*(1-I22972)*(I23039-I23045+I23044-I23047)</f>
        <v>0</v>
      </c>
      <c r="J23049" s="16" t="n">
        <f aca="false">J23040*(1-J22972)*(J23039-J23045+J23044-J23047)</f>
        <v>0</v>
      </c>
      <c r="K23049" s="16" t="n">
        <f aca="false">K23040*(1-K22972)*(K23039-K23045+K23044-K23047)</f>
        <v>0</v>
      </c>
    </row>
    <row r="23050" customFormat="false" ht="15" hidden="false" customHeight="false" outlineLevel="0" collapsed="false">
      <c r="A23050" s="2" t="s">
        <v>339</v>
      </c>
      <c r="F23050" s="28" t="n">
        <f aca="false">Assumptions!$C$62</f>
        <v>350</v>
      </c>
      <c r="G23050" s="17" t="n">
        <f aca="false">G23039+G23046+G23044-G23045-G23047-G23048</f>
        <v>350</v>
      </c>
      <c r="H23050" s="17" t="n">
        <f aca="false">H23039+H23046+H23044-H23045-H23047-H23048</f>
        <v>350</v>
      </c>
      <c r="I23050" s="17" t="n">
        <f aca="false">I23039+I23046+I23044-I23045-I23047-I23048</f>
        <v>350</v>
      </c>
      <c r="J23050" s="17" t="n">
        <f aca="false">J23039+J23046+J23044-J23045-J23047-J23048</f>
        <v>350</v>
      </c>
      <c r="K23050" s="17" t="n">
        <f aca="false">K23039+K23046+K23044-K23045-K23047-K23048</f>
        <v>350</v>
      </c>
    </row>
    <row r="23051" customFormat="false" ht="15" hidden="false" customHeight="false" outlineLevel="0" collapsed="false">
      <c r="A23051" s="24" t="s">
        <v>345</v>
      </c>
      <c r="B23051" s="25"/>
      <c r="C23051" s="25"/>
      <c r="D23051" s="25"/>
      <c r="E23051" s="25"/>
      <c r="F23051" s="25"/>
      <c r="G23051" s="25"/>
      <c r="H23051" s="25"/>
      <c r="I23051" s="25"/>
      <c r="J23051" s="25"/>
      <c r="K23051" s="25"/>
    </row>
    <row r="23052" customFormat="false" ht="15" hidden="false" customHeight="false" outlineLevel="0" collapsed="false">
      <c r="A23052" s="3" t="s">
        <v>329</v>
      </c>
      <c r="G23052" s="16" t="n">
        <f aca="false">F23063</f>
        <v>550</v>
      </c>
      <c r="H23052" s="16" t="n">
        <f aca="false">G23063</f>
        <v>550</v>
      </c>
      <c r="I23052" s="16" t="n">
        <f aca="false">H23063</f>
        <v>550</v>
      </c>
      <c r="J23052" s="16" t="n">
        <f aca="false">I23063</f>
        <v>550</v>
      </c>
      <c r="K23052" s="16" t="n">
        <f aca="false">J23063</f>
        <v>550</v>
      </c>
    </row>
    <row r="23053" customFormat="false" ht="15" hidden="false" customHeight="false" outlineLevel="0" collapsed="false">
      <c r="A23053" s="3" t="s">
        <v>330</v>
      </c>
      <c r="G23053" s="21" t="n">
        <f aca="false">IF(G22938=Assumptions!$K$63,1,0)</f>
        <v>0</v>
      </c>
      <c r="H23053" s="21" t="n">
        <f aca="false">IF(H22938=Assumptions!$K$63,1,0)</f>
        <v>0</v>
      </c>
      <c r="I23053" s="21" t="n">
        <f aca="false">IF(I22938=Assumptions!$K$63,1,0)</f>
        <v>1</v>
      </c>
      <c r="J23053" s="21" t="n">
        <f aca="false">IF(J22938=Assumptions!$K$63,1,0)</f>
        <v>0</v>
      </c>
      <c r="K23053" s="21" t="n">
        <f aca="false">IF(K22938=Assumptions!$K$63,1,0)</f>
        <v>0</v>
      </c>
    </row>
    <row r="23055" customFormat="false" ht="15" hidden="false" customHeight="false" outlineLevel="0" collapsed="false">
      <c r="A23055" s="3" t="s">
        <v>331</v>
      </c>
      <c r="G23055" s="31" t="n">
        <f aca="false">IF(Assumptions!$I$63=1,MAX(G22964,Assumptions!$G$63)+Assumptions!$F$63+$C$22965,Assumptions!$E$63)</f>
        <v>0.08875</v>
      </c>
      <c r="H23055" s="31" t="n">
        <f aca="false">IF(G23290=1,$C$22966,IF(Assumptions!$I$63=1,MAX(H22964,Assumptions!$G$63)+Assumptions!$F$63+$C$22965,Assumptions!$E$63))</f>
        <v>0.08875</v>
      </c>
      <c r="I23055" s="31" t="n">
        <f aca="false">IF(H23290=1,$C$22966,IF(Assumptions!$I$63=1,MAX(I22964,Assumptions!$G$63)+Assumptions!$F$63+$C$22965,Assumptions!$E$63))</f>
        <v>0.08875</v>
      </c>
      <c r="J23055" s="31" t="n">
        <f aca="false">IF(I23290=1,$C$22966,IF(Assumptions!$I$63=1,MAX(J22964,Assumptions!$G$63)+Assumptions!$F$63+$C$22965,Assumptions!$E$63))</f>
        <v>0.08</v>
      </c>
      <c r="K23055" s="31" t="n">
        <f aca="false">IF(J23290=1,$C$22966,IF(Assumptions!$I$63=1,MAX(K22964,Assumptions!$G$63)+Assumptions!$F$63+$C$22965,Assumptions!$E$63))</f>
        <v>0.08</v>
      </c>
    </row>
    <row r="23056" customFormat="false" ht="15" hidden="false" customHeight="false" outlineLevel="0" collapsed="false">
      <c r="A23056" s="3" t="s">
        <v>332</v>
      </c>
      <c r="G23056" s="16" t="n">
        <f aca="false">G23052*G23055</f>
        <v>48.8125</v>
      </c>
      <c r="H23056" s="16" t="n">
        <f aca="false">H23052*H23055</f>
        <v>48.8125</v>
      </c>
      <c r="I23056" s="16" t="n">
        <f aca="false">I23052*I23055</f>
        <v>48.8125</v>
      </c>
      <c r="J23056" s="16" t="n">
        <f aca="false">J23052*J23055</f>
        <v>44</v>
      </c>
      <c r="K23056" s="16" t="n">
        <f aca="false">K23052*K23055</f>
        <v>44</v>
      </c>
    </row>
    <row r="23057" customFormat="false" ht="15" hidden="false" customHeight="false" outlineLevel="0" collapsed="false">
      <c r="A23057" s="3" t="s">
        <v>333</v>
      </c>
      <c r="G23057" s="16" t="n">
        <f aca="false">G23052*Assumptions!$H$63</f>
        <v>0</v>
      </c>
      <c r="H23057" s="16" t="n">
        <f aca="false">H23052*Assumptions!$H$63</f>
        <v>0</v>
      </c>
      <c r="I23057" s="16" t="n">
        <f aca="false">I23052*Assumptions!$H$63</f>
        <v>0</v>
      </c>
      <c r="J23057" s="16" t="n">
        <f aca="false">J23052*Assumptions!$H$63</f>
        <v>0</v>
      </c>
      <c r="K23057" s="16" t="n">
        <f aca="false">K23052*Assumptions!$H$63</f>
        <v>0</v>
      </c>
    </row>
    <row r="23058" customFormat="false" ht="15" hidden="false" customHeight="false" outlineLevel="0" collapsed="false">
      <c r="A23058" s="3" t="s">
        <v>334</v>
      </c>
      <c r="G23058" s="16" t="n">
        <f aca="false">MIN(G23052,Assumptions!$L$63*Assumptions!$C$63)</f>
        <v>0</v>
      </c>
      <c r="H23058" s="16" t="n">
        <f aca="false">MIN(H23052,Assumptions!$L$63*Assumptions!$C$63)</f>
        <v>0</v>
      </c>
      <c r="I23058" s="16" t="n">
        <f aca="false">MIN(I23052,Assumptions!$L$63*Assumptions!$C$63)</f>
        <v>0</v>
      </c>
      <c r="J23058" s="16" t="n">
        <f aca="false">MIN(J23052,Assumptions!$L$63*Assumptions!$C$63)</f>
        <v>0</v>
      </c>
      <c r="K23058" s="16" t="n">
        <f aca="false">MIN(K23052,Assumptions!$L$63*Assumptions!$C$63)</f>
        <v>0</v>
      </c>
    </row>
    <row r="23059" customFormat="false" ht="15" hidden="false" customHeight="false" outlineLevel="0" collapsed="false">
      <c r="A23059" s="3" t="s">
        <v>335</v>
      </c>
      <c r="G23059" s="16" t="n">
        <f aca="false">IF(AND(Assumptions!$P$63=1,G22938&lt;Assumptions!$K$63),MIN(MAX(0,-G23154),MAX(0,Assumptions!$D$63-G23052)),0)</f>
        <v>0</v>
      </c>
      <c r="H23059" s="16" t="n">
        <f aca="false">IF(AND(Assumptions!$P$63=1,OR(H22938&lt;Assumptions!$K$63,G23290=1)),MIN(MAX(0,-H23154),MAX(0,Assumptions!$D$63-H23052)),0)</f>
        <v>0</v>
      </c>
      <c r="I23059" s="16" t="n">
        <f aca="false">IF(AND(Assumptions!$P$63=1,OR(I22938&lt;Assumptions!$K$63,H23290=1)),MIN(MAX(0,-I23154),MAX(0,Assumptions!$D$63-I23052)),0)</f>
        <v>0</v>
      </c>
      <c r="J23059" s="16" t="n">
        <f aca="false">IF(AND(Assumptions!$P$63=1,OR(J22938&lt;Assumptions!$K$63,I23290=1)),MIN(MAX(0,-J23154),MAX(0,Assumptions!$D$63-J23052)),0)</f>
        <v>0</v>
      </c>
      <c r="K23059" s="16" t="n">
        <f aca="false">IF(AND(Assumptions!$P$63=1,OR(K22938&lt;Assumptions!$K$63,J23290=1)),MIN(MAX(0,-K23154),MAX(0,Assumptions!$D$63-K23052)),0)</f>
        <v>0</v>
      </c>
    </row>
    <row r="23060" customFormat="false" ht="15" hidden="false" customHeight="false" outlineLevel="0" collapsed="false">
      <c r="A23060" s="3" t="s">
        <v>336</v>
      </c>
      <c r="G23060" s="16" t="n">
        <f aca="false">G23053*MIN(G23052-G23058+G23057,MAX(0,G23156-Assumptions!$C$12*G22972-G22982-G22995-G23008-G23021-G23034-G23047))</f>
        <v>0</v>
      </c>
      <c r="H23060" s="16" t="n">
        <f aca="false">H23053*MIN(H23052-H23058+H23057,MAX(0,H23156-Assumptions!$C$12*H22972-H22982-H22995-H23008-H23021-H23034-H23047))</f>
        <v>0</v>
      </c>
      <c r="I23060" s="16" t="n">
        <f aca="false">I23053*MIN(I23052-I23058+I23057,MAX(0,I23156-Assumptions!$C$12*I22972-I22982-I22995-I23008-I23021-I23034-I23047))</f>
        <v>0</v>
      </c>
      <c r="J23060" s="16" t="n">
        <f aca="false">J23053*MIN(J23052-J23058+J23057,MAX(0,J23156-Assumptions!$C$12*J22972-J22982-J22995-J23008-J23021-J23034-J23047))</f>
        <v>0</v>
      </c>
      <c r="K23060" s="16" t="n">
        <f aca="false">K23053*MIN(K23052-K23058+K23057,MAX(0,K23156-Assumptions!$C$12*K22972-K22982-K22995-K23008-K23021-K23034-K23047))</f>
        <v>0</v>
      </c>
    </row>
    <row r="23061" customFormat="false" ht="15" hidden="false" customHeight="false" outlineLevel="0" collapsed="false">
      <c r="A23061" s="3" t="s">
        <v>337</v>
      </c>
      <c r="G23061" s="16" t="n">
        <f aca="false">Assumptions!$N$63*MIN(G23052+G23059+G23057-G23058-G23060,MAX(0,G23160-G22983-G22996-G23009-G23022-G23035-G23048))</f>
        <v>0</v>
      </c>
      <c r="H23061" s="16" t="n">
        <f aca="false">Assumptions!$N$63*MIN(H23052+H23059+H23057-H23058-H23060,MAX(0,H23160-H22983-H22996-H23009-H23022-H23035-H23048))</f>
        <v>0</v>
      </c>
      <c r="I23061" s="16" t="n">
        <f aca="false">Assumptions!$N$63*MIN(I23052+I23059+I23057-I23058-I23060,MAX(0,I23160-I22983-I22996-I23009-I23022-I23035-I23048))</f>
        <v>0</v>
      </c>
      <c r="J23061" s="16" t="n">
        <f aca="false">Assumptions!$N$63*MIN(J23052+J23059+J23057-J23058-J23060,MAX(0,J23160-J22983-J22996-J23009-J23022-J23035-J23048))</f>
        <v>0</v>
      </c>
      <c r="K23061" s="16" t="n">
        <f aca="false">Assumptions!$N$63*MIN(K23052+K23059+K23057-K23058-K23060,MAX(0,K23160-K22983-K22996-K23009-K23022-K23035-K23048))</f>
        <v>0</v>
      </c>
    </row>
    <row r="23062" customFormat="false" ht="15" hidden="false" customHeight="false" outlineLevel="0" collapsed="false">
      <c r="A23062" s="3" t="s">
        <v>338</v>
      </c>
      <c r="G23062" s="16" t="n">
        <f aca="false">G23053*(1-G22972)*(G23052-G23058+G23057-G23060)</f>
        <v>0</v>
      </c>
      <c r="H23062" s="16" t="n">
        <f aca="false">H23053*(1-H22972)*(H23052-H23058+H23057-H23060)</f>
        <v>0</v>
      </c>
      <c r="I23062" s="16" t="n">
        <f aca="false">I23053*(1-I22972)*(I23052-I23058+I23057-I23060)</f>
        <v>0</v>
      </c>
      <c r="J23062" s="16" t="n">
        <f aca="false">J23053*(1-J22972)*(J23052-J23058+J23057-J23060)</f>
        <v>0</v>
      </c>
      <c r="K23062" s="16" t="n">
        <f aca="false">K23053*(1-K22972)*(K23052-K23058+K23057-K23060)</f>
        <v>0</v>
      </c>
    </row>
    <row r="23063" customFormat="false" ht="15" hidden="false" customHeight="false" outlineLevel="0" collapsed="false">
      <c r="A23063" s="2" t="s">
        <v>339</v>
      </c>
      <c r="F23063" s="28" t="n">
        <f aca="false">Assumptions!$C$63</f>
        <v>550</v>
      </c>
      <c r="G23063" s="17" t="n">
        <f aca="false">G23052+G23059+G23057-G23058-G23060-G23061</f>
        <v>550</v>
      </c>
      <c r="H23063" s="17" t="n">
        <f aca="false">H23052+H23059+H23057-H23058-H23060-H23061</f>
        <v>550</v>
      </c>
      <c r="I23063" s="17" t="n">
        <f aca="false">I23052+I23059+I23057-I23058-I23060-I23061</f>
        <v>550</v>
      </c>
      <c r="J23063" s="17" t="n">
        <f aca="false">J23052+J23059+J23057-J23058-J23060-J23061</f>
        <v>550</v>
      </c>
      <c r="K23063" s="17" t="n">
        <f aca="false">K23052+K23059+K23057-K23058-K23060-K23061</f>
        <v>550</v>
      </c>
    </row>
    <row r="23064" customFormat="false" ht="15" hidden="false" customHeight="false" outlineLevel="0" collapsed="false">
      <c r="A23064" s="24" t="s">
        <v>346</v>
      </c>
      <c r="B23064" s="25"/>
      <c r="C23064" s="25"/>
      <c r="D23064" s="25"/>
      <c r="E23064" s="25"/>
      <c r="F23064" s="25"/>
      <c r="G23064" s="25"/>
      <c r="H23064" s="25"/>
      <c r="I23064" s="25"/>
      <c r="J23064" s="25"/>
      <c r="K23064" s="25"/>
    </row>
    <row r="23065" customFormat="false" ht="15" hidden="false" customHeight="false" outlineLevel="0" collapsed="false">
      <c r="A23065" s="3" t="s">
        <v>329</v>
      </c>
      <c r="G23065" s="16" t="n">
        <f aca="false">F23076</f>
        <v>350</v>
      </c>
      <c r="H23065" s="16" t="n">
        <f aca="false">G23076</f>
        <v>350</v>
      </c>
      <c r="I23065" s="16" t="n">
        <f aca="false">H23076</f>
        <v>350</v>
      </c>
      <c r="J23065" s="16" t="n">
        <f aca="false">I23076</f>
        <v>350</v>
      </c>
      <c r="K23065" s="16" t="n">
        <f aca="false">J23076</f>
        <v>350</v>
      </c>
    </row>
    <row r="23066" customFormat="false" ht="15" hidden="false" customHeight="false" outlineLevel="0" collapsed="false">
      <c r="A23066" s="3" t="s">
        <v>330</v>
      </c>
      <c r="G23066" s="21" t="n">
        <f aca="false">IF(G22938=Assumptions!$K$64,1,0)</f>
        <v>0</v>
      </c>
      <c r="H23066" s="21" t="n">
        <f aca="false">IF(H22938=Assumptions!$K$64,1,0)</f>
        <v>0</v>
      </c>
      <c r="I23066" s="21" t="n">
        <f aca="false">IF(I22938=Assumptions!$K$64,1,0)</f>
        <v>0</v>
      </c>
      <c r="J23066" s="21" t="n">
        <f aca="false">IF(J22938=Assumptions!$K$64,1,0)</f>
        <v>1</v>
      </c>
      <c r="K23066" s="21" t="n">
        <f aca="false">IF(K22938=Assumptions!$K$64,1,0)</f>
        <v>0</v>
      </c>
    </row>
    <row r="23068" customFormat="false" ht="15" hidden="false" customHeight="false" outlineLevel="0" collapsed="false">
      <c r="A23068" s="3" t="s">
        <v>331</v>
      </c>
      <c r="G23068" s="31" t="n">
        <f aca="false">IF(Assumptions!$I$64=1,MAX(G22964,Assumptions!$G$64)+Assumptions!$F$64+$C$22965,Assumptions!$E$64)</f>
        <v>0.0455</v>
      </c>
      <c r="H23068" s="31" t="n">
        <f aca="false">IF(G23291=1,$C$22966,IF(Assumptions!$I$64=1,MAX(H22964,Assumptions!$G$64)+Assumptions!$F$64+$C$22965,Assumptions!$E$64))</f>
        <v>0.0455</v>
      </c>
      <c r="I23068" s="31" t="n">
        <f aca="false">IF(H23291=1,$C$22966,IF(Assumptions!$I$64=1,MAX(I22964,Assumptions!$G$64)+Assumptions!$F$64+$C$22965,Assumptions!$E$64))</f>
        <v>0.0455</v>
      </c>
      <c r="J23068" s="31" t="n">
        <f aca="false">IF(I23291=1,$C$22966,IF(Assumptions!$I$64=1,MAX(J22964,Assumptions!$G$64)+Assumptions!$F$64+$C$22965,Assumptions!$E$64))</f>
        <v>0.0455</v>
      </c>
      <c r="K23068" s="31" t="n">
        <f aca="false">IF(J23291=1,$C$22966,IF(Assumptions!$I$64=1,MAX(K22964,Assumptions!$G$64)+Assumptions!$F$64+$C$22965,Assumptions!$E$64))</f>
        <v>0.08</v>
      </c>
    </row>
    <row r="23069" customFormat="false" ht="15" hidden="false" customHeight="false" outlineLevel="0" collapsed="false">
      <c r="A23069" s="3" t="s">
        <v>332</v>
      </c>
      <c r="G23069" s="16" t="n">
        <f aca="false">G23065*G23068</f>
        <v>15.925</v>
      </c>
      <c r="H23069" s="16" t="n">
        <f aca="false">H23065*H23068</f>
        <v>15.925</v>
      </c>
      <c r="I23069" s="16" t="n">
        <f aca="false">I23065*I23068</f>
        <v>15.925</v>
      </c>
      <c r="J23069" s="16" t="n">
        <f aca="false">J23065*J23068</f>
        <v>15.925</v>
      </c>
      <c r="K23069" s="16" t="n">
        <f aca="false">K23065*K23068</f>
        <v>28</v>
      </c>
    </row>
    <row r="23070" customFormat="false" ht="15" hidden="false" customHeight="false" outlineLevel="0" collapsed="false">
      <c r="A23070" s="3" t="s">
        <v>333</v>
      </c>
      <c r="G23070" s="16" t="n">
        <f aca="false">G23065*Assumptions!$H$64</f>
        <v>0</v>
      </c>
      <c r="H23070" s="16" t="n">
        <f aca="false">H23065*Assumptions!$H$64</f>
        <v>0</v>
      </c>
      <c r="I23070" s="16" t="n">
        <f aca="false">I23065*Assumptions!$H$64</f>
        <v>0</v>
      </c>
      <c r="J23070" s="16" t="n">
        <f aca="false">J23065*Assumptions!$H$64</f>
        <v>0</v>
      </c>
      <c r="K23070" s="16" t="n">
        <f aca="false">K23065*Assumptions!$H$64</f>
        <v>0</v>
      </c>
    </row>
    <row r="23071" customFormat="false" ht="15" hidden="false" customHeight="false" outlineLevel="0" collapsed="false">
      <c r="A23071" s="3" t="s">
        <v>334</v>
      </c>
      <c r="G23071" s="16" t="n">
        <f aca="false">MIN(G23065,Assumptions!$L$64*Assumptions!$C$64)</f>
        <v>0</v>
      </c>
      <c r="H23071" s="16" t="n">
        <f aca="false">MIN(H23065,Assumptions!$L$64*Assumptions!$C$64)</f>
        <v>0</v>
      </c>
      <c r="I23071" s="16" t="n">
        <f aca="false">MIN(I23065,Assumptions!$L$64*Assumptions!$C$64)</f>
        <v>0</v>
      </c>
      <c r="J23071" s="16" t="n">
        <f aca="false">MIN(J23065,Assumptions!$L$64*Assumptions!$C$64)</f>
        <v>0</v>
      </c>
      <c r="K23071" s="16" t="n">
        <f aca="false">MIN(K23065,Assumptions!$L$64*Assumptions!$C$64)</f>
        <v>0</v>
      </c>
    </row>
    <row r="23072" customFormat="false" ht="15" hidden="false" customHeight="false" outlineLevel="0" collapsed="false">
      <c r="A23072" s="3" t="s">
        <v>335</v>
      </c>
      <c r="G23072" s="16" t="n">
        <f aca="false">IF(AND(Assumptions!$P$64=1,G22938&lt;Assumptions!$K$64),MIN(MAX(0,-G23154),MAX(0,Assumptions!$D$64-G23065)),0)</f>
        <v>0</v>
      </c>
      <c r="H23072" s="16" t="n">
        <f aca="false">IF(AND(Assumptions!$P$64=1,OR(H22938&lt;Assumptions!$K$64,G23291=1)),MIN(MAX(0,-H23154),MAX(0,Assumptions!$D$64-H23065)),0)</f>
        <v>0</v>
      </c>
      <c r="I23072" s="16" t="n">
        <f aca="false">IF(AND(Assumptions!$P$64=1,OR(I22938&lt;Assumptions!$K$64,H23291=1)),MIN(MAX(0,-I23154),MAX(0,Assumptions!$D$64-I23065)),0)</f>
        <v>0</v>
      </c>
      <c r="J23072" s="16" t="n">
        <f aca="false">IF(AND(Assumptions!$P$64=1,OR(J22938&lt;Assumptions!$K$64,I23291=1)),MIN(MAX(0,-J23154),MAX(0,Assumptions!$D$64-J23065)),0)</f>
        <v>0</v>
      </c>
      <c r="K23072" s="16" t="n">
        <f aca="false">IF(AND(Assumptions!$P$64=1,OR(K22938&lt;Assumptions!$K$64,J23291=1)),MIN(MAX(0,-K23154),MAX(0,Assumptions!$D$64-K23065)),0)</f>
        <v>0</v>
      </c>
    </row>
    <row r="23073" customFormat="false" ht="15" hidden="false" customHeight="false" outlineLevel="0" collapsed="false">
      <c r="A23073" s="3" t="s">
        <v>336</v>
      </c>
      <c r="G23073" s="16" t="n">
        <f aca="false">G23066*MIN(G23065-G23071+G23070,MAX(0,G23156-Assumptions!$C$12*G22972-G22982-G22995-G23008-G23021-G23034-G23047-G23060))</f>
        <v>0</v>
      </c>
      <c r="H23073" s="16" t="n">
        <f aca="false">H23066*MIN(H23065-H23071+H23070,MAX(0,H23156-Assumptions!$C$12*H22972-H22982-H22995-H23008-H23021-H23034-H23047-H23060))</f>
        <v>0</v>
      </c>
      <c r="I23073" s="16" t="n">
        <f aca="false">I23066*MIN(I23065-I23071+I23070,MAX(0,I23156-Assumptions!$C$12*I22972-I22982-I22995-I23008-I23021-I23034-I23047-I23060))</f>
        <v>0</v>
      </c>
      <c r="J23073" s="16" t="n">
        <f aca="false">J23066*MIN(J23065-J23071+J23070,MAX(0,J23156-Assumptions!$C$12*J22972-J22982-J22995-J23008-J23021-J23034-J23047-J23060))</f>
        <v>0</v>
      </c>
      <c r="K23073" s="16" t="n">
        <f aca="false">K23066*MIN(K23065-K23071+K23070,MAX(0,K23156-Assumptions!$C$12*K22972-K22982-K22995-K23008-K23021-K23034-K23047-K23060))</f>
        <v>0</v>
      </c>
    </row>
    <row r="23074" customFormat="false" ht="15" hidden="false" customHeight="false" outlineLevel="0" collapsed="false">
      <c r="A23074" s="3" t="s">
        <v>337</v>
      </c>
      <c r="G23074" s="16" t="n">
        <f aca="false">Assumptions!$N$64*MIN(G23065+G23072+G23070-G23071-G23073,MAX(0,G23160-G22983-G22996-G23009-G23022-G23035-G23048-G23061))</f>
        <v>0</v>
      </c>
      <c r="H23074" s="16" t="n">
        <f aca="false">Assumptions!$N$64*MIN(H23065+H23072+H23070-H23071-H23073,MAX(0,H23160-H22983-H22996-H23009-H23022-H23035-H23048-H23061))</f>
        <v>0</v>
      </c>
      <c r="I23074" s="16" t="n">
        <f aca="false">Assumptions!$N$64*MIN(I23065+I23072+I23070-I23071-I23073,MAX(0,I23160-I22983-I22996-I23009-I23022-I23035-I23048-I23061))</f>
        <v>0</v>
      </c>
      <c r="J23074" s="16" t="n">
        <f aca="false">Assumptions!$N$64*MIN(J23065+J23072+J23070-J23071-J23073,MAX(0,J23160-J22983-J22996-J23009-J23022-J23035-J23048-J23061))</f>
        <v>0</v>
      </c>
      <c r="K23074" s="16" t="n">
        <f aca="false">Assumptions!$N$64*MIN(K23065+K23072+K23070-K23071-K23073,MAX(0,K23160-K22983-K22996-K23009-K23022-K23035-K23048-K23061))</f>
        <v>0</v>
      </c>
    </row>
    <row r="23075" customFormat="false" ht="15" hidden="false" customHeight="false" outlineLevel="0" collapsed="false">
      <c r="A23075" s="3" t="s">
        <v>338</v>
      </c>
      <c r="G23075" s="16" t="n">
        <f aca="false">G23066*(1-G22972)*(G23065-G23071+G23070-G23073)</f>
        <v>0</v>
      </c>
      <c r="H23075" s="16" t="n">
        <f aca="false">H23066*(1-H22972)*(H23065-H23071+H23070-H23073)</f>
        <v>0</v>
      </c>
      <c r="I23075" s="16" t="n">
        <f aca="false">I23066*(1-I22972)*(I23065-I23071+I23070-I23073)</f>
        <v>0</v>
      </c>
      <c r="J23075" s="16" t="n">
        <f aca="false">J23066*(1-J22972)*(J23065-J23071+J23070-J23073)</f>
        <v>0</v>
      </c>
      <c r="K23075" s="16" t="n">
        <f aca="false">K23066*(1-K22972)*(K23065-K23071+K23070-K23073)</f>
        <v>0</v>
      </c>
    </row>
    <row r="23076" customFormat="false" ht="15" hidden="false" customHeight="false" outlineLevel="0" collapsed="false">
      <c r="A23076" s="2" t="s">
        <v>339</v>
      </c>
      <c r="F23076" s="28" t="n">
        <f aca="false">Assumptions!$C$64</f>
        <v>350</v>
      </c>
      <c r="G23076" s="17" t="n">
        <f aca="false">G23065+G23072+G23070-G23071-G23073-G23074</f>
        <v>350</v>
      </c>
      <c r="H23076" s="17" t="n">
        <f aca="false">H23065+H23072+H23070-H23071-H23073-H23074</f>
        <v>350</v>
      </c>
      <c r="I23076" s="17" t="n">
        <f aca="false">I23065+I23072+I23070-I23071-I23073-I23074</f>
        <v>350</v>
      </c>
      <c r="J23076" s="17" t="n">
        <f aca="false">J23065+J23072+J23070-J23071-J23073-J23074</f>
        <v>350</v>
      </c>
      <c r="K23076" s="17" t="n">
        <f aca="false">K23065+K23072+K23070-K23071-K23073-K23074</f>
        <v>350</v>
      </c>
    </row>
    <row r="23077" customFormat="false" ht="15" hidden="false" customHeight="false" outlineLevel="0" collapsed="false">
      <c r="A23077" s="24" t="s">
        <v>347</v>
      </c>
      <c r="B23077" s="25"/>
      <c r="C23077" s="25"/>
      <c r="D23077" s="25"/>
      <c r="E23077" s="25"/>
      <c r="F23077" s="25"/>
      <c r="G23077" s="25"/>
      <c r="H23077" s="25"/>
      <c r="I23077" s="25"/>
      <c r="J23077" s="25"/>
      <c r="K23077" s="25"/>
    </row>
    <row r="23078" customFormat="false" ht="15" hidden="false" customHeight="false" outlineLevel="0" collapsed="false">
      <c r="A23078" s="3" t="s">
        <v>329</v>
      </c>
      <c r="G23078" s="16" t="n">
        <f aca="false">F23089</f>
        <v>300</v>
      </c>
      <c r="H23078" s="16" t="n">
        <f aca="false">G23089</f>
        <v>300</v>
      </c>
      <c r="I23078" s="16" t="n">
        <f aca="false">H23089</f>
        <v>300</v>
      </c>
      <c r="J23078" s="16" t="n">
        <f aca="false">I23089</f>
        <v>300</v>
      </c>
      <c r="K23078" s="16" t="n">
        <f aca="false">J23089</f>
        <v>300</v>
      </c>
    </row>
    <row r="23079" customFormat="false" ht="15" hidden="false" customHeight="false" outlineLevel="0" collapsed="false">
      <c r="A23079" s="3" t="s">
        <v>330</v>
      </c>
      <c r="G23079" s="21" t="n">
        <f aca="false">IF(G22938=Assumptions!$K$65,1,0)</f>
        <v>0</v>
      </c>
      <c r="H23079" s="21" t="n">
        <f aca="false">IF(H22938=Assumptions!$K$65,1,0)</f>
        <v>0</v>
      </c>
      <c r="I23079" s="21" t="n">
        <f aca="false">IF(I22938=Assumptions!$K$65,1,0)</f>
        <v>0</v>
      </c>
      <c r="J23079" s="21" t="n">
        <f aca="false">IF(J22938=Assumptions!$K$65,1,0)</f>
        <v>0</v>
      </c>
      <c r="K23079" s="21" t="n">
        <f aca="false">IF(K22938=Assumptions!$K$65,1,0)</f>
        <v>1</v>
      </c>
    </row>
    <row r="23081" customFormat="false" ht="15" hidden="false" customHeight="false" outlineLevel="0" collapsed="false">
      <c r="A23081" s="3" t="s">
        <v>331</v>
      </c>
      <c r="G23081" s="31" t="n">
        <f aca="false">IF(Assumptions!$I$65=1,MAX(G22964,Assumptions!$G$65)+Assumptions!$F$65+$C$22965,Assumptions!$E$65)</f>
        <v>0.06125</v>
      </c>
      <c r="H23081" s="31" t="n">
        <f aca="false">IF(G23292=1,$C$22966,IF(Assumptions!$I$65=1,MAX(H22964,Assumptions!$G$65)+Assumptions!$F$65+$C$22965,Assumptions!$E$65))</f>
        <v>0.06125</v>
      </c>
      <c r="I23081" s="31" t="n">
        <f aca="false">IF(H23292=1,$C$22966,IF(Assumptions!$I$65=1,MAX(I22964,Assumptions!$G$65)+Assumptions!$F$65+$C$22965,Assumptions!$E$65))</f>
        <v>0.06125</v>
      </c>
      <c r="J23081" s="31" t="n">
        <f aca="false">IF(I23292=1,$C$22966,IF(Assumptions!$I$65=1,MAX(J22964,Assumptions!$G$65)+Assumptions!$F$65+$C$22965,Assumptions!$E$65))</f>
        <v>0.06125</v>
      </c>
      <c r="K23081" s="31" t="n">
        <f aca="false">IF(J23292=1,$C$22966,IF(Assumptions!$I$65=1,MAX(K22964,Assumptions!$G$65)+Assumptions!$F$65+$C$22965,Assumptions!$E$65))</f>
        <v>0.06125</v>
      </c>
    </row>
    <row r="23082" customFormat="false" ht="15" hidden="false" customHeight="false" outlineLevel="0" collapsed="false">
      <c r="A23082" s="3" t="s">
        <v>332</v>
      </c>
      <c r="G23082" s="16" t="n">
        <f aca="false">G23078*G23081</f>
        <v>18.375</v>
      </c>
      <c r="H23082" s="16" t="n">
        <f aca="false">H23078*H23081</f>
        <v>18.375</v>
      </c>
      <c r="I23082" s="16" t="n">
        <f aca="false">I23078*I23081</f>
        <v>18.375</v>
      </c>
      <c r="J23082" s="16" t="n">
        <f aca="false">J23078*J23081</f>
        <v>18.375</v>
      </c>
      <c r="K23082" s="16" t="n">
        <f aca="false">K23078*K23081</f>
        <v>18.375</v>
      </c>
    </row>
    <row r="23083" customFormat="false" ht="15" hidden="false" customHeight="false" outlineLevel="0" collapsed="false">
      <c r="A23083" s="3" t="s">
        <v>333</v>
      </c>
      <c r="G23083" s="16" t="n">
        <f aca="false">G23078*Assumptions!$H$65</f>
        <v>0</v>
      </c>
      <c r="H23083" s="16" t="n">
        <f aca="false">H23078*Assumptions!$H$65</f>
        <v>0</v>
      </c>
      <c r="I23083" s="16" t="n">
        <f aca="false">I23078*Assumptions!$H$65</f>
        <v>0</v>
      </c>
      <c r="J23083" s="16" t="n">
        <f aca="false">J23078*Assumptions!$H$65</f>
        <v>0</v>
      </c>
      <c r="K23083" s="16" t="n">
        <f aca="false">K23078*Assumptions!$H$65</f>
        <v>0</v>
      </c>
    </row>
    <row r="23084" customFormat="false" ht="15" hidden="false" customHeight="false" outlineLevel="0" collapsed="false">
      <c r="A23084" s="3" t="s">
        <v>334</v>
      </c>
      <c r="G23084" s="16" t="n">
        <f aca="false">MIN(G23078,Assumptions!$L$65*Assumptions!$C$65)</f>
        <v>0</v>
      </c>
      <c r="H23084" s="16" t="n">
        <f aca="false">MIN(H23078,Assumptions!$L$65*Assumptions!$C$65)</f>
        <v>0</v>
      </c>
      <c r="I23084" s="16" t="n">
        <f aca="false">MIN(I23078,Assumptions!$L$65*Assumptions!$C$65)</f>
        <v>0</v>
      </c>
      <c r="J23084" s="16" t="n">
        <f aca="false">MIN(J23078,Assumptions!$L$65*Assumptions!$C$65)</f>
        <v>0</v>
      </c>
      <c r="K23084" s="16" t="n">
        <f aca="false">MIN(K23078,Assumptions!$L$65*Assumptions!$C$65)</f>
        <v>0</v>
      </c>
    </row>
    <row r="23085" customFormat="false" ht="15" hidden="false" customHeight="false" outlineLevel="0" collapsed="false">
      <c r="A23085" s="3" t="s">
        <v>335</v>
      </c>
      <c r="G23085" s="16" t="n">
        <f aca="false">IF(AND(Assumptions!$P$65=1,G22938&lt;Assumptions!$K$65),MIN(MAX(0,-G23154),MAX(0,Assumptions!$D$65-G23078)),0)</f>
        <v>0</v>
      </c>
      <c r="H23085" s="16" t="n">
        <f aca="false">IF(AND(Assumptions!$P$65=1,OR(H22938&lt;Assumptions!$K$65,G23292=1)),MIN(MAX(0,-H23154),MAX(0,Assumptions!$D$65-H23078)),0)</f>
        <v>0</v>
      </c>
      <c r="I23085" s="16" t="n">
        <f aca="false">IF(AND(Assumptions!$P$65=1,OR(I22938&lt;Assumptions!$K$65,H23292=1)),MIN(MAX(0,-I23154),MAX(0,Assumptions!$D$65-I23078)),0)</f>
        <v>0</v>
      </c>
      <c r="J23085" s="16" t="n">
        <f aca="false">IF(AND(Assumptions!$P$65=1,OR(J22938&lt;Assumptions!$K$65,I23292=1)),MIN(MAX(0,-J23154),MAX(0,Assumptions!$D$65-J23078)),0)</f>
        <v>0</v>
      </c>
      <c r="K23085" s="16" t="n">
        <f aca="false">IF(AND(Assumptions!$P$65=1,OR(K22938&lt;Assumptions!$K$65,J23292=1)),MIN(MAX(0,-K23154),MAX(0,Assumptions!$D$65-K23078)),0)</f>
        <v>0</v>
      </c>
    </row>
    <row r="23086" customFormat="false" ht="15" hidden="false" customHeight="false" outlineLevel="0" collapsed="false">
      <c r="A23086" s="3" t="s">
        <v>336</v>
      </c>
      <c r="G23086" s="16" t="n">
        <f aca="false">G23079*MIN(G23078-G23084+G23083,MAX(0,G23156-Assumptions!$C$12*G22972-G22982-G22995-G23008-G23021-G23034-G23047-G23060-G23073))</f>
        <v>0</v>
      </c>
      <c r="H23086" s="16" t="n">
        <f aca="false">H23079*MIN(H23078-H23084+H23083,MAX(0,H23156-Assumptions!$C$12*H22972-H22982-H22995-H23008-H23021-H23034-H23047-H23060-H23073))</f>
        <v>0</v>
      </c>
      <c r="I23086" s="16" t="n">
        <f aca="false">I23079*MIN(I23078-I23084+I23083,MAX(0,I23156-Assumptions!$C$12*I22972-I22982-I22995-I23008-I23021-I23034-I23047-I23060-I23073))</f>
        <v>0</v>
      </c>
      <c r="J23086" s="16" t="n">
        <f aca="false">J23079*MIN(J23078-J23084+J23083,MAX(0,J23156-Assumptions!$C$12*J22972-J22982-J22995-J23008-J23021-J23034-J23047-J23060-J23073))</f>
        <v>0</v>
      </c>
      <c r="K23086" s="16" t="n">
        <f aca="false">K23079*MIN(K23078-K23084+K23083,MAX(0,K23156-Assumptions!$C$12*K22972-K22982-K22995-K23008-K23021-K23034-K23047-K23060-K23073))</f>
        <v>0</v>
      </c>
    </row>
    <row r="23087" customFormat="false" ht="15" hidden="false" customHeight="false" outlineLevel="0" collapsed="false">
      <c r="A23087" s="3" t="s">
        <v>337</v>
      </c>
      <c r="G23087" s="16" t="n">
        <f aca="false">Assumptions!$N$65*MIN(G23078+G23085+G23083-G23084-G23086,MAX(0,G23160-G22983-G22996-G23009-G23022-G23035-G23048-G23061-G23074))</f>
        <v>0</v>
      </c>
      <c r="H23087" s="16" t="n">
        <f aca="false">Assumptions!$N$65*MIN(H23078+H23085+H23083-H23084-H23086,MAX(0,H23160-H22983-H22996-H23009-H23022-H23035-H23048-H23061-H23074))</f>
        <v>0</v>
      </c>
      <c r="I23087" s="16" t="n">
        <f aca="false">Assumptions!$N$65*MIN(I23078+I23085+I23083-I23084-I23086,MAX(0,I23160-I22983-I22996-I23009-I23022-I23035-I23048-I23061-I23074))</f>
        <v>0</v>
      </c>
      <c r="J23087" s="16" t="n">
        <f aca="false">Assumptions!$N$65*MIN(J23078+J23085+J23083-J23084-J23086,MAX(0,J23160-J22983-J22996-J23009-J23022-J23035-J23048-J23061-J23074))</f>
        <v>0</v>
      </c>
      <c r="K23087" s="16" t="n">
        <f aca="false">Assumptions!$N$65*MIN(K23078+K23085+K23083-K23084-K23086,MAX(0,K23160-K22983-K22996-K23009-K23022-K23035-K23048-K23061-K23074))</f>
        <v>0</v>
      </c>
    </row>
    <row r="23088" customFormat="false" ht="15" hidden="false" customHeight="false" outlineLevel="0" collapsed="false">
      <c r="A23088" s="3" t="s">
        <v>338</v>
      </c>
      <c r="G23088" s="16" t="n">
        <f aca="false">G23079*(1-G22972)*(G23078-G23084+G23083-G23086)</f>
        <v>0</v>
      </c>
      <c r="H23088" s="16" t="n">
        <f aca="false">H23079*(1-H22972)*(H23078-H23084+H23083-H23086)</f>
        <v>0</v>
      </c>
      <c r="I23088" s="16" t="n">
        <f aca="false">I23079*(1-I22972)*(I23078-I23084+I23083-I23086)</f>
        <v>0</v>
      </c>
      <c r="J23088" s="16" t="n">
        <f aca="false">J23079*(1-J22972)*(J23078-J23084+J23083-J23086)</f>
        <v>0</v>
      </c>
      <c r="K23088" s="16" t="n">
        <f aca="false">K23079*(1-K22972)*(K23078-K23084+K23083-K23086)</f>
        <v>0</v>
      </c>
    </row>
    <row r="23089" customFormat="false" ht="15" hidden="false" customHeight="false" outlineLevel="0" collapsed="false">
      <c r="A23089" s="2" t="s">
        <v>339</v>
      </c>
      <c r="F23089" s="28" t="n">
        <f aca="false">Assumptions!$C$65</f>
        <v>300</v>
      </c>
      <c r="G23089" s="17" t="n">
        <f aca="false">G23078+G23085+G23083-G23084-G23086-G23087</f>
        <v>300</v>
      </c>
      <c r="H23089" s="17" t="n">
        <f aca="false">H23078+H23085+H23083-H23084-H23086-H23087</f>
        <v>300</v>
      </c>
      <c r="I23089" s="17" t="n">
        <f aca="false">I23078+I23085+I23083-I23084-I23086-I23087</f>
        <v>300</v>
      </c>
      <c r="J23089" s="17" t="n">
        <f aca="false">J23078+J23085+J23083-J23084-J23086-J23087</f>
        <v>300</v>
      </c>
      <c r="K23089" s="17" t="n">
        <f aca="false">K23078+K23085+K23083-K23084-K23086-K23087</f>
        <v>300</v>
      </c>
    </row>
    <row r="23090" customFormat="false" ht="15" hidden="false" customHeight="false" outlineLevel="0" collapsed="false">
      <c r="A23090" s="24" t="s">
        <v>348</v>
      </c>
      <c r="B23090" s="25"/>
      <c r="C23090" s="25"/>
      <c r="D23090" s="25"/>
      <c r="E23090" s="25"/>
      <c r="F23090" s="25"/>
      <c r="G23090" s="25"/>
      <c r="H23090" s="25"/>
      <c r="I23090" s="25"/>
      <c r="J23090" s="25"/>
      <c r="K23090" s="25"/>
    </row>
    <row r="23091" customFormat="false" ht="15" hidden="false" customHeight="false" outlineLevel="0" collapsed="false">
      <c r="A23091" s="3" t="s">
        <v>329</v>
      </c>
      <c r="G23091" s="16" t="n">
        <f aca="false">F23102</f>
        <v>78.61</v>
      </c>
      <c r="H23091" s="16" t="n">
        <f aca="false">G23102</f>
        <v>78.61</v>
      </c>
      <c r="I23091" s="16" t="n">
        <f aca="false">H23102</f>
        <v>78.61</v>
      </c>
      <c r="J23091" s="16" t="n">
        <f aca="false">I23102</f>
        <v>78.61</v>
      </c>
      <c r="K23091" s="16" t="n">
        <f aca="false">J23102</f>
        <v>78.61</v>
      </c>
    </row>
    <row r="23092" customFormat="false" ht="15" hidden="false" customHeight="false" outlineLevel="0" collapsed="false">
      <c r="A23092" s="3" t="s">
        <v>330</v>
      </c>
      <c r="G23092" s="21" t="n">
        <f aca="false">IF(G22938=Assumptions!$K$66,1,0)</f>
        <v>0</v>
      </c>
      <c r="H23092" s="21" t="n">
        <f aca="false">IF(H22938=Assumptions!$K$66,1,0)</f>
        <v>0</v>
      </c>
      <c r="I23092" s="21" t="n">
        <f aca="false">IF(I22938=Assumptions!$K$66,1,0)</f>
        <v>0</v>
      </c>
      <c r="J23092" s="21" t="n">
        <f aca="false">IF(J22938=Assumptions!$K$66,1,0)</f>
        <v>0</v>
      </c>
      <c r="K23092" s="21" t="n">
        <f aca="false">IF(K22938=Assumptions!$K$66,1,0)</f>
        <v>0</v>
      </c>
    </row>
    <row r="23094" customFormat="false" ht="15" hidden="false" customHeight="false" outlineLevel="0" collapsed="false">
      <c r="A23094" s="3" t="s">
        <v>331</v>
      </c>
      <c r="G23094" s="31" t="n">
        <f aca="false">IF(Assumptions!$I$66=1,MAX(G22964,Assumptions!$G$66)+Assumptions!$F$66+$C$22965,Assumptions!$E$66)</f>
        <v>0.0541</v>
      </c>
      <c r="H23094" s="31" t="n">
        <f aca="false">IF(G23293=1,$C$22966,IF(Assumptions!$I$66=1,MAX(H22964,Assumptions!$G$66)+Assumptions!$F$66+$C$22965,Assumptions!$E$66))</f>
        <v>0.0526</v>
      </c>
      <c r="I23094" s="31" t="n">
        <f aca="false">IF(H23293=1,$C$22966,IF(Assumptions!$I$66=1,MAX(I22964,Assumptions!$G$66)+Assumptions!$F$66+$C$22965,Assumptions!$E$66))</f>
        <v>0.0501</v>
      </c>
      <c r="J23094" s="31" t="n">
        <f aca="false">IF(I23293=1,$C$22966,IF(Assumptions!$I$66=1,MAX(J22964,Assumptions!$G$66)+Assumptions!$F$66+$C$22965,Assumptions!$E$66))</f>
        <v>0.0501</v>
      </c>
      <c r="K23094" s="31" t="n">
        <f aca="false">IF(J23293=1,$C$22966,IF(Assumptions!$I$66=1,MAX(K22964,Assumptions!$G$66)+Assumptions!$F$66+$C$22965,Assumptions!$E$66))</f>
        <v>0.0501</v>
      </c>
    </row>
    <row r="23095" customFormat="false" ht="15" hidden="false" customHeight="false" outlineLevel="0" collapsed="false">
      <c r="A23095" s="3" t="s">
        <v>332</v>
      </c>
      <c r="G23095" s="16" t="n">
        <f aca="false">G23091*G23094</f>
        <v>4.252801</v>
      </c>
      <c r="H23095" s="16" t="n">
        <f aca="false">H23091*H23094</f>
        <v>4.134886</v>
      </c>
      <c r="I23095" s="16" t="n">
        <f aca="false">I23091*I23094</f>
        <v>3.938361</v>
      </c>
      <c r="J23095" s="16" t="n">
        <f aca="false">J23091*J23094</f>
        <v>3.938361</v>
      </c>
      <c r="K23095" s="16" t="n">
        <f aca="false">K23091*K23094</f>
        <v>3.938361</v>
      </c>
    </row>
    <row r="23096" customFormat="false" ht="15" hidden="false" customHeight="false" outlineLevel="0" collapsed="false">
      <c r="A23096" s="3" t="s">
        <v>333</v>
      </c>
      <c r="G23096" s="16" t="n">
        <f aca="false">G23091*Assumptions!$H$66</f>
        <v>0</v>
      </c>
      <c r="H23096" s="16" t="n">
        <f aca="false">H23091*Assumptions!$H$66</f>
        <v>0</v>
      </c>
      <c r="I23096" s="16" t="n">
        <f aca="false">I23091*Assumptions!$H$66</f>
        <v>0</v>
      </c>
      <c r="J23096" s="16" t="n">
        <f aca="false">J23091*Assumptions!$H$66</f>
        <v>0</v>
      </c>
      <c r="K23096" s="16" t="n">
        <f aca="false">K23091*Assumptions!$H$66</f>
        <v>0</v>
      </c>
    </row>
    <row r="23097" customFormat="false" ht="15" hidden="false" customHeight="false" outlineLevel="0" collapsed="false">
      <c r="A23097" s="3" t="s">
        <v>334</v>
      </c>
      <c r="G23097" s="16" t="n">
        <f aca="false">MIN(G23091,Assumptions!$L$66*Assumptions!$C$66)</f>
        <v>0</v>
      </c>
      <c r="H23097" s="16" t="n">
        <f aca="false">MIN(H23091,Assumptions!$L$66*Assumptions!$C$66)</f>
        <v>0</v>
      </c>
      <c r="I23097" s="16" t="n">
        <f aca="false">MIN(I23091,Assumptions!$L$66*Assumptions!$C$66)</f>
        <v>0</v>
      </c>
      <c r="J23097" s="16" t="n">
        <f aca="false">MIN(J23091,Assumptions!$L$66*Assumptions!$C$66)</f>
        <v>0</v>
      </c>
      <c r="K23097" s="16" t="n">
        <f aca="false">MIN(K23091,Assumptions!$L$66*Assumptions!$C$66)</f>
        <v>0</v>
      </c>
    </row>
    <row r="23098" customFormat="false" ht="15" hidden="false" customHeight="false" outlineLevel="0" collapsed="false">
      <c r="A23098" s="3" t="s">
        <v>335</v>
      </c>
      <c r="G23098" s="16" t="n">
        <f aca="false">IF(AND(Assumptions!$P$66=1,G22938&lt;Assumptions!$K$66),MIN(MAX(0,-G23154),MAX(0,Assumptions!$D$66-G23091)),0)</f>
        <v>0</v>
      </c>
      <c r="H23098" s="16" t="n">
        <f aca="false">IF(AND(Assumptions!$P$66=1,OR(H22938&lt;Assumptions!$K$66,G23293=1)),MIN(MAX(0,-H23154),MAX(0,Assumptions!$D$66-H23091)),0)</f>
        <v>0</v>
      </c>
      <c r="I23098" s="16" t="n">
        <f aca="false">IF(AND(Assumptions!$P$66=1,OR(I22938&lt;Assumptions!$K$66,H23293=1)),MIN(MAX(0,-I23154),MAX(0,Assumptions!$D$66-I23091)),0)</f>
        <v>0</v>
      </c>
      <c r="J23098" s="16" t="n">
        <f aca="false">IF(AND(Assumptions!$P$66=1,OR(J22938&lt;Assumptions!$K$66,I23293=1)),MIN(MAX(0,-J23154),MAX(0,Assumptions!$D$66-J23091)),0)</f>
        <v>0</v>
      </c>
      <c r="K23098" s="16" t="n">
        <f aca="false">IF(AND(Assumptions!$P$66=1,OR(K22938&lt;Assumptions!$K$66,J23293=1)),MIN(MAX(0,-K23154),MAX(0,Assumptions!$D$66-K23091)),0)</f>
        <v>0</v>
      </c>
    </row>
    <row r="23099" customFormat="false" ht="15" hidden="false" customHeight="false" outlineLevel="0" collapsed="false">
      <c r="A23099" s="3" t="s">
        <v>336</v>
      </c>
      <c r="G23099" s="16" t="n">
        <f aca="false">G23092*MIN(G23091-G23097+G23096,MAX(0,G23156-Assumptions!$C$12*G22972-G22982-G22995-G23008-G23021-G23034-G23047-G23060-G23073-G23086))</f>
        <v>0</v>
      </c>
      <c r="H23099" s="16" t="n">
        <f aca="false">H23092*MIN(H23091-H23097+H23096,MAX(0,H23156-Assumptions!$C$12*H22972-H22982-H22995-H23008-H23021-H23034-H23047-H23060-H23073-H23086))</f>
        <v>0</v>
      </c>
      <c r="I23099" s="16" t="n">
        <f aca="false">I23092*MIN(I23091-I23097+I23096,MAX(0,I23156-Assumptions!$C$12*I22972-I22982-I22995-I23008-I23021-I23034-I23047-I23060-I23073-I23086))</f>
        <v>0</v>
      </c>
      <c r="J23099" s="16" t="n">
        <f aca="false">J23092*MIN(J23091-J23097+J23096,MAX(0,J23156-Assumptions!$C$12*J22972-J22982-J22995-J23008-J23021-J23034-J23047-J23060-J23073-J23086))</f>
        <v>0</v>
      </c>
      <c r="K23099" s="16" t="n">
        <f aca="false">K23092*MIN(K23091-K23097+K23096,MAX(0,K23156-Assumptions!$C$12*K22972-K22982-K22995-K23008-K23021-K23034-K23047-K23060-K23073-K23086))</f>
        <v>0</v>
      </c>
    </row>
    <row r="23100" customFormat="false" ht="15" hidden="false" customHeight="false" outlineLevel="0" collapsed="false">
      <c r="A23100" s="3" t="s">
        <v>337</v>
      </c>
      <c r="G23100" s="16" t="n">
        <f aca="false">Assumptions!$N$66*MIN(G23091+G23098+G23096-G23097-G23099,MAX(0,G23160-G22983-G22996-G23009-G23022-G23035-G23048-G23061-G23074-G23087))</f>
        <v>0</v>
      </c>
      <c r="H23100" s="16" t="n">
        <f aca="false">Assumptions!$N$66*MIN(H23091+H23098+H23096-H23097-H23099,MAX(0,H23160-H22983-H22996-H23009-H23022-H23035-H23048-H23061-H23074-H23087))</f>
        <v>0</v>
      </c>
      <c r="I23100" s="16" t="n">
        <f aca="false">Assumptions!$N$66*MIN(I23091+I23098+I23096-I23097-I23099,MAX(0,I23160-I22983-I22996-I23009-I23022-I23035-I23048-I23061-I23074-I23087))</f>
        <v>0</v>
      </c>
      <c r="J23100" s="16" t="n">
        <f aca="false">Assumptions!$N$66*MIN(J23091+J23098+J23096-J23097-J23099,MAX(0,J23160-J22983-J22996-J23009-J23022-J23035-J23048-J23061-J23074-J23087))</f>
        <v>0</v>
      </c>
      <c r="K23100" s="16" t="n">
        <f aca="false">Assumptions!$N$66*MIN(K23091+K23098+K23096-K23097-K23099,MAX(0,K23160-K22983-K22996-K23009-K23022-K23035-K23048-K23061-K23074-K23087))</f>
        <v>0</v>
      </c>
    </row>
    <row r="23101" customFormat="false" ht="15" hidden="false" customHeight="false" outlineLevel="0" collapsed="false">
      <c r="A23101" s="3" t="s">
        <v>338</v>
      </c>
      <c r="G23101" s="16" t="n">
        <f aca="false">G23092*(1-G22972)*(G23091-G23097+G23096-G23099)</f>
        <v>0</v>
      </c>
      <c r="H23101" s="16" t="n">
        <f aca="false">H23092*(1-H22972)*(H23091-H23097+H23096-H23099)</f>
        <v>0</v>
      </c>
      <c r="I23101" s="16" t="n">
        <f aca="false">I23092*(1-I22972)*(I23091-I23097+I23096-I23099)</f>
        <v>0</v>
      </c>
      <c r="J23101" s="16" t="n">
        <f aca="false">J23092*(1-J22972)*(J23091-J23097+J23096-J23099)</f>
        <v>0</v>
      </c>
      <c r="K23101" s="16" t="n">
        <f aca="false">K23092*(1-K22972)*(K23091-K23097+K23096-K23099)</f>
        <v>0</v>
      </c>
    </row>
    <row r="23102" customFormat="false" ht="15" hidden="false" customHeight="false" outlineLevel="0" collapsed="false">
      <c r="A23102" s="2" t="s">
        <v>339</v>
      </c>
      <c r="F23102" s="28" t="n">
        <f aca="false">Assumptions!$C$66</f>
        <v>78.61</v>
      </c>
      <c r="G23102" s="17" t="n">
        <f aca="false">G23091+G23098+G23096-G23097-G23099-G23100</f>
        <v>78.61</v>
      </c>
      <c r="H23102" s="17" t="n">
        <f aca="false">H23091+H23098+H23096-H23097-H23099-H23100</f>
        <v>78.61</v>
      </c>
      <c r="I23102" s="17" t="n">
        <f aca="false">I23091+I23098+I23096-I23097-I23099-I23100</f>
        <v>78.61</v>
      </c>
      <c r="J23102" s="17" t="n">
        <f aca="false">J23091+J23098+J23096-J23097-J23099-J23100</f>
        <v>78.61</v>
      </c>
      <c r="K23102" s="17" t="n">
        <f aca="false">K23091+K23098+K23096-K23097-K23099-K23100</f>
        <v>78.61</v>
      </c>
    </row>
    <row r="23103" customFormat="false" ht="15" hidden="false" customHeight="false" outlineLevel="0" collapsed="false">
      <c r="A23103" s="24" t="s">
        <v>349</v>
      </c>
      <c r="B23103" s="25"/>
      <c r="C23103" s="25"/>
      <c r="D23103" s="25"/>
      <c r="E23103" s="25"/>
      <c r="F23103" s="25"/>
      <c r="G23103" s="25"/>
      <c r="H23103" s="25"/>
      <c r="I23103" s="25"/>
      <c r="J23103" s="25"/>
      <c r="K23103" s="25"/>
    </row>
    <row r="23104" customFormat="false" ht="15" hidden="false" customHeight="false" outlineLevel="0" collapsed="false">
      <c r="A23104" s="2" t="s">
        <v>350</v>
      </c>
      <c r="F23104" s="17" t="n">
        <f aca="false">F22985+F22998+F23011+F23024+F23037+F23050+F23063+F23076+F23089+F23102</f>
        <v>2625.934</v>
      </c>
      <c r="G23104" s="17" t="n">
        <f aca="false">G22985+G22998+G23011+G23024+G23037+G23050+G23063+G23076+G23089+G23102</f>
        <v>2621.934</v>
      </c>
      <c r="H23104" s="17" t="n">
        <f aca="false">H22985+H22998+H23011+H23024+H23037+H23050+H23063+H23076+H23089+H23102</f>
        <v>2575.6561513738</v>
      </c>
      <c r="I23104" s="17" t="n">
        <f aca="false">I22985+I22998+I23011+I23024+I23037+I23050+I23063+I23076+I23089+I23102</f>
        <v>2638.45309355586</v>
      </c>
      <c r="J23104" s="17" t="n">
        <f aca="false">J22985+J22998+J23011+J23024+J23037+J23050+J23063+J23076+J23089+J23102</f>
        <v>2723.3336162386</v>
      </c>
      <c r="K23104" s="17" t="n">
        <f aca="false">K22985+K22998+K23011+K23024+K23037+K23050+K23063+K23076+K23089+K23102</f>
        <v>2823.86943529725</v>
      </c>
    </row>
    <row r="23105" customFormat="false" ht="15" hidden="false" customHeight="false" outlineLevel="0" collapsed="false">
      <c r="A23105" s="3" t="s">
        <v>351</v>
      </c>
      <c r="G23105" s="16" t="n">
        <f aca="false">G22975*Assumptions!$C$57+G22988*Assumptions!$C$58+G23001*Assumptions!$C$59+G23014*Assumptions!$C$60+G23027*Assumptions!$C$61+G23040*Assumptions!$C$62+G23053*Assumptions!$C$63+G23066*Assumptions!$C$64+G23079*Assumptions!$C$65+G23092*Assumptions!$C$66</f>
        <v>0</v>
      </c>
      <c r="H23105" s="16" t="n">
        <f aca="false">H22975*Assumptions!$C$57+H22988*Assumptions!$C$58+H23001*Assumptions!$C$59+H23014*Assumptions!$C$60+H23027*Assumptions!$C$61+H23040*Assumptions!$C$62+H23053*Assumptions!$C$63+H23066*Assumptions!$C$64+H23079*Assumptions!$C$65+H23092*Assumptions!$C$66</f>
        <v>800</v>
      </c>
      <c r="I23105" s="16" t="n">
        <f aca="false">I22975*Assumptions!$C$57+I22988*Assumptions!$C$58+I23001*Assumptions!$C$59+I23014*Assumptions!$C$60+I23027*Assumptions!$C$61+I23040*Assumptions!$C$62+I23053*Assumptions!$C$63+I23066*Assumptions!$C$64+I23079*Assumptions!$C$65+I23092*Assumptions!$C$66</f>
        <v>550</v>
      </c>
      <c r="J23105" s="16" t="n">
        <f aca="false">J22975*Assumptions!$C$57+J22988*Assumptions!$C$58+J23001*Assumptions!$C$59+J23014*Assumptions!$C$60+J23027*Assumptions!$C$61+J23040*Assumptions!$C$62+J23053*Assumptions!$C$63+J23066*Assumptions!$C$64+J23079*Assumptions!$C$65+J23092*Assumptions!$C$66</f>
        <v>350</v>
      </c>
      <c r="K23105" s="16" t="n">
        <f aca="false">K22975*Assumptions!$C$57+K22988*Assumptions!$C$58+K23001*Assumptions!$C$59+K23014*Assumptions!$C$60+K23027*Assumptions!$C$61+K23040*Assumptions!$C$62+K23053*Assumptions!$C$63+K23066*Assumptions!$C$64+K23079*Assumptions!$C$65+K23092*Assumptions!$C$66</f>
        <v>700</v>
      </c>
    </row>
    <row r="23106" customFormat="false" ht="15" hidden="false" customHeight="false" outlineLevel="0" collapsed="false">
      <c r="A23106" s="24" t="s">
        <v>352</v>
      </c>
      <c r="B23106" s="25"/>
      <c r="C23106" s="25"/>
      <c r="D23106" s="25"/>
      <c r="E23106" s="25"/>
      <c r="F23106" s="25"/>
      <c r="G23106" s="25"/>
      <c r="H23106" s="25"/>
      <c r="I23106" s="25"/>
      <c r="J23106" s="25"/>
      <c r="K23106" s="25"/>
    </row>
    <row r="23107" customFormat="false" ht="15" hidden="false" customHeight="false" outlineLevel="0" collapsed="false">
      <c r="A23107" s="3" t="s">
        <v>353</v>
      </c>
      <c r="C23107" s="16" t="n">
        <f aca="false">SUMPRODUCT($G$22975:$K$22975,$G$22974:$K$22974-$G$22980:$K$22980+$G$22979:$K$22979)</f>
        <v>380</v>
      </c>
    </row>
    <row r="23108" customFormat="false" ht="15" hidden="false" customHeight="false" outlineLevel="0" collapsed="false">
      <c r="A23108" s="3" t="s">
        <v>354</v>
      </c>
      <c r="C23108" s="16" t="n">
        <f aca="false">SUMPRODUCT($G$22975:$K$22975,$G$22982:$K$22982)</f>
        <v>0</v>
      </c>
    </row>
    <row r="23109" customFormat="false" ht="15" hidden="false" customHeight="false" outlineLevel="0" collapsed="false">
      <c r="A23109" s="3" t="s">
        <v>355</v>
      </c>
      <c r="C23109" s="3" t="str">
        <f aca="false">IF(SUM($G$22975:$K$22975)=0,"n/a (beyond horizon)",IF(SUMPRODUCT($G$22975:$K$22975,$G$22972:$K$22972)&gt;0,"REFINANCING PASS","REFINANCING FAILURE"))</f>
        <v>REFINANCING PASS</v>
      </c>
    </row>
    <row r="23110" customFormat="false" ht="15" hidden="false" customHeight="false" outlineLevel="0" collapsed="false">
      <c r="A23110" s="3" t="s">
        <v>356</v>
      </c>
      <c r="C23110" s="3" t="str">
        <f aca="false">IF(SUM($G$22975:$K$22975)=0,"n/a",IF(C23108&gt;=C23107-0.001,"Repaid from cash",IF(SUMPRODUCT($G$22975:$K$22975,$G$22972:$K$22972)&gt;0,IF(C23108&gt;0,"Partly repaid; remainder refinanced","Refinanced"),IF(SUM($G$22984:$K$22984)&gt;0.001,IF(C23108&gt;0,"Partial repayment; PAYMENT DEFAULT","PAYMENT DEFAULT"),"Repaid from cash"))))</f>
        <v>Refinanced</v>
      </c>
    </row>
    <row r="23111" customFormat="false" ht="15" hidden="false" customHeight="false" outlineLevel="0" collapsed="false">
      <c r="A23111" s="3" t="s">
        <v>357</v>
      </c>
      <c r="C23111" s="16" t="n">
        <f aca="false">SUMPRODUCT($G$22988:$K$22988,$G$22987:$K$22987-$G$22993:$K$22993+$G$22992:$K$22992)</f>
        <v>0</v>
      </c>
    </row>
    <row r="23112" customFormat="false" ht="15" hidden="false" customHeight="false" outlineLevel="0" collapsed="false">
      <c r="A23112" s="3" t="s">
        <v>358</v>
      </c>
      <c r="C23112" s="16" t="n">
        <f aca="false">SUMPRODUCT($G$22988:$K$22988,$G$22995:$K$22995)</f>
        <v>0</v>
      </c>
    </row>
    <row r="23113" customFormat="false" ht="15" hidden="false" customHeight="false" outlineLevel="0" collapsed="false">
      <c r="A23113" s="3" t="s">
        <v>359</v>
      </c>
      <c r="C23113" s="3" t="str">
        <f aca="false">IF(SUM($G$22988:$K$22988)=0,"n/a (beyond horizon)",IF(SUMPRODUCT($G$22988:$K$22988,$G$22972:$K$22972)&gt;0,"REFINANCING PASS","REFINANCING FAILURE"))</f>
        <v>n/a (beyond horizon)</v>
      </c>
    </row>
    <row r="23114" customFormat="false" ht="15" hidden="false" customHeight="false" outlineLevel="0" collapsed="false">
      <c r="A23114" s="3" t="s">
        <v>360</v>
      </c>
      <c r="C23114" s="3" t="str">
        <f aca="false">IF(SUM($G$22988:$K$22988)=0,"n/a",IF(C23112&gt;=C23111-0.001,"Repaid from cash",IF(SUMPRODUCT($G$22988:$K$22988,$G$22972:$K$22972)&gt;0,IF(C23112&gt;0,"Partly repaid; remainder refinanced","Refinanced"),IF(SUM($G$22997:$K$22997)&gt;0.001,IF(C23112&gt;0,"Partial repayment; PAYMENT DEFAULT","PAYMENT DEFAULT"),"Repaid from cash"))))</f>
        <v>n/a</v>
      </c>
    </row>
    <row r="23115" customFormat="false" ht="15" hidden="false" customHeight="false" outlineLevel="0" collapsed="false">
      <c r="A23115" s="3" t="s">
        <v>361</v>
      </c>
      <c r="C23115" s="16" t="n">
        <f aca="false">SUMPRODUCT($G$23001:$K$23001,$G$23000:$K$23000-$G$23006:$K$23006+$G$23005:$K$23005)</f>
        <v>0</v>
      </c>
    </row>
    <row r="23116" customFormat="false" ht="15" hidden="false" customHeight="false" outlineLevel="0" collapsed="false">
      <c r="A23116" s="3" t="s">
        <v>362</v>
      </c>
      <c r="C23116" s="16" t="n">
        <f aca="false">SUMPRODUCT($G$23001:$K$23001,$G$23008:$K$23008)</f>
        <v>0</v>
      </c>
    </row>
    <row r="23117" customFormat="false" ht="15" hidden="false" customHeight="false" outlineLevel="0" collapsed="false">
      <c r="A23117" s="3" t="s">
        <v>363</v>
      </c>
      <c r="C23117" s="3" t="str">
        <f aca="false">IF(SUM($G$23001:$K$23001)=0,"n/a (beyond horizon)",IF(SUMPRODUCT($G$23001:$K$23001,$G$22972:$K$22972)&gt;0,"REFINANCING PASS","REFINANCING FAILURE"))</f>
        <v>n/a (beyond horizon)</v>
      </c>
    </row>
    <row r="23118" customFormat="false" ht="15" hidden="false" customHeight="false" outlineLevel="0" collapsed="false">
      <c r="A23118" s="3" t="s">
        <v>364</v>
      </c>
      <c r="C23118" s="3" t="str">
        <f aca="false">IF(SUM($G$23001:$K$23001)=0,"n/a",IF(C23116&gt;=C23115-0.001,"Repaid from cash",IF(SUMPRODUCT($G$23001:$K$23001,$G$22972:$K$22972)&gt;0,IF(C23116&gt;0,"Partly repaid; remainder refinanced","Refinanced"),IF(SUM($G$23010:$K$23010)&gt;0.001,IF(C23116&gt;0,"Partial repayment; PAYMENT DEFAULT","PAYMENT DEFAULT"),"Repaid from cash"))))</f>
        <v>n/a</v>
      </c>
    </row>
    <row r="23119" customFormat="false" ht="15" hidden="false" customHeight="false" outlineLevel="0" collapsed="false">
      <c r="A23119" s="3" t="s">
        <v>365</v>
      </c>
      <c r="C23119" s="16" t="n">
        <f aca="false">SUMPRODUCT($G$23014:$K$23014,$G$23013:$K$23013-$G$23019:$K$23019+$G$23018:$K$23018)</f>
        <v>0</v>
      </c>
    </row>
    <row r="23120" customFormat="false" ht="15" hidden="false" customHeight="false" outlineLevel="0" collapsed="false">
      <c r="A23120" s="3" t="s">
        <v>366</v>
      </c>
      <c r="C23120" s="16" t="n">
        <f aca="false">SUMPRODUCT($G$23014:$K$23014,$G$23021:$K$23021)</f>
        <v>0</v>
      </c>
    </row>
    <row r="23121" customFormat="false" ht="15" hidden="false" customHeight="false" outlineLevel="0" collapsed="false">
      <c r="A23121" s="3" t="s">
        <v>367</v>
      </c>
      <c r="C23121" s="3" t="str">
        <f aca="false">IF(SUM($G$23014:$K$23014)=0,"n/a (beyond horizon)",IF(SUMPRODUCT($G$23014:$K$23014,$G$22972:$K$22972)&gt;0,"REFINANCING PASS","REFINANCING FAILURE"))</f>
        <v>REFINANCING PASS</v>
      </c>
    </row>
    <row r="23122" customFormat="false" ht="15" hidden="false" customHeight="false" outlineLevel="0" collapsed="false">
      <c r="A23122" s="3" t="s">
        <v>368</v>
      </c>
      <c r="C23122" s="3" t="str">
        <f aca="false">IF(SUM($G$23014:$K$23014)=0,"n/a",IF(C23120&gt;=C23119-0.001,"Repaid from cash",IF(SUMPRODUCT($G$23014:$K$23014,$G$22972:$K$22972)&gt;0,IF(C23120&gt;0,"Partly repaid; remainder refinanced","Refinanced"),IF(SUM($G$23023:$K$23023)&gt;0.001,IF(C23120&gt;0,"Partial repayment; PAYMENT DEFAULT","PAYMENT DEFAULT"),"Repaid from cash"))))</f>
        <v>Repaid from cash</v>
      </c>
    </row>
    <row r="23123" customFormat="false" ht="15" hidden="false" customHeight="false" outlineLevel="0" collapsed="false">
      <c r="A23123" s="3" t="s">
        <v>369</v>
      </c>
      <c r="C23123" s="16" t="n">
        <f aca="false">SUMPRODUCT($G$23027:$K$23027,$G$23026:$K$23026-$G$23032:$K$23032+$G$23031:$K$23031)</f>
        <v>450</v>
      </c>
    </row>
    <row r="23124" customFormat="false" ht="15" hidden="false" customHeight="false" outlineLevel="0" collapsed="false">
      <c r="A23124" s="3" t="s">
        <v>370</v>
      </c>
      <c r="C23124" s="16" t="n">
        <f aca="false">SUMPRODUCT($G$23027:$K$23027,$G$23034:$K$23034)</f>
        <v>42.2778486262</v>
      </c>
    </row>
    <row r="23125" customFormat="false" ht="15" hidden="false" customHeight="false" outlineLevel="0" collapsed="false">
      <c r="A23125" s="3" t="s">
        <v>371</v>
      </c>
      <c r="C23125" s="3" t="str">
        <f aca="false">IF(SUM($G$23027:$K$23027)=0,"n/a (beyond horizon)",IF(SUMPRODUCT($G$23027:$K$23027,$G$22972:$K$22972)&gt;0,"REFINANCING PASS","REFINANCING FAILURE"))</f>
        <v>REFINANCING PASS</v>
      </c>
    </row>
    <row r="23126" customFormat="false" ht="15" hidden="false" customHeight="false" outlineLevel="0" collapsed="false">
      <c r="A23126" s="3" t="s">
        <v>372</v>
      </c>
      <c r="C23126" s="3" t="str">
        <f aca="false">IF(SUM($G$23027:$K$23027)=0,"n/a",IF(C23124&gt;=C23123-0.001,"Repaid from cash",IF(SUMPRODUCT($G$23027:$K$23027,$G$22972:$K$22972)&gt;0,IF(C23124&gt;0,"Partly repaid; remainder refinanced","Refinanced"),IF(SUM($G$23036:$K$23036)&gt;0.001,IF(C23124&gt;0,"Partial repayment; PAYMENT DEFAULT","PAYMENT DEFAULT"),"Repaid from cash"))))</f>
        <v>Partly repaid; remainder refinanced</v>
      </c>
    </row>
    <row r="23127" customFormat="false" ht="15" hidden="false" customHeight="false" outlineLevel="0" collapsed="false">
      <c r="A23127" s="3" t="s">
        <v>373</v>
      </c>
      <c r="C23127" s="16" t="n">
        <f aca="false">SUMPRODUCT($G$23040:$K$23040,$G$23039:$K$23039-$G$23045:$K$23045+$G$23044:$K$23044)</f>
        <v>350</v>
      </c>
    </row>
    <row r="23128" customFormat="false" ht="15" hidden="false" customHeight="false" outlineLevel="0" collapsed="false">
      <c r="A23128" s="3" t="s">
        <v>374</v>
      </c>
      <c r="C23128" s="16" t="n">
        <f aca="false">SUMPRODUCT($G$23040:$K$23040,$G$23047:$K$23047)</f>
        <v>0</v>
      </c>
    </row>
    <row r="23129" customFormat="false" ht="15" hidden="false" customHeight="false" outlineLevel="0" collapsed="false">
      <c r="A23129" s="3" t="s">
        <v>375</v>
      </c>
      <c r="C23129" s="3" t="str">
        <f aca="false">IF(SUM($G$23040:$K$23040)=0,"n/a (beyond horizon)",IF(SUMPRODUCT($G$23040:$K$23040,$G$22972:$K$22972)&gt;0,"REFINANCING PASS","REFINANCING FAILURE"))</f>
        <v>REFINANCING PASS</v>
      </c>
    </row>
    <row r="23130" customFormat="false" ht="15" hidden="false" customHeight="false" outlineLevel="0" collapsed="false">
      <c r="A23130" s="3" t="s">
        <v>376</v>
      </c>
      <c r="C23130" s="3" t="str">
        <f aca="false">IF(SUM($G$23040:$K$23040)=0,"n/a",IF(C23128&gt;=C23127-0.001,"Repaid from cash",IF(SUMPRODUCT($G$23040:$K$23040,$G$22972:$K$22972)&gt;0,IF(C23128&gt;0,"Partly repaid; remainder refinanced","Refinanced"),IF(SUM($G$23049:$K$23049)&gt;0.001,IF(C23128&gt;0,"Partial repayment; PAYMENT DEFAULT","PAYMENT DEFAULT"),"Repaid from cash"))))</f>
        <v>Refinanced</v>
      </c>
    </row>
    <row r="23131" customFormat="false" ht="15" hidden="false" customHeight="false" outlineLevel="0" collapsed="false">
      <c r="A23131" s="3" t="s">
        <v>377</v>
      </c>
      <c r="C23131" s="16" t="n">
        <f aca="false">SUMPRODUCT($G$23053:$K$23053,$G$23052:$K$23052-$G$23058:$K$23058+$G$23057:$K$23057)</f>
        <v>550</v>
      </c>
    </row>
    <row r="23132" customFormat="false" ht="15" hidden="false" customHeight="false" outlineLevel="0" collapsed="false">
      <c r="A23132" s="3" t="s">
        <v>378</v>
      </c>
      <c r="C23132" s="16" t="n">
        <f aca="false">SUMPRODUCT($G$23053:$K$23053,$G$23060:$K$23060)</f>
        <v>0</v>
      </c>
    </row>
    <row r="23133" customFormat="false" ht="15" hidden="false" customHeight="false" outlineLevel="0" collapsed="false">
      <c r="A23133" s="3" t="s">
        <v>379</v>
      </c>
      <c r="C23133" s="3" t="str">
        <f aca="false">IF(SUM($G$23053:$K$23053)=0,"n/a (beyond horizon)",IF(SUMPRODUCT($G$23053:$K$23053,$G$22972:$K$22972)&gt;0,"REFINANCING PASS","REFINANCING FAILURE"))</f>
        <v>REFINANCING PASS</v>
      </c>
    </row>
    <row r="23134" customFormat="false" ht="15" hidden="false" customHeight="false" outlineLevel="0" collapsed="false">
      <c r="A23134" s="3" t="s">
        <v>380</v>
      </c>
      <c r="C23134" s="3" t="str">
        <f aca="false">IF(SUM($G$23053:$K$23053)=0,"n/a",IF(C23132&gt;=C23131-0.001,"Repaid from cash",IF(SUMPRODUCT($G$23053:$K$23053,$G$22972:$K$22972)&gt;0,IF(C23132&gt;0,"Partly repaid; remainder refinanced","Refinanced"),IF(SUM($G$23062:$K$23062)&gt;0.001,IF(C23132&gt;0,"Partial repayment; PAYMENT DEFAULT","PAYMENT DEFAULT"),"Repaid from cash"))))</f>
        <v>Refinanced</v>
      </c>
    </row>
    <row r="23135" customFormat="false" ht="15" hidden="false" customHeight="false" outlineLevel="0" collapsed="false">
      <c r="A23135" s="3" t="s">
        <v>381</v>
      </c>
      <c r="C23135" s="16" t="n">
        <f aca="false">SUMPRODUCT($G$23066:$K$23066,$G$23065:$K$23065-$G$23071:$K$23071+$G$23070:$K$23070)</f>
        <v>350</v>
      </c>
    </row>
    <row r="23136" customFormat="false" ht="15" hidden="false" customHeight="false" outlineLevel="0" collapsed="false">
      <c r="A23136" s="3" t="s">
        <v>382</v>
      </c>
      <c r="C23136" s="16" t="n">
        <f aca="false">SUMPRODUCT($G$23066:$K$23066,$G$23073:$K$23073)</f>
        <v>0</v>
      </c>
    </row>
    <row r="23137" customFormat="false" ht="15" hidden="false" customHeight="false" outlineLevel="0" collapsed="false">
      <c r="A23137" s="3" t="s">
        <v>383</v>
      </c>
      <c r="C23137" s="3" t="str">
        <f aca="false">IF(SUM($G$23066:$K$23066)=0,"n/a (beyond horizon)",IF(SUMPRODUCT($G$23066:$K$23066,$G$22972:$K$22972)&gt;0,"REFINANCING PASS","REFINANCING FAILURE"))</f>
        <v>REFINANCING PASS</v>
      </c>
    </row>
    <row r="23138" customFormat="false" ht="15" hidden="false" customHeight="false" outlineLevel="0" collapsed="false">
      <c r="A23138" s="3" t="s">
        <v>384</v>
      </c>
      <c r="C23138" s="3" t="str">
        <f aca="false">IF(SUM($G$23066:$K$23066)=0,"n/a",IF(C23136&gt;=C23135-0.001,"Repaid from cash",IF(SUMPRODUCT($G$23066:$K$23066,$G$22972:$K$22972)&gt;0,IF(C23136&gt;0,"Partly repaid; remainder refinanced","Refinanced"),IF(SUM($G$23075:$K$23075)&gt;0.001,IF(C23136&gt;0,"Partial repayment; PAYMENT DEFAULT","PAYMENT DEFAULT"),"Repaid from cash"))))</f>
        <v>Refinanced</v>
      </c>
    </row>
    <row r="23139" customFormat="false" ht="15" hidden="false" customHeight="false" outlineLevel="0" collapsed="false">
      <c r="A23139" s="3" t="s">
        <v>385</v>
      </c>
      <c r="C23139" s="16" t="n">
        <f aca="false">SUMPRODUCT($G$23079:$K$23079,$G$23078:$K$23078-$G$23084:$K$23084+$G$23083:$K$23083)</f>
        <v>300</v>
      </c>
    </row>
    <row r="23140" customFormat="false" ht="15" hidden="false" customHeight="false" outlineLevel="0" collapsed="false">
      <c r="A23140" s="3" t="s">
        <v>386</v>
      </c>
      <c r="C23140" s="16" t="n">
        <f aca="false">SUMPRODUCT($G$23079:$K$23079,$G$23086:$K$23086)</f>
        <v>0</v>
      </c>
    </row>
    <row r="23141" customFormat="false" ht="15" hidden="false" customHeight="false" outlineLevel="0" collapsed="false">
      <c r="A23141" s="3" t="s">
        <v>387</v>
      </c>
      <c r="C23141" s="3" t="str">
        <f aca="false">IF(SUM($G$23079:$K$23079)=0,"n/a (beyond horizon)",IF(SUMPRODUCT($G$23079:$K$23079,$G$22972:$K$22972)&gt;0,"REFINANCING PASS","REFINANCING FAILURE"))</f>
        <v>REFINANCING PASS</v>
      </c>
    </row>
    <row r="23142" customFormat="false" ht="15" hidden="false" customHeight="false" outlineLevel="0" collapsed="false">
      <c r="A23142" s="3" t="s">
        <v>388</v>
      </c>
      <c r="C23142" s="3" t="str">
        <f aca="false">IF(SUM($G$23079:$K$23079)=0,"n/a",IF(C23140&gt;=C23139-0.001,"Repaid from cash",IF(SUMPRODUCT($G$23079:$K$23079,$G$22972:$K$22972)&gt;0,IF(C23140&gt;0,"Partly repaid; remainder refinanced","Refinanced"),IF(SUM($G$23088:$K$23088)&gt;0.001,IF(C23140&gt;0,"Partial repayment; PAYMENT DEFAULT","PAYMENT DEFAULT"),"Repaid from cash"))))</f>
        <v>Refinanced</v>
      </c>
    </row>
    <row r="23143" customFormat="false" ht="15" hidden="false" customHeight="false" outlineLevel="0" collapsed="false">
      <c r="A23143" s="3" t="s">
        <v>389</v>
      </c>
      <c r="C23143" s="16" t="n">
        <f aca="false">SUMPRODUCT($G$23092:$K$23092,$G$23091:$K$23091-$G$23097:$K$23097+$G$23096:$K$23096)</f>
        <v>0</v>
      </c>
    </row>
    <row r="23144" customFormat="false" ht="15" hidden="false" customHeight="false" outlineLevel="0" collapsed="false">
      <c r="A23144" s="3" t="s">
        <v>390</v>
      </c>
      <c r="C23144" s="16" t="n">
        <f aca="false">SUMPRODUCT($G$23092:$K$23092,$G$23099:$K$23099)</f>
        <v>0</v>
      </c>
    </row>
    <row r="23145" customFormat="false" ht="15" hidden="false" customHeight="false" outlineLevel="0" collapsed="false">
      <c r="A23145" s="3" t="s">
        <v>391</v>
      </c>
      <c r="C23145" s="3" t="str">
        <f aca="false">IF(SUM($G$23092:$K$23092)=0,"n/a (beyond horizon)",IF(SUMPRODUCT($G$23092:$K$23092,$G$22972:$K$22972)&gt;0,"REFINANCING PASS","REFINANCING FAILURE"))</f>
        <v>n/a (beyond horizon)</v>
      </c>
    </row>
    <row r="23146" customFormat="false" ht="15" hidden="false" customHeight="false" outlineLevel="0" collapsed="false">
      <c r="A23146" s="3" t="s">
        <v>392</v>
      </c>
      <c r="C23146" s="3" t="str">
        <f aca="false">IF(SUM($G$23092:$K$23092)=0,"n/a",IF(C23144&gt;=C23143-0.001,"Repaid from cash",IF(SUMPRODUCT($G$23092:$K$23092,$G$22972:$K$22972)&gt;0,IF(C23144&gt;0,"Partly repaid; remainder refinanced","Refinanced"),IF(SUM($G$23101:$K$23101)&gt;0.001,IF(C23144&gt;0,"Partial repayment; PAYMENT DEFAULT","PAYMENT DEFAULT"),"Repaid from cash"))))</f>
        <v>n/a</v>
      </c>
    </row>
    <row r="23147" customFormat="false" ht="15" hidden="false" customHeight="false" outlineLevel="0" collapsed="false">
      <c r="A23147" s="3" t="s">
        <v>393</v>
      </c>
      <c r="C23147" s="21" t="n">
        <f aca="false">IF(C23109="REFINANCING FAILURE",1,0)+IF(C23113="REFINANCING FAILURE",1,0)+IF(C23117="REFINANCING FAILURE",1,0)+IF(C23121="REFINANCING FAILURE",1,0)+IF(C23125="REFINANCING FAILURE",1,0)+IF(C23129="REFINANCING FAILURE",1,0)+IF(C23133="REFINANCING FAILURE",1,0)+IF(C23137="REFINANCING FAILURE",1,0)+IF(C23141="REFINANCING FAILURE",1,0)+IF(C23145="REFINANCING FAILURE",1,0)</f>
        <v>0</v>
      </c>
    </row>
    <row r="23149" customFormat="false" ht="15" hidden="false" customHeight="false" outlineLevel="0" collapsed="false">
      <c r="A23149" s="24" t="s">
        <v>395</v>
      </c>
      <c r="B23149" s="25"/>
      <c r="C23149" s="25"/>
      <c r="D23149" s="25"/>
      <c r="E23149" s="25"/>
      <c r="F23149" s="25"/>
      <c r="G23149" s="25"/>
      <c r="H23149" s="25"/>
      <c r="I23149" s="25"/>
      <c r="J23149" s="25"/>
      <c r="K23149" s="25"/>
    </row>
    <row r="23150" customFormat="false" ht="15" hidden="false" customHeight="false" outlineLevel="0" collapsed="false">
      <c r="A23150" s="3" t="s">
        <v>325</v>
      </c>
      <c r="G23150" s="16" t="n">
        <f aca="false">F23162</f>
        <v>37.87</v>
      </c>
      <c r="H23150" s="16" t="n">
        <f aca="false">G23162</f>
        <v>150.3287686</v>
      </c>
      <c r="I23150" s="16" t="n">
        <f aca="false">H23162</f>
        <v>25</v>
      </c>
      <c r="J23150" s="16" t="n">
        <f aca="false">I23162</f>
        <v>0</v>
      </c>
      <c r="K23150" s="16" t="n">
        <f aca="false">J23162</f>
        <v>0</v>
      </c>
    </row>
    <row r="23151" customFormat="false" ht="15" hidden="false" customHeight="false" outlineLevel="0" collapsed="false">
      <c r="A23151" s="3" t="s">
        <v>396</v>
      </c>
      <c r="G23151" s="16" t="n">
        <f aca="false">G22961</f>
        <v>-83.5412314</v>
      </c>
      <c r="H23151" s="16" t="n">
        <f aca="false">H22961</f>
        <v>-79.0509199738</v>
      </c>
      <c r="I23151" s="16" t="n">
        <f aca="false">I22961</f>
        <v>-87.796942182056</v>
      </c>
      <c r="J23151" s="16" t="n">
        <f aca="false">J22961</f>
        <v>-84.8805226827392</v>
      </c>
      <c r="K23151" s="16" t="n">
        <f aca="false">K22961</f>
        <v>-100.535819058653</v>
      </c>
    </row>
    <row r="23152" customFormat="false" ht="15" hidden="false" customHeight="false" outlineLevel="0" collapsed="false">
      <c r="A23152" s="3" t="s">
        <v>397</v>
      </c>
      <c r="G23152" s="16" t="n">
        <f aca="false">CHOOSE($C$22931,Assumptions!$G$82,Assumptions!$G$101,Assumptions!$G$120)</f>
        <v>200</v>
      </c>
      <c r="H23152" s="16" t="n">
        <f aca="false">CHOOSE($C$22931,Assumptions!$H$82,Assumptions!$H$101,Assumptions!$H$120)</f>
        <v>0</v>
      </c>
      <c r="I23152" s="16" t="n">
        <f aca="false">CHOOSE($C$22931,Assumptions!$I$82,Assumptions!$I$101,Assumptions!$I$120)</f>
        <v>0</v>
      </c>
      <c r="J23152" s="16" t="n">
        <f aca="false">CHOOSE($C$22931,Assumptions!$J$82,Assumptions!$J$101,Assumptions!$J$120)</f>
        <v>0</v>
      </c>
      <c r="K23152" s="16" t="n">
        <f aca="false">CHOOSE($C$22931,Assumptions!$K$82,Assumptions!$K$101,Assumptions!$K$120)</f>
        <v>0</v>
      </c>
    </row>
    <row r="23153" customFormat="false" ht="15" hidden="false" customHeight="false" outlineLevel="0" collapsed="false">
      <c r="A23153" s="3" t="s">
        <v>398</v>
      </c>
      <c r="G23153" s="16" t="n">
        <f aca="false">G22980+G22993+G23006+G23019+G23032+G23045+G23058+G23071+G23084+G23097</f>
        <v>4</v>
      </c>
      <c r="H23153" s="16" t="n">
        <f aca="false">H22980+H22993+H23006+H23019+H23032+H23045+H23058+H23071+H23084+H23097</f>
        <v>4</v>
      </c>
      <c r="I23153" s="16" t="n">
        <f aca="false">I22980+I22993+I23006+I23019+I23032+I23045+I23058+I23071+I23084+I23097</f>
        <v>4</v>
      </c>
      <c r="J23153" s="16" t="n">
        <f aca="false">J22980+J22993+J23006+J23019+J23032+J23045+J23058+J23071+J23084+J23097</f>
        <v>4</v>
      </c>
      <c r="K23153" s="16" t="n">
        <f aca="false">K22980+K22993+K23006+K23019+K23032+K23045+K23058+K23071+K23084+K23097</f>
        <v>4</v>
      </c>
    </row>
    <row r="23154" customFormat="false" ht="15" hidden="false" customHeight="false" outlineLevel="0" collapsed="false">
      <c r="A23154" s="2" t="s">
        <v>399</v>
      </c>
      <c r="G23154" s="17" t="n">
        <f aca="false">G23150+G23151+G23152-G23153</f>
        <v>150.3287686</v>
      </c>
      <c r="H23154" s="17" t="n">
        <f aca="false">H23150+H23151+H23152-H23153</f>
        <v>67.2778486262</v>
      </c>
      <c r="I23154" s="17" t="n">
        <f aca="false">I23150+I23151+I23152-I23153</f>
        <v>-66.796942182056</v>
      </c>
      <c r="J23154" s="17" t="n">
        <f aca="false">J23150+J23151+J23152-J23153</f>
        <v>-88.8805226827392</v>
      </c>
      <c r="K23154" s="17" t="n">
        <f aca="false">K23150+K23151+K23152-K23153</f>
        <v>-104.535819058653</v>
      </c>
    </row>
    <row r="23155" customFormat="false" ht="15" hidden="false" customHeight="false" outlineLevel="0" collapsed="false">
      <c r="A23155" s="3" t="s">
        <v>400</v>
      </c>
      <c r="G23155" s="16" t="n">
        <f aca="false">G22981+G22994+G23007+G23020+G23033+G23046+G23059+G23072+G23085+G23098</f>
        <v>0</v>
      </c>
      <c r="H23155" s="16" t="n">
        <f aca="false">H22981+H22994+H23007+H23020+H23033+H23046+H23059+H23072+H23085+H23098</f>
        <v>0</v>
      </c>
      <c r="I23155" s="16" t="n">
        <f aca="false">I22981+I22994+I23007+I23020+I23033+I23046+I23059+I23072+I23085+I23098</f>
        <v>66.796942182056</v>
      </c>
      <c r="J23155" s="16" t="n">
        <f aca="false">J22981+J22994+J23007+J23020+J23033+J23046+J23059+J23072+J23085+J23098</f>
        <v>88.8805226827392</v>
      </c>
      <c r="K23155" s="16" t="n">
        <f aca="false">K22981+K22994+K23007+K23020+K23033+K23046+K23059+K23072+K23085+K23098</f>
        <v>104.535819058653</v>
      </c>
    </row>
    <row r="23156" customFormat="false" ht="15" hidden="false" customHeight="false" outlineLevel="0" collapsed="false">
      <c r="A23156" s="2" t="s">
        <v>401</v>
      </c>
      <c r="G23156" s="17" t="n">
        <f aca="false">G23154+G23155</f>
        <v>150.3287686</v>
      </c>
      <c r="H23156" s="17" t="n">
        <f aca="false">H23154+H23155</f>
        <v>67.2778486262</v>
      </c>
      <c r="I23156" s="17" t="n">
        <f aca="false">I23154+I23155</f>
        <v>0</v>
      </c>
      <c r="J23156" s="17" t="n">
        <f aca="false">J23154+J23155</f>
        <v>0</v>
      </c>
      <c r="K23156" s="17" t="n">
        <f aca="false">K23154+K23155</f>
        <v>0</v>
      </c>
    </row>
    <row r="23157" customFormat="false" ht="15" hidden="false" customHeight="false" outlineLevel="0" collapsed="false">
      <c r="A23157" s="3" t="s">
        <v>402</v>
      </c>
      <c r="G23157" s="16" t="n">
        <f aca="false">G22982+G22995+G23008+G23021+G23034+G23047+G23060+G23073+G23086+G23099</f>
        <v>0</v>
      </c>
      <c r="H23157" s="16" t="n">
        <f aca="false">H22982+H22995+H23008+H23021+H23034+H23047+H23060+H23073+H23086+H23099</f>
        <v>42.2778486262</v>
      </c>
      <c r="I23157" s="16" t="n">
        <f aca="false">I22982+I22995+I23008+I23021+I23034+I23047+I23060+I23073+I23086+I23099</f>
        <v>0</v>
      </c>
      <c r="J23157" s="16" t="n">
        <f aca="false">J22982+J22995+J23008+J23021+J23034+J23047+J23060+J23073+J23086+J23099</f>
        <v>0</v>
      </c>
      <c r="K23157" s="16" t="n">
        <f aca="false">K22982+K22995+K23008+K23021+K23034+K23047+K23060+K23073+K23086+K23099</f>
        <v>0</v>
      </c>
    </row>
    <row r="23158" customFormat="false" ht="15" hidden="false" customHeight="false" outlineLevel="0" collapsed="false">
      <c r="A23158" s="2" t="s">
        <v>403</v>
      </c>
      <c r="G23158" s="17" t="n">
        <f aca="false">G23156-G23157</f>
        <v>150.3287686</v>
      </c>
      <c r="H23158" s="17" t="n">
        <f aca="false">H23156-H23157</f>
        <v>25</v>
      </c>
      <c r="I23158" s="17" t="n">
        <f aca="false">I23156-I23157</f>
        <v>0</v>
      </c>
      <c r="J23158" s="17" t="n">
        <f aca="false">J23156-J23157</f>
        <v>0</v>
      </c>
      <c r="K23158" s="17" t="n">
        <f aca="false">K23156-K23157</f>
        <v>0</v>
      </c>
    </row>
    <row r="23159" customFormat="false" ht="15" hidden="false" customHeight="false" outlineLevel="0" collapsed="false">
      <c r="A23159" s="3" t="s">
        <v>404</v>
      </c>
      <c r="G23159" s="16" t="n">
        <f aca="false">MAX(0,-G23158)</f>
        <v>0</v>
      </c>
      <c r="H23159" s="16" t="n">
        <f aca="false">MAX(0,-H23158)</f>
        <v>0</v>
      </c>
      <c r="I23159" s="16" t="n">
        <f aca="false">MAX(0,-I23158)</f>
        <v>-0</v>
      </c>
      <c r="J23159" s="16" t="n">
        <f aca="false">MAX(0,-J23158)</f>
        <v>-0</v>
      </c>
      <c r="K23159" s="16" t="n">
        <f aca="false">MAX(0,-K23158)</f>
        <v>-0</v>
      </c>
    </row>
    <row r="23160" customFormat="false" ht="15" hidden="false" customHeight="false" outlineLevel="0" collapsed="false">
      <c r="A23160" s="3" t="s">
        <v>405</v>
      </c>
      <c r="G23160" s="16" t="n">
        <f aca="false">MAX(0,G23158-Assumptions!$C$12)*Assumptions!$C$13</f>
        <v>0</v>
      </c>
      <c r="H23160" s="16" t="n">
        <f aca="false">MAX(0,H23158-Assumptions!$C$12)*Assumptions!$C$13</f>
        <v>0</v>
      </c>
      <c r="I23160" s="16" t="n">
        <f aca="false">MAX(0,I23158-Assumptions!$C$12)*Assumptions!$C$13</f>
        <v>0</v>
      </c>
      <c r="J23160" s="16" t="n">
        <f aca="false">MAX(0,J23158-Assumptions!$C$12)*Assumptions!$C$13</f>
        <v>0</v>
      </c>
      <c r="K23160" s="16" t="n">
        <f aca="false">MAX(0,K23158-Assumptions!$C$12)*Assumptions!$C$13</f>
        <v>0</v>
      </c>
    </row>
    <row r="23161" customFormat="false" ht="15" hidden="false" customHeight="false" outlineLevel="0" collapsed="false">
      <c r="A23161" s="3" t="s">
        <v>406</v>
      </c>
      <c r="G23161" s="16" t="n">
        <f aca="false">G22983+G22996+G23009+G23022+G23035+G23048+G23061+G23074+G23087+G23100</f>
        <v>0</v>
      </c>
      <c r="H23161" s="16" t="n">
        <f aca="false">H22983+H22996+H23009+H23022+H23035+H23048+H23061+H23074+H23087+H23100</f>
        <v>0</v>
      </c>
      <c r="I23161" s="16" t="n">
        <f aca="false">I22983+I22996+I23009+I23022+I23035+I23048+I23061+I23074+I23087+I23100</f>
        <v>0</v>
      </c>
      <c r="J23161" s="16" t="n">
        <f aca="false">J22983+J22996+J23009+J23022+J23035+J23048+J23061+J23074+J23087+J23100</f>
        <v>0</v>
      </c>
      <c r="K23161" s="16" t="n">
        <f aca="false">K22983+K22996+K23009+K23022+K23035+K23048+K23061+K23074+K23087+K23100</f>
        <v>0</v>
      </c>
    </row>
    <row r="23162" customFormat="false" ht="15" hidden="false" customHeight="false" outlineLevel="0" collapsed="false">
      <c r="A23162" s="2" t="s">
        <v>407</v>
      </c>
      <c r="F23162" s="28" t="n">
        <f aca="false">Assumptions!$C$11</f>
        <v>37.87</v>
      </c>
      <c r="G23162" s="17" t="n">
        <f aca="false">G23158-G23161</f>
        <v>150.3287686</v>
      </c>
      <c r="H23162" s="17" t="n">
        <f aca="false">H23158-H23161</f>
        <v>25</v>
      </c>
      <c r="I23162" s="17" t="n">
        <f aca="false">I23158-I23161</f>
        <v>0</v>
      </c>
      <c r="J23162" s="17" t="n">
        <f aca="false">J23158-J23161</f>
        <v>0</v>
      </c>
      <c r="K23162" s="17" t="n">
        <f aca="false">K23158-K23161</f>
        <v>0</v>
      </c>
    </row>
    <row r="23163" customFormat="false" ht="15" hidden="false" customHeight="false" outlineLevel="0" collapsed="false">
      <c r="A23163" s="3" t="s">
        <v>408</v>
      </c>
      <c r="G23163" s="16" t="n">
        <f aca="false">G22984+G22997+G23010+G23023+G23036+G23049+G23062+G23075+G23088+G23101</f>
        <v>0</v>
      </c>
      <c r="H23163" s="16" t="n">
        <f aca="false">H22984+H22997+H23010+H23023+H23036+H23049+H23062+H23075+H23088+H23101</f>
        <v>0</v>
      </c>
      <c r="I23163" s="16" t="n">
        <f aca="false">I22984+I22997+I23010+I23023+I23036+I23049+I23062+I23075+I23088+I23101</f>
        <v>0</v>
      </c>
      <c r="J23163" s="16" t="n">
        <f aca="false">J22984+J22997+J23010+J23023+J23036+J23049+J23062+J23075+J23088+J23101</f>
        <v>0</v>
      </c>
      <c r="K23163" s="16" t="n">
        <f aca="false">K22984+K22997+K23010+K23023+K23036+K23049+K23062+K23075+K23088+K23101</f>
        <v>0</v>
      </c>
    </row>
    <row r="23164" customFormat="false" ht="15" hidden="false" customHeight="false" outlineLevel="0" collapsed="false">
      <c r="A23164" s="3" t="s">
        <v>409</v>
      </c>
      <c r="G23164" s="21" t="n">
        <f aca="false">IF(OR(G23159&gt;0.001,G23163&gt;0.001),1,0)</f>
        <v>0</v>
      </c>
      <c r="H23164" s="21" t="n">
        <f aca="false">IF(OR(H23159&gt;0.001,H23163&gt;0.001),1,0)</f>
        <v>0</v>
      </c>
      <c r="I23164" s="21" t="n">
        <f aca="false">IF(OR(I23159&gt;0.001,I23163&gt;0.001),1,0)</f>
        <v>0</v>
      </c>
      <c r="J23164" s="21" t="n">
        <f aca="false">IF(OR(J23159&gt;0.001,J23163&gt;0.001),1,0)</f>
        <v>0</v>
      </c>
      <c r="K23164" s="21" t="n">
        <f aca="false">IF(OR(K23159&gt;0.001,K23163&gt;0.001),1,0)</f>
        <v>0</v>
      </c>
    </row>
    <row r="23165" customFormat="false" ht="15" hidden="false" customHeight="false" outlineLevel="0" collapsed="false">
      <c r="A23165" s="3" t="s">
        <v>410</v>
      </c>
      <c r="G23165" s="21" t="n">
        <f aca="false">IF(G23164=1,1,0)</f>
        <v>0</v>
      </c>
      <c r="H23165" s="21" t="n">
        <f aca="false">IF(AND(H23164=1,SUM($G$23164:G23164)=0),1,0)</f>
        <v>0</v>
      </c>
      <c r="I23165" s="21" t="n">
        <f aca="false">IF(AND(I23164=1,SUM($G$23164:H23164)=0),1,0)</f>
        <v>0</v>
      </c>
      <c r="J23165" s="21" t="n">
        <f aca="false">IF(AND(J23164=1,SUM($G$23164:I23164)=0),1,0)</f>
        <v>0</v>
      </c>
      <c r="K23165" s="21" t="n">
        <f aca="false">IF(AND(K23164=1,SUM($G$23164:J23164)=0),1,0)</f>
        <v>0</v>
      </c>
    </row>
    <row r="23166" customFormat="false" ht="15" hidden="false" customHeight="false" outlineLevel="0" collapsed="false">
      <c r="A23166" s="3" t="s">
        <v>411</v>
      </c>
      <c r="G23166" s="16" t="n">
        <f aca="false">(G23104-F23104)-(G23155+G22953-G23153-G23157-G23161)</f>
        <v>0</v>
      </c>
      <c r="H23166" s="16" t="n">
        <f aca="false">(H23104-G23104)-(H23155+H22953-H23153-H23157-H23161)</f>
        <v>0</v>
      </c>
      <c r="I23166" s="16" t="n">
        <f aca="false">(I23104-H23104)-(I23155+I22953-I23153-I23157-I23161)</f>
        <v>0</v>
      </c>
      <c r="J23166" s="16" t="n">
        <f aca="false">(J23104-I23104)-(J23155+J22953-J23153-J23157-J23161)</f>
        <v>0</v>
      </c>
      <c r="K23166" s="16" t="n">
        <f aca="false">(K23104-J23104)-(K23155+K22953-K23153-K23157-K23161)</f>
        <v>0</v>
      </c>
    </row>
    <row r="23168" customFormat="false" ht="15" hidden="false" customHeight="false" outlineLevel="0" collapsed="false">
      <c r="A23168" s="24" t="s">
        <v>413</v>
      </c>
      <c r="B23168" s="25"/>
      <c r="C23168" s="25"/>
      <c r="D23168" s="25"/>
      <c r="E23168" s="25"/>
      <c r="F23168" s="25"/>
      <c r="G23168" s="25"/>
      <c r="H23168" s="25"/>
      <c r="I23168" s="25"/>
      <c r="J23168" s="25"/>
      <c r="K23168" s="25"/>
    </row>
    <row r="23169" customFormat="false" ht="15" hidden="false" customHeight="false" outlineLevel="0" collapsed="false">
      <c r="A23169" s="3" t="s">
        <v>414</v>
      </c>
      <c r="G23169" s="16" t="n">
        <f aca="false">G23104</f>
        <v>2621.934</v>
      </c>
      <c r="H23169" s="16" t="n">
        <f aca="false">H23104</f>
        <v>2575.6561513738</v>
      </c>
      <c r="I23169" s="16" t="n">
        <f aca="false">I23104</f>
        <v>2638.45309355586</v>
      </c>
      <c r="J23169" s="16" t="n">
        <f aca="false">J23104</f>
        <v>2723.3336162386</v>
      </c>
      <c r="K23169" s="16" t="n">
        <f aca="false">K23104</f>
        <v>2823.86943529725</v>
      </c>
    </row>
    <row r="23170" customFormat="false" ht="15" hidden="false" customHeight="false" outlineLevel="0" collapsed="false">
      <c r="A23170" s="3" t="s">
        <v>415</v>
      </c>
      <c r="G23170" s="16" t="n">
        <f aca="false">Assumptions!$O$57*G22985+Assumptions!$O$58*G22998+Assumptions!$O$59*G23011+Assumptions!$O$60*G23024+Assumptions!$O$61*G23037+Assumptions!$O$62*G23050+Assumptions!$O$63*G23063+Assumptions!$O$64*G23076+Assumptions!$O$65*G23089+Assumptions!$O$66*G23102</f>
        <v>543.324</v>
      </c>
      <c r="H23170" s="16" t="n">
        <f aca="false">Assumptions!$O$57*H22985+Assumptions!$O$58*H22998+Assumptions!$O$59*H23011+Assumptions!$O$60*H23024+Assumptions!$O$61*H23037+Assumptions!$O$62*H23050+Assumptions!$O$63*H23063+Assumptions!$O$64*H23076+Assumptions!$O$65*H23089+Assumptions!$O$66*H23102</f>
        <v>539.324</v>
      </c>
      <c r="I23170" s="16" t="n">
        <f aca="false">Assumptions!$O$57*I22985+Assumptions!$O$58*I22998+Assumptions!$O$59*I23011+Assumptions!$O$60*I23024+Assumptions!$O$61*I23037+Assumptions!$O$62*I23050+Assumptions!$O$63*I23063+Assumptions!$O$64*I23076+Assumptions!$O$65*I23089+Assumptions!$O$66*I23102</f>
        <v>535.324</v>
      </c>
      <c r="J23170" s="16" t="n">
        <f aca="false">Assumptions!$O$57*J22985+Assumptions!$O$58*J22998+Assumptions!$O$59*J23011+Assumptions!$O$60*J23024+Assumptions!$O$61*J23037+Assumptions!$O$62*J23050+Assumptions!$O$63*J23063+Assumptions!$O$64*J23076+Assumptions!$O$65*J23089+Assumptions!$O$66*J23102</f>
        <v>531.324</v>
      </c>
      <c r="K23170" s="16" t="n">
        <f aca="false">Assumptions!$O$57*K22985+Assumptions!$O$58*K22998+Assumptions!$O$59*K23011+Assumptions!$O$60*K23024+Assumptions!$O$61*K23037+Assumptions!$O$62*K23050+Assumptions!$O$63*K23063+Assumptions!$O$64*K23076+Assumptions!$O$65*K23089+Assumptions!$O$66*K23102</f>
        <v>527.324</v>
      </c>
    </row>
    <row r="23171" customFormat="false" ht="15" hidden="false" customHeight="false" outlineLevel="0" collapsed="false">
      <c r="A23171" s="3" t="s">
        <v>416</v>
      </c>
      <c r="G23171" s="16" t="n">
        <f aca="false">G23169-G23162</f>
        <v>2471.6052314</v>
      </c>
      <c r="H23171" s="16" t="n">
        <f aca="false">H23169-H23162</f>
        <v>2550.6561513738</v>
      </c>
      <c r="I23171" s="16" t="n">
        <f aca="false">I23169-I23162</f>
        <v>2638.45309355586</v>
      </c>
      <c r="J23171" s="16" t="n">
        <f aca="false">J23169-J23162</f>
        <v>2723.3336162386</v>
      </c>
      <c r="K23171" s="16" t="n">
        <f aca="false">K23169-K23162</f>
        <v>2823.86943529725</v>
      </c>
    </row>
    <row r="23172" customFormat="false" ht="15" hidden="false" customHeight="false" outlineLevel="0" collapsed="false">
      <c r="A23172" s="3" t="s">
        <v>417</v>
      </c>
      <c r="G23172" s="32" t="n">
        <f aca="false">IF(G22948&gt;0,G23169/G22948,0)</f>
        <v>10.2350768597559</v>
      </c>
      <c r="H23172" s="32" t="n">
        <f aca="false">IF(H22948&gt;0,H23169/H22948,0)</f>
        <v>9.80179750754554</v>
      </c>
      <c r="I23172" s="32" t="n">
        <f aca="false">IF(I22948&gt;0,I23169/I22948,0)</f>
        <v>9.78880026535512</v>
      </c>
      <c r="J23172" s="32" t="n">
        <f aca="false">IF(J22948&gt;0,J23169/J22948,0)</f>
        <v>9.86877570563203</v>
      </c>
      <c r="K23172" s="32" t="n">
        <f aca="false">IF(K22948&gt;0,K23169/K22948,0)</f>
        <v>9.99528975565569</v>
      </c>
    </row>
    <row r="23173" customFormat="false" ht="15" hidden="false" customHeight="false" outlineLevel="0" collapsed="false">
      <c r="A23173" s="3" t="s">
        <v>418</v>
      </c>
      <c r="G23173" s="32" t="n">
        <f aca="false">IF(G22948&gt;0,G23171/G22948,0)</f>
        <v>9.64824801476836</v>
      </c>
      <c r="H23173" s="32" t="n">
        <f aca="false">IF(H22948&gt;0,H23171/H22948,0)</f>
        <v>9.70665866785301</v>
      </c>
      <c r="I23173" s="32" t="n">
        <f aca="false">IF(I22948&gt;0,I23171/I22948,0)</f>
        <v>9.78880026535512</v>
      </c>
      <c r="J23173" s="32" t="n">
        <f aca="false">IF(J22948&gt;0,J23171/J22948,0)</f>
        <v>9.86877570563203</v>
      </c>
      <c r="K23173" s="32" t="n">
        <f aca="false">IF(K22948&gt;0,K23171/K22948,0)</f>
        <v>9.99528975565569</v>
      </c>
    </row>
    <row r="23174" customFormat="false" ht="15" hidden="false" customHeight="false" outlineLevel="0" collapsed="false">
      <c r="A23174" s="3" t="s">
        <v>419</v>
      </c>
      <c r="G23174" s="32" t="n">
        <f aca="false">IF(G22952&gt;0,G22948/G22952,0)</f>
        <v>1.4215185079059</v>
      </c>
      <c r="H23174" s="32" t="n">
        <f aca="false">IF(H22952&gt;0,H22948/H22952,0)</f>
        <v>1.46693050552355</v>
      </c>
      <c r="I23174" s="32" t="n">
        <f aca="false">IF(I22952&gt;0,I22948/I22952,0)</f>
        <v>1.40833238714926</v>
      </c>
      <c r="J23174" s="32" t="n">
        <f aca="false">IF(J22952&gt;0,J22948/J22952,0)</f>
        <v>1.44049487506624</v>
      </c>
      <c r="K23174" s="32" t="n">
        <f aca="false">IF(K22952&gt;0,K22948/K22952,0)</f>
        <v>1.34274565931266</v>
      </c>
    </row>
    <row r="23175" customFormat="false" ht="15" hidden="false" customHeight="false" outlineLevel="0" collapsed="false">
      <c r="A23175" s="3" t="s">
        <v>420</v>
      </c>
      <c r="G23175" s="32" t="n">
        <f aca="false">IF(G22952&gt;0,G22951/G22952,0)</f>
        <v>0.42415696431819</v>
      </c>
      <c r="H23175" s="32" t="n">
        <f aca="false">IF(H22952&gt;0,H22951/H22952,0)</f>
        <v>0.443500134737685</v>
      </c>
      <c r="I23175" s="32" t="n">
        <f aca="false">IF(I22952&gt;0,I22951/I22952,0)</f>
        <v>0.431283382112554</v>
      </c>
      <c r="J23175" s="32" t="n">
        <f aca="false">IF(J22952&gt;0,J22951/J22952,0)</f>
        <v>0.444847824504487</v>
      </c>
      <c r="K23175" s="32" t="n">
        <f aca="false">IF(K22952&gt;0,K22951/K22952,0)</f>
        <v>0.418098654921945</v>
      </c>
    </row>
    <row r="23176" customFormat="false" ht="15" hidden="false" customHeight="false" outlineLevel="0" collapsed="false">
      <c r="A23176" s="3" t="s">
        <v>213</v>
      </c>
      <c r="G23176" s="22" t="n">
        <f aca="false">IF(G23169&gt;0,G22961/G23169,0)</f>
        <v>-0.0318624463468569</v>
      </c>
      <c r="H23176" s="22" t="n">
        <f aca="false">IF(H23169&gt;0,H22961/H23169,0)</f>
        <v>-0.0306915656935169</v>
      </c>
      <c r="I23176" s="22" t="n">
        <f aca="false">IF(I23169&gt;0,I22961/I23169,0)</f>
        <v>-0.0332759154962773</v>
      </c>
      <c r="J23176" s="22" t="n">
        <f aca="false">IF(J23169&gt;0,J22961/J23169,0)</f>
        <v>-0.0311678753482925</v>
      </c>
      <c r="K23176" s="22" t="n">
        <f aca="false">IF(K23169&gt;0,K22961/K23169,0)</f>
        <v>-0.0356021485278303</v>
      </c>
    </row>
    <row r="23177" customFormat="false" ht="15" hidden="false" customHeight="false" outlineLevel="0" collapsed="false">
      <c r="A23177" s="3" t="s">
        <v>421</v>
      </c>
      <c r="G23177" s="32" t="n">
        <f aca="false">IF(G22952+G23153&gt;0,(G22948-G22959-G22956)/(G22952+G23153),0)</f>
        <v>0.813399704660698</v>
      </c>
      <c r="H23177" s="32" t="n">
        <f aca="false">IF(H22952+H23153&gt;0,(H22948-H22959-H22956)/(H22952+H23153),0)</f>
        <v>0.842627430418813</v>
      </c>
      <c r="I23177" s="32" t="n">
        <f aca="false">IF(I22952+I23153&gt;0,(I22948-I22959-I22956)/(I22952+I23153),0)</f>
        <v>0.813287836689746</v>
      </c>
      <c r="J23177" s="32" t="n">
        <f aca="false">IF(J22952+J23153&gt;0,(J22948-J22959-J22956)/(J22952+J23153),0)</f>
        <v>0.834030228771795</v>
      </c>
      <c r="K23177" s="32" t="n">
        <f aca="false">IF(K22952+K23153&gt;0,(K22948-K22959-K22956)/(K22952+K23153),0)</f>
        <v>0.780856287522867</v>
      </c>
    </row>
    <row r="23178" customFormat="false" ht="15" hidden="false" customHeight="false" outlineLevel="0" collapsed="false">
      <c r="A23178" s="3" t="s">
        <v>422</v>
      </c>
      <c r="G23178" s="16" t="n">
        <f aca="false">MAX(0,G23162)+Assumptions!$P$57*MAX(0,Assumptions!$D$57-G22985)+Assumptions!$P$58*MAX(0,Assumptions!$D$58-G22998)+Assumptions!$P$59*MAX(0,Assumptions!$D$59-G23011)+Assumptions!$P$60*MAX(0,Assumptions!$D$60-G23024)+Assumptions!$P$61*MAX(0,Assumptions!$D$61-G23037)+Assumptions!$P$62*MAX(0,Assumptions!$D$62-G23050)+Assumptions!$P$63*MAX(0,Assumptions!$D$63-G23063)+Assumptions!$P$64*MAX(0,Assumptions!$D$64-G23076)+Assumptions!$P$65*MAX(0,Assumptions!$D$65-G23089)+Assumptions!$P$66*MAX(0,Assumptions!$D$66-G23102)</f>
        <v>724.8287686</v>
      </c>
      <c r="H23178" s="16" t="n">
        <f aca="false">MAX(0,H23162)+Assumptions!$P$57*MAX(0,Assumptions!$D$57-H22985)+Assumptions!$P$58*MAX(0,Assumptions!$D$58-H22998)+Assumptions!$P$59*MAX(0,Assumptions!$D$59-H23011)+Assumptions!$P$60*MAX(0,Assumptions!$D$60-H23024)+Assumptions!$P$61*MAX(0,Assumptions!$D$61-H23037)+Assumptions!$P$62*MAX(0,Assumptions!$D$62-H23050)+Assumptions!$P$63*MAX(0,Assumptions!$D$63-H23063)+Assumptions!$P$64*MAX(0,Assumptions!$D$64-H23076)+Assumptions!$P$65*MAX(0,Assumptions!$D$65-H23089)+Assumptions!$P$66*MAX(0,Assumptions!$D$66-H23102)</f>
        <v>599.5</v>
      </c>
      <c r="I23178" s="16" t="n">
        <f aca="false">MAX(0,I23162)+Assumptions!$P$57*MAX(0,Assumptions!$D$57-I22985)+Assumptions!$P$58*MAX(0,Assumptions!$D$58-I22998)+Assumptions!$P$59*MAX(0,Assumptions!$D$59-I23011)+Assumptions!$P$60*MAX(0,Assumptions!$D$60-I23024)+Assumptions!$P$61*MAX(0,Assumptions!$D$61-I23037)+Assumptions!$P$62*MAX(0,Assumptions!$D$62-I23050)+Assumptions!$P$63*MAX(0,Assumptions!$D$63-I23063)+Assumptions!$P$64*MAX(0,Assumptions!$D$64-I23076)+Assumptions!$P$65*MAX(0,Assumptions!$D$65-I23089)+Assumptions!$P$66*MAX(0,Assumptions!$D$66-I23102)</f>
        <v>507.703057817944</v>
      </c>
      <c r="J23178" s="16" t="n">
        <f aca="false">MAX(0,J23162)+Assumptions!$P$57*MAX(0,Assumptions!$D$57-J22985)+Assumptions!$P$58*MAX(0,Assumptions!$D$58-J22998)+Assumptions!$P$59*MAX(0,Assumptions!$D$59-J23011)+Assumptions!$P$60*MAX(0,Assumptions!$D$60-J23024)+Assumptions!$P$61*MAX(0,Assumptions!$D$61-J23037)+Assumptions!$P$62*MAX(0,Assumptions!$D$62-J23050)+Assumptions!$P$63*MAX(0,Assumptions!$D$63-J23063)+Assumptions!$P$64*MAX(0,Assumptions!$D$64-J23076)+Assumptions!$P$65*MAX(0,Assumptions!$D$65-J23089)+Assumptions!$P$66*MAX(0,Assumptions!$D$66-J23102)</f>
        <v>418.822535135205</v>
      </c>
      <c r="K23178" s="16" t="n">
        <f aca="false">MAX(0,K23162)+Assumptions!$P$57*MAX(0,Assumptions!$D$57-K22985)+Assumptions!$P$58*MAX(0,Assumptions!$D$58-K22998)+Assumptions!$P$59*MAX(0,Assumptions!$D$59-K23011)+Assumptions!$P$60*MAX(0,Assumptions!$D$60-K23024)+Assumptions!$P$61*MAX(0,Assumptions!$D$61-K23037)+Assumptions!$P$62*MAX(0,Assumptions!$D$62-K23050)+Assumptions!$P$63*MAX(0,Assumptions!$D$63-K23063)+Assumptions!$P$64*MAX(0,Assumptions!$D$64-K23076)+Assumptions!$P$65*MAX(0,Assumptions!$D$65-K23089)+Assumptions!$P$66*MAX(0,Assumptions!$D$66-K23102)</f>
        <v>314.286716076552</v>
      </c>
    </row>
    <row r="23179" customFormat="false" ht="15" hidden="false" customHeight="false" outlineLevel="0" collapsed="false">
      <c r="A23179" s="3" t="s">
        <v>423</v>
      </c>
      <c r="G23179" s="22" t="n">
        <f aca="false">IF(G23169&gt;0,G23169/(G23169+MAX(0,G22948*CHOOSE($C$22931,Assumptions!$C$90,Assumptions!$C$109,Assumptions!$C$128)-G23171)),0)</f>
        <v>0.782089915058077</v>
      </c>
      <c r="H23179" s="22" t="n">
        <f aca="false">IF(H23169&gt;0,H23169/(H23169+MAX(0,H22948*CHOOSE($C$22931,Assumptions!$C$90,Assumptions!$C$109,Assumptions!$C$128)-H23171)),0)</f>
        <v>0.778220679605055</v>
      </c>
      <c r="I23179" s="22" t="n">
        <f aca="false">IF(I23169&gt;0,I23169/(I23169+MAX(0,I22948*CHOOSE($C$22931,Assumptions!$C$90,Assumptions!$C$109,Assumptions!$C$128)-I23171)),0)</f>
        <v>0.78310402122841</v>
      </c>
      <c r="J23179" s="22" t="n">
        <f aca="false">IF(J23169&gt;0,J23169/(J23169+MAX(0,J22948*CHOOSE($C$22931,Assumptions!$C$90,Assumptions!$C$109,Assumptions!$C$128)-J23171)),0)</f>
        <v>0.789502056450562</v>
      </c>
      <c r="K23179" s="22" t="n">
        <f aca="false">IF(K23169&gt;0,K23169/(K23169+MAX(0,K22948*CHOOSE($C$22931,Assumptions!$C$90,Assumptions!$C$109,Assumptions!$C$128)-K23171)),0)</f>
        <v>0.799623180452455</v>
      </c>
    </row>
    <row r="23180" customFormat="false" ht="15" hidden="false" customHeight="false" outlineLevel="0" collapsed="false">
      <c r="A23180" s="3" t="s">
        <v>424</v>
      </c>
      <c r="G23180" s="22" t="n">
        <f aca="false">IF(G23169&gt;0,MAX(0,G23162)/G23169,0)</f>
        <v>0.0573350696852018</v>
      </c>
      <c r="H23180" s="22" t="n">
        <f aca="false">IF(H23169&gt;0,MAX(0,H23162)/H23169,0)</f>
        <v>0.00970626455191448</v>
      </c>
      <c r="I23180" s="22" t="n">
        <f aca="false">IF(I23169&gt;0,MAX(0,I23162)/I23169,0)</f>
        <v>0</v>
      </c>
      <c r="J23180" s="22" t="n">
        <f aca="false">IF(J23169&gt;0,MAX(0,J23162)/J23169,0)</f>
        <v>0</v>
      </c>
      <c r="K23180" s="22" t="n">
        <f aca="false">IF(K23169&gt;0,MAX(0,K23162)/K23169,0)</f>
        <v>0</v>
      </c>
    </row>
    <row r="23181" customFormat="false" ht="15" hidden="false" customHeight="false" outlineLevel="0" collapsed="false">
      <c r="A23181" s="3" t="s">
        <v>425</v>
      </c>
      <c r="G23181" s="16" t="n">
        <f aca="false">Assumptions!$C$31*(1-CHOOSE($C$22931,Assumptions!$C$93,Assumptions!$C$112,Assumptions!$C$131))</f>
        <v>4517.70066666667</v>
      </c>
      <c r="H23181" s="16" t="n">
        <f aca="false">Assumptions!$C$31*(1-CHOOSE($C$22931,Assumptions!$C$93,Assumptions!$C$112,Assumptions!$C$131))</f>
        <v>4517.70066666667</v>
      </c>
      <c r="I23181" s="16" t="n">
        <f aca="false">Assumptions!$C$31*(1-CHOOSE($C$22931,Assumptions!$C$93,Assumptions!$C$112,Assumptions!$C$131))</f>
        <v>4517.70066666667</v>
      </c>
      <c r="J23181" s="16" t="n">
        <f aca="false">Assumptions!$C$31*(1-CHOOSE($C$22931,Assumptions!$C$93,Assumptions!$C$112,Assumptions!$C$131))</f>
        <v>4517.70066666667</v>
      </c>
      <c r="K23181" s="16" t="n">
        <f aca="false">Assumptions!$C$31*(1-CHOOSE($C$22931,Assumptions!$C$93,Assumptions!$C$112,Assumptions!$C$131))</f>
        <v>4517.70066666667</v>
      </c>
    </row>
    <row r="23182" customFormat="false" ht="15" hidden="false" customHeight="false" outlineLevel="0" collapsed="false">
      <c r="A23182" s="24" t="s">
        <v>426</v>
      </c>
      <c r="B23182" s="25"/>
      <c r="C23182" s="25"/>
      <c r="D23182" s="25"/>
      <c r="E23182" s="25"/>
      <c r="F23182" s="25"/>
      <c r="G23182" s="25"/>
      <c r="H23182" s="25"/>
      <c r="I23182" s="25"/>
      <c r="J23182" s="25"/>
      <c r="K23182" s="25"/>
    </row>
    <row r="23183" customFormat="false" ht="15" hidden="false" customHeight="false" outlineLevel="0" collapsed="false">
      <c r="A23183" s="24" t="s">
        <v>427</v>
      </c>
      <c r="B23183" s="25"/>
      <c r="C23183" s="25"/>
      <c r="D23183" s="25"/>
      <c r="E23183" s="25"/>
      <c r="F23183" s="25"/>
      <c r="G23183" s="25"/>
      <c r="H23183" s="25"/>
      <c r="I23183" s="25"/>
      <c r="J23183" s="25"/>
      <c r="K23183" s="25"/>
    </row>
    <row r="23184" customFormat="false" ht="15" hidden="false" customHeight="false" outlineLevel="0" collapsed="false">
      <c r="A23184" s="3" t="s">
        <v>428</v>
      </c>
      <c r="G23184" s="22" t="n">
        <f aca="false">IF(G23181&gt;0,G23169/G23181,99)</f>
        <v>0.580369128779522</v>
      </c>
      <c r="H23184" s="22" t="n">
        <f aca="false">IF(H23181&gt;0,H23169/H23181,99)</f>
        <v>0.570125455716441</v>
      </c>
      <c r="I23184" s="22" t="n">
        <f aca="false">IF(I23181&gt;0,I23169/I23181,99)</f>
        <v>0.584025655578152</v>
      </c>
      <c r="J23184" s="22" t="n">
        <f aca="false">IF(J23181&gt;0,J23169/J23181,99)</f>
        <v>0.602814089993257</v>
      </c>
      <c r="K23184" s="22" t="n">
        <f aca="false">IF(K23181&gt;0,K23169/K23181,99)</f>
        <v>0.62506784837093</v>
      </c>
    </row>
    <row r="23185" customFormat="false" ht="15" hidden="false" customHeight="false" outlineLevel="0" collapsed="false">
      <c r="A23185" s="3" t="s">
        <v>429</v>
      </c>
      <c r="G23185" s="33" t="n">
        <f aca="false">Assumptions!$G$71</f>
        <v>0.6</v>
      </c>
      <c r="H23185" s="33" t="n">
        <f aca="false">Assumptions!$H$71</f>
        <v>0.6</v>
      </c>
      <c r="I23185" s="33" t="n">
        <f aca="false">Assumptions!$I$71</f>
        <v>0.6</v>
      </c>
      <c r="J23185" s="33" t="n">
        <f aca="false">Assumptions!$J$71</f>
        <v>0.6</v>
      </c>
      <c r="K23185" s="33" t="n">
        <f aca="false">Assumptions!$K$71</f>
        <v>0.6</v>
      </c>
    </row>
    <row r="23186" customFormat="false" ht="15" hidden="false" customHeight="false" outlineLevel="0" collapsed="false">
      <c r="A23186" s="3" t="s">
        <v>430</v>
      </c>
      <c r="G23186" s="22" t="n">
        <f aca="false">G23185-G23184</f>
        <v>0.0196308712204777</v>
      </c>
      <c r="H23186" s="22" t="n">
        <f aca="false">H23185-H23184</f>
        <v>0.0298745442835595</v>
      </c>
      <c r="I23186" s="22" t="n">
        <f aca="false">I23185-I23184</f>
        <v>0.0159743444218476</v>
      </c>
      <c r="J23186" s="22" t="n">
        <f aca="false">J23185-J23184</f>
        <v>-0.00281408999325661</v>
      </c>
      <c r="K23186" s="22" t="n">
        <f aca="false">K23185-K23184</f>
        <v>-0.0250678483709297</v>
      </c>
    </row>
    <row r="23187" customFormat="false" ht="15" hidden="false" customHeight="false" outlineLevel="0" collapsed="false">
      <c r="A23187" s="3" t="s">
        <v>431</v>
      </c>
      <c r="G23187" s="22" t="n">
        <f aca="false">IF(G23185=0,0,G23186/ABS(G23185))</f>
        <v>0.0327181187007962</v>
      </c>
      <c r="H23187" s="22" t="n">
        <f aca="false">IF(H23185=0,0,H23186/ABS(H23185))</f>
        <v>0.0497909071392659</v>
      </c>
      <c r="I23187" s="22" t="n">
        <f aca="false">IF(I23185=0,0,I23186/ABS(I23185))</f>
        <v>0.0266239073697461</v>
      </c>
      <c r="J23187" s="22" t="n">
        <f aca="false">IF(J23185=0,0,J23186/ABS(J23185))</f>
        <v>-0.00469014998876101</v>
      </c>
      <c r="K23187" s="22" t="n">
        <f aca="false">IF(K23185=0,0,K23186/ABS(K23185))</f>
        <v>-0.0417797472848828</v>
      </c>
    </row>
    <row r="23188" customFormat="false" ht="15" hidden="false" customHeight="false" outlineLevel="0" collapsed="false">
      <c r="A23188" s="3" t="s">
        <v>432</v>
      </c>
      <c r="G23188" s="21" t="n">
        <f aca="false">IF(G23186&lt;0,1,0)</f>
        <v>0</v>
      </c>
      <c r="H23188" s="21" t="n">
        <f aca="false">IF(H23186&lt;0,1,0)</f>
        <v>0</v>
      </c>
      <c r="I23188" s="21" t="n">
        <f aca="false">IF(I23186&lt;0,1,0)</f>
        <v>0</v>
      </c>
      <c r="J23188" s="21" t="n">
        <f aca="false">IF(J23186&lt;0,1,0)</f>
        <v>1</v>
      </c>
      <c r="K23188" s="21" t="n">
        <f aca="false">IF(K23186&lt;0,1,0)</f>
        <v>1</v>
      </c>
    </row>
    <row r="23189" customFormat="false" ht="15" hidden="false" customHeight="false" outlineLevel="0" collapsed="false">
      <c r="A23189" s="3" t="s">
        <v>433</v>
      </c>
      <c r="C23189" s="21" t="n">
        <f aca="false">IFERROR(INDEX($G$22938:$K$22938,MATCH(1,$G$23188:$K$23188,0)),0)</f>
        <v>2030</v>
      </c>
    </row>
    <row r="23190" customFormat="false" ht="15" hidden="false" customHeight="false" outlineLevel="0" collapsed="false">
      <c r="A23190" s="3" t="s">
        <v>434</v>
      </c>
      <c r="C23190" s="22" t="n">
        <f aca="false">MIN($G$23187:$K$23187)</f>
        <v>-0.0417797472848828</v>
      </c>
    </row>
    <row r="23191" customFormat="false" ht="15" hidden="false" customHeight="false" outlineLevel="0" collapsed="false">
      <c r="A23191" s="24" t="s">
        <v>435</v>
      </c>
      <c r="B23191" s="25"/>
      <c r="C23191" s="25"/>
      <c r="D23191" s="25"/>
      <c r="E23191" s="25"/>
      <c r="F23191" s="25"/>
      <c r="G23191" s="25"/>
      <c r="H23191" s="25"/>
      <c r="I23191" s="25"/>
      <c r="J23191" s="25"/>
      <c r="K23191" s="25"/>
    </row>
    <row r="23192" customFormat="false" ht="15" hidden="false" customHeight="false" outlineLevel="0" collapsed="false">
      <c r="A23192" s="3" t="s">
        <v>428</v>
      </c>
      <c r="G23192" s="32" t="n">
        <f aca="false">IF(G22952&gt;0,G22948/G22952,99)</f>
        <v>1.4215185079059</v>
      </c>
      <c r="H23192" s="32" t="n">
        <f aca="false">IF(H22952&gt;0,H22948/H22952,99)</f>
        <v>1.46693050552355</v>
      </c>
      <c r="I23192" s="32" t="n">
        <f aca="false">IF(I22952&gt;0,I22948/I22952,99)</f>
        <v>1.40833238714926</v>
      </c>
      <c r="J23192" s="32" t="n">
        <f aca="false">IF(J22952&gt;0,J22948/J22952,99)</f>
        <v>1.44049487506624</v>
      </c>
      <c r="K23192" s="32" t="n">
        <f aca="false">IF(K22952&gt;0,K22948/K22952,99)</f>
        <v>1.34274565931266</v>
      </c>
    </row>
    <row r="23193" customFormat="false" ht="15" hidden="false" customHeight="false" outlineLevel="0" collapsed="false">
      <c r="A23193" s="3" t="s">
        <v>429</v>
      </c>
      <c r="G23193" s="34" t="n">
        <f aca="false">Assumptions!$G$72</f>
        <v>1.5</v>
      </c>
      <c r="H23193" s="34" t="n">
        <f aca="false">Assumptions!$H$72</f>
        <v>1.5</v>
      </c>
      <c r="I23193" s="34" t="n">
        <f aca="false">Assumptions!$I$72</f>
        <v>1.5</v>
      </c>
      <c r="J23193" s="34" t="n">
        <f aca="false">Assumptions!$J$72</f>
        <v>1.5</v>
      </c>
      <c r="K23193" s="34" t="n">
        <f aca="false">Assumptions!$K$72</f>
        <v>1.5</v>
      </c>
    </row>
    <row r="23194" customFormat="false" ht="15" hidden="false" customHeight="false" outlineLevel="0" collapsed="false">
      <c r="A23194" s="3" t="s">
        <v>430</v>
      </c>
      <c r="G23194" s="32" t="n">
        <f aca="false">G23192-G23193</f>
        <v>-0.0784814920940982</v>
      </c>
      <c r="H23194" s="32" t="n">
        <f aca="false">H23192-H23193</f>
        <v>-0.0330694944764525</v>
      </c>
      <c r="I23194" s="32" t="n">
        <f aca="false">I23192-I23193</f>
        <v>-0.091667612850737</v>
      </c>
      <c r="J23194" s="32" t="n">
        <f aca="false">J23192-J23193</f>
        <v>-0.0595051249337639</v>
      </c>
      <c r="K23194" s="32" t="n">
        <f aca="false">K23192-K23193</f>
        <v>-0.157254340687343</v>
      </c>
    </row>
    <row r="23195" customFormat="false" ht="15" hidden="false" customHeight="false" outlineLevel="0" collapsed="false">
      <c r="A23195" s="3" t="s">
        <v>431</v>
      </c>
      <c r="G23195" s="22" t="n">
        <f aca="false">IF(G23193=0,0,G23194/ABS(G23193))</f>
        <v>-0.0523209947293988</v>
      </c>
      <c r="H23195" s="22" t="n">
        <f aca="false">IF(H23193=0,0,H23194/ABS(H23193))</f>
        <v>-0.0220463296509683</v>
      </c>
      <c r="I23195" s="22" t="n">
        <f aca="false">IF(I23193=0,0,I23194/ABS(I23193))</f>
        <v>-0.0611117419004913</v>
      </c>
      <c r="J23195" s="22" t="n">
        <f aca="false">IF(J23193=0,0,J23194/ABS(J23193))</f>
        <v>-0.039670083289176</v>
      </c>
      <c r="K23195" s="22" t="n">
        <f aca="false">IF(K23193=0,0,K23194/ABS(K23193))</f>
        <v>-0.104836227124896</v>
      </c>
    </row>
    <row r="23196" customFormat="false" ht="15" hidden="false" customHeight="false" outlineLevel="0" collapsed="false">
      <c r="A23196" s="3" t="s">
        <v>432</v>
      </c>
      <c r="G23196" s="21" t="n">
        <f aca="false">IF(G23194&lt;0,1,0)</f>
        <v>1</v>
      </c>
      <c r="H23196" s="21" t="n">
        <f aca="false">IF(H23194&lt;0,1,0)</f>
        <v>1</v>
      </c>
      <c r="I23196" s="21" t="n">
        <f aca="false">IF(I23194&lt;0,1,0)</f>
        <v>1</v>
      </c>
      <c r="J23196" s="21" t="n">
        <f aca="false">IF(J23194&lt;0,1,0)</f>
        <v>1</v>
      </c>
      <c r="K23196" s="21" t="n">
        <f aca="false">IF(K23194&lt;0,1,0)</f>
        <v>1</v>
      </c>
    </row>
    <row r="23197" customFormat="false" ht="15" hidden="false" customHeight="false" outlineLevel="0" collapsed="false">
      <c r="A23197" s="3" t="s">
        <v>433</v>
      </c>
      <c r="C23197" s="21" t="n">
        <f aca="false">IFERROR(INDEX($G$22938:$K$22938,MATCH(1,$G$23196:$K$23196,0)),0)</f>
        <v>2027</v>
      </c>
    </row>
    <row r="23198" customFormat="false" ht="15" hidden="false" customHeight="false" outlineLevel="0" collapsed="false">
      <c r="A23198" s="3" t="s">
        <v>434</v>
      </c>
      <c r="C23198" s="22" t="n">
        <f aca="false">MIN($G$23195:$K$23195)</f>
        <v>-0.104836227124896</v>
      </c>
    </row>
    <row r="23199" customFormat="false" ht="15" hidden="false" customHeight="false" outlineLevel="0" collapsed="false">
      <c r="A23199" s="24" t="s">
        <v>436</v>
      </c>
      <c r="B23199" s="25"/>
      <c r="C23199" s="25"/>
      <c r="D23199" s="25"/>
      <c r="E23199" s="25"/>
      <c r="F23199" s="25"/>
      <c r="G23199" s="25"/>
      <c r="H23199" s="25"/>
      <c r="I23199" s="25"/>
      <c r="J23199" s="25"/>
      <c r="K23199" s="25"/>
    </row>
    <row r="23200" customFormat="false" ht="15" hidden="false" customHeight="false" outlineLevel="0" collapsed="false">
      <c r="A23200" s="3" t="s">
        <v>428</v>
      </c>
      <c r="G23200" s="22" t="n">
        <f aca="false">IF(G23181&gt;0,G23170/G23181,99)</f>
        <v>0.120265604139923</v>
      </c>
      <c r="H23200" s="22" t="n">
        <f aca="false">IF(H23181&gt;0,H23170/H23181,99)</f>
        <v>0.119380197979769</v>
      </c>
      <c r="I23200" s="22" t="n">
        <f aca="false">IF(I23181&gt;0,I23170/I23181,99)</f>
        <v>0.118494791819614</v>
      </c>
      <c r="J23200" s="22" t="n">
        <f aca="false">IF(J23181&gt;0,J23170/J23181,99)</f>
        <v>0.11760938565946</v>
      </c>
      <c r="K23200" s="22" t="n">
        <f aca="false">IF(K23181&gt;0,K23170/K23181,99)</f>
        <v>0.116723979499306</v>
      </c>
    </row>
    <row r="23201" customFormat="false" ht="15" hidden="false" customHeight="false" outlineLevel="0" collapsed="false">
      <c r="A23201" s="3" t="s">
        <v>429</v>
      </c>
      <c r="G23201" s="33" t="n">
        <f aca="false">Assumptions!$G$73</f>
        <v>0.4</v>
      </c>
      <c r="H23201" s="33" t="n">
        <f aca="false">Assumptions!$H$73</f>
        <v>0.4</v>
      </c>
      <c r="I23201" s="33" t="n">
        <f aca="false">Assumptions!$I$73</f>
        <v>0.4</v>
      </c>
      <c r="J23201" s="33" t="n">
        <f aca="false">Assumptions!$J$73</f>
        <v>0.4</v>
      </c>
      <c r="K23201" s="33" t="n">
        <f aca="false">Assumptions!$K$73</f>
        <v>0.4</v>
      </c>
    </row>
    <row r="23202" customFormat="false" ht="15" hidden="false" customHeight="false" outlineLevel="0" collapsed="false">
      <c r="A23202" s="3" t="s">
        <v>430</v>
      </c>
      <c r="G23202" s="22" t="n">
        <f aca="false">G23201-G23200</f>
        <v>0.279734395860077</v>
      </c>
      <c r="H23202" s="22" t="n">
        <f aca="false">H23201-H23200</f>
        <v>0.280619802020231</v>
      </c>
      <c r="I23202" s="22" t="n">
        <f aca="false">I23201-I23200</f>
        <v>0.281505208180386</v>
      </c>
      <c r="J23202" s="22" t="n">
        <f aca="false">J23201-J23200</f>
        <v>0.28239061434054</v>
      </c>
      <c r="K23202" s="22" t="n">
        <f aca="false">K23201-K23200</f>
        <v>0.283276020500694</v>
      </c>
    </row>
    <row r="23203" customFormat="false" ht="15" hidden="false" customHeight="false" outlineLevel="0" collapsed="false">
      <c r="A23203" s="3" t="s">
        <v>431</v>
      </c>
      <c r="G23203" s="22" t="n">
        <f aca="false">IF(G23201=0,0,G23202/ABS(G23201))</f>
        <v>0.699335989650192</v>
      </c>
      <c r="H23203" s="22" t="n">
        <f aca="false">IF(H23201=0,0,H23202/ABS(H23201))</f>
        <v>0.701549505050578</v>
      </c>
      <c r="I23203" s="22" t="n">
        <f aca="false">IF(I23201=0,0,I23202/ABS(I23201))</f>
        <v>0.703763020450964</v>
      </c>
      <c r="J23203" s="22" t="n">
        <f aca="false">IF(J23201=0,0,J23202/ABS(J23201))</f>
        <v>0.70597653585135</v>
      </c>
      <c r="K23203" s="22" t="n">
        <f aca="false">IF(K23201=0,0,K23202/ABS(K23201))</f>
        <v>0.708190051251736</v>
      </c>
    </row>
    <row r="23204" customFormat="false" ht="15" hidden="false" customHeight="false" outlineLevel="0" collapsed="false">
      <c r="A23204" s="3" t="s">
        <v>432</v>
      </c>
      <c r="G23204" s="21" t="n">
        <f aca="false">IF(G23202&lt;0,1,0)</f>
        <v>0</v>
      </c>
      <c r="H23204" s="21" t="n">
        <f aca="false">IF(H23202&lt;0,1,0)</f>
        <v>0</v>
      </c>
      <c r="I23204" s="21" t="n">
        <f aca="false">IF(I23202&lt;0,1,0)</f>
        <v>0</v>
      </c>
      <c r="J23204" s="21" t="n">
        <f aca="false">IF(J23202&lt;0,1,0)</f>
        <v>0</v>
      </c>
      <c r="K23204" s="21" t="n">
        <f aca="false">IF(K23202&lt;0,1,0)</f>
        <v>0</v>
      </c>
    </row>
    <row r="23205" customFormat="false" ht="15" hidden="false" customHeight="false" outlineLevel="0" collapsed="false">
      <c r="A23205" s="3" t="s">
        <v>433</v>
      </c>
      <c r="C23205" s="21" t="n">
        <f aca="false">IFERROR(INDEX($G$22938:$K$22938,MATCH(1,$G$23204:$K$23204,0)),0)</f>
        <v>0</v>
      </c>
    </row>
    <row r="23206" customFormat="false" ht="15" hidden="false" customHeight="false" outlineLevel="0" collapsed="false">
      <c r="A23206" s="3" t="s">
        <v>434</v>
      </c>
      <c r="C23206" s="22" t="n">
        <f aca="false">MIN($G$23203:$K$23203)</f>
        <v>0.699335989650192</v>
      </c>
    </row>
    <row r="23207" customFormat="false" ht="15" hidden="false" customHeight="false" outlineLevel="0" collapsed="false">
      <c r="A23207" s="24" t="s">
        <v>437</v>
      </c>
      <c r="B23207" s="25"/>
      <c r="C23207" s="25"/>
      <c r="D23207" s="25"/>
      <c r="E23207" s="25"/>
      <c r="F23207" s="25"/>
      <c r="G23207" s="25"/>
      <c r="H23207" s="25"/>
      <c r="I23207" s="25"/>
      <c r="J23207" s="25"/>
      <c r="K23207" s="25"/>
    </row>
    <row r="23208" customFormat="false" ht="15" hidden="false" customHeight="false" outlineLevel="0" collapsed="false">
      <c r="A23208" s="3" t="s">
        <v>428</v>
      </c>
      <c r="G23208" s="16" t="n">
        <f aca="false">G23178</f>
        <v>724.8287686</v>
      </c>
      <c r="H23208" s="16" t="n">
        <f aca="false">H23178</f>
        <v>599.5</v>
      </c>
      <c r="I23208" s="16" t="n">
        <f aca="false">I23178</f>
        <v>507.703057817944</v>
      </c>
      <c r="J23208" s="16" t="n">
        <f aca="false">J23178</f>
        <v>418.822535135205</v>
      </c>
      <c r="K23208" s="16" t="n">
        <f aca="false">K23178</f>
        <v>314.286716076552</v>
      </c>
    </row>
    <row r="23209" customFormat="false" ht="15" hidden="false" customHeight="false" outlineLevel="0" collapsed="false">
      <c r="A23209" s="3" t="s">
        <v>429</v>
      </c>
      <c r="G23209" s="29" t="n">
        <f aca="false">Assumptions!$G$74</f>
        <v>100</v>
      </c>
      <c r="H23209" s="29" t="n">
        <f aca="false">Assumptions!$H$74</f>
        <v>100</v>
      </c>
      <c r="I23209" s="29" t="n">
        <f aca="false">Assumptions!$I$74</f>
        <v>100</v>
      </c>
      <c r="J23209" s="29" t="n">
        <f aca="false">Assumptions!$J$74</f>
        <v>100</v>
      </c>
      <c r="K23209" s="29" t="n">
        <f aca="false">Assumptions!$K$74</f>
        <v>100</v>
      </c>
    </row>
    <row r="23210" customFormat="false" ht="15" hidden="false" customHeight="false" outlineLevel="0" collapsed="false">
      <c r="A23210" s="3" t="s">
        <v>430</v>
      </c>
      <c r="G23210" s="16" t="n">
        <f aca="false">G23208-G23209</f>
        <v>624.8287686</v>
      </c>
      <c r="H23210" s="16" t="n">
        <f aca="false">H23208-H23209</f>
        <v>499.5</v>
      </c>
      <c r="I23210" s="16" t="n">
        <f aca="false">I23208-I23209</f>
        <v>407.703057817944</v>
      </c>
      <c r="J23210" s="16" t="n">
        <f aca="false">J23208-J23209</f>
        <v>318.822535135205</v>
      </c>
      <c r="K23210" s="16" t="n">
        <f aca="false">K23208-K23209</f>
        <v>214.286716076552</v>
      </c>
    </row>
    <row r="23211" customFormat="false" ht="15" hidden="false" customHeight="false" outlineLevel="0" collapsed="false">
      <c r="A23211" s="3" t="s">
        <v>431</v>
      </c>
      <c r="G23211" s="22" t="n">
        <f aca="false">IF(G23209=0,0,G23210/ABS(G23209))</f>
        <v>6.248287686</v>
      </c>
      <c r="H23211" s="22" t="n">
        <f aca="false">IF(H23209=0,0,H23210/ABS(H23209))</f>
        <v>4.995</v>
      </c>
      <c r="I23211" s="22" t="n">
        <f aca="false">IF(I23209=0,0,I23210/ABS(I23209))</f>
        <v>4.07703057817944</v>
      </c>
      <c r="J23211" s="22" t="n">
        <f aca="false">IF(J23209=0,0,J23210/ABS(J23209))</f>
        <v>3.18822535135205</v>
      </c>
      <c r="K23211" s="22" t="n">
        <f aca="false">IF(K23209=0,0,K23210/ABS(K23209))</f>
        <v>2.14286716076552</v>
      </c>
    </row>
    <row r="23212" customFormat="false" ht="15" hidden="false" customHeight="false" outlineLevel="0" collapsed="false">
      <c r="A23212" s="3" t="s">
        <v>432</v>
      </c>
      <c r="G23212" s="21" t="n">
        <f aca="false">IF(G23210&lt;0,1,0)</f>
        <v>0</v>
      </c>
      <c r="H23212" s="21" t="n">
        <f aca="false">IF(H23210&lt;0,1,0)</f>
        <v>0</v>
      </c>
      <c r="I23212" s="21" t="n">
        <f aca="false">IF(I23210&lt;0,1,0)</f>
        <v>0</v>
      </c>
      <c r="J23212" s="21" t="n">
        <f aca="false">IF(J23210&lt;0,1,0)</f>
        <v>0</v>
      </c>
      <c r="K23212" s="21" t="n">
        <f aca="false">IF(K23210&lt;0,1,0)</f>
        <v>0</v>
      </c>
    </row>
    <row r="23213" customFormat="false" ht="15" hidden="false" customHeight="false" outlineLevel="0" collapsed="false">
      <c r="A23213" s="3" t="s">
        <v>433</v>
      </c>
      <c r="C23213" s="21" t="n">
        <f aca="false">IFERROR(INDEX($G$22938:$K$22938,MATCH(1,$G$23212:$K$23212,0)),0)</f>
        <v>0</v>
      </c>
    </row>
    <row r="23214" customFormat="false" ht="15" hidden="false" customHeight="false" outlineLevel="0" collapsed="false">
      <c r="A23214" s="3" t="s">
        <v>434</v>
      </c>
      <c r="C23214" s="22" t="n">
        <f aca="false">MIN($G$23211:$K$23211)</f>
        <v>2.14286716076552</v>
      </c>
    </row>
    <row r="23215" customFormat="false" ht="15" hidden="false" customHeight="false" outlineLevel="0" collapsed="false">
      <c r="A23215" s="24" t="s">
        <v>438</v>
      </c>
      <c r="B23215" s="25"/>
      <c r="C23215" s="25"/>
      <c r="D23215" s="25"/>
      <c r="E23215" s="25"/>
      <c r="F23215" s="25"/>
      <c r="G23215" s="25"/>
      <c r="H23215" s="25"/>
      <c r="I23215" s="25"/>
      <c r="J23215" s="25"/>
      <c r="K23215" s="25"/>
    </row>
    <row r="23216" customFormat="false" ht="15" hidden="false" customHeight="false" outlineLevel="0" collapsed="false">
      <c r="A23216" s="3" t="s">
        <v>428</v>
      </c>
      <c r="G23216" s="32" t="n">
        <f aca="false">IF(G22948&gt;0,G23171/G22948,99)</f>
        <v>9.64824801476836</v>
      </c>
      <c r="H23216" s="32" t="n">
        <f aca="false">IF(H22948&gt;0,H23171/H22948,99)</f>
        <v>9.70665866785301</v>
      </c>
      <c r="I23216" s="32" t="n">
        <f aca="false">IF(I22948&gt;0,I23171/I22948,99)</f>
        <v>9.78880026535512</v>
      </c>
      <c r="J23216" s="32" t="n">
        <f aca="false">IF(J22948&gt;0,J23171/J22948,99)</f>
        <v>9.86877570563203</v>
      </c>
      <c r="K23216" s="32" t="n">
        <f aca="false">IF(K22948&gt;0,K23171/K22948,99)</f>
        <v>9.99528975565569</v>
      </c>
    </row>
    <row r="23217" customFormat="false" ht="15" hidden="false" customHeight="false" outlineLevel="0" collapsed="false">
      <c r="A23217" s="3" t="s">
        <v>429</v>
      </c>
      <c r="G23217" s="34" t="n">
        <f aca="false">Assumptions!$G$75</f>
        <v>10.5</v>
      </c>
      <c r="H23217" s="34" t="n">
        <f aca="false">Assumptions!$H$75</f>
        <v>10.5</v>
      </c>
      <c r="I23217" s="34" t="n">
        <f aca="false">Assumptions!$I$75</f>
        <v>10</v>
      </c>
      <c r="J23217" s="34" t="n">
        <f aca="false">Assumptions!$J$75</f>
        <v>10</v>
      </c>
      <c r="K23217" s="34" t="n">
        <f aca="false">Assumptions!$K$75</f>
        <v>9.5</v>
      </c>
    </row>
    <row r="23218" customFormat="false" ht="15" hidden="false" customHeight="false" outlineLevel="0" collapsed="false">
      <c r="A23218" s="3" t="s">
        <v>430</v>
      </c>
      <c r="G23218" s="32" t="n">
        <f aca="false">G23217-G23216</f>
        <v>0.85175198523164</v>
      </c>
      <c r="H23218" s="32" t="n">
        <f aca="false">H23217-H23216</f>
        <v>0.793341332146991</v>
      </c>
      <c r="I23218" s="32" t="n">
        <f aca="false">I23217-I23216</f>
        <v>0.211199734644877</v>
      </c>
      <c r="J23218" s="32" t="n">
        <f aca="false">J23217-J23216</f>
        <v>0.131224294367971</v>
      </c>
      <c r="K23218" s="32" t="n">
        <f aca="false">K23217-K23216</f>
        <v>-0.495289755655689</v>
      </c>
    </row>
    <row r="23219" customFormat="false" ht="15" hidden="false" customHeight="false" outlineLevel="0" collapsed="false">
      <c r="A23219" s="3" t="s">
        <v>431</v>
      </c>
      <c r="G23219" s="22" t="n">
        <f aca="false">IF(G23217=0,0,G23218/ABS(G23217))</f>
        <v>0.0811192366887277</v>
      </c>
      <c r="H23219" s="22" t="n">
        <f aca="false">IF(H23217=0,0,H23218/ABS(H23217))</f>
        <v>0.0755563173473324</v>
      </c>
      <c r="I23219" s="22" t="n">
        <f aca="false">IF(I23217=0,0,I23218/ABS(I23217))</f>
        <v>0.0211199734644877</v>
      </c>
      <c r="J23219" s="22" t="n">
        <f aca="false">IF(J23217=0,0,J23218/ABS(J23217))</f>
        <v>0.0131224294367971</v>
      </c>
      <c r="K23219" s="22" t="n">
        <f aca="false">IF(K23217=0,0,K23218/ABS(K23217))</f>
        <v>-0.0521357637532304</v>
      </c>
    </row>
    <row r="23220" customFormat="false" ht="15" hidden="false" customHeight="false" outlineLevel="0" collapsed="false">
      <c r="A23220" s="3" t="s">
        <v>432</v>
      </c>
      <c r="G23220" s="21" t="n">
        <f aca="false">IF(G23218&lt;0,1,0)</f>
        <v>0</v>
      </c>
      <c r="H23220" s="21" t="n">
        <f aca="false">IF(H23218&lt;0,1,0)</f>
        <v>0</v>
      </c>
      <c r="I23220" s="21" t="n">
        <f aca="false">IF(I23218&lt;0,1,0)</f>
        <v>0</v>
      </c>
      <c r="J23220" s="21" t="n">
        <f aca="false">IF(J23218&lt;0,1,0)</f>
        <v>0</v>
      </c>
      <c r="K23220" s="21" t="n">
        <f aca="false">IF(K23218&lt;0,1,0)</f>
        <v>1</v>
      </c>
    </row>
    <row r="23221" customFormat="false" ht="15" hidden="false" customHeight="false" outlineLevel="0" collapsed="false">
      <c r="A23221" s="3" t="s">
        <v>433</v>
      </c>
      <c r="C23221" s="21" t="n">
        <f aca="false">IFERROR(INDEX($G$22938:$K$22938,MATCH(1,$G$23220:$K$23220,0)),0)</f>
        <v>2031</v>
      </c>
    </row>
    <row r="23222" customFormat="false" ht="15" hidden="false" customHeight="false" outlineLevel="0" collapsed="false">
      <c r="A23222" s="3" t="s">
        <v>434</v>
      </c>
      <c r="C23222" s="22" t="n">
        <f aca="false">MIN($G$23219:$K$23219)</f>
        <v>-0.0521357637532304</v>
      </c>
    </row>
    <row r="23223" customFormat="false" ht="15" hidden="false" customHeight="false" outlineLevel="0" collapsed="false">
      <c r="A23223" s="3" t="s">
        <v>439</v>
      </c>
      <c r="G23223" s="21" t="n">
        <f aca="false">G23188+G23196+G23204+G23212+G23220</f>
        <v>1</v>
      </c>
      <c r="H23223" s="21" t="n">
        <f aca="false">H23188+H23196+H23204+H23212+H23220</f>
        <v>1</v>
      </c>
      <c r="I23223" s="21" t="n">
        <f aca="false">I23188+I23196+I23204+I23212+I23220</f>
        <v>1</v>
      </c>
      <c r="J23223" s="21" t="n">
        <f aca="false">J23188+J23196+J23204+J23212+J23220</f>
        <v>2</v>
      </c>
      <c r="K23223" s="21" t="n">
        <f aca="false">K23188+K23196+K23204+K23212+K23220</f>
        <v>3</v>
      </c>
    </row>
    <row r="23224" customFormat="false" ht="15" hidden="false" customHeight="false" outlineLevel="0" collapsed="false">
      <c r="A23224" s="3" t="s">
        <v>440</v>
      </c>
      <c r="C23224" s="21" t="n">
        <f aca="false">SUM($G$23223:$K$23223)</f>
        <v>8</v>
      </c>
    </row>
    <row r="23225" customFormat="false" ht="15" hidden="false" customHeight="false" outlineLevel="0" collapsed="false">
      <c r="A23225" s="3" t="s">
        <v>441</v>
      </c>
      <c r="C23225" s="22" t="n">
        <f aca="false">MIN(C23190,C23198,C23206,C23214,C23222)</f>
        <v>-0.104836227124896</v>
      </c>
    </row>
    <row r="23227" customFormat="false" ht="15" hidden="false" customHeight="false" outlineLevel="0" collapsed="false">
      <c r="A23227" s="24" t="s">
        <v>543</v>
      </c>
      <c r="B23227" s="25"/>
      <c r="C23227" s="25"/>
      <c r="D23227" s="25"/>
      <c r="E23227" s="25"/>
      <c r="F23227" s="25"/>
      <c r="G23227" s="25"/>
      <c r="H23227" s="25"/>
      <c r="I23227" s="25"/>
      <c r="J23227" s="25"/>
      <c r="K23227" s="25"/>
    </row>
    <row r="23228" customFormat="false" ht="15" hidden="false" customHeight="false" outlineLevel="0" collapsed="false">
      <c r="A23228" s="3" t="s">
        <v>544</v>
      </c>
      <c r="G23228" s="21" t="n">
        <f aca="false">IF($C$23229=1,G23165,IF(G22948=MIN($G$22948:$K$22948),1,0))</f>
        <v>1</v>
      </c>
      <c r="H23228" s="21" t="n">
        <f aca="false">IF($C$23229=1,H23165,IF(AND(H22948=MIN($G$22948:$K$22948),SUM($G$23228:G23228)=0),1,0))</f>
        <v>0</v>
      </c>
      <c r="I23228" s="21" t="n">
        <f aca="false">IF($C$23229=1,I23165,IF(AND(I22948=MIN($G$22948:$K$22948),SUM($G$23228:H23228)=0),1,0))</f>
        <v>0</v>
      </c>
      <c r="J23228" s="21" t="n">
        <f aca="false">IF($C$23229=1,J23165,IF(AND(J22948=MIN($G$22948:$K$22948),SUM($G$23228:I23228)=0),1,0))</f>
        <v>0</v>
      </c>
      <c r="K23228" s="21" t="n">
        <f aca="false">IF($C$23229=1,K23165,IF(AND(K22948=MIN($G$22948:$K$22948),SUM($G$23228:J23228)=0),1,0))</f>
        <v>0</v>
      </c>
    </row>
    <row r="23229" customFormat="false" ht="15" hidden="false" customHeight="false" outlineLevel="0" collapsed="false">
      <c r="A23229" s="3" t="s">
        <v>545</v>
      </c>
      <c r="C23229" s="21" t="n">
        <f aca="false">IF(SUM($G$23165:$K$23165)&gt;0,1,0)</f>
        <v>0</v>
      </c>
    </row>
    <row r="23230" customFormat="false" ht="15" hidden="false" customHeight="false" outlineLevel="0" collapsed="false">
      <c r="A23230" s="3" t="s">
        <v>546</v>
      </c>
      <c r="C23230" s="21" t="n">
        <f aca="false">SUMPRODUCT($G$23228:$K$23228,$G$22938:$K$22938)</f>
        <v>2027</v>
      </c>
    </row>
    <row r="23231" customFormat="false" ht="15" hidden="false" customHeight="false" outlineLevel="0" collapsed="false">
      <c r="A23231" s="3" t="s">
        <v>547</v>
      </c>
      <c r="C23231" s="16" t="n">
        <f aca="false">SUMPRODUCT($G$23228:$K$23228,$G$22948:$K$22948)</f>
        <v>256.1714031</v>
      </c>
    </row>
    <row r="23232" customFormat="false" ht="15" hidden="false" customHeight="false" outlineLevel="0" collapsed="false">
      <c r="A23232" s="3" t="s">
        <v>548</v>
      </c>
      <c r="C23232" s="16" t="n">
        <f aca="false">MAX(0,SUMPRODUCT($G$23228:$K$23228,$G$23162:$K$23162))</f>
        <v>150.3287686</v>
      </c>
    </row>
    <row r="23233" customFormat="false" ht="15" hidden="false" customHeight="false" outlineLevel="0" collapsed="false">
      <c r="A23233" s="3" t="s">
        <v>549</v>
      </c>
      <c r="C23233" s="16" t="n">
        <f aca="false">(CHOOSE($C$22931,Assumptions!$C$92,Assumptions!$C$111,Assumptions!$C$130)+$C$22935)*C23231</f>
        <v>2561.714031</v>
      </c>
    </row>
    <row r="23234" customFormat="false" ht="15" hidden="false" customHeight="false" outlineLevel="0" collapsed="false">
      <c r="A23234" s="3" t="s">
        <v>550</v>
      </c>
      <c r="C23234" s="16" t="n">
        <f aca="false">Assumptions!$C$31*(1-CHOOSE($C$22931,Assumptions!$C$93,Assumptions!$C$112,Assumptions!$C$131))*CHOOSE($C$22931,Assumptions!$C$94,Assumptions!$C$113,Assumptions!$C$132)</f>
        <v>3840.04556666667</v>
      </c>
    </row>
    <row r="23235" customFormat="false" ht="15" hidden="false" customHeight="false" outlineLevel="0" collapsed="false">
      <c r="A23235" s="3" t="s">
        <v>551</v>
      </c>
      <c r="C23235" s="16" t="n">
        <f aca="false">MAX(C23233,C23234)+C23232</f>
        <v>3990.37433526667</v>
      </c>
    </row>
    <row r="23236" customFormat="false" ht="15" hidden="false" customHeight="false" outlineLevel="0" collapsed="false">
      <c r="A23236" s="2" t="s">
        <v>552</v>
      </c>
      <c r="C23236" s="17" t="n">
        <f aca="false">IF(ISNUMBER(Assumptions!$C$14),Assumptions!$C$14,C23235)</f>
        <v>3990.37433526667</v>
      </c>
    </row>
    <row r="23237" customFormat="false" ht="15" hidden="false" customHeight="false" outlineLevel="0" collapsed="false">
      <c r="A23237" s="3" t="s">
        <v>553</v>
      </c>
      <c r="C23237" s="16" t="n">
        <f aca="false">C23236*Assumptions!$C$15</f>
        <v>159.614973410667</v>
      </c>
    </row>
    <row r="23238" customFormat="false" ht="15" hidden="false" customHeight="false" outlineLevel="0" collapsed="false">
      <c r="A23238" s="2" t="s">
        <v>554</v>
      </c>
      <c r="C23238" s="17" t="n">
        <f aca="false">C23236-C23237</f>
        <v>3830.759361856</v>
      </c>
    </row>
    <row r="23239" customFormat="false" ht="15" hidden="false" customHeight="false" outlineLevel="0" collapsed="false">
      <c r="A23239" s="24" t="s">
        <v>555</v>
      </c>
      <c r="B23239" s="25"/>
      <c r="C23239" s="25"/>
      <c r="D23239" s="25"/>
      <c r="E23239" s="25"/>
      <c r="F23239" s="25"/>
      <c r="G23239" s="25"/>
      <c r="H23239" s="25"/>
      <c r="I23239" s="25"/>
      <c r="J23239" s="25"/>
      <c r="K23239" s="25"/>
    </row>
    <row r="23240" customFormat="false" ht="15" hidden="false" customHeight="false" outlineLevel="0" collapsed="false">
      <c r="A23240" s="3" t="s">
        <v>556</v>
      </c>
      <c r="C23240" s="16" t="n">
        <f aca="false">SUMPRODUCT($G$23228:$K$23228,$G$22985:$K$22985)*(1+SUMPRODUCT($G$23228:$K$23228,$G$22977:$K$22977)*Assumptions!$C$16/12)</f>
        <v>405.0585</v>
      </c>
    </row>
    <row r="23241" customFormat="false" ht="15" hidden="false" customHeight="false" outlineLevel="0" collapsed="false">
      <c r="A23241" s="3" t="s">
        <v>557</v>
      </c>
      <c r="C23241" s="16" t="n">
        <f aca="false">SUMPRODUCT($G$23228:$K$23228,$G$22998:$K$22998)*(1+SUMPRODUCT($G$23228:$K$23228,$G$22990:$K$22990)*Assumptions!$C$16/12)</f>
        <v>91.30725</v>
      </c>
    </row>
    <row r="23242" customFormat="false" ht="15" hidden="false" customHeight="false" outlineLevel="0" collapsed="false">
      <c r="A23242" s="3" t="s">
        <v>558</v>
      </c>
      <c r="C23242" s="16" t="n">
        <f aca="false">SUMPRODUCT($G$23228:$K$23228,$G$23011:$K$23011)*(1+SUMPRODUCT($G$23228:$K$23228,$G$23003:$K$23003)*Assumptions!$C$16/12)</f>
        <v>58.3715961</v>
      </c>
    </row>
    <row r="23243" customFormat="false" ht="15" hidden="false" customHeight="false" outlineLevel="0" collapsed="false">
      <c r="A23243" s="3" t="s">
        <v>559</v>
      </c>
      <c r="C23243" s="16" t="n">
        <f aca="false">SUMPRODUCT($G$23228:$K$23228,$G$23024:$K$23024)*(1+SUMPRODUCT($G$23228:$K$23228,$G$23016:$K$23016)*Assumptions!$C$16/12)</f>
        <v>0</v>
      </c>
    </row>
    <row r="23244" customFormat="false" ht="15" hidden="false" customHeight="false" outlineLevel="0" collapsed="false">
      <c r="A23244" s="3" t="s">
        <v>560</v>
      </c>
      <c r="C23244" s="16" t="n">
        <f aca="false">SUMPRODUCT($G$23228:$K$23228,$G$23037:$K$23037)*(1+SUMPRODUCT($G$23228:$K$23228,$G$23029:$K$23029)*Assumptions!$C$16/12)</f>
        <v>454.44375</v>
      </c>
    </row>
    <row r="23245" customFormat="false" ht="15" hidden="false" customHeight="false" outlineLevel="0" collapsed="false">
      <c r="A23245" s="3" t="s">
        <v>561</v>
      </c>
      <c r="C23245" s="16" t="n">
        <f aca="false">SUMPRODUCT($G$23228:$K$23228,$G$23050:$K$23050)*(1+SUMPRODUCT($G$23228:$K$23228,$G$23042:$K$23042)*Assumptions!$C$16/12)</f>
        <v>357.2625</v>
      </c>
    </row>
    <row r="23246" customFormat="false" ht="15" hidden="false" customHeight="false" outlineLevel="0" collapsed="false">
      <c r="A23246" s="3" t="s">
        <v>562</v>
      </c>
      <c r="C23246" s="16" t="n">
        <f aca="false">SUMPRODUCT($G$23228:$K$23228,$G$23063:$K$23063)*(1+SUMPRODUCT($G$23228:$K$23228,$G$23055:$K$23055)*Assumptions!$C$16/12)</f>
        <v>562.203125</v>
      </c>
    </row>
    <row r="23247" customFormat="false" ht="15" hidden="false" customHeight="false" outlineLevel="0" collapsed="false">
      <c r="A23247" s="3" t="s">
        <v>563</v>
      </c>
      <c r="C23247" s="16" t="n">
        <f aca="false">SUMPRODUCT($G$23228:$K$23228,$G$23076:$K$23076)*(1+SUMPRODUCT($G$23228:$K$23228,$G$23068:$K$23068)*Assumptions!$C$16/12)</f>
        <v>353.98125</v>
      </c>
    </row>
    <row r="23248" customFormat="false" ht="15" hidden="false" customHeight="false" outlineLevel="0" collapsed="false">
      <c r="A23248" s="3" t="s">
        <v>564</v>
      </c>
      <c r="C23248" s="16" t="n">
        <f aca="false">SUMPRODUCT($G$23228:$K$23228,$G$23089:$K$23089)*(1+SUMPRODUCT($G$23228:$K$23228,$G$23081:$K$23081)*Assumptions!$C$16/12)</f>
        <v>304.59375</v>
      </c>
    </row>
    <row r="23249" customFormat="false" ht="15" hidden="false" customHeight="false" outlineLevel="0" collapsed="false">
      <c r="A23249" s="3" t="s">
        <v>565</v>
      </c>
      <c r="C23249" s="16" t="n">
        <f aca="false">SUMPRODUCT($G$23228:$K$23228,$G$23102:$K$23102)*(1+SUMPRODUCT($G$23228:$K$23228,$G$23094:$K$23094)*Assumptions!$C$16/12)</f>
        <v>79.67320025</v>
      </c>
    </row>
    <row r="23250" customFormat="false" ht="15" hidden="false" customHeight="false" outlineLevel="0" collapsed="false">
      <c r="A23250" s="24" t="s">
        <v>566</v>
      </c>
      <c r="B23250" s="25"/>
      <c r="C23250" s="25"/>
      <c r="D23250" s="25"/>
      <c r="E23250" s="25"/>
      <c r="F23250" s="25"/>
      <c r="G23250" s="25"/>
      <c r="H23250" s="25"/>
      <c r="I23250" s="25"/>
      <c r="J23250" s="25"/>
      <c r="K23250" s="25"/>
    </row>
    <row r="23251" customFormat="false" ht="15" hidden="false" customHeight="false" outlineLevel="0" collapsed="false">
      <c r="A23251" s="3" t="s">
        <v>556</v>
      </c>
      <c r="C23251" s="27" t="n">
        <f aca="false">Assumptions!$M$57</f>
        <v>1</v>
      </c>
    </row>
    <row r="23252" customFormat="false" ht="15" hidden="false" customHeight="false" outlineLevel="0" collapsed="false">
      <c r="A23252" s="3" t="s">
        <v>557</v>
      </c>
      <c r="C23252" s="27" t="n">
        <f aca="false">Assumptions!$M$58</f>
        <v>1</v>
      </c>
    </row>
    <row r="23253" customFormat="false" ht="15" hidden="false" customHeight="false" outlineLevel="0" collapsed="false">
      <c r="A23253" s="3" t="s">
        <v>558</v>
      </c>
      <c r="C23253" s="27" t="n">
        <f aca="false">Assumptions!$M$59</f>
        <v>1</v>
      </c>
    </row>
    <row r="23254" customFormat="false" ht="15" hidden="false" customHeight="false" outlineLevel="0" collapsed="false">
      <c r="A23254" s="3" t="s">
        <v>559</v>
      </c>
      <c r="C23254" s="27" t="n">
        <f aca="false">Assumptions!$M$60</f>
        <v>2</v>
      </c>
    </row>
    <row r="23255" customFormat="false" ht="15" hidden="false" customHeight="false" outlineLevel="0" collapsed="false">
      <c r="A23255" s="3" t="s">
        <v>560</v>
      </c>
      <c r="C23255" s="27" t="n">
        <f aca="false">Assumptions!$M$61</f>
        <v>2</v>
      </c>
    </row>
    <row r="23256" customFormat="false" ht="15" hidden="false" customHeight="false" outlineLevel="0" collapsed="false">
      <c r="A23256" s="3" t="s">
        <v>561</v>
      </c>
      <c r="C23256" s="27" t="n">
        <f aca="false">Assumptions!$M$62</f>
        <v>2</v>
      </c>
    </row>
    <row r="23257" customFormat="false" ht="15" hidden="false" customHeight="false" outlineLevel="0" collapsed="false">
      <c r="A23257" s="3" t="s">
        <v>562</v>
      </c>
      <c r="C23257" s="27" t="n">
        <f aca="false">Assumptions!$M$63</f>
        <v>2</v>
      </c>
    </row>
    <row r="23258" customFormat="false" ht="15" hidden="false" customHeight="false" outlineLevel="0" collapsed="false">
      <c r="A23258" s="3" t="s">
        <v>563</v>
      </c>
      <c r="C23258" s="27" t="n">
        <f aca="false">Assumptions!$M$64</f>
        <v>2</v>
      </c>
    </row>
    <row r="23259" customFormat="false" ht="15" hidden="false" customHeight="false" outlineLevel="0" collapsed="false">
      <c r="A23259" s="3" t="s">
        <v>564</v>
      </c>
      <c r="C23259" s="27" t="n">
        <f aca="false">Assumptions!$M$65</f>
        <v>2</v>
      </c>
    </row>
    <row r="23260" customFormat="false" ht="15" hidden="false" customHeight="false" outlineLevel="0" collapsed="false">
      <c r="A23260" s="3" t="s">
        <v>565</v>
      </c>
      <c r="C23260" s="27" t="n">
        <f aca="false">Assumptions!$M$66</f>
        <v>3</v>
      </c>
    </row>
    <row r="23261" customFormat="false" ht="15" hidden="false" customHeight="false" outlineLevel="0" collapsed="false">
      <c r="A23261" s="24" t="s">
        <v>567</v>
      </c>
      <c r="B23261" s="25"/>
      <c r="C23261" s="25"/>
      <c r="D23261" s="25"/>
      <c r="E23261" s="25"/>
      <c r="F23261" s="25"/>
      <c r="G23261" s="25"/>
      <c r="H23261" s="25"/>
      <c r="I23261" s="25"/>
      <c r="J23261" s="25"/>
      <c r="K23261" s="25"/>
    </row>
    <row r="23262" customFormat="false" ht="15" hidden="false" customHeight="false" outlineLevel="0" collapsed="false">
      <c r="A23262" s="3" t="s">
        <v>556</v>
      </c>
      <c r="C23262" s="33" t="n">
        <f aca="false">Assumptions!$Q$57</f>
        <v>0.3</v>
      </c>
    </row>
    <row r="23263" customFormat="false" ht="15" hidden="false" customHeight="false" outlineLevel="0" collapsed="false">
      <c r="A23263" s="3" t="s">
        <v>557</v>
      </c>
      <c r="C23263" s="33" t="n">
        <f aca="false">Assumptions!$Q$58</f>
        <v>0.033</v>
      </c>
    </row>
    <row r="23264" customFormat="false" ht="15" hidden="false" customHeight="false" outlineLevel="0" collapsed="false">
      <c r="A23264" s="3" t="s">
        <v>558</v>
      </c>
      <c r="C23264" s="33" t="n">
        <f aca="false">Assumptions!$Q$59</f>
        <v>0.021</v>
      </c>
    </row>
    <row r="23265" customFormat="false" ht="15" hidden="false" customHeight="false" outlineLevel="0" collapsed="false">
      <c r="A23265" s="3" t="s">
        <v>559</v>
      </c>
      <c r="C23265" s="33" t="n">
        <f aca="false">Assumptions!$Q$60</f>
        <v>0</v>
      </c>
    </row>
    <row r="23266" customFormat="false" ht="15" hidden="false" customHeight="false" outlineLevel="0" collapsed="false">
      <c r="A23266" s="3" t="s">
        <v>560</v>
      </c>
      <c r="C23266" s="33" t="n">
        <f aca="false">Assumptions!$Q$61</f>
        <v>0</v>
      </c>
    </row>
    <row r="23267" customFormat="false" ht="15" hidden="false" customHeight="false" outlineLevel="0" collapsed="false">
      <c r="A23267" s="3" t="s">
        <v>561</v>
      </c>
      <c r="C23267" s="33" t="n">
        <f aca="false">Assumptions!$Q$62</f>
        <v>0</v>
      </c>
    </row>
    <row r="23268" customFormat="false" ht="15" hidden="false" customHeight="false" outlineLevel="0" collapsed="false">
      <c r="A23268" s="3" t="s">
        <v>562</v>
      </c>
      <c r="C23268" s="33" t="n">
        <f aca="false">Assumptions!$Q$63</f>
        <v>0</v>
      </c>
    </row>
    <row r="23269" customFormat="false" ht="15" hidden="false" customHeight="false" outlineLevel="0" collapsed="false">
      <c r="A23269" s="3" t="s">
        <v>563</v>
      </c>
      <c r="C23269" s="33" t="n">
        <f aca="false">Assumptions!$Q$64</f>
        <v>0</v>
      </c>
    </row>
    <row r="23270" customFormat="false" ht="15" hidden="false" customHeight="false" outlineLevel="0" collapsed="false">
      <c r="A23270" s="3" t="s">
        <v>564</v>
      </c>
      <c r="C23270" s="33" t="n">
        <f aca="false">Assumptions!$Q$65</f>
        <v>0</v>
      </c>
    </row>
    <row r="23271" customFormat="false" ht="15" hidden="false" customHeight="false" outlineLevel="0" collapsed="false">
      <c r="A23271" s="3" t="s">
        <v>565</v>
      </c>
      <c r="C23271" s="33" t="n">
        <f aca="false">Assumptions!$Q$66</f>
        <v>0</v>
      </c>
    </row>
    <row r="23272" customFormat="false" ht="15" hidden="false" customHeight="false" outlineLevel="0" collapsed="false">
      <c r="A23272" s="24" t="s">
        <v>568</v>
      </c>
      <c r="B23272" s="25"/>
      <c r="C23272" s="25"/>
      <c r="D23272" s="25"/>
      <c r="E23272" s="25"/>
      <c r="F23272" s="25"/>
      <c r="G23272" s="25"/>
      <c r="H23272" s="25"/>
      <c r="I23272" s="25"/>
      <c r="J23272" s="25"/>
      <c r="K23272" s="25"/>
    </row>
    <row r="23273" customFormat="false" ht="15" hidden="false" customHeight="false" outlineLevel="0" collapsed="false">
      <c r="A23273" s="3" t="s">
        <v>556</v>
      </c>
      <c r="C23273" s="16" t="n">
        <f aca="false">IF(C23262&gt;0,MIN(C23240,C23262*$C$23238),0)</f>
        <v>405.0585</v>
      </c>
    </row>
    <row r="23274" customFormat="false" ht="15" hidden="false" customHeight="false" outlineLevel="0" collapsed="false">
      <c r="A23274" s="3" t="s">
        <v>557</v>
      </c>
      <c r="C23274" s="16" t="n">
        <f aca="false">IF(C23263&gt;0,MIN(C23241,C23263*$C$23238),0)</f>
        <v>91.30725</v>
      </c>
    </row>
    <row r="23275" customFormat="false" ht="15" hidden="false" customHeight="false" outlineLevel="0" collapsed="false">
      <c r="A23275" s="3" t="s">
        <v>558</v>
      </c>
      <c r="C23275" s="16" t="n">
        <f aca="false">IF(C23264&gt;0,MIN(C23242,C23264*$C$23238),0)</f>
        <v>58.3715961</v>
      </c>
    </row>
    <row r="23276" customFormat="false" ht="15" hidden="false" customHeight="false" outlineLevel="0" collapsed="false">
      <c r="A23276" s="3" t="s">
        <v>559</v>
      </c>
      <c r="C23276" s="16" t="n">
        <f aca="false">IF(C23265&gt;0,MIN(C23243,C23265*$C$23238),0)</f>
        <v>0</v>
      </c>
    </row>
    <row r="23277" customFormat="false" ht="15" hidden="false" customHeight="false" outlineLevel="0" collapsed="false">
      <c r="A23277" s="3" t="s">
        <v>560</v>
      </c>
      <c r="C23277" s="16" t="n">
        <f aca="false">IF(C23266&gt;0,MIN(C23244,C23266*$C$23238),0)</f>
        <v>0</v>
      </c>
    </row>
    <row r="23278" customFormat="false" ht="15" hidden="false" customHeight="false" outlineLevel="0" collapsed="false">
      <c r="A23278" s="3" t="s">
        <v>561</v>
      </c>
      <c r="C23278" s="16" t="n">
        <f aca="false">IF(C23267&gt;0,MIN(C23245,C23267*$C$23238),0)</f>
        <v>0</v>
      </c>
    </row>
    <row r="23279" customFormat="false" ht="15" hidden="false" customHeight="false" outlineLevel="0" collapsed="false">
      <c r="A23279" s="3" t="s">
        <v>562</v>
      </c>
      <c r="C23279" s="16" t="n">
        <f aca="false">IF(C23268&gt;0,MIN(C23246,C23268*$C$23238),0)</f>
        <v>0</v>
      </c>
    </row>
    <row r="23280" customFormat="false" ht="15" hidden="false" customHeight="false" outlineLevel="0" collapsed="false">
      <c r="A23280" s="3" t="s">
        <v>563</v>
      </c>
      <c r="C23280" s="16" t="n">
        <f aca="false">IF(C23269&gt;0,MIN(C23247,C23269*$C$23238),0)</f>
        <v>0</v>
      </c>
    </row>
    <row r="23281" customFormat="false" ht="15" hidden="false" customHeight="false" outlineLevel="0" collapsed="false">
      <c r="A23281" s="3" t="s">
        <v>564</v>
      </c>
      <c r="C23281" s="16" t="n">
        <f aca="false">IF(C23270&gt;0,MIN(C23248,C23270*$C$23238),0)</f>
        <v>0</v>
      </c>
    </row>
    <row r="23282" customFormat="false" ht="15" hidden="false" customHeight="false" outlineLevel="0" collapsed="false">
      <c r="A23282" s="3" t="s">
        <v>565</v>
      </c>
      <c r="C23282" s="16" t="n">
        <f aca="false">IF(C23271&gt;0,MIN(C23249,C23271*$C$23238),0)</f>
        <v>0</v>
      </c>
    </row>
    <row r="23283" customFormat="false" ht="15" hidden="false" customHeight="false" outlineLevel="0" collapsed="false">
      <c r="A23283" s="24" t="s">
        <v>569</v>
      </c>
      <c r="B23283" s="25"/>
      <c r="C23283" s="25"/>
      <c r="D23283" s="25"/>
      <c r="E23283" s="25"/>
      <c r="F23283" s="25"/>
      <c r="G23283" s="25"/>
      <c r="H23283" s="25"/>
      <c r="I23283" s="25"/>
      <c r="J23283" s="25"/>
      <c r="K23283" s="25"/>
    </row>
    <row r="23284" customFormat="false" ht="15" hidden="false" customHeight="false" outlineLevel="0" collapsed="false">
      <c r="A23284" s="3" t="s">
        <v>556</v>
      </c>
      <c r="C23284" s="16" t="n">
        <f aca="false">IF(C23262&gt;0,C23240-C23273,0)</f>
        <v>0</v>
      </c>
      <c r="G23284" s="21" t="n">
        <f aca="false">IF(AND(G22975=1,G22972=1),1,0)</f>
        <v>0</v>
      </c>
      <c r="H23284" s="21" t="n">
        <f aca="false">IF(G23284=1,1,IF(AND(H22975=1,H22972=1),1,0))</f>
        <v>0</v>
      </c>
      <c r="I23284" s="21" t="n">
        <f aca="false">IF(H23284=1,1,IF(AND(I22975=1,I22972=1),1,0))</f>
        <v>0</v>
      </c>
      <c r="J23284" s="21" t="n">
        <f aca="false">IF(I23284=1,1,IF(AND(J22975=1,J22972=1),1,0))</f>
        <v>0</v>
      </c>
      <c r="K23284" s="21" t="n">
        <f aca="false">IF(J23284=1,1,IF(AND(K22975=1,K22972=1),1,0))</f>
        <v>1</v>
      </c>
    </row>
    <row r="23285" customFormat="false" ht="15" hidden="false" customHeight="false" outlineLevel="0" collapsed="false">
      <c r="A23285" s="3" t="s">
        <v>557</v>
      </c>
      <c r="C23285" s="16" t="n">
        <f aca="false">IF(C23263&gt;0,C23241-C23274,0)</f>
        <v>0</v>
      </c>
      <c r="G23285" s="21" t="n">
        <f aca="false">IF(AND(G22988=1,G22972=1),1,0)</f>
        <v>0</v>
      </c>
      <c r="H23285" s="21" t="n">
        <f aca="false">IF(G23285=1,1,IF(AND(H22988=1,H22972=1),1,0))</f>
        <v>0</v>
      </c>
      <c r="I23285" s="21" t="n">
        <f aca="false">IF(H23285=1,1,IF(AND(I22988=1,I22972=1),1,0))</f>
        <v>0</v>
      </c>
      <c r="J23285" s="21" t="n">
        <f aca="false">IF(I23285=1,1,IF(AND(J22988=1,J22972=1),1,0))</f>
        <v>0</v>
      </c>
      <c r="K23285" s="21" t="n">
        <f aca="false">IF(J23285=1,1,IF(AND(K22988=1,K22972=1),1,0))</f>
        <v>0</v>
      </c>
    </row>
    <row r="23286" customFormat="false" ht="15" hidden="false" customHeight="false" outlineLevel="0" collapsed="false">
      <c r="A23286" s="3" t="s">
        <v>558</v>
      </c>
      <c r="C23286" s="16" t="n">
        <f aca="false">IF(C23264&gt;0,C23242-C23275,0)</f>
        <v>0</v>
      </c>
      <c r="G23286" s="21" t="n">
        <f aca="false">IF(AND(G23001=1,G22972=1),1,0)</f>
        <v>0</v>
      </c>
      <c r="H23286" s="21" t="n">
        <f aca="false">IF(G23286=1,1,IF(AND(H23001=1,H22972=1),1,0))</f>
        <v>0</v>
      </c>
      <c r="I23286" s="21" t="n">
        <f aca="false">IF(H23286=1,1,IF(AND(I23001=1,I22972=1),1,0))</f>
        <v>0</v>
      </c>
      <c r="J23286" s="21" t="n">
        <f aca="false">IF(I23286=1,1,IF(AND(J23001=1,J22972=1),1,0))</f>
        <v>0</v>
      </c>
      <c r="K23286" s="21" t="n">
        <f aca="false">IF(J23286=1,1,IF(AND(K23001=1,K22972=1),1,0))</f>
        <v>0</v>
      </c>
    </row>
    <row r="23287" customFormat="false" ht="15" hidden="false" customHeight="false" outlineLevel="0" collapsed="false">
      <c r="A23287" s="3" t="s">
        <v>559</v>
      </c>
      <c r="C23287" s="16" t="n">
        <f aca="false">IF(C23265&gt;0,C23243-C23276,0)</f>
        <v>0</v>
      </c>
      <c r="G23287" s="21" t="n">
        <f aca="false">IF(AND(G23014=1,G22972=1),1,0)</f>
        <v>1</v>
      </c>
      <c r="H23287" s="21" t="n">
        <f aca="false">IF(G23287=1,1,IF(AND(H23014=1,H22972=1),1,0))</f>
        <v>1</v>
      </c>
      <c r="I23287" s="21" t="n">
        <f aca="false">IF(H23287=1,1,IF(AND(I23014=1,I22972=1),1,0))</f>
        <v>1</v>
      </c>
      <c r="J23287" s="21" t="n">
        <f aca="false">IF(I23287=1,1,IF(AND(J23014=1,J22972=1),1,0))</f>
        <v>1</v>
      </c>
      <c r="K23287" s="21" t="n">
        <f aca="false">IF(J23287=1,1,IF(AND(K23014=1,K22972=1),1,0))</f>
        <v>1</v>
      </c>
    </row>
    <row r="23288" customFormat="false" ht="15" hidden="false" customHeight="false" outlineLevel="0" collapsed="false">
      <c r="A23288" s="3" t="s">
        <v>560</v>
      </c>
      <c r="C23288" s="16" t="n">
        <f aca="false">IF(C23266&gt;0,C23244-C23277,0)</f>
        <v>0</v>
      </c>
      <c r="G23288" s="21" t="n">
        <f aca="false">IF(AND(G23027=1,G22972=1),1,0)</f>
        <v>0</v>
      </c>
      <c r="H23288" s="21" t="n">
        <f aca="false">IF(G23288=1,1,IF(AND(H23027=1,H22972=1),1,0))</f>
        <v>1</v>
      </c>
      <c r="I23288" s="21" t="n">
        <f aca="false">IF(H23288=1,1,IF(AND(I23027=1,I22972=1),1,0))</f>
        <v>1</v>
      </c>
      <c r="J23288" s="21" t="n">
        <f aca="false">IF(I23288=1,1,IF(AND(J23027=1,J22972=1),1,0))</f>
        <v>1</v>
      </c>
      <c r="K23288" s="21" t="n">
        <f aca="false">IF(J23288=1,1,IF(AND(K23027=1,K22972=1),1,0))</f>
        <v>1</v>
      </c>
    </row>
    <row r="23289" customFormat="false" ht="15" hidden="false" customHeight="false" outlineLevel="0" collapsed="false">
      <c r="A23289" s="3" t="s">
        <v>561</v>
      </c>
      <c r="C23289" s="16" t="n">
        <f aca="false">IF(C23267&gt;0,C23245-C23278,0)</f>
        <v>0</v>
      </c>
      <c r="G23289" s="21" t="n">
        <f aca="false">IF(AND(G23040=1,G22972=1),1,0)</f>
        <v>0</v>
      </c>
      <c r="H23289" s="21" t="n">
        <f aca="false">IF(G23289=1,1,IF(AND(H23040=1,H22972=1),1,0))</f>
        <v>1</v>
      </c>
      <c r="I23289" s="21" t="n">
        <f aca="false">IF(H23289=1,1,IF(AND(I23040=1,I22972=1),1,0))</f>
        <v>1</v>
      </c>
      <c r="J23289" s="21" t="n">
        <f aca="false">IF(I23289=1,1,IF(AND(J23040=1,J22972=1),1,0))</f>
        <v>1</v>
      </c>
      <c r="K23289" s="21" t="n">
        <f aca="false">IF(J23289=1,1,IF(AND(K23040=1,K22972=1),1,0))</f>
        <v>1</v>
      </c>
    </row>
    <row r="23290" customFormat="false" ht="15" hidden="false" customHeight="false" outlineLevel="0" collapsed="false">
      <c r="A23290" s="3" t="s">
        <v>562</v>
      </c>
      <c r="C23290" s="16" t="n">
        <f aca="false">IF(C23268&gt;0,C23246-C23279,0)</f>
        <v>0</v>
      </c>
      <c r="G23290" s="21" t="n">
        <f aca="false">IF(AND(G23053=1,G22972=1),1,0)</f>
        <v>0</v>
      </c>
      <c r="H23290" s="21" t="n">
        <f aca="false">IF(G23290=1,1,IF(AND(H23053=1,H22972=1),1,0))</f>
        <v>0</v>
      </c>
      <c r="I23290" s="21" t="n">
        <f aca="false">IF(H23290=1,1,IF(AND(I23053=1,I22972=1),1,0))</f>
        <v>1</v>
      </c>
      <c r="J23290" s="21" t="n">
        <f aca="false">IF(I23290=1,1,IF(AND(J23053=1,J22972=1),1,0))</f>
        <v>1</v>
      </c>
      <c r="K23290" s="21" t="n">
        <f aca="false">IF(J23290=1,1,IF(AND(K23053=1,K22972=1),1,0))</f>
        <v>1</v>
      </c>
    </row>
    <row r="23291" customFormat="false" ht="15" hidden="false" customHeight="false" outlineLevel="0" collapsed="false">
      <c r="A23291" s="3" t="s">
        <v>563</v>
      </c>
      <c r="C23291" s="16" t="n">
        <f aca="false">IF(C23269&gt;0,C23247-C23280,0)</f>
        <v>0</v>
      </c>
      <c r="G23291" s="21" t="n">
        <f aca="false">IF(AND(G23066=1,G22972=1),1,0)</f>
        <v>0</v>
      </c>
      <c r="H23291" s="21" t="n">
        <f aca="false">IF(G23291=1,1,IF(AND(H23066=1,H22972=1),1,0))</f>
        <v>0</v>
      </c>
      <c r="I23291" s="21" t="n">
        <f aca="false">IF(H23291=1,1,IF(AND(I23066=1,I22972=1),1,0))</f>
        <v>0</v>
      </c>
      <c r="J23291" s="21" t="n">
        <f aca="false">IF(I23291=1,1,IF(AND(J23066=1,J22972=1),1,0))</f>
        <v>1</v>
      </c>
      <c r="K23291" s="21" t="n">
        <f aca="false">IF(J23291=1,1,IF(AND(K23066=1,K22972=1),1,0))</f>
        <v>1</v>
      </c>
    </row>
    <row r="23292" customFormat="false" ht="15" hidden="false" customHeight="false" outlineLevel="0" collapsed="false">
      <c r="A23292" s="3" t="s">
        <v>564</v>
      </c>
      <c r="C23292" s="16" t="n">
        <f aca="false">IF(C23270&gt;0,C23248-C23281,0)</f>
        <v>0</v>
      </c>
      <c r="G23292" s="21" t="n">
        <f aca="false">IF(AND(G23079=1,G22972=1),1,0)</f>
        <v>0</v>
      </c>
      <c r="H23292" s="21" t="n">
        <f aca="false">IF(G23292=1,1,IF(AND(H23079=1,H22972=1),1,0))</f>
        <v>0</v>
      </c>
      <c r="I23292" s="21" t="n">
        <f aca="false">IF(H23292=1,1,IF(AND(I23079=1,I22972=1),1,0))</f>
        <v>0</v>
      </c>
      <c r="J23292" s="21" t="n">
        <f aca="false">IF(I23292=1,1,IF(AND(J23079=1,J22972=1),1,0))</f>
        <v>0</v>
      </c>
      <c r="K23292" s="21" t="n">
        <f aca="false">IF(J23292=1,1,IF(AND(K23079=1,K22972=1),1,0))</f>
        <v>1</v>
      </c>
    </row>
    <row r="23293" customFormat="false" ht="15" hidden="false" customHeight="false" outlineLevel="0" collapsed="false">
      <c r="A23293" s="3" t="s">
        <v>565</v>
      </c>
      <c r="C23293" s="16" t="n">
        <f aca="false">IF(C23271&gt;0,C23249-C23282,0)</f>
        <v>0</v>
      </c>
      <c r="G23293" s="21" t="n">
        <f aca="false">IF(AND(G23092=1,G22972=1),1,0)</f>
        <v>0</v>
      </c>
      <c r="H23293" s="21" t="n">
        <f aca="false">IF(G23293=1,1,IF(AND(H23092=1,H22972=1),1,0))</f>
        <v>0</v>
      </c>
      <c r="I23293" s="21" t="n">
        <f aca="false">IF(H23293=1,1,IF(AND(I23092=1,I22972=1),1,0))</f>
        <v>0</v>
      </c>
      <c r="J23293" s="21" t="n">
        <f aca="false">IF(I23293=1,1,IF(AND(J23092=1,J22972=1),1,0))</f>
        <v>0</v>
      </c>
      <c r="K23293" s="21" t="n">
        <f aca="false">IF(J23293=1,1,IF(AND(K23092=1,K22972=1),1,0))</f>
        <v>0</v>
      </c>
    </row>
    <row r="23294" customFormat="false" ht="15" hidden="false" customHeight="false" outlineLevel="0" collapsed="false">
      <c r="A23294" s="24" t="s">
        <v>570</v>
      </c>
      <c r="B23294" s="25"/>
      <c r="C23294" s="25"/>
      <c r="D23294" s="25"/>
      <c r="E23294" s="25"/>
      <c r="F23294" s="25"/>
      <c r="G23294" s="25"/>
      <c r="H23294" s="25"/>
      <c r="I23294" s="25"/>
      <c r="J23294" s="25"/>
      <c r="K23294" s="25"/>
    </row>
    <row r="23295" customFormat="false" ht="15" hidden="false" customHeight="false" outlineLevel="0" collapsed="false">
      <c r="A23295" s="3" t="s">
        <v>556</v>
      </c>
      <c r="C23295" s="16" t="n">
        <f aca="false">IF(C23262&gt;0,C23284,C23240)</f>
        <v>0</v>
      </c>
    </row>
    <row r="23296" customFormat="false" ht="15" hidden="false" customHeight="false" outlineLevel="0" collapsed="false">
      <c r="A23296" s="3" t="s">
        <v>557</v>
      </c>
      <c r="C23296" s="16" t="n">
        <f aca="false">IF(C23263&gt;0,C23285,C23241)</f>
        <v>0</v>
      </c>
    </row>
    <row r="23297" customFormat="false" ht="15" hidden="false" customHeight="false" outlineLevel="0" collapsed="false">
      <c r="A23297" s="3" t="s">
        <v>558</v>
      </c>
      <c r="C23297" s="16" t="n">
        <f aca="false">IF(C23264&gt;0,C23286,C23242)</f>
        <v>0</v>
      </c>
    </row>
    <row r="23298" customFormat="false" ht="15" hidden="false" customHeight="false" outlineLevel="0" collapsed="false">
      <c r="A23298" s="3" t="s">
        <v>559</v>
      </c>
      <c r="C23298" s="16" t="n">
        <f aca="false">IF(C23265&gt;0,C23287,C23243)</f>
        <v>0</v>
      </c>
    </row>
    <row r="23299" customFormat="false" ht="15" hidden="false" customHeight="false" outlineLevel="0" collapsed="false">
      <c r="A23299" s="3" t="s">
        <v>560</v>
      </c>
      <c r="C23299" s="16" t="n">
        <f aca="false">IF(C23266&gt;0,C23288,C23244)</f>
        <v>454.44375</v>
      </c>
    </row>
    <row r="23300" customFormat="false" ht="15" hidden="false" customHeight="false" outlineLevel="0" collapsed="false">
      <c r="A23300" s="3" t="s">
        <v>561</v>
      </c>
      <c r="C23300" s="16" t="n">
        <f aca="false">IF(C23267&gt;0,C23289,C23245)</f>
        <v>357.2625</v>
      </c>
    </row>
    <row r="23301" customFormat="false" ht="15" hidden="false" customHeight="false" outlineLevel="0" collapsed="false">
      <c r="A23301" s="3" t="s">
        <v>562</v>
      </c>
      <c r="C23301" s="16" t="n">
        <f aca="false">IF(C23268&gt;0,C23290,C23246)</f>
        <v>562.203125</v>
      </c>
    </row>
    <row r="23302" customFormat="false" ht="15" hidden="false" customHeight="false" outlineLevel="0" collapsed="false">
      <c r="A23302" s="3" t="s">
        <v>563</v>
      </c>
      <c r="C23302" s="16" t="n">
        <f aca="false">IF(C23269&gt;0,C23291,C23247)</f>
        <v>353.98125</v>
      </c>
    </row>
    <row r="23303" customFormat="false" ht="15" hidden="false" customHeight="false" outlineLevel="0" collapsed="false">
      <c r="A23303" s="3" t="s">
        <v>564</v>
      </c>
      <c r="C23303" s="16" t="n">
        <f aca="false">IF(C23270&gt;0,C23292,C23248)</f>
        <v>304.59375</v>
      </c>
    </row>
    <row r="23304" customFormat="false" ht="15" hidden="false" customHeight="false" outlineLevel="0" collapsed="false">
      <c r="A23304" s="3" t="s">
        <v>565</v>
      </c>
      <c r="C23304" s="16" t="n">
        <f aca="false">IF(C23271&gt;0,C23293,C23249)</f>
        <v>79.67320025</v>
      </c>
    </row>
    <row r="23305" customFormat="false" ht="15" hidden="false" customHeight="false" outlineLevel="0" collapsed="false">
      <c r="A23305" s="24" t="s">
        <v>571</v>
      </c>
      <c r="B23305" s="25"/>
      <c r="C23305" s="25"/>
      <c r="D23305" s="25"/>
      <c r="E23305" s="25"/>
      <c r="F23305" s="25"/>
      <c r="G23305" s="25"/>
      <c r="H23305" s="25"/>
      <c r="I23305" s="25"/>
      <c r="J23305" s="25"/>
      <c r="K23305" s="25"/>
    </row>
    <row r="23306" customFormat="false" ht="15" hidden="false" customHeight="false" outlineLevel="0" collapsed="false">
      <c r="A23306" s="3" t="s">
        <v>556</v>
      </c>
      <c r="C23306" s="21" t="n">
        <f aca="false">IF(C23262&gt;0,Assumptions!$C$17,C23251)</f>
        <v>99</v>
      </c>
    </row>
    <row r="23307" customFormat="false" ht="15" hidden="false" customHeight="false" outlineLevel="0" collapsed="false">
      <c r="A23307" s="3" t="s">
        <v>557</v>
      </c>
      <c r="C23307" s="21" t="n">
        <f aca="false">IF(C23263&gt;0,Assumptions!$C$17,C23252)</f>
        <v>99</v>
      </c>
    </row>
    <row r="23308" customFormat="false" ht="15" hidden="false" customHeight="false" outlineLevel="0" collapsed="false">
      <c r="A23308" s="3" t="s">
        <v>558</v>
      </c>
      <c r="C23308" s="21" t="n">
        <f aca="false">IF(C23264&gt;0,Assumptions!$C$17,C23253)</f>
        <v>99</v>
      </c>
    </row>
    <row r="23309" customFormat="false" ht="15" hidden="false" customHeight="false" outlineLevel="0" collapsed="false">
      <c r="A23309" s="3" t="s">
        <v>559</v>
      </c>
      <c r="C23309" s="21" t="n">
        <f aca="false">IF(C23265&gt;0,Assumptions!$C$17,C23254)</f>
        <v>2</v>
      </c>
    </row>
    <row r="23310" customFormat="false" ht="15" hidden="false" customHeight="false" outlineLevel="0" collapsed="false">
      <c r="A23310" s="3" t="s">
        <v>560</v>
      </c>
      <c r="C23310" s="21" t="n">
        <f aca="false">IF(C23266&gt;0,Assumptions!$C$17,C23255)</f>
        <v>2</v>
      </c>
    </row>
    <row r="23311" customFormat="false" ht="15" hidden="false" customHeight="false" outlineLevel="0" collapsed="false">
      <c r="A23311" s="3" t="s">
        <v>561</v>
      </c>
      <c r="C23311" s="21" t="n">
        <f aca="false">IF(C23267&gt;0,Assumptions!$C$17,C23256)</f>
        <v>2</v>
      </c>
    </row>
    <row r="23312" customFormat="false" ht="15" hidden="false" customHeight="false" outlineLevel="0" collapsed="false">
      <c r="A23312" s="3" t="s">
        <v>562</v>
      </c>
      <c r="C23312" s="21" t="n">
        <f aca="false">IF(C23268&gt;0,Assumptions!$C$17,C23257)</f>
        <v>2</v>
      </c>
    </row>
    <row r="23313" customFormat="false" ht="15" hidden="false" customHeight="false" outlineLevel="0" collapsed="false">
      <c r="A23313" s="3" t="s">
        <v>563</v>
      </c>
      <c r="C23313" s="21" t="n">
        <f aca="false">IF(C23269&gt;0,Assumptions!$C$17,C23258)</f>
        <v>2</v>
      </c>
    </row>
    <row r="23314" customFormat="false" ht="15" hidden="false" customHeight="false" outlineLevel="0" collapsed="false">
      <c r="A23314" s="3" t="s">
        <v>564</v>
      </c>
      <c r="C23314" s="21" t="n">
        <f aca="false">IF(C23270&gt;0,Assumptions!$C$17,C23259)</f>
        <v>2</v>
      </c>
    </row>
    <row r="23315" customFormat="false" ht="15" hidden="false" customHeight="false" outlineLevel="0" collapsed="false">
      <c r="A23315" s="3" t="s">
        <v>565</v>
      </c>
      <c r="C23315" s="21" t="n">
        <f aca="false">IF(C23271&gt;0,Assumptions!$C$17,C23260)</f>
        <v>3</v>
      </c>
    </row>
    <row r="23316" customFormat="false" ht="15" hidden="false" customHeight="false" outlineLevel="0" collapsed="false">
      <c r="A23316" s="24" t="s">
        <v>572</v>
      </c>
      <c r="B23316" s="25"/>
      <c r="C23316" s="25"/>
      <c r="D23316" s="25"/>
      <c r="E23316" s="25"/>
      <c r="F23316" s="25"/>
      <c r="G23316" s="25"/>
      <c r="H23316" s="25"/>
      <c r="I23316" s="25"/>
      <c r="J23316" s="25"/>
      <c r="K23316" s="25"/>
    </row>
    <row r="23317" customFormat="false" ht="15" hidden="false" customHeight="false" outlineLevel="0" collapsed="false">
      <c r="A23317" s="3" t="s">
        <v>556</v>
      </c>
      <c r="C23317" s="16" t="n">
        <f aca="false">SUMPRODUCT(($C$23306:$C$23315&lt;C23306)*$C$23295:$C$23304)</f>
        <v>2112.15757525</v>
      </c>
    </row>
    <row r="23318" customFormat="false" ht="15" hidden="false" customHeight="false" outlineLevel="0" collapsed="false">
      <c r="A23318" s="3" t="s">
        <v>557</v>
      </c>
      <c r="C23318" s="16" t="n">
        <f aca="false">SUMPRODUCT(($C$23306:$C$23315&lt;C23307)*$C$23295:$C$23304)</f>
        <v>2112.15757525</v>
      </c>
    </row>
    <row r="23319" customFormat="false" ht="15" hidden="false" customHeight="false" outlineLevel="0" collapsed="false">
      <c r="A23319" s="3" t="s">
        <v>558</v>
      </c>
      <c r="C23319" s="16" t="n">
        <f aca="false">SUMPRODUCT(($C$23306:$C$23315&lt;C23308)*$C$23295:$C$23304)</f>
        <v>2112.15757525</v>
      </c>
    </row>
    <row r="23320" customFormat="false" ht="15" hidden="false" customHeight="false" outlineLevel="0" collapsed="false">
      <c r="A23320" s="3" t="s">
        <v>559</v>
      </c>
      <c r="C23320" s="16" t="n">
        <f aca="false">SUMPRODUCT(($C$23306:$C$23315&lt;C23309)*$C$23295:$C$23304)</f>
        <v>0</v>
      </c>
    </row>
    <row r="23321" customFormat="false" ht="15" hidden="false" customHeight="false" outlineLevel="0" collapsed="false">
      <c r="A23321" s="3" t="s">
        <v>560</v>
      </c>
      <c r="C23321" s="16" t="n">
        <f aca="false">SUMPRODUCT(($C$23306:$C$23315&lt;C23310)*$C$23295:$C$23304)</f>
        <v>0</v>
      </c>
    </row>
    <row r="23322" customFormat="false" ht="15" hidden="false" customHeight="false" outlineLevel="0" collapsed="false">
      <c r="A23322" s="3" t="s">
        <v>561</v>
      </c>
      <c r="C23322" s="16" t="n">
        <f aca="false">SUMPRODUCT(($C$23306:$C$23315&lt;C23311)*$C$23295:$C$23304)</f>
        <v>0</v>
      </c>
    </row>
    <row r="23323" customFormat="false" ht="15" hidden="false" customHeight="false" outlineLevel="0" collapsed="false">
      <c r="A23323" s="3" t="s">
        <v>562</v>
      </c>
      <c r="C23323" s="16" t="n">
        <f aca="false">SUMPRODUCT(($C$23306:$C$23315&lt;C23312)*$C$23295:$C$23304)</f>
        <v>0</v>
      </c>
    </row>
    <row r="23324" customFormat="false" ht="15" hidden="false" customHeight="false" outlineLevel="0" collapsed="false">
      <c r="A23324" s="3" t="s">
        <v>563</v>
      </c>
      <c r="C23324" s="16" t="n">
        <f aca="false">SUMPRODUCT(($C$23306:$C$23315&lt;C23313)*$C$23295:$C$23304)</f>
        <v>0</v>
      </c>
    </row>
    <row r="23325" customFormat="false" ht="15" hidden="false" customHeight="false" outlineLevel="0" collapsed="false">
      <c r="A23325" s="3" t="s">
        <v>564</v>
      </c>
      <c r="C23325" s="16" t="n">
        <f aca="false">SUMPRODUCT(($C$23306:$C$23315&lt;C23314)*$C$23295:$C$23304)</f>
        <v>0</v>
      </c>
    </row>
    <row r="23326" customFormat="false" ht="15" hidden="false" customHeight="false" outlineLevel="0" collapsed="false">
      <c r="A23326" s="3" t="s">
        <v>565</v>
      </c>
      <c r="C23326" s="16" t="n">
        <f aca="false">SUMPRODUCT(($C$23306:$C$23315&lt;C23315)*$C$23295:$C$23304)</f>
        <v>2032.484375</v>
      </c>
    </row>
    <row r="23327" customFormat="false" ht="15" hidden="false" customHeight="false" outlineLevel="0" collapsed="false">
      <c r="A23327" s="24" t="s">
        <v>573</v>
      </c>
      <c r="B23327" s="25"/>
      <c r="C23327" s="25"/>
      <c r="D23327" s="25"/>
      <c r="E23327" s="25"/>
      <c r="F23327" s="25"/>
      <c r="G23327" s="25"/>
      <c r="H23327" s="25"/>
      <c r="I23327" s="25"/>
      <c r="J23327" s="25"/>
      <c r="K23327" s="25"/>
    </row>
    <row r="23328" customFormat="false" ht="15" hidden="false" customHeight="false" outlineLevel="0" collapsed="false">
      <c r="A23328" s="3" t="s">
        <v>556</v>
      </c>
      <c r="C23328" s="16" t="n">
        <f aca="false">SUMPRODUCT(($C$23306:$C$23315=C23306)*$C$23295:$C$23304)</f>
        <v>0</v>
      </c>
    </row>
    <row r="23329" customFormat="false" ht="15" hidden="false" customHeight="false" outlineLevel="0" collapsed="false">
      <c r="A23329" s="3" t="s">
        <v>557</v>
      </c>
      <c r="C23329" s="16" t="n">
        <f aca="false">SUMPRODUCT(($C$23306:$C$23315=C23307)*$C$23295:$C$23304)</f>
        <v>0</v>
      </c>
    </row>
    <row r="23330" customFormat="false" ht="15" hidden="false" customHeight="false" outlineLevel="0" collapsed="false">
      <c r="A23330" s="3" t="s">
        <v>558</v>
      </c>
      <c r="C23330" s="16" t="n">
        <f aca="false">SUMPRODUCT(($C$23306:$C$23315=C23308)*$C$23295:$C$23304)</f>
        <v>0</v>
      </c>
    </row>
    <row r="23331" customFormat="false" ht="15" hidden="false" customHeight="false" outlineLevel="0" collapsed="false">
      <c r="A23331" s="3" t="s">
        <v>559</v>
      </c>
      <c r="C23331" s="16" t="n">
        <f aca="false">SUMPRODUCT(($C$23306:$C$23315=C23309)*$C$23295:$C$23304)</f>
        <v>2032.484375</v>
      </c>
    </row>
    <row r="23332" customFormat="false" ht="15" hidden="false" customHeight="false" outlineLevel="0" collapsed="false">
      <c r="A23332" s="3" t="s">
        <v>560</v>
      </c>
      <c r="C23332" s="16" t="n">
        <f aca="false">SUMPRODUCT(($C$23306:$C$23315=C23310)*$C$23295:$C$23304)</f>
        <v>2032.484375</v>
      </c>
    </row>
    <row r="23333" customFormat="false" ht="15" hidden="false" customHeight="false" outlineLevel="0" collapsed="false">
      <c r="A23333" s="3" t="s">
        <v>561</v>
      </c>
      <c r="C23333" s="16" t="n">
        <f aca="false">SUMPRODUCT(($C$23306:$C$23315=C23311)*$C$23295:$C$23304)</f>
        <v>2032.484375</v>
      </c>
    </row>
    <row r="23334" customFormat="false" ht="15" hidden="false" customHeight="false" outlineLevel="0" collapsed="false">
      <c r="A23334" s="3" t="s">
        <v>562</v>
      </c>
      <c r="C23334" s="16" t="n">
        <f aca="false">SUMPRODUCT(($C$23306:$C$23315=C23312)*$C$23295:$C$23304)</f>
        <v>2032.484375</v>
      </c>
    </row>
    <row r="23335" customFormat="false" ht="15" hidden="false" customHeight="false" outlineLevel="0" collapsed="false">
      <c r="A23335" s="3" t="s">
        <v>563</v>
      </c>
      <c r="C23335" s="16" t="n">
        <f aca="false">SUMPRODUCT(($C$23306:$C$23315=C23313)*$C$23295:$C$23304)</f>
        <v>2032.484375</v>
      </c>
    </row>
    <row r="23336" customFormat="false" ht="15" hidden="false" customHeight="false" outlineLevel="0" collapsed="false">
      <c r="A23336" s="3" t="s">
        <v>564</v>
      </c>
      <c r="C23336" s="16" t="n">
        <f aca="false">SUMPRODUCT(($C$23306:$C$23315=C23314)*$C$23295:$C$23304)</f>
        <v>2032.484375</v>
      </c>
    </row>
    <row r="23337" customFormat="false" ht="15" hidden="false" customHeight="false" outlineLevel="0" collapsed="false">
      <c r="A23337" s="3" t="s">
        <v>565</v>
      </c>
      <c r="C23337" s="16" t="n">
        <f aca="false">SUMPRODUCT(($C$23306:$C$23315=C23315)*$C$23295:$C$23304)</f>
        <v>79.67320025</v>
      </c>
    </row>
    <row r="23338" customFormat="false" ht="15" hidden="false" customHeight="false" outlineLevel="0" collapsed="false">
      <c r="A23338" s="24" t="s">
        <v>574</v>
      </c>
      <c r="B23338" s="25"/>
      <c r="C23338" s="25"/>
      <c r="D23338" s="25"/>
      <c r="E23338" s="25"/>
      <c r="F23338" s="25"/>
      <c r="G23338" s="25"/>
      <c r="H23338" s="25"/>
      <c r="I23338" s="25"/>
      <c r="J23338" s="25"/>
      <c r="K23338" s="25"/>
    </row>
    <row r="23339" customFormat="false" ht="15" hidden="false" customHeight="false" outlineLevel="0" collapsed="false">
      <c r="A23339" s="3" t="s">
        <v>556</v>
      </c>
      <c r="C23339" s="16" t="n">
        <f aca="false">IF(C23328=0,0,C23295/C23328*MAX(0,MIN(C23328,$C$23238-SUM($C$23273:$C$23282)-C23317)))</f>
        <v>0</v>
      </c>
    </row>
    <row r="23340" customFormat="false" ht="15" hidden="false" customHeight="false" outlineLevel="0" collapsed="false">
      <c r="A23340" s="3" t="s">
        <v>557</v>
      </c>
      <c r="C23340" s="16" t="n">
        <f aca="false">IF(C23329=0,0,C23296/C23329*MAX(0,MIN(C23329,$C$23238-SUM($C$23273:$C$23282)-C23318)))</f>
        <v>0</v>
      </c>
    </row>
    <row r="23341" customFormat="false" ht="15" hidden="false" customHeight="false" outlineLevel="0" collapsed="false">
      <c r="A23341" s="3" t="s">
        <v>558</v>
      </c>
      <c r="C23341" s="16" t="n">
        <f aca="false">IF(C23330=0,0,C23297/C23330*MAX(0,MIN(C23330,$C$23238-SUM($C$23273:$C$23282)-C23319)))</f>
        <v>0</v>
      </c>
    </row>
    <row r="23342" customFormat="false" ht="15" hidden="false" customHeight="false" outlineLevel="0" collapsed="false">
      <c r="A23342" s="3" t="s">
        <v>559</v>
      </c>
      <c r="C23342" s="16" t="n">
        <f aca="false">IF(C23331=0,0,C23298/C23331*MAX(0,MIN(C23331,$C$23238-SUM($C$23273:$C$23282)-C23320)))</f>
        <v>0</v>
      </c>
    </row>
    <row r="23343" customFormat="false" ht="15" hidden="false" customHeight="false" outlineLevel="0" collapsed="false">
      <c r="A23343" s="3" t="s">
        <v>560</v>
      </c>
      <c r="C23343" s="16" t="n">
        <f aca="false">IF(C23332=0,0,C23299/C23332*MAX(0,MIN(C23332,$C$23238-SUM($C$23273:$C$23282)-C23321)))</f>
        <v>454.44375</v>
      </c>
    </row>
    <row r="23344" customFormat="false" ht="15" hidden="false" customHeight="false" outlineLevel="0" collapsed="false">
      <c r="A23344" s="3" t="s">
        <v>561</v>
      </c>
      <c r="C23344" s="16" t="n">
        <f aca="false">IF(C23333=0,0,C23300/C23333*MAX(0,MIN(C23333,$C$23238-SUM($C$23273:$C$23282)-C23322)))</f>
        <v>357.2625</v>
      </c>
    </row>
    <row r="23345" customFormat="false" ht="15" hidden="false" customHeight="false" outlineLevel="0" collapsed="false">
      <c r="A23345" s="3" t="s">
        <v>562</v>
      </c>
      <c r="C23345" s="16" t="n">
        <f aca="false">IF(C23334=0,0,C23301/C23334*MAX(0,MIN(C23334,$C$23238-SUM($C$23273:$C$23282)-C23323)))</f>
        <v>562.203125</v>
      </c>
    </row>
    <row r="23346" customFormat="false" ht="15" hidden="false" customHeight="false" outlineLevel="0" collapsed="false">
      <c r="A23346" s="3" t="s">
        <v>563</v>
      </c>
      <c r="C23346" s="16" t="n">
        <f aca="false">IF(C23335=0,0,C23302/C23335*MAX(0,MIN(C23335,$C$23238-SUM($C$23273:$C$23282)-C23324)))</f>
        <v>353.98125</v>
      </c>
    </row>
    <row r="23347" customFormat="false" ht="15" hidden="false" customHeight="false" outlineLevel="0" collapsed="false">
      <c r="A23347" s="3" t="s">
        <v>564</v>
      </c>
      <c r="C23347" s="16" t="n">
        <f aca="false">IF(C23336=0,0,C23303/C23336*MAX(0,MIN(C23336,$C$23238-SUM($C$23273:$C$23282)-C23325)))</f>
        <v>304.59375</v>
      </c>
    </row>
    <row r="23348" customFormat="false" ht="15" hidden="false" customHeight="false" outlineLevel="0" collapsed="false">
      <c r="A23348" s="3" t="s">
        <v>565</v>
      </c>
      <c r="C23348" s="16" t="n">
        <f aca="false">IF(C23337=0,0,C23304/C23337*MAX(0,MIN(C23337,$C$23238-SUM($C$23273:$C$23282)-C23326)))</f>
        <v>79.67320025</v>
      </c>
    </row>
    <row r="23349" customFormat="false" ht="15" hidden="false" customHeight="false" outlineLevel="0" collapsed="false">
      <c r="A23349" s="24" t="s">
        <v>575</v>
      </c>
      <c r="B23349" s="25"/>
      <c r="C23349" s="25"/>
      <c r="D23349" s="25"/>
      <c r="E23349" s="25"/>
      <c r="F23349" s="25"/>
      <c r="G23349" s="25"/>
      <c r="H23349" s="25"/>
      <c r="I23349" s="25"/>
      <c r="J23349" s="25"/>
      <c r="K23349" s="25"/>
    </row>
    <row r="23350" customFormat="false" ht="15" hidden="false" customHeight="false" outlineLevel="0" collapsed="false">
      <c r="A23350" s="2" t="s">
        <v>556</v>
      </c>
      <c r="C23350" s="17" t="n">
        <f aca="false">C23273+C23339</f>
        <v>405.0585</v>
      </c>
    </row>
    <row r="23351" customFormat="false" ht="15" hidden="false" customHeight="false" outlineLevel="0" collapsed="false">
      <c r="A23351" s="2" t="s">
        <v>557</v>
      </c>
      <c r="C23351" s="17" t="n">
        <f aca="false">C23274+C23340</f>
        <v>91.30725</v>
      </c>
    </row>
    <row r="23352" customFormat="false" ht="15" hidden="false" customHeight="false" outlineLevel="0" collapsed="false">
      <c r="A23352" s="2" t="s">
        <v>558</v>
      </c>
      <c r="C23352" s="17" t="n">
        <f aca="false">C23275+C23341</f>
        <v>58.3715961</v>
      </c>
    </row>
    <row r="23353" customFormat="false" ht="15" hidden="false" customHeight="false" outlineLevel="0" collapsed="false">
      <c r="A23353" s="2" t="s">
        <v>559</v>
      </c>
      <c r="C23353" s="17" t="n">
        <f aca="false">C23276+C23342</f>
        <v>0</v>
      </c>
    </row>
    <row r="23354" customFormat="false" ht="15" hidden="false" customHeight="false" outlineLevel="0" collapsed="false">
      <c r="A23354" s="2" t="s">
        <v>560</v>
      </c>
      <c r="C23354" s="17" t="n">
        <f aca="false">C23277+C23343</f>
        <v>454.44375</v>
      </c>
    </row>
    <row r="23355" customFormat="false" ht="15" hidden="false" customHeight="false" outlineLevel="0" collapsed="false">
      <c r="A23355" s="2" t="s">
        <v>561</v>
      </c>
      <c r="C23355" s="17" t="n">
        <f aca="false">C23278+C23344</f>
        <v>357.2625</v>
      </c>
    </row>
    <row r="23356" customFormat="false" ht="15" hidden="false" customHeight="false" outlineLevel="0" collapsed="false">
      <c r="A23356" s="2" t="s">
        <v>562</v>
      </c>
      <c r="C23356" s="17" t="n">
        <f aca="false">C23279+C23345</f>
        <v>562.203125</v>
      </c>
    </row>
    <row r="23357" customFormat="false" ht="15" hidden="false" customHeight="false" outlineLevel="0" collapsed="false">
      <c r="A23357" s="2" t="s">
        <v>563</v>
      </c>
      <c r="C23357" s="17" t="n">
        <f aca="false">C23280+C23346</f>
        <v>353.98125</v>
      </c>
    </row>
    <row r="23358" customFormat="false" ht="15" hidden="false" customHeight="false" outlineLevel="0" collapsed="false">
      <c r="A23358" s="2" t="s">
        <v>564</v>
      </c>
      <c r="C23358" s="17" t="n">
        <f aca="false">C23281+C23347</f>
        <v>304.59375</v>
      </c>
    </row>
    <row r="23359" customFormat="false" ht="15" hidden="false" customHeight="false" outlineLevel="0" collapsed="false">
      <c r="A23359" s="2" t="s">
        <v>565</v>
      </c>
      <c r="C23359" s="17" t="n">
        <f aca="false">C23282+C23348</f>
        <v>79.67320025</v>
      </c>
    </row>
    <row r="23360" customFormat="false" ht="15" hidden="false" customHeight="false" outlineLevel="0" collapsed="false">
      <c r="A23360" s="24" t="s">
        <v>576</v>
      </c>
      <c r="B23360" s="25"/>
      <c r="C23360" s="25"/>
      <c r="D23360" s="25"/>
      <c r="E23360" s="25"/>
      <c r="F23360" s="25"/>
      <c r="G23360" s="25"/>
      <c r="H23360" s="25"/>
      <c r="I23360" s="25"/>
      <c r="J23360" s="25"/>
      <c r="K23360" s="25"/>
    </row>
    <row r="23361" customFormat="false" ht="15" hidden="false" customHeight="false" outlineLevel="0" collapsed="false">
      <c r="A23361" s="3" t="s">
        <v>556</v>
      </c>
      <c r="C23361" s="22" t="n">
        <f aca="false">IF(C23240=0,1,C23350/C23240)</f>
        <v>1</v>
      </c>
    </row>
    <row r="23362" customFormat="false" ht="15" hidden="false" customHeight="false" outlineLevel="0" collapsed="false">
      <c r="A23362" s="3" t="s">
        <v>557</v>
      </c>
      <c r="C23362" s="22" t="n">
        <f aca="false">IF(C23241=0,1,C23351/C23241)</f>
        <v>1</v>
      </c>
    </row>
    <row r="23363" customFormat="false" ht="15" hidden="false" customHeight="false" outlineLevel="0" collapsed="false">
      <c r="A23363" s="3" t="s">
        <v>558</v>
      </c>
      <c r="C23363" s="22" t="n">
        <f aca="false">IF(C23242=0,1,C23352/C23242)</f>
        <v>1</v>
      </c>
    </row>
    <row r="23364" customFormat="false" ht="15" hidden="false" customHeight="false" outlineLevel="0" collapsed="false">
      <c r="A23364" s="3" t="s">
        <v>559</v>
      </c>
      <c r="C23364" s="22" t="n">
        <f aca="false">IF(C23243=0,1,C23353/C23243)</f>
        <v>1</v>
      </c>
    </row>
    <row r="23365" customFormat="false" ht="15" hidden="false" customHeight="false" outlineLevel="0" collapsed="false">
      <c r="A23365" s="3" t="s">
        <v>560</v>
      </c>
      <c r="C23365" s="22" t="n">
        <f aca="false">IF(C23244=0,1,C23354/C23244)</f>
        <v>1</v>
      </c>
    </row>
    <row r="23366" customFormat="false" ht="15" hidden="false" customHeight="false" outlineLevel="0" collapsed="false">
      <c r="A23366" s="3" t="s">
        <v>561</v>
      </c>
      <c r="C23366" s="22" t="n">
        <f aca="false">IF(C23245=0,1,C23355/C23245)</f>
        <v>1</v>
      </c>
    </row>
    <row r="23367" customFormat="false" ht="15" hidden="false" customHeight="false" outlineLevel="0" collapsed="false">
      <c r="A23367" s="3" t="s">
        <v>562</v>
      </c>
      <c r="C23367" s="22" t="n">
        <f aca="false">IF(C23246=0,1,C23356/C23246)</f>
        <v>1</v>
      </c>
    </row>
    <row r="23368" customFormat="false" ht="15" hidden="false" customHeight="false" outlineLevel="0" collapsed="false">
      <c r="A23368" s="3" t="s">
        <v>563</v>
      </c>
      <c r="C23368" s="22" t="n">
        <f aca="false">IF(C23247=0,1,C23357/C23247)</f>
        <v>1</v>
      </c>
    </row>
    <row r="23369" customFormat="false" ht="15" hidden="false" customHeight="false" outlineLevel="0" collapsed="false">
      <c r="A23369" s="3" t="s">
        <v>564</v>
      </c>
      <c r="C23369" s="22" t="n">
        <f aca="false">IF(C23248=0,1,C23358/C23248)</f>
        <v>1</v>
      </c>
    </row>
    <row r="23370" customFormat="false" ht="15" hidden="false" customHeight="false" outlineLevel="0" collapsed="false">
      <c r="A23370" s="3" t="s">
        <v>565</v>
      </c>
      <c r="C23370" s="22" t="n">
        <f aca="false">IF(C23249=0,1,C23359/C23249)</f>
        <v>1</v>
      </c>
    </row>
    <row r="23371" customFormat="false" ht="15" hidden="false" customHeight="false" outlineLevel="0" collapsed="false">
      <c r="A23371" s="24" t="s">
        <v>577</v>
      </c>
      <c r="B23371" s="25"/>
      <c r="C23371" s="25"/>
      <c r="D23371" s="25"/>
      <c r="E23371" s="25"/>
      <c r="F23371" s="25"/>
      <c r="G23371" s="25"/>
      <c r="H23371" s="25"/>
      <c r="I23371" s="25"/>
      <c r="J23371" s="25"/>
      <c r="K23371" s="25"/>
    </row>
    <row r="23372" customFormat="false" ht="15" hidden="false" customHeight="false" outlineLevel="0" collapsed="false">
      <c r="A23372" s="3" t="s">
        <v>556</v>
      </c>
      <c r="C23372" s="16" t="n">
        <f aca="false">C23240-C23350</f>
        <v>0</v>
      </c>
    </row>
    <row r="23373" customFormat="false" ht="15" hidden="false" customHeight="false" outlineLevel="0" collapsed="false">
      <c r="A23373" s="3" t="s">
        <v>557</v>
      </c>
      <c r="C23373" s="16" t="n">
        <f aca="false">C23241-C23351</f>
        <v>0</v>
      </c>
    </row>
    <row r="23374" customFormat="false" ht="15" hidden="false" customHeight="false" outlineLevel="0" collapsed="false">
      <c r="A23374" s="3" t="s">
        <v>558</v>
      </c>
      <c r="C23374" s="16" t="n">
        <f aca="false">C23242-C23352</f>
        <v>0</v>
      </c>
    </row>
    <row r="23375" customFormat="false" ht="15" hidden="false" customHeight="false" outlineLevel="0" collapsed="false">
      <c r="A23375" s="3" t="s">
        <v>559</v>
      </c>
      <c r="C23375" s="16" t="n">
        <f aca="false">C23243-C23353</f>
        <v>0</v>
      </c>
    </row>
    <row r="23376" customFormat="false" ht="15" hidden="false" customHeight="false" outlineLevel="0" collapsed="false">
      <c r="A23376" s="3" t="s">
        <v>560</v>
      </c>
      <c r="C23376" s="16" t="n">
        <f aca="false">C23244-C23354</f>
        <v>0</v>
      </c>
    </row>
    <row r="23377" customFormat="false" ht="15" hidden="false" customHeight="false" outlineLevel="0" collapsed="false">
      <c r="A23377" s="3" t="s">
        <v>561</v>
      </c>
      <c r="C23377" s="16" t="n">
        <f aca="false">C23245-C23355</f>
        <v>0</v>
      </c>
    </row>
    <row r="23378" customFormat="false" ht="15" hidden="false" customHeight="false" outlineLevel="0" collapsed="false">
      <c r="A23378" s="3" t="s">
        <v>562</v>
      </c>
      <c r="C23378" s="16" t="n">
        <f aca="false">C23246-C23356</f>
        <v>0</v>
      </c>
    </row>
    <row r="23379" customFormat="false" ht="15" hidden="false" customHeight="false" outlineLevel="0" collapsed="false">
      <c r="A23379" s="3" t="s">
        <v>563</v>
      </c>
      <c r="C23379" s="16" t="n">
        <f aca="false">C23247-C23357</f>
        <v>0</v>
      </c>
    </row>
    <row r="23380" customFormat="false" ht="15" hidden="false" customHeight="false" outlineLevel="0" collapsed="false">
      <c r="A23380" s="3" t="s">
        <v>564</v>
      </c>
      <c r="C23380" s="16" t="n">
        <f aca="false">C23248-C23358</f>
        <v>0</v>
      </c>
    </row>
    <row r="23381" customFormat="false" ht="15" hidden="false" customHeight="false" outlineLevel="0" collapsed="false">
      <c r="A23381" s="3" t="s">
        <v>565</v>
      </c>
      <c r="C23381" s="16" t="n">
        <f aca="false">C23249-C23359</f>
        <v>0</v>
      </c>
    </row>
    <row r="23382" customFormat="false" ht="15" hidden="false" customHeight="false" outlineLevel="0" collapsed="false">
      <c r="A23382" s="24" t="s">
        <v>578</v>
      </c>
      <c r="B23382" s="25"/>
      <c r="C23382" s="25"/>
      <c r="D23382" s="25"/>
      <c r="E23382" s="25"/>
      <c r="F23382" s="25"/>
      <c r="G23382" s="25"/>
      <c r="H23382" s="25"/>
      <c r="I23382" s="25"/>
      <c r="J23382" s="25"/>
      <c r="K23382" s="25"/>
    </row>
    <row r="23383" customFormat="false" ht="15" hidden="false" customHeight="false" outlineLevel="0" collapsed="false">
      <c r="A23383" s="3" t="s">
        <v>556</v>
      </c>
      <c r="C23383" s="22" t="n">
        <f aca="false">IF(C23240=0,0,C23372/C23240)</f>
        <v>0</v>
      </c>
    </row>
    <row r="23384" customFormat="false" ht="15" hidden="false" customHeight="false" outlineLevel="0" collapsed="false">
      <c r="A23384" s="3" t="s">
        <v>557</v>
      </c>
      <c r="C23384" s="22" t="n">
        <f aca="false">IF(C23241=0,0,C23373/C23241)</f>
        <v>0</v>
      </c>
    </row>
    <row r="23385" customFormat="false" ht="15" hidden="false" customHeight="false" outlineLevel="0" collapsed="false">
      <c r="A23385" s="3" t="s">
        <v>558</v>
      </c>
      <c r="C23385" s="22" t="n">
        <f aca="false">IF(C23242=0,0,C23374/C23242)</f>
        <v>0</v>
      </c>
    </row>
    <row r="23386" customFormat="false" ht="15" hidden="false" customHeight="false" outlineLevel="0" collapsed="false">
      <c r="A23386" s="3" t="s">
        <v>559</v>
      </c>
      <c r="C23386" s="22" t="n">
        <f aca="false">IF(C23243=0,0,C23375/C23243)</f>
        <v>0</v>
      </c>
    </row>
    <row r="23387" customFormat="false" ht="15" hidden="false" customHeight="false" outlineLevel="0" collapsed="false">
      <c r="A23387" s="3" t="s">
        <v>560</v>
      </c>
      <c r="C23387" s="22" t="n">
        <f aca="false">IF(C23244=0,0,C23376/C23244)</f>
        <v>0</v>
      </c>
    </row>
    <row r="23388" customFormat="false" ht="15" hidden="false" customHeight="false" outlineLevel="0" collapsed="false">
      <c r="A23388" s="3" t="s">
        <v>561</v>
      </c>
      <c r="C23388" s="22" t="n">
        <f aca="false">IF(C23245=0,0,C23377/C23245)</f>
        <v>0</v>
      </c>
    </row>
    <row r="23389" customFormat="false" ht="15" hidden="false" customHeight="false" outlineLevel="0" collapsed="false">
      <c r="A23389" s="3" t="s">
        <v>562</v>
      </c>
      <c r="C23389" s="22" t="n">
        <f aca="false">IF(C23246=0,0,C23378/C23246)</f>
        <v>0</v>
      </c>
    </row>
    <row r="23390" customFormat="false" ht="15" hidden="false" customHeight="false" outlineLevel="0" collapsed="false">
      <c r="A23390" s="3" t="s">
        <v>563</v>
      </c>
      <c r="C23390" s="22" t="n">
        <f aca="false">IF(C23247=0,0,C23379/C23247)</f>
        <v>0</v>
      </c>
    </row>
    <row r="23391" customFormat="false" ht="15" hidden="false" customHeight="false" outlineLevel="0" collapsed="false">
      <c r="A23391" s="3" t="s">
        <v>564</v>
      </c>
      <c r="C23391" s="22" t="n">
        <f aca="false">IF(C23248=0,0,C23380/C23248)</f>
        <v>0</v>
      </c>
    </row>
    <row r="23392" customFormat="false" ht="15" hidden="false" customHeight="false" outlineLevel="0" collapsed="false">
      <c r="A23392" s="3" t="s">
        <v>565</v>
      </c>
      <c r="C23392" s="22" t="n">
        <f aca="false">IF(C23249=0,0,C23381/C23249)</f>
        <v>0</v>
      </c>
    </row>
    <row r="23393" customFormat="false" ht="15" hidden="false" customHeight="false" outlineLevel="0" collapsed="false">
      <c r="A23393" s="2" t="s">
        <v>579</v>
      </c>
      <c r="C23393" s="17" t="n">
        <f aca="false">MAX(0,$C$23238-SUM($C$23273:$C$23282)-SUM($C$23295:$C$23304))</f>
        <v>1163.864440506</v>
      </c>
    </row>
    <row r="23394" customFormat="false" ht="15" hidden="false" customHeight="false" outlineLevel="0" collapsed="false">
      <c r="A23394" s="3" t="s">
        <v>580</v>
      </c>
      <c r="C23394" s="16" t="n">
        <f aca="false">SUM($C$23350:$C$23359)+C23393+C23237-C23236</f>
        <v>0</v>
      </c>
    </row>
    <row r="23396" customFormat="false" ht="15" hidden="false" customHeight="false" outlineLevel="0" collapsed="false">
      <c r="A23396" s="24" t="s">
        <v>583</v>
      </c>
      <c r="B23396" s="25"/>
      <c r="C23396" s="25"/>
      <c r="D23396" s="25"/>
      <c r="E23396" s="25"/>
      <c r="F23396" s="25"/>
      <c r="G23396" s="25"/>
      <c r="H23396" s="25"/>
      <c r="I23396" s="25"/>
      <c r="J23396" s="25"/>
      <c r="K23396" s="25"/>
    </row>
    <row r="23397" customFormat="false" ht="15" hidden="false" customHeight="false" outlineLevel="0" collapsed="false">
      <c r="A23397" s="3" t="s">
        <v>584</v>
      </c>
      <c r="C23397" s="27" t="n">
        <f aca="false">Assumptions!$C$34</f>
        <v>1</v>
      </c>
    </row>
    <row r="23398" customFormat="false" ht="15" hidden="false" customHeight="false" outlineLevel="0" collapsed="false">
      <c r="A23398" s="3" t="s">
        <v>585</v>
      </c>
      <c r="C23398" s="29" t="n">
        <f aca="false">Assumptions!$C$35</f>
        <v>100</v>
      </c>
    </row>
    <row r="23399" customFormat="false" ht="15" hidden="false" customHeight="false" outlineLevel="0" collapsed="false">
      <c r="A23399" s="3" t="s">
        <v>586</v>
      </c>
      <c r="C23399" s="40" t="n">
        <f aca="false">Assumptions!$C$36</f>
        <v>98</v>
      </c>
    </row>
    <row r="23400" customFormat="false" ht="15" hidden="false" customHeight="false" outlineLevel="0" collapsed="false">
      <c r="A23400" s="3" t="s">
        <v>587</v>
      </c>
      <c r="C23400" s="16" t="n">
        <f aca="false">C23398*C23399/100*(1+Assumptions!$C$37)</f>
        <v>98.49</v>
      </c>
    </row>
    <row r="23401" customFormat="false" ht="15" hidden="false" customHeight="false" outlineLevel="0" collapsed="false">
      <c r="A23401" s="3" t="s">
        <v>588</v>
      </c>
      <c r="C23401" s="27" t="n">
        <f aca="false">Assumptions!$C$38</f>
        <v>3</v>
      </c>
    </row>
    <row r="23402" customFormat="false" ht="15" hidden="false" customHeight="false" outlineLevel="0" collapsed="false">
      <c r="A23402" s="3" t="s">
        <v>589</v>
      </c>
      <c r="C23402" s="21" t="n">
        <f aca="false">IF(C23229=1,SUMPRODUCT($G$23165:$K$23165,$G$22939:$K$22939),0)</f>
        <v>0</v>
      </c>
    </row>
    <row r="23403" customFormat="false" ht="15" hidden="false" customHeight="false" outlineLevel="0" collapsed="false">
      <c r="A23403" s="3" t="s">
        <v>590</v>
      </c>
      <c r="C23403" s="22" t="n">
        <f aca="false">IFERROR(C23398/CHOOSE(C23397,SUMPRODUCT($G$23228:$K$23228,$G$22985:$K$22985),SUMPRODUCT($G$23228:$K$23228,$G$22998:$K$22998),SUMPRODUCT($G$23228:$K$23228,$G$23011:$K$23011),SUMPRODUCT($G$23228:$K$23228,$G$23024:$K$23024),SUMPRODUCT($G$23228:$K$23228,$G$23037:$K$23037),SUMPRODUCT($G$23228:$K$23228,$G$23050:$K$23050),SUMPRODUCT($G$23228:$K$23228,$G$23063:$K$23063),SUMPRODUCT($G$23228:$K$23228,$G$23076:$K$23076),SUMPRODUCT($G$23228:$K$23228,$G$23089:$K$23089),SUMPRODUCT($G$23228:$K$23228,$G$23102:$K$23102)),0)</f>
        <v>0.252525252525253</v>
      </c>
    </row>
    <row r="23404" customFormat="false" ht="15" hidden="false" customHeight="false" outlineLevel="0" collapsed="false">
      <c r="A23404" s="3" t="s">
        <v>591</v>
      </c>
      <c r="C23404" s="16" t="n">
        <f aca="false">CHOOSE(C23397,C23350,C23351,C23352,C23353,C23354,C23355,C23356,C23357,C23358,C23359)*C23403</f>
        <v>102.2875</v>
      </c>
    </row>
    <row r="23405" customFormat="false" ht="15" hidden="false" customHeight="false" outlineLevel="0" collapsed="false">
      <c r="A23405" s="3" t="s">
        <v>592</v>
      </c>
      <c r="C23405" s="22" t="n">
        <f aca="false">CHOOSE(C23397,C23361,C23362,C23363,C23364,C23365,C23366,C23367,C23368,C23369,C23370)</f>
        <v>1</v>
      </c>
    </row>
    <row r="23406" customFormat="false" ht="15" hidden="false" customHeight="false" outlineLevel="0" collapsed="false">
      <c r="A23406" s="3" t="s">
        <v>593</v>
      </c>
      <c r="C23406" s="21" t="n">
        <f aca="false">IF(C23229=1,C23402,C23401)</f>
        <v>3</v>
      </c>
    </row>
    <row r="23407" customFormat="false" ht="15" hidden="false" customHeight="false" outlineLevel="0" collapsed="false">
      <c r="A23407" s="3" t="s">
        <v>594</v>
      </c>
      <c r="C23407" s="35" t="n">
        <f aca="false">CHOOSE($C$22931,Assumptions!$C$91,Assumptions!$C$110,Assumptions!$C$129)</f>
        <v>100</v>
      </c>
    </row>
    <row r="23408" customFormat="false" ht="15" hidden="false" customHeight="false" outlineLevel="0" collapsed="false">
      <c r="A23408" s="3" t="s">
        <v>595</v>
      </c>
      <c r="C23408" s="16" t="n">
        <f aca="false">INDEX($G$22948:$K$22948,C23401)*CHOOSE($C$22931,Assumptions!$C$90,Assumptions!$C$109,Assumptions!$C$128)+MAX(0,INDEX($G$23162:$K$23162,C23401))</f>
        <v>3369.2242946436</v>
      </c>
    </row>
    <row r="23409" customFormat="false" ht="15" hidden="false" customHeight="false" outlineLevel="0" collapsed="false">
      <c r="A23409" s="24" t="s">
        <v>596</v>
      </c>
      <c r="B23409" s="25"/>
      <c r="C23409" s="25"/>
      <c r="D23409" s="25"/>
      <c r="E23409" s="25"/>
      <c r="F23409" s="25"/>
      <c r="G23409" s="25"/>
      <c r="H23409" s="25"/>
      <c r="I23409" s="25"/>
      <c r="J23409" s="25"/>
      <c r="K23409" s="25"/>
    </row>
    <row r="23410" customFormat="false" ht="15" hidden="false" customHeight="false" outlineLevel="0" collapsed="false">
      <c r="A23410" s="3" t="s">
        <v>556</v>
      </c>
      <c r="C23410" s="16" t="n">
        <f aca="false">INDEX($G$22985:$K$22985,C23401)</f>
        <v>388</v>
      </c>
    </row>
    <row r="23411" customFormat="false" ht="15" hidden="false" customHeight="false" outlineLevel="0" collapsed="false">
      <c r="A23411" s="3" t="s">
        <v>557</v>
      </c>
      <c r="C23411" s="16" t="n">
        <f aca="false">INDEX($G$22998:$K$22998,C23401)</f>
        <v>90</v>
      </c>
    </row>
    <row r="23412" customFormat="false" ht="15" hidden="false" customHeight="false" outlineLevel="0" collapsed="false">
      <c r="A23412" s="3" t="s">
        <v>558</v>
      </c>
      <c r="C23412" s="16" t="n">
        <f aca="false">INDEX($G$23011:$K$23011,C23401)</f>
        <v>57.324</v>
      </c>
    </row>
    <row r="23413" customFormat="false" ht="15" hidden="false" customHeight="false" outlineLevel="0" collapsed="false">
      <c r="A23413" s="3" t="s">
        <v>559</v>
      </c>
      <c r="C23413" s="16" t="n">
        <f aca="false">INDEX($G$23024:$K$23024,C23401)</f>
        <v>66.796942182056</v>
      </c>
    </row>
    <row r="23414" customFormat="false" ht="15" hidden="false" customHeight="false" outlineLevel="0" collapsed="false">
      <c r="A23414" s="3" t="s">
        <v>560</v>
      </c>
      <c r="C23414" s="16" t="n">
        <f aca="false">INDEX($G$23037:$K$23037,C23401)</f>
        <v>407.7221513738</v>
      </c>
    </row>
    <row r="23415" customFormat="false" ht="15" hidden="false" customHeight="false" outlineLevel="0" collapsed="false">
      <c r="A23415" s="3" t="s">
        <v>561</v>
      </c>
      <c r="C23415" s="16" t="n">
        <f aca="false">INDEX($G$23050:$K$23050,C23401)</f>
        <v>350</v>
      </c>
    </row>
    <row r="23416" customFormat="false" ht="15" hidden="false" customHeight="false" outlineLevel="0" collapsed="false">
      <c r="A23416" s="3" t="s">
        <v>562</v>
      </c>
      <c r="C23416" s="16" t="n">
        <f aca="false">INDEX($G$23063:$K$23063,C23401)</f>
        <v>550</v>
      </c>
    </row>
    <row r="23417" customFormat="false" ht="15" hidden="false" customHeight="false" outlineLevel="0" collapsed="false">
      <c r="A23417" s="3" t="s">
        <v>563</v>
      </c>
      <c r="C23417" s="16" t="n">
        <f aca="false">INDEX($G$23076:$K$23076,C23401)</f>
        <v>350</v>
      </c>
    </row>
    <row r="23418" customFormat="false" ht="15" hidden="false" customHeight="false" outlineLevel="0" collapsed="false">
      <c r="A23418" s="3" t="s">
        <v>564</v>
      </c>
      <c r="C23418" s="16" t="n">
        <f aca="false">INDEX($G$23089:$K$23089,C23401)</f>
        <v>300</v>
      </c>
    </row>
    <row r="23419" customFormat="false" ht="15" hidden="false" customHeight="false" outlineLevel="0" collapsed="false">
      <c r="A23419" s="3" t="s">
        <v>565</v>
      </c>
      <c r="C23419" s="16" t="n">
        <f aca="false">INDEX($G$23102:$K$23102,C23401)</f>
        <v>78.61</v>
      </c>
    </row>
    <row r="23420" customFormat="false" ht="15" hidden="false" customHeight="false" outlineLevel="0" collapsed="false">
      <c r="A23420" s="24" t="s">
        <v>566</v>
      </c>
      <c r="B23420" s="25"/>
      <c r="C23420" s="25"/>
      <c r="D23420" s="25"/>
      <c r="E23420" s="25"/>
      <c r="F23420" s="25"/>
      <c r="G23420" s="25"/>
      <c r="H23420" s="25"/>
      <c r="I23420" s="25"/>
      <c r="J23420" s="25"/>
      <c r="K23420" s="25"/>
    </row>
    <row r="23421" customFormat="false" ht="15" hidden="false" customHeight="false" outlineLevel="0" collapsed="false">
      <c r="A23421" s="3" t="s">
        <v>556</v>
      </c>
      <c r="C23421" s="27" t="n">
        <f aca="false">Assumptions!$M$57</f>
        <v>1</v>
      </c>
    </row>
    <row r="23422" customFormat="false" ht="15" hidden="false" customHeight="false" outlineLevel="0" collapsed="false">
      <c r="A23422" s="3" t="s">
        <v>557</v>
      </c>
      <c r="C23422" s="27" t="n">
        <f aca="false">Assumptions!$M$58</f>
        <v>1</v>
      </c>
    </row>
    <row r="23423" customFormat="false" ht="15" hidden="false" customHeight="false" outlineLevel="0" collapsed="false">
      <c r="A23423" s="3" t="s">
        <v>558</v>
      </c>
      <c r="C23423" s="27" t="n">
        <f aca="false">Assumptions!$M$59</f>
        <v>1</v>
      </c>
    </row>
    <row r="23424" customFormat="false" ht="15" hidden="false" customHeight="false" outlineLevel="0" collapsed="false">
      <c r="A23424" s="3" t="s">
        <v>559</v>
      </c>
      <c r="C23424" s="27" t="n">
        <f aca="false">Assumptions!$M$60</f>
        <v>2</v>
      </c>
    </row>
    <row r="23425" customFormat="false" ht="15" hidden="false" customHeight="false" outlineLevel="0" collapsed="false">
      <c r="A23425" s="3" t="s">
        <v>560</v>
      </c>
      <c r="C23425" s="27" t="n">
        <f aca="false">Assumptions!$M$61</f>
        <v>2</v>
      </c>
    </row>
    <row r="23426" customFormat="false" ht="15" hidden="false" customHeight="false" outlineLevel="0" collapsed="false">
      <c r="A23426" s="3" t="s">
        <v>561</v>
      </c>
      <c r="C23426" s="27" t="n">
        <f aca="false">Assumptions!$M$62</f>
        <v>2</v>
      </c>
    </row>
    <row r="23427" customFormat="false" ht="15" hidden="false" customHeight="false" outlineLevel="0" collapsed="false">
      <c r="A23427" s="3" t="s">
        <v>562</v>
      </c>
      <c r="C23427" s="27" t="n">
        <f aca="false">Assumptions!$M$63</f>
        <v>2</v>
      </c>
    </row>
    <row r="23428" customFormat="false" ht="15" hidden="false" customHeight="false" outlineLevel="0" collapsed="false">
      <c r="A23428" s="3" t="s">
        <v>563</v>
      </c>
      <c r="C23428" s="27" t="n">
        <f aca="false">Assumptions!$M$64</f>
        <v>2</v>
      </c>
    </row>
    <row r="23429" customFormat="false" ht="15" hidden="false" customHeight="false" outlineLevel="0" collapsed="false">
      <c r="A23429" s="3" t="s">
        <v>564</v>
      </c>
      <c r="C23429" s="27" t="n">
        <f aca="false">Assumptions!$M$65</f>
        <v>2</v>
      </c>
    </row>
    <row r="23430" customFormat="false" ht="15" hidden="false" customHeight="false" outlineLevel="0" collapsed="false">
      <c r="A23430" s="3" t="s">
        <v>565</v>
      </c>
      <c r="C23430" s="27" t="n">
        <f aca="false">Assumptions!$M$66</f>
        <v>3</v>
      </c>
    </row>
    <row r="23431" customFormat="false" ht="15" hidden="false" customHeight="false" outlineLevel="0" collapsed="false">
      <c r="A23431" s="24" t="s">
        <v>567</v>
      </c>
      <c r="B23431" s="25"/>
      <c r="C23431" s="25"/>
      <c r="D23431" s="25"/>
      <c r="E23431" s="25"/>
      <c r="F23431" s="25"/>
      <c r="G23431" s="25"/>
      <c r="H23431" s="25"/>
      <c r="I23431" s="25"/>
      <c r="J23431" s="25"/>
      <c r="K23431" s="25"/>
    </row>
    <row r="23432" customFormat="false" ht="15" hidden="false" customHeight="false" outlineLevel="0" collapsed="false">
      <c r="A23432" s="3" t="s">
        <v>556</v>
      </c>
      <c r="C23432" s="33" t="n">
        <f aca="false">Assumptions!$Q$57</f>
        <v>0.3</v>
      </c>
    </row>
    <row r="23433" customFormat="false" ht="15" hidden="false" customHeight="false" outlineLevel="0" collapsed="false">
      <c r="A23433" s="3" t="s">
        <v>557</v>
      </c>
      <c r="C23433" s="33" t="n">
        <f aca="false">Assumptions!$Q$58</f>
        <v>0.033</v>
      </c>
    </row>
    <row r="23434" customFormat="false" ht="15" hidden="false" customHeight="false" outlineLevel="0" collapsed="false">
      <c r="A23434" s="3" t="s">
        <v>558</v>
      </c>
      <c r="C23434" s="33" t="n">
        <f aca="false">Assumptions!$Q$59</f>
        <v>0.021</v>
      </c>
    </row>
    <row r="23435" customFormat="false" ht="15" hidden="false" customHeight="false" outlineLevel="0" collapsed="false">
      <c r="A23435" s="3" t="s">
        <v>559</v>
      </c>
      <c r="C23435" s="33" t="n">
        <f aca="false">Assumptions!$Q$60</f>
        <v>0</v>
      </c>
    </row>
    <row r="23436" customFormat="false" ht="15" hidden="false" customHeight="false" outlineLevel="0" collapsed="false">
      <c r="A23436" s="3" t="s">
        <v>560</v>
      </c>
      <c r="C23436" s="33" t="n">
        <f aca="false">Assumptions!$Q$61</f>
        <v>0</v>
      </c>
    </row>
    <row r="23437" customFormat="false" ht="15" hidden="false" customHeight="false" outlineLevel="0" collapsed="false">
      <c r="A23437" s="3" t="s">
        <v>561</v>
      </c>
      <c r="C23437" s="33" t="n">
        <f aca="false">Assumptions!$Q$62</f>
        <v>0</v>
      </c>
    </row>
    <row r="23438" customFormat="false" ht="15" hidden="false" customHeight="false" outlineLevel="0" collapsed="false">
      <c r="A23438" s="3" t="s">
        <v>562</v>
      </c>
      <c r="C23438" s="33" t="n">
        <f aca="false">Assumptions!$Q$63</f>
        <v>0</v>
      </c>
    </row>
    <row r="23439" customFormat="false" ht="15" hidden="false" customHeight="false" outlineLevel="0" collapsed="false">
      <c r="A23439" s="3" t="s">
        <v>563</v>
      </c>
      <c r="C23439" s="33" t="n">
        <f aca="false">Assumptions!$Q$64</f>
        <v>0</v>
      </c>
    </row>
    <row r="23440" customFormat="false" ht="15" hidden="false" customHeight="false" outlineLevel="0" collapsed="false">
      <c r="A23440" s="3" t="s">
        <v>564</v>
      </c>
      <c r="C23440" s="33" t="n">
        <f aca="false">Assumptions!$Q$65</f>
        <v>0</v>
      </c>
    </row>
    <row r="23441" customFormat="false" ht="15" hidden="false" customHeight="false" outlineLevel="0" collapsed="false">
      <c r="A23441" s="3" t="s">
        <v>565</v>
      </c>
      <c r="C23441" s="33" t="n">
        <f aca="false">Assumptions!$Q$66</f>
        <v>0</v>
      </c>
    </row>
    <row r="23442" customFormat="false" ht="15" hidden="false" customHeight="false" outlineLevel="0" collapsed="false">
      <c r="A23442" s="24" t="s">
        <v>568</v>
      </c>
      <c r="B23442" s="25"/>
      <c r="C23442" s="25"/>
      <c r="D23442" s="25"/>
      <c r="E23442" s="25"/>
      <c r="F23442" s="25"/>
      <c r="G23442" s="25"/>
      <c r="H23442" s="25"/>
      <c r="I23442" s="25"/>
      <c r="J23442" s="25"/>
      <c r="K23442" s="25"/>
    </row>
    <row r="23443" customFormat="false" ht="15" hidden="false" customHeight="false" outlineLevel="0" collapsed="false">
      <c r="A23443" s="3" t="s">
        <v>556</v>
      </c>
      <c r="C23443" s="16" t="n">
        <f aca="false">IF(C23432&gt;0,MIN(C23410,C23432*$C$23408),0)</f>
        <v>388</v>
      </c>
    </row>
    <row r="23444" customFormat="false" ht="15" hidden="false" customHeight="false" outlineLevel="0" collapsed="false">
      <c r="A23444" s="3" t="s">
        <v>557</v>
      </c>
      <c r="C23444" s="16" t="n">
        <f aca="false">IF(C23433&gt;0,MIN(C23411,C23433*$C$23408),0)</f>
        <v>90</v>
      </c>
    </row>
    <row r="23445" customFormat="false" ht="15" hidden="false" customHeight="false" outlineLevel="0" collapsed="false">
      <c r="A23445" s="3" t="s">
        <v>558</v>
      </c>
      <c r="C23445" s="16" t="n">
        <f aca="false">IF(C23434&gt;0,MIN(C23412,C23434*$C$23408),0)</f>
        <v>57.324</v>
      </c>
    </row>
    <row r="23446" customFormat="false" ht="15" hidden="false" customHeight="false" outlineLevel="0" collapsed="false">
      <c r="A23446" s="3" t="s">
        <v>559</v>
      </c>
      <c r="C23446" s="16" t="n">
        <f aca="false">IF(C23435&gt;0,MIN(C23413,C23435*$C$23408),0)</f>
        <v>0</v>
      </c>
    </row>
    <row r="23447" customFormat="false" ht="15" hidden="false" customHeight="false" outlineLevel="0" collapsed="false">
      <c r="A23447" s="3" t="s">
        <v>560</v>
      </c>
      <c r="C23447" s="16" t="n">
        <f aca="false">IF(C23436&gt;0,MIN(C23414,C23436*$C$23408),0)</f>
        <v>0</v>
      </c>
    </row>
    <row r="23448" customFormat="false" ht="15" hidden="false" customHeight="false" outlineLevel="0" collapsed="false">
      <c r="A23448" s="3" t="s">
        <v>561</v>
      </c>
      <c r="C23448" s="16" t="n">
        <f aca="false">IF(C23437&gt;0,MIN(C23415,C23437*$C$23408),0)</f>
        <v>0</v>
      </c>
    </row>
    <row r="23449" customFormat="false" ht="15" hidden="false" customHeight="false" outlineLevel="0" collapsed="false">
      <c r="A23449" s="3" t="s">
        <v>562</v>
      </c>
      <c r="C23449" s="16" t="n">
        <f aca="false">IF(C23438&gt;0,MIN(C23416,C23438*$C$23408),0)</f>
        <v>0</v>
      </c>
    </row>
    <row r="23450" customFormat="false" ht="15" hidden="false" customHeight="false" outlineLevel="0" collapsed="false">
      <c r="A23450" s="3" t="s">
        <v>563</v>
      </c>
      <c r="C23450" s="16" t="n">
        <f aca="false">IF(C23439&gt;0,MIN(C23417,C23439*$C$23408),0)</f>
        <v>0</v>
      </c>
    </row>
    <row r="23451" customFormat="false" ht="15" hidden="false" customHeight="false" outlineLevel="0" collapsed="false">
      <c r="A23451" s="3" t="s">
        <v>564</v>
      </c>
      <c r="C23451" s="16" t="n">
        <f aca="false">IF(C23440&gt;0,MIN(C23418,C23440*$C$23408),0)</f>
        <v>0</v>
      </c>
    </row>
    <row r="23452" customFormat="false" ht="15" hidden="false" customHeight="false" outlineLevel="0" collapsed="false">
      <c r="A23452" s="3" t="s">
        <v>565</v>
      </c>
      <c r="C23452" s="16" t="n">
        <f aca="false">IF(C23441&gt;0,MIN(C23419,C23441*$C$23408),0)</f>
        <v>0</v>
      </c>
    </row>
    <row r="23453" customFormat="false" ht="15" hidden="false" customHeight="false" outlineLevel="0" collapsed="false">
      <c r="A23453" s="24" t="s">
        <v>569</v>
      </c>
      <c r="B23453" s="25"/>
      <c r="C23453" s="25"/>
      <c r="D23453" s="25"/>
      <c r="E23453" s="25"/>
      <c r="F23453" s="25"/>
      <c r="G23453" s="25"/>
      <c r="H23453" s="25"/>
      <c r="I23453" s="25"/>
      <c r="J23453" s="25"/>
      <c r="K23453" s="25"/>
    </row>
    <row r="23454" customFormat="false" ht="15" hidden="false" customHeight="false" outlineLevel="0" collapsed="false">
      <c r="A23454" s="3" t="s">
        <v>556</v>
      </c>
      <c r="C23454" s="16" t="n">
        <f aca="false">IF(C23432&gt;0,C23410-C23443,0)</f>
        <v>0</v>
      </c>
    </row>
    <row r="23455" customFormat="false" ht="15" hidden="false" customHeight="false" outlineLevel="0" collapsed="false">
      <c r="A23455" s="3" t="s">
        <v>557</v>
      </c>
      <c r="C23455" s="16" t="n">
        <f aca="false">IF(C23433&gt;0,C23411-C23444,0)</f>
        <v>0</v>
      </c>
    </row>
    <row r="23456" customFormat="false" ht="15" hidden="false" customHeight="false" outlineLevel="0" collapsed="false">
      <c r="A23456" s="3" t="s">
        <v>558</v>
      </c>
      <c r="C23456" s="16" t="n">
        <f aca="false">IF(C23434&gt;0,C23412-C23445,0)</f>
        <v>0</v>
      </c>
    </row>
    <row r="23457" customFormat="false" ht="15" hidden="false" customHeight="false" outlineLevel="0" collapsed="false">
      <c r="A23457" s="3" t="s">
        <v>559</v>
      </c>
      <c r="C23457" s="16" t="n">
        <f aca="false">IF(C23435&gt;0,C23413-C23446,0)</f>
        <v>0</v>
      </c>
    </row>
    <row r="23458" customFormat="false" ht="15" hidden="false" customHeight="false" outlineLevel="0" collapsed="false">
      <c r="A23458" s="3" t="s">
        <v>560</v>
      </c>
      <c r="C23458" s="16" t="n">
        <f aca="false">IF(C23436&gt;0,C23414-C23447,0)</f>
        <v>0</v>
      </c>
    </row>
    <row r="23459" customFormat="false" ht="15" hidden="false" customHeight="false" outlineLevel="0" collapsed="false">
      <c r="A23459" s="3" t="s">
        <v>561</v>
      </c>
      <c r="C23459" s="16" t="n">
        <f aca="false">IF(C23437&gt;0,C23415-C23448,0)</f>
        <v>0</v>
      </c>
    </row>
    <row r="23460" customFormat="false" ht="15" hidden="false" customHeight="false" outlineLevel="0" collapsed="false">
      <c r="A23460" s="3" t="s">
        <v>562</v>
      </c>
      <c r="C23460" s="16" t="n">
        <f aca="false">IF(C23438&gt;0,C23416-C23449,0)</f>
        <v>0</v>
      </c>
    </row>
    <row r="23461" customFormat="false" ht="15" hidden="false" customHeight="false" outlineLevel="0" collapsed="false">
      <c r="A23461" s="3" t="s">
        <v>563</v>
      </c>
      <c r="C23461" s="16" t="n">
        <f aca="false">IF(C23439&gt;0,C23417-C23450,0)</f>
        <v>0</v>
      </c>
    </row>
    <row r="23462" customFormat="false" ht="15" hidden="false" customHeight="false" outlineLevel="0" collapsed="false">
      <c r="A23462" s="3" t="s">
        <v>564</v>
      </c>
      <c r="C23462" s="16" t="n">
        <f aca="false">IF(C23440&gt;0,C23418-C23451,0)</f>
        <v>0</v>
      </c>
    </row>
    <row r="23463" customFormat="false" ht="15" hidden="false" customHeight="false" outlineLevel="0" collapsed="false">
      <c r="A23463" s="3" t="s">
        <v>565</v>
      </c>
      <c r="C23463" s="16" t="n">
        <f aca="false">IF(C23441&gt;0,C23419-C23452,0)</f>
        <v>0</v>
      </c>
    </row>
    <row r="23464" customFormat="false" ht="15" hidden="false" customHeight="false" outlineLevel="0" collapsed="false">
      <c r="A23464" s="24" t="s">
        <v>570</v>
      </c>
      <c r="B23464" s="25"/>
      <c r="C23464" s="25"/>
      <c r="D23464" s="25"/>
      <c r="E23464" s="25"/>
      <c r="F23464" s="25"/>
      <c r="G23464" s="25"/>
      <c r="H23464" s="25"/>
      <c r="I23464" s="25"/>
      <c r="J23464" s="25"/>
      <c r="K23464" s="25"/>
    </row>
    <row r="23465" customFormat="false" ht="15" hidden="false" customHeight="false" outlineLevel="0" collapsed="false">
      <c r="A23465" s="3" t="s">
        <v>556</v>
      </c>
      <c r="C23465" s="16" t="n">
        <f aca="false">IF(C23432&gt;0,C23454,C23410)</f>
        <v>0</v>
      </c>
    </row>
    <row r="23466" customFormat="false" ht="15" hidden="false" customHeight="false" outlineLevel="0" collapsed="false">
      <c r="A23466" s="3" t="s">
        <v>557</v>
      </c>
      <c r="C23466" s="16" t="n">
        <f aca="false">IF(C23433&gt;0,C23455,C23411)</f>
        <v>0</v>
      </c>
    </row>
    <row r="23467" customFormat="false" ht="15" hidden="false" customHeight="false" outlineLevel="0" collapsed="false">
      <c r="A23467" s="3" t="s">
        <v>558</v>
      </c>
      <c r="C23467" s="16" t="n">
        <f aca="false">IF(C23434&gt;0,C23456,C23412)</f>
        <v>0</v>
      </c>
    </row>
    <row r="23468" customFormat="false" ht="15" hidden="false" customHeight="false" outlineLevel="0" collapsed="false">
      <c r="A23468" s="3" t="s">
        <v>559</v>
      </c>
      <c r="C23468" s="16" t="n">
        <f aca="false">IF(C23435&gt;0,C23457,C23413)</f>
        <v>66.796942182056</v>
      </c>
    </row>
    <row r="23469" customFormat="false" ht="15" hidden="false" customHeight="false" outlineLevel="0" collapsed="false">
      <c r="A23469" s="3" t="s">
        <v>560</v>
      </c>
      <c r="C23469" s="16" t="n">
        <f aca="false">IF(C23436&gt;0,C23458,C23414)</f>
        <v>407.7221513738</v>
      </c>
    </row>
    <row r="23470" customFormat="false" ht="15" hidden="false" customHeight="false" outlineLevel="0" collapsed="false">
      <c r="A23470" s="3" t="s">
        <v>561</v>
      </c>
      <c r="C23470" s="16" t="n">
        <f aca="false">IF(C23437&gt;0,C23459,C23415)</f>
        <v>350</v>
      </c>
    </row>
    <row r="23471" customFormat="false" ht="15" hidden="false" customHeight="false" outlineLevel="0" collapsed="false">
      <c r="A23471" s="3" t="s">
        <v>562</v>
      </c>
      <c r="C23471" s="16" t="n">
        <f aca="false">IF(C23438&gt;0,C23460,C23416)</f>
        <v>550</v>
      </c>
    </row>
    <row r="23472" customFormat="false" ht="15" hidden="false" customHeight="false" outlineLevel="0" collapsed="false">
      <c r="A23472" s="3" t="s">
        <v>563</v>
      </c>
      <c r="C23472" s="16" t="n">
        <f aca="false">IF(C23439&gt;0,C23461,C23417)</f>
        <v>350</v>
      </c>
    </row>
    <row r="23473" customFormat="false" ht="15" hidden="false" customHeight="false" outlineLevel="0" collapsed="false">
      <c r="A23473" s="3" t="s">
        <v>564</v>
      </c>
      <c r="C23473" s="16" t="n">
        <f aca="false">IF(C23440&gt;0,C23462,C23418)</f>
        <v>300</v>
      </c>
    </row>
    <row r="23474" customFormat="false" ht="15" hidden="false" customHeight="false" outlineLevel="0" collapsed="false">
      <c r="A23474" s="3" t="s">
        <v>565</v>
      </c>
      <c r="C23474" s="16" t="n">
        <f aca="false">IF(C23441&gt;0,C23463,C23419)</f>
        <v>78.61</v>
      </c>
    </row>
    <row r="23475" customFormat="false" ht="15" hidden="false" customHeight="false" outlineLevel="0" collapsed="false">
      <c r="A23475" s="24" t="s">
        <v>571</v>
      </c>
      <c r="B23475" s="25"/>
      <c r="C23475" s="25"/>
      <c r="D23475" s="25"/>
      <c r="E23475" s="25"/>
      <c r="F23475" s="25"/>
      <c r="G23475" s="25"/>
      <c r="H23475" s="25"/>
      <c r="I23475" s="25"/>
      <c r="J23475" s="25"/>
      <c r="K23475" s="25"/>
    </row>
    <row r="23476" customFormat="false" ht="15" hidden="false" customHeight="false" outlineLevel="0" collapsed="false">
      <c r="A23476" s="3" t="s">
        <v>556</v>
      </c>
      <c r="C23476" s="21" t="n">
        <f aca="false">IF(C23432&gt;0,Assumptions!$C$17,C23421)</f>
        <v>99</v>
      </c>
    </row>
    <row r="23477" customFormat="false" ht="15" hidden="false" customHeight="false" outlineLevel="0" collapsed="false">
      <c r="A23477" s="3" t="s">
        <v>557</v>
      </c>
      <c r="C23477" s="21" t="n">
        <f aca="false">IF(C23433&gt;0,Assumptions!$C$17,C23422)</f>
        <v>99</v>
      </c>
    </row>
    <row r="23478" customFormat="false" ht="15" hidden="false" customHeight="false" outlineLevel="0" collapsed="false">
      <c r="A23478" s="3" t="s">
        <v>558</v>
      </c>
      <c r="C23478" s="21" t="n">
        <f aca="false">IF(C23434&gt;0,Assumptions!$C$17,C23423)</f>
        <v>99</v>
      </c>
    </row>
    <row r="23479" customFormat="false" ht="15" hidden="false" customHeight="false" outlineLevel="0" collapsed="false">
      <c r="A23479" s="3" t="s">
        <v>559</v>
      </c>
      <c r="C23479" s="21" t="n">
        <f aca="false">IF(C23435&gt;0,Assumptions!$C$17,C23424)</f>
        <v>2</v>
      </c>
    </row>
    <row r="23480" customFormat="false" ht="15" hidden="false" customHeight="false" outlineLevel="0" collapsed="false">
      <c r="A23480" s="3" t="s">
        <v>560</v>
      </c>
      <c r="C23480" s="21" t="n">
        <f aca="false">IF(C23436&gt;0,Assumptions!$C$17,C23425)</f>
        <v>2</v>
      </c>
    </row>
    <row r="23481" customFormat="false" ht="15" hidden="false" customHeight="false" outlineLevel="0" collapsed="false">
      <c r="A23481" s="3" t="s">
        <v>561</v>
      </c>
      <c r="C23481" s="21" t="n">
        <f aca="false">IF(C23437&gt;0,Assumptions!$C$17,C23426)</f>
        <v>2</v>
      </c>
    </row>
    <row r="23482" customFormat="false" ht="15" hidden="false" customHeight="false" outlineLevel="0" collapsed="false">
      <c r="A23482" s="3" t="s">
        <v>562</v>
      </c>
      <c r="C23482" s="21" t="n">
        <f aca="false">IF(C23438&gt;0,Assumptions!$C$17,C23427)</f>
        <v>2</v>
      </c>
    </row>
    <row r="23483" customFormat="false" ht="15" hidden="false" customHeight="false" outlineLevel="0" collapsed="false">
      <c r="A23483" s="3" t="s">
        <v>563</v>
      </c>
      <c r="C23483" s="21" t="n">
        <f aca="false">IF(C23439&gt;0,Assumptions!$C$17,C23428)</f>
        <v>2</v>
      </c>
    </row>
    <row r="23484" customFormat="false" ht="15" hidden="false" customHeight="false" outlineLevel="0" collapsed="false">
      <c r="A23484" s="3" t="s">
        <v>564</v>
      </c>
      <c r="C23484" s="21" t="n">
        <f aca="false">IF(C23440&gt;0,Assumptions!$C$17,C23429)</f>
        <v>2</v>
      </c>
    </row>
    <row r="23485" customFormat="false" ht="15" hidden="false" customHeight="false" outlineLevel="0" collapsed="false">
      <c r="A23485" s="3" t="s">
        <v>565</v>
      </c>
      <c r="C23485" s="21" t="n">
        <f aca="false">IF(C23441&gt;0,Assumptions!$C$17,C23430)</f>
        <v>3</v>
      </c>
    </row>
    <row r="23486" customFormat="false" ht="15" hidden="false" customHeight="false" outlineLevel="0" collapsed="false">
      <c r="A23486" s="24" t="s">
        <v>572</v>
      </c>
      <c r="B23486" s="25"/>
      <c r="C23486" s="25"/>
      <c r="D23486" s="25"/>
      <c r="E23486" s="25"/>
      <c r="F23486" s="25"/>
      <c r="G23486" s="25"/>
      <c r="H23486" s="25"/>
      <c r="I23486" s="25"/>
      <c r="J23486" s="25"/>
      <c r="K23486" s="25"/>
    </row>
    <row r="23487" customFormat="false" ht="15" hidden="false" customHeight="false" outlineLevel="0" collapsed="false">
      <c r="A23487" s="3" t="s">
        <v>556</v>
      </c>
      <c r="C23487" s="16" t="n">
        <f aca="false">SUMPRODUCT(($C$23476:$C$23485&lt;C23476)*$C$23465:$C$23474)</f>
        <v>2103.12909355586</v>
      </c>
    </row>
    <row r="23488" customFormat="false" ht="15" hidden="false" customHeight="false" outlineLevel="0" collapsed="false">
      <c r="A23488" s="3" t="s">
        <v>557</v>
      </c>
      <c r="C23488" s="16" t="n">
        <f aca="false">SUMPRODUCT(($C$23476:$C$23485&lt;C23477)*$C$23465:$C$23474)</f>
        <v>2103.12909355586</v>
      </c>
    </row>
    <row r="23489" customFormat="false" ht="15" hidden="false" customHeight="false" outlineLevel="0" collapsed="false">
      <c r="A23489" s="3" t="s">
        <v>558</v>
      </c>
      <c r="C23489" s="16" t="n">
        <f aca="false">SUMPRODUCT(($C$23476:$C$23485&lt;C23478)*$C$23465:$C$23474)</f>
        <v>2103.12909355586</v>
      </c>
    </row>
    <row r="23490" customFormat="false" ht="15" hidden="false" customHeight="false" outlineLevel="0" collapsed="false">
      <c r="A23490" s="3" t="s">
        <v>559</v>
      </c>
      <c r="C23490" s="16" t="n">
        <f aca="false">SUMPRODUCT(($C$23476:$C$23485&lt;C23479)*$C$23465:$C$23474)</f>
        <v>0</v>
      </c>
    </row>
    <row r="23491" customFormat="false" ht="15" hidden="false" customHeight="false" outlineLevel="0" collapsed="false">
      <c r="A23491" s="3" t="s">
        <v>560</v>
      </c>
      <c r="C23491" s="16" t="n">
        <f aca="false">SUMPRODUCT(($C$23476:$C$23485&lt;C23480)*$C$23465:$C$23474)</f>
        <v>0</v>
      </c>
    </row>
    <row r="23492" customFormat="false" ht="15" hidden="false" customHeight="false" outlineLevel="0" collapsed="false">
      <c r="A23492" s="3" t="s">
        <v>561</v>
      </c>
      <c r="C23492" s="16" t="n">
        <f aca="false">SUMPRODUCT(($C$23476:$C$23485&lt;C23481)*$C$23465:$C$23474)</f>
        <v>0</v>
      </c>
    </row>
    <row r="23493" customFormat="false" ht="15" hidden="false" customHeight="false" outlineLevel="0" collapsed="false">
      <c r="A23493" s="3" t="s">
        <v>562</v>
      </c>
      <c r="C23493" s="16" t="n">
        <f aca="false">SUMPRODUCT(($C$23476:$C$23485&lt;C23482)*$C$23465:$C$23474)</f>
        <v>0</v>
      </c>
    </row>
    <row r="23494" customFormat="false" ht="15" hidden="false" customHeight="false" outlineLevel="0" collapsed="false">
      <c r="A23494" s="3" t="s">
        <v>563</v>
      </c>
      <c r="C23494" s="16" t="n">
        <f aca="false">SUMPRODUCT(($C$23476:$C$23485&lt;C23483)*$C$23465:$C$23474)</f>
        <v>0</v>
      </c>
    </row>
    <row r="23495" customFormat="false" ht="15" hidden="false" customHeight="false" outlineLevel="0" collapsed="false">
      <c r="A23495" s="3" t="s">
        <v>564</v>
      </c>
      <c r="C23495" s="16" t="n">
        <f aca="false">SUMPRODUCT(($C$23476:$C$23485&lt;C23484)*$C$23465:$C$23474)</f>
        <v>0</v>
      </c>
    </row>
    <row r="23496" customFormat="false" ht="15" hidden="false" customHeight="false" outlineLevel="0" collapsed="false">
      <c r="A23496" s="3" t="s">
        <v>565</v>
      </c>
      <c r="C23496" s="16" t="n">
        <f aca="false">SUMPRODUCT(($C$23476:$C$23485&lt;C23485)*$C$23465:$C$23474)</f>
        <v>2024.51909355586</v>
      </c>
    </row>
    <row r="23497" customFormat="false" ht="15" hidden="false" customHeight="false" outlineLevel="0" collapsed="false">
      <c r="A23497" s="24" t="s">
        <v>573</v>
      </c>
      <c r="B23497" s="25"/>
      <c r="C23497" s="25"/>
      <c r="D23497" s="25"/>
      <c r="E23497" s="25"/>
      <c r="F23497" s="25"/>
      <c r="G23497" s="25"/>
      <c r="H23497" s="25"/>
      <c r="I23497" s="25"/>
      <c r="J23497" s="25"/>
      <c r="K23497" s="25"/>
    </row>
    <row r="23498" customFormat="false" ht="15" hidden="false" customHeight="false" outlineLevel="0" collapsed="false">
      <c r="A23498" s="3" t="s">
        <v>556</v>
      </c>
      <c r="C23498" s="16" t="n">
        <f aca="false">SUMPRODUCT(($C$23476:$C$23485=C23476)*$C$23465:$C$23474)</f>
        <v>0</v>
      </c>
    </row>
    <row r="23499" customFormat="false" ht="15" hidden="false" customHeight="false" outlineLevel="0" collapsed="false">
      <c r="A23499" s="3" t="s">
        <v>557</v>
      </c>
      <c r="C23499" s="16" t="n">
        <f aca="false">SUMPRODUCT(($C$23476:$C$23485=C23477)*$C$23465:$C$23474)</f>
        <v>0</v>
      </c>
    </row>
    <row r="23500" customFormat="false" ht="15" hidden="false" customHeight="false" outlineLevel="0" collapsed="false">
      <c r="A23500" s="3" t="s">
        <v>558</v>
      </c>
      <c r="C23500" s="16" t="n">
        <f aca="false">SUMPRODUCT(($C$23476:$C$23485=C23478)*$C$23465:$C$23474)</f>
        <v>0</v>
      </c>
    </row>
    <row r="23501" customFormat="false" ht="15" hidden="false" customHeight="false" outlineLevel="0" collapsed="false">
      <c r="A23501" s="3" t="s">
        <v>559</v>
      </c>
      <c r="C23501" s="16" t="n">
        <f aca="false">SUMPRODUCT(($C$23476:$C$23485=C23479)*$C$23465:$C$23474)</f>
        <v>2024.51909355586</v>
      </c>
    </row>
    <row r="23502" customFormat="false" ht="15" hidden="false" customHeight="false" outlineLevel="0" collapsed="false">
      <c r="A23502" s="3" t="s">
        <v>560</v>
      </c>
      <c r="C23502" s="16" t="n">
        <f aca="false">SUMPRODUCT(($C$23476:$C$23485=C23480)*$C$23465:$C$23474)</f>
        <v>2024.51909355586</v>
      </c>
    </row>
    <row r="23503" customFormat="false" ht="15" hidden="false" customHeight="false" outlineLevel="0" collapsed="false">
      <c r="A23503" s="3" t="s">
        <v>561</v>
      </c>
      <c r="C23503" s="16" t="n">
        <f aca="false">SUMPRODUCT(($C$23476:$C$23485=C23481)*$C$23465:$C$23474)</f>
        <v>2024.51909355586</v>
      </c>
    </row>
    <row r="23504" customFormat="false" ht="15" hidden="false" customHeight="false" outlineLevel="0" collapsed="false">
      <c r="A23504" s="3" t="s">
        <v>562</v>
      </c>
      <c r="C23504" s="16" t="n">
        <f aca="false">SUMPRODUCT(($C$23476:$C$23485=C23482)*$C$23465:$C$23474)</f>
        <v>2024.51909355586</v>
      </c>
    </row>
    <row r="23505" customFormat="false" ht="15" hidden="false" customHeight="false" outlineLevel="0" collapsed="false">
      <c r="A23505" s="3" t="s">
        <v>563</v>
      </c>
      <c r="C23505" s="16" t="n">
        <f aca="false">SUMPRODUCT(($C$23476:$C$23485=C23483)*$C$23465:$C$23474)</f>
        <v>2024.51909355586</v>
      </c>
    </row>
    <row r="23506" customFormat="false" ht="15" hidden="false" customHeight="false" outlineLevel="0" collapsed="false">
      <c r="A23506" s="3" t="s">
        <v>564</v>
      </c>
      <c r="C23506" s="16" t="n">
        <f aca="false">SUMPRODUCT(($C$23476:$C$23485=C23484)*$C$23465:$C$23474)</f>
        <v>2024.51909355586</v>
      </c>
    </row>
    <row r="23507" customFormat="false" ht="15" hidden="false" customHeight="false" outlineLevel="0" collapsed="false">
      <c r="A23507" s="3" t="s">
        <v>565</v>
      </c>
      <c r="C23507" s="16" t="n">
        <f aca="false">SUMPRODUCT(($C$23476:$C$23485=C23485)*$C$23465:$C$23474)</f>
        <v>78.61</v>
      </c>
    </row>
    <row r="23508" customFormat="false" ht="15" hidden="false" customHeight="false" outlineLevel="0" collapsed="false">
      <c r="A23508" s="24" t="s">
        <v>574</v>
      </c>
      <c r="B23508" s="25"/>
      <c r="C23508" s="25"/>
      <c r="D23508" s="25"/>
      <c r="E23508" s="25"/>
      <c r="F23508" s="25"/>
      <c r="G23508" s="25"/>
      <c r="H23508" s="25"/>
      <c r="I23508" s="25"/>
      <c r="J23508" s="25"/>
      <c r="K23508" s="25"/>
    </row>
    <row r="23509" customFormat="false" ht="15" hidden="false" customHeight="false" outlineLevel="0" collapsed="false">
      <c r="A23509" s="3" t="s">
        <v>556</v>
      </c>
      <c r="C23509" s="16" t="n">
        <f aca="false">IF(C23498=0,0,C23465/C23498*MAX(0,MIN(C23498,$C$23408-SUM($C$23443:$C$23452)-C23487)))</f>
        <v>0</v>
      </c>
    </row>
    <row r="23510" customFormat="false" ht="15" hidden="false" customHeight="false" outlineLevel="0" collapsed="false">
      <c r="A23510" s="3" t="s">
        <v>557</v>
      </c>
      <c r="C23510" s="16" t="n">
        <f aca="false">IF(C23499=0,0,C23466/C23499*MAX(0,MIN(C23499,$C$23408-SUM($C$23443:$C$23452)-C23488)))</f>
        <v>0</v>
      </c>
    </row>
    <row r="23511" customFormat="false" ht="15" hidden="false" customHeight="false" outlineLevel="0" collapsed="false">
      <c r="A23511" s="3" t="s">
        <v>558</v>
      </c>
      <c r="C23511" s="16" t="n">
        <f aca="false">IF(C23500=0,0,C23467/C23500*MAX(0,MIN(C23500,$C$23408-SUM($C$23443:$C$23452)-C23489)))</f>
        <v>0</v>
      </c>
    </row>
    <row r="23512" customFormat="false" ht="15" hidden="false" customHeight="false" outlineLevel="0" collapsed="false">
      <c r="A23512" s="3" t="s">
        <v>559</v>
      </c>
      <c r="C23512" s="16" t="n">
        <f aca="false">IF(C23501=0,0,C23468/C23501*MAX(0,MIN(C23501,$C$23408-SUM($C$23443:$C$23452)-C23490)))</f>
        <v>66.796942182056</v>
      </c>
    </row>
    <row r="23513" customFormat="false" ht="15" hidden="false" customHeight="false" outlineLevel="0" collapsed="false">
      <c r="A23513" s="3" t="s">
        <v>560</v>
      </c>
      <c r="C23513" s="16" t="n">
        <f aca="false">IF(C23502=0,0,C23469/C23502*MAX(0,MIN(C23502,$C$23408-SUM($C$23443:$C$23452)-C23491)))</f>
        <v>407.7221513738</v>
      </c>
    </row>
    <row r="23514" customFormat="false" ht="15" hidden="false" customHeight="false" outlineLevel="0" collapsed="false">
      <c r="A23514" s="3" t="s">
        <v>561</v>
      </c>
      <c r="C23514" s="16" t="n">
        <f aca="false">IF(C23503=0,0,C23470/C23503*MAX(0,MIN(C23503,$C$23408-SUM($C$23443:$C$23452)-C23492)))</f>
        <v>350</v>
      </c>
    </row>
    <row r="23515" customFormat="false" ht="15" hidden="false" customHeight="false" outlineLevel="0" collapsed="false">
      <c r="A23515" s="3" t="s">
        <v>562</v>
      </c>
      <c r="C23515" s="16" t="n">
        <f aca="false">IF(C23504=0,0,C23471/C23504*MAX(0,MIN(C23504,$C$23408-SUM($C$23443:$C$23452)-C23493)))</f>
        <v>550</v>
      </c>
    </row>
    <row r="23516" customFormat="false" ht="15" hidden="false" customHeight="false" outlineLevel="0" collapsed="false">
      <c r="A23516" s="3" t="s">
        <v>563</v>
      </c>
      <c r="C23516" s="16" t="n">
        <f aca="false">IF(C23505=0,0,C23472/C23505*MAX(0,MIN(C23505,$C$23408-SUM($C$23443:$C$23452)-C23494)))</f>
        <v>350</v>
      </c>
    </row>
    <row r="23517" customFormat="false" ht="15" hidden="false" customHeight="false" outlineLevel="0" collapsed="false">
      <c r="A23517" s="3" t="s">
        <v>564</v>
      </c>
      <c r="C23517" s="16" t="n">
        <f aca="false">IF(C23506=0,0,C23473/C23506*MAX(0,MIN(C23506,$C$23408-SUM($C$23443:$C$23452)-C23495)))</f>
        <v>300</v>
      </c>
    </row>
    <row r="23518" customFormat="false" ht="15" hidden="false" customHeight="false" outlineLevel="0" collapsed="false">
      <c r="A23518" s="3" t="s">
        <v>565</v>
      </c>
      <c r="C23518" s="16" t="n">
        <f aca="false">IF(C23507=0,0,C23474/C23507*MAX(0,MIN(C23507,$C$23408-SUM($C$23443:$C$23452)-C23496)))</f>
        <v>78.61</v>
      </c>
    </row>
    <row r="23519" customFormat="false" ht="15" hidden="false" customHeight="false" outlineLevel="0" collapsed="false">
      <c r="A23519" s="24" t="s">
        <v>575</v>
      </c>
      <c r="B23519" s="25"/>
      <c r="C23519" s="25"/>
      <c r="D23519" s="25"/>
      <c r="E23519" s="25"/>
      <c r="F23519" s="25"/>
      <c r="G23519" s="25"/>
      <c r="H23519" s="25"/>
      <c r="I23519" s="25"/>
      <c r="J23519" s="25"/>
      <c r="K23519" s="25"/>
    </row>
    <row r="23520" customFormat="false" ht="15" hidden="false" customHeight="false" outlineLevel="0" collapsed="false">
      <c r="A23520" s="2" t="s">
        <v>556</v>
      </c>
      <c r="C23520" s="17" t="n">
        <f aca="false">C23443+C23509</f>
        <v>388</v>
      </c>
    </row>
    <row r="23521" customFormat="false" ht="15" hidden="false" customHeight="false" outlineLevel="0" collapsed="false">
      <c r="A23521" s="2" t="s">
        <v>557</v>
      </c>
      <c r="C23521" s="17" t="n">
        <f aca="false">C23444+C23510</f>
        <v>90</v>
      </c>
    </row>
    <row r="23522" customFormat="false" ht="15" hidden="false" customHeight="false" outlineLevel="0" collapsed="false">
      <c r="A23522" s="2" t="s">
        <v>558</v>
      </c>
      <c r="C23522" s="17" t="n">
        <f aca="false">C23445+C23511</f>
        <v>57.324</v>
      </c>
    </row>
    <row r="23523" customFormat="false" ht="15" hidden="false" customHeight="false" outlineLevel="0" collapsed="false">
      <c r="A23523" s="2" t="s">
        <v>559</v>
      </c>
      <c r="C23523" s="17" t="n">
        <f aca="false">C23446+C23512</f>
        <v>66.796942182056</v>
      </c>
    </row>
    <row r="23524" customFormat="false" ht="15" hidden="false" customHeight="false" outlineLevel="0" collapsed="false">
      <c r="A23524" s="2" t="s">
        <v>560</v>
      </c>
      <c r="C23524" s="17" t="n">
        <f aca="false">C23447+C23513</f>
        <v>407.7221513738</v>
      </c>
    </row>
    <row r="23525" customFormat="false" ht="15" hidden="false" customHeight="false" outlineLevel="0" collapsed="false">
      <c r="A23525" s="2" t="s">
        <v>561</v>
      </c>
      <c r="C23525" s="17" t="n">
        <f aca="false">C23448+C23514</f>
        <v>350</v>
      </c>
    </row>
    <row r="23526" customFormat="false" ht="15" hidden="false" customHeight="false" outlineLevel="0" collapsed="false">
      <c r="A23526" s="2" t="s">
        <v>562</v>
      </c>
      <c r="C23526" s="17" t="n">
        <f aca="false">C23449+C23515</f>
        <v>550</v>
      </c>
    </row>
    <row r="23527" customFormat="false" ht="15" hidden="false" customHeight="false" outlineLevel="0" collapsed="false">
      <c r="A23527" s="2" t="s">
        <v>563</v>
      </c>
      <c r="C23527" s="17" t="n">
        <f aca="false">C23450+C23516</f>
        <v>350</v>
      </c>
    </row>
    <row r="23528" customFormat="false" ht="15" hidden="false" customHeight="false" outlineLevel="0" collapsed="false">
      <c r="A23528" s="2" t="s">
        <v>564</v>
      </c>
      <c r="C23528" s="17" t="n">
        <f aca="false">C23451+C23517</f>
        <v>300</v>
      </c>
    </row>
    <row r="23529" customFormat="false" ht="15" hidden="false" customHeight="false" outlineLevel="0" collapsed="false">
      <c r="A23529" s="2" t="s">
        <v>565</v>
      </c>
      <c r="C23529" s="17" t="n">
        <f aca="false">C23452+C23518</f>
        <v>78.61</v>
      </c>
    </row>
    <row r="23530" customFormat="false" ht="15" hidden="false" customHeight="false" outlineLevel="0" collapsed="false">
      <c r="A23530" s="24" t="s">
        <v>576</v>
      </c>
      <c r="B23530" s="25"/>
      <c r="C23530" s="25"/>
      <c r="D23530" s="25"/>
      <c r="E23530" s="25"/>
      <c r="F23530" s="25"/>
      <c r="G23530" s="25"/>
      <c r="H23530" s="25"/>
      <c r="I23530" s="25"/>
      <c r="J23530" s="25"/>
      <c r="K23530" s="25"/>
    </row>
    <row r="23531" customFormat="false" ht="15" hidden="false" customHeight="false" outlineLevel="0" collapsed="false">
      <c r="A23531" s="3" t="s">
        <v>556</v>
      </c>
      <c r="C23531" s="22" t="n">
        <f aca="false">IF(C23410=0,1,C23520/C23410)</f>
        <v>1</v>
      </c>
    </row>
    <row r="23532" customFormat="false" ht="15" hidden="false" customHeight="false" outlineLevel="0" collapsed="false">
      <c r="A23532" s="3" t="s">
        <v>557</v>
      </c>
      <c r="C23532" s="22" t="n">
        <f aca="false">IF(C23411=0,1,C23521/C23411)</f>
        <v>1</v>
      </c>
    </row>
    <row r="23533" customFormat="false" ht="15" hidden="false" customHeight="false" outlineLevel="0" collapsed="false">
      <c r="A23533" s="3" t="s">
        <v>558</v>
      </c>
      <c r="C23533" s="22" t="n">
        <f aca="false">IF(C23412=0,1,C23522/C23412)</f>
        <v>1</v>
      </c>
    </row>
    <row r="23534" customFormat="false" ht="15" hidden="false" customHeight="false" outlineLevel="0" collapsed="false">
      <c r="A23534" s="3" t="s">
        <v>559</v>
      </c>
      <c r="C23534" s="22" t="n">
        <f aca="false">IF(C23413=0,1,C23523/C23413)</f>
        <v>1</v>
      </c>
    </row>
    <row r="23535" customFormat="false" ht="15" hidden="false" customHeight="false" outlineLevel="0" collapsed="false">
      <c r="A23535" s="3" t="s">
        <v>560</v>
      </c>
      <c r="C23535" s="22" t="n">
        <f aca="false">IF(C23414=0,1,C23524/C23414)</f>
        <v>1</v>
      </c>
    </row>
    <row r="23536" customFormat="false" ht="15" hidden="false" customHeight="false" outlineLevel="0" collapsed="false">
      <c r="A23536" s="3" t="s">
        <v>561</v>
      </c>
      <c r="C23536" s="22" t="n">
        <f aca="false">IF(C23415=0,1,C23525/C23415)</f>
        <v>1</v>
      </c>
    </row>
    <row r="23537" customFormat="false" ht="15" hidden="false" customHeight="false" outlineLevel="0" collapsed="false">
      <c r="A23537" s="3" t="s">
        <v>562</v>
      </c>
      <c r="C23537" s="22" t="n">
        <f aca="false">IF(C23416=0,1,C23526/C23416)</f>
        <v>1</v>
      </c>
    </row>
    <row r="23538" customFormat="false" ht="15" hidden="false" customHeight="false" outlineLevel="0" collapsed="false">
      <c r="A23538" s="3" t="s">
        <v>563</v>
      </c>
      <c r="C23538" s="22" t="n">
        <f aca="false">IF(C23417=0,1,C23527/C23417)</f>
        <v>1</v>
      </c>
    </row>
    <row r="23539" customFormat="false" ht="15" hidden="false" customHeight="false" outlineLevel="0" collapsed="false">
      <c r="A23539" s="3" t="s">
        <v>564</v>
      </c>
      <c r="C23539" s="22" t="n">
        <f aca="false">IF(C23418=0,1,C23528/C23418)</f>
        <v>1</v>
      </c>
    </row>
    <row r="23540" customFormat="false" ht="15" hidden="false" customHeight="false" outlineLevel="0" collapsed="false">
      <c r="A23540" s="3" t="s">
        <v>565</v>
      </c>
      <c r="C23540" s="22" t="n">
        <f aca="false">IF(C23419=0,1,C23529/C23419)</f>
        <v>1</v>
      </c>
    </row>
    <row r="23541" customFormat="false" ht="15" hidden="false" customHeight="false" outlineLevel="0" collapsed="false">
      <c r="A23541" s="24" t="s">
        <v>577</v>
      </c>
      <c r="B23541" s="25"/>
      <c r="C23541" s="25"/>
      <c r="D23541" s="25"/>
      <c r="E23541" s="25"/>
      <c r="F23541" s="25"/>
      <c r="G23541" s="25"/>
      <c r="H23541" s="25"/>
      <c r="I23541" s="25"/>
      <c r="J23541" s="25"/>
      <c r="K23541" s="25"/>
    </row>
    <row r="23542" customFormat="false" ht="15" hidden="false" customHeight="false" outlineLevel="0" collapsed="false">
      <c r="A23542" s="3" t="s">
        <v>556</v>
      </c>
      <c r="C23542" s="16" t="n">
        <f aca="false">C23410-C23520</f>
        <v>0</v>
      </c>
    </row>
    <row r="23543" customFormat="false" ht="15" hidden="false" customHeight="false" outlineLevel="0" collapsed="false">
      <c r="A23543" s="3" t="s">
        <v>557</v>
      </c>
      <c r="C23543" s="16" t="n">
        <f aca="false">C23411-C23521</f>
        <v>0</v>
      </c>
    </row>
    <row r="23544" customFormat="false" ht="15" hidden="false" customHeight="false" outlineLevel="0" collapsed="false">
      <c r="A23544" s="3" t="s">
        <v>558</v>
      </c>
      <c r="C23544" s="16" t="n">
        <f aca="false">C23412-C23522</f>
        <v>0</v>
      </c>
    </row>
    <row r="23545" customFormat="false" ht="15" hidden="false" customHeight="false" outlineLevel="0" collapsed="false">
      <c r="A23545" s="3" t="s">
        <v>559</v>
      </c>
      <c r="C23545" s="16" t="n">
        <f aca="false">C23413-C23523</f>
        <v>0</v>
      </c>
    </row>
    <row r="23546" customFormat="false" ht="15" hidden="false" customHeight="false" outlineLevel="0" collapsed="false">
      <c r="A23546" s="3" t="s">
        <v>560</v>
      </c>
      <c r="C23546" s="16" t="n">
        <f aca="false">C23414-C23524</f>
        <v>0</v>
      </c>
    </row>
    <row r="23547" customFormat="false" ht="15" hidden="false" customHeight="false" outlineLevel="0" collapsed="false">
      <c r="A23547" s="3" t="s">
        <v>561</v>
      </c>
      <c r="C23547" s="16" t="n">
        <f aca="false">C23415-C23525</f>
        <v>0</v>
      </c>
    </row>
    <row r="23548" customFormat="false" ht="15" hidden="false" customHeight="false" outlineLevel="0" collapsed="false">
      <c r="A23548" s="3" t="s">
        <v>562</v>
      </c>
      <c r="C23548" s="16" t="n">
        <f aca="false">C23416-C23526</f>
        <v>0</v>
      </c>
    </row>
    <row r="23549" customFormat="false" ht="15" hidden="false" customHeight="false" outlineLevel="0" collapsed="false">
      <c r="A23549" s="3" t="s">
        <v>563</v>
      </c>
      <c r="C23549" s="16" t="n">
        <f aca="false">C23417-C23527</f>
        <v>0</v>
      </c>
    </row>
    <row r="23550" customFormat="false" ht="15" hidden="false" customHeight="false" outlineLevel="0" collapsed="false">
      <c r="A23550" s="3" t="s">
        <v>564</v>
      </c>
      <c r="C23550" s="16" t="n">
        <f aca="false">C23418-C23528</f>
        <v>0</v>
      </c>
    </row>
    <row r="23551" customFormat="false" ht="15" hidden="false" customHeight="false" outlineLevel="0" collapsed="false">
      <c r="A23551" s="3" t="s">
        <v>565</v>
      </c>
      <c r="C23551" s="16" t="n">
        <f aca="false">C23419-C23529</f>
        <v>0</v>
      </c>
    </row>
    <row r="23552" customFormat="false" ht="15" hidden="false" customHeight="false" outlineLevel="0" collapsed="false">
      <c r="A23552" s="24" t="s">
        <v>578</v>
      </c>
      <c r="B23552" s="25"/>
      <c r="C23552" s="25"/>
      <c r="D23552" s="25"/>
      <c r="E23552" s="25"/>
      <c r="F23552" s="25"/>
      <c r="G23552" s="25"/>
      <c r="H23552" s="25"/>
      <c r="I23552" s="25"/>
      <c r="J23552" s="25"/>
      <c r="K23552" s="25"/>
    </row>
    <row r="23553" customFormat="false" ht="15" hidden="false" customHeight="false" outlineLevel="0" collapsed="false">
      <c r="A23553" s="3" t="s">
        <v>556</v>
      </c>
      <c r="C23553" s="22" t="n">
        <f aca="false">IF(C23410=0,0,C23542/C23410)</f>
        <v>0</v>
      </c>
    </row>
    <row r="23554" customFormat="false" ht="15" hidden="false" customHeight="false" outlineLevel="0" collapsed="false">
      <c r="A23554" s="3" t="s">
        <v>557</v>
      </c>
      <c r="C23554" s="22" t="n">
        <f aca="false">IF(C23411=0,0,C23543/C23411)</f>
        <v>0</v>
      </c>
    </row>
    <row r="23555" customFormat="false" ht="15" hidden="false" customHeight="false" outlineLevel="0" collapsed="false">
      <c r="A23555" s="3" t="s">
        <v>558</v>
      </c>
      <c r="C23555" s="22" t="n">
        <f aca="false">IF(C23412=0,0,C23544/C23412)</f>
        <v>0</v>
      </c>
    </row>
    <row r="23556" customFormat="false" ht="15" hidden="false" customHeight="false" outlineLevel="0" collapsed="false">
      <c r="A23556" s="3" t="s">
        <v>559</v>
      </c>
      <c r="C23556" s="22" t="n">
        <f aca="false">IF(C23413=0,0,C23545/C23413)</f>
        <v>0</v>
      </c>
    </row>
    <row r="23557" customFormat="false" ht="15" hidden="false" customHeight="false" outlineLevel="0" collapsed="false">
      <c r="A23557" s="3" t="s">
        <v>560</v>
      </c>
      <c r="C23557" s="22" t="n">
        <f aca="false">IF(C23414=0,0,C23546/C23414)</f>
        <v>0</v>
      </c>
    </row>
    <row r="23558" customFormat="false" ht="15" hidden="false" customHeight="false" outlineLevel="0" collapsed="false">
      <c r="A23558" s="3" t="s">
        <v>561</v>
      </c>
      <c r="C23558" s="22" t="n">
        <f aca="false">IF(C23415=0,0,C23547/C23415)</f>
        <v>0</v>
      </c>
    </row>
    <row r="23559" customFormat="false" ht="15" hidden="false" customHeight="false" outlineLevel="0" collapsed="false">
      <c r="A23559" s="3" t="s">
        <v>562</v>
      </c>
      <c r="C23559" s="22" t="n">
        <f aca="false">IF(C23416=0,0,C23548/C23416)</f>
        <v>0</v>
      </c>
    </row>
    <row r="23560" customFormat="false" ht="15" hidden="false" customHeight="false" outlineLevel="0" collapsed="false">
      <c r="A23560" s="3" t="s">
        <v>563</v>
      </c>
      <c r="C23560" s="22" t="n">
        <f aca="false">IF(C23417=0,0,C23549/C23417)</f>
        <v>0</v>
      </c>
    </row>
    <row r="23561" customFormat="false" ht="15" hidden="false" customHeight="false" outlineLevel="0" collapsed="false">
      <c r="A23561" s="3" t="s">
        <v>564</v>
      </c>
      <c r="C23561" s="22" t="n">
        <f aca="false">IF(C23418=0,0,C23550/C23418)</f>
        <v>0</v>
      </c>
    </row>
    <row r="23562" customFormat="false" ht="15" hidden="false" customHeight="false" outlineLevel="0" collapsed="false">
      <c r="A23562" s="3" t="s">
        <v>565</v>
      </c>
      <c r="C23562" s="22" t="n">
        <f aca="false">IF(C23419=0,0,C23551/C23419)</f>
        <v>0</v>
      </c>
    </row>
    <row r="23563" customFormat="false" ht="15" hidden="false" customHeight="false" outlineLevel="0" collapsed="false">
      <c r="A23563" s="2" t="s">
        <v>579</v>
      </c>
      <c r="C23563" s="17" t="n">
        <f aca="false">MAX(0,$C$23408-SUM($C$23443:$C$23452)-SUM($C$23465:$C$23474))</f>
        <v>730.771201087744</v>
      </c>
    </row>
    <row r="23564" customFormat="false" ht="15" hidden="false" customHeight="false" outlineLevel="0" collapsed="false">
      <c r="A23564" s="3" t="s">
        <v>597</v>
      </c>
      <c r="C23564" s="35" t="n">
        <f aca="false">MIN(C23407,100*CHOOSE(C23397,C23531,C23532,C23533,C23534,C23535,C23536,C23537,C23538,C23539,C23540))</f>
        <v>100</v>
      </c>
    </row>
    <row r="23565" customFormat="false" ht="15" hidden="false" customHeight="false" outlineLevel="0" collapsed="false">
      <c r="A23565" s="3" t="s">
        <v>598</v>
      </c>
      <c r="C23565" s="21" t="n">
        <f aca="false">IF(C23229=1,C23402+Assumptions!$C$40,C23401)</f>
        <v>3</v>
      </c>
    </row>
    <row r="23566" customFormat="false" ht="15" hidden="false" customHeight="false" outlineLevel="0" collapsed="false">
      <c r="A23566" s="24" t="s">
        <v>599</v>
      </c>
      <c r="B23566" s="25"/>
      <c r="C23566" s="25"/>
      <c r="D23566" s="25"/>
      <c r="E23566" s="25"/>
      <c r="F23566" s="25"/>
      <c r="G23566" s="25"/>
      <c r="H23566" s="25"/>
      <c r="I23566" s="25"/>
      <c r="J23566" s="25"/>
      <c r="K23566" s="25"/>
    </row>
    <row r="23567" customFormat="false" ht="15" hidden="false" customHeight="false" outlineLevel="0" collapsed="false">
      <c r="A23567" s="3" t="s">
        <v>600</v>
      </c>
      <c r="C23567" s="21" t="n">
        <f aca="false">COLUMN()-COLUMN($C$1)</f>
        <v>0</v>
      </c>
      <c r="D23567" s="21" t="n">
        <f aca="false">COLUMN()-COLUMN($C$1)</f>
        <v>1</v>
      </c>
      <c r="E23567" s="21" t="n">
        <f aca="false">COLUMN()-COLUMN($C$1)</f>
        <v>2</v>
      </c>
      <c r="F23567" s="21" t="n">
        <f aca="false">COLUMN()-COLUMN($C$1)</f>
        <v>3</v>
      </c>
      <c r="G23567" s="21" t="n">
        <f aca="false">COLUMN()-COLUMN($C$1)</f>
        <v>4</v>
      </c>
      <c r="H23567" s="21" t="n">
        <f aca="false">COLUMN()-COLUMN($C$1)</f>
        <v>5</v>
      </c>
      <c r="I23567" s="21" t="n">
        <f aca="false">COLUMN()-COLUMN($C$1)</f>
        <v>6</v>
      </c>
    </row>
    <row r="23568" customFormat="false" ht="15" hidden="false" customHeight="false" outlineLevel="0" collapsed="false">
      <c r="A23568" s="3" t="s">
        <v>601</v>
      </c>
      <c r="D23568" s="31" t="n">
        <f aca="false">CHOOSE($C$23397,G22977,G22990,G23003,G23016,G23029,G23042,G23055,G23068,G23081,G23094)</f>
        <v>0.0915</v>
      </c>
      <c r="E23568" s="31" t="n">
        <f aca="false">CHOOSE($C$23397,H22977,H22990,H23003,H23016,H23029,H23042,H23055,H23068,H23081,H23094)</f>
        <v>0.09</v>
      </c>
      <c r="F23568" s="31" t="n">
        <f aca="false">CHOOSE($C$23397,I22977,I22990,I23003,I23016,I23029,I23042,I23055,I23068,I23081,I23094)</f>
        <v>0.0875</v>
      </c>
      <c r="G23568" s="31" t="n">
        <f aca="false">CHOOSE($C$23397,J22977,J22990,J23003,J23016,J23029,J23042,J23055,J23068,J23081,J23094)</f>
        <v>0.0875</v>
      </c>
      <c r="H23568" s="31" t="n">
        <f aca="false">CHOOSE($C$23397,K22977,K22990,K23003,K23016,K23029,K23042,K23055,K23068,K23081,K23094)</f>
        <v>0.0875</v>
      </c>
    </row>
    <row r="23569" customFormat="false" ht="15" hidden="false" customHeight="false" outlineLevel="0" collapsed="false">
      <c r="A23569" s="3" t="s">
        <v>602</v>
      </c>
      <c r="D23569" s="16" t="n">
        <f aca="false">IF(D23567&lt;=$C$23406,$C$23398*D23568,0)</f>
        <v>9.15</v>
      </c>
      <c r="E23569" s="16" t="n">
        <f aca="false">IF(E23567&lt;=$C$23406,$C$23398*E23568,0)</f>
        <v>9</v>
      </c>
      <c r="F23569" s="16" t="n">
        <f aca="false">IF(F23567&lt;=$C$23406,$C$23398*F23568,0)</f>
        <v>8.75</v>
      </c>
      <c r="G23569" s="16" t="n">
        <f aca="false">IF(G23567&lt;=$C$23406,$C$23398*G23568,0)</f>
        <v>0</v>
      </c>
      <c r="H23569" s="16" t="n">
        <f aca="false">IF(H23567&lt;=$C$23406,$C$23398*H23568,0)</f>
        <v>0</v>
      </c>
    </row>
    <row r="23570" customFormat="false" ht="15" hidden="false" customHeight="false" outlineLevel="0" collapsed="false">
      <c r="A23570" s="3" t="s">
        <v>603</v>
      </c>
      <c r="D23570" s="16" t="n">
        <f aca="false">IF(AND($C$23229=0,D23567=$C$23401),$C$23398*$C$23564/100,0)+IF(AND($C$23229=1,D23567=$C$23565),$C$23404,0)</f>
        <v>0</v>
      </c>
      <c r="E23570" s="16" t="n">
        <f aca="false">IF(AND($C$23229=0,E23567=$C$23401),$C$23398*$C$23564/100,0)+IF(AND($C$23229=1,E23567=$C$23565),$C$23404,0)</f>
        <v>0</v>
      </c>
      <c r="F23570" s="16" t="n">
        <f aca="false">IF(AND($C$23229=0,F23567=$C$23401),$C$23398*$C$23564/100,0)+IF(AND($C$23229=1,F23567=$C$23565),$C$23404,0)</f>
        <v>100</v>
      </c>
      <c r="G23570" s="16" t="n">
        <f aca="false">IF(AND($C$23229=0,G23567=$C$23401),$C$23398*$C$23564/100,0)+IF(AND($C$23229=1,G23567=$C$23565),$C$23404,0)</f>
        <v>0</v>
      </c>
      <c r="H23570" s="16" t="n">
        <f aca="false">IF(AND($C$23229=0,H23567=$C$23401),$C$23398*$C$23564/100,0)+IF(AND($C$23229=1,H23567=$C$23565),$C$23404,0)</f>
        <v>0</v>
      </c>
      <c r="I23570" s="16" t="n">
        <f aca="false">IF(AND($C$23229=0,I23567=$C$23401),$C$23398*$C$23564/100,0)+IF(AND($C$23229=1,I23567=$C$23565),$C$23404,0)</f>
        <v>0</v>
      </c>
    </row>
    <row r="23571" customFormat="false" ht="15" hidden="false" customHeight="false" outlineLevel="0" collapsed="false">
      <c r="A23571" s="2" t="s">
        <v>604</v>
      </c>
      <c r="C23571" s="17" t="n">
        <f aca="false">-$C$23400</f>
        <v>-98.49</v>
      </c>
      <c r="D23571" s="17" t="n">
        <f aca="false">D23569+D23570</f>
        <v>9.15</v>
      </c>
      <c r="E23571" s="17" t="n">
        <f aca="false">E23569+E23570</f>
        <v>9</v>
      </c>
      <c r="F23571" s="17" t="n">
        <f aca="false">F23569+F23570</f>
        <v>108.75</v>
      </c>
      <c r="G23571" s="17" t="n">
        <f aca="false">G23569+G23570</f>
        <v>0</v>
      </c>
      <c r="H23571" s="17" t="n">
        <f aca="false">H23569+H23570</f>
        <v>0</v>
      </c>
      <c r="I23571" s="17" t="n">
        <f aca="false">I23569+I23570</f>
        <v>0</v>
      </c>
    </row>
    <row r="23572" customFormat="false" ht="15" hidden="false" customHeight="false" outlineLevel="0" collapsed="false">
      <c r="A23572" s="3" t="s">
        <v>605</v>
      </c>
      <c r="C23572" s="16" t="n">
        <f aca="false">SUM($C$23569:$I$23569)</f>
        <v>26.9</v>
      </c>
    </row>
    <row r="23573" customFormat="false" ht="15" hidden="false" customHeight="false" outlineLevel="0" collapsed="false">
      <c r="A23573" s="3" t="s">
        <v>606</v>
      </c>
      <c r="C23573" s="16" t="n">
        <f aca="false">SUM($C$23570:$I$23570)</f>
        <v>100</v>
      </c>
    </row>
    <row r="23574" customFormat="false" ht="15" hidden="false" customHeight="false" outlineLevel="0" collapsed="false">
      <c r="A23574" s="3" t="s">
        <v>607</v>
      </c>
      <c r="C23574" s="16" t="n">
        <f aca="false">C23572+C23573</f>
        <v>126.9</v>
      </c>
    </row>
    <row r="23575" customFormat="false" ht="15" hidden="false" customHeight="false" outlineLevel="0" collapsed="false">
      <c r="A23575" s="3" t="s">
        <v>608</v>
      </c>
      <c r="C23575" s="16" t="n">
        <f aca="false">C23573-C23398*C23399/100</f>
        <v>2</v>
      </c>
    </row>
    <row r="23576" customFormat="false" ht="15" hidden="false" customHeight="false" outlineLevel="0" collapsed="false">
      <c r="A23576" s="3" t="s">
        <v>609</v>
      </c>
      <c r="C23576" s="16" t="n">
        <f aca="false">C23574-C23400</f>
        <v>28.41</v>
      </c>
    </row>
    <row r="23577" customFormat="false" ht="15" hidden="false" customHeight="false" outlineLevel="0" collapsed="false">
      <c r="A23577" s="2" t="s">
        <v>484</v>
      </c>
      <c r="C23577" s="44" t="n">
        <f aca="false">C23574/C23400</f>
        <v>1.28845568077977</v>
      </c>
    </row>
    <row r="23578" customFormat="false" ht="15" hidden="false" customHeight="false" outlineLevel="0" collapsed="false">
      <c r="A23578" s="2" t="s">
        <v>483</v>
      </c>
      <c r="C23578" s="42" t="n">
        <f aca="false">IF(C23574&lt;=0,-1,IFERROR(IRR($C$23571:$I$23571,MAX(-0.9,C23577^(1/C23565)-1)),IRR($C$23571:$I$23571,0.1)))</f>
        <v>0.0958152816969216</v>
      </c>
    </row>
    <row r="23579" customFormat="false" ht="15" hidden="false" customHeight="false" outlineLevel="0" collapsed="false">
      <c r="A23579" s="3" t="s">
        <v>610</v>
      </c>
      <c r="C23579" s="32" t="n">
        <f aca="false">MAX($G$23173:$K$23173)</f>
        <v>9.99528975565569</v>
      </c>
    </row>
    <row r="23580" customFormat="false" ht="15" hidden="false" customHeight="false" outlineLevel="0" collapsed="false">
      <c r="A23580" s="3" t="s">
        <v>611</v>
      </c>
      <c r="C23580" s="32" t="n">
        <f aca="false">MIN($G$23174:$K$23174)</f>
        <v>1.34274565931266</v>
      </c>
    </row>
    <row r="23581" customFormat="false" ht="15" hidden="false" customHeight="false" outlineLevel="0" collapsed="false">
      <c r="A23581" s="3" t="s">
        <v>612</v>
      </c>
      <c r="C23581" s="16" t="n">
        <f aca="false">SUM($G$22961:$K$22961)</f>
        <v>-435.805435297248</v>
      </c>
    </row>
    <row r="23585" customFormat="false" ht="15" hidden="false" customHeight="false" outlineLevel="0" collapsed="false">
      <c r="A23585" s="9" t="s">
        <v>1166</v>
      </c>
      <c r="B23585" s="10"/>
      <c r="C23585" s="10"/>
      <c r="D23585" s="10"/>
      <c r="E23585" s="10"/>
      <c r="F23585" s="10"/>
      <c r="G23585" s="10"/>
      <c r="H23585" s="10"/>
      <c r="I23585" s="10"/>
      <c r="J23585" s="10"/>
      <c r="K23585" s="10"/>
    </row>
    <row r="23586" customFormat="false" ht="15" hidden="false" customHeight="false" outlineLevel="0" collapsed="false">
      <c r="A23586" s="3" t="s">
        <v>1126</v>
      </c>
      <c r="C23586" s="11" t="n">
        <v>1</v>
      </c>
    </row>
    <row r="23587" customFormat="false" ht="15" hidden="false" customHeight="false" outlineLevel="0" collapsed="false">
      <c r="A23587" s="3" t="s">
        <v>1127</v>
      </c>
      <c r="C23587" s="19" t="n">
        <v>0</v>
      </c>
    </row>
    <row r="23588" customFormat="false" ht="15" hidden="false" customHeight="false" outlineLevel="0" collapsed="false">
      <c r="A23588" s="3" t="s">
        <v>1128</v>
      </c>
      <c r="C23588" s="19" t="n">
        <v>0</v>
      </c>
    </row>
    <row r="23589" customFormat="false" ht="15" hidden="false" customHeight="false" outlineLevel="0" collapsed="false">
      <c r="A23589" s="3" t="s">
        <v>1129</v>
      </c>
      <c r="C23589" s="30" t="n">
        <f aca="false">Sensitivities!$A$53</f>
        <v>0.01</v>
      </c>
    </row>
    <row r="23590" customFormat="false" ht="15" hidden="false" customHeight="false" outlineLevel="0" collapsed="false">
      <c r="A23590" s="3" t="s">
        <v>1130</v>
      </c>
      <c r="C23590" s="15" t="n">
        <v>0</v>
      </c>
    </row>
    <row r="23592" customFormat="false" ht="15" hidden="false" customHeight="false" outlineLevel="0" collapsed="false">
      <c r="A23592" s="24" t="s">
        <v>301</v>
      </c>
      <c r="B23592" s="25"/>
      <c r="C23592" s="25"/>
      <c r="D23592" s="25"/>
      <c r="E23592" s="25"/>
      <c r="F23592" s="25"/>
      <c r="G23592" s="25"/>
      <c r="H23592" s="25"/>
      <c r="I23592" s="25"/>
      <c r="J23592" s="25"/>
      <c r="K23592" s="25"/>
    </row>
    <row r="23593" customFormat="false" ht="15" hidden="false" customHeight="false" outlineLevel="0" collapsed="false">
      <c r="A23593" s="3" t="s">
        <v>302</v>
      </c>
      <c r="F23593" s="27" t="n">
        <f aca="false">Assumptions!$C$6</f>
        <v>2026</v>
      </c>
      <c r="G23593" s="21" t="n">
        <f aca="false">F23593+1</f>
        <v>2027</v>
      </c>
      <c r="H23593" s="21" t="n">
        <f aca="false">G23593+1</f>
        <v>2028</v>
      </c>
      <c r="I23593" s="21" t="n">
        <f aca="false">H23593+1</f>
        <v>2029</v>
      </c>
      <c r="J23593" s="21" t="n">
        <f aca="false">I23593+1</f>
        <v>2030</v>
      </c>
      <c r="K23593" s="21" t="n">
        <f aca="false">J23593+1</f>
        <v>2031</v>
      </c>
    </row>
    <row r="23594" customFormat="false" ht="15" hidden="false" customHeight="false" outlineLevel="0" collapsed="false">
      <c r="A23594" s="3" t="s">
        <v>303</v>
      </c>
      <c r="G23594" s="21" t="n">
        <f aca="false">G23593-Assumptions!$C$6</f>
        <v>1</v>
      </c>
      <c r="H23594" s="21" t="n">
        <f aca="false">H23593-Assumptions!$C$6</f>
        <v>2</v>
      </c>
      <c r="I23594" s="21" t="n">
        <f aca="false">I23593-Assumptions!$C$6</f>
        <v>3</v>
      </c>
      <c r="J23594" s="21" t="n">
        <f aca="false">J23593-Assumptions!$C$6</f>
        <v>4</v>
      </c>
      <c r="K23594" s="21" t="n">
        <f aca="false">K23593-Assumptions!$C$6</f>
        <v>5</v>
      </c>
    </row>
    <row r="23595" customFormat="false" ht="15" hidden="false" customHeight="false" outlineLevel="0" collapsed="false">
      <c r="A23595" s="3" t="s">
        <v>180</v>
      </c>
      <c r="G23595" s="22" t="n">
        <f aca="false">CHOOSE($C$23586,Assumptions!$G$79,Assumptions!$G$98,Assumptions!$G$117)+$C$23587</f>
        <v>-0.03</v>
      </c>
      <c r="H23595" s="22" t="n">
        <f aca="false">CHOOSE($C$23586,Assumptions!$H$79,Assumptions!$H$98,Assumptions!$H$117)+$C$23587</f>
        <v>0.02</v>
      </c>
      <c r="I23595" s="22" t="n">
        <f aca="false">CHOOSE($C$23586,Assumptions!$I$79,Assumptions!$I$98,Assumptions!$I$117)+$C$23587</f>
        <v>0.02</v>
      </c>
      <c r="J23595" s="22" t="n">
        <f aca="false">CHOOSE($C$23586,Assumptions!$J$79,Assumptions!$J$98,Assumptions!$J$117)+$C$23587</f>
        <v>0.02</v>
      </c>
      <c r="K23595" s="22" t="n">
        <f aca="false">CHOOSE($C$23586,Assumptions!$K$79,Assumptions!$K$98,Assumptions!$K$117)+$C$23587</f>
        <v>0.02</v>
      </c>
    </row>
    <row r="23596" customFormat="false" ht="15" hidden="false" customHeight="false" outlineLevel="0" collapsed="false">
      <c r="A23596" s="3" t="s">
        <v>181</v>
      </c>
      <c r="G23596" s="22" t="n">
        <f aca="false">CHOOSE($C$23586,Assumptions!$G$80,Assumptions!$G$99,Assumptions!$G$118)</f>
        <v>0.603920660818678</v>
      </c>
      <c r="H23596" s="22" t="n">
        <f aca="false">CHOOSE($C$23586,Assumptions!$H$80,Assumptions!$H$99,Assumptions!$H$118)</f>
        <v>0.606920660818678</v>
      </c>
      <c r="I23596" s="22" t="n">
        <f aca="false">CHOOSE($C$23586,Assumptions!$I$80,Assumptions!$I$99,Assumptions!$I$118)</f>
        <v>0.609920660818678</v>
      </c>
      <c r="J23596" s="22" t="n">
        <f aca="false">CHOOSE($C$23586,Assumptions!$J$80,Assumptions!$J$99,Assumptions!$J$118)</f>
        <v>0.611920660818678</v>
      </c>
      <c r="K23596" s="22" t="n">
        <f aca="false">CHOOSE($C$23586,Assumptions!$K$80,Assumptions!$K$99,Assumptions!$K$118)</f>
        <v>0.613920660818678</v>
      </c>
    </row>
    <row r="23597" customFormat="false" ht="15" hidden="false" customHeight="false" outlineLevel="0" collapsed="false">
      <c r="A23597" s="3" t="s">
        <v>182</v>
      </c>
      <c r="G23597" s="22" t="n">
        <f aca="false">CHOOSE($C$23586,Assumptions!$G$81,Assumptions!$G$100,Assumptions!$G$119)+$C$23588</f>
        <v>0.53</v>
      </c>
      <c r="H23597" s="22" t="n">
        <f aca="false">CHOOSE($C$23586,Assumptions!$H$81,Assumptions!$H$100,Assumptions!$H$119)+$C$23588</f>
        <v>0.533</v>
      </c>
      <c r="I23597" s="22" t="n">
        <f aca="false">CHOOSE($C$23586,Assumptions!$I$81,Assumptions!$I$100,Assumptions!$I$119)+$C$23588</f>
        <v>0.536</v>
      </c>
      <c r="J23597" s="22" t="n">
        <f aca="false">CHOOSE($C$23586,Assumptions!$J$81,Assumptions!$J$100,Assumptions!$J$119)+$C$23588</f>
        <v>0.538</v>
      </c>
      <c r="K23597" s="22" t="n">
        <f aca="false">CHOOSE($C$23586,Assumptions!$K$81,Assumptions!$K$100,Assumptions!$K$119)+$C$23588</f>
        <v>0.54</v>
      </c>
    </row>
    <row r="23598" customFormat="false" ht="15" hidden="false" customHeight="false" outlineLevel="0" collapsed="false">
      <c r="A23598" s="24" t="s">
        <v>304</v>
      </c>
      <c r="B23598" s="25"/>
      <c r="C23598" s="25"/>
      <c r="D23598" s="25"/>
      <c r="E23598" s="25"/>
      <c r="F23598" s="25"/>
      <c r="G23598" s="25"/>
      <c r="H23598" s="25"/>
      <c r="I23598" s="25"/>
      <c r="J23598" s="25"/>
      <c r="K23598" s="25"/>
    </row>
    <row r="23599" customFormat="false" ht="15" hidden="false" customHeight="false" outlineLevel="0" collapsed="false">
      <c r="A23599" s="2" t="s">
        <v>275</v>
      </c>
      <c r="F23599" s="28" t="n">
        <f aca="false">'Historical Financials'!G25</f>
        <v>498.291</v>
      </c>
      <c r="G23599" s="17" t="n">
        <f aca="false">F23599*(1+G23595)</f>
        <v>483.34227</v>
      </c>
      <c r="H23599" s="17" t="n">
        <f aca="false">G23599*(1+H23595)</f>
        <v>493.0091154</v>
      </c>
      <c r="I23599" s="17" t="n">
        <f aca="false">H23599*(1+I23595)</f>
        <v>502.869297708</v>
      </c>
      <c r="J23599" s="17" t="n">
        <f aca="false">I23599*(1+J23595)</f>
        <v>512.92668366216</v>
      </c>
      <c r="K23599" s="17" t="n">
        <f aca="false">J23599*(1+K23595)</f>
        <v>523.185217335403</v>
      </c>
    </row>
    <row r="23600" customFormat="false" ht="15" hidden="false" customHeight="false" outlineLevel="0" collapsed="false">
      <c r="A23600" s="3" t="s">
        <v>276</v>
      </c>
      <c r="G23600" s="16" t="n">
        <f aca="false">G23599*(1-G23596)</f>
        <v>191.4418869</v>
      </c>
      <c r="H23600" s="16" t="n">
        <f aca="false">H23599*(1-H23596)</f>
        <v>193.7916972918</v>
      </c>
      <c r="I23600" s="16" t="n">
        <f aca="false">I23599*(1-I23596)</f>
        <v>196.158923344512</v>
      </c>
      <c r="J23600" s="16" t="n">
        <f aca="false">J23599*(1-J23596)</f>
        <v>199.056248444078</v>
      </c>
      <c r="K23600" s="16" t="n">
        <f aca="false">K23599*(1-K23596)</f>
        <v>201.991002978289</v>
      </c>
    </row>
    <row r="23601" customFormat="false" ht="15" hidden="false" customHeight="false" outlineLevel="0" collapsed="false">
      <c r="A23601" s="2" t="s">
        <v>277</v>
      </c>
      <c r="G23601" s="17" t="n">
        <f aca="false">G23599-G23600</f>
        <v>291.9003831</v>
      </c>
      <c r="H23601" s="17" t="n">
        <f aca="false">H23599-H23600</f>
        <v>299.2174181082</v>
      </c>
      <c r="I23601" s="17" t="n">
        <f aca="false">I23599-I23600</f>
        <v>306.710374363488</v>
      </c>
      <c r="J23601" s="17" t="n">
        <f aca="false">J23599-J23600</f>
        <v>313.870435218082</v>
      </c>
      <c r="K23601" s="17" t="n">
        <f aca="false">K23599-K23600</f>
        <v>321.194214357115</v>
      </c>
    </row>
    <row r="23602" customFormat="false" ht="15" hidden="false" customHeight="false" outlineLevel="0" collapsed="false">
      <c r="A23602" s="3" t="s">
        <v>305</v>
      </c>
      <c r="G23602" s="16" t="n">
        <f aca="false">G23601-G23603</f>
        <v>35.72898</v>
      </c>
      <c r="H23602" s="16" t="n">
        <f aca="false">H23601-H23603</f>
        <v>36.4435596</v>
      </c>
      <c r="I23602" s="16" t="n">
        <f aca="false">I23601-I23603</f>
        <v>37.172430792</v>
      </c>
      <c r="J23602" s="16" t="n">
        <f aca="false">J23601-J23603</f>
        <v>37.91587940784</v>
      </c>
      <c r="K23602" s="16" t="n">
        <f aca="false">K23601-K23603</f>
        <v>38.6741969959968</v>
      </c>
    </row>
    <row r="23603" customFormat="false" ht="15" hidden="false" customHeight="false" outlineLevel="0" collapsed="false">
      <c r="A23603" s="2" t="s">
        <v>306</v>
      </c>
      <c r="G23603" s="17" t="n">
        <f aca="false">G23599*G23597</f>
        <v>256.1714031</v>
      </c>
      <c r="H23603" s="17" t="n">
        <f aca="false">H23599*H23597</f>
        <v>262.7738585082</v>
      </c>
      <c r="I23603" s="17" t="n">
        <f aca="false">I23599*I23597</f>
        <v>269.537943571488</v>
      </c>
      <c r="J23603" s="17" t="n">
        <f aca="false">J23599*J23597</f>
        <v>275.954555810242</v>
      </c>
      <c r="K23603" s="17" t="n">
        <f aca="false">K23599*K23597</f>
        <v>282.520017361118</v>
      </c>
    </row>
    <row r="23604" customFormat="false" ht="15" hidden="false" customHeight="false" outlineLevel="0" collapsed="false">
      <c r="A23604" s="3" t="s">
        <v>307</v>
      </c>
      <c r="G23604" s="16" t="n">
        <f aca="false">G23599*'Historical Financials'!G30/'Historical Financials'!G25</f>
        <v>179.73421</v>
      </c>
      <c r="H23604" s="16" t="n">
        <f aca="false">H23599*'Historical Financials'!G30/'Historical Financials'!G25</f>
        <v>183.3288942</v>
      </c>
      <c r="I23604" s="16" t="n">
        <f aca="false">I23599*'Historical Financials'!G30/'Historical Financials'!G25</f>
        <v>186.995472084</v>
      </c>
      <c r="J23604" s="16" t="n">
        <f aca="false">J23599*'Historical Financials'!G30/'Historical Financials'!G25</f>
        <v>190.73538152568</v>
      </c>
      <c r="K23604" s="16" t="n">
        <f aca="false">K23599*'Historical Financials'!G30/'Historical Financials'!G25</f>
        <v>194.550089156194</v>
      </c>
    </row>
    <row r="23605" customFormat="false" ht="15" hidden="false" customHeight="false" outlineLevel="0" collapsed="false">
      <c r="A23605" s="3" t="s">
        <v>308</v>
      </c>
      <c r="G23605" s="16" t="n">
        <f aca="false">G23599*'Historical Financials'!G31/'Historical Financials'!G25</f>
        <v>0</v>
      </c>
      <c r="H23605" s="16" t="n">
        <f aca="false">H23599*'Historical Financials'!G31/'Historical Financials'!G25</f>
        <v>0</v>
      </c>
      <c r="I23605" s="16" t="n">
        <f aca="false">I23599*'Historical Financials'!G31/'Historical Financials'!G25</f>
        <v>0</v>
      </c>
      <c r="J23605" s="16" t="n">
        <f aca="false">J23599*'Historical Financials'!G31/'Historical Financials'!G25</f>
        <v>0</v>
      </c>
      <c r="K23605" s="16" t="n">
        <f aca="false">K23599*'Historical Financials'!G31/'Historical Financials'!G25</f>
        <v>0</v>
      </c>
    </row>
    <row r="23606" customFormat="false" ht="15" hidden="false" customHeight="false" outlineLevel="0" collapsed="false">
      <c r="A23606" s="2" t="s">
        <v>309</v>
      </c>
      <c r="G23606" s="17" t="n">
        <f aca="false">G23603-G23604-G23605</f>
        <v>76.4371931</v>
      </c>
      <c r="H23606" s="17" t="n">
        <f aca="false">H23603-H23604-H23605</f>
        <v>79.4449643082</v>
      </c>
      <c r="I23606" s="17" t="n">
        <f aca="false">I23603-I23604-I23605</f>
        <v>82.542471487488</v>
      </c>
      <c r="J23606" s="17" t="n">
        <f aca="false">J23603-J23604-J23605</f>
        <v>85.2191742845621</v>
      </c>
      <c r="K23606" s="17" t="n">
        <f aca="false">K23603-K23604-K23605</f>
        <v>87.9699282049242</v>
      </c>
    </row>
    <row r="23607" customFormat="false" ht="15" hidden="false" customHeight="false" outlineLevel="0" collapsed="false">
      <c r="A23607" s="3" t="s">
        <v>310</v>
      </c>
      <c r="G23607" s="16" t="n">
        <f aca="false">G23633+G23646+G23659+G23672+G23685+G23698+G23711+G23724+G23737+G23750</f>
        <v>184.9957854</v>
      </c>
      <c r="H23607" s="16" t="n">
        <f aca="false">H23633+H23646+H23659+H23672+H23685+H23698+H23711+H23724+H23737+H23750</f>
        <v>183.8778704</v>
      </c>
      <c r="I23607" s="16" t="n">
        <f aca="false">I23633+I23646+I23659+I23672+I23685+I23698+I23711+I23724+I23737+I23750</f>
        <v>196.856693509904</v>
      </c>
      <c r="J23607" s="16" t="n">
        <f aca="false">J23633+J23646+J23659+J23672+J23685+J23698+J23711+J23724+J23737+J23750</f>
        <v>197.435442964468</v>
      </c>
      <c r="K23607" s="16" t="n">
        <f aca="false">K23633+K23646+K23659+K23672+K23685+K23698+K23711+K23724+K23737+K23750</f>
        <v>216.700178385488</v>
      </c>
    </row>
    <row r="23608" customFormat="false" ht="15" hidden="false" customHeight="false" outlineLevel="0" collapsed="false">
      <c r="A23608" s="3" t="s">
        <v>311</v>
      </c>
      <c r="G23608" s="16" t="n">
        <f aca="false">G23634+G23647+G23660+G23673+G23686+G23699+G23712+G23725+G23738+G23751</f>
        <v>0</v>
      </c>
      <c r="H23608" s="16" t="n">
        <f aca="false">H23634+H23647+H23660+H23673+H23686+H23699+H23712+H23725+H23738+H23751</f>
        <v>0</v>
      </c>
      <c r="I23608" s="16" t="n">
        <f aca="false">I23634+I23647+I23660+I23673+I23686+I23699+I23712+I23725+I23738+I23751</f>
        <v>0</v>
      </c>
      <c r="J23608" s="16" t="n">
        <f aca="false">J23634+J23647+J23660+J23673+J23686+J23699+J23712+J23725+J23738+J23751</f>
        <v>0</v>
      </c>
      <c r="K23608" s="16" t="n">
        <f aca="false">K23634+K23647+K23660+K23673+K23686+K23699+K23712+K23725+K23738+K23751</f>
        <v>0</v>
      </c>
    </row>
    <row r="23609" customFormat="false" ht="15" hidden="false" customHeight="false" outlineLevel="0" collapsed="false">
      <c r="A23609" s="3" t="s">
        <v>283</v>
      </c>
      <c r="G23609" s="16" t="n">
        <f aca="false">G23607+G23608</f>
        <v>184.9957854</v>
      </c>
      <c r="H23609" s="16" t="n">
        <f aca="false">H23607+H23608</f>
        <v>183.8778704</v>
      </c>
      <c r="I23609" s="16" t="n">
        <f aca="false">I23607+I23608</f>
        <v>196.856693509904</v>
      </c>
      <c r="J23609" s="16" t="n">
        <f aca="false">J23607+J23608</f>
        <v>197.435442964468</v>
      </c>
      <c r="K23609" s="16" t="n">
        <f aca="false">K23607+K23608</f>
        <v>216.700178385488</v>
      </c>
    </row>
    <row r="23610" customFormat="false" ht="15" hidden="false" customHeight="false" outlineLevel="0" collapsed="false">
      <c r="A23610" s="2" t="s">
        <v>284</v>
      </c>
      <c r="G23610" s="17" t="n">
        <f aca="false">G23606-G23609</f>
        <v>-108.5585923</v>
      </c>
      <c r="H23610" s="17" t="n">
        <f aca="false">H23606-H23609</f>
        <v>-104.4329060918</v>
      </c>
      <c r="I23610" s="17" t="n">
        <f aca="false">I23606-I23609</f>
        <v>-114.314222022416</v>
      </c>
      <c r="J23610" s="17" t="n">
        <f aca="false">J23606-J23609</f>
        <v>-112.216268679906</v>
      </c>
      <c r="K23610" s="17" t="n">
        <f aca="false">K23606-K23609</f>
        <v>-128.730250180563</v>
      </c>
    </row>
    <row r="23611" customFormat="false" ht="15" hidden="false" customHeight="false" outlineLevel="0" collapsed="false">
      <c r="A23611" s="3" t="s">
        <v>312</v>
      </c>
      <c r="G23611" s="16" t="n">
        <f aca="false">MAX(0,G23610)*Assumptions!$C$9</f>
        <v>0</v>
      </c>
      <c r="H23611" s="16" t="n">
        <f aca="false">MAX(0,H23610)*Assumptions!$C$9</f>
        <v>0</v>
      </c>
      <c r="I23611" s="16" t="n">
        <f aca="false">MAX(0,I23610)*Assumptions!$C$9</f>
        <v>0</v>
      </c>
      <c r="J23611" s="16" t="n">
        <f aca="false">MAX(0,J23610)*Assumptions!$C$9</f>
        <v>0</v>
      </c>
      <c r="K23611" s="16" t="n">
        <f aca="false">MAX(0,K23610)*Assumptions!$C$9</f>
        <v>0</v>
      </c>
    </row>
    <row r="23612" customFormat="false" ht="15" hidden="false" customHeight="false" outlineLevel="0" collapsed="false">
      <c r="A23612" s="2" t="s">
        <v>313</v>
      </c>
      <c r="G23612" s="17" t="n">
        <f aca="false">G23610-G23611</f>
        <v>-108.5585923</v>
      </c>
      <c r="H23612" s="17" t="n">
        <f aca="false">H23610-H23611</f>
        <v>-104.4329060918</v>
      </c>
      <c r="I23612" s="17" t="n">
        <f aca="false">I23610-I23611</f>
        <v>-114.314222022416</v>
      </c>
      <c r="J23612" s="17" t="n">
        <f aca="false">J23610-J23611</f>
        <v>-112.216268679906</v>
      </c>
      <c r="K23612" s="17" t="n">
        <f aca="false">K23610-K23611</f>
        <v>-128.730250180563</v>
      </c>
    </row>
    <row r="23613" customFormat="false" ht="15" hidden="false" customHeight="false" outlineLevel="0" collapsed="false">
      <c r="A23613" s="24" t="s">
        <v>314</v>
      </c>
      <c r="B23613" s="25"/>
      <c r="C23613" s="25"/>
      <c r="D23613" s="25"/>
      <c r="E23613" s="25"/>
      <c r="F23613" s="25"/>
      <c r="G23613" s="25"/>
      <c r="H23613" s="25"/>
      <c r="I23613" s="25"/>
      <c r="J23613" s="25"/>
      <c r="K23613" s="25"/>
    </row>
    <row r="23614" customFormat="false" ht="15" hidden="false" customHeight="false" outlineLevel="0" collapsed="false">
      <c r="A23614" s="3" t="s">
        <v>184</v>
      </c>
      <c r="G23614" s="16" t="n">
        <f aca="false">G23599*CHOOSE($C$23586,Assumptions!$C$83,Assumptions!$C$102,Assumptions!$C$121)</f>
        <v>106.3352994</v>
      </c>
      <c r="H23614" s="16" t="n">
        <f aca="false">H23599*CHOOSE($C$23586,Assumptions!$C$83,Assumptions!$C$102,Assumptions!$C$121)</f>
        <v>108.462005388</v>
      </c>
      <c r="I23614" s="16" t="n">
        <f aca="false">I23599*CHOOSE($C$23586,Assumptions!$C$83,Assumptions!$C$102,Assumptions!$C$121)</f>
        <v>110.63124549576</v>
      </c>
      <c r="J23614" s="16" t="n">
        <f aca="false">J23599*CHOOSE($C$23586,Assumptions!$C$83,Assumptions!$C$102,Assumptions!$C$121)</f>
        <v>112.843870405675</v>
      </c>
      <c r="K23614" s="16" t="n">
        <f aca="false">K23599*CHOOSE($C$23586,Assumptions!$C$83,Assumptions!$C$102,Assumptions!$C$121)</f>
        <v>115.100747813789</v>
      </c>
    </row>
    <row r="23615" customFormat="false" ht="15" hidden="false" customHeight="false" outlineLevel="0" collapsed="false">
      <c r="A23615" s="3" t="s">
        <v>315</v>
      </c>
      <c r="G23615" s="16" t="n">
        <f aca="false">CHOOSE($C$23586,Assumptions!$C$84,Assumptions!$C$103,Assumptions!$C$122)*(G23599-F23599)+CHOOSE($C$23586,Assumptions!$C$85,Assumptions!$C$104,Assumptions!$C$123)*G23599</f>
        <v>53.1676497</v>
      </c>
      <c r="H23615" s="16" t="n">
        <f aca="false">CHOOSE($C$23586,Assumptions!$C$84,Assumptions!$C$103,Assumptions!$C$122)*(H23599-G23599)+CHOOSE($C$23586,Assumptions!$C$85,Assumptions!$C$104,Assumptions!$C$123)*H23599</f>
        <v>54.231002694</v>
      </c>
      <c r="I23615" s="16" t="n">
        <f aca="false">CHOOSE($C$23586,Assumptions!$C$84,Assumptions!$C$103,Assumptions!$C$122)*(I23599-H23599)+CHOOSE($C$23586,Assumptions!$C$85,Assumptions!$C$104,Assumptions!$C$123)*I23599</f>
        <v>55.31562274788</v>
      </c>
      <c r="J23615" s="16" t="n">
        <f aca="false">CHOOSE($C$23586,Assumptions!$C$84,Assumptions!$C$103,Assumptions!$C$122)*(J23599-I23599)+CHOOSE($C$23586,Assumptions!$C$85,Assumptions!$C$104,Assumptions!$C$123)*J23599</f>
        <v>56.4219352028376</v>
      </c>
      <c r="K23615" s="16" t="n">
        <f aca="false">CHOOSE($C$23586,Assumptions!$C$84,Assumptions!$C$103,Assumptions!$C$122)*(K23599-J23599)+CHOOSE($C$23586,Assumptions!$C$85,Assumptions!$C$104,Assumptions!$C$123)*K23599</f>
        <v>57.5503739068944</v>
      </c>
    </row>
    <row r="23616" customFormat="false" ht="15" hidden="false" customHeight="false" outlineLevel="0" collapsed="false">
      <c r="A23616" s="2" t="s">
        <v>316</v>
      </c>
      <c r="G23616" s="17" t="n">
        <f aca="false">G23612+G23604+G23605+G23608-G23614-G23615</f>
        <v>-88.3273314</v>
      </c>
      <c r="H23616" s="17" t="n">
        <f aca="false">H23612+H23604+H23605+H23608-H23614-H23615</f>
        <v>-83.7970199738</v>
      </c>
      <c r="I23616" s="17" t="n">
        <f aca="false">I23612+I23604+I23605+I23608-I23614-I23615</f>
        <v>-93.265618182056</v>
      </c>
      <c r="J23616" s="17" t="n">
        <f aca="false">J23612+J23604+J23605+J23608-J23614-J23615</f>
        <v>-90.7466927627391</v>
      </c>
      <c r="K23616" s="17" t="n">
        <f aca="false">K23612+K23604+K23605+K23608-K23614-K23615</f>
        <v>-106.831282745053</v>
      </c>
    </row>
    <row r="23618" customFormat="false" ht="15" hidden="false" customHeight="false" outlineLevel="0" collapsed="false">
      <c r="A23618" s="24" t="s">
        <v>318</v>
      </c>
      <c r="B23618" s="25"/>
      <c r="C23618" s="25"/>
      <c r="D23618" s="25"/>
      <c r="E23618" s="25"/>
      <c r="F23618" s="25"/>
      <c r="G23618" s="25"/>
      <c r="H23618" s="25"/>
      <c r="I23618" s="25"/>
      <c r="J23618" s="25"/>
      <c r="K23618" s="25"/>
    </row>
    <row r="23619" customFormat="false" ht="15" hidden="false" customHeight="false" outlineLevel="0" collapsed="false">
      <c r="A23619" s="3" t="s">
        <v>319</v>
      </c>
      <c r="G23619" s="30" t="n">
        <f aca="false">Assumptions!$G$53</f>
        <v>0.039</v>
      </c>
      <c r="H23619" s="30" t="n">
        <f aca="false">Assumptions!$H$53</f>
        <v>0.0375</v>
      </c>
      <c r="I23619" s="30" t="n">
        <f aca="false">Assumptions!$I$53</f>
        <v>0.035</v>
      </c>
      <c r="J23619" s="30" t="n">
        <f aca="false">Assumptions!$J$53</f>
        <v>0.035</v>
      </c>
      <c r="K23619" s="30" t="n">
        <f aca="false">Assumptions!$K$53</f>
        <v>0.035</v>
      </c>
    </row>
    <row r="23620" customFormat="false" ht="15" hidden="false" customHeight="false" outlineLevel="0" collapsed="false">
      <c r="A23620" s="3" t="s">
        <v>320</v>
      </c>
      <c r="C23620" s="31" t="n">
        <f aca="false">CHOOSE($C$23586,Assumptions!$C$86,Assumptions!$C$105,Assumptions!$C$124)+$C$23589</f>
        <v>0.01</v>
      </c>
    </row>
    <row r="23621" customFormat="false" ht="15" hidden="false" customHeight="false" outlineLevel="0" collapsed="false">
      <c r="A23621" s="3" t="s">
        <v>321</v>
      </c>
      <c r="C23621" s="31" t="n">
        <f aca="false">CHOOSE($C$23586,Assumptions!$C$87,Assumptions!$C$106,Assumptions!$C$125)</f>
        <v>0.08</v>
      </c>
    </row>
    <row r="23622" customFormat="false" ht="15" hidden="false" customHeight="false" outlineLevel="0" collapsed="false">
      <c r="A23622" s="3" t="s">
        <v>322</v>
      </c>
      <c r="C23622" s="32" t="n">
        <f aca="false">CHOOSE($C$23586,Assumptions!$C$88,Assumptions!$C$107,Assumptions!$C$126)</f>
        <v>11</v>
      </c>
    </row>
    <row r="23623" customFormat="false" ht="15" hidden="false" customHeight="false" outlineLevel="0" collapsed="false">
      <c r="A23623" s="3" t="s">
        <v>323</v>
      </c>
      <c r="C23623" s="32" t="n">
        <f aca="false">CHOOSE($C$23586,Assumptions!$C$89,Assumptions!$C$108,Assumptions!$C$127)</f>
        <v>1.2</v>
      </c>
    </row>
    <row r="23624" customFormat="false" ht="15" hidden="false" customHeight="false" outlineLevel="0" collapsed="false">
      <c r="A23624" s="3" t="s">
        <v>324</v>
      </c>
      <c r="G23624" s="16" t="n">
        <f aca="false">G23629+G23642+G23655+G23668+G23681+G23694+G23707+G23720+G23733+G23746</f>
        <v>2625.934</v>
      </c>
      <c r="H23624" s="16" t="n">
        <f aca="false">H23629+H23642+H23655+H23668+H23681+H23694+H23707+H23720+H23733+H23746</f>
        <v>2621.934</v>
      </c>
      <c r="I23624" s="16" t="n">
        <f aca="false">I23629+I23642+I23655+I23668+I23681+I23694+I23707+I23720+I23733+I23746</f>
        <v>2585.1883513738</v>
      </c>
      <c r="J23624" s="16" t="n">
        <f aca="false">J23629+J23642+J23655+J23668+J23681+J23694+J23707+J23720+J23733+J23746</f>
        <v>2653.45396955586</v>
      </c>
      <c r="K23624" s="16" t="n">
        <f aca="false">K23629+K23642+K23655+K23668+K23681+K23694+K23707+K23720+K23733+K23746</f>
        <v>2744.2006623186</v>
      </c>
    </row>
    <row r="23625" customFormat="false" ht="15" hidden="false" customHeight="false" outlineLevel="0" collapsed="false">
      <c r="A23625" s="3" t="s">
        <v>325</v>
      </c>
      <c r="G23625" s="16" t="n">
        <f aca="false">F23817</f>
        <v>37.87</v>
      </c>
      <c r="H23625" s="16" t="n">
        <f aca="false">G23817</f>
        <v>145.5426686</v>
      </c>
      <c r="I23625" s="16" t="n">
        <f aca="false">H23817</f>
        <v>25</v>
      </c>
      <c r="J23625" s="16" t="n">
        <f aca="false">I23817</f>
        <v>0</v>
      </c>
      <c r="K23625" s="16" t="n">
        <f aca="false">J23817</f>
        <v>0</v>
      </c>
    </row>
    <row r="23626" customFormat="false" ht="15" hidden="false" customHeight="false" outlineLevel="0" collapsed="false">
      <c r="A23626" s="3" t="s">
        <v>326</v>
      </c>
      <c r="G23626" s="16" t="n">
        <f aca="false">G23629*IF(G23630=1,$C$23621,IF(Assumptions!$I$57=1,MAX(G23619,Assumptions!$G$57)+Assumptions!$F$57+$C$23620,Assumptions!$E$57))+G23642*IF(G23643=1,$C$23621,IF(Assumptions!$I$58=1,MAX(G23619,Assumptions!$G$58)+Assumptions!$F$58+$C$23620,Assumptions!$E$58))+G23655*IF(G23656=1,$C$23621,IF(Assumptions!$I$59=1,MAX(G23619,Assumptions!$G$59)+Assumptions!$F$59+$C$23620,Assumptions!$E$59))+G23668*IF(G23669=1,$C$23621,IF(Assumptions!$I$60=1,MAX(G23619,Assumptions!$G$60)+Assumptions!$F$60+$C$23620,Assumptions!$E$60))+G23681*IF(G23682=1,$C$23621,IF(Assumptions!$I$61=1,MAX(G23619,Assumptions!$G$61)+Assumptions!$F$61+$C$23620,Assumptions!$E$61))+G23694*IF(G23695=1,$C$23621,IF(Assumptions!$I$62=1,MAX(G23619,Assumptions!$G$62)+Assumptions!$F$62+$C$23620,Assumptions!$E$62))+G23707*IF(G23708=1,$C$23621,IF(Assumptions!$I$63=1,MAX(G23619,Assumptions!$G$63)+Assumptions!$F$63+$C$23620,Assumptions!$E$63))+G23720*IF(G23721=1,$C$23621,IF(Assumptions!$I$64=1,MAX(G23619,Assumptions!$G$64)+Assumptions!$F$64+$C$23620,Assumptions!$E$64))+G23733*IF(G23734=1,$C$23621,IF(Assumptions!$I$65=1,MAX(G23619,Assumptions!$G$65)+Assumptions!$F$65+$C$23620,Assumptions!$E$65))+G23746*IF(G23747=1,$C$23621,IF(Assumptions!$I$66=1,MAX(G23619,Assumptions!$G$66)+Assumptions!$F$66+$C$23620,Assumptions!$E$66))</f>
        <v>184.9957854</v>
      </c>
      <c r="H23626" s="16" t="n">
        <f aca="false">H23629*IF(OR(H23630=1,G23939=1),$C$23621,IF(Assumptions!$I$57=1,MAX(H23619,Assumptions!$G$57)+Assumptions!$F$57+$C$23620,Assumptions!$E$57))+H23642*IF(OR(H23643=1,G23940=1),$C$23621,IF(Assumptions!$I$58=1,MAX(H23619,Assumptions!$G$58)+Assumptions!$F$58+$C$23620,Assumptions!$E$58))+H23655*IF(OR(H23656=1,G23941=1),$C$23621,IF(Assumptions!$I$59=1,MAX(H23619,Assumptions!$G$59)+Assumptions!$F$59+$C$23620,Assumptions!$E$59))+H23668*IF(OR(H23669=1,G23942=1),$C$23621,IF(Assumptions!$I$60=1,MAX(H23619,Assumptions!$G$60)+Assumptions!$F$60+$C$23620,Assumptions!$E$60))+H23681*IF(OR(H23682=1,G23943=1),$C$23621,IF(Assumptions!$I$61=1,MAX(H23619,Assumptions!$G$61)+Assumptions!$F$61+$C$23620,Assumptions!$E$61))+H23694*IF(OR(H23695=1,G23944=1),$C$23621,IF(Assumptions!$I$62=1,MAX(H23619,Assumptions!$G$62)+Assumptions!$F$62+$C$23620,Assumptions!$E$62))+H23707*IF(OR(H23708=1,G23945=1),$C$23621,IF(Assumptions!$I$63=1,MAX(H23619,Assumptions!$G$63)+Assumptions!$F$63+$C$23620,Assumptions!$E$63))+H23720*IF(OR(H23721=1,G23946=1),$C$23621,IF(Assumptions!$I$64=1,MAX(H23619,Assumptions!$G$64)+Assumptions!$F$64+$C$23620,Assumptions!$E$64))+H23733*IF(OR(H23734=1,G23947=1),$C$23621,IF(Assumptions!$I$65=1,MAX(H23619,Assumptions!$G$65)+Assumptions!$F$65+$C$23620,Assumptions!$E$65))+H23746*IF(OR(H23747=1,G23948=1),$C$23621,IF(Assumptions!$I$66=1,MAX(H23619,Assumptions!$G$66)+Assumptions!$F$66+$C$23620,Assumptions!$E$66))</f>
        <v>201.0528704</v>
      </c>
      <c r="I23626" s="16" t="n">
        <f aca="false">I23629*IF(OR(I23630=1,H23939=1),$C$23621,IF(Assumptions!$I$57=1,MAX(I23619,Assumptions!$G$57)+Assumptions!$F$57+$C$23620,Assumptions!$E$57))+I23642*IF(OR(I23643=1,H23940=1),$C$23621,IF(Assumptions!$I$58=1,MAX(I23619,Assumptions!$G$58)+Assumptions!$F$58+$C$23620,Assumptions!$E$58))+I23655*IF(OR(I23656=1,H23941=1),$C$23621,IF(Assumptions!$I$59=1,MAX(I23619,Assumptions!$G$59)+Assumptions!$F$59+$C$23620,Assumptions!$E$59))+I23668*IF(OR(I23669=1,H23942=1),$C$23621,IF(Assumptions!$I$60=1,MAX(I23619,Assumptions!$G$60)+Assumptions!$F$60+$C$23620,Assumptions!$E$60))+I23681*IF(OR(I23682=1,H23943=1),$C$23621,IF(Assumptions!$I$61=1,MAX(I23619,Assumptions!$G$61)+Assumptions!$F$61+$C$23620,Assumptions!$E$61))+I23694*IF(OR(I23695=1,H23944=1),$C$23621,IF(Assumptions!$I$62=1,MAX(I23619,Assumptions!$G$62)+Assumptions!$F$62+$C$23620,Assumptions!$E$62))+I23707*IF(OR(I23708=1,H23945=1),$C$23621,IF(Assumptions!$I$63=1,MAX(I23619,Assumptions!$G$63)+Assumptions!$F$63+$C$23620,Assumptions!$E$63))+I23720*IF(OR(I23721=1,H23946=1),$C$23621,IF(Assumptions!$I$64=1,MAX(I23619,Assumptions!$G$64)+Assumptions!$F$64+$C$23620,Assumptions!$E$64))+I23733*IF(OR(I23734=1,H23947=1),$C$23621,IF(Assumptions!$I$65=1,MAX(I23619,Assumptions!$G$65)+Assumptions!$F$65+$C$23620,Assumptions!$E$65))+I23746*IF(OR(I23747=1,H23948=1),$C$23621,IF(Assumptions!$I$66=1,MAX(I23619,Assumptions!$G$66)+Assumptions!$F$66+$C$23620,Assumptions!$E$66))</f>
        <v>192.044193509904</v>
      </c>
      <c r="J23626" s="16" t="n">
        <f aca="false">J23629*IF(OR(J23630=1,I23939=1),$C$23621,IF(Assumptions!$I$57=1,MAX(J23619,Assumptions!$G$57)+Assumptions!$F$57+$C$23620,Assumptions!$E$57))+J23642*IF(OR(J23643=1,I23940=1),$C$23621,IF(Assumptions!$I$58=1,MAX(J23619,Assumptions!$G$58)+Assumptions!$F$58+$C$23620,Assumptions!$E$58))+J23655*IF(OR(J23656=1,I23941=1),$C$23621,IF(Assumptions!$I$59=1,MAX(J23619,Assumptions!$G$59)+Assumptions!$F$59+$C$23620,Assumptions!$E$59))+J23668*IF(OR(J23669=1,I23942=1),$C$23621,IF(Assumptions!$I$60=1,MAX(J23619,Assumptions!$G$60)+Assumptions!$F$60+$C$23620,Assumptions!$E$60))+J23681*IF(OR(J23682=1,I23943=1),$C$23621,IF(Assumptions!$I$61=1,MAX(J23619,Assumptions!$G$61)+Assumptions!$F$61+$C$23620,Assumptions!$E$61))+J23694*IF(OR(J23695=1,I23944=1),$C$23621,IF(Assumptions!$I$62=1,MAX(J23619,Assumptions!$G$62)+Assumptions!$F$62+$C$23620,Assumptions!$E$62))+J23707*IF(OR(J23708=1,I23945=1),$C$23621,IF(Assumptions!$I$63=1,MAX(J23619,Assumptions!$G$63)+Assumptions!$F$63+$C$23620,Assumptions!$E$63))+J23720*IF(OR(J23721=1,I23946=1),$C$23621,IF(Assumptions!$I$64=1,MAX(J23619,Assumptions!$G$64)+Assumptions!$F$64+$C$23620,Assumptions!$E$64))+J23733*IF(OR(J23734=1,I23947=1),$C$23621,IF(Assumptions!$I$65=1,MAX(J23619,Assumptions!$G$65)+Assumptions!$F$65+$C$23620,Assumptions!$E$65))+J23746*IF(OR(J23747=1,I23948=1),$C$23621,IF(Assumptions!$I$66=1,MAX(J23619,Assumptions!$G$66)+Assumptions!$F$66+$C$23620,Assumptions!$E$66))</f>
        <v>209.510442964468</v>
      </c>
      <c r="K23626" s="16" t="n">
        <f aca="false">K23629*IF(OR(K23630=1,J23939=1),$C$23621,IF(Assumptions!$I$57=1,MAX(K23619,Assumptions!$G$57)+Assumptions!$F$57+$C$23620,Assumptions!$E$57))+K23642*IF(OR(K23643=1,J23940=1),$C$23621,IF(Assumptions!$I$58=1,MAX(K23619,Assumptions!$G$58)+Assumptions!$F$58+$C$23620,Assumptions!$E$58))+K23655*IF(OR(K23656=1,J23941=1),$C$23621,IF(Assumptions!$I$59=1,MAX(K23619,Assumptions!$G$59)+Assumptions!$F$59+$C$23620,Assumptions!$E$59))+K23668*IF(OR(K23669=1,J23942=1),$C$23621,IF(Assumptions!$I$60=1,MAX(K23619,Assumptions!$G$60)+Assumptions!$F$60+$C$23620,Assumptions!$E$60))+K23681*IF(OR(K23682=1,J23943=1),$C$23621,IF(Assumptions!$I$61=1,MAX(K23619,Assumptions!$G$61)+Assumptions!$F$61+$C$23620,Assumptions!$E$61))+K23694*IF(OR(K23695=1,J23944=1),$C$23621,IF(Assumptions!$I$62=1,MAX(K23619,Assumptions!$G$62)+Assumptions!$F$62+$C$23620,Assumptions!$E$62))+K23707*IF(OR(K23708=1,J23945=1),$C$23621,IF(Assumptions!$I$63=1,MAX(K23619,Assumptions!$G$63)+Assumptions!$F$63+$C$23620,Assumptions!$E$63))+K23720*IF(OR(K23721=1,J23946=1),$C$23621,IF(Assumptions!$I$64=1,MAX(K23619,Assumptions!$G$64)+Assumptions!$F$64+$C$23620,Assumptions!$E$64))+K23733*IF(OR(K23734=1,J23947=1),$C$23621,IF(Assumptions!$I$65=1,MAX(K23619,Assumptions!$G$65)+Assumptions!$F$65+$C$23620,Assumptions!$E$65))+K23746*IF(OR(K23747=1,J23948=1),$C$23621,IF(Assumptions!$I$66=1,MAX(K23619,Assumptions!$G$66)+Assumptions!$F$66+$C$23620,Assumptions!$E$66))</f>
        <v>215.605178385488</v>
      </c>
    </row>
    <row r="23627" customFormat="false" ht="15" hidden="false" customHeight="false" outlineLevel="0" collapsed="false">
      <c r="A23627" s="3" t="s">
        <v>327</v>
      </c>
      <c r="G23627" s="21" t="n">
        <f aca="false">IF(G23603&lt;=0,0,IF(AND((G23624-G23625)/G23603&lt;=$C$23622,G23603/G23626&gt;=$C$23623),1,0))</f>
        <v>1</v>
      </c>
      <c r="H23627" s="21" t="n">
        <f aca="false">IF(H23603&lt;=0,0,IF(AND((H23624-H23625)/H23603&lt;=$C$23622,H23603/H23626&gt;=$C$23623),1,0))</f>
        <v>1</v>
      </c>
      <c r="I23627" s="21" t="n">
        <f aca="false">IF(I23603&lt;=0,0,IF(AND((I23624-I23625)/I23603&lt;=$C$23622,I23603/I23626&gt;=$C$23623),1,0))</f>
        <v>1</v>
      </c>
      <c r="J23627" s="21" t="n">
        <f aca="false">IF(J23603&lt;=0,0,IF(AND((J23624-J23625)/J23603&lt;=$C$23622,J23603/J23626&gt;=$C$23623),1,0))</f>
        <v>1</v>
      </c>
      <c r="K23627" s="21" t="n">
        <f aca="false">IF(K23603&lt;=0,0,IF(AND((K23624-K23625)/K23603&lt;=$C$23622,K23603/K23626&gt;=$C$23623),1,0))</f>
        <v>1</v>
      </c>
    </row>
    <row r="23628" customFormat="false" ht="15" hidden="false" customHeight="false" outlineLevel="0" collapsed="false">
      <c r="A23628" s="24" t="s">
        <v>328</v>
      </c>
      <c r="B23628" s="25"/>
      <c r="C23628" s="25"/>
      <c r="D23628" s="25"/>
      <c r="E23628" s="25"/>
      <c r="F23628" s="25"/>
      <c r="G23628" s="25"/>
      <c r="H23628" s="25"/>
      <c r="I23628" s="25"/>
      <c r="J23628" s="25"/>
      <c r="K23628" s="25"/>
    </row>
    <row r="23629" customFormat="false" ht="15" hidden="false" customHeight="false" outlineLevel="0" collapsed="false">
      <c r="A23629" s="3" t="s">
        <v>329</v>
      </c>
      <c r="G23629" s="16" t="n">
        <f aca="false">F23640</f>
        <v>400</v>
      </c>
      <c r="H23629" s="16" t="n">
        <f aca="false">G23640</f>
        <v>396</v>
      </c>
      <c r="I23629" s="16" t="n">
        <f aca="false">H23640</f>
        <v>392</v>
      </c>
      <c r="J23629" s="16" t="n">
        <f aca="false">I23640</f>
        <v>388</v>
      </c>
      <c r="K23629" s="16" t="n">
        <f aca="false">J23640</f>
        <v>384</v>
      </c>
    </row>
    <row r="23630" customFormat="false" ht="15" hidden="false" customHeight="false" outlineLevel="0" collapsed="false">
      <c r="A23630" s="3" t="s">
        <v>330</v>
      </c>
      <c r="G23630" s="21" t="n">
        <f aca="false">IF(G23593=Assumptions!$K$57,1,0)</f>
        <v>0</v>
      </c>
      <c r="H23630" s="21" t="n">
        <f aca="false">IF(H23593=Assumptions!$K$57,1,0)</f>
        <v>0</v>
      </c>
      <c r="I23630" s="21" t="n">
        <f aca="false">IF(I23593=Assumptions!$K$57,1,0)</f>
        <v>0</v>
      </c>
      <c r="J23630" s="21" t="n">
        <f aca="false">IF(J23593=Assumptions!$K$57,1,0)</f>
        <v>0</v>
      </c>
      <c r="K23630" s="21" t="n">
        <f aca="false">IF(K23593=Assumptions!$K$57,1,0)</f>
        <v>1</v>
      </c>
    </row>
    <row r="23632" customFormat="false" ht="15" hidden="false" customHeight="false" outlineLevel="0" collapsed="false">
      <c r="A23632" s="3" t="s">
        <v>331</v>
      </c>
      <c r="G23632" s="31" t="n">
        <f aca="false">IF(Assumptions!$I$57=1,MAX(G23619,Assumptions!$G$57)+Assumptions!$F$57+$C$23620,Assumptions!$E$57)</f>
        <v>0.1015</v>
      </c>
      <c r="H23632" s="31" t="n">
        <f aca="false">IF(G23939=1,$C$23621,IF(Assumptions!$I$57=1,MAX(H23619,Assumptions!$G$57)+Assumptions!$F$57+$C$23620,Assumptions!$E$57))</f>
        <v>0.1</v>
      </c>
      <c r="I23632" s="31" t="n">
        <f aca="false">IF(H23939=1,$C$23621,IF(Assumptions!$I$57=1,MAX(I23619,Assumptions!$G$57)+Assumptions!$F$57+$C$23620,Assumptions!$E$57))</f>
        <v>0.0975</v>
      </c>
      <c r="J23632" s="31" t="n">
        <f aca="false">IF(I23939=1,$C$23621,IF(Assumptions!$I$57=1,MAX(J23619,Assumptions!$G$57)+Assumptions!$F$57+$C$23620,Assumptions!$E$57))</f>
        <v>0.0975</v>
      </c>
      <c r="K23632" s="31" t="n">
        <f aca="false">IF(J23939=1,$C$23621,IF(Assumptions!$I$57=1,MAX(K23619,Assumptions!$G$57)+Assumptions!$F$57+$C$23620,Assumptions!$E$57))</f>
        <v>0.0975</v>
      </c>
    </row>
    <row r="23633" customFormat="false" ht="15" hidden="false" customHeight="false" outlineLevel="0" collapsed="false">
      <c r="A23633" s="3" t="s">
        <v>332</v>
      </c>
      <c r="G23633" s="16" t="n">
        <f aca="false">G23629*G23632</f>
        <v>40.6</v>
      </c>
      <c r="H23633" s="16" t="n">
        <f aca="false">H23629*H23632</f>
        <v>39.6</v>
      </c>
      <c r="I23633" s="16" t="n">
        <f aca="false">I23629*I23632</f>
        <v>38.22</v>
      </c>
      <c r="J23633" s="16" t="n">
        <f aca="false">J23629*J23632</f>
        <v>37.83</v>
      </c>
      <c r="K23633" s="16" t="n">
        <f aca="false">K23629*K23632</f>
        <v>37.44</v>
      </c>
    </row>
    <row r="23634" customFormat="false" ht="15" hidden="false" customHeight="false" outlineLevel="0" collapsed="false">
      <c r="A23634" s="3" t="s">
        <v>333</v>
      </c>
      <c r="G23634" s="16" t="n">
        <f aca="false">G23629*Assumptions!$H$57</f>
        <v>0</v>
      </c>
      <c r="H23634" s="16" t="n">
        <f aca="false">H23629*Assumptions!$H$57</f>
        <v>0</v>
      </c>
      <c r="I23634" s="16" t="n">
        <f aca="false">I23629*Assumptions!$H$57</f>
        <v>0</v>
      </c>
      <c r="J23634" s="16" t="n">
        <f aca="false">J23629*Assumptions!$H$57</f>
        <v>0</v>
      </c>
      <c r="K23634" s="16" t="n">
        <f aca="false">K23629*Assumptions!$H$57</f>
        <v>0</v>
      </c>
    </row>
    <row r="23635" customFormat="false" ht="15" hidden="false" customHeight="false" outlineLevel="0" collapsed="false">
      <c r="A23635" s="3" t="s">
        <v>334</v>
      </c>
      <c r="G23635" s="16" t="n">
        <f aca="false">MIN(G23629,Assumptions!$L$57*Assumptions!$C$57)</f>
        <v>4</v>
      </c>
      <c r="H23635" s="16" t="n">
        <f aca="false">MIN(H23629,Assumptions!$L$57*Assumptions!$C$57)</f>
        <v>4</v>
      </c>
      <c r="I23635" s="16" t="n">
        <f aca="false">MIN(I23629,Assumptions!$L$57*Assumptions!$C$57)</f>
        <v>4</v>
      </c>
      <c r="J23635" s="16" t="n">
        <f aca="false">MIN(J23629,Assumptions!$L$57*Assumptions!$C$57)</f>
        <v>4</v>
      </c>
      <c r="K23635" s="16" t="n">
        <f aca="false">MIN(K23629,Assumptions!$L$57*Assumptions!$C$57)</f>
        <v>4</v>
      </c>
    </row>
    <row r="23636" customFormat="false" ht="15" hidden="false" customHeight="false" outlineLevel="0" collapsed="false">
      <c r="A23636" s="3" t="s">
        <v>335</v>
      </c>
      <c r="G23636" s="16" t="n">
        <f aca="false">IF(AND(Assumptions!$P$57=1,G23593&lt;Assumptions!$K$57),MIN(MAX(0,-G23809),MAX(0,Assumptions!$D$57-G23629)),0)</f>
        <v>0</v>
      </c>
      <c r="H23636" s="16" t="n">
        <f aca="false">IF(AND(Assumptions!$P$57=1,OR(H23593&lt;Assumptions!$K$57,G23939=1)),MIN(MAX(0,-H23809),MAX(0,Assumptions!$D$57-H23629)),0)</f>
        <v>0</v>
      </c>
      <c r="I23636" s="16" t="n">
        <f aca="false">IF(AND(Assumptions!$P$57=1,OR(I23593&lt;Assumptions!$K$57,H23939=1)),MIN(MAX(0,-I23809),MAX(0,Assumptions!$D$57-I23629)),0)</f>
        <v>0</v>
      </c>
      <c r="J23636" s="16" t="n">
        <f aca="false">IF(AND(Assumptions!$P$57=1,OR(J23593&lt;Assumptions!$K$57,I23939=1)),MIN(MAX(0,-J23809),MAX(0,Assumptions!$D$57-J23629)),0)</f>
        <v>0</v>
      </c>
      <c r="K23636" s="16" t="n">
        <f aca="false">IF(AND(Assumptions!$P$57=1,OR(K23593&lt;Assumptions!$K$57,J23939=1)),MIN(MAX(0,-K23809),MAX(0,Assumptions!$D$57-K23629)),0)</f>
        <v>0</v>
      </c>
    </row>
    <row r="23637" customFormat="false" ht="15" hidden="false" customHeight="false" outlineLevel="0" collapsed="false">
      <c r="A23637" s="3" t="s">
        <v>336</v>
      </c>
      <c r="G23637" s="16" t="n">
        <f aca="false">G23630*MIN(G23629-G23635+G23634,MAX(0,G23811-Assumptions!$C$12*G23627))</f>
        <v>0</v>
      </c>
      <c r="H23637" s="16" t="n">
        <f aca="false">H23630*MIN(H23629-H23635+H23634,MAX(0,H23811-Assumptions!$C$12*H23627))</f>
        <v>0</v>
      </c>
      <c r="I23637" s="16" t="n">
        <f aca="false">I23630*MIN(I23629-I23635+I23634,MAX(0,I23811-Assumptions!$C$12*I23627))</f>
        <v>0</v>
      </c>
      <c r="J23637" s="16" t="n">
        <f aca="false">J23630*MIN(J23629-J23635+J23634,MAX(0,J23811-Assumptions!$C$12*J23627))</f>
        <v>0</v>
      </c>
      <c r="K23637" s="16" t="n">
        <f aca="false">K23630*MIN(K23629-K23635+K23634,MAX(0,K23811-Assumptions!$C$12*K23627))</f>
        <v>0</v>
      </c>
    </row>
    <row r="23638" customFormat="false" ht="15" hidden="false" customHeight="false" outlineLevel="0" collapsed="false">
      <c r="A23638" s="3" t="s">
        <v>337</v>
      </c>
      <c r="G23638" s="16" t="n">
        <f aca="false">Assumptions!$N$57*MIN(G23629+G23636+G23634-G23635-G23637,MAX(0,G23815))</f>
        <v>0</v>
      </c>
      <c r="H23638" s="16" t="n">
        <f aca="false">Assumptions!$N$57*MIN(H23629+H23636+H23634-H23635-H23637,MAX(0,H23815))</f>
        <v>0</v>
      </c>
      <c r="I23638" s="16" t="n">
        <f aca="false">Assumptions!$N$57*MIN(I23629+I23636+I23634-I23635-I23637,MAX(0,I23815))</f>
        <v>0</v>
      </c>
      <c r="J23638" s="16" t="n">
        <f aca="false">Assumptions!$N$57*MIN(J23629+J23636+J23634-J23635-J23637,MAX(0,J23815))</f>
        <v>0</v>
      </c>
      <c r="K23638" s="16" t="n">
        <f aca="false">Assumptions!$N$57*MIN(K23629+K23636+K23634-K23635-K23637,MAX(0,K23815))</f>
        <v>0</v>
      </c>
    </row>
    <row r="23639" customFormat="false" ht="15" hidden="false" customHeight="false" outlineLevel="0" collapsed="false">
      <c r="A23639" s="3" t="s">
        <v>338</v>
      </c>
      <c r="G23639" s="16" t="n">
        <f aca="false">G23630*(1-G23627)*(G23629-G23635+G23634-G23637)</f>
        <v>0</v>
      </c>
      <c r="H23639" s="16" t="n">
        <f aca="false">H23630*(1-H23627)*(H23629-H23635+H23634-H23637)</f>
        <v>0</v>
      </c>
      <c r="I23639" s="16" t="n">
        <f aca="false">I23630*(1-I23627)*(I23629-I23635+I23634-I23637)</f>
        <v>0</v>
      </c>
      <c r="J23639" s="16" t="n">
        <f aca="false">J23630*(1-J23627)*(J23629-J23635+J23634-J23637)</f>
        <v>0</v>
      </c>
      <c r="K23639" s="16" t="n">
        <f aca="false">K23630*(1-K23627)*(K23629-K23635+K23634-K23637)</f>
        <v>0</v>
      </c>
    </row>
    <row r="23640" customFormat="false" ht="15" hidden="false" customHeight="false" outlineLevel="0" collapsed="false">
      <c r="A23640" s="2" t="s">
        <v>339</v>
      </c>
      <c r="F23640" s="28" t="n">
        <f aca="false">Assumptions!$C$57</f>
        <v>400</v>
      </c>
      <c r="G23640" s="17" t="n">
        <f aca="false">G23629+G23636+G23634-G23635-G23637-G23638</f>
        <v>396</v>
      </c>
      <c r="H23640" s="17" t="n">
        <f aca="false">H23629+H23636+H23634-H23635-H23637-H23638</f>
        <v>392</v>
      </c>
      <c r="I23640" s="17" t="n">
        <f aca="false">I23629+I23636+I23634-I23635-I23637-I23638</f>
        <v>388</v>
      </c>
      <c r="J23640" s="17" t="n">
        <f aca="false">J23629+J23636+J23634-J23635-J23637-J23638</f>
        <v>384</v>
      </c>
      <c r="K23640" s="17" t="n">
        <f aca="false">K23629+K23636+K23634-K23635-K23637-K23638</f>
        <v>380</v>
      </c>
    </row>
    <row r="23641" customFormat="false" ht="15" hidden="false" customHeight="false" outlineLevel="0" collapsed="false">
      <c r="A23641" s="24" t="s">
        <v>340</v>
      </c>
      <c r="B23641" s="25"/>
      <c r="C23641" s="25"/>
      <c r="D23641" s="25"/>
      <c r="E23641" s="25"/>
      <c r="F23641" s="25"/>
      <c r="G23641" s="25"/>
      <c r="H23641" s="25"/>
      <c r="I23641" s="25"/>
      <c r="J23641" s="25"/>
      <c r="K23641" s="25"/>
    </row>
    <row r="23642" customFormat="false" ht="15" hidden="false" customHeight="false" outlineLevel="0" collapsed="false">
      <c r="A23642" s="3" t="s">
        <v>329</v>
      </c>
      <c r="G23642" s="16" t="n">
        <f aca="false">F23653</f>
        <v>90</v>
      </c>
      <c r="H23642" s="16" t="n">
        <f aca="false">G23653</f>
        <v>90</v>
      </c>
      <c r="I23642" s="16" t="n">
        <f aca="false">H23653</f>
        <v>90</v>
      </c>
      <c r="J23642" s="16" t="n">
        <f aca="false">I23653</f>
        <v>90</v>
      </c>
      <c r="K23642" s="16" t="n">
        <f aca="false">J23653</f>
        <v>90</v>
      </c>
    </row>
    <row r="23643" customFormat="false" ht="15" hidden="false" customHeight="false" outlineLevel="0" collapsed="false">
      <c r="A23643" s="3" t="s">
        <v>330</v>
      </c>
      <c r="G23643" s="21" t="n">
        <f aca="false">IF(G23593=Assumptions!$K$58,1,0)</f>
        <v>0</v>
      </c>
      <c r="H23643" s="21" t="n">
        <f aca="false">IF(H23593=Assumptions!$K$58,1,0)</f>
        <v>0</v>
      </c>
      <c r="I23643" s="21" t="n">
        <f aca="false">IF(I23593=Assumptions!$K$58,1,0)</f>
        <v>0</v>
      </c>
      <c r="J23643" s="21" t="n">
        <f aca="false">IF(J23593=Assumptions!$K$58,1,0)</f>
        <v>0</v>
      </c>
      <c r="K23643" s="21" t="n">
        <f aca="false">IF(K23593=Assumptions!$K$58,1,0)</f>
        <v>0</v>
      </c>
    </row>
    <row r="23645" customFormat="false" ht="15" hidden="false" customHeight="false" outlineLevel="0" collapsed="false">
      <c r="A23645" s="3" t="s">
        <v>331</v>
      </c>
      <c r="G23645" s="31" t="n">
        <f aca="false">IF(Assumptions!$I$58=1,MAX(G23619,Assumptions!$G$58)+Assumptions!$F$58+$C$23620,Assumptions!$E$58)</f>
        <v>0.0581</v>
      </c>
      <c r="H23645" s="31" t="n">
        <f aca="false">IF(G23940=1,$C$23621,IF(Assumptions!$I$58=1,MAX(H23619,Assumptions!$G$58)+Assumptions!$F$58+$C$23620,Assumptions!$E$58))</f>
        <v>0.0581</v>
      </c>
      <c r="I23645" s="31" t="n">
        <f aca="false">IF(H23940=1,$C$23621,IF(Assumptions!$I$58=1,MAX(I23619,Assumptions!$G$58)+Assumptions!$F$58+$C$23620,Assumptions!$E$58))</f>
        <v>0.0581</v>
      </c>
      <c r="J23645" s="31" t="n">
        <f aca="false">IF(I23940=1,$C$23621,IF(Assumptions!$I$58=1,MAX(J23619,Assumptions!$G$58)+Assumptions!$F$58+$C$23620,Assumptions!$E$58))</f>
        <v>0.0581</v>
      </c>
      <c r="K23645" s="31" t="n">
        <f aca="false">IF(J23940=1,$C$23621,IF(Assumptions!$I$58=1,MAX(K23619,Assumptions!$G$58)+Assumptions!$F$58+$C$23620,Assumptions!$E$58))</f>
        <v>0.0581</v>
      </c>
    </row>
    <row r="23646" customFormat="false" ht="15" hidden="false" customHeight="false" outlineLevel="0" collapsed="false">
      <c r="A23646" s="3" t="s">
        <v>332</v>
      </c>
      <c r="G23646" s="16" t="n">
        <f aca="false">G23642*G23645</f>
        <v>5.229</v>
      </c>
      <c r="H23646" s="16" t="n">
        <f aca="false">H23642*H23645</f>
        <v>5.229</v>
      </c>
      <c r="I23646" s="16" t="n">
        <f aca="false">I23642*I23645</f>
        <v>5.229</v>
      </c>
      <c r="J23646" s="16" t="n">
        <f aca="false">J23642*J23645</f>
        <v>5.229</v>
      </c>
      <c r="K23646" s="16" t="n">
        <f aca="false">K23642*K23645</f>
        <v>5.229</v>
      </c>
    </row>
    <row r="23647" customFormat="false" ht="15" hidden="false" customHeight="false" outlineLevel="0" collapsed="false">
      <c r="A23647" s="3" t="s">
        <v>333</v>
      </c>
      <c r="G23647" s="16" t="n">
        <f aca="false">G23642*Assumptions!$H$58</f>
        <v>0</v>
      </c>
      <c r="H23647" s="16" t="n">
        <f aca="false">H23642*Assumptions!$H$58</f>
        <v>0</v>
      </c>
      <c r="I23647" s="16" t="n">
        <f aca="false">I23642*Assumptions!$H$58</f>
        <v>0</v>
      </c>
      <c r="J23647" s="16" t="n">
        <f aca="false">J23642*Assumptions!$H$58</f>
        <v>0</v>
      </c>
      <c r="K23647" s="16" t="n">
        <f aca="false">K23642*Assumptions!$H$58</f>
        <v>0</v>
      </c>
    </row>
    <row r="23648" customFormat="false" ht="15" hidden="false" customHeight="false" outlineLevel="0" collapsed="false">
      <c r="A23648" s="3" t="s">
        <v>334</v>
      </c>
      <c r="G23648" s="16" t="n">
        <f aca="false">MIN(G23642,Assumptions!$L$58*Assumptions!$C$58)</f>
        <v>0</v>
      </c>
      <c r="H23648" s="16" t="n">
        <f aca="false">MIN(H23642,Assumptions!$L$58*Assumptions!$C$58)</f>
        <v>0</v>
      </c>
      <c r="I23648" s="16" t="n">
        <f aca="false">MIN(I23642,Assumptions!$L$58*Assumptions!$C$58)</f>
        <v>0</v>
      </c>
      <c r="J23648" s="16" t="n">
        <f aca="false">MIN(J23642,Assumptions!$L$58*Assumptions!$C$58)</f>
        <v>0</v>
      </c>
      <c r="K23648" s="16" t="n">
        <f aca="false">MIN(K23642,Assumptions!$L$58*Assumptions!$C$58)</f>
        <v>0</v>
      </c>
    </row>
    <row r="23649" customFormat="false" ht="15" hidden="false" customHeight="false" outlineLevel="0" collapsed="false">
      <c r="A23649" s="3" t="s">
        <v>335</v>
      </c>
      <c r="G23649" s="16" t="n">
        <f aca="false">IF(AND(Assumptions!$P$58=1,G23593&lt;Assumptions!$K$58),MIN(MAX(0,-G23809),MAX(0,Assumptions!$D$58-G23642)),0)</f>
        <v>0</v>
      </c>
      <c r="H23649" s="16" t="n">
        <f aca="false">IF(AND(Assumptions!$P$58=1,OR(H23593&lt;Assumptions!$K$58,G23940=1)),MIN(MAX(0,-H23809),MAX(0,Assumptions!$D$58-H23642)),0)</f>
        <v>0</v>
      </c>
      <c r="I23649" s="16" t="n">
        <f aca="false">IF(AND(Assumptions!$P$58=1,OR(I23593&lt;Assumptions!$K$58,H23940=1)),MIN(MAX(0,-I23809),MAX(0,Assumptions!$D$58-I23642)),0)</f>
        <v>0</v>
      </c>
      <c r="J23649" s="16" t="n">
        <f aca="false">IF(AND(Assumptions!$P$58=1,OR(J23593&lt;Assumptions!$K$58,I23940=1)),MIN(MAX(0,-J23809),MAX(0,Assumptions!$D$58-J23642)),0)</f>
        <v>0</v>
      </c>
      <c r="K23649" s="16" t="n">
        <f aca="false">IF(AND(Assumptions!$P$58=1,OR(K23593&lt;Assumptions!$K$58,J23940=1)),MIN(MAX(0,-K23809),MAX(0,Assumptions!$D$58-K23642)),0)</f>
        <v>0</v>
      </c>
    </row>
    <row r="23650" customFormat="false" ht="15" hidden="false" customHeight="false" outlineLevel="0" collapsed="false">
      <c r="A23650" s="3" t="s">
        <v>336</v>
      </c>
      <c r="G23650" s="16" t="n">
        <f aca="false">G23643*MIN(G23642-G23648+G23647,MAX(0,G23811-Assumptions!$C$12*G23627-G23637))</f>
        <v>0</v>
      </c>
      <c r="H23650" s="16" t="n">
        <f aca="false">H23643*MIN(H23642-H23648+H23647,MAX(0,H23811-Assumptions!$C$12*H23627-H23637))</f>
        <v>0</v>
      </c>
      <c r="I23650" s="16" t="n">
        <f aca="false">I23643*MIN(I23642-I23648+I23647,MAX(0,I23811-Assumptions!$C$12*I23627-I23637))</f>
        <v>0</v>
      </c>
      <c r="J23650" s="16" t="n">
        <f aca="false">J23643*MIN(J23642-J23648+J23647,MAX(0,J23811-Assumptions!$C$12*J23627-J23637))</f>
        <v>0</v>
      </c>
      <c r="K23650" s="16" t="n">
        <f aca="false">K23643*MIN(K23642-K23648+K23647,MAX(0,K23811-Assumptions!$C$12*K23627-K23637))</f>
        <v>0</v>
      </c>
    </row>
    <row r="23651" customFormat="false" ht="15" hidden="false" customHeight="false" outlineLevel="0" collapsed="false">
      <c r="A23651" s="3" t="s">
        <v>337</v>
      </c>
      <c r="G23651" s="16" t="n">
        <f aca="false">Assumptions!$N$58*MIN(G23642+G23649+G23647-G23648-G23650,MAX(0,G23815-G23638))</f>
        <v>0</v>
      </c>
      <c r="H23651" s="16" t="n">
        <f aca="false">Assumptions!$N$58*MIN(H23642+H23649+H23647-H23648-H23650,MAX(0,H23815-H23638))</f>
        <v>0</v>
      </c>
      <c r="I23651" s="16" t="n">
        <f aca="false">Assumptions!$N$58*MIN(I23642+I23649+I23647-I23648-I23650,MAX(0,I23815-I23638))</f>
        <v>0</v>
      </c>
      <c r="J23651" s="16" t="n">
        <f aca="false">Assumptions!$N$58*MIN(J23642+J23649+J23647-J23648-J23650,MAX(0,J23815-J23638))</f>
        <v>0</v>
      </c>
      <c r="K23651" s="16" t="n">
        <f aca="false">Assumptions!$N$58*MIN(K23642+K23649+K23647-K23648-K23650,MAX(0,K23815-K23638))</f>
        <v>0</v>
      </c>
    </row>
    <row r="23652" customFormat="false" ht="15" hidden="false" customHeight="false" outlineLevel="0" collapsed="false">
      <c r="A23652" s="3" t="s">
        <v>338</v>
      </c>
      <c r="G23652" s="16" t="n">
        <f aca="false">G23643*(1-G23627)*(G23642-G23648+G23647-G23650)</f>
        <v>0</v>
      </c>
      <c r="H23652" s="16" t="n">
        <f aca="false">H23643*(1-H23627)*(H23642-H23648+H23647-H23650)</f>
        <v>0</v>
      </c>
      <c r="I23652" s="16" t="n">
        <f aca="false">I23643*(1-I23627)*(I23642-I23648+I23647-I23650)</f>
        <v>0</v>
      </c>
      <c r="J23652" s="16" t="n">
        <f aca="false">J23643*(1-J23627)*(J23642-J23648+J23647-J23650)</f>
        <v>0</v>
      </c>
      <c r="K23652" s="16" t="n">
        <f aca="false">K23643*(1-K23627)*(K23642-K23648+K23647-K23650)</f>
        <v>0</v>
      </c>
    </row>
    <row r="23653" customFormat="false" ht="15" hidden="false" customHeight="false" outlineLevel="0" collapsed="false">
      <c r="A23653" s="2" t="s">
        <v>339</v>
      </c>
      <c r="F23653" s="28" t="n">
        <f aca="false">Assumptions!$C$58</f>
        <v>90</v>
      </c>
      <c r="G23653" s="17" t="n">
        <f aca="false">G23642+G23649+G23647-G23648-G23650-G23651</f>
        <v>90</v>
      </c>
      <c r="H23653" s="17" t="n">
        <f aca="false">H23642+H23649+H23647-H23648-H23650-H23651</f>
        <v>90</v>
      </c>
      <c r="I23653" s="17" t="n">
        <f aca="false">I23642+I23649+I23647-I23648-I23650-I23651</f>
        <v>90</v>
      </c>
      <c r="J23653" s="17" t="n">
        <f aca="false">J23642+J23649+J23647-J23648-J23650-J23651</f>
        <v>90</v>
      </c>
      <c r="K23653" s="17" t="n">
        <f aca="false">K23642+K23649+K23647-K23648-K23650-K23651</f>
        <v>90</v>
      </c>
    </row>
    <row r="23654" customFormat="false" ht="15" hidden="false" customHeight="false" outlineLevel="0" collapsed="false">
      <c r="A23654" s="24" t="s">
        <v>341</v>
      </c>
      <c r="B23654" s="25"/>
      <c r="C23654" s="25"/>
      <c r="D23654" s="25"/>
      <c r="E23654" s="25"/>
      <c r="F23654" s="25"/>
      <c r="G23654" s="25"/>
      <c r="H23654" s="25"/>
      <c r="I23654" s="25"/>
      <c r="J23654" s="25"/>
      <c r="K23654" s="25"/>
    </row>
    <row r="23655" customFormat="false" ht="15" hidden="false" customHeight="false" outlineLevel="0" collapsed="false">
      <c r="A23655" s="3" t="s">
        <v>329</v>
      </c>
      <c r="G23655" s="16" t="n">
        <f aca="false">F23666</f>
        <v>57.324</v>
      </c>
      <c r="H23655" s="16" t="n">
        <f aca="false">G23666</f>
        <v>57.324</v>
      </c>
      <c r="I23655" s="16" t="n">
        <f aca="false">H23666</f>
        <v>57.324</v>
      </c>
      <c r="J23655" s="16" t="n">
        <f aca="false">I23666</f>
        <v>57.324</v>
      </c>
      <c r="K23655" s="16" t="n">
        <f aca="false">J23666</f>
        <v>57.324</v>
      </c>
    </row>
    <row r="23656" customFormat="false" ht="15" hidden="false" customHeight="false" outlineLevel="0" collapsed="false">
      <c r="A23656" s="3" t="s">
        <v>330</v>
      </c>
      <c r="G23656" s="21" t="n">
        <f aca="false">IF(G23593=Assumptions!$K$59,1,0)</f>
        <v>0</v>
      </c>
      <c r="H23656" s="21" t="n">
        <f aca="false">IF(H23593=Assumptions!$K$59,1,0)</f>
        <v>0</v>
      </c>
      <c r="I23656" s="21" t="n">
        <f aca="false">IF(I23593=Assumptions!$K$59,1,0)</f>
        <v>0</v>
      </c>
      <c r="J23656" s="21" t="n">
        <f aca="false">IF(J23593=Assumptions!$K$59,1,0)</f>
        <v>0</v>
      </c>
      <c r="K23656" s="21" t="n">
        <f aca="false">IF(K23593=Assumptions!$K$59,1,0)</f>
        <v>0</v>
      </c>
    </row>
    <row r="23658" customFormat="false" ht="15" hidden="false" customHeight="false" outlineLevel="0" collapsed="false">
      <c r="A23658" s="3" t="s">
        <v>331</v>
      </c>
      <c r="G23658" s="31" t="n">
        <f aca="false">IF(Assumptions!$I$59=1,MAX(G23619,Assumptions!$G$59)+Assumptions!$F$59+$C$23620,Assumptions!$E$59)</f>
        <v>0.0731</v>
      </c>
      <c r="H23658" s="31" t="n">
        <f aca="false">IF(G23941=1,$C$23621,IF(Assumptions!$I$59=1,MAX(H23619,Assumptions!$G$59)+Assumptions!$F$59+$C$23620,Assumptions!$E$59))</f>
        <v>0.0731</v>
      </c>
      <c r="I23658" s="31" t="n">
        <f aca="false">IF(H23941=1,$C$23621,IF(Assumptions!$I$59=1,MAX(I23619,Assumptions!$G$59)+Assumptions!$F$59+$C$23620,Assumptions!$E$59))</f>
        <v>0.0731</v>
      </c>
      <c r="J23658" s="31" t="n">
        <f aca="false">IF(I23941=1,$C$23621,IF(Assumptions!$I$59=1,MAX(J23619,Assumptions!$G$59)+Assumptions!$F$59+$C$23620,Assumptions!$E$59))</f>
        <v>0.0731</v>
      </c>
      <c r="K23658" s="31" t="n">
        <f aca="false">IF(J23941=1,$C$23621,IF(Assumptions!$I$59=1,MAX(K23619,Assumptions!$G$59)+Assumptions!$F$59+$C$23620,Assumptions!$E$59))</f>
        <v>0.0731</v>
      </c>
    </row>
    <row r="23659" customFormat="false" ht="15" hidden="false" customHeight="false" outlineLevel="0" collapsed="false">
      <c r="A23659" s="3" t="s">
        <v>332</v>
      </c>
      <c r="G23659" s="16" t="n">
        <f aca="false">G23655*G23658</f>
        <v>4.1903844</v>
      </c>
      <c r="H23659" s="16" t="n">
        <f aca="false">H23655*H23658</f>
        <v>4.1903844</v>
      </c>
      <c r="I23659" s="16" t="n">
        <f aca="false">I23655*I23658</f>
        <v>4.1903844</v>
      </c>
      <c r="J23659" s="16" t="n">
        <f aca="false">J23655*J23658</f>
        <v>4.1903844</v>
      </c>
      <c r="K23659" s="16" t="n">
        <f aca="false">K23655*K23658</f>
        <v>4.1903844</v>
      </c>
    </row>
    <row r="23660" customFormat="false" ht="15" hidden="false" customHeight="false" outlineLevel="0" collapsed="false">
      <c r="A23660" s="3" t="s">
        <v>333</v>
      </c>
      <c r="G23660" s="16" t="n">
        <f aca="false">G23655*Assumptions!$H$59</f>
        <v>0</v>
      </c>
      <c r="H23660" s="16" t="n">
        <f aca="false">H23655*Assumptions!$H$59</f>
        <v>0</v>
      </c>
      <c r="I23660" s="16" t="n">
        <f aca="false">I23655*Assumptions!$H$59</f>
        <v>0</v>
      </c>
      <c r="J23660" s="16" t="n">
        <f aca="false">J23655*Assumptions!$H$59</f>
        <v>0</v>
      </c>
      <c r="K23660" s="16" t="n">
        <f aca="false">K23655*Assumptions!$H$59</f>
        <v>0</v>
      </c>
    </row>
    <row r="23661" customFormat="false" ht="15" hidden="false" customHeight="false" outlineLevel="0" collapsed="false">
      <c r="A23661" s="3" t="s">
        <v>334</v>
      </c>
      <c r="G23661" s="16" t="n">
        <f aca="false">MIN(G23655,Assumptions!$L$59*Assumptions!$C$59)</f>
        <v>0</v>
      </c>
      <c r="H23661" s="16" t="n">
        <f aca="false">MIN(H23655,Assumptions!$L$59*Assumptions!$C$59)</f>
        <v>0</v>
      </c>
      <c r="I23661" s="16" t="n">
        <f aca="false">MIN(I23655,Assumptions!$L$59*Assumptions!$C$59)</f>
        <v>0</v>
      </c>
      <c r="J23661" s="16" t="n">
        <f aca="false">MIN(J23655,Assumptions!$L$59*Assumptions!$C$59)</f>
        <v>0</v>
      </c>
      <c r="K23661" s="16" t="n">
        <f aca="false">MIN(K23655,Assumptions!$L$59*Assumptions!$C$59)</f>
        <v>0</v>
      </c>
    </row>
    <row r="23662" customFormat="false" ht="15" hidden="false" customHeight="false" outlineLevel="0" collapsed="false">
      <c r="A23662" s="3" t="s">
        <v>335</v>
      </c>
      <c r="G23662" s="16" t="n">
        <f aca="false">IF(AND(Assumptions!$P$59=1,G23593&lt;Assumptions!$K$59),MIN(MAX(0,-G23809),MAX(0,Assumptions!$D$59-G23655)),0)</f>
        <v>0</v>
      </c>
      <c r="H23662" s="16" t="n">
        <f aca="false">IF(AND(Assumptions!$P$59=1,OR(H23593&lt;Assumptions!$K$59,G23941=1)),MIN(MAX(0,-H23809),MAX(0,Assumptions!$D$59-H23655)),0)</f>
        <v>0</v>
      </c>
      <c r="I23662" s="16" t="n">
        <f aca="false">IF(AND(Assumptions!$P$59=1,OR(I23593&lt;Assumptions!$K$59,H23941=1)),MIN(MAX(0,-I23809),MAX(0,Assumptions!$D$59-I23655)),0)</f>
        <v>0</v>
      </c>
      <c r="J23662" s="16" t="n">
        <f aca="false">IF(AND(Assumptions!$P$59=1,OR(J23593&lt;Assumptions!$K$59,I23941=1)),MIN(MAX(0,-J23809),MAX(0,Assumptions!$D$59-J23655)),0)</f>
        <v>0</v>
      </c>
      <c r="K23662" s="16" t="n">
        <f aca="false">IF(AND(Assumptions!$P$59=1,OR(K23593&lt;Assumptions!$K$59,J23941=1)),MIN(MAX(0,-K23809),MAX(0,Assumptions!$D$59-K23655)),0)</f>
        <v>0</v>
      </c>
    </row>
    <row r="23663" customFormat="false" ht="15" hidden="false" customHeight="false" outlineLevel="0" collapsed="false">
      <c r="A23663" s="3" t="s">
        <v>336</v>
      </c>
      <c r="G23663" s="16" t="n">
        <f aca="false">G23656*MIN(G23655-G23661+G23660,MAX(0,G23811-Assumptions!$C$12*G23627-G23637-G23650))</f>
        <v>0</v>
      </c>
      <c r="H23663" s="16" t="n">
        <f aca="false">H23656*MIN(H23655-H23661+H23660,MAX(0,H23811-Assumptions!$C$12*H23627-H23637-H23650))</f>
        <v>0</v>
      </c>
      <c r="I23663" s="16" t="n">
        <f aca="false">I23656*MIN(I23655-I23661+I23660,MAX(0,I23811-Assumptions!$C$12*I23627-I23637-I23650))</f>
        <v>0</v>
      </c>
      <c r="J23663" s="16" t="n">
        <f aca="false">J23656*MIN(J23655-J23661+J23660,MAX(0,J23811-Assumptions!$C$12*J23627-J23637-J23650))</f>
        <v>0</v>
      </c>
      <c r="K23663" s="16" t="n">
        <f aca="false">K23656*MIN(K23655-K23661+K23660,MAX(0,K23811-Assumptions!$C$12*K23627-K23637-K23650))</f>
        <v>0</v>
      </c>
    </row>
    <row r="23664" customFormat="false" ht="15" hidden="false" customHeight="false" outlineLevel="0" collapsed="false">
      <c r="A23664" s="3" t="s">
        <v>337</v>
      </c>
      <c r="G23664" s="16" t="n">
        <f aca="false">Assumptions!$N$59*MIN(G23655+G23662+G23660-G23661-G23663,MAX(0,G23815-G23638-G23651))</f>
        <v>0</v>
      </c>
      <c r="H23664" s="16" t="n">
        <f aca="false">Assumptions!$N$59*MIN(H23655+H23662+H23660-H23661-H23663,MAX(0,H23815-H23638-H23651))</f>
        <v>0</v>
      </c>
      <c r="I23664" s="16" t="n">
        <f aca="false">Assumptions!$N$59*MIN(I23655+I23662+I23660-I23661-I23663,MAX(0,I23815-I23638-I23651))</f>
        <v>0</v>
      </c>
      <c r="J23664" s="16" t="n">
        <f aca="false">Assumptions!$N$59*MIN(J23655+J23662+J23660-J23661-J23663,MAX(0,J23815-J23638-J23651))</f>
        <v>0</v>
      </c>
      <c r="K23664" s="16" t="n">
        <f aca="false">Assumptions!$N$59*MIN(K23655+K23662+K23660-K23661-K23663,MAX(0,K23815-K23638-K23651))</f>
        <v>0</v>
      </c>
    </row>
    <row r="23665" customFormat="false" ht="15" hidden="false" customHeight="false" outlineLevel="0" collapsed="false">
      <c r="A23665" s="3" t="s">
        <v>338</v>
      </c>
      <c r="G23665" s="16" t="n">
        <f aca="false">G23656*(1-G23627)*(G23655-G23661+G23660-G23663)</f>
        <v>0</v>
      </c>
      <c r="H23665" s="16" t="n">
        <f aca="false">H23656*(1-H23627)*(H23655-H23661+H23660-H23663)</f>
        <v>0</v>
      </c>
      <c r="I23665" s="16" t="n">
        <f aca="false">I23656*(1-I23627)*(I23655-I23661+I23660-I23663)</f>
        <v>0</v>
      </c>
      <c r="J23665" s="16" t="n">
        <f aca="false">J23656*(1-J23627)*(J23655-J23661+J23660-J23663)</f>
        <v>0</v>
      </c>
      <c r="K23665" s="16" t="n">
        <f aca="false">K23656*(1-K23627)*(K23655-K23661+K23660-K23663)</f>
        <v>0</v>
      </c>
    </row>
    <row r="23666" customFormat="false" ht="15" hidden="false" customHeight="false" outlineLevel="0" collapsed="false">
      <c r="A23666" s="2" t="s">
        <v>339</v>
      </c>
      <c r="F23666" s="28" t="n">
        <f aca="false">Assumptions!$C$59</f>
        <v>57.324</v>
      </c>
      <c r="G23666" s="17" t="n">
        <f aca="false">G23655+G23662+G23660-G23661-G23663-G23664</f>
        <v>57.324</v>
      </c>
      <c r="H23666" s="17" t="n">
        <f aca="false">H23655+H23662+H23660-H23661-H23663-H23664</f>
        <v>57.324</v>
      </c>
      <c r="I23666" s="17" t="n">
        <f aca="false">I23655+I23662+I23660-I23661-I23663-I23664</f>
        <v>57.324</v>
      </c>
      <c r="J23666" s="17" t="n">
        <f aca="false">J23655+J23662+J23660-J23661-J23663-J23664</f>
        <v>57.324</v>
      </c>
      <c r="K23666" s="17" t="n">
        <f aca="false">K23655+K23662+K23660-K23661-K23663-K23664</f>
        <v>57.324</v>
      </c>
    </row>
    <row r="23667" customFormat="false" ht="15" hidden="false" customHeight="false" outlineLevel="0" collapsed="false">
      <c r="A23667" s="24" t="s">
        <v>342</v>
      </c>
      <c r="B23667" s="25"/>
      <c r="C23667" s="25"/>
      <c r="D23667" s="25"/>
      <c r="E23667" s="25"/>
      <c r="F23667" s="25"/>
      <c r="G23667" s="25"/>
      <c r="H23667" s="25"/>
      <c r="I23667" s="25"/>
      <c r="J23667" s="25"/>
      <c r="K23667" s="25"/>
    </row>
    <row r="23668" customFormat="false" ht="15" hidden="false" customHeight="false" outlineLevel="0" collapsed="false">
      <c r="A23668" s="3" t="s">
        <v>329</v>
      </c>
      <c r="G23668" s="16" t="n">
        <f aca="false">F23679</f>
        <v>0</v>
      </c>
      <c r="H23668" s="16" t="n">
        <f aca="false">G23679</f>
        <v>0</v>
      </c>
      <c r="I23668" s="16" t="n">
        <f aca="false">H23679</f>
        <v>0</v>
      </c>
      <c r="J23668" s="16" t="n">
        <f aca="false">I23679</f>
        <v>72.265618182056</v>
      </c>
      <c r="K23668" s="16" t="n">
        <f aca="false">J23679</f>
        <v>167.012310944795</v>
      </c>
    </row>
    <row r="23669" customFormat="false" ht="15" hidden="false" customHeight="false" outlineLevel="0" collapsed="false">
      <c r="A23669" s="3" t="s">
        <v>330</v>
      </c>
      <c r="G23669" s="21" t="n">
        <f aca="false">IF(G23593=Assumptions!$K$60,1,0)</f>
        <v>1</v>
      </c>
      <c r="H23669" s="21" t="n">
        <f aca="false">IF(H23593=Assumptions!$K$60,1,0)</f>
        <v>0</v>
      </c>
      <c r="I23669" s="21" t="n">
        <f aca="false">IF(I23593=Assumptions!$K$60,1,0)</f>
        <v>0</v>
      </c>
      <c r="J23669" s="21" t="n">
        <f aca="false">IF(J23593=Assumptions!$K$60,1,0)</f>
        <v>0</v>
      </c>
      <c r="K23669" s="21" t="n">
        <f aca="false">IF(K23593=Assumptions!$K$60,1,0)</f>
        <v>0</v>
      </c>
    </row>
    <row r="23671" customFormat="false" ht="15" hidden="false" customHeight="false" outlineLevel="0" collapsed="false">
      <c r="A23671" s="3" t="s">
        <v>331</v>
      </c>
      <c r="G23671" s="31" t="n">
        <f aca="false">IF(Assumptions!$I$60=1,MAX(G23619,Assumptions!$G$60)+Assumptions!$F$60+$C$23620,Assumptions!$E$60)</f>
        <v>0.064</v>
      </c>
      <c r="H23671" s="31" t="n">
        <f aca="false">IF(G23942=1,$C$23621,IF(Assumptions!$I$60=1,MAX(H23619,Assumptions!$G$60)+Assumptions!$F$60+$C$23620,Assumptions!$E$60))</f>
        <v>0.08</v>
      </c>
      <c r="I23671" s="31" t="n">
        <f aca="false">IF(H23942=1,$C$23621,IF(Assumptions!$I$60=1,MAX(I23619,Assumptions!$G$60)+Assumptions!$F$60+$C$23620,Assumptions!$E$60))</f>
        <v>0.08</v>
      </c>
      <c r="J23671" s="31" t="n">
        <f aca="false">IF(I23942=1,$C$23621,IF(Assumptions!$I$60=1,MAX(J23619,Assumptions!$G$60)+Assumptions!$F$60+$C$23620,Assumptions!$E$60))</f>
        <v>0.08</v>
      </c>
      <c r="K23671" s="31" t="n">
        <f aca="false">IF(J23942=1,$C$23621,IF(Assumptions!$I$60=1,MAX(K23619,Assumptions!$G$60)+Assumptions!$F$60+$C$23620,Assumptions!$E$60))</f>
        <v>0.08</v>
      </c>
    </row>
    <row r="23672" customFormat="false" ht="15" hidden="false" customHeight="false" outlineLevel="0" collapsed="false">
      <c r="A23672" s="3" t="s">
        <v>332</v>
      </c>
      <c r="G23672" s="16" t="n">
        <f aca="false">G23668*G23671</f>
        <v>0</v>
      </c>
      <c r="H23672" s="16" t="n">
        <f aca="false">H23668*H23671</f>
        <v>0</v>
      </c>
      <c r="I23672" s="16" t="n">
        <f aca="false">I23668*I23671</f>
        <v>0</v>
      </c>
      <c r="J23672" s="16" t="n">
        <f aca="false">J23668*J23671</f>
        <v>5.78124945456448</v>
      </c>
      <c r="K23672" s="16" t="n">
        <f aca="false">K23668*K23671</f>
        <v>13.3609848755836</v>
      </c>
    </row>
    <row r="23673" customFormat="false" ht="15" hidden="false" customHeight="false" outlineLevel="0" collapsed="false">
      <c r="A23673" s="3" t="s">
        <v>333</v>
      </c>
      <c r="G23673" s="16" t="n">
        <f aca="false">G23668*Assumptions!$H$60</f>
        <v>0</v>
      </c>
      <c r="H23673" s="16" t="n">
        <f aca="false">H23668*Assumptions!$H$60</f>
        <v>0</v>
      </c>
      <c r="I23673" s="16" t="n">
        <f aca="false">I23668*Assumptions!$H$60</f>
        <v>0</v>
      </c>
      <c r="J23673" s="16" t="n">
        <f aca="false">J23668*Assumptions!$H$60</f>
        <v>0</v>
      </c>
      <c r="K23673" s="16" t="n">
        <f aca="false">K23668*Assumptions!$H$60</f>
        <v>0</v>
      </c>
    </row>
    <row r="23674" customFormat="false" ht="15" hidden="false" customHeight="false" outlineLevel="0" collapsed="false">
      <c r="A23674" s="3" t="s">
        <v>334</v>
      </c>
      <c r="G23674" s="16" t="n">
        <f aca="false">MIN(G23668,Assumptions!$L$60*Assumptions!$C$60)</f>
        <v>0</v>
      </c>
      <c r="H23674" s="16" t="n">
        <f aca="false">MIN(H23668,Assumptions!$L$60*Assumptions!$C$60)</f>
        <v>0</v>
      </c>
      <c r="I23674" s="16" t="n">
        <f aca="false">MIN(I23668,Assumptions!$L$60*Assumptions!$C$60)</f>
        <v>0</v>
      </c>
      <c r="J23674" s="16" t="n">
        <f aca="false">MIN(J23668,Assumptions!$L$60*Assumptions!$C$60)</f>
        <v>0</v>
      </c>
      <c r="K23674" s="16" t="n">
        <f aca="false">MIN(K23668,Assumptions!$L$60*Assumptions!$C$60)</f>
        <v>0</v>
      </c>
    </row>
    <row r="23675" customFormat="false" ht="15" hidden="false" customHeight="false" outlineLevel="0" collapsed="false">
      <c r="A23675" s="3" t="s">
        <v>335</v>
      </c>
      <c r="G23675" s="16" t="n">
        <f aca="false">IF(AND(Assumptions!$P$60=1,G23593&lt;Assumptions!$K$60),MIN(MAX(0,-G23809),MAX(0,Assumptions!$D$60-G23668)),0)</f>
        <v>0</v>
      </c>
      <c r="H23675" s="16" t="n">
        <f aca="false">IF(AND(Assumptions!$P$60=1,OR(H23593&lt;Assumptions!$K$60,G23942=1)),MIN(MAX(0,-H23809),MAX(0,Assumptions!$D$60-H23668)),0)</f>
        <v>0</v>
      </c>
      <c r="I23675" s="16" t="n">
        <f aca="false">IF(AND(Assumptions!$P$60=1,OR(I23593&lt;Assumptions!$K$60,H23942=1)),MIN(MAX(0,-I23809),MAX(0,Assumptions!$D$60-I23668)),0)</f>
        <v>72.265618182056</v>
      </c>
      <c r="J23675" s="16" t="n">
        <f aca="false">IF(AND(Assumptions!$P$60=1,OR(J23593&lt;Assumptions!$K$60,I23942=1)),MIN(MAX(0,-J23809),MAX(0,Assumptions!$D$60-J23668)),0)</f>
        <v>94.7466927627391</v>
      </c>
      <c r="K23675" s="16" t="n">
        <f aca="false">IF(AND(Assumptions!$P$60=1,OR(K23593&lt;Assumptions!$K$60,J23942=1)),MIN(MAX(0,-K23809),MAX(0,Assumptions!$D$60-K23668)),0)</f>
        <v>110.831282745053</v>
      </c>
    </row>
    <row r="23676" customFormat="false" ht="15" hidden="false" customHeight="false" outlineLevel="0" collapsed="false">
      <c r="A23676" s="3" t="s">
        <v>336</v>
      </c>
      <c r="G23676" s="16" t="n">
        <f aca="false">G23669*MIN(G23668-G23674+G23673,MAX(0,G23811-Assumptions!$C$12*G23627-G23637-G23650-G23663))</f>
        <v>0</v>
      </c>
      <c r="H23676" s="16" t="n">
        <f aca="false">H23669*MIN(H23668-H23674+H23673,MAX(0,H23811-Assumptions!$C$12*H23627-H23637-H23650-H23663))</f>
        <v>0</v>
      </c>
      <c r="I23676" s="16" t="n">
        <f aca="false">I23669*MIN(I23668-I23674+I23673,MAX(0,I23811-Assumptions!$C$12*I23627-I23637-I23650-I23663))</f>
        <v>0</v>
      </c>
      <c r="J23676" s="16" t="n">
        <f aca="false">J23669*MIN(J23668-J23674+J23673,MAX(0,J23811-Assumptions!$C$12*J23627-J23637-J23650-J23663))</f>
        <v>0</v>
      </c>
      <c r="K23676" s="16" t="n">
        <f aca="false">K23669*MIN(K23668-K23674+K23673,MAX(0,K23811-Assumptions!$C$12*K23627-K23637-K23650-K23663))</f>
        <v>0</v>
      </c>
    </row>
    <row r="23677" customFormat="false" ht="15" hidden="false" customHeight="false" outlineLevel="0" collapsed="false">
      <c r="A23677" s="3" t="s">
        <v>337</v>
      </c>
      <c r="G23677" s="16" t="n">
        <f aca="false">Assumptions!$N$60*MIN(G23668+G23675+G23673-G23674-G23676,MAX(0,G23815-G23638-G23651-G23664))</f>
        <v>0</v>
      </c>
      <c r="H23677" s="16" t="n">
        <f aca="false">Assumptions!$N$60*MIN(H23668+H23675+H23673-H23674-H23676,MAX(0,H23815-H23638-H23651-H23664))</f>
        <v>0</v>
      </c>
      <c r="I23677" s="16" t="n">
        <f aca="false">Assumptions!$N$60*MIN(I23668+I23675+I23673-I23674-I23676,MAX(0,I23815-I23638-I23651-I23664))</f>
        <v>0</v>
      </c>
      <c r="J23677" s="16" t="n">
        <f aca="false">Assumptions!$N$60*MIN(J23668+J23675+J23673-J23674-J23676,MAX(0,J23815-J23638-J23651-J23664))</f>
        <v>0</v>
      </c>
      <c r="K23677" s="16" t="n">
        <f aca="false">Assumptions!$N$60*MIN(K23668+K23675+K23673-K23674-K23676,MAX(0,K23815-K23638-K23651-K23664))</f>
        <v>0</v>
      </c>
    </row>
    <row r="23678" customFormat="false" ht="15" hidden="false" customHeight="false" outlineLevel="0" collapsed="false">
      <c r="A23678" s="3" t="s">
        <v>338</v>
      </c>
      <c r="G23678" s="16" t="n">
        <f aca="false">G23669*(1-G23627)*(G23668-G23674+G23673-G23676)</f>
        <v>0</v>
      </c>
      <c r="H23678" s="16" t="n">
        <f aca="false">H23669*(1-H23627)*(H23668-H23674+H23673-H23676)</f>
        <v>0</v>
      </c>
      <c r="I23678" s="16" t="n">
        <f aca="false">I23669*(1-I23627)*(I23668-I23674+I23673-I23676)</f>
        <v>0</v>
      </c>
      <c r="J23678" s="16" t="n">
        <f aca="false">J23669*(1-J23627)*(J23668-J23674+J23673-J23676)</f>
        <v>0</v>
      </c>
      <c r="K23678" s="16" t="n">
        <f aca="false">K23669*(1-K23627)*(K23668-K23674+K23673-K23676)</f>
        <v>0</v>
      </c>
    </row>
    <row r="23679" customFormat="false" ht="15" hidden="false" customHeight="false" outlineLevel="0" collapsed="false">
      <c r="A23679" s="2" t="s">
        <v>339</v>
      </c>
      <c r="F23679" s="28" t="n">
        <f aca="false">Assumptions!$C$60</f>
        <v>0</v>
      </c>
      <c r="G23679" s="17" t="n">
        <f aca="false">G23668+G23675+G23673-G23674-G23676-G23677</f>
        <v>0</v>
      </c>
      <c r="H23679" s="17" t="n">
        <f aca="false">H23668+H23675+H23673-H23674-H23676-H23677</f>
        <v>0</v>
      </c>
      <c r="I23679" s="17" t="n">
        <f aca="false">I23668+I23675+I23673-I23674-I23676-I23677</f>
        <v>72.265618182056</v>
      </c>
      <c r="J23679" s="17" t="n">
        <f aca="false">J23668+J23675+J23673-J23674-J23676-J23677</f>
        <v>167.012310944795</v>
      </c>
      <c r="K23679" s="17" t="n">
        <f aca="false">K23668+K23675+K23673-K23674-K23676-K23677</f>
        <v>277.843593689848</v>
      </c>
    </row>
    <row r="23680" customFormat="false" ht="15" hidden="false" customHeight="false" outlineLevel="0" collapsed="false">
      <c r="A23680" s="24" t="s">
        <v>343</v>
      </c>
      <c r="B23680" s="25"/>
      <c r="C23680" s="25"/>
      <c r="D23680" s="25"/>
      <c r="E23680" s="25"/>
      <c r="F23680" s="25"/>
      <c r="G23680" s="25"/>
      <c r="H23680" s="25"/>
      <c r="I23680" s="25"/>
      <c r="J23680" s="25"/>
      <c r="K23680" s="25"/>
    </row>
    <row r="23681" customFormat="false" ht="15" hidden="false" customHeight="false" outlineLevel="0" collapsed="false">
      <c r="A23681" s="3" t="s">
        <v>329</v>
      </c>
      <c r="G23681" s="16" t="n">
        <f aca="false">F23692</f>
        <v>450</v>
      </c>
      <c r="H23681" s="16" t="n">
        <f aca="false">G23692</f>
        <v>450</v>
      </c>
      <c r="I23681" s="16" t="n">
        <f aca="false">H23692</f>
        <v>417.2543513738</v>
      </c>
      <c r="J23681" s="16" t="n">
        <f aca="false">I23692</f>
        <v>417.2543513738</v>
      </c>
      <c r="K23681" s="16" t="n">
        <f aca="false">J23692</f>
        <v>417.2543513738</v>
      </c>
    </row>
    <row r="23682" customFormat="false" ht="15" hidden="false" customHeight="false" outlineLevel="0" collapsed="false">
      <c r="A23682" s="3" t="s">
        <v>330</v>
      </c>
      <c r="G23682" s="21" t="n">
        <f aca="false">IF(G23593=Assumptions!$K$61,1,0)</f>
        <v>0</v>
      </c>
      <c r="H23682" s="21" t="n">
        <f aca="false">IF(H23593=Assumptions!$K$61,1,0)</f>
        <v>1</v>
      </c>
      <c r="I23682" s="21" t="n">
        <f aca="false">IF(I23593=Assumptions!$K$61,1,0)</f>
        <v>0</v>
      </c>
      <c r="J23682" s="21" t="n">
        <f aca="false">IF(J23593=Assumptions!$K$61,1,0)</f>
        <v>0</v>
      </c>
      <c r="K23682" s="21" t="n">
        <f aca="false">IF(K23593=Assumptions!$K$61,1,0)</f>
        <v>0</v>
      </c>
    </row>
    <row r="23684" customFormat="false" ht="15" hidden="false" customHeight="false" outlineLevel="0" collapsed="false">
      <c r="A23684" s="3" t="s">
        <v>331</v>
      </c>
      <c r="G23684" s="31" t="n">
        <f aca="false">IF(Assumptions!$I$61=1,MAX(G23619,Assumptions!$G$61)+Assumptions!$F$61+$C$23620,Assumptions!$E$61)</f>
        <v>0.0395</v>
      </c>
      <c r="H23684" s="31" t="n">
        <f aca="false">IF(G23943=1,$C$23621,IF(Assumptions!$I$61=1,MAX(H23619,Assumptions!$G$61)+Assumptions!$F$61+$C$23620,Assumptions!$E$61))</f>
        <v>0.0395</v>
      </c>
      <c r="I23684" s="31" t="n">
        <f aca="false">IF(H23943=1,$C$23621,IF(Assumptions!$I$61=1,MAX(I23619,Assumptions!$G$61)+Assumptions!$F$61+$C$23620,Assumptions!$E$61))</f>
        <v>0.08</v>
      </c>
      <c r="J23684" s="31" t="n">
        <f aca="false">IF(I23943=1,$C$23621,IF(Assumptions!$I$61=1,MAX(J23619,Assumptions!$G$61)+Assumptions!$F$61+$C$23620,Assumptions!$E$61))</f>
        <v>0.08</v>
      </c>
      <c r="K23684" s="31" t="n">
        <f aca="false">IF(J23943=1,$C$23621,IF(Assumptions!$I$61=1,MAX(K23619,Assumptions!$G$61)+Assumptions!$F$61+$C$23620,Assumptions!$E$61))</f>
        <v>0.08</v>
      </c>
    </row>
    <row r="23685" customFormat="false" ht="15" hidden="false" customHeight="false" outlineLevel="0" collapsed="false">
      <c r="A23685" s="3" t="s">
        <v>332</v>
      </c>
      <c r="G23685" s="16" t="n">
        <f aca="false">G23681*G23684</f>
        <v>17.775</v>
      </c>
      <c r="H23685" s="16" t="n">
        <f aca="false">H23681*H23684</f>
        <v>17.775</v>
      </c>
      <c r="I23685" s="16" t="n">
        <f aca="false">I23681*I23684</f>
        <v>33.380348109904</v>
      </c>
      <c r="J23685" s="16" t="n">
        <f aca="false">J23681*J23684</f>
        <v>33.380348109904</v>
      </c>
      <c r="K23685" s="16" t="n">
        <f aca="false">K23681*K23684</f>
        <v>33.380348109904</v>
      </c>
    </row>
    <row r="23686" customFormat="false" ht="15" hidden="false" customHeight="false" outlineLevel="0" collapsed="false">
      <c r="A23686" s="3" t="s">
        <v>333</v>
      </c>
      <c r="G23686" s="16" t="n">
        <f aca="false">G23681*Assumptions!$H$61</f>
        <v>0</v>
      </c>
      <c r="H23686" s="16" t="n">
        <f aca="false">H23681*Assumptions!$H$61</f>
        <v>0</v>
      </c>
      <c r="I23686" s="16" t="n">
        <f aca="false">I23681*Assumptions!$H$61</f>
        <v>0</v>
      </c>
      <c r="J23686" s="16" t="n">
        <f aca="false">J23681*Assumptions!$H$61</f>
        <v>0</v>
      </c>
      <c r="K23686" s="16" t="n">
        <f aca="false">K23681*Assumptions!$H$61</f>
        <v>0</v>
      </c>
    </row>
    <row r="23687" customFormat="false" ht="15" hidden="false" customHeight="false" outlineLevel="0" collapsed="false">
      <c r="A23687" s="3" t="s">
        <v>334</v>
      </c>
      <c r="G23687" s="16" t="n">
        <f aca="false">MIN(G23681,Assumptions!$L$61*Assumptions!$C$61)</f>
        <v>0</v>
      </c>
      <c r="H23687" s="16" t="n">
        <f aca="false">MIN(H23681,Assumptions!$L$61*Assumptions!$C$61)</f>
        <v>0</v>
      </c>
      <c r="I23687" s="16" t="n">
        <f aca="false">MIN(I23681,Assumptions!$L$61*Assumptions!$C$61)</f>
        <v>0</v>
      </c>
      <c r="J23687" s="16" t="n">
        <f aca="false">MIN(J23681,Assumptions!$L$61*Assumptions!$C$61)</f>
        <v>0</v>
      </c>
      <c r="K23687" s="16" t="n">
        <f aca="false">MIN(K23681,Assumptions!$L$61*Assumptions!$C$61)</f>
        <v>0</v>
      </c>
    </row>
    <row r="23688" customFormat="false" ht="15" hidden="false" customHeight="false" outlineLevel="0" collapsed="false">
      <c r="A23688" s="3" t="s">
        <v>335</v>
      </c>
      <c r="G23688" s="16" t="n">
        <f aca="false">IF(AND(Assumptions!$P$61=1,G23593&lt;Assumptions!$K$61),MIN(MAX(0,-G23809),MAX(0,Assumptions!$D$61-G23681)),0)</f>
        <v>0</v>
      </c>
      <c r="H23688" s="16" t="n">
        <f aca="false">IF(AND(Assumptions!$P$61=1,OR(H23593&lt;Assumptions!$K$61,G23943=1)),MIN(MAX(0,-H23809),MAX(0,Assumptions!$D$61-H23681)),0)</f>
        <v>0</v>
      </c>
      <c r="I23688" s="16" t="n">
        <f aca="false">IF(AND(Assumptions!$P$61=1,OR(I23593&lt;Assumptions!$K$61,H23943=1)),MIN(MAX(0,-I23809),MAX(0,Assumptions!$D$61-I23681)),0)</f>
        <v>0</v>
      </c>
      <c r="J23688" s="16" t="n">
        <f aca="false">IF(AND(Assumptions!$P$61=1,OR(J23593&lt;Assumptions!$K$61,I23943=1)),MIN(MAX(0,-J23809),MAX(0,Assumptions!$D$61-J23681)),0)</f>
        <v>0</v>
      </c>
      <c r="K23688" s="16" t="n">
        <f aca="false">IF(AND(Assumptions!$P$61=1,OR(K23593&lt;Assumptions!$K$61,J23943=1)),MIN(MAX(0,-K23809),MAX(0,Assumptions!$D$61-K23681)),0)</f>
        <v>0</v>
      </c>
    </row>
    <row r="23689" customFormat="false" ht="15" hidden="false" customHeight="false" outlineLevel="0" collapsed="false">
      <c r="A23689" s="3" t="s">
        <v>336</v>
      </c>
      <c r="G23689" s="16" t="n">
        <f aca="false">G23682*MIN(G23681-G23687+G23686,MAX(0,G23811-Assumptions!$C$12*G23627-G23637-G23650-G23663-G23676))</f>
        <v>0</v>
      </c>
      <c r="H23689" s="16" t="n">
        <f aca="false">H23682*MIN(H23681-H23687+H23686,MAX(0,H23811-Assumptions!$C$12*H23627-H23637-H23650-H23663-H23676))</f>
        <v>32.7456486262001</v>
      </c>
      <c r="I23689" s="16" t="n">
        <f aca="false">I23682*MIN(I23681-I23687+I23686,MAX(0,I23811-Assumptions!$C$12*I23627-I23637-I23650-I23663-I23676))</f>
        <v>0</v>
      </c>
      <c r="J23689" s="16" t="n">
        <f aca="false">J23682*MIN(J23681-J23687+J23686,MAX(0,J23811-Assumptions!$C$12*J23627-J23637-J23650-J23663-J23676))</f>
        <v>0</v>
      </c>
      <c r="K23689" s="16" t="n">
        <f aca="false">K23682*MIN(K23681-K23687+K23686,MAX(0,K23811-Assumptions!$C$12*K23627-K23637-K23650-K23663-K23676))</f>
        <v>0</v>
      </c>
    </row>
    <row r="23690" customFormat="false" ht="15" hidden="false" customHeight="false" outlineLevel="0" collapsed="false">
      <c r="A23690" s="3" t="s">
        <v>337</v>
      </c>
      <c r="G23690" s="16" t="n">
        <f aca="false">Assumptions!$N$61*MIN(G23681+G23688+G23686-G23687-G23689,MAX(0,G23815-G23638-G23651-G23664-G23677))</f>
        <v>0</v>
      </c>
      <c r="H23690" s="16" t="n">
        <f aca="false">Assumptions!$N$61*MIN(H23681+H23688+H23686-H23687-H23689,MAX(0,H23815-H23638-H23651-H23664-H23677))</f>
        <v>0</v>
      </c>
      <c r="I23690" s="16" t="n">
        <f aca="false">Assumptions!$N$61*MIN(I23681+I23688+I23686-I23687-I23689,MAX(0,I23815-I23638-I23651-I23664-I23677))</f>
        <v>0</v>
      </c>
      <c r="J23690" s="16" t="n">
        <f aca="false">Assumptions!$N$61*MIN(J23681+J23688+J23686-J23687-J23689,MAX(0,J23815-J23638-J23651-J23664-J23677))</f>
        <v>0</v>
      </c>
      <c r="K23690" s="16" t="n">
        <f aca="false">Assumptions!$N$61*MIN(K23681+K23688+K23686-K23687-K23689,MAX(0,K23815-K23638-K23651-K23664-K23677))</f>
        <v>0</v>
      </c>
    </row>
    <row r="23691" customFormat="false" ht="15" hidden="false" customHeight="false" outlineLevel="0" collapsed="false">
      <c r="A23691" s="3" t="s">
        <v>338</v>
      </c>
      <c r="G23691" s="16" t="n">
        <f aca="false">G23682*(1-G23627)*(G23681-G23687+G23686-G23689)</f>
        <v>0</v>
      </c>
      <c r="H23691" s="16" t="n">
        <f aca="false">H23682*(1-H23627)*(H23681-H23687+H23686-H23689)</f>
        <v>0</v>
      </c>
      <c r="I23691" s="16" t="n">
        <f aca="false">I23682*(1-I23627)*(I23681-I23687+I23686-I23689)</f>
        <v>0</v>
      </c>
      <c r="J23691" s="16" t="n">
        <f aca="false">J23682*(1-J23627)*(J23681-J23687+J23686-J23689)</f>
        <v>0</v>
      </c>
      <c r="K23691" s="16" t="n">
        <f aca="false">K23682*(1-K23627)*(K23681-K23687+K23686-K23689)</f>
        <v>0</v>
      </c>
    </row>
    <row r="23692" customFormat="false" ht="15" hidden="false" customHeight="false" outlineLevel="0" collapsed="false">
      <c r="A23692" s="2" t="s">
        <v>339</v>
      </c>
      <c r="F23692" s="28" t="n">
        <f aca="false">Assumptions!$C$61</f>
        <v>450</v>
      </c>
      <c r="G23692" s="17" t="n">
        <f aca="false">G23681+G23688+G23686-G23687-G23689-G23690</f>
        <v>450</v>
      </c>
      <c r="H23692" s="17" t="n">
        <f aca="false">H23681+H23688+H23686-H23687-H23689-H23690</f>
        <v>417.2543513738</v>
      </c>
      <c r="I23692" s="17" t="n">
        <f aca="false">I23681+I23688+I23686-I23687-I23689-I23690</f>
        <v>417.2543513738</v>
      </c>
      <c r="J23692" s="17" t="n">
        <f aca="false">J23681+J23688+J23686-J23687-J23689-J23690</f>
        <v>417.2543513738</v>
      </c>
      <c r="K23692" s="17" t="n">
        <f aca="false">K23681+K23688+K23686-K23687-K23689-K23690</f>
        <v>417.2543513738</v>
      </c>
    </row>
    <row r="23693" customFormat="false" ht="15" hidden="false" customHeight="false" outlineLevel="0" collapsed="false">
      <c r="A23693" s="24" t="s">
        <v>344</v>
      </c>
      <c r="B23693" s="25"/>
      <c r="C23693" s="25"/>
      <c r="D23693" s="25"/>
      <c r="E23693" s="25"/>
      <c r="F23693" s="25"/>
      <c r="G23693" s="25"/>
      <c r="H23693" s="25"/>
      <c r="I23693" s="25"/>
      <c r="J23693" s="25"/>
      <c r="K23693" s="25"/>
    </row>
    <row r="23694" customFormat="false" ht="15" hidden="false" customHeight="false" outlineLevel="0" collapsed="false">
      <c r="A23694" s="3" t="s">
        <v>329</v>
      </c>
      <c r="G23694" s="16" t="n">
        <f aca="false">F23705</f>
        <v>350</v>
      </c>
      <c r="H23694" s="16" t="n">
        <f aca="false">G23705</f>
        <v>350</v>
      </c>
      <c r="I23694" s="16" t="n">
        <f aca="false">H23705</f>
        <v>350</v>
      </c>
      <c r="J23694" s="16" t="n">
        <f aca="false">I23705</f>
        <v>350</v>
      </c>
      <c r="K23694" s="16" t="n">
        <f aca="false">J23705</f>
        <v>350</v>
      </c>
    </row>
    <row r="23695" customFormat="false" ht="15" hidden="false" customHeight="false" outlineLevel="0" collapsed="false">
      <c r="A23695" s="3" t="s">
        <v>330</v>
      </c>
      <c r="G23695" s="21" t="n">
        <f aca="false">IF(G23593=Assumptions!$K$62,1,0)</f>
        <v>0</v>
      </c>
      <c r="H23695" s="21" t="n">
        <f aca="false">IF(H23593=Assumptions!$K$62,1,0)</f>
        <v>1</v>
      </c>
      <c r="I23695" s="21" t="n">
        <f aca="false">IF(I23593=Assumptions!$K$62,1,0)</f>
        <v>0</v>
      </c>
      <c r="J23695" s="21" t="n">
        <f aca="false">IF(J23593=Assumptions!$K$62,1,0)</f>
        <v>0</v>
      </c>
      <c r="K23695" s="21" t="n">
        <f aca="false">IF(K23593=Assumptions!$K$62,1,0)</f>
        <v>0</v>
      </c>
    </row>
    <row r="23697" customFormat="false" ht="15" hidden="false" customHeight="false" outlineLevel="0" collapsed="false">
      <c r="A23697" s="3" t="s">
        <v>331</v>
      </c>
      <c r="G23697" s="31" t="n">
        <f aca="false">IF(Assumptions!$I$62=1,MAX(G23619,Assumptions!$G$62)+Assumptions!$F$62+$C$23620,Assumptions!$E$62)</f>
        <v>0.083</v>
      </c>
      <c r="H23697" s="31" t="n">
        <f aca="false">IF(G23944=1,$C$23621,IF(Assumptions!$I$62=1,MAX(H23619,Assumptions!$G$62)+Assumptions!$F$62+$C$23620,Assumptions!$E$62))</f>
        <v>0.083</v>
      </c>
      <c r="I23697" s="31" t="n">
        <f aca="false">IF(H23944=1,$C$23621,IF(Assumptions!$I$62=1,MAX(I23619,Assumptions!$G$62)+Assumptions!$F$62+$C$23620,Assumptions!$E$62))</f>
        <v>0.08</v>
      </c>
      <c r="J23697" s="31" t="n">
        <f aca="false">IF(I23944=1,$C$23621,IF(Assumptions!$I$62=1,MAX(J23619,Assumptions!$G$62)+Assumptions!$F$62+$C$23620,Assumptions!$E$62))</f>
        <v>0.08</v>
      </c>
      <c r="K23697" s="31" t="n">
        <f aca="false">IF(J23944=1,$C$23621,IF(Assumptions!$I$62=1,MAX(K23619,Assumptions!$G$62)+Assumptions!$F$62+$C$23620,Assumptions!$E$62))</f>
        <v>0.08</v>
      </c>
    </row>
    <row r="23698" customFormat="false" ht="15" hidden="false" customHeight="false" outlineLevel="0" collapsed="false">
      <c r="A23698" s="3" t="s">
        <v>332</v>
      </c>
      <c r="G23698" s="16" t="n">
        <f aca="false">G23694*G23697</f>
        <v>29.05</v>
      </c>
      <c r="H23698" s="16" t="n">
        <f aca="false">H23694*H23697</f>
        <v>29.05</v>
      </c>
      <c r="I23698" s="16" t="n">
        <f aca="false">I23694*I23697</f>
        <v>28</v>
      </c>
      <c r="J23698" s="16" t="n">
        <f aca="false">J23694*J23697</f>
        <v>28</v>
      </c>
      <c r="K23698" s="16" t="n">
        <f aca="false">K23694*K23697</f>
        <v>28</v>
      </c>
    </row>
    <row r="23699" customFormat="false" ht="15" hidden="false" customHeight="false" outlineLevel="0" collapsed="false">
      <c r="A23699" s="3" t="s">
        <v>333</v>
      </c>
      <c r="G23699" s="16" t="n">
        <f aca="false">G23694*Assumptions!$H$62</f>
        <v>0</v>
      </c>
      <c r="H23699" s="16" t="n">
        <f aca="false">H23694*Assumptions!$H$62</f>
        <v>0</v>
      </c>
      <c r="I23699" s="16" t="n">
        <f aca="false">I23694*Assumptions!$H$62</f>
        <v>0</v>
      </c>
      <c r="J23699" s="16" t="n">
        <f aca="false">J23694*Assumptions!$H$62</f>
        <v>0</v>
      </c>
      <c r="K23699" s="16" t="n">
        <f aca="false">K23694*Assumptions!$H$62</f>
        <v>0</v>
      </c>
    </row>
    <row r="23700" customFormat="false" ht="15" hidden="false" customHeight="false" outlineLevel="0" collapsed="false">
      <c r="A23700" s="3" t="s">
        <v>334</v>
      </c>
      <c r="G23700" s="16" t="n">
        <f aca="false">MIN(G23694,Assumptions!$L$62*Assumptions!$C$62)</f>
        <v>0</v>
      </c>
      <c r="H23700" s="16" t="n">
        <f aca="false">MIN(H23694,Assumptions!$L$62*Assumptions!$C$62)</f>
        <v>0</v>
      </c>
      <c r="I23700" s="16" t="n">
        <f aca="false">MIN(I23694,Assumptions!$L$62*Assumptions!$C$62)</f>
        <v>0</v>
      </c>
      <c r="J23700" s="16" t="n">
        <f aca="false">MIN(J23694,Assumptions!$L$62*Assumptions!$C$62)</f>
        <v>0</v>
      </c>
      <c r="K23700" s="16" t="n">
        <f aca="false">MIN(K23694,Assumptions!$L$62*Assumptions!$C$62)</f>
        <v>0</v>
      </c>
    </row>
    <row r="23701" customFormat="false" ht="15" hidden="false" customHeight="false" outlineLevel="0" collapsed="false">
      <c r="A23701" s="3" t="s">
        <v>335</v>
      </c>
      <c r="G23701" s="16" t="n">
        <f aca="false">IF(AND(Assumptions!$P$62=1,G23593&lt;Assumptions!$K$62),MIN(MAX(0,-G23809),MAX(0,Assumptions!$D$62-G23694)),0)</f>
        <v>0</v>
      </c>
      <c r="H23701" s="16" t="n">
        <f aca="false">IF(AND(Assumptions!$P$62=1,OR(H23593&lt;Assumptions!$K$62,G23944=1)),MIN(MAX(0,-H23809),MAX(0,Assumptions!$D$62-H23694)),0)</f>
        <v>0</v>
      </c>
      <c r="I23701" s="16" t="n">
        <f aca="false">IF(AND(Assumptions!$P$62=1,OR(I23593&lt;Assumptions!$K$62,H23944=1)),MIN(MAX(0,-I23809),MAX(0,Assumptions!$D$62-I23694)),0)</f>
        <v>0</v>
      </c>
      <c r="J23701" s="16" t="n">
        <f aca="false">IF(AND(Assumptions!$P$62=1,OR(J23593&lt;Assumptions!$K$62,I23944=1)),MIN(MAX(0,-J23809),MAX(0,Assumptions!$D$62-J23694)),0)</f>
        <v>0</v>
      </c>
      <c r="K23701" s="16" t="n">
        <f aca="false">IF(AND(Assumptions!$P$62=1,OR(K23593&lt;Assumptions!$K$62,J23944=1)),MIN(MAX(0,-K23809),MAX(0,Assumptions!$D$62-K23694)),0)</f>
        <v>0</v>
      </c>
    </row>
    <row r="23702" customFormat="false" ht="15" hidden="false" customHeight="false" outlineLevel="0" collapsed="false">
      <c r="A23702" s="3" t="s">
        <v>336</v>
      </c>
      <c r="G23702" s="16" t="n">
        <f aca="false">G23695*MIN(G23694-G23700+G23699,MAX(0,G23811-Assumptions!$C$12*G23627-G23637-G23650-G23663-G23676-G23689))</f>
        <v>0</v>
      </c>
      <c r="H23702" s="16" t="n">
        <f aca="false">H23695*MIN(H23694-H23700+H23699,MAX(0,H23811-Assumptions!$C$12*H23627-H23637-H23650-H23663-H23676-H23689))</f>
        <v>0</v>
      </c>
      <c r="I23702" s="16" t="n">
        <f aca="false">I23695*MIN(I23694-I23700+I23699,MAX(0,I23811-Assumptions!$C$12*I23627-I23637-I23650-I23663-I23676-I23689))</f>
        <v>0</v>
      </c>
      <c r="J23702" s="16" t="n">
        <f aca="false">J23695*MIN(J23694-J23700+J23699,MAX(0,J23811-Assumptions!$C$12*J23627-J23637-J23650-J23663-J23676-J23689))</f>
        <v>0</v>
      </c>
      <c r="K23702" s="16" t="n">
        <f aca="false">K23695*MIN(K23694-K23700+K23699,MAX(0,K23811-Assumptions!$C$12*K23627-K23637-K23650-K23663-K23676-K23689))</f>
        <v>0</v>
      </c>
    </row>
    <row r="23703" customFormat="false" ht="15" hidden="false" customHeight="false" outlineLevel="0" collapsed="false">
      <c r="A23703" s="3" t="s">
        <v>337</v>
      </c>
      <c r="G23703" s="16" t="n">
        <f aca="false">Assumptions!$N$62*MIN(G23694+G23701+G23699-G23700-G23702,MAX(0,G23815-G23638-G23651-G23664-G23677-G23690))</f>
        <v>0</v>
      </c>
      <c r="H23703" s="16" t="n">
        <f aca="false">Assumptions!$N$62*MIN(H23694+H23701+H23699-H23700-H23702,MAX(0,H23815-H23638-H23651-H23664-H23677-H23690))</f>
        <v>0</v>
      </c>
      <c r="I23703" s="16" t="n">
        <f aca="false">Assumptions!$N$62*MIN(I23694+I23701+I23699-I23700-I23702,MAX(0,I23815-I23638-I23651-I23664-I23677-I23690))</f>
        <v>0</v>
      </c>
      <c r="J23703" s="16" t="n">
        <f aca="false">Assumptions!$N$62*MIN(J23694+J23701+J23699-J23700-J23702,MAX(0,J23815-J23638-J23651-J23664-J23677-J23690))</f>
        <v>0</v>
      </c>
      <c r="K23703" s="16" t="n">
        <f aca="false">Assumptions!$N$62*MIN(K23694+K23701+K23699-K23700-K23702,MAX(0,K23815-K23638-K23651-K23664-K23677-K23690))</f>
        <v>0</v>
      </c>
    </row>
    <row r="23704" customFormat="false" ht="15" hidden="false" customHeight="false" outlineLevel="0" collapsed="false">
      <c r="A23704" s="3" t="s">
        <v>338</v>
      </c>
      <c r="G23704" s="16" t="n">
        <f aca="false">G23695*(1-G23627)*(G23694-G23700+G23699-G23702)</f>
        <v>0</v>
      </c>
      <c r="H23704" s="16" t="n">
        <f aca="false">H23695*(1-H23627)*(H23694-H23700+H23699-H23702)</f>
        <v>0</v>
      </c>
      <c r="I23704" s="16" t="n">
        <f aca="false">I23695*(1-I23627)*(I23694-I23700+I23699-I23702)</f>
        <v>0</v>
      </c>
      <c r="J23704" s="16" t="n">
        <f aca="false">J23695*(1-J23627)*(J23694-J23700+J23699-J23702)</f>
        <v>0</v>
      </c>
      <c r="K23704" s="16" t="n">
        <f aca="false">K23695*(1-K23627)*(K23694-K23700+K23699-K23702)</f>
        <v>0</v>
      </c>
    </row>
    <row r="23705" customFormat="false" ht="15" hidden="false" customHeight="false" outlineLevel="0" collapsed="false">
      <c r="A23705" s="2" t="s">
        <v>339</v>
      </c>
      <c r="F23705" s="28" t="n">
        <f aca="false">Assumptions!$C$62</f>
        <v>350</v>
      </c>
      <c r="G23705" s="17" t="n">
        <f aca="false">G23694+G23701+G23699-G23700-G23702-G23703</f>
        <v>350</v>
      </c>
      <c r="H23705" s="17" t="n">
        <f aca="false">H23694+H23701+H23699-H23700-H23702-H23703</f>
        <v>350</v>
      </c>
      <c r="I23705" s="17" t="n">
        <f aca="false">I23694+I23701+I23699-I23700-I23702-I23703</f>
        <v>350</v>
      </c>
      <c r="J23705" s="17" t="n">
        <f aca="false">J23694+J23701+J23699-J23700-J23702-J23703</f>
        <v>350</v>
      </c>
      <c r="K23705" s="17" t="n">
        <f aca="false">K23694+K23701+K23699-K23700-K23702-K23703</f>
        <v>350</v>
      </c>
    </row>
    <row r="23706" customFormat="false" ht="15" hidden="false" customHeight="false" outlineLevel="0" collapsed="false">
      <c r="A23706" s="24" t="s">
        <v>345</v>
      </c>
      <c r="B23706" s="25"/>
      <c r="C23706" s="25"/>
      <c r="D23706" s="25"/>
      <c r="E23706" s="25"/>
      <c r="F23706" s="25"/>
      <c r="G23706" s="25"/>
      <c r="H23706" s="25"/>
      <c r="I23706" s="25"/>
      <c r="J23706" s="25"/>
      <c r="K23706" s="25"/>
    </row>
    <row r="23707" customFormat="false" ht="15" hidden="false" customHeight="false" outlineLevel="0" collapsed="false">
      <c r="A23707" s="3" t="s">
        <v>329</v>
      </c>
      <c r="G23707" s="16" t="n">
        <f aca="false">F23718</f>
        <v>550</v>
      </c>
      <c r="H23707" s="16" t="n">
        <f aca="false">G23718</f>
        <v>550</v>
      </c>
      <c r="I23707" s="16" t="n">
        <f aca="false">H23718</f>
        <v>550</v>
      </c>
      <c r="J23707" s="16" t="n">
        <f aca="false">I23718</f>
        <v>550</v>
      </c>
      <c r="K23707" s="16" t="n">
        <f aca="false">J23718</f>
        <v>550</v>
      </c>
    </row>
    <row r="23708" customFormat="false" ht="15" hidden="false" customHeight="false" outlineLevel="0" collapsed="false">
      <c r="A23708" s="3" t="s">
        <v>330</v>
      </c>
      <c r="G23708" s="21" t="n">
        <f aca="false">IF(G23593=Assumptions!$K$63,1,0)</f>
        <v>0</v>
      </c>
      <c r="H23708" s="21" t="n">
        <f aca="false">IF(H23593=Assumptions!$K$63,1,0)</f>
        <v>0</v>
      </c>
      <c r="I23708" s="21" t="n">
        <f aca="false">IF(I23593=Assumptions!$K$63,1,0)</f>
        <v>1</v>
      </c>
      <c r="J23708" s="21" t="n">
        <f aca="false">IF(J23593=Assumptions!$K$63,1,0)</f>
        <v>0</v>
      </c>
      <c r="K23708" s="21" t="n">
        <f aca="false">IF(K23593=Assumptions!$K$63,1,0)</f>
        <v>0</v>
      </c>
    </row>
    <row r="23710" customFormat="false" ht="15" hidden="false" customHeight="false" outlineLevel="0" collapsed="false">
      <c r="A23710" s="3" t="s">
        <v>331</v>
      </c>
      <c r="G23710" s="31" t="n">
        <f aca="false">IF(Assumptions!$I$63=1,MAX(G23619,Assumptions!$G$63)+Assumptions!$F$63+$C$23620,Assumptions!$E$63)</f>
        <v>0.08875</v>
      </c>
      <c r="H23710" s="31" t="n">
        <f aca="false">IF(G23945=1,$C$23621,IF(Assumptions!$I$63=1,MAX(H23619,Assumptions!$G$63)+Assumptions!$F$63+$C$23620,Assumptions!$E$63))</f>
        <v>0.08875</v>
      </c>
      <c r="I23710" s="31" t="n">
        <f aca="false">IF(H23945=1,$C$23621,IF(Assumptions!$I$63=1,MAX(I23619,Assumptions!$G$63)+Assumptions!$F$63+$C$23620,Assumptions!$E$63))</f>
        <v>0.08875</v>
      </c>
      <c r="J23710" s="31" t="n">
        <f aca="false">IF(I23945=1,$C$23621,IF(Assumptions!$I$63=1,MAX(J23619,Assumptions!$G$63)+Assumptions!$F$63+$C$23620,Assumptions!$E$63))</f>
        <v>0.08</v>
      </c>
      <c r="K23710" s="31" t="n">
        <f aca="false">IF(J23945=1,$C$23621,IF(Assumptions!$I$63=1,MAX(K23619,Assumptions!$G$63)+Assumptions!$F$63+$C$23620,Assumptions!$E$63))</f>
        <v>0.08</v>
      </c>
    </row>
    <row r="23711" customFormat="false" ht="15" hidden="false" customHeight="false" outlineLevel="0" collapsed="false">
      <c r="A23711" s="3" t="s">
        <v>332</v>
      </c>
      <c r="G23711" s="16" t="n">
        <f aca="false">G23707*G23710</f>
        <v>48.8125</v>
      </c>
      <c r="H23711" s="16" t="n">
        <f aca="false">H23707*H23710</f>
        <v>48.8125</v>
      </c>
      <c r="I23711" s="16" t="n">
        <f aca="false">I23707*I23710</f>
        <v>48.8125</v>
      </c>
      <c r="J23711" s="16" t="n">
        <f aca="false">J23707*J23710</f>
        <v>44</v>
      </c>
      <c r="K23711" s="16" t="n">
        <f aca="false">K23707*K23710</f>
        <v>44</v>
      </c>
    </row>
    <row r="23712" customFormat="false" ht="15" hidden="false" customHeight="false" outlineLevel="0" collapsed="false">
      <c r="A23712" s="3" t="s">
        <v>333</v>
      </c>
      <c r="G23712" s="16" t="n">
        <f aca="false">G23707*Assumptions!$H$63</f>
        <v>0</v>
      </c>
      <c r="H23712" s="16" t="n">
        <f aca="false">H23707*Assumptions!$H$63</f>
        <v>0</v>
      </c>
      <c r="I23712" s="16" t="n">
        <f aca="false">I23707*Assumptions!$H$63</f>
        <v>0</v>
      </c>
      <c r="J23712" s="16" t="n">
        <f aca="false">J23707*Assumptions!$H$63</f>
        <v>0</v>
      </c>
      <c r="K23712" s="16" t="n">
        <f aca="false">K23707*Assumptions!$H$63</f>
        <v>0</v>
      </c>
    </row>
    <row r="23713" customFormat="false" ht="15" hidden="false" customHeight="false" outlineLevel="0" collapsed="false">
      <c r="A23713" s="3" t="s">
        <v>334</v>
      </c>
      <c r="G23713" s="16" t="n">
        <f aca="false">MIN(G23707,Assumptions!$L$63*Assumptions!$C$63)</f>
        <v>0</v>
      </c>
      <c r="H23713" s="16" t="n">
        <f aca="false">MIN(H23707,Assumptions!$L$63*Assumptions!$C$63)</f>
        <v>0</v>
      </c>
      <c r="I23713" s="16" t="n">
        <f aca="false">MIN(I23707,Assumptions!$L$63*Assumptions!$C$63)</f>
        <v>0</v>
      </c>
      <c r="J23713" s="16" t="n">
        <f aca="false">MIN(J23707,Assumptions!$L$63*Assumptions!$C$63)</f>
        <v>0</v>
      </c>
      <c r="K23713" s="16" t="n">
        <f aca="false">MIN(K23707,Assumptions!$L$63*Assumptions!$C$63)</f>
        <v>0</v>
      </c>
    </row>
    <row r="23714" customFormat="false" ht="15" hidden="false" customHeight="false" outlineLevel="0" collapsed="false">
      <c r="A23714" s="3" t="s">
        <v>335</v>
      </c>
      <c r="G23714" s="16" t="n">
        <f aca="false">IF(AND(Assumptions!$P$63=1,G23593&lt;Assumptions!$K$63),MIN(MAX(0,-G23809),MAX(0,Assumptions!$D$63-G23707)),0)</f>
        <v>0</v>
      </c>
      <c r="H23714" s="16" t="n">
        <f aca="false">IF(AND(Assumptions!$P$63=1,OR(H23593&lt;Assumptions!$K$63,G23945=1)),MIN(MAX(0,-H23809),MAX(0,Assumptions!$D$63-H23707)),0)</f>
        <v>0</v>
      </c>
      <c r="I23714" s="16" t="n">
        <f aca="false">IF(AND(Assumptions!$P$63=1,OR(I23593&lt;Assumptions!$K$63,H23945=1)),MIN(MAX(0,-I23809),MAX(0,Assumptions!$D$63-I23707)),0)</f>
        <v>0</v>
      </c>
      <c r="J23714" s="16" t="n">
        <f aca="false">IF(AND(Assumptions!$P$63=1,OR(J23593&lt;Assumptions!$K$63,I23945=1)),MIN(MAX(0,-J23809),MAX(0,Assumptions!$D$63-J23707)),0)</f>
        <v>0</v>
      </c>
      <c r="K23714" s="16" t="n">
        <f aca="false">IF(AND(Assumptions!$P$63=1,OR(K23593&lt;Assumptions!$K$63,J23945=1)),MIN(MAX(0,-K23809),MAX(0,Assumptions!$D$63-K23707)),0)</f>
        <v>0</v>
      </c>
    </row>
    <row r="23715" customFormat="false" ht="15" hidden="false" customHeight="false" outlineLevel="0" collapsed="false">
      <c r="A23715" s="3" t="s">
        <v>336</v>
      </c>
      <c r="G23715" s="16" t="n">
        <f aca="false">G23708*MIN(G23707-G23713+G23712,MAX(0,G23811-Assumptions!$C$12*G23627-G23637-G23650-G23663-G23676-G23689-G23702))</f>
        <v>0</v>
      </c>
      <c r="H23715" s="16" t="n">
        <f aca="false">H23708*MIN(H23707-H23713+H23712,MAX(0,H23811-Assumptions!$C$12*H23627-H23637-H23650-H23663-H23676-H23689-H23702))</f>
        <v>0</v>
      </c>
      <c r="I23715" s="16" t="n">
        <f aca="false">I23708*MIN(I23707-I23713+I23712,MAX(0,I23811-Assumptions!$C$12*I23627-I23637-I23650-I23663-I23676-I23689-I23702))</f>
        <v>0</v>
      </c>
      <c r="J23715" s="16" t="n">
        <f aca="false">J23708*MIN(J23707-J23713+J23712,MAX(0,J23811-Assumptions!$C$12*J23627-J23637-J23650-J23663-J23676-J23689-J23702))</f>
        <v>0</v>
      </c>
      <c r="K23715" s="16" t="n">
        <f aca="false">K23708*MIN(K23707-K23713+K23712,MAX(0,K23811-Assumptions!$C$12*K23627-K23637-K23650-K23663-K23676-K23689-K23702))</f>
        <v>0</v>
      </c>
    </row>
    <row r="23716" customFormat="false" ht="15" hidden="false" customHeight="false" outlineLevel="0" collapsed="false">
      <c r="A23716" s="3" t="s">
        <v>337</v>
      </c>
      <c r="G23716" s="16" t="n">
        <f aca="false">Assumptions!$N$63*MIN(G23707+G23714+G23712-G23713-G23715,MAX(0,G23815-G23638-G23651-G23664-G23677-G23690-G23703))</f>
        <v>0</v>
      </c>
      <c r="H23716" s="16" t="n">
        <f aca="false">Assumptions!$N$63*MIN(H23707+H23714+H23712-H23713-H23715,MAX(0,H23815-H23638-H23651-H23664-H23677-H23690-H23703))</f>
        <v>0</v>
      </c>
      <c r="I23716" s="16" t="n">
        <f aca="false">Assumptions!$N$63*MIN(I23707+I23714+I23712-I23713-I23715,MAX(0,I23815-I23638-I23651-I23664-I23677-I23690-I23703))</f>
        <v>0</v>
      </c>
      <c r="J23716" s="16" t="n">
        <f aca="false">Assumptions!$N$63*MIN(J23707+J23714+J23712-J23713-J23715,MAX(0,J23815-J23638-J23651-J23664-J23677-J23690-J23703))</f>
        <v>0</v>
      </c>
      <c r="K23716" s="16" t="n">
        <f aca="false">Assumptions!$N$63*MIN(K23707+K23714+K23712-K23713-K23715,MAX(0,K23815-K23638-K23651-K23664-K23677-K23690-K23703))</f>
        <v>0</v>
      </c>
    </row>
    <row r="23717" customFormat="false" ht="15" hidden="false" customHeight="false" outlineLevel="0" collapsed="false">
      <c r="A23717" s="3" t="s">
        <v>338</v>
      </c>
      <c r="G23717" s="16" t="n">
        <f aca="false">G23708*(1-G23627)*(G23707-G23713+G23712-G23715)</f>
        <v>0</v>
      </c>
      <c r="H23717" s="16" t="n">
        <f aca="false">H23708*(1-H23627)*(H23707-H23713+H23712-H23715)</f>
        <v>0</v>
      </c>
      <c r="I23717" s="16" t="n">
        <f aca="false">I23708*(1-I23627)*(I23707-I23713+I23712-I23715)</f>
        <v>0</v>
      </c>
      <c r="J23717" s="16" t="n">
        <f aca="false">J23708*(1-J23627)*(J23707-J23713+J23712-J23715)</f>
        <v>0</v>
      </c>
      <c r="K23717" s="16" t="n">
        <f aca="false">K23708*(1-K23627)*(K23707-K23713+K23712-K23715)</f>
        <v>0</v>
      </c>
    </row>
    <row r="23718" customFormat="false" ht="15" hidden="false" customHeight="false" outlineLevel="0" collapsed="false">
      <c r="A23718" s="2" t="s">
        <v>339</v>
      </c>
      <c r="F23718" s="28" t="n">
        <f aca="false">Assumptions!$C$63</f>
        <v>550</v>
      </c>
      <c r="G23718" s="17" t="n">
        <f aca="false">G23707+G23714+G23712-G23713-G23715-G23716</f>
        <v>550</v>
      </c>
      <c r="H23718" s="17" t="n">
        <f aca="false">H23707+H23714+H23712-H23713-H23715-H23716</f>
        <v>550</v>
      </c>
      <c r="I23718" s="17" t="n">
        <f aca="false">I23707+I23714+I23712-I23713-I23715-I23716</f>
        <v>550</v>
      </c>
      <c r="J23718" s="17" t="n">
        <f aca="false">J23707+J23714+J23712-J23713-J23715-J23716</f>
        <v>550</v>
      </c>
      <c r="K23718" s="17" t="n">
        <f aca="false">K23707+K23714+K23712-K23713-K23715-K23716</f>
        <v>550</v>
      </c>
    </row>
    <row r="23719" customFormat="false" ht="15" hidden="false" customHeight="false" outlineLevel="0" collapsed="false">
      <c r="A23719" s="24" t="s">
        <v>346</v>
      </c>
      <c r="B23719" s="25"/>
      <c r="C23719" s="25"/>
      <c r="D23719" s="25"/>
      <c r="E23719" s="25"/>
      <c r="F23719" s="25"/>
      <c r="G23719" s="25"/>
      <c r="H23719" s="25"/>
      <c r="I23719" s="25"/>
      <c r="J23719" s="25"/>
      <c r="K23719" s="25"/>
    </row>
    <row r="23720" customFormat="false" ht="15" hidden="false" customHeight="false" outlineLevel="0" collapsed="false">
      <c r="A23720" s="3" t="s">
        <v>329</v>
      </c>
      <c r="G23720" s="16" t="n">
        <f aca="false">F23731</f>
        <v>350</v>
      </c>
      <c r="H23720" s="16" t="n">
        <f aca="false">G23731</f>
        <v>350</v>
      </c>
      <c r="I23720" s="16" t="n">
        <f aca="false">H23731</f>
        <v>350</v>
      </c>
      <c r="J23720" s="16" t="n">
        <f aca="false">I23731</f>
        <v>350</v>
      </c>
      <c r="K23720" s="16" t="n">
        <f aca="false">J23731</f>
        <v>350</v>
      </c>
    </row>
    <row r="23721" customFormat="false" ht="15" hidden="false" customHeight="false" outlineLevel="0" collapsed="false">
      <c r="A23721" s="3" t="s">
        <v>330</v>
      </c>
      <c r="G23721" s="21" t="n">
        <f aca="false">IF(G23593=Assumptions!$K$64,1,0)</f>
        <v>0</v>
      </c>
      <c r="H23721" s="21" t="n">
        <f aca="false">IF(H23593=Assumptions!$K$64,1,0)</f>
        <v>0</v>
      </c>
      <c r="I23721" s="21" t="n">
        <f aca="false">IF(I23593=Assumptions!$K$64,1,0)</f>
        <v>0</v>
      </c>
      <c r="J23721" s="21" t="n">
        <f aca="false">IF(J23593=Assumptions!$K$64,1,0)</f>
        <v>1</v>
      </c>
      <c r="K23721" s="21" t="n">
        <f aca="false">IF(K23593=Assumptions!$K$64,1,0)</f>
        <v>0</v>
      </c>
    </row>
    <row r="23723" customFormat="false" ht="15" hidden="false" customHeight="false" outlineLevel="0" collapsed="false">
      <c r="A23723" s="3" t="s">
        <v>331</v>
      </c>
      <c r="G23723" s="31" t="n">
        <f aca="false">IF(Assumptions!$I$64=1,MAX(G23619,Assumptions!$G$64)+Assumptions!$F$64+$C$23620,Assumptions!$E$64)</f>
        <v>0.0455</v>
      </c>
      <c r="H23723" s="31" t="n">
        <f aca="false">IF(G23946=1,$C$23621,IF(Assumptions!$I$64=1,MAX(H23619,Assumptions!$G$64)+Assumptions!$F$64+$C$23620,Assumptions!$E$64))</f>
        <v>0.0455</v>
      </c>
      <c r="I23723" s="31" t="n">
        <f aca="false">IF(H23946=1,$C$23621,IF(Assumptions!$I$64=1,MAX(I23619,Assumptions!$G$64)+Assumptions!$F$64+$C$23620,Assumptions!$E$64))</f>
        <v>0.0455</v>
      </c>
      <c r="J23723" s="31" t="n">
        <f aca="false">IF(I23946=1,$C$23621,IF(Assumptions!$I$64=1,MAX(J23619,Assumptions!$G$64)+Assumptions!$F$64+$C$23620,Assumptions!$E$64))</f>
        <v>0.0455</v>
      </c>
      <c r="K23723" s="31" t="n">
        <f aca="false">IF(J23946=1,$C$23621,IF(Assumptions!$I$64=1,MAX(K23619,Assumptions!$G$64)+Assumptions!$F$64+$C$23620,Assumptions!$E$64))</f>
        <v>0.08</v>
      </c>
    </row>
    <row r="23724" customFormat="false" ht="15" hidden="false" customHeight="false" outlineLevel="0" collapsed="false">
      <c r="A23724" s="3" t="s">
        <v>332</v>
      </c>
      <c r="G23724" s="16" t="n">
        <f aca="false">G23720*G23723</f>
        <v>15.925</v>
      </c>
      <c r="H23724" s="16" t="n">
        <f aca="false">H23720*H23723</f>
        <v>15.925</v>
      </c>
      <c r="I23724" s="16" t="n">
        <f aca="false">I23720*I23723</f>
        <v>15.925</v>
      </c>
      <c r="J23724" s="16" t="n">
        <f aca="false">J23720*J23723</f>
        <v>15.925</v>
      </c>
      <c r="K23724" s="16" t="n">
        <f aca="false">K23720*K23723</f>
        <v>28</v>
      </c>
    </row>
    <row r="23725" customFormat="false" ht="15" hidden="false" customHeight="false" outlineLevel="0" collapsed="false">
      <c r="A23725" s="3" t="s">
        <v>333</v>
      </c>
      <c r="G23725" s="16" t="n">
        <f aca="false">G23720*Assumptions!$H$64</f>
        <v>0</v>
      </c>
      <c r="H23725" s="16" t="n">
        <f aca="false">H23720*Assumptions!$H$64</f>
        <v>0</v>
      </c>
      <c r="I23725" s="16" t="n">
        <f aca="false">I23720*Assumptions!$H$64</f>
        <v>0</v>
      </c>
      <c r="J23725" s="16" t="n">
        <f aca="false">J23720*Assumptions!$H$64</f>
        <v>0</v>
      </c>
      <c r="K23725" s="16" t="n">
        <f aca="false">K23720*Assumptions!$H$64</f>
        <v>0</v>
      </c>
    </row>
    <row r="23726" customFormat="false" ht="15" hidden="false" customHeight="false" outlineLevel="0" collapsed="false">
      <c r="A23726" s="3" t="s">
        <v>334</v>
      </c>
      <c r="G23726" s="16" t="n">
        <f aca="false">MIN(G23720,Assumptions!$L$64*Assumptions!$C$64)</f>
        <v>0</v>
      </c>
      <c r="H23726" s="16" t="n">
        <f aca="false">MIN(H23720,Assumptions!$L$64*Assumptions!$C$64)</f>
        <v>0</v>
      </c>
      <c r="I23726" s="16" t="n">
        <f aca="false">MIN(I23720,Assumptions!$L$64*Assumptions!$C$64)</f>
        <v>0</v>
      </c>
      <c r="J23726" s="16" t="n">
        <f aca="false">MIN(J23720,Assumptions!$L$64*Assumptions!$C$64)</f>
        <v>0</v>
      </c>
      <c r="K23726" s="16" t="n">
        <f aca="false">MIN(K23720,Assumptions!$L$64*Assumptions!$C$64)</f>
        <v>0</v>
      </c>
    </row>
    <row r="23727" customFormat="false" ht="15" hidden="false" customHeight="false" outlineLevel="0" collapsed="false">
      <c r="A23727" s="3" t="s">
        <v>335</v>
      </c>
      <c r="G23727" s="16" t="n">
        <f aca="false">IF(AND(Assumptions!$P$64=1,G23593&lt;Assumptions!$K$64),MIN(MAX(0,-G23809),MAX(0,Assumptions!$D$64-G23720)),0)</f>
        <v>0</v>
      </c>
      <c r="H23727" s="16" t="n">
        <f aca="false">IF(AND(Assumptions!$P$64=1,OR(H23593&lt;Assumptions!$K$64,G23946=1)),MIN(MAX(0,-H23809),MAX(0,Assumptions!$D$64-H23720)),0)</f>
        <v>0</v>
      </c>
      <c r="I23727" s="16" t="n">
        <f aca="false">IF(AND(Assumptions!$P$64=1,OR(I23593&lt;Assumptions!$K$64,H23946=1)),MIN(MAX(0,-I23809),MAX(0,Assumptions!$D$64-I23720)),0)</f>
        <v>0</v>
      </c>
      <c r="J23727" s="16" t="n">
        <f aca="false">IF(AND(Assumptions!$P$64=1,OR(J23593&lt;Assumptions!$K$64,I23946=1)),MIN(MAX(0,-J23809),MAX(0,Assumptions!$D$64-J23720)),0)</f>
        <v>0</v>
      </c>
      <c r="K23727" s="16" t="n">
        <f aca="false">IF(AND(Assumptions!$P$64=1,OR(K23593&lt;Assumptions!$K$64,J23946=1)),MIN(MAX(0,-K23809),MAX(0,Assumptions!$D$64-K23720)),0)</f>
        <v>0</v>
      </c>
    </row>
    <row r="23728" customFormat="false" ht="15" hidden="false" customHeight="false" outlineLevel="0" collapsed="false">
      <c r="A23728" s="3" t="s">
        <v>336</v>
      </c>
      <c r="G23728" s="16" t="n">
        <f aca="false">G23721*MIN(G23720-G23726+G23725,MAX(0,G23811-Assumptions!$C$12*G23627-G23637-G23650-G23663-G23676-G23689-G23702-G23715))</f>
        <v>0</v>
      </c>
      <c r="H23728" s="16" t="n">
        <f aca="false">H23721*MIN(H23720-H23726+H23725,MAX(0,H23811-Assumptions!$C$12*H23627-H23637-H23650-H23663-H23676-H23689-H23702-H23715))</f>
        <v>0</v>
      </c>
      <c r="I23728" s="16" t="n">
        <f aca="false">I23721*MIN(I23720-I23726+I23725,MAX(0,I23811-Assumptions!$C$12*I23627-I23637-I23650-I23663-I23676-I23689-I23702-I23715))</f>
        <v>0</v>
      </c>
      <c r="J23728" s="16" t="n">
        <f aca="false">J23721*MIN(J23720-J23726+J23725,MAX(0,J23811-Assumptions!$C$12*J23627-J23637-J23650-J23663-J23676-J23689-J23702-J23715))</f>
        <v>0</v>
      </c>
      <c r="K23728" s="16" t="n">
        <f aca="false">K23721*MIN(K23720-K23726+K23725,MAX(0,K23811-Assumptions!$C$12*K23627-K23637-K23650-K23663-K23676-K23689-K23702-K23715))</f>
        <v>0</v>
      </c>
    </row>
    <row r="23729" customFormat="false" ht="15" hidden="false" customHeight="false" outlineLevel="0" collapsed="false">
      <c r="A23729" s="3" t="s">
        <v>337</v>
      </c>
      <c r="G23729" s="16" t="n">
        <f aca="false">Assumptions!$N$64*MIN(G23720+G23727+G23725-G23726-G23728,MAX(0,G23815-G23638-G23651-G23664-G23677-G23690-G23703-G23716))</f>
        <v>0</v>
      </c>
      <c r="H23729" s="16" t="n">
        <f aca="false">Assumptions!$N$64*MIN(H23720+H23727+H23725-H23726-H23728,MAX(0,H23815-H23638-H23651-H23664-H23677-H23690-H23703-H23716))</f>
        <v>0</v>
      </c>
      <c r="I23729" s="16" t="n">
        <f aca="false">Assumptions!$N$64*MIN(I23720+I23727+I23725-I23726-I23728,MAX(0,I23815-I23638-I23651-I23664-I23677-I23690-I23703-I23716))</f>
        <v>0</v>
      </c>
      <c r="J23729" s="16" t="n">
        <f aca="false">Assumptions!$N$64*MIN(J23720+J23727+J23725-J23726-J23728,MAX(0,J23815-J23638-J23651-J23664-J23677-J23690-J23703-J23716))</f>
        <v>0</v>
      </c>
      <c r="K23729" s="16" t="n">
        <f aca="false">Assumptions!$N$64*MIN(K23720+K23727+K23725-K23726-K23728,MAX(0,K23815-K23638-K23651-K23664-K23677-K23690-K23703-K23716))</f>
        <v>0</v>
      </c>
    </row>
    <row r="23730" customFormat="false" ht="15" hidden="false" customHeight="false" outlineLevel="0" collapsed="false">
      <c r="A23730" s="3" t="s">
        <v>338</v>
      </c>
      <c r="G23730" s="16" t="n">
        <f aca="false">G23721*(1-G23627)*(G23720-G23726+G23725-G23728)</f>
        <v>0</v>
      </c>
      <c r="H23730" s="16" t="n">
        <f aca="false">H23721*(1-H23627)*(H23720-H23726+H23725-H23728)</f>
        <v>0</v>
      </c>
      <c r="I23730" s="16" t="n">
        <f aca="false">I23721*(1-I23627)*(I23720-I23726+I23725-I23728)</f>
        <v>0</v>
      </c>
      <c r="J23730" s="16" t="n">
        <f aca="false">J23721*(1-J23627)*(J23720-J23726+J23725-J23728)</f>
        <v>0</v>
      </c>
      <c r="K23730" s="16" t="n">
        <f aca="false">K23721*(1-K23627)*(K23720-K23726+K23725-K23728)</f>
        <v>0</v>
      </c>
    </row>
    <row r="23731" customFormat="false" ht="15" hidden="false" customHeight="false" outlineLevel="0" collapsed="false">
      <c r="A23731" s="2" t="s">
        <v>339</v>
      </c>
      <c r="F23731" s="28" t="n">
        <f aca="false">Assumptions!$C$64</f>
        <v>350</v>
      </c>
      <c r="G23731" s="17" t="n">
        <f aca="false">G23720+G23727+G23725-G23726-G23728-G23729</f>
        <v>350</v>
      </c>
      <c r="H23731" s="17" t="n">
        <f aca="false">H23720+H23727+H23725-H23726-H23728-H23729</f>
        <v>350</v>
      </c>
      <c r="I23731" s="17" t="n">
        <f aca="false">I23720+I23727+I23725-I23726-I23728-I23729</f>
        <v>350</v>
      </c>
      <c r="J23731" s="17" t="n">
        <f aca="false">J23720+J23727+J23725-J23726-J23728-J23729</f>
        <v>350</v>
      </c>
      <c r="K23731" s="17" t="n">
        <f aca="false">K23720+K23727+K23725-K23726-K23728-K23729</f>
        <v>350</v>
      </c>
    </row>
    <row r="23732" customFormat="false" ht="15" hidden="false" customHeight="false" outlineLevel="0" collapsed="false">
      <c r="A23732" s="24" t="s">
        <v>347</v>
      </c>
      <c r="B23732" s="25"/>
      <c r="C23732" s="25"/>
      <c r="D23732" s="25"/>
      <c r="E23732" s="25"/>
      <c r="F23732" s="25"/>
      <c r="G23732" s="25"/>
      <c r="H23732" s="25"/>
      <c r="I23732" s="25"/>
      <c r="J23732" s="25"/>
      <c r="K23732" s="25"/>
    </row>
    <row r="23733" customFormat="false" ht="15" hidden="false" customHeight="false" outlineLevel="0" collapsed="false">
      <c r="A23733" s="3" t="s">
        <v>329</v>
      </c>
      <c r="G23733" s="16" t="n">
        <f aca="false">F23744</f>
        <v>300</v>
      </c>
      <c r="H23733" s="16" t="n">
        <f aca="false">G23744</f>
        <v>300</v>
      </c>
      <c r="I23733" s="16" t="n">
        <f aca="false">H23744</f>
        <v>300</v>
      </c>
      <c r="J23733" s="16" t="n">
        <f aca="false">I23744</f>
        <v>300</v>
      </c>
      <c r="K23733" s="16" t="n">
        <f aca="false">J23744</f>
        <v>300</v>
      </c>
    </row>
    <row r="23734" customFormat="false" ht="15" hidden="false" customHeight="false" outlineLevel="0" collapsed="false">
      <c r="A23734" s="3" t="s">
        <v>330</v>
      </c>
      <c r="G23734" s="21" t="n">
        <f aca="false">IF(G23593=Assumptions!$K$65,1,0)</f>
        <v>0</v>
      </c>
      <c r="H23734" s="21" t="n">
        <f aca="false">IF(H23593=Assumptions!$K$65,1,0)</f>
        <v>0</v>
      </c>
      <c r="I23734" s="21" t="n">
        <f aca="false">IF(I23593=Assumptions!$K$65,1,0)</f>
        <v>0</v>
      </c>
      <c r="J23734" s="21" t="n">
        <f aca="false">IF(J23593=Assumptions!$K$65,1,0)</f>
        <v>0</v>
      </c>
      <c r="K23734" s="21" t="n">
        <f aca="false">IF(K23593=Assumptions!$K$65,1,0)</f>
        <v>1</v>
      </c>
    </row>
    <row r="23736" customFormat="false" ht="15" hidden="false" customHeight="false" outlineLevel="0" collapsed="false">
      <c r="A23736" s="3" t="s">
        <v>331</v>
      </c>
      <c r="G23736" s="31" t="n">
        <f aca="false">IF(Assumptions!$I$65=1,MAX(G23619,Assumptions!$G$65)+Assumptions!$F$65+$C$23620,Assumptions!$E$65)</f>
        <v>0.06125</v>
      </c>
      <c r="H23736" s="31" t="n">
        <f aca="false">IF(G23947=1,$C$23621,IF(Assumptions!$I$65=1,MAX(H23619,Assumptions!$G$65)+Assumptions!$F$65+$C$23620,Assumptions!$E$65))</f>
        <v>0.06125</v>
      </c>
      <c r="I23736" s="31" t="n">
        <f aca="false">IF(H23947=1,$C$23621,IF(Assumptions!$I$65=1,MAX(I23619,Assumptions!$G$65)+Assumptions!$F$65+$C$23620,Assumptions!$E$65))</f>
        <v>0.06125</v>
      </c>
      <c r="J23736" s="31" t="n">
        <f aca="false">IF(I23947=1,$C$23621,IF(Assumptions!$I$65=1,MAX(J23619,Assumptions!$G$65)+Assumptions!$F$65+$C$23620,Assumptions!$E$65))</f>
        <v>0.06125</v>
      </c>
      <c r="K23736" s="31" t="n">
        <f aca="false">IF(J23947=1,$C$23621,IF(Assumptions!$I$65=1,MAX(K23619,Assumptions!$G$65)+Assumptions!$F$65+$C$23620,Assumptions!$E$65))</f>
        <v>0.06125</v>
      </c>
    </row>
    <row r="23737" customFormat="false" ht="15" hidden="false" customHeight="false" outlineLevel="0" collapsed="false">
      <c r="A23737" s="3" t="s">
        <v>332</v>
      </c>
      <c r="G23737" s="16" t="n">
        <f aca="false">G23733*G23736</f>
        <v>18.375</v>
      </c>
      <c r="H23737" s="16" t="n">
        <f aca="false">H23733*H23736</f>
        <v>18.375</v>
      </c>
      <c r="I23737" s="16" t="n">
        <f aca="false">I23733*I23736</f>
        <v>18.375</v>
      </c>
      <c r="J23737" s="16" t="n">
        <f aca="false">J23733*J23736</f>
        <v>18.375</v>
      </c>
      <c r="K23737" s="16" t="n">
        <f aca="false">K23733*K23736</f>
        <v>18.375</v>
      </c>
    </row>
    <row r="23738" customFormat="false" ht="15" hidden="false" customHeight="false" outlineLevel="0" collapsed="false">
      <c r="A23738" s="3" t="s">
        <v>333</v>
      </c>
      <c r="G23738" s="16" t="n">
        <f aca="false">G23733*Assumptions!$H$65</f>
        <v>0</v>
      </c>
      <c r="H23738" s="16" t="n">
        <f aca="false">H23733*Assumptions!$H$65</f>
        <v>0</v>
      </c>
      <c r="I23738" s="16" t="n">
        <f aca="false">I23733*Assumptions!$H$65</f>
        <v>0</v>
      </c>
      <c r="J23738" s="16" t="n">
        <f aca="false">J23733*Assumptions!$H$65</f>
        <v>0</v>
      </c>
      <c r="K23738" s="16" t="n">
        <f aca="false">K23733*Assumptions!$H$65</f>
        <v>0</v>
      </c>
    </row>
    <row r="23739" customFormat="false" ht="15" hidden="false" customHeight="false" outlineLevel="0" collapsed="false">
      <c r="A23739" s="3" t="s">
        <v>334</v>
      </c>
      <c r="G23739" s="16" t="n">
        <f aca="false">MIN(G23733,Assumptions!$L$65*Assumptions!$C$65)</f>
        <v>0</v>
      </c>
      <c r="H23739" s="16" t="n">
        <f aca="false">MIN(H23733,Assumptions!$L$65*Assumptions!$C$65)</f>
        <v>0</v>
      </c>
      <c r="I23739" s="16" t="n">
        <f aca="false">MIN(I23733,Assumptions!$L$65*Assumptions!$C$65)</f>
        <v>0</v>
      </c>
      <c r="J23739" s="16" t="n">
        <f aca="false">MIN(J23733,Assumptions!$L$65*Assumptions!$C$65)</f>
        <v>0</v>
      </c>
      <c r="K23739" s="16" t="n">
        <f aca="false">MIN(K23733,Assumptions!$L$65*Assumptions!$C$65)</f>
        <v>0</v>
      </c>
    </row>
    <row r="23740" customFormat="false" ht="15" hidden="false" customHeight="false" outlineLevel="0" collapsed="false">
      <c r="A23740" s="3" t="s">
        <v>335</v>
      </c>
      <c r="G23740" s="16" t="n">
        <f aca="false">IF(AND(Assumptions!$P$65=1,G23593&lt;Assumptions!$K$65),MIN(MAX(0,-G23809),MAX(0,Assumptions!$D$65-G23733)),0)</f>
        <v>0</v>
      </c>
      <c r="H23740" s="16" t="n">
        <f aca="false">IF(AND(Assumptions!$P$65=1,OR(H23593&lt;Assumptions!$K$65,G23947=1)),MIN(MAX(0,-H23809),MAX(0,Assumptions!$D$65-H23733)),0)</f>
        <v>0</v>
      </c>
      <c r="I23740" s="16" t="n">
        <f aca="false">IF(AND(Assumptions!$P$65=1,OR(I23593&lt;Assumptions!$K$65,H23947=1)),MIN(MAX(0,-I23809),MAX(0,Assumptions!$D$65-I23733)),0)</f>
        <v>0</v>
      </c>
      <c r="J23740" s="16" t="n">
        <f aca="false">IF(AND(Assumptions!$P$65=1,OR(J23593&lt;Assumptions!$K$65,I23947=1)),MIN(MAX(0,-J23809),MAX(0,Assumptions!$D$65-J23733)),0)</f>
        <v>0</v>
      </c>
      <c r="K23740" s="16" t="n">
        <f aca="false">IF(AND(Assumptions!$P$65=1,OR(K23593&lt;Assumptions!$K$65,J23947=1)),MIN(MAX(0,-K23809),MAX(0,Assumptions!$D$65-K23733)),0)</f>
        <v>0</v>
      </c>
    </row>
    <row r="23741" customFormat="false" ht="15" hidden="false" customHeight="false" outlineLevel="0" collapsed="false">
      <c r="A23741" s="3" t="s">
        <v>336</v>
      </c>
      <c r="G23741" s="16" t="n">
        <f aca="false">G23734*MIN(G23733-G23739+G23738,MAX(0,G23811-Assumptions!$C$12*G23627-G23637-G23650-G23663-G23676-G23689-G23702-G23715-G23728))</f>
        <v>0</v>
      </c>
      <c r="H23741" s="16" t="n">
        <f aca="false">H23734*MIN(H23733-H23739+H23738,MAX(0,H23811-Assumptions!$C$12*H23627-H23637-H23650-H23663-H23676-H23689-H23702-H23715-H23728))</f>
        <v>0</v>
      </c>
      <c r="I23741" s="16" t="n">
        <f aca="false">I23734*MIN(I23733-I23739+I23738,MAX(0,I23811-Assumptions!$C$12*I23627-I23637-I23650-I23663-I23676-I23689-I23702-I23715-I23728))</f>
        <v>0</v>
      </c>
      <c r="J23741" s="16" t="n">
        <f aca="false">J23734*MIN(J23733-J23739+J23738,MAX(0,J23811-Assumptions!$C$12*J23627-J23637-J23650-J23663-J23676-J23689-J23702-J23715-J23728))</f>
        <v>0</v>
      </c>
      <c r="K23741" s="16" t="n">
        <f aca="false">K23734*MIN(K23733-K23739+K23738,MAX(0,K23811-Assumptions!$C$12*K23627-K23637-K23650-K23663-K23676-K23689-K23702-K23715-K23728))</f>
        <v>0</v>
      </c>
    </row>
    <row r="23742" customFormat="false" ht="15" hidden="false" customHeight="false" outlineLevel="0" collapsed="false">
      <c r="A23742" s="3" t="s">
        <v>337</v>
      </c>
      <c r="G23742" s="16" t="n">
        <f aca="false">Assumptions!$N$65*MIN(G23733+G23740+G23738-G23739-G23741,MAX(0,G23815-G23638-G23651-G23664-G23677-G23690-G23703-G23716-G23729))</f>
        <v>0</v>
      </c>
      <c r="H23742" s="16" t="n">
        <f aca="false">Assumptions!$N$65*MIN(H23733+H23740+H23738-H23739-H23741,MAX(0,H23815-H23638-H23651-H23664-H23677-H23690-H23703-H23716-H23729))</f>
        <v>0</v>
      </c>
      <c r="I23742" s="16" t="n">
        <f aca="false">Assumptions!$N$65*MIN(I23733+I23740+I23738-I23739-I23741,MAX(0,I23815-I23638-I23651-I23664-I23677-I23690-I23703-I23716-I23729))</f>
        <v>0</v>
      </c>
      <c r="J23742" s="16" t="n">
        <f aca="false">Assumptions!$N$65*MIN(J23733+J23740+J23738-J23739-J23741,MAX(0,J23815-J23638-J23651-J23664-J23677-J23690-J23703-J23716-J23729))</f>
        <v>0</v>
      </c>
      <c r="K23742" s="16" t="n">
        <f aca="false">Assumptions!$N$65*MIN(K23733+K23740+K23738-K23739-K23741,MAX(0,K23815-K23638-K23651-K23664-K23677-K23690-K23703-K23716-K23729))</f>
        <v>0</v>
      </c>
    </row>
    <row r="23743" customFormat="false" ht="15" hidden="false" customHeight="false" outlineLevel="0" collapsed="false">
      <c r="A23743" s="3" t="s">
        <v>338</v>
      </c>
      <c r="G23743" s="16" t="n">
        <f aca="false">G23734*(1-G23627)*(G23733-G23739+G23738-G23741)</f>
        <v>0</v>
      </c>
      <c r="H23743" s="16" t="n">
        <f aca="false">H23734*(1-H23627)*(H23733-H23739+H23738-H23741)</f>
        <v>0</v>
      </c>
      <c r="I23743" s="16" t="n">
        <f aca="false">I23734*(1-I23627)*(I23733-I23739+I23738-I23741)</f>
        <v>0</v>
      </c>
      <c r="J23743" s="16" t="n">
        <f aca="false">J23734*(1-J23627)*(J23733-J23739+J23738-J23741)</f>
        <v>0</v>
      </c>
      <c r="K23743" s="16" t="n">
        <f aca="false">K23734*(1-K23627)*(K23733-K23739+K23738-K23741)</f>
        <v>0</v>
      </c>
    </row>
    <row r="23744" customFormat="false" ht="15" hidden="false" customHeight="false" outlineLevel="0" collapsed="false">
      <c r="A23744" s="2" t="s">
        <v>339</v>
      </c>
      <c r="F23744" s="28" t="n">
        <f aca="false">Assumptions!$C$65</f>
        <v>300</v>
      </c>
      <c r="G23744" s="17" t="n">
        <f aca="false">G23733+G23740+G23738-G23739-G23741-G23742</f>
        <v>300</v>
      </c>
      <c r="H23744" s="17" t="n">
        <f aca="false">H23733+H23740+H23738-H23739-H23741-H23742</f>
        <v>300</v>
      </c>
      <c r="I23744" s="17" t="n">
        <f aca="false">I23733+I23740+I23738-I23739-I23741-I23742</f>
        <v>300</v>
      </c>
      <c r="J23744" s="17" t="n">
        <f aca="false">J23733+J23740+J23738-J23739-J23741-J23742</f>
        <v>300</v>
      </c>
      <c r="K23744" s="17" t="n">
        <f aca="false">K23733+K23740+K23738-K23739-K23741-K23742</f>
        <v>300</v>
      </c>
    </row>
    <row r="23745" customFormat="false" ht="15" hidden="false" customHeight="false" outlineLevel="0" collapsed="false">
      <c r="A23745" s="24" t="s">
        <v>348</v>
      </c>
      <c r="B23745" s="25"/>
      <c r="C23745" s="25"/>
      <c r="D23745" s="25"/>
      <c r="E23745" s="25"/>
      <c r="F23745" s="25"/>
      <c r="G23745" s="25"/>
      <c r="H23745" s="25"/>
      <c r="I23745" s="25"/>
      <c r="J23745" s="25"/>
      <c r="K23745" s="25"/>
    </row>
    <row r="23746" customFormat="false" ht="15" hidden="false" customHeight="false" outlineLevel="0" collapsed="false">
      <c r="A23746" s="3" t="s">
        <v>329</v>
      </c>
      <c r="G23746" s="16" t="n">
        <f aca="false">F23757</f>
        <v>78.61</v>
      </c>
      <c r="H23746" s="16" t="n">
        <f aca="false">G23757</f>
        <v>78.61</v>
      </c>
      <c r="I23746" s="16" t="n">
        <f aca="false">H23757</f>
        <v>78.61</v>
      </c>
      <c r="J23746" s="16" t="n">
        <f aca="false">I23757</f>
        <v>78.61</v>
      </c>
      <c r="K23746" s="16" t="n">
        <f aca="false">J23757</f>
        <v>78.61</v>
      </c>
    </row>
    <row r="23747" customFormat="false" ht="15" hidden="false" customHeight="false" outlineLevel="0" collapsed="false">
      <c r="A23747" s="3" t="s">
        <v>330</v>
      </c>
      <c r="G23747" s="21" t="n">
        <f aca="false">IF(G23593=Assumptions!$K$66,1,0)</f>
        <v>0</v>
      </c>
      <c r="H23747" s="21" t="n">
        <f aca="false">IF(H23593=Assumptions!$K$66,1,0)</f>
        <v>0</v>
      </c>
      <c r="I23747" s="21" t="n">
        <f aca="false">IF(I23593=Assumptions!$K$66,1,0)</f>
        <v>0</v>
      </c>
      <c r="J23747" s="21" t="n">
        <f aca="false">IF(J23593=Assumptions!$K$66,1,0)</f>
        <v>0</v>
      </c>
      <c r="K23747" s="21" t="n">
        <f aca="false">IF(K23593=Assumptions!$K$66,1,0)</f>
        <v>0</v>
      </c>
    </row>
    <row r="23749" customFormat="false" ht="15" hidden="false" customHeight="false" outlineLevel="0" collapsed="false">
      <c r="A23749" s="3" t="s">
        <v>331</v>
      </c>
      <c r="G23749" s="31" t="n">
        <f aca="false">IF(Assumptions!$I$66=1,MAX(G23619,Assumptions!$G$66)+Assumptions!$F$66+$C$23620,Assumptions!$E$66)</f>
        <v>0.0641</v>
      </c>
      <c r="H23749" s="31" t="n">
        <f aca="false">IF(G23948=1,$C$23621,IF(Assumptions!$I$66=1,MAX(H23619,Assumptions!$G$66)+Assumptions!$F$66+$C$23620,Assumptions!$E$66))</f>
        <v>0.0626</v>
      </c>
      <c r="I23749" s="31" t="n">
        <f aca="false">IF(H23948=1,$C$23621,IF(Assumptions!$I$66=1,MAX(I23619,Assumptions!$G$66)+Assumptions!$F$66+$C$23620,Assumptions!$E$66))</f>
        <v>0.0601</v>
      </c>
      <c r="J23749" s="31" t="n">
        <f aca="false">IF(I23948=1,$C$23621,IF(Assumptions!$I$66=1,MAX(J23619,Assumptions!$G$66)+Assumptions!$F$66+$C$23620,Assumptions!$E$66))</f>
        <v>0.0601</v>
      </c>
      <c r="K23749" s="31" t="n">
        <f aca="false">IF(J23948=1,$C$23621,IF(Assumptions!$I$66=1,MAX(K23619,Assumptions!$G$66)+Assumptions!$F$66+$C$23620,Assumptions!$E$66))</f>
        <v>0.0601</v>
      </c>
    </row>
    <row r="23750" customFormat="false" ht="15" hidden="false" customHeight="false" outlineLevel="0" collapsed="false">
      <c r="A23750" s="3" t="s">
        <v>332</v>
      </c>
      <c r="G23750" s="16" t="n">
        <f aca="false">G23746*G23749</f>
        <v>5.038901</v>
      </c>
      <c r="H23750" s="16" t="n">
        <f aca="false">H23746*H23749</f>
        <v>4.920986</v>
      </c>
      <c r="I23750" s="16" t="n">
        <f aca="false">I23746*I23749</f>
        <v>4.724461</v>
      </c>
      <c r="J23750" s="16" t="n">
        <f aca="false">J23746*J23749</f>
        <v>4.724461</v>
      </c>
      <c r="K23750" s="16" t="n">
        <f aca="false">K23746*K23749</f>
        <v>4.724461</v>
      </c>
    </row>
    <row r="23751" customFormat="false" ht="15" hidden="false" customHeight="false" outlineLevel="0" collapsed="false">
      <c r="A23751" s="3" t="s">
        <v>333</v>
      </c>
      <c r="G23751" s="16" t="n">
        <f aca="false">G23746*Assumptions!$H$66</f>
        <v>0</v>
      </c>
      <c r="H23751" s="16" t="n">
        <f aca="false">H23746*Assumptions!$H$66</f>
        <v>0</v>
      </c>
      <c r="I23751" s="16" t="n">
        <f aca="false">I23746*Assumptions!$H$66</f>
        <v>0</v>
      </c>
      <c r="J23751" s="16" t="n">
        <f aca="false">J23746*Assumptions!$H$66</f>
        <v>0</v>
      </c>
      <c r="K23751" s="16" t="n">
        <f aca="false">K23746*Assumptions!$H$66</f>
        <v>0</v>
      </c>
    </row>
    <row r="23752" customFormat="false" ht="15" hidden="false" customHeight="false" outlineLevel="0" collapsed="false">
      <c r="A23752" s="3" t="s">
        <v>334</v>
      </c>
      <c r="G23752" s="16" t="n">
        <f aca="false">MIN(G23746,Assumptions!$L$66*Assumptions!$C$66)</f>
        <v>0</v>
      </c>
      <c r="H23752" s="16" t="n">
        <f aca="false">MIN(H23746,Assumptions!$L$66*Assumptions!$C$66)</f>
        <v>0</v>
      </c>
      <c r="I23752" s="16" t="n">
        <f aca="false">MIN(I23746,Assumptions!$L$66*Assumptions!$C$66)</f>
        <v>0</v>
      </c>
      <c r="J23752" s="16" t="n">
        <f aca="false">MIN(J23746,Assumptions!$L$66*Assumptions!$C$66)</f>
        <v>0</v>
      </c>
      <c r="K23752" s="16" t="n">
        <f aca="false">MIN(K23746,Assumptions!$L$66*Assumptions!$C$66)</f>
        <v>0</v>
      </c>
    </row>
    <row r="23753" customFormat="false" ht="15" hidden="false" customHeight="false" outlineLevel="0" collapsed="false">
      <c r="A23753" s="3" t="s">
        <v>335</v>
      </c>
      <c r="G23753" s="16" t="n">
        <f aca="false">IF(AND(Assumptions!$P$66=1,G23593&lt;Assumptions!$K$66),MIN(MAX(0,-G23809),MAX(0,Assumptions!$D$66-G23746)),0)</f>
        <v>0</v>
      </c>
      <c r="H23753" s="16" t="n">
        <f aca="false">IF(AND(Assumptions!$P$66=1,OR(H23593&lt;Assumptions!$K$66,G23948=1)),MIN(MAX(0,-H23809),MAX(0,Assumptions!$D$66-H23746)),0)</f>
        <v>0</v>
      </c>
      <c r="I23753" s="16" t="n">
        <f aca="false">IF(AND(Assumptions!$P$66=1,OR(I23593&lt;Assumptions!$K$66,H23948=1)),MIN(MAX(0,-I23809),MAX(0,Assumptions!$D$66-I23746)),0)</f>
        <v>0</v>
      </c>
      <c r="J23753" s="16" t="n">
        <f aca="false">IF(AND(Assumptions!$P$66=1,OR(J23593&lt;Assumptions!$K$66,I23948=1)),MIN(MAX(0,-J23809),MAX(0,Assumptions!$D$66-J23746)),0)</f>
        <v>0</v>
      </c>
      <c r="K23753" s="16" t="n">
        <f aca="false">IF(AND(Assumptions!$P$66=1,OR(K23593&lt;Assumptions!$K$66,J23948=1)),MIN(MAX(0,-K23809),MAX(0,Assumptions!$D$66-K23746)),0)</f>
        <v>0</v>
      </c>
    </row>
    <row r="23754" customFormat="false" ht="15" hidden="false" customHeight="false" outlineLevel="0" collapsed="false">
      <c r="A23754" s="3" t="s">
        <v>336</v>
      </c>
      <c r="G23754" s="16" t="n">
        <f aca="false">G23747*MIN(G23746-G23752+G23751,MAX(0,G23811-Assumptions!$C$12*G23627-G23637-G23650-G23663-G23676-G23689-G23702-G23715-G23728-G23741))</f>
        <v>0</v>
      </c>
      <c r="H23754" s="16" t="n">
        <f aca="false">H23747*MIN(H23746-H23752+H23751,MAX(0,H23811-Assumptions!$C$12*H23627-H23637-H23650-H23663-H23676-H23689-H23702-H23715-H23728-H23741))</f>
        <v>0</v>
      </c>
      <c r="I23754" s="16" t="n">
        <f aca="false">I23747*MIN(I23746-I23752+I23751,MAX(0,I23811-Assumptions!$C$12*I23627-I23637-I23650-I23663-I23676-I23689-I23702-I23715-I23728-I23741))</f>
        <v>0</v>
      </c>
      <c r="J23754" s="16" t="n">
        <f aca="false">J23747*MIN(J23746-J23752+J23751,MAX(0,J23811-Assumptions!$C$12*J23627-J23637-J23650-J23663-J23676-J23689-J23702-J23715-J23728-J23741))</f>
        <v>0</v>
      </c>
      <c r="K23754" s="16" t="n">
        <f aca="false">K23747*MIN(K23746-K23752+K23751,MAX(0,K23811-Assumptions!$C$12*K23627-K23637-K23650-K23663-K23676-K23689-K23702-K23715-K23728-K23741))</f>
        <v>0</v>
      </c>
    </row>
    <row r="23755" customFormat="false" ht="15" hidden="false" customHeight="false" outlineLevel="0" collapsed="false">
      <c r="A23755" s="3" t="s">
        <v>337</v>
      </c>
      <c r="G23755" s="16" t="n">
        <f aca="false">Assumptions!$N$66*MIN(G23746+G23753+G23751-G23752-G23754,MAX(0,G23815-G23638-G23651-G23664-G23677-G23690-G23703-G23716-G23729-G23742))</f>
        <v>0</v>
      </c>
      <c r="H23755" s="16" t="n">
        <f aca="false">Assumptions!$N$66*MIN(H23746+H23753+H23751-H23752-H23754,MAX(0,H23815-H23638-H23651-H23664-H23677-H23690-H23703-H23716-H23729-H23742))</f>
        <v>0</v>
      </c>
      <c r="I23755" s="16" t="n">
        <f aca="false">Assumptions!$N$66*MIN(I23746+I23753+I23751-I23752-I23754,MAX(0,I23815-I23638-I23651-I23664-I23677-I23690-I23703-I23716-I23729-I23742))</f>
        <v>0</v>
      </c>
      <c r="J23755" s="16" t="n">
        <f aca="false">Assumptions!$N$66*MIN(J23746+J23753+J23751-J23752-J23754,MAX(0,J23815-J23638-J23651-J23664-J23677-J23690-J23703-J23716-J23729-J23742))</f>
        <v>0</v>
      </c>
      <c r="K23755" s="16" t="n">
        <f aca="false">Assumptions!$N$66*MIN(K23746+K23753+K23751-K23752-K23754,MAX(0,K23815-K23638-K23651-K23664-K23677-K23690-K23703-K23716-K23729-K23742))</f>
        <v>0</v>
      </c>
    </row>
    <row r="23756" customFormat="false" ht="15" hidden="false" customHeight="false" outlineLevel="0" collapsed="false">
      <c r="A23756" s="3" t="s">
        <v>338</v>
      </c>
      <c r="G23756" s="16" t="n">
        <f aca="false">G23747*(1-G23627)*(G23746-G23752+G23751-G23754)</f>
        <v>0</v>
      </c>
      <c r="H23756" s="16" t="n">
        <f aca="false">H23747*(1-H23627)*(H23746-H23752+H23751-H23754)</f>
        <v>0</v>
      </c>
      <c r="I23756" s="16" t="n">
        <f aca="false">I23747*(1-I23627)*(I23746-I23752+I23751-I23754)</f>
        <v>0</v>
      </c>
      <c r="J23756" s="16" t="n">
        <f aca="false">J23747*(1-J23627)*(J23746-J23752+J23751-J23754)</f>
        <v>0</v>
      </c>
      <c r="K23756" s="16" t="n">
        <f aca="false">K23747*(1-K23627)*(K23746-K23752+K23751-K23754)</f>
        <v>0</v>
      </c>
    </row>
    <row r="23757" customFormat="false" ht="15" hidden="false" customHeight="false" outlineLevel="0" collapsed="false">
      <c r="A23757" s="2" t="s">
        <v>339</v>
      </c>
      <c r="F23757" s="28" t="n">
        <f aca="false">Assumptions!$C$66</f>
        <v>78.61</v>
      </c>
      <c r="G23757" s="17" t="n">
        <f aca="false">G23746+G23753+G23751-G23752-G23754-G23755</f>
        <v>78.61</v>
      </c>
      <c r="H23757" s="17" t="n">
        <f aca="false">H23746+H23753+H23751-H23752-H23754-H23755</f>
        <v>78.61</v>
      </c>
      <c r="I23757" s="17" t="n">
        <f aca="false">I23746+I23753+I23751-I23752-I23754-I23755</f>
        <v>78.61</v>
      </c>
      <c r="J23757" s="17" t="n">
        <f aca="false">J23746+J23753+J23751-J23752-J23754-J23755</f>
        <v>78.61</v>
      </c>
      <c r="K23757" s="17" t="n">
        <f aca="false">K23746+K23753+K23751-K23752-K23754-K23755</f>
        <v>78.61</v>
      </c>
    </row>
    <row r="23758" customFormat="false" ht="15" hidden="false" customHeight="false" outlineLevel="0" collapsed="false">
      <c r="A23758" s="24" t="s">
        <v>349</v>
      </c>
      <c r="B23758" s="25"/>
      <c r="C23758" s="25"/>
      <c r="D23758" s="25"/>
      <c r="E23758" s="25"/>
      <c r="F23758" s="25"/>
      <c r="G23758" s="25"/>
      <c r="H23758" s="25"/>
      <c r="I23758" s="25"/>
      <c r="J23758" s="25"/>
      <c r="K23758" s="25"/>
    </row>
    <row r="23759" customFormat="false" ht="15" hidden="false" customHeight="false" outlineLevel="0" collapsed="false">
      <c r="A23759" s="2" t="s">
        <v>350</v>
      </c>
      <c r="F23759" s="17" t="n">
        <f aca="false">F23640+F23653+F23666+F23679+F23692+F23705+F23718+F23731+F23744+F23757</f>
        <v>2625.934</v>
      </c>
      <c r="G23759" s="17" t="n">
        <f aca="false">G23640+G23653+G23666+G23679+G23692+G23705+G23718+G23731+G23744+G23757</f>
        <v>2621.934</v>
      </c>
      <c r="H23759" s="17" t="n">
        <f aca="false">H23640+H23653+H23666+H23679+H23692+H23705+H23718+H23731+H23744+H23757</f>
        <v>2585.1883513738</v>
      </c>
      <c r="I23759" s="17" t="n">
        <f aca="false">I23640+I23653+I23666+I23679+I23692+I23705+I23718+I23731+I23744+I23757</f>
        <v>2653.45396955586</v>
      </c>
      <c r="J23759" s="17" t="n">
        <f aca="false">J23640+J23653+J23666+J23679+J23692+J23705+J23718+J23731+J23744+J23757</f>
        <v>2744.2006623186</v>
      </c>
      <c r="K23759" s="17" t="n">
        <f aca="false">K23640+K23653+K23666+K23679+K23692+K23705+K23718+K23731+K23744+K23757</f>
        <v>2851.03194506365</v>
      </c>
    </row>
    <row r="23760" customFormat="false" ht="15" hidden="false" customHeight="false" outlineLevel="0" collapsed="false">
      <c r="A23760" s="3" t="s">
        <v>351</v>
      </c>
      <c r="G23760" s="16" t="n">
        <f aca="false">G23630*Assumptions!$C$57+G23643*Assumptions!$C$58+G23656*Assumptions!$C$59+G23669*Assumptions!$C$60+G23682*Assumptions!$C$61+G23695*Assumptions!$C$62+G23708*Assumptions!$C$63+G23721*Assumptions!$C$64+G23734*Assumptions!$C$65+G23747*Assumptions!$C$66</f>
        <v>0</v>
      </c>
      <c r="H23760" s="16" t="n">
        <f aca="false">H23630*Assumptions!$C$57+H23643*Assumptions!$C$58+H23656*Assumptions!$C$59+H23669*Assumptions!$C$60+H23682*Assumptions!$C$61+H23695*Assumptions!$C$62+H23708*Assumptions!$C$63+H23721*Assumptions!$C$64+H23734*Assumptions!$C$65+H23747*Assumptions!$C$66</f>
        <v>800</v>
      </c>
      <c r="I23760" s="16" t="n">
        <f aca="false">I23630*Assumptions!$C$57+I23643*Assumptions!$C$58+I23656*Assumptions!$C$59+I23669*Assumptions!$C$60+I23682*Assumptions!$C$61+I23695*Assumptions!$C$62+I23708*Assumptions!$C$63+I23721*Assumptions!$C$64+I23734*Assumptions!$C$65+I23747*Assumptions!$C$66</f>
        <v>550</v>
      </c>
      <c r="J23760" s="16" t="n">
        <f aca="false">J23630*Assumptions!$C$57+J23643*Assumptions!$C$58+J23656*Assumptions!$C$59+J23669*Assumptions!$C$60+J23682*Assumptions!$C$61+J23695*Assumptions!$C$62+J23708*Assumptions!$C$63+J23721*Assumptions!$C$64+J23734*Assumptions!$C$65+J23747*Assumptions!$C$66</f>
        <v>350</v>
      </c>
      <c r="K23760" s="16" t="n">
        <f aca="false">K23630*Assumptions!$C$57+K23643*Assumptions!$C$58+K23656*Assumptions!$C$59+K23669*Assumptions!$C$60+K23682*Assumptions!$C$61+K23695*Assumptions!$C$62+K23708*Assumptions!$C$63+K23721*Assumptions!$C$64+K23734*Assumptions!$C$65+K23747*Assumptions!$C$66</f>
        <v>700</v>
      </c>
    </row>
    <row r="23761" customFormat="false" ht="15" hidden="false" customHeight="false" outlineLevel="0" collapsed="false">
      <c r="A23761" s="24" t="s">
        <v>352</v>
      </c>
      <c r="B23761" s="25"/>
      <c r="C23761" s="25"/>
      <c r="D23761" s="25"/>
      <c r="E23761" s="25"/>
      <c r="F23761" s="25"/>
      <c r="G23761" s="25"/>
      <c r="H23761" s="25"/>
      <c r="I23761" s="25"/>
      <c r="J23761" s="25"/>
      <c r="K23761" s="25"/>
    </row>
    <row r="23762" customFormat="false" ht="15" hidden="false" customHeight="false" outlineLevel="0" collapsed="false">
      <c r="A23762" s="3" t="s">
        <v>353</v>
      </c>
      <c r="C23762" s="16" t="n">
        <f aca="false">SUMPRODUCT($G$23630:$K$23630,$G$23629:$K$23629-$G$23635:$K$23635+$G$23634:$K$23634)</f>
        <v>380</v>
      </c>
    </row>
    <row r="23763" customFormat="false" ht="15" hidden="false" customHeight="false" outlineLevel="0" collapsed="false">
      <c r="A23763" s="3" t="s">
        <v>354</v>
      </c>
      <c r="C23763" s="16" t="n">
        <f aca="false">SUMPRODUCT($G$23630:$K$23630,$G$23637:$K$23637)</f>
        <v>0</v>
      </c>
    </row>
    <row r="23764" customFormat="false" ht="15" hidden="false" customHeight="false" outlineLevel="0" collapsed="false">
      <c r="A23764" s="3" t="s">
        <v>355</v>
      </c>
      <c r="C23764" s="3" t="str">
        <f aca="false">IF(SUM($G$23630:$K$23630)=0,"n/a (beyond horizon)",IF(SUMPRODUCT($G$23630:$K$23630,$G$23627:$K$23627)&gt;0,"REFINANCING PASS","REFINANCING FAILURE"))</f>
        <v>REFINANCING PASS</v>
      </c>
    </row>
    <row r="23765" customFormat="false" ht="15" hidden="false" customHeight="false" outlineLevel="0" collapsed="false">
      <c r="A23765" s="3" t="s">
        <v>356</v>
      </c>
      <c r="C23765" s="3" t="str">
        <f aca="false">IF(SUM($G$23630:$K$23630)=0,"n/a",IF(C23763&gt;=C23762-0.001,"Repaid from cash",IF(SUMPRODUCT($G$23630:$K$23630,$G$23627:$K$23627)&gt;0,IF(C23763&gt;0,"Partly repaid; remainder refinanced","Refinanced"),IF(SUM($G$23639:$K$23639)&gt;0.001,IF(C23763&gt;0,"Partial repayment; PAYMENT DEFAULT","PAYMENT DEFAULT"),"Repaid from cash"))))</f>
        <v>Refinanced</v>
      </c>
    </row>
    <row r="23766" customFormat="false" ht="15" hidden="false" customHeight="false" outlineLevel="0" collapsed="false">
      <c r="A23766" s="3" t="s">
        <v>357</v>
      </c>
      <c r="C23766" s="16" t="n">
        <f aca="false">SUMPRODUCT($G$23643:$K$23643,$G$23642:$K$23642-$G$23648:$K$23648+$G$23647:$K$23647)</f>
        <v>0</v>
      </c>
    </row>
    <row r="23767" customFormat="false" ht="15" hidden="false" customHeight="false" outlineLevel="0" collapsed="false">
      <c r="A23767" s="3" t="s">
        <v>358</v>
      </c>
      <c r="C23767" s="16" t="n">
        <f aca="false">SUMPRODUCT($G$23643:$K$23643,$G$23650:$K$23650)</f>
        <v>0</v>
      </c>
    </row>
    <row r="23768" customFormat="false" ht="15" hidden="false" customHeight="false" outlineLevel="0" collapsed="false">
      <c r="A23768" s="3" t="s">
        <v>359</v>
      </c>
      <c r="C23768" s="3" t="str">
        <f aca="false">IF(SUM($G$23643:$K$23643)=0,"n/a (beyond horizon)",IF(SUMPRODUCT($G$23643:$K$23643,$G$23627:$K$23627)&gt;0,"REFINANCING PASS","REFINANCING FAILURE"))</f>
        <v>n/a (beyond horizon)</v>
      </c>
    </row>
    <row r="23769" customFormat="false" ht="15" hidden="false" customHeight="false" outlineLevel="0" collapsed="false">
      <c r="A23769" s="3" t="s">
        <v>360</v>
      </c>
      <c r="C23769" s="3" t="str">
        <f aca="false">IF(SUM($G$23643:$K$23643)=0,"n/a",IF(C23767&gt;=C23766-0.001,"Repaid from cash",IF(SUMPRODUCT($G$23643:$K$23643,$G$23627:$K$23627)&gt;0,IF(C23767&gt;0,"Partly repaid; remainder refinanced","Refinanced"),IF(SUM($G$23652:$K$23652)&gt;0.001,IF(C23767&gt;0,"Partial repayment; PAYMENT DEFAULT","PAYMENT DEFAULT"),"Repaid from cash"))))</f>
        <v>n/a</v>
      </c>
    </row>
    <row r="23770" customFormat="false" ht="15" hidden="false" customHeight="false" outlineLevel="0" collapsed="false">
      <c r="A23770" s="3" t="s">
        <v>361</v>
      </c>
      <c r="C23770" s="16" t="n">
        <f aca="false">SUMPRODUCT($G$23656:$K$23656,$G$23655:$K$23655-$G$23661:$K$23661+$G$23660:$K$23660)</f>
        <v>0</v>
      </c>
    </row>
    <row r="23771" customFormat="false" ht="15" hidden="false" customHeight="false" outlineLevel="0" collapsed="false">
      <c r="A23771" s="3" t="s">
        <v>362</v>
      </c>
      <c r="C23771" s="16" t="n">
        <f aca="false">SUMPRODUCT($G$23656:$K$23656,$G$23663:$K$23663)</f>
        <v>0</v>
      </c>
    </row>
    <row r="23772" customFormat="false" ht="15" hidden="false" customHeight="false" outlineLevel="0" collapsed="false">
      <c r="A23772" s="3" t="s">
        <v>363</v>
      </c>
      <c r="C23772" s="3" t="str">
        <f aca="false">IF(SUM($G$23656:$K$23656)=0,"n/a (beyond horizon)",IF(SUMPRODUCT($G$23656:$K$23656,$G$23627:$K$23627)&gt;0,"REFINANCING PASS","REFINANCING FAILURE"))</f>
        <v>n/a (beyond horizon)</v>
      </c>
    </row>
    <row r="23773" customFormat="false" ht="15" hidden="false" customHeight="false" outlineLevel="0" collapsed="false">
      <c r="A23773" s="3" t="s">
        <v>364</v>
      </c>
      <c r="C23773" s="3" t="str">
        <f aca="false">IF(SUM($G$23656:$K$23656)=0,"n/a",IF(C23771&gt;=C23770-0.001,"Repaid from cash",IF(SUMPRODUCT($G$23656:$K$23656,$G$23627:$K$23627)&gt;0,IF(C23771&gt;0,"Partly repaid; remainder refinanced","Refinanced"),IF(SUM($G$23665:$K$23665)&gt;0.001,IF(C23771&gt;0,"Partial repayment; PAYMENT DEFAULT","PAYMENT DEFAULT"),"Repaid from cash"))))</f>
        <v>n/a</v>
      </c>
    </row>
    <row r="23774" customFormat="false" ht="15" hidden="false" customHeight="false" outlineLevel="0" collapsed="false">
      <c r="A23774" s="3" t="s">
        <v>365</v>
      </c>
      <c r="C23774" s="16" t="n">
        <f aca="false">SUMPRODUCT($G$23669:$K$23669,$G$23668:$K$23668-$G$23674:$K$23674+$G$23673:$K$23673)</f>
        <v>0</v>
      </c>
    </row>
    <row r="23775" customFormat="false" ht="15" hidden="false" customHeight="false" outlineLevel="0" collapsed="false">
      <c r="A23775" s="3" t="s">
        <v>366</v>
      </c>
      <c r="C23775" s="16" t="n">
        <f aca="false">SUMPRODUCT($G$23669:$K$23669,$G$23676:$K$23676)</f>
        <v>0</v>
      </c>
    </row>
    <row r="23776" customFormat="false" ht="15" hidden="false" customHeight="false" outlineLevel="0" collapsed="false">
      <c r="A23776" s="3" t="s">
        <v>367</v>
      </c>
      <c r="C23776" s="3" t="str">
        <f aca="false">IF(SUM($G$23669:$K$23669)=0,"n/a (beyond horizon)",IF(SUMPRODUCT($G$23669:$K$23669,$G$23627:$K$23627)&gt;0,"REFINANCING PASS","REFINANCING FAILURE"))</f>
        <v>REFINANCING PASS</v>
      </c>
    </row>
    <row r="23777" customFormat="false" ht="15" hidden="false" customHeight="false" outlineLevel="0" collapsed="false">
      <c r="A23777" s="3" t="s">
        <v>368</v>
      </c>
      <c r="C23777" s="3" t="str">
        <f aca="false">IF(SUM($G$23669:$K$23669)=0,"n/a",IF(C23775&gt;=C23774-0.001,"Repaid from cash",IF(SUMPRODUCT($G$23669:$K$23669,$G$23627:$K$23627)&gt;0,IF(C23775&gt;0,"Partly repaid; remainder refinanced","Refinanced"),IF(SUM($G$23678:$K$23678)&gt;0.001,IF(C23775&gt;0,"Partial repayment; PAYMENT DEFAULT","PAYMENT DEFAULT"),"Repaid from cash"))))</f>
        <v>Repaid from cash</v>
      </c>
    </row>
    <row r="23778" customFormat="false" ht="15" hidden="false" customHeight="false" outlineLevel="0" collapsed="false">
      <c r="A23778" s="3" t="s">
        <v>369</v>
      </c>
      <c r="C23778" s="16" t="n">
        <f aca="false">SUMPRODUCT($G$23682:$K$23682,$G$23681:$K$23681-$G$23687:$K$23687+$G$23686:$K$23686)</f>
        <v>450</v>
      </c>
    </row>
    <row r="23779" customFormat="false" ht="15" hidden="false" customHeight="false" outlineLevel="0" collapsed="false">
      <c r="A23779" s="3" t="s">
        <v>370</v>
      </c>
      <c r="C23779" s="16" t="n">
        <f aca="false">SUMPRODUCT($G$23682:$K$23682,$G$23689:$K$23689)</f>
        <v>32.7456486262001</v>
      </c>
    </row>
    <row r="23780" customFormat="false" ht="15" hidden="false" customHeight="false" outlineLevel="0" collapsed="false">
      <c r="A23780" s="3" t="s">
        <v>371</v>
      </c>
      <c r="C23780" s="3" t="str">
        <f aca="false">IF(SUM($G$23682:$K$23682)=0,"n/a (beyond horizon)",IF(SUMPRODUCT($G$23682:$K$23682,$G$23627:$K$23627)&gt;0,"REFINANCING PASS","REFINANCING FAILURE"))</f>
        <v>REFINANCING PASS</v>
      </c>
    </row>
    <row r="23781" customFormat="false" ht="15" hidden="false" customHeight="false" outlineLevel="0" collapsed="false">
      <c r="A23781" s="3" t="s">
        <v>372</v>
      </c>
      <c r="C23781" s="3" t="str">
        <f aca="false">IF(SUM($G$23682:$K$23682)=0,"n/a",IF(C23779&gt;=C23778-0.001,"Repaid from cash",IF(SUMPRODUCT($G$23682:$K$23682,$G$23627:$K$23627)&gt;0,IF(C23779&gt;0,"Partly repaid; remainder refinanced","Refinanced"),IF(SUM($G$23691:$K$23691)&gt;0.001,IF(C23779&gt;0,"Partial repayment; PAYMENT DEFAULT","PAYMENT DEFAULT"),"Repaid from cash"))))</f>
        <v>Partly repaid; remainder refinanced</v>
      </c>
    </row>
    <row r="23782" customFormat="false" ht="15" hidden="false" customHeight="false" outlineLevel="0" collapsed="false">
      <c r="A23782" s="3" t="s">
        <v>373</v>
      </c>
      <c r="C23782" s="16" t="n">
        <f aca="false">SUMPRODUCT($G$23695:$K$23695,$G$23694:$K$23694-$G$23700:$K$23700+$G$23699:$K$23699)</f>
        <v>350</v>
      </c>
    </row>
    <row r="23783" customFormat="false" ht="15" hidden="false" customHeight="false" outlineLevel="0" collapsed="false">
      <c r="A23783" s="3" t="s">
        <v>374</v>
      </c>
      <c r="C23783" s="16" t="n">
        <f aca="false">SUMPRODUCT($G$23695:$K$23695,$G$23702:$K$23702)</f>
        <v>0</v>
      </c>
    </row>
    <row r="23784" customFormat="false" ht="15" hidden="false" customHeight="false" outlineLevel="0" collapsed="false">
      <c r="A23784" s="3" t="s">
        <v>375</v>
      </c>
      <c r="C23784" s="3" t="str">
        <f aca="false">IF(SUM($G$23695:$K$23695)=0,"n/a (beyond horizon)",IF(SUMPRODUCT($G$23695:$K$23695,$G$23627:$K$23627)&gt;0,"REFINANCING PASS","REFINANCING FAILURE"))</f>
        <v>REFINANCING PASS</v>
      </c>
    </row>
    <row r="23785" customFormat="false" ht="15" hidden="false" customHeight="false" outlineLevel="0" collapsed="false">
      <c r="A23785" s="3" t="s">
        <v>376</v>
      </c>
      <c r="C23785" s="3" t="str">
        <f aca="false">IF(SUM($G$23695:$K$23695)=0,"n/a",IF(C23783&gt;=C23782-0.001,"Repaid from cash",IF(SUMPRODUCT($G$23695:$K$23695,$G$23627:$K$23627)&gt;0,IF(C23783&gt;0,"Partly repaid; remainder refinanced","Refinanced"),IF(SUM($G$23704:$K$23704)&gt;0.001,IF(C23783&gt;0,"Partial repayment; PAYMENT DEFAULT","PAYMENT DEFAULT"),"Repaid from cash"))))</f>
        <v>Refinanced</v>
      </c>
    </row>
    <row r="23786" customFormat="false" ht="15" hidden="false" customHeight="false" outlineLevel="0" collapsed="false">
      <c r="A23786" s="3" t="s">
        <v>377</v>
      </c>
      <c r="C23786" s="16" t="n">
        <f aca="false">SUMPRODUCT($G$23708:$K$23708,$G$23707:$K$23707-$G$23713:$K$23713+$G$23712:$K$23712)</f>
        <v>550</v>
      </c>
    </row>
    <row r="23787" customFormat="false" ht="15" hidden="false" customHeight="false" outlineLevel="0" collapsed="false">
      <c r="A23787" s="3" t="s">
        <v>378</v>
      </c>
      <c r="C23787" s="16" t="n">
        <f aca="false">SUMPRODUCT($G$23708:$K$23708,$G$23715:$K$23715)</f>
        <v>0</v>
      </c>
    </row>
    <row r="23788" customFormat="false" ht="15" hidden="false" customHeight="false" outlineLevel="0" collapsed="false">
      <c r="A23788" s="3" t="s">
        <v>379</v>
      </c>
      <c r="C23788" s="3" t="str">
        <f aca="false">IF(SUM($G$23708:$K$23708)=0,"n/a (beyond horizon)",IF(SUMPRODUCT($G$23708:$K$23708,$G$23627:$K$23627)&gt;0,"REFINANCING PASS","REFINANCING FAILURE"))</f>
        <v>REFINANCING PASS</v>
      </c>
    </row>
    <row r="23789" customFormat="false" ht="15" hidden="false" customHeight="false" outlineLevel="0" collapsed="false">
      <c r="A23789" s="3" t="s">
        <v>380</v>
      </c>
      <c r="C23789" s="3" t="str">
        <f aca="false">IF(SUM($G$23708:$K$23708)=0,"n/a",IF(C23787&gt;=C23786-0.001,"Repaid from cash",IF(SUMPRODUCT($G$23708:$K$23708,$G$23627:$K$23627)&gt;0,IF(C23787&gt;0,"Partly repaid; remainder refinanced","Refinanced"),IF(SUM($G$23717:$K$23717)&gt;0.001,IF(C23787&gt;0,"Partial repayment; PAYMENT DEFAULT","PAYMENT DEFAULT"),"Repaid from cash"))))</f>
        <v>Refinanced</v>
      </c>
    </row>
    <row r="23790" customFormat="false" ht="15" hidden="false" customHeight="false" outlineLevel="0" collapsed="false">
      <c r="A23790" s="3" t="s">
        <v>381</v>
      </c>
      <c r="C23790" s="16" t="n">
        <f aca="false">SUMPRODUCT($G$23721:$K$23721,$G$23720:$K$23720-$G$23726:$K$23726+$G$23725:$K$23725)</f>
        <v>350</v>
      </c>
    </row>
    <row r="23791" customFormat="false" ht="15" hidden="false" customHeight="false" outlineLevel="0" collapsed="false">
      <c r="A23791" s="3" t="s">
        <v>382</v>
      </c>
      <c r="C23791" s="16" t="n">
        <f aca="false">SUMPRODUCT($G$23721:$K$23721,$G$23728:$K$23728)</f>
        <v>0</v>
      </c>
    </row>
    <row r="23792" customFormat="false" ht="15" hidden="false" customHeight="false" outlineLevel="0" collapsed="false">
      <c r="A23792" s="3" t="s">
        <v>383</v>
      </c>
      <c r="C23792" s="3" t="str">
        <f aca="false">IF(SUM($G$23721:$K$23721)=0,"n/a (beyond horizon)",IF(SUMPRODUCT($G$23721:$K$23721,$G$23627:$K$23627)&gt;0,"REFINANCING PASS","REFINANCING FAILURE"))</f>
        <v>REFINANCING PASS</v>
      </c>
    </row>
    <row r="23793" customFormat="false" ht="15" hidden="false" customHeight="false" outlineLevel="0" collapsed="false">
      <c r="A23793" s="3" t="s">
        <v>384</v>
      </c>
      <c r="C23793" s="3" t="str">
        <f aca="false">IF(SUM($G$23721:$K$23721)=0,"n/a",IF(C23791&gt;=C23790-0.001,"Repaid from cash",IF(SUMPRODUCT($G$23721:$K$23721,$G$23627:$K$23627)&gt;0,IF(C23791&gt;0,"Partly repaid; remainder refinanced","Refinanced"),IF(SUM($G$23730:$K$23730)&gt;0.001,IF(C23791&gt;0,"Partial repayment; PAYMENT DEFAULT","PAYMENT DEFAULT"),"Repaid from cash"))))</f>
        <v>Refinanced</v>
      </c>
    </row>
    <row r="23794" customFormat="false" ht="15" hidden="false" customHeight="false" outlineLevel="0" collapsed="false">
      <c r="A23794" s="3" t="s">
        <v>385</v>
      </c>
      <c r="C23794" s="16" t="n">
        <f aca="false">SUMPRODUCT($G$23734:$K$23734,$G$23733:$K$23733-$G$23739:$K$23739+$G$23738:$K$23738)</f>
        <v>300</v>
      </c>
    </row>
    <row r="23795" customFormat="false" ht="15" hidden="false" customHeight="false" outlineLevel="0" collapsed="false">
      <c r="A23795" s="3" t="s">
        <v>386</v>
      </c>
      <c r="C23795" s="16" t="n">
        <f aca="false">SUMPRODUCT($G$23734:$K$23734,$G$23741:$K$23741)</f>
        <v>0</v>
      </c>
    </row>
    <row r="23796" customFormat="false" ht="15" hidden="false" customHeight="false" outlineLevel="0" collapsed="false">
      <c r="A23796" s="3" t="s">
        <v>387</v>
      </c>
      <c r="C23796" s="3" t="str">
        <f aca="false">IF(SUM($G$23734:$K$23734)=0,"n/a (beyond horizon)",IF(SUMPRODUCT($G$23734:$K$23734,$G$23627:$K$23627)&gt;0,"REFINANCING PASS","REFINANCING FAILURE"))</f>
        <v>REFINANCING PASS</v>
      </c>
    </row>
    <row r="23797" customFormat="false" ht="15" hidden="false" customHeight="false" outlineLevel="0" collapsed="false">
      <c r="A23797" s="3" t="s">
        <v>388</v>
      </c>
      <c r="C23797" s="3" t="str">
        <f aca="false">IF(SUM($G$23734:$K$23734)=0,"n/a",IF(C23795&gt;=C23794-0.001,"Repaid from cash",IF(SUMPRODUCT($G$23734:$K$23734,$G$23627:$K$23627)&gt;0,IF(C23795&gt;0,"Partly repaid; remainder refinanced","Refinanced"),IF(SUM($G$23743:$K$23743)&gt;0.001,IF(C23795&gt;0,"Partial repayment; PAYMENT DEFAULT","PAYMENT DEFAULT"),"Repaid from cash"))))</f>
        <v>Refinanced</v>
      </c>
    </row>
    <row r="23798" customFormat="false" ht="15" hidden="false" customHeight="false" outlineLevel="0" collapsed="false">
      <c r="A23798" s="3" t="s">
        <v>389</v>
      </c>
      <c r="C23798" s="16" t="n">
        <f aca="false">SUMPRODUCT($G$23747:$K$23747,$G$23746:$K$23746-$G$23752:$K$23752+$G$23751:$K$23751)</f>
        <v>0</v>
      </c>
    </row>
    <row r="23799" customFormat="false" ht="15" hidden="false" customHeight="false" outlineLevel="0" collapsed="false">
      <c r="A23799" s="3" t="s">
        <v>390</v>
      </c>
      <c r="C23799" s="16" t="n">
        <f aca="false">SUMPRODUCT($G$23747:$K$23747,$G$23754:$K$23754)</f>
        <v>0</v>
      </c>
    </row>
    <row r="23800" customFormat="false" ht="15" hidden="false" customHeight="false" outlineLevel="0" collapsed="false">
      <c r="A23800" s="3" t="s">
        <v>391</v>
      </c>
      <c r="C23800" s="3" t="str">
        <f aca="false">IF(SUM($G$23747:$K$23747)=0,"n/a (beyond horizon)",IF(SUMPRODUCT($G$23747:$K$23747,$G$23627:$K$23627)&gt;0,"REFINANCING PASS","REFINANCING FAILURE"))</f>
        <v>n/a (beyond horizon)</v>
      </c>
    </row>
    <row r="23801" customFormat="false" ht="15" hidden="false" customHeight="false" outlineLevel="0" collapsed="false">
      <c r="A23801" s="3" t="s">
        <v>392</v>
      </c>
      <c r="C23801" s="3" t="str">
        <f aca="false">IF(SUM($G$23747:$K$23747)=0,"n/a",IF(C23799&gt;=C23798-0.001,"Repaid from cash",IF(SUMPRODUCT($G$23747:$K$23747,$G$23627:$K$23627)&gt;0,IF(C23799&gt;0,"Partly repaid; remainder refinanced","Refinanced"),IF(SUM($G$23756:$K$23756)&gt;0.001,IF(C23799&gt;0,"Partial repayment; PAYMENT DEFAULT","PAYMENT DEFAULT"),"Repaid from cash"))))</f>
        <v>n/a</v>
      </c>
    </row>
    <row r="23802" customFormat="false" ht="15" hidden="false" customHeight="false" outlineLevel="0" collapsed="false">
      <c r="A23802" s="3" t="s">
        <v>393</v>
      </c>
      <c r="C23802" s="21" t="n">
        <f aca="false">IF(C23764="REFINANCING FAILURE",1,0)+IF(C23768="REFINANCING FAILURE",1,0)+IF(C23772="REFINANCING FAILURE",1,0)+IF(C23776="REFINANCING FAILURE",1,0)+IF(C23780="REFINANCING FAILURE",1,0)+IF(C23784="REFINANCING FAILURE",1,0)+IF(C23788="REFINANCING FAILURE",1,0)+IF(C23792="REFINANCING FAILURE",1,0)+IF(C23796="REFINANCING FAILURE",1,0)+IF(C23800="REFINANCING FAILURE",1,0)</f>
        <v>0</v>
      </c>
    </row>
    <row r="23804" customFormat="false" ht="15" hidden="false" customHeight="false" outlineLevel="0" collapsed="false">
      <c r="A23804" s="24" t="s">
        <v>395</v>
      </c>
      <c r="B23804" s="25"/>
      <c r="C23804" s="25"/>
      <c r="D23804" s="25"/>
      <c r="E23804" s="25"/>
      <c r="F23804" s="25"/>
      <c r="G23804" s="25"/>
      <c r="H23804" s="25"/>
      <c r="I23804" s="25"/>
      <c r="J23804" s="25"/>
      <c r="K23804" s="25"/>
    </row>
    <row r="23805" customFormat="false" ht="15" hidden="false" customHeight="false" outlineLevel="0" collapsed="false">
      <c r="A23805" s="3" t="s">
        <v>325</v>
      </c>
      <c r="G23805" s="16" t="n">
        <f aca="false">F23817</f>
        <v>37.87</v>
      </c>
      <c r="H23805" s="16" t="n">
        <f aca="false">G23817</f>
        <v>145.5426686</v>
      </c>
      <c r="I23805" s="16" t="n">
        <f aca="false">H23817</f>
        <v>25</v>
      </c>
      <c r="J23805" s="16" t="n">
        <f aca="false">I23817</f>
        <v>0</v>
      </c>
      <c r="K23805" s="16" t="n">
        <f aca="false">J23817</f>
        <v>0</v>
      </c>
    </row>
    <row r="23806" customFormat="false" ht="15" hidden="false" customHeight="false" outlineLevel="0" collapsed="false">
      <c r="A23806" s="3" t="s">
        <v>396</v>
      </c>
      <c r="G23806" s="16" t="n">
        <f aca="false">G23616</f>
        <v>-88.3273314</v>
      </c>
      <c r="H23806" s="16" t="n">
        <f aca="false">H23616</f>
        <v>-83.7970199738</v>
      </c>
      <c r="I23806" s="16" t="n">
        <f aca="false">I23616</f>
        <v>-93.265618182056</v>
      </c>
      <c r="J23806" s="16" t="n">
        <f aca="false">J23616</f>
        <v>-90.7466927627391</v>
      </c>
      <c r="K23806" s="16" t="n">
        <f aca="false">K23616</f>
        <v>-106.831282745053</v>
      </c>
    </row>
    <row r="23807" customFormat="false" ht="15" hidden="false" customHeight="false" outlineLevel="0" collapsed="false">
      <c r="A23807" s="3" t="s">
        <v>397</v>
      </c>
      <c r="G23807" s="16" t="n">
        <f aca="false">CHOOSE($C$23586,Assumptions!$G$82,Assumptions!$G$101,Assumptions!$G$120)</f>
        <v>200</v>
      </c>
      <c r="H23807" s="16" t="n">
        <f aca="false">CHOOSE($C$23586,Assumptions!$H$82,Assumptions!$H$101,Assumptions!$H$120)</f>
        <v>0</v>
      </c>
      <c r="I23807" s="16" t="n">
        <f aca="false">CHOOSE($C$23586,Assumptions!$I$82,Assumptions!$I$101,Assumptions!$I$120)</f>
        <v>0</v>
      </c>
      <c r="J23807" s="16" t="n">
        <f aca="false">CHOOSE($C$23586,Assumptions!$J$82,Assumptions!$J$101,Assumptions!$J$120)</f>
        <v>0</v>
      </c>
      <c r="K23807" s="16" t="n">
        <f aca="false">CHOOSE($C$23586,Assumptions!$K$82,Assumptions!$K$101,Assumptions!$K$120)</f>
        <v>0</v>
      </c>
    </row>
    <row r="23808" customFormat="false" ht="15" hidden="false" customHeight="false" outlineLevel="0" collapsed="false">
      <c r="A23808" s="3" t="s">
        <v>398</v>
      </c>
      <c r="G23808" s="16" t="n">
        <f aca="false">G23635+G23648+G23661+G23674+G23687+G23700+G23713+G23726+G23739+G23752</f>
        <v>4</v>
      </c>
      <c r="H23808" s="16" t="n">
        <f aca="false">H23635+H23648+H23661+H23674+H23687+H23700+H23713+H23726+H23739+H23752</f>
        <v>4</v>
      </c>
      <c r="I23808" s="16" t="n">
        <f aca="false">I23635+I23648+I23661+I23674+I23687+I23700+I23713+I23726+I23739+I23752</f>
        <v>4</v>
      </c>
      <c r="J23808" s="16" t="n">
        <f aca="false">J23635+J23648+J23661+J23674+J23687+J23700+J23713+J23726+J23739+J23752</f>
        <v>4</v>
      </c>
      <c r="K23808" s="16" t="n">
        <f aca="false">K23635+K23648+K23661+K23674+K23687+K23700+K23713+K23726+K23739+K23752</f>
        <v>4</v>
      </c>
    </row>
    <row r="23809" customFormat="false" ht="15" hidden="false" customHeight="false" outlineLevel="0" collapsed="false">
      <c r="A23809" s="2" t="s">
        <v>399</v>
      </c>
      <c r="G23809" s="17" t="n">
        <f aca="false">G23805+G23806+G23807-G23808</f>
        <v>145.5426686</v>
      </c>
      <c r="H23809" s="17" t="n">
        <f aca="false">H23805+H23806+H23807-H23808</f>
        <v>57.7456486262001</v>
      </c>
      <c r="I23809" s="17" t="n">
        <f aca="false">I23805+I23806+I23807-I23808</f>
        <v>-72.265618182056</v>
      </c>
      <c r="J23809" s="17" t="n">
        <f aca="false">J23805+J23806+J23807-J23808</f>
        <v>-94.7466927627391</v>
      </c>
      <c r="K23809" s="17" t="n">
        <f aca="false">K23805+K23806+K23807-K23808</f>
        <v>-110.831282745053</v>
      </c>
    </row>
    <row r="23810" customFormat="false" ht="15" hidden="false" customHeight="false" outlineLevel="0" collapsed="false">
      <c r="A23810" s="3" t="s">
        <v>400</v>
      </c>
      <c r="G23810" s="16" t="n">
        <f aca="false">G23636+G23649+G23662+G23675+G23688+G23701+G23714+G23727+G23740+G23753</f>
        <v>0</v>
      </c>
      <c r="H23810" s="16" t="n">
        <f aca="false">H23636+H23649+H23662+H23675+H23688+H23701+H23714+H23727+H23740+H23753</f>
        <v>0</v>
      </c>
      <c r="I23810" s="16" t="n">
        <f aca="false">I23636+I23649+I23662+I23675+I23688+I23701+I23714+I23727+I23740+I23753</f>
        <v>72.265618182056</v>
      </c>
      <c r="J23810" s="16" t="n">
        <f aca="false">J23636+J23649+J23662+J23675+J23688+J23701+J23714+J23727+J23740+J23753</f>
        <v>94.7466927627391</v>
      </c>
      <c r="K23810" s="16" t="n">
        <f aca="false">K23636+K23649+K23662+K23675+K23688+K23701+K23714+K23727+K23740+K23753</f>
        <v>110.831282745053</v>
      </c>
    </row>
    <row r="23811" customFormat="false" ht="15" hidden="false" customHeight="false" outlineLevel="0" collapsed="false">
      <c r="A23811" s="2" t="s">
        <v>401</v>
      </c>
      <c r="G23811" s="17" t="n">
        <f aca="false">G23809+G23810</f>
        <v>145.5426686</v>
      </c>
      <c r="H23811" s="17" t="n">
        <f aca="false">H23809+H23810</f>
        <v>57.7456486262001</v>
      </c>
      <c r="I23811" s="17" t="n">
        <f aca="false">I23809+I23810</f>
        <v>0</v>
      </c>
      <c r="J23811" s="17" t="n">
        <f aca="false">J23809+J23810</f>
        <v>0</v>
      </c>
      <c r="K23811" s="17" t="n">
        <f aca="false">K23809+K23810</f>
        <v>0</v>
      </c>
    </row>
    <row r="23812" customFormat="false" ht="15" hidden="false" customHeight="false" outlineLevel="0" collapsed="false">
      <c r="A23812" s="3" t="s">
        <v>402</v>
      </c>
      <c r="G23812" s="16" t="n">
        <f aca="false">G23637+G23650+G23663+G23676+G23689+G23702+G23715+G23728+G23741+G23754</f>
        <v>0</v>
      </c>
      <c r="H23812" s="16" t="n">
        <f aca="false">H23637+H23650+H23663+H23676+H23689+H23702+H23715+H23728+H23741+H23754</f>
        <v>32.7456486262001</v>
      </c>
      <c r="I23812" s="16" t="n">
        <f aca="false">I23637+I23650+I23663+I23676+I23689+I23702+I23715+I23728+I23741+I23754</f>
        <v>0</v>
      </c>
      <c r="J23812" s="16" t="n">
        <f aca="false">J23637+J23650+J23663+J23676+J23689+J23702+J23715+J23728+J23741+J23754</f>
        <v>0</v>
      </c>
      <c r="K23812" s="16" t="n">
        <f aca="false">K23637+K23650+K23663+K23676+K23689+K23702+K23715+K23728+K23741+K23754</f>
        <v>0</v>
      </c>
    </row>
    <row r="23813" customFormat="false" ht="15" hidden="false" customHeight="false" outlineLevel="0" collapsed="false">
      <c r="A23813" s="2" t="s">
        <v>403</v>
      </c>
      <c r="G23813" s="17" t="n">
        <f aca="false">G23811-G23812</f>
        <v>145.5426686</v>
      </c>
      <c r="H23813" s="17" t="n">
        <f aca="false">H23811-H23812</f>
        <v>25</v>
      </c>
      <c r="I23813" s="17" t="n">
        <f aca="false">I23811-I23812</f>
        <v>0</v>
      </c>
      <c r="J23813" s="17" t="n">
        <f aca="false">J23811-J23812</f>
        <v>0</v>
      </c>
      <c r="K23813" s="17" t="n">
        <f aca="false">K23811-K23812</f>
        <v>0</v>
      </c>
    </row>
    <row r="23814" customFormat="false" ht="15" hidden="false" customHeight="false" outlineLevel="0" collapsed="false">
      <c r="A23814" s="3" t="s">
        <v>404</v>
      </c>
      <c r="G23814" s="16" t="n">
        <f aca="false">MAX(0,-G23813)</f>
        <v>0</v>
      </c>
      <c r="H23814" s="16" t="n">
        <f aca="false">MAX(0,-H23813)</f>
        <v>0</v>
      </c>
      <c r="I23814" s="16" t="n">
        <f aca="false">MAX(0,-I23813)</f>
        <v>-0</v>
      </c>
      <c r="J23814" s="16" t="n">
        <f aca="false">MAX(0,-J23813)</f>
        <v>-0</v>
      </c>
      <c r="K23814" s="16" t="n">
        <f aca="false">MAX(0,-K23813)</f>
        <v>-0</v>
      </c>
    </row>
    <row r="23815" customFormat="false" ht="15" hidden="false" customHeight="false" outlineLevel="0" collapsed="false">
      <c r="A23815" s="3" t="s">
        <v>405</v>
      </c>
      <c r="G23815" s="16" t="n">
        <f aca="false">MAX(0,G23813-Assumptions!$C$12)*Assumptions!$C$13</f>
        <v>0</v>
      </c>
      <c r="H23815" s="16" t="n">
        <f aca="false">MAX(0,H23813-Assumptions!$C$12)*Assumptions!$C$13</f>
        <v>0</v>
      </c>
      <c r="I23815" s="16" t="n">
        <f aca="false">MAX(0,I23813-Assumptions!$C$12)*Assumptions!$C$13</f>
        <v>0</v>
      </c>
      <c r="J23815" s="16" t="n">
        <f aca="false">MAX(0,J23813-Assumptions!$C$12)*Assumptions!$C$13</f>
        <v>0</v>
      </c>
      <c r="K23815" s="16" t="n">
        <f aca="false">MAX(0,K23813-Assumptions!$C$12)*Assumptions!$C$13</f>
        <v>0</v>
      </c>
    </row>
    <row r="23816" customFormat="false" ht="15" hidden="false" customHeight="false" outlineLevel="0" collapsed="false">
      <c r="A23816" s="3" t="s">
        <v>406</v>
      </c>
      <c r="G23816" s="16" t="n">
        <f aca="false">G23638+G23651+G23664+G23677+G23690+G23703+G23716+G23729+G23742+G23755</f>
        <v>0</v>
      </c>
      <c r="H23816" s="16" t="n">
        <f aca="false">H23638+H23651+H23664+H23677+H23690+H23703+H23716+H23729+H23742+H23755</f>
        <v>0</v>
      </c>
      <c r="I23816" s="16" t="n">
        <f aca="false">I23638+I23651+I23664+I23677+I23690+I23703+I23716+I23729+I23742+I23755</f>
        <v>0</v>
      </c>
      <c r="J23816" s="16" t="n">
        <f aca="false">J23638+J23651+J23664+J23677+J23690+J23703+J23716+J23729+J23742+J23755</f>
        <v>0</v>
      </c>
      <c r="K23816" s="16" t="n">
        <f aca="false">K23638+K23651+K23664+K23677+K23690+K23703+K23716+K23729+K23742+K23755</f>
        <v>0</v>
      </c>
    </row>
    <row r="23817" customFormat="false" ht="15" hidden="false" customHeight="false" outlineLevel="0" collapsed="false">
      <c r="A23817" s="2" t="s">
        <v>407</v>
      </c>
      <c r="F23817" s="28" t="n">
        <f aca="false">Assumptions!$C$11</f>
        <v>37.87</v>
      </c>
      <c r="G23817" s="17" t="n">
        <f aca="false">G23813-G23816</f>
        <v>145.5426686</v>
      </c>
      <c r="H23817" s="17" t="n">
        <f aca="false">H23813-H23816</f>
        <v>25</v>
      </c>
      <c r="I23817" s="17" t="n">
        <f aca="false">I23813-I23816</f>
        <v>0</v>
      </c>
      <c r="J23817" s="17" t="n">
        <f aca="false">J23813-J23816</f>
        <v>0</v>
      </c>
      <c r="K23817" s="17" t="n">
        <f aca="false">K23813-K23816</f>
        <v>0</v>
      </c>
    </row>
    <row r="23818" customFormat="false" ht="15" hidden="false" customHeight="false" outlineLevel="0" collapsed="false">
      <c r="A23818" s="3" t="s">
        <v>408</v>
      </c>
      <c r="G23818" s="16" t="n">
        <f aca="false">G23639+G23652+G23665+G23678+G23691+G23704+G23717+G23730+G23743+G23756</f>
        <v>0</v>
      </c>
      <c r="H23818" s="16" t="n">
        <f aca="false">H23639+H23652+H23665+H23678+H23691+H23704+H23717+H23730+H23743+H23756</f>
        <v>0</v>
      </c>
      <c r="I23818" s="16" t="n">
        <f aca="false">I23639+I23652+I23665+I23678+I23691+I23704+I23717+I23730+I23743+I23756</f>
        <v>0</v>
      </c>
      <c r="J23818" s="16" t="n">
        <f aca="false">J23639+J23652+J23665+J23678+J23691+J23704+J23717+J23730+J23743+J23756</f>
        <v>0</v>
      </c>
      <c r="K23818" s="16" t="n">
        <f aca="false">K23639+K23652+K23665+K23678+K23691+K23704+K23717+K23730+K23743+K23756</f>
        <v>0</v>
      </c>
    </row>
    <row r="23819" customFormat="false" ht="15" hidden="false" customHeight="false" outlineLevel="0" collapsed="false">
      <c r="A23819" s="3" t="s">
        <v>409</v>
      </c>
      <c r="G23819" s="21" t="n">
        <f aca="false">IF(OR(G23814&gt;0.001,G23818&gt;0.001),1,0)</f>
        <v>0</v>
      </c>
      <c r="H23819" s="21" t="n">
        <f aca="false">IF(OR(H23814&gt;0.001,H23818&gt;0.001),1,0)</f>
        <v>0</v>
      </c>
      <c r="I23819" s="21" t="n">
        <f aca="false">IF(OR(I23814&gt;0.001,I23818&gt;0.001),1,0)</f>
        <v>0</v>
      </c>
      <c r="J23819" s="21" t="n">
        <f aca="false">IF(OR(J23814&gt;0.001,J23818&gt;0.001),1,0)</f>
        <v>0</v>
      </c>
      <c r="K23819" s="21" t="n">
        <f aca="false">IF(OR(K23814&gt;0.001,K23818&gt;0.001),1,0)</f>
        <v>0</v>
      </c>
    </row>
    <row r="23820" customFormat="false" ht="15" hidden="false" customHeight="false" outlineLevel="0" collapsed="false">
      <c r="A23820" s="3" t="s">
        <v>410</v>
      </c>
      <c r="G23820" s="21" t="n">
        <f aca="false">IF(G23819=1,1,0)</f>
        <v>0</v>
      </c>
      <c r="H23820" s="21" t="n">
        <f aca="false">IF(AND(H23819=1,SUM($G$23819:G23819)=0),1,0)</f>
        <v>0</v>
      </c>
      <c r="I23820" s="21" t="n">
        <f aca="false">IF(AND(I23819=1,SUM($G$23819:H23819)=0),1,0)</f>
        <v>0</v>
      </c>
      <c r="J23820" s="21" t="n">
        <f aca="false">IF(AND(J23819=1,SUM($G$23819:I23819)=0),1,0)</f>
        <v>0</v>
      </c>
      <c r="K23820" s="21" t="n">
        <f aca="false">IF(AND(K23819=1,SUM($G$23819:J23819)=0),1,0)</f>
        <v>0</v>
      </c>
    </row>
    <row r="23821" customFormat="false" ht="15" hidden="false" customHeight="false" outlineLevel="0" collapsed="false">
      <c r="A23821" s="3" t="s">
        <v>411</v>
      </c>
      <c r="G23821" s="16" t="n">
        <f aca="false">(G23759-F23759)-(G23810+G23608-G23808-G23812-G23816)</f>
        <v>0</v>
      </c>
      <c r="H23821" s="16" t="n">
        <f aca="false">(H23759-G23759)-(H23810+H23608-H23808-H23812-H23816)</f>
        <v>-3.12638803734444E-013</v>
      </c>
      <c r="I23821" s="16" t="n">
        <f aca="false">(I23759-H23759)-(I23810+I23608-I23808-I23812-I23816)</f>
        <v>0</v>
      </c>
      <c r="J23821" s="16" t="n">
        <f aca="false">(J23759-I23759)-(J23810+J23608-J23808-J23812-J23816)</f>
        <v>0</v>
      </c>
      <c r="K23821" s="16" t="n">
        <f aca="false">(K23759-J23759)-(K23810+K23608-K23808-K23812-K23816)</f>
        <v>0</v>
      </c>
    </row>
    <row r="23823" customFormat="false" ht="15" hidden="false" customHeight="false" outlineLevel="0" collapsed="false">
      <c r="A23823" s="24" t="s">
        <v>413</v>
      </c>
      <c r="B23823" s="25"/>
      <c r="C23823" s="25"/>
      <c r="D23823" s="25"/>
      <c r="E23823" s="25"/>
      <c r="F23823" s="25"/>
      <c r="G23823" s="25"/>
      <c r="H23823" s="25"/>
      <c r="I23823" s="25"/>
      <c r="J23823" s="25"/>
      <c r="K23823" s="25"/>
    </row>
    <row r="23824" customFormat="false" ht="15" hidden="false" customHeight="false" outlineLevel="0" collapsed="false">
      <c r="A23824" s="3" t="s">
        <v>414</v>
      </c>
      <c r="G23824" s="16" t="n">
        <f aca="false">G23759</f>
        <v>2621.934</v>
      </c>
      <c r="H23824" s="16" t="n">
        <f aca="false">H23759</f>
        <v>2585.1883513738</v>
      </c>
      <c r="I23824" s="16" t="n">
        <f aca="false">I23759</f>
        <v>2653.45396955586</v>
      </c>
      <c r="J23824" s="16" t="n">
        <f aca="false">J23759</f>
        <v>2744.2006623186</v>
      </c>
      <c r="K23824" s="16" t="n">
        <f aca="false">K23759</f>
        <v>2851.03194506365</v>
      </c>
    </row>
    <row r="23825" customFormat="false" ht="15" hidden="false" customHeight="false" outlineLevel="0" collapsed="false">
      <c r="A23825" s="3" t="s">
        <v>415</v>
      </c>
      <c r="G23825" s="16" t="n">
        <f aca="false">Assumptions!$O$57*G23640+Assumptions!$O$58*G23653+Assumptions!$O$59*G23666+Assumptions!$O$60*G23679+Assumptions!$O$61*G23692+Assumptions!$O$62*G23705+Assumptions!$O$63*G23718+Assumptions!$O$64*G23731+Assumptions!$O$65*G23744+Assumptions!$O$66*G23757</f>
        <v>543.324</v>
      </c>
      <c r="H23825" s="16" t="n">
        <f aca="false">Assumptions!$O$57*H23640+Assumptions!$O$58*H23653+Assumptions!$O$59*H23666+Assumptions!$O$60*H23679+Assumptions!$O$61*H23692+Assumptions!$O$62*H23705+Assumptions!$O$63*H23718+Assumptions!$O$64*H23731+Assumptions!$O$65*H23744+Assumptions!$O$66*H23757</f>
        <v>539.324</v>
      </c>
      <c r="I23825" s="16" t="n">
        <f aca="false">Assumptions!$O$57*I23640+Assumptions!$O$58*I23653+Assumptions!$O$59*I23666+Assumptions!$O$60*I23679+Assumptions!$O$61*I23692+Assumptions!$O$62*I23705+Assumptions!$O$63*I23718+Assumptions!$O$64*I23731+Assumptions!$O$65*I23744+Assumptions!$O$66*I23757</f>
        <v>535.324</v>
      </c>
      <c r="J23825" s="16" t="n">
        <f aca="false">Assumptions!$O$57*J23640+Assumptions!$O$58*J23653+Assumptions!$O$59*J23666+Assumptions!$O$60*J23679+Assumptions!$O$61*J23692+Assumptions!$O$62*J23705+Assumptions!$O$63*J23718+Assumptions!$O$64*J23731+Assumptions!$O$65*J23744+Assumptions!$O$66*J23757</f>
        <v>531.324</v>
      </c>
      <c r="K23825" s="16" t="n">
        <f aca="false">Assumptions!$O$57*K23640+Assumptions!$O$58*K23653+Assumptions!$O$59*K23666+Assumptions!$O$60*K23679+Assumptions!$O$61*K23692+Assumptions!$O$62*K23705+Assumptions!$O$63*K23718+Assumptions!$O$64*K23731+Assumptions!$O$65*K23744+Assumptions!$O$66*K23757</f>
        <v>527.324</v>
      </c>
    </row>
    <row r="23826" customFormat="false" ht="15" hidden="false" customHeight="false" outlineLevel="0" collapsed="false">
      <c r="A23826" s="3" t="s">
        <v>416</v>
      </c>
      <c r="G23826" s="16" t="n">
        <f aca="false">G23824-G23817</f>
        <v>2476.3913314</v>
      </c>
      <c r="H23826" s="16" t="n">
        <f aca="false">H23824-H23817</f>
        <v>2560.1883513738</v>
      </c>
      <c r="I23826" s="16" t="n">
        <f aca="false">I23824-I23817</f>
        <v>2653.45396955586</v>
      </c>
      <c r="J23826" s="16" t="n">
        <f aca="false">J23824-J23817</f>
        <v>2744.2006623186</v>
      </c>
      <c r="K23826" s="16" t="n">
        <f aca="false">K23824-K23817</f>
        <v>2851.03194506365</v>
      </c>
    </row>
    <row r="23827" customFormat="false" ht="15" hidden="false" customHeight="false" outlineLevel="0" collapsed="false">
      <c r="A23827" s="3" t="s">
        <v>417</v>
      </c>
      <c r="G23827" s="32" t="n">
        <f aca="false">IF(G23603&gt;0,G23824/G23603,0)</f>
        <v>10.2350768597559</v>
      </c>
      <c r="H23827" s="32" t="n">
        <f aca="false">IF(H23603&gt;0,H23824/H23603,0)</f>
        <v>9.83807280545423</v>
      </c>
      <c r="I23827" s="32" t="n">
        <f aca="false">IF(I23603&gt;0,I23824/I23603,0)</f>
        <v>9.84445430723595</v>
      </c>
      <c r="J23827" s="32" t="n">
        <f aca="false">IF(J23603&gt;0,J23824/J23603,0)</f>
        <v>9.94439339572137</v>
      </c>
      <c r="K23827" s="32" t="n">
        <f aca="false">IF(K23603&gt;0,K23824/K23603,0)</f>
        <v>10.0914334201652</v>
      </c>
    </row>
    <row r="23828" customFormat="false" ht="15" hidden="false" customHeight="false" outlineLevel="0" collapsed="false">
      <c r="A23828" s="3" t="s">
        <v>418</v>
      </c>
      <c r="G23828" s="32" t="n">
        <f aca="false">IF(G23603&gt;0,G23826/G23603,0)</f>
        <v>9.66693120868494</v>
      </c>
      <c r="H23828" s="32" t="n">
        <f aca="false">IF(H23603&gt;0,H23826/H23603,0)</f>
        <v>9.7429339657617</v>
      </c>
      <c r="I23828" s="32" t="n">
        <f aca="false">IF(I23603&gt;0,I23826/I23603,0)</f>
        <v>9.84445430723595</v>
      </c>
      <c r="J23828" s="32" t="n">
        <f aca="false">IF(J23603&gt;0,J23826/J23603,0)</f>
        <v>9.94439339572137</v>
      </c>
      <c r="K23828" s="32" t="n">
        <f aca="false">IF(K23603&gt;0,K23826/K23603,0)</f>
        <v>10.0914334201652</v>
      </c>
    </row>
    <row r="23829" customFormat="false" ht="15" hidden="false" customHeight="false" outlineLevel="0" collapsed="false">
      <c r="A23829" s="3" t="s">
        <v>419</v>
      </c>
      <c r="G23829" s="32" t="n">
        <f aca="false">IF(G23607&gt;0,G23603/G23607,0)</f>
        <v>1.38474183369153</v>
      </c>
      <c r="H23829" s="32" t="n">
        <f aca="false">IF(H23607&gt;0,H23603/H23607,0)</f>
        <v>1.4290673365782</v>
      </c>
      <c r="I23829" s="32" t="n">
        <f aca="false">IF(I23607&gt;0,I23603/I23607,0)</f>
        <v>1.36920893450812</v>
      </c>
      <c r="J23829" s="32" t="n">
        <f aca="false">IF(J23607&gt;0,J23603/J23607,0)</f>
        <v>1.39769512336194</v>
      </c>
      <c r="K23829" s="32" t="n">
        <f aca="false">IF(K23607&gt;0,K23603/K23607,0)</f>
        <v>1.30373689337045</v>
      </c>
    </row>
    <row r="23830" customFormat="false" ht="15" hidden="false" customHeight="false" outlineLevel="0" collapsed="false">
      <c r="A23830" s="3" t="s">
        <v>420</v>
      </c>
      <c r="G23830" s="32" t="n">
        <f aca="false">IF(G23607&gt;0,G23606/G23607,0)</f>
        <v>0.413183429745314</v>
      </c>
      <c r="H23830" s="32" t="n">
        <f aca="false">IF(H23607&gt;0,H23606/H23607,0)</f>
        <v>0.432052884533516</v>
      </c>
      <c r="I23830" s="32" t="n">
        <f aca="false">IF(I23607&gt;0,I23606/I23607,0)</f>
        <v>0.419302336211063</v>
      </c>
      <c r="J23830" s="32" t="n">
        <f aca="false">IF(J23607&gt;0,J23606/J23607,0)</f>
        <v>0.431630577595425</v>
      </c>
      <c r="K23830" s="32" t="n">
        <f aca="false">IF(K23607&gt;0,K23606/K23607,0)</f>
        <v>0.405952264831248</v>
      </c>
    </row>
    <row r="23831" customFormat="false" ht="15" hidden="false" customHeight="false" outlineLevel="0" collapsed="false">
      <c r="A23831" s="3" t="s">
        <v>213</v>
      </c>
      <c r="G23831" s="22" t="n">
        <f aca="false">IF(G23824&gt;0,G23616/G23824,0)</f>
        <v>-0.0336878546141894</v>
      </c>
      <c r="H23831" s="22" t="n">
        <f aca="false">IF(H23824&gt;0,H23616/H23824,0)</f>
        <v>-0.0324142803479945</v>
      </c>
      <c r="I23831" s="22" t="n">
        <f aca="false">IF(I23824&gt;0,I23616/I23824,0)</f>
        <v>-0.0351487605408384</v>
      </c>
      <c r="J23831" s="22" t="n">
        <f aca="false">IF(J23824&gt;0,J23616/J23824,0)</f>
        <v>-0.033068533948267</v>
      </c>
      <c r="K23831" s="22" t="n">
        <f aca="false">IF(K23824&gt;0,K23616/K23824,0)</f>
        <v>-0.0374710928546498</v>
      </c>
    </row>
    <row r="23832" customFormat="false" ht="15" hidden="false" customHeight="false" outlineLevel="0" collapsed="false">
      <c r="A23832" s="3" t="s">
        <v>421</v>
      </c>
      <c r="G23832" s="32" t="n">
        <f aca="false">IF(G23607+G23808&gt;0,(G23603-G23614-G23611)/(G23607+G23808),0)</f>
        <v>0.792801296509758</v>
      </c>
      <c r="H23832" s="32" t="n">
        <f aca="false">IF(H23607+H23808&gt;0,(H23603-H23614-H23611)/(H23607+H23808),0)</f>
        <v>0.821341293637529</v>
      </c>
      <c r="I23832" s="32" t="n">
        <f aca="false">IF(I23607+I23808&gt;0,(I23603-I23614-I23611)/(I23607+I23808),0)</f>
        <v>0.79114464795216</v>
      </c>
      <c r="J23832" s="32" t="n">
        <f aca="false">IF(J23607+J23808&gt;0,(J23603-J23614-J23611)/(J23607+J23808),0)</f>
        <v>0.809741736628436</v>
      </c>
      <c r="K23832" s="32" t="n">
        <f aca="false">IF(K23607+K23808&gt;0,(K23603-K23614-K23611)/(K23607+K23808),0)</f>
        <v>0.758582393417485</v>
      </c>
    </row>
    <row r="23833" customFormat="false" ht="15" hidden="false" customHeight="false" outlineLevel="0" collapsed="false">
      <c r="A23833" s="3" t="s">
        <v>422</v>
      </c>
      <c r="G23833" s="16" t="n">
        <f aca="false">MAX(0,G23817)+Assumptions!$P$57*MAX(0,Assumptions!$D$57-G23640)+Assumptions!$P$58*MAX(0,Assumptions!$D$58-G23653)+Assumptions!$P$59*MAX(0,Assumptions!$D$59-G23666)+Assumptions!$P$60*MAX(0,Assumptions!$D$60-G23679)+Assumptions!$P$61*MAX(0,Assumptions!$D$61-G23692)+Assumptions!$P$62*MAX(0,Assumptions!$D$62-G23705)+Assumptions!$P$63*MAX(0,Assumptions!$D$63-G23718)+Assumptions!$P$64*MAX(0,Assumptions!$D$64-G23731)+Assumptions!$P$65*MAX(0,Assumptions!$D$65-G23744)+Assumptions!$P$66*MAX(0,Assumptions!$D$66-G23757)</f>
        <v>720.0426686</v>
      </c>
      <c r="H23833" s="16" t="n">
        <f aca="false">MAX(0,H23817)+Assumptions!$P$57*MAX(0,Assumptions!$D$57-H23640)+Assumptions!$P$58*MAX(0,Assumptions!$D$58-H23653)+Assumptions!$P$59*MAX(0,Assumptions!$D$59-H23666)+Assumptions!$P$60*MAX(0,Assumptions!$D$60-H23679)+Assumptions!$P$61*MAX(0,Assumptions!$D$61-H23692)+Assumptions!$P$62*MAX(0,Assumptions!$D$62-H23705)+Assumptions!$P$63*MAX(0,Assumptions!$D$63-H23718)+Assumptions!$P$64*MAX(0,Assumptions!$D$64-H23731)+Assumptions!$P$65*MAX(0,Assumptions!$D$65-H23744)+Assumptions!$P$66*MAX(0,Assumptions!$D$66-H23757)</f>
        <v>599.5</v>
      </c>
      <c r="I23833" s="16" t="n">
        <f aca="false">MAX(0,I23817)+Assumptions!$P$57*MAX(0,Assumptions!$D$57-I23640)+Assumptions!$P$58*MAX(0,Assumptions!$D$58-I23653)+Assumptions!$P$59*MAX(0,Assumptions!$D$59-I23666)+Assumptions!$P$60*MAX(0,Assumptions!$D$60-I23679)+Assumptions!$P$61*MAX(0,Assumptions!$D$61-I23692)+Assumptions!$P$62*MAX(0,Assumptions!$D$62-I23705)+Assumptions!$P$63*MAX(0,Assumptions!$D$63-I23718)+Assumptions!$P$64*MAX(0,Assumptions!$D$64-I23731)+Assumptions!$P$65*MAX(0,Assumptions!$D$65-I23744)+Assumptions!$P$66*MAX(0,Assumptions!$D$66-I23757)</f>
        <v>502.234381817944</v>
      </c>
      <c r="J23833" s="16" t="n">
        <f aca="false">MAX(0,J23817)+Assumptions!$P$57*MAX(0,Assumptions!$D$57-J23640)+Assumptions!$P$58*MAX(0,Assumptions!$D$58-J23653)+Assumptions!$P$59*MAX(0,Assumptions!$D$59-J23666)+Assumptions!$P$60*MAX(0,Assumptions!$D$60-J23679)+Assumptions!$P$61*MAX(0,Assumptions!$D$61-J23692)+Assumptions!$P$62*MAX(0,Assumptions!$D$62-J23705)+Assumptions!$P$63*MAX(0,Assumptions!$D$63-J23718)+Assumptions!$P$64*MAX(0,Assumptions!$D$64-J23731)+Assumptions!$P$65*MAX(0,Assumptions!$D$65-J23744)+Assumptions!$P$66*MAX(0,Assumptions!$D$66-J23757)</f>
        <v>407.487689055205</v>
      </c>
      <c r="K23833" s="16" t="n">
        <f aca="false">MAX(0,K23817)+Assumptions!$P$57*MAX(0,Assumptions!$D$57-K23640)+Assumptions!$P$58*MAX(0,Assumptions!$D$58-K23653)+Assumptions!$P$59*MAX(0,Assumptions!$D$59-K23666)+Assumptions!$P$60*MAX(0,Assumptions!$D$60-K23679)+Assumptions!$P$61*MAX(0,Assumptions!$D$61-K23692)+Assumptions!$P$62*MAX(0,Assumptions!$D$62-K23705)+Assumptions!$P$63*MAX(0,Assumptions!$D$63-K23718)+Assumptions!$P$64*MAX(0,Assumptions!$D$64-K23731)+Assumptions!$P$65*MAX(0,Assumptions!$D$65-K23744)+Assumptions!$P$66*MAX(0,Assumptions!$D$66-K23757)</f>
        <v>296.656406310152</v>
      </c>
    </row>
    <row r="23834" customFormat="false" ht="15" hidden="false" customHeight="false" outlineLevel="0" collapsed="false">
      <c r="A23834" s="3" t="s">
        <v>423</v>
      </c>
      <c r="G23834" s="22" t="n">
        <f aca="false">IF(G23824&gt;0,G23824/(G23824+MAX(0,G23603*CHOOSE($C$23586,Assumptions!$C$90,Assumptions!$C$109,Assumptions!$C$128)-G23826)),0)</f>
        <v>0.783208049025464</v>
      </c>
      <c r="H23834" s="22" t="n">
        <f aca="false">IF(H23824&gt;0,H23824/(H23824+MAX(0,H23603*CHOOSE($C$23586,Assumptions!$C$90,Assumptions!$C$109,Assumptions!$C$128)-H23826)),0)</f>
        <v>0.781100782664686</v>
      </c>
      <c r="I23834" s="22" t="n">
        <f aca="false">IF(I23824&gt;0,I23824/(I23824+MAX(0,I23603*CHOOSE($C$23586,Assumptions!$C$90,Assumptions!$C$109,Assumptions!$C$128)-I23826)),0)</f>
        <v>0.787556344578876</v>
      </c>
      <c r="J23834" s="22" t="n">
        <f aca="false">IF(J23824&gt;0,J23824/(J23824+MAX(0,J23603*CHOOSE($C$23586,Assumptions!$C$90,Assumptions!$C$109,Assumptions!$C$128)-J23826)),0)</f>
        <v>0.795551471657709</v>
      </c>
      <c r="K23834" s="22" t="n">
        <f aca="false">IF(K23824&gt;0,K23824/(K23824+MAX(0,K23603*CHOOSE($C$23586,Assumptions!$C$90,Assumptions!$C$109,Assumptions!$C$128)-K23826)),0)</f>
        <v>0.807314673613219</v>
      </c>
    </row>
    <row r="23835" customFormat="false" ht="15" hidden="false" customHeight="false" outlineLevel="0" collapsed="false">
      <c r="A23835" s="3" t="s">
        <v>424</v>
      </c>
      <c r="G23835" s="22" t="n">
        <f aca="false">IF(G23824&gt;0,MAX(0,G23817)/G23824,0)</f>
        <v>0.0555096614178694</v>
      </c>
      <c r="H23835" s="22" t="n">
        <f aca="false">IF(H23824&gt;0,MAX(0,H23817)/H23824,0)</f>
        <v>0.00967047526216599</v>
      </c>
      <c r="I23835" s="22" t="n">
        <f aca="false">IF(I23824&gt;0,MAX(0,I23817)/I23824,0)</f>
        <v>0</v>
      </c>
      <c r="J23835" s="22" t="n">
        <f aca="false">IF(J23824&gt;0,MAX(0,J23817)/J23824,0)</f>
        <v>0</v>
      </c>
      <c r="K23835" s="22" t="n">
        <f aca="false">IF(K23824&gt;0,MAX(0,K23817)/K23824,0)</f>
        <v>0</v>
      </c>
    </row>
    <row r="23836" customFormat="false" ht="15" hidden="false" customHeight="false" outlineLevel="0" collapsed="false">
      <c r="A23836" s="3" t="s">
        <v>425</v>
      </c>
      <c r="G23836" s="16" t="n">
        <f aca="false">Assumptions!$C$31*(1-CHOOSE($C$23586,Assumptions!$C$93,Assumptions!$C$112,Assumptions!$C$131))</f>
        <v>4517.70066666667</v>
      </c>
      <c r="H23836" s="16" t="n">
        <f aca="false">Assumptions!$C$31*(1-CHOOSE($C$23586,Assumptions!$C$93,Assumptions!$C$112,Assumptions!$C$131))</f>
        <v>4517.70066666667</v>
      </c>
      <c r="I23836" s="16" t="n">
        <f aca="false">Assumptions!$C$31*(1-CHOOSE($C$23586,Assumptions!$C$93,Assumptions!$C$112,Assumptions!$C$131))</f>
        <v>4517.70066666667</v>
      </c>
      <c r="J23836" s="16" t="n">
        <f aca="false">Assumptions!$C$31*(1-CHOOSE($C$23586,Assumptions!$C$93,Assumptions!$C$112,Assumptions!$C$131))</f>
        <v>4517.70066666667</v>
      </c>
      <c r="K23836" s="16" t="n">
        <f aca="false">Assumptions!$C$31*(1-CHOOSE($C$23586,Assumptions!$C$93,Assumptions!$C$112,Assumptions!$C$131))</f>
        <v>4517.70066666667</v>
      </c>
    </row>
    <row r="23837" customFormat="false" ht="15" hidden="false" customHeight="false" outlineLevel="0" collapsed="false">
      <c r="A23837" s="24" t="s">
        <v>426</v>
      </c>
      <c r="B23837" s="25"/>
      <c r="C23837" s="25"/>
      <c r="D23837" s="25"/>
      <c r="E23837" s="25"/>
      <c r="F23837" s="25"/>
      <c r="G23837" s="25"/>
      <c r="H23837" s="25"/>
      <c r="I23837" s="25"/>
      <c r="J23837" s="25"/>
      <c r="K23837" s="25"/>
    </row>
    <row r="23838" customFormat="false" ht="15" hidden="false" customHeight="false" outlineLevel="0" collapsed="false">
      <c r="A23838" s="24" t="s">
        <v>427</v>
      </c>
      <c r="B23838" s="25"/>
      <c r="C23838" s="25"/>
      <c r="D23838" s="25"/>
      <c r="E23838" s="25"/>
      <c r="F23838" s="25"/>
      <c r="G23838" s="25"/>
      <c r="H23838" s="25"/>
      <c r="I23838" s="25"/>
      <c r="J23838" s="25"/>
      <c r="K23838" s="25"/>
    </row>
    <row r="23839" customFormat="false" ht="15" hidden="false" customHeight="false" outlineLevel="0" collapsed="false">
      <c r="A23839" s="3" t="s">
        <v>428</v>
      </c>
      <c r="G23839" s="22" t="n">
        <f aca="false">IF(G23836&gt;0,G23824/G23836,99)</f>
        <v>0.580369128779522</v>
      </c>
      <c r="H23839" s="22" t="n">
        <f aca="false">IF(H23836&gt;0,H23824/H23836,99)</f>
        <v>0.572235422866396</v>
      </c>
      <c r="I23839" s="22" t="n">
        <f aca="false">IF(I23836&gt;0,I23824/I23836,99)</f>
        <v>0.58734612258268</v>
      </c>
      <c r="J23839" s="22" t="n">
        <f aca="false">IF(J23836&gt;0,J23824/J23836,99)</f>
        <v>0.607433042779121</v>
      </c>
      <c r="K23839" s="22" t="n">
        <f aca="false">IF(K23836&gt;0,K23824/K23836,99)</f>
        <v>0.631080311739035</v>
      </c>
    </row>
    <row r="23840" customFormat="false" ht="15" hidden="false" customHeight="false" outlineLevel="0" collapsed="false">
      <c r="A23840" s="3" t="s">
        <v>429</v>
      </c>
      <c r="G23840" s="33" t="n">
        <f aca="false">Assumptions!$G$71</f>
        <v>0.6</v>
      </c>
      <c r="H23840" s="33" t="n">
        <f aca="false">Assumptions!$H$71</f>
        <v>0.6</v>
      </c>
      <c r="I23840" s="33" t="n">
        <f aca="false">Assumptions!$I$71</f>
        <v>0.6</v>
      </c>
      <c r="J23840" s="33" t="n">
        <f aca="false">Assumptions!$J$71</f>
        <v>0.6</v>
      </c>
      <c r="K23840" s="33" t="n">
        <f aca="false">Assumptions!$K$71</f>
        <v>0.6</v>
      </c>
    </row>
    <row r="23841" customFormat="false" ht="15" hidden="false" customHeight="false" outlineLevel="0" collapsed="false">
      <c r="A23841" s="3" t="s">
        <v>430</v>
      </c>
      <c r="G23841" s="22" t="n">
        <f aca="false">G23840-G23839</f>
        <v>0.0196308712204777</v>
      </c>
      <c r="H23841" s="22" t="n">
        <f aca="false">H23840-H23839</f>
        <v>0.0277645771336038</v>
      </c>
      <c r="I23841" s="22" t="n">
        <f aca="false">I23840-I23839</f>
        <v>0.0126538774173198</v>
      </c>
      <c r="J23841" s="22" t="n">
        <f aca="false">J23840-J23839</f>
        <v>-0.00743304277912071</v>
      </c>
      <c r="K23841" s="22" t="n">
        <f aca="false">K23840-K23839</f>
        <v>-0.0310803117390354</v>
      </c>
    </row>
    <row r="23842" customFormat="false" ht="15" hidden="false" customHeight="false" outlineLevel="0" collapsed="false">
      <c r="A23842" s="3" t="s">
        <v>431</v>
      </c>
      <c r="G23842" s="22" t="n">
        <f aca="false">IF(G23840=0,0,G23841/ABS(G23840))</f>
        <v>0.0327181187007962</v>
      </c>
      <c r="H23842" s="22" t="n">
        <f aca="false">IF(H23840=0,0,H23841/ABS(H23840))</f>
        <v>0.046274295222673</v>
      </c>
      <c r="I23842" s="22" t="n">
        <f aca="false">IF(I23840=0,0,I23841/ABS(I23840))</f>
        <v>0.021089795695533</v>
      </c>
      <c r="J23842" s="22" t="n">
        <f aca="false">IF(J23840=0,0,J23841/ABS(J23840))</f>
        <v>-0.0123884046318679</v>
      </c>
      <c r="K23842" s="22" t="n">
        <f aca="false">IF(K23840=0,0,K23841/ABS(K23840))</f>
        <v>-0.0518005195650589</v>
      </c>
    </row>
    <row r="23843" customFormat="false" ht="15" hidden="false" customHeight="false" outlineLevel="0" collapsed="false">
      <c r="A23843" s="3" t="s">
        <v>432</v>
      </c>
      <c r="G23843" s="21" t="n">
        <f aca="false">IF(G23841&lt;0,1,0)</f>
        <v>0</v>
      </c>
      <c r="H23843" s="21" t="n">
        <f aca="false">IF(H23841&lt;0,1,0)</f>
        <v>0</v>
      </c>
      <c r="I23843" s="21" t="n">
        <f aca="false">IF(I23841&lt;0,1,0)</f>
        <v>0</v>
      </c>
      <c r="J23843" s="21" t="n">
        <f aca="false">IF(J23841&lt;0,1,0)</f>
        <v>1</v>
      </c>
      <c r="K23843" s="21" t="n">
        <f aca="false">IF(K23841&lt;0,1,0)</f>
        <v>1</v>
      </c>
    </row>
    <row r="23844" customFormat="false" ht="15" hidden="false" customHeight="false" outlineLevel="0" collapsed="false">
      <c r="A23844" s="3" t="s">
        <v>433</v>
      </c>
      <c r="C23844" s="21" t="n">
        <f aca="false">IFERROR(INDEX($G$23593:$K$23593,MATCH(1,$G$23843:$K$23843,0)),0)</f>
        <v>2030</v>
      </c>
    </row>
    <row r="23845" customFormat="false" ht="15" hidden="false" customHeight="false" outlineLevel="0" collapsed="false">
      <c r="A23845" s="3" t="s">
        <v>434</v>
      </c>
      <c r="C23845" s="22" t="n">
        <f aca="false">MIN($G$23842:$K$23842)</f>
        <v>-0.0518005195650589</v>
      </c>
    </row>
    <row r="23846" customFormat="false" ht="15" hidden="false" customHeight="false" outlineLevel="0" collapsed="false">
      <c r="A23846" s="24" t="s">
        <v>435</v>
      </c>
      <c r="B23846" s="25"/>
      <c r="C23846" s="25"/>
      <c r="D23846" s="25"/>
      <c r="E23846" s="25"/>
      <c r="F23846" s="25"/>
      <c r="G23846" s="25"/>
      <c r="H23846" s="25"/>
      <c r="I23846" s="25"/>
      <c r="J23846" s="25"/>
      <c r="K23846" s="25"/>
    </row>
    <row r="23847" customFormat="false" ht="15" hidden="false" customHeight="false" outlineLevel="0" collapsed="false">
      <c r="A23847" s="3" t="s">
        <v>428</v>
      </c>
      <c r="G23847" s="32" t="n">
        <f aca="false">IF(G23607&gt;0,G23603/G23607,99)</f>
        <v>1.38474183369153</v>
      </c>
      <c r="H23847" s="32" t="n">
        <f aca="false">IF(H23607&gt;0,H23603/H23607,99)</f>
        <v>1.4290673365782</v>
      </c>
      <c r="I23847" s="32" t="n">
        <f aca="false">IF(I23607&gt;0,I23603/I23607,99)</f>
        <v>1.36920893450812</v>
      </c>
      <c r="J23847" s="32" t="n">
        <f aca="false">IF(J23607&gt;0,J23603/J23607,99)</f>
        <v>1.39769512336194</v>
      </c>
      <c r="K23847" s="32" t="n">
        <f aca="false">IF(K23607&gt;0,K23603/K23607,99)</f>
        <v>1.30373689337045</v>
      </c>
    </row>
    <row r="23848" customFormat="false" ht="15" hidden="false" customHeight="false" outlineLevel="0" collapsed="false">
      <c r="A23848" s="3" t="s">
        <v>429</v>
      </c>
      <c r="G23848" s="34" t="n">
        <f aca="false">Assumptions!$G$72</f>
        <v>1.5</v>
      </c>
      <c r="H23848" s="34" t="n">
        <f aca="false">Assumptions!$H$72</f>
        <v>1.5</v>
      </c>
      <c r="I23848" s="34" t="n">
        <f aca="false">Assumptions!$I$72</f>
        <v>1.5</v>
      </c>
      <c r="J23848" s="34" t="n">
        <f aca="false">Assumptions!$J$72</f>
        <v>1.5</v>
      </c>
      <c r="K23848" s="34" t="n">
        <f aca="false">Assumptions!$K$72</f>
        <v>1.5</v>
      </c>
    </row>
    <row r="23849" customFormat="false" ht="15" hidden="false" customHeight="false" outlineLevel="0" collapsed="false">
      <c r="A23849" s="3" t="s">
        <v>430</v>
      </c>
      <c r="G23849" s="32" t="n">
        <f aca="false">G23847-G23848</f>
        <v>-0.115258166308474</v>
      </c>
      <c r="H23849" s="32" t="n">
        <f aca="false">H23847-H23848</f>
        <v>-0.0709326634217966</v>
      </c>
      <c r="I23849" s="32" t="n">
        <f aca="false">I23847-I23848</f>
        <v>-0.130791065491876</v>
      </c>
      <c r="J23849" s="32" t="n">
        <f aca="false">J23847-J23848</f>
        <v>-0.102304876638059</v>
      </c>
      <c r="K23849" s="32" t="n">
        <f aca="false">K23847-K23848</f>
        <v>-0.196263106629551</v>
      </c>
    </row>
    <row r="23850" customFormat="false" ht="15" hidden="false" customHeight="false" outlineLevel="0" collapsed="false">
      <c r="A23850" s="3" t="s">
        <v>431</v>
      </c>
      <c r="G23850" s="22" t="n">
        <f aca="false">IF(G23848=0,0,G23849/ABS(G23848))</f>
        <v>-0.0768387775389827</v>
      </c>
      <c r="H23850" s="22" t="n">
        <f aca="false">IF(H23848=0,0,H23849/ABS(H23848))</f>
        <v>-0.0472884422811977</v>
      </c>
      <c r="I23850" s="22" t="n">
        <f aca="false">IF(I23848=0,0,I23849/ABS(I23848))</f>
        <v>-0.0871940436612505</v>
      </c>
      <c r="J23850" s="22" t="n">
        <f aca="false">IF(J23848=0,0,J23849/ABS(J23848))</f>
        <v>-0.0682032510920396</v>
      </c>
      <c r="K23850" s="22" t="n">
        <f aca="false">IF(K23848=0,0,K23849/ABS(K23848))</f>
        <v>-0.130842071086367</v>
      </c>
    </row>
    <row r="23851" customFormat="false" ht="15" hidden="false" customHeight="false" outlineLevel="0" collapsed="false">
      <c r="A23851" s="3" t="s">
        <v>432</v>
      </c>
      <c r="G23851" s="21" t="n">
        <f aca="false">IF(G23849&lt;0,1,0)</f>
        <v>1</v>
      </c>
      <c r="H23851" s="21" t="n">
        <f aca="false">IF(H23849&lt;0,1,0)</f>
        <v>1</v>
      </c>
      <c r="I23851" s="21" t="n">
        <f aca="false">IF(I23849&lt;0,1,0)</f>
        <v>1</v>
      </c>
      <c r="J23851" s="21" t="n">
        <f aca="false">IF(J23849&lt;0,1,0)</f>
        <v>1</v>
      </c>
      <c r="K23851" s="21" t="n">
        <f aca="false">IF(K23849&lt;0,1,0)</f>
        <v>1</v>
      </c>
    </row>
    <row r="23852" customFormat="false" ht="15" hidden="false" customHeight="false" outlineLevel="0" collapsed="false">
      <c r="A23852" s="3" t="s">
        <v>433</v>
      </c>
      <c r="C23852" s="21" t="n">
        <f aca="false">IFERROR(INDEX($G$23593:$K$23593,MATCH(1,$G$23851:$K$23851,0)),0)</f>
        <v>2027</v>
      </c>
    </row>
    <row r="23853" customFormat="false" ht="15" hidden="false" customHeight="false" outlineLevel="0" collapsed="false">
      <c r="A23853" s="3" t="s">
        <v>434</v>
      </c>
      <c r="C23853" s="22" t="n">
        <f aca="false">MIN($G$23850:$K$23850)</f>
        <v>-0.130842071086367</v>
      </c>
    </row>
    <row r="23854" customFormat="false" ht="15" hidden="false" customHeight="false" outlineLevel="0" collapsed="false">
      <c r="A23854" s="24" t="s">
        <v>436</v>
      </c>
      <c r="B23854" s="25"/>
      <c r="C23854" s="25"/>
      <c r="D23854" s="25"/>
      <c r="E23854" s="25"/>
      <c r="F23854" s="25"/>
      <c r="G23854" s="25"/>
      <c r="H23854" s="25"/>
      <c r="I23854" s="25"/>
      <c r="J23854" s="25"/>
      <c r="K23854" s="25"/>
    </row>
    <row r="23855" customFormat="false" ht="15" hidden="false" customHeight="false" outlineLevel="0" collapsed="false">
      <c r="A23855" s="3" t="s">
        <v>428</v>
      </c>
      <c r="G23855" s="22" t="n">
        <f aca="false">IF(G23836&gt;0,G23825/G23836,99)</f>
        <v>0.120265604139923</v>
      </c>
      <c r="H23855" s="22" t="n">
        <f aca="false">IF(H23836&gt;0,H23825/H23836,99)</f>
        <v>0.119380197979769</v>
      </c>
      <c r="I23855" s="22" t="n">
        <f aca="false">IF(I23836&gt;0,I23825/I23836,99)</f>
        <v>0.118494791819614</v>
      </c>
      <c r="J23855" s="22" t="n">
        <f aca="false">IF(J23836&gt;0,J23825/J23836,99)</f>
        <v>0.11760938565946</v>
      </c>
      <c r="K23855" s="22" t="n">
        <f aca="false">IF(K23836&gt;0,K23825/K23836,99)</f>
        <v>0.116723979499306</v>
      </c>
    </row>
    <row r="23856" customFormat="false" ht="15" hidden="false" customHeight="false" outlineLevel="0" collapsed="false">
      <c r="A23856" s="3" t="s">
        <v>429</v>
      </c>
      <c r="G23856" s="33" t="n">
        <f aca="false">Assumptions!$G$73</f>
        <v>0.4</v>
      </c>
      <c r="H23856" s="33" t="n">
        <f aca="false">Assumptions!$H$73</f>
        <v>0.4</v>
      </c>
      <c r="I23856" s="33" t="n">
        <f aca="false">Assumptions!$I$73</f>
        <v>0.4</v>
      </c>
      <c r="J23856" s="33" t="n">
        <f aca="false">Assumptions!$J$73</f>
        <v>0.4</v>
      </c>
      <c r="K23856" s="33" t="n">
        <f aca="false">Assumptions!$K$73</f>
        <v>0.4</v>
      </c>
    </row>
    <row r="23857" customFormat="false" ht="15" hidden="false" customHeight="false" outlineLevel="0" collapsed="false">
      <c r="A23857" s="3" t="s">
        <v>430</v>
      </c>
      <c r="G23857" s="22" t="n">
        <f aca="false">G23856-G23855</f>
        <v>0.279734395860077</v>
      </c>
      <c r="H23857" s="22" t="n">
        <f aca="false">H23856-H23855</f>
        <v>0.280619802020231</v>
      </c>
      <c r="I23857" s="22" t="n">
        <f aca="false">I23856-I23855</f>
        <v>0.281505208180386</v>
      </c>
      <c r="J23857" s="22" t="n">
        <f aca="false">J23856-J23855</f>
        <v>0.28239061434054</v>
      </c>
      <c r="K23857" s="22" t="n">
        <f aca="false">K23856-K23855</f>
        <v>0.283276020500694</v>
      </c>
    </row>
    <row r="23858" customFormat="false" ht="15" hidden="false" customHeight="false" outlineLevel="0" collapsed="false">
      <c r="A23858" s="3" t="s">
        <v>431</v>
      </c>
      <c r="G23858" s="22" t="n">
        <f aca="false">IF(G23856=0,0,G23857/ABS(G23856))</f>
        <v>0.699335989650192</v>
      </c>
      <c r="H23858" s="22" t="n">
        <f aca="false">IF(H23856=0,0,H23857/ABS(H23856))</f>
        <v>0.701549505050578</v>
      </c>
      <c r="I23858" s="22" t="n">
        <f aca="false">IF(I23856=0,0,I23857/ABS(I23856))</f>
        <v>0.703763020450964</v>
      </c>
      <c r="J23858" s="22" t="n">
        <f aca="false">IF(J23856=0,0,J23857/ABS(J23856))</f>
        <v>0.70597653585135</v>
      </c>
      <c r="K23858" s="22" t="n">
        <f aca="false">IF(K23856=0,0,K23857/ABS(K23856))</f>
        <v>0.708190051251736</v>
      </c>
    </row>
    <row r="23859" customFormat="false" ht="15" hidden="false" customHeight="false" outlineLevel="0" collapsed="false">
      <c r="A23859" s="3" t="s">
        <v>432</v>
      </c>
      <c r="G23859" s="21" t="n">
        <f aca="false">IF(G23857&lt;0,1,0)</f>
        <v>0</v>
      </c>
      <c r="H23859" s="21" t="n">
        <f aca="false">IF(H23857&lt;0,1,0)</f>
        <v>0</v>
      </c>
      <c r="I23859" s="21" t="n">
        <f aca="false">IF(I23857&lt;0,1,0)</f>
        <v>0</v>
      </c>
      <c r="J23859" s="21" t="n">
        <f aca="false">IF(J23857&lt;0,1,0)</f>
        <v>0</v>
      </c>
      <c r="K23859" s="21" t="n">
        <f aca="false">IF(K23857&lt;0,1,0)</f>
        <v>0</v>
      </c>
    </row>
    <row r="23860" customFormat="false" ht="15" hidden="false" customHeight="false" outlineLevel="0" collapsed="false">
      <c r="A23860" s="3" t="s">
        <v>433</v>
      </c>
      <c r="C23860" s="21" t="n">
        <f aca="false">IFERROR(INDEX($G$23593:$K$23593,MATCH(1,$G$23859:$K$23859,0)),0)</f>
        <v>0</v>
      </c>
    </row>
    <row r="23861" customFormat="false" ht="15" hidden="false" customHeight="false" outlineLevel="0" collapsed="false">
      <c r="A23861" s="3" t="s">
        <v>434</v>
      </c>
      <c r="C23861" s="22" t="n">
        <f aca="false">MIN($G$23858:$K$23858)</f>
        <v>0.699335989650192</v>
      </c>
    </row>
    <row r="23862" customFormat="false" ht="15" hidden="false" customHeight="false" outlineLevel="0" collapsed="false">
      <c r="A23862" s="24" t="s">
        <v>437</v>
      </c>
      <c r="B23862" s="25"/>
      <c r="C23862" s="25"/>
      <c r="D23862" s="25"/>
      <c r="E23862" s="25"/>
      <c r="F23862" s="25"/>
      <c r="G23862" s="25"/>
      <c r="H23862" s="25"/>
      <c r="I23862" s="25"/>
      <c r="J23862" s="25"/>
      <c r="K23862" s="25"/>
    </row>
    <row r="23863" customFormat="false" ht="15" hidden="false" customHeight="false" outlineLevel="0" collapsed="false">
      <c r="A23863" s="3" t="s">
        <v>428</v>
      </c>
      <c r="G23863" s="16" t="n">
        <f aca="false">G23833</f>
        <v>720.0426686</v>
      </c>
      <c r="H23863" s="16" t="n">
        <f aca="false">H23833</f>
        <v>599.5</v>
      </c>
      <c r="I23863" s="16" t="n">
        <f aca="false">I23833</f>
        <v>502.234381817944</v>
      </c>
      <c r="J23863" s="16" t="n">
        <f aca="false">J23833</f>
        <v>407.487689055205</v>
      </c>
      <c r="K23863" s="16" t="n">
        <f aca="false">K23833</f>
        <v>296.656406310152</v>
      </c>
    </row>
    <row r="23864" customFormat="false" ht="15" hidden="false" customHeight="false" outlineLevel="0" collapsed="false">
      <c r="A23864" s="3" t="s">
        <v>429</v>
      </c>
      <c r="G23864" s="29" t="n">
        <f aca="false">Assumptions!$G$74</f>
        <v>100</v>
      </c>
      <c r="H23864" s="29" t="n">
        <f aca="false">Assumptions!$H$74</f>
        <v>100</v>
      </c>
      <c r="I23864" s="29" t="n">
        <f aca="false">Assumptions!$I$74</f>
        <v>100</v>
      </c>
      <c r="J23864" s="29" t="n">
        <f aca="false">Assumptions!$J$74</f>
        <v>100</v>
      </c>
      <c r="K23864" s="29" t="n">
        <f aca="false">Assumptions!$K$74</f>
        <v>100</v>
      </c>
    </row>
    <row r="23865" customFormat="false" ht="15" hidden="false" customHeight="false" outlineLevel="0" collapsed="false">
      <c r="A23865" s="3" t="s">
        <v>430</v>
      </c>
      <c r="G23865" s="16" t="n">
        <f aca="false">G23863-G23864</f>
        <v>620.0426686</v>
      </c>
      <c r="H23865" s="16" t="n">
        <f aca="false">H23863-H23864</f>
        <v>499.5</v>
      </c>
      <c r="I23865" s="16" t="n">
        <f aca="false">I23863-I23864</f>
        <v>402.234381817944</v>
      </c>
      <c r="J23865" s="16" t="n">
        <f aca="false">J23863-J23864</f>
        <v>307.487689055205</v>
      </c>
      <c r="K23865" s="16" t="n">
        <f aca="false">K23863-K23864</f>
        <v>196.656406310152</v>
      </c>
    </row>
    <row r="23866" customFormat="false" ht="15" hidden="false" customHeight="false" outlineLevel="0" collapsed="false">
      <c r="A23866" s="3" t="s">
        <v>431</v>
      </c>
      <c r="G23866" s="22" t="n">
        <f aca="false">IF(G23864=0,0,G23865/ABS(G23864))</f>
        <v>6.200426686</v>
      </c>
      <c r="H23866" s="22" t="n">
        <f aca="false">IF(H23864=0,0,H23865/ABS(H23864))</f>
        <v>4.995</v>
      </c>
      <c r="I23866" s="22" t="n">
        <f aca="false">IF(I23864=0,0,I23865/ABS(I23864))</f>
        <v>4.02234381817944</v>
      </c>
      <c r="J23866" s="22" t="n">
        <f aca="false">IF(J23864=0,0,J23865/ABS(J23864))</f>
        <v>3.07487689055205</v>
      </c>
      <c r="K23866" s="22" t="n">
        <f aca="false">IF(K23864=0,0,K23865/ABS(K23864))</f>
        <v>1.96656406310152</v>
      </c>
    </row>
    <row r="23867" customFormat="false" ht="15" hidden="false" customHeight="false" outlineLevel="0" collapsed="false">
      <c r="A23867" s="3" t="s">
        <v>432</v>
      </c>
      <c r="G23867" s="21" t="n">
        <f aca="false">IF(G23865&lt;0,1,0)</f>
        <v>0</v>
      </c>
      <c r="H23867" s="21" t="n">
        <f aca="false">IF(H23865&lt;0,1,0)</f>
        <v>0</v>
      </c>
      <c r="I23867" s="21" t="n">
        <f aca="false">IF(I23865&lt;0,1,0)</f>
        <v>0</v>
      </c>
      <c r="J23867" s="21" t="n">
        <f aca="false">IF(J23865&lt;0,1,0)</f>
        <v>0</v>
      </c>
      <c r="K23867" s="21" t="n">
        <f aca="false">IF(K23865&lt;0,1,0)</f>
        <v>0</v>
      </c>
    </row>
    <row r="23868" customFormat="false" ht="15" hidden="false" customHeight="false" outlineLevel="0" collapsed="false">
      <c r="A23868" s="3" t="s">
        <v>433</v>
      </c>
      <c r="C23868" s="21" t="n">
        <f aca="false">IFERROR(INDEX($G$23593:$K$23593,MATCH(1,$G$23867:$K$23867,0)),0)</f>
        <v>0</v>
      </c>
    </row>
    <row r="23869" customFormat="false" ht="15" hidden="false" customHeight="false" outlineLevel="0" collapsed="false">
      <c r="A23869" s="3" t="s">
        <v>434</v>
      </c>
      <c r="C23869" s="22" t="n">
        <f aca="false">MIN($G$23866:$K$23866)</f>
        <v>1.96656406310152</v>
      </c>
    </row>
    <row r="23870" customFormat="false" ht="15" hidden="false" customHeight="false" outlineLevel="0" collapsed="false">
      <c r="A23870" s="24" t="s">
        <v>438</v>
      </c>
      <c r="B23870" s="25"/>
      <c r="C23870" s="25"/>
      <c r="D23870" s="25"/>
      <c r="E23870" s="25"/>
      <c r="F23870" s="25"/>
      <c r="G23870" s="25"/>
      <c r="H23870" s="25"/>
      <c r="I23870" s="25"/>
      <c r="J23870" s="25"/>
      <c r="K23870" s="25"/>
    </row>
    <row r="23871" customFormat="false" ht="15" hidden="false" customHeight="false" outlineLevel="0" collapsed="false">
      <c r="A23871" s="3" t="s">
        <v>428</v>
      </c>
      <c r="G23871" s="32" t="n">
        <f aca="false">IF(G23603&gt;0,G23826/G23603,99)</f>
        <v>9.66693120868494</v>
      </c>
      <c r="H23871" s="32" t="n">
        <f aca="false">IF(H23603&gt;0,H23826/H23603,99)</f>
        <v>9.7429339657617</v>
      </c>
      <c r="I23871" s="32" t="n">
        <f aca="false">IF(I23603&gt;0,I23826/I23603,99)</f>
        <v>9.84445430723595</v>
      </c>
      <c r="J23871" s="32" t="n">
        <f aca="false">IF(J23603&gt;0,J23826/J23603,99)</f>
        <v>9.94439339572137</v>
      </c>
      <c r="K23871" s="32" t="n">
        <f aca="false">IF(K23603&gt;0,K23826/K23603,99)</f>
        <v>10.0914334201652</v>
      </c>
    </row>
    <row r="23872" customFormat="false" ht="15" hidden="false" customHeight="false" outlineLevel="0" collapsed="false">
      <c r="A23872" s="3" t="s">
        <v>429</v>
      </c>
      <c r="G23872" s="34" t="n">
        <f aca="false">Assumptions!$G$75</f>
        <v>10.5</v>
      </c>
      <c r="H23872" s="34" t="n">
        <f aca="false">Assumptions!$H$75</f>
        <v>10.5</v>
      </c>
      <c r="I23872" s="34" t="n">
        <f aca="false">Assumptions!$I$75</f>
        <v>10</v>
      </c>
      <c r="J23872" s="34" t="n">
        <f aca="false">Assumptions!$J$75</f>
        <v>10</v>
      </c>
      <c r="K23872" s="34" t="n">
        <f aca="false">Assumptions!$K$75</f>
        <v>9.5</v>
      </c>
    </row>
    <row r="23873" customFormat="false" ht="15" hidden="false" customHeight="false" outlineLevel="0" collapsed="false">
      <c r="A23873" s="3" t="s">
        <v>430</v>
      </c>
      <c r="G23873" s="32" t="n">
        <f aca="false">G23872-G23871</f>
        <v>0.833068791315061</v>
      </c>
      <c r="H23873" s="32" t="n">
        <f aca="false">H23872-H23871</f>
        <v>0.757066034238305</v>
      </c>
      <c r="I23873" s="32" t="n">
        <f aca="false">I23872-I23871</f>
        <v>0.155545692764049</v>
      </c>
      <c r="J23873" s="32" t="n">
        <f aca="false">J23872-J23871</f>
        <v>0.0556066042786334</v>
      </c>
      <c r="K23873" s="32" t="n">
        <f aca="false">K23872-K23871</f>
        <v>-0.591433420165242</v>
      </c>
    </row>
    <row r="23874" customFormat="false" ht="15" hidden="false" customHeight="false" outlineLevel="0" collapsed="false">
      <c r="A23874" s="3" t="s">
        <v>431</v>
      </c>
      <c r="G23874" s="22" t="n">
        <f aca="false">IF(G23872=0,0,G23873/ABS(G23872))</f>
        <v>0.0793398848871486</v>
      </c>
      <c r="H23874" s="22" t="n">
        <f aca="false">IF(H23872=0,0,H23873/ABS(H23872))</f>
        <v>0.0721015270703147</v>
      </c>
      <c r="I23874" s="22" t="n">
        <f aca="false">IF(I23872=0,0,I23873/ABS(I23872))</f>
        <v>0.0155545692764049</v>
      </c>
      <c r="J23874" s="22" t="n">
        <f aca="false">IF(J23872=0,0,J23873/ABS(J23872))</f>
        <v>0.00556066042786334</v>
      </c>
      <c r="K23874" s="22" t="n">
        <f aca="false">IF(K23872=0,0,K23873/ABS(K23872))</f>
        <v>-0.0622561494910781</v>
      </c>
    </row>
    <row r="23875" customFormat="false" ht="15" hidden="false" customHeight="false" outlineLevel="0" collapsed="false">
      <c r="A23875" s="3" t="s">
        <v>432</v>
      </c>
      <c r="G23875" s="21" t="n">
        <f aca="false">IF(G23873&lt;0,1,0)</f>
        <v>0</v>
      </c>
      <c r="H23875" s="21" t="n">
        <f aca="false">IF(H23873&lt;0,1,0)</f>
        <v>0</v>
      </c>
      <c r="I23875" s="21" t="n">
        <f aca="false">IF(I23873&lt;0,1,0)</f>
        <v>0</v>
      </c>
      <c r="J23875" s="21" t="n">
        <f aca="false">IF(J23873&lt;0,1,0)</f>
        <v>0</v>
      </c>
      <c r="K23875" s="21" t="n">
        <f aca="false">IF(K23873&lt;0,1,0)</f>
        <v>1</v>
      </c>
    </row>
    <row r="23876" customFormat="false" ht="15" hidden="false" customHeight="false" outlineLevel="0" collapsed="false">
      <c r="A23876" s="3" t="s">
        <v>433</v>
      </c>
      <c r="C23876" s="21" t="n">
        <f aca="false">IFERROR(INDEX($G$23593:$K$23593,MATCH(1,$G$23875:$K$23875,0)),0)</f>
        <v>2031</v>
      </c>
    </row>
    <row r="23877" customFormat="false" ht="15" hidden="false" customHeight="false" outlineLevel="0" collapsed="false">
      <c r="A23877" s="3" t="s">
        <v>434</v>
      </c>
      <c r="C23877" s="22" t="n">
        <f aca="false">MIN($G$23874:$K$23874)</f>
        <v>-0.0622561494910781</v>
      </c>
    </row>
    <row r="23878" customFormat="false" ht="15" hidden="false" customHeight="false" outlineLevel="0" collapsed="false">
      <c r="A23878" s="3" t="s">
        <v>439</v>
      </c>
      <c r="G23878" s="21" t="n">
        <f aca="false">G23843+G23851+G23859+G23867+G23875</f>
        <v>1</v>
      </c>
      <c r="H23878" s="21" t="n">
        <f aca="false">H23843+H23851+H23859+H23867+H23875</f>
        <v>1</v>
      </c>
      <c r="I23878" s="21" t="n">
        <f aca="false">I23843+I23851+I23859+I23867+I23875</f>
        <v>1</v>
      </c>
      <c r="J23878" s="21" t="n">
        <f aca="false">J23843+J23851+J23859+J23867+J23875</f>
        <v>2</v>
      </c>
      <c r="K23878" s="21" t="n">
        <f aca="false">K23843+K23851+K23859+K23867+K23875</f>
        <v>3</v>
      </c>
    </row>
    <row r="23879" customFormat="false" ht="15" hidden="false" customHeight="false" outlineLevel="0" collapsed="false">
      <c r="A23879" s="3" t="s">
        <v>440</v>
      </c>
      <c r="C23879" s="21" t="n">
        <f aca="false">SUM($G$23878:$K$23878)</f>
        <v>8</v>
      </c>
    </row>
    <row r="23880" customFormat="false" ht="15" hidden="false" customHeight="false" outlineLevel="0" collapsed="false">
      <c r="A23880" s="3" t="s">
        <v>441</v>
      </c>
      <c r="C23880" s="22" t="n">
        <f aca="false">MIN(C23845,C23853,C23861,C23869,C23877)</f>
        <v>-0.130842071086367</v>
      </c>
    </row>
    <row r="23882" customFormat="false" ht="15" hidden="false" customHeight="false" outlineLevel="0" collapsed="false">
      <c r="A23882" s="24" t="s">
        <v>543</v>
      </c>
      <c r="B23882" s="25"/>
      <c r="C23882" s="25"/>
      <c r="D23882" s="25"/>
      <c r="E23882" s="25"/>
      <c r="F23882" s="25"/>
      <c r="G23882" s="25"/>
      <c r="H23882" s="25"/>
      <c r="I23882" s="25"/>
      <c r="J23882" s="25"/>
      <c r="K23882" s="25"/>
    </row>
    <row r="23883" customFormat="false" ht="15" hidden="false" customHeight="false" outlineLevel="0" collapsed="false">
      <c r="A23883" s="3" t="s">
        <v>544</v>
      </c>
      <c r="G23883" s="21" t="n">
        <f aca="false">IF($C$23884=1,G23820,IF(G23603=MIN($G$23603:$K$23603),1,0))</f>
        <v>1</v>
      </c>
      <c r="H23883" s="21" t="n">
        <f aca="false">IF($C$23884=1,H23820,IF(AND(H23603=MIN($G$23603:$K$23603),SUM($G$23883:G23883)=0),1,0))</f>
        <v>0</v>
      </c>
      <c r="I23883" s="21" t="n">
        <f aca="false">IF($C$23884=1,I23820,IF(AND(I23603=MIN($G$23603:$K$23603),SUM($G$23883:H23883)=0),1,0))</f>
        <v>0</v>
      </c>
      <c r="J23883" s="21" t="n">
        <f aca="false">IF($C$23884=1,J23820,IF(AND(J23603=MIN($G$23603:$K$23603),SUM($G$23883:I23883)=0),1,0))</f>
        <v>0</v>
      </c>
      <c r="K23883" s="21" t="n">
        <f aca="false">IF($C$23884=1,K23820,IF(AND(K23603=MIN($G$23603:$K$23603),SUM($G$23883:J23883)=0),1,0))</f>
        <v>0</v>
      </c>
    </row>
    <row r="23884" customFormat="false" ht="15" hidden="false" customHeight="false" outlineLevel="0" collapsed="false">
      <c r="A23884" s="3" t="s">
        <v>545</v>
      </c>
      <c r="C23884" s="21" t="n">
        <f aca="false">IF(SUM($G$23820:$K$23820)&gt;0,1,0)</f>
        <v>0</v>
      </c>
    </row>
    <row r="23885" customFormat="false" ht="15" hidden="false" customHeight="false" outlineLevel="0" collapsed="false">
      <c r="A23885" s="3" t="s">
        <v>546</v>
      </c>
      <c r="C23885" s="21" t="n">
        <f aca="false">SUMPRODUCT($G$23883:$K$23883,$G$23593:$K$23593)</f>
        <v>2027</v>
      </c>
    </row>
    <row r="23886" customFormat="false" ht="15" hidden="false" customHeight="false" outlineLevel="0" collapsed="false">
      <c r="A23886" s="3" t="s">
        <v>547</v>
      </c>
      <c r="C23886" s="16" t="n">
        <f aca="false">SUMPRODUCT($G$23883:$K$23883,$G$23603:$K$23603)</f>
        <v>256.1714031</v>
      </c>
    </row>
    <row r="23887" customFormat="false" ht="15" hidden="false" customHeight="false" outlineLevel="0" collapsed="false">
      <c r="A23887" s="3" t="s">
        <v>548</v>
      </c>
      <c r="C23887" s="16" t="n">
        <f aca="false">MAX(0,SUMPRODUCT($G$23883:$K$23883,$G$23817:$K$23817))</f>
        <v>145.5426686</v>
      </c>
    </row>
    <row r="23888" customFormat="false" ht="15" hidden="false" customHeight="false" outlineLevel="0" collapsed="false">
      <c r="A23888" s="3" t="s">
        <v>549</v>
      </c>
      <c r="C23888" s="16" t="n">
        <f aca="false">(CHOOSE($C$23586,Assumptions!$C$92,Assumptions!$C$111,Assumptions!$C$130)+$C$23590)*C23886</f>
        <v>2561.714031</v>
      </c>
    </row>
    <row r="23889" customFormat="false" ht="15" hidden="false" customHeight="false" outlineLevel="0" collapsed="false">
      <c r="A23889" s="3" t="s">
        <v>550</v>
      </c>
      <c r="C23889" s="16" t="n">
        <f aca="false">Assumptions!$C$31*(1-CHOOSE($C$23586,Assumptions!$C$93,Assumptions!$C$112,Assumptions!$C$131))*CHOOSE($C$23586,Assumptions!$C$94,Assumptions!$C$113,Assumptions!$C$132)</f>
        <v>3840.04556666667</v>
      </c>
    </row>
    <row r="23890" customFormat="false" ht="15" hidden="false" customHeight="false" outlineLevel="0" collapsed="false">
      <c r="A23890" s="3" t="s">
        <v>551</v>
      </c>
      <c r="C23890" s="16" t="n">
        <f aca="false">MAX(C23888,C23889)+C23887</f>
        <v>3985.58823526667</v>
      </c>
    </row>
    <row r="23891" customFormat="false" ht="15" hidden="false" customHeight="false" outlineLevel="0" collapsed="false">
      <c r="A23891" s="2" t="s">
        <v>552</v>
      </c>
      <c r="C23891" s="17" t="n">
        <f aca="false">IF(ISNUMBER(Assumptions!$C$14),Assumptions!$C$14,C23890)</f>
        <v>3985.58823526667</v>
      </c>
    </row>
    <row r="23892" customFormat="false" ht="15" hidden="false" customHeight="false" outlineLevel="0" collapsed="false">
      <c r="A23892" s="3" t="s">
        <v>553</v>
      </c>
      <c r="C23892" s="16" t="n">
        <f aca="false">C23891*Assumptions!$C$15</f>
        <v>159.423529410667</v>
      </c>
    </row>
    <row r="23893" customFormat="false" ht="15" hidden="false" customHeight="false" outlineLevel="0" collapsed="false">
      <c r="A23893" s="2" t="s">
        <v>554</v>
      </c>
      <c r="C23893" s="17" t="n">
        <f aca="false">C23891-C23892</f>
        <v>3826.164705856</v>
      </c>
    </row>
    <row r="23894" customFormat="false" ht="15" hidden="false" customHeight="false" outlineLevel="0" collapsed="false">
      <c r="A23894" s="24" t="s">
        <v>555</v>
      </c>
      <c r="B23894" s="25"/>
      <c r="C23894" s="25"/>
      <c r="D23894" s="25"/>
      <c r="E23894" s="25"/>
      <c r="F23894" s="25"/>
      <c r="G23894" s="25"/>
      <c r="H23894" s="25"/>
      <c r="I23894" s="25"/>
      <c r="J23894" s="25"/>
      <c r="K23894" s="25"/>
    </row>
    <row r="23895" customFormat="false" ht="15" hidden="false" customHeight="false" outlineLevel="0" collapsed="false">
      <c r="A23895" s="3" t="s">
        <v>556</v>
      </c>
      <c r="C23895" s="16" t="n">
        <f aca="false">SUMPRODUCT($G$23883:$K$23883,$G$23640:$K$23640)*(1+SUMPRODUCT($G$23883:$K$23883,$G$23632:$K$23632)*Assumptions!$C$16/12)</f>
        <v>406.0485</v>
      </c>
    </row>
    <row r="23896" customFormat="false" ht="15" hidden="false" customHeight="false" outlineLevel="0" collapsed="false">
      <c r="A23896" s="3" t="s">
        <v>557</v>
      </c>
      <c r="C23896" s="16" t="n">
        <f aca="false">SUMPRODUCT($G$23883:$K$23883,$G$23653:$K$23653)*(1+SUMPRODUCT($G$23883:$K$23883,$G$23645:$K$23645)*Assumptions!$C$16/12)</f>
        <v>91.30725</v>
      </c>
    </row>
    <row r="23897" customFormat="false" ht="15" hidden="false" customHeight="false" outlineLevel="0" collapsed="false">
      <c r="A23897" s="3" t="s">
        <v>558</v>
      </c>
      <c r="C23897" s="16" t="n">
        <f aca="false">SUMPRODUCT($G$23883:$K$23883,$G$23666:$K$23666)*(1+SUMPRODUCT($G$23883:$K$23883,$G$23658:$K$23658)*Assumptions!$C$16/12)</f>
        <v>58.3715961</v>
      </c>
    </row>
    <row r="23898" customFormat="false" ht="15" hidden="false" customHeight="false" outlineLevel="0" collapsed="false">
      <c r="A23898" s="3" t="s">
        <v>559</v>
      </c>
      <c r="C23898" s="16" t="n">
        <f aca="false">SUMPRODUCT($G$23883:$K$23883,$G$23679:$K$23679)*(1+SUMPRODUCT($G$23883:$K$23883,$G$23671:$K$23671)*Assumptions!$C$16/12)</f>
        <v>0</v>
      </c>
    </row>
    <row r="23899" customFormat="false" ht="15" hidden="false" customHeight="false" outlineLevel="0" collapsed="false">
      <c r="A23899" s="3" t="s">
        <v>560</v>
      </c>
      <c r="C23899" s="16" t="n">
        <f aca="false">SUMPRODUCT($G$23883:$K$23883,$G$23692:$K$23692)*(1+SUMPRODUCT($G$23883:$K$23883,$G$23684:$K$23684)*Assumptions!$C$16/12)</f>
        <v>454.44375</v>
      </c>
    </row>
    <row r="23900" customFormat="false" ht="15" hidden="false" customHeight="false" outlineLevel="0" collapsed="false">
      <c r="A23900" s="3" t="s">
        <v>561</v>
      </c>
      <c r="C23900" s="16" t="n">
        <f aca="false">SUMPRODUCT($G$23883:$K$23883,$G$23705:$K$23705)*(1+SUMPRODUCT($G$23883:$K$23883,$G$23697:$K$23697)*Assumptions!$C$16/12)</f>
        <v>357.2625</v>
      </c>
    </row>
    <row r="23901" customFormat="false" ht="15" hidden="false" customHeight="false" outlineLevel="0" collapsed="false">
      <c r="A23901" s="3" t="s">
        <v>562</v>
      </c>
      <c r="C23901" s="16" t="n">
        <f aca="false">SUMPRODUCT($G$23883:$K$23883,$G$23718:$K$23718)*(1+SUMPRODUCT($G$23883:$K$23883,$G$23710:$K$23710)*Assumptions!$C$16/12)</f>
        <v>562.203125</v>
      </c>
    </row>
    <row r="23902" customFormat="false" ht="15" hidden="false" customHeight="false" outlineLevel="0" collapsed="false">
      <c r="A23902" s="3" t="s">
        <v>563</v>
      </c>
      <c r="C23902" s="16" t="n">
        <f aca="false">SUMPRODUCT($G$23883:$K$23883,$G$23731:$K$23731)*(1+SUMPRODUCT($G$23883:$K$23883,$G$23723:$K$23723)*Assumptions!$C$16/12)</f>
        <v>353.98125</v>
      </c>
    </row>
    <row r="23903" customFormat="false" ht="15" hidden="false" customHeight="false" outlineLevel="0" collapsed="false">
      <c r="A23903" s="3" t="s">
        <v>564</v>
      </c>
      <c r="C23903" s="16" t="n">
        <f aca="false">SUMPRODUCT($G$23883:$K$23883,$G$23744:$K$23744)*(1+SUMPRODUCT($G$23883:$K$23883,$G$23736:$K$23736)*Assumptions!$C$16/12)</f>
        <v>304.59375</v>
      </c>
    </row>
    <row r="23904" customFormat="false" ht="15" hidden="false" customHeight="false" outlineLevel="0" collapsed="false">
      <c r="A23904" s="3" t="s">
        <v>565</v>
      </c>
      <c r="C23904" s="16" t="n">
        <f aca="false">SUMPRODUCT($G$23883:$K$23883,$G$23757:$K$23757)*(1+SUMPRODUCT($G$23883:$K$23883,$G$23749:$K$23749)*Assumptions!$C$16/12)</f>
        <v>79.86972525</v>
      </c>
    </row>
    <row r="23905" customFormat="false" ht="15" hidden="false" customHeight="false" outlineLevel="0" collapsed="false">
      <c r="A23905" s="24" t="s">
        <v>566</v>
      </c>
      <c r="B23905" s="25"/>
      <c r="C23905" s="25"/>
      <c r="D23905" s="25"/>
      <c r="E23905" s="25"/>
      <c r="F23905" s="25"/>
      <c r="G23905" s="25"/>
      <c r="H23905" s="25"/>
      <c r="I23905" s="25"/>
      <c r="J23905" s="25"/>
      <c r="K23905" s="25"/>
    </row>
    <row r="23906" customFormat="false" ht="15" hidden="false" customHeight="false" outlineLevel="0" collapsed="false">
      <c r="A23906" s="3" t="s">
        <v>556</v>
      </c>
      <c r="C23906" s="27" t="n">
        <f aca="false">Assumptions!$M$57</f>
        <v>1</v>
      </c>
    </row>
    <row r="23907" customFormat="false" ht="15" hidden="false" customHeight="false" outlineLevel="0" collapsed="false">
      <c r="A23907" s="3" t="s">
        <v>557</v>
      </c>
      <c r="C23907" s="27" t="n">
        <f aca="false">Assumptions!$M$58</f>
        <v>1</v>
      </c>
    </row>
    <row r="23908" customFormat="false" ht="15" hidden="false" customHeight="false" outlineLevel="0" collapsed="false">
      <c r="A23908" s="3" t="s">
        <v>558</v>
      </c>
      <c r="C23908" s="27" t="n">
        <f aca="false">Assumptions!$M$59</f>
        <v>1</v>
      </c>
    </row>
    <row r="23909" customFormat="false" ht="15" hidden="false" customHeight="false" outlineLevel="0" collapsed="false">
      <c r="A23909" s="3" t="s">
        <v>559</v>
      </c>
      <c r="C23909" s="27" t="n">
        <f aca="false">Assumptions!$M$60</f>
        <v>2</v>
      </c>
    </row>
    <row r="23910" customFormat="false" ht="15" hidden="false" customHeight="false" outlineLevel="0" collapsed="false">
      <c r="A23910" s="3" t="s">
        <v>560</v>
      </c>
      <c r="C23910" s="27" t="n">
        <f aca="false">Assumptions!$M$61</f>
        <v>2</v>
      </c>
    </row>
    <row r="23911" customFormat="false" ht="15" hidden="false" customHeight="false" outlineLevel="0" collapsed="false">
      <c r="A23911" s="3" t="s">
        <v>561</v>
      </c>
      <c r="C23911" s="27" t="n">
        <f aca="false">Assumptions!$M$62</f>
        <v>2</v>
      </c>
    </row>
    <row r="23912" customFormat="false" ht="15" hidden="false" customHeight="false" outlineLevel="0" collapsed="false">
      <c r="A23912" s="3" t="s">
        <v>562</v>
      </c>
      <c r="C23912" s="27" t="n">
        <f aca="false">Assumptions!$M$63</f>
        <v>2</v>
      </c>
    </row>
    <row r="23913" customFormat="false" ht="15" hidden="false" customHeight="false" outlineLevel="0" collapsed="false">
      <c r="A23913" s="3" t="s">
        <v>563</v>
      </c>
      <c r="C23913" s="27" t="n">
        <f aca="false">Assumptions!$M$64</f>
        <v>2</v>
      </c>
    </row>
    <row r="23914" customFormat="false" ht="15" hidden="false" customHeight="false" outlineLevel="0" collapsed="false">
      <c r="A23914" s="3" t="s">
        <v>564</v>
      </c>
      <c r="C23914" s="27" t="n">
        <f aca="false">Assumptions!$M$65</f>
        <v>2</v>
      </c>
    </row>
    <row r="23915" customFormat="false" ht="15" hidden="false" customHeight="false" outlineLevel="0" collapsed="false">
      <c r="A23915" s="3" t="s">
        <v>565</v>
      </c>
      <c r="C23915" s="27" t="n">
        <f aca="false">Assumptions!$M$66</f>
        <v>3</v>
      </c>
    </row>
    <row r="23916" customFormat="false" ht="15" hidden="false" customHeight="false" outlineLevel="0" collapsed="false">
      <c r="A23916" s="24" t="s">
        <v>567</v>
      </c>
      <c r="B23916" s="25"/>
      <c r="C23916" s="25"/>
      <c r="D23916" s="25"/>
      <c r="E23916" s="25"/>
      <c r="F23916" s="25"/>
      <c r="G23916" s="25"/>
      <c r="H23916" s="25"/>
      <c r="I23916" s="25"/>
      <c r="J23916" s="25"/>
      <c r="K23916" s="25"/>
    </row>
    <row r="23917" customFormat="false" ht="15" hidden="false" customHeight="false" outlineLevel="0" collapsed="false">
      <c r="A23917" s="3" t="s">
        <v>556</v>
      </c>
      <c r="C23917" s="33" t="n">
        <f aca="false">Assumptions!$Q$57</f>
        <v>0.3</v>
      </c>
    </row>
    <row r="23918" customFormat="false" ht="15" hidden="false" customHeight="false" outlineLevel="0" collapsed="false">
      <c r="A23918" s="3" t="s">
        <v>557</v>
      </c>
      <c r="C23918" s="33" t="n">
        <f aca="false">Assumptions!$Q$58</f>
        <v>0.033</v>
      </c>
    </row>
    <row r="23919" customFormat="false" ht="15" hidden="false" customHeight="false" outlineLevel="0" collapsed="false">
      <c r="A23919" s="3" t="s">
        <v>558</v>
      </c>
      <c r="C23919" s="33" t="n">
        <f aca="false">Assumptions!$Q$59</f>
        <v>0.021</v>
      </c>
    </row>
    <row r="23920" customFormat="false" ht="15" hidden="false" customHeight="false" outlineLevel="0" collapsed="false">
      <c r="A23920" s="3" t="s">
        <v>559</v>
      </c>
      <c r="C23920" s="33" t="n">
        <f aca="false">Assumptions!$Q$60</f>
        <v>0</v>
      </c>
    </row>
    <row r="23921" customFormat="false" ht="15" hidden="false" customHeight="false" outlineLevel="0" collapsed="false">
      <c r="A23921" s="3" t="s">
        <v>560</v>
      </c>
      <c r="C23921" s="33" t="n">
        <f aca="false">Assumptions!$Q$61</f>
        <v>0</v>
      </c>
    </row>
    <row r="23922" customFormat="false" ht="15" hidden="false" customHeight="false" outlineLevel="0" collapsed="false">
      <c r="A23922" s="3" t="s">
        <v>561</v>
      </c>
      <c r="C23922" s="33" t="n">
        <f aca="false">Assumptions!$Q$62</f>
        <v>0</v>
      </c>
    </row>
    <row r="23923" customFormat="false" ht="15" hidden="false" customHeight="false" outlineLevel="0" collapsed="false">
      <c r="A23923" s="3" t="s">
        <v>562</v>
      </c>
      <c r="C23923" s="33" t="n">
        <f aca="false">Assumptions!$Q$63</f>
        <v>0</v>
      </c>
    </row>
    <row r="23924" customFormat="false" ht="15" hidden="false" customHeight="false" outlineLevel="0" collapsed="false">
      <c r="A23924" s="3" t="s">
        <v>563</v>
      </c>
      <c r="C23924" s="33" t="n">
        <f aca="false">Assumptions!$Q$64</f>
        <v>0</v>
      </c>
    </row>
    <row r="23925" customFormat="false" ht="15" hidden="false" customHeight="false" outlineLevel="0" collapsed="false">
      <c r="A23925" s="3" t="s">
        <v>564</v>
      </c>
      <c r="C23925" s="33" t="n">
        <f aca="false">Assumptions!$Q$65</f>
        <v>0</v>
      </c>
    </row>
    <row r="23926" customFormat="false" ht="15" hidden="false" customHeight="false" outlineLevel="0" collapsed="false">
      <c r="A23926" s="3" t="s">
        <v>565</v>
      </c>
      <c r="C23926" s="33" t="n">
        <f aca="false">Assumptions!$Q$66</f>
        <v>0</v>
      </c>
    </row>
    <row r="23927" customFormat="false" ht="15" hidden="false" customHeight="false" outlineLevel="0" collapsed="false">
      <c r="A23927" s="24" t="s">
        <v>568</v>
      </c>
      <c r="B23927" s="25"/>
      <c r="C23927" s="25"/>
      <c r="D23927" s="25"/>
      <c r="E23927" s="25"/>
      <c r="F23927" s="25"/>
      <c r="G23927" s="25"/>
      <c r="H23927" s="25"/>
      <c r="I23927" s="25"/>
      <c r="J23927" s="25"/>
      <c r="K23927" s="25"/>
    </row>
    <row r="23928" customFormat="false" ht="15" hidden="false" customHeight="false" outlineLevel="0" collapsed="false">
      <c r="A23928" s="3" t="s">
        <v>556</v>
      </c>
      <c r="C23928" s="16" t="n">
        <f aca="false">IF(C23917&gt;0,MIN(C23895,C23917*$C$23893),0)</f>
        <v>406.0485</v>
      </c>
    </row>
    <row r="23929" customFormat="false" ht="15" hidden="false" customHeight="false" outlineLevel="0" collapsed="false">
      <c r="A23929" s="3" t="s">
        <v>557</v>
      </c>
      <c r="C23929" s="16" t="n">
        <f aca="false">IF(C23918&gt;0,MIN(C23896,C23918*$C$23893),0)</f>
        <v>91.30725</v>
      </c>
    </row>
    <row r="23930" customFormat="false" ht="15" hidden="false" customHeight="false" outlineLevel="0" collapsed="false">
      <c r="A23930" s="3" t="s">
        <v>558</v>
      </c>
      <c r="C23930" s="16" t="n">
        <f aca="false">IF(C23919&gt;0,MIN(C23897,C23919*$C$23893),0)</f>
        <v>58.3715961</v>
      </c>
    </row>
    <row r="23931" customFormat="false" ht="15" hidden="false" customHeight="false" outlineLevel="0" collapsed="false">
      <c r="A23931" s="3" t="s">
        <v>559</v>
      </c>
      <c r="C23931" s="16" t="n">
        <f aca="false">IF(C23920&gt;0,MIN(C23898,C23920*$C$23893),0)</f>
        <v>0</v>
      </c>
    </row>
    <row r="23932" customFormat="false" ht="15" hidden="false" customHeight="false" outlineLevel="0" collapsed="false">
      <c r="A23932" s="3" t="s">
        <v>560</v>
      </c>
      <c r="C23932" s="16" t="n">
        <f aca="false">IF(C23921&gt;0,MIN(C23899,C23921*$C$23893),0)</f>
        <v>0</v>
      </c>
    </row>
    <row r="23933" customFormat="false" ht="15" hidden="false" customHeight="false" outlineLevel="0" collapsed="false">
      <c r="A23933" s="3" t="s">
        <v>561</v>
      </c>
      <c r="C23933" s="16" t="n">
        <f aca="false">IF(C23922&gt;0,MIN(C23900,C23922*$C$23893),0)</f>
        <v>0</v>
      </c>
    </row>
    <row r="23934" customFormat="false" ht="15" hidden="false" customHeight="false" outlineLevel="0" collapsed="false">
      <c r="A23934" s="3" t="s">
        <v>562</v>
      </c>
      <c r="C23934" s="16" t="n">
        <f aca="false">IF(C23923&gt;0,MIN(C23901,C23923*$C$23893),0)</f>
        <v>0</v>
      </c>
    </row>
    <row r="23935" customFormat="false" ht="15" hidden="false" customHeight="false" outlineLevel="0" collapsed="false">
      <c r="A23935" s="3" t="s">
        <v>563</v>
      </c>
      <c r="C23935" s="16" t="n">
        <f aca="false">IF(C23924&gt;0,MIN(C23902,C23924*$C$23893),0)</f>
        <v>0</v>
      </c>
    </row>
    <row r="23936" customFormat="false" ht="15" hidden="false" customHeight="false" outlineLevel="0" collapsed="false">
      <c r="A23936" s="3" t="s">
        <v>564</v>
      </c>
      <c r="C23936" s="16" t="n">
        <f aca="false">IF(C23925&gt;0,MIN(C23903,C23925*$C$23893),0)</f>
        <v>0</v>
      </c>
    </row>
    <row r="23937" customFormat="false" ht="15" hidden="false" customHeight="false" outlineLevel="0" collapsed="false">
      <c r="A23937" s="3" t="s">
        <v>565</v>
      </c>
      <c r="C23937" s="16" t="n">
        <f aca="false">IF(C23926&gt;0,MIN(C23904,C23926*$C$23893),0)</f>
        <v>0</v>
      </c>
    </row>
    <row r="23938" customFormat="false" ht="15" hidden="false" customHeight="false" outlineLevel="0" collapsed="false">
      <c r="A23938" s="24" t="s">
        <v>569</v>
      </c>
      <c r="B23938" s="25"/>
      <c r="C23938" s="25"/>
      <c r="D23938" s="25"/>
      <c r="E23938" s="25"/>
      <c r="F23938" s="25"/>
      <c r="G23938" s="25"/>
      <c r="H23938" s="25"/>
      <c r="I23938" s="25"/>
      <c r="J23938" s="25"/>
      <c r="K23938" s="25"/>
    </row>
    <row r="23939" customFormat="false" ht="15" hidden="false" customHeight="false" outlineLevel="0" collapsed="false">
      <c r="A23939" s="3" t="s">
        <v>556</v>
      </c>
      <c r="C23939" s="16" t="n">
        <f aca="false">IF(C23917&gt;0,C23895-C23928,0)</f>
        <v>0</v>
      </c>
      <c r="G23939" s="21" t="n">
        <f aca="false">IF(AND(G23630=1,G23627=1),1,0)</f>
        <v>0</v>
      </c>
      <c r="H23939" s="21" t="n">
        <f aca="false">IF(G23939=1,1,IF(AND(H23630=1,H23627=1),1,0))</f>
        <v>0</v>
      </c>
      <c r="I23939" s="21" t="n">
        <f aca="false">IF(H23939=1,1,IF(AND(I23630=1,I23627=1),1,0))</f>
        <v>0</v>
      </c>
      <c r="J23939" s="21" t="n">
        <f aca="false">IF(I23939=1,1,IF(AND(J23630=1,J23627=1),1,0))</f>
        <v>0</v>
      </c>
      <c r="K23939" s="21" t="n">
        <f aca="false">IF(J23939=1,1,IF(AND(K23630=1,K23627=1),1,0))</f>
        <v>1</v>
      </c>
    </row>
    <row r="23940" customFormat="false" ht="15" hidden="false" customHeight="false" outlineLevel="0" collapsed="false">
      <c r="A23940" s="3" t="s">
        <v>557</v>
      </c>
      <c r="C23940" s="16" t="n">
        <f aca="false">IF(C23918&gt;0,C23896-C23929,0)</f>
        <v>0</v>
      </c>
      <c r="G23940" s="21" t="n">
        <f aca="false">IF(AND(G23643=1,G23627=1),1,0)</f>
        <v>0</v>
      </c>
      <c r="H23940" s="21" t="n">
        <f aca="false">IF(G23940=1,1,IF(AND(H23643=1,H23627=1),1,0))</f>
        <v>0</v>
      </c>
      <c r="I23940" s="21" t="n">
        <f aca="false">IF(H23940=1,1,IF(AND(I23643=1,I23627=1),1,0))</f>
        <v>0</v>
      </c>
      <c r="J23940" s="21" t="n">
        <f aca="false">IF(I23940=1,1,IF(AND(J23643=1,J23627=1),1,0))</f>
        <v>0</v>
      </c>
      <c r="K23940" s="21" t="n">
        <f aca="false">IF(J23940=1,1,IF(AND(K23643=1,K23627=1),1,0))</f>
        <v>0</v>
      </c>
    </row>
    <row r="23941" customFormat="false" ht="15" hidden="false" customHeight="false" outlineLevel="0" collapsed="false">
      <c r="A23941" s="3" t="s">
        <v>558</v>
      </c>
      <c r="C23941" s="16" t="n">
        <f aca="false">IF(C23919&gt;0,C23897-C23930,0)</f>
        <v>0</v>
      </c>
      <c r="G23941" s="21" t="n">
        <f aca="false">IF(AND(G23656=1,G23627=1),1,0)</f>
        <v>0</v>
      </c>
      <c r="H23941" s="21" t="n">
        <f aca="false">IF(G23941=1,1,IF(AND(H23656=1,H23627=1),1,0))</f>
        <v>0</v>
      </c>
      <c r="I23941" s="21" t="n">
        <f aca="false">IF(H23941=1,1,IF(AND(I23656=1,I23627=1),1,0))</f>
        <v>0</v>
      </c>
      <c r="J23941" s="21" t="n">
        <f aca="false">IF(I23941=1,1,IF(AND(J23656=1,J23627=1),1,0))</f>
        <v>0</v>
      </c>
      <c r="K23941" s="21" t="n">
        <f aca="false">IF(J23941=1,1,IF(AND(K23656=1,K23627=1),1,0))</f>
        <v>0</v>
      </c>
    </row>
    <row r="23942" customFormat="false" ht="15" hidden="false" customHeight="false" outlineLevel="0" collapsed="false">
      <c r="A23942" s="3" t="s">
        <v>559</v>
      </c>
      <c r="C23942" s="16" t="n">
        <f aca="false">IF(C23920&gt;0,C23898-C23931,0)</f>
        <v>0</v>
      </c>
      <c r="G23942" s="21" t="n">
        <f aca="false">IF(AND(G23669=1,G23627=1),1,0)</f>
        <v>1</v>
      </c>
      <c r="H23942" s="21" t="n">
        <f aca="false">IF(G23942=1,1,IF(AND(H23669=1,H23627=1),1,0))</f>
        <v>1</v>
      </c>
      <c r="I23942" s="21" t="n">
        <f aca="false">IF(H23942=1,1,IF(AND(I23669=1,I23627=1),1,0))</f>
        <v>1</v>
      </c>
      <c r="J23942" s="21" t="n">
        <f aca="false">IF(I23942=1,1,IF(AND(J23669=1,J23627=1),1,0))</f>
        <v>1</v>
      </c>
      <c r="K23942" s="21" t="n">
        <f aca="false">IF(J23942=1,1,IF(AND(K23669=1,K23627=1),1,0))</f>
        <v>1</v>
      </c>
    </row>
    <row r="23943" customFormat="false" ht="15" hidden="false" customHeight="false" outlineLevel="0" collapsed="false">
      <c r="A23943" s="3" t="s">
        <v>560</v>
      </c>
      <c r="C23943" s="16" t="n">
        <f aca="false">IF(C23921&gt;0,C23899-C23932,0)</f>
        <v>0</v>
      </c>
      <c r="G23943" s="21" t="n">
        <f aca="false">IF(AND(G23682=1,G23627=1),1,0)</f>
        <v>0</v>
      </c>
      <c r="H23943" s="21" t="n">
        <f aca="false">IF(G23943=1,1,IF(AND(H23682=1,H23627=1),1,0))</f>
        <v>1</v>
      </c>
      <c r="I23943" s="21" t="n">
        <f aca="false">IF(H23943=1,1,IF(AND(I23682=1,I23627=1),1,0))</f>
        <v>1</v>
      </c>
      <c r="J23943" s="21" t="n">
        <f aca="false">IF(I23943=1,1,IF(AND(J23682=1,J23627=1),1,0))</f>
        <v>1</v>
      </c>
      <c r="K23943" s="21" t="n">
        <f aca="false">IF(J23943=1,1,IF(AND(K23682=1,K23627=1),1,0))</f>
        <v>1</v>
      </c>
    </row>
    <row r="23944" customFormat="false" ht="15" hidden="false" customHeight="false" outlineLevel="0" collapsed="false">
      <c r="A23944" s="3" t="s">
        <v>561</v>
      </c>
      <c r="C23944" s="16" t="n">
        <f aca="false">IF(C23922&gt;0,C23900-C23933,0)</f>
        <v>0</v>
      </c>
      <c r="G23944" s="21" t="n">
        <f aca="false">IF(AND(G23695=1,G23627=1),1,0)</f>
        <v>0</v>
      </c>
      <c r="H23944" s="21" t="n">
        <f aca="false">IF(G23944=1,1,IF(AND(H23695=1,H23627=1),1,0))</f>
        <v>1</v>
      </c>
      <c r="I23944" s="21" t="n">
        <f aca="false">IF(H23944=1,1,IF(AND(I23695=1,I23627=1),1,0))</f>
        <v>1</v>
      </c>
      <c r="J23944" s="21" t="n">
        <f aca="false">IF(I23944=1,1,IF(AND(J23695=1,J23627=1),1,0))</f>
        <v>1</v>
      </c>
      <c r="K23944" s="21" t="n">
        <f aca="false">IF(J23944=1,1,IF(AND(K23695=1,K23627=1),1,0))</f>
        <v>1</v>
      </c>
    </row>
    <row r="23945" customFormat="false" ht="15" hidden="false" customHeight="false" outlineLevel="0" collapsed="false">
      <c r="A23945" s="3" t="s">
        <v>562</v>
      </c>
      <c r="C23945" s="16" t="n">
        <f aca="false">IF(C23923&gt;0,C23901-C23934,0)</f>
        <v>0</v>
      </c>
      <c r="G23945" s="21" t="n">
        <f aca="false">IF(AND(G23708=1,G23627=1),1,0)</f>
        <v>0</v>
      </c>
      <c r="H23945" s="21" t="n">
        <f aca="false">IF(G23945=1,1,IF(AND(H23708=1,H23627=1),1,0))</f>
        <v>0</v>
      </c>
      <c r="I23945" s="21" t="n">
        <f aca="false">IF(H23945=1,1,IF(AND(I23708=1,I23627=1),1,0))</f>
        <v>1</v>
      </c>
      <c r="J23945" s="21" t="n">
        <f aca="false">IF(I23945=1,1,IF(AND(J23708=1,J23627=1),1,0))</f>
        <v>1</v>
      </c>
      <c r="K23945" s="21" t="n">
        <f aca="false">IF(J23945=1,1,IF(AND(K23708=1,K23627=1),1,0))</f>
        <v>1</v>
      </c>
    </row>
    <row r="23946" customFormat="false" ht="15" hidden="false" customHeight="false" outlineLevel="0" collapsed="false">
      <c r="A23946" s="3" t="s">
        <v>563</v>
      </c>
      <c r="C23946" s="16" t="n">
        <f aca="false">IF(C23924&gt;0,C23902-C23935,0)</f>
        <v>0</v>
      </c>
      <c r="G23946" s="21" t="n">
        <f aca="false">IF(AND(G23721=1,G23627=1),1,0)</f>
        <v>0</v>
      </c>
      <c r="H23946" s="21" t="n">
        <f aca="false">IF(G23946=1,1,IF(AND(H23721=1,H23627=1),1,0))</f>
        <v>0</v>
      </c>
      <c r="I23946" s="21" t="n">
        <f aca="false">IF(H23946=1,1,IF(AND(I23721=1,I23627=1),1,0))</f>
        <v>0</v>
      </c>
      <c r="J23946" s="21" t="n">
        <f aca="false">IF(I23946=1,1,IF(AND(J23721=1,J23627=1),1,0))</f>
        <v>1</v>
      </c>
      <c r="K23946" s="21" t="n">
        <f aca="false">IF(J23946=1,1,IF(AND(K23721=1,K23627=1),1,0))</f>
        <v>1</v>
      </c>
    </row>
    <row r="23947" customFormat="false" ht="15" hidden="false" customHeight="false" outlineLevel="0" collapsed="false">
      <c r="A23947" s="3" t="s">
        <v>564</v>
      </c>
      <c r="C23947" s="16" t="n">
        <f aca="false">IF(C23925&gt;0,C23903-C23936,0)</f>
        <v>0</v>
      </c>
      <c r="G23947" s="21" t="n">
        <f aca="false">IF(AND(G23734=1,G23627=1),1,0)</f>
        <v>0</v>
      </c>
      <c r="H23947" s="21" t="n">
        <f aca="false">IF(G23947=1,1,IF(AND(H23734=1,H23627=1),1,0))</f>
        <v>0</v>
      </c>
      <c r="I23947" s="21" t="n">
        <f aca="false">IF(H23947=1,1,IF(AND(I23734=1,I23627=1),1,0))</f>
        <v>0</v>
      </c>
      <c r="J23947" s="21" t="n">
        <f aca="false">IF(I23947=1,1,IF(AND(J23734=1,J23627=1),1,0))</f>
        <v>0</v>
      </c>
      <c r="K23947" s="21" t="n">
        <f aca="false">IF(J23947=1,1,IF(AND(K23734=1,K23627=1),1,0))</f>
        <v>1</v>
      </c>
    </row>
    <row r="23948" customFormat="false" ht="15" hidden="false" customHeight="false" outlineLevel="0" collapsed="false">
      <c r="A23948" s="3" t="s">
        <v>565</v>
      </c>
      <c r="C23948" s="16" t="n">
        <f aca="false">IF(C23926&gt;0,C23904-C23937,0)</f>
        <v>0</v>
      </c>
      <c r="G23948" s="21" t="n">
        <f aca="false">IF(AND(G23747=1,G23627=1),1,0)</f>
        <v>0</v>
      </c>
      <c r="H23948" s="21" t="n">
        <f aca="false">IF(G23948=1,1,IF(AND(H23747=1,H23627=1),1,0))</f>
        <v>0</v>
      </c>
      <c r="I23948" s="21" t="n">
        <f aca="false">IF(H23948=1,1,IF(AND(I23747=1,I23627=1),1,0))</f>
        <v>0</v>
      </c>
      <c r="J23948" s="21" t="n">
        <f aca="false">IF(I23948=1,1,IF(AND(J23747=1,J23627=1),1,0))</f>
        <v>0</v>
      </c>
      <c r="K23948" s="21" t="n">
        <f aca="false">IF(J23948=1,1,IF(AND(K23747=1,K23627=1),1,0))</f>
        <v>0</v>
      </c>
    </row>
    <row r="23949" customFormat="false" ht="15" hidden="false" customHeight="false" outlineLevel="0" collapsed="false">
      <c r="A23949" s="24" t="s">
        <v>570</v>
      </c>
      <c r="B23949" s="25"/>
      <c r="C23949" s="25"/>
      <c r="D23949" s="25"/>
      <c r="E23949" s="25"/>
      <c r="F23949" s="25"/>
      <c r="G23949" s="25"/>
      <c r="H23949" s="25"/>
      <c r="I23949" s="25"/>
      <c r="J23949" s="25"/>
      <c r="K23949" s="25"/>
    </row>
    <row r="23950" customFormat="false" ht="15" hidden="false" customHeight="false" outlineLevel="0" collapsed="false">
      <c r="A23950" s="3" t="s">
        <v>556</v>
      </c>
      <c r="C23950" s="16" t="n">
        <f aca="false">IF(C23917&gt;0,C23939,C23895)</f>
        <v>0</v>
      </c>
    </row>
    <row r="23951" customFormat="false" ht="15" hidden="false" customHeight="false" outlineLevel="0" collapsed="false">
      <c r="A23951" s="3" t="s">
        <v>557</v>
      </c>
      <c r="C23951" s="16" t="n">
        <f aca="false">IF(C23918&gt;0,C23940,C23896)</f>
        <v>0</v>
      </c>
    </row>
    <row r="23952" customFormat="false" ht="15" hidden="false" customHeight="false" outlineLevel="0" collapsed="false">
      <c r="A23952" s="3" t="s">
        <v>558</v>
      </c>
      <c r="C23952" s="16" t="n">
        <f aca="false">IF(C23919&gt;0,C23941,C23897)</f>
        <v>0</v>
      </c>
    </row>
    <row r="23953" customFormat="false" ht="15" hidden="false" customHeight="false" outlineLevel="0" collapsed="false">
      <c r="A23953" s="3" t="s">
        <v>559</v>
      </c>
      <c r="C23953" s="16" t="n">
        <f aca="false">IF(C23920&gt;0,C23942,C23898)</f>
        <v>0</v>
      </c>
    </row>
    <row r="23954" customFormat="false" ht="15" hidden="false" customHeight="false" outlineLevel="0" collapsed="false">
      <c r="A23954" s="3" t="s">
        <v>560</v>
      </c>
      <c r="C23954" s="16" t="n">
        <f aca="false">IF(C23921&gt;0,C23943,C23899)</f>
        <v>454.44375</v>
      </c>
    </row>
    <row r="23955" customFormat="false" ht="15" hidden="false" customHeight="false" outlineLevel="0" collapsed="false">
      <c r="A23955" s="3" t="s">
        <v>561</v>
      </c>
      <c r="C23955" s="16" t="n">
        <f aca="false">IF(C23922&gt;0,C23944,C23900)</f>
        <v>357.2625</v>
      </c>
    </row>
    <row r="23956" customFormat="false" ht="15" hidden="false" customHeight="false" outlineLevel="0" collapsed="false">
      <c r="A23956" s="3" t="s">
        <v>562</v>
      </c>
      <c r="C23956" s="16" t="n">
        <f aca="false">IF(C23923&gt;0,C23945,C23901)</f>
        <v>562.203125</v>
      </c>
    </row>
    <row r="23957" customFormat="false" ht="15" hidden="false" customHeight="false" outlineLevel="0" collapsed="false">
      <c r="A23957" s="3" t="s">
        <v>563</v>
      </c>
      <c r="C23957" s="16" t="n">
        <f aca="false">IF(C23924&gt;0,C23946,C23902)</f>
        <v>353.98125</v>
      </c>
    </row>
    <row r="23958" customFormat="false" ht="15" hidden="false" customHeight="false" outlineLevel="0" collapsed="false">
      <c r="A23958" s="3" t="s">
        <v>564</v>
      </c>
      <c r="C23958" s="16" t="n">
        <f aca="false">IF(C23925&gt;0,C23947,C23903)</f>
        <v>304.59375</v>
      </c>
    </row>
    <row r="23959" customFormat="false" ht="15" hidden="false" customHeight="false" outlineLevel="0" collapsed="false">
      <c r="A23959" s="3" t="s">
        <v>565</v>
      </c>
      <c r="C23959" s="16" t="n">
        <f aca="false">IF(C23926&gt;0,C23948,C23904)</f>
        <v>79.86972525</v>
      </c>
    </row>
    <row r="23960" customFormat="false" ht="15" hidden="false" customHeight="false" outlineLevel="0" collapsed="false">
      <c r="A23960" s="24" t="s">
        <v>571</v>
      </c>
      <c r="B23960" s="25"/>
      <c r="C23960" s="25"/>
      <c r="D23960" s="25"/>
      <c r="E23960" s="25"/>
      <c r="F23960" s="25"/>
      <c r="G23960" s="25"/>
      <c r="H23960" s="25"/>
      <c r="I23960" s="25"/>
      <c r="J23960" s="25"/>
      <c r="K23960" s="25"/>
    </row>
    <row r="23961" customFormat="false" ht="15" hidden="false" customHeight="false" outlineLevel="0" collapsed="false">
      <c r="A23961" s="3" t="s">
        <v>556</v>
      </c>
      <c r="C23961" s="21" t="n">
        <f aca="false">IF(C23917&gt;0,Assumptions!$C$17,C23906)</f>
        <v>99</v>
      </c>
    </row>
    <row r="23962" customFormat="false" ht="15" hidden="false" customHeight="false" outlineLevel="0" collapsed="false">
      <c r="A23962" s="3" t="s">
        <v>557</v>
      </c>
      <c r="C23962" s="21" t="n">
        <f aca="false">IF(C23918&gt;0,Assumptions!$C$17,C23907)</f>
        <v>99</v>
      </c>
    </row>
    <row r="23963" customFormat="false" ht="15" hidden="false" customHeight="false" outlineLevel="0" collapsed="false">
      <c r="A23963" s="3" t="s">
        <v>558</v>
      </c>
      <c r="C23963" s="21" t="n">
        <f aca="false">IF(C23919&gt;0,Assumptions!$C$17,C23908)</f>
        <v>99</v>
      </c>
    </row>
    <row r="23964" customFormat="false" ht="15" hidden="false" customHeight="false" outlineLevel="0" collapsed="false">
      <c r="A23964" s="3" t="s">
        <v>559</v>
      </c>
      <c r="C23964" s="21" t="n">
        <f aca="false">IF(C23920&gt;0,Assumptions!$C$17,C23909)</f>
        <v>2</v>
      </c>
    </row>
    <row r="23965" customFormat="false" ht="15" hidden="false" customHeight="false" outlineLevel="0" collapsed="false">
      <c r="A23965" s="3" t="s">
        <v>560</v>
      </c>
      <c r="C23965" s="21" t="n">
        <f aca="false">IF(C23921&gt;0,Assumptions!$C$17,C23910)</f>
        <v>2</v>
      </c>
    </row>
    <row r="23966" customFormat="false" ht="15" hidden="false" customHeight="false" outlineLevel="0" collapsed="false">
      <c r="A23966" s="3" t="s">
        <v>561</v>
      </c>
      <c r="C23966" s="21" t="n">
        <f aca="false">IF(C23922&gt;0,Assumptions!$C$17,C23911)</f>
        <v>2</v>
      </c>
    </row>
    <row r="23967" customFormat="false" ht="15" hidden="false" customHeight="false" outlineLevel="0" collapsed="false">
      <c r="A23967" s="3" t="s">
        <v>562</v>
      </c>
      <c r="C23967" s="21" t="n">
        <f aca="false">IF(C23923&gt;0,Assumptions!$C$17,C23912)</f>
        <v>2</v>
      </c>
    </row>
    <row r="23968" customFormat="false" ht="15" hidden="false" customHeight="false" outlineLevel="0" collapsed="false">
      <c r="A23968" s="3" t="s">
        <v>563</v>
      </c>
      <c r="C23968" s="21" t="n">
        <f aca="false">IF(C23924&gt;0,Assumptions!$C$17,C23913)</f>
        <v>2</v>
      </c>
    </row>
    <row r="23969" customFormat="false" ht="15" hidden="false" customHeight="false" outlineLevel="0" collapsed="false">
      <c r="A23969" s="3" t="s">
        <v>564</v>
      </c>
      <c r="C23969" s="21" t="n">
        <f aca="false">IF(C23925&gt;0,Assumptions!$C$17,C23914)</f>
        <v>2</v>
      </c>
    </row>
    <row r="23970" customFormat="false" ht="15" hidden="false" customHeight="false" outlineLevel="0" collapsed="false">
      <c r="A23970" s="3" t="s">
        <v>565</v>
      </c>
      <c r="C23970" s="21" t="n">
        <f aca="false">IF(C23926&gt;0,Assumptions!$C$17,C23915)</f>
        <v>3</v>
      </c>
    </row>
    <row r="23971" customFormat="false" ht="15" hidden="false" customHeight="false" outlineLevel="0" collapsed="false">
      <c r="A23971" s="24" t="s">
        <v>572</v>
      </c>
      <c r="B23971" s="25"/>
      <c r="C23971" s="25"/>
      <c r="D23971" s="25"/>
      <c r="E23971" s="25"/>
      <c r="F23971" s="25"/>
      <c r="G23971" s="25"/>
      <c r="H23971" s="25"/>
      <c r="I23971" s="25"/>
      <c r="J23971" s="25"/>
      <c r="K23971" s="25"/>
    </row>
    <row r="23972" customFormat="false" ht="15" hidden="false" customHeight="false" outlineLevel="0" collapsed="false">
      <c r="A23972" s="3" t="s">
        <v>556</v>
      </c>
      <c r="C23972" s="16" t="n">
        <f aca="false">SUMPRODUCT(($C$23961:$C$23970&lt;C23961)*$C$23950:$C$23959)</f>
        <v>2112.35410025</v>
      </c>
    </row>
    <row r="23973" customFormat="false" ht="15" hidden="false" customHeight="false" outlineLevel="0" collapsed="false">
      <c r="A23973" s="3" t="s">
        <v>557</v>
      </c>
      <c r="C23973" s="16" t="n">
        <f aca="false">SUMPRODUCT(($C$23961:$C$23970&lt;C23962)*$C$23950:$C$23959)</f>
        <v>2112.35410025</v>
      </c>
    </row>
    <row r="23974" customFormat="false" ht="15" hidden="false" customHeight="false" outlineLevel="0" collapsed="false">
      <c r="A23974" s="3" t="s">
        <v>558</v>
      </c>
      <c r="C23974" s="16" t="n">
        <f aca="false">SUMPRODUCT(($C$23961:$C$23970&lt;C23963)*$C$23950:$C$23959)</f>
        <v>2112.35410025</v>
      </c>
    </row>
    <row r="23975" customFormat="false" ht="15" hidden="false" customHeight="false" outlineLevel="0" collapsed="false">
      <c r="A23975" s="3" t="s">
        <v>559</v>
      </c>
      <c r="C23975" s="16" t="n">
        <f aca="false">SUMPRODUCT(($C$23961:$C$23970&lt;C23964)*$C$23950:$C$23959)</f>
        <v>0</v>
      </c>
    </row>
    <row r="23976" customFormat="false" ht="15" hidden="false" customHeight="false" outlineLevel="0" collapsed="false">
      <c r="A23976" s="3" t="s">
        <v>560</v>
      </c>
      <c r="C23976" s="16" t="n">
        <f aca="false">SUMPRODUCT(($C$23961:$C$23970&lt;C23965)*$C$23950:$C$23959)</f>
        <v>0</v>
      </c>
    </row>
    <row r="23977" customFormat="false" ht="15" hidden="false" customHeight="false" outlineLevel="0" collapsed="false">
      <c r="A23977" s="3" t="s">
        <v>561</v>
      </c>
      <c r="C23977" s="16" t="n">
        <f aca="false">SUMPRODUCT(($C$23961:$C$23970&lt;C23966)*$C$23950:$C$23959)</f>
        <v>0</v>
      </c>
    </row>
    <row r="23978" customFormat="false" ht="15" hidden="false" customHeight="false" outlineLevel="0" collapsed="false">
      <c r="A23978" s="3" t="s">
        <v>562</v>
      </c>
      <c r="C23978" s="16" t="n">
        <f aca="false">SUMPRODUCT(($C$23961:$C$23970&lt;C23967)*$C$23950:$C$23959)</f>
        <v>0</v>
      </c>
    </row>
    <row r="23979" customFormat="false" ht="15" hidden="false" customHeight="false" outlineLevel="0" collapsed="false">
      <c r="A23979" s="3" t="s">
        <v>563</v>
      </c>
      <c r="C23979" s="16" t="n">
        <f aca="false">SUMPRODUCT(($C$23961:$C$23970&lt;C23968)*$C$23950:$C$23959)</f>
        <v>0</v>
      </c>
    </row>
    <row r="23980" customFormat="false" ht="15" hidden="false" customHeight="false" outlineLevel="0" collapsed="false">
      <c r="A23980" s="3" t="s">
        <v>564</v>
      </c>
      <c r="C23980" s="16" t="n">
        <f aca="false">SUMPRODUCT(($C$23961:$C$23970&lt;C23969)*$C$23950:$C$23959)</f>
        <v>0</v>
      </c>
    </row>
    <row r="23981" customFormat="false" ht="15" hidden="false" customHeight="false" outlineLevel="0" collapsed="false">
      <c r="A23981" s="3" t="s">
        <v>565</v>
      </c>
      <c r="C23981" s="16" t="n">
        <f aca="false">SUMPRODUCT(($C$23961:$C$23970&lt;C23970)*$C$23950:$C$23959)</f>
        <v>2032.484375</v>
      </c>
    </row>
    <row r="23982" customFormat="false" ht="15" hidden="false" customHeight="false" outlineLevel="0" collapsed="false">
      <c r="A23982" s="24" t="s">
        <v>573</v>
      </c>
      <c r="B23982" s="25"/>
      <c r="C23982" s="25"/>
      <c r="D23982" s="25"/>
      <c r="E23982" s="25"/>
      <c r="F23982" s="25"/>
      <c r="G23982" s="25"/>
      <c r="H23982" s="25"/>
      <c r="I23982" s="25"/>
      <c r="J23982" s="25"/>
      <c r="K23982" s="25"/>
    </row>
    <row r="23983" customFormat="false" ht="15" hidden="false" customHeight="false" outlineLevel="0" collapsed="false">
      <c r="A23983" s="3" t="s">
        <v>556</v>
      </c>
      <c r="C23983" s="16" t="n">
        <f aca="false">SUMPRODUCT(($C$23961:$C$23970=C23961)*$C$23950:$C$23959)</f>
        <v>0</v>
      </c>
    </row>
    <row r="23984" customFormat="false" ht="15" hidden="false" customHeight="false" outlineLevel="0" collapsed="false">
      <c r="A23984" s="3" t="s">
        <v>557</v>
      </c>
      <c r="C23984" s="16" t="n">
        <f aca="false">SUMPRODUCT(($C$23961:$C$23970=C23962)*$C$23950:$C$23959)</f>
        <v>0</v>
      </c>
    </row>
    <row r="23985" customFormat="false" ht="15" hidden="false" customHeight="false" outlineLevel="0" collapsed="false">
      <c r="A23985" s="3" t="s">
        <v>558</v>
      </c>
      <c r="C23985" s="16" t="n">
        <f aca="false">SUMPRODUCT(($C$23961:$C$23970=C23963)*$C$23950:$C$23959)</f>
        <v>0</v>
      </c>
    </row>
    <row r="23986" customFormat="false" ht="15" hidden="false" customHeight="false" outlineLevel="0" collapsed="false">
      <c r="A23986" s="3" t="s">
        <v>559</v>
      </c>
      <c r="C23986" s="16" t="n">
        <f aca="false">SUMPRODUCT(($C$23961:$C$23970=C23964)*$C$23950:$C$23959)</f>
        <v>2032.484375</v>
      </c>
    </row>
    <row r="23987" customFormat="false" ht="15" hidden="false" customHeight="false" outlineLevel="0" collapsed="false">
      <c r="A23987" s="3" t="s">
        <v>560</v>
      </c>
      <c r="C23987" s="16" t="n">
        <f aca="false">SUMPRODUCT(($C$23961:$C$23970=C23965)*$C$23950:$C$23959)</f>
        <v>2032.484375</v>
      </c>
    </row>
    <row r="23988" customFormat="false" ht="15" hidden="false" customHeight="false" outlineLevel="0" collapsed="false">
      <c r="A23988" s="3" t="s">
        <v>561</v>
      </c>
      <c r="C23988" s="16" t="n">
        <f aca="false">SUMPRODUCT(($C$23961:$C$23970=C23966)*$C$23950:$C$23959)</f>
        <v>2032.484375</v>
      </c>
    </row>
    <row r="23989" customFormat="false" ht="15" hidden="false" customHeight="false" outlineLevel="0" collapsed="false">
      <c r="A23989" s="3" t="s">
        <v>562</v>
      </c>
      <c r="C23989" s="16" t="n">
        <f aca="false">SUMPRODUCT(($C$23961:$C$23970=C23967)*$C$23950:$C$23959)</f>
        <v>2032.484375</v>
      </c>
    </row>
    <row r="23990" customFormat="false" ht="15" hidden="false" customHeight="false" outlineLevel="0" collapsed="false">
      <c r="A23990" s="3" t="s">
        <v>563</v>
      </c>
      <c r="C23990" s="16" t="n">
        <f aca="false">SUMPRODUCT(($C$23961:$C$23970=C23968)*$C$23950:$C$23959)</f>
        <v>2032.484375</v>
      </c>
    </row>
    <row r="23991" customFormat="false" ht="15" hidden="false" customHeight="false" outlineLevel="0" collapsed="false">
      <c r="A23991" s="3" t="s">
        <v>564</v>
      </c>
      <c r="C23991" s="16" t="n">
        <f aca="false">SUMPRODUCT(($C$23961:$C$23970=C23969)*$C$23950:$C$23959)</f>
        <v>2032.484375</v>
      </c>
    </row>
    <row r="23992" customFormat="false" ht="15" hidden="false" customHeight="false" outlineLevel="0" collapsed="false">
      <c r="A23992" s="3" t="s">
        <v>565</v>
      </c>
      <c r="C23992" s="16" t="n">
        <f aca="false">SUMPRODUCT(($C$23961:$C$23970=C23970)*$C$23950:$C$23959)</f>
        <v>79.86972525</v>
      </c>
    </row>
    <row r="23993" customFormat="false" ht="15" hidden="false" customHeight="false" outlineLevel="0" collapsed="false">
      <c r="A23993" s="24" t="s">
        <v>574</v>
      </c>
      <c r="B23993" s="25"/>
      <c r="C23993" s="25"/>
      <c r="D23993" s="25"/>
      <c r="E23993" s="25"/>
      <c r="F23993" s="25"/>
      <c r="G23993" s="25"/>
      <c r="H23993" s="25"/>
      <c r="I23993" s="25"/>
      <c r="J23993" s="25"/>
      <c r="K23993" s="25"/>
    </row>
    <row r="23994" customFormat="false" ht="15" hidden="false" customHeight="false" outlineLevel="0" collapsed="false">
      <c r="A23994" s="3" t="s">
        <v>556</v>
      </c>
      <c r="C23994" s="16" t="n">
        <f aca="false">IF(C23983=0,0,C23950/C23983*MAX(0,MIN(C23983,$C$23893-SUM($C$23928:$C$23937)-C23972)))</f>
        <v>0</v>
      </c>
    </row>
    <row r="23995" customFormat="false" ht="15" hidden="false" customHeight="false" outlineLevel="0" collapsed="false">
      <c r="A23995" s="3" t="s">
        <v>557</v>
      </c>
      <c r="C23995" s="16" t="n">
        <f aca="false">IF(C23984=0,0,C23951/C23984*MAX(0,MIN(C23984,$C$23893-SUM($C$23928:$C$23937)-C23973)))</f>
        <v>0</v>
      </c>
    </row>
    <row r="23996" customFormat="false" ht="15" hidden="false" customHeight="false" outlineLevel="0" collapsed="false">
      <c r="A23996" s="3" t="s">
        <v>558</v>
      </c>
      <c r="C23996" s="16" t="n">
        <f aca="false">IF(C23985=0,0,C23952/C23985*MAX(0,MIN(C23985,$C$23893-SUM($C$23928:$C$23937)-C23974)))</f>
        <v>0</v>
      </c>
    </row>
    <row r="23997" customFormat="false" ht="15" hidden="false" customHeight="false" outlineLevel="0" collapsed="false">
      <c r="A23997" s="3" t="s">
        <v>559</v>
      </c>
      <c r="C23997" s="16" t="n">
        <f aca="false">IF(C23986=0,0,C23953/C23986*MAX(0,MIN(C23986,$C$23893-SUM($C$23928:$C$23937)-C23975)))</f>
        <v>0</v>
      </c>
    </row>
    <row r="23998" customFormat="false" ht="15" hidden="false" customHeight="false" outlineLevel="0" collapsed="false">
      <c r="A23998" s="3" t="s">
        <v>560</v>
      </c>
      <c r="C23998" s="16" t="n">
        <f aca="false">IF(C23987=0,0,C23954/C23987*MAX(0,MIN(C23987,$C$23893-SUM($C$23928:$C$23937)-C23976)))</f>
        <v>454.44375</v>
      </c>
    </row>
    <row r="23999" customFormat="false" ht="15" hidden="false" customHeight="false" outlineLevel="0" collapsed="false">
      <c r="A23999" s="3" t="s">
        <v>561</v>
      </c>
      <c r="C23999" s="16" t="n">
        <f aca="false">IF(C23988=0,0,C23955/C23988*MAX(0,MIN(C23988,$C$23893-SUM($C$23928:$C$23937)-C23977)))</f>
        <v>357.2625</v>
      </c>
    </row>
    <row r="24000" customFormat="false" ht="15" hidden="false" customHeight="false" outlineLevel="0" collapsed="false">
      <c r="A24000" s="3" t="s">
        <v>562</v>
      </c>
      <c r="C24000" s="16" t="n">
        <f aca="false">IF(C23989=0,0,C23956/C23989*MAX(0,MIN(C23989,$C$23893-SUM($C$23928:$C$23937)-C23978)))</f>
        <v>562.203125</v>
      </c>
    </row>
    <row r="24001" customFormat="false" ht="15" hidden="false" customHeight="false" outlineLevel="0" collapsed="false">
      <c r="A24001" s="3" t="s">
        <v>563</v>
      </c>
      <c r="C24001" s="16" t="n">
        <f aca="false">IF(C23990=0,0,C23957/C23990*MAX(0,MIN(C23990,$C$23893-SUM($C$23928:$C$23937)-C23979)))</f>
        <v>353.98125</v>
      </c>
    </row>
    <row r="24002" customFormat="false" ht="15" hidden="false" customHeight="false" outlineLevel="0" collapsed="false">
      <c r="A24002" s="3" t="s">
        <v>564</v>
      </c>
      <c r="C24002" s="16" t="n">
        <f aca="false">IF(C23991=0,0,C23958/C23991*MAX(0,MIN(C23991,$C$23893-SUM($C$23928:$C$23937)-C23980)))</f>
        <v>304.59375</v>
      </c>
    </row>
    <row r="24003" customFormat="false" ht="15" hidden="false" customHeight="false" outlineLevel="0" collapsed="false">
      <c r="A24003" s="3" t="s">
        <v>565</v>
      </c>
      <c r="C24003" s="16" t="n">
        <f aca="false">IF(C23992=0,0,C23959/C23992*MAX(0,MIN(C23992,$C$23893-SUM($C$23928:$C$23937)-C23981)))</f>
        <v>79.86972525</v>
      </c>
    </row>
    <row r="24004" customFormat="false" ht="15" hidden="false" customHeight="false" outlineLevel="0" collapsed="false">
      <c r="A24004" s="24" t="s">
        <v>575</v>
      </c>
      <c r="B24004" s="25"/>
      <c r="C24004" s="25"/>
      <c r="D24004" s="25"/>
      <c r="E24004" s="25"/>
      <c r="F24004" s="25"/>
      <c r="G24004" s="25"/>
      <c r="H24004" s="25"/>
      <c r="I24004" s="25"/>
      <c r="J24004" s="25"/>
      <c r="K24004" s="25"/>
    </row>
    <row r="24005" customFormat="false" ht="15" hidden="false" customHeight="false" outlineLevel="0" collapsed="false">
      <c r="A24005" s="2" t="s">
        <v>556</v>
      </c>
      <c r="C24005" s="17" t="n">
        <f aca="false">C23928+C23994</f>
        <v>406.0485</v>
      </c>
    </row>
    <row r="24006" customFormat="false" ht="15" hidden="false" customHeight="false" outlineLevel="0" collapsed="false">
      <c r="A24006" s="2" t="s">
        <v>557</v>
      </c>
      <c r="C24006" s="17" t="n">
        <f aca="false">C23929+C23995</f>
        <v>91.30725</v>
      </c>
    </row>
    <row r="24007" customFormat="false" ht="15" hidden="false" customHeight="false" outlineLevel="0" collapsed="false">
      <c r="A24007" s="2" t="s">
        <v>558</v>
      </c>
      <c r="C24007" s="17" t="n">
        <f aca="false">C23930+C23996</f>
        <v>58.3715961</v>
      </c>
    </row>
    <row r="24008" customFormat="false" ht="15" hidden="false" customHeight="false" outlineLevel="0" collapsed="false">
      <c r="A24008" s="2" t="s">
        <v>559</v>
      </c>
      <c r="C24008" s="17" t="n">
        <f aca="false">C23931+C23997</f>
        <v>0</v>
      </c>
    </row>
    <row r="24009" customFormat="false" ht="15" hidden="false" customHeight="false" outlineLevel="0" collapsed="false">
      <c r="A24009" s="2" t="s">
        <v>560</v>
      </c>
      <c r="C24009" s="17" t="n">
        <f aca="false">C23932+C23998</f>
        <v>454.44375</v>
      </c>
    </row>
    <row r="24010" customFormat="false" ht="15" hidden="false" customHeight="false" outlineLevel="0" collapsed="false">
      <c r="A24010" s="2" t="s">
        <v>561</v>
      </c>
      <c r="C24010" s="17" t="n">
        <f aca="false">C23933+C23999</f>
        <v>357.2625</v>
      </c>
    </row>
    <row r="24011" customFormat="false" ht="15" hidden="false" customHeight="false" outlineLevel="0" collapsed="false">
      <c r="A24011" s="2" t="s">
        <v>562</v>
      </c>
      <c r="C24011" s="17" t="n">
        <f aca="false">C23934+C24000</f>
        <v>562.203125</v>
      </c>
    </row>
    <row r="24012" customFormat="false" ht="15" hidden="false" customHeight="false" outlineLevel="0" collapsed="false">
      <c r="A24012" s="2" t="s">
        <v>563</v>
      </c>
      <c r="C24012" s="17" t="n">
        <f aca="false">C23935+C24001</f>
        <v>353.98125</v>
      </c>
    </row>
    <row r="24013" customFormat="false" ht="15" hidden="false" customHeight="false" outlineLevel="0" collapsed="false">
      <c r="A24013" s="2" t="s">
        <v>564</v>
      </c>
      <c r="C24013" s="17" t="n">
        <f aca="false">C23936+C24002</f>
        <v>304.59375</v>
      </c>
    </row>
    <row r="24014" customFormat="false" ht="15" hidden="false" customHeight="false" outlineLevel="0" collapsed="false">
      <c r="A24014" s="2" t="s">
        <v>565</v>
      </c>
      <c r="C24014" s="17" t="n">
        <f aca="false">C23937+C24003</f>
        <v>79.86972525</v>
      </c>
    </row>
    <row r="24015" customFormat="false" ht="15" hidden="false" customHeight="false" outlineLevel="0" collapsed="false">
      <c r="A24015" s="24" t="s">
        <v>576</v>
      </c>
      <c r="B24015" s="25"/>
      <c r="C24015" s="25"/>
      <c r="D24015" s="25"/>
      <c r="E24015" s="25"/>
      <c r="F24015" s="25"/>
      <c r="G24015" s="25"/>
      <c r="H24015" s="25"/>
      <c r="I24015" s="25"/>
      <c r="J24015" s="25"/>
      <c r="K24015" s="25"/>
    </row>
    <row r="24016" customFormat="false" ht="15" hidden="false" customHeight="false" outlineLevel="0" collapsed="false">
      <c r="A24016" s="3" t="s">
        <v>556</v>
      </c>
      <c r="C24016" s="22" t="n">
        <f aca="false">IF(C23895=0,1,C24005/C23895)</f>
        <v>1</v>
      </c>
    </row>
    <row r="24017" customFormat="false" ht="15" hidden="false" customHeight="false" outlineLevel="0" collapsed="false">
      <c r="A24017" s="3" t="s">
        <v>557</v>
      </c>
      <c r="C24017" s="22" t="n">
        <f aca="false">IF(C23896=0,1,C24006/C23896)</f>
        <v>1</v>
      </c>
    </row>
    <row r="24018" customFormat="false" ht="15" hidden="false" customHeight="false" outlineLevel="0" collapsed="false">
      <c r="A24018" s="3" t="s">
        <v>558</v>
      </c>
      <c r="C24018" s="22" t="n">
        <f aca="false">IF(C23897=0,1,C24007/C23897)</f>
        <v>1</v>
      </c>
    </row>
    <row r="24019" customFormat="false" ht="15" hidden="false" customHeight="false" outlineLevel="0" collapsed="false">
      <c r="A24019" s="3" t="s">
        <v>559</v>
      </c>
      <c r="C24019" s="22" t="n">
        <f aca="false">IF(C23898=0,1,C24008/C23898)</f>
        <v>1</v>
      </c>
    </row>
    <row r="24020" customFormat="false" ht="15" hidden="false" customHeight="false" outlineLevel="0" collapsed="false">
      <c r="A24020" s="3" t="s">
        <v>560</v>
      </c>
      <c r="C24020" s="22" t="n">
        <f aca="false">IF(C23899=0,1,C24009/C23899)</f>
        <v>1</v>
      </c>
    </row>
    <row r="24021" customFormat="false" ht="15" hidden="false" customHeight="false" outlineLevel="0" collapsed="false">
      <c r="A24021" s="3" t="s">
        <v>561</v>
      </c>
      <c r="C24021" s="22" t="n">
        <f aca="false">IF(C23900=0,1,C24010/C23900)</f>
        <v>1</v>
      </c>
    </row>
    <row r="24022" customFormat="false" ht="15" hidden="false" customHeight="false" outlineLevel="0" collapsed="false">
      <c r="A24022" s="3" t="s">
        <v>562</v>
      </c>
      <c r="C24022" s="22" t="n">
        <f aca="false">IF(C23901=0,1,C24011/C23901)</f>
        <v>1</v>
      </c>
    </row>
    <row r="24023" customFormat="false" ht="15" hidden="false" customHeight="false" outlineLevel="0" collapsed="false">
      <c r="A24023" s="3" t="s">
        <v>563</v>
      </c>
      <c r="C24023" s="22" t="n">
        <f aca="false">IF(C23902=0,1,C24012/C23902)</f>
        <v>1</v>
      </c>
    </row>
    <row r="24024" customFormat="false" ht="15" hidden="false" customHeight="false" outlineLevel="0" collapsed="false">
      <c r="A24024" s="3" t="s">
        <v>564</v>
      </c>
      <c r="C24024" s="22" t="n">
        <f aca="false">IF(C23903=0,1,C24013/C23903)</f>
        <v>1</v>
      </c>
    </row>
    <row r="24025" customFormat="false" ht="15" hidden="false" customHeight="false" outlineLevel="0" collapsed="false">
      <c r="A24025" s="3" t="s">
        <v>565</v>
      </c>
      <c r="C24025" s="22" t="n">
        <f aca="false">IF(C23904=0,1,C24014/C23904)</f>
        <v>1</v>
      </c>
    </row>
    <row r="24026" customFormat="false" ht="15" hidden="false" customHeight="false" outlineLevel="0" collapsed="false">
      <c r="A24026" s="24" t="s">
        <v>577</v>
      </c>
      <c r="B24026" s="25"/>
      <c r="C24026" s="25"/>
      <c r="D24026" s="25"/>
      <c r="E24026" s="25"/>
      <c r="F24026" s="25"/>
      <c r="G24026" s="25"/>
      <c r="H24026" s="25"/>
      <c r="I24026" s="25"/>
      <c r="J24026" s="25"/>
      <c r="K24026" s="25"/>
    </row>
    <row r="24027" customFormat="false" ht="15" hidden="false" customHeight="false" outlineLevel="0" collapsed="false">
      <c r="A24027" s="3" t="s">
        <v>556</v>
      </c>
      <c r="C24027" s="16" t="n">
        <f aca="false">C23895-C24005</f>
        <v>0</v>
      </c>
    </row>
    <row r="24028" customFormat="false" ht="15" hidden="false" customHeight="false" outlineLevel="0" collapsed="false">
      <c r="A24028" s="3" t="s">
        <v>557</v>
      </c>
      <c r="C24028" s="16" t="n">
        <f aca="false">C23896-C24006</f>
        <v>0</v>
      </c>
    </row>
    <row r="24029" customFormat="false" ht="15" hidden="false" customHeight="false" outlineLevel="0" collapsed="false">
      <c r="A24029" s="3" t="s">
        <v>558</v>
      </c>
      <c r="C24029" s="16" t="n">
        <f aca="false">C23897-C24007</f>
        <v>0</v>
      </c>
    </row>
    <row r="24030" customFormat="false" ht="15" hidden="false" customHeight="false" outlineLevel="0" collapsed="false">
      <c r="A24030" s="3" t="s">
        <v>559</v>
      </c>
      <c r="C24030" s="16" t="n">
        <f aca="false">C23898-C24008</f>
        <v>0</v>
      </c>
    </row>
    <row r="24031" customFormat="false" ht="15" hidden="false" customHeight="false" outlineLevel="0" collapsed="false">
      <c r="A24031" s="3" t="s">
        <v>560</v>
      </c>
      <c r="C24031" s="16" t="n">
        <f aca="false">C23899-C24009</f>
        <v>0</v>
      </c>
    </row>
    <row r="24032" customFormat="false" ht="15" hidden="false" customHeight="false" outlineLevel="0" collapsed="false">
      <c r="A24032" s="3" t="s">
        <v>561</v>
      </c>
      <c r="C24032" s="16" t="n">
        <f aca="false">C23900-C24010</f>
        <v>0</v>
      </c>
    </row>
    <row r="24033" customFormat="false" ht="15" hidden="false" customHeight="false" outlineLevel="0" collapsed="false">
      <c r="A24033" s="3" t="s">
        <v>562</v>
      </c>
      <c r="C24033" s="16" t="n">
        <f aca="false">C23901-C24011</f>
        <v>0</v>
      </c>
    </row>
    <row r="24034" customFormat="false" ht="15" hidden="false" customHeight="false" outlineLevel="0" collapsed="false">
      <c r="A24034" s="3" t="s">
        <v>563</v>
      </c>
      <c r="C24034" s="16" t="n">
        <f aca="false">C23902-C24012</f>
        <v>0</v>
      </c>
    </row>
    <row r="24035" customFormat="false" ht="15" hidden="false" customHeight="false" outlineLevel="0" collapsed="false">
      <c r="A24035" s="3" t="s">
        <v>564</v>
      </c>
      <c r="C24035" s="16" t="n">
        <f aca="false">C23903-C24013</f>
        <v>0</v>
      </c>
    </row>
    <row r="24036" customFormat="false" ht="15" hidden="false" customHeight="false" outlineLevel="0" collapsed="false">
      <c r="A24036" s="3" t="s">
        <v>565</v>
      </c>
      <c r="C24036" s="16" t="n">
        <f aca="false">C23904-C24014</f>
        <v>0</v>
      </c>
    </row>
    <row r="24037" customFormat="false" ht="15" hidden="false" customHeight="false" outlineLevel="0" collapsed="false">
      <c r="A24037" s="24" t="s">
        <v>578</v>
      </c>
      <c r="B24037" s="25"/>
      <c r="C24037" s="25"/>
      <c r="D24037" s="25"/>
      <c r="E24037" s="25"/>
      <c r="F24037" s="25"/>
      <c r="G24037" s="25"/>
      <c r="H24037" s="25"/>
      <c r="I24037" s="25"/>
      <c r="J24037" s="25"/>
      <c r="K24037" s="25"/>
    </row>
    <row r="24038" customFormat="false" ht="15" hidden="false" customHeight="false" outlineLevel="0" collapsed="false">
      <c r="A24038" s="3" t="s">
        <v>556</v>
      </c>
      <c r="C24038" s="22" t="n">
        <f aca="false">IF(C23895=0,0,C24027/C23895)</f>
        <v>0</v>
      </c>
    </row>
    <row r="24039" customFormat="false" ht="15" hidden="false" customHeight="false" outlineLevel="0" collapsed="false">
      <c r="A24039" s="3" t="s">
        <v>557</v>
      </c>
      <c r="C24039" s="22" t="n">
        <f aca="false">IF(C23896=0,0,C24028/C23896)</f>
        <v>0</v>
      </c>
    </row>
    <row r="24040" customFormat="false" ht="15" hidden="false" customHeight="false" outlineLevel="0" collapsed="false">
      <c r="A24040" s="3" t="s">
        <v>558</v>
      </c>
      <c r="C24040" s="22" t="n">
        <f aca="false">IF(C23897=0,0,C24029/C23897)</f>
        <v>0</v>
      </c>
    </row>
    <row r="24041" customFormat="false" ht="15" hidden="false" customHeight="false" outlineLevel="0" collapsed="false">
      <c r="A24041" s="3" t="s">
        <v>559</v>
      </c>
      <c r="C24041" s="22" t="n">
        <f aca="false">IF(C23898=0,0,C24030/C23898)</f>
        <v>0</v>
      </c>
    </row>
    <row r="24042" customFormat="false" ht="15" hidden="false" customHeight="false" outlineLevel="0" collapsed="false">
      <c r="A24042" s="3" t="s">
        <v>560</v>
      </c>
      <c r="C24042" s="22" t="n">
        <f aca="false">IF(C23899=0,0,C24031/C23899)</f>
        <v>0</v>
      </c>
    </row>
    <row r="24043" customFormat="false" ht="15" hidden="false" customHeight="false" outlineLevel="0" collapsed="false">
      <c r="A24043" s="3" t="s">
        <v>561</v>
      </c>
      <c r="C24043" s="22" t="n">
        <f aca="false">IF(C23900=0,0,C24032/C23900)</f>
        <v>0</v>
      </c>
    </row>
    <row r="24044" customFormat="false" ht="15" hidden="false" customHeight="false" outlineLevel="0" collapsed="false">
      <c r="A24044" s="3" t="s">
        <v>562</v>
      </c>
      <c r="C24044" s="22" t="n">
        <f aca="false">IF(C23901=0,0,C24033/C23901)</f>
        <v>0</v>
      </c>
    </row>
    <row r="24045" customFormat="false" ht="15" hidden="false" customHeight="false" outlineLevel="0" collapsed="false">
      <c r="A24045" s="3" t="s">
        <v>563</v>
      </c>
      <c r="C24045" s="22" t="n">
        <f aca="false">IF(C23902=0,0,C24034/C23902)</f>
        <v>0</v>
      </c>
    </row>
    <row r="24046" customFormat="false" ht="15" hidden="false" customHeight="false" outlineLevel="0" collapsed="false">
      <c r="A24046" s="3" t="s">
        <v>564</v>
      </c>
      <c r="C24046" s="22" t="n">
        <f aca="false">IF(C23903=0,0,C24035/C23903)</f>
        <v>0</v>
      </c>
    </row>
    <row r="24047" customFormat="false" ht="15" hidden="false" customHeight="false" outlineLevel="0" collapsed="false">
      <c r="A24047" s="3" t="s">
        <v>565</v>
      </c>
      <c r="C24047" s="22" t="n">
        <f aca="false">IF(C23904=0,0,C24036/C23904)</f>
        <v>0</v>
      </c>
    </row>
    <row r="24048" customFormat="false" ht="15" hidden="false" customHeight="false" outlineLevel="0" collapsed="false">
      <c r="A24048" s="2" t="s">
        <v>579</v>
      </c>
      <c r="C24048" s="17" t="n">
        <f aca="false">MAX(0,$C$23893-SUM($C$23928:$C$23937)-SUM($C$23950:$C$23959))</f>
        <v>1158.083259506</v>
      </c>
    </row>
    <row r="24049" customFormat="false" ht="15" hidden="false" customHeight="false" outlineLevel="0" collapsed="false">
      <c r="A24049" s="3" t="s">
        <v>580</v>
      </c>
      <c r="C24049" s="16" t="n">
        <f aca="false">SUM($C$24005:$C$24014)+C24048+C23892-C23891</f>
        <v>0</v>
      </c>
    </row>
    <row r="24051" customFormat="false" ht="15" hidden="false" customHeight="false" outlineLevel="0" collapsed="false">
      <c r="A24051" s="24" t="s">
        <v>583</v>
      </c>
      <c r="B24051" s="25"/>
      <c r="C24051" s="25"/>
      <c r="D24051" s="25"/>
      <c r="E24051" s="25"/>
      <c r="F24051" s="25"/>
      <c r="G24051" s="25"/>
      <c r="H24051" s="25"/>
      <c r="I24051" s="25"/>
      <c r="J24051" s="25"/>
      <c r="K24051" s="25"/>
    </row>
    <row r="24052" customFormat="false" ht="15" hidden="false" customHeight="false" outlineLevel="0" collapsed="false">
      <c r="A24052" s="3" t="s">
        <v>584</v>
      </c>
      <c r="C24052" s="27" t="n">
        <f aca="false">Assumptions!$C$34</f>
        <v>1</v>
      </c>
    </row>
    <row r="24053" customFormat="false" ht="15" hidden="false" customHeight="false" outlineLevel="0" collapsed="false">
      <c r="A24053" s="3" t="s">
        <v>585</v>
      </c>
      <c r="C24053" s="29" t="n">
        <f aca="false">Assumptions!$C$35</f>
        <v>100</v>
      </c>
    </row>
    <row r="24054" customFormat="false" ht="15" hidden="false" customHeight="false" outlineLevel="0" collapsed="false">
      <c r="A24054" s="3" t="s">
        <v>586</v>
      </c>
      <c r="C24054" s="40" t="n">
        <f aca="false">Assumptions!$C$36</f>
        <v>98</v>
      </c>
    </row>
    <row r="24055" customFormat="false" ht="15" hidden="false" customHeight="false" outlineLevel="0" collapsed="false">
      <c r="A24055" s="3" t="s">
        <v>587</v>
      </c>
      <c r="C24055" s="16" t="n">
        <f aca="false">C24053*C24054/100*(1+Assumptions!$C$37)</f>
        <v>98.49</v>
      </c>
    </row>
    <row r="24056" customFormat="false" ht="15" hidden="false" customHeight="false" outlineLevel="0" collapsed="false">
      <c r="A24056" s="3" t="s">
        <v>588</v>
      </c>
      <c r="C24056" s="27" t="n">
        <f aca="false">Assumptions!$C$38</f>
        <v>3</v>
      </c>
    </row>
    <row r="24057" customFormat="false" ht="15" hidden="false" customHeight="false" outlineLevel="0" collapsed="false">
      <c r="A24057" s="3" t="s">
        <v>589</v>
      </c>
      <c r="C24057" s="21" t="n">
        <f aca="false">IF(C23884=1,SUMPRODUCT($G$23820:$K$23820,$G$23594:$K$23594),0)</f>
        <v>0</v>
      </c>
    </row>
    <row r="24058" customFormat="false" ht="15" hidden="false" customHeight="false" outlineLevel="0" collapsed="false">
      <c r="A24058" s="3" t="s">
        <v>590</v>
      </c>
      <c r="C24058" s="22" t="n">
        <f aca="false">IFERROR(C24053/CHOOSE(C24052,SUMPRODUCT($G$23883:$K$23883,$G$23640:$K$23640),SUMPRODUCT($G$23883:$K$23883,$G$23653:$K$23653),SUMPRODUCT($G$23883:$K$23883,$G$23666:$K$23666),SUMPRODUCT($G$23883:$K$23883,$G$23679:$K$23679),SUMPRODUCT($G$23883:$K$23883,$G$23692:$K$23692),SUMPRODUCT($G$23883:$K$23883,$G$23705:$K$23705),SUMPRODUCT($G$23883:$K$23883,$G$23718:$K$23718),SUMPRODUCT($G$23883:$K$23883,$G$23731:$K$23731),SUMPRODUCT($G$23883:$K$23883,$G$23744:$K$23744),SUMPRODUCT($G$23883:$K$23883,$G$23757:$K$23757)),0)</f>
        <v>0.252525252525253</v>
      </c>
    </row>
    <row r="24059" customFormat="false" ht="15" hidden="false" customHeight="false" outlineLevel="0" collapsed="false">
      <c r="A24059" s="3" t="s">
        <v>591</v>
      </c>
      <c r="C24059" s="16" t="n">
        <f aca="false">CHOOSE(C24052,C24005,C24006,C24007,C24008,C24009,C24010,C24011,C24012,C24013,C24014)*C24058</f>
        <v>102.5375</v>
      </c>
    </row>
    <row r="24060" customFormat="false" ht="15" hidden="false" customHeight="false" outlineLevel="0" collapsed="false">
      <c r="A24060" s="3" t="s">
        <v>592</v>
      </c>
      <c r="C24060" s="22" t="n">
        <f aca="false">CHOOSE(C24052,C24016,C24017,C24018,C24019,C24020,C24021,C24022,C24023,C24024,C24025)</f>
        <v>1</v>
      </c>
    </row>
    <row r="24061" customFormat="false" ht="15" hidden="false" customHeight="false" outlineLevel="0" collapsed="false">
      <c r="A24061" s="3" t="s">
        <v>593</v>
      </c>
      <c r="C24061" s="21" t="n">
        <f aca="false">IF(C23884=1,C24057,C24056)</f>
        <v>3</v>
      </c>
    </row>
    <row r="24062" customFormat="false" ht="15" hidden="false" customHeight="false" outlineLevel="0" collapsed="false">
      <c r="A24062" s="3" t="s">
        <v>594</v>
      </c>
      <c r="C24062" s="35" t="n">
        <f aca="false">CHOOSE($C$23586,Assumptions!$C$91,Assumptions!$C$110,Assumptions!$C$129)</f>
        <v>100</v>
      </c>
    </row>
    <row r="24063" customFormat="false" ht="15" hidden="false" customHeight="false" outlineLevel="0" collapsed="false">
      <c r="A24063" s="3" t="s">
        <v>595</v>
      </c>
      <c r="C24063" s="16" t="n">
        <f aca="false">INDEX($G$23603:$K$23603,C24056)*CHOOSE($C$23586,Assumptions!$C$90,Assumptions!$C$109,Assumptions!$C$128)+MAX(0,INDEX($G$23817:$K$23817,C24056))</f>
        <v>3369.2242946436</v>
      </c>
    </row>
    <row r="24064" customFormat="false" ht="15" hidden="false" customHeight="false" outlineLevel="0" collapsed="false">
      <c r="A24064" s="24" t="s">
        <v>596</v>
      </c>
      <c r="B24064" s="25"/>
      <c r="C24064" s="25"/>
      <c r="D24064" s="25"/>
      <c r="E24064" s="25"/>
      <c r="F24064" s="25"/>
      <c r="G24064" s="25"/>
      <c r="H24064" s="25"/>
      <c r="I24064" s="25"/>
      <c r="J24064" s="25"/>
      <c r="K24064" s="25"/>
    </row>
    <row r="24065" customFormat="false" ht="15" hidden="false" customHeight="false" outlineLevel="0" collapsed="false">
      <c r="A24065" s="3" t="s">
        <v>556</v>
      </c>
      <c r="C24065" s="16" t="n">
        <f aca="false">INDEX($G$23640:$K$23640,C24056)</f>
        <v>388</v>
      </c>
    </row>
    <row r="24066" customFormat="false" ht="15" hidden="false" customHeight="false" outlineLevel="0" collapsed="false">
      <c r="A24066" s="3" t="s">
        <v>557</v>
      </c>
      <c r="C24066" s="16" t="n">
        <f aca="false">INDEX($G$23653:$K$23653,C24056)</f>
        <v>90</v>
      </c>
    </row>
    <row r="24067" customFormat="false" ht="15" hidden="false" customHeight="false" outlineLevel="0" collapsed="false">
      <c r="A24067" s="3" t="s">
        <v>558</v>
      </c>
      <c r="C24067" s="16" t="n">
        <f aca="false">INDEX($G$23666:$K$23666,C24056)</f>
        <v>57.324</v>
      </c>
    </row>
    <row r="24068" customFormat="false" ht="15" hidden="false" customHeight="false" outlineLevel="0" collapsed="false">
      <c r="A24068" s="3" t="s">
        <v>559</v>
      </c>
      <c r="C24068" s="16" t="n">
        <f aca="false">INDEX($G$23679:$K$23679,C24056)</f>
        <v>72.265618182056</v>
      </c>
    </row>
    <row r="24069" customFormat="false" ht="15" hidden="false" customHeight="false" outlineLevel="0" collapsed="false">
      <c r="A24069" s="3" t="s">
        <v>560</v>
      </c>
      <c r="C24069" s="16" t="n">
        <f aca="false">INDEX($G$23692:$K$23692,C24056)</f>
        <v>417.2543513738</v>
      </c>
    </row>
    <row r="24070" customFormat="false" ht="15" hidden="false" customHeight="false" outlineLevel="0" collapsed="false">
      <c r="A24070" s="3" t="s">
        <v>561</v>
      </c>
      <c r="C24070" s="16" t="n">
        <f aca="false">INDEX($G$23705:$K$23705,C24056)</f>
        <v>350</v>
      </c>
    </row>
    <row r="24071" customFormat="false" ht="15" hidden="false" customHeight="false" outlineLevel="0" collapsed="false">
      <c r="A24071" s="3" t="s">
        <v>562</v>
      </c>
      <c r="C24071" s="16" t="n">
        <f aca="false">INDEX($G$23718:$K$23718,C24056)</f>
        <v>550</v>
      </c>
    </row>
    <row r="24072" customFormat="false" ht="15" hidden="false" customHeight="false" outlineLevel="0" collapsed="false">
      <c r="A24072" s="3" t="s">
        <v>563</v>
      </c>
      <c r="C24072" s="16" t="n">
        <f aca="false">INDEX($G$23731:$K$23731,C24056)</f>
        <v>350</v>
      </c>
    </row>
    <row r="24073" customFormat="false" ht="15" hidden="false" customHeight="false" outlineLevel="0" collapsed="false">
      <c r="A24073" s="3" t="s">
        <v>564</v>
      </c>
      <c r="C24073" s="16" t="n">
        <f aca="false">INDEX($G$23744:$K$23744,C24056)</f>
        <v>300</v>
      </c>
    </row>
    <row r="24074" customFormat="false" ht="15" hidden="false" customHeight="false" outlineLevel="0" collapsed="false">
      <c r="A24074" s="3" t="s">
        <v>565</v>
      </c>
      <c r="C24074" s="16" t="n">
        <f aca="false">INDEX($G$23757:$K$23757,C24056)</f>
        <v>78.61</v>
      </c>
    </row>
    <row r="24075" customFormat="false" ht="15" hidden="false" customHeight="false" outlineLevel="0" collapsed="false">
      <c r="A24075" s="24" t="s">
        <v>566</v>
      </c>
      <c r="B24075" s="25"/>
      <c r="C24075" s="25"/>
      <c r="D24075" s="25"/>
      <c r="E24075" s="25"/>
      <c r="F24075" s="25"/>
      <c r="G24075" s="25"/>
      <c r="H24075" s="25"/>
      <c r="I24075" s="25"/>
      <c r="J24075" s="25"/>
      <c r="K24075" s="25"/>
    </row>
    <row r="24076" customFormat="false" ht="15" hidden="false" customHeight="false" outlineLevel="0" collapsed="false">
      <c r="A24076" s="3" t="s">
        <v>556</v>
      </c>
      <c r="C24076" s="27" t="n">
        <f aca="false">Assumptions!$M$57</f>
        <v>1</v>
      </c>
    </row>
    <row r="24077" customFormat="false" ht="15" hidden="false" customHeight="false" outlineLevel="0" collapsed="false">
      <c r="A24077" s="3" t="s">
        <v>557</v>
      </c>
      <c r="C24077" s="27" t="n">
        <f aca="false">Assumptions!$M$58</f>
        <v>1</v>
      </c>
    </row>
    <row r="24078" customFormat="false" ht="15" hidden="false" customHeight="false" outlineLevel="0" collapsed="false">
      <c r="A24078" s="3" t="s">
        <v>558</v>
      </c>
      <c r="C24078" s="27" t="n">
        <f aca="false">Assumptions!$M$59</f>
        <v>1</v>
      </c>
    </row>
    <row r="24079" customFormat="false" ht="15" hidden="false" customHeight="false" outlineLevel="0" collapsed="false">
      <c r="A24079" s="3" t="s">
        <v>559</v>
      </c>
      <c r="C24079" s="27" t="n">
        <f aca="false">Assumptions!$M$60</f>
        <v>2</v>
      </c>
    </row>
    <row r="24080" customFormat="false" ht="15" hidden="false" customHeight="false" outlineLevel="0" collapsed="false">
      <c r="A24080" s="3" t="s">
        <v>560</v>
      </c>
      <c r="C24080" s="27" t="n">
        <f aca="false">Assumptions!$M$61</f>
        <v>2</v>
      </c>
    </row>
    <row r="24081" customFormat="false" ht="15" hidden="false" customHeight="false" outlineLevel="0" collapsed="false">
      <c r="A24081" s="3" t="s">
        <v>561</v>
      </c>
      <c r="C24081" s="27" t="n">
        <f aca="false">Assumptions!$M$62</f>
        <v>2</v>
      </c>
    </row>
    <row r="24082" customFormat="false" ht="15" hidden="false" customHeight="false" outlineLevel="0" collapsed="false">
      <c r="A24082" s="3" t="s">
        <v>562</v>
      </c>
      <c r="C24082" s="27" t="n">
        <f aca="false">Assumptions!$M$63</f>
        <v>2</v>
      </c>
    </row>
    <row r="24083" customFormat="false" ht="15" hidden="false" customHeight="false" outlineLevel="0" collapsed="false">
      <c r="A24083" s="3" t="s">
        <v>563</v>
      </c>
      <c r="C24083" s="27" t="n">
        <f aca="false">Assumptions!$M$64</f>
        <v>2</v>
      </c>
    </row>
    <row r="24084" customFormat="false" ht="15" hidden="false" customHeight="false" outlineLevel="0" collapsed="false">
      <c r="A24084" s="3" t="s">
        <v>564</v>
      </c>
      <c r="C24084" s="27" t="n">
        <f aca="false">Assumptions!$M$65</f>
        <v>2</v>
      </c>
    </row>
    <row r="24085" customFormat="false" ht="15" hidden="false" customHeight="false" outlineLevel="0" collapsed="false">
      <c r="A24085" s="3" t="s">
        <v>565</v>
      </c>
      <c r="C24085" s="27" t="n">
        <f aca="false">Assumptions!$M$66</f>
        <v>3</v>
      </c>
    </row>
    <row r="24086" customFormat="false" ht="15" hidden="false" customHeight="false" outlineLevel="0" collapsed="false">
      <c r="A24086" s="24" t="s">
        <v>567</v>
      </c>
      <c r="B24086" s="25"/>
      <c r="C24086" s="25"/>
      <c r="D24086" s="25"/>
      <c r="E24086" s="25"/>
      <c r="F24086" s="25"/>
      <c r="G24086" s="25"/>
      <c r="H24086" s="25"/>
      <c r="I24086" s="25"/>
      <c r="J24086" s="25"/>
      <c r="K24086" s="25"/>
    </row>
    <row r="24087" customFormat="false" ht="15" hidden="false" customHeight="false" outlineLevel="0" collapsed="false">
      <c r="A24087" s="3" t="s">
        <v>556</v>
      </c>
      <c r="C24087" s="33" t="n">
        <f aca="false">Assumptions!$Q$57</f>
        <v>0.3</v>
      </c>
    </row>
    <row r="24088" customFormat="false" ht="15" hidden="false" customHeight="false" outlineLevel="0" collapsed="false">
      <c r="A24088" s="3" t="s">
        <v>557</v>
      </c>
      <c r="C24088" s="33" t="n">
        <f aca="false">Assumptions!$Q$58</f>
        <v>0.033</v>
      </c>
    </row>
    <row r="24089" customFormat="false" ht="15" hidden="false" customHeight="false" outlineLevel="0" collapsed="false">
      <c r="A24089" s="3" t="s">
        <v>558</v>
      </c>
      <c r="C24089" s="33" t="n">
        <f aca="false">Assumptions!$Q$59</f>
        <v>0.021</v>
      </c>
    </row>
    <row r="24090" customFormat="false" ht="15" hidden="false" customHeight="false" outlineLevel="0" collapsed="false">
      <c r="A24090" s="3" t="s">
        <v>559</v>
      </c>
      <c r="C24090" s="33" t="n">
        <f aca="false">Assumptions!$Q$60</f>
        <v>0</v>
      </c>
    </row>
    <row r="24091" customFormat="false" ht="15" hidden="false" customHeight="false" outlineLevel="0" collapsed="false">
      <c r="A24091" s="3" t="s">
        <v>560</v>
      </c>
      <c r="C24091" s="33" t="n">
        <f aca="false">Assumptions!$Q$61</f>
        <v>0</v>
      </c>
    </row>
    <row r="24092" customFormat="false" ht="15" hidden="false" customHeight="false" outlineLevel="0" collapsed="false">
      <c r="A24092" s="3" t="s">
        <v>561</v>
      </c>
      <c r="C24092" s="33" t="n">
        <f aca="false">Assumptions!$Q$62</f>
        <v>0</v>
      </c>
    </row>
    <row r="24093" customFormat="false" ht="15" hidden="false" customHeight="false" outlineLevel="0" collapsed="false">
      <c r="A24093" s="3" t="s">
        <v>562</v>
      </c>
      <c r="C24093" s="33" t="n">
        <f aca="false">Assumptions!$Q$63</f>
        <v>0</v>
      </c>
    </row>
    <row r="24094" customFormat="false" ht="15" hidden="false" customHeight="false" outlineLevel="0" collapsed="false">
      <c r="A24094" s="3" t="s">
        <v>563</v>
      </c>
      <c r="C24094" s="33" t="n">
        <f aca="false">Assumptions!$Q$64</f>
        <v>0</v>
      </c>
    </row>
    <row r="24095" customFormat="false" ht="15" hidden="false" customHeight="false" outlineLevel="0" collapsed="false">
      <c r="A24095" s="3" t="s">
        <v>564</v>
      </c>
      <c r="C24095" s="33" t="n">
        <f aca="false">Assumptions!$Q$65</f>
        <v>0</v>
      </c>
    </row>
    <row r="24096" customFormat="false" ht="15" hidden="false" customHeight="false" outlineLevel="0" collapsed="false">
      <c r="A24096" s="3" t="s">
        <v>565</v>
      </c>
      <c r="C24096" s="33" t="n">
        <f aca="false">Assumptions!$Q$66</f>
        <v>0</v>
      </c>
    </row>
    <row r="24097" customFormat="false" ht="15" hidden="false" customHeight="false" outlineLevel="0" collapsed="false">
      <c r="A24097" s="24" t="s">
        <v>568</v>
      </c>
      <c r="B24097" s="25"/>
      <c r="C24097" s="25"/>
      <c r="D24097" s="25"/>
      <c r="E24097" s="25"/>
      <c r="F24097" s="25"/>
      <c r="G24097" s="25"/>
      <c r="H24097" s="25"/>
      <c r="I24097" s="25"/>
      <c r="J24097" s="25"/>
      <c r="K24097" s="25"/>
    </row>
    <row r="24098" customFormat="false" ht="15" hidden="false" customHeight="false" outlineLevel="0" collapsed="false">
      <c r="A24098" s="3" t="s">
        <v>556</v>
      </c>
      <c r="C24098" s="16" t="n">
        <f aca="false">IF(C24087&gt;0,MIN(C24065,C24087*$C$24063),0)</f>
        <v>388</v>
      </c>
    </row>
    <row r="24099" customFormat="false" ht="15" hidden="false" customHeight="false" outlineLevel="0" collapsed="false">
      <c r="A24099" s="3" t="s">
        <v>557</v>
      </c>
      <c r="C24099" s="16" t="n">
        <f aca="false">IF(C24088&gt;0,MIN(C24066,C24088*$C$24063),0)</f>
        <v>90</v>
      </c>
    </row>
    <row r="24100" customFormat="false" ht="15" hidden="false" customHeight="false" outlineLevel="0" collapsed="false">
      <c r="A24100" s="3" t="s">
        <v>558</v>
      </c>
      <c r="C24100" s="16" t="n">
        <f aca="false">IF(C24089&gt;0,MIN(C24067,C24089*$C$24063),0)</f>
        <v>57.324</v>
      </c>
    </row>
    <row r="24101" customFormat="false" ht="15" hidden="false" customHeight="false" outlineLevel="0" collapsed="false">
      <c r="A24101" s="3" t="s">
        <v>559</v>
      </c>
      <c r="C24101" s="16" t="n">
        <f aca="false">IF(C24090&gt;0,MIN(C24068,C24090*$C$24063),0)</f>
        <v>0</v>
      </c>
    </row>
    <row r="24102" customFormat="false" ht="15" hidden="false" customHeight="false" outlineLevel="0" collapsed="false">
      <c r="A24102" s="3" t="s">
        <v>560</v>
      </c>
      <c r="C24102" s="16" t="n">
        <f aca="false">IF(C24091&gt;0,MIN(C24069,C24091*$C$24063),0)</f>
        <v>0</v>
      </c>
    </row>
    <row r="24103" customFormat="false" ht="15" hidden="false" customHeight="false" outlineLevel="0" collapsed="false">
      <c r="A24103" s="3" t="s">
        <v>561</v>
      </c>
      <c r="C24103" s="16" t="n">
        <f aca="false">IF(C24092&gt;0,MIN(C24070,C24092*$C$24063),0)</f>
        <v>0</v>
      </c>
    </row>
    <row r="24104" customFormat="false" ht="15" hidden="false" customHeight="false" outlineLevel="0" collapsed="false">
      <c r="A24104" s="3" t="s">
        <v>562</v>
      </c>
      <c r="C24104" s="16" t="n">
        <f aca="false">IF(C24093&gt;0,MIN(C24071,C24093*$C$24063),0)</f>
        <v>0</v>
      </c>
    </row>
    <row r="24105" customFormat="false" ht="15" hidden="false" customHeight="false" outlineLevel="0" collapsed="false">
      <c r="A24105" s="3" t="s">
        <v>563</v>
      </c>
      <c r="C24105" s="16" t="n">
        <f aca="false">IF(C24094&gt;0,MIN(C24072,C24094*$C$24063),0)</f>
        <v>0</v>
      </c>
    </row>
    <row r="24106" customFormat="false" ht="15" hidden="false" customHeight="false" outlineLevel="0" collapsed="false">
      <c r="A24106" s="3" t="s">
        <v>564</v>
      </c>
      <c r="C24106" s="16" t="n">
        <f aca="false">IF(C24095&gt;0,MIN(C24073,C24095*$C$24063),0)</f>
        <v>0</v>
      </c>
    </row>
    <row r="24107" customFormat="false" ht="15" hidden="false" customHeight="false" outlineLevel="0" collapsed="false">
      <c r="A24107" s="3" t="s">
        <v>565</v>
      </c>
      <c r="C24107" s="16" t="n">
        <f aca="false">IF(C24096&gt;0,MIN(C24074,C24096*$C$24063),0)</f>
        <v>0</v>
      </c>
    </row>
    <row r="24108" customFormat="false" ht="15" hidden="false" customHeight="false" outlineLevel="0" collapsed="false">
      <c r="A24108" s="24" t="s">
        <v>569</v>
      </c>
      <c r="B24108" s="25"/>
      <c r="C24108" s="25"/>
      <c r="D24108" s="25"/>
      <c r="E24108" s="25"/>
      <c r="F24108" s="25"/>
      <c r="G24108" s="25"/>
      <c r="H24108" s="25"/>
      <c r="I24108" s="25"/>
      <c r="J24108" s="25"/>
      <c r="K24108" s="25"/>
    </row>
    <row r="24109" customFormat="false" ht="15" hidden="false" customHeight="false" outlineLevel="0" collapsed="false">
      <c r="A24109" s="3" t="s">
        <v>556</v>
      </c>
      <c r="C24109" s="16" t="n">
        <f aca="false">IF(C24087&gt;0,C24065-C24098,0)</f>
        <v>0</v>
      </c>
    </row>
    <row r="24110" customFormat="false" ht="15" hidden="false" customHeight="false" outlineLevel="0" collapsed="false">
      <c r="A24110" s="3" t="s">
        <v>557</v>
      </c>
      <c r="C24110" s="16" t="n">
        <f aca="false">IF(C24088&gt;0,C24066-C24099,0)</f>
        <v>0</v>
      </c>
    </row>
    <row r="24111" customFormat="false" ht="15" hidden="false" customHeight="false" outlineLevel="0" collapsed="false">
      <c r="A24111" s="3" t="s">
        <v>558</v>
      </c>
      <c r="C24111" s="16" t="n">
        <f aca="false">IF(C24089&gt;0,C24067-C24100,0)</f>
        <v>0</v>
      </c>
    </row>
    <row r="24112" customFormat="false" ht="15" hidden="false" customHeight="false" outlineLevel="0" collapsed="false">
      <c r="A24112" s="3" t="s">
        <v>559</v>
      </c>
      <c r="C24112" s="16" t="n">
        <f aca="false">IF(C24090&gt;0,C24068-C24101,0)</f>
        <v>0</v>
      </c>
    </row>
    <row r="24113" customFormat="false" ht="15" hidden="false" customHeight="false" outlineLevel="0" collapsed="false">
      <c r="A24113" s="3" t="s">
        <v>560</v>
      </c>
      <c r="C24113" s="16" t="n">
        <f aca="false">IF(C24091&gt;0,C24069-C24102,0)</f>
        <v>0</v>
      </c>
    </row>
    <row r="24114" customFormat="false" ht="15" hidden="false" customHeight="false" outlineLevel="0" collapsed="false">
      <c r="A24114" s="3" t="s">
        <v>561</v>
      </c>
      <c r="C24114" s="16" t="n">
        <f aca="false">IF(C24092&gt;0,C24070-C24103,0)</f>
        <v>0</v>
      </c>
    </row>
    <row r="24115" customFormat="false" ht="15" hidden="false" customHeight="false" outlineLevel="0" collapsed="false">
      <c r="A24115" s="3" t="s">
        <v>562</v>
      </c>
      <c r="C24115" s="16" t="n">
        <f aca="false">IF(C24093&gt;0,C24071-C24104,0)</f>
        <v>0</v>
      </c>
    </row>
    <row r="24116" customFormat="false" ht="15" hidden="false" customHeight="false" outlineLevel="0" collapsed="false">
      <c r="A24116" s="3" t="s">
        <v>563</v>
      </c>
      <c r="C24116" s="16" t="n">
        <f aca="false">IF(C24094&gt;0,C24072-C24105,0)</f>
        <v>0</v>
      </c>
    </row>
    <row r="24117" customFormat="false" ht="15" hidden="false" customHeight="false" outlineLevel="0" collapsed="false">
      <c r="A24117" s="3" t="s">
        <v>564</v>
      </c>
      <c r="C24117" s="16" t="n">
        <f aca="false">IF(C24095&gt;0,C24073-C24106,0)</f>
        <v>0</v>
      </c>
    </row>
    <row r="24118" customFormat="false" ht="15" hidden="false" customHeight="false" outlineLevel="0" collapsed="false">
      <c r="A24118" s="3" t="s">
        <v>565</v>
      </c>
      <c r="C24118" s="16" t="n">
        <f aca="false">IF(C24096&gt;0,C24074-C24107,0)</f>
        <v>0</v>
      </c>
    </row>
    <row r="24119" customFormat="false" ht="15" hidden="false" customHeight="false" outlineLevel="0" collapsed="false">
      <c r="A24119" s="24" t="s">
        <v>570</v>
      </c>
      <c r="B24119" s="25"/>
      <c r="C24119" s="25"/>
      <c r="D24119" s="25"/>
      <c r="E24119" s="25"/>
      <c r="F24119" s="25"/>
      <c r="G24119" s="25"/>
      <c r="H24119" s="25"/>
      <c r="I24119" s="25"/>
      <c r="J24119" s="25"/>
      <c r="K24119" s="25"/>
    </row>
    <row r="24120" customFormat="false" ht="15" hidden="false" customHeight="false" outlineLevel="0" collapsed="false">
      <c r="A24120" s="3" t="s">
        <v>556</v>
      </c>
      <c r="C24120" s="16" t="n">
        <f aca="false">IF(C24087&gt;0,C24109,C24065)</f>
        <v>0</v>
      </c>
    </row>
    <row r="24121" customFormat="false" ht="15" hidden="false" customHeight="false" outlineLevel="0" collapsed="false">
      <c r="A24121" s="3" t="s">
        <v>557</v>
      </c>
      <c r="C24121" s="16" t="n">
        <f aca="false">IF(C24088&gt;0,C24110,C24066)</f>
        <v>0</v>
      </c>
    </row>
    <row r="24122" customFormat="false" ht="15" hidden="false" customHeight="false" outlineLevel="0" collapsed="false">
      <c r="A24122" s="3" t="s">
        <v>558</v>
      </c>
      <c r="C24122" s="16" t="n">
        <f aca="false">IF(C24089&gt;0,C24111,C24067)</f>
        <v>0</v>
      </c>
    </row>
    <row r="24123" customFormat="false" ht="15" hidden="false" customHeight="false" outlineLevel="0" collapsed="false">
      <c r="A24123" s="3" t="s">
        <v>559</v>
      </c>
      <c r="C24123" s="16" t="n">
        <f aca="false">IF(C24090&gt;0,C24112,C24068)</f>
        <v>72.265618182056</v>
      </c>
    </row>
    <row r="24124" customFormat="false" ht="15" hidden="false" customHeight="false" outlineLevel="0" collapsed="false">
      <c r="A24124" s="3" t="s">
        <v>560</v>
      </c>
      <c r="C24124" s="16" t="n">
        <f aca="false">IF(C24091&gt;0,C24113,C24069)</f>
        <v>417.2543513738</v>
      </c>
    </row>
    <row r="24125" customFormat="false" ht="15" hidden="false" customHeight="false" outlineLevel="0" collapsed="false">
      <c r="A24125" s="3" t="s">
        <v>561</v>
      </c>
      <c r="C24125" s="16" t="n">
        <f aca="false">IF(C24092&gt;0,C24114,C24070)</f>
        <v>350</v>
      </c>
    </row>
    <row r="24126" customFormat="false" ht="15" hidden="false" customHeight="false" outlineLevel="0" collapsed="false">
      <c r="A24126" s="3" t="s">
        <v>562</v>
      </c>
      <c r="C24126" s="16" t="n">
        <f aca="false">IF(C24093&gt;0,C24115,C24071)</f>
        <v>550</v>
      </c>
    </row>
    <row r="24127" customFormat="false" ht="15" hidden="false" customHeight="false" outlineLevel="0" collapsed="false">
      <c r="A24127" s="3" t="s">
        <v>563</v>
      </c>
      <c r="C24127" s="16" t="n">
        <f aca="false">IF(C24094&gt;0,C24116,C24072)</f>
        <v>350</v>
      </c>
    </row>
    <row r="24128" customFormat="false" ht="15" hidden="false" customHeight="false" outlineLevel="0" collapsed="false">
      <c r="A24128" s="3" t="s">
        <v>564</v>
      </c>
      <c r="C24128" s="16" t="n">
        <f aca="false">IF(C24095&gt;0,C24117,C24073)</f>
        <v>300</v>
      </c>
    </row>
    <row r="24129" customFormat="false" ht="15" hidden="false" customHeight="false" outlineLevel="0" collapsed="false">
      <c r="A24129" s="3" t="s">
        <v>565</v>
      </c>
      <c r="C24129" s="16" t="n">
        <f aca="false">IF(C24096&gt;0,C24118,C24074)</f>
        <v>78.61</v>
      </c>
    </row>
    <row r="24130" customFormat="false" ht="15" hidden="false" customHeight="false" outlineLevel="0" collapsed="false">
      <c r="A24130" s="24" t="s">
        <v>571</v>
      </c>
      <c r="B24130" s="25"/>
      <c r="C24130" s="25"/>
      <c r="D24130" s="25"/>
      <c r="E24130" s="25"/>
      <c r="F24130" s="25"/>
      <c r="G24130" s="25"/>
      <c r="H24130" s="25"/>
      <c r="I24130" s="25"/>
      <c r="J24130" s="25"/>
      <c r="K24130" s="25"/>
    </row>
    <row r="24131" customFormat="false" ht="15" hidden="false" customHeight="false" outlineLevel="0" collapsed="false">
      <c r="A24131" s="3" t="s">
        <v>556</v>
      </c>
      <c r="C24131" s="21" t="n">
        <f aca="false">IF(C24087&gt;0,Assumptions!$C$17,C24076)</f>
        <v>99</v>
      </c>
    </row>
    <row r="24132" customFormat="false" ht="15" hidden="false" customHeight="false" outlineLevel="0" collapsed="false">
      <c r="A24132" s="3" t="s">
        <v>557</v>
      </c>
      <c r="C24132" s="21" t="n">
        <f aca="false">IF(C24088&gt;0,Assumptions!$C$17,C24077)</f>
        <v>99</v>
      </c>
    </row>
    <row r="24133" customFormat="false" ht="15" hidden="false" customHeight="false" outlineLevel="0" collapsed="false">
      <c r="A24133" s="3" t="s">
        <v>558</v>
      </c>
      <c r="C24133" s="21" t="n">
        <f aca="false">IF(C24089&gt;0,Assumptions!$C$17,C24078)</f>
        <v>99</v>
      </c>
    </row>
    <row r="24134" customFormat="false" ht="15" hidden="false" customHeight="false" outlineLevel="0" collapsed="false">
      <c r="A24134" s="3" t="s">
        <v>559</v>
      </c>
      <c r="C24134" s="21" t="n">
        <f aca="false">IF(C24090&gt;0,Assumptions!$C$17,C24079)</f>
        <v>2</v>
      </c>
    </row>
    <row r="24135" customFormat="false" ht="15" hidden="false" customHeight="false" outlineLevel="0" collapsed="false">
      <c r="A24135" s="3" t="s">
        <v>560</v>
      </c>
      <c r="C24135" s="21" t="n">
        <f aca="false">IF(C24091&gt;0,Assumptions!$C$17,C24080)</f>
        <v>2</v>
      </c>
    </row>
    <row r="24136" customFormat="false" ht="15" hidden="false" customHeight="false" outlineLevel="0" collapsed="false">
      <c r="A24136" s="3" t="s">
        <v>561</v>
      </c>
      <c r="C24136" s="21" t="n">
        <f aca="false">IF(C24092&gt;0,Assumptions!$C$17,C24081)</f>
        <v>2</v>
      </c>
    </row>
    <row r="24137" customFormat="false" ht="15" hidden="false" customHeight="false" outlineLevel="0" collapsed="false">
      <c r="A24137" s="3" t="s">
        <v>562</v>
      </c>
      <c r="C24137" s="21" t="n">
        <f aca="false">IF(C24093&gt;0,Assumptions!$C$17,C24082)</f>
        <v>2</v>
      </c>
    </row>
    <row r="24138" customFormat="false" ht="15" hidden="false" customHeight="false" outlineLevel="0" collapsed="false">
      <c r="A24138" s="3" t="s">
        <v>563</v>
      </c>
      <c r="C24138" s="21" t="n">
        <f aca="false">IF(C24094&gt;0,Assumptions!$C$17,C24083)</f>
        <v>2</v>
      </c>
    </row>
    <row r="24139" customFormat="false" ht="15" hidden="false" customHeight="false" outlineLevel="0" collapsed="false">
      <c r="A24139" s="3" t="s">
        <v>564</v>
      </c>
      <c r="C24139" s="21" t="n">
        <f aca="false">IF(C24095&gt;0,Assumptions!$C$17,C24084)</f>
        <v>2</v>
      </c>
    </row>
    <row r="24140" customFormat="false" ht="15" hidden="false" customHeight="false" outlineLevel="0" collapsed="false">
      <c r="A24140" s="3" t="s">
        <v>565</v>
      </c>
      <c r="C24140" s="21" t="n">
        <f aca="false">IF(C24096&gt;0,Assumptions!$C$17,C24085)</f>
        <v>3</v>
      </c>
    </row>
    <row r="24141" customFormat="false" ht="15" hidden="false" customHeight="false" outlineLevel="0" collapsed="false">
      <c r="A24141" s="24" t="s">
        <v>572</v>
      </c>
      <c r="B24141" s="25"/>
      <c r="C24141" s="25"/>
      <c r="D24141" s="25"/>
      <c r="E24141" s="25"/>
      <c r="F24141" s="25"/>
      <c r="G24141" s="25"/>
      <c r="H24141" s="25"/>
      <c r="I24141" s="25"/>
      <c r="J24141" s="25"/>
      <c r="K24141" s="25"/>
    </row>
    <row r="24142" customFormat="false" ht="15" hidden="false" customHeight="false" outlineLevel="0" collapsed="false">
      <c r="A24142" s="3" t="s">
        <v>556</v>
      </c>
      <c r="C24142" s="16" t="n">
        <f aca="false">SUMPRODUCT(($C$24131:$C$24140&lt;C24131)*$C$24120:$C$24129)</f>
        <v>2118.12996955586</v>
      </c>
    </row>
    <row r="24143" customFormat="false" ht="15" hidden="false" customHeight="false" outlineLevel="0" collapsed="false">
      <c r="A24143" s="3" t="s">
        <v>557</v>
      </c>
      <c r="C24143" s="16" t="n">
        <f aca="false">SUMPRODUCT(($C$24131:$C$24140&lt;C24132)*$C$24120:$C$24129)</f>
        <v>2118.12996955586</v>
      </c>
    </row>
    <row r="24144" customFormat="false" ht="15" hidden="false" customHeight="false" outlineLevel="0" collapsed="false">
      <c r="A24144" s="3" t="s">
        <v>558</v>
      </c>
      <c r="C24144" s="16" t="n">
        <f aca="false">SUMPRODUCT(($C$24131:$C$24140&lt;C24133)*$C$24120:$C$24129)</f>
        <v>2118.12996955586</v>
      </c>
    </row>
    <row r="24145" customFormat="false" ht="15" hidden="false" customHeight="false" outlineLevel="0" collapsed="false">
      <c r="A24145" s="3" t="s">
        <v>559</v>
      </c>
      <c r="C24145" s="16" t="n">
        <f aca="false">SUMPRODUCT(($C$24131:$C$24140&lt;C24134)*$C$24120:$C$24129)</f>
        <v>0</v>
      </c>
    </row>
    <row r="24146" customFormat="false" ht="15" hidden="false" customHeight="false" outlineLevel="0" collapsed="false">
      <c r="A24146" s="3" t="s">
        <v>560</v>
      </c>
      <c r="C24146" s="16" t="n">
        <f aca="false">SUMPRODUCT(($C$24131:$C$24140&lt;C24135)*$C$24120:$C$24129)</f>
        <v>0</v>
      </c>
    </row>
    <row r="24147" customFormat="false" ht="15" hidden="false" customHeight="false" outlineLevel="0" collapsed="false">
      <c r="A24147" s="3" t="s">
        <v>561</v>
      </c>
      <c r="C24147" s="16" t="n">
        <f aca="false">SUMPRODUCT(($C$24131:$C$24140&lt;C24136)*$C$24120:$C$24129)</f>
        <v>0</v>
      </c>
    </row>
    <row r="24148" customFormat="false" ht="15" hidden="false" customHeight="false" outlineLevel="0" collapsed="false">
      <c r="A24148" s="3" t="s">
        <v>562</v>
      </c>
      <c r="C24148" s="16" t="n">
        <f aca="false">SUMPRODUCT(($C$24131:$C$24140&lt;C24137)*$C$24120:$C$24129)</f>
        <v>0</v>
      </c>
    </row>
    <row r="24149" customFormat="false" ht="15" hidden="false" customHeight="false" outlineLevel="0" collapsed="false">
      <c r="A24149" s="3" t="s">
        <v>563</v>
      </c>
      <c r="C24149" s="16" t="n">
        <f aca="false">SUMPRODUCT(($C$24131:$C$24140&lt;C24138)*$C$24120:$C$24129)</f>
        <v>0</v>
      </c>
    </row>
    <row r="24150" customFormat="false" ht="15" hidden="false" customHeight="false" outlineLevel="0" collapsed="false">
      <c r="A24150" s="3" t="s">
        <v>564</v>
      </c>
      <c r="C24150" s="16" t="n">
        <f aca="false">SUMPRODUCT(($C$24131:$C$24140&lt;C24139)*$C$24120:$C$24129)</f>
        <v>0</v>
      </c>
    </row>
    <row r="24151" customFormat="false" ht="15" hidden="false" customHeight="false" outlineLevel="0" collapsed="false">
      <c r="A24151" s="3" t="s">
        <v>565</v>
      </c>
      <c r="C24151" s="16" t="n">
        <f aca="false">SUMPRODUCT(($C$24131:$C$24140&lt;C24140)*$C$24120:$C$24129)</f>
        <v>2039.51996955586</v>
      </c>
    </row>
    <row r="24152" customFormat="false" ht="15" hidden="false" customHeight="false" outlineLevel="0" collapsed="false">
      <c r="A24152" s="24" t="s">
        <v>573</v>
      </c>
      <c r="B24152" s="25"/>
      <c r="C24152" s="25"/>
      <c r="D24152" s="25"/>
      <c r="E24152" s="25"/>
      <c r="F24152" s="25"/>
      <c r="G24152" s="25"/>
      <c r="H24152" s="25"/>
      <c r="I24152" s="25"/>
      <c r="J24152" s="25"/>
      <c r="K24152" s="25"/>
    </row>
    <row r="24153" customFormat="false" ht="15" hidden="false" customHeight="false" outlineLevel="0" collapsed="false">
      <c r="A24153" s="3" t="s">
        <v>556</v>
      </c>
      <c r="C24153" s="16" t="n">
        <f aca="false">SUMPRODUCT(($C$24131:$C$24140=C24131)*$C$24120:$C$24129)</f>
        <v>0</v>
      </c>
    </row>
    <row r="24154" customFormat="false" ht="15" hidden="false" customHeight="false" outlineLevel="0" collapsed="false">
      <c r="A24154" s="3" t="s">
        <v>557</v>
      </c>
      <c r="C24154" s="16" t="n">
        <f aca="false">SUMPRODUCT(($C$24131:$C$24140=C24132)*$C$24120:$C$24129)</f>
        <v>0</v>
      </c>
    </row>
    <row r="24155" customFormat="false" ht="15" hidden="false" customHeight="false" outlineLevel="0" collapsed="false">
      <c r="A24155" s="3" t="s">
        <v>558</v>
      </c>
      <c r="C24155" s="16" t="n">
        <f aca="false">SUMPRODUCT(($C$24131:$C$24140=C24133)*$C$24120:$C$24129)</f>
        <v>0</v>
      </c>
    </row>
    <row r="24156" customFormat="false" ht="15" hidden="false" customHeight="false" outlineLevel="0" collapsed="false">
      <c r="A24156" s="3" t="s">
        <v>559</v>
      </c>
      <c r="C24156" s="16" t="n">
        <f aca="false">SUMPRODUCT(($C$24131:$C$24140=C24134)*$C$24120:$C$24129)</f>
        <v>2039.51996955586</v>
      </c>
    </row>
    <row r="24157" customFormat="false" ht="15" hidden="false" customHeight="false" outlineLevel="0" collapsed="false">
      <c r="A24157" s="3" t="s">
        <v>560</v>
      </c>
      <c r="C24157" s="16" t="n">
        <f aca="false">SUMPRODUCT(($C$24131:$C$24140=C24135)*$C$24120:$C$24129)</f>
        <v>2039.51996955586</v>
      </c>
    </row>
    <row r="24158" customFormat="false" ht="15" hidden="false" customHeight="false" outlineLevel="0" collapsed="false">
      <c r="A24158" s="3" t="s">
        <v>561</v>
      </c>
      <c r="C24158" s="16" t="n">
        <f aca="false">SUMPRODUCT(($C$24131:$C$24140=C24136)*$C$24120:$C$24129)</f>
        <v>2039.51996955586</v>
      </c>
    </row>
    <row r="24159" customFormat="false" ht="15" hidden="false" customHeight="false" outlineLevel="0" collapsed="false">
      <c r="A24159" s="3" t="s">
        <v>562</v>
      </c>
      <c r="C24159" s="16" t="n">
        <f aca="false">SUMPRODUCT(($C$24131:$C$24140=C24137)*$C$24120:$C$24129)</f>
        <v>2039.51996955586</v>
      </c>
    </row>
    <row r="24160" customFormat="false" ht="15" hidden="false" customHeight="false" outlineLevel="0" collapsed="false">
      <c r="A24160" s="3" t="s">
        <v>563</v>
      </c>
      <c r="C24160" s="16" t="n">
        <f aca="false">SUMPRODUCT(($C$24131:$C$24140=C24138)*$C$24120:$C$24129)</f>
        <v>2039.51996955586</v>
      </c>
    </row>
    <row r="24161" customFormat="false" ht="15" hidden="false" customHeight="false" outlineLevel="0" collapsed="false">
      <c r="A24161" s="3" t="s">
        <v>564</v>
      </c>
      <c r="C24161" s="16" t="n">
        <f aca="false">SUMPRODUCT(($C$24131:$C$24140=C24139)*$C$24120:$C$24129)</f>
        <v>2039.51996955586</v>
      </c>
    </row>
    <row r="24162" customFormat="false" ht="15" hidden="false" customHeight="false" outlineLevel="0" collapsed="false">
      <c r="A24162" s="3" t="s">
        <v>565</v>
      </c>
      <c r="C24162" s="16" t="n">
        <f aca="false">SUMPRODUCT(($C$24131:$C$24140=C24140)*$C$24120:$C$24129)</f>
        <v>78.61</v>
      </c>
    </row>
    <row r="24163" customFormat="false" ht="15" hidden="false" customHeight="false" outlineLevel="0" collapsed="false">
      <c r="A24163" s="24" t="s">
        <v>574</v>
      </c>
      <c r="B24163" s="25"/>
      <c r="C24163" s="25"/>
      <c r="D24163" s="25"/>
      <c r="E24163" s="25"/>
      <c r="F24163" s="25"/>
      <c r="G24163" s="25"/>
      <c r="H24163" s="25"/>
      <c r="I24163" s="25"/>
      <c r="J24163" s="25"/>
      <c r="K24163" s="25"/>
    </row>
    <row r="24164" customFormat="false" ht="15" hidden="false" customHeight="false" outlineLevel="0" collapsed="false">
      <c r="A24164" s="3" t="s">
        <v>556</v>
      </c>
      <c r="C24164" s="16" t="n">
        <f aca="false">IF(C24153=0,0,C24120/C24153*MAX(0,MIN(C24153,$C$24063-SUM($C$24098:$C$24107)-C24142)))</f>
        <v>0</v>
      </c>
    </row>
    <row r="24165" customFormat="false" ht="15" hidden="false" customHeight="false" outlineLevel="0" collapsed="false">
      <c r="A24165" s="3" t="s">
        <v>557</v>
      </c>
      <c r="C24165" s="16" t="n">
        <f aca="false">IF(C24154=0,0,C24121/C24154*MAX(0,MIN(C24154,$C$24063-SUM($C$24098:$C$24107)-C24143)))</f>
        <v>0</v>
      </c>
    </row>
    <row r="24166" customFormat="false" ht="15" hidden="false" customHeight="false" outlineLevel="0" collapsed="false">
      <c r="A24166" s="3" t="s">
        <v>558</v>
      </c>
      <c r="C24166" s="16" t="n">
        <f aca="false">IF(C24155=0,0,C24122/C24155*MAX(0,MIN(C24155,$C$24063-SUM($C$24098:$C$24107)-C24144)))</f>
        <v>0</v>
      </c>
    </row>
    <row r="24167" customFormat="false" ht="15" hidden="false" customHeight="false" outlineLevel="0" collapsed="false">
      <c r="A24167" s="3" t="s">
        <v>559</v>
      </c>
      <c r="C24167" s="16" t="n">
        <f aca="false">IF(C24156=0,0,C24123/C24156*MAX(0,MIN(C24156,$C$24063-SUM($C$24098:$C$24107)-C24145)))</f>
        <v>72.265618182056</v>
      </c>
    </row>
    <row r="24168" customFormat="false" ht="15" hidden="false" customHeight="false" outlineLevel="0" collapsed="false">
      <c r="A24168" s="3" t="s">
        <v>560</v>
      </c>
      <c r="C24168" s="16" t="n">
        <f aca="false">IF(C24157=0,0,C24124/C24157*MAX(0,MIN(C24157,$C$24063-SUM($C$24098:$C$24107)-C24146)))</f>
        <v>417.2543513738</v>
      </c>
    </row>
    <row r="24169" customFormat="false" ht="15" hidden="false" customHeight="false" outlineLevel="0" collapsed="false">
      <c r="A24169" s="3" t="s">
        <v>561</v>
      </c>
      <c r="C24169" s="16" t="n">
        <f aca="false">IF(C24158=0,0,C24125/C24158*MAX(0,MIN(C24158,$C$24063-SUM($C$24098:$C$24107)-C24147)))</f>
        <v>350</v>
      </c>
    </row>
    <row r="24170" customFormat="false" ht="15" hidden="false" customHeight="false" outlineLevel="0" collapsed="false">
      <c r="A24170" s="3" t="s">
        <v>562</v>
      </c>
      <c r="C24170" s="16" t="n">
        <f aca="false">IF(C24159=0,0,C24126/C24159*MAX(0,MIN(C24159,$C$24063-SUM($C$24098:$C$24107)-C24148)))</f>
        <v>550</v>
      </c>
    </row>
    <row r="24171" customFormat="false" ht="15" hidden="false" customHeight="false" outlineLevel="0" collapsed="false">
      <c r="A24171" s="3" t="s">
        <v>563</v>
      </c>
      <c r="C24171" s="16" t="n">
        <f aca="false">IF(C24160=0,0,C24127/C24160*MAX(0,MIN(C24160,$C$24063-SUM($C$24098:$C$24107)-C24149)))</f>
        <v>350</v>
      </c>
    </row>
    <row r="24172" customFormat="false" ht="15" hidden="false" customHeight="false" outlineLevel="0" collapsed="false">
      <c r="A24172" s="3" t="s">
        <v>564</v>
      </c>
      <c r="C24172" s="16" t="n">
        <f aca="false">IF(C24161=0,0,C24128/C24161*MAX(0,MIN(C24161,$C$24063-SUM($C$24098:$C$24107)-C24150)))</f>
        <v>300</v>
      </c>
    </row>
    <row r="24173" customFormat="false" ht="15" hidden="false" customHeight="false" outlineLevel="0" collapsed="false">
      <c r="A24173" s="3" t="s">
        <v>565</v>
      </c>
      <c r="C24173" s="16" t="n">
        <f aca="false">IF(C24162=0,0,C24129/C24162*MAX(0,MIN(C24162,$C$24063-SUM($C$24098:$C$24107)-C24151)))</f>
        <v>78.61</v>
      </c>
    </row>
    <row r="24174" customFormat="false" ht="15" hidden="false" customHeight="false" outlineLevel="0" collapsed="false">
      <c r="A24174" s="24" t="s">
        <v>575</v>
      </c>
      <c r="B24174" s="25"/>
      <c r="C24174" s="25"/>
      <c r="D24174" s="25"/>
      <c r="E24174" s="25"/>
      <c r="F24174" s="25"/>
      <c r="G24174" s="25"/>
      <c r="H24174" s="25"/>
      <c r="I24174" s="25"/>
      <c r="J24174" s="25"/>
      <c r="K24174" s="25"/>
    </row>
    <row r="24175" customFormat="false" ht="15" hidden="false" customHeight="false" outlineLevel="0" collapsed="false">
      <c r="A24175" s="2" t="s">
        <v>556</v>
      </c>
      <c r="C24175" s="17" t="n">
        <f aca="false">C24098+C24164</f>
        <v>388</v>
      </c>
    </row>
    <row r="24176" customFormat="false" ht="15" hidden="false" customHeight="false" outlineLevel="0" collapsed="false">
      <c r="A24176" s="2" t="s">
        <v>557</v>
      </c>
      <c r="C24176" s="17" t="n">
        <f aca="false">C24099+C24165</f>
        <v>90</v>
      </c>
    </row>
    <row r="24177" customFormat="false" ht="15" hidden="false" customHeight="false" outlineLevel="0" collapsed="false">
      <c r="A24177" s="2" t="s">
        <v>558</v>
      </c>
      <c r="C24177" s="17" t="n">
        <f aca="false">C24100+C24166</f>
        <v>57.324</v>
      </c>
    </row>
    <row r="24178" customFormat="false" ht="15" hidden="false" customHeight="false" outlineLevel="0" collapsed="false">
      <c r="A24178" s="2" t="s">
        <v>559</v>
      </c>
      <c r="C24178" s="17" t="n">
        <f aca="false">C24101+C24167</f>
        <v>72.265618182056</v>
      </c>
    </row>
    <row r="24179" customFormat="false" ht="15" hidden="false" customHeight="false" outlineLevel="0" collapsed="false">
      <c r="A24179" s="2" t="s">
        <v>560</v>
      </c>
      <c r="C24179" s="17" t="n">
        <f aca="false">C24102+C24168</f>
        <v>417.2543513738</v>
      </c>
    </row>
    <row r="24180" customFormat="false" ht="15" hidden="false" customHeight="false" outlineLevel="0" collapsed="false">
      <c r="A24180" s="2" t="s">
        <v>561</v>
      </c>
      <c r="C24180" s="17" t="n">
        <f aca="false">C24103+C24169</f>
        <v>350</v>
      </c>
    </row>
    <row r="24181" customFormat="false" ht="15" hidden="false" customHeight="false" outlineLevel="0" collapsed="false">
      <c r="A24181" s="2" t="s">
        <v>562</v>
      </c>
      <c r="C24181" s="17" t="n">
        <f aca="false">C24104+C24170</f>
        <v>550</v>
      </c>
    </row>
    <row r="24182" customFormat="false" ht="15" hidden="false" customHeight="false" outlineLevel="0" collapsed="false">
      <c r="A24182" s="2" t="s">
        <v>563</v>
      </c>
      <c r="C24182" s="17" t="n">
        <f aca="false">C24105+C24171</f>
        <v>350</v>
      </c>
    </row>
    <row r="24183" customFormat="false" ht="15" hidden="false" customHeight="false" outlineLevel="0" collapsed="false">
      <c r="A24183" s="2" t="s">
        <v>564</v>
      </c>
      <c r="C24183" s="17" t="n">
        <f aca="false">C24106+C24172</f>
        <v>300</v>
      </c>
    </row>
    <row r="24184" customFormat="false" ht="15" hidden="false" customHeight="false" outlineLevel="0" collapsed="false">
      <c r="A24184" s="2" t="s">
        <v>565</v>
      </c>
      <c r="C24184" s="17" t="n">
        <f aca="false">C24107+C24173</f>
        <v>78.61</v>
      </c>
    </row>
    <row r="24185" customFormat="false" ht="15" hidden="false" customHeight="false" outlineLevel="0" collapsed="false">
      <c r="A24185" s="24" t="s">
        <v>576</v>
      </c>
      <c r="B24185" s="25"/>
      <c r="C24185" s="25"/>
      <c r="D24185" s="25"/>
      <c r="E24185" s="25"/>
      <c r="F24185" s="25"/>
      <c r="G24185" s="25"/>
      <c r="H24185" s="25"/>
      <c r="I24185" s="25"/>
      <c r="J24185" s="25"/>
      <c r="K24185" s="25"/>
    </row>
    <row r="24186" customFormat="false" ht="15" hidden="false" customHeight="false" outlineLevel="0" collapsed="false">
      <c r="A24186" s="3" t="s">
        <v>556</v>
      </c>
      <c r="C24186" s="22" t="n">
        <f aca="false">IF(C24065=0,1,C24175/C24065)</f>
        <v>1</v>
      </c>
    </row>
    <row r="24187" customFormat="false" ht="15" hidden="false" customHeight="false" outlineLevel="0" collapsed="false">
      <c r="A24187" s="3" t="s">
        <v>557</v>
      </c>
      <c r="C24187" s="22" t="n">
        <f aca="false">IF(C24066=0,1,C24176/C24066)</f>
        <v>1</v>
      </c>
    </row>
    <row r="24188" customFormat="false" ht="15" hidden="false" customHeight="false" outlineLevel="0" collapsed="false">
      <c r="A24188" s="3" t="s">
        <v>558</v>
      </c>
      <c r="C24188" s="22" t="n">
        <f aca="false">IF(C24067=0,1,C24177/C24067)</f>
        <v>1</v>
      </c>
    </row>
    <row r="24189" customFormat="false" ht="15" hidden="false" customHeight="false" outlineLevel="0" collapsed="false">
      <c r="A24189" s="3" t="s">
        <v>559</v>
      </c>
      <c r="C24189" s="22" t="n">
        <f aca="false">IF(C24068=0,1,C24178/C24068)</f>
        <v>1</v>
      </c>
    </row>
    <row r="24190" customFormat="false" ht="15" hidden="false" customHeight="false" outlineLevel="0" collapsed="false">
      <c r="A24190" s="3" t="s">
        <v>560</v>
      </c>
      <c r="C24190" s="22" t="n">
        <f aca="false">IF(C24069=0,1,C24179/C24069)</f>
        <v>1</v>
      </c>
    </row>
    <row r="24191" customFormat="false" ht="15" hidden="false" customHeight="false" outlineLevel="0" collapsed="false">
      <c r="A24191" s="3" t="s">
        <v>561</v>
      </c>
      <c r="C24191" s="22" t="n">
        <f aca="false">IF(C24070=0,1,C24180/C24070)</f>
        <v>1</v>
      </c>
    </row>
    <row r="24192" customFormat="false" ht="15" hidden="false" customHeight="false" outlineLevel="0" collapsed="false">
      <c r="A24192" s="3" t="s">
        <v>562</v>
      </c>
      <c r="C24192" s="22" t="n">
        <f aca="false">IF(C24071=0,1,C24181/C24071)</f>
        <v>1</v>
      </c>
    </row>
    <row r="24193" customFormat="false" ht="15" hidden="false" customHeight="false" outlineLevel="0" collapsed="false">
      <c r="A24193" s="3" t="s">
        <v>563</v>
      </c>
      <c r="C24193" s="22" t="n">
        <f aca="false">IF(C24072=0,1,C24182/C24072)</f>
        <v>1</v>
      </c>
    </row>
    <row r="24194" customFormat="false" ht="15" hidden="false" customHeight="false" outlineLevel="0" collapsed="false">
      <c r="A24194" s="3" t="s">
        <v>564</v>
      </c>
      <c r="C24194" s="22" t="n">
        <f aca="false">IF(C24073=0,1,C24183/C24073)</f>
        <v>1</v>
      </c>
    </row>
    <row r="24195" customFormat="false" ht="15" hidden="false" customHeight="false" outlineLevel="0" collapsed="false">
      <c r="A24195" s="3" t="s">
        <v>565</v>
      </c>
      <c r="C24195" s="22" t="n">
        <f aca="false">IF(C24074=0,1,C24184/C24074)</f>
        <v>1</v>
      </c>
    </row>
    <row r="24196" customFormat="false" ht="15" hidden="false" customHeight="false" outlineLevel="0" collapsed="false">
      <c r="A24196" s="24" t="s">
        <v>577</v>
      </c>
      <c r="B24196" s="25"/>
      <c r="C24196" s="25"/>
      <c r="D24196" s="25"/>
      <c r="E24196" s="25"/>
      <c r="F24196" s="25"/>
      <c r="G24196" s="25"/>
      <c r="H24196" s="25"/>
      <c r="I24196" s="25"/>
      <c r="J24196" s="25"/>
      <c r="K24196" s="25"/>
    </row>
    <row r="24197" customFormat="false" ht="15" hidden="false" customHeight="false" outlineLevel="0" collapsed="false">
      <c r="A24197" s="3" t="s">
        <v>556</v>
      </c>
      <c r="C24197" s="16" t="n">
        <f aca="false">C24065-C24175</f>
        <v>0</v>
      </c>
    </row>
    <row r="24198" customFormat="false" ht="15" hidden="false" customHeight="false" outlineLevel="0" collapsed="false">
      <c r="A24198" s="3" t="s">
        <v>557</v>
      </c>
      <c r="C24198" s="16" t="n">
        <f aca="false">C24066-C24176</f>
        <v>0</v>
      </c>
    </row>
    <row r="24199" customFormat="false" ht="15" hidden="false" customHeight="false" outlineLevel="0" collapsed="false">
      <c r="A24199" s="3" t="s">
        <v>558</v>
      </c>
      <c r="C24199" s="16" t="n">
        <f aca="false">C24067-C24177</f>
        <v>0</v>
      </c>
    </row>
    <row r="24200" customFormat="false" ht="15" hidden="false" customHeight="false" outlineLevel="0" collapsed="false">
      <c r="A24200" s="3" t="s">
        <v>559</v>
      </c>
      <c r="C24200" s="16" t="n">
        <f aca="false">C24068-C24178</f>
        <v>0</v>
      </c>
    </row>
    <row r="24201" customFormat="false" ht="15" hidden="false" customHeight="false" outlineLevel="0" collapsed="false">
      <c r="A24201" s="3" t="s">
        <v>560</v>
      </c>
      <c r="C24201" s="16" t="n">
        <f aca="false">C24069-C24179</f>
        <v>0</v>
      </c>
    </row>
    <row r="24202" customFormat="false" ht="15" hidden="false" customHeight="false" outlineLevel="0" collapsed="false">
      <c r="A24202" s="3" t="s">
        <v>561</v>
      </c>
      <c r="C24202" s="16" t="n">
        <f aca="false">C24070-C24180</f>
        <v>0</v>
      </c>
    </row>
    <row r="24203" customFormat="false" ht="15" hidden="false" customHeight="false" outlineLevel="0" collapsed="false">
      <c r="A24203" s="3" t="s">
        <v>562</v>
      </c>
      <c r="C24203" s="16" t="n">
        <f aca="false">C24071-C24181</f>
        <v>0</v>
      </c>
    </row>
    <row r="24204" customFormat="false" ht="15" hidden="false" customHeight="false" outlineLevel="0" collapsed="false">
      <c r="A24204" s="3" t="s">
        <v>563</v>
      </c>
      <c r="C24204" s="16" t="n">
        <f aca="false">C24072-C24182</f>
        <v>0</v>
      </c>
    </row>
    <row r="24205" customFormat="false" ht="15" hidden="false" customHeight="false" outlineLevel="0" collapsed="false">
      <c r="A24205" s="3" t="s">
        <v>564</v>
      </c>
      <c r="C24205" s="16" t="n">
        <f aca="false">C24073-C24183</f>
        <v>0</v>
      </c>
    </row>
    <row r="24206" customFormat="false" ht="15" hidden="false" customHeight="false" outlineLevel="0" collapsed="false">
      <c r="A24206" s="3" t="s">
        <v>565</v>
      </c>
      <c r="C24206" s="16" t="n">
        <f aca="false">C24074-C24184</f>
        <v>0</v>
      </c>
    </row>
    <row r="24207" customFormat="false" ht="15" hidden="false" customHeight="false" outlineLevel="0" collapsed="false">
      <c r="A24207" s="24" t="s">
        <v>578</v>
      </c>
      <c r="B24207" s="25"/>
      <c r="C24207" s="25"/>
      <c r="D24207" s="25"/>
      <c r="E24207" s="25"/>
      <c r="F24207" s="25"/>
      <c r="G24207" s="25"/>
      <c r="H24207" s="25"/>
      <c r="I24207" s="25"/>
      <c r="J24207" s="25"/>
      <c r="K24207" s="25"/>
    </row>
    <row r="24208" customFormat="false" ht="15" hidden="false" customHeight="false" outlineLevel="0" collapsed="false">
      <c r="A24208" s="3" t="s">
        <v>556</v>
      </c>
      <c r="C24208" s="22" t="n">
        <f aca="false">IF(C24065=0,0,C24197/C24065)</f>
        <v>0</v>
      </c>
    </row>
    <row r="24209" customFormat="false" ht="15" hidden="false" customHeight="false" outlineLevel="0" collapsed="false">
      <c r="A24209" s="3" t="s">
        <v>557</v>
      </c>
      <c r="C24209" s="22" t="n">
        <f aca="false">IF(C24066=0,0,C24198/C24066)</f>
        <v>0</v>
      </c>
    </row>
    <row r="24210" customFormat="false" ht="15" hidden="false" customHeight="false" outlineLevel="0" collapsed="false">
      <c r="A24210" s="3" t="s">
        <v>558</v>
      </c>
      <c r="C24210" s="22" t="n">
        <f aca="false">IF(C24067=0,0,C24199/C24067)</f>
        <v>0</v>
      </c>
    </row>
    <row r="24211" customFormat="false" ht="15" hidden="false" customHeight="false" outlineLevel="0" collapsed="false">
      <c r="A24211" s="3" t="s">
        <v>559</v>
      </c>
      <c r="C24211" s="22" t="n">
        <f aca="false">IF(C24068=0,0,C24200/C24068)</f>
        <v>0</v>
      </c>
    </row>
    <row r="24212" customFormat="false" ht="15" hidden="false" customHeight="false" outlineLevel="0" collapsed="false">
      <c r="A24212" s="3" t="s">
        <v>560</v>
      </c>
      <c r="C24212" s="22" t="n">
        <f aca="false">IF(C24069=0,0,C24201/C24069)</f>
        <v>0</v>
      </c>
    </row>
    <row r="24213" customFormat="false" ht="15" hidden="false" customHeight="false" outlineLevel="0" collapsed="false">
      <c r="A24213" s="3" t="s">
        <v>561</v>
      </c>
      <c r="C24213" s="22" t="n">
        <f aca="false">IF(C24070=0,0,C24202/C24070)</f>
        <v>0</v>
      </c>
    </row>
    <row r="24214" customFormat="false" ht="15" hidden="false" customHeight="false" outlineLevel="0" collapsed="false">
      <c r="A24214" s="3" t="s">
        <v>562</v>
      </c>
      <c r="C24214" s="22" t="n">
        <f aca="false">IF(C24071=0,0,C24203/C24071)</f>
        <v>0</v>
      </c>
    </row>
    <row r="24215" customFormat="false" ht="15" hidden="false" customHeight="false" outlineLevel="0" collapsed="false">
      <c r="A24215" s="3" t="s">
        <v>563</v>
      </c>
      <c r="C24215" s="22" t="n">
        <f aca="false">IF(C24072=0,0,C24204/C24072)</f>
        <v>0</v>
      </c>
    </row>
    <row r="24216" customFormat="false" ht="15" hidden="false" customHeight="false" outlineLevel="0" collapsed="false">
      <c r="A24216" s="3" t="s">
        <v>564</v>
      </c>
      <c r="C24216" s="22" t="n">
        <f aca="false">IF(C24073=0,0,C24205/C24073)</f>
        <v>0</v>
      </c>
    </row>
    <row r="24217" customFormat="false" ht="15" hidden="false" customHeight="false" outlineLevel="0" collapsed="false">
      <c r="A24217" s="3" t="s">
        <v>565</v>
      </c>
      <c r="C24217" s="22" t="n">
        <f aca="false">IF(C24074=0,0,C24206/C24074)</f>
        <v>0</v>
      </c>
    </row>
    <row r="24218" customFormat="false" ht="15" hidden="false" customHeight="false" outlineLevel="0" collapsed="false">
      <c r="A24218" s="2" t="s">
        <v>579</v>
      </c>
      <c r="C24218" s="17" t="n">
        <f aca="false">MAX(0,$C$24063-SUM($C$24098:$C$24107)-SUM($C$24120:$C$24129))</f>
        <v>715.770325087744</v>
      </c>
    </row>
    <row r="24219" customFormat="false" ht="15" hidden="false" customHeight="false" outlineLevel="0" collapsed="false">
      <c r="A24219" s="3" t="s">
        <v>597</v>
      </c>
      <c r="C24219" s="35" t="n">
        <f aca="false">MIN(C24062,100*CHOOSE(C24052,C24186,C24187,C24188,C24189,C24190,C24191,C24192,C24193,C24194,C24195))</f>
        <v>100</v>
      </c>
    </row>
    <row r="24220" customFormat="false" ht="15" hidden="false" customHeight="false" outlineLevel="0" collapsed="false">
      <c r="A24220" s="3" t="s">
        <v>598</v>
      </c>
      <c r="C24220" s="21" t="n">
        <f aca="false">IF(C23884=1,C24057+Assumptions!$C$40,C24056)</f>
        <v>3</v>
      </c>
    </row>
    <row r="24221" customFormat="false" ht="15" hidden="false" customHeight="false" outlineLevel="0" collapsed="false">
      <c r="A24221" s="24" t="s">
        <v>599</v>
      </c>
      <c r="B24221" s="25"/>
      <c r="C24221" s="25"/>
      <c r="D24221" s="25"/>
      <c r="E24221" s="25"/>
      <c r="F24221" s="25"/>
      <c r="G24221" s="25"/>
      <c r="H24221" s="25"/>
      <c r="I24221" s="25"/>
      <c r="J24221" s="25"/>
      <c r="K24221" s="25"/>
    </row>
    <row r="24222" customFormat="false" ht="15" hidden="false" customHeight="false" outlineLevel="0" collapsed="false">
      <c r="A24222" s="3" t="s">
        <v>600</v>
      </c>
      <c r="C24222" s="21" t="n">
        <f aca="false">COLUMN()-COLUMN($C$1)</f>
        <v>0</v>
      </c>
      <c r="D24222" s="21" t="n">
        <f aca="false">COLUMN()-COLUMN($C$1)</f>
        <v>1</v>
      </c>
      <c r="E24222" s="21" t="n">
        <f aca="false">COLUMN()-COLUMN($C$1)</f>
        <v>2</v>
      </c>
      <c r="F24222" s="21" t="n">
        <f aca="false">COLUMN()-COLUMN($C$1)</f>
        <v>3</v>
      </c>
      <c r="G24222" s="21" t="n">
        <f aca="false">COLUMN()-COLUMN($C$1)</f>
        <v>4</v>
      </c>
      <c r="H24222" s="21" t="n">
        <f aca="false">COLUMN()-COLUMN($C$1)</f>
        <v>5</v>
      </c>
      <c r="I24222" s="21" t="n">
        <f aca="false">COLUMN()-COLUMN($C$1)</f>
        <v>6</v>
      </c>
    </row>
    <row r="24223" customFormat="false" ht="15" hidden="false" customHeight="false" outlineLevel="0" collapsed="false">
      <c r="A24223" s="3" t="s">
        <v>601</v>
      </c>
      <c r="D24223" s="31" t="n">
        <f aca="false">CHOOSE($C$24052,G23632,G23645,G23658,G23671,G23684,G23697,G23710,G23723,G23736,G23749)</f>
        <v>0.1015</v>
      </c>
      <c r="E24223" s="31" t="n">
        <f aca="false">CHOOSE($C$24052,H23632,H23645,H23658,H23671,H23684,H23697,H23710,H23723,H23736,H23749)</f>
        <v>0.1</v>
      </c>
      <c r="F24223" s="31" t="n">
        <f aca="false">CHOOSE($C$24052,I23632,I23645,I23658,I23671,I23684,I23697,I23710,I23723,I23736,I23749)</f>
        <v>0.0975</v>
      </c>
      <c r="G24223" s="31" t="n">
        <f aca="false">CHOOSE($C$24052,J23632,J23645,J23658,J23671,J23684,J23697,J23710,J23723,J23736,J23749)</f>
        <v>0.0975</v>
      </c>
      <c r="H24223" s="31" t="n">
        <f aca="false">CHOOSE($C$24052,K23632,K23645,K23658,K23671,K23684,K23697,K23710,K23723,K23736,K23749)</f>
        <v>0.0975</v>
      </c>
    </row>
    <row r="24224" customFormat="false" ht="15" hidden="false" customHeight="false" outlineLevel="0" collapsed="false">
      <c r="A24224" s="3" t="s">
        <v>602</v>
      </c>
      <c r="D24224" s="16" t="n">
        <f aca="false">IF(D24222&lt;=$C$24061,$C$24053*D24223,0)</f>
        <v>10.15</v>
      </c>
      <c r="E24224" s="16" t="n">
        <f aca="false">IF(E24222&lt;=$C$24061,$C$24053*E24223,0)</f>
        <v>10</v>
      </c>
      <c r="F24224" s="16" t="n">
        <f aca="false">IF(F24222&lt;=$C$24061,$C$24053*F24223,0)</f>
        <v>9.75</v>
      </c>
      <c r="G24224" s="16" t="n">
        <f aca="false">IF(G24222&lt;=$C$24061,$C$24053*G24223,0)</f>
        <v>0</v>
      </c>
      <c r="H24224" s="16" t="n">
        <f aca="false">IF(H24222&lt;=$C$24061,$C$24053*H24223,0)</f>
        <v>0</v>
      </c>
    </row>
    <row r="24225" customFormat="false" ht="15" hidden="false" customHeight="false" outlineLevel="0" collapsed="false">
      <c r="A24225" s="3" t="s">
        <v>603</v>
      </c>
      <c r="D24225" s="16" t="n">
        <f aca="false">IF(AND($C$23884=0,D24222=$C$24056),$C$24053*$C$24219/100,0)+IF(AND($C$23884=1,D24222=$C$24220),$C$24059,0)</f>
        <v>0</v>
      </c>
      <c r="E24225" s="16" t="n">
        <f aca="false">IF(AND($C$23884=0,E24222=$C$24056),$C$24053*$C$24219/100,0)+IF(AND($C$23884=1,E24222=$C$24220),$C$24059,0)</f>
        <v>0</v>
      </c>
      <c r="F24225" s="16" t="n">
        <f aca="false">IF(AND($C$23884=0,F24222=$C$24056),$C$24053*$C$24219/100,0)+IF(AND($C$23884=1,F24222=$C$24220),$C$24059,0)</f>
        <v>100</v>
      </c>
      <c r="G24225" s="16" t="n">
        <f aca="false">IF(AND($C$23884=0,G24222=$C$24056),$C$24053*$C$24219/100,0)+IF(AND($C$23884=1,G24222=$C$24220),$C$24059,0)</f>
        <v>0</v>
      </c>
      <c r="H24225" s="16" t="n">
        <f aca="false">IF(AND($C$23884=0,H24222=$C$24056),$C$24053*$C$24219/100,0)+IF(AND($C$23884=1,H24222=$C$24220),$C$24059,0)</f>
        <v>0</v>
      </c>
      <c r="I24225" s="16" t="n">
        <f aca="false">IF(AND($C$23884=0,I24222=$C$24056),$C$24053*$C$24219/100,0)+IF(AND($C$23884=1,I24222=$C$24220),$C$24059,0)</f>
        <v>0</v>
      </c>
    </row>
    <row r="24226" customFormat="false" ht="15" hidden="false" customHeight="false" outlineLevel="0" collapsed="false">
      <c r="A24226" s="2" t="s">
        <v>604</v>
      </c>
      <c r="C24226" s="17" t="n">
        <f aca="false">-$C$24055</f>
        <v>-98.49</v>
      </c>
      <c r="D24226" s="17" t="n">
        <f aca="false">D24224+D24225</f>
        <v>10.15</v>
      </c>
      <c r="E24226" s="17" t="n">
        <f aca="false">E24224+E24225</f>
        <v>10</v>
      </c>
      <c r="F24226" s="17" t="n">
        <f aca="false">F24224+F24225</f>
        <v>109.75</v>
      </c>
      <c r="G24226" s="17" t="n">
        <f aca="false">G24224+G24225</f>
        <v>0</v>
      </c>
      <c r="H24226" s="17" t="n">
        <f aca="false">H24224+H24225</f>
        <v>0</v>
      </c>
      <c r="I24226" s="17" t="n">
        <f aca="false">I24224+I24225</f>
        <v>0</v>
      </c>
    </row>
    <row r="24227" customFormat="false" ht="15" hidden="false" customHeight="false" outlineLevel="0" collapsed="false">
      <c r="A24227" s="3" t="s">
        <v>605</v>
      </c>
      <c r="C24227" s="16" t="n">
        <f aca="false">SUM($C$24224:$I$24224)</f>
        <v>29.9</v>
      </c>
    </row>
    <row r="24228" customFormat="false" ht="15" hidden="false" customHeight="false" outlineLevel="0" collapsed="false">
      <c r="A24228" s="3" t="s">
        <v>606</v>
      </c>
      <c r="C24228" s="16" t="n">
        <f aca="false">SUM($C$24225:$I$24225)</f>
        <v>100</v>
      </c>
    </row>
    <row r="24229" customFormat="false" ht="15" hidden="false" customHeight="false" outlineLevel="0" collapsed="false">
      <c r="A24229" s="3" t="s">
        <v>607</v>
      </c>
      <c r="C24229" s="16" t="n">
        <f aca="false">C24227+C24228</f>
        <v>129.9</v>
      </c>
    </row>
    <row r="24230" customFormat="false" ht="15" hidden="false" customHeight="false" outlineLevel="0" collapsed="false">
      <c r="A24230" s="3" t="s">
        <v>608</v>
      </c>
      <c r="C24230" s="16" t="n">
        <f aca="false">C24228-C24053*C24054/100</f>
        <v>2</v>
      </c>
    </row>
    <row r="24231" customFormat="false" ht="15" hidden="false" customHeight="false" outlineLevel="0" collapsed="false">
      <c r="A24231" s="3" t="s">
        <v>609</v>
      </c>
      <c r="C24231" s="16" t="n">
        <f aca="false">C24229-C24055</f>
        <v>31.41</v>
      </c>
    </row>
    <row r="24232" customFormat="false" ht="15" hidden="false" customHeight="false" outlineLevel="0" collapsed="false">
      <c r="A24232" s="2" t="s">
        <v>484</v>
      </c>
      <c r="C24232" s="44" t="n">
        <f aca="false">C24229/C24055</f>
        <v>1.31891562595187</v>
      </c>
    </row>
    <row r="24233" customFormat="false" ht="15" hidden="false" customHeight="false" outlineLevel="0" collapsed="false">
      <c r="A24233" s="2" t="s">
        <v>483</v>
      </c>
      <c r="C24233" s="42" t="n">
        <f aca="false">IF(C24229&lt;=0,-1,IFERROR(IRR($C$24226:$I$24226,MAX(-0.9,C24232^(1/C24220)-1)),IRR($C$24226:$I$24226,0.1)))</f>
        <v>0.105935618749736</v>
      </c>
    </row>
    <row r="24234" customFormat="false" ht="15" hidden="false" customHeight="false" outlineLevel="0" collapsed="false">
      <c r="A24234" s="3" t="s">
        <v>610</v>
      </c>
      <c r="C24234" s="32" t="n">
        <f aca="false">MAX($G$23828:$K$23828)</f>
        <v>10.0914334201652</v>
      </c>
    </row>
    <row r="24235" customFormat="false" ht="15" hidden="false" customHeight="false" outlineLevel="0" collapsed="false">
      <c r="A24235" s="3" t="s">
        <v>611</v>
      </c>
      <c r="C24235" s="32" t="n">
        <f aca="false">MIN($G$23829:$K$23829)</f>
        <v>1.30373689337045</v>
      </c>
    </row>
    <row r="24236" customFormat="false" ht="15" hidden="false" customHeight="false" outlineLevel="0" collapsed="false">
      <c r="A24236" s="3" t="s">
        <v>612</v>
      </c>
      <c r="C24236" s="16" t="n">
        <f aca="false">SUM($G$23616:$K$23616)</f>
        <v>-462.967945063648</v>
      </c>
    </row>
    <row r="24240" customFormat="false" ht="15" hidden="false" customHeight="false" outlineLevel="0" collapsed="false">
      <c r="A24240" s="9" t="s">
        <v>1167</v>
      </c>
      <c r="B24240" s="10"/>
      <c r="C24240" s="10"/>
      <c r="D24240" s="10"/>
      <c r="E24240" s="10"/>
      <c r="F24240" s="10"/>
      <c r="G24240" s="10"/>
      <c r="H24240" s="10"/>
      <c r="I24240" s="10"/>
      <c r="J24240" s="10"/>
      <c r="K24240" s="10"/>
    </row>
    <row r="24241" customFormat="false" ht="15" hidden="false" customHeight="false" outlineLevel="0" collapsed="false">
      <c r="A24241" s="3" t="s">
        <v>1126</v>
      </c>
      <c r="C24241" s="11" t="n">
        <v>1</v>
      </c>
    </row>
    <row r="24242" customFormat="false" ht="15" hidden="false" customHeight="false" outlineLevel="0" collapsed="false">
      <c r="A24242" s="3" t="s">
        <v>1127</v>
      </c>
      <c r="C24242" s="19" t="n">
        <v>0</v>
      </c>
    </row>
    <row r="24243" customFormat="false" ht="15" hidden="false" customHeight="false" outlineLevel="0" collapsed="false">
      <c r="A24243" s="3" t="s">
        <v>1128</v>
      </c>
      <c r="C24243" s="19" t="n">
        <v>0</v>
      </c>
    </row>
    <row r="24244" customFormat="false" ht="15" hidden="false" customHeight="false" outlineLevel="0" collapsed="false">
      <c r="A24244" s="3" t="s">
        <v>1129</v>
      </c>
      <c r="C24244" s="30" t="n">
        <f aca="false">Sensitivities!$A$54</f>
        <v>0.02</v>
      </c>
    </row>
    <row r="24245" customFormat="false" ht="15" hidden="false" customHeight="false" outlineLevel="0" collapsed="false">
      <c r="A24245" s="3" t="s">
        <v>1130</v>
      </c>
      <c r="C24245" s="15" t="n">
        <v>0</v>
      </c>
    </row>
    <row r="24247" customFormat="false" ht="15" hidden="false" customHeight="false" outlineLevel="0" collapsed="false">
      <c r="A24247" s="24" t="s">
        <v>301</v>
      </c>
      <c r="B24247" s="25"/>
      <c r="C24247" s="25"/>
      <c r="D24247" s="25"/>
      <c r="E24247" s="25"/>
      <c r="F24247" s="25"/>
      <c r="G24247" s="25"/>
      <c r="H24247" s="25"/>
      <c r="I24247" s="25"/>
      <c r="J24247" s="25"/>
      <c r="K24247" s="25"/>
    </row>
    <row r="24248" customFormat="false" ht="15" hidden="false" customHeight="false" outlineLevel="0" collapsed="false">
      <c r="A24248" s="3" t="s">
        <v>302</v>
      </c>
      <c r="F24248" s="27" t="n">
        <f aca="false">Assumptions!$C$6</f>
        <v>2026</v>
      </c>
      <c r="G24248" s="21" t="n">
        <f aca="false">F24248+1</f>
        <v>2027</v>
      </c>
      <c r="H24248" s="21" t="n">
        <f aca="false">G24248+1</f>
        <v>2028</v>
      </c>
      <c r="I24248" s="21" t="n">
        <f aca="false">H24248+1</f>
        <v>2029</v>
      </c>
      <c r="J24248" s="21" t="n">
        <f aca="false">I24248+1</f>
        <v>2030</v>
      </c>
      <c r="K24248" s="21" t="n">
        <f aca="false">J24248+1</f>
        <v>2031</v>
      </c>
    </row>
    <row r="24249" customFormat="false" ht="15" hidden="false" customHeight="false" outlineLevel="0" collapsed="false">
      <c r="A24249" s="3" t="s">
        <v>303</v>
      </c>
      <c r="G24249" s="21" t="n">
        <f aca="false">G24248-Assumptions!$C$6</f>
        <v>1</v>
      </c>
      <c r="H24249" s="21" t="n">
        <f aca="false">H24248-Assumptions!$C$6</f>
        <v>2</v>
      </c>
      <c r="I24249" s="21" t="n">
        <f aca="false">I24248-Assumptions!$C$6</f>
        <v>3</v>
      </c>
      <c r="J24249" s="21" t="n">
        <f aca="false">J24248-Assumptions!$C$6</f>
        <v>4</v>
      </c>
      <c r="K24249" s="21" t="n">
        <f aca="false">K24248-Assumptions!$C$6</f>
        <v>5</v>
      </c>
    </row>
    <row r="24250" customFormat="false" ht="15" hidden="false" customHeight="false" outlineLevel="0" collapsed="false">
      <c r="A24250" s="3" t="s">
        <v>180</v>
      </c>
      <c r="G24250" s="22" t="n">
        <f aca="false">CHOOSE($C$24241,Assumptions!$G$79,Assumptions!$G$98,Assumptions!$G$117)+$C$24242</f>
        <v>-0.03</v>
      </c>
      <c r="H24250" s="22" t="n">
        <f aca="false">CHOOSE($C$24241,Assumptions!$H$79,Assumptions!$H$98,Assumptions!$H$117)+$C$24242</f>
        <v>0.02</v>
      </c>
      <c r="I24250" s="22" t="n">
        <f aca="false">CHOOSE($C$24241,Assumptions!$I$79,Assumptions!$I$98,Assumptions!$I$117)+$C$24242</f>
        <v>0.02</v>
      </c>
      <c r="J24250" s="22" t="n">
        <f aca="false">CHOOSE($C$24241,Assumptions!$J$79,Assumptions!$J$98,Assumptions!$J$117)+$C$24242</f>
        <v>0.02</v>
      </c>
      <c r="K24250" s="22" t="n">
        <f aca="false">CHOOSE($C$24241,Assumptions!$K$79,Assumptions!$K$98,Assumptions!$K$117)+$C$24242</f>
        <v>0.02</v>
      </c>
    </row>
    <row r="24251" customFormat="false" ht="15" hidden="false" customHeight="false" outlineLevel="0" collapsed="false">
      <c r="A24251" s="3" t="s">
        <v>181</v>
      </c>
      <c r="G24251" s="22" t="n">
        <f aca="false">CHOOSE($C$24241,Assumptions!$G$80,Assumptions!$G$99,Assumptions!$G$118)</f>
        <v>0.603920660818678</v>
      </c>
      <c r="H24251" s="22" t="n">
        <f aca="false">CHOOSE($C$24241,Assumptions!$H$80,Assumptions!$H$99,Assumptions!$H$118)</f>
        <v>0.606920660818678</v>
      </c>
      <c r="I24251" s="22" t="n">
        <f aca="false">CHOOSE($C$24241,Assumptions!$I$80,Assumptions!$I$99,Assumptions!$I$118)</f>
        <v>0.609920660818678</v>
      </c>
      <c r="J24251" s="22" t="n">
        <f aca="false">CHOOSE($C$24241,Assumptions!$J$80,Assumptions!$J$99,Assumptions!$J$118)</f>
        <v>0.611920660818678</v>
      </c>
      <c r="K24251" s="22" t="n">
        <f aca="false">CHOOSE($C$24241,Assumptions!$K$80,Assumptions!$K$99,Assumptions!$K$118)</f>
        <v>0.613920660818678</v>
      </c>
    </row>
    <row r="24252" customFormat="false" ht="15" hidden="false" customHeight="false" outlineLevel="0" collapsed="false">
      <c r="A24252" s="3" t="s">
        <v>182</v>
      </c>
      <c r="G24252" s="22" t="n">
        <f aca="false">CHOOSE($C$24241,Assumptions!$G$81,Assumptions!$G$100,Assumptions!$G$119)+$C$24243</f>
        <v>0.53</v>
      </c>
      <c r="H24252" s="22" t="n">
        <f aca="false">CHOOSE($C$24241,Assumptions!$H$81,Assumptions!$H$100,Assumptions!$H$119)+$C$24243</f>
        <v>0.533</v>
      </c>
      <c r="I24252" s="22" t="n">
        <f aca="false">CHOOSE($C$24241,Assumptions!$I$81,Assumptions!$I$100,Assumptions!$I$119)+$C$24243</f>
        <v>0.536</v>
      </c>
      <c r="J24252" s="22" t="n">
        <f aca="false">CHOOSE($C$24241,Assumptions!$J$81,Assumptions!$J$100,Assumptions!$J$119)+$C$24243</f>
        <v>0.538</v>
      </c>
      <c r="K24252" s="22" t="n">
        <f aca="false">CHOOSE($C$24241,Assumptions!$K$81,Assumptions!$K$100,Assumptions!$K$119)+$C$24243</f>
        <v>0.54</v>
      </c>
    </row>
    <row r="24253" customFormat="false" ht="15" hidden="false" customHeight="false" outlineLevel="0" collapsed="false">
      <c r="A24253" s="24" t="s">
        <v>304</v>
      </c>
      <c r="B24253" s="25"/>
      <c r="C24253" s="25"/>
      <c r="D24253" s="25"/>
      <c r="E24253" s="25"/>
      <c r="F24253" s="25"/>
      <c r="G24253" s="25"/>
      <c r="H24253" s="25"/>
      <c r="I24253" s="25"/>
      <c r="J24253" s="25"/>
      <c r="K24253" s="25"/>
    </row>
    <row r="24254" customFormat="false" ht="15" hidden="false" customHeight="false" outlineLevel="0" collapsed="false">
      <c r="A24254" s="2" t="s">
        <v>275</v>
      </c>
      <c r="F24254" s="28" t="n">
        <f aca="false">'Historical Financials'!G25</f>
        <v>498.291</v>
      </c>
      <c r="G24254" s="17" t="n">
        <f aca="false">F24254*(1+G24250)</f>
        <v>483.34227</v>
      </c>
      <c r="H24254" s="17" t="n">
        <f aca="false">G24254*(1+H24250)</f>
        <v>493.0091154</v>
      </c>
      <c r="I24254" s="17" t="n">
        <f aca="false">H24254*(1+I24250)</f>
        <v>502.869297708</v>
      </c>
      <c r="J24254" s="17" t="n">
        <f aca="false">I24254*(1+J24250)</f>
        <v>512.92668366216</v>
      </c>
      <c r="K24254" s="17" t="n">
        <f aca="false">J24254*(1+K24250)</f>
        <v>523.185217335403</v>
      </c>
    </row>
    <row r="24255" customFormat="false" ht="15" hidden="false" customHeight="false" outlineLevel="0" collapsed="false">
      <c r="A24255" s="3" t="s">
        <v>276</v>
      </c>
      <c r="G24255" s="16" t="n">
        <f aca="false">G24254*(1-G24251)</f>
        <v>191.4418869</v>
      </c>
      <c r="H24255" s="16" t="n">
        <f aca="false">H24254*(1-H24251)</f>
        <v>193.7916972918</v>
      </c>
      <c r="I24255" s="16" t="n">
        <f aca="false">I24254*(1-I24251)</f>
        <v>196.158923344512</v>
      </c>
      <c r="J24255" s="16" t="n">
        <f aca="false">J24254*(1-J24251)</f>
        <v>199.056248444078</v>
      </c>
      <c r="K24255" s="16" t="n">
        <f aca="false">K24254*(1-K24251)</f>
        <v>201.991002978289</v>
      </c>
    </row>
    <row r="24256" customFormat="false" ht="15" hidden="false" customHeight="false" outlineLevel="0" collapsed="false">
      <c r="A24256" s="2" t="s">
        <v>277</v>
      </c>
      <c r="G24256" s="17" t="n">
        <f aca="false">G24254-G24255</f>
        <v>291.9003831</v>
      </c>
      <c r="H24256" s="17" t="n">
        <f aca="false">H24254-H24255</f>
        <v>299.2174181082</v>
      </c>
      <c r="I24256" s="17" t="n">
        <f aca="false">I24254-I24255</f>
        <v>306.710374363488</v>
      </c>
      <c r="J24256" s="17" t="n">
        <f aca="false">J24254-J24255</f>
        <v>313.870435218082</v>
      </c>
      <c r="K24256" s="17" t="n">
        <f aca="false">K24254-K24255</f>
        <v>321.194214357115</v>
      </c>
    </row>
    <row r="24257" customFormat="false" ht="15" hidden="false" customHeight="false" outlineLevel="0" collapsed="false">
      <c r="A24257" s="3" t="s">
        <v>305</v>
      </c>
      <c r="G24257" s="16" t="n">
        <f aca="false">G24256-G24258</f>
        <v>35.72898</v>
      </c>
      <c r="H24257" s="16" t="n">
        <f aca="false">H24256-H24258</f>
        <v>36.4435596</v>
      </c>
      <c r="I24257" s="16" t="n">
        <f aca="false">I24256-I24258</f>
        <v>37.172430792</v>
      </c>
      <c r="J24257" s="16" t="n">
        <f aca="false">J24256-J24258</f>
        <v>37.91587940784</v>
      </c>
      <c r="K24257" s="16" t="n">
        <f aca="false">K24256-K24258</f>
        <v>38.6741969959968</v>
      </c>
    </row>
    <row r="24258" customFormat="false" ht="15" hidden="false" customHeight="false" outlineLevel="0" collapsed="false">
      <c r="A24258" s="2" t="s">
        <v>306</v>
      </c>
      <c r="G24258" s="17" t="n">
        <f aca="false">G24254*G24252</f>
        <v>256.1714031</v>
      </c>
      <c r="H24258" s="17" t="n">
        <f aca="false">H24254*H24252</f>
        <v>262.7738585082</v>
      </c>
      <c r="I24258" s="17" t="n">
        <f aca="false">I24254*I24252</f>
        <v>269.537943571488</v>
      </c>
      <c r="J24258" s="17" t="n">
        <f aca="false">J24254*J24252</f>
        <v>275.954555810242</v>
      </c>
      <c r="K24258" s="17" t="n">
        <f aca="false">K24254*K24252</f>
        <v>282.520017361118</v>
      </c>
    </row>
    <row r="24259" customFormat="false" ht="15" hidden="false" customHeight="false" outlineLevel="0" collapsed="false">
      <c r="A24259" s="3" t="s">
        <v>307</v>
      </c>
      <c r="G24259" s="16" t="n">
        <f aca="false">G24254*'Historical Financials'!G30/'Historical Financials'!G25</f>
        <v>179.73421</v>
      </c>
      <c r="H24259" s="16" t="n">
        <f aca="false">H24254*'Historical Financials'!G30/'Historical Financials'!G25</f>
        <v>183.3288942</v>
      </c>
      <c r="I24259" s="16" t="n">
        <f aca="false">I24254*'Historical Financials'!G30/'Historical Financials'!G25</f>
        <v>186.995472084</v>
      </c>
      <c r="J24259" s="16" t="n">
        <f aca="false">J24254*'Historical Financials'!G30/'Historical Financials'!G25</f>
        <v>190.73538152568</v>
      </c>
      <c r="K24259" s="16" t="n">
        <f aca="false">K24254*'Historical Financials'!G30/'Historical Financials'!G25</f>
        <v>194.550089156194</v>
      </c>
    </row>
    <row r="24260" customFormat="false" ht="15" hidden="false" customHeight="false" outlineLevel="0" collapsed="false">
      <c r="A24260" s="3" t="s">
        <v>308</v>
      </c>
      <c r="G24260" s="16" t="n">
        <f aca="false">G24254*'Historical Financials'!G31/'Historical Financials'!G25</f>
        <v>0</v>
      </c>
      <c r="H24260" s="16" t="n">
        <f aca="false">H24254*'Historical Financials'!G31/'Historical Financials'!G25</f>
        <v>0</v>
      </c>
      <c r="I24260" s="16" t="n">
        <f aca="false">I24254*'Historical Financials'!G31/'Historical Financials'!G25</f>
        <v>0</v>
      </c>
      <c r="J24260" s="16" t="n">
        <f aca="false">J24254*'Historical Financials'!G31/'Historical Financials'!G25</f>
        <v>0</v>
      </c>
      <c r="K24260" s="16" t="n">
        <f aca="false">K24254*'Historical Financials'!G31/'Historical Financials'!G25</f>
        <v>0</v>
      </c>
    </row>
    <row r="24261" customFormat="false" ht="15" hidden="false" customHeight="false" outlineLevel="0" collapsed="false">
      <c r="A24261" s="2" t="s">
        <v>309</v>
      </c>
      <c r="G24261" s="17" t="n">
        <f aca="false">G24258-G24259-G24260</f>
        <v>76.4371931</v>
      </c>
      <c r="H24261" s="17" t="n">
        <f aca="false">H24258-H24259-H24260</f>
        <v>79.4449643082</v>
      </c>
      <c r="I24261" s="17" t="n">
        <f aca="false">I24258-I24259-I24260</f>
        <v>82.542471487488</v>
      </c>
      <c r="J24261" s="17" t="n">
        <f aca="false">J24258-J24259-J24260</f>
        <v>85.2191742845621</v>
      </c>
      <c r="K24261" s="17" t="n">
        <f aca="false">K24258-K24259-K24260</f>
        <v>87.9699282049242</v>
      </c>
    </row>
    <row r="24262" customFormat="false" ht="15" hidden="false" customHeight="false" outlineLevel="0" collapsed="false">
      <c r="A24262" s="3" t="s">
        <v>310</v>
      </c>
      <c r="G24262" s="16" t="n">
        <f aca="false">G24288+G24301+G24314+G24327+G24340+G24353+G24366+G24379+G24392+G24405</f>
        <v>189.7818854</v>
      </c>
      <c r="H24262" s="16" t="n">
        <f aca="false">H24288+H24301+H24314+H24327+H24340+H24353+H24366+H24379+H24392+H24405</f>
        <v>188.6239704</v>
      </c>
      <c r="I24262" s="16" t="n">
        <f aca="false">I24288+I24301+I24314+I24327+I24340+I24353+I24366+I24379+I24392+I24405</f>
        <v>202.325369509904</v>
      </c>
      <c r="J24262" s="16" t="n">
        <f aca="false">J24288+J24301+J24314+J24327+J24340+J24353+J24366+J24379+J24392+J24405</f>
        <v>203.301613044469</v>
      </c>
      <c r="K24262" s="16" t="n">
        <f aca="false">K24288+K24301+K24314+K24327+K24340+K24353+K24366+K24379+K24392+K24405</f>
        <v>222.995642071888</v>
      </c>
    </row>
    <row r="24263" customFormat="false" ht="15" hidden="false" customHeight="false" outlineLevel="0" collapsed="false">
      <c r="A24263" s="3" t="s">
        <v>311</v>
      </c>
      <c r="G24263" s="16" t="n">
        <f aca="false">G24289+G24302+G24315+G24328+G24341+G24354+G24367+G24380+G24393+G24406</f>
        <v>0</v>
      </c>
      <c r="H24263" s="16" t="n">
        <f aca="false">H24289+H24302+H24315+H24328+H24341+H24354+H24367+H24380+H24393+H24406</f>
        <v>0</v>
      </c>
      <c r="I24263" s="16" t="n">
        <f aca="false">I24289+I24302+I24315+I24328+I24341+I24354+I24367+I24380+I24393+I24406</f>
        <v>0</v>
      </c>
      <c r="J24263" s="16" t="n">
        <f aca="false">J24289+J24302+J24315+J24328+J24341+J24354+J24367+J24380+J24393+J24406</f>
        <v>0</v>
      </c>
      <c r="K24263" s="16" t="n">
        <f aca="false">K24289+K24302+K24315+K24328+K24341+K24354+K24367+K24380+K24393+K24406</f>
        <v>0</v>
      </c>
    </row>
    <row r="24264" customFormat="false" ht="15" hidden="false" customHeight="false" outlineLevel="0" collapsed="false">
      <c r="A24264" s="3" t="s">
        <v>283</v>
      </c>
      <c r="G24264" s="16" t="n">
        <f aca="false">G24262+G24263</f>
        <v>189.7818854</v>
      </c>
      <c r="H24264" s="16" t="n">
        <f aca="false">H24262+H24263</f>
        <v>188.6239704</v>
      </c>
      <c r="I24264" s="16" t="n">
        <f aca="false">I24262+I24263</f>
        <v>202.325369509904</v>
      </c>
      <c r="J24264" s="16" t="n">
        <f aca="false">J24262+J24263</f>
        <v>203.301613044469</v>
      </c>
      <c r="K24264" s="16" t="n">
        <f aca="false">K24262+K24263</f>
        <v>222.995642071888</v>
      </c>
    </row>
    <row r="24265" customFormat="false" ht="15" hidden="false" customHeight="false" outlineLevel="0" collapsed="false">
      <c r="A24265" s="2" t="s">
        <v>284</v>
      </c>
      <c r="G24265" s="17" t="n">
        <f aca="false">G24261-G24264</f>
        <v>-113.3446923</v>
      </c>
      <c r="H24265" s="17" t="n">
        <f aca="false">H24261-H24264</f>
        <v>-109.1790060918</v>
      </c>
      <c r="I24265" s="17" t="n">
        <f aca="false">I24261-I24264</f>
        <v>-119.782898022416</v>
      </c>
      <c r="J24265" s="17" t="n">
        <f aca="false">J24261-J24264</f>
        <v>-118.082438759906</v>
      </c>
      <c r="K24265" s="17" t="n">
        <f aca="false">K24261-K24264</f>
        <v>-135.025713866963</v>
      </c>
    </row>
    <row r="24266" customFormat="false" ht="15" hidden="false" customHeight="false" outlineLevel="0" collapsed="false">
      <c r="A24266" s="3" t="s">
        <v>312</v>
      </c>
      <c r="G24266" s="16" t="n">
        <f aca="false">MAX(0,G24265)*Assumptions!$C$9</f>
        <v>0</v>
      </c>
      <c r="H24266" s="16" t="n">
        <f aca="false">MAX(0,H24265)*Assumptions!$C$9</f>
        <v>0</v>
      </c>
      <c r="I24266" s="16" t="n">
        <f aca="false">MAX(0,I24265)*Assumptions!$C$9</f>
        <v>0</v>
      </c>
      <c r="J24266" s="16" t="n">
        <f aca="false">MAX(0,J24265)*Assumptions!$C$9</f>
        <v>0</v>
      </c>
      <c r="K24266" s="16" t="n">
        <f aca="false">MAX(0,K24265)*Assumptions!$C$9</f>
        <v>0</v>
      </c>
    </row>
    <row r="24267" customFormat="false" ht="15" hidden="false" customHeight="false" outlineLevel="0" collapsed="false">
      <c r="A24267" s="2" t="s">
        <v>313</v>
      </c>
      <c r="G24267" s="17" t="n">
        <f aca="false">G24265-G24266</f>
        <v>-113.3446923</v>
      </c>
      <c r="H24267" s="17" t="n">
        <f aca="false">H24265-H24266</f>
        <v>-109.1790060918</v>
      </c>
      <c r="I24267" s="17" t="n">
        <f aca="false">I24265-I24266</f>
        <v>-119.782898022416</v>
      </c>
      <c r="J24267" s="17" t="n">
        <f aca="false">J24265-J24266</f>
        <v>-118.082438759906</v>
      </c>
      <c r="K24267" s="17" t="n">
        <f aca="false">K24265-K24266</f>
        <v>-135.025713866963</v>
      </c>
    </row>
    <row r="24268" customFormat="false" ht="15" hidden="false" customHeight="false" outlineLevel="0" collapsed="false">
      <c r="A24268" s="24" t="s">
        <v>314</v>
      </c>
      <c r="B24268" s="25"/>
      <c r="C24268" s="25"/>
      <c r="D24268" s="25"/>
      <c r="E24268" s="25"/>
      <c r="F24268" s="25"/>
      <c r="G24268" s="25"/>
      <c r="H24268" s="25"/>
      <c r="I24268" s="25"/>
      <c r="J24268" s="25"/>
      <c r="K24268" s="25"/>
    </row>
    <row r="24269" customFormat="false" ht="15" hidden="false" customHeight="false" outlineLevel="0" collapsed="false">
      <c r="A24269" s="3" t="s">
        <v>184</v>
      </c>
      <c r="G24269" s="16" t="n">
        <f aca="false">G24254*CHOOSE($C$24241,Assumptions!$C$83,Assumptions!$C$102,Assumptions!$C$121)</f>
        <v>106.3352994</v>
      </c>
      <c r="H24269" s="16" t="n">
        <f aca="false">H24254*CHOOSE($C$24241,Assumptions!$C$83,Assumptions!$C$102,Assumptions!$C$121)</f>
        <v>108.462005388</v>
      </c>
      <c r="I24269" s="16" t="n">
        <f aca="false">I24254*CHOOSE($C$24241,Assumptions!$C$83,Assumptions!$C$102,Assumptions!$C$121)</f>
        <v>110.63124549576</v>
      </c>
      <c r="J24269" s="16" t="n">
        <f aca="false">J24254*CHOOSE($C$24241,Assumptions!$C$83,Assumptions!$C$102,Assumptions!$C$121)</f>
        <v>112.843870405675</v>
      </c>
      <c r="K24269" s="16" t="n">
        <f aca="false">K24254*CHOOSE($C$24241,Assumptions!$C$83,Assumptions!$C$102,Assumptions!$C$121)</f>
        <v>115.100747813789</v>
      </c>
    </row>
    <row r="24270" customFormat="false" ht="15" hidden="false" customHeight="false" outlineLevel="0" collapsed="false">
      <c r="A24270" s="3" t="s">
        <v>315</v>
      </c>
      <c r="G24270" s="16" t="n">
        <f aca="false">CHOOSE($C$24241,Assumptions!$C$84,Assumptions!$C$103,Assumptions!$C$122)*(G24254-F24254)+CHOOSE($C$24241,Assumptions!$C$85,Assumptions!$C$104,Assumptions!$C$123)*G24254</f>
        <v>53.1676497</v>
      </c>
      <c r="H24270" s="16" t="n">
        <f aca="false">CHOOSE($C$24241,Assumptions!$C$84,Assumptions!$C$103,Assumptions!$C$122)*(H24254-G24254)+CHOOSE($C$24241,Assumptions!$C$85,Assumptions!$C$104,Assumptions!$C$123)*H24254</f>
        <v>54.231002694</v>
      </c>
      <c r="I24270" s="16" t="n">
        <f aca="false">CHOOSE($C$24241,Assumptions!$C$84,Assumptions!$C$103,Assumptions!$C$122)*(I24254-H24254)+CHOOSE($C$24241,Assumptions!$C$85,Assumptions!$C$104,Assumptions!$C$123)*I24254</f>
        <v>55.31562274788</v>
      </c>
      <c r="J24270" s="16" t="n">
        <f aca="false">CHOOSE($C$24241,Assumptions!$C$84,Assumptions!$C$103,Assumptions!$C$122)*(J24254-I24254)+CHOOSE($C$24241,Assumptions!$C$85,Assumptions!$C$104,Assumptions!$C$123)*J24254</f>
        <v>56.4219352028376</v>
      </c>
      <c r="K24270" s="16" t="n">
        <f aca="false">CHOOSE($C$24241,Assumptions!$C$84,Assumptions!$C$103,Assumptions!$C$122)*(K24254-J24254)+CHOOSE($C$24241,Assumptions!$C$85,Assumptions!$C$104,Assumptions!$C$123)*K24254</f>
        <v>57.5503739068944</v>
      </c>
    </row>
    <row r="24271" customFormat="false" ht="15" hidden="false" customHeight="false" outlineLevel="0" collapsed="false">
      <c r="A24271" s="2" t="s">
        <v>316</v>
      </c>
      <c r="G24271" s="17" t="n">
        <f aca="false">G24267+G24259+G24260+G24263-G24269-G24270</f>
        <v>-93.1134314</v>
      </c>
      <c r="H24271" s="17" t="n">
        <f aca="false">H24267+H24259+H24260+H24263-H24269-H24270</f>
        <v>-88.5431199738</v>
      </c>
      <c r="I24271" s="17" t="n">
        <f aca="false">I24267+I24259+I24260+I24263-I24269-I24270</f>
        <v>-98.734294182056</v>
      </c>
      <c r="J24271" s="17" t="n">
        <f aca="false">J24267+J24259+J24260+J24263-J24269-J24270</f>
        <v>-96.6128628427392</v>
      </c>
      <c r="K24271" s="17" t="n">
        <f aca="false">K24267+K24259+K24260+K24263-K24269-K24270</f>
        <v>-113.126746431453</v>
      </c>
    </row>
    <row r="24273" customFormat="false" ht="15" hidden="false" customHeight="false" outlineLevel="0" collapsed="false">
      <c r="A24273" s="24" t="s">
        <v>318</v>
      </c>
      <c r="B24273" s="25"/>
      <c r="C24273" s="25"/>
      <c r="D24273" s="25"/>
      <c r="E24273" s="25"/>
      <c r="F24273" s="25"/>
      <c r="G24273" s="25"/>
      <c r="H24273" s="25"/>
      <c r="I24273" s="25"/>
      <c r="J24273" s="25"/>
      <c r="K24273" s="25"/>
    </row>
    <row r="24274" customFormat="false" ht="15" hidden="false" customHeight="false" outlineLevel="0" collapsed="false">
      <c r="A24274" s="3" t="s">
        <v>319</v>
      </c>
      <c r="G24274" s="30" t="n">
        <f aca="false">Assumptions!$G$53</f>
        <v>0.039</v>
      </c>
      <c r="H24274" s="30" t="n">
        <f aca="false">Assumptions!$H$53</f>
        <v>0.0375</v>
      </c>
      <c r="I24274" s="30" t="n">
        <f aca="false">Assumptions!$I$53</f>
        <v>0.035</v>
      </c>
      <c r="J24274" s="30" t="n">
        <f aca="false">Assumptions!$J$53</f>
        <v>0.035</v>
      </c>
      <c r="K24274" s="30" t="n">
        <f aca="false">Assumptions!$K$53</f>
        <v>0.035</v>
      </c>
    </row>
    <row r="24275" customFormat="false" ht="15" hidden="false" customHeight="false" outlineLevel="0" collapsed="false">
      <c r="A24275" s="3" t="s">
        <v>320</v>
      </c>
      <c r="C24275" s="31" t="n">
        <f aca="false">CHOOSE($C$24241,Assumptions!$C$86,Assumptions!$C$105,Assumptions!$C$124)+$C$24244</f>
        <v>0.02</v>
      </c>
    </row>
    <row r="24276" customFormat="false" ht="15" hidden="false" customHeight="false" outlineLevel="0" collapsed="false">
      <c r="A24276" s="3" t="s">
        <v>321</v>
      </c>
      <c r="C24276" s="31" t="n">
        <f aca="false">CHOOSE($C$24241,Assumptions!$C$87,Assumptions!$C$106,Assumptions!$C$125)</f>
        <v>0.08</v>
      </c>
    </row>
    <row r="24277" customFormat="false" ht="15" hidden="false" customHeight="false" outlineLevel="0" collapsed="false">
      <c r="A24277" s="3" t="s">
        <v>322</v>
      </c>
      <c r="C24277" s="32" t="n">
        <f aca="false">CHOOSE($C$24241,Assumptions!$C$88,Assumptions!$C$107,Assumptions!$C$126)</f>
        <v>11</v>
      </c>
    </row>
    <row r="24278" customFormat="false" ht="15" hidden="false" customHeight="false" outlineLevel="0" collapsed="false">
      <c r="A24278" s="3" t="s">
        <v>323</v>
      </c>
      <c r="C24278" s="32" t="n">
        <f aca="false">CHOOSE($C$24241,Assumptions!$C$89,Assumptions!$C$108,Assumptions!$C$127)</f>
        <v>1.2</v>
      </c>
    </row>
    <row r="24279" customFormat="false" ht="15" hidden="false" customHeight="false" outlineLevel="0" collapsed="false">
      <c r="A24279" s="3" t="s">
        <v>324</v>
      </c>
      <c r="G24279" s="16" t="n">
        <f aca="false">G24284+G24297+G24310+G24323+G24336+G24349+G24362+G24375+G24388+G24401</f>
        <v>2625.934</v>
      </c>
      <c r="H24279" s="16" t="n">
        <f aca="false">H24284+H24297+H24310+H24323+H24336+H24349+H24362+H24375+H24388+H24401</f>
        <v>2621.934</v>
      </c>
      <c r="I24279" s="16" t="n">
        <f aca="false">I24284+I24297+I24310+I24323+I24336+I24349+I24362+I24375+I24388+I24401</f>
        <v>2594.7205513738</v>
      </c>
      <c r="J24279" s="16" t="n">
        <f aca="false">J24284+J24297+J24310+J24323+J24336+J24349+J24362+J24375+J24388+J24401</f>
        <v>2668.45484555586</v>
      </c>
      <c r="K24279" s="16" t="n">
        <f aca="false">K24284+K24297+K24310+K24323+K24336+K24349+K24362+K24375+K24388+K24401</f>
        <v>2765.0677083986</v>
      </c>
    </row>
    <row r="24280" customFormat="false" ht="15" hidden="false" customHeight="false" outlineLevel="0" collapsed="false">
      <c r="A24280" s="3" t="s">
        <v>325</v>
      </c>
      <c r="G24280" s="16" t="n">
        <f aca="false">F24472</f>
        <v>37.87</v>
      </c>
      <c r="H24280" s="16" t="n">
        <f aca="false">G24472</f>
        <v>140.7565686</v>
      </c>
      <c r="I24280" s="16" t="n">
        <f aca="false">H24472</f>
        <v>25</v>
      </c>
      <c r="J24280" s="16" t="n">
        <f aca="false">I24472</f>
        <v>0</v>
      </c>
      <c r="K24280" s="16" t="n">
        <f aca="false">J24472</f>
        <v>0</v>
      </c>
    </row>
    <row r="24281" customFormat="false" ht="15" hidden="false" customHeight="false" outlineLevel="0" collapsed="false">
      <c r="A24281" s="3" t="s">
        <v>326</v>
      </c>
      <c r="G24281" s="16" t="n">
        <f aca="false">G24284*IF(G24285=1,$C$24276,IF(Assumptions!$I$57=1,MAX(G24274,Assumptions!$G$57)+Assumptions!$F$57+$C$24275,Assumptions!$E$57))+G24297*IF(G24298=1,$C$24276,IF(Assumptions!$I$58=1,MAX(G24274,Assumptions!$G$58)+Assumptions!$F$58+$C$24275,Assumptions!$E$58))+G24310*IF(G24311=1,$C$24276,IF(Assumptions!$I$59=1,MAX(G24274,Assumptions!$G$59)+Assumptions!$F$59+$C$24275,Assumptions!$E$59))+G24323*IF(G24324=1,$C$24276,IF(Assumptions!$I$60=1,MAX(G24274,Assumptions!$G$60)+Assumptions!$F$60+$C$24275,Assumptions!$E$60))+G24336*IF(G24337=1,$C$24276,IF(Assumptions!$I$61=1,MAX(G24274,Assumptions!$G$61)+Assumptions!$F$61+$C$24275,Assumptions!$E$61))+G24349*IF(G24350=1,$C$24276,IF(Assumptions!$I$62=1,MAX(G24274,Assumptions!$G$62)+Assumptions!$F$62+$C$24275,Assumptions!$E$62))+G24362*IF(G24363=1,$C$24276,IF(Assumptions!$I$63=1,MAX(G24274,Assumptions!$G$63)+Assumptions!$F$63+$C$24275,Assumptions!$E$63))+G24375*IF(G24376=1,$C$24276,IF(Assumptions!$I$64=1,MAX(G24274,Assumptions!$G$64)+Assumptions!$F$64+$C$24275,Assumptions!$E$64))+G24388*IF(G24389=1,$C$24276,IF(Assumptions!$I$65=1,MAX(G24274,Assumptions!$G$65)+Assumptions!$F$65+$C$24275,Assumptions!$E$65))+G24401*IF(G24402=1,$C$24276,IF(Assumptions!$I$66=1,MAX(G24274,Assumptions!$G$66)+Assumptions!$F$66+$C$24275,Assumptions!$E$66))</f>
        <v>189.7818854</v>
      </c>
      <c r="H24281" s="16" t="n">
        <f aca="false">H24284*IF(OR(H24285=1,G24594=1),$C$24276,IF(Assumptions!$I$57=1,MAX(H24274,Assumptions!$G$57)+Assumptions!$F$57+$C$24275,Assumptions!$E$57))+H24297*IF(OR(H24298=1,G24595=1),$C$24276,IF(Assumptions!$I$58=1,MAX(H24274,Assumptions!$G$58)+Assumptions!$F$58+$C$24275,Assumptions!$E$58))+H24310*IF(OR(H24311=1,G24596=1),$C$24276,IF(Assumptions!$I$59=1,MAX(H24274,Assumptions!$G$59)+Assumptions!$F$59+$C$24275,Assumptions!$E$59))+H24323*IF(OR(H24324=1,G24597=1),$C$24276,IF(Assumptions!$I$60=1,MAX(H24274,Assumptions!$G$60)+Assumptions!$F$60+$C$24275,Assumptions!$E$60))+H24336*IF(OR(H24337=1,G24598=1),$C$24276,IF(Assumptions!$I$61=1,MAX(H24274,Assumptions!$G$61)+Assumptions!$F$61+$C$24275,Assumptions!$E$61))+H24349*IF(OR(H24350=1,G24599=1),$C$24276,IF(Assumptions!$I$62=1,MAX(H24274,Assumptions!$G$62)+Assumptions!$F$62+$C$24275,Assumptions!$E$62))+H24362*IF(OR(H24363=1,G24600=1),$C$24276,IF(Assumptions!$I$63=1,MAX(H24274,Assumptions!$G$63)+Assumptions!$F$63+$C$24275,Assumptions!$E$63))+H24375*IF(OR(H24376=1,G24601=1),$C$24276,IF(Assumptions!$I$64=1,MAX(H24274,Assumptions!$G$64)+Assumptions!$F$64+$C$24275,Assumptions!$E$64))+H24388*IF(OR(H24389=1,G24602=1),$C$24276,IF(Assumptions!$I$65=1,MAX(H24274,Assumptions!$G$65)+Assumptions!$F$65+$C$24275,Assumptions!$E$65))+H24401*IF(OR(H24402=1,G24603=1),$C$24276,IF(Assumptions!$I$66=1,MAX(H24274,Assumptions!$G$66)+Assumptions!$F$66+$C$24275,Assumptions!$E$66))</f>
        <v>205.7989704</v>
      </c>
      <c r="I24281" s="16" t="n">
        <f aca="false">I24284*IF(OR(I24285=1,H24594=1),$C$24276,IF(Assumptions!$I$57=1,MAX(I24274,Assumptions!$G$57)+Assumptions!$F$57+$C$24275,Assumptions!$E$57))+I24297*IF(OR(I24298=1,H24595=1),$C$24276,IF(Assumptions!$I$58=1,MAX(I24274,Assumptions!$G$58)+Assumptions!$F$58+$C$24275,Assumptions!$E$58))+I24310*IF(OR(I24311=1,H24596=1),$C$24276,IF(Assumptions!$I$59=1,MAX(I24274,Assumptions!$G$59)+Assumptions!$F$59+$C$24275,Assumptions!$E$59))+I24323*IF(OR(I24324=1,H24597=1),$C$24276,IF(Assumptions!$I$60=1,MAX(I24274,Assumptions!$G$60)+Assumptions!$F$60+$C$24275,Assumptions!$E$60))+I24336*IF(OR(I24337=1,H24598=1),$C$24276,IF(Assumptions!$I$61=1,MAX(I24274,Assumptions!$G$61)+Assumptions!$F$61+$C$24275,Assumptions!$E$61))+I24349*IF(OR(I24350=1,H24599=1),$C$24276,IF(Assumptions!$I$62=1,MAX(I24274,Assumptions!$G$62)+Assumptions!$F$62+$C$24275,Assumptions!$E$62))+I24362*IF(OR(I24363=1,H24600=1),$C$24276,IF(Assumptions!$I$63=1,MAX(I24274,Assumptions!$G$63)+Assumptions!$F$63+$C$24275,Assumptions!$E$63))+I24375*IF(OR(I24376=1,H24601=1),$C$24276,IF(Assumptions!$I$64=1,MAX(I24274,Assumptions!$G$64)+Assumptions!$F$64+$C$24275,Assumptions!$E$64))+I24388*IF(OR(I24389=1,H24602=1),$C$24276,IF(Assumptions!$I$65=1,MAX(I24274,Assumptions!$G$65)+Assumptions!$F$65+$C$24275,Assumptions!$E$65))+I24401*IF(OR(I24402=1,H24603=1),$C$24276,IF(Assumptions!$I$66=1,MAX(I24274,Assumptions!$G$66)+Assumptions!$F$66+$C$24275,Assumptions!$E$66))</f>
        <v>197.512869509904</v>
      </c>
      <c r="J24281" s="16" t="n">
        <f aca="false">J24284*IF(OR(J24285=1,I24594=1),$C$24276,IF(Assumptions!$I$57=1,MAX(J24274,Assumptions!$G$57)+Assumptions!$F$57+$C$24275,Assumptions!$E$57))+J24297*IF(OR(J24298=1,I24595=1),$C$24276,IF(Assumptions!$I$58=1,MAX(J24274,Assumptions!$G$58)+Assumptions!$F$58+$C$24275,Assumptions!$E$58))+J24310*IF(OR(J24311=1,I24596=1),$C$24276,IF(Assumptions!$I$59=1,MAX(J24274,Assumptions!$G$59)+Assumptions!$F$59+$C$24275,Assumptions!$E$59))+J24323*IF(OR(J24324=1,I24597=1),$C$24276,IF(Assumptions!$I$60=1,MAX(J24274,Assumptions!$G$60)+Assumptions!$F$60+$C$24275,Assumptions!$E$60))+J24336*IF(OR(J24337=1,I24598=1),$C$24276,IF(Assumptions!$I$61=1,MAX(J24274,Assumptions!$G$61)+Assumptions!$F$61+$C$24275,Assumptions!$E$61))+J24349*IF(OR(J24350=1,I24599=1),$C$24276,IF(Assumptions!$I$62=1,MAX(J24274,Assumptions!$G$62)+Assumptions!$F$62+$C$24275,Assumptions!$E$62))+J24362*IF(OR(J24363=1,I24600=1),$C$24276,IF(Assumptions!$I$63=1,MAX(J24274,Assumptions!$G$63)+Assumptions!$F$63+$C$24275,Assumptions!$E$63))+J24375*IF(OR(J24376=1,I24601=1),$C$24276,IF(Assumptions!$I$64=1,MAX(J24274,Assumptions!$G$64)+Assumptions!$F$64+$C$24275,Assumptions!$E$64))+J24388*IF(OR(J24389=1,I24602=1),$C$24276,IF(Assumptions!$I$65=1,MAX(J24274,Assumptions!$G$65)+Assumptions!$F$65+$C$24275,Assumptions!$E$65))+J24401*IF(OR(J24402=1,I24603=1),$C$24276,IF(Assumptions!$I$66=1,MAX(J24274,Assumptions!$G$66)+Assumptions!$F$66+$C$24275,Assumptions!$E$66))</f>
        <v>215.376613044468</v>
      </c>
      <c r="K24281" s="16" t="n">
        <f aca="false">K24284*IF(OR(K24285=1,J24594=1),$C$24276,IF(Assumptions!$I$57=1,MAX(K24274,Assumptions!$G$57)+Assumptions!$F$57+$C$24275,Assumptions!$E$57))+K24297*IF(OR(K24298=1,J24595=1),$C$24276,IF(Assumptions!$I$58=1,MAX(K24274,Assumptions!$G$58)+Assumptions!$F$58+$C$24275,Assumptions!$E$58))+K24310*IF(OR(K24311=1,J24596=1),$C$24276,IF(Assumptions!$I$59=1,MAX(K24274,Assumptions!$G$59)+Assumptions!$F$59+$C$24275,Assumptions!$E$59))+K24323*IF(OR(K24324=1,J24597=1),$C$24276,IF(Assumptions!$I$60=1,MAX(K24274,Assumptions!$G$60)+Assumptions!$F$60+$C$24275,Assumptions!$E$60))+K24336*IF(OR(K24337=1,J24598=1),$C$24276,IF(Assumptions!$I$61=1,MAX(K24274,Assumptions!$G$61)+Assumptions!$F$61+$C$24275,Assumptions!$E$61))+K24349*IF(OR(K24350=1,J24599=1),$C$24276,IF(Assumptions!$I$62=1,MAX(K24274,Assumptions!$G$62)+Assumptions!$F$62+$C$24275,Assumptions!$E$62))+K24362*IF(OR(K24363=1,J24600=1),$C$24276,IF(Assumptions!$I$63=1,MAX(K24274,Assumptions!$G$63)+Assumptions!$F$63+$C$24275,Assumptions!$E$63))+K24375*IF(OR(K24376=1,J24601=1),$C$24276,IF(Assumptions!$I$64=1,MAX(K24274,Assumptions!$G$64)+Assumptions!$F$64+$C$24275,Assumptions!$E$64))+K24388*IF(OR(K24389=1,J24602=1),$C$24276,IF(Assumptions!$I$65=1,MAX(K24274,Assumptions!$G$65)+Assumptions!$F$65+$C$24275,Assumptions!$E$65))+K24401*IF(OR(K24402=1,J24603=1),$C$24276,IF(Assumptions!$I$66=1,MAX(K24274,Assumptions!$G$66)+Assumptions!$F$66+$C$24275,Assumptions!$E$66))</f>
        <v>218.060642071888</v>
      </c>
    </row>
    <row r="24282" customFormat="false" ht="15" hidden="false" customHeight="false" outlineLevel="0" collapsed="false">
      <c r="A24282" s="3" t="s">
        <v>327</v>
      </c>
      <c r="G24282" s="21" t="n">
        <f aca="false">IF(G24258&lt;=0,0,IF(AND((G24279-G24280)/G24258&lt;=$C$24277,G24258/G24281&gt;=$C$24278),1,0))</f>
        <v>1</v>
      </c>
      <c r="H24282" s="21" t="n">
        <f aca="false">IF(H24258&lt;=0,0,IF(AND((H24279-H24280)/H24258&lt;=$C$24277,H24258/H24281&gt;=$C$24278),1,0))</f>
        <v>1</v>
      </c>
      <c r="I24282" s="21" t="n">
        <f aca="false">IF(I24258&lt;=0,0,IF(AND((I24279-I24280)/I24258&lt;=$C$24277,I24258/I24281&gt;=$C$24278),1,0))</f>
        <v>1</v>
      </c>
      <c r="J24282" s="21" t="n">
        <f aca="false">IF(J24258&lt;=0,0,IF(AND((J24279-J24280)/J24258&lt;=$C$24277,J24258/J24281&gt;=$C$24278),1,0))</f>
        <v>1</v>
      </c>
      <c r="K24282" s="21" t="n">
        <f aca="false">IF(K24258&lt;=0,0,IF(AND((K24279-K24280)/K24258&lt;=$C$24277,K24258/K24281&gt;=$C$24278),1,0))</f>
        <v>1</v>
      </c>
    </row>
    <row r="24283" customFormat="false" ht="15" hidden="false" customHeight="false" outlineLevel="0" collapsed="false">
      <c r="A24283" s="24" t="s">
        <v>328</v>
      </c>
      <c r="B24283" s="25"/>
      <c r="C24283" s="25"/>
      <c r="D24283" s="25"/>
      <c r="E24283" s="25"/>
      <c r="F24283" s="25"/>
      <c r="G24283" s="25"/>
      <c r="H24283" s="25"/>
      <c r="I24283" s="25"/>
      <c r="J24283" s="25"/>
      <c r="K24283" s="25"/>
    </row>
    <row r="24284" customFormat="false" ht="15" hidden="false" customHeight="false" outlineLevel="0" collapsed="false">
      <c r="A24284" s="3" t="s">
        <v>329</v>
      </c>
      <c r="G24284" s="16" t="n">
        <f aca="false">F24295</f>
        <v>400</v>
      </c>
      <c r="H24284" s="16" t="n">
        <f aca="false">G24295</f>
        <v>396</v>
      </c>
      <c r="I24284" s="16" t="n">
        <f aca="false">H24295</f>
        <v>392</v>
      </c>
      <c r="J24284" s="16" t="n">
        <f aca="false">I24295</f>
        <v>388</v>
      </c>
      <c r="K24284" s="16" t="n">
        <f aca="false">J24295</f>
        <v>384</v>
      </c>
    </row>
    <row r="24285" customFormat="false" ht="15" hidden="false" customHeight="false" outlineLevel="0" collapsed="false">
      <c r="A24285" s="3" t="s">
        <v>330</v>
      </c>
      <c r="G24285" s="21" t="n">
        <f aca="false">IF(G24248=Assumptions!$K$57,1,0)</f>
        <v>0</v>
      </c>
      <c r="H24285" s="21" t="n">
        <f aca="false">IF(H24248=Assumptions!$K$57,1,0)</f>
        <v>0</v>
      </c>
      <c r="I24285" s="21" t="n">
        <f aca="false">IF(I24248=Assumptions!$K$57,1,0)</f>
        <v>0</v>
      </c>
      <c r="J24285" s="21" t="n">
        <f aca="false">IF(J24248=Assumptions!$K$57,1,0)</f>
        <v>0</v>
      </c>
      <c r="K24285" s="21" t="n">
        <f aca="false">IF(K24248=Assumptions!$K$57,1,0)</f>
        <v>1</v>
      </c>
    </row>
    <row r="24287" customFormat="false" ht="15" hidden="false" customHeight="false" outlineLevel="0" collapsed="false">
      <c r="A24287" s="3" t="s">
        <v>331</v>
      </c>
      <c r="G24287" s="31" t="n">
        <f aca="false">IF(Assumptions!$I$57=1,MAX(G24274,Assumptions!$G$57)+Assumptions!$F$57+$C$24275,Assumptions!$E$57)</f>
        <v>0.1115</v>
      </c>
      <c r="H24287" s="31" t="n">
        <f aca="false">IF(G24594=1,$C$24276,IF(Assumptions!$I$57=1,MAX(H24274,Assumptions!$G$57)+Assumptions!$F$57+$C$24275,Assumptions!$E$57))</f>
        <v>0.11</v>
      </c>
      <c r="I24287" s="31" t="n">
        <f aca="false">IF(H24594=1,$C$24276,IF(Assumptions!$I$57=1,MAX(I24274,Assumptions!$G$57)+Assumptions!$F$57+$C$24275,Assumptions!$E$57))</f>
        <v>0.1075</v>
      </c>
      <c r="J24287" s="31" t="n">
        <f aca="false">IF(I24594=1,$C$24276,IF(Assumptions!$I$57=1,MAX(J24274,Assumptions!$G$57)+Assumptions!$F$57+$C$24275,Assumptions!$E$57))</f>
        <v>0.1075</v>
      </c>
      <c r="K24287" s="31" t="n">
        <f aca="false">IF(J24594=1,$C$24276,IF(Assumptions!$I$57=1,MAX(K24274,Assumptions!$G$57)+Assumptions!$F$57+$C$24275,Assumptions!$E$57))</f>
        <v>0.1075</v>
      </c>
    </row>
    <row r="24288" customFormat="false" ht="15" hidden="false" customHeight="false" outlineLevel="0" collapsed="false">
      <c r="A24288" s="3" t="s">
        <v>332</v>
      </c>
      <c r="G24288" s="16" t="n">
        <f aca="false">G24284*G24287</f>
        <v>44.6</v>
      </c>
      <c r="H24288" s="16" t="n">
        <f aca="false">H24284*H24287</f>
        <v>43.56</v>
      </c>
      <c r="I24288" s="16" t="n">
        <f aca="false">I24284*I24287</f>
        <v>42.14</v>
      </c>
      <c r="J24288" s="16" t="n">
        <f aca="false">J24284*J24287</f>
        <v>41.71</v>
      </c>
      <c r="K24288" s="16" t="n">
        <f aca="false">K24284*K24287</f>
        <v>41.28</v>
      </c>
    </row>
    <row r="24289" customFormat="false" ht="15" hidden="false" customHeight="false" outlineLevel="0" collapsed="false">
      <c r="A24289" s="3" t="s">
        <v>333</v>
      </c>
      <c r="G24289" s="16" t="n">
        <f aca="false">G24284*Assumptions!$H$57</f>
        <v>0</v>
      </c>
      <c r="H24289" s="16" t="n">
        <f aca="false">H24284*Assumptions!$H$57</f>
        <v>0</v>
      </c>
      <c r="I24289" s="16" t="n">
        <f aca="false">I24284*Assumptions!$H$57</f>
        <v>0</v>
      </c>
      <c r="J24289" s="16" t="n">
        <f aca="false">J24284*Assumptions!$H$57</f>
        <v>0</v>
      </c>
      <c r="K24289" s="16" t="n">
        <f aca="false">K24284*Assumptions!$H$57</f>
        <v>0</v>
      </c>
    </row>
    <row r="24290" customFormat="false" ht="15" hidden="false" customHeight="false" outlineLevel="0" collapsed="false">
      <c r="A24290" s="3" t="s">
        <v>334</v>
      </c>
      <c r="G24290" s="16" t="n">
        <f aca="false">MIN(G24284,Assumptions!$L$57*Assumptions!$C$57)</f>
        <v>4</v>
      </c>
      <c r="H24290" s="16" t="n">
        <f aca="false">MIN(H24284,Assumptions!$L$57*Assumptions!$C$57)</f>
        <v>4</v>
      </c>
      <c r="I24290" s="16" t="n">
        <f aca="false">MIN(I24284,Assumptions!$L$57*Assumptions!$C$57)</f>
        <v>4</v>
      </c>
      <c r="J24290" s="16" t="n">
        <f aca="false">MIN(J24284,Assumptions!$L$57*Assumptions!$C$57)</f>
        <v>4</v>
      </c>
      <c r="K24290" s="16" t="n">
        <f aca="false">MIN(K24284,Assumptions!$L$57*Assumptions!$C$57)</f>
        <v>4</v>
      </c>
    </row>
    <row r="24291" customFormat="false" ht="15" hidden="false" customHeight="false" outlineLevel="0" collapsed="false">
      <c r="A24291" s="3" t="s">
        <v>335</v>
      </c>
      <c r="G24291" s="16" t="n">
        <f aca="false">IF(AND(Assumptions!$P$57=1,G24248&lt;Assumptions!$K$57),MIN(MAX(0,-G24464),MAX(0,Assumptions!$D$57-G24284)),0)</f>
        <v>0</v>
      </c>
      <c r="H24291" s="16" t="n">
        <f aca="false">IF(AND(Assumptions!$P$57=1,OR(H24248&lt;Assumptions!$K$57,G24594=1)),MIN(MAX(0,-H24464),MAX(0,Assumptions!$D$57-H24284)),0)</f>
        <v>0</v>
      </c>
      <c r="I24291" s="16" t="n">
        <f aca="false">IF(AND(Assumptions!$P$57=1,OR(I24248&lt;Assumptions!$K$57,H24594=1)),MIN(MAX(0,-I24464),MAX(0,Assumptions!$D$57-I24284)),0)</f>
        <v>0</v>
      </c>
      <c r="J24291" s="16" t="n">
        <f aca="false">IF(AND(Assumptions!$P$57=1,OR(J24248&lt;Assumptions!$K$57,I24594=1)),MIN(MAX(0,-J24464),MAX(0,Assumptions!$D$57-J24284)),0)</f>
        <v>0</v>
      </c>
      <c r="K24291" s="16" t="n">
        <f aca="false">IF(AND(Assumptions!$P$57=1,OR(K24248&lt;Assumptions!$K$57,J24594=1)),MIN(MAX(0,-K24464),MAX(0,Assumptions!$D$57-K24284)),0)</f>
        <v>0</v>
      </c>
    </row>
    <row r="24292" customFormat="false" ht="15" hidden="false" customHeight="false" outlineLevel="0" collapsed="false">
      <c r="A24292" s="3" t="s">
        <v>336</v>
      </c>
      <c r="G24292" s="16" t="n">
        <f aca="false">G24285*MIN(G24284-G24290+G24289,MAX(0,G24466-Assumptions!$C$12*G24282))</f>
        <v>0</v>
      </c>
      <c r="H24292" s="16" t="n">
        <f aca="false">H24285*MIN(H24284-H24290+H24289,MAX(0,H24466-Assumptions!$C$12*H24282))</f>
        <v>0</v>
      </c>
      <c r="I24292" s="16" t="n">
        <f aca="false">I24285*MIN(I24284-I24290+I24289,MAX(0,I24466-Assumptions!$C$12*I24282))</f>
        <v>0</v>
      </c>
      <c r="J24292" s="16" t="n">
        <f aca="false">J24285*MIN(J24284-J24290+J24289,MAX(0,J24466-Assumptions!$C$12*J24282))</f>
        <v>0</v>
      </c>
      <c r="K24292" s="16" t="n">
        <f aca="false">K24285*MIN(K24284-K24290+K24289,MAX(0,K24466-Assumptions!$C$12*K24282))</f>
        <v>0</v>
      </c>
    </row>
    <row r="24293" customFormat="false" ht="15" hidden="false" customHeight="false" outlineLevel="0" collapsed="false">
      <c r="A24293" s="3" t="s">
        <v>337</v>
      </c>
      <c r="G24293" s="16" t="n">
        <f aca="false">Assumptions!$N$57*MIN(G24284+G24291+G24289-G24290-G24292,MAX(0,G24470))</f>
        <v>0</v>
      </c>
      <c r="H24293" s="16" t="n">
        <f aca="false">Assumptions!$N$57*MIN(H24284+H24291+H24289-H24290-H24292,MAX(0,H24470))</f>
        <v>0</v>
      </c>
      <c r="I24293" s="16" t="n">
        <f aca="false">Assumptions!$N$57*MIN(I24284+I24291+I24289-I24290-I24292,MAX(0,I24470))</f>
        <v>0</v>
      </c>
      <c r="J24293" s="16" t="n">
        <f aca="false">Assumptions!$N$57*MIN(J24284+J24291+J24289-J24290-J24292,MAX(0,J24470))</f>
        <v>0</v>
      </c>
      <c r="K24293" s="16" t="n">
        <f aca="false">Assumptions!$N$57*MIN(K24284+K24291+K24289-K24290-K24292,MAX(0,K24470))</f>
        <v>0</v>
      </c>
    </row>
    <row r="24294" customFormat="false" ht="15" hidden="false" customHeight="false" outlineLevel="0" collapsed="false">
      <c r="A24294" s="3" t="s">
        <v>338</v>
      </c>
      <c r="G24294" s="16" t="n">
        <f aca="false">G24285*(1-G24282)*(G24284-G24290+G24289-G24292)</f>
        <v>0</v>
      </c>
      <c r="H24294" s="16" t="n">
        <f aca="false">H24285*(1-H24282)*(H24284-H24290+H24289-H24292)</f>
        <v>0</v>
      </c>
      <c r="I24294" s="16" t="n">
        <f aca="false">I24285*(1-I24282)*(I24284-I24290+I24289-I24292)</f>
        <v>0</v>
      </c>
      <c r="J24294" s="16" t="n">
        <f aca="false">J24285*(1-J24282)*(J24284-J24290+J24289-J24292)</f>
        <v>0</v>
      </c>
      <c r="K24294" s="16" t="n">
        <f aca="false">K24285*(1-K24282)*(K24284-K24290+K24289-K24292)</f>
        <v>0</v>
      </c>
    </row>
    <row r="24295" customFormat="false" ht="15" hidden="false" customHeight="false" outlineLevel="0" collapsed="false">
      <c r="A24295" s="2" t="s">
        <v>339</v>
      </c>
      <c r="F24295" s="28" t="n">
        <f aca="false">Assumptions!$C$57</f>
        <v>400</v>
      </c>
      <c r="G24295" s="17" t="n">
        <f aca="false">G24284+G24291+G24289-G24290-G24292-G24293</f>
        <v>396</v>
      </c>
      <c r="H24295" s="17" t="n">
        <f aca="false">H24284+H24291+H24289-H24290-H24292-H24293</f>
        <v>392</v>
      </c>
      <c r="I24295" s="17" t="n">
        <f aca="false">I24284+I24291+I24289-I24290-I24292-I24293</f>
        <v>388</v>
      </c>
      <c r="J24295" s="17" t="n">
        <f aca="false">J24284+J24291+J24289-J24290-J24292-J24293</f>
        <v>384</v>
      </c>
      <c r="K24295" s="17" t="n">
        <f aca="false">K24284+K24291+K24289-K24290-K24292-K24293</f>
        <v>380</v>
      </c>
    </row>
    <row r="24296" customFormat="false" ht="15" hidden="false" customHeight="false" outlineLevel="0" collapsed="false">
      <c r="A24296" s="24" t="s">
        <v>340</v>
      </c>
      <c r="B24296" s="25"/>
      <c r="C24296" s="25"/>
      <c r="D24296" s="25"/>
      <c r="E24296" s="25"/>
      <c r="F24296" s="25"/>
      <c r="G24296" s="25"/>
      <c r="H24296" s="25"/>
      <c r="I24296" s="25"/>
      <c r="J24296" s="25"/>
      <c r="K24296" s="25"/>
    </row>
    <row r="24297" customFormat="false" ht="15" hidden="false" customHeight="false" outlineLevel="0" collapsed="false">
      <c r="A24297" s="3" t="s">
        <v>329</v>
      </c>
      <c r="G24297" s="16" t="n">
        <f aca="false">F24308</f>
        <v>90</v>
      </c>
      <c r="H24297" s="16" t="n">
        <f aca="false">G24308</f>
        <v>90</v>
      </c>
      <c r="I24297" s="16" t="n">
        <f aca="false">H24308</f>
        <v>90</v>
      </c>
      <c r="J24297" s="16" t="n">
        <f aca="false">I24308</f>
        <v>90</v>
      </c>
      <c r="K24297" s="16" t="n">
        <f aca="false">J24308</f>
        <v>90</v>
      </c>
    </row>
    <row r="24298" customFormat="false" ht="15" hidden="false" customHeight="false" outlineLevel="0" collapsed="false">
      <c r="A24298" s="3" t="s">
        <v>330</v>
      </c>
      <c r="G24298" s="21" t="n">
        <f aca="false">IF(G24248=Assumptions!$K$58,1,0)</f>
        <v>0</v>
      </c>
      <c r="H24298" s="21" t="n">
        <f aca="false">IF(H24248=Assumptions!$K$58,1,0)</f>
        <v>0</v>
      </c>
      <c r="I24298" s="21" t="n">
        <f aca="false">IF(I24248=Assumptions!$K$58,1,0)</f>
        <v>0</v>
      </c>
      <c r="J24298" s="21" t="n">
        <f aca="false">IF(J24248=Assumptions!$K$58,1,0)</f>
        <v>0</v>
      </c>
      <c r="K24298" s="21" t="n">
        <f aca="false">IF(K24248=Assumptions!$K$58,1,0)</f>
        <v>0</v>
      </c>
    </row>
    <row r="24300" customFormat="false" ht="15" hidden="false" customHeight="false" outlineLevel="0" collapsed="false">
      <c r="A24300" s="3" t="s">
        <v>331</v>
      </c>
      <c r="G24300" s="31" t="n">
        <f aca="false">IF(Assumptions!$I$58=1,MAX(G24274,Assumptions!$G$58)+Assumptions!$F$58+$C$24275,Assumptions!$E$58)</f>
        <v>0.0581</v>
      </c>
      <c r="H24300" s="31" t="n">
        <f aca="false">IF(G24595=1,$C$24276,IF(Assumptions!$I$58=1,MAX(H24274,Assumptions!$G$58)+Assumptions!$F$58+$C$24275,Assumptions!$E$58))</f>
        <v>0.0581</v>
      </c>
      <c r="I24300" s="31" t="n">
        <f aca="false">IF(H24595=1,$C$24276,IF(Assumptions!$I$58=1,MAX(I24274,Assumptions!$G$58)+Assumptions!$F$58+$C$24275,Assumptions!$E$58))</f>
        <v>0.0581</v>
      </c>
      <c r="J24300" s="31" t="n">
        <f aca="false">IF(I24595=1,$C$24276,IF(Assumptions!$I$58=1,MAX(J24274,Assumptions!$G$58)+Assumptions!$F$58+$C$24275,Assumptions!$E$58))</f>
        <v>0.0581</v>
      </c>
      <c r="K24300" s="31" t="n">
        <f aca="false">IF(J24595=1,$C$24276,IF(Assumptions!$I$58=1,MAX(K24274,Assumptions!$G$58)+Assumptions!$F$58+$C$24275,Assumptions!$E$58))</f>
        <v>0.0581</v>
      </c>
    </row>
    <row r="24301" customFormat="false" ht="15" hidden="false" customHeight="false" outlineLevel="0" collapsed="false">
      <c r="A24301" s="3" t="s">
        <v>332</v>
      </c>
      <c r="G24301" s="16" t="n">
        <f aca="false">G24297*G24300</f>
        <v>5.229</v>
      </c>
      <c r="H24301" s="16" t="n">
        <f aca="false">H24297*H24300</f>
        <v>5.229</v>
      </c>
      <c r="I24301" s="16" t="n">
        <f aca="false">I24297*I24300</f>
        <v>5.229</v>
      </c>
      <c r="J24301" s="16" t="n">
        <f aca="false">J24297*J24300</f>
        <v>5.229</v>
      </c>
      <c r="K24301" s="16" t="n">
        <f aca="false">K24297*K24300</f>
        <v>5.229</v>
      </c>
    </row>
    <row r="24302" customFormat="false" ht="15" hidden="false" customHeight="false" outlineLevel="0" collapsed="false">
      <c r="A24302" s="3" t="s">
        <v>333</v>
      </c>
      <c r="G24302" s="16" t="n">
        <f aca="false">G24297*Assumptions!$H$58</f>
        <v>0</v>
      </c>
      <c r="H24302" s="16" t="n">
        <f aca="false">H24297*Assumptions!$H$58</f>
        <v>0</v>
      </c>
      <c r="I24302" s="16" t="n">
        <f aca="false">I24297*Assumptions!$H$58</f>
        <v>0</v>
      </c>
      <c r="J24302" s="16" t="n">
        <f aca="false">J24297*Assumptions!$H$58</f>
        <v>0</v>
      </c>
      <c r="K24302" s="16" t="n">
        <f aca="false">K24297*Assumptions!$H$58</f>
        <v>0</v>
      </c>
    </row>
    <row r="24303" customFormat="false" ht="15" hidden="false" customHeight="false" outlineLevel="0" collapsed="false">
      <c r="A24303" s="3" t="s">
        <v>334</v>
      </c>
      <c r="G24303" s="16" t="n">
        <f aca="false">MIN(G24297,Assumptions!$L$58*Assumptions!$C$58)</f>
        <v>0</v>
      </c>
      <c r="H24303" s="16" t="n">
        <f aca="false">MIN(H24297,Assumptions!$L$58*Assumptions!$C$58)</f>
        <v>0</v>
      </c>
      <c r="I24303" s="16" t="n">
        <f aca="false">MIN(I24297,Assumptions!$L$58*Assumptions!$C$58)</f>
        <v>0</v>
      </c>
      <c r="J24303" s="16" t="n">
        <f aca="false">MIN(J24297,Assumptions!$L$58*Assumptions!$C$58)</f>
        <v>0</v>
      </c>
      <c r="K24303" s="16" t="n">
        <f aca="false">MIN(K24297,Assumptions!$L$58*Assumptions!$C$58)</f>
        <v>0</v>
      </c>
    </row>
    <row r="24304" customFormat="false" ht="15" hidden="false" customHeight="false" outlineLevel="0" collapsed="false">
      <c r="A24304" s="3" t="s">
        <v>335</v>
      </c>
      <c r="G24304" s="16" t="n">
        <f aca="false">IF(AND(Assumptions!$P$58=1,G24248&lt;Assumptions!$K$58),MIN(MAX(0,-G24464),MAX(0,Assumptions!$D$58-G24297)),0)</f>
        <v>0</v>
      </c>
      <c r="H24304" s="16" t="n">
        <f aca="false">IF(AND(Assumptions!$P$58=1,OR(H24248&lt;Assumptions!$K$58,G24595=1)),MIN(MAX(0,-H24464),MAX(0,Assumptions!$D$58-H24297)),0)</f>
        <v>0</v>
      </c>
      <c r="I24304" s="16" t="n">
        <f aca="false">IF(AND(Assumptions!$P$58=1,OR(I24248&lt;Assumptions!$K$58,H24595=1)),MIN(MAX(0,-I24464),MAX(0,Assumptions!$D$58-I24297)),0)</f>
        <v>0</v>
      </c>
      <c r="J24304" s="16" t="n">
        <f aca="false">IF(AND(Assumptions!$P$58=1,OR(J24248&lt;Assumptions!$K$58,I24595=1)),MIN(MAX(0,-J24464),MAX(0,Assumptions!$D$58-J24297)),0)</f>
        <v>0</v>
      </c>
      <c r="K24304" s="16" t="n">
        <f aca="false">IF(AND(Assumptions!$P$58=1,OR(K24248&lt;Assumptions!$K$58,J24595=1)),MIN(MAX(0,-K24464),MAX(0,Assumptions!$D$58-K24297)),0)</f>
        <v>0</v>
      </c>
    </row>
    <row r="24305" customFormat="false" ht="15" hidden="false" customHeight="false" outlineLevel="0" collapsed="false">
      <c r="A24305" s="3" t="s">
        <v>336</v>
      </c>
      <c r="G24305" s="16" t="n">
        <f aca="false">G24298*MIN(G24297-G24303+G24302,MAX(0,G24466-Assumptions!$C$12*G24282-G24292))</f>
        <v>0</v>
      </c>
      <c r="H24305" s="16" t="n">
        <f aca="false">H24298*MIN(H24297-H24303+H24302,MAX(0,H24466-Assumptions!$C$12*H24282-H24292))</f>
        <v>0</v>
      </c>
      <c r="I24305" s="16" t="n">
        <f aca="false">I24298*MIN(I24297-I24303+I24302,MAX(0,I24466-Assumptions!$C$12*I24282-I24292))</f>
        <v>0</v>
      </c>
      <c r="J24305" s="16" t="n">
        <f aca="false">J24298*MIN(J24297-J24303+J24302,MAX(0,J24466-Assumptions!$C$12*J24282-J24292))</f>
        <v>0</v>
      </c>
      <c r="K24305" s="16" t="n">
        <f aca="false">K24298*MIN(K24297-K24303+K24302,MAX(0,K24466-Assumptions!$C$12*K24282-K24292))</f>
        <v>0</v>
      </c>
    </row>
    <row r="24306" customFormat="false" ht="15" hidden="false" customHeight="false" outlineLevel="0" collapsed="false">
      <c r="A24306" s="3" t="s">
        <v>337</v>
      </c>
      <c r="G24306" s="16" t="n">
        <f aca="false">Assumptions!$N$58*MIN(G24297+G24304+G24302-G24303-G24305,MAX(0,G24470-G24293))</f>
        <v>0</v>
      </c>
      <c r="H24306" s="16" t="n">
        <f aca="false">Assumptions!$N$58*MIN(H24297+H24304+H24302-H24303-H24305,MAX(0,H24470-H24293))</f>
        <v>0</v>
      </c>
      <c r="I24306" s="16" t="n">
        <f aca="false">Assumptions!$N$58*MIN(I24297+I24304+I24302-I24303-I24305,MAX(0,I24470-I24293))</f>
        <v>0</v>
      </c>
      <c r="J24306" s="16" t="n">
        <f aca="false">Assumptions!$N$58*MIN(J24297+J24304+J24302-J24303-J24305,MAX(0,J24470-J24293))</f>
        <v>0</v>
      </c>
      <c r="K24306" s="16" t="n">
        <f aca="false">Assumptions!$N$58*MIN(K24297+K24304+K24302-K24303-K24305,MAX(0,K24470-K24293))</f>
        <v>0</v>
      </c>
    </row>
    <row r="24307" customFormat="false" ht="15" hidden="false" customHeight="false" outlineLevel="0" collapsed="false">
      <c r="A24307" s="3" t="s">
        <v>338</v>
      </c>
      <c r="G24307" s="16" t="n">
        <f aca="false">G24298*(1-G24282)*(G24297-G24303+G24302-G24305)</f>
        <v>0</v>
      </c>
      <c r="H24307" s="16" t="n">
        <f aca="false">H24298*(1-H24282)*(H24297-H24303+H24302-H24305)</f>
        <v>0</v>
      </c>
      <c r="I24307" s="16" t="n">
        <f aca="false">I24298*(1-I24282)*(I24297-I24303+I24302-I24305)</f>
        <v>0</v>
      </c>
      <c r="J24307" s="16" t="n">
        <f aca="false">J24298*(1-J24282)*(J24297-J24303+J24302-J24305)</f>
        <v>0</v>
      </c>
      <c r="K24307" s="16" t="n">
        <f aca="false">K24298*(1-K24282)*(K24297-K24303+K24302-K24305)</f>
        <v>0</v>
      </c>
    </row>
    <row r="24308" customFormat="false" ht="15" hidden="false" customHeight="false" outlineLevel="0" collapsed="false">
      <c r="A24308" s="2" t="s">
        <v>339</v>
      </c>
      <c r="F24308" s="28" t="n">
        <f aca="false">Assumptions!$C$58</f>
        <v>90</v>
      </c>
      <c r="G24308" s="17" t="n">
        <f aca="false">G24297+G24304+G24302-G24303-G24305-G24306</f>
        <v>90</v>
      </c>
      <c r="H24308" s="17" t="n">
        <f aca="false">H24297+H24304+H24302-H24303-H24305-H24306</f>
        <v>90</v>
      </c>
      <c r="I24308" s="17" t="n">
        <f aca="false">I24297+I24304+I24302-I24303-I24305-I24306</f>
        <v>90</v>
      </c>
      <c r="J24308" s="17" t="n">
        <f aca="false">J24297+J24304+J24302-J24303-J24305-J24306</f>
        <v>90</v>
      </c>
      <c r="K24308" s="17" t="n">
        <f aca="false">K24297+K24304+K24302-K24303-K24305-K24306</f>
        <v>90</v>
      </c>
    </row>
    <row r="24309" customFormat="false" ht="15" hidden="false" customHeight="false" outlineLevel="0" collapsed="false">
      <c r="A24309" s="24" t="s">
        <v>341</v>
      </c>
      <c r="B24309" s="25"/>
      <c r="C24309" s="25"/>
      <c r="D24309" s="25"/>
      <c r="E24309" s="25"/>
      <c r="F24309" s="25"/>
      <c r="G24309" s="25"/>
      <c r="H24309" s="25"/>
      <c r="I24309" s="25"/>
      <c r="J24309" s="25"/>
      <c r="K24309" s="25"/>
    </row>
    <row r="24310" customFormat="false" ht="15" hidden="false" customHeight="false" outlineLevel="0" collapsed="false">
      <c r="A24310" s="3" t="s">
        <v>329</v>
      </c>
      <c r="G24310" s="16" t="n">
        <f aca="false">F24321</f>
        <v>57.324</v>
      </c>
      <c r="H24310" s="16" t="n">
        <f aca="false">G24321</f>
        <v>57.324</v>
      </c>
      <c r="I24310" s="16" t="n">
        <f aca="false">H24321</f>
        <v>57.324</v>
      </c>
      <c r="J24310" s="16" t="n">
        <f aca="false">I24321</f>
        <v>57.324</v>
      </c>
      <c r="K24310" s="16" t="n">
        <f aca="false">J24321</f>
        <v>57.324</v>
      </c>
    </row>
    <row r="24311" customFormat="false" ht="15" hidden="false" customHeight="false" outlineLevel="0" collapsed="false">
      <c r="A24311" s="3" t="s">
        <v>330</v>
      </c>
      <c r="G24311" s="21" t="n">
        <f aca="false">IF(G24248=Assumptions!$K$59,1,0)</f>
        <v>0</v>
      </c>
      <c r="H24311" s="21" t="n">
        <f aca="false">IF(H24248=Assumptions!$K$59,1,0)</f>
        <v>0</v>
      </c>
      <c r="I24311" s="21" t="n">
        <f aca="false">IF(I24248=Assumptions!$K$59,1,0)</f>
        <v>0</v>
      </c>
      <c r="J24311" s="21" t="n">
        <f aca="false">IF(J24248=Assumptions!$K$59,1,0)</f>
        <v>0</v>
      </c>
      <c r="K24311" s="21" t="n">
        <f aca="false">IF(K24248=Assumptions!$K$59,1,0)</f>
        <v>0</v>
      </c>
    </row>
    <row r="24313" customFormat="false" ht="15" hidden="false" customHeight="false" outlineLevel="0" collapsed="false">
      <c r="A24313" s="3" t="s">
        <v>331</v>
      </c>
      <c r="G24313" s="31" t="n">
        <f aca="false">IF(Assumptions!$I$59=1,MAX(G24274,Assumptions!$G$59)+Assumptions!$F$59+$C$24275,Assumptions!$E$59)</f>
        <v>0.0731</v>
      </c>
      <c r="H24313" s="31" t="n">
        <f aca="false">IF(G24596=1,$C$24276,IF(Assumptions!$I$59=1,MAX(H24274,Assumptions!$G$59)+Assumptions!$F$59+$C$24275,Assumptions!$E$59))</f>
        <v>0.0731</v>
      </c>
      <c r="I24313" s="31" t="n">
        <f aca="false">IF(H24596=1,$C$24276,IF(Assumptions!$I$59=1,MAX(I24274,Assumptions!$G$59)+Assumptions!$F$59+$C$24275,Assumptions!$E$59))</f>
        <v>0.0731</v>
      </c>
      <c r="J24313" s="31" t="n">
        <f aca="false">IF(I24596=1,$C$24276,IF(Assumptions!$I$59=1,MAX(J24274,Assumptions!$G$59)+Assumptions!$F$59+$C$24275,Assumptions!$E$59))</f>
        <v>0.0731</v>
      </c>
      <c r="K24313" s="31" t="n">
        <f aca="false">IF(J24596=1,$C$24276,IF(Assumptions!$I$59=1,MAX(K24274,Assumptions!$G$59)+Assumptions!$F$59+$C$24275,Assumptions!$E$59))</f>
        <v>0.0731</v>
      </c>
    </row>
    <row r="24314" customFormat="false" ht="15" hidden="false" customHeight="false" outlineLevel="0" collapsed="false">
      <c r="A24314" s="3" t="s">
        <v>332</v>
      </c>
      <c r="G24314" s="16" t="n">
        <f aca="false">G24310*G24313</f>
        <v>4.1903844</v>
      </c>
      <c r="H24314" s="16" t="n">
        <f aca="false">H24310*H24313</f>
        <v>4.1903844</v>
      </c>
      <c r="I24314" s="16" t="n">
        <f aca="false">I24310*I24313</f>
        <v>4.1903844</v>
      </c>
      <c r="J24314" s="16" t="n">
        <f aca="false">J24310*J24313</f>
        <v>4.1903844</v>
      </c>
      <c r="K24314" s="16" t="n">
        <f aca="false">K24310*K24313</f>
        <v>4.1903844</v>
      </c>
    </row>
    <row r="24315" customFormat="false" ht="15" hidden="false" customHeight="false" outlineLevel="0" collapsed="false">
      <c r="A24315" s="3" t="s">
        <v>333</v>
      </c>
      <c r="G24315" s="16" t="n">
        <f aca="false">G24310*Assumptions!$H$59</f>
        <v>0</v>
      </c>
      <c r="H24315" s="16" t="n">
        <f aca="false">H24310*Assumptions!$H$59</f>
        <v>0</v>
      </c>
      <c r="I24315" s="16" t="n">
        <f aca="false">I24310*Assumptions!$H$59</f>
        <v>0</v>
      </c>
      <c r="J24315" s="16" t="n">
        <f aca="false">J24310*Assumptions!$H$59</f>
        <v>0</v>
      </c>
      <c r="K24315" s="16" t="n">
        <f aca="false">K24310*Assumptions!$H$59</f>
        <v>0</v>
      </c>
    </row>
    <row r="24316" customFormat="false" ht="15" hidden="false" customHeight="false" outlineLevel="0" collapsed="false">
      <c r="A24316" s="3" t="s">
        <v>334</v>
      </c>
      <c r="G24316" s="16" t="n">
        <f aca="false">MIN(G24310,Assumptions!$L$59*Assumptions!$C$59)</f>
        <v>0</v>
      </c>
      <c r="H24316" s="16" t="n">
        <f aca="false">MIN(H24310,Assumptions!$L$59*Assumptions!$C$59)</f>
        <v>0</v>
      </c>
      <c r="I24316" s="16" t="n">
        <f aca="false">MIN(I24310,Assumptions!$L$59*Assumptions!$C$59)</f>
        <v>0</v>
      </c>
      <c r="J24316" s="16" t="n">
        <f aca="false">MIN(J24310,Assumptions!$L$59*Assumptions!$C$59)</f>
        <v>0</v>
      </c>
      <c r="K24316" s="16" t="n">
        <f aca="false">MIN(K24310,Assumptions!$L$59*Assumptions!$C$59)</f>
        <v>0</v>
      </c>
    </row>
    <row r="24317" customFormat="false" ht="15" hidden="false" customHeight="false" outlineLevel="0" collapsed="false">
      <c r="A24317" s="3" t="s">
        <v>335</v>
      </c>
      <c r="G24317" s="16" t="n">
        <f aca="false">IF(AND(Assumptions!$P$59=1,G24248&lt;Assumptions!$K$59),MIN(MAX(0,-G24464),MAX(0,Assumptions!$D$59-G24310)),0)</f>
        <v>0</v>
      </c>
      <c r="H24317" s="16" t="n">
        <f aca="false">IF(AND(Assumptions!$P$59=1,OR(H24248&lt;Assumptions!$K$59,G24596=1)),MIN(MAX(0,-H24464),MAX(0,Assumptions!$D$59-H24310)),0)</f>
        <v>0</v>
      </c>
      <c r="I24317" s="16" t="n">
        <f aca="false">IF(AND(Assumptions!$P$59=1,OR(I24248&lt;Assumptions!$K$59,H24596=1)),MIN(MAX(0,-I24464),MAX(0,Assumptions!$D$59-I24310)),0)</f>
        <v>0</v>
      </c>
      <c r="J24317" s="16" t="n">
        <f aca="false">IF(AND(Assumptions!$P$59=1,OR(J24248&lt;Assumptions!$K$59,I24596=1)),MIN(MAX(0,-J24464),MAX(0,Assumptions!$D$59-J24310)),0)</f>
        <v>0</v>
      </c>
      <c r="K24317" s="16" t="n">
        <f aca="false">IF(AND(Assumptions!$P$59=1,OR(K24248&lt;Assumptions!$K$59,J24596=1)),MIN(MAX(0,-K24464),MAX(0,Assumptions!$D$59-K24310)),0)</f>
        <v>0</v>
      </c>
    </row>
    <row r="24318" customFormat="false" ht="15" hidden="false" customHeight="false" outlineLevel="0" collapsed="false">
      <c r="A24318" s="3" t="s">
        <v>336</v>
      </c>
      <c r="G24318" s="16" t="n">
        <f aca="false">G24311*MIN(G24310-G24316+G24315,MAX(0,G24466-Assumptions!$C$12*G24282-G24292-G24305))</f>
        <v>0</v>
      </c>
      <c r="H24318" s="16" t="n">
        <f aca="false">H24311*MIN(H24310-H24316+H24315,MAX(0,H24466-Assumptions!$C$12*H24282-H24292-H24305))</f>
        <v>0</v>
      </c>
      <c r="I24318" s="16" t="n">
        <f aca="false">I24311*MIN(I24310-I24316+I24315,MAX(0,I24466-Assumptions!$C$12*I24282-I24292-I24305))</f>
        <v>0</v>
      </c>
      <c r="J24318" s="16" t="n">
        <f aca="false">J24311*MIN(J24310-J24316+J24315,MAX(0,J24466-Assumptions!$C$12*J24282-J24292-J24305))</f>
        <v>0</v>
      </c>
      <c r="K24318" s="16" t="n">
        <f aca="false">K24311*MIN(K24310-K24316+K24315,MAX(0,K24466-Assumptions!$C$12*K24282-K24292-K24305))</f>
        <v>0</v>
      </c>
    </row>
    <row r="24319" customFormat="false" ht="15" hidden="false" customHeight="false" outlineLevel="0" collapsed="false">
      <c r="A24319" s="3" t="s">
        <v>337</v>
      </c>
      <c r="G24319" s="16" t="n">
        <f aca="false">Assumptions!$N$59*MIN(G24310+G24317+G24315-G24316-G24318,MAX(0,G24470-G24293-G24306))</f>
        <v>0</v>
      </c>
      <c r="H24319" s="16" t="n">
        <f aca="false">Assumptions!$N$59*MIN(H24310+H24317+H24315-H24316-H24318,MAX(0,H24470-H24293-H24306))</f>
        <v>0</v>
      </c>
      <c r="I24319" s="16" t="n">
        <f aca="false">Assumptions!$N$59*MIN(I24310+I24317+I24315-I24316-I24318,MAX(0,I24470-I24293-I24306))</f>
        <v>0</v>
      </c>
      <c r="J24319" s="16" t="n">
        <f aca="false">Assumptions!$N$59*MIN(J24310+J24317+J24315-J24316-J24318,MAX(0,J24470-J24293-J24306))</f>
        <v>0</v>
      </c>
      <c r="K24319" s="16" t="n">
        <f aca="false">Assumptions!$N$59*MIN(K24310+K24317+K24315-K24316-K24318,MAX(0,K24470-K24293-K24306))</f>
        <v>0</v>
      </c>
    </row>
    <row r="24320" customFormat="false" ht="15" hidden="false" customHeight="false" outlineLevel="0" collapsed="false">
      <c r="A24320" s="3" t="s">
        <v>338</v>
      </c>
      <c r="G24320" s="16" t="n">
        <f aca="false">G24311*(1-G24282)*(G24310-G24316+G24315-G24318)</f>
        <v>0</v>
      </c>
      <c r="H24320" s="16" t="n">
        <f aca="false">H24311*(1-H24282)*(H24310-H24316+H24315-H24318)</f>
        <v>0</v>
      </c>
      <c r="I24320" s="16" t="n">
        <f aca="false">I24311*(1-I24282)*(I24310-I24316+I24315-I24318)</f>
        <v>0</v>
      </c>
      <c r="J24320" s="16" t="n">
        <f aca="false">J24311*(1-J24282)*(J24310-J24316+J24315-J24318)</f>
        <v>0</v>
      </c>
      <c r="K24320" s="16" t="n">
        <f aca="false">K24311*(1-K24282)*(K24310-K24316+K24315-K24318)</f>
        <v>0</v>
      </c>
    </row>
    <row r="24321" customFormat="false" ht="15" hidden="false" customHeight="false" outlineLevel="0" collapsed="false">
      <c r="A24321" s="2" t="s">
        <v>339</v>
      </c>
      <c r="F24321" s="28" t="n">
        <f aca="false">Assumptions!$C$59</f>
        <v>57.324</v>
      </c>
      <c r="G24321" s="17" t="n">
        <f aca="false">G24310+G24317+G24315-G24316-G24318-G24319</f>
        <v>57.324</v>
      </c>
      <c r="H24321" s="17" t="n">
        <f aca="false">H24310+H24317+H24315-H24316-H24318-H24319</f>
        <v>57.324</v>
      </c>
      <c r="I24321" s="17" t="n">
        <f aca="false">I24310+I24317+I24315-I24316-I24318-I24319</f>
        <v>57.324</v>
      </c>
      <c r="J24321" s="17" t="n">
        <f aca="false">J24310+J24317+J24315-J24316-J24318-J24319</f>
        <v>57.324</v>
      </c>
      <c r="K24321" s="17" t="n">
        <f aca="false">K24310+K24317+K24315-K24316-K24318-K24319</f>
        <v>57.324</v>
      </c>
    </row>
    <row r="24322" customFormat="false" ht="15" hidden="false" customHeight="false" outlineLevel="0" collapsed="false">
      <c r="A24322" s="24" t="s">
        <v>342</v>
      </c>
      <c r="B24322" s="25"/>
      <c r="C24322" s="25"/>
      <c r="D24322" s="25"/>
      <c r="E24322" s="25"/>
      <c r="F24322" s="25"/>
      <c r="G24322" s="25"/>
      <c r="H24322" s="25"/>
      <c r="I24322" s="25"/>
      <c r="J24322" s="25"/>
      <c r="K24322" s="25"/>
    </row>
    <row r="24323" customFormat="false" ht="15" hidden="false" customHeight="false" outlineLevel="0" collapsed="false">
      <c r="A24323" s="3" t="s">
        <v>329</v>
      </c>
      <c r="G24323" s="16" t="n">
        <f aca="false">F24334</f>
        <v>0</v>
      </c>
      <c r="H24323" s="16" t="n">
        <f aca="false">G24334</f>
        <v>0</v>
      </c>
      <c r="I24323" s="16" t="n">
        <f aca="false">H24334</f>
        <v>0</v>
      </c>
      <c r="J24323" s="16" t="n">
        <f aca="false">I24334</f>
        <v>77.734294182056</v>
      </c>
      <c r="K24323" s="16" t="n">
        <f aca="false">J24334</f>
        <v>178.347157024795</v>
      </c>
    </row>
    <row r="24324" customFormat="false" ht="15" hidden="false" customHeight="false" outlineLevel="0" collapsed="false">
      <c r="A24324" s="3" t="s">
        <v>330</v>
      </c>
      <c r="G24324" s="21" t="n">
        <f aca="false">IF(G24248=Assumptions!$K$60,1,0)</f>
        <v>1</v>
      </c>
      <c r="H24324" s="21" t="n">
        <f aca="false">IF(H24248=Assumptions!$K$60,1,0)</f>
        <v>0</v>
      </c>
      <c r="I24324" s="21" t="n">
        <f aca="false">IF(I24248=Assumptions!$K$60,1,0)</f>
        <v>0</v>
      </c>
      <c r="J24324" s="21" t="n">
        <f aca="false">IF(J24248=Assumptions!$K$60,1,0)</f>
        <v>0</v>
      </c>
      <c r="K24324" s="21" t="n">
        <f aca="false">IF(K24248=Assumptions!$K$60,1,0)</f>
        <v>0</v>
      </c>
    </row>
    <row r="24326" customFormat="false" ht="15" hidden="false" customHeight="false" outlineLevel="0" collapsed="false">
      <c r="A24326" s="3" t="s">
        <v>331</v>
      </c>
      <c r="G24326" s="31" t="n">
        <f aca="false">IF(Assumptions!$I$60=1,MAX(G24274,Assumptions!$G$60)+Assumptions!$F$60+$C$24275,Assumptions!$E$60)</f>
        <v>0.074</v>
      </c>
      <c r="H24326" s="31" t="n">
        <f aca="false">IF(G24597=1,$C$24276,IF(Assumptions!$I$60=1,MAX(H24274,Assumptions!$G$60)+Assumptions!$F$60+$C$24275,Assumptions!$E$60))</f>
        <v>0.08</v>
      </c>
      <c r="I24326" s="31" t="n">
        <f aca="false">IF(H24597=1,$C$24276,IF(Assumptions!$I$60=1,MAX(I24274,Assumptions!$G$60)+Assumptions!$F$60+$C$24275,Assumptions!$E$60))</f>
        <v>0.08</v>
      </c>
      <c r="J24326" s="31" t="n">
        <f aca="false">IF(I24597=1,$C$24276,IF(Assumptions!$I$60=1,MAX(J24274,Assumptions!$G$60)+Assumptions!$F$60+$C$24275,Assumptions!$E$60))</f>
        <v>0.08</v>
      </c>
      <c r="K24326" s="31" t="n">
        <f aca="false">IF(J24597=1,$C$24276,IF(Assumptions!$I$60=1,MAX(K24274,Assumptions!$G$60)+Assumptions!$F$60+$C$24275,Assumptions!$E$60))</f>
        <v>0.08</v>
      </c>
    </row>
    <row r="24327" customFormat="false" ht="15" hidden="false" customHeight="false" outlineLevel="0" collapsed="false">
      <c r="A24327" s="3" t="s">
        <v>332</v>
      </c>
      <c r="G24327" s="16" t="n">
        <f aca="false">G24323*G24326</f>
        <v>0</v>
      </c>
      <c r="H24327" s="16" t="n">
        <f aca="false">H24323*H24326</f>
        <v>0</v>
      </c>
      <c r="I24327" s="16" t="n">
        <f aca="false">I24323*I24326</f>
        <v>0</v>
      </c>
      <c r="J24327" s="16" t="n">
        <f aca="false">J24323*J24326</f>
        <v>6.21874353456448</v>
      </c>
      <c r="K24327" s="16" t="n">
        <f aca="false">K24323*K24326</f>
        <v>14.2677725619836</v>
      </c>
    </row>
    <row r="24328" customFormat="false" ht="15" hidden="false" customHeight="false" outlineLevel="0" collapsed="false">
      <c r="A24328" s="3" t="s">
        <v>333</v>
      </c>
      <c r="G24328" s="16" t="n">
        <f aca="false">G24323*Assumptions!$H$60</f>
        <v>0</v>
      </c>
      <c r="H24328" s="16" t="n">
        <f aca="false">H24323*Assumptions!$H$60</f>
        <v>0</v>
      </c>
      <c r="I24328" s="16" t="n">
        <f aca="false">I24323*Assumptions!$H$60</f>
        <v>0</v>
      </c>
      <c r="J24328" s="16" t="n">
        <f aca="false">J24323*Assumptions!$H$60</f>
        <v>0</v>
      </c>
      <c r="K24328" s="16" t="n">
        <f aca="false">K24323*Assumptions!$H$60</f>
        <v>0</v>
      </c>
    </row>
    <row r="24329" customFormat="false" ht="15" hidden="false" customHeight="false" outlineLevel="0" collapsed="false">
      <c r="A24329" s="3" t="s">
        <v>334</v>
      </c>
      <c r="G24329" s="16" t="n">
        <f aca="false">MIN(G24323,Assumptions!$L$60*Assumptions!$C$60)</f>
        <v>0</v>
      </c>
      <c r="H24329" s="16" t="n">
        <f aca="false">MIN(H24323,Assumptions!$L$60*Assumptions!$C$60)</f>
        <v>0</v>
      </c>
      <c r="I24329" s="16" t="n">
        <f aca="false">MIN(I24323,Assumptions!$L$60*Assumptions!$C$60)</f>
        <v>0</v>
      </c>
      <c r="J24329" s="16" t="n">
        <f aca="false">MIN(J24323,Assumptions!$L$60*Assumptions!$C$60)</f>
        <v>0</v>
      </c>
      <c r="K24329" s="16" t="n">
        <f aca="false">MIN(K24323,Assumptions!$L$60*Assumptions!$C$60)</f>
        <v>0</v>
      </c>
    </row>
    <row r="24330" customFormat="false" ht="15" hidden="false" customHeight="false" outlineLevel="0" collapsed="false">
      <c r="A24330" s="3" t="s">
        <v>335</v>
      </c>
      <c r="G24330" s="16" t="n">
        <f aca="false">IF(AND(Assumptions!$P$60=1,G24248&lt;Assumptions!$K$60),MIN(MAX(0,-G24464),MAX(0,Assumptions!$D$60-G24323)),0)</f>
        <v>0</v>
      </c>
      <c r="H24330" s="16" t="n">
        <f aca="false">IF(AND(Assumptions!$P$60=1,OR(H24248&lt;Assumptions!$K$60,G24597=1)),MIN(MAX(0,-H24464),MAX(0,Assumptions!$D$60-H24323)),0)</f>
        <v>0</v>
      </c>
      <c r="I24330" s="16" t="n">
        <f aca="false">IF(AND(Assumptions!$P$60=1,OR(I24248&lt;Assumptions!$K$60,H24597=1)),MIN(MAX(0,-I24464),MAX(0,Assumptions!$D$60-I24323)),0)</f>
        <v>77.734294182056</v>
      </c>
      <c r="J24330" s="16" t="n">
        <f aca="false">IF(AND(Assumptions!$P$60=1,OR(J24248&lt;Assumptions!$K$60,I24597=1)),MIN(MAX(0,-J24464),MAX(0,Assumptions!$D$60-J24323)),0)</f>
        <v>100.612862842739</v>
      </c>
      <c r="K24330" s="16" t="n">
        <f aca="false">IF(AND(Assumptions!$P$60=1,OR(K24248&lt;Assumptions!$K$60,J24597=1)),MIN(MAX(0,-K24464),MAX(0,Assumptions!$D$60-K24323)),0)</f>
        <v>117.126746431453</v>
      </c>
    </row>
    <row r="24331" customFormat="false" ht="15" hidden="false" customHeight="false" outlineLevel="0" collapsed="false">
      <c r="A24331" s="3" t="s">
        <v>336</v>
      </c>
      <c r="G24331" s="16" t="n">
        <f aca="false">G24324*MIN(G24323-G24329+G24328,MAX(0,G24466-Assumptions!$C$12*G24282-G24292-G24305-G24318))</f>
        <v>0</v>
      </c>
      <c r="H24331" s="16" t="n">
        <f aca="false">H24324*MIN(H24323-H24329+H24328,MAX(0,H24466-Assumptions!$C$12*H24282-H24292-H24305-H24318))</f>
        <v>0</v>
      </c>
      <c r="I24331" s="16" t="n">
        <f aca="false">I24324*MIN(I24323-I24329+I24328,MAX(0,I24466-Assumptions!$C$12*I24282-I24292-I24305-I24318))</f>
        <v>0</v>
      </c>
      <c r="J24331" s="16" t="n">
        <f aca="false">J24324*MIN(J24323-J24329+J24328,MAX(0,J24466-Assumptions!$C$12*J24282-J24292-J24305-J24318))</f>
        <v>0</v>
      </c>
      <c r="K24331" s="16" t="n">
        <f aca="false">K24324*MIN(K24323-K24329+K24328,MAX(0,K24466-Assumptions!$C$12*K24282-K24292-K24305-K24318))</f>
        <v>0</v>
      </c>
    </row>
    <row r="24332" customFormat="false" ht="15" hidden="false" customHeight="false" outlineLevel="0" collapsed="false">
      <c r="A24332" s="3" t="s">
        <v>337</v>
      </c>
      <c r="G24332" s="16" t="n">
        <f aca="false">Assumptions!$N$60*MIN(G24323+G24330+G24328-G24329-G24331,MAX(0,G24470-G24293-G24306-G24319))</f>
        <v>0</v>
      </c>
      <c r="H24332" s="16" t="n">
        <f aca="false">Assumptions!$N$60*MIN(H24323+H24330+H24328-H24329-H24331,MAX(0,H24470-H24293-H24306-H24319))</f>
        <v>0</v>
      </c>
      <c r="I24332" s="16" t="n">
        <f aca="false">Assumptions!$N$60*MIN(I24323+I24330+I24328-I24329-I24331,MAX(0,I24470-I24293-I24306-I24319))</f>
        <v>0</v>
      </c>
      <c r="J24332" s="16" t="n">
        <f aca="false">Assumptions!$N$60*MIN(J24323+J24330+J24328-J24329-J24331,MAX(0,J24470-J24293-J24306-J24319))</f>
        <v>0</v>
      </c>
      <c r="K24332" s="16" t="n">
        <f aca="false">Assumptions!$N$60*MIN(K24323+K24330+K24328-K24329-K24331,MAX(0,K24470-K24293-K24306-K24319))</f>
        <v>0</v>
      </c>
    </row>
    <row r="24333" customFormat="false" ht="15" hidden="false" customHeight="false" outlineLevel="0" collapsed="false">
      <c r="A24333" s="3" t="s">
        <v>338</v>
      </c>
      <c r="G24333" s="16" t="n">
        <f aca="false">G24324*(1-G24282)*(G24323-G24329+G24328-G24331)</f>
        <v>0</v>
      </c>
      <c r="H24333" s="16" t="n">
        <f aca="false">H24324*(1-H24282)*(H24323-H24329+H24328-H24331)</f>
        <v>0</v>
      </c>
      <c r="I24333" s="16" t="n">
        <f aca="false">I24324*(1-I24282)*(I24323-I24329+I24328-I24331)</f>
        <v>0</v>
      </c>
      <c r="J24333" s="16" t="n">
        <f aca="false">J24324*(1-J24282)*(J24323-J24329+J24328-J24331)</f>
        <v>0</v>
      </c>
      <c r="K24333" s="16" t="n">
        <f aca="false">K24324*(1-K24282)*(K24323-K24329+K24328-K24331)</f>
        <v>0</v>
      </c>
    </row>
    <row r="24334" customFormat="false" ht="15" hidden="false" customHeight="false" outlineLevel="0" collapsed="false">
      <c r="A24334" s="2" t="s">
        <v>339</v>
      </c>
      <c r="F24334" s="28" t="n">
        <f aca="false">Assumptions!$C$60</f>
        <v>0</v>
      </c>
      <c r="G24334" s="17" t="n">
        <f aca="false">G24323+G24330+G24328-G24329-G24331-G24332</f>
        <v>0</v>
      </c>
      <c r="H24334" s="17" t="n">
        <f aca="false">H24323+H24330+H24328-H24329-H24331-H24332</f>
        <v>0</v>
      </c>
      <c r="I24334" s="17" t="n">
        <f aca="false">I24323+I24330+I24328-I24329-I24331-I24332</f>
        <v>77.734294182056</v>
      </c>
      <c r="J24334" s="17" t="n">
        <f aca="false">J24323+J24330+J24328-J24329-J24331-J24332</f>
        <v>178.347157024795</v>
      </c>
      <c r="K24334" s="17" t="n">
        <f aca="false">K24323+K24330+K24328-K24329-K24331-K24332</f>
        <v>295.473903456248</v>
      </c>
    </row>
    <row r="24335" customFormat="false" ht="15" hidden="false" customHeight="false" outlineLevel="0" collapsed="false">
      <c r="A24335" s="24" t="s">
        <v>343</v>
      </c>
      <c r="B24335" s="25"/>
      <c r="C24335" s="25"/>
      <c r="D24335" s="25"/>
      <c r="E24335" s="25"/>
      <c r="F24335" s="25"/>
      <c r="G24335" s="25"/>
      <c r="H24335" s="25"/>
      <c r="I24335" s="25"/>
      <c r="J24335" s="25"/>
      <c r="K24335" s="25"/>
    </row>
    <row r="24336" customFormat="false" ht="15" hidden="false" customHeight="false" outlineLevel="0" collapsed="false">
      <c r="A24336" s="3" t="s">
        <v>329</v>
      </c>
      <c r="G24336" s="16" t="n">
        <f aca="false">F24347</f>
        <v>450</v>
      </c>
      <c r="H24336" s="16" t="n">
        <f aca="false">G24347</f>
        <v>450</v>
      </c>
      <c r="I24336" s="16" t="n">
        <f aca="false">H24347</f>
        <v>426.7865513738</v>
      </c>
      <c r="J24336" s="16" t="n">
        <f aca="false">I24347</f>
        <v>426.7865513738</v>
      </c>
      <c r="K24336" s="16" t="n">
        <f aca="false">J24347</f>
        <v>426.7865513738</v>
      </c>
    </row>
    <row r="24337" customFormat="false" ht="15" hidden="false" customHeight="false" outlineLevel="0" collapsed="false">
      <c r="A24337" s="3" t="s">
        <v>330</v>
      </c>
      <c r="G24337" s="21" t="n">
        <f aca="false">IF(G24248=Assumptions!$K$61,1,0)</f>
        <v>0</v>
      </c>
      <c r="H24337" s="21" t="n">
        <f aca="false">IF(H24248=Assumptions!$K$61,1,0)</f>
        <v>1</v>
      </c>
      <c r="I24337" s="21" t="n">
        <f aca="false">IF(I24248=Assumptions!$K$61,1,0)</f>
        <v>0</v>
      </c>
      <c r="J24337" s="21" t="n">
        <f aca="false">IF(J24248=Assumptions!$K$61,1,0)</f>
        <v>0</v>
      </c>
      <c r="K24337" s="21" t="n">
        <f aca="false">IF(K24248=Assumptions!$K$61,1,0)</f>
        <v>0</v>
      </c>
    </row>
    <row r="24339" customFormat="false" ht="15" hidden="false" customHeight="false" outlineLevel="0" collapsed="false">
      <c r="A24339" s="3" t="s">
        <v>331</v>
      </c>
      <c r="G24339" s="31" t="n">
        <f aca="false">IF(Assumptions!$I$61=1,MAX(G24274,Assumptions!$G$61)+Assumptions!$F$61+$C$24275,Assumptions!$E$61)</f>
        <v>0.0395</v>
      </c>
      <c r="H24339" s="31" t="n">
        <f aca="false">IF(G24598=1,$C$24276,IF(Assumptions!$I$61=1,MAX(H24274,Assumptions!$G$61)+Assumptions!$F$61+$C$24275,Assumptions!$E$61))</f>
        <v>0.0395</v>
      </c>
      <c r="I24339" s="31" t="n">
        <f aca="false">IF(H24598=1,$C$24276,IF(Assumptions!$I$61=1,MAX(I24274,Assumptions!$G$61)+Assumptions!$F$61+$C$24275,Assumptions!$E$61))</f>
        <v>0.08</v>
      </c>
      <c r="J24339" s="31" t="n">
        <f aca="false">IF(I24598=1,$C$24276,IF(Assumptions!$I$61=1,MAX(J24274,Assumptions!$G$61)+Assumptions!$F$61+$C$24275,Assumptions!$E$61))</f>
        <v>0.08</v>
      </c>
      <c r="K24339" s="31" t="n">
        <f aca="false">IF(J24598=1,$C$24276,IF(Assumptions!$I$61=1,MAX(K24274,Assumptions!$G$61)+Assumptions!$F$61+$C$24275,Assumptions!$E$61))</f>
        <v>0.08</v>
      </c>
    </row>
    <row r="24340" customFormat="false" ht="15" hidden="false" customHeight="false" outlineLevel="0" collapsed="false">
      <c r="A24340" s="3" t="s">
        <v>332</v>
      </c>
      <c r="G24340" s="16" t="n">
        <f aca="false">G24336*G24339</f>
        <v>17.775</v>
      </c>
      <c r="H24340" s="16" t="n">
        <f aca="false">H24336*H24339</f>
        <v>17.775</v>
      </c>
      <c r="I24340" s="16" t="n">
        <f aca="false">I24336*I24339</f>
        <v>34.142924109904</v>
      </c>
      <c r="J24340" s="16" t="n">
        <f aca="false">J24336*J24339</f>
        <v>34.142924109904</v>
      </c>
      <c r="K24340" s="16" t="n">
        <f aca="false">K24336*K24339</f>
        <v>34.142924109904</v>
      </c>
    </row>
    <row r="24341" customFormat="false" ht="15" hidden="false" customHeight="false" outlineLevel="0" collapsed="false">
      <c r="A24341" s="3" t="s">
        <v>333</v>
      </c>
      <c r="G24341" s="16" t="n">
        <f aca="false">G24336*Assumptions!$H$61</f>
        <v>0</v>
      </c>
      <c r="H24341" s="16" t="n">
        <f aca="false">H24336*Assumptions!$H$61</f>
        <v>0</v>
      </c>
      <c r="I24341" s="16" t="n">
        <f aca="false">I24336*Assumptions!$H$61</f>
        <v>0</v>
      </c>
      <c r="J24341" s="16" t="n">
        <f aca="false">J24336*Assumptions!$H$61</f>
        <v>0</v>
      </c>
      <c r="K24341" s="16" t="n">
        <f aca="false">K24336*Assumptions!$H$61</f>
        <v>0</v>
      </c>
    </row>
    <row r="24342" customFormat="false" ht="15" hidden="false" customHeight="false" outlineLevel="0" collapsed="false">
      <c r="A24342" s="3" t="s">
        <v>334</v>
      </c>
      <c r="G24342" s="16" t="n">
        <f aca="false">MIN(G24336,Assumptions!$L$61*Assumptions!$C$61)</f>
        <v>0</v>
      </c>
      <c r="H24342" s="16" t="n">
        <f aca="false">MIN(H24336,Assumptions!$L$61*Assumptions!$C$61)</f>
        <v>0</v>
      </c>
      <c r="I24342" s="16" t="n">
        <f aca="false">MIN(I24336,Assumptions!$L$61*Assumptions!$C$61)</f>
        <v>0</v>
      </c>
      <c r="J24342" s="16" t="n">
        <f aca="false">MIN(J24336,Assumptions!$L$61*Assumptions!$C$61)</f>
        <v>0</v>
      </c>
      <c r="K24342" s="16" t="n">
        <f aca="false">MIN(K24336,Assumptions!$L$61*Assumptions!$C$61)</f>
        <v>0</v>
      </c>
    </row>
    <row r="24343" customFormat="false" ht="15" hidden="false" customHeight="false" outlineLevel="0" collapsed="false">
      <c r="A24343" s="3" t="s">
        <v>335</v>
      </c>
      <c r="G24343" s="16" t="n">
        <f aca="false">IF(AND(Assumptions!$P$61=1,G24248&lt;Assumptions!$K$61),MIN(MAX(0,-G24464),MAX(0,Assumptions!$D$61-G24336)),0)</f>
        <v>0</v>
      </c>
      <c r="H24343" s="16" t="n">
        <f aca="false">IF(AND(Assumptions!$P$61=1,OR(H24248&lt;Assumptions!$K$61,G24598=1)),MIN(MAX(0,-H24464),MAX(0,Assumptions!$D$61-H24336)),0)</f>
        <v>0</v>
      </c>
      <c r="I24343" s="16" t="n">
        <f aca="false">IF(AND(Assumptions!$P$61=1,OR(I24248&lt;Assumptions!$K$61,H24598=1)),MIN(MAX(0,-I24464),MAX(0,Assumptions!$D$61-I24336)),0)</f>
        <v>0</v>
      </c>
      <c r="J24343" s="16" t="n">
        <f aca="false">IF(AND(Assumptions!$P$61=1,OR(J24248&lt;Assumptions!$K$61,I24598=1)),MIN(MAX(0,-J24464),MAX(0,Assumptions!$D$61-J24336)),0)</f>
        <v>0</v>
      </c>
      <c r="K24343" s="16" t="n">
        <f aca="false">IF(AND(Assumptions!$P$61=1,OR(K24248&lt;Assumptions!$K$61,J24598=1)),MIN(MAX(0,-K24464),MAX(0,Assumptions!$D$61-K24336)),0)</f>
        <v>0</v>
      </c>
    </row>
    <row r="24344" customFormat="false" ht="15" hidden="false" customHeight="false" outlineLevel="0" collapsed="false">
      <c r="A24344" s="3" t="s">
        <v>336</v>
      </c>
      <c r="G24344" s="16" t="n">
        <f aca="false">G24337*MIN(G24336-G24342+G24341,MAX(0,G24466-Assumptions!$C$12*G24282-G24292-G24305-G24318-G24331))</f>
        <v>0</v>
      </c>
      <c r="H24344" s="16" t="n">
        <f aca="false">H24337*MIN(H24336-H24342+H24341,MAX(0,H24466-Assumptions!$C$12*H24282-H24292-H24305-H24318-H24331))</f>
        <v>23.2134486262</v>
      </c>
      <c r="I24344" s="16" t="n">
        <f aca="false">I24337*MIN(I24336-I24342+I24341,MAX(0,I24466-Assumptions!$C$12*I24282-I24292-I24305-I24318-I24331))</f>
        <v>0</v>
      </c>
      <c r="J24344" s="16" t="n">
        <f aca="false">J24337*MIN(J24336-J24342+J24341,MAX(0,J24466-Assumptions!$C$12*J24282-J24292-J24305-J24318-J24331))</f>
        <v>0</v>
      </c>
      <c r="K24344" s="16" t="n">
        <f aca="false">K24337*MIN(K24336-K24342+K24341,MAX(0,K24466-Assumptions!$C$12*K24282-K24292-K24305-K24318-K24331))</f>
        <v>0</v>
      </c>
    </row>
    <row r="24345" customFormat="false" ht="15" hidden="false" customHeight="false" outlineLevel="0" collapsed="false">
      <c r="A24345" s="3" t="s">
        <v>337</v>
      </c>
      <c r="G24345" s="16" t="n">
        <f aca="false">Assumptions!$N$61*MIN(G24336+G24343+G24341-G24342-G24344,MAX(0,G24470-G24293-G24306-G24319-G24332))</f>
        <v>0</v>
      </c>
      <c r="H24345" s="16" t="n">
        <f aca="false">Assumptions!$N$61*MIN(H24336+H24343+H24341-H24342-H24344,MAX(0,H24470-H24293-H24306-H24319-H24332))</f>
        <v>0</v>
      </c>
      <c r="I24345" s="16" t="n">
        <f aca="false">Assumptions!$N$61*MIN(I24336+I24343+I24341-I24342-I24344,MAX(0,I24470-I24293-I24306-I24319-I24332))</f>
        <v>0</v>
      </c>
      <c r="J24345" s="16" t="n">
        <f aca="false">Assumptions!$N$61*MIN(J24336+J24343+J24341-J24342-J24344,MAX(0,J24470-J24293-J24306-J24319-J24332))</f>
        <v>0</v>
      </c>
      <c r="K24345" s="16" t="n">
        <f aca="false">Assumptions!$N$61*MIN(K24336+K24343+K24341-K24342-K24344,MAX(0,K24470-K24293-K24306-K24319-K24332))</f>
        <v>0</v>
      </c>
    </row>
    <row r="24346" customFormat="false" ht="15" hidden="false" customHeight="false" outlineLevel="0" collapsed="false">
      <c r="A24346" s="3" t="s">
        <v>338</v>
      </c>
      <c r="G24346" s="16" t="n">
        <f aca="false">G24337*(1-G24282)*(G24336-G24342+G24341-G24344)</f>
        <v>0</v>
      </c>
      <c r="H24346" s="16" t="n">
        <f aca="false">H24337*(1-H24282)*(H24336-H24342+H24341-H24344)</f>
        <v>0</v>
      </c>
      <c r="I24346" s="16" t="n">
        <f aca="false">I24337*(1-I24282)*(I24336-I24342+I24341-I24344)</f>
        <v>0</v>
      </c>
      <c r="J24346" s="16" t="n">
        <f aca="false">J24337*(1-J24282)*(J24336-J24342+J24341-J24344)</f>
        <v>0</v>
      </c>
      <c r="K24346" s="16" t="n">
        <f aca="false">K24337*(1-K24282)*(K24336-K24342+K24341-K24344)</f>
        <v>0</v>
      </c>
    </row>
    <row r="24347" customFormat="false" ht="15" hidden="false" customHeight="false" outlineLevel="0" collapsed="false">
      <c r="A24347" s="2" t="s">
        <v>339</v>
      </c>
      <c r="F24347" s="28" t="n">
        <f aca="false">Assumptions!$C$61</f>
        <v>450</v>
      </c>
      <c r="G24347" s="17" t="n">
        <f aca="false">G24336+G24343+G24341-G24342-G24344-G24345</f>
        <v>450</v>
      </c>
      <c r="H24347" s="17" t="n">
        <f aca="false">H24336+H24343+H24341-H24342-H24344-H24345</f>
        <v>426.7865513738</v>
      </c>
      <c r="I24347" s="17" t="n">
        <f aca="false">I24336+I24343+I24341-I24342-I24344-I24345</f>
        <v>426.7865513738</v>
      </c>
      <c r="J24347" s="17" t="n">
        <f aca="false">J24336+J24343+J24341-J24342-J24344-J24345</f>
        <v>426.7865513738</v>
      </c>
      <c r="K24347" s="17" t="n">
        <f aca="false">K24336+K24343+K24341-K24342-K24344-K24345</f>
        <v>426.7865513738</v>
      </c>
    </row>
    <row r="24348" customFormat="false" ht="15" hidden="false" customHeight="false" outlineLevel="0" collapsed="false">
      <c r="A24348" s="24" t="s">
        <v>344</v>
      </c>
      <c r="B24348" s="25"/>
      <c r="C24348" s="25"/>
      <c r="D24348" s="25"/>
      <c r="E24348" s="25"/>
      <c r="F24348" s="25"/>
      <c r="G24348" s="25"/>
      <c r="H24348" s="25"/>
      <c r="I24348" s="25"/>
      <c r="J24348" s="25"/>
      <c r="K24348" s="25"/>
    </row>
    <row r="24349" customFormat="false" ht="15" hidden="false" customHeight="false" outlineLevel="0" collapsed="false">
      <c r="A24349" s="3" t="s">
        <v>329</v>
      </c>
      <c r="G24349" s="16" t="n">
        <f aca="false">F24360</f>
        <v>350</v>
      </c>
      <c r="H24349" s="16" t="n">
        <f aca="false">G24360</f>
        <v>350</v>
      </c>
      <c r="I24349" s="16" t="n">
        <f aca="false">H24360</f>
        <v>350</v>
      </c>
      <c r="J24349" s="16" t="n">
        <f aca="false">I24360</f>
        <v>350</v>
      </c>
      <c r="K24349" s="16" t="n">
        <f aca="false">J24360</f>
        <v>350</v>
      </c>
    </row>
    <row r="24350" customFormat="false" ht="15" hidden="false" customHeight="false" outlineLevel="0" collapsed="false">
      <c r="A24350" s="3" t="s">
        <v>330</v>
      </c>
      <c r="G24350" s="21" t="n">
        <f aca="false">IF(G24248=Assumptions!$K$62,1,0)</f>
        <v>0</v>
      </c>
      <c r="H24350" s="21" t="n">
        <f aca="false">IF(H24248=Assumptions!$K$62,1,0)</f>
        <v>1</v>
      </c>
      <c r="I24350" s="21" t="n">
        <f aca="false">IF(I24248=Assumptions!$K$62,1,0)</f>
        <v>0</v>
      </c>
      <c r="J24350" s="21" t="n">
        <f aca="false">IF(J24248=Assumptions!$K$62,1,0)</f>
        <v>0</v>
      </c>
      <c r="K24350" s="21" t="n">
        <f aca="false">IF(K24248=Assumptions!$K$62,1,0)</f>
        <v>0</v>
      </c>
    </row>
    <row r="24352" customFormat="false" ht="15" hidden="false" customHeight="false" outlineLevel="0" collapsed="false">
      <c r="A24352" s="3" t="s">
        <v>331</v>
      </c>
      <c r="G24352" s="31" t="n">
        <f aca="false">IF(Assumptions!$I$62=1,MAX(G24274,Assumptions!$G$62)+Assumptions!$F$62+$C$24275,Assumptions!$E$62)</f>
        <v>0.083</v>
      </c>
      <c r="H24352" s="31" t="n">
        <f aca="false">IF(G24599=1,$C$24276,IF(Assumptions!$I$62=1,MAX(H24274,Assumptions!$G$62)+Assumptions!$F$62+$C$24275,Assumptions!$E$62))</f>
        <v>0.083</v>
      </c>
      <c r="I24352" s="31" t="n">
        <f aca="false">IF(H24599=1,$C$24276,IF(Assumptions!$I$62=1,MAX(I24274,Assumptions!$G$62)+Assumptions!$F$62+$C$24275,Assumptions!$E$62))</f>
        <v>0.08</v>
      </c>
      <c r="J24352" s="31" t="n">
        <f aca="false">IF(I24599=1,$C$24276,IF(Assumptions!$I$62=1,MAX(J24274,Assumptions!$G$62)+Assumptions!$F$62+$C$24275,Assumptions!$E$62))</f>
        <v>0.08</v>
      </c>
      <c r="K24352" s="31" t="n">
        <f aca="false">IF(J24599=1,$C$24276,IF(Assumptions!$I$62=1,MAX(K24274,Assumptions!$G$62)+Assumptions!$F$62+$C$24275,Assumptions!$E$62))</f>
        <v>0.08</v>
      </c>
    </row>
    <row r="24353" customFormat="false" ht="15" hidden="false" customHeight="false" outlineLevel="0" collapsed="false">
      <c r="A24353" s="3" t="s">
        <v>332</v>
      </c>
      <c r="G24353" s="16" t="n">
        <f aca="false">G24349*G24352</f>
        <v>29.05</v>
      </c>
      <c r="H24353" s="16" t="n">
        <f aca="false">H24349*H24352</f>
        <v>29.05</v>
      </c>
      <c r="I24353" s="16" t="n">
        <f aca="false">I24349*I24352</f>
        <v>28</v>
      </c>
      <c r="J24353" s="16" t="n">
        <f aca="false">J24349*J24352</f>
        <v>28</v>
      </c>
      <c r="K24353" s="16" t="n">
        <f aca="false">K24349*K24352</f>
        <v>28</v>
      </c>
    </row>
    <row r="24354" customFormat="false" ht="15" hidden="false" customHeight="false" outlineLevel="0" collapsed="false">
      <c r="A24354" s="3" t="s">
        <v>333</v>
      </c>
      <c r="G24354" s="16" t="n">
        <f aca="false">G24349*Assumptions!$H$62</f>
        <v>0</v>
      </c>
      <c r="H24354" s="16" t="n">
        <f aca="false">H24349*Assumptions!$H$62</f>
        <v>0</v>
      </c>
      <c r="I24354" s="16" t="n">
        <f aca="false">I24349*Assumptions!$H$62</f>
        <v>0</v>
      </c>
      <c r="J24354" s="16" t="n">
        <f aca="false">J24349*Assumptions!$H$62</f>
        <v>0</v>
      </c>
      <c r="K24354" s="16" t="n">
        <f aca="false">K24349*Assumptions!$H$62</f>
        <v>0</v>
      </c>
    </row>
    <row r="24355" customFormat="false" ht="15" hidden="false" customHeight="false" outlineLevel="0" collapsed="false">
      <c r="A24355" s="3" t="s">
        <v>334</v>
      </c>
      <c r="G24355" s="16" t="n">
        <f aca="false">MIN(G24349,Assumptions!$L$62*Assumptions!$C$62)</f>
        <v>0</v>
      </c>
      <c r="H24355" s="16" t="n">
        <f aca="false">MIN(H24349,Assumptions!$L$62*Assumptions!$C$62)</f>
        <v>0</v>
      </c>
      <c r="I24355" s="16" t="n">
        <f aca="false">MIN(I24349,Assumptions!$L$62*Assumptions!$C$62)</f>
        <v>0</v>
      </c>
      <c r="J24355" s="16" t="n">
        <f aca="false">MIN(J24349,Assumptions!$L$62*Assumptions!$C$62)</f>
        <v>0</v>
      </c>
      <c r="K24355" s="16" t="n">
        <f aca="false">MIN(K24349,Assumptions!$L$62*Assumptions!$C$62)</f>
        <v>0</v>
      </c>
    </row>
    <row r="24356" customFormat="false" ht="15" hidden="false" customHeight="false" outlineLevel="0" collapsed="false">
      <c r="A24356" s="3" t="s">
        <v>335</v>
      </c>
      <c r="G24356" s="16" t="n">
        <f aca="false">IF(AND(Assumptions!$P$62=1,G24248&lt;Assumptions!$K$62),MIN(MAX(0,-G24464),MAX(0,Assumptions!$D$62-G24349)),0)</f>
        <v>0</v>
      </c>
      <c r="H24356" s="16" t="n">
        <f aca="false">IF(AND(Assumptions!$P$62=1,OR(H24248&lt;Assumptions!$K$62,G24599=1)),MIN(MAX(0,-H24464),MAX(0,Assumptions!$D$62-H24349)),0)</f>
        <v>0</v>
      </c>
      <c r="I24356" s="16" t="n">
        <f aca="false">IF(AND(Assumptions!$P$62=1,OR(I24248&lt;Assumptions!$K$62,H24599=1)),MIN(MAX(0,-I24464),MAX(0,Assumptions!$D$62-I24349)),0)</f>
        <v>0</v>
      </c>
      <c r="J24356" s="16" t="n">
        <f aca="false">IF(AND(Assumptions!$P$62=1,OR(J24248&lt;Assumptions!$K$62,I24599=1)),MIN(MAX(0,-J24464),MAX(0,Assumptions!$D$62-J24349)),0)</f>
        <v>0</v>
      </c>
      <c r="K24356" s="16" t="n">
        <f aca="false">IF(AND(Assumptions!$P$62=1,OR(K24248&lt;Assumptions!$K$62,J24599=1)),MIN(MAX(0,-K24464),MAX(0,Assumptions!$D$62-K24349)),0)</f>
        <v>0</v>
      </c>
    </row>
    <row r="24357" customFormat="false" ht="15" hidden="false" customHeight="false" outlineLevel="0" collapsed="false">
      <c r="A24357" s="3" t="s">
        <v>336</v>
      </c>
      <c r="G24357" s="16" t="n">
        <f aca="false">G24350*MIN(G24349-G24355+G24354,MAX(0,G24466-Assumptions!$C$12*G24282-G24292-G24305-G24318-G24331-G24344))</f>
        <v>0</v>
      </c>
      <c r="H24357" s="16" t="n">
        <f aca="false">H24350*MIN(H24349-H24355+H24354,MAX(0,H24466-Assumptions!$C$12*H24282-H24292-H24305-H24318-H24331-H24344))</f>
        <v>0</v>
      </c>
      <c r="I24357" s="16" t="n">
        <f aca="false">I24350*MIN(I24349-I24355+I24354,MAX(0,I24466-Assumptions!$C$12*I24282-I24292-I24305-I24318-I24331-I24344))</f>
        <v>0</v>
      </c>
      <c r="J24357" s="16" t="n">
        <f aca="false">J24350*MIN(J24349-J24355+J24354,MAX(0,J24466-Assumptions!$C$12*J24282-J24292-J24305-J24318-J24331-J24344))</f>
        <v>0</v>
      </c>
      <c r="K24357" s="16" t="n">
        <f aca="false">K24350*MIN(K24349-K24355+K24354,MAX(0,K24466-Assumptions!$C$12*K24282-K24292-K24305-K24318-K24331-K24344))</f>
        <v>0</v>
      </c>
    </row>
    <row r="24358" customFormat="false" ht="15" hidden="false" customHeight="false" outlineLevel="0" collapsed="false">
      <c r="A24358" s="3" t="s">
        <v>337</v>
      </c>
      <c r="G24358" s="16" t="n">
        <f aca="false">Assumptions!$N$62*MIN(G24349+G24356+G24354-G24355-G24357,MAX(0,G24470-G24293-G24306-G24319-G24332-G24345))</f>
        <v>0</v>
      </c>
      <c r="H24358" s="16" t="n">
        <f aca="false">Assumptions!$N$62*MIN(H24349+H24356+H24354-H24355-H24357,MAX(0,H24470-H24293-H24306-H24319-H24332-H24345))</f>
        <v>0</v>
      </c>
      <c r="I24358" s="16" t="n">
        <f aca="false">Assumptions!$N$62*MIN(I24349+I24356+I24354-I24355-I24357,MAX(0,I24470-I24293-I24306-I24319-I24332-I24345))</f>
        <v>0</v>
      </c>
      <c r="J24358" s="16" t="n">
        <f aca="false">Assumptions!$N$62*MIN(J24349+J24356+J24354-J24355-J24357,MAX(0,J24470-J24293-J24306-J24319-J24332-J24345))</f>
        <v>0</v>
      </c>
      <c r="K24358" s="16" t="n">
        <f aca="false">Assumptions!$N$62*MIN(K24349+K24356+K24354-K24355-K24357,MAX(0,K24470-K24293-K24306-K24319-K24332-K24345))</f>
        <v>0</v>
      </c>
    </row>
    <row r="24359" customFormat="false" ht="15" hidden="false" customHeight="false" outlineLevel="0" collapsed="false">
      <c r="A24359" s="3" t="s">
        <v>338</v>
      </c>
      <c r="G24359" s="16" t="n">
        <f aca="false">G24350*(1-G24282)*(G24349-G24355+G24354-G24357)</f>
        <v>0</v>
      </c>
      <c r="H24359" s="16" t="n">
        <f aca="false">H24350*(1-H24282)*(H24349-H24355+H24354-H24357)</f>
        <v>0</v>
      </c>
      <c r="I24359" s="16" t="n">
        <f aca="false">I24350*(1-I24282)*(I24349-I24355+I24354-I24357)</f>
        <v>0</v>
      </c>
      <c r="J24359" s="16" t="n">
        <f aca="false">J24350*(1-J24282)*(J24349-J24355+J24354-J24357)</f>
        <v>0</v>
      </c>
      <c r="K24359" s="16" t="n">
        <f aca="false">K24350*(1-K24282)*(K24349-K24355+K24354-K24357)</f>
        <v>0</v>
      </c>
    </row>
    <row r="24360" customFormat="false" ht="15" hidden="false" customHeight="false" outlineLevel="0" collapsed="false">
      <c r="A24360" s="2" t="s">
        <v>339</v>
      </c>
      <c r="F24360" s="28" t="n">
        <f aca="false">Assumptions!$C$62</f>
        <v>350</v>
      </c>
      <c r="G24360" s="17" t="n">
        <f aca="false">G24349+G24356+G24354-G24355-G24357-G24358</f>
        <v>350</v>
      </c>
      <c r="H24360" s="17" t="n">
        <f aca="false">H24349+H24356+H24354-H24355-H24357-H24358</f>
        <v>350</v>
      </c>
      <c r="I24360" s="17" t="n">
        <f aca="false">I24349+I24356+I24354-I24355-I24357-I24358</f>
        <v>350</v>
      </c>
      <c r="J24360" s="17" t="n">
        <f aca="false">J24349+J24356+J24354-J24355-J24357-J24358</f>
        <v>350</v>
      </c>
      <c r="K24360" s="17" t="n">
        <f aca="false">K24349+K24356+K24354-K24355-K24357-K24358</f>
        <v>350</v>
      </c>
    </row>
    <row r="24361" customFormat="false" ht="15" hidden="false" customHeight="false" outlineLevel="0" collapsed="false">
      <c r="A24361" s="24" t="s">
        <v>345</v>
      </c>
      <c r="B24361" s="25"/>
      <c r="C24361" s="25"/>
      <c r="D24361" s="25"/>
      <c r="E24361" s="25"/>
      <c r="F24361" s="25"/>
      <c r="G24361" s="25"/>
      <c r="H24361" s="25"/>
      <c r="I24361" s="25"/>
      <c r="J24361" s="25"/>
      <c r="K24361" s="25"/>
    </row>
    <row r="24362" customFormat="false" ht="15" hidden="false" customHeight="false" outlineLevel="0" collapsed="false">
      <c r="A24362" s="3" t="s">
        <v>329</v>
      </c>
      <c r="G24362" s="16" t="n">
        <f aca="false">F24373</f>
        <v>550</v>
      </c>
      <c r="H24362" s="16" t="n">
        <f aca="false">G24373</f>
        <v>550</v>
      </c>
      <c r="I24362" s="16" t="n">
        <f aca="false">H24373</f>
        <v>550</v>
      </c>
      <c r="J24362" s="16" t="n">
        <f aca="false">I24373</f>
        <v>550</v>
      </c>
      <c r="K24362" s="16" t="n">
        <f aca="false">J24373</f>
        <v>550</v>
      </c>
    </row>
    <row r="24363" customFormat="false" ht="15" hidden="false" customHeight="false" outlineLevel="0" collapsed="false">
      <c r="A24363" s="3" t="s">
        <v>330</v>
      </c>
      <c r="G24363" s="21" t="n">
        <f aca="false">IF(G24248=Assumptions!$K$63,1,0)</f>
        <v>0</v>
      </c>
      <c r="H24363" s="21" t="n">
        <f aca="false">IF(H24248=Assumptions!$K$63,1,0)</f>
        <v>0</v>
      </c>
      <c r="I24363" s="21" t="n">
        <f aca="false">IF(I24248=Assumptions!$K$63,1,0)</f>
        <v>1</v>
      </c>
      <c r="J24363" s="21" t="n">
        <f aca="false">IF(J24248=Assumptions!$K$63,1,0)</f>
        <v>0</v>
      </c>
      <c r="K24363" s="21" t="n">
        <f aca="false">IF(K24248=Assumptions!$K$63,1,0)</f>
        <v>0</v>
      </c>
    </row>
    <row r="24365" customFormat="false" ht="15" hidden="false" customHeight="false" outlineLevel="0" collapsed="false">
      <c r="A24365" s="3" t="s">
        <v>331</v>
      </c>
      <c r="G24365" s="31" t="n">
        <f aca="false">IF(Assumptions!$I$63=1,MAX(G24274,Assumptions!$G$63)+Assumptions!$F$63+$C$24275,Assumptions!$E$63)</f>
        <v>0.08875</v>
      </c>
      <c r="H24365" s="31" t="n">
        <f aca="false">IF(G24600=1,$C$24276,IF(Assumptions!$I$63=1,MAX(H24274,Assumptions!$G$63)+Assumptions!$F$63+$C$24275,Assumptions!$E$63))</f>
        <v>0.08875</v>
      </c>
      <c r="I24365" s="31" t="n">
        <f aca="false">IF(H24600=1,$C$24276,IF(Assumptions!$I$63=1,MAX(I24274,Assumptions!$G$63)+Assumptions!$F$63+$C$24275,Assumptions!$E$63))</f>
        <v>0.08875</v>
      </c>
      <c r="J24365" s="31" t="n">
        <f aca="false">IF(I24600=1,$C$24276,IF(Assumptions!$I$63=1,MAX(J24274,Assumptions!$G$63)+Assumptions!$F$63+$C$24275,Assumptions!$E$63))</f>
        <v>0.08</v>
      </c>
      <c r="K24365" s="31" t="n">
        <f aca="false">IF(J24600=1,$C$24276,IF(Assumptions!$I$63=1,MAX(K24274,Assumptions!$G$63)+Assumptions!$F$63+$C$24275,Assumptions!$E$63))</f>
        <v>0.08</v>
      </c>
    </row>
    <row r="24366" customFormat="false" ht="15" hidden="false" customHeight="false" outlineLevel="0" collapsed="false">
      <c r="A24366" s="3" t="s">
        <v>332</v>
      </c>
      <c r="G24366" s="16" t="n">
        <f aca="false">G24362*G24365</f>
        <v>48.8125</v>
      </c>
      <c r="H24366" s="16" t="n">
        <f aca="false">H24362*H24365</f>
        <v>48.8125</v>
      </c>
      <c r="I24366" s="16" t="n">
        <f aca="false">I24362*I24365</f>
        <v>48.8125</v>
      </c>
      <c r="J24366" s="16" t="n">
        <f aca="false">J24362*J24365</f>
        <v>44</v>
      </c>
      <c r="K24366" s="16" t="n">
        <f aca="false">K24362*K24365</f>
        <v>44</v>
      </c>
    </row>
    <row r="24367" customFormat="false" ht="15" hidden="false" customHeight="false" outlineLevel="0" collapsed="false">
      <c r="A24367" s="3" t="s">
        <v>333</v>
      </c>
      <c r="G24367" s="16" t="n">
        <f aca="false">G24362*Assumptions!$H$63</f>
        <v>0</v>
      </c>
      <c r="H24367" s="16" t="n">
        <f aca="false">H24362*Assumptions!$H$63</f>
        <v>0</v>
      </c>
      <c r="I24367" s="16" t="n">
        <f aca="false">I24362*Assumptions!$H$63</f>
        <v>0</v>
      </c>
      <c r="J24367" s="16" t="n">
        <f aca="false">J24362*Assumptions!$H$63</f>
        <v>0</v>
      </c>
      <c r="K24367" s="16" t="n">
        <f aca="false">K24362*Assumptions!$H$63</f>
        <v>0</v>
      </c>
    </row>
    <row r="24368" customFormat="false" ht="15" hidden="false" customHeight="false" outlineLevel="0" collapsed="false">
      <c r="A24368" s="3" t="s">
        <v>334</v>
      </c>
      <c r="G24368" s="16" t="n">
        <f aca="false">MIN(G24362,Assumptions!$L$63*Assumptions!$C$63)</f>
        <v>0</v>
      </c>
      <c r="H24368" s="16" t="n">
        <f aca="false">MIN(H24362,Assumptions!$L$63*Assumptions!$C$63)</f>
        <v>0</v>
      </c>
      <c r="I24368" s="16" t="n">
        <f aca="false">MIN(I24362,Assumptions!$L$63*Assumptions!$C$63)</f>
        <v>0</v>
      </c>
      <c r="J24368" s="16" t="n">
        <f aca="false">MIN(J24362,Assumptions!$L$63*Assumptions!$C$63)</f>
        <v>0</v>
      </c>
      <c r="K24368" s="16" t="n">
        <f aca="false">MIN(K24362,Assumptions!$L$63*Assumptions!$C$63)</f>
        <v>0</v>
      </c>
    </row>
    <row r="24369" customFormat="false" ht="15" hidden="false" customHeight="false" outlineLevel="0" collapsed="false">
      <c r="A24369" s="3" t="s">
        <v>335</v>
      </c>
      <c r="G24369" s="16" t="n">
        <f aca="false">IF(AND(Assumptions!$P$63=1,G24248&lt;Assumptions!$K$63),MIN(MAX(0,-G24464),MAX(0,Assumptions!$D$63-G24362)),0)</f>
        <v>0</v>
      </c>
      <c r="H24369" s="16" t="n">
        <f aca="false">IF(AND(Assumptions!$P$63=1,OR(H24248&lt;Assumptions!$K$63,G24600=1)),MIN(MAX(0,-H24464),MAX(0,Assumptions!$D$63-H24362)),0)</f>
        <v>0</v>
      </c>
      <c r="I24369" s="16" t="n">
        <f aca="false">IF(AND(Assumptions!$P$63=1,OR(I24248&lt;Assumptions!$K$63,H24600=1)),MIN(MAX(0,-I24464),MAX(0,Assumptions!$D$63-I24362)),0)</f>
        <v>0</v>
      </c>
      <c r="J24369" s="16" t="n">
        <f aca="false">IF(AND(Assumptions!$P$63=1,OR(J24248&lt;Assumptions!$K$63,I24600=1)),MIN(MAX(0,-J24464),MAX(0,Assumptions!$D$63-J24362)),0)</f>
        <v>0</v>
      </c>
      <c r="K24369" s="16" t="n">
        <f aca="false">IF(AND(Assumptions!$P$63=1,OR(K24248&lt;Assumptions!$K$63,J24600=1)),MIN(MAX(0,-K24464),MAX(0,Assumptions!$D$63-K24362)),0)</f>
        <v>0</v>
      </c>
    </row>
    <row r="24370" customFormat="false" ht="15" hidden="false" customHeight="false" outlineLevel="0" collapsed="false">
      <c r="A24370" s="3" t="s">
        <v>336</v>
      </c>
      <c r="G24370" s="16" t="n">
        <f aca="false">G24363*MIN(G24362-G24368+G24367,MAX(0,G24466-Assumptions!$C$12*G24282-G24292-G24305-G24318-G24331-G24344-G24357))</f>
        <v>0</v>
      </c>
      <c r="H24370" s="16" t="n">
        <f aca="false">H24363*MIN(H24362-H24368+H24367,MAX(0,H24466-Assumptions!$C$12*H24282-H24292-H24305-H24318-H24331-H24344-H24357))</f>
        <v>0</v>
      </c>
      <c r="I24370" s="16" t="n">
        <f aca="false">I24363*MIN(I24362-I24368+I24367,MAX(0,I24466-Assumptions!$C$12*I24282-I24292-I24305-I24318-I24331-I24344-I24357))</f>
        <v>0</v>
      </c>
      <c r="J24370" s="16" t="n">
        <f aca="false">J24363*MIN(J24362-J24368+J24367,MAX(0,J24466-Assumptions!$C$12*J24282-J24292-J24305-J24318-J24331-J24344-J24357))</f>
        <v>0</v>
      </c>
      <c r="K24370" s="16" t="n">
        <f aca="false">K24363*MIN(K24362-K24368+K24367,MAX(0,K24466-Assumptions!$C$12*K24282-K24292-K24305-K24318-K24331-K24344-K24357))</f>
        <v>0</v>
      </c>
    </row>
    <row r="24371" customFormat="false" ht="15" hidden="false" customHeight="false" outlineLevel="0" collapsed="false">
      <c r="A24371" s="3" t="s">
        <v>337</v>
      </c>
      <c r="G24371" s="16" t="n">
        <f aca="false">Assumptions!$N$63*MIN(G24362+G24369+G24367-G24368-G24370,MAX(0,G24470-G24293-G24306-G24319-G24332-G24345-G24358))</f>
        <v>0</v>
      </c>
      <c r="H24371" s="16" t="n">
        <f aca="false">Assumptions!$N$63*MIN(H24362+H24369+H24367-H24368-H24370,MAX(0,H24470-H24293-H24306-H24319-H24332-H24345-H24358))</f>
        <v>0</v>
      </c>
      <c r="I24371" s="16" t="n">
        <f aca="false">Assumptions!$N$63*MIN(I24362+I24369+I24367-I24368-I24370,MAX(0,I24470-I24293-I24306-I24319-I24332-I24345-I24358))</f>
        <v>0</v>
      </c>
      <c r="J24371" s="16" t="n">
        <f aca="false">Assumptions!$N$63*MIN(J24362+J24369+J24367-J24368-J24370,MAX(0,J24470-J24293-J24306-J24319-J24332-J24345-J24358))</f>
        <v>0</v>
      </c>
      <c r="K24371" s="16" t="n">
        <f aca="false">Assumptions!$N$63*MIN(K24362+K24369+K24367-K24368-K24370,MAX(0,K24470-K24293-K24306-K24319-K24332-K24345-K24358))</f>
        <v>0</v>
      </c>
    </row>
    <row r="24372" customFormat="false" ht="15" hidden="false" customHeight="false" outlineLevel="0" collapsed="false">
      <c r="A24372" s="3" t="s">
        <v>338</v>
      </c>
      <c r="G24372" s="16" t="n">
        <f aca="false">G24363*(1-G24282)*(G24362-G24368+G24367-G24370)</f>
        <v>0</v>
      </c>
      <c r="H24372" s="16" t="n">
        <f aca="false">H24363*(1-H24282)*(H24362-H24368+H24367-H24370)</f>
        <v>0</v>
      </c>
      <c r="I24372" s="16" t="n">
        <f aca="false">I24363*(1-I24282)*(I24362-I24368+I24367-I24370)</f>
        <v>0</v>
      </c>
      <c r="J24372" s="16" t="n">
        <f aca="false">J24363*(1-J24282)*(J24362-J24368+J24367-J24370)</f>
        <v>0</v>
      </c>
      <c r="K24372" s="16" t="n">
        <f aca="false">K24363*(1-K24282)*(K24362-K24368+K24367-K24370)</f>
        <v>0</v>
      </c>
    </row>
    <row r="24373" customFormat="false" ht="15" hidden="false" customHeight="false" outlineLevel="0" collapsed="false">
      <c r="A24373" s="2" t="s">
        <v>339</v>
      </c>
      <c r="F24373" s="28" t="n">
        <f aca="false">Assumptions!$C$63</f>
        <v>550</v>
      </c>
      <c r="G24373" s="17" t="n">
        <f aca="false">G24362+G24369+G24367-G24368-G24370-G24371</f>
        <v>550</v>
      </c>
      <c r="H24373" s="17" t="n">
        <f aca="false">H24362+H24369+H24367-H24368-H24370-H24371</f>
        <v>550</v>
      </c>
      <c r="I24373" s="17" t="n">
        <f aca="false">I24362+I24369+I24367-I24368-I24370-I24371</f>
        <v>550</v>
      </c>
      <c r="J24373" s="17" t="n">
        <f aca="false">J24362+J24369+J24367-J24368-J24370-J24371</f>
        <v>550</v>
      </c>
      <c r="K24373" s="17" t="n">
        <f aca="false">K24362+K24369+K24367-K24368-K24370-K24371</f>
        <v>550</v>
      </c>
    </row>
    <row r="24374" customFormat="false" ht="15" hidden="false" customHeight="false" outlineLevel="0" collapsed="false">
      <c r="A24374" s="24" t="s">
        <v>346</v>
      </c>
      <c r="B24374" s="25"/>
      <c r="C24374" s="25"/>
      <c r="D24374" s="25"/>
      <c r="E24374" s="25"/>
      <c r="F24374" s="25"/>
      <c r="G24374" s="25"/>
      <c r="H24374" s="25"/>
      <c r="I24374" s="25"/>
      <c r="J24374" s="25"/>
      <c r="K24374" s="25"/>
    </row>
    <row r="24375" customFormat="false" ht="15" hidden="false" customHeight="false" outlineLevel="0" collapsed="false">
      <c r="A24375" s="3" t="s">
        <v>329</v>
      </c>
      <c r="G24375" s="16" t="n">
        <f aca="false">F24386</f>
        <v>350</v>
      </c>
      <c r="H24375" s="16" t="n">
        <f aca="false">G24386</f>
        <v>350</v>
      </c>
      <c r="I24375" s="16" t="n">
        <f aca="false">H24386</f>
        <v>350</v>
      </c>
      <c r="J24375" s="16" t="n">
        <f aca="false">I24386</f>
        <v>350</v>
      </c>
      <c r="K24375" s="16" t="n">
        <f aca="false">J24386</f>
        <v>350</v>
      </c>
    </row>
    <row r="24376" customFormat="false" ht="15" hidden="false" customHeight="false" outlineLevel="0" collapsed="false">
      <c r="A24376" s="3" t="s">
        <v>330</v>
      </c>
      <c r="G24376" s="21" t="n">
        <f aca="false">IF(G24248=Assumptions!$K$64,1,0)</f>
        <v>0</v>
      </c>
      <c r="H24376" s="21" t="n">
        <f aca="false">IF(H24248=Assumptions!$K$64,1,0)</f>
        <v>0</v>
      </c>
      <c r="I24376" s="21" t="n">
        <f aca="false">IF(I24248=Assumptions!$K$64,1,0)</f>
        <v>0</v>
      </c>
      <c r="J24376" s="21" t="n">
        <f aca="false">IF(J24248=Assumptions!$K$64,1,0)</f>
        <v>1</v>
      </c>
      <c r="K24376" s="21" t="n">
        <f aca="false">IF(K24248=Assumptions!$K$64,1,0)</f>
        <v>0</v>
      </c>
    </row>
    <row r="24378" customFormat="false" ht="15" hidden="false" customHeight="false" outlineLevel="0" collapsed="false">
      <c r="A24378" s="3" t="s">
        <v>331</v>
      </c>
      <c r="G24378" s="31" t="n">
        <f aca="false">IF(Assumptions!$I$64=1,MAX(G24274,Assumptions!$G$64)+Assumptions!$F$64+$C$24275,Assumptions!$E$64)</f>
        <v>0.0455</v>
      </c>
      <c r="H24378" s="31" t="n">
        <f aca="false">IF(G24601=1,$C$24276,IF(Assumptions!$I$64=1,MAX(H24274,Assumptions!$G$64)+Assumptions!$F$64+$C$24275,Assumptions!$E$64))</f>
        <v>0.0455</v>
      </c>
      <c r="I24378" s="31" t="n">
        <f aca="false">IF(H24601=1,$C$24276,IF(Assumptions!$I$64=1,MAX(I24274,Assumptions!$G$64)+Assumptions!$F$64+$C$24275,Assumptions!$E$64))</f>
        <v>0.0455</v>
      </c>
      <c r="J24378" s="31" t="n">
        <f aca="false">IF(I24601=1,$C$24276,IF(Assumptions!$I$64=1,MAX(J24274,Assumptions!$G$64)+Assumptions!$F$64+$C$24275,Assumptions!$E$64))</f>
        <v>0.0455</v>
      </c>
      <c r="K24378" s="31" t="n">
        <f aca="false">IF(J24601=1,$C$24276,IF(Assumptions!$I$64=1,MAX(K24274,Assumptions!$G$64)+Assumptions!$F$64+$C$24275,Assumptions!$E$64))</f>
        <v>0.08</v>
      </c>
    </row>
    <row r="24379" customFormat="false" ht="15" hidden="false" customHeight="false" outlineLevel="0" collapsed="false">
      <c r="A24379" s="3" t="s">
        <v>332</v>
      </c>
      <c r="G24379" s="16" t="n">
        <f aca="false">G24375*G24378</f>
        <v>15.925</v>
      </c>
      <c r="H24379" s="16" t="n">
        <f aca="false">H24375*H24378</f>
        <v>15.925</v>
      </c>
      <c r="I24379" s="16" t="n">
        <f aca="false">I24375*I24378</f>
        <v>15.925</v>
      </c>
      <c r="J24379" s="16" t="n">
        <f aca="false">J24375*J24378</f>
        <v>15.925</v>
      </c>
      <c r="K24379" s="16" t="n">
        <f aca="false">K24375*K24378</f>
        <v>28</v>
      </c>
    </row>
    <row r="24380" customFormat="false" ht="15" hidden="false" customHeight="false" outlineLevel="0" collapsed="false">
      <c r="A24380" s="3" t="s">
        <v>333</v>
      </c>
      <c r="G24380" s="16" t="n">
        <f aca="false">G24375*Assumptions!$H$64</f>
        <v>0</v>
      </c>
      <c r="H24380" s="16" t="n">
        <f aca="false">H24375*Assumptions!$H$64</f>
        <v>0</v>
      </c>
      <c r="I24380" s="16" t="n">
        <f aca="false">I24375*Assumptions!$H$64</f>
        <v>0</v>
      </c>
      <c r="J24380" s="16" t="n">
        <f aca="false">J24375*Assumptions!$H$64</f>
        <v>0</v>
      </c>
      <c r="K24380" s="16" t="n">
        <f aca="false">K24375*Assumptions!$H$64</f>
        <v>0</v>
      </c>
    </row>
    <row r="24381" customFormat="false" ht="15" hidden="false" customHeight="false" outlineLevel="0" collapsed="false">
      <c r="A24381" s="3" t="s">
        <v>334</v>
      </c>
      <c r="G24381" s="16" t="n">
        <f aca="false">MIN(G24375,Assumptions!$L$64*Assumptions!$C$64)</f>
        <v>0</v>
      </c>
      <c r="H24381" s="16" t="n">
        <f aca="false">MIN(H24375,Assumptions!$L$64*Assumptions!$C$64)</f>
        <v>0</v>
      </c>
      <c r="I24381" s="16" t="n">
        <f aca="false">MIN(I24375,Assumptions!$L$64*Assumptions!$C$64)</f>
        <v>0</v>
      </c>
      <c r="J24381" s="16" t="n">
        <f aca="false">MIN(J24375,Assumptions!$L$64*Assumptions!$C$64)</f>
        <v>0</v>
      </c>
      <c r="K24381" s="16" t="n">
        <f aca="false">MIN(K24375,Assumptions!$L$64*Assumptions!$C$64)</f>
        <v>0</v>
      </c>
    </row>
    <row r="24382" customFormat="false" ht="15" hidden="false" customHeight="false" outlineLevel="0" collapsed="false">
      <c r="A24382" s="3" t="s">
        <v>335</v>
      </c>
      <c r="G24382" s="16" t="n">
        <f aca="false">IF(AND(Assumptions!$P$64=1,G24248&lt;Assumptions!$K$64),MIN(MAX(0,-G24464),MAX(0,Assumptions!$D$64-G24375)),0)</f>
        <v>0</v>
      </c>
      <c r="H24382" s="16" t="n">
        <f aca="false">IF(AND(Assumptions!$P$64=1,OR(H24248&lt;Assumptions!$K$64,G24601=1)),MIN(MAX(0,-H24464),MAX(0,Assumptions!$D$64-H24375)),0)</f>
        <v>0</v>
      </c>
      <c r="I24382" s="16" t="n">
        <f aca="false">IF(AND(Assumptions!$P$64=1,OR(I24248&lt;Assumptions!$K$64,H24601=1)),MIN(MAX(0,-I24464),MAX(0,Assumptions!$D$64-I24375)),0)</f>
        <v>0</v>
      </c>
      <c r="J24382" s="16" t="n">
        <f aca="false">IF(AND(Assumptions!$P$64=1,OR(J24248&lt;Assumptions!$K$64,I24601=1)),MIN(MAX(0,-J24464),MAX(0,Assumptions!$D$64-J24375)),0)</f>
        <v>0</v>
      </c>
      <c r="K24382" s="16" t="n">
        <f aca="false">IF(AND(Assumptions!$P$64=1,OR(K24248&lt;Assumptions!$K$64,J24601=1)),MIN(MAX(0,-K24464),MAX(0,Assumptions!$D$64-K24375)),0)</f>
        <v>0</v>
      </c>
    </row>
    <row r="24383" customFormat="false" ht="15" hidden="false" customHeight="false" outlineLevel="0" collapsed="false">
      <c r="A24383" s="3" t="s">
        <v>336</v>
      </c>
      <c r="G24383" s="16" t="n">
        <f aca="false">G24376*MIN(G24375-G24381+G24380,MAX(0,G24466-Assumptions!$C$12*G24282-G24292-G24305-G24318-G24331-G24344-G24357-G24370))</f>
        <v>0</v>
      </c>
      <c r="H24383" s="16" t="n">
        <f aca="false">H24376*MIN(H24375-H24381+H24380,MAX(0,H24466-Assumptions!$C$12*H24282-H24292-H24305-H24318-H24331-H24344-H24357-H24370))</f>
        <v>0</v>
      </c>
      <c r="I24383" s="16" t="n">
        <f aca="false">I24376*MIN(I24375-I24381+I24380,MAX(0,I24466-Assumptions!$C$12*I24282-I24292-I24305-I24318-I24331-I24344-I24357-I24370))</f>
        <v>0</v>
      </c>
      <c r="J24383" s="16" t="n">
        <f aca="false">J24376*MIN(J24375-J24381+J24380,MAX(0,J24466-Assumptions!$C$12*J24282-J24292-J24305-J24318-J24331-J24344-J24357-J24370))</f>
        <v>0</v>
      </c>
      <c r="K24383" s="16" t="n">
        <f aca="false">K24376*MIN(K24375-K24381+K24380,MAX(0,K24466-Assumptions!$C$12*K24282-K24292-K24305-K24318-K24331-K24344-K24357-K24370))</f>
        <v>0</v>
      </c>
    </row>
    <row r="24384" customFormat="false" ht="15" hidden="false" customHeight="false" outlineLevel="0" collapsed="false">
      <c r="A24384" s="3" t="s">
        <v>337</v>
      </c>
      <c r="G24384" s="16" t="n">
        <f aca="false">Assumptions!$N$64*MIN(G24375+G24382+G24380-G24381-G24383,MAX(0,G24470-G24293-G24306-G24319-G24332-G24345-G24358-G24371))</f>
        <v>0</v>
      </c>
      <c r="H24384" s="16" t="n">
        <f aca="false">Assumptions!$N$64*MIN(H24375+H24382+H24380-H24381-H24383,MAX(0,H24470-H24293-H24306-H24319-H24332-H24345-H24358-H24371))</f>
        <v>0</v>
      </c>
      <c r="I24384" s="16" t="n">
        <f aca="false">Assumptions!$N$64*MIN(I24375+I24382+I24380-I24381-I24383,MAX(0,I24470-I24293-I24306-I24319-I24332-I24345-I24358-I24371))</f>
        <v>0</v>
      </c>
      <c r="J24384" s="16" t="n">
        <f aca="false">Assumptions!$N$64*MIN(J24375+J24382+J24380-J24381-J24383,MAX(0,J24470-J24293-J24306-J24319-J24332-J24345-J24358-J24371))</f>
        <v>0</v>
      </c>
      <c r="K24384" s="16" t="n">
        <f aca="false">Assumptions!$N$64*MIN(K24375+K24382+K24380-K24381-K24383,MAX(0,K24470-K24293-K24306-K24319-K24332-K24345-K24358-K24371))</f>
        <v>0</v>
      </c>
    </row>
    <row r="24385" customFormat="false" ht="15" hidden="false" customHeight="false" outlineLevel="0" collapsed="false">
      <c r="A24385" s="3" t="s">
        <v>338</v>
      </c>
      <c r="G24385" s="16" t="n">
        <f aca="false">G24376*(1-G24282)*(G24375-G24381+G24380-G24383)</f>
        <v>0</v>
      </c>
      <c r="H24385" s="16" t="n">
        <f aca="false">H24376*(1-H24282)*(H24375-H24381+H24380-H24383)</f>
        <v>0</v>
      </c>
      <c r="I24385" s="16" t="n">
        <f aca="false">I24376*(1-I24282)*(I24375-I24381+I24380-I24383)</f>
        <v>0</v>
      </c>
      <c r="J24385" s="16" t="n">
        <f aca="false">J24376*(1-J24282)*(J24375-J24381+J24380-J24383)</f>
        <v>0</v>
      </c>
      <c r="K24385" s="16" t="n">
        <f aca="false">K24376*(1-K24282)*(K24375-K24381+K24380-K24383)</f>
        <v>0</v>
      </c>
    </row>
    <row r="24386" customFormat="false" ht="15" hidden="false" customHeight="false" outlineLevel="0" collapsed="false">
      <c r="A24386" s="2" t="s">
        <v>339</v>
      </c>
      <c r="F24386" s="28" t="n">
        <f aca="false">Assumptions!$C$64</f>
        <v>350</v>
      </c>
      <c r="G24386" s="17" t="n">
        <f aca="false">G24375+G24382+G24380-G24381-G24383-G24384</f>
        <v>350</v>
      </c>
      <c r="H24386" s="17" t="n">
        <f aca="false">H24375+H24382+H24380-H24381-H24383-H24384</f>
        <v>350</v>
      </c>
      <c r="I24386" s="17" t="n">
        <f aca="false">I24375+I24382+I24380-I24381-I24383-I24384</f>
        <v>350</v>
      </c>
      <c r="J24386" s="17" t="n">
        <f aca="false">J24375+J24382+J24380-J24381-J24383-J24384</f>
        <v>350</v>
      </c>
      <c r="K24386" s="17" t="n">
        <f aca="false">K24375+K24382+K24380-K24381-K24383-K24384</f>
        <v>350</v>
      </c>
    </row>
    <row r="24387" customFormat="false" ht="15" hidden="false" customHeight="false" outlineLevel="0" collapsed="false">
      <c r="A24387" s="24" t="s">
        <v>347</v>
      </c>
      <c r="B24387" s="25"/>
      <c r="C24387" s="25"/>
      <c r="D24387" s="25"/>
      <c r="E24387" s="25"/>
      <c r="F24387" s="25"/>
      <c r="G24387" s="25"/>
      <c r="H24387" s="25"/>
      <c r="I24387" s="25"/>
      <c r="J24387" s="25"/>
      <c r="K24387" s="25"/>
    </row>
    <row r="24388" customFormat="false" ht="15" hidden="false" customHeight="false" outlineLevel="0" collapsed="false">
      <c r="A24388" s="3" t="s">
        <v>329</v>
      </c>
      <c r="G24388" s="16" t="n">
        <f aca="false">F24399</f>
        <v>300</v>
      </c>
      <c r="H24388" s="16" t="n">
        <f aca="false">G24399</f>
        <v>300</v>
      </c>
      <c r="I24388" s="16" t="n">
        <f aca="false">H24399</f>
        <v>300</v>
      </c>
      <c r="J24388" s="16" t="n">
        <f aca="false">I24399</f>
        <v>300</v>
      </c>
      <c r="K24388" s="16" t="n">
        <f aca="false">J24399</f>
        <v>300</v>
      </c>
    </row>
    <row r="24389" customFormat="false" ht="15" hidden="false" customHeight="false" outlineLevel="0" collapsed="false">
      <c r="A24389" s="3" t="s">
        <v>330</v>
      </c>
      <c r="G24389" s="21" t="n">
        <f aca="false">IF(G24248=Assumptions!$K$65,1,0)</f>
        <v>0</v>
      </c>
      <c r="H24389" s="21" t="n">
        <f aca="false">IF(H24248=Assumptions!$K$65,1,0)</f>
        <v>0</v>
      </c>
      <c r="I24389" s="21" t="n">
        <f aca="false">IF(I24248=Assumptions!$K$65,1,0)</f>
        <v>0</v>
      </c>
      <c r="J24389" s="21" t="n">
        <f aca="false">IF(J24248=Assumptions!$K$65,1,0)</f>
        <v>0</v>
      </c>
      <c r="K24389" s="21" t="n">
        <f aca="false">IF(K24248=Assumptions!$K$65,1,0)</f>
        <v>1</v>
      </c>
    </row>
    <row r="24391" customFormat="false" ht="15" hidden="false" customHeight="false" outlineLevel="0" collapsed="false">
      <c r="A24391" s="3" t="s">
        <v>331</v>
      </c>
      <c r="G24391" s="31" t="n">
        <f aca="false">IF(Assumptions!$I$65=1,MAX(G24274,Assumptions!$G$65)+Assumptions!$F$65+$C$24275,Assumptions!$E$65)</f>
        <v>0.06125</v>
      </c>
      <c r="H24391" s="31" t="n">
        <f aca="false">IF(G24602=1,$C$24276,IF(Assumptions!$I$65=1,MAX(H24274,Assumptions!$G$65)+Assumptions!$F$65+$C$24275,Assumptions!$E$65))</f>
        <v>0.06125</v>
      </c>
      <c r="I24391" s="31" t="n">
        <f aca="false">IF(H24602=1,$C$24276,IF(Assumptions!$I$65=1,MAX(I24274,Assumptions!$G$65)+Assumptions!$F$65+$C$24275,Assumptions!$E$65))</f>
        <v>0.06125</v>
      </c>
      <c r="J24391" s="31" t="n">
        <f aca="false">IF(I24602=1,$C$24276,IF(Assumptions!$I$65=1,MAX(J24274,Assumptions!$G$65)+Assumptions!$F$65+$C$24275,Assumptions!$E$65))</f>
        <v>0.06125</v>
      </c>
      <c r="K24391" s="31" t="n">
        <f aca="false">IF(J24602=1,$C$24276,IF(Assumptions!$I$65=1,MAX(K24274,Assumptions!$G$65)+Assumptions!$F$65+$C$24275,Assumptions!$E$65))</f>
        <v>0.06125</v>
      </c>
    </row>
    <row r="24392" customFormat="false" ht="15" hidden="false" customHeight="false" outlineLevel="0" collapsed="false">
      <c r="A24392" s="3" t="s">
        <v>332</v>
      </c>
      <c r="G24392" s="16" t="n">
        <f aca="false">G24388*G24391</f>
        <v>18.375</v>
      </c>
      <c r="H24392" s="16" t="n">
        <f aca="false">H24388*H24391</f>
        <v>18.375</v>
      </c>
      <c r="I24392" s="16" t="n">
        <f aca="false">I24388*I24391</f>
        <v>18.375</v>
      </c>
      <c r="J24392" s="16" t="n">
        <f aca="false">J24388*J24391</f>
        <v>18.375</v>
      </c>
      <c r="K24392" s="16" t="n">
        <f aca="false">K24388*K24391</f>
        <v>18.375</v>
      </c>
    </row>
    <row r="24393" customFormat="false" ht="15" hidden="false" customHeight="false" outlineLevel="0" collapsed="false">
      <c r="A24393" s="3" t="s">
        <v>333</v>
      </c>
      <c r="G24393" s="16" t="n">
        <f aca="false">G24388*Assumptions!$H$65</f>
        <v>0</v>
      </c>
      <c r="H24393" s="16" t="n">
        <f aca="false">H24388*Assumptions!$H$65</f>
        <v>0</v>
      </c>
      <c r="I24393" s="16" t="n">
        <f aca="false">I24388*Assumptions!$H$65</f>
        <v>0</v>
      </c>
      <c r="J24393" s="16" t="n">
        <f aca="false">J24388*Assumptions!$H$65</f>
        <v>0</v>
      </c>
      <c r="K24393" s="16" t="n">
        <f aca="false">K24388*Assumptions!$H$65</f>
        <v>0</v>
      </c>
    </row>
    <row r="24394" customFormat="false" ht="15" hidden="false" customHeight="false" outlineLevel="0" collapsed="false">
      <c r="A24394" s="3" t="s">
        <v>334</v>
      </c>
      <c r="G24394" s="16" t="n">
        <f aca="false">MIN(G24388,Assumptions!$L$65*Assumptions!$C$65)</f>
        <v>0</v>
      </c>
      <c r="H24394" s="16" t="n">
        <f aca="false">MIN(H24388,Assumptions!$L$65*Assumptions!$C$65)</f>
        <v>0</v>
      </c>
      <c r="I24394" s="16" t="n">
        <f aca="false">MIN(I24388,Assumptions!$L$65*Assumptions!$C$65)</f>
        <v>0</v>
      </c>
      <c r="J24394" s="16" t="n">
        <f aca="false">MIN(J24388,Assumptions!$L$65*Assumptions!$C$65)</f>
        <v>0</v>
      </c>
      <c r="K24394" s="16" t="n">
        <f aca="false">MIN(K24388,Assumptions!$L$65*Assumptions!$C$65)</f>
        <v>0</v>
      </c>
    </row>
    <row r="24395" customFormat="false" ht="15" hidden="false" customHeight="false" outlineLevel="0" collapsed="false">
      <c r="A24395" s="3" t="s">
        <v>335</v>
      </c>
      <c r="G24395" s="16" t="n">
        <f aca="false">IF(AND(Assumptions!$P$65=1,G24248&lt;Assumptions!$K$65),MIN(MAX(0,-G24464),MAX(0,Assumptions!$D$65-G24388)),0)</f>
        <v>0</v>
      </c>
      <c r="H24395" s="16" t="n">
        <f aca="false">IF(AND(Assumptions!$P$65=1,OR(H24248&lt;Assumptions!$K$65,G24602=1)),MIN(MAX(0,-H24464),MAX(0,Assumptions!$D$65-H24388)),0)</f>
        <v>0</v>
      </c>
      <c r="I24395" s="16" t="n">
        <f aca="false">IF(AND(Assumptions!$P$65=1,OR(I24248&lt;Assumptions!$K$65,H24602=1)),MIN(MAX(0,-I24464),MAX(0,Assumptions!$D$65-I24388)),0)</f>
        <v>0</v>
      </c>
      <c r="J24395" s="16" t="n">
        <f aca="false">IF(AND(Assumptions!$P$65=1,OR(J24248&lt;Assumptions!$K$65,I24602=1)),MIN(MAX(0,-J24464),MAX(0,Assumptions!$D$65-J24388)),0)</f>
        <v>0</v>
      </c>
      <c r="K24395" s="16" t="n">
        <f aca="false">IF(AND(Assumptions!$P$65=1,OR(K24248&lt;Assumptions!$K$65,J24602=1)),MIN(MAX(0,-K24464),MAX(0,Assumptions!$D$65-K24388)),0)</f>
        <v>0</v>
      </c>
    </row>
    <row r="24396" customFormat="false" ht="15" hidden="false" customHeight="false" outlineLevel="0" collapsed="false">
      <c r="A24396" s="3" t="s">
        <v>336</v>
      </c>
      <c r="G24396" s="16" t="n">
        <f aca="false">G24389*MIN(G24388-G24394+G24393,MAX(0,G24466-Assumptions!$C$12*G24282-G24292-G24305-G24318-G24331-G24344-G24357-G24370-G24383))</f>
        <v>0</v>
      </c>
      <c r="H24396" s="16" t="n">
        <f aca="false">H24389*MIN(H24388-H24394+H24393,MAX(0,H24466-Assumptions!$C$12*H24282-H24292-H24305-H24318-H24331-H24344-H24357-H24370-H24383))</f>
        <v>0</v>
      </c>
      <c r="I24396" s="16" t="n">
        <f aca="false">I24389*MIN(I24388-I24394+I24393,MAX(0,I24466-Assumptions!$C$12*I24282-I24292-I24305-I24318-I24331-I24344-I24357-I24370-I24383))</f>
        <v>0</v>
      </c>
      <c r="J24396" s="16" t="n">
        <f aca="false">J24389*MIN(J24388-J24394+J24393,MAX(0,J24466-Assumptions!$C$12*J24282-J24292-J24305-J24318-J24331-J24344-J24357-J24370-J24383))</f>
        <v>0</v>
      </c>
      <c r="K24396" s="16" t="n">
        <f aca="false">K24389*MIN(K24388-K24394+K24393,MAX(0,K24466-Assumptions!$C$12*K24282-K24292-K24305-K24318-K24331-K24344-K24357-K24370-K24383))</f>
        <v>0</v>
      </c>
    </row>
    <row r="24397" customFormat="false" ht="15" hidden="false" customHeight="false" outlineLevel="0" collapsed="false">
      <c r="A24397" s="3" t="s">
        <v>337</v>
      </c>
      <c r="G24397" s="16" t="n">
        <f aca="false">Assumptions!$N$65*MIN(G24388+G24395+G24393-G24394-G24396,MAX(0,G24470-G24293-G24306-G24319-G24332-G24345-G24358-G24371-G24384))</f>
        <v>0</v>
      </c>
      <c r="H24397" s="16" t="n">
        <f aca="false">Assumptions!$N$65*MIN(H24388+H24395+H24393-H24394-H24396,MAX(0,H24470-H24293-H24306-H24319-H24332-H24345-H24358-H24371-H24384))</f>
        <v>0</v>
      </c>
      <c r="I24397" s="16" t="n">
        <f aca="false">Assumptions!$N$65*MIN(I24388+I24395+I24393-I24394-I24396,MAX(0,I24470-I24293-I24306-I24319-I24332-I24345-I24358-I24371-I24384))</f>
        <v>0</v>
      </c>
      <c r="J24397" s="16" t="n">
        <f aca="false">Assumptions!$N$65*MIN(J24388+J24395+J24393-J24394-J24396,MAX(0,J24470-J24293-J24306-J24319-J24332-J24345-J24358-J24371-J24384))</f>
        <v>0</v>
      </c>
      <c r="K24397" s="16" t="n">
        <f aca="false">Assumptions!$N$65*MIN(K24388+K24395+K24393-K24394-K24396,MAX(0,K24470-K24293-K24306-K24319-K24332-K24345-K24358-K24371-K24384))</f>
        <v>0</v>
      </c>
    </row>
    <row r="24398" customFormat="false" ht="15" hidden="false" customHeight="false" outlineLevel="0" collapsed="false">
      <c r="A24398" s="3" t="s">
        <v>338</v>
      </c>
      <c r="G24398" s="16" t="n">
        <f aca="false">G24389*(1-G24282)*(G24388-G24394+G24393-G24396)</f>
        <v>0</v>
      </c>
      <c r="H24398" s="16" t="n">
        <f aca="false">H24389*(1-H24282)*(H24388-H24394+H24393-H24396)</f>
        <v>0</v>
      </c>
      <c r="I24398" s="16" t="n">
        <f aca="false">I24389*(1-I24282)*(I24388-I24394+I24393-I24396)</f>
        <v>0</v>
      </c>
      <c r="J24398" s="16" t="n">
        <f aca="false">J24389*(1-J24282)*(J24388-J24394+J24393-J24396)</f>
        <v>0</v>
      </c>
      <c r="K24398" s="16" t="n">
        <f aca="false">K24389*(1-K24282)*(K24388-K24394+K24393-K24396)</f>
        <v>0</v>
      </c>
    </row>
    <row r="24399" customFormat="false" ht="15" hidden="false" customHeight="false" outlineLevel="0" collapsed="false">
      <c r="A24399" s="2" t="s">
        <v>339</v>
      </c>
      <c r="F24399" s="28" t="n">
        <f aca="false">Assumptions!$C$65</f>
        <v>300</v>
      </c>
      <c r="G24399" s="17" t="n">
        <f aca="false">G24388+G24395+G24393-G24394-G24396-G24397</f>
        <v>300</v>
      </c>
      <c r="H24399" s="17" t="n">
        <f aca="false">H24388+H24395+H24393-H24394-H24396-H24397</f>
        <v>300</v>
      </c>
      <c r="I24399" s="17" t="n">
        <f aca="false">I24388+I24395+I24393-I24394-I24396-I24397</f>
        <v>300</v>
      </c>
      <c r="J24399" s="17" t="n">
        <f aca="false">J24388+J24395+J24393-J24394-J24396-J24397</f>
        <v>300</v>
      </c>
      <c r="K24399" s="17" t="n">
        <f aca="false">K24388+K24395+K24393-K24394-K24396-K24397</f>
        <v>300</v>
      </c>
    </row>
    <row r="24400" customFormat="false" ht="15" hidden="false" customHeight="false" outlineLevel="0" collapsed="false">
      <c r="A24400" s="24" t="s">
        <v>348</v>
      </c>
      <c r="B24400" s="25"/>
      <c r="C24400" s="25"/>
      <c r="D24400" s="25"/>
      <c r="E24400" s="25"/>
      <c r="F24400" s="25"/>
      <c r="G24400" s="25"/>
      <c r="H24400" s="25"/>
      <c r="I24400" s="25"/>
      <c r="J24400" s="25"/>
      <c r="K24400" s="25"/>
    </row>
    <row r="24401" customFormat="false" ht="15" hidden="false" customHeight="false" outlineLevel="0" collapsed="false">
      <c r="A24401" s="3" t="s">
        <v>329</v>
      </c>
      <c r="G24401" s="16" t="n">
        <f aca="false">F24412</f>
        <v>78.61</v>
      </c>
      <c r="H24401" s="16" t="n">
        <f aca="false">G24412</f>
        <v>78.61</v>
      </c>
      <c r="I24401" s="16" t="n">
        <f aca="false">H24412</f>
        <v>78.61</v>
      </c>
      <c r="J24401" s="16" t="n">
        <f aca="false">I24412</f>
        <v>78.61</v>
      </c>
      <c r="K24401" s="16" t="n">
        <f aca="false">J24412</f>
        <v>78.61</v>
      </c>
    </row>
    <row r="24402" customFormat="false" ht="15" hidden="false" customHeight="false" outlineLevel="0" collapsed="false">
      <c r="A24402" s="3" t="s">
        <v>330</v>
      </c>
      <c r="G24402" s="21" t="n">
        <f aca="false">IF(G24248=Assumptions!$K$66,1,0)</f>
        <v>0</v>
      </c>
      <c r="H24402" s="21" t="n">
        <f aca="false">IF(H24248=Assumptions!$K$66,1,0)</f>
        <v>0</v>
      </c>
      <c r="I24402" s="21" t="n">
        <f aca="false">IF(I24248=Assumptions!$K$66,1,0)</f>
        <v>0</v>
      </c>
      <c r="J24402" s="21" t="n">
        <f aca="false">IF(J24248=Assumptions!$K$66,1,0)</f>
        <v>0</v>
      </c>
      <c r="K24402" s="21" t="n">
        <f aca="false">IF(K24248=Assumptions!$K$66,1,0)</f>
        <v>0</v>
      </c>
    </row>
    <row r="24404" customFormat="false" ht="15" hidden="false" customHeight="false" outlineLevel="0" collapsed="false">
      <c r="A24404" s="3" t="s">
        <v>331</v>
      </c>
      <c r="G24404" s="31" t="n">
        <f aca="false">IF(Assumptions!$I$66=1,MAX(G24274,Assumptions!$G$66)+Assumptions!$F$66+$C$24275,Assumptions!$E$66)</f>
        <v>0.0741</v>
      </c>
      <c r="H24404" s="31" t="n">
        <f aca="false">IF(G24603=1,$C$24276,IF(Assumptions!$I$66=1,MAX(H24274,Assumptions!$G$66)+Assumptions!$F$66+$C$24275,Assumptions!$E$66))</f>
        <v>0.0726</v>
      </c>
      <c r="I24404" s="31" t="n">
        <f aca="false">IF(H24603=1,$C$24276,IF(Assumptions!$I$66=1,MAX(I24274,Assumptions!$G$66)+Assumptions!$F$66+$C$24275,Assumptions!$E$66))</f>
        <v>0.0701</v>
      </c>
      <c r="J24404" s="31" t="n">
        <f aca="false">IF(I24603=1,$C$24276,IF(Assumptions!$I$66=1,MAX(J24274,Assumptions!$G$66)+Assumptions!$F$66+$C$24275,Assumptions!$E$66))</f>
        <v>0.0701</v>
      </c>
      <c r="K24404" s="31" t="n">
        <f aca="false">IF(J24603=1,$C$24276,IF(Assumptions!$I$66=1,MAX(K24274,Assumptions!$G$66)+Assumptions!$F$66+$C$24275,Assumptions!$E$66))</f>
        <v>0.0701</v>
      </c>
    </row>
    <row r="24405" customFormat="false" ht="15" hidden="false" customHeight="false" outlineLevel="0" collapsed="false">
      <c r="A24405" s="3" t="s">
        <v>332</v>
      </c>
      <c r="G24405" s="16" t="n">
        <f aca="false">G24401*G24404</f>
        <v>5.825001</v>
      </c>
      <c r="H24405" s="16" t="n">
        <f aca="false">H24401*H24404</f>
        <v>5.707086</v>
      </c>
      <c r="I24405" s="16" t="n">
        <f aca="false">I24401*I24404</f>
        <v>5.510561</v>
      </c>
      <c r="J24405" s="16" t="n">
        <f aca="false">J24401*J24404</f>
        <v>5.510561</v>
      </c>
      <c r="K24405" s="16" t="n">
        <f aca="false">K24401*K24404</f>
        <v>5.510561</v>
      </c>
    </row>
    <row r="24406" customFormat="false" ht="15" hidden="false" customHeight="false" outlineLevel="0" collapsed="false">
      <c r="A24406" s="3" t="s">
        <v>333</v>
      </c>
      <c r="G24406" s="16" t="n">
        <f aca="false">G24401*Assumptions!$H$66</f>
        <v>0</v>
      </c>
      <c r="H24406" s="16" t="n">
        <f aca="false">H24401*Assumptions!$H$66</f>
        <v>0</v>
      </c>
      <c r="I24406" s="16" t="n">
        <f aca="false">I24401*Assumptions!$H$66</f>
        <v>0</v>
      </c>
      <c r="J24406" s="16" t="n">
        <f aca="false">J24401*Assumptions!$H$66</f>
        <v>0</v>
      </c>
      <c r="K24406" s="16" t="n">
        <f aca="false">K24401*Assumptions!$H$66</f>
        <v>0</v>
      </c>
    </row>
    <row r="24407" customFormat="false" ht="15" hidden="false" customHeight="false" outlineLevel="0" collapsed="false">
      <c r="A24407" s="3" t="s">
        <v>334</v>
      </c>
      <c r="G24407" s="16" t="n">
        <f aca="false">MIN(G24401,Assumptions!$L$66*Assumptions!$C$66)</f>
        <v>0</v>
      </c>
      <c r="H24407" s="16" t="n">
        <f aca="false">MIN(H24401,Assumptions!$L$66*Assumptions!$C$66)</f>
        <v>0</v>
      </c>
      <c r="I24407" s="16" t="n">
        <f aca="false">MIN(I24401,Assumptions!$L$66*Assumptions!$C$66)</f>
        <v>0</v>
      </c>
      <c r="J24407" s="16" t="n">
        <f aca="false">MIN(J24401,Assumptions!$L$66*Assumptions!$C$66)</f>
        <v>0</v>
      </c>
      <c r="K24407" s="16" t="n">
        <f aca="false">MIN(K24401,Assumptions!$L$66*Assumptions!$C$66)</f>
        <v>0</v>
      </c>
    </row>
    <row r="24408" customFormat="false" ht="15" hidden="false" customHeight="false" outlineLevel="0" collapsed="false">
      <c r="A24408" s="3" t="s">
        <v>335</v>
      </c>
      <c r="G24408" s="16" t="n">
        <f aca="false">IF(AND(Assumptions!$P$66=1,G24248&lt;Assumptions!$K$66),MIN(MAX(0,-G24464),MAX(0,Assumptions!$D$66-G24401)),0)</f>
        <v>0</v>
      </c>
      <c r="H24408" s="16" t="n">
        <f aca="false">IF(AND(Assumptions!$P$66=1,OR(H24248&lt;Assumptions!$K$66,G24603=1)),MIN(MAX(0,-H24464),MAX(0,Assumptions!$D$66-H24401)),0)</f>
        <v>0</v>
      </c>
      <c r="I24408" s="16" t="n">
        <f aca="false">IF(AND(Assumptions!$P$66=1,OR(I24248&lt;Assumptions!$K$66,H24603=1)),MIN(MAX(0,-I24464),MAX(0,Assumptions!$D$66-I24401)),0)</f>
        <v>0</v>
      </c>
      <c r="J24408" s="16" t="n">
        <f aca="false">IF(AND(Assumptions!$P$66=1,OR(J24248&lt;Assumptions!$K$66,I24603=1)),MIN(MAX(0,-J24464),MAX(0,Assumptions!$D$66-J24401)),0)</f>
        <v>0</v>
      </c>
      <c r="K24408" s="16" t="n">
        <f aca="false">IF(AND(Assumptions!$P$66=1,OR(K24248&lt;Assumptions!$K$66,J24603=1)),MIN(MAX(0,-K24464),MAX(0,Assumptions!$D$66-K24401)),0)</f>
        <v>0</v>
      </c>
    </row>
    <row r="24409" customFormat="false" ht="15" hidden="false" customHeight="false" outlineLevel="0" collapsed="false">
      <c r="A24409" s="3" t="s">
        <v>336</v>
      </c>
      <c r="G24409" s="16" t="n">
        <f aca="false">G24402*MIN(G24401-G24407+G24406,MAX(0,G24466-Assumptions!$C$12*G24282-G24292-G24305-G24318-G24331-G24344-G24357-G24370-G24383-G24396))</f>
        <v>0</v>
      </c>
      <c r="H24409" s="16" t="n">
        <f aca="false">H24402*MIN(H24401-H24407+H24406,MAX(0,H24466-Assumptions!$C$12*H24282-H24292-H24305-H24318-H24331-H24344-H24357-H24370-H24383-H24396))</f>
        <v>0</v>
      </c>
      <c r="I24409" s="16" t="n">
        <f aca="false">I24402*MIN(I24401-I24407+I24406,MAX(0,I24466-Assumptions!$C$12*I24282-I24292-I24305-I24318-I24331-I24344-I24357-I24370-I24383-I24396))</f>
        <v>0</v>
      </c>
      <c r="J24409" s="16" t="n">
        <f aca="false">J24402*MIN(J24401-J24407+J24406,MAX(0,J24466-Assumptions!$C$12*J24282-J24292-J24305-J24318-J24331-J24344-J24357-J24370-J24383-J24396))</f>
        <v>0</v>
      </c>
      <c r="K24409" s="16" t="n">
        <f aca="false">K24402*MIN(K24401-K24407+K24406,MAX(0,K24466-Assumptions!$C$12*K24282-K24292-K24305-K24318-K24331-K24344-K24357-K24370-K24383-K24396))</f>
        <v>0</v>
      </c>
    </row>
    <row r="24410" customFormat="false" ht="15" hidden="false" customHeight="false" outlineLevel="0" collapsed="false">
      <c r="A24410" s="3" t="s">
        <v>337</v>
      </c>
      <c r="G24410" s="16" t="n">
        <f aca="false">Assumptions!$N$66*MIN(G24401+G24408+G24406-G24407-G24409,MAX(0,G24470-G24293-G24306-G24319-G24332-G24345-G24358-G24371-G24384-G24397))</f>
        <v>0</v>
      </c>
      <c r="H24410" s="16" t="n">
        <f aca="false">Assumptions!$N$66*MIN(H24401+H24408+H24406-H24407-H24409,MAX(0,H24470-H24293-H24306-H24319-H24332-H24345-H24358-H24371-H24384-H24397))</f>
        <v>0</v>
      </c>
      <c r="I24410" s="16" t="n">
        <f aca="false">Assumptions!$N$66*MIN(I24401+I24408+I24406-I24407-I24409,MAX(0,I24470-I24293-I24306-I24319-I24332-I24345-I24358-I24371-I24384-I24397))</f>
        <v>0</v>
      </c>
      <c r="J24410" s="16" t="n">
        <f aca="false">Assumptions!$N$66*MIN(J24401+J24408+J24406-J24407-J24409,MAX(0,J24470-J24293-J24306-J24319-J24332-J24345-J24358-J24371-J24384-J24397))</f>
        <v>0</v>
      </c>
      <c r="K24410" s="16" t="n">
        <f aca="false">Assumptions!$N$66*MIN(K24401+K24408+K24406-K24407-K24409,MAX(0,K24470-K24293-K24306-K24319-K24332-K24345-K24358-K24371-K24384-K24397))</f>
        <v>0</v>
      </c>
    </row>
    <row r="24411" customFormat="false" ht="15" hidden="false" customHeight="false" outlineLevel="0" collapsed="false">
      <c r="A24411" s="3" t="s">
        <v>338</v>
      </c>
      <c r="G24411" s="16" t="n">
        <f aca="false">G24402*(1-G24282)*(G24401-G24407+G24406-G24409)</f>
        <v>0</v>
      </c>
      <c r="H24411" s="16" t="n">
        <f aca="false">H24402*(1-H24282)*(H24401-H24407+H24406-H24409)</f>
        <v>0</v>
      </c>
      <c r="I24411" s="16" t="n">
        <f aca="false">I24402*(1-I24282)*(I24401-I24407+I24406-I24409)</f>
        <v>0</v>
      </c>
      <c r="J24411" s="16" t="n">
        <f aca="false">J24402*(1-J24282)*(J24401-J24407+J24406-J24409)</f>
        <v>0</v>
      </c>
      <c r="K24411" s="16" t="n">
        <f aca="false">K24402*(1-K24282)*(K24401-K24407+K24406-K24409)</f>
        <v>0</v>
      </c>
    </row>
    <row r="24412" customFormat="false" ht="15" hidden="false" customHeight="false" outlineLevel="0" collapsed="false">
      <c r="A24412" s="2" t="s">
        <v>339</v>
      </c>
      <c r="F24412" s="28" t="n">
        <f aca="false">Assumptions!$C$66</f>
        <v>78.61</v>
      </c>
      <c r="G24412" s="17" t="n">
        <f aca="false">G24401+G24408+G24406-G24407-G24409-G24410</f>
        <v>78.61</v>
      </c>
      <c r="H24412" s="17" t="n">
        <f aca="false">H24401+H24408+H24406-H24407-H24409-H24410</f>
        <v>78.61</v>
      </c>
      <c r="I24412" s="17" t="n">
        <f aca="false">I24401+I24408+I24406-I24407-I24409-I24410</f>
        <v>78.61</v>
      </c>
      <c r="J24412" s="17" t="n">
        <f aca="false">J24401+J24408+J24406-J24407-J24409-J24410</f>
        <v>78.61</v>
      </c>
      <c r="K24412" s="17" t="n">
        <f aca="false">K24401+K24408+K24406-K24407-K24409-K24410</f>
        <v>78.61</v>
      </c>
    </row>
    <row r="24413" customFormat="false" ht="15" hidden="false" customHeight="false" outlineLevel="0" collapsed="false">
      <c r="A24413" s="24" t="s">
        <v>349</v>
      </c>
      <c r="B24413" s="25"/>
      <c r="C24413" s="25"/>
      <c r="D24413" s="25"/>
      <c r="E24413" s="25"/>
      <c r="F24413" s="25"/>
      <c r="G24413" s="25"/>
      <c r="H24413" s="25"/>
      <c r="I24413" s="25"/>
      <c r="J24413" s="25"/>
      <c r="K24413" s="25"/>
    </row>
    <row r="24414" customFormat="false" ht="15" hidden="false" customHeight="false" outlineLevel="0" collapsed="false">
      <c r="A24414" s="2" t="s">
        <v>350</v>
      </c>
      <c r="F24414" s="17" t="n">
        <f aca="false">F24295+F24308+F24321+F24334+F24347+F24360+F24373+F24386+F24399+F24412</f>
        <v>2625.934</v>
      </c>
      <c r="G24414" s="17" t="n">
        <f aca="false">G24295+G24308+G24321+G24334+G24347+G24360+G24373+G24386+G24399+G24412</f>
        <v>2621.934</v>
      </c>
      <c r="H24414" s="17" t="n">
        <f aca="false">H24295+H24308+H24321+H24334+H24347+H24360+H24373+H24386+H24399+H24412</f>
        <v>2594.7205513738</v>
      </c>
      <c r="I24414" s="17" t="n">
        <f aca="false">I24295+I24308+I24321+I24334+I24347+I24360+I24373+I24386+I24399+I24412</f>
        <v>2668.45484555586</v>
      </c>
      <c r="J24414" s="17" t="n">
        <f aca="false">J24295+J24308+J24321+J24334+J24347+J24360+J24373+J24386+J24399+J24412</f>
        <v>2765.0677083986</v>
      </c>
      <c r="K24414" s="17" t="n">
        <f aca="false">K24295+K24308+K24321+K24334+K24347+K24360+K24373+K24386+K24399+K24412</f>
        <v>2878.19445483005</v>
      </c>
    </row>
    <row r="24415" customFormat="false" ht="15" hidden="false" customHeight="false" outlineLevel="0" collapsed="false">
      <c r="A24415" s="3" t="s">
        <v>351</v>
      </c>
      <c r="G24415" s="16" t="n">
        <f aca="false">G24285*Assumptions!$C$57+G24298*Assumptions!$C$58+G24311*Assumptions!$C$59+G24324*Assumptions!$C$60+G24337*Assumptions!$C$61+G24350*Assumptions!$C$62+G24363*Assumptions!$C$63+G24376*Assumptions!$C$64+G24389*Assumptions!$C$65+G24402*Assumptions!$C$66</f>
        <v>0</v>
      </c>
      <c r="H24415" s="16" t="n">
        <f aca="false">H24285*Assumptions!$C$57+H24298*Assumptions!$C$58+H24311*Assumptions!$C$59+H24324*Assumptions!$C$60+H24337*Assumptions!$C$61+H24350*Assumptions!$C$62+H24363*Assumptions!$C$63+H24376*Assumptions!$C$64+H24389*Assumptions!$C$65+H24402*Assumptions!$C$66</f>
        <v>800</v>
      </c>
      <c r="I24415" s="16" t="n">
        <f aca="false">I24285*Assumptions!$C$57+I24298*Assumptions!$C$58+I24311*Assumptions!$C$59+I24324*Assumptions!$C$60+I24337*Assumptions!$C$61+I24350*Assumptions!$C$62+I24363*Assumptions!$C$63+I24376*Assumptions!$C$64+I24389*Assumptions!$C$65+I24402*Assumptions!$C$66</f>
        <v>550</v>
      </c>
      <c r="J24415" s="16" t="n">
        <f aca="false">J24285*Assumptions!$C$57+J24298*Assumptions!$C$58+J24311*Assumptions!$C$59+J24324*Assumptions!$C$60+J24337*Assumptions!$C$61+J24350*Assumptions!$C$62+J24363*Assumptions!$C$63+J24376*Assumptions!$C$64+J24389*Assumptions!$C$65+J24402*Assumptions!$C$66</f>
        <v>350</v>
      </c>
      <c r="K24415" s="16" t="n">
        <f aca="false">K24285*Assumptions!$C$57+K24298*Assumptions!$C$58+K24311*Assumptions!$C$59+K24324*Assumptions!$C$60+K24337*Assumptions!$C$61+K24350*Assumptions!$C$62+K24363*Assumptions!$C$63+K24376*Assumptions!$C$64+K24389*Assumptions!$C$65+K24402*Assumptions!$C$66</f>
        <v>700</v>
      </c>
    </row>
    <row r="24416" customFormat="false" ht="15" hidden="false" customHeight="false" outlineLevel="0" collapsed="false">
      <c r="A24416" s="24" t="s">
        <v>352</v>
      </c>
      <c r="B24416" s="25"/>
      <c r="C24416" s="25"/>
      <c r="D24416" s="25"/>
      <c r="E24416" s="25"/>
      <c r="F24416" s="25"/>
      <c r="G24416" s="25"/>
      <c r="H24416" s="25"/>
      <c r="I24416" s="25"/>
      <c r="J24416" s="25"/>
      <c r="K24416" s="25"/>
    </row>
    <row r="24417" customFormat="false" ht="15" hidden="false" customHeight="false" outlineLevel="0" collapsed="false">
      <c r="A24417" s="3" t="s">
        <v>353</v>
      </c>
      <c r="C24417" s="16" t="n">
        <f aca="false">SUMPRODUCT($G$24285:$K$24285,$G$24284:$K$24284-$G$24290:$K$24290+$G$24289:$K$24289)</f>
        <v>380</v>
      </c>
    </row>
    <row r="24418" customFormat="false" ht="15" hidden="false" customHeight="false" outlineLevel="0" collapsed="false">
      <c r="A24418" s="3" t="s">
        <v>354</v>
      </c>
      <c r="C24418" s="16" t="n">
        <f aca="false">SUMPRODUCT($G$24285:$K$24285,$G$24292:$K$24292)</f>
        <v>0</v>
      </c>
    </row>
    <row r="24419" customFormat="false" ht="15" hidden="false" customHeight="false" outlineLevel="0" collapsed="false">
      <c r="A24419" s="3" t="s">
        <v>355</v>
      </c>
      <c r="C24419" s="3" t="str">
        <f aca="false">IF(SUM($G$24285:$K$24285)=0,"n/a (beyond horizon)",IF(SUMPRODUCT($G$24285:$K$24285,$G$24282:$K$24282)&gt;0,"REFINANCING PASS","REFINANCING FAILURE"))</f>
        <v>REFINANCING PASS</v>
      </c>
    </row>
    <row r="24420" customFormat="false" ht="15" hidden="false" customHeight="false" outlineLevel="0" collapsed="false">
      <c r="A24420" s="3" t="s">
        <v>356</v>
      </c>
      <c r="C24420" s="3" t="str">
        <f aca="false">IF(SUM($G$24285:$K$24285)=0,"n/a",IF(C24418&gt;=C24417-0.001,"Repaid from cash",IF(SUMPRODUCT($G$24285:$K$24285,$G$24282:$K$24282)&gt;0,IF(C24418&gt;0,"Partly repaid; remainder refinanced","Refinanced"),IF(SUM($G$24294:$K$24294)&gt;0.001,IF(C24418&gt;0,"Partial repayment; PAYMENT DEFAULT","PAYMENT DEFAULT"),"Repaid from cash"))))</f>
        <v>Refinanced</v>
      </c>
    </row>
    <row r="24421" customFormat="false" ht="15" hidden="false" customHeight="false" outlineLevel="0" collapsed="false">
      <c r="A24421" s="3" t="s">
        <v>357</v>
      </c>
      <c r="C24421" s="16" t="n">
        <f aca="false">SUMPRODUCT($G$24298:$K$24298,$G$24297:$K$24297-$G$24303:$K$24303+$G$24302:$K$24302)</f>
        <v>0</v>
      </c>
    </row>
    <row r="24422" customFormat="false" ht="15" hidden="false" customHeight="false" outlineLevel="0" collapsed="false">
      <c r="A24422" s="3" t="s">
        <v>358</v>
      </c>
      <c r="C24422" s="16" t="n">
        <f aca="false">SUMPRODUCT($G$24298:$K$24298,$G$24305:$K$24305)</f>
        <v>0</v>
      </c>
    </row>
    <row r="24423" customFormat="false" ht="15" hidden="false" customHeight="false" outlineLevel="0" collapsed="false">
      <c r="A24423" s="3" t="s">
        <v>359</v>
      </c>
      <c r="C24423" s="3" t="str">
        <f aca="false">IF(SUM($G$24298:$K$24298)=0,"n/a (beyond horizon)",IF(SUMPRODUCT($G$24298:$K$24298,$G$24282:$K$24282)&gt;0,"REFINANCING PASS","REFINANCING FAILURE"))</f>
        <v>n/a (beyond horizon)</v>
      </c>
    </row>
    <row r="24424" customFormat="false" ht="15" hidden="false" customHeight="false" outlineLevel="0" collapsed="false">
      <c r="A24424" s="3" t="s">
        <v>360</v>
      </c>
      <c r="C24424" s="3" t="str">
        <f aca="false">IF(SUM($G$24298:$K$24298)=0,"n/a",IF(C24422&gt;=C24421-0.001,"Repaid from cash",IF(SUMPRODUCT($G$24298:$K$24298,$G$24282:$K$24282)&gt;0,IF(C24422&gt;0,"Partly repaid; remainder refinanced","Refinanced"),IF(SUM($G$24307:$K$24307)&gt;0.001,IF(C24422&gt;0,"Partial repayment; PAYMENT DEFAULT","PAYMENT DEFAULT"),"Repaid from cash"))))</f>
        <v>n/a</v>
      </c>
    </row>
    <row r="24425" customFormat="false" ht="15" hidden="false" customHeight="false" outlineLevel="0" collapsed="false">
      <c r="A24425" s="3" t="s">
        <v>361</v>
      </c>
      <c r="C24425" s="16" t="n">
        <f aca="false">SUMPRODUCT($G$24311:$K$24311,$G$24310:$K$24310-$G$24316:$K$24316+$G$24315:$K$24315)</f>
        <v>0</v>
      </c>
    </row>
    <row r="24426" customFormat="false" ht="15" hidden="false" customHeight="false" outlineLevel="0" collapsed="false">
      <c r="A24426" s="3" t="s">
        <v>362</v>
      </c>
      <c r="C24426" s="16" t="n">
        <f aca="false">SUMPRODUCT($G$24311:$K$24311,$G$24318:$K$24318)</f>
        <v>0</v>
      </c>
    </row>
    <row r="24427" customFormat="false" ht="15" hidden="false" customHeight="false" outlineLevel="0" collapsed="false">
      <c r="A24427" s="3" t="s">
        <v>363</v>
      </c>
      <c r="C24427" s="3" t="str">
        <f aca="false">IF(SUM($G$24311:$K$24311)=0,"n/a (beyond horizon)",IF(SUMPRODUCT($G$24311:$K$24311,$G$24282:$K$24282)&gt;0,"REFINANCING PASS","REFINANCING FAILURE"))</f>
        <v>n/a (beyond horizon)</v>
      </c>
    </row>
    <row r="24428" customFormat="false" ht="15" hidden="false" customHeight="false" outlineLevel="0" collapsed="false">
      <c r="A24428" s="3" t="s">
        <v>364</v>
      </c>
      <c r="C24428" s="3" t="str">
        <f aca="false">IF(SUM($G$24311:$K$24311)=0,"n/a",IF(C24426&gt;=C24425-0.001,"Repaid from cash",IF(SUMPRODUCT($G$24311:$K$24311,$G$24282:$K$24282)&gt;0,IF(C24426&gt;0,"Partly repaid; remainder refinanced","Refinanced"),IF(SUM($G$24320:$K$24320)&gt;0.001,IF(C24426&gt;0,"Partial repayment; PAYMENT DEFAULT","PAYMENT DEFAULT"),"Repaid from cash"))))</f>
        <v>n/a</v>
      </c>
    </row>
    <row r="24429" customFormat="false" ht="15" hidden="false" customHeight="false" outlineLevel="0" collapsed="false">
      <c r="A24429" s="3" t="s">
        <v>365</v>
      </c>
      <c r="C24429" s="16" t="n">
        <f aca="false">SUMPRODUCT($G$24324:$K$24324,$G$24323:$K$24323-$G$24329:$K$24329+$G$24328:$K$24328)</f>
        <v>0</v>
      </c>
    </row>
    <row r="24430" customFormat="false" ht="15" hidden="false" customHeight="false" outlineLevel="0" collapsed="false">
      <c r="A24430" s="3" t="s">
        <v>366</v>
      </c>
      <c r="C24430" s="16" t="n">
        <f aca="false">SUMPRODUCT($G$24324:$K$24324,$G$24331:$K$24331)</f>
        <v>0</v>
      </c>
    </row>
    <row r="24431" customFormat="false" ht="15" hidden="false" customHeight="false" outlineLevel="0" collapsed="false">
      <c r="A24431" s="3" t="s">
        <v>367</v>
      </c>
      <c r="C24431" s="3" t="str">
        <f aca="false">IF(SUM($G$24324:$K$24324)=0,"n/a (beyond horizon)",IF(SUMPRODUCT($G$24324:$K$24324,$G$24282:$K$24282)&gt;0,"REFINANCING PASS","REFINANCING FAILURE"))</f>
        <v>REFINANCING PASS</v>
      </c>
    </row>
    <row r="24432" customFormat="false" ht="15" hidden="false" customHeight="false" outlineLevel="0" collapsed="false">
      <c r="A24432" s="3" t="s">
        <v>368</v>
      </c>
      <c r="C24432" s="3" t="str">
        <f aca="false">IF(SUM($G$24324:$K$24324)=0,"n/a",IF(C24430&gt;=C24429-0.001,"Repaid from cash",IF(SUMPRODUCT($G$24324:$K$24324,$G$24282:$K$24282)&gt;0,IF(C24430&gt;0,"Partly repaid; remainder refinanced","Refinanced"),IF(SUM($G$24333:$K$24333)&gt;0.001,IF(C24430&gt;0,"Partial repayment; PAYMENT DEFAULT","PAYMENT DEFAULT"),"Repaid from cash"))))</f>
        <v>Repaid from cash</v>
      </c>
    </row>
    <row r="24433" customFormat="false" ht="15" hidden="false" customHeight="false" outlineLevel="0" collapsed="false">
      <c r="A24433" s="3" t="s">
        <v>369</v>
      </c>
      <c r="C24433" s="16" t="n">
        <f aca="false">SUMPRODUCT($G$24337:$K$24337,$G$24336:$K$24336-$G$24342:$K$24342+$G$24341:$K$24341)</f>
        <v>450</v>
      </c>
    </row>
    <row r="24434" customFormat="false" ht="15" hidden="false" customHeight="false" outlineLevel="0" collapsed="false">
      <c r="A24434" s="3" t="s">
        <v>370</v>
      </c>
      <c r="C24434" s="16" t="n">
        <f aca="false">SUMPRODUCT($G$24337:$K$24337,$G$24344:$K$24344)</f>
        <v>23.2134486262</v>
      </c>
    </row>
    <row r="24435" customFormat="false" ht="15" hidden="false" customHeight="false" outlineLevel="0" collapsed="false">
      <c r="A24435" s="3" t="s">
        <v>371</v>
      </c>
      <c r="C24435" s="3" t="str">
        <f aca="false">IF(SUM($G$24337:$K$24337)=0,"n/a (beyond horizon)",IF(SUMPRODUCT($G$24337:$K$24337,$G$24282:$K$24282)&gt;0,"REFINANCING PASS","REFINANCING FAILURE"))</f>
        <v>REFINANCING PASS</v>
      </c>
    </row>
    <row r="24436" customFormat="false" ht="15" hidden="false" customHeight="false" outlineLevel="0" collapsed="false">
      <c r="A24436" s="3" t="s">
        <v>372</v>
      </c>
      <c r="C24436" s="3" t="str">
        <f aca="false">IF(SUM($G$24337:$K$24337)=0,"n/a",IF(C24434&gt;=C24433-0.001,"Repaid from cash",IF(SUMPRODUCT($G$24337:$K$24337,$G$24282:$K$24282)&gt;0,IF(C24434&gt;0,"Partly repaid; remainder refinanced","Refinanced"),IF(SUM($G$24346:$K$24346)&gt;0.001,IF(C24434&gt;0,"Partial repayment; PAYMENT DEFAULT","PAYMENT DEFAULT"),"Repaid from cash"))))</f>
        <v>Partly repaid; remainder refinanced</v>
      </c>
    </row>
    <row r="24437" customFormat="false" ht="15" hidden="false" customHeight="false" outlineLevel="0" collapsed="false">
      <c r="A24437" s="3" t="s">
        <v>373</v>
      </c>
      <c r="C24437" s="16" t="n">
        <f aca="false">SUMPRODUCT($G$24350:$K$24350,$G$24349:$K$24349-$G$24355:$K$24355+$G$24354:$K$24354)</f>
        <v>350</v>
      </c>
    </row>
    <row r="24438" customFormat="false" ht="15" hidden="false" customHeight="false" outlineLevel="0" collapsed="false">
      <c r="A24438" s="3" t="s">
        <v>374</v>
      </c>
      <c r="C24438" s="16" t="n">
        <f aca="false">SUMPRODUCT($G$24350:$K$24350,$G$24357:$K$24357)</f>
        <v>0</v>
      </c>
    </row>
    <row r="24439" customFormat="false" ht="15" hidden="false" customHeight="false" outlineLevel="0" collapsed="false">
      <c r="A24439" s="3" t="s">
        <v>375</v>
      </c>
      <c r="C24439" s="3" t="str">
        <f aca="false">IF(SUM($G$24350:$K$24350)=0,"n/a (beyond horizon)",IF(SUMPRODUCT($G$24350:$K$24350,$G$24282:$K$24282)&gt;0,"REFINANCING PASS","REFINANCING FAILURE"))</f>
        <v>REFINANCING PASS</v>
      </c>
    </row>
    <row r="24440" customFormat="false" ht="15" hidden="false" customHeight="false" outlineLevel="0" collapsed="false">
      <c r="A24440" s="3" t="s">
        <v>376</v>
      </c>
      <c r="C24440" s="3" t="str">
        <f aca="false">IF(SUM($G$24350:$K$24350)=0,"n/a",IF(C24438&gt;=C24437-0.001,"Repaid from cash",IF(SUMPRODUCT($G$24350:$K$24350,$G$24282:$K$24282)&gt;0,IF(C24438&gt;0,"Partly repaid; remainder refinanced","Refinanced"),IF(SUM($G$24359:$K$24359)&gt;0.001,IF(C24438&gt;0,"Partial repayment; PAYMENT DEFAULT","PAYMENT DEFAULT"),"Repaid from cash"))))</f>
        <v>Refinanced</v>
      </c>
    </row>
    <row r="24441" customFormat="false" ht="15" hidden="false" customHeight="false" outlineLevel="0" collapsed="false">
      <c r="A24441" s="3" t="s">
        <v>377</v>
      </c>
      <c r="C24441" s="16" t="n">
        <f aca="false">SUMPRODUCT($G$24363:$K$24363,$G$24362:$K$24362-$G$24368:$K$24368+$G$24367:$K$24367)</f>
        <v>550</v>
      </c>
    </row>
    <row r="24442" customFormat="false" ht="15" hidden="false" customHeight="false" outlineLevel="0" collapsed="false">
      <c r="A24442" s="3" t="s">
        <v>378</v>
      </c>
      <c r="C24442" s="16" t="n">
        <f aca="false">SUMPRODUCT($G$24363:$K$24363,$G$24370:$K$24370)</f>
        <v>0</v>
      </c>
    </row>
    <row r="24443" customFormat="false" ht="15" hidden="false" customHeight="false" outlineLevel="0" collapsed="false">
      <c r="A24443" s="3" t="s">
        <v>379</v>
      </c>
      <c r="C24443" s="3" t="str">
        <f aca="false">IF(SUM($G$24363:$K$24363)=0,"n/a (beyond horizon)",IF(SUMPRODUCT($G$24363:$K$24363,$G$24282:$K$24282)&gt;0,"REFINANCING PASS","REFINANCING FAILURE"))</f>
        <v>REFINANCING PASS</v>
      </c>
    </row>
    <row r="24444" customFormat="false" ht="15" hidden="false" customHeight="false" outlineLevel="0" collapsed="false">
      <c r="A24444" s="3" t="s">
        <v>380</v>
      </c>
      <c r="C24444" s="3" t="str">
        <f aca="false">IF(SUM($G$24363:$K$24363)=0,"n/a",IF(C24442&gt;=C24441-0.001,"Repaid from cash",IF(SUMPRODUCT($G$24363:$K$24363,$G$24282:$K$24282)&gt;0,IF(C24442&gt;0,"Partly repaid; remainder refinanced","Refinanced"),IF(SUM($G$24372:$K$24372)&gt;0.001,IF(C24442&gt;0,"Partial repayment; PAYMENT DEFAULT","PAYMENT DEFAULT"),"Repaid from cash"))))</f>
        <v>Refinanced</v>
      </c>
    </row>
    <row r="24445" customFormat="false" ht="15" hidden="false" customHeight="false" outlineLevel="0" collapsed="false">
      <c r="A24445" s="3" t="s">
        <v>381</v>
      </c>
      <c r="C24445" s="16" t="n">
        <f aca="false">SUMPRODUCT($G$24376:$K$24376,$G$24375:$K$24375-$G$24381:$K$24381+$G$24380:$K$24380)</f>
        <v>350</v>
      </c>
    </row>
    <row r="24446" customFormat="false" ht="15" hidden="false" customHeight="false" outlineLevel="0" collapsed="false">
      <c r="A24446" s="3" t="s">
        <v>382</v>
      </c>
      <c r="C24446" s="16" t="n">
        <f aca="false">SUMPRODUCT($G$24376:$K$24376,$G$24383:$K$24383)</f>
        <v>0</v>
      </c>
    </row>
    <row r="24447" customFormat="false" ht="15" hidden="false" customHeight="false" outlineLevel="0" collapsed="false">
      <c r="A24447" s="3" t="s">
        <v>383</v>
      </c>
      <c r="C24447" s="3" t="str">
        <f aca="false">IF(SUM($G$24376:$K$24376)=0,"n/a (beyond horizon)",IF(SUMPRODUCT($G$24376:$K$24376,$G$24282:$K$24282)&gt;0,"REFINANCING PASS","REFINANCING FAILURE"))</f>
        <v>REFINANCING PASS</v>
      </c>
    </row>
    <row r="24448" customFormat="false" ht="15" hidden="false" customHeight="false" outlineLevel="0" collapsed="false">
      <c r="A24448" s="3" t="s">
        <v>384</v>
      </c>
      <c r="C24448" s="3" t="str">
        <f aca="false">IF(SUM($G$24376:$K$24376)=0,"n/a",IF(C24446&gt;=C24445-0.001,"Repaid from cash",IF(SUMPRODUCT($G$24376:$K$24376,$G$24282:$K$24282)&gt;0,IF(C24446&gt;0,"Partly repaid; remainder refinanced","Refinanced"),IF(SUM($G$24385:$K$24385)&gt;0.001,IF(C24446&gt;0,"Partial repayment; PAYMENT DEFAULT","PAYMENT DEFAULT"),"Repaid from cash"))))</f>
        <v>Refinanced</v>
      </c>
    </row>
    <row r="24449" customFormat="false" ht="15" hidden="false" customHeight="false" outlineLevel="0" collapsed="false">
      <c r="A24449" s="3" t="s">
        <v>385</v>
      </c>
      <c r="C24449" s="16" t="n">
        <f aca="false">SUMPRODUCT($G$24389:$K$24389,$G$24388:$K$24388-$G$24394:$K$24394+$G$24393:$K$24393)</f>
        <v>300</v>
      </c>
    </row>
    <row r="24450" customFormat="false" ht="15" hidden="false" customHeight="false" outlineLevel="0" collapsed="false">
      <c r="A24450" s="3" t="s">
        <v>386</v>
      </c>
      <c r="C24450" s="16" t="n">
        <f aca="false">SUMPRODUCT($G$24389:$K$24389,$G$24396:$K$24396)</f>
        <v>0</v>
      </c>
    </row>
    <row r="24451" customFormat="false" ht="15" hidden="false" customHeight="false" outlineLevel="0" collapsed="false">
      <c r="A24451" s="3" t="s">
        <v>387</v>
      </c>
      <c r="C24451" s="3" t="str">
        <f aca="false">IF(SUM($G$24389:$K$24389)=0,"n/a (beyond horizon)",IF(SUMPRODUCT($G$24389:$K$24389,$G$24282:$K$24282)&gt;0,"REFINANCING PASS","REFINANCING FAILURE"))</f>
        <v>REFINANCING PASS</v>
      </c>
    </row>
    <row r="24452" customFormat="false" ht="15" hidden="false" customHeight="false" outlineLevel="0" collapsed="false">
      <c r="A24452" s="3" t="s">
        <v>388</v>
      </c>
      <c r="C24452" s="3" t="str">
        <f aca="false">IF(SUM($G$24389:$K$24389)=0,"n/a",IF(C24450&gt;=C24449-0.001,"Repaid from cash",IF(SUMPRODUCT($G$24389:$K$24389,$G$24282:$K$24282)&gt;0,IF(C24450&gt;0,"Partly repaid; remainder refinanced","Refinanced"),IF(SUM($G$24398:$K$24398)&gt;0.001,IF(C24450&gt;0,"Partial repayment; PAYMENT DEFAULT","PAYMENT DEFAULT"),"Repaid from cash"))))</f>
        <v>Refinanced</v>
      </c>
    </row>
    <row r="24453" customFormat="false" ht="15" hidden="false" customHeight="false" outlineLevel="0" collapsed="false">
      <c r="A24453" s="3" t="s">
        <v>389</v>
      </c>
      <c r="C24453" s="16" t="n">
        <f aca="false">SUMPRODUCT($G$24402:$K$24402,$G$24401:$K$24401-$G$24407:$K$24407+$G$24406:$K$24406)</f>
        <v>0</v>
      </c>
    </row>
    <row r="24454" customFormat="false" ht="15" hidden="false" customHeight="false" outlineLevel="0" collapsed="false">
      <c r="A24454" s="3" t="s">
        <v>390</v>
      </c>
      <c r="C24454" s="16" t="n">
        <f aca="false">SUMPRODUCT($G$24402:$K$24402,$G$24409:$K$24409)</f>
        <v>0</v>
      </c>
    </row>
    <row r="24455" customFormat="false" ht="15" hidden="false" customHeight="false" outlineLevel="0" collapsed="false">
      <c r="A24455" s="3" t="s">
        <v>391</v>
      </c>
      <c r="C24455" s="3" t="str">
        <f aca="false">IF(SUM($G$24402:$K$24402)=0,"n/a (beyond horizon)",IF(SUMPRODUCT($G$24402:$K$24402,$G$24282:$K$24282)&gt;0,"REFINANCING PASS","REFINANCING FAILURE"))</f>
        <v>n/a (beyond horizon)</v>
      </c>
    </row>
    <row r="24456" customFormat="false" ht="15" hidden="false" customHeight="false" outlineLevel="0" collapsed="false">
      <c r="A24456" s="3" t="s">
        <v>392</v>
      </c>
      <c r="C24456" s="3" t="str">
        <f aca="false">IF(SUM($G$24402:$K$24402)=0,"n/a",IF(C24454&gt;=C24453-0.001,"Repaid from cash",IF(SUMPRODUCT($G$24402:$K$24402,$G$24282:$K$24282)&gt;0,IF(C24454&gt;0,"Partly repaid; remainder refinanced","Refinanced"),IF(SUM($G$24411:$K$24411)&gt;0.001,IF(C24454&gt;0,"Partial repayment; PAYMENT DEFAULT","PAYMENT DEFAULT"),"Repaid from cash"))))</f>
        <v>n/a</v>
      </c>
    </row>
    <row r="24457" customFormat="false" ht="15" hidden="false" customHeight="false" outlineLevel="0" collapsed="false">
      <c r="A24457" s="3" t="s">
        <v>393</v>
      </c>
      <c r="C24457" s="21" t="n">
        <f aca="false">IF(C24419="REFINANCING FAILURE",1,0)+IF(C24423="REFINANCING FAILURE",1,0)+IF(C24427="REFINANCING FAILURE",1,0)+IF(C24431="REFINANCING FAILURE",1,0)+IF(C24435="REFINANCING FAILURE",1,0)+IF(C24439="REFINANCING FAILURE",1,0)+IF(C24443="REFINANCING FAILURE",1,0)+IF(C24447="REFINANCING FAILURE",1,0)+IF(C24451="REFINANCING FAILURE",1,0)+IF(C24455="REFINANCING FAILURE",1,0)</f>
        <v>0</v>
      </c>
    </row>
    <row r="24459" customFormat="false" ht="15" hidden="false" customHeight="false" outlineLevel="0" collapsed="false">
      <c r="A24459" s="24" t="s">
        <v>395</v>
      </c>
      <c r="B24459" s="25"/>
      <c r="C24459" s="25"/>
      <c r="D24459" s="25"/>
      <c r="E24459" s="25"/>
      <c r="F24459" s="25"/>
      <c r="G24459" s="25"/>
      <c r="H24459" s="25"/>
      <c r="I24459" s="25"/>
      <c r="J24459" s="25"/>
      <c r="K24459" s="25"/>
    </row>
    <row r="24460" customFormat="false" ht="15" hidden="false" customHeight="false" outlineLevel="0" collapsed="false">
      <c r="A24460" s="3" t="s">
        <v>325</v>
      </c>
      <c r="G24460" s="16" t="n">
        <f aca="false">F24472</f>
        <v>37.87</v>
      </c>
      <c r="H24460" s="16" t="n">
        <f aca="false">G24472</f>
        <v>140.7565686</v>
      </c>
      <c r="I24460" s="16" t="n">
        <f aca="false">H24472</f>
        <v>25</v>
      </c>
      <c r="J24460" s="16" t="n">
        <f aca="false">I24472</f>
        <v>0</v>
      </c>
      <c r="K24460" s="16" t="n">
        <f aca="false">J24472</f>
        <v>0</v>
      </c>
    </row>
    <row r="24461" customFormat="false" ht="15" hidden="false" customHeight="false" outlineLevel="0" collapsed="false">
      <c r="A24461" s="3" t="s">
        <v>396</v>
      </c>
      <c r="G24461" s="16" t="n">
        <f aca="false">G24271</f>
        <v>-93.1134314</v>
      </c>
      <c r="H24461" s="16" t="n">
        <f aca="false">H24271</f>
        <v>-88.5431199738</v>
      </c>
      <c r="I24461" s="16" t="n">
        <f aca="false">I24271</f>
        <v>-98.734294182056</v>
      </c>
      <c r="J24461" s="16" t="n">
        <f aca="false">J24271</f>
        <v>-96.6128628427392</v>
      </c>
      <c r="K24461" s="16" t="n">
        <f aca="false">K24271</f>
        <v>-113.126746431453</v>
      </c>
    </row>
    <row r="24462" customFormat="false" ht="15" hidden="false" customHeight="false" outlineLevel="0" collapsed="false">
      <c r="A24462" s="3" t="s">
        <v>397</v>
      </c>
      <c r="G24462" s="16" t="n">
        <f aca="false">CHOOSE($C$24241,Assumptions!$G$82,Assumptions!$G$101,Assumptions!$G$120)</f>
        <v>200</v>
      </c>
      <c r="H24462" s="16" t="n">
        <f aca="false">CHOOSE($C$24241,Assumptions!$H$82,Assumptions!$H$101,Assumptions!$H$120)</f>
        <v>0</v>
      </c>
      <c r="I24462" s="16" t="n">
        <f aca="false">CHOOSE($C$24241,Assumptions!$I$82,Assumptions!$I$101,Assumptions!$I$120)</f>
        <v>0</v>
      </c>
      <c r="J24462" s="16" t="n">
        <f aca="false">CHOOSE($C$24241,Assumptions!$J$82,Assumptions!$J$101,Assumptions!$J$120)</f>
        <v>0</v>
      </c>
      <c r="K24462" s="16" t="n">
        <f aca="false">CHOOSE($C$24241,Assumptions!$K$82,Assumptions!$K$101,Assumptions!$K$120)</f>
        <v>0</v>
      </c>
    </row>
    <row r="24463" customFormat="false" ht="15" hidden="false" customHeight="false" outlineLevel="0" collapsed="false">
      <c r="A24463" s="3" t="s">
        <v>398</v>
      </c>
      <c r="G24463" s="16" t="n">
        <f aca="false">G24290+G24303+G24316+G24329+G24342+G24355+G24368+G24381+G24394+G24407</f>
        <v>4</v>
      </c>
      <c r="H24463" s="16" t="n">
        <f aca="false">H24290+H24303+H24316+H24329+H24342+H24355+H24368+H24381+H24394+H24407</f>
        <v>4</v>
      </c>
      <c r="I24463" s="16" t="n">
        <f aca="false">I24290+I24303+I24316+I24329+I24342+I24355+I24368+I24381+I24394+I24407</f>
        <v>4</v>
      </c>
      <c r="J24463" s="16" t="n">
        <f aca="false">J24290+J24303+J24316+J24329+J24342+J24355+J24368+J24381+J24394+J24407</f>
        <v>4</v>
      </c>
      <c r="K24463" s="16" t="n">
        <f aca="false">K24290+K24303+K24316+K24329+K24342+K24355+K24368+K24381+K24394+K24407</f>
        <v>4</v>
      </c>
    </row>
    <row r="24464" customFormat="false" ht="15" hidden="false" customHeight="false" outlineLevel="0" collapsed="false">
      <c r="A24464" s="2" t="s">
        <v>399</v>
      </c>
      <c r="G24464" s="17" t="n">
        <f aca="false">G24460+G24461+G24462-G24463</f>
        <v>140.7565686</v>
      </c>
      <c r="H24464" s="17" t="n">
        <f aca="false">H24460+H24461+H24462-H24463</f>
        <v>48.2134486262</v>
      </c>
      <c r="I24464" s="17" t="n">
        <f aca="false">I24460+I24461+I24462-I24463</f>
        <v>-77.734294182056</v>
      </c>
      <c r="J24464" s="17" t="n">
        <f aca="false">J24460+J24461+J24462-J24463</f>
        <v>-100.612862842739</v>
      </c>
      <c r="K24464" s="17" t="n">
        <f aca="false">K24460+K24461+K24462-K24463</f>
        <v>-117.126746431453</v>
      </c>
    </row>
    <row r="24465" customFormat="false" ht="15" hidden="false" customHeight="false" outlineLevel="0" collapsed="false">
      <c r="A24465" s="3" t="s">
        <v>400</v>
      </c>
      <c r="G24465" s="16" t="n">
        <f aca="false">G24291+G24304+G24317+G24330+G24343+G24356+G24369+G24382+G24395+G24408</f>
        <v>0</v>
      </c>
      <c r="H24465" s="16" t="n">
        <f aca="false">H24291+H24304+H24317+H24330+H24343+H24356+H24369+H24382+H24395+H24408</f>
        <v>0</v>
      </c>
      <c r="I24465" s="16" t="n">
        <f aca="false">I24291+I24304+I24317+I24330+I24343+I24356+I24369+I24382+I24395+I24408</f>
        <v>77.734294182056</v>
      </c>
      <c r="J24465" s="16" t="n">
        <f aca="false">J24291+J24304+J24317+J24330+J24343+J24356+J24369+J24382+J24395+J24408</f>
        <v>100.612862842739</v>
      </c>
      <c r="K24465" s="16" t="n">
        <f aca="false">K24291+K24304+K24317+K24330+K24343+K24356+K24369+K24382+K24395+K24408</f>
        <v>117.126746431453</v>
      </c>
    </row>
    <row r="24466" customFormat="false" ht="15" hidden="false" customHeight="false" outlineLevel="0" collapsed="false">
      <c r="A24466" s="2" t="s">
        <v>401</v>
      </c>
      <c r="G24466" s="17" t="n">
        <f aca="false">G24464+G24465</f>
        <v>140.7565686</v>
      </c>
      <c r="H24466" s="17" t="n">
        <f aca="false">H24464+H24465</f>
        <v>48.2134486262</v>
      </c>
      <c r="I24466" s="17" t="n">
        <f aca="false">I24464+I24465</f>
        <v>0</v>
      </c>
      <c r="J24466" s="17" t="n">
        <f aca="false">J24464+J24465</f>
        <v>0</v>
      </c>
      <c r="K24466" s="17" t="n">
        <f aca="false">K24464+K24465</f>
        <v>0</v>
      </c>
    </row>
    <row r="24467" customFormat="false" ht="15" hidden="false" customHeight="false" outlineLevel="0" collapsed="false">
      <c r="A24467" s="3" t="s">
        <v>402</v>
      </c>
      <c r="G24467" s="16" t="n">
        <f aca="false">G24292+G24305+G24318+G24331+G24344+G24357+G24370+G24383+G24396+G24409</f>
        <v>0</v>
      </c>
      <c r="H24467" s="16" t="n">
        <f aca="false">H24292+H24305+H24318+H24331+H24344+H24357+H24370+H24383+H24396+H24409</f>
        <v>23.2134486262</v>
      </c>
      <c r="I24467" s="16" t="n">
        <f aca="false">I24292+I24305+I24318+I24331+I24344+I24357+I24370+I24383+I24396+I24409</f>
        <v>0</v>
      </c>
      <c r="J24467" s="16" t="n">
        <f aca="false">J24292+J24305+J24318+J24331+J24344+J24357+J24370+J24383+J24396+J24409</f>
        <v>0</v>
      </c>
      <c r="K24467" s="16" t="n">
        <f aca="false">K24292+K24305+K24318+K24331+K24344+K24357+K24370+K24383+K24396+K24409</f>
        <v>0</v>
      </c>
    </row>
    <row r="24468" customFormat="false" ht="15" hidden="false" customHeight="false" outlineLevel="0" collapsed="false">
      <c r="A24468" s="2" t="s">
        <v>403</v>
      </c>
      <c r="G24468" s="17" t="n">
        <f aca="false">G24466-G24467</f>
        <v>140.7565686</v>
      </c>
      <c r="H24468" s="17" t="n">
        <f aca="false">H24466-H24467</f>
        <v>25</v>
      </c>
      <c r="I24468" s="17" t="n">
        <f aca="false">I24466-I24467</f>
        <v>0</v>
      </c>
      <c r="J24468" s="17" t="n">
        <f aca="false">J24466-J24467</f>
        <v>0</v>
      </c>
      <c r="K24468" s="17" t="n">
        <f aca="false">K24466-K24467</f>
        <v>0</v>
      </c>
    </row>
    <row r="24469" customFormat="false" ht="15" hidden="false" customHeight="false" outlineLevel="0" collapsed="false">
      <c r="A24469" s="3" t="s">
        <v>404</v>
      </c>
      <c r="G24469" s="16" t="n">
        <f aca="false">MAX(0,-G24468)</f>
        <v>0</v>
      </c>
      <c r="H24469" s="16" t="n">
        <f aca="false">MAX(0,-H24468)</f>
        <v>0</v>
      </c>
      <c r="I24469" s="16" t="n">
        <f aca="false">MAX(0,-I24468)</f>
        <v>-0</v>
      </c>
      <c r="J24469" s="16" t="n">
        <f aca="false">MAX(0,-J24468)</f>
        <v>-0</v>
      </c>
      <c r="K24469" s="16" t="n">
        <f aca="false">MAX(0,-K24468)</f>
        <v>-0</v>
      </c>
    </row>
    <row r="24470" customFormat="false" ht="15" hidden="false" customHeight="false" outlineLevel="0" collapsed="false">
      <c r="A24470" s="3" t="s">
        <v>405</v>
      </c>
      <c r="G24470" s="16" t="n">
        <f aca="false">MAX(0,G24468-Assumptions!$C$12)*Assumptions!$C$13</f>
        <v>0</v>
      </c>
      <c r="H24470" s="16" t="n">
        <f aca="false">MAX(0,H24468-Assumptions!$C$12)*Assumptions!$C$13</f>
        <v>0</v>
      </c>
      <c r="I24470" s="16" t="n">
        <f aca="false">MAX(0,I24468-Assumptions!$C$12)*Assumptions!$C$13</f>
        <v>0</v>
      </c>
      <c r="J24470" s="16" t="n">
        <f aca="false">MAX(0,J24468-Assumptions!$C$12)*Assumptions!$C$13</f>
        <v>0</v>
      </c>
      <c r="K24470" s="16" t="n">
        <f aca="false">MAX(0,K24468-Assumptions!$C$12)*Assumptions!$C$13</f>
        <v>0</v>
      </c>
    </row>
    <row r="24471" customFormat="false" ht="15" hidden="false" customHeight="false" outlineLevel="0" collapsed="false">
      <c r="A24471" s="3" t="s">
        <v>406</v>
      </c>
      <c r="G24471" s="16" t="n">
        <f aca="false">G24293+G24306+G24319+G24332+G24345+G24358+G24371+G24384+G24397+G24410</f>
        <v>0</v>
      </c>
      <c r="H24471" s="16" t="n">
        <f aca="false">H24293+H24306+H24319+H24332+H24345+H24358+H24371+H24384+H24397+H24410</f>
        <v>0</v>
      </c>
      <c r="I24471" s="16" t="n">
        <f aca="false">I24293+I24306+I24319+I24332+I24345+I24358+I24371+I24384+I24397+I24410</f>
        <v>0</v>
      </c>
      <c r="J24471" s="16" t="n">
        <f aca="false">J24293+J24306+J24319+J24332+J24345+J24358+J24371+J24384+J24397+J24410</f>
        <v>0</v>
      </c>
      <c r="K24471" s="16" t="n">
        <f aca="false">K24293+K24306+K24319+K24332+K24345+K24358+K24371+K24384+K24397+K24410</f>
        <v>0</v>
      </c>
    </row>
    <row r="24472" customFormat="false" ht="15" hidden="false" customHeight="false" outlineLevel="0" collapsed="false">
      <c r="A24472" s="2" t="s">
        <v>407</v>
      </c>
      <c r="F24472" s="28" t="n">
        <f aca="false">Assumptions!$C$11</f>
        <v>37.87</v>
      </c>
      <c r="G24472" s="17" t="n">
        <f aca="false">G24468-G24471</f>
        <v>140.7565686</v>
      </c>
      <c r="H24472" s="17" t="n">
        <f aca="false">H24468-H24471</f>
        <v>25</v>
      </c>
      <c r="I24472" s="17" t="n">
        <f aca="false">I24468-I24471</f>
        <v>0</v>
      </c>
      <c r="J24472" s="17" t="n">
        <f aca="false">J24468-J24471</f>
        <v>0</v>
      </c>
      <c r="K24472" s="17" t="n">
        <f aca="false">K24468-K24471</f>
        <v>0</v>
      </c>
    </row>
    <row r="24473" customFormat="false" ht="15" hidden="false" customHeight="false" outlineLevel="0" collapsed="false">
      <c r="A24473" s="3" t="s">
        <v>408</v>
      </c>
      <c r="G24473" s="16" t="n">
        <f aca="false">G24294+G24307+G24320+G24333+G24346+G24359+G24372+G24385+G24398+G24411</f>
        <v>0</v>
      </c>
      <c r="H24473" s="16" t="n">
        <f aca="false">H24294+H24307+H24320+H24333+H24346+H24359+H24372+H24385+H24398+H24411</f>
        <v>0</v>
      </c>
      <c r="I24473" s="16" t="n">
        <f aca="false">I24294+I24307+I24320+I24333+I24346+I24359+I24372+I24385+I24398+I24411</f>
        <v>0</v>
      </c>
      <c r="J24473" s="16" t="n">
        <f aca="false">J24294+J24307+J24320+J24333+J24346+J24359+J24372+J24385+J24398+J24411</f>
        <v>0</v>
      </c>
      <c r="K24473" s="16" t="n">
        <f aca="false">K24294+K24307+K24320+K24333+K24346+K24359+K24372+K24385+K24398+K24411</f>
        <v>0</v>
      </c>
    </row>
    <row r="24474" customFormat="false" ht="15" hidden="false" customHeight="false" outlineLevel="0" collapsed="false">
      <c r="A24474" s="3" t="s">
        <v>409</v>
      </c>
      <c r="G24474" s="21" t="n">
        <f aca="false">IF(OR(G24469&gt;0.001,G24473&gt;0.001),1,0)</f>
        <v>0</v>
      </c>
      <c r="H24474" s="21" t="n">
        <f aca="false">IF(OR(H24469&gt;0.001,H24473&gt;0.001),1,0)</f>
        <v>0</v>
      </c>
      <c r="I24474" s="21" t="n">
        <f aca="false">IF(OR(I24469&gt;0.001,I24473&gt;0.001),1,0)</f>
        <v>0</v>
      </c>
      <c r="J24474" s="21" t="n">
        <f aca="false">IF(OR(J24469&gt;0.001,J24473&gt;0.001),1,0)</f>
        <v>0</v>
      </c>
      <c r="K24474" s="21" t="n">
        <f aca="false">IF(OR(K24469&gt;0.001,K24473&gt;0.001),1,0)</f>
        <v>0</v>
      </c>
    </row>
    <row r="24475" customFormat="false" ht="15" hidden="false" customHeight="false" outlineLevel="0" collapsed="false">
      <c r="A24475" s="3" t="s">
        <v>410</v>
      </c>
      <c r="G24475" s="21" t="n">
        <f aca="false">IF(G24474=1,1,0)</f>
        <v>0</v>
      </c>
      <c r="H24475" s="21" t="n">
        <f aca="false">IF(AND(H24474=1,SUM($G$24474:G24474)=0),1,0)</f>
        <v>0</v>
      </c>
      <c r="I24475" s="21" t="n">
        <f aca="false">IF(AND(I24474=1,SUM($G$24474:H24474)=0),1,0)</f>
        <v>0</v>
      </c>
      <c r="J24475" s="21" t="n">
        <f aca="false">IF(AND(J24474=1,SUM($G$24474:I24474)=0),1,0)</f>
        <v>0</v>
      </c>
      <c r="K24475" s="21" t="n">
        <f aca="false">IF(AND(K24474=1,SUM($G$24474:J24474)=0),1,0)</f>
        <v>0</v>
      </c>
    </row>
    <row r="24476" customFormat="false" ht="15" hidden="false" customHeight="false" outlineLevel="0" collapsed="false">
      <c r="A24476" s="3" t="s">
        <v>411</v>
      </c>
      <c r="G24476" s="16" t="n">
        <f aca="false">(G24414-F24414)-(G24465+G24263-G24463-G24467-G24471)</f>
        <v>0</v>
      </c>
      <c r="H24476" s="16" t="n">
        <f aca="false">(H24414-G24414)-(H24465+H24263-H24463-H24467-H24471)</f>
        <v>1.70530256582424E-013</v>
      </c>
      <c r="I24476" s="16" t="n">
        <f aca="false">(I24414-H24414)-(I24465+I24263-I24463-I24467-I24471)</f>
        <v>-3.12638803734444E-013</v>
      </c>
      <c r="J24476" s="16" t="n">
        <f aca="false">(J24414-I24414)-(J24465+J24263-J24463-J24467-J24471)</f>
        <v>0</v>
      </c>
      <c r="K24476" s="16" t="n">
        <f aca="false">(K24414-J24414)-(K24465+K24263-K24463-K24467-K24471)</f>
        <v>0</v>
      </c>
    </row>
    <row r="24478" customFormat="false" ht="15" hidden="false" customHeight="false" outlineLevel="0" collapsed="false">
      <c r="A24478" s="24" t="s">
        <v>413</v>
      </c>
      <c r="B24478" s="25"/>
      <c r="C24478" s="25"/>
      <c r="D24478" s="25"/>
      <c r="E24478" s="25"/>
      <c r="F24478" s="25"/>
      <c r="G24478" s="25"/>
      <c r="H24478" s="25"/>
      <c r="I24478" s="25"/>
      <c r="J24478" s="25"/>
      <c r="K24478" s="25"/>
    </row>
    <row r="24479" customFormat="false" ht="15" hidden="false" customHeight="false" outlineLevel="0" collapsed="false">
      <c r="A24479" s="3" t="s">
        <v>414</v>
      </c>
      <c r="G24479" s="16" t="n">
        <f aca="false">G24414</f>
        <v>2621.934</v>
      </c>
      <c r="H24479" s="16" t="n">
        <f aca="false">H24414</f>
        <v>2594.7205513738</v>
      </c>
      <c r="I24479" s="16" t="n">
        <f aca="false">I24414</f>
        <v>2668.45484555586</v>
      </c>
      <c r="J24479" s="16" t="n">
        <f aca="false">J24414</f>
        <v>2765.0677083986</v>
      </c>
      <c r="K24479" s="16" t="n">
        <f aca="false">K24414</f>
        <v>2878.19445483005</v>
      </c>
    </row>
    <row r="24480" customFormat="false" ht="15" hidden="false" customHeight="false" outlineLevel="0" collapsed="false">
      <c r="A24480" s="3" t="s">
        <v>415</v>
      </c>
      <c r="G24480" s="16" t="n">
        <f aca="false">Assumptions!$O$57*G24295+Assumptions!$O$58*G24308+Assumptions!$O$59*G24321+Assumptions!$O$60*G24334+Assumptions!$O$61*G24347+Assumptions!$O$62*G24360+Assumptions!$O$63*G24373+Assumptions!$O$64*G24386+Assumptions!$O$65*G24399+Assumptions!$O$66*G24412</f>
        <v>543.324</v>
      </c>
      <c r="H24480" s="16" t="n">
        <f aca="false">Assumptions!$O$57*H24295+Assumptions!$O$58*H24308+Assumptions!$O$59*H24321+Assumptions!$O$60*H24334+Assumptions!$O$61*H24347+Assumptions!$O$62*H24360+Assumptions!$O$63*H24373+Assumptions!$O$64*H24386+Assumptions!$O$65*H24399+Assumptions!$O$66*H24412</f>
        <v>539.324</v>
      </c>
      <c r="I24480" s="16" t="n">
        <f aca="false">Assumptions!$O$57*I24295+Assumptions!$O$58*I24308+Assumptions!$O$59*I24321+Assumptions!$O$60*I24334+Assumptions!$O$61*I24347+Assumptions!$O$62*I24360+Assumptions!$O$63*I24373+Assumptions!$O$64*I24386+Assumptions!$O$65*I24399+Assumptions!$O$66*I24412</f>
        <v>535.324</v>
      </c>
      <c r="J24480" s="16" t="n">
        <f aca="false">Assumptions!$O$57*J24295+Assumptions!$O$58*J24308+Assumptions!$O$59*J24321+Assumptions!$O$60*J24334+Assumptions!$O$61*J24347+Assumptions!$O$62*J24360+Assumptions!$O$63*J24373+Assumptions!$O$64*J24386+Assumptions!$O$65*J24399+Assumptions!$O$66*J24412</f>
        <v>531.324</v>
      </c>
      <c r="K24480" s="16" t="n">
        <f aca="false">Assumptions!$O$57*K24295+Assumptions!$O$58*K24308+Assumptions!$O$59*K24321+Assumptions!$O$60*K24334+Assumptions!$O$61*K24347+Assumptions!$O$62*K24360+Assumptions!$O$63*K24373+Assumptions!$O$64*K24386+Assumptions!$O$65*K24399+Assumptions!$O$66*K24412</f>
        <v>527.324</v>
      </c>
    </row>
    <row r="24481" customFormat="false" ht="15" hidden="false" customHeight="false" outlineLevel="0" collapsed="false">
      <c r="A24481" s="3" t="s">
        <v>416</v>
      </c>
      <c r="G24481" s="16" t="n">
        <f aca="false">G24479-G24472</f>
        <v>2481.1774314</v>
      </c>
      <c r="H24481" s="16" t="n">
        <f aca="false">H24479-H24472</f>
        <v>2569.7205513738</v>
      </c>
      <c r="I24481" s="16" t="n">
        <f aca="false">I24479-I24472</f>
        <v>2668.45484555586</v>
      </c>
      <c r="J24481" s="16" t="n">
        <f aca="false">J24479-J24472</f>
        <v>2765.0677083986</v>
      </c>
      <c r="K24481" s="16" t="n">
        <f aca="false">K24479-K24472</f>
        <v>2878.19445483005</v>
      </c>
    </row>
    <row r="24482" customFormat="false" ht="15" hidden="false" customHeight="false" outlineLevel="0" collapsed="false">
      <c r="A24482" s="3" t="s">
        <v>417</v>
      </c>
      <c r="G24482" s="32" t="n">
        <f aca="false">IF(G24258&gt;0,G24479/G24258,0)</f>
        <v>10.2350768597559</v>
      </c>
      <c r="H24482" s="32" t="n">
        <f aca="false">IF(H24258&gt;0,H24479/H24258,0)</f>
        <v>9.87434810336292</v>
      </c>
      <c r="I24482" s="32" t="n">
        <f aca="false">IF(I24258&gt;0,I24479/I24258,0)</f>
        <v>9.90010834911678</v>
      </c>
      <c r="J24482" s="32" t="n">
        <f aca="false">IF(J24258&gt;0,J24479/J24258,0)</f>
        <v>10.0200110858107</v>
      </c>
      <c r="K24482" s="32" t="n">
        <f aca="false">IF(K24258&gt;0,K24479/K24258,0)</f>
        <v>10.1875770846748</v>
      </c>
    </row>
    <row r="24483" customFormat="false" ht="15" hidden="false" customHeight="false" outlineLevel="0" collapsed="false">
      <c r="A24483" s="3" t="s">
        <v>418</v>
      </c>
      <c r="G24483" s="32" t="n">
        <f aca="false">IF(G24258&gt;0,G24481/G24258,0)</f>
        <v>9.68561440260152</v>
      </c>
      <c r="H24483" s="32" t="n">
        <f aca="false">IF(H24258&gt;0,H24481/H24258,0)</f>
        <v>9.77920926367038</v>
      </c>
      <c r="I24483" s="32" t="n">
        <f aca="false">IF(I24258&gt;0,I24481/I24258,0)</f>
        <v>9.90010834911678</v>
      </c>
      <c r="J24483" s="32" t="n">
        <f aca="false">IF(J24258&gt;0,J24481/J24258,0)</f>
        <v>10.0200110858107</v>
      </c>
      <c r="K24483" s="32" t="n">
        <f aca="false">IF(K24258&gt;0,K24481/K24258,0)</f>
        <v>10.1875770846748</v>
      </c>
    </row>
    <row r="24484" customFormat="false" ht="15" hidden="false" customHeight="false" outlineLevel="0" collapsed="false">
      <c r="A24484" s="3" t="s">
        <v>419</v>
      </c>
      <c r="G24484" s="32" t="n">
        <f aca="false">IF(G24262&gt;0,G24258/G24262,0)</f>
        <v>1.34982009774048</v>
      </c>
      <c r="H24484" s="32" t="n">
        <f aca="false">IF(H24262&gt;0,H24258/H24262,0)</f>
        <v>1.39310957112692</v>
      </c>
      <c r="I24484" s="32" t="n">
        <f aca="false">IF(I24262&gt;0,I24258/I24262,0)</f>
        <v>1.33220042659205</v>
      </c>
      <c r="J24484" s="32" t="n">
        <f aca="false">IF(J24262&gt;0,J24258/J24262,0)</f>
        <v>1.3573653040809</v>
      </c>
      <c r="K24484" s="32" t="n">
        <f aca="false">IF(K24262&gt;0,K24258/K24262,0)</f>
        <v>1.26693066616092</v>
      </c>
    </row>
    <row r="24485" customFormat="false" ht="15" hidden="false" customHeight="false" outlineLevel="0" collapsed="false">
      <c r="A24485" s="3" t="s">
        <v>420</v>
      </c>
      <c r="G24485" s="32" t="n">
        <f aca="false">IF(G24262&gt;0,G24261/G24262,0)</f>
        <v>0.402763377225886</v>
      </c>
      <c r="H24485" s="32" t="n">
        <f aca="false">IF(H24262&gt;0,H24261/H24262,0)</f>
        <v>0.421181698909886</v>
      </c>
      <c r="I24485" s="32" t="n">
        <f aca="false">IF(I24262&gt;0,I24261/I24262,0)</f>
        <v>0.407968964482467</v>
      </c>
      <c r="J24485" s="32" t="n">
        <f aca="false">IF(J24262&gt;0,J24261/J24262,0)</f>
        <v>0.419176085267568</v>
      </c>
      <c r="K24485" s="32" t="n">
        <f aca="false">IF(K24262&gt;0,K24261/K24262,0)</f>
        <v>0.394491692248251</v>
      </c>
    </row>
    <row r="24486" customFormat="false" ht="15" hidden="false" customHeight="false" outlineLevel="0" collapsed="false">
      <c r="A24486" s="3" t="s">
        <v>213</v>
      </c>
      <c r="G24486" s="22" t="n">
        <f aca="false">IF(G24479&gt;0,G24271/G24479,0)</f>
        <v>-0.0355132628815218</v>
      </c>
      <c r="H24486" s="22" t="n">
        <f aca="false">IF(H24479&gt;0,H24271/H24479,0)</f>
        <v>-0.0341243375618696</v>
      </c>
      <c r="I24486" s="22" t="n">
        <f aca="false">IF(I24479&gt;0,I24271/I24479,0)</f>
        <v>-0.0370005489680636</v>
      </c>
      <c r="J24486" s="22" t="n">
        <f aca="false">IF(J24479&gt;0,J24271/J24479,0)</f>
        <v>-0.0349405052720004</v>
      </c>
      <c r="K24486" s="22" t="n">
        <f aca="false">IF(K24479&gt;0,K24271/K24479,0)</f>
        <v>-0.039304761442233</v>
      </c>
    </row>
    <row r="24487" customFormat="false" ht="15" hidden="false" customHeight="false" outlineLevel="0" collapsed="false">
      <c r="A24487" s="3" t="s">
        <v>421</v>
      </c>
      <c r="G24487" s="32" t="n">
        <f aca="false">IF(G24262+G24463&gt;0,(G24258-G24269-G24266)/(G24262+G24463),0)</f>
        <v>0.773220383271181</v>
      </c>
      <c r="H24487" s="32" t="n">
        <f aca="false">IF(H24262+H24463&gt;0,(H24258-H24269-H24266)/(H24262+H24463),0)</f>
        <v>0.801104103501544</v>
      </c>
      <c r="I24487" s="32" t="n">
        <f aca="false">IF(I24262+I24463&gt;0,(I24258-I24269-I24266)/(I24262+I24463),0)</f>
        <v>0.770175274389125</v>
      </c>
      <c r="J24487" s="32" t="n">
        <f aca="false">IF(J24262+J24463&gt;0,(J24258-J24269-J24266)/(J24262+J24463),0)</f>
        <v>0.786827864043575</v>
      </c>
      <c r="K24487" s="32" t="n">
        <f aca="false">IF(K24262+K24463&gt;0,(K24258-K24269-K24266)/(K24262+K24463),0)</f>
        <v>0.737543981105632</v>
      </c>
    </row>
    <row r="24488" customFormat="false" ht="15" hidden="false" customHeight="false" outlineLevel="0" collapsed="false">
      <c r="A24488" s="3" t="s">
        <v>422</v>
      </c>
      <c r="G24488" s="16" t="n">
        <f aca="false">MAX(0,G24472)+Assumptions!$P$57*MAX(0,Assumptions!$D$57-G24295)+Assumptions!$P$58*MAX(0,Assumptions!$D$58-G24308)+Assumptions!$P$59*MAX(0,Assumptions!$D$59-G24321)+Assumptions!$P$60*MAX(0,Assumptions!$D$60-G24334)+Assumptions!$P$61*MAX(0,Assumptions!$D$61-G24347)+Assumptions!$P$62*MAX(0,Assumptions!$D$62-G24360)+Assumptions!$P$63*MAX(0,Assumptions!$D$63-G24373)+Assumptions!$P$64*MAX(0,Assumptions!$D$64-G24386)+Assumptions!$P$65*MAX(0,Assumptions!$D$65-G24399)+Assumptions!$P$66*MAX(0,Assumptions!$D$66-G24412)</f>
        <v>715.2565686</v>
      </c>
      <c r="H24488" s="16" t="n">
        <f aca="false">MAX(0,H24472)+Assumptions!$P$57*MAX(0,Assumptions!$D$57-H24295)+Assumptions!$P$58*MAX(0,Assumptions!$D$58-H24308)+Assumptions!$P$59*MAX(0,Assumptions!$D$59-H24321)+Assumptions!$P$60*MAX(0,Assumptions!$D$60-H24334)+Assumptions!$P$61*MAX(0,Assumptions!$D$61-H24347)+Assumptions!$P$62*MAX(0,Assumptions!$D$62-H24360)+Assumptions!$P$63*MAX(0,Assumptions!$D$63-H24373)+Assumptions!$P$64*MAX(0,Assumptions!$D$64-H24386)+Assumptions!$P$65*MAX(0,Assumptions!$D$65-H24399)+Assumptions!$P$66*MAX(0,Assumptions!$D$66-H24412)</f>
        <v>599.5</v>
      </c>
      <c r="I24488" s="16" t="n">
        <f aca="false">MAX(0,I24472)+Assumptions!$P$57*MAX(0,Assumptions!$D$57-I24295)+Assumptions!$P$58*MAX(0,Assumptions!$D$58-I24308)+Assumptions!$P$59*MAX(0,Assumptions!$D$59-I24321)+Assumptions!$P$60*MAX(0,Assumptions!$D$60-I24334)+Assumptions!$P$61*MAX(0,Assumptions!$D$61-I24347)+Assumptions!$P$62*MAX(0,Assumptions!$D$62-I24360)+Assumptions!$P$63*MAX(0,Assumptions!$D$63-I24373)+Assumptions!$P$64*MAX(0,Assumptions!$D$64-I24386)+Assumptions!$P$65*MAX(0,Assumptions!$D$65-I24399)+Assumptions!$P$66*MAX(0,Assumptions!$D$66-I24412)</f>
        <v>496.765705817944</v>
      </c>
      <c r="J24488" s="16" t="n">
        <f aca="false">MAX(0,J24472)+Assumptions!$P$57*MAX(0,Assumptions!$D$57-J24295)+Assumptions!$P$58*MAX(0,Assumptions!$D$58-J24308)+Assumptions!$P$59*MAX(0,Assumptions!$D$59-J24321)+Assumptions!$P$60*MAX(0,Assumptions!$D$60-J24334)+Assumptions!$P$61*MAX(0,Assumptions!$D$61-J24347)+Assumptions!$P$62*MAX(0,Assumptions!$D$62-J24360)+Assumptions!$P$63*MAX(0,Assumptions!$D$63-J24373)+Assumptions!$P$64*MAX(0,Assumptions!$D$64-J24386)+Assumptions!$P$65*MAX(0,Assumptions!$D$65-J24399)+Assumptions!$P$66*MAX(0,Assumptions!$D$66-J24412)</f>
        <v>396.152842975205</v>
      </c>
      <c r="K24488" s="16" t="n">
        <f aca="false">MAX(0,K24472)+Assumptions!$P$57*MAX(0,Assumptions!$D$57-K24295)+Assumptions!$P$58*MAX(0,Assumptions!$D$58-K24308)+Assumptions!$P$59*MAX(0,Assumptions!$D$59-K24321)+Assumptions!$P$60*MAX(0,Assumptions!$D$60-K24334)+Assumptions!$P$61*MAX(0,Assumptions!$D$61-K24347)+Assumptions!$P$62*MAX(0,Assumptions!$D$62-K24360)+Assumptions!$P$63*MAX(0,Assumptions!$D$63-K24373)+Assumptions!$P$64*MAX(0,Assumptions!$D$64-K24386)+Assumptions!$P$65*MAX(0,Assumptions!$D$65-K24399)+Assumptions!$P$66*MAX(0,Assumptions!$D$66-K24412)</f>
        <v>279.026096543752</v>
      </c>
    </row>
    <row r="24489" customFormat="false" ht="15" hidden="false" customHeight="false" outlineLevel="0" collapsed="false">
      <c r="A24489" s="3" t="s">
        <v>423</v>
      </c>
      <c r="G24489" s="22" t="n">
        <f aca="false">IF(G24479&gt;0,G24479/(G24479+MAX(0,G24258*CHOOSE($C$24241,Assumptions!$C$90,Assumptions!$C$109,Assumptions!$C$128)-G24481)),0)</f>
        <v>0.784329384705383</v>
      </c>
      <c r="H24489" s="22" t="n">
        <f aca="false">IF(H24479&gt;0,H24479/(H24479+MAX(0,H24258*CHOOSE($C$24241,Assumptions!$C$90,Assumptions!$C$109,Assumptions!$C$128)-H24481)),0)</f>
        <v>0.783980885724319</v>
      </c>
      <c r="I24489" s="22" t="n">
        <f aca="false">IF(I24479&gt;0,I24479/(I24479+MAX(0,I24258*CHOOSE($C$24241,Assumptions!$C$90,Assumptions!$C$109,Assumptions!$C$128)-I24481)),0)</f>
        <v>0.792008667929342</v>
      </c>
      <c r="J24489" s="22" t="n">
        <f aca="false">IF(J24479&gt;0,J24479/(J24479+MAX(0,J24258*CHOOSE($C$24241,Assumptions!$C$90,Assumptions!$C$109,Assumptions!$C$128)-J24481)),0)</f>
        <v>0.801600886864856</v>
      </c>
      <c r="K24489" s="22" t="n">
        <f aca="false">IF(K24479&gt;0,K24479/(K24479+MAX(0,K24258*CHOOSE($C$24241,Assumptions!$C$90,Assumptions!$C$109,Assumptions!$C$128)-K24481)),0)</f>
        <v>0.815006166773984</v>
      </c>
    </row>
    <row r="24490" customFormat="false" ht="15" hidden="false" customHeight="false" outlineLevel="0" collapsed="false">
      <c r="A24490" s="3" t="s">
        <v>424</v>
      </c>
      <c r="G24490" s="22" t="n">
        <f aca="false">IF(G24479&gt;0,MAX(0,G24472)/G24479,0)</f>
        <v>0.053684253150537</v>
      </c>
      <c r="H24490" s="22" t="n">
        <f aca="false">IF(H24479&gt;0,MAX(0,H24472)/H24479,0)</f>
        <v>0.00963494892995837</v>
      </c>
      <c r="I24490" s="22" t="n">
        <f aca="false">IF(I24479&gt;0,MAX(0,I24472)/I24479,0)</f>
        <v>0</v>
      </c>
      <c r="J24490" s="22" t="n">
        <f aca="false">IF(J24479&gt;0,MAX(0,J24472)/J24479,0)</f>
        <v>0</v>
      </c>
      <c r="K24490" s="22" t="n">
        <f aca="false">IF(K24479&gt;0,MAX(0,K24472)/K24479,0)</f>
        <v>0</v>
      </c>
    </row>
    <row r="24491" customFormat="false" ht="15" hidden="false" customHeight="false" outlineLevel="0" collapsed="false">
      <c r="A24491" s="3" t="s">
        <v>425</v>
      </c>
      <c r="G24491" s="16" t="n">
        <f aca="false">Assumptions!$C$31*(1-CHOOSE($C$24241,Assumptions!$C$93,Assumptions!$C$112,Assumptions!$C$131))</f>
        <v>4517.70066666667</v>
      </c>
      <c r="H24491" s="16" t="n">
        <f aca="false">Assumptions!$C$31*(1-CHOOSE($C$24241,Assumptions!$C$93,Assumptions!$C$112,Assumptions!$C$131))</f>
        <v>4517.70066666667</v>
      </c>
      <c r="I24491" s="16" t="n">
        <f aca="false">Assumptions!$C$31*(1-CHOOSE($C$24241,Assumptions!$C$93,Assumptions!$C$112,Assumptions!$C$131))</f>
        <v>4517.70066666667</v>
      </c>
      <c r="J24491" s="16" t="n">
        <f aca="false">Assumptions!$C$31*(1-CHOOSE($C$24241,Assumptions!$C$93,Assumptions!$C$112,Assumptions!$C$131))</f>
        <v>4517.70066666667</v>
      </c>
      <c r="K24491" s="16" t="n">
        <f aca="false">Assumptions!$C$31*(1-CHOOSE($C$24241,Assumptions!$C$93,Assumptions!$C$112,Assumptions!$C$131))</f>
        <v>4517.70066666667</v>
      </c>
    </row>
    <row r="24492" customFormat="false" ht="15" hidden="false" customHeight="false" outlineLevel="0" collapsed="false">
      <c r="A24492" s="24" t="s">
        <v>426</v>
      </c>
      <c r="B24492" s="25"/>
      <c r="C24492" s="25"/>
      <c r="D24492" s="25"/>
      <c r="E24492" s="25"/>
      <c r="F24492" s="25"/>
      <c r="G24492" s="25"/>
      <c r="H24492" s="25"/>
      <c r="I24492" s="25"/>
      <c r="J24492" s="25"/>
      <c r="K24492" s="25"/>
    </row>
    <row r="24493" customFormat="false" ht="15" hidden="false" customHeight="false" outlineLevel="0" collapsed="false">
      <c r="A24493" s="24" t="s">
        <v>427</v>
      </c>
      <c r="B24493" s="25"/>
      <c r="C24493" s="25"/>
      <c r="D24493" s="25"/>
      <c r="E24493" s="25"/>
      <c r="F24493" s="25"/>
      <c r="G24493" s="25"/>
      <c r="H24493" s="25"/>
      <c r="I24493" s="25"/>
      <c r="J24493" s="25"/>
      <c r="K24493" s="25"/>
    </row>
    <row r="24494" customFormat="false" ht="15" hidden="false" customHeight="false" outlineLevel="0" collapsed="false">
      <c r="A24494" s="3" t="s">
        <v>428</v>
      </c>
      <c r="G24494" s="22" t="n">
        <f aca="false">IF(G24491&gt;0,G24479/G24491,99)</f>
        <v>0.580369128779522</v>
      </c>
      <c r="H24494" s="22" t="n">
        <f aca="false">IF(H24491&gt;0,H24479/H24491,99)</f>
        <v>0.574345390016352</v>
      </c>
      <c r="I24494" s="22" t="n">
        <f aca="false">IF(I24491&gt;0,I24479/I24491,99)</f>
        <v>0.590666589587208</v>
      </c>
      <c r="J24494" s="22" t="n">
        <f aca="false">IF(J24491&gt;0,J24479/J24491,99)</f>
        <v>0.612051995564985</v>
      </c>
      <c r="K24494" s="22" t="n">
        <f aca="false">IF(K24491&gt;0,K24479/K24491,99)</f>
        <v>0.637092775107141</v>
      </c>
    </row>
    <row r="24495" customFormat="false" ht="15" hidden="false" customHeight="false" outlineLevel="0" collapsed="false">
      <c r="A24495" s="3" t="s">
        <v>429</v>
      </c>
      <c r="G24495" s="33" t="n">
        <f aca="false">Assumptions!$G$71</f>
        <v>0.6</v>
      </c>
      <c r="H24495" s="33" t="n">
        <f aca="false">Assumptions!$H$71</f>
        <v>0.6</v>
      </c>
      <c r="I24495" s="33" t="n">
        <f aca="false">Assumptions!$I$71</f>
        <v>0.6</v>
      </c>
      <c r="J24495" s="33" t="n">
        <f aca="false">Assumptions!$J$71</f>
        <v>0.6</v>
      </c>
      <c r="K24495" s="33" t="n">
        <f aca="false">Assumptions!$K$71</f>
        <v>0.6</v>
      </c>
    </row>
    <row r="24496" customFormat="false" ht="15" hidden="false" customHeight="false" outlineLevel="0" collapsed="false">
      <c r="A24496" s="3" t="s">
        <v>430</v>
      </c>
      <c r="G24496" s="22" t="n">
        <f aca="false">G24495-G24494</f>
        <v>0.0196308712204777</v>
      </c>
      <c r="H24496" s="22" t="n">
        <f aca="false">H24495-H24494</f>
        <v>0.0256546099836479</v>
      </c>
      <c r="I24496" s="22" t="n">
        <f aca="false">I24495-I24494</f>
        <v>0.0093334104127919</v>
      </c>
      <c r="J24496" s="22" t="n">
        <f aca="false">J24495-J24494</f>
        <v>-0.0120519955649847</v>
      </c>
      <c r="K24496" s="22" t="n">
        <f aca="false">K24495-K24494</f>
        <v>-0.0370927751071413</v>
      </c>
    </row>
    <row r="24497" customFormat="false" ht="15" hidden="false" customHeight="false" outlineLevel="0" collapsed="false">
      <c r="A24497" s="3" t="s">
        <v>431</v>
      </c>
      <c r="G24497" s="22" t="n">
        <f aca="false">IF(G24495=0,0,G24496/ABS(G24495))</f>
        <v>0.0327181187007962</v>
      </c>
      <c r="H24497" s="22" t="n">
        <f aca="false">IF(H24495=0,0,H24496/ABS(H24495))</f>
        <v>0.0427576833060798</v>
      </c>
      <c r="I24497" s="22" t="n">
        <f aca="false">IF(I24495=0,0,I24496/ABS(I24495))</f>
        <v>0.0155556840213198</v>
      </c>
      <c r="J24497" s="22" t="n">
        <f aca="false">IF(J24495=0,0,J24496/ABS(J24495))</f>
        <v>-0.0200866592749745</v>
      </c>
      <c r="K24497" s="22" t="n">
        <f aca="false">IF(K24495=0,0,K24496/ABS(K24495))</f>
        <v>-0.0618212918452354</v>
      </c>
    </row>
    <row r="24498" customFormat="false" ht="15" hidden="false" customHeight="false" outlineLevel="0" collapsed="false">
      <c r="A24498" s="3" t="s">
        <v>432</v>
      </c>
      <c r="G24498" s="21" t="n">
        <f aca="false">IF(G24496&lt;0,1,0)</f>
        <v>0</v>
      </c>
      <c r="H24498" s="21" t="n">
        <f aca="false">IF(H24496&lt;0,1,0)</f>
        <v>0</v>
      </c>
      <c r="I24498" s="21" t="n">
        <f aca="false">IF(I24496&lt;0,1,0)</f>
        <v>0</v>
      </c>
      <c r="J24498" s="21" t="n">
        <f aca="false">IF(J24496&lt;0,1,0)</f>
        <v>1</v>
      </c>
      <c r="K24498" s="21" t="n">
        <f aca="false">IF(K24496&lt;0,1,0)</f>
        <v>1</v>
      </c>
    </row>
    <row r="24499" customFormat="false" ht="15" hidden="false" customHeight="false" outlineLevel="0" collapsed="false">
      <c r="A24499" s="3" t="s">
        <v>433</v>
      </c>
      <c r="C24499" s="21" t="n">
        <f aca="false">IFERROR(INDEX($G$24248:$K$24248,MATCH(1,$G$24498:$K$24498,0)),0)</f>
        <v>2030</v>
      </c>
    </row>
    <row r="24500" customFormat="false" ht="15" hidden="false" customHeight="false" outlineLevel="0" collapsed="false">
      <c r="A24500" s="3" t="s">
        <v>434</v>
      </c>
      <c r="C24500" s="22" t="n">
        <f aca="false">MIN($G$24497:$K$24497)</f>
        <v>-0.0618212918452354</v>
      </c>
    </row>
    <row r="24501" customFormat="false" ht="15" hidden="false" customHeight="false" outlineLevel="0" collapsed="false">
      <c r="A24501" s="24" t="s">
        <v>435</v>
      </c>
      <c r="B24501" s="25"/>
      <c r="C24501" s="25"/>
      <c r="D24501" s="25"/>
      <c r="E24501" s="25"/>
      <c r="F24501" s="25"/>
      <c r="G24501" s="25"/>
      <c r="H24501" s="25"/>
      <c r="I24501" s="25"/>
      <c r="J24501" s="25"/>
      <c r="K24501" s="25"/>
    </row>
    <row r="24502" customFormat="false" ht="15" hidden="false" customHeight="false" outlineLevel="0" collapsed="false">
      <c r="A24502" s="3" t="s">
        <v>428</v>
      </c>
      <c r="G24502" s="32" t="n">
        <f aca="false">IF(G24262&gt;0,G24258/G24262,99)</f>
        <v>1.34982009774048</v>
      </c>
      <c r="H24502" s="32" t="n">
        <f aca="false">IF(H24262&gt;0,H24258/H24262,99)</f>
        <v>1.39310957112692</v>
      </c>
      <c r="I24502" s="32" t="n">
        <f aca="false">IF(I24262&gt;0,I24258/I24262,99)</f>
        <v>1.33220042659205</v>
      </c>
      <c r="J24502" s="32" t="n">
        <f aca="false">IF(J24262&gt;0,J24258/J24262,99)</f>
        <v>1.3573653040809</v>
      </c>
      <c r="K24502" s="32" t="n">
        <f aca="false">IF(K24262&gt;0,K24258/K24262,99)</f>
        <v>1.26693066616092</v>
      </c>
    </row>
    <row r="24503" customFormat="false" ht="15" hidden="false" customHeight="false" outlineLevel="0" collapsed="false">
      <c r="A24503" s="3" t="s">
        <v>429</v>
      </c>
      <c r="G24503" s="34" t="n">
        <f aca="false">Assumptions!$G$72</f>
        <v>1.5</v>
      </c>
      <c r="H24503" s="34" t="n">
        <f aca="false">Assumptions!$H$72</f>
        <v>1.5</v>
      </c>
      <c r="I24503" s="34" t="n">
        <f aca="false">Assumptions!$I$72</f>
        <v>1.5</v>
      </c>
      <c r="J24503" s="34" t="n">
        <f aca="false">Assumptions!$J$72</f>
        <v>1.5</v>
      </c>
      <c r="K24503" s="34" t="n">
        <f aca="false">Assumptions!$K$72</f>
        <v>1.5</v>
      </c>
    </row>
    <row r="24504" customFormat="false" ht="15" hidden="false" customHeight="false" outlineLevel="0" collapsed="false">
      <c r="A24504" s="3" t="s">
        <v>430</v>
      </c>
      <c r="G24504" s="32" t="n">
        <f aca="false">G24502-G24503</f>
        <v>-0.150179902259523</v>
      </c>
      <c r="H24504" s="32" t="n">
        <f aca="false">H24502-H24503</f>
        <v>-0.106890428873085</v>
      </c>
      <c r="I24504" s="32" t="n">
        <f aca="false">I24502-I24503</f>
        <v>-0.167799573407951</v>
      </c>
      <c r="J24504" s="32" t="n">
        <f aca="false">J24502-J24503</f>
        <v>-0.142634695919102</v>
      </c>
      <c r="K24504" s="32" t="n">
        <f aca="false">K24502-K24503</f>
        <v>-0.233069333839084</v>
      </c>
    </row>
    <row r="24505" customFormat="false" ht="15" hidden="false" customHeight="false" outlineLevel="0" collapsed="false">
      <c r="A24505" s="3" t="s">
        <v>431</v>
      </c>
      <c r="G24505" s="22" t="n">
        <f aca="false">IF(G24503=0,0,G24504/ABS(G24503))</f>
        <v>-0.100119934839682</v>
      </c>
      <c r="H24505" s="22" t="n">
        <f aca="false">IF(H24503=0,0,H24504/ABS(H24503))</f>
        <v>-0.0712602859153897</v>
      </c>
      <c r="I24505" s="22" t="n">
        <f aca="false">IF(I24503=0,0,I24504/ABS(I24503))</f>
        <v>-0.111866382271967</v>
      </c>
      <c r="J24505" s="22" t="n">
        <f aca="false">IF(J24503=0,0,J24504/ABS(J24503))</f>
        <v>-0.0950897972794011</v>
      </c>
      <c r="K24505" s="22" t="n">
        <f aca="false">IF(K24503=0,0,K24504/ABS(K24503))</f>
        <v>-0.155379555892723</v>
      </c>
    </row>
    <row r="24506" customFormat="false" ht="15" hidden="false" customHeight="false" outlineLevel="0" collapsed="false">
      <c r="A24506" s="3" t="s">
        <v>432</v>
      </c>
      <c r="G24506" s="21" t="n">
        <f aca="false">IF(G24504&lt;0,1,0)</f>
        <v>1</v>
      </c>
      <c r="H24506" s="21" t="n">
        <f aca="false">IF(H24504&lt;0,1,0)</f>
        <v>1</v>
      </c>
      <c r="I24506" s="21" t="n">
        <f aca="false">IF(I24504&lt;0,1,0)</f>
        <v>1</v>
      </c>
      <c r="J24506" s="21" t="n">
        <f aca="false">IF(J24504&lt;0,1,0)</f>
        <v>1</v>
      </c>
      <c r="K24506" s="21" t="n">
        <f aca="false">IF(K24504&lt;0,1,0)</f>
        <v>1</v>
      </c>
    </row>
    <row r="24507" customFormat="false" ht="15" hidden="false" customHeight="false" outlineLevel="0" collapsed="false">
      <c r="A24507" s="3" t="s">
        <v>433</v>
      </c>
      <c r="C24507" s="21" t="n">
        <f aca="false">IFERROR(INDEX($G$24248:$K$24248,MATCH(1,$G$24506:$K$24506,0)),0)</f>
        <v>2027</v>
      </c>
    </row>
    <row r="24508" customFormat="false" ht="15" hidden="false" customHeight="false" outlineLevel="0" collapsed="false">
      <c r="A24508" s="3" t="s">
        <v>434</v>
      </c>
      <c r="C24508" s="22" t="n">
        <f aca="false">MIN($G$24505:$K$24505)</f>
        <v>-0.155379555892723</v>
      </c>
    </row>
    <row r="24509" customFormat="false" ht="15" hidden="false" customHeight="false" outlineLevel="0" collapsed="false">
      <c r="A24509" s="24" t="s">
        <v>436</v>
      </c>
      <c r="B24509" s="25"/>
      <c r="C24509" s="25"/>
      <c r="D24509" s="25"/>
      <c r="E24509" s="25"/>
      <c r="F24509" s="25"/>
      <c r="G24509" s="25"/>
      <c r="H24509" s="25"/>
      <c r="I24509" s="25"/>
      <c r="J24509" s="25"/>
      <c r="K24509" s="25"/>
    </row>
    <row r="24510" customFormat="false" ht="15" hidden="false" customHeight="false" outlineLevel="0" collapsed="false">
      <c r="A24510" s="3" t="s">
        <v>428</v>
      </c>
      <c r="G24510" s="22" t="n">
        <f aca="false">IF(G24491&gt;0,G24480/G24491,99)</f>
        <v>0.120265604139923</v>
      </c>
      <c r="H24510" s="22" t="n">
        <f aca="false">IF(H24491&gt;0,H24480/H24491,99)</f>
        <v>0.119380197979769</v>
      </c>
      <c r="I24510" s="22" t="n">
        <f aca="false">IF(I24491&gt;0,I24480/I24491,99)</f>
        <v>0.118494791819614</v>
      </c>
      <c r="J24510" s="22" t="n">
        <f aca="false">IF(J24491&gt;0,J24480/J24491,99)</f>
        <v>0.11760938565946</v>
      </c>
      <c r="K24510" s="22" t="n">
        <f aca="false">IF(K24491&gt;0,K24480/K24491,99)</f>
        <v>0.116723979499306</v>
      </c>
    </row>
    <row r="24511" customFormat="false" ht="15" hidden="false" customHeight="false" outlineLevel="0" collapsed="false">
      <c r="A24511" s="3" t="s">
        <v>429</v>
      </c>
      <c r="G24511" s="33" t="n">
        <f aca="false">Assumptions!$G$73</f>
        <v>0.4</v>
      </c>
      <c r="H24511" s="33" t="n">
        <f aca="false">Assumptions!$H$73</f>
        <v>0.4</v>
      </c>
      <c r="I24511" s="33" t="n">
        <f aca="false">Assumptions!$I$73</f>
        <v>0.4</v>
      </c>
      <c r="J24511" s="33" t="n">
        <f aca="false">Assumptions!$J$73</f>
        <v>0.4</v>
      </c>
      <c r="K24511" s="33" t="n">
        <f aca="false">Assumptions!$K$73</f>
        <v>0.4</v>
      </c>
    </row>
    <row r="24512" customFormat="false" ht="15" hidden="false" customHeight="false" outlineLevel="0" collapsed="false">
      <c r="A24512" s="3" t="s">
        <v>430</v>
      </c>
      <c r="G24512" s="22" t="n">
        <f aca="false">G24511-G24510</f>
        <v>0.279734395860077</v>
      </c>
      <c r="H24512" s="22" t="n">
        <f aca="false">H24511-H24510</f>
        <v>0.280619802020231</v>
      </c>
      <c r="I24512" s="22" t="n">
        <f aca="false">I24511-I24510</f>
        <v>0.281505208180386</v>
      </c>
      <c r="J24512" s="22" t="n">
        <f aca="false">J24511-J24510</f>
        <v>0.28239061434054</v>
      </c>
      <c r="K24512" s="22" t="n">
        <f aca="false">K24511-K24510</f>
        <v>0.283276020500694</v>
      </c>
    </row>
    <row r="24513" customFormat="false" ht="15" hidden="false" customHeight="false" outlineLevel="0" collapsed="false">
      <c r="A24513" s="3" t="s">
        <v>431</v>
      </c>
      <c r="G24513" s="22" t="n">
        <f aca="false">IF(G24511=0,0,G24512/ABS(G24511))</f>
        <v>0.699335989650192</v>
      </c>
      <c r="H24513" s="22" t="n">
        <f aca="false">IF(H24511=0,0,H24512/ABS(H24511))</f>
        <v>0.701549505050578</v>
      </c>
      <c r="I24513" s="22" t="n">
        <f aca="false">IF(I24511=0,0,I24512/ABS(I24511))</f>
        <v>0.703763020450964</v>
      </c>
      <c r="J24513" s="22" t="n">
        <f aca="false">IF(J24511=0,0,J24512/ABS(J24511))</f>
        <v>0.70597653585135</v>
      </c>
      <c r="K24513" s="22" t="n">
        <f aca="false">IF(K24511=0,0,K24512/ABS(K24511))</f>
        <v>0.708190051251736</v>
      </c>
    </row>
    <row r="24514" customFormat="false" ht="15" hidden="false" customHeight="false" outlineLevel="0" collapsed="false">
      <c r="A24514" s="3" t="s">
        <v>432</v>
      </c>
      <c r="G24514" s="21" t="n">
        <f aca="false">IF(G24512&lt;0,1,0)</f>
        <v>0</v>
      </c>
      <c r="H24514" s="21" t="n">
        <f aca="false">IF(H24512&lt;0,1,0)</f>
        <v>0</v>
      </c>
      <c r="I24514" s="21" t="n">
        <f aca="false">IF(I24512&lt;0,1,0)</f>
        <v>0</v>
      </c>
      <c r="J24514" s="21" t="n">
        <f aca="false">IF(J24512&lt;0,1,0)</f>
        <v>0</v>
      </c>
      <c r="K24514" s="21" t="n">
        <f aca="false">IF(K24512&lt;0,1,0)</f>
        <v>0</v>
      </c>
    </row>
    <row r="24515" customFormat="false" ht="15" hidden="false" customHeight="false" outlineLevel="0" collapsed="false">
      <c r="A24515" s="3" t="s">
        <v>433</v>
      </c>
      <c r="C24515" s="21" t="n">
        <f aca="false">IFERROR(INDEX($G$24248:$K$24248,MATCH(1,$G$24514:$K$24514,0)),0)</f>
        <v>0</v>
      </c>
    </row>
    <row r="24516" customFormat="false" ht="15" hidden="false" customHeight="false" outlineLevel="0" collapsed="false">
      <c r="A24516" s="3" t="s">
        <v>434</v>
      </c>
      <c r="C24516" s="22" t="n">
        <f aca="false">MIN($G$24513:$K$24513)</f>
        <v>0.699335989650192</v>
      </c>
    </row>
    <row r="24517" customFormat="false" ht="15" hidden="false" customHeight="false" outlineLevel="0" collapsed="false">
      <c r="A24517" s="24" t="s">
        <v>437</v>
      </c>
      <c r="B24517" s="25"/>
      <c r="C24517" s="25"/>
      <c r="D24517" s="25"/>
      <c r="E24517" s="25"/>
      <c r="F24517" s="25"/>
      <c r="G24517" s="25"/>
      <c r="H24517" s="25"/>
      <c r="I24517" s="25"/>
      <c r="J24517" s="25"/>
      <c r="K24517" s="25"/>
    </row>
    <row r="24518" customFormat="false" ht="15" hidden="false" customHeight="false" outlineLevel="0" collapsed="false">
      <c r="A24518" s="3" t="s">
        <v>428</v>
      </c>
      <c r="G24518" s="16" t="n">
        <f aca="false">G24488</f>
        <v>715.2565686</v>
      </c>
      <c r="H24518" s="16" t="n">
        <f aca="false">H24488</f>
        <v>599.5</v>
      </c>
      <c r="I24518" s="16" t="n">
        <f aca="false">I24488</f>
        <v>496.765705817944</v>
      </c>
      <c r="J24518" s="16" t="n">
        <f aca="false">J24488</f>
        <v>396.152842975205</v>
      </c>
      <c r="K24518" s="16" t="n">
        <f aca="false">K24488</f>
        <v>279.026096543752</v>
      </c>
    </row>
    <row r="24519" customFormat="false" ht="15" hidden="false" customHeight="false" outlineLevel="0" collapsed="false">
      <c r="A24519" s="3" t="s">
        <v>429</v>
      </c>
      <c r="G24519" s="29" t="n">
        <f aca="false">Assumptions!$G$74</f>
        <v>100</v>
      </c>
      <c r="H24519" s="29" t="n">
        <f aca="false">Assumptions!$H$74</f>
        <v>100</v>
      </c>
      <c r="I24519" s="29" t="n">
        <f aca="false">Assumptions!$I$74</f>
        <v>100</v>
      </c>
      <c r="J24519" s="29" t="n">
        <f aca="false">Assumptions!$J$74</f>
        <v>100</v>
      </c>
      <c r="K24519" s="29" t="n">
        <f aca="false">Assumptions!$K$74</f>
        <v>100</v>
      </c>
    </row>
    <row r="24520" customFormat="false" ht="15" hidden="false" customHeight="false" outlineLevel="0" collapsed="false">
      <c r="A24520" s="3" t="s">
        <v>430</v>
      </c>
      <c r="G24520" s="16" t="n">
        <f aca="false">G24518-G24519</f>
        <v>615.2565686</v>
      </c>
      <c r="H24520" s="16" t="n">
        <f aca="false">H24518-H24519</f>
        <v>499.5</v>
      </c>
      <c r="I24520" s="16" t="n">
        <f aca="false">I24518-I24519</f>
        <v>396.765705817944</v>
      </c>
      <c r="J24520" s="16" t="n">
        <f aca="false">J24518-J24519</f>
        <v>296.152842975205</v>
      </c>
      <c r="K24520" s="16" t="n">
        <f aca="false">K24518-K24519</f>
        <v>179.026096543752</v>
      </c>
    </row>
    <row r="24521" customFormat="false" ht="15" hidden="false" customHeight="false" outlineLevel="0" collapsed="false">
      <c r="A24521" s="3" t="s">
        <v>431</v>
      </c>
      <c r="G24521" s="22" t="n">
        <f aca="false">IF(G24519=0,0,G24520/ABS(G24519))</f>
        <v>6.152565686</v>
      </c>
      <c r="H24521" s="22" t="n">
        <f aca="false">IF(H24519=0,0,H24520/ABS(H24519))</f>
        <v>4.995</v>
      </c>
      <c r="I24521" s="22" t="n">
        <f aca="false">IF(I24519=0,0,I24520/ABS(I24519))</f>
        <v>3.96765705817944</v>
      </c>
      <c r="J24521" s="22" t="n">
        <f aca="false">IF(J24519=0,0,J24520/ABS(J24519))</f>
        <v>2.96152842975205</v>
      </c>
      <c r="K24521" s="22" t="n">
        <f aca="false">IF(K24519=0,0,K24520/ABS(K24519))</f>
        <v>1.79026096543752</v>
      </c>
    </row>
    <row r="24522" customFormat="false" ht="15" hidden="false" customHeight="false" outlineLevel="0" collapsed="false">
      <c r="A24522" s="3" t="s">
        <v>432</v>
      </c>
      <c r="G24522" s="21" t="n">
        <f aca="false">IF(G24520&lt;0,1,0)</f>
        <v>0</v>
      </c>
      <c r="H24522" s="21" t="n">
        <f aca="false">IF(H24520&lt;0,1,0)</f>
        <v>0</v>
      </c>
      <c r="I24522" s="21" t="n">
        <f aca="false">IF(I24520&lt;0,1,0)</f>
        <v>0</v>
      </c>
      <c r="J24522" s="21" t="n">
        <f aca="false">IF(J24520&lt;0,1,0)</f>
        <v>0</v>
      </c>
      <c r="K24522" s="21" t="n">
        <f aca="false">IF(K24520&lt;0,1,0)</f>
        <v>0</v>
      </c>
    </row>
    <row r="24523" customFormat="false" ht="15" hidden="false" customHeight="false" outlineLevel="0" collapsed="false">
      <c r="A24523" s="3" t="s">
        <v>433</v>
      </c>
      <c r="C24523" s="21" t="n">
        <f aca="false">IFERROR(INDEX($G$24248:$K$24248,MATCH(1,$G$24522:$K$24522,0)),0)</f>
        <v>0</v>
      </c>
    </row>
    <row r="24524" customFormat="false" ht="15" hidden="false" customHeight="false" outlineLevel="0" collapsed="false">
      <c r="A24524" s="3" t="s">
        <v>434</v>
      </c>
      <c r="C24524" s="22" t="n">
        <f aca="false">MIN($G$24521:$K$24521)</f>
        <v>1.79026096543752</v>
      </c>
    </row>
    <row r="24525" customFormat="false" ht="15" hidden="false" customHeight="false" outlineLevel="0" collapsed="false">
      <c r="A24525" s="24" t="s">
        <v>438</v>
      </c>
      <c r="B24525" s="25"/>
      <c r="C24525" s="25"/>
      <c r="D24525" s="25"/>
      <c r="E24525" s="25"/>
      <c r="F24525" s="25"/>
      <c r="G24525" s="25"/>
      <c r="H24525" s="25"/>
      <c r="I24525" s="25"/>
      <c r="J24525" s="25"/>
      <c r="K24525" s="25"/>
    </row>
    <row r="24526" customFormat="false" ht="15" hidden="false" customHeight="false" outlineLevel="0" collapsed="false">
      <c r="A24526" s="3" t="s">
        <v>428</v>
      </c>
      <c r="G24526" s="32" t="n">
        <f aca="false">IF(G24258&gt;0,G24481/G24258,99)</f>
        <v>9.68561440260152</v>
      </c>
      <c r="H24526" s="32" t="n">
        <f aca="false">IF(H24258&gt;0,H24481/H24258,99)</f>
        <v>9.77920926367038</v>
      </c>
      <c r="I24526" s="32" t="n">
        <f aca="false">IF(I24258&gt;0,I24481/I24258,99)</f>
        <v>9.90010834911678</v>
      </c>
      <c r="J24526" s="32" t="n">
        <f aca="false">IF(J24258&gt;0,J24481/J24258,99)</f>
        <v>10.0200110858107</v>
      </c>
      <c r="K24526" s="32" t="n">
        <f aca="false">IF(K24258&gt;0,K24481/K24258,99)</f>
        <v>10.1875770846748</v>
      </c>
    </row>
    <row r="24527" customFormat="false" ht="15" hidden="false" customHeight="false" outlineLevel="0" collapsed="false">
      <c r="A24527" s="3" t="s">
        <v>429</v>
      </c>
      <c r="G24527" s="34" t="n">
        <f aca="false">Assumptions!$G$75</f>
        <v>10.5</v>
      </c>
      <c r="H24527" s="34" t="n">
        <f aca="false">Assumptions!$H$75</f>
        <v>10.5</v>
      </c>
      <c r="I24527" s="34" t="n">
        <f aca="false">Assumptions!$I$75</f>
        <v>10</v>
      </c>
      <c r="J24527" s="34" t="n">
        <f aca="false">Assumptions!$J$75</f>
        <v>10</v>
      </c>
      <c r="K24527" s="34" t="n">
        <f aca="false">Assumptions!$K$75</f>
        <v>9.5</v>
      </c>
    </row>
    <row r="24528" customFormat="false" ht="15" hidden="false" customHeight="false" outlineLevel="0" collapsed="false">
      <c r="A24528" s="3" t="s">
        <v>430</v>
      </c>
      <c r="G24528" s="32" t="n">
        <f aca="false">G24527-G24526</f>
        <v>0.814385597398479</v>
      </c>
      <c r="H24528" s="32" t="n">
        <f aca="false">H24527-H24526</f>
        <v>0.720790736329617</v>
      </c>
      <c r="I24528" s="32" t="n">
        <f aca="false">I24527-I24526</f>
        <v>0.0998916508832206</v>
      </c>
      <c r="J24528" s="32" t="n">
        <f aca="false">J24527-J24526</f>
        <v>-0.0200110858107045</v>
      </c>
      <c r="K24528" s="32" t="n">
        <f aca="false">K24527-K24526</f>
        <v>-0.687577084674794</v>
      </c>
    </row>
    <row r="24529" customFormat="false" ht="15" hidden="false" customHeight="false" outlineLevel="0" collapsed="false">
      <c r="A24529" s="3" t="s">
        <v>431</v>
      </c>
      <c r="G24529" s="22" t="n">
        <f aca="false">IF(G24527=0,0,G24528/ABS(G24527))</f>
        <v>0.0775605330855694</v>
      </c>
      <c r="H24529" s="22" t="n">
        <f aca="false">IF(H24527=0,0,H24528/ABS(H24527))</f>
        <v>0.0686467367932968</v>
      </c>
      <c r="I24529" s="22" t="n">
        <f aca="false">IF(I24527=0,0,I24528/ABS(I24527))</f>
        <v>0.00998916508832206</v>
      </c>
      <c r="J24529" s="22" t="n">
        <f aca="false">IF(J24527=0,0,J24528/ABS(J24527))</f>
        <v>-0.00200110858107045</v>
      </c>
      <c r="K24529" s="22" t="n">
        <f aca="false">IF(K24527=0,0,K24528/ABS(K24527))</f>
        <v>-0.0723765352289257</v>
      </c>
    </row>
    <row r="24530" customFormat="false" ht="15" hidden="false" customHeight="false" outlineLevel="0" collapsed="false">
      <c r="A24530" s="3" t="s">
        <v>432</v>
      </c>
      <c r="G24530" s="21" t="n">
        <f aca="false">IF(G24528&lt;0,1,0)</f>
        <v>0</v>
      </c>
      <c r="H24530" s="21" t="n">
        <f aca="false">IF(H24528&lt;0,1,0)</f>
        <v>0</v>
      </c>
      <c r="I24530" s="21" t="n">
        <f aca="false">IF(I24528&lt;0,1,0)</f>
        <v>0</v>
      </c>
      <c r="J24530" s="21" t="n">
        <f aca="false">IF(J24528&lt;0,1,0)</f>
        <v>1</v>
      </c>
      <c r="K24530" s="21" t="n">
        <f aca="false">IF(K24528&lt;0,1,0)</f>
        <v>1</v>
      </c>
    </row>
    <row r="24531" customFormat="false" ht="15" hidden="false" customHeight="false" outlineLevel="0" collapsed="false">
      <c r="A24531" s="3" t="s">
        <v>433</v>
      </c>
      <c r="C24531" s="21" t="n">
        <f aca="false">IFERROR(INDEX($G$24248:$K$24248,MATCH(1,$G$24530:$K$24530,0)),0)</f>
        <v>2030</v>
      </c>
    </row>
    <row r="24532" customFormat="false" ht="15" hidden="false" customHeight="false" outlineLevel="0" collapsed="false">
      <c r="A24532" s="3" t="s">
        <v>434</v>
      </c>
      <c r="C24532" s="22" t="n">
        <f aca="false">MIN($G$24529:$K$24529)</f>
        <v>-0.0723765352289257</v>
      </c>
    </row>
    <row r="24533" customFormat="false" ht="15" hidden="false" customHeight="false" outlineLevel="0" collapsed="false">
      <c r="A24533" s="3" t="s">
        <v>439</v>
      </c>
      <c r="G24533" s="21" t="n">
        <f aca="false">G24498+G24506+G24514+G24522+G24530</f>
        <v>1</v>
      </c>
      <c r="H24533" s="21" t="n">
        <f aca="false">H24498+H24506+H24514+H24522+H24530</f>
        <v>1</v>
      </c>
      <c r="I24533" s="21" t="n">
        <f aca="false">I24498+I24506+I24514+I24522+I24530</f>
        <v>1</v>
      </c>
      <c r="J24533" s="21" t="n">
        <f aca="false">J24498+J24506+J24514+J24522+J24530</f>
        <v>3</v>
      </c>
      <c r="K24533" s="21" t="n">
        <f aca="false">K24498+K24506+K24514+K24522+K24530</f>
        <v>3</v>
      </c>
    </row>
    <row r="24534" customFormat="false" ht="15" hidden="false" customHeight="false" outlineLevel="0" collapsed="false">
      <c r="A24534" s="3" t="s">
        <v>440</v>
      </c>
      <c r="C24534" s="21" t="n">
        <f aca="false">SUM($G$24533:$K$24533)</f>
        <v>9</v>
      </c>
    </row>
    <row r="24535" customFormat="false" ht="15" hidden="false" customHeight="false" outlineLevel="0" collapsed="false">
      <c r="A24535" s="3" t="s">
        <v>441</v>
      </c>
      <c r="C24535" s="22" t="n">
        <f aca="false">MIN(C24500,C24508,C24516,C24524,C24532)</f>
        <v>-0.155379555892723</v>
      </c>
    </row>
    <row r="24537" customFormat="false" ht="15" hidden="false" customHeight="false" outlineLevel="0" collapsed="false">
      <c r="A24537" s="24" t="s">
        <v>543</v>
      </c>
      <c r="B24537" s="25"/>
      <c r="C24537" s="25"/>
      <c r="D24537" s="25"/>
      <c r="E24537" s="25"/>
      <c r="F24537" s="25"/>
      <c r="G24537" s="25"/>
      <c r="H24537" s="25"/>
      <c r="I24537" s="25"/>
      <c r="J24537" s="25"/>
      <c r="K24537" s="25"/>
    </row>
    <row r="24538" customFormat="false" ht="15" hidden="false" customHeight="false" outlineLevel="0" collapsed="false">
      <c r="A24538" s="3" t="s">
        <v>544</v>
      </c>
      <c r="G24538" s="21" t="n">
        <f aca="false">IF($C$24539=1,G24475,IF(G24258=MIN($G$24258:$K$24258),1,0))</f>
        <v>1</v>
      </c>
      <c r="H24538" s="21" t="n">
        <f aca="false">IF($C$24539=1,H24475,IF(AND(H24258=MIN($G$24258:$K$24258),SUM($G$24538:G24538)=0),1,0))</f>
        <v>0</v>
      </c>
      <c r="I24538" s="21" t="n">
        <f aca="false">IF($C$24539=1,I24475,IF(AND(I24258=MIN($G$24258:$K$24258),SUM($G$24538:H24538)=0),1,0))</f>
        <v>0</v>
      </c>
      <c r="J24538" s="21" t="n">
        <f aca="false">IF($C$24539=1,J24475,IF(AND(J24258=MIN($G$24258:$K$24258),SUM($G$24538:I24538)=0),1,0))</f>
        <v>0</v>
      </c>
      <c r="K24538" s="21" t="n">
        <f aca="false">IF($C$24539=1,K24475,IF(AND(K24258=MIN($G$24258:$K$24258),SUM($G$24538:J24538)=0),1,0))</f>
        <v>0</v>
      </c>
    </row>
    <row r="24539" customFormat="false" ht="15" hidden="false" customHeight="false" outlineLevel="0" collapsed="false">
      <c r="A24539" s="3" t="s">
        <v>545</v>
      </c>
      <c r="C24539" s="21" t="n">
        <f aca="false">IF(SUM($G$24475:$K$24475)&gt;0,1,0)</f>
        <v>0</v>
      </c>
    </row>
    <row r="24540" customFormat="false" ht="15" hidden="false" customHeight="false" outlineLevel="0" collapsed="false">
      <c r="A24540" s="3" t="s">
        <v>546</v>
      </c>
      <c r="C24540" s="21" t="n">
        <f aca="false">SUMPRODUCT($G$24538:$K$24538,$G$24248:$K$24248)</f>
        <v>2027</v>
      </c>
    </row>
    <row r="24541" customFormat="false" ht="15" hidden="false" customHeight="false" outlineLevel="0" collapsed="false">
      <c r="A24541" s="3" t="s">
        <v>547</v>
      </c>
      <c r="C24541" s="16" t="n">
        <f aca="false">SUMPRODUCT($G$24538:$K$24538,$G$24258:$K$24258)</f>
        <v>256.1714031</v>
      </c>
    </row>
    <row r="24542" customFormat="false" ht="15" hidden="false" customHeight="false" outlineLevel="0" collapsed="false">
      <c r="A24542" s="3" t="s">
        <v>548</v>
      </c>
      <c r="C24542" s="16" t="n">
        <f aca="false">MAX(0,SUMPRODUCT($G$24538:$K$24538,$G$24472:$K$24472))</f>
        <v>140.7565686</v>
      </c>
    </row>
    <row r="24543" customFormat="false" ht="15" hidden="false" customHeight="false" outlineLevel="0" collapsed="false">
      <c r="A24543" s="3" t="s">
        <v>549</v>
      </c>
      <c r="C24543" s="16" t="n">
        <f aca="false">(CHOOSE($C$24241,Assumptions!$C$92,Assumptions!$C$111,Assumptions!$C$130)+$C$24245)*C24541</f>
        <v>2561.714031</v>
      </c>
    </row>
    <row r="24544" customFormat="false" ht="15" hidden="false" customHeight="false" outlineLevel="0" collapsed="false">
      <c r="A24544" s="3" t="s">
        <v>550</v>
      </c>
      <c r="C24544" s="16" t="n">
        <f aca="false">Assumptions!$C$31*(1-CHOOSE($C$24241,Assumptions!$C$93,Assumptions!$C$112,Assumptions!$C$131))*CHOOSE($C$24241,Assumptions!$C$94,Assumptions!$C$113,Assumptions!$C$132)</f>
        <v>3840.04556666667</v>
      </c>
    </row>
    <row r="24545" customFormat="false" ht="15" hidden="false" customHeight="false" outlineLevel="0" collapsed="false">
      <c r="A24545" s="3" t="s">
        <v>551</v>
      </c>
      <c r="C24545" s="16" t="n">
        <f aca="false">MAX(C24543,C24544)+C24542</f>
        <v>3980.80213526667</v>
      </c>
    </row>
    <row r="24546" customFormat="false" ht="15" hidden="false" customHeight="false" outlineLevel="0" collapsed="false">
      <c r="A24546" s="2" t="s">
        <v>552</v>
      </c>
      <c r="C24546" s="17" t="n">
        <f aca="false">IF(ISNUMBER(Assumptions!$C$14),Assumptions!$C$14,C24545)</f>
        <v>3980.80213526667</v>
      </c>
    </row>
    <row r="24547" customFormat="false" ht="15" hidden="false" customHeight="false" outlineLevel="0" collapsed="false">
      <c r="A24547" s="3" t="s">
        <v>553</v>
      </c>
      <c r="C24547" s="16" t="n">
        <f aca="false">C24546*Assumptions!$C$15</f>
        <v>159.232085410667</v>
      </c>
    </row>
    <row r="24548" customFormat="false" ht="15" hidden="false" customHeight="false" outlineLevel="0" collapsed="false">
      <c r="A24548" s="2" t="s">
        <v>554</v>
      </c>
      <c r="C24548" s="17" t="n">
        <f aca="false">C24546-C24547</f>
        <v>3821.570049856</v>
      </c>
    </row>
    <row r="24549" customFormat="false" ht="15" hidden="false" customHeight="false" outlineLevel="0" collapsed="false">
      <c r="A24549" s="24" t="s">
        <v>555</v>
      </c>
      <c r="B24549" s="25"/>
      <c r="C24549" s="25"/>
      <c r="D24549" s="25"/>
      <c r="E24549" s="25"/>
      <c r="F24549" s="25"/>
      <c r="G24549" s="25"/>
      <c r="H24549" s="25"/>
      <c r="I24549" s="25"/>
      <c r="J24549" s="25"/>
      <c r="K24549" s="25"/>
    </row>
    <row r="24550" customFormat="false" ht="15" hidden="false" customHeight="false" outlineLevel="0" collapsed="false">
      <c r="A24550" s="3" t="s">
        <v>556</v>
      </c>
      <c r="C24550" s="16" t="n">
        <f aca="false">SUMPRODUCT($G$24538:$K$24538,$G$24295:$K$24295)*(1+SUMPRODUCT($G$24538:$K$24538,$G$24287:$K$24287)*Assumptions!$C$16/12)</f>
        <v>407.0385</v>
      </c>
    </row>
    <row r="24551" customFormat="false" ht="15" hidden="false" customHeight="false" outlineLevel="0" collapsed="false">
      <c r="A24551" s="3" t="s">
        <v>557</v>
      </c>
      <c r="C24551" s="16" t="n">
        <f aca="false">SUMPRODUCT($G$24538:$K$24538,$G$24308:$K$24308)*(1+SUMPRODUCT($G$24538:$K$24538,$G$24300:$K$24300)*Assumptions!$C$16/12)</f>
        <v>91.30725</v>
      </c>
    </row>
    <row r="24552" customFormat="false" ht="15" hidden="false" customHeight="false" outlineLevel="0" collapsed="false">
      <c r="A24552" s="3" t="s">
        <v>558</v>
      </c>
      <c r="C24552" s="16" t="n">
        <f aca="false">SUMPRODUCT($G$24538:$K$24538,$G$24321:$K$24321)*(1+SUMPRODUCT($G$24538:$K$24538,$G$24313:$K$24313)*Assumptions!$C$16/12)</f>
        <v>58.3715961</v>
      </c>
    </row>
    <row r="24553" customFormat="false" ht="15" hidden="false" customHeight="false" outlineLevel="0" collapsed="false">
      <c r="A24553" s="3" t="s">
        <v>559</v>
      </c>
      <c r="C24553" s="16" t="n">
        <f aca="false">SUMPRODUCT($G$24538:$K$24538,$G$24334:$K$24334)*(1+SUMPRODUCT($G$24538:$K$24538,$G$24326:$K$24326)*Assumptions!$C$16/12)</f>
        <v>0</v>
      </c>
    </row>
    <row r="24554" customFormat="false" ht="15" hidden="false" customHeight="false" outlineLevel="0" collapsed="false">
      <c r="A24554" s="3" t="s">
        <v>560</v>
      </c>
      <c r="C24554" s="16" t="n">
        <f aca="false">SUMPRODUCT($G$24538:$K$24538,$G$24347:$K$24347)*(1+SUMPRODUCT($G$24538:$K$24538,$G$24339:$K$24339)*Assumptions!$C$16/12)</f>
        <v>454.44375</v>
      </c>
    </row>
    <row r="24555" customFormat="false" ht="15" hidden="false" customHeight="false" outlineLevel="0" collapsed="false">
      <c r="A24555" s="3" t="s">
        <v>561</v>
      </c>
      <c r="C24555" s="16" t="n">
        <f aca="false">SUMPRODUCT($G$24538:$K$24538,$G$24360:$K$24360)*(1+SUMPRODUCT($G$24538:$K$24538,$G$24352:$K$24352)*Assumptions!$C$16/12)</f>
        <v>357.2625</v>
      </c>
    </row>
    <row r="24556" customFormat="false" ht="15" hidden="false" customHeight="false" outlineLevel="0" collapsed="false">
      <c r="A24556" s="3" t="s">
        <v>562</v>
      </c>
      <c r="C24556" s="16" t="n">
        <f aca="false">SUMPRODUCT($G$24538:$K$24538,$G$24373:$K$24373)*(1+SUMPRODUCT($G$24538:$K$24538,$G$24365:$K$24365)*Assumptions!$C$16/12)</f>
        <v>562.203125</v>
      </c>
    </row>
    <row r="24557" customFormat="false" ht="15" hidden="false" customHeight="false" outlineLevel="0" collapsed="false">
      <c r="A24557" s="3" t="s">
        <v>563</v>
      </c>
      <c r="C24557" s="16" t="n">
        <f aca="false">SUMPRODUCT($G$24538:$K$24538,$G$24386:$K$24386)*(1+SUMPRODUCT($G$24538:$K$24538,$G$24378:$K$24378)*Assumptions!$C$16/12)</f>
        <v>353.98125</v>
      </c>
    </row>
    <row r="24558" customFormat="false" ht="15" hidden="false" customHeight="false" outlineLevel="0" collapsed="false">
      <c r="A24558" s="3" t="s">
        <v>564</v>
      </c>
      <c r="C24558" s="16" t="n">
        <f aca="false">SUMPRODUCT($G$24538:$K$24538,$G$24399:$K$24399)*(1+SUMPRODUCT($G$24538:$K$24538,$G$24391:$K$24391)*Assumptions!$C$16/12)</f>
        <v>304.59375</v>
      </c>
    </row>
    <row r="24559" customFormat="false" ht="15" hidden="false" customHeight="false" outlineLevel="0" collapsed="false">
      <c r="A24559" s="3" t="s">
        <v>565</v>
      </c>
      <c r="C24559" s="16" t="n">
        <f aca="false">SUMPRODUCT($G$24538:$K$24538,$G$24412:$K$24412)*(1+SUMPRODUCT($G$24538:$K$24538,$G$24404:$K$24404)*Assumptions!$C$16/12)</f>
        <v>80.06625025</v>
      </c>
    </row>
    <row r="24560" customFormat="false" ht="15" hidden="false" customHeight="false" outlineLevel="0" collapsed="false">
      <c r="A24560" s="24" t="s">
        <v>566</v>
      </c>
      <c r="B24560" s="25"/>
      <c r="C24560" s="25"/>
      <c r="D24560" s="25"/>
      <c r="E24560" s="25"/>
      <c r="F24560" s="25"/>
      <c r="G24560" s="25"/>
      <c r="H24560" s="25"/>
      <c r="I24560" s="25"/>
      <c r="J24560" s="25"/>
      <c r="K24560" s="25"/>
    </row>
    <row r="24561" customFormat="false" ht="15" hidden="false" customHeight="false" outlineLevel="0" collapsed="false">
      <c r="A24561" s="3" t="s">
        <v>556</v>
      </c>
      <c r="C24561" s="27" t="n">
        <f aca="false">Assumptions!$M$57</f>
        <v>1</v>
      </c>
    </row>
    <row r="24562" customFormat="false" ht="15" hidden="false" customHeight="false" outlineLevel="0" collapsed="false">
      <c r="A24562" s="3" t="s">
        <v>557</v>
      </c>
      <c r="C24562" s="27" t="n">
        <f aca="false">Assumptions!$M$58</f>
        <v>1</v>
      </c>
    </row>
    <row r="24563" customFormat="false" ht="15" hidden="false" customHeight="false" outlineLevel="0" collapsed="false">
      <c r="A24563" s="3" t="s">
        <v>558</v>
      </c>
      <c r="C24563" s="27" t="n">
        <f aca="false">Assumptions!$M$59</f>
        <v>1</v>
      </c>
    </row>
    <row r="24564" customFormat="false" ht="15" hidden="false" customHeight="false" outlineLevel="0" collapsed="false">
      <c r="A24564" s="3" t="s">
        <v>559</v>
      </c>
      <c r="C24564" s="27" t="n">
        <f aca="false">Assumptions!$M$60</f>
        <v>2</v>
      </c>
    </row>
    <row r="24565" customFormat="false" ht="15" hidden="false" customHeight="false" outlineLevel="0" collapsed="false">
      <c r="A24565" s="3" t="s">
        <v>560</v>
      </c>
      <c r="C24565" s="27" t="n">
        <f aca="false">Assumptions!$M$61</f>
        <v>2</v>
      </c>
    </row>
    <row r="24566" customFormat="false" ht="15" hidden="false" customHeight="false" outlineLevel="0" collapsed="false">
      <c r="A24566" s="3" t="s">
        <v>561</v>
      </c>
      <c r="C24566" s="27" t="n">
        <f aca="false">Assumptions!$M$62</f>
        <v>2</v>
      </c>
    </row>
    <row r="24567" customFormat="false" ht="15" hidden="false" customHeight="false" outlineLevel="0" collapsed="false">
      <c r="A24567" s="3" t="s">
        <v>562</v>
      </c>
      <c r="C24567" s="27" t="n">
        <f aca="false">Assumptions!$M$63</f>
        <v>2</v>
      </c>
    </row>
    <row r="24568" customFormat="false" ht="15" hidden="false" customHeight="false" outlineLevel="0" collapsed="false">
      <c r="A24568" s="3" t="s">
        <v>563</v>
      </c>
      <c r="C24568" s="27" t="n">
        <f aca="false">Assumptions!$M$64</f>
        <v>2</v>
      </c>
    </row>
    <row r="24569" customFormat="false" ht="15" hidden="false" customHeight="false" outlineLevel="0" collapsed="false">
      <c r="A24569" s="3" t="s">
        <v>564</v>
      </c>
      <c r="C24569" s="27" t="n">
        <f aca="false">Assumptions!$M$65</f>
        <v>2</v>
      </c>
    </row>
    <row r="24570" customFormat="false" ht="15" hidden="false" customHeight="false" outlineLevel="0" collapsed="false">
      <c r="A24570" s="3" t="s">
        <v>565</v>
      </c>
      <c r="C24570" s="27" t="n">
        <f aca="false">Assumptions!$M$66</f>
        <v>3</v>
      </c>
    </row>
    <row r="24571" customFormat="false" ht="15" hidden="false" customHeight="false" outlineLevel="0" collapsed="false">
      <c r="A24571" s="24" t="s">
        <v>567</v>
      </c>
      <c r="B24571" s="25"/>
      <c r="C24571" s="25"/>
      <c r="D24571" s="25"/>
      <c r="E24571" s="25"/>
      <c r="F24571" s="25"/>
      <c r="G24571" s="25"/>
      <c r="H24571" s="25"/>
      <c r="I24571" s="25"/>
      <c r="J24571" s="25"/>
      <c r="K24571" s="25"/>
    </row>
    <row r="24572" customFormat="false" ht="15" hidden="false" customHeight="false" outlineLevel="0" collapsed="false">
      <c r="A24572" s="3" t="s">
        <v>556</v>
      </c>
      <c r="C24572" s="33" t="n">
        <f aca="false">Assumptions!$Q$57</f>
        <v>0.3</v>
      </c>
    </row>
    <row r="24573" customFormat="false" ht="15" hidden="false" customHeight="false" outlineLevel="0" collapsed="false">
      <c r="A24573" s="3" t="s">
        <v>557</v>
      </c>
      <c r="C24573" s="33" t="n">
        <f aca="false">Assumptions!$Q$58</f>
        <v>0.033</v>
      </c>
    </row>
    <row r="24574" customFormat="false" ht="15" hidden="false" customHeight="false" outlineLevel="0" collapsed="false">
      <c r="A24574" s="3" t="s">
        <v>558</v>
      </c>
      <c r="C24574" s="33" t="n">
        <f aca="false">Assumptions!$Q$59</f>
        <v>0.021</v>
      </c>
    </row>
    <row r="24575" customFormat="false" ht="15" hidden="false" customHeight="false" outlineLevel="0" collapsed="false">
      <c r="A24575" s="3" t="s">
        <v>559</v>
      </c>
      <c r="C24575" s="33" t="n">
        <f aca="false">Assumptions!$Q$60</f>
        <v>0</v>
      </c>
    </row>
    <row r="24576" customFormat="false" ht="15" hidden="false" customHeight="false" outlineLevel="0" collapsed="false">
      <c r="A24576" s="3" t="s">
        <v>560</v>
      </c>
      <c r="C24576" s="33" t="n">
        <f aca="false">Assumptions!$Q$61</f>
        <v>0</v>
      </c>
    </row>
    <row r="24577" customFormat="false" ht="15" hidden="false" customHeight="false" outlineLevel="0" collapsed="false">
      <c r="A24577" s="3" t="s">
        <v>561</v>
      </c>
      <c r="C24577" s="33" t="n">
        <f aca="false">Assumptions!$Q$62</f>
        <v>0</v>
      </c>
    </row>
    <row r="24578" customFormat="false" ht="15" hidden="false" customHeight="false" outlineLevel="0" collapsed="false">
      <c r="A24578" s="3" t="s">
        <v>562</v>
      </c>
      <c r="C24578" s="33" t="n">
        <f aca="false">Assumptions!$Q$63</f>
        <v>0</v>
      </c>
    </row>
    <row r="24579" customFormat="false" ht="15" hidden="false" customHeight="false" outlineLevel="0" collapsed="false">
      <c r="A24579" s="3" t="s">
        <v>563</v>
      </c>
      <c r="C24579" s="33" t="n">
        <f aca="false">Assumptions!$Q$64</f>
        <v>0</v>
      </c>
    </row>
    <row r="24580" customFormat="false" ht="15" hidden="false" customHeight="false" outlineLevel="0" collapsed="false">
      <c r="A24580" s="3" t="s">
        <v>564</v>
      </c>
      <c r="C24580" s="33" t="n">
        <f aca="false">Assumptions!$Q$65</f>
        <v>0</v>
      </c>
    </row>
    <row r="24581" customFormat="false" ht="15" hidden="false" customHeight="false" outlineLevel="0" collapsed="false">
      <c r="A24581" s="3" t="s">
        <v>565</v>
      </c>
      <c r="C24581" s="33" t="n">
        <f aca="false">Assumptions!$Q$66</f>
        <v>0</v>
      </c>
    </row>
    <row r="24582" customFormat="false" ht="15" hidden="false" customHeight="false" outlineLevel="0" collapsed="false">
      <c r="A24582" s="24" t="s">
        <v>568</v>
      </c>
      <c r="B24582" s="25"/>
      <c r="C24582" s="25"/>
      <c r="D24582" s="25"/>
      <c r="E24582" s="25"/>
      <c r="F24582" s="25"/>
      <c r="G24582" s="25"/>
      <c r="H24582" s="25"/>
      <c r="I24582" s="25"/>
      <c r="J24582" s="25"/>
      <c r="K24582" s="25"/>
    </row>
    <row r="24583" customFormat="false" ht="15" hidden="false" customHeight="false" outlineLevel="0" collapsed="false">
      <c r="A24583" s="3" t="s">
        <v>556</v>
      </c>
      <c r="C24583" s="16" t="n">
        <f aca="false">IF(C24572&gt;0,MIN(C24550,C24572*$C$24548),0)</f>
        <v>407.0385</v>
      </c>
    </row>
    <row r="24584" customFormat="false" ht="15" hidden="false" customHeight="false" outlineLevel="0" collapsed="false">
      <c r="A24584" s="3" t="s">
        <v>557</v>
      </c>
      <c r="C24584" s="16" t="n">
        <f aca="false">IF(C24573&gt;0,MIN(C24551,C24573*$C$24548),0)</f>
        <v>91.30725</v>
      </c>
    </row>
    <row r="24585" customFormat="false" ht="15" hidden="false" customHeight="false" outlineLevel="0" collapsed="false">
      <c r="A24585" s="3" t="s">
        <v>558</v>
      </c>
      <c r="C24585" s="16" t="n">
        <f aca="false">IF(C24574&gt;0,MIN(C24552,C24574*$C$24548),0)</f>
        <v>58.3715961</v>
      </c>
    </row>
    <row r="24586" customFormat="false" ht="15" hidden="false" customHeight="false" outlineLevel="0" collapsed="false">
      <c r="A24586" s="3" t="s">
        <v>559</v>
      </c>
      <c r="C24586" s="16" t="n">
        <f aca="false">IF(C24575&gt;0,MIN(C24553,C24575*$C$24548),0)</f>
        <v>0</v>
      </c>
    </row>
    <row r="24587" customFormat="false" ht="15" hidden="false" customHeight="false" outlineLevel="0" collapsed="false">
      <c r="A24587" s="3" t="s">
        <v>560</v>
      </c>
      <c r="C24587" s="16" t="n">
        <f aca="false">IF(C24576&gt;0,MIN(C24554,C24576*$C$24548),0)</f>
        <v>0</v>
      </c>
    </row>
    <row r="24588" customFormat="false" ht="15" hidden="false" customHeight="false" outlineLevel="0" collapsed="false">
      <c r="A24588" s="3" t="s">
        <v>561</v>
      </c>
      <c r="C24588" s="16" t="n">
        <f aca="false">IF(C24577&gt;0,MIN(C24555,C24577*$C$24548),0)</f>
        <v>0</v>
      </c>
    </row>
    <row r="24589" customFormat="false" ht="15" hidden="false" customHeight="false" outlineLevel="0" collapsed="false">
      <c r="A24589" s="3" t="s">
        <v>562</v>
      </c>
      <c r="C24589" s="16" t="n">
        <f aca="false">IF(C24578&gt;0,MIN(C24556,C24578*$C$24548),0)</f>
        <v>0</v>
      </c>
    </row>
    <row r="24590" customFormat="false" ht="15" hidden="false" customHeight="false" outlineLevel="0" collapsed="false">
      <c r="A24590" s="3" t="s">
        <v>563</v>
      </c>
      <c r="C24590" s="16" t="n">
        <f aca="false">IF(C24579&gt;0,MIN(C24557,C24579*$C$24548),0)</f>
        <v>0</v>
      </c>
    </row>
    <row r="24591" customFormat="false" ht="15" hidden="false" customHeight="false" outlineLevel="0" collapsed="false">
      <c r="A24591" s="3" t="s">
        <v>564</v>
      </c>
      <c r="C24591" s="16" t="n">
        <f aca="false">IF(C24580&gt;0,MIN(C24558,C24580*$C$24548),0)</f>
        <v>0</v>
      </c>
    </row>
    <row r="24592" customFormat="false" ht="15" hidden="false" customHeight="false" outlineLevel="0" collapsed="false">
      <c r="A24592" s="3" t="s">
        <v>565</v>
      </c>
      <c r="C24592" s="16" t="n">
        <f aca="false">IF(C24581&gt;0,MIN(C24559,C24581*$C$24548),0)</f>
        <v>0</v>
      </c>
    </row>
    <row r="24593" customFormat="false" ht="15" hidden="false" customHeight="false" outlineLevel="0" collapsed="false">
      <c r="A24593" s="24" t="s">
        <v>569</v>
      </c>
      <c r="B24593" s="25"/>
      <c r="C24593" s="25"/>
      <c r="D24593" s="25"/>
      <c r="E24593" s="25"/>
      <c r="F24593" s="25"/>
      <c r="G24593" s="25"/>
      <c r="H24593" s="25"/>
      <c r="I24593" s="25"/>
      <c r="J24593" s="25"/>
      <c r="K24593" s="25"/>
    </row>
    <row r="24594" customFormat="false" ht="15" hidden="false" customHeight="false" outlineLevel="0" collapsed="false">
      <c r="A24594" s="3" t="s">
        <v>556</v>
      </c>
      <c r="C24594" s="16" t="n">
        <f aca="false">IF(C24572&gt;0,C24550-C24583,0)</f>
        <v>0</v>
      </c>
      <c r="G24594" s="21" t="n">
        <f aca="false">IF(AND(G24285=1,G24282=1),1,0)</f>
        <v>0</v>
      </c>
      <c r="H24594" s="21" t="n">
        <f aca="false">IF(G24594=1,1,IF(AND(H24285=1,H24282=1),1,0))</f>
        <v>0</v>
      </c>
      <c r="I24594" s="21" t="n">
        <f aca="false">IF(H24594=1,1,IF(AND(I24285=1,I24282=1),1,0))</f>
        <v>0</v>
      </c>
      <c r="J24594" s="21" t="n">
        <f aca="false">IF(I24594=1,1,IF(AND(J24285=1,J24282=1),1,0))</f>
        <v>0</v>
      </c>
      <c r="K24594" s="21" t="n">
        <f aca="false">IF(J24594=1,1,IF(AND(K24285=1,K24282=1),1,0))</f>
        <v>1</v>
      </c>
    </row>
    <row r="24595" customFormat="false" ht="15" hidden="false" customHeight="false" outlineLevel="0" collapsed="false">
      <c r="A24595" s="3" t="s">
        <v>557</v>
      </c>
      <c r="C24595" s="16" t="n">
        <f aca="false">IF(C24573&gt;0,C24551-C24584,0)</f>
        <v>0</v>
      </c>
      <c r="G24595" s="21" t="n">
        <f aca="false">IF(AND(G24298=1,G24282=1),1,0)</f>
        <v>0</v>
      </c>
      <c r="H24595" s="21" t="n">
        <f aca="false">IF(G24595=1,1,IF(AND(H24298=1,H24282=1),1,0))</f>
        <v>0</v>
      </c>
      <c r="I24595" s="21" t="n">
        <f aca="false">IF(H24595=1,1,IF(AND(I24298=1,I24282=1),1,0))</f>
        <v>0</v>
      </c>
      <c r="J24595" s="21" t="n">
        <f aca="false">IF(I24595=1,1,IF(AND(J24298=1,J24282=1),1,0))</f>
        <v>0</v>
      </c>
      <c r="K24595" s="21" t="n">
        <f aca="false">IF(J24595=1,1,IF(AND(K24298=1,K24282=1),1,0))</f>
        <v>0</v>
      </c>
    </row>
    <row r="24596" customFormat="false" ht="15" hidden="false" customHeight="false" outlineLevel="0" collapsed="false">
      <c r="A24596" s="3" t="s">
        <v>558</v>
      </c>
      <c r="C24596" s="16" t="n">
        <f aca="false">IF(C24574&gt;0,C24552-C24585,0)</f>
        <v>0</v>
      </c>
      <c r="G24596" s="21" t="n">
        <f aca="false">IF(AND(G24311=1,G24282=1),1,0)</f>
        <v>0</v>
      </c>
      <c r="H24596" s="21" t="n">
        <f aca="false">IF(G24596=1,1,IF(AND(H24311=1,H24282=1),1,0))</f>
        <v>0</v>
      </c>
      <c r="I24596" s="21" t="n">
        <f aca="false">IF(H24596=1,1,IF(AND(I24311=1,I24282=1),1,0))</f>
        <v>0</v>
      </c>
      <c r="J24596" s="21" t="n">
        <f aca="false">IF(I24596=1,1,IF(AND(J24311=1,J24282=1),1,0))</f>
        <v>0</v>
      </c>
      <c r="K24596" s="21" t="n">
        <f aca="false">IF(J24596=1,1,IF(AND(K24311=1,K24282=1),1,0))</f>
        <v>0</v>
      </c>
    </row>
    <row r="24597" customFormat="false" ht="15" hidden="false" customHeight="false" outlineLevel="0" collapsed="false">
      <c r="A24597" s="3" t="s">
        <v>559</v>
      </c>
      <c r="C24597" s="16" t="n">
        <f aca="false">IF(C24575&gt;0,C24553-C24586,0)</f>
        <v>0</v>
      </c>
      <c r="G24597" s="21" t="n">
        <f aca="false">IF(AND(G24324=1,G24282=1),1,0)</f>
        <v>1</v>
      </c>
      <c r="H24597" s="21" t="n">
        <f aca="false">IF(G24597=1,1,IF(AND(H24324=1,H24282=1),1,0))</f>
        <v>1</v>
      </c>
      <c r="I24597" s="21" t="n">
        <f aca="false">IF(H24597=1,1,IF(AND(I24324=1,I24282=1),1,0))</f>
        <v>1</v>
      </c>
      <c r="J24597" s="21" t="n">
        <f aca="false">IF(I24597=1,1,IF(AND(J24324=1,J24282=1),1,0))</f>
        <v>1</v>
      </c>
      <c r="K24597" s="21" t="n">
        <f aca="false">IF(J24597=1,1,IF(AND(K24324=1,K24282=1),1,0))</f>
        <v>1</v>
      </c>
    </row>
    <row r="24598" customFormat="false" ht="15" hidden="false" customHeight="false" outlineLevel="0" collapsed="false">
      <c r="A24598" s="3" t="s">
        <v>560</v>
      </c>
      <c r="C24598" s="16" t="n">
        <f aca="false">IF(C24576&gt;0,C24554-C24587,0)</f>
        <v>0</v>
      </c>
      <c r="G24598" s="21" t="n">
        <f aca="false">IF(AND(G24337=1,G24282=1),1,0)</f>
        <v>0</v>
      </c>
      <c r="H24598" s="21" t="n">
        <f aca="false">IF(G24598=1,1,IF(AND(H24337=1,H24282=1),1,0))</f>
        <v>1</v>
      </c>
      <c r="I24598" s="21" t="n">
        <f aca="false">IF(H24598=1,1,IF(AND(I24337=1,I24282=1),1,0))</f>
        <v>1</v>
      </c>
      <c r="J24598" s="21" t="n">
        <f aca="false">IF(I24598=1,1,IF(AND(J24337=1,J24282=1),1,0))</f>
        <v>1</v>
      </c>
      <c r="K24598" s="21" t="n">
        <f aca="false">IF(J24598=1,1,IF(AND(K24337=1,K24282=1),1,0))</f>
        <v>1</v>
      </c>
    </row>
    <row r="24599" customFormat="false" ht="15" hidden="false" customHeight="false" outlineLevel="0" collapsed="false">
      <c r="A24599" s="3" t="s">
        <v>561</v>
      </c>
      <c r="C24599" s="16" t="n">
        <f aca="false">IF(C24577&gt;0,C24555-C24588,0)</f>
        <v>0</v>
      </c>
      <c r="G24599" s="21" t="n">
        <f aca="false">IF(AND(G24350=1,G24282=1),1,0)</f>
        <v>0</v>
      </c>
      <c r="H24599" s="21" t="n">
        <f aca="false">IF(G24599=1,1,IF(AND(H24350=1,H24282=1),1,0))</f>
        <v>1</v>
      </c>
      <c r="I24599" s="21" t="n">
        <f aca="false">IF(H24599=1,1,IF(AND(I24350=1,I24282=1),1,0))</f>
        <v>1</v>
      </c>
      <c r="J24599" s="21" t="n">
        <f aca="false">IF(I24599=1,1,IF(AND(J24350=1,J24282=1),1,0))</f>
        <v>1</v>
      </c>
      <c r="K24599" s="21" t="n">
        <f aca="false">IF(J24599=1,1,IF(AND(K24350=1,K24282=1),1,0))</f>
        <v>1</v>
      </c>
    </row>
    <row r="24600" customFormat="false" ht="15" hidden="false" customHeight="false" outlineLevel="0" collapsed="false">
      <c r="A24600" s="3" t="s">
        <v>562</v>
      </c>
      <c r="C24600" s="16" t="n">
        <f aca="false">IF(C24578&gt;0,C24556-C24589,0)</f>
        <v>0</v>
      </c>
      <c r="G24600" s="21" t="n">
        <f aca="false">IF(AND(G24363=1,G24282=1),1,0)</f>
        <v>0</v>
      </c>
      <c r="H24600" s="21" t="n">
        <f aca="false">IF(G24600=1,1,IF(AND(H24363=1,H24282=1),1,0))</f>
        <v>0</v>
      </c>
      <c r="I24600" s="21" t="n">
        <f aca="false">IF(H24600=1,1,IF(AND(I24363=1,I24282=1),1,0))</f>
        <v>1</v>
      </c>
      <c r="J24600" s="21" t="n">
        <f aca="false">IF(I24600=1,1,IF(AND(J24363=1,J24282=1),1,0))</f>
        <v>1</v>
      </c>
      <c r="K24600" s="21" t="n">
        <f aca="false">IF(J24600=1,1,IF(AND(K24363=1,K24282=1),1,0))</f>
        <v>1</v>
      </c>
    </row>
    <row r="24601" customFormat="false" ht="15" hidden="false" customHeight="false" outlineLevel="0" collapsed="false">
      <c r="A24601" s="3" t="s">
        <v>563</v>
      </c>
      <c r="C24601" s="16" t="n">
        <f aca="false">IF(C24579&gt;0,C24557-C24590,0)</f>
        <v>0</v>
      </c>
      <c r="G24601" s="21" t="n">
        <f aca="false">IF(AND(G24376=1,G24282=1),1,0)</f>
        <v>0</v>
      </c>
      <c r="H24601" s="21" t="n">
        <f aca="false">IF(G24601=1,1,IF(AND(H24376=1,H24282=1),1,0))</f>
        <v>0</v>
      </c>
      <c r="I24601" s="21" t="n">
        <f aca="false">IF(H24601=1,1,IF(AND(I24376=1,I24282=1),1,0))</f>
        <v>0</v>
      </c>
      <c r="J24601" s="21" t="n">
        <f aca="false">IF(I24601=1,1,IF(AND(J24376=1,J24282=1),1,0))</f>
        <v>1</v>
      </c>
      <c r="K24601" s="21" t="n">
        <f aca="false">IF(J24601=1,1,IF(AND(K24376=1,K24282=1),1,0))</f>
        <v>1</v>
      </c>
    </row>
    <row r="24602" customFormat="false" ht="15" hidden="false" customHeight="false" outlineLevel="0" collapsed="false">
      <c r="A24602" s="3" t="s">
        <v>564</v>
      </c>
      <c r="C24602" s="16" t="n">
        <f aca="false">IF(C24580&gt;0,C24558-C24591,0)</f>
        <v>0</v>
      </c>
      <c r="G24602" s="21" t="n">
        <f aca="false">IF(AND(G24389=1,G24282=1),1,0)</f>
        <v>0</v>
      </c>
      <c r="H24602" s="21" t="n">
        <f aca="false">IF(G24602=1,1,IF(AND(H24389=1,H24282=1),1,0))</f>
        <v>0</v>
      </c>
      <c r="I24602" s="21" t="n">
        <f aca="false">IF(H24602=1,1,IF(AND(I24389=1,I24282=1),1,0))</f>
        <v>0</v>
      </c>
      <c r="J24602" s="21" t="n">
        <f aca="false">IF(I24602=1,1,IF(AND(J24389=1,J24282=1),1,0))</f>
        <v>0</v>
      </c>
      <c r="K24602" s="21" t="n">
        <f aca="false">IF(J24602=1,1,IF(AND(K24389=1,K24282=1),1,0))</f>
        <v>1</v>
      </c>
    </row>
    <row r="24603" customFormat="false" ht="15" hidden="false" customHeight="false" outlineLevel="0" collapsed="false">
      <c r="A24603" s="3" t="s">
        <v>565</v>
      </c>
      <c r="C24603" s="16" t="n">
        <f aca="false">IF(C24581&gt;0,C24559-C24592,0)</f>
        <v>0</v>
      </c>
      <c r="G24603" s="21" t="n">
        <f aca="false">IF(AND(G24402=1,G24282=1),1,0)</f>
        <v>0</v>
      </c>
      <c r="H24603" s="21" t="n">
        <f aca="false">IF(G24603=1,1,IF(AND(H24402=1,H24282=1),1,0))</f>
        <v>0</v>
      </c>
      <c r="I24603" s="21" t="n">
        <f aca="false">IF(H24603=1,1,IF(AND(I24402=1,I24282=1),1,0))</f>
        <v>0</v>
      </c>
      <c r="J24603" s="21" t="n">
        <f aca="false">IF(I24603=1,1,IF(AND(J24402=1,J24282=1),1,0))</f>
        <v>0</v>
      </c>
      <c r="K24603" s="21" t="n">
        <f aca="false">IF(J24603=1,1,IF(AND(K24402=1,K24282=1),1,0))</f>
        <v>0</v>
      </c>
    </row>
    <row r="24604" customFormat="false" ht="15" hidden="false" customHeight="false" outlineLevel="0" collapsed="false">
      <c r="A24604" s="24" t="s">
        <v>570</v>
      </c>
      <c r="B24604" s="25"/>
      <c r="C24604" s="25"/>
      <c r="D24604" s="25"/>
      <c r="E24604" s="25"/>
      <c r="F24604" s="25"/>
      <c r="G24604" s="25"/>
      <c r="H24604" s="25"/>
      <c r="I24604" s="25"/>
      <c r="J24604" s="25"/>
      <c r="K24604" s="25"/>
    </row>
    <row r="24605" customFormat="false" ht="15" hidden="false" customHeight="false" outlineLevel="0" collapsed="false">
      <c r="A24605" s="3" t="s">
        <v>556</v>
      </c>
      <c r="C24605" s="16" t="n">
        <f aca="false">IF(C24572&gt;0,C24594,C24550)</f>
        <v>0</v>
      </c>
    </row>
    <row r="24606" customFormat="false" ht="15" hidden="false" customHeight="false" outlineLevel="0" collapsed="false">
      <c r="A24606" s="3" t="s">
        <v>557</v>
      </c>
      <c r="C24606" s="16" t="n">
        <f aca="false">IF(C24573&gt;0,C24595,C24551)</f>
        <v>0</v>
      </c>
    </row>
    <row r="24607" customFormat="false" ht="15" hidden="false" customHeight="false" outlineLevel="0" collapsed="false">
      <c r="A24607" s="3" t="s">
        <v>558</v>
      </c>
      <c r="C24607" s="16" t="n">
        <f aca="false">IF(C24574&gt;0,C24596,C24552)</f>
        <v>0</v>
      </c>
    </row>
    <row r="24608" customFormat="false" ht="15" hidden="false" customHeight="false" outlineLevel="0" collapsed="false">
      <c r="A24608" s="3" t="s">
        <v>559</v>
      </c>
      <c r="C24608" s="16" t="n">
        <f aca="false">IF(C24575&gt;0,C24597,C24553)</f>
        <v>0</v>
      </c>
    </row>
    <row r="24609" customFormat="false" ht="15" hidden="false" customHeight="false" outlineLevel="0" collapsed="false">
      <c r="A24609" s="3" t="s">
        <v>560</v>
      </c>
      <c r="C24609" s="16" t="n">
        <f aca="false">IF(C24576&gt;0,C24598,C24554)</f>
        <v>454.44375</v>
      </c>
    </row>
    <row r="24610" customFormat="false" ht="15" hidden="false" customHeight="false" outlineLevel="0" collapsed="false">
      <c r="A24610" s="3" t="s">
        <v>561</v>
      </c>
      <c r="C24610" s="16" t="n">
        <f aca="false">IF(C24577&gt;0,C24599,C24555)</f>
        <v>357.2625</v>
      </c>
    </row>
    <row r="24611" customFormat="false" ht="15" hidden="false" customHeight="false" outlineLevel="0" collapsed="false">
      <c r="A24611" s="3" t="s">
        <v>562</v>
      </c>
      <c r="C24611" s="16" t="n">
        <f aca="false">IF(C24578&gt;0,C24600,C24556)</f>
        <v>562.203125</v>
      </c>
    </row>
    <row r="24612" customFormat="false" ht="15" hidden="false" customHeight="false" outlineLevel="0" collapsed="false">
      <c r="A24612" s="3" t="s">
        <v>563</v>
      </c>
      <c r="C24612" s="16" t="n">
        <f aca="false">IF(C24579&gt;0,C24601,C24557)</f>
        <v>353.98125</v>
      </c>
    </row>
    <row r="24613" customFormat="false" ht="15" hidden="false" customHeight="false" outlineLevel="0" collapsed="false">
      <c r="A24613" s="3" t="s">
        <v>564</v>
      </c>
      <c r="C24613" s="16" t="n">
        <f aca="false">IF(C24580&gt;0,C24602,C24558)</f>
        <v>304.59375</v>
      </c>
    </row>
    <row r="24614" customFormat="false" ht="15" hidden="false" customHeight="false" outlineLevel="0" collapsed="false">
      <c r="A24614" s="3" t="s">
        <v>565</v>
      </c>
      <c r="C24614" s="16" t="n">
        <f aca="false">IF(C24581&gt;0,C24603,C24559)</f>
        <v>80.06625025</v>
      </c>
    </row>
    <row r="24615" customFormat="false" ht="15" hidden="false" customHeight="false" outlineLevel="0" collapsed="false">
      <c r="A24615" s="24" t="s">
        <v>571</v>
      </c>
      <c r="B24615" s="25"/>
      <c r="C24615" s="25"/>
      <c r="D24615" s="25"/>
      <c r="E24615" s="25"/>
      <c r="F24615" s="25"/>
      <c r="G24615" s="25"/>
      <c r="H24615" s="25"/>
      <c r="I24615" s="25"/>
      <c r="J24615" s="25"/>
      <c r="K24615" s="25"/>
    </row>
    <row r="24616" customFormat="false" ht="15" hidden="false" customHeight="false" outlineLevel="0" collapsed="false">
      <c r="A24616" s="3" t="s">
        <v>556</v>
      </c>
      <c r="C24616" s="21" t="n">
        <f aca="false">IF(C24572&gt;0,Assumptions!$C$17,C24561)</f>
        <v>99</v>
      </c>
    </row>
    <row r="24617" customFormat="false" ht="15" hidden="false" customHeight="false" outlineLevel="0" collapsed="false">
      <c r="A24617" s="3" t="s">
        <v>557</v>
      </c>
      <c r="C24617" s="21" t="n">
        <f aca="false">IF(C24573&gt;0,Assumptions!$C$17,C24562)</f>
        <v>99</v>
      </c>
    </row>
    <row r="24618" customFormat="false" ht="15" hidden="false" customHeight="false" outlineLevel="0" collapsed="false">
      <c r="A24618" s="3" t="s">
        <v>558</v>
      </c>
      <c r="C24618" s="21" t="n">
        <f aca="false">IF(C24574&gt;0,Assumptions!$C$17,C24563)</f>
        <v>99</v>
      </c>
    </row>
    <row r="24619" customFormat="false" ht="15" hidden="false" customHeight="false" outlineLevel="0" collapsed="false">
      <c r="A24619" s="3" t="s">
        <v>559</v>
      </c>
      <c r="C24619" s="21" t="n">
        <f aca="false">IF(C24575&gt;0,Assumptions!$C$17,C24564)</f>
        <v>2</v>
      </c>
    </row>
    <row r="24620" customFormat="false" ht="15" hidden="false" customHeight="false" outlineLevel="0" collapsed="false">
      <c r="A24620" s="3" t="s">
        <v>560</v>
      </c>
      <c r="C24620" s="21" t="n">
        <f aca="false">IF(C24576&gt;0,Assumptions!$C$17,C24565)</f>
        <v>2</v>
      </c>
    </row>
    <row r="24621" customFormat="false" ht="15" hidden="false" customHeight="false" outlineLevel="0" collapsed="false">
      <c r="A24621" s="3" t="s">
        <v>561</v>
      </c>
      <c r="C24621" s="21" t="n">
        <f aca="false">IF(C24577&gt;0,Assumptions!$C$17,C24566)</f>
        <v>2</v>
      </c>
    </row>
    <row r="24622" customFormat="false" ht="15" hidden="false" customHeight="false" outlineLevel="0" collapsed="false">
      <c r="A24622" s="3" t="s">
        <v>562</v>
      </c>
      <c r="C24622" s="21" t="n">
        <f aca="false">IF(C24578&gt;0,Assumptions!$C$17,C24567)</f>
        <v>2</v>
      </c>
    </row>
    <row r="24623" customFormat="false" ht="15" hidden="false" customHeight="false" outlineLevel="0" collapsed="false">
      <c r="A24623" s="3" t="s">
        <v>563</v>
      </c>
      <c r="C24623" s="21" t="n">
        <f aca="false">IF(C24579&gt;0,Assumptions!$C$17,C24568)</f>
        <v>2</v>
      </c>
    </row>
    <row r="24624" customFormat="false" ht="15" hidden="false" customHeight="false" outlineLevel="0" collapsed="false">
      <c r="A24624" s="3" t="s">
        <v>564</v>
      </c>
      <c r="C24624" s="21" t="n">
        <f aca="false">IF(C24580&gt;0,Assumptions!$C$17,C24569)</f>
        <v>2</v>
      </c>
    </row>
    <row r="24625" customFormat="false" ht="15" hidden="false" customHeight="false" outlineLevel="0" collapsed="false">
      <c r="A24625" s="3" t="s">
        <v>565</v>
      </c>
      <c r="C24625" s="21" t="n">
        <f aca="false">IF(C24581&gt;0,Assumptions!$C$17,C24570)</f>
        <v>3</v>
      </c>
    </row>
    <row r="24626" customFormat="false" ht="15" hidden="false" customHeight="false" outlineLevel="0" collapsed="false">
      <c r="A24626" s="24" t="s">
        <v>572</v>
      </c>
      <c r="B24626" s="25"/>
      <c r="C24626" s="25"/>
      <c r="D24626" s="25"/>
      <c r="E24626" s="25"/>
      <c r="F24626" s="25"/>
      <c r="G24626" s="25"/>
      <c r="H24626" s="25"/>
      <c r="I24626" s="25"/>
      <c r="J24626" s="25"/>
      <c r="K24626" s="25"/>
    </row>
    <row r="24627" customFormat="false" ht="15" hidden="false" customHeight="false" outlineLevel="0" collapsed="false">
      <c r="A24627" s="3" t="s">
        <v>556</v>
      </c>
      <c r="C24627" s="16" t="n">
        <f aca="false">SUMPRODUCT(($C$24616:$C$24625&lt;C24616)*$C$24605:$C$24614)</f>
        <v>2112.55062525</v>
      </c>
    </row>
    <row r="24628" customFormat="false" ht="15" hidden="false" customHeight="false" outlineLevel="0" collapsed="false">
      <c r="A24628" s="3" t="s">
        <v>557</v>
      </c>
      <c r="C24628" s="16" t="n">
        <f aca="false">SUMPRODUCT(($C$24616:$C$24625&lt;C24617)*$C$24605:$C$24614)</f>
        <v>2112.55062525</v>
      </c>
    </row>
    <row r="24629" customFormat="false" ht="15" hidden="false" customHeight="false" outlineLevel="0" collapsed="false">
      <c r="A24629" s="3" t="s">
        <v>558</v>
      </c>
      <c r="C24629" s="16" t="n">
        <f aca="false">SUMPRODUCT(($C$24616:$C$24625&lt;C24618)*$C$24605:$C$24614)</f>
        <v>2112.55062525</v>
      </c>
    </row>
    <row r="24630" customFormat="false" ht="15" hidden="false" customHeight="false" outlineLevel="0" collapsed="false">
      <c r="A24630" s="3" t="s">
        <v>559</v>
      </c>
      <c r="C24630" s="16" t="n">
        <f aca="false">SUMPRODUCT(($C$24616:$C$24625&lt;C24619)*$C$24605:$C$24614)</f>
        <v>0</v>
      </c>
    </row>
    <row r="24631" customFormat="false" ht="15" hidden="false" customHeight="false" outlineLevel="0" collapsed="false">
      <c r="A24631" s="3" t="s">
        <v>560</v>
      </c>
      <c r="C24631" s="16" t="n">
        <f aca="false">SUMPRODUCT(($C$24616:$C$24625&lt;C24620)*$C$24605:$C$24614)</f>
        <v>0</v>
      </c>
    </row>
    <row r="24632" customFormat="false" ht="15" hidden="false" customHeight="false" outlineLevel="0" collapsed="false">
      <c r="A24632" s="3" t="s">
        <v>561</v>
      </c>
      <c r="C24632" s="16" t="n">
        <f aca="false">SUMPRODUCT(($C$24616:$C$24625&lt;C24621)*$C$24605:$C$24614)</f>
        <v>0</v>
      </c>
    </row>
    <row r="24633" customFormat="false" ht="15" hidden="false" customHeight="false" outlineLevel="0" collapsed="false">
      <c r="A24633" s="3" t="s">
        <v>562</v>
      </c>
      <c r="C24633" s="16" t="n">
        <f aca="false">SUMPRODUCT(($C$24616:$C$24625&lt;C24622)*$C$24605:$C$24614)</f>
        <v>0</v>
      </c>
    </row>
    <row r="24634" customFormat="false" ht="15" hidden="false" customHeight="false" outlineLevel="0" collapsed="false">
      <c r="A24634" s="3" t="s">
        <v>563</v>
      </c>
      <c r="C24634" s="16" t="n">
        <f aca="false">SUMPRODUCT(($C$24616:$C$24625&lt;C24623)*$C$24605:$C$24614)</f>
        <v>0</v>
      </c>
    </row>
    <row r="24635" customFormat="false" ht="15" hidden="false" customHeight="false" outlineLevel="0" collapsed="false">
      <c r="A24635" s="3" t="s">
        <v>564</v>
      </c>
      <c r="C24635" s="16" t="n">
        <f aca="false">SUMPRODUCT(($C$24616:$C$24625&lt;C24624)*$C$24605:$C$24614)</f>
        <v>0</v>
      </c>
    </row>
    <row r="24636" customFormat="false" ht="15" hidden="false" customHeight="false" outlineLevel="0" collapsed="false">
      <c r="A24636" s="3" t="s">
        <v>565</v>
      </c>
      <c r="C24636" s="16" t="n">
        <f aca="false">SUMPRODUCT(($C$24616:$C$24625&lt;C24625)*$C$24605:$C$24614)</f>
        <v>2032.484375</v>
      </c>
    </row>
    <row r="24637" customFormat="false" ht="15" hidden="false" customHeight="false" outlineLevel="0" collapsed="false">
      <c r="A24637" s="24" t="s">
        <v>573</v>
      </c>
      <c r="B24637" s="25"/>
      <c r="C24637" s="25"/>
      <c r="D24637" s="25"/>
      <c r="E24637" s="25"/>
      <c r="F24637" s="25"/>
      <c r="G24637" s="25"/>
      <c r="H24637" s="25"/>
      <c r="I24637" s="25"/>
      <c r="J24637" s="25"/>
      <c r="K24637" s="25"/>
    </row>
    <row r="24638" customFormat="false" ht="15" hidden="false" customHeight="false" outlineLevel="0" collapsed="false">
      <c r="A24638" s="3" t="s">
        <v>556</v>
      </c>
      <c r="C24638" s="16" t="n">
        <f aca="false">SUMPRODUCT(($C$24616:$C$24625=C24616)*$C$24605:$C$24614)</f>
        <v>0</v>
      </c>
    </row>
    <row r="24639" customFormat="false" ht="15" hidden="false" customHeight="false" outlineLevel="0" collapsed="false">
      <c r="A24639" s="3" t="s">
        <v>557</v>
      </c>
      <c r="C24639" s="16" t="n">
        <f aca="false">SUMPRODUCT(($C$24616:$C$24625=C24617)*$C$24605:$C$24614)</f>
        <v>0</v>
      </c>
    </row>
    <row r="24640" customFormat="false" ht="15" hidden="false" customHeight="false" outlineLevel="0" collapsed="false">
      <c r="A24640" s="3" t="s">
        <v>558</v>
      </c>
      <c r="C24640" s="16" t="n">
        <f aca="false">SUMPRODUCT(($C$24616:$C$24625=C24618)*$C$24605:$C$24614)</f>
        <v>0</v>
      </c>
    </row>
    <row r="24641" customFormat="false" ht="15" hidden="false" customHeight="false" outlineLevel="0" collapsed="false">
      <c r="A24641" s="3" t="s">
        <v>559</v>
      </c>
      <c r="C24641" s="16" t="n">
        <f aca="false">SUMPRODUCT(($C$24616:$C$24625=C24619)*$C$24605:$C$24614)</f>
        <v>2032.484375</v>
      </c>
    </row>
    <row r="24642" customFormat="false" ht="15" hidden="false" customHeight="false" outlineLevel="0" collapsed="false">
      <c r="A24642" s="3" t="s">
        <v>560</v>
      </c>
      <c r="C24642" s="16" t="n">
        <f aca="false">SUMPRODUCT(($C$24616:$C$24625=C24620)*$C$24605:$C$24614)</f>
        <v>2032.484375</v>
      </c>
    </row>
    <row r="24643" customFormat="false" ht="15" hidden="false" customHeight="false" outlineLevel="0" collapsed="false">
      <c r="A24643" s="3" t="s">
        <v>561</v>
      </c>
      <c r="C24643" s="16" t="n">
        <f aca="false">SUMPRODUCT(($C$24616:$C$24625=C24621)*$C$24605:$C$24614)</f>
        <v>2032.484375</v>
      </c>
    </row>
    <row r="24644" customFormat="false" ht="15" hidden="false" customHeight="false" outlineLevel="0" collapsed="false">
      <c r="A24644" s="3" t="s">
        <v>562</v>
      </c>
      <c r="C24644" s="16" t="n">
        <f aca="false">SUMPRODUCT(($C$24616:$C$24625=C24622)*$C$24605:$C$24614)</f>
        <v>2032.484375</v>
      </c>
    </row>
    <row r="24645" customFormat="false" ht="15" hidden="false" customHeight="false" outlineLevel="0" collapsed="false">
      <c r="A24645" s="3" t="s">
        <v>563</v>
      </c>
      <c r="C24645" s="16" t="n">
        <f aca="false">SUMPRODUCT(($C$24616:$C$24625=C24623)*$C$24605:$C$24614)</f>
        <v>2032.484375</v>
      </c>
    </row>
    <row r="24646" customFormat="false" ht="15" hidden="false" customHeight="false" outlineLevel="0" collapsed="false">
      <c r="A24646" s="3" t="s">
        <v>564</v>
      </c>
      <c r="C24646" s="16" t="n">
        <f aca="false">SUMPRODUCT(($C$24616:$C$24625=C24624)*$C$24605:$C$24614)</f>
        <v>2032.484375</v>
      </c>
    </row>
    <row r="24647" customFormat="false" ht="15" hidden="false" customHeight="false" outlineLevel="0" collapsed="false">
      <c r="A24647" s="3" t="s">
        <v>565</v>
      </c>
      <c r="C24647" s="16" t="n">
        <f aca="false">SUMPRODUCT(($C$24616:$C$24625=C24625)*$C$24605:$C$24614)</f>
        <v>80.06625025</v>
      </c>
    </row>
    <row r="24648" customFormat="false" ht="15" hidden="false" customHeight="false" outlineLevel="0" collapsed="false">
      <c r="A24648" s="24" t="s">
        <v>574</v>
      </c>
      <c r="B24648" s="25"/>
      <c r="C24648" s="25"/>
      <c r="D24648" s="25"/>
      <c r="E24648" s="25"/>
      <c r="F24648" s="25"/>
      <c r="G24648" s="25"/>
      <c r="H24648" s="25"/>
      <c r="I24648" s="25"/>
      <c r="J24648" s="25"/>
      <c r="K24648" s="25"/>
    </row>
    <row r="24649" customFormat="false" ht="15" hidden="false" customHeight="false" outlineLevel="0" collapsed="false">
      <c r="A24649" s="3" t="s">
        <v>556</v>
      </c>
      <c r="C24649" s="16" t="n">
        <f aca="false">IF(C24638=0,0,C24605/C24638*MAX(0,MIN(C24638,$C$24548-SUM($C$24583:$C$24592)-C24627)))</f>
        <v>0</v>
      </c>
    </row>
    <row r="24650" customFormat="false" ht="15" hidden="false" customHeight="false" outlineLevel="0" collapsed="false">
      <c r="A24650" s="3" t="s">
        <v>557</v>
      </c>
      <c r="C24650" s="16" t="n">
        <f aca="false">IF(C24639=0,0,C24606/C24639*MAX(0,MIN(C24639,$C$24548-SUM($C$24583:$C$24592)-C24628)))</f>
        <v>0</v>
      </c>
    </row>
    <row r="24651" customFormat="false" ht="15" hidden="false" customHeight="false" outlineLevel="0" collapsed="false">
      <c r="A24651" s="3" t="s">
        <v>558</v>
      </c>
      <c r="C24651" s="16" t="n">
        <f aca="false">IF(C24640=0,0,C24607/C24640*MAX(0,MIN(C24640,$C$24548-SUM($C$24583:$C$24592)-C24629)))</f>
        <v>0</v>
      </c>
    </row>
    <row r="24652" customFormat="false" ht="15" hidden="false" customHeight="false" outlineLevel="0" collapsed="false">
      <c r="A24652" s="3" t="s">
        <v>559</v>
      </c>
      <c r="C24652" s="16" t="n">
        <f aca="false">IF(C24641=0,0,C24608/C24641*MAX(0,MIN(C24641,$C$24548-SUM($C$24583:$C$24592)-C24630)))</f>
        <v>0</v>
      </c>
    </row>
    <row r="24653" customFormat="false" ht="15" hidden="false" customHeight="false" outlineLevel="0" collapsed="false">
      <c r="A24653" s="3" t="s">
        <v>560</v>
      </c>
      <c r="C24653" s="16" t="n">
        <f aca="false">IF(C24642=0,0,C24609/C24642*MAX(0,MIN(C24642,$C$24548-SUM($C$24583:$C$24592)-C24631)))</f>
        <v>454.44375</v>
      </c>
    </row>
    <row r="24654" customFormat="false" ht="15" hidden="false" customHeight="false" outlineLevel="0" collapsed="false">
      <c r="A24654" s="3" t="s">
        <v>561</v>
      </c>
      <c r="C24654" s="16" t="n">
        <f aca="false">IF(C24643=0,0,C24610/C24643*MAX(0,MIN(C24643,$C$24548-SUM($C$24583:$C$24592)-C24632)))</f>
        <v>357.2625</v>
      </c>
    </row>
    <row r="24655" customFormat="false" ht="15" hidden="false" customHeight="false" outlineLevel="0" collapsed="false">
      <c r="A24655" s="3" t="s">
        <v>562</v>
      </c>
      <c r="C24655" s="16" t="n">
        <f aca="false">IF(C24644=0,0,C24611/C24644*MAX(0,MIN(C24644,$C$24548-SUM($C$24583:$C$24592)-C24633)))</f>
        <v>562.203125</v>
      </c>
    </row>
    <row r="24656" customFormat="false" ht="15" hidden="false" customHeight="false" outlineLevel="0" collapsed="false">
      <c r="A24656" s="3" t="s">
        <v>563</v>
      </c>
      <c r="C24656" s="16" t="n">
        <f aca="false">IF(C24645=0,0,C24612/C24645*MAX(0,MIN(C24645,$C$24548-SUM($C$24583:$C$24592)-C24634)))</f>
        <v>353.98125</v>
      </c>
    </row>
    <row r="24657" customFormat="false" ht="15" hidden="false" customHeight="false" outlineLevel="0" collapsed="false">
      <c r="A24657" s="3" t="s">
        <v>564</v>
      </c>
      <c r="C24657" s="16" t="n">
        <f aca="false">IF(C24646=0,0,C24613/C24646*MAX(0,MIN(C24646,$C$24548-SUM($C$24583:$C$24592)-C24635)))</f>
        <v>304.59375</v>
      </c>
    </row>
    <row r="24658" customFormat="false" ht="15" hidden="false" customHeight="false" outlineLevel="0" collapsed="false">
      <c r="A24658" s="3" t="s">
        <v>565</v>
      </c>
      <c r="C24658" s="16" t="n">
        <f aca="false">IF(C24647=0,0,C24614/C24647*MAX(0,MIN(C24647,$C$24548-SUM($C$24583:$C$24592)-C24636)))</f>
        <v>80.06625025</v>
      </c>
    </row>
    <row r="24659" customFormat="false" ht="15" hidden="false" customHeight="false" outlineLevel="0" collapsed="false">
      <c r="A24659" s="24" t="s">
        <v>575</v>
      </c>
      <c r="B24659" s="25"/>
      <c r="C24659" s="25"/>
      <c r="D24659" s="25"/>
      <c r="E24659" s="25"/>
      <c r="F24659" s="25"/>
      <c r="G24659" s="25"/>
      <c r="H24659" s="25"/>
      <c r="I24659" s="25"/>
      <c r="J24659" s="25"/>
      <c r="K24659" s="25"/>
    </row>
    <row r="24660" customFormat="false" ht="15" hidden="false" customHeight="false" outlineLevel="0" collapsed="false">
      <c r="A24660" s="2" t="s">
        <v>556</v>
      </c>
      <c r="C24660" s="17" t="n">
        <f aca="false">C24583+C24649</f>
        <v>407.0385</v>
      </c>
    </row>
    <row r="24661" customFormat="false" ht="15" hidden="false" customHeight="false" outlineLevel="0" collapsed="false">
      <c r="A24661" s="2" t="s">
        <v>557</v>
      </c>
      <c r="C24661" s="17" t="n">
        <f aca="false">C24584+C24650</f>
        <v>91.30725</v>
      </c>
    </row>
    <row r="24662" customFormat="false" ht="15" hidden="false" customHeight="false" outlineLevel="0" collapsed="false">
      <c r="A24662" s="2" t="s">
        <v>558</v>
      </c>
      <c r="C24662" s="17" t="n">
        <f aca="false">C24585+C24651</f>
        <v>58.3715961</v>
      </c>
    </row>
    <row r="24663" customFormat="false" ht="15" hidden="false" customHeight="false" outlineLevel="0" collapsed="false">
      <c r="A24663" s="2" t="s">
        <v>559</v>
      </c>
      <c r="C24663" s="17" t="n">
        <f aca="false">C24586+C24652</f>
        <v>0</v>
      </c>
    </row>
    <row r="24664" customFormat="false" ht="15" hidden="false" customHeight="false" outlineLevel="0" collapsed="false">
      <c r="A24664" s="2" t="s">
        <v>560</v>
      </c>
      <c r="C24664" s="17" t="n">
        <f aca="false">C24587+C24653</f>
        <v>454.44375</v>
      </c>
    </row>
    <row r="24665" customFormat="false" ht="15" hidden="false" customHeight="false" outlineLevel="0" collapsed="false">
      <c r="A24665" s="2" t="s">
        <v>561</v>
      </c>
      <c r="C24665" s="17" t="n">
        <f aca="false">C24588+C24654</f>
        <v>357.2625</v>
      </c>
    </row>
    <row r="24666" customFormat="false" ht="15" hidden="false" customHeight="false" outlineLevel="0" collapsed="false">
      <c r="A24666" s="2" t="s">
        <v>562</v>
      </c>
      <c r="C24666" s="17" t="n">
        <f aca="false">C24589+C24655</f>
        <v>562.203125</v>
      </c>
    </row>
    <row r="24667" customFormat="false" ht="15" hidden="false" customHeight="false" outlineLevel="0" collapsed="false">
      <c r="A24667" s="2" t="s">
        <v>563</v>
      </c>
      <c r="C24667" s="17" t="n">
        <f aca="false">C24590+C24656</f>
        <v>353.98125</v>
      </c>
    </row>
    <row r="24668" customFormat="false" ht="15" hidden="false" customHeight="false" outlineLevel="0" collapsed="false">
      <c r="A24668" s="2" t="s">
        <v>564</v>
      </c>
      <c r="C24668" s="17" t="n">
        <f aca="false">C24591+C24657</f>
        <v>304.59375</v>
      </c>
    </row>
    <row r="24669" customFormat="false" ht="15" hidden="false" customHeight="false" outlineLevel="0" collapsed="false">
      <c r="A24669" s="2" t="s">
        <v>565</v>
      </c>
      <c r="C24669" s="17" t="n">
        <f aca="false">C24592+C24658</f>
        <v>80.06625025</v>
      </c>
    </row>
    <row r="24670" customFormat="false" ht="15" hidden="false" customHeight="false" outlineLevel="0" collapsed="false">
      <c r="A24670" s="24" t="s">
        <v>576</v>
      </c>
      <c r="B24670" s="25"/>
      <c r="C24670" s="25"/>
      <c r="D24670" s="25"/>
      <c r="E24670" s="25"/>
      <c r="F24670" s="25"/>
      <c r="G24670" s="25"/>
      <c r="H24670" s="25"/>
      <c r="I24670" s="25"/>
      <c r="J24670" s="25"/>
      <c r="K24670" s="25"/>
    </row>
    <row r="24671" customFormat="false" ht="15" hidden="false" customHeight="false" outlineLevel="0" collapsed="false">
      <c r="A24671" s="3" t="s">
        <v>556</v>
      </c>
      <c r="C24671" s="22" t="n">
        <f aca="false">IF(C24550=0,1,C24660/C24550)</f>
        <v>1</v>
      </c>
    </row>
    <row r="24672" customFormat="false" ht="15" hidden="false" customHeight="false" outlineLevel="0" collapsed="false">
      <c r="A24672" s="3" t="s">
        <v>557</v>
      </c>
      <c r="C24672" s="22" t="n">
        <f aca="false">IF(C24551=0,1,C24661/C24551)</f>
        <v>1</v>
      </c>
    </row>
    <row r="24673" customFormat="false" ht="15" hidden="false" customHeight="false" outlineLevel="0" collapsed="false">
      <c r="A24673" s="3" t="s">
        <v>558</v>
      </c>
      <c r="C24673" s="22" t="n">
        <f aca="false">IF(C24552=0,1,C24662/C24552)</f>
        <v>1</v>
      </c>
    </row>
    <row r="24674" customFormat="false" ht="15" hidden="false" customHeight="false" outlineLevel="0" collapsed="false">
      <c r="A24674" s="3" t="s">
        <v>559</v>
      </c>
      <c r="C24674" s="22" t="n">
        <f aca="false">IF(C24553=0,1,C24663/C24553)</f>
        <v>1</v>
      </c>
    </row>
    <row r="24675" customFormat="false" ht="15" hidden="false" customHeight="false" outlineLevel="0" collapsed="false">
      <c r="A24675" s="3" t="s">
        <v>560</v>
      </c>
      <c r="C24675" s="22" t="n">
        <f aca="false">IF(C24554=0,1,C24664/C24554)</f>
        <v>1</v>
      </c>
    </row>
    <row r="24676" customFormat="false" ht="15" hidden="false" customHeight="false" outlineLevel="0" collapsed="false">
      <c r="A24676" s="3" t="s">
        <v>561</v>
      </c>
      <c r="C24676" s="22" t="n">
        <f aca="false">IF(C24555=0,1,C24665/C24555)</f>
        <v>1</v>
      </c>
    </row>
    <row r="24677" customFormat="false" ht="15" hidden="false" customHeight="false" outlineLevel="0" collapsed="false">
      <c r="A24677" s="3" t="s">
        <v>562</v>
      </c>
      <c r="C24677" s="22" t="n">
        <f aca="false">IF(C24556=0,1,C24666/C24556)</f>
        <v>1</v>
      </c>
    </row>
    <row r="24678" customFormat="false" ht="15" hidden="false" customHeight="false" outlineLevel="0" collapsed="false">
      <c r="A24678" s="3" t="s">
        <v>563</v>
      </c>
      <c r="C24678" s="22" t="n">
        <f aca="false">IF(C24557=0,1,C24667/C24557)</f>
        <v>1</v>
      </c>
    </row>
    <row r="24679" customFormat="false" ht="15" hidden="false" customHeight="false" outlineLevel="0" collapsed="false">
      <c r="A24679" s="3" t="s">
        <v>564</v>
      </c>
      <c r="C24679" s="22" t="n">
        <f aca="false">IF(C24558=0,1,C24668/C24558)</f>
        <v>1</v>
      </c>
    </row>
    <row r="24680" customFormat="false" ht="15" hidden="false" customHeight="false" outlineLevel="0" collapsed="false">
      <c r="A24680" s="3" t="s">
        <v>565</v>
      </c>
      <c r="C24680" s="22" t="n">
        <f aca="false">IF(C24559=0,1,C24669/C24559)</f>
        <v>1</v>
      </c>
    </row>
    <row r="24681" customFormat="false" ht="15" hidden="false" customHeight="false" outlineLevel="0" collapsed="false">
      <c r="A24681" s="24" t="s">
        <v>577</v>
      </c>
      <c r="B24681" s="25"/>
      <c r="C24681" s="25"/>
      <c r="D24681" s="25"/>
      <c r="E24681" s="25"/>
      <c r="F24681" s="25"/>
      <c r="G24681" s="25"/>
      <c r="H24681" s="25"/>
      <c r="I24681" s="25"/>
      <c r="J24681" s="25"/>
      <c r="K24681" s="25"/>
    </row>
    <row r="24682" customFormat="false" ht="15" hidden="false" customHeight="false" outlineLevel="0" collapsed="false">
      <c r="A24682" s="3" t="s">
        <v>556</v>
      </c>
      <c r="C24682" s="16" t="n">
        <f aca="false">C24550-C24660</f>
        <v>0</v>
      </c>
    </row>
    <row r="24683" customFormat="false" ht="15" hidden="false" customHeight="false" outlineLevel="0" collapsed="false">
      <c r="A24683" s="3" t="s">
        <v>557</v>
      </c>
      <c r="C24683" s="16" t="n">
        <f aca="false">C24551-C24661</f>
        <v>0</v>
      </c>
    </row>
    <row r="24684" customFormat="false" ht="15" hidden="false" customHeight="false" outlineLevel="0" collapsed="false">
      <c r="A24684" s="3" t="s">
        <v>558</v>
      </c>
      <c r="C24684" s="16" t="n">
        <f aca="false">C24552-C24662</f>
        <v>0</v>
      </c>
    </row>
    <row r="24685" customFormat="false" ht="15" hidden="false" customHeight="false" outlineLevel="0" collapsed="false">
      <c r="A24685" s="3" t="s">
        <v>559</v>
      </c>
      <c r="C24685" s="16" t="n">
        <f aca="false">C24553-C24663</f>
        <v>0</v>
      </c>
    </row>
    <row r="24686" customFormat="false" ht="15" hidden="false" customHeight="false" outlineLevel="0" collapsed="false">
      <c r="A24686" s="3" t="s">
        <v>560</v>
      </c>
      <c r="C24686" s="16" t="n">
        <f aca="false">C24554-C24664</f>
        <v>0</v>
      </c>
    </row>
    <row r="24687" customFormat="false" ht="15" hidden="false" customHeight="false" outlineLevel="0" collapsed="false">
      <c r="A24687" s="3" t="s">
        <v>561</v>
      </c>
      <c r="C24687" s="16" t="n">
        <f aca="false">C24555-C24665</f>
        <v>0</v>
      </c>
    </row>
    <row r="24688" customFormat="false" ht="15" hidden="false" customHeight="false" outlineLevel="0" collapsed="false">
      <c r="A24688" s="3" t="s">
        <v>562</v>
      </c>
      <c r="C24688" s="16" t="n">
        <f aca="false">C24556-C24666</f>
        <v>0</v>
      </c>
    </row>
    <row r="24689" customFormat="false" ht="15" hidden="false" customHeight="false" outlineLevel="0" collapsed="false">
      <c r="A24689" s="3" t="s">
        <v>563</v>
      </c>
      <c r="C24689" s="16" t="n">
        <f aca="false">C24557-C24667</f>
        <v>0</v>
      </c>
    </row>
    <row r="24690" customFormat="false" ht="15" hidden="false" customHeight="false" outlineLevel="0" collapsed="false">
      <c r="A24690" s="3" t="s">
        <v>564</v>
      </c>
      <c r="C24690" s="16" t="n">
        <f aca="false">C24558-C24668</f>
        <v>0</v>
      </c>
    </row>
    <row r="24691" customFormat="false" ht="15" hidden="false" customHeight="false" outlineLevel="0" collapsed="false">
      <c r="A24691" s="3" t="s">
        <v>565</v>
      </c>
      <c r="C24691" s="16" t="n">
        <f aca="false">C24559-C24669</f>
        <v>0</v>
      </c>
    </row>
    <row r="24692" customFormat="false" ht="15" hidden="false" customHeight="false" outlineLevel="0" collapsed="false">
      <c r="A24692" s="24" t="s">
        <v>578</v>
      </c>
      <c r="B24692" s="25"/>
      <c r="C24692" s="25"/>
      <c r="D24692" s="25"/>
      <c r="E24692" s="25"/>
      <c r="F24692" s="25"/>
      <c r="G24692" s="25"/>
      <c r="H24692" s="25"/>
      <c r="I24692" s="25"/>
      <c r="J24692" s="25"/>
      <c r="K24692" s="25"/>
    </row>
    <row r="24693" customFormat="false" ht="15" hidden="false" customHeight="false" outlineLevel="0" collapsed="false">
      <c r="A24693" s="3" t="s">
        <v>556</v>
      </c>
      <c r="C24693" s="22" t="n">
        <f aca="false">IF(C24550=0,0,C24682/C24550)</f>
        <v>0</v>
      </c>
    </row>
    <row r="24694" customFormat="false" ht="15" hidden="false" customHeight="false" outlineLevel="0" collapsed="false">
      <c r="A24694" s="3" t="s">
        <v>557</v>
      </c>
      <c r="C24694" s="22" t="n">
        <f aca="false">IF(C24551=0,0,C24683/C24551)</f>
        <v>0</v>
      </c>
    </row>
    <row r="24695" customFormat="false" ht="15" hidden="false" customHeight="false" outlineLevel="0" collapsed="false">
      <c r="A24695" s="3" t="s">
        <v>558</v>
      </c>
      <c r="C24695" s="22" t="n">
        <f aca="false">IF(C24552=0,0,C24684/C24552)</f>
        <v>0</v>
      </c>
    </row>
    <row r="24696" customFormat="false" ht="15" hidden="false" customHeight="false" outlineLevel="0" collapsed="false">
      <c r="A24696" s="3" t="s">
        <v>559</v>
      </c>
      <c r="C24696" s="22" t="n">
        <f aca="false">IF(C24553=0,0,C24685/C24553)</f>
        <v>0</v>
      </c>
    </row>
    <row r="24697" customFormat="false" ht="15" hidden="false" customHeight="false" outlineLevel="0" collapsed="false">
      <c r="A24697" s="3" t="s">
        <v>560</v>
      </c>
      <c r="C24697" s="22" t="n">
        <f aca="false">IF(C24554=0,0,C24686/C24554)</f>
        <v>0</v>
      </c>
    </row>
    <row r="24698" customFormat="false" ht="15" hidden="false" customHeight="false" outlineLevel="0" collapsed="false">
      <c r="A24698" s="3" t="s">
        <v>561</v>
      </c>
      <c r="C24698" s="22" t="n">
        <f aca="false">IF(C24555=0,0,C24687/C24555)</f>
        <v>0</v>
      </c>
    </row>
    <row r="24699" customFormat="false" ht="15" hidden="false" customHeight="false" outlineLevel="0" collapsed="false">
      <c r="A24699" s="3" t="s">
        <v>562</v>
      </c>
      <c r="C24699" s="22" t="n">
        <f aca="false">IF(C24556=0,0,C24688/C24556)</f>
        <v>0</v>
      </c>
    </row>
    <row r="24700" customFormat="false" ht="15" hidden="false" customHeight="false" outlineLevel="0" collapsed="false">
      <c r="A24700" s="3" t="s">
        <v>563</v>
      </c>
      <c r="C24700" s="22" t="n">
        <f aca="false">IF(C24557=0,0,C24689/C24557)</f>
        <v>0</v>
      </c>
    </row>
    <row r="24701" customFormat="false" ht="15" hidden="false" customHeight="false" outlineLevel="0" collapsed="false">
      <c r="A24701" s="3" t="s">
        <v>564</v>
      </c>
      <c r="C24701" s="22" t="n">
        <f aca="false">IF(C24558=0,0,C24690/C24558)</f>
        <v>0</v>
      </c>
    </row>
    <row r="24702" customFormat="false" ht="15" hidden="false" customHeight="false" outlineLevel="0" collapsed="false">
      <c r="A24702" s="3" t="s">
        <v>565</v>
      </c>
      <c r="C24702" s="22" t="n">
        <f aca="false">IF(C24559=0,0,C24691/C24559)</f>
        <v>0</v>
      </c>
    </row>
    <row r="24703" customFormat="false" ht="15" hidden="false" customHeight="false" outlineLevel="0" collapsed="false">
      <c r="A24703" s="2" t="s">
        <v>579</v>
      </c>
      <c r="C24703" s="17" t="n">
        <f aca="false">MAX(0,$C$24548-SUM($C$24583:$C$24592)-SUM($C$24605:$C$24614))</f>
        <v>1152.302078506</v>
      </c>
    </row>
    <row r="24704" customFormat="false" ht="15" hidden="false" customHeight="false" outlineLevel="0" collapsed="false">
      <c r="A24704" s="3" t="s">
        <v>580</v>
      </c>
      <c r="C24704" s="16" t="n">
        <f aca="false">SUM($C$24660:$C$24669)+C24703+C24547-C24546</f>
        <v>0</v>
      </c>
    </row>
    <row r="24706" customFormat="false" ht="15" hidden="false" customHeight="false" outlineLevel="0" collapsed="false">
      <c r="A24706" s="24" t="s">
        <v>583</v>
      </c>
      <c r="B24706" s="25"/>
      <c r="C24706" s="25"/>
      <c r="D24706" s="25"/>
      <c r="E24706" s="25"/>
      <c r="F24706" s="25"/>
      <c r="G24706" s="25"/>
      <c r="H24706" s="25"/>
      <c r="I24706" s="25"/>
      <c r="J24706" s="25"/>
      <c r="K24706" s="25"/>
    </row>
    <row r="24707" customFormat="false" ht="15" hidden="false" customHeight="false" outlineLevel="0" collapsed="false">
      <c r="A24707" s="3" t="s">
        <v>584</v>
      </c>
      <c r="C24707" s="27" t="n">
        <f aca="false">Assumptions!$C$34</f>
        <v>1</v>
      </c>
    </row>
    <row r="24708" customFormat="false" ht="15" hidden="false" customHeight="false" outlineLevel="0" collapsed="false">
      <c r="A24708" s="3" t="s">
        <v>585</v>
      </c>
      <c r="C24708" s="29" t="n">
        <f aca="false">Assumptions!$C$35</f>
        <v>100</v>
      </c>
    </row>
    <row r="24709" customFormat="false" ht="15" hidden="false" customHeight="false" outlineLevel="0" collapsed="false">
      <c r="A24709" s="3" t="s">
        <v>586</v>
      </c>
      <c r="C24709" s="40" t="n">
        <f aca="false">Assumptions!$C$36</f>
        <v>98</v>
      </c>
    </row>
    <row r="24710" customFormat="false" ht="15" hidden="false" customHeight="false" outlineLevel="0" collapsed="false">
      <c r="A24710" s="3" t="s">
        <v>587</v>
      </c>
      <c r="C24710" s="16" t="n">
        <f aca="false">C24708*C24709/100*(1+Assumptions!$C$37)</f>
        <v>98.49</v>
      </c>
    </row>
    <row r="24711" customFormat="false" ht="15" hidden="false" customHeight="false" outlineLevel="0" collapsed="false">
      <c r="A24711" s="3" t="s">
        <v>588</v>
      </c>
      <c r="C24711" s="27" t="n">
        <f aca="false">Assumptions!$C$38</f>
        <v>3</v>
      </c>
    </row>
    <row r="24712" customFormat="false" ht="15" hidden="false" customHeight="false" outlineLevel="0" collapsed="false">
      <c r="A24712" s="3" t="s">
        <v>589</v>
      </c>
      <c r="C24712" s="21" t="n">
        <f aca="false">IF(C24539=1,SUMPRODUCT($G$24475:$K$24475,$G$24249:$K$24249),0)</f>
        <v>0</v>
      </c>
    </row>
    <row r="24713" customFormat="false" ht="15" hidden="false" customHeight="false" outlineLevel="0" collapsed="false">
      <c r="A24713" s="3" t="s">
        <v>590</v>
      </c>
      <c r="C24713" s="22" t="n">
        <f aca="false">IFERROR(C24708/CHOOSE(C24707,SUMPRODUCT($G$24538:$K$24538,$G$24295:$K$24295),SUMPRODUCT($G$24538:$K$24538,$G$24308:$K$24308),SUMPRODUCT($G$24538:$K$24538,$G$24321:$K$24321),SUMPRODUCT($G$24538:$K$24538,$G$24334:$K$24334),SUMPRODUCT($G$24538:$K$24538,$G$24347:$K$24347),SUMPRODUCT($G$24538:$K$24538,$G$24360:$K$24360),SUMPRODUCT($G$24538:$K$24538,$G$24373:$K$24373),SUMPRODUCT($G$24538:$K$24538,$G$24386:$K$24386),SUMPRODUCT($G$24538:$K$24538,$G$24399:$K$24399),SUMPRODUCT($G$24538:$K$24538,$G$24412:$K$24412)),0)</f>
        <v>0.252525252525253</v>
      </c>
    </row>
    <row r="24714" customFormat="false" ht="15" hidden="false" customHeight="false" outlineLevel="0" collapsed="false">
      <c r="A24714" s="3" t="s">
        <v>591</v>
      </c>
      <c r="C24714" s="16" t="n">
        <f aca="false">CHOOSE(C24707,C24660,C24661,C24662,C24663,C24664,C24665,C24666,C24667,C24668,C24669)*C24713</f>
        <v>102.7875</v>
      </c>
    </row>
    <row r="24715" customFormat="false" ht="15" hidden="false" customHeight="false" outlineLevel="0" collapsed="false">
      <c r="A24715" s="3" t="s">
        <v>592</v>
      </c>
      <c r="C24715" s="22" t="n">
        <f aca="false">CHOOSE(C24707,C24671,C24672,C24673,C24674,C24675,C24676,C24677,C24678,C24679,C24680)</f>
        <v>1</v>
      </c>
    </row>
    <row r="24716" customFormat="false" ht="15" hidden="false" customHeight="false" outlineLevel="0" collapsed="false">
      <c r="A24716" s="3" t="s">
        <v>593</v>
      </c>
      <c r="C24716" s="21" t="n">
        <f aca="false">IF(C24539=1,C24712,C24711)</f>
        <v>3</v>
      </c>
    </row>
    <row r="24717" customFormat="false" ht="15" hidden="false" customHeight="false" outlineLevel="0" collapsed="false">
      <c r="A24717" s="3" t="s">
        <v>594</v>
      </c>
      <c r="C24717" s="35" t="n">
        <f aca="false">CHOOSE($C$24241,Assumptions!$C$91,Assumptions!$C$110,Assumptions!$C$129)</f>
        <v>100</v>
      </c>
    </row>
    <row r="24718" customFormat="false" ht="15" hidden="false" customHeight="false" outlineLevel="0" collapsed="false">
      <c r="A24718" s="3" t="s">
        <v>595</v>
      </c>
      <c r="C24718" s="16" t="n">
        <f aca="false">INDEX($G$24258:$K$24258,C24711)*CHOOSE($C$24241,Assumptions!$C$90,Assumptions!$C$109,Assumptions!$C$128)+MAX(0,INDEX($G$24472:$K$24472,C24711))</f>
        <v>3369.2242946436</v>
      </c>
    </row>
    <row r="24719" customFormat="false" ht="15" hidden="false" customHeight="false" outlineLevel="0" collapsed="false">
      <c r="A24719" s="24" t="s">
        <v>596</v>
      </c>
      <c r="B24719" s="25"/>
      <c r="C24719" s="25"/>
      <c r="D24719" s="25"/>
      <c r="E24719" s="25"/>
      <c r="F24719" s="25"/>
      <c r="G24719" s="25"/>
      <c r="H24719" s="25"/>
      <c r="I24719" s="25"/>
      <c r="J24719" s="25"/>
      <c r="K24719" s="25"/>
    </row>
    <row r="24720" customFormat="false" ht="15" hidden="false" customHeight="false" outlineLevel="0" collapsed="false">
      <c r="A24720" s="3" t="s">
        <v>556</v>
      </c>
      <c r="C24720" s="16" t="n">
        <f aca="false">INDEX($G$24295:$K$24295,C24711)</f>
        <v>388</v>
      </c>
    </row>
    <row r="24721" customFormat="false" ht="15" hidden="false" customHeight="false" outlineLevel="0" collapsed="false">
      <c r="A24721" s="3" t="s">
        <v>557</v>
      </c>
      <c r="C24721" s="16" t="n">
        <f aca="false">INDEX($G$24308:$K$24308,C24711)</f>
        <v>90</v>
      </c>
    </row>
    <row r="24722" customFormat="false" ht="15" hidden="false" customHeight="false" outlineLevel="0" collapsed="false">
      <c r="A24722" s="3" t="s">
        <v>558</v>
      </c>
      <c r="C24722" s="16" t="n">
        <f aca="false">INDEX($G$24321:$K$24321,C24711)</f>
        <v>57.324</v>
      </c>
    </row>
    <row r="24723" customFormat="false" ht="15" hidden="false" customHeight="false" outlineLevel="0" collapsed="false">
      <c r="A24723" s="3" t="s">
        <v>559</v>
      </c>
      <c r="C24723" s="16" t="n">
        <f aca="false">INDEX($G$24334:$K$24334,C24711)</f>
        <v>77.734294182056</v>
      </c>
    </row>
    <row r="24724" customFormat="false" ht="15" hidden="false" customHeight="false" outlineLevel="0" collapsed="false">
      <c r="A24724" s="3" t="s">
        <v>560</v>
      </c>
      <c r="C24724" s="16" t="n">
        <f aca="false">INDEX($G$24347:$K$24347,C24711)</f>
        <v>426.7865513738</v>
      </c>
    </row>
    <row r="24725" customFormat="false" ht="15" hidden="false" customHeight="false" outlineLevel="0" collapsed="false">
      <c r="A24725" s="3" t="s">
        <v>561</v>
      </c>
      <c r="C24725" s="16" t="n">
        <f aca="false">INDEX($G$24360:$K$24360,C24711)</f>
        <v>350</v>
      </c>
    </row>
    <row r="24726" customFormat="false" ht="15" hidden="false" customHeight="false" outlineLevel="0" collapsed="false">
      <c r="A24726" s="3" t="s">
        <v>562</v>
      </c>
      <c r="C24726" s="16" t="n">
        <f aca="false">INDEX($G$24373:$K$24373,C24711)</f>
        <v>550</v>
      </c>
    </row>
    <row r="24727" customFormat="false" ht="15" hidden="false" customHeight="false" outlineLevel="0" collapsed="false">
      <c r="A24727" s="3" t="s">
        <v>563</v>
      </c>
      <c r="C24727" s="16" t="n">
        <f aca="false">INDEX($G$24386:$K$24386,C24711)</f>
        <v>350</v>
      </c>
    </row>
    <row r="24728" customFormat="false" ht="15" hidden="false" customHeight="false" outlineLevel="0" collapsed="false">
      <c r="A24728" s="3" t="s">
        <v>564</v>
      </c>
      <c r="C24728" s="16" t="n">
        <f aca="false">INDEX($G$24399:$K$24399,C24711)</f>
        <v>300</v>
      </c>
    </row>
    <row r="24729" customFormat="false" ht="15" hidden="false" customHeight="false" outlineLevel="0" collapsed="false">
      <c r="A24729" s="3" t="s">
        <v>565</v>
      </c>
      <c r="C24729" s="16" t="n">
        <f aca="false">INDEX($G$24412:$K$24412,C24711)</f>
        <v>78.61</v>
      </c>
    </row>
    <row r="24730" customFormat="false" ht="15" hidden="false" customHeight="false" outlineLevel="0" collapsed="false">
      <c r="A24730" s="24" t="s">
        <v>566</v>
      </c>
      <c r="B24730" s="25"/>
      <c r="C24730" s="25"/>
      <c r="D24730" s="25"/>
      <c r="E24730" s="25"/>
      <c r="F24730" s="25"/>
      <c r="G24730" s="25"/>
      <c r="H24730" s="25"/>
      <c r="I24730" s="25"/>
      <c r="J24730" s="25"/>
      <c r="K24730" s="25"/>
    </row>
    <row r="24731" customFormat="false" ht="15" hidden="false" customHeight="false" outlineLevel="0" collapsed="false">
      <c r="A24731" s="3" t="s">
        <v>556</v>
      </c>
      <c r="C24731" s="27" t="n">
        <f aca="false">Assumptions!$M$57</f>
        <v>1</v>
      </c>
    </row>
    <row r="24732" customFormat="false" ht="15" hidden="false" customHeight="false" outlineLevel="0" collapsed="false">
      <c r="A24732" s="3" t="s">
        <v>557</v>
      </c>
      <c r="C24732" s="27" t="n">
        <f aca="false">Assumptions!$M$58</f>
        <v>1</v>
      </c>
    </row>
    <row r="24733" customFormat="false" ht="15" hidden="false" customHeight="false" outlineLevel="0" collapsed="false">
      <c r="A24733" s="3" t="s">
        <v>558</v>
      </c>
      <c r="C24733" s="27" t="n">
        <f aca="false">Assumptions!$M$59</f>
        <v>1</v>
      </c>
    </row>
    <row r="24734" customFormat="false" ht="15" hidden="false" customHeight="false" outlineLevel="0" collapsed="false">
      <c r="A24734" s="3" t="s">
        <v>559</v>
      </c>
      <c r="C24734" s="27" t="n">
        <f aca="false">Assumptions!$M$60</f>
        <v>2</v>
      </c>
    </row>
    <row r="24735" customFormat="false" ht="15" hidden="false" customHeight="false" outlineLevel="0" collapsed="false">
      <c r="A24735" s="3" t="s">
        <v>560</v>
      </c>
      <c r="C24735" s="27" t="n">
        <f aca="false">Assumptions!$M$61</f>
        <v>2</v>
      </c>
    </row>
    <row r="24736" customFormat="false" ht="15" hidden="false" customHeight="false" outlineLevel="0" collapsed="false">
      <c r="A24736" s="3" t="s">
        <v>561</v>
      </c>
      <c r="C24736" s="27" t="n">
        <f aca="false">Assumptions!$M$62</f>
        <v>2</v>
      </c>
    </row>
    <row r="24737" customFormat="false" ht="15" hidden="false" customHeight="false" outlineLevel="0" collapsed="false">
      <c r="A24737" s="3" t="s">
        <v>562</v>
      </c>
      <c r="C24737" s="27" t="n">
        <f aca="false">Assumptions!$M$63</f>
        <v>2</v>
      </c>
    </row>
    <row r="24738" customFormat="false" ht="15" hidden="false" customHeight="false" outlineLevel="0" collapsed="false">
      <c r="A24738" s="3" t="s">
        <v>563</v>
      </c>
      <c r="C24738" s="27" t="n">
        <f aca="false">Assumptions!$M$64</f>
        <v>2</v>
      </c>
    </row>
    <row r="24739" customFormat="false" ht="15" hidden="false" customHeight="false" outlineLevel="0" collapsed="false">
      <c r="A24739" s="3" t="s">
        <v>564</v>
      </c>
      <c r="C24739" s="27" t="n">
        <f aca="false">Assumptions!$M$65</f>
        <v>2</v>
      </c>
    </row>
    <row r="24740" customFormat="false" ht="15" hidden="false" customHeight="false" outlineLevel="0" collapsed="false">
      <c r="A24740" s="3" t="s">
        <v>565</v>
      </c>
      <c r="C24740" s="27" t="n">
        <f aca="false">Assumptions!$M$66</f>
        <v>3</v>
      </c>
    </row>
    <row r="24741" customFormat="false" ht="15" hidden="false" customHeight="false" outlineLevel="0" collapsed="false">
      <c r="A24741" s="24" t="s">
        <v>567</v>
      </c>
      <c r="B24741" s="25"/>
      <c r="C24741" s="25"/>
      <c r="D24741" s="25"/>
      <c r="E24741" s="25"/>
      <c r="F24741" s="25"/>
      <c r="G24741" s="25"/>
      <c r="H24741" s="25"/>
      <c r="I24741" s="25"/>
      <c r="J24741" s="25"/>
      <c r="K24741" s="25"/>
    </row>
    <row r="24742" customFormat="false" ht="15" hidden="false" customHeight="false" outlineLevel="0" collapsed="false">
      <c r="A24742" s="3" t="s">
        <v>556</v>
      </c>
      <c r="C24742" s="33" t="n">
        <f aca="false">Assumptions!$Q$57</f>
        <v>0.3</v>
      </c>
    </row>
    <row r="24743" customFormat="false" ht="15" hidden="false" customHeight="false" outlineLevel="0" collapsed="false">
      <c r="A24743" s="3" t="s">
        <v>557</v>
      </c>
      <c r="C24743" s="33" t="n">
        <f aca="false">Assumptions!$Q$58</f>
        <v>0.033</v>
      </c>
    </row>
    <row r="24744" customFormat="false" ht="15" hidden="false" customHeight="false" outlineLevel="0" collapsed="false">
      <c r="A24744" s="3" t="s">
        <v>558</v>
      </c>
      <c r="C24744" s="33" t="n">
        <f aca="false">Assumptions!$Q$59</f>
        <v>0.021</v>
      </c>
    </row>
    <row r="24745" customFormat="false" ht="15" hidden="false" customHeight="false" outlineLevel="0" collapsed="false">
      <c r="A24745" s="3" t="s">
        <v>559</v>
      </c>
      <c r="C24745" s="33" t="n">
        <f aca="false">Assumptions!$Q$60</f>
        <v>0</v>
      </c>
    </row>
    <row r="24746" customFormat="false" ht="15" hidden="false" customHeight="false" outlineLevel="0" collapsed="false">
      <c r="A24746" s="3" t="s">
        <v>560</v>
      </c>
      <c r="C24746" s="33" t="n">
        <f aca="false">Assumptions!$Q$61</f>
        <v>0</v>
      </c>
    </row>
    <row r="24747" customFormat="false" ht="15" hidden="false" customHeight="false" outlineLevel="0" collapsed="false">
      <c r="A24747" s="3" t="s">
        <v>561</v>
      </c>
      <c r="C24747" s="33" t="n">
        <f aca="false">Assumptions!$Q$62</f>
        <v>0</v>
      </c>
    </row>
    <row r="24748" customFormat="false" ht="15" hidden="false" customHeight="false" outlineLevel="0" collapsed="false">
      <c r="A24748" s="3" t="s">
        <v>562</v>
      </c>
      <c r="C24748" s="33" t="n">
        <f aca="false">Assumptions!$Q$63</f>
        <v>0</v>
      </c>
    </row>
    <row r="24749" customFormat="false" ht="15" hidden="false" customHeight="false" outlineLevel="0" collapsed="false">
      <c r="A24749" s="3" t="s">
        <v>563</v>
      </c>
      <c r="C24749" s="33" t="n">
        <f aca="false">Assumptions!$Q$64</f>
        <v>0</v>
      </c>
    </row>
    <row r="24750" customFormat="false" ht="15" hidden="false" customHeight="false" outlineLevel="0" collapsed="false">
      <c r="A24750" s="3" t="s">
        <v>564</v>
      </c>
      <c r="C24750" s="33" t="n">
        <f aca="false">Assumptions!$Q$65</f>
        <v>0</v>
      </c>
    </row>
    <row r="24751" customFormat="false" ht="15" hidden="false" customHeight="false" outlineLevel="0" collapsed="false">
      <c r="A24751" s="3" t="s">
        <v>565</v>
      </c>
      <c r="C24751" s="33" t="n">
        <f aca="false">Assumptions!$Q$66</f>
        <v>0</v>
      </c>
    </row>
    <row r="24752" customFormat="false" ht="15" hidden="false" customHeight="false" outlineLevel="0" collapsed="false">
      <c r="A24752" s="24" t="s">
        <v>568</v>
      </c>
      <c r="B24752" s="25"/>
      <c r="C24752" s="25"/>
      <c r="D24752" s="25"/>
      <c r="E24752" s="25"/>
      <c r="F24752" s="25"/>
      <c r="G24752" s="25"/>
      <c r="H24752" s="25"/>
      <c r="I24752" s="25"/>
      <c r="J24752" s="25"/>
      <c r="K24752" s="25"/>
    </row>
    <row r="24753" customFormat="false" ht="15" hidden="false" customHeight="false" outlineLevel="0" collapsed="false">
      <c r="A24753" s="3" t="s">
        <v>556</v>
      </c>
      <c r="C24753" s="16" t="n">
        <f aca="false">IF(C24742&gt;0,MIN(C24720,C24742*$C$24718),0)</f>
        <v>388</v>
      </c>
    </row>
    <row r="24754" customFormat="false" ht="15" hidden="false" customHeight="false" outlineLevel="0" collapsed="false">
      <c r="A24754" s="3" t="s">
        <v>557</v>
      </c>
      <c r="C24754" s="16" t="n">
        <f aca="false">IF(C24743&gt;0,MIN(C24721,C24743*$C$24718),0)</f>
        <v>90</v>
      </c>
    </row>
    <row r="24755" customFormat="false" ht="15" hidden="false" customHeight="false" outlineLevel="0" collapsed="false">
      <c r="A24755" s="3" t="s">
        <v>558</v>
      </c>
      <c r="C24755" s="16" t="n">
        <f aca="false">IF(C24744&gt;0,MIN(C24722,C24744*$C$24718),0)</f>
        <v>57.324</v>
      </c>
    </row>
    <row r="24756" customFormat="false" ht="15" hidden="false" customHeight="false" outlineLevel="0" collapsed="false">
      <c r="A24756" s="3" t="s">
        <v>559</v>
      </c>
      <c r="C24756" s="16" t="n">
        <f aca="false">IF(C24745&gt;0,MIN(C24723,C24745*$C$24718),0)</f>
        <v>0</v>
      </c>
    </row>
    <row r="24757" customFormat="false" ht="15" hidden="false" customHeight="false" outlineLevel="0" collapsed="false">
      <c r="A24757" s="3" t="s">
        <v>560</v>
      </c>
      <c r="C24757" s="16" t="n">
        <f aca="false">IF(C24746&gt;0,MIN(C24724,C24746*$C$24718),0)</f>
        <v>0</v>
      </c>
    </row>
    <row r="24758" customFormat="false" ht="15" hidden="false" customHeight="false" outlineLevel="0" collapsed="false">
      <c r="A24758" s="3" t="s">
        <v>561</v>
      </c>
      <c r="C24758" s="16" t="n">
        <f aca="false">IF(C24747&gt;0,MIN(C24725,C24747*$C$24718),0)</f>
        <v>0</v>
      </c>
    </row>
    <row r="24759" customFormat="false" ht="15" hidden="false" customHeight="false" outlineLevel="0" collapsed="false">
      <c r="A24759" s="3" t="s">
        <v>562</v>
      </c>
      <c r="C24759" s="16" t="n">
        <f aca="false">IF(C24748&gt;0,MIN(C24726,C24748*$C$24718),0)</f>
        <v>0</v>
      </c>
    </row>
    <row r="24760" customFormat="false" ht="15" hidden="false" customHeight="false" outlineLevel="0" collapsed="false">
      <c r="A24760" s="3" t="s">
        <v>563</v>
      </c>
      <c r="C24760" s="16" t="n">
        <f aca="false">IF(C24749&gt;0,MIN(C24727,C24749*$C$24718),0)</f>
        <v>0</v>
      </c>
    </row>
    <row r="24761" customFormat="false" ht="15" hidden="false" customHeight="false" outlineLevel="0" collapsed="false">
      <c r="A24761" s="3" t="s">
        <v>564</v>
      </c>
      <c r="C24761" s="16" t="n">
        <f aca="false">IF(C24750&gt;0,MIN(C24728,C24750*$C$24718),0)</f>
        <v>0</v>
      </c>
    </row>
    <row r="24762" customFormat="false" ht="15" hidden="false" customHeight="false" outlineLevel="0" collapsed="false">
      <c r="A24762" s="3" t="s">
        <v>565</v>
      </c>
      <c r="C24762" s="16" t="n">
        <f aca="false">IF(C24751&gt;0,MIN(C24729,C24751*$C$24718),0)</f>
        <v>0</v>
      </c>
    </row>
    <row r="24763" customFormat="false" ht="15" hidden="false" customHeight="false" outlineLevel="0" collapsed="false">
      <c r="A24763" s="24" t="s">
        <v>569</v>
      </c>
      <c r="B24763" s="25"/>
      <c r="C24763" s="25"/>
      <c r="D24763" s="25"/>
      <c r="E24763" s="25"/>
      <c r="F24763" s="25"/>
      <c r="G24763" s="25"/>
      <c r="H24763" s="25"/>
      <c r="I24763" s="25"/>
      <c r="J24763" s="25"/>
      <c r="K24763" s="25"/>
    </row>
    <row r="24764" customFormat="false" ht="15" hidden="false" customHeight="false" outlineLevel="0" collapsed="false">
      <c r="A24764" s="3" t="s">
        <v>556</v>
      </c>
      <c r="C24764" s="16" t="n">
        <f aca="false">IF(C24742&gt;0,C24720-C24753,0)</f>
        <v>0</v>
      </c>
    </row>
    <row r="24765" customFormat="false" ht="15" hidden="false" customHeight="false" outlineLevel="0" collapsed="false">
      <c r="A24765" s="3" t="s">
        <v>557</v>
      </c>
      <c r="C24765" s="16" t="n">
        <f aca="false">IF(C24743&gt;0,C24721-C24754,0)</f>
        <v>0</v>
      </c>
    </row>
    <row r="24766" customFormat="false" ht="15" hidden="false" customHeight="false" outlineLevel="0" collapsed="false">
      <c r="A24766" s="3" t="s">
        <v>558</v>
      </c>
      <c r="C24766" s="16" t="n">
        <f aca="false">IF(C24744&gt;0,C24722-C24755,0)</f>
        <v>0</v>
      </c>
    </row>
    <row r="24767" customFormat="false" ht="15" hidden="false" customHeight="false" outlineLevel="0" collapsed="false">
      <c r="A24767" s="3" t="s">
        <v>559</v>
      </c>
      <c r="C24767" s="16" t="n">
        <f aca="false">IF(C24745&gt;0,C24723-C24756,0)</f>
        <v>0</v>
      </c>
    </row>
    <row r="24768" customFormat="false" ht="15" hidden="false" customHeight="false" outlineLevel="0" collapsed="false">
      <c r="A24768" s="3" t="s">
        <v>560</v>
      </c>
      <c r="C24768" s="16" t="n">
        <f aca="false">IF(C24746&gt;0,C24724-C24757,0)</f>
        <v>0</v>
      </c>
    </row>
    <row r="24769" customFormat="false" ht="15" hidden="false" customHeight="false" outlineLevel="0" collapsed="false">
      <c r="A24769" s="3" t="s">
        <v>561</v>
      </c>
      <c r="C24769" s="16" t="n">
        <f aca="false">IF(C24747&gt;0,C24725-C24758,0)</f>
        <v>0</v>
      </c>
    </row>
    <row r="24770" customFormat="false" ht="15" hidden="false" customHeight="false" outlineLevel="0" collapsed="false">
      <c r="A24770" s="3" t="s">
        <v>562</v>
      </c>
      <c r="C24770" s="16" t="n">
        <f aca="false">IF(C24748&gt;0,C24726-C24759,0)</f>
        <v>0</v>
      </c>
    </row>
    <row r="24771" customFormat="false" ht="15" hidden="false" customHeight="false" outlineLevel="0" collapsed="false">
      <c r="A24771" s="3" t="s">
        <v>563</v>
      </c>
      <c r="C24771" s="16" t="n">
        <f aca="false">IF(C24749&gt;0,C24727-C24760,0)</f>
        <v>0</v>
      </c>
    </row>
    <row r="24772" customFormat="false" ht="15" hidden="false" customHeight="false" outlineLevel="0" collapsed="false">
      <c r="A24772" s="3" t="s">
        <v>564</v>
      </c>
      <c r="C24772" s="16" t="n">
        <f aca="false">IF(C24750&gt;0,C24728-C24761,0)</f>
        <v>0</v>
      </c>
    </row>
    <row r="24773" customFormat="false" ht="15" hidden="false" customHeight="false" outlineLevel="0" collapsed="false">
      <c r="A24773" s="3" t="s">
        <v>565</v>
      </c>
      <c r="C24773" s="16" t="n">
        <f aca="false">IF(C24751&gt;0,C24729-C24762,0)</f>
        <v>0</v>
      </c>
    </row>
    <row r="24774" customFormat="false" ht="15" hidden="false" customHeight="false" outlineLevel="0" collapsed="false">
      <c r="A24774" s="24" t="s">
        <v>570</v>
      </c>
      <c r="B24774" s="25"/>
      <c r="C24774" s="25"/>
      <c r="D24774" s="25"/>
      <c r="E24774" s="25"/>
      <c r="F24774" s="25"/>
      <c r="G24774" s="25"/>
      <c r="H24774" s="25"/>
      <c r="I24774" s="25"/>
      <c r="J24774" s="25"/>
      <c r="K24774" s="25"/>
    </row>
    <row r="24775" customFormat="false" ht="15" hidden="false" customHeight="false" outlineLevel="0" collapsed="false">
      <c r="A24775" s="3" t="s">
        <v>556</v>
      </c>
      <c r="C24775" s="16" t="n">
        <f aca="false">IF(C24742&gt;0,C24764,C24720)</f>
        <v>0</v>
      </c>
    </row>
    <row r="24776" customFormat="false" ht="15" hidden="false" customHeight="false" outlineLevel="0" collapsed="false">
      <c r="A24776" s="3" t="s">
        <v>557</v>
      </c>
      <c r="C24776" s="16" t="n">
        <f aca="false">IF(C24743&gt;0,C24765,C24721)</f>
        <v>0</v>
      </c>
    </row>
    <row r="24777" customFormat="false" ht="15" hidden="false" customHeight="false" outlineLevel="0" collapsed="false">
      <c r="A24777" s="3" t="s">
        <v>558</v>
      </c>
      <c r="C24777" s="16" t="n">
        <f aca="false">IF(C24744&gt;0,C24766,C24722)</f>
        <v>0</v>
      </c>
    </row>
    <row r="24778" customFormat="false" ht="15" hidden="false" customHeight="false" outlineLevel="0" collapsed="false">
      <c r="A24778" s="3" t="s">
        <v>559</v>
      </c>
      <c r="C24778" s="16" t="n">
        <f aca="false">IF(C24745&gt;0,C24767,C24723)</f>
        <v>77.734294182056</v>
      </c>
    </row>
    <row r="24779" customFormat="false" ht="15" hidden="false" customHeight="false" outlineLevel="0" collapsed="false">
      <c r="A24779" s="3" t="s">
        <v>560</v>
      </c>
      <c r="C24779" s="16" t="n">
        <f aca="false">IF(C24746&gt;0,C24768,C24724)</f>
        <v>426.7865513738</v>
      </c>
    </row>
    <row r="24780" customFormat="false" ht="15" hidden="false" customHeight="false" outlineLevel="0" collapsed="false">
      <c r="A24780" s="3" t="s">
        <v>561</v>
      </c>
      <c r="C24780" s="16" t="n">
        <f aca="false">IF(C24747&gt;0,C24769,C24725)</f>
        <v>350</v>
      </c>
    </row>
    <row r="24781" customFormat="false" ht="15" hidden="false" customHeight="false" outlineLevel="0" collapsed="false">
      <c r="A24781" s="3" t="s">
        <v>562</v>
      </c>
      <c r="C24781" s="16" t="n">
        <f aca="false">IF(C24748&gt;0,C24770,C24726)</f>
        <v>550</v>
      </c>
    </row>
    <row r="24782" customFormat="false" ht="15" hidden="false" customHeight="false" outlineLevel="0" collapsed="false">
      <c r="A24782" s="3" t="s">
        <v>563</v>
      </c>
      <c r="C24782" s="16" t="n">
        <f aca="false">IF(C24749&gt;0,C24771,C24727)</f>
        <v>350</v>
      </c>
    </row>
    <row r="24783" customFormat="false" ht="15" hidden="false" customHeight="false" outlineLevel="0" collapsed="false">
      <c r="A24783" s="3" t="s">
        <v>564</v>
      </c>
      <c r="C24783" s="16" t="n">
        <f aca="false">IF(C24750&gt;0,C24772,C24728)</f>
        <v>300</v>
      </c>
    </row>
    <row r="24784" customFormat="false" ht="15" hidden="false" customHeight="false" outlineLevel="0" collapsed="false">
      <c r="A24784" s="3" t="s">
        <v>565</v>
      </c>
      <c r="C24784" s="16" t="n">
        <f aca="false">IF(C24751&gt;0,C24773,C24729)</f>
        <v>78.61</v>
      </c>
    </row>
    <row r="24785" customFormat="false" ht="15" hidden="false" customHeight="false" outlineLevel="0" collapsed="false">
      <c r="A24785" s="24" t="s">
        <v>571</v>
      </c>
      <c r="B24785" s="25"/>
      <c r="C24785" s="25"/>
      <c r="D24785" s="25"/>
      <c r="E24785" s="25"/>
      <c r="F24785" s="25"/>
      <c r="G24785" s="25"/>
      <c r="H24785" s="25"/>
      <c r="I24785" s="25"/>
      <c r="J24785" s="25"/>
      <c r="K24785" s="25"/>
    </row>
    <row r="24786" customFormat="false" ht="15" hidden="false" customHeight="false" outlineLevel="0" collapsed="false">
      <c r="A24786" s="3" t="s">
        <v>556</v>
      </c>
      <c r="C24786" s="21" t="n">
        <f aca="false">IF(C24742&gt;0,Assumptions!$C$17,C24731)</f>
        <v>99</v>
      </c>
    </row>
    <row r="24787" customFormat="false" ht="15" hidden="false" customHeight="false" outlineLevel="0" collapsed="false">
      <c r="A24787" s="3" t="s">
        <v>557</v>
      </c>
      <c r="C24787" s="21" t="n">
        <f aca="false">IF(C24743&gt;0,Assumptions!$C$17,C24732)</f>
        <v>99</v>
      </c>
    </row>
    <row r="24788" customFormat="false" ht="15" hidden="false" customHeight="false" outlineLevel="0" collapsed="false">
      <c r="A24788" s="3" t="s">
        <v>558</v>
      </c>
      <c r="C24788" s="21" t="n">
        <f aca="false">IF(C24744&gt;0,Assumptions!$C$17,C24733)</f>
        <v>99</v>
      </c>
    </row>
    <row r="24789" customFormat="false" ht="15" hidden="false" customHeight="false" outlineLevel="0" collapsed="false">
      <c r="A24789" s="3" t="s">
        <v>559</v>
      </c>
      <c r="C24789" s="21" t="n">
        <f aca="false">IF(C24745&gt;0,Assumptions!$C$17,C24734)</f>
        <v>2</v>
      </c>
    </row>
    <row r="24790" customFormat="false" ht="15" hidden="false" customHeight="false" outlineLevel="0" collapsed="false">
      <c r="A24790" s="3" t="s">
        <v>560</v>
      </c>
      <c r="C24790" s="21" t="n">
        <f aca="false">IF(C24746&gt;0,Assumptions!$C$17,C24735)</f>
        <v>2</v>
      </c>
    </row>
    <row r="24791" customFormat="false" ht="15" hidden="false" customHeight="false" outlineLevel="0" collapsed="false">
      <c r="A24791" s="3" t="s">
        <v>561</v>
      </c>
      <c r="C24791" s="21" t="n">
        <f aca="false">IF(C24747&gt;0,Assumptions!$C$17,C24736)</f>
        <v>2</v>
      </c>
    </row>
    <row r="24792" customFormat="false" ht="15" hidden="false" customHeight="false" outlineLevel="0" collapsed="false">
      <c r="A24792" s="3" t="s">
        <v>562</v>
      </c>
      <c r="C24792" s="21" t="n">
        <f aca="false">IF(C24748&gt;0,Assumptions!$C$17,C24737)</f>
        <v>2</v>
      </c>
    </row>
    <row r="24793" customFormat="false" ht="15" hidden="false" customHeight="false" outlineLevel="0" collapsed="false">
      <c r="A24793" s="3" t="s">
        <v>563</v>
      </c>
      <c r="C24793" s="21" t="n">
        <f aca="false">IF(C24749&gt;0,Assumptions!$C$17,C24738)</f>
        <v>2</v>
      </c>
    </row>
    <row r="24794" customFormat="false" ht="15" hidden="false" customHeight="false" outlineLevel="0" collapsed="false">
      <c r="A24794" s="3" t="s">
        <v>564</v>
      </c>
      <c r="C24794" s="21" t="n">
        <f aca="false">IF(C24750&gt;0,Assumptions!$C$17,C24739)</f>
        <v>2</v>
      </c>
    </row>
    <row r="24795" customFormat="false" ht="15" hidden="false" customHeight="false" outlineLevel="0" collapsed="false">
      <c r="A24795" s="3" t="s">
        <v>565</v>
      </c>
      <c r="C24795" s="21" t="n">
        <f aca="false">IF(C24751&gt;0,Assumptions!$C$17,C24740)</f>
        <v>3</v>
      </c>
    </row>
    <row r="24796" customFormat="false" ht="15" hidden="false" customHeight="false" outlineLevel="0" collapsed="false">
      <c r="A24796" s="24" t="s">
        <v>572</v>
      </c>
      <c r="B24796" s="25"/>
      <c r="C24796" s="25"/>
      <c r="D24796" s="25"/>
      <c r="E24796" s="25"/>
      <c r="F24796" s="25"/>
      <c r="G24796" s="25"/>
      <c r="H24796" s="25"/>
      <c r="I24796" s="25"/>
      <c r="J24796" s="25"/>
      <c r="K24796" s="25"/>
    </row>
    <row r="24797" customFormat="false" ht="15" hidden="false" customHeight="false" outlineLevel="0" collapsed="false">
      <c r="A24797" s="3" t="s">
        <v>556</v>
      </c>
      <c r="C24797" s="16" t="n">
        <f aca="false">SUMPRODUCT(($C$24786:$C$24795&lt;C24786)*$C$24775:$C$24784)</f>
        <v>2133.13084555586</v>
      </c>
    </row>
    <row r="24798" customFormat="false" ht="15" hidden="false" customHeight="false" outlineLevel="0" collapsed="false">
      <c r="A24798" s="3" t="s">
        <v>557</v>
      </c>
      <c r="C24798" s="16" t="n">
        <f aca="false">SUMPRODUCT(($C$24786:$C$24795&lt;C24787)*$C$24775:$C$24784)</f>
        <v>2133.13084555586</v>
      </c>
    </row>
    <row r="24799" customFormat="false" ht="15" hidden="false" customHeight="false" outlineLevel="0" collapsed="false">
      <c r="A24799" s="3" t="s">
        <v>558</v>
      </c>
      <c r="C24799" s="16" t="n">
        <f aca="false">SUMPRODUCT(($C$24786:$C$24795&lt;C24788)*$C$24775:$C$24784)</f>
        <v>2133.13084555586</v>
      </c>
    </row>
    <row r="24800" customFormat="false" ht="15" hidden="false" customHeight="false" outlineLevel="0" collapsed="false">
      <c r="A24800" s="3" t="s">
        <v>559</v>
      </c>
      <c r="C24800" s="16" t="n">
        <f aca="false">SUMPRODUCT(($C$24786:$C$24795&lt;C24789)*$C$24775:$C$24784)</f>
        <v>0</v>
      </c>
    </row>
    <row r="24801" customFormat="false" ht="15" hidden="false" customHeight="false" outlineLevel="0" collapsed="false">
      <c r="A24801" s="3" t="s">
        <v>560</v>
      </c>
      <c r="C24801" s="16" t="n">
        <f aca="false">SUMPRODUCT(($C$24786:$C$24795&lt;C24790)*$C$24775:$C$24784)</f>
        <v>0</v>
      </c>
    </row>
    <row r="24802" customFormat="false" ht="15" hidden="false" customHeight="false" outlineLevel="0" collapsed="false">
      <c r="A24802" s="3" t="s">
        <v>561</v>
      </c>
      <c r="C24802" s="16" t="n">
        <f aca="false">SUMPRODUCT(($C$24786:$C$24795&lt;C24791)*$C$24775:$C$24784)</f>
        <v>0</v>
      </c>
    </row>
    <row r="24803" customFormat="false" ht="15" hidden="false" customHeight="false" outlineLevel="0" collapsed="false">
      <c r="A24803" s="3" t="s">
        <v>562</v>
      </c>
      <c r="C24803" s="16" t="n">
        <f aca="false">SUMPRODUCT(($C$24786:$C$24795&lt;C24792)*$C$24775:$C$24784)</f>
        <v>0</v>
      </c>
    </row>
    <row r="24804" customFormat="false" ht="15" hidden="false" customHeight="false" outlineLevel="0" collapsed="false">
      <c r="A24804" s="3" t="s">
        <v>563</v>
      </c>
      <c r="C24804" s="16" t="n">
        <f aca="false">SUMPRODUCT(($C$24786:$C$24795&lt;C24793)*$C$24775:$C$24784)</f>
        <v>0</v>
      </c>
    </row>
    <row r="24805" customFormat="false" ht="15" hidden="false" customHeight="false" outlineLevel="0" collapsed="false">
      <c r="A24805" s="3" t="s">
        <v>564</v>
      </c>
      <c r="C24805" s="16" t="n">
        <f aca="false">SUMPRODUCT(($C$24786:$C$24795&lt;C24794)*$C$24775:$C$24784)</f>
        <v>0</v>
      </c>
    </row>
    <row r="24806" customFormat="false" ht="15" hidden="false" customHeight="false" outlineLevel="0" collapsed="false">
      <c r="A24806" s="3" t="s">
        <v>565</v>
      </c>
      <c r="C24806" s="16" t="n">
        <f aca="false">SUMPRODUCT(($C$24786:$C$24795&lt;C24795)*$C$24775:$C$24784)</f>
        <v>2054.52084555586</v>
      </c>
    </row>
    <row r="24807" customFormat="false" ht="15" hidden="false" customHeight="false" outlineLevel="0" collapsed="false">
      <c r="A24807" s="24" t="s">
        <v>573</v>
      </c>
      <c r="B24807" s="25"/>
      <c r="C24807" s="25"/>
      <c r="D24807" s="25"/>
      <c r="E24807" s="25"/>
      <c r="F24807" s="25"/>
      <c r="G24807" s="25"/>
      <c r="H24807" s="25"/>
      <c r="I24807" s="25"/>
      <c r="J24807" s="25"/>
      <c r="K24807" s="25"/>
    </row>
    <row r="24808" customFormat="false" ht="15" hidden="false" customHeight="false" outlineLevel="0" collapsed="false">
      <c r="A24808" s="3" t="s">
        <v>556</v>
      </c>
      <c r="C24808" s="16" t="n">
        <f aca="false">SUMPRODUCT(($C$24786:$C$24795=C24786)*$C$24775:$C$24784)</f>
        <v>0</v>
      </c>
    </row>
    <row r="24809" customFormat="false" ht="15" hidden="false" customHeight="false" outlineLevel="0" collapsed="false">
      <c r="A24809" s="3" t="s">
        <v>557</v>
      </c>
      <c r="C24809" s="16" t="n">
        <f aca="false">SUMPRODUCT(($C$24786:$C$24795=C24787)*$C$24775:$C$24784)</f>
        <v>0</v>
      </c>
    </row>
    <row r="24810" customFormat="false" ht="15" hidden="false" customHeight="false" outlineLevel="0" collapsed="false">
      <c r="A24810" s="3" t="s">
        <v>558</v>
      </c>
      <c r="C24810" s="16" t="n">
        <f aca="false">SUMPRODUCT(($C$24786:$C$24795=C24788)*$C$24775:$C$24784)</f>
        <v>0</v>
      </c>
    </row>
    <row r="24811" customFormat="false" ht="15" hidden="false" customHeight="false" outlineLevel="0" collapsed="false">
      <c r="A24811" s="3" t="s">
        <v>559</v>
      </c>
      <c r="C24811" s="16" t="n">
        <f aca="false">SUMPRODUCT(($C$24786:$C$24795=C24789)*$C$24775:$C$24784)</f>
        <v>2054.52084555586</v>
      </c>
    </row>
    <row r="24812" customFormat="false" ht="15" hidden="false" customHeight="false" outlineLevel="0" collapsed="false">
      <c r="A24812" s="3" t="s">
        <v>560</v>
      </c>
      <c r="C24812" s="16" t="n">
        <f aca="false">SUMPRODUCT(($C$24786:$C$24795=C24790)*$C$24775:$C$24784)</f>
        <v>2054.52084555586</v>
      </c>
    </row>
    <row r="24813" customFormat="false" ht="15" hidden="false" customHeight="false" outlineLevel="0" collapsed="false">
      <c r="A24813" s="3" t="s">
        <v>561</v>
      </c>
      <c r="C24813" s="16" t="n">
        <f aca="false">SUMPRODUCT(($C$24786:$C$24795=C24791)*$C$24775:$C$24784)</f>
        <v>2054.52084555586</v>
      </c>
    </row>
    <row r="24814" customFormat="false" ht="15" hidden="false" customHeight="false" outlineLevel="0" collapsed="false">
      <c r="A24814" s="3" t="s">
        <v>562</v>
      </c>
      <c r="C24814" s="16" t="n">
        <f aca="false">SUMPRODUCT(($C$24786:$C$24795=C24792)*$C$24775:$C$24784)</f>
        <v>2054.52084555586</v>
      </c>
    </row>
    <row r="24815" customFormat="false" ht="15" hidden="false" customHeight="false" outlineLevel="0" collapsed="false">
      <c r="A24815" s="3" t="s">
        <v>563</v>
      </c>
      <c r="C24815" s="16" t="n">
        <f aca="false">SUMPRODUCT(($C$24786:$C$24795=C24793)*$C$24775:$C$24784)</f>
        <v>2054.52084555586</v>
      </c>
    </row>
    <row r="24816" customFormat="false" ht="15" hidden="false" customHeight="false" outlineLevel="0" collapsed="false">
      <c r="A24816" s="3" t="s">
        <v>564</v>
      </c>
      <c r="C24816" s="16" t="n">
        <f aca="false">SUMPRODUCT(($C$24786:$C$24795=C24794)*$C$24775:$C$24784)</f>
        <v>2054.52084555586</v>
      </c>
    </row>
    <row r="24817" customFormat="false" ht="15" hidden="false" customHeight="false" outlineLevel="0" collapsed="false">
      <c r="A24817" s="3" t="s">
        <v>565</v>
      </c>
      <c r="C24817" s="16" t="n">
        <f aca="false">SUMPRODUCT(($C$24786:$C$24795=C24795)*$C$24775:$C$24784)</f>
        <v>78.61</v>
      </c>
    </row>
    <row r="24818" customFormat="false" ht="15" hidden="false" customHeight="false" outlineLevel="0" collapsed="false">
      <c r="A24818" s="24" t="s">
        <v>574</v>
      </c>
      <c r="B24818" s="25"/>
      <c r="C24818" s="25"/>
      <c r="D24818" s="25"/>
      <c r="E24818" s="25"/>
      <c r="F24818" s="25"/>
      <c r="G24818" s="25"/>
      <c r="H24818" s="25"/>
      <c r="I24818" s="25"/>
      <c r="J24818" s="25"/>
      <c r="K24818" s="25"/>
    </row>
    <row r="24819" customFormat="false" ht="15" hidden="false" customHeight="false" outlineLevel="0" collapsed="false">
      <c r="A24819" s="3" t="s">
        <v>556</v>
      </c>
      <c r="C24819" s="16" t="n">
        <f aca="false">IF(C24808=0,0,C24775/C24808*MAX(0,MIN(C24808,$C$24718-SUM($C$24753:$C$24762)-C24797)))</f>
        <v>0</v>
      </c>
    </row>
    <row r="24820" customFormat="false" ht="15" hidden="false" customHeight="false" outlineLevel="0" collapsed="false">
      <c r="A24820" s="3" t="s">
        <v>557</v>
      </c>
      <c r="C24820" s="16" t="n">
        <f aca="false">IF(C24809=0,0,C24776/C24809*MAX(0,MIN(C24809,$C$24718-SUM($C$24753:$C$24762)-C24798)))</f>
        <v>0</v>
      </c>
    </row>
    <row r="24821" customFormat="false" ht="15" hidden="false" customHeight="false" outlineLevel="0" collapsed="false">
      <c r="A24821" s="3" t="s">
        <v>558</v>
      </c>
      <c r="C24821" s="16" t="n">
        <f aca="false">IF(C24810=0,0,C24777/C24810*MAX(0,MIN(C24810,$C$24718-SUM($C$24753:$C$24762)-C24799)))</f>
        <v>0</v>
      </c>
    </row>
    <row r="24822" customFormat="false" ht="15" hidden="false" customHeight="false" outlineLevel="0" collapsed="false">
      <c r="A24822" s="3" t="s">
        <v>559</v>
      </c>
      <c r="C24822" s="16" t="n">
        <f aca="false">IF(C24811=0,0,C24778/C24811*MAX(0,MIN(C24811,$C$24718-SUM($C$24753:$C$24762)-C24800)))</f>
        <v>77.734294182056</v>
      </c>
    </row>
    <row r="24823" customFormat="false" ht="15" hidden="false" customHeight="false" outlineLevel="0" collapsed="false">
      <c r="A24823" s="3" t="s">
        <v>560</v>
      </c>
      <c r="C24823" s="16" t="n">
        <f aca="false">IF(C24812=0,0,C24779/C24812*MAX(0,MIN(C24812,$C$24718-SUM($C$24753:$C$24762)-C24801)))</f>
        <v>426.7865513738</v>
      </c>
    </row>
    <row r="24824" customFormat="false" ht="15" hidden="false" customHeight="false" outlineLevel="0" collapsed="false">
      <c r="A24824" s="3" t="s">
        <v>561</v>
      </c>
      <c r="C24824" s="16" t="n">
        <f aca="false">IF(C24813=0,0,C24780/C24813*MAX(0,MIN(C24813,$C$24718-SUM($C$24753:$C$24762)-C24802)))</f>
        <v>350</v>
      </c>
    </row>
    <row r="24825" customFormat="false" ht="15" hidden="false" customHeight="false" outlineLevel="0" collapsed="false">
      <c r="A24825" s="3" t="s">
        <v>562</v>
      </c>
      <c r="C24825" s="16" t="n">
        <f aca="false">IF(C24814=0,0,C24781/C24814*MAX(0,MIN(C24814,$C$24718-SUM($C$24753:$C$24762)-C24803)))</f>
        <v>550</v>
      </c>
    </row>
    <row r="24826" customFormat="false" ht="15" hidden="false" customHeight="false" outlineLevel="0" collapsed="false">
      <c r="A24826" s="3" t="s">
        <v>563</v>
      </c>
      <c r="C24826" s="16" t="n">
        <f aca="false">IF(C24815=0,0,C24782/C24815*MAX(0,MIN(C24815,$C$24718-SUM($C$24753:$C$24762)-C24804)))</f>
        <v>350</v>
      </c>
    </row>
    <row r="24827" customFormat="false" ht="15" hidden="false" customHeight="false" outlineLevel="0" collapsed="false">
      <c r="A24827" s="3" t="s">
        <v>564</v>
      </c>
      <c r="C24827" s="16" t="n">
        <f aca="false">IF(C24816=0,0,C24783/C24816*MAX(0,MIN(C24816,$C$24718-SUM($C$24753:$C$24762)-C24805)))</f>
        <v>300</v>
      </c>
    </row>
    <row r="24828" customFormat="false" ht="15" hidden="false" customHeight="false" outlineLevel="0" collapsed="false">
      <c r="A24828" s="3" t="s">
        <v>565</v>
      </c>
      <c r="C24828" s="16" t="n">
        <f aca="false">IF(C24817=0,0,C24784/C24817*MAX(0,MIN(C24817,$C$24718-SUM($C$24753:$C$24762)-C24806)))</f>
        <v>78.61</v>
      </c>
    </row>
    <row r="24829" customFormat="false" ht="15" hidden="false" customHeight="false" outlineLevel="0" collapsed="false">
      <c r="A24829" s="24" t="s">
        <v>575</v>
      </c>
      <c r="B24829" s="25"/>
      <c r="C24829" s="25"/>
      <c r="D24829" s="25"/>
      <c r="E24829" s="25"/>
      <c r="F24829" s="25"/>
      <c r="G24829" s="25"/>
      <c r="H24829" s="25"/>
      <c r="I24829" s="25"/>
      <c r="J24829" s="25"/>
      <c r="K24829" s="25"/>
    </row>
    <row r="24830" customFormat="false" ht="15" hidden="false" customHeight="false" outlineLevel="0" collapsed="false">
      <c r="A24830" s="2" t="s">
        <v>556</v>
      </c>
      <c r="C24830" s="17" t="n">
        <f aca="false">C24753+C24819</f>
        <v>388</v>
      </c>
    </row>
    <row r="24831" customFormat="false" ht="15" hidden="false" customHeight="false" outlineLevel="0" collapsed="false">
      <c r="A24831" s="2" t="s">
        <v>557</v>
      </c>
      <c r="C24831" s="17" t="n">
        <f aca="false">C24754+C24820</f>
        <v>90</v>
      </c>
    </row>
    <row r="24832" customFormat="false" ht="15" hidden="false" customHeight="false" outlineLevel="0" collapsed="false">
      <c r="A24832" s="2" t="s">
        <v>558</v>
      </c>
      <c r="C24832" s="17" t="n">
        <f aca="false">C24755+C24821</f>
        <v>57.324</v>
      </c>
    </row>
    <row r="24833" customFormat="false" ht="15" hidden="false" customHeight="false" outlineLevel="0" collapsed="false">
      <c r="A24833" s="2" t="s">
        <v>559</v>
      </c>
      <c r="C24833" s="17" t="n">
        <f aca="false">C24756+C24822</f>
        <v>77.734294182056</v>
      </c>
    </row>
    <row r="24834" customFormat="false" ht="15" hidden="false" customHeight="false" outlineLevel="0" collapsed="false">
      <c r="A24834" s="2" t="s">
        <v>560</v>
      </c>
      <c r="C24834" s="17" t="n">
        <f aca="false">C24757+C24823</f>
        <v>426.7865513738</v>
      </c>
    </row>
    <row r="24835" customFormat="false" ht="15" hidden="false" customHeight="false" outlineLevel="0" collapsed="false">
      <c r="A24835" s="2" t="s">
        <v>561</v>
      </c>
      <c r="C24835" s="17" t="n">
        <f aca="false">C24758+C24824</f>
        <v>350</v>
      </c>
    </row>
    <row r="24836" customFormat="false" ht="15" hidden="false" customHeight="false" outlineLevel="0" collapsed="false">
      <c r="A24836" s="2" t="s">
        <v>562</v>
      </c>
      <c r="C24836" s="17" t="n">
        <f aca="false">C24759+C24825</f>
        <v>550</v>
      </c>
    </row>
    <row r="24837" customFormat="false" ht="15" hidden="false" customHeight="false" outlineLevel="0" collapsed="false">
      <c r="A24837" s="2" t="s">
        <v>563</v>
      </c>
      <c r="C24837" s="17" t="n">
        <f aca="false">C24760+C24826</f>
        <v>350</v>
      </c>
    </row>
    <row r="24838" customFormat="false" ht="15" hidden="false" customHeight="false" outlineLevel="0" collapsed="false">
      <c r="A24838" s="2" t="s">
        <v>564</v>
      </c>
      <c r="C24838" s="17" t="n">
        <f aca="false">C24761+C24827</f>
        <v>300</v>
      </c>
    </row>
    <row r="24839" customFormat="false" ht="15" hidden="false" customHeight="false" outlineLevel="0" collapsed="false">
      <c r="A24839" s="2" t="s">
        <v>565</v>
      </c>
      <c r="C24839" s="17" t="n">
        <f aca="false">C24762+C24828</f>
        <v>78.61</v>
      </c>
    </row>
    <row r="24840" customFormat="false" ht="15" hidden="false" customHeight="false" outlineLevel="0" collapsed="false">
      <c r="A24840" s="24" t="s">
        <v>576</v>
      </c>
      <c r="B24840" s="25"/>
      <c r="C24840" s="25"/>
      <c r="D24840" s="25"/>
      <c r="E24840" s="25"/>
      <c r="F24840" s="25"/>
      <c r="G24840" s="25"/>
      <c r="H24840" s="25"/>
      <c r="I24840" s="25"/>
      <c r="J24840" s="25"/>
      <c r="K24840" s="25"/>
    </row>
    <row r="24841" customFormat="false" ht="15" hidden="false" customHeight="false" outlineLevel="0" collapsed="false">
      <c r="A24841" s="3" t="s">
        <v>556</v>
      </c>
      <c r="C24841" s="22" t="n">
        <f aca="false">IF(C24720=0,1,C24830/C24720)</f>
        <v>1</v>
      </c>
    </row>
    <row r="24842" customFormat="false" ht="15" hidden="false" customHeight="false" outlineLevel="0" collapsed="false">
      <c r="A24842" s="3" t="s">
        <v>557</v>
      </c>
      <c r="C24842" s="22" t="n">
        <f aca="false">IF(C24721=0,1,C24831/C24721)</f>
        <v>1</v>
      </c>
    </row>
    <row r="24843" customFormat="false" ht="15" hidden="false" customHeight="false" outlineLevel="0" collapsed="false">
      <c r="A24843" s="3" t="s">
        <v>558</v>
      </c>
      <c r="C24843" s="22" t="n">
        <f aca="false">IF(C24722=0,1,C24832/C24722)</f>
        <v>1</v>
      </c>
    </row>
    <row r="24844" customFormat="false" ht="15" hidden="false" customHeight="false" outlineLevel="0" collapsed="false">
      <c r="A24844" s="3" t="s">
        <v>559</v>
      </c>
      <c r="C24844" s="22" t="n">
        <f aca="false">IF(C24723=0,1,C24833/C24723)</f>
        <v>1</v>
      </c>
    </row>
    <row r="24845" customFormat="false" ht="15" hidden="false" customHeight="false" outlineLevel="0" collapsed="false">
      <c r="A24845" s="3" t="s">
        <v>560</v>
      </c>
      <c r="C24845" s="22" t="n">
        <f aca="false">IF(C24724=0,1,C24834/C24724)</f>
        <v>1</v>
      </c>
    </row>
    <row r="24846" customFormat="false" ht="15" hidden="false" customHeight="false" outlineLevel="0" collapsed="false">
      <c r="A24846" s="3" t="s">
        <v>561</v>
      </c>
      <c r="C24846" s="22" t="n">
        <f aca="false">IF(C24725=0,1,C24835/C24725)</f>
        <v>1</v>
      </c>
    </row>
    <row r="24847" customFormat="false" ht="15" hidden="false" customHeight="false" outlineLevel="0" collapsed="false">
      <c r="A24847" s="3" t="s">
        <v>562</v>
      </c>
      <c r="C24847" s="22" t="n">
        <f aca="false">IF(C24726=0,1,C24836/C24726)</f>
        <v>1</v>
      </c>
    </row>
    <row r="24848" customFormat="false" ht="15" hidden="false" customHeight="false" outlineLevel="0" collapsed="false">
      <c r="A24848" s="3" t="s">
        <v>563</v>
      </c>
      <c r="C24848" s="22" t="n">
        <f aca="false">IF(C24727=0,1,C24837/C24727)</f>
        <v>1</v>
      </c>
    </row>
    <row r="24849" customFormat="false" ht="15" hidden="false" customHeight="false" outlineLevel="0" collapsed="false">
      <c r="A24849" s="3" t="s">
        <v>564</v>
      </c>
      <c r="C24849" s="22" t="n">
        <f aca="false">IF(C24728=0,1,C24838/C24728)</f>
        <v>1</v>
      </c>
    </row>
    <row r="24850" customFormat="false" ht="15" hidden="false" customHeight="false" outlineLevel="0" collapsed="false">
      <c r="A24850" s="3" t="s">
        <v>565</v>
      </c>
      <c r="C24850" s="22" t="n">
        <f aca="false">IF(C24729=0,1,C24839/C24729)</f>
        <v>1</v>
      </c>
    </row>
    <row r="24851" customFormat="false" ht="15" hidden="false" customHeight="false" outlineLevel="0" collapsed="false">
      <c r="A24851" s="24" t="s">
        <v>577</v>
      </c>
      <c r="B24851" s="25"/>
      <c r="C24851" s="25"/>
      <c r="D24851" s="25"/>
      <c r="E24851" s="25"/>
      <c r="F24851" s="25"/>
      <c r="G24851" s="25"/>
      <c r="H24851" s="25"/>
      <c r="I24851" s="25"/>
      <c r="J24851" s="25"/>
      <c r="K24851" s="25"/>
    </row>
    <row r="24852" customFormat="false" ht="15" hidden="false" customHeight="false" outlineLevel="0" collapsed="false">
      <c r="A24852" s="3" t="s">
        <v>556</v>
      </c>
      <c r="C24852" s="16" t="n">
        <f aca="false">C24720-C24830</f>
        <v>0</v>
      </c>
    </row>
    <row r="24853" customFormat="false" ht="15" hidden="false" customHeight="false" outlineLevel="0" collapsed="false">
      <c r="A24853" s="3" t="s">
        <v>557</v>
      </c>
      <c r="C24853" s="16" t="n">
        <f aca="false">C24721-C24831</f>
        <v>0</v>
      </c>
    </row>
    <row r="24854" customFormat="false" ht="15" hidden="false" customHeight="false" outlineLevel="0" collapsed="false">
      <c r="A24854" s="3" t="s">
        <v>558</v>
      </c>
      <c r="C24854" s="16" t="n">
        <f aca="false">C24722-C24832</f>
        <v>0</v>
      </c>
    </row>
    <row r="24855" customFormat="false" ht="15" hidden="false" customHeight="false" outlineLevel="0" collapsed="false">
      <c r="A24855" s="3" t="s">
        <v>559</v>
      </c>
      <c r="C24855" s="16" t="n">
        <f aca="false">C24723-C24833</f>
        <v>0</v>
      </c>
    </row>
    <row r="24856" customFormat="false" ht="15" hidden="false" customHeight="false" outlineLevel="0" collapsed="false">
      <c r="A24856" s="3" t="s">
        <v>560</v>
      </c>
      <c r="C24856" s="16" t="n">
        <f aca="false">C24724-C24834</f>
        <v>0</v>
      </c>
    </row>
    <row r="24857" customFormat="false" ht="15" hidden="false" customHeight="false" outlineLevel="0" collapsed="false">
      <c r="A24857" s="3" t="s">
        <v>561</v>
      </c>
      <c r="C24857" s="16" t="n">
        <f aca="false">C24725-C24835</f>
        <v>0</v>
      </c>
    </row>
    <row r="24858" customFormat="false" ht="15" hidden="false" customHeight="false" outlineLevel="0" collapsed="false">
      <c r="A24858" s="3" t="s">
        <v>562</v>
      </c>
      <c r="C24858" s="16" t="n">
        <f aca="false">C24726-C24836</f>
        <v>0</v>
      </c>
    </row>
    <row r="24859" customFormat="false" ht="15" hidden="false" customHeight="false" outlineLevel="0" collapsed="false">
      <c r="A24859" s="3" t="s">
        <v>563</v>
      </c>
      <c r="C24859" s="16" t="n">
        <f aca="false">C24727-C24837</f>
        <v>0</v>
      </c>
    </row>
    <row r="24860" customFormat="false" ht="15" hidden="false" customHeight="false" outlineLevel="0" collapsed="false">
      <c r="A24860" s="3" t="s">
        <v>564</v>
      </c>
      <c r="C24860" s="16" t="n">
        <f aca="false">C24728-C24838</f>
        <v>0</v>
      </c>
    </row>
    <row r="24861" customFormat="false" ht="15" hidden="false" customHeight="false" outlineLevel="0" collapsed="false">
      <c r="A24861" s="3" t="s">
        <v>565</v>
      </c>
      <c r="C24861" s="16" t="n">
        <f aca="false">C24729-C24839</f>
        <v>0</v>
      </c>
    </row>
    <row r="24862" customFormat="false" ht="15" hidden="false" customHeight="false" outlineLevel="0" collapsed="false">
      <c r="A24862" s="24" t="s">
        <v>578</v>
      </c>
      <c r="B24862" s="25"/>
      <c r="C24862" s="25"/>
      <c r="D24862" s="25"/>
      <c r="E24862" s="25"/>
      <c r="F24862" s="25"/>
      <c r="G24862" s="25"/>
      <c r="H24862" s="25"/>
      <c r="I24862" s="25"/>
      <c r="J24862" s="25"/>
      <c r="K24862" s="25"/>
    </row>
    <row r="24863" customFormat="false" ht="15" hidden="false" customHeight="false" outlineLevel="0" collapsed="false">
      <c r="A24863" s="3" t="s">
        <v>556</v>
      </c>
      <c r="C24863" s="22" t="n">
        <f aca="false">IF(C24720=0,0,C24852/C24720)</f>
        <v>0</v>
      </c>
    </row>
    <row r="24864" customFormat="false" ht="15" hidden="false" customHeight="false" outlineLevel="0" collapsed="false">
      <c r="A24864" s="3" t="s">
        <v>557</v>
      </c>
      <c r="C24864" s="22" t="n">
        <f aca="false">IF(C24721=0,0,C24853/C24721)</f>
        <v>0</v>
      </c>
    </row>
    <row r="24865" customFormat="false" ht="15" hidden="false" customHeight="false" outlineLevel="0" collapsed="false">
      <c r="A24865" s="3" t="s">
        <v>558</v>
      </c>
      <c r="C24865" s="22" t="n">
        <f aca="false">IF(C24722=0,0,C24854/C24722)</f>
        <v>0</v>
      </c>
    </row>
    <row r="24866" customFormat="false" ht="15" hidden="false" customHeight="false" outlineLevel="0" collapsed="false">
      <c r="A24866" s="3" t="s">
        <v>559</v>
      </c>
      <c r="C24866" s="22" t="n">
        <f aca="false">IF(C24723=0,0,C24855/C24723)</f>
        <v>0</v>
      </c>
    </row>
    <row r="24867" customFormat="false" ht="15" hidden="false" customHeight="false" outlineLevel="0" collapsed="false">
      <c r="A24867" s="3" t="s">
        <v>560</v>
      </c>
      <c r="C24867" s="22" t="n">
        <f aca="false">IF(C24724=0,0,C24856/C24724)</f>
        <v>0</v>
      </c>
    </row>
    <row r="24868" customFormat="false" ht="15" hidden="false" customHeight="false" outlineLevel="0" collapsed="false">
      <c r="A24868" s="3" t="s">
        <v>561</v>
      </c>
      <c r="C24868" s="22" t="n">
        <f aca="false">IF(C24725=0,0,C24857/C24725)</f>
        <v>0</v>
      </c>
    </row>
    <row r="24869" customFormat="false" ht="15" hidden="false" customHeight="false" outlineLevel="0" collapsed="false">
      <c r="A24869" s="3" t="s">
        <v>562</v>
      </c>
      <c r="C24869" s="22" t="n">
        <f aca="false">IF(C24726=0,0,C24858/C24726)</f>
        <v>0</v>
      </c>
    </row>
    <row r="24870" customFormat="false" ht="15" hidden="false" customHeight="false" outlineLevel="0" collapsed="false">
      <c r="A24870" s="3" t="s">
        <v>563</v>
      </c>
      <c r="C24870" s="22" t="n">
        <f aca="false">IF(C24727=0,0,C24859/C24727)</f>
        <v>0</v>
      </c>
    </row>
    <row r="24871" customFormat="false" ht="15" hidden="false" customHeight="false" outlineLevel="0" collapsed="false">
      <c r="A24871" s="3" t="s">
        <v>564</v>
      </c>
      <c r="C24871" s="22" t="n">
        <f aca="false">IF(C24728=0,0,C24860/C24728)</f>
        <v>0</v>
      </c>
    </row>
    <row r="24872" customFormat="false" ht="15" hidden="false" customHeight="false" outlineLevel="0" collapsed="false">
      <c r="A24872" s="3" t="s">
        <v>565</v>
      </c>
      <c r="C24872" s="22" t="n">
        <f aca="false">IF(C24729=0,0,C24861/C24729)</f>
        <v>0</v>
      </c>
    </row>
    <row r="24873" customFormat="false" ht="15" hidden="false" customHeight="false" outlineLevel="0" collapsed="false">
      <c r="A24873" s="2" t="s">
        <v>579</v>
      </c>
      <c r="C24873" s="17" t="n">
        <f aca="false">MAX(0,$C$24718-SUM($C$24753:$C$24762)-SUM($C$24775:$C$24784))</f>
        <v>700.769449087744</v>
      </c>
    </row>
    <row r="24874" customFormat="false" ht="15" hidden="false" customHeight="false" outlineLevel="0" collapsed="false">
      <c r="A24874" s="3" t="s">
        <v>597</v>
      </c>
      <c r="C24874" s="35" t="n">
        <f aca="false">MIN(C24717,100*CHOOSE(C24707,C24841,C24842,C24843,C24844,C24845,C24846,C24847,C24848,C24849,C24850))</f>
        <v>100</v>
      </c>
    </row>
    <row r="24875" customFormat="false" ht="15" hidden="false" customHeight="false" outlineLevel="0" collapsed="false">
      <c r="A24875" s="3" t="s">
        <v>598</v>
      </c>
      <c r="C24875" s="21" t="n">
        <f aca="false">IF(C24539=1,C24712+Assumptions!$C$40,C24711)</f>
        <v>3</v>
      </c>
    </row>
    <row r="24876" customFormat="false" ht="15" hidden="false" customHeight="false" outlineLevel="0" collapsed="false">
      <c r="A24876" s="24" t="s">
        <v>599</v>
      </c>
      <c r="B24876" s="25"/>
      <c r="C24876" s="25"/>
      <c r="D24876" s="25"/>
      <c r="E24876" s="25"/>
      <c r="F24876" s="25"/>
      <c r="G24876" s="25"/>
      <c r="H24876" s="25"/>
      <c r="I24876" s="25"/>
      <c r="J24876" s="25"/>
      <c r="K24876" s="25"/>
    </row>
    <row r="24877" customFormat="false" ht="15" hidden="false" customHeight="false" outlineLevel="0" collapsed="false">
      <c r="A24877" s="3" t="s">
        <v>600</v>
      </c>
      <c r="C24877" s="21" t="n">
        <f aca="false">COLUMN()-COLUMN($C$1)</f>
        <v>0</v>
      </c>
      <c r="D24877" s="21" t="n">
        <f aca="false">COLUMN()-COLUMN($C$1)</f>
        <v>1</v>
      </c>
      <c r="E24877" s="21" t="n">
        <f aca="false">COLUMN()-COLUMN($C$1)</f>
        <v>2</v>
      </c>
      <c r="F24877" s="21" t="n">
        <f aca="false">COLUMN()-COLUMN($C$1)</f>
        <v>3</v>
      </c>
      <c r="G24877" s="21" t="n">
        <f aca="false">COLUMN()-COLUMN($C$1)</f>
        <v>4</v>
      </c>
      <c r="H24877" s="21" t="n">
        <f aca="false">COLUMN()-COLUMN($C$1)</f>
        <v>5</v>
      </c>
      <c r="I24877" s="21" t="n">
        <f aca="false">COLUMN()-COLUMN($C$1)</f>
        <v>6</v>
      </c>
    </row>
    <row r="24878" customFormat="false" ht="15" hidden="false" customHeight="false" outlineLevel="0" collapsed="false">
      <c r="A24878" s="3" t="s">
        <v>601</v>
      </c>
      <c r="D24878" s="31" t="n">
        <f aca="false">CHOOSE($C$24707,G24287,G24300,G24313,G24326,G24339,G24352,G24365,G24378,G24391,G24404)</f>
        <v>0.1115</v>
      </c>
      <c r="E24878" s="31" t="n">
        <f aca="false">CHOOSE($C$24707,H24287,H24300,H24313,H24326,H24339,H24352,H24365,H24378,H24391,H24404)</f>
        <v>0.11</v>
      </c>
      <c r="F24878" s="31" t="n">
        <f aca="false">CHOOSE($C$24707,I24287,I24300,I24313,I24326,I24339,I24352,I24365,I24378,I24391,I24404)</f>
        <v>0.1075</v>
      </c>
      <c r="G24878" s="31" t="n">
        <f aca="false">CHOOSE($C$24707,J24287,J24300,J24313,J24326,J24339,J24352,J24365,J24378,J24391,J24404)</f>
        <v>0.1075</v>
      </c>
      <c r="H24878" s="31" t="n">
        <f aca="false">CHOOSE($C$24707,K24287,K24300,K24313,K24326,K24339,K24352,K24365,K24378,K24391,K24404)</f>
        <v>0.1075</v>
      </c>
    </row>
    <row r="24879" customFormat="false" ht="15" hidden="false" customHeight="false" outlineLevel="0" collapsed="false">
      <c r="A24879" s="3" t="s">
        <v>602</v>
      </c>
      <c r="D24879" s="16" t="n">
        <f aca="false">IF(D24877&lt;=$C$24716,$C$24708*D24878,0)</f>
        <v>11.15</v>
      </c>
      <c r="E24879" s="16" t="n">
        <f aca="false">IF(E24877&lt;=$C$24716,$C$24708*E24878,0)</f>
        <v>11</v>
      </c>
      <c r="F24879" s="16" t="n">
        <f aca="false">IF(F24877&lt;=$C$24716,$C$24708*F24878,0)</f>
        <v>10.75</v>
      </c>
      <c r="G24879" s="16" t="n">
        <f aca="false">IF(G24877&lt;=$C$24716,$C$24708*G24878,0)</f>
        <v>0</v>
      </c>
      <c r="H24879" s="16" t="n">
        <f aca="false">IF(H24877&lt;=$C$24716,$C$24708*H24878,0)</f>
        <v>0</v>
      </c>
    </row>
    <row r="24880" customFormat="false" ht="15" hidden="false" customHeight="false" outlineLevel="0" collapsed="false">
      <c r="A24880" s="3" t="s">
        <v>603</v>
      </c>
      <c r="D24880" s="16" t="n">
        <f aca="false">IF(AND($C$24539=0,D24877=$C$24711),$C$24708*$C$24874/100,0)+IF(AND($C$24539=1,D24877=$C$24875),$C$24714,0)</f>
        <v>0</v>
      </c>
      <c r="E24880" s="16" t="n">
        <f aca="false">IF(AND($C$24539=0,E24877=$C$24711),$C$24708*$C$24874/100,0)+IF(AND($C$24539=1,E24877=$C$24875),$C$24714,0)</f>
        <v>0</v>
      </c>
      <c r="F24880" s="16" t="n">
        <f aca="false">IF(AND($C$24539=0,F24877=$C$24711),$C$24708*$C$24874/100,0)+IF(AND($C$24539=1,F24877=$C$24875),$C$24714,0)</f>
        <v>100</v>
      </c>
      <c r="G24880" s="16" t="n">
        <f aca="false">IF(AND($C$24539=0,G24877=$C$24711),$C$24708*$C$24874/100,0)+IF(AND($C$24539=1,G24877=$C$24875),$C$24714,0)</f>
        <v>0</v>
      </c>
      <c r="H24880" s="16" t="n">
        <f aca="false">IF(AND($C$24539=0,H24877=$C$24711),$C$24708*$C$24874/100,0)+IF(AND($C$24539=1,H24877=$C$24875),$C$24714,0)</f>
        <v>0</v>
      </c>
      <c r="I24880" s="16" t="n">
        <f aca="false">IF(AND($C$24539=0,I24877=$C$24711),$C$24708*$C$24874/100,0)+IF(AND($C$24539=1,I24877=$C$24875),$C$24714,0)</f>
        <v>0</v>
      </c>
    </row>
    <row r="24881" customFormat="false" ht="15" hidden="false" customHeight="false" outlineLevel="0" collapsed="false">
      <c r="A24881" s="2" t="s">
        <v>604</v>
      </c>
      <c r="C24881" s="17" t="n">
        <f aca="false">-$C$24710</f>
        <v>-98.49</v>
      </c>
      <c r="D24881" s="17" t="n">
        <f aca="false">D24879+D24880</f>
        <v>11.15</v>
      </c>
      <c r="E24881" s="17" t="n">
        <f aca="false">E24879+E24880</f>
        <v>11</v>
      </c>
      <c r="F24881" s="17" t="n">
        <f aca="false">F24879+F24880</f>
        <v>110.75</v>
      </c>
      <c r="G24881" s="17" t="n">
        <f aca="false">G24879+G24880</f>
        <v>0</v>
      </c>
      <c r="H24881" s="17" t="n">
        <f aca="false">H24879+H24880</f>
        <v>0</v>
      </c>
      <c r="I24881" s="17" t="n">
        <f aca="false">I24879+I24880</f>
        <v>0</v>
      </c>
    </row>
    <row r="24882" customFormat="false" ht="15" hidden="false" customHeight="false" outlineLevel="0" collapsed="false">
      <c r="A24882" s="3" t="s">
        <v>605</v>
      </c>
      <c r="C24882" s="16" t="n">
        <f aca="false">SUM($C$24879:$I$24879)</f>
        <v>32.9</v>
      </c>
    </row>
    <row r="24883" customFormat="false" ht="15" hidden="false" customHeight="false" outlineLevel="0" collapsed="false">
      <c r="A24883" s="3" t="s">
        <v>606</v>
      </c>
      <c r="C24883" s="16" t="n">
        <f aca="false">SUM($C$24880:$I$24880)</f>
        <v>100</v>
      </c>
    </row>
    <row r="24884" customFormat="false" ht="15" hidden="false" customHeight="false" outlineLevel="0" collapsed="false">
      <c r="A24884" s="3" t="s">
        <v>607</v>
      </c>
      <c r="C24884" s="16" t="n">
        <f aca="false">C24882+C24883</f>
        <v>132.9</v>
      </c>
    </row>
    <row r="24885" customFormat="false" ht="15" hidden="false" customHeight="false" outlineLevel="0" collapsed="false">
      <c r="A24885" s="3" t="s">
        <v>608</v>
      </c>
      <c r="C24885" s="16" t="n">
        <f aca="false">C24883-C24708*C24709/100</f>
        <v>2</v>
      </c>
    </row>
    <row r="24886" customFormat="false" ht="15" hidden="false" customHeight="false" outlineLevel="0" collapsed="false">
      <c r="A24886" s="3" t="s">
        <v>609</v>
      </c>
      <c r="C24886" s="16" t="n">
        <f aca="false">C24884-C24710</f>
        <v>34.41</v>
      </c>
    </row>
    <row r="24887" customFormat="false" ht="15" hidden="false" customHeight="false" outlineLevel="0" collapsed="false">
      <c r="A24887" s="2" t="s">
        <v>484</v>
      </c>
      <c r="C24887" s="44" t="n">
        <f aca="false">C24884/C24710</f>
        <v>1.34937557112397</v>
      </c>
    </row>
    <row r="24888" customFormat="false" ht="15" hidden="false" customHeight="false" outlineLevel="0" collapsed="false">
      <c r="A24888" s="2" t="s">
        <v>483</v>
      </c>
      <c r="C24888" s="42" t="n">
        <f aca="false">IF(C24884&lt;=0,-1,IFERROR(IRR($C$24881:$I$24881,MAX(-0.9,C24887^(1/C24875)-1)),IRR($C$24881:$I$24881,0.1)))</f>
        <v>0.116056416629975</v>
      </c>
    </row>
    <row r="24889" customFormat="false" ht="15" hidden="false" customHeight="false" outlineLevel="0" collapsed="false">
      <c r="A24889" s="3" t="s">
        <v>610</v>
      </c>
      <c r="C24889" s="32" t="n">
        <f aca="false">MAX($G$24483:$K$24483)</f>
        <v>10.1875770846748</v>
      </c>
    </row>
    <row r="24890" customFormat="false" ht="15" hidden="false" customHeight="false" outlineLevel="0" collapsed="false">
      <c r="A24890" s="3" t="s">
        <v>611</v>
      </c>
      <c r="C24890" s="32" t="n">
        <f aca="false">MIN($G$24484:$K$24484)</f>
        <v>1.26693066616092</v>
      </c>
    </row>
    <row r="24891" customFormat="false" ht="15" hidden="false" customHeight="false" outlineLevel="0" collapsed="false">
      <c r="A24891" s="3" t="s">
        <v>612</v>
      </c>
      <c r="C24891" s="16" t="n">
        <f aca="false">SUM($G$24271:$K$24271)</f>
        <v>-490.130454830048</v>
      </c>
    </row>
    <row r="24895" customFormat="false" ht="15" hidden="false" customHeight="false" outlineLevel="0" collapsed="false">
      <c r="A24895" s="9" t="s">
        <v>1168</v>
      </c>
      <c r="B24895" s="10"/>
      <c r="C24895" s="10"/>
      <c r="D24895" s="10"/>
      <c r="E24895" s="10"/>
      <c r="F24895" s="10"/>
      <c r="G24895" s="10"/>
      <c r="H24895" s="10"/>
      <c r="I24895" s="10"/>
      <c r="J24895" s="10"/>
      <c r="K24895" s="10"/>
    </row>
    <row r="24896" customFormat="false" ht="15" hidden="false" customHeight="false" outlineLevel="0" collapsed="false">
      <c r="A24896" s="3" t="s">
        <v>1126</v>
      </c>
      <c r="C24896" s="11" t="n">
        <v>2</v>
      </c>
    </row>
    <row r="24897" customFormat="false" ht="15" hidden="false" customHeight="false" outlineLevel="0" collapsed="false">
      <c r="A24897" s="3" t="s">
        <v>1127</v>
      </c>
      <c r="C24897" s="19" t="n">
        <v>0</v>
      </c>
    </row>
    <row r="24898" customFormat="false" ht="15" hidden="false" customHeight="false" outlineLevel="0" collapsed="false">
      <c r="A24898" s="3" t="s">
        <v>1128</v>
      </c>
      <c r="C24898" s="19" t="n">
        <v>0</v>
      </c>
    </row>
    <row r="24899" customFormat="false" ht="15" hidden="false" customHeight="false" outlineLevel="0" collapsed="false">
      <c r="A24899" s="3" t="s">
        <v>1129</v>
      </c>
      <c r="C24899" s="30" t="n">
        <f aca="false">Sensitivities!$A$50</f>
        <v>-0.01</v>
      </c>
    </row>
    <row r="24900" customFormat="false" ht="15" hidden="false" customHeight="false" outlineLevel="0" collapsed="false">
      <c r="A24900" s="3" t="s">
        <v>1130</v>
      </c>
      <c r="C24900" s="15" t="n">
        <v>0</v>
      </c>
    </row>
    <row r="24902" customFormat="false" ht="15" hidden="false" customHeight="false" outlineLevel="0" collapsed="false">
      <c r="A24902" s="24" t="s">
        <v>301</v>
      </c>
      <c r="B24902" s="25"/>
      <c r="C24902" s="25"/>
      <c r="D24902" s="25"/>
      <c r="E24902" s="25"/>
      <c r="F24902" s="25"/>
      <c r="G24902" s="25"/>
      <c r="H24902" s="25"/>
      <c r="I24902" s="25"/>
      <c r="J24902" s="25"/>
      <c r="K24902" s="25"/>
    </row>
    <row r="24903" customFormat="false" ht="15" hidden="false" customHeight="false" outlineLevel="0" collapsed="false">
      <c r="A24903" s="3" t="s">
        <v>302</v>
      </c>
      <c r="F24903" s="27" t="n">
        <f aca="false">Assumptions!$C$6</f>
        <v>2026</v>
      </c>
      <c r="G24903" s="21" t="n">
        <f aca="false">F24903+1</f>
        <v>2027</v>
      </c>
      <c r="H24903" s="21" t="n">
        <f aca="false">G24903+1</f>
        <v>2028</v>
      </c>
      <c r="I24903" s="21" t="n">
        <f aca="false">H24903+1</f>
        <v>2029</v>
      </c>
      <c r="J24903" s="21" t="n">
        <f aca="false">I24903+1</f>
        <v>2030</v>
      </c>
      <c r="K24903" s="21" t="n">
        <f aca="false">J24903+1</f>
        <v>2031</v>
      </c>
    </row>
    <row r="24904" customFormat="false" ht="15" hidden="false" customHeight="false" outlineLevel="0" collapsed="false">
      <c r="A24904" s="3" t="s">
        <v>303</v>
      </c>
      <c r="G24904" s="21" t="n">
        <f aca="false">G24903-Assumptions!$C$6</f>
        <v>1</v>
      </c>
      <c r="H24904" s="21" t="n">
        <f aca="false">H24903-Assumptions!$C$6</f>
        <v>2</v>
      </c>
      <c r="I24904" s="21" t="n">
        <f aca="false">I24903-Assumptions!$C$6</f>
        <v>3</v>
      </c>
      <c r="J24904" s="21" t="n">
        <f aca="false">J24903-Assumptions!$C$6</f>
        <v>4</v>
      </c>
      <c r="K24904" s="21" t="n">
        <f aca="false">K24903-Assumptions!$C$6</f>
        <v>5</v>
      </c>
    </row>
    <row r="24905" customFormat="false" ht="15" hidden="false" customHeight="false" outlineLevel="0" collapsed="false">
      <c r="A24905" s="3" t="s">
        <v>180</v>
      </c>
      <c r="G24905" s="22" t="n">
        <f aca="false">CHOOSE($C$24896,Assumptions!$G$79,Assumptions!$G$98,Assumptions!$G$117)+$C$24897</f>
        <v>-0.06</v>
      </c>
      <c r="H24905" s="22" t="n">
        <f aca="false">CHOOSE($C$24896,Assumptions!$H$79,Assumptions!$H$98,Assumptions!$H$117)+$C$24897</f>
        <v>-0.03</v>
      </c>
      <c r="I24905" s="22" t="n">
        <f aca="false">CHOOSE($C$24896,Assumptions!$I$79,Assumptions!$I$98,Assumptions!$I$117)+$C$24897</f>
        <v>0</v>
      </c>
      <c r="J24905" s="22" t="n">
        <f aca="false">CHOOSE($C$24896,Assumptions!$J$79,Assumptions!$J$98,Assumptions!$J$117)+$C$24897</f>
        <v>0.01</v>
      </c>
      <c r="K24905" s="22" t="n">
        <f aca="false">CHOOSE($C$24896,Assumptions!$K$79,Assumptions!$K$98,Assumptions!$K$117)+$C$24897</f>
        <v>0.01</v>
      </c>
    </row>
    <row r="24906" customFormat="false" ht="15" hidden="false" customHeight="false" outlineLevel="0" collapsed="false">
      <c r="A24906" s="3" t="s">
        <v>181</v>
      </c>
      <c r="G24906" s="22" t="n">
        <f aca="false">CHOOSE($C$24896,Assumptions!$G$80,Assumptions!$G$99,Assumptions!$G$118)</f>
        <v>0.573920660818678</v>
      </c>
      <c r="H24906" s="22" t="n">
        <f aca="false">CHOOSE($C$24896,Assumptions!$H$80,Assumptions!$H$99,Assumptions!$H$118)</f>
        <v>0.558920660818678</v>
      </c>
      <c r="I24906" s="22" t="n">
        <f aca="false">CHOOSE($C$24896,Assumptions!$I$80,Assumptions!$I$99,Assumptions!$I$118)</f>
        <v>0.558920660818678</v>
      </c>
      <c r="J24906" s="22" t="n">
        <f aca="false">CHOOSE($C$24896,Assumptions!$J$80,Assumptions!$J$99,Assumptions!$J$118)</f>
        <v>0.563920660818678</v>
      </c>
      <c r="K24906" s="22" t="n">
        <f aca="false">CHOOSE($C$24896,Assumptions!$K$80,Assumptions!$K$99,Assumptions!$K$118)</f>
        <v>0.568920660818678</v>
      </c>
    </row>
    <row r="24907" customFormat="false" ht="15" hidden="false" customHeight="false" outlineLevel="0" collapsed="false">
      <c r="A24907" s="3" t="s">
        <v>182</v>
      </c>
      <c r="G24907" s="22" t="n">
        <f aca="false">CHOOSE($C$24896,Assumptions!$G$81,Assumptions!$G$100,Assumptions!$G$119)+$C$24898</f>
        <v>0.5</v>
      </c>
      <c r="H24907" s="22" t="n">
        <f aca="false">CHOOSE($C$24896,Assumptions!$H$81,Assumptions!$H$100,Assumptions!$H$119)+$C$24898</f>
        <v>0.485</v>
      </c>
      <c r="I24907" s="22" t="n">
        <f aca="false">CHOOSE($C$24896,Assumptions!$I$81,Assumptions!$I$100,Assumptions!$I$119)+$C$24898</f>
        <v>0.485</v>
      </c>
      <c r="J24907" s="22" t="n">
        <f aca="false">CHOOSE($C$24896,Assumptions!$J$81,Assumptions!$J$100,Assumptions!$J$119)+$C$24898</f>
        <v>0.49</v>
      </c>
      <c r="K24907" s="22" t="n">
        <f aca="false">CHOOSE($C$24896,Assumptions!$K$81,Assumptions!$K$100,Assumptions!$K$119)+$C$24898</f>
        <v>0.495</v>
      </c>
    </row>
    <row r="24908" customFormat="false" ht="15" hidden="false" customHeight="false" outlineLevel="0" collapsed="false">
      <c r="A24908" s="24" t="s">
        <v>304</v>
      </c>
      <c r="B24908" s="25"/>
      <c r="C24908" s="25"/>
      <c r="D24908" s="25"/>
      <c r="E24908" s="25"/>
      <c r="F24908" s="25"/>
      <c r="G24908" s="25"/>
      <c r="H24908" s="25"/>
      <c r="I24908" s="25"/>
      <c r="J24908" s="25"/>
      <c r="K24908" s="25"/>
    </row>
    <row r="24909" customFormat="false" ht="15" hidden="false" customHeight="false" outlineLevel="0" collapsed="false">
      <c r="A24909" s="2" t="s">
        <v>275</v>
      </c>
      <c r="F24909" s="28" t="n">
        <f aca="false">'Historical Financials'!G25</f>
        <v>498.291</v>
      </c>
      <c r="G24909" s="17" t="n">
        <f aca="false">F24909*(1+G24905)</f>
        <v>468.39354</v>
      </c>
      <c r="H24909" s="17" t="n">
        <f aca="false">G24909*(1+H24905)</f>
        <v>454.3417338</v>
      </c>
      <c r="I24909" s="17" t="n">
        <f aca="false">H24909*(1+I24905)</f>
        <v>454.3417338</v>
      </c>
      <c r="J24909" s="17" t="n">
        <f aca="false">I24909*(1+J24905)</f>
        <v>458.885151138</v>
      </c>
      <c r="K24909" s="17" t="n">
        <f aca="false">J24909*(1+K24905)</f>
        <v>463.47400264938</v>
      </c>
    </row>
    <row r="24910" customFormat="false" ht="15" hidden="false" customHeight="false" outlineLevel="0" collapsed="false">
      <c r="A24910" s="3" t="s">
        <v>276</v>
      </c>
      <c r="G24910" s="16" t="n">
        <f aca="false">G24909*(1-G24906)</f>
        <v>199.57281</v>
      </c>
      <c r="H24910" s="16" t="n">
        <f aca="false">H24909*(1-H24906)</f>
        <v>200.400751707</v>
      </c>
      <c r="I24910" s="16" t="n">
        <f aca="false">I24909*(1-I24906)</f>
        <v>200.400751707</v>
      </c>
      <c r="J24910" s="16" t="n">
        <f aca="false">J24909*(1-J24906)</f>
        <v>200.11033346838</v>
      </c>
      <c r="K24910" s="16" t="n">
        <f aca="false">K24909*(1-K24906)</f>
        <v>199.794066789817</v>
      </c>
    </row>
    <row r="24911" customFormat="false" ht="15" hidden="false" customHeight="false" outlineLevel="0" collapsed="false">
      <c r="A24911" s="2" t="s">
        <v>277</v>
      </c>
      <c r="G24911" s="17" t="n">
        <f aca="false">G24909-G24910</f>
        <v>268.82073</v>
      </c>
      <c r="H24911" s="17" t="n">
        <f aca="false">H24909-H24910</f>
        <v>253.940982093</v>
      </c>
      <c r="I24911" s="17" t="n">
        <f aca="false">I24909-I24910</f>
        <v>253.940982093</v>
      </c>
      <c r="J24911" s="17" t="n">
        <f aca="false">J24909-J24910</f>
        <v>258.77481766962</v>
      </c>
      <c r="K24911" s="17" t="n">
        <f aca="false">K24909-K24910</f>
        <v>263.679935859563</v>
      </c>
    </row>
    <row r="24912" customFormat="false" ht="15" hidden="false" customHeight="false" outlineLevel="0" collapsed="false">
      <c r="A24912" s="3" t="s">
        <v>305</v>
      </c>
      <c r="G24912" s="16" t="n">
        <f aca="false">G24911-G24913</f>
        <v>34.62396</v>
      </c>
      <c r="H24912" s="16" t="n">
        <f aca="false">H24911-H24913</f>
        <v>33.5852412</v>
      </c>
      <c r="I24912" s="16" t="n">
        <f aca="false">I24911-I24913</f>
        <v>33.5852412</v>
      </c>
      <c r="J24912" s="16" t="n">
        <f aca="false">J24911-J24913</f>
        <v>33.921093612</v>
      </c>
      <c r="K24912" s="16" t="n">
        <f aca="false">K24911-K24913</f>
        <v>34.26030454812</v>
      </c>
    </row>
    <row r="24913" customFormat="false" ht="15" hidden="false" customHeight="false" outlineLevel="0" collapsed="false">
      <c r="A24913" s="2" t="s">
        <v>306</v>
      </c>
      <c r="G24913" s="17" t="n">
        <f aca="false">G24909*G24907</f>
        <v>234.19677</v>
      </c>
      <c r="H24913" s="17" t="n">
        <f aca="false">H24909*H24907</f>
        <v>220.355740893</v>
      </c>
      <c r="I24913" s="17" t="n">
        <f aca="false">I24909*I24907</f>
        <v>220.355740893</v>
      </c>
      <c r="J24913" s="17" t="n">
        <f aca="false">J24909*J24907</f>
        <v>224.85372405762</v>
      </c>
      <c r="K24913" s="17" t="n">
        <f aca="false">K24909*K24907</f>
        <v>229.419631311443</v>
      </c>
    </row>
    <row r="24914" customFormat="false" ht="15" hidden="false" customHeight="false" outlineLevel="0" collapsed="false">
      <c r="A24914" s="3" t="s">
        <v>307</v>
      </c>
      <c r="G24914" s="16" t="n">
        <f aca="false">G24909*'Historical Financials'!G30/'Historical Financials'!G25</f>
        <v>174.17542</v>
      </c>
      <c r="H24914" s="16" t="n">
        <f aca="false">H24909*'Historical Financials'!G30/'Historical Financials'!G25</f>
        <v>168.9501574</v>
      </c>
      <c r="I24914" s="16" t="n">
        <f aca="false">I24909*'Historical Financials'!G30/'Historical Financials'!G25</f>
        <v>168.9501574</v>
      </c>
      <c r="J24914" s="16" t="n">
        <f aca="false">J24909*'Historical Financials'!G30/'Historical Financials'!G25</f>
        <v>170.639658974</v>
      </c>
      <c r="K24914" s="16" t="n">
        <f aca="false">K24909*'Historical Financials'!G30/'Historical Financials'!G25</f>
        <v>172.34605556374</v>
      </c>
    </row>
    <row r="24915" customFormat="false" ht="15" hidden="false" customHeight="false" outlineLevel="0" collapsed="false">
      <c r="A24915" s="3" t="s">
        <v>308</v>
      </c>
      <c r="G24915" s="16" t="n">
        <f aca="false">G24909*'Historical Financials'!G31/'Historical Financials'!G25</f>
        <v>0</v>
      </c>
      <c r="H24915" s="16" t="n">
        <f aca="false">H24909*'Historical Financials'!G31/'Historical Financials'!G25</f>
        <v>0</v>
      </c>
      <c r="I24915" s="16" t="n">
        <f aca="false">I24909*'Historical Financials'!G31/'Historical Financials'!G25</f>
        <v>0</v>
      </c>
      <c r="J24915" s="16" t="n">
        <f aca="false">J24909*'Historical Financials'!G31/'Historical Financials'!G25</f>
        <v>0</v>
      </c>
      <c r="K24915" s="16" t="n">
        <f aca="false">K24909*'Historical Financials'!G31/'Historical Financials'!G25</f>
        <v>0</v>
      </c>
    </row>
    <row r="24916" customFormat="false" ht="15" hidden="false" customHeight="false" outlineLevel="0" collapsed="false">
      <c r="A24916" s="2" t="s">
        <v>309</v>
      </c>
      <c r="G24916" s="17" t="n">
        <f aca="false">G24913-G24914-G24915</f>
        <v>60.02135</v>
      </c>
      <c r="H24916" s="17" t="n">
        <f aca="false">H24913-H24914-H24915</f>
        <v>51.405583493</v>
      </c>
      <c r="I24916" s="17" t="n">
        <f aca="false">I24913-I24914-I24915</f>
        <v>51.405583493</v>
      </c>
      <c r="J24916" s="17" t="n">
        <f aca="false">J24913-J24914-J24915</f>
        <v>54.21406508362</v>
      </c>
      <c r="K24916" s="17" t="n">
        <f aca="false">K24913-K24914-K24915</f>
        <v>57.0735757477031</v>
      </c>
    </row>
    <row r="24917" customFormat="false" ht="15" hidden="false" customHeight="false" outlineLevel="0" collapsed="false">
      <c r="A24917" s="3" t="s">
        <v>310</v>
      </c>
      <c r="G24917" s="16" t="n">
        <f aca="false">G24943+G24956+G24969+G24982+G24995+G25008+G25021+G25034+G25047+G25060</f>
        <v>182.6027354</v>
      </c>
      <c r="H24917" s="16" t="n">
        <f aca="false">H24943+H24956+H24969+H24982+H24995+H25008+H25021+H25034+H25047+H25060</f>
        <v>181.5048204</v>
      </c>
      <c r="I24917" s="16" t="n">
        <f aca="false">I24943+I24956+I24969+I24982+I24995+I25008+I25021+I25034+I25047+I25060</f>
        <v>177.6539046363</v>
      </c>
      <c r="J24917" s="16" t="n">
        <f aca="false">J24943+J24956+J24969+J24982+J24995+J25008+J25021+J25034+J25047+J25060</f>
        <v>177.2839046363</v>
      </c>
      <c r="K24917" s="16" t="n">
        <f aca="false">K24943+K24956+K24969+K24982+K24995+K25008+K25021+K25034+K25047+K25060</f>
        <v>176.9139046363</v>
      </c>
    </row>
    <row r="24918" customFormat="false" ht="15" hidden="false" customHeight="false" outlineLevel="0" collapsed="false">
      <c r="A24918" s="3" t="s">
        <v>311</v>
      </c>
      <c r="G24918" s="16" t="n">
        <f aca="false">G24944+G24957+G24970+G24983+G24996+G25009+G25022+G25035+G25048+G25061</f>
        <v>0</v>
      </c>
      <c r="H24918" s="16" t="n">
        <f aca="false">H24944+H24957+H24970+H24983+H24996+H25009+H25022+H25035+H25048+H25061</f>
        <v>0</v>
      </c>
      <c r="I24918" s="16" t="n">
        <f aca="false">I24944+I24957+I24970+I24983+I24996+I25009+I25022+I25035+I25048+I25061</f>
        <v>0</v>
      </c>
      <c r="J24918" s="16" t="n">
        <f aca="false">J24944+J24957+J24970+J24983+J24996+J25009+J25022+J25035+J25048+J25061</f>
        <v>0</v>
      </c>
      <c r="K24918" s="16" t="n">
        <f aca="false">K24944+K24957+K24970+K24983+K24996+K25009+K25022+K25035+K25048+K25061</f>
        <v>0</v>
      </c>
    </row>
    <row r="24919" customFormat="false" ht="15" hidden="false" customHeight="false" outlineLevel="0" collapsed="false">
      <c r="A24919" s="3" t="s">
        <v>283</v>
      </c>
      <c r="G24919" s="16" t="n">
        <f aca="false">G24917+G24918</f>
        <v>182.6027354</v>
      </c>
      <c r="H24919" s="16" t="n">
        <f aca="false">H24917+H24918</f>
        <v>181.5048204</v>
      </c>
      <c r="I24919" s="16" t="n">
        <f aca="false">I24917+I24918</f>
        <v>177.6539046363</v>
      </c>
      <c r="J24919" s="16" t="n">
        <f aca="false">J24917+J24918</f>
        <v>177.2839046363</v>
      </c>
      <c r="K24919" s="16" t="n">
        <f aca="false">K24917+K24918</f>
        <v>176.9139046363</v>
      </c>
    </row>
    <row r="24920" customFormat="false" ht="15" hidden="false" customHeight="false" outlineLevel="0" collapsed="false">
      <c r="A24920" s="2" t="s">
        <v>284</v>
      </c>
      <c r="G24920" s="17" t="n">
        <f aca="false">G24916-G24919</f>
        <v>-122.5813854</v>
      </c>
      <c r="H24920" s="17" t="n">
        <f aca="false">H24916-H24919</f>
        <v>-130.099236907</v>
      </c>
      <c r="I24920" s="17" t="n">
        <f aca="false">I24916-I24919</f>
        <v>-126.248321143299</v>
      </c>
      <c r="J24920" s="17" t="n">
        <f aca="false">J24916-J24919</f>
        <v>-123.069839552679</v>
      </c>
      <c r="K24920" s="17" t="n">
        <f aca="false">K24916-K24919</f>
        <v>-119.840328888596</v>
      </c>
    </row>
    <row r="24921" customFormat="false" ht="15" hidden="false" customHeight="false" outlineLevel="0" collapsed="false">
      <c r="A24921" s="3" t="s">
        <v>312</v>
      </c>
      <c r="G24921" s="16" t="n">
        <f aca="false">MAX(0,G24920)*Assumptions!$C$9</f>
        <v>0</v>
      </c>
      <c r="H24921" s="16" t="n">
        <f aca="false">MAX(0,H24920)*Assumptions!$C$9</f>
        <v>0</v>
      </c>
      <c r="I24921" s="16" t="n">
        <f aca="false">MAX(0,I24920)*Assumptions!$C$9</f>
        <v>0</v>
      </c>
      <c r="J24921" s="16" t="n">
        <f aca="false">MAX(0,J24920)*Assumptions!$C$9</f>
        <v>0</v>
      </c>
      <c r="K24921" s="16" t="n">
        <f aca="false">MAX(0,K24920)*Assumptions!$C$9</f>
        <v>0</v>
      </c>
    </row>
    <row r="24922" customFormat="false" ht="15" hidden="false" customHeight="false" outlineLevel="0" collapsed="false">
      <c r="A24922" s="2" t="s">
        <v>313</v>
      </c>
      <c r="G24922" s="17" t="n">
        <f aca="false">G24920-G24921</f>
        <v>-122.5813854</v>
      </c>
      <c r="H24922" s="17" t="n">
        <f aca="false">H24920-H24921</f>
        <v>-130.099236907</v>
      </c>
      <c r="I24922" s="17" t="n">
        <f aca="false">I24920-I24921</f>
        <v>-126.248321143299</v>
      </c>
      <c r="J24922" s="17" t="n">
        <f aca="false">J24920-J24921</f>
        <v>-123.069839552679</v>
      </c>
      <c r="K24922" s="17" t="n">
        <f aca="false">K24920-K24921</f>
        <v>-119.840328888596</v>
      </c>
    </row>
    <row r="24923" customFormat="false" ht="15" hidden="false" customHeight="false" outlineLevel="0" collapsed="false">
      <c r="A24923" s="24" t="s">
        <v>314</v>
      </c>
      <c r="B24923" s="25"/>
      <c r="C24923" s="25"/>
      <c r="D24923" s="25"/>
      <c r="E24923" s="25"/>
      <c r="F24923" s="25"/>
      <c r="G24923" s="25"/>
      <c r="H24923" s="25"/>
      <c r="I24923" s="25"/>
      <c r="J24923" s="25"/>
      <c r="K24923" s="25"/>
    </row>
    <row r="24924" customFormat="false" ht="15" hidden="false" customHeight="false" outlineLevel="0" collapsed="false">
      <c r="A24924" s="3" t="s">
        <v>184</v>
      </c>
      <c r="G24924" s="16" t="n">
        <f aca="false">G24909*CHOOSE($C$24896,Assumptions!$C$83,Assumptions!$C$102,Assumptions!$C$121)</f>
        <v>84.3108372</v>
      </c>
      <c r="H24924" s="16" t="n">
        <f aca="false">H24909*CHOOSE($C$24896,Assumptions!$C$83,Assumptions!$C$102,Assumptions!$C$121)</f>
        <v>81.781512084</v>
      </c>
      <c r="I24924" s="16" t="n">
        <f aca="false">I24909*CHOOSE($C$24896,Assumptions!$C$83,Assumptions!$C$102,Assumptions!$C$121)</f>
        <v>81.781512084</v>
      </c>
      <c r="J24924" s="16" t="n">
        <f aca="false">J24909*CHOOSE($C$24896,Assumptions!$C$83,Assumptions!$C$102,Assumptions!$C$121)</f>
        <v>82.59932720484</v>
      </c>
      <c r="K24924" s="16" t="n">
        <f aca="false">K24909*CHOOSE($C$24896,Assumptions!$C$83,Assumptions!$C$102,Assumptions!$C$121)</f>
        <v>83.4253204768884</v>
      </c>
    </row>
    <row r="24925" customFormat="false" ht="15" hidden="false" customHeight="false" outlineLevel="0" collapsed="false">
      <c r="A24925" s="3" t="s">
        <v>315</v>
      </c>
      <c r="G24925" s="16" t="n">
        <f aca="false">CHOOSE($C$24896,Assumptions!$C$84,Assumptions!$C$103,Assumptions!$C$122)*(G24909-F24909)+CHOOSE($C$24896,Assumptions!$C$85,Assumptions!$C$104,Assumptions!$C$123)*G24909</f>
        <v>23.419677</v>
      </c>
      <c r="H24925" s="16" t="n">
        <f aca="false">CHOOSE($C$24896,Assumptions!$C$84,Assumptions!$C$103,Assumptions!$C$122)*(H24909-G24909)+CHOOSE($C$24896,Assumptions!$C$85,Assumptions!$C$104,Assumptions!$C$123)*H24909</f>
        <v>22.71708669</v>
      </c>
      <c r="I24925" s="16" t="n">
        <f aca="false">CHOOSE($C$24896,Assumptions!$C$84,Assumptions!$C$103,Assumptions!$C$122)*(I24909-H24909)+CHOOSE($C$24896,Assumptions!$C$85,Assumptions!$C$104,Assumptions!$C$123)*I24909</f>
        <v>22.71708669</v>
      </c>
      <c r="J24925" s="16" t="n">
        <f aca="false">CHOOSE($C$24896,Assumptions!$C$84,Assumptions!$C$103,Assumptions!$C$122)*(J24909-I24909)+CHOOSE($C$24896,Assumptions!$C$85,Assumptions!$C$104,Assumptions!$C$123)*J24909</f>
        <v>22.9442575569</v>
      </c>
      <c r="K24925" s="16" t="n">
        <f aca="false">CHOOSE($C$24896,Assumptions!$C$84,Assumptions!$C$103,Assumptions!$C$122)*(K24909-J24909)+CHOOSE($C$24896,Assumptions!$C$85,Assumptions!$C$104,Assumptions!$C$123)*K24909</f>
        <v>23.173700132469</v>
      </c>
    </row>
    <row r="24926" customFormat="false" ht="15" hidden="false" customHeight="false" outlineLevel="0" collapsed="false">
      <c r="A24926" s="2" t="s">
        <v>316</v>
      </c>
      <c r="G24926" s="17" t="n">
        <f aca="false">G24922+G24914+G24915+G24918-G24924-G24925</f>
        <v>-56.1364796</v>
      </c>
      <c r="H24926" s="17" t="n">
        <f aca="false">H24922+H24914+H24915+H24918-H24924-H24925</f>
        <v>-65.647678281</v>
      </c>
      <c r="I24926" s="17" t="n">
        <f aca="false">I24922+I24914+I24915+I24918-I24924-I24925</f>
        <v>-61.7967625172995</v>
      </c>
      <c r="J24926" s="17" t="n">
        <f aca="false">J24922+J24914+J24915+J24918-J24924-J24925</f>
        <v>-57.9737653404195</v>
      </c>
      <c r="K24926" s="17" t="n">
        <f aca="false">K24922+K24914+K24915+K24918-K24924-K24925</f>
        <v>-54.0932939342138</v>
      </c>
    </row>
    <row r="24928" customFormat="false" ht="15" hidden="false" customHeight="false" outlineLevel="0" collapsed="false">
      <c r="A24928" s="24" t="s">
        <v>318</v>
      </c>
      <c r="B24928" s="25"/>
      <c r="C24928" s="25"/>
      <c r="D24928" s="25"/>
      <c r="E24928" s="25"/>
      <c r="F24928" s="25"/>
      <c r="G24928" s="25"/>
      <c r="H24928" s="25"/>
      <c r="I24928" s="25"/>
      <c r="J24928" s="25"/>
      <c r="K24928" s="25"/>
    </row>
    <row r="24929" customFormat="false" ht="15" hidden="false" customHeight="false" outlineLevel="0" collapsed="false">
      <c r="A24929" s="3" t="s">
        <v>319</v>
      </c>
      <c r="G24929" s="30" t="n">
        <f aca="false">Assumptions!$G$53</f>
        <v>0.039</v>
      </c>
      <c r="H24929" s="30" t="n">
        <f aca="false">Assumptions!$H$53</f>
        <v>0.0375</v>
      </c>
      <c r="I24929" s="30" t="n">
        <f aca="false">Assumptions!$I$53</f>
        <v>0.035</v>
      </c>
      <c r="J24929" s="30" t="n">
        <f aca="false">Assumptions!$J$53</f>
        <v>0.035</v>
      </c>
      <c r="K24929" s="30" t="n">
        <f aca="false">Assumptions!$K$53</f>
        <v>0.035</v>
      </c>
    </row>
    <row r="24930" customFormat="false" ht="15" hidden="false" customHeight="false" outlineLevel="0" collapsed="false">
      <c r="A24930" s="3" t="s">
        <v>320</v>
      </c>
      <c r="C24930" s="31" t="n">
        <f aca="false">CHOOSE($C$24896,Assumptions!$C$86,Assumptions!$C$105,Assumptions!$C$124)+$C$24899</f>
        <v>0.005</v>
      </c>
    </row>
    <row r="24931" customFormat="false" ht="15" hidden="false" customHeight="false" outlineLevel="0" collapsed="false">
      <c r="A24931" s="3" t="s">
        <v>321</v>
      </c>
      <c r="C24931" s="31" t="n">
        <f aca="false">CHOOSE($C$24896,Assumptions!$C$87,Assumptions!$C$106,Assumptions!$C$125)</f>
        <v>0.1</v>
      </c>
    </row>
    <row r="24932" customFormat="false" ht="15" hidden="false" customHeight="false" outlineLevel="0" collapsed="false">
      <c r="A24932" s="3" t="s">
        <v>322</v>
      </c>
      <c r="C24932" s="32" t="n">
        <f aca="false">CHOOSE($C$24896,Assumptions!$C$88,Assumptions!$C$107,Assumptions!$C$126)</f>
        <v>9.5</v>
      </c>
    </row>
    <row r="24933" customFormat="false" ht="15" hidden="false" customHeight="false" outlineLevel="0" collapsed="false">
      <c r="A24933" s="3" t="s">
        <v>323</v>
      </c>
      <c r="C24933" s="32" t="n">
        <f aca="false">CHOOSE($C$24896,Assumptions!$C$89,Assumptions!$C$108,Assumptions!$C$127)</f>
        <v>1.5</v>
      </c>
    </row>
    <row r="24934" customFormat="false" ht="15" hidden="false" customHeight="false" outlineLevel="0" collapsed="false">
      <c r="A24934" s="3" t="s">
        <v>324</v>
      </c>
      <c r="G24934" s="16" t="n">
        <f aca="false">G24939+G24952+G24965+G24978+G24991+G25004+G25017+G25030+G25043+G25056</f>
        <v>2625.934</v>
      </c>
      <c r="H24934" s="16" t="n">
        <f aca="false">H24939+H24952+H24965+H24978+H24991+H25004+H25017+H25030+H25043+H25056</f>
        <v>2621.934</v>
      </c>
      <c r="I24934" s="16" t="n">
        <f aca="false">I24939+I24952+I24965+I24978+I24991+I25004+I25017+I25030+I25043+I25056</f>
        <v>2559.848157881</v>
      </c>
      <c r="J24934" s="16" t="n">
        <f aca="false">J24939+J24952+J24965+J24978+J24991+J25004+J25017+J25030+J25043+J25056</f>
        <v>2555.848157881</v>
      </c>
      <c r="K24934" s="16" t="n">
        <f aca="false">K24939+K24952+K24965+K24978+K24991+K25004+K25017+K25030+K25043+K25056</f>
        <v>2551.848157881</v>
      </c>
    </row>
    <row r="24935" customFormat="false" ht="15" hidden="false" customHeight="false" outlineLevel="0" collapsed="false">
      <c r="A24935" s="3" t="s">
        <v>325</v>
      </c>
      <c r="G24935" s="16" t="n">
        <f aca="false">F25127</f>
        <v>37.87</v>
      </c>
      <c r="H24935" s="16" t="n">
        <f aca="false">G25127</f>
        <v>127.7335204</v>
      </c>
      <c r="I24935" s="16" t="n">
        <f aca="false">H25127</f>
        <v>0</v>
      </c>
      <c r="J24935" s="16" t="n">
        <f aca="false">I25127</f>
        <v>-65.7967625172995</v>
      </c>
      <c r="K24935" s="16" t="n">
        <f aca="false">J25127</f>
        <v>-127.770527857719</v>
      </c>
    </row>
    <row r="24936" customFormat="false" ht="15" hidden="false" customHeight="false" outlineLevel="0" collapsed="false">
      <c r="A24936" s="3" t="s">
        <v>326</v>
      </c>
      <c r="G24936" s="16" t="n">
        <f aca="false">G24939*IF(G24940=1,$C$24931,IF(Assumptions!$I$57=1,MAX(G24929,Assumptions!$G$57)+Assumptions!$F$57+$C$24930,Assumptions!$E$57))+G24952*IF(G24953=1,$C$24931,IF(Assumptions!$I$58=1,MAX(G24929,Assumptions!$G$58)+Assumptions!$F$58+$C$24930,Assumptions!$E$58))+G24965*IF(G24966=1,$C$24931,IF(Assumptions!$I$59=1,MAX(G24929,Assumptions!$G$59)+Assumptions!$F$59+$C$24930,Assumptions!$E$59))+G24978*IF(G24979=1,$C$24931,IF(Assumptions!$I$60=1,MAX(G24929,Assumptions!$G$60)+Assumptions!$F$60+$C$24930,Assumptions!$E$60))+G24991*IF(G24992=1,$C$24931,IF(Assumptions!$I$61=1,MAX(G24929,Assumptions!$G$61)+Assumptions!$F$61+$C$24930,Assumptions!$E$61))+G25004*IF(G25005=1,$C$24931,IF(Assumptions!$I$62=1,MAX(G24929,Assumptions!$G$62)+Assumptions!$F$62+$C$24930,Assumptions!$E$62))+G25017*IF(G25018=1,$C$24931,IF(Assumptions!$I$63=1,MAX(G24929,Assumptions!$G$63)+Assumptions!$F$63+$C$24930,Assumptions!$E$63))+G25030*IF(G25031=1,$C$24931,IF(Assumptions!$I$64=1,MAX(G24929,Assumptions!$G$64)+Assumptions!$F$64+$C$24930,Assumptions!$E$64))+G25043*IF(G25044=1,$C$24931,IF(Assumptions!$I$65=1,MAX(G24929,Assumptions!$G$65)+Assumptions!$F$65+$C$24930,Assumptions!$E$65))+G25056*IF(G25057=1,$C$24931,IF(Assumptions!$I$66=1,MAX(G24929,Assumptions!$G$66)+Assumptions!$F$66+$C$24930,Assumptions!$E$66))</f>
        <v>182.6027354</v>
      </c>
      <c r="H24936" s="16" t="n">
        <f aca="false">H24939*IF(OR(H24940=1,G25249=1),$C$24931,IF(Assumptions!$I$57=1,MAX(H24929,Assumptions!$G$57)+Assumptions!$F$57+$C$24930,Assumptions!$E$57))+H24952*IF(OR(H24953=1,G25250=1),$C$24931,IF(Assumptions!$I$58=1,MAX(H24929,Assumptions!$G$58)+Assumptions!$F$58+$C$24930,Assumptions!$E$58))+H24965*IF(OR(H24966=1,G25251=1),$C$24931,IF(Assumptions!$I$59=1,MAX(H24929,Assumptions!$G$59)+Assumptions!$F$59+$C$24930,Assumptions!$E$59))+H24978*IF(OR(H24979=1,G25252=1),$C$24931,IF(Assumptions!$I$60=1,MAX(H24929,Assumptions!$G$60)+Assumptions!$F$60+$C$24930,Assumptions!$E$60))+H24991*IF(OR(H24992=1,G25253=1),$C$24931,IF(Assumptions!$I$61=1,MAX(H24929,Assumptions!$G$61)+Assumptions!$F$61+$C$24930,Assumptions!$E$61))+H25004*IF(OR(H25005=1,G25254=1),$C$24931,IF(Assumptions!$I$62=1,MAX(H24929,Assumptions!$G$62)+Assumptions!$F$62+$C$24930,Assumptions!$E$62))+H25017*IF(OR(H25018=1,G25255=1),$C$24931,IF(Assumptions!$I$63=1,MAX(H24929,Assumptions!$G$63)+Assumptions!$F$63+$C$24930,Assumptions!$E$63))+H25030*IF(OR(H25031=1,G25256=1),$C$24931,IF(Assumptions!$I$64=1,MAX(H24929,Assumptions!$G$64)+Assumptions!$F$64+$C$24930,Assumptions!$E$64))+H25043*IF(OR(H25044=1,G25257=1),$C$24931,IF(Assumptions!$I$65=1,MAX(H24929,Assumptions!$G$65)+Assumptions!$F$65+$C$24930,Assumptions!$E$65))+H25056*IF(OR(H25057=1,G25258=1),$C$24931,IF(Assumptions!$I$66=1,MAX(H24929,Assumptions!$G$66)+Assumptions!$F$66+$C$24930,Assumptions!$E$66))</f>
        <v>214.6798204</v>
      </c>
      <c r="I24936" s="16" t="n">
        <f aca="false">I24939*IF(OR(I24940=1,H25249=1),$C$24931,IF(Assumptions!$I$57=1,MAX(I24929,Assumptions!$G$57)+Assumptions!$F$57+$C$24930,Assumptions!$E$57))+I24952*IF(OR(I24953=1,H25250=1),$C$24931,IF(Assumptions!$I$58=1,MAX(I24929,Assumptions!$G$58)+Assumptions!$F$58+$C$24930,Assumptions!$E$58))+I24965*IF(OR(I24966=1,H25251=1),$C$24931,IF(Assumptions!$I$59=1,MAX(I24929,Assumptions!$G$59)+Assumptions!$F$59+$C$24930,Assumptions!$E$59))+I24978*IF(OR(I24979=1,H25252=1),$C$24931,IF(Assumptions!$I$60=1,MAX(I24929,Assumptions!$G$60)+Assumptions!$F$60+$C$24930,Assumptions!$E$60))+I24991*IF(OR(I24992=1,H25253=1),$C$24931,IF(Assumptions!$I$61=1,MAX(I24929,Assumptions!$G$61)+Assumptions!$F$61+$C$24930,Assumptions!$E$61))+I25004*IF(OR(I25005=1,H25254=1),$C$24931,IF(Assumptions!$I$62=1,MAX(I24929,Assumptions!$G$62)+Assumptions!$F$62+$C$24930,Assumptions!$E$62))+I25017*IF(OR(I25018=1,H25255=1),$C$24931,IF(Assumptions!$I$63=1,MAX(I24929,Assumptions!$G$63)+Assumptions!$F$63+$C$24930,Assumptions!$E$63))+I25030*IF(OR(I25031=1,H25256=1),$C$24931,IF(Assumptions!$I$64=1,MAX(I24929,Assumptions!$G$64)+Assumptions!$F$64+$C$24930,Assumptions!$E$64))+I25043*IF(OR(I25044=1,H25257=1),$C$24931,IF(Assumptions!$I$65=1,MAX(I24929,Assumptions!$G$65)+Assumptions!$F$65+$C$24930,Assumptions!$E$65))+I25056*IF(OR(I25057=1,H25258=1),$C$24931,IF(Assumptions!$I$66=1,MAX(I24929,Assumptions!$G$66)+Assumptions!$F$66+$C$24930,Assumptions!$E$66))</f>
        <v>183.8414046363</v>
      </c>
      <c r="J24936" s="16" t="n">
        <f aca="false">J24939*IF(OR(J24940=1,I25249=1),$C$24931,IF(Assumptions!$I$57=1,MAX(J24929,Assumptions!$G$57)+Assumptions!$F$57+$C$24930,Assumptions!$E$57))+J24952*IF(OR(J24953=1,I25250=1),$C$24931,IF(Assumptions!$I$58=1,MAX(J24929,Assumptions!$G$58)+Assumptions!$F$58+$C$24930,Assumptions!$E$58))+J24965*IF(OR(J24966=1,I25251=1),$C$24931,IF(Assumptions!$I$59=1,MAX(J24929,Assumptions!$G$59)+Assumptions!$F$59+$C$24930,Assumptions!$E$59))+J24978*IF(OR(J24979=1,I25252=1),$C$24931,IF(Assumptions!$I$60=1,MAX(J24929,Assumptions!$G$60)+Assumptions!$F$60+$C$24930,Assumptions!$E$60))+J24991*IF(OR(J24992=1,I25253=1),$C$24931,IF(Assumptions!$I$61=1,MAX(J24929,Assumptions!$G$61)+Assumptions!$F$61+$C$24930,Assumptions!$E$61))+J25004*IF(OR(J25005=1,I25254=1),$C$24931,IF(Assumptions!$I$62=1,MAX(J24929,Assumptions!$G$62)+Assumptions!$F$62+$C$24930,Assumptions!$E$62))+J25017*IF(OR(J25018=1,I25255=1),$C$24931,IF(Assumptions!$I$63=1,MAX(J24929,Assumptions!$G$63)+Assumptions!$F$63+$C$24930,Assumptions!$E$63))+J25030*IF(OR(J25031=1,I25256=1),$C$24931,IF(Assumptions!$I$64=1,MAX(J24929,Assumptions!$G$64)+Assumptions!$F$64+$C$24930,Assumptions!$E$64))+J25043*IF(OR(J25044=1,I25257=1),$C$24931,IF(Assumptions!$I$65=1,MAX(J24929,Assumptions!$G$65)+Assumptions!$F$65+$C$24930,Assumptions!$E$65))+J25056*IF(OR(J25057=1,I25258=1),$C$24931,IF(Assumptions!$I$66=1,MAX(J24929,Assumptions!$G$66)+Assumptions!$F$66+$C$24930,Assumptions!$E$66))</f>
        <v>196.358904636299</v>
      </c>
      <c r="K24936" s="16" t="n">
        <f aca="false">K24939*IF(OR(K24940=1,J25249=1),$C$24931,IF(Assumptions!$I$57=1,MAX(K24929,Assumptions!$G$57)+Assumptions!$F$57+$C$24930,Assumptions!$E$57))+K24952*IF(OR(K24953=1,J25250=1),$C$24931,IF(Assumptions!$I$58=1,MAX(K24929,Assumptions!$G$58)+Assumptions!$F$58+$C$24930,Assumptions!$E$58))+K24965*IF(OR(K24966=1,J25251=1),$C$24931,IF(Assumptions!$I$59=1,MAX(K24929,Assumptions!$G$59)+Assumptions!$F$59+$C$24930,Assumptions!$E$59))+K24978*IF(OR(K24979=1,J25252=1),$C$24931,IF(Assumptions!$I$60=1,MAX(K24929,Assumptions!$G$60)+Assumptions!$F$60+$C$24930,Assumptions!$E$60))+K24991*IF(OR(K24992=1,J25253=1),$C$24931,IF(Assumptions!$I$61=1,MAX(K24929,Assumptions!$G$61)+Assumptions!$F$61+$C$24930,Assumptions!$E$61))+K25004*IF(OR(K25005=1,J25254=1),$C$24931,IF(Assumptions!$I$62=1,MAX(K24929,Assumptions!$G$62)+Assumptions!$F$62+$C$24930,Assumptions!$E$62))+K25017*IF(OR(K25018=1,J25255=1),$C$24931,IF(Assumptions!$I$63=1,MAX(K24929,Assumptions!$G$63)+Assumptions!$F$63+$C$24930,Assumptions!$E$63))+K25030*IF(OR(K25031=1,J25256=1),$C$24931,IF(Assumptions!$I$64=1,MAX(K24929,Assumptions!$G$64)+Assumptions!$F$64+$C$24930,Assumptions!$E$64))+K25043*IF(OR(K25044=1,J25257=1),$C$24931,IF(Assumptions!$I$65=1,MAX(K24929,Assumptions!$G$65)+Assumptions!$F$65+$C$24930,Assumptions!$E$65))+K25056*IF(OR(K25057=1,J25258=1),$C$24931,IF(Assumptions!$I$66=1,MAX(K24929,Assumptions!$G$66)+Assumptions!$F$66+$C$24930,Assumptions!$E$66))</f>
        <v>191.4189046363</v>
      </c>
    </row>
    <row r="24937" customFormat="false" ht="15" hidden="false" customHeight="false" outlineLevel="0" collapsed="false">
      <c r="A24937" s="3" t="s">
        <v>327</v>
      </c>
      <c r="G24937" s="21" t="n">
        <f aca="false">IF(G24913&lt;=0,0,IF(AND((G24934-G24935)/G24913&lt;=$C$24932,G24913/G24936&gt;=$C$24933),1,0))</f>
        <v>0</v>
      </c>
      <c r="H24937" s="21" t="n">
        <f aca="false">IF(H24913&lt;=0,0,IF(AND((H24934-H24935)/H24913&lt;=$C$24932,H24913/H24936&gt;=$C$24933),1,0))</f>
        <v>0</v>
      </c>
      <c r="I24937" s="21" t="n">
        <f aca="false">IF(I24913&lt;=0,0,IF(AND((I24934-I24935)/I24913&lt;=$C$24932,I24913/I24936&gt;=$C$24933),1,0))</f>
        <v>0</v>
      </c>
      <c r="J24937" s="21" t="n">
        <f aca="false">IF(J24913&lt;=0,0,IF(AND((J24934-J24935)/J24913&lt;=$C$24932,J24913/J24936&gt;=$C$24933),1,0))</f>
        <v>0</v>
      </c>
      <c r="K24937" s="21" t="n">
        <f aca="false">IF(K24913&lt;=0,0,IF(AND((K24934-K24935)/K24913&lt;=$C$24932,K24913/K24936&gt;=$C$24933),1,0))</f>
        <v>0</v>
      </c>
    </row>
    <row r="24938" customFormat="false" ht="15" hidden="false" customHeight="false" outlineLevel="0" collapsed="false">
      <c r="A24938" s="24" t="s">
        <v>328</v>
      </c>
      <c r="B24938" s="25"/>
      <c r="C24938" s="25"/>
      <c r="D24938" s="25"/>
      <c r="E24938" s="25"/>
      <c r="F24938" s="25"/>
      <c r="G24938" s="25"/>
      <c r="H24938" s="25"/>
      <c r="I24938" s="25"/>
      <c r="J24938" s="25"/>
      <c r="K24938" s="25"/>
    </row>
    <row r="24939" customFormat="false" ht="15" hidden="false" customHeight="false" outlineLevel="0" collapsed="false">
      <c r="A24939" s="3" t="s">
        <v>329</v>
      </c>
      <c r="G24939" s="16" t="n">
        <f aca="false">F24950</f>
        <v>400</v>
      </c>
      <c r="H24939" s="16" t="n">
        <f aca="false">G24950</f>
        <v>396</v>
      </c>
      <c r="I24939" s="16" t="n">
        <f aca="false">H24950</f>
        <v>392</v>
      </c>
      <c r="J24939" s="16" t="n">
        <f aca="false">I24950</f>
        <v>388</v>
      </c>
      <c r="K24939" s="16" t="n">
        <f aca="false">J24950</f>
        <v>384</v>
      </c>
    </row>
    <row r="24940" customFormat="false" ht="15" hidden="false" customHeight="false" outlineLevel="0" collapsed="false">
      <c r="A24940" s="3" t="s">
        <v>330</v>
      </c>
      <c r="G24940" s="21" t="n">
        <f aca="false">IF(G24903=Assumptions!$K$57,1,0)</f>
        <v>0</v>
      </c>
      <c r="H24940" s="21" t="n">
        <f aca="false">IF(H24903=Assumptions!$K$57,1,0)</f>
        <v>0</v>
      </c>
      <c r="I24940" s="21" t="n">
        <f aca="false">IF(I24903=Assumptions!$K$57,1,0)</f>
        <v>0</v>
      </c>
      <c r="J24940" s="21" t="n">
        <f aca="false">IF(J24903=Assumptions!$K$57,1,0)</f>
        <v>0</v>
      </c>
      <c r="K24940" s="21" t="n">
        <f aca="false">IF(K24903=Assumptions!$K$57,1,0)</f>
        <v>1</v>
      </c>
    </row>
    <row r="24942" customFormat="false" ht="15" hidden="false" customHeight="false" outlineLevel="0" collapsed="false">
      <c r="A24942" s="3" t="s">
        <v>331</v>
      </c>
      <c r="G24942" s="31" t="n">
        <f aca="false">IF(Assumptions!$I$57=1,MAX(G24929,Assumptions!$G$57)+Assumptions!$F$57+$C$24930,Assumptions!$E$57)</f>
        <v>0.0965</v>
      </c>
      <c r="H24942" s="31" t="n">
        <f aca="false">IF(G25249=1,$C$24931,IF(Assumptions!$I$57=1,MAX(H24929,Assumptions!$G$57)+Assumptions!$F$57+$C$24930,Assumptions!$E$57))</f>
        <v>0.095</v>
      </c>
      <c r="I24942" s="31" t="n">
        <f aca="false">IF(H25249=1,$C$24931,IF(Assumptions!$I$57=1,MAX(I24929,Assumptions!$G$57)+Assumptions!$F$57+$C$24930,Assumptions!$E$57))</f>
        <v>0.0925</v>
      </c>
      <c r="J24942" s="31" t="n">
        <f aca="false">IF(I25249=1,$C$24931,IF(Assumptions!$I$57=1,MAX(J24929,Assumptions!$G$57)+Assumptions!$F$57+$C$24930,Assumptions!$E$57))</f>
        <v>0.0925</v>
      </c>
      <c r="K24942" s="31" t="n">
        <f aca="false">IF(J25249=1,$C$24931,IF(Assumptions!$I$57=1,MAX(K24929,Assumptions!$G$57)+Assumptions!$F$57+$C$24930,Assumptions!$E$57))</f>
        <v>0.0925</v>
      </c>
    </row>
    <row r="24943" customFormat="false" ht="15" hidden="false" customHeight="false" outlineLevel="0" collapsed="false">
      <c r="A24943" s="3" t="s">
        <v>332</v>
      </c>
      <c r="G24943" s="16" t="n">
        <f aca="false">G24939*G24942</f>
        <v>38.6</v>
      </c>
      <c r="H24943" s="16" t="n">
        <f aca="false">H24939*H24942</f>
        <v>37.62</v>
      </c>
      <c r="I24943" s="16" t="n">
        <f aca="false">I24939*I24942</f>
        <v>36.26</v>
      </c>
      <c r="J24943" s="16" t="n">
        <f aca="false">J24939*J24942</f>
        <v>35.89</v>
      </c>
      <c r="K24943" s="16" t="n">
        <f aca="false">K24939*K24942</f>
        <v>35.52</v>
      </c>
    </row>
    <row r="24944" customFormat="false" ht="15" hidden="false" customHeight="false" outlineLevel="0" collapsed="false">
      <c r="A24944" s="3" t="s">
        <v>333</v>
      </c>
      <c r="G24944" s="16" t="n">
        <f aca="false">G24939*Assumptions!$H$57</f>
        <v>0</v>
      </c>
      <c r="H24944" s="16" t="n">
        <f aca="false">H24939*Assumptions!$H$57</f>
        <v>0</v>
      </c>
      <c r="I24944" s="16" t="n">
        <f aca="false">I24939*Assumptions!$H$57</f>
        <v>0</v>
      </c>
      <c r="J24944" s="16" t="n">
        <f aca="false">J24939*Assumptions!$H$57</f>
        <v>0</v>
      </c>
      <c r="K24944" s="16" t="n">
        <f aca="false">K24939*Assumptions!$H$57</f>
        <v>0</v>
      </c>
    </row>
    <row r="24945" customFormat="false" ht="15" hidden="false" customHeight="false" outlineLevel="0" collapsed="false">
      <c r="A24945" s="3" t="s">
        <v>334</v>
      </c>
      <c r="G24945" s="16" t="n">
        <f aca="false">MIN(G24939,Assumptions!$L$57*Assumptions!$C$57)</f>
        <v>4</v>
      </c>
      <c r="H24945" s="16" t="n">
        <f aca="false">MIN(H24939,Assumptions!$L$57*Assumptions!$C$57)</f>
        <v>4</v>
      </c>
      <c r="I24945" s="16" t="n">
        <f aca="false">MIN(I24939,Assumptions!$L$57*Assumptions!$C$57)</f>
        <v>4</v>
      </c>
      <c r="J24945" s="16" t="n">
        <f aca="false">MIN(J24939,Assumptions!$L$57*Assumptions!$C$57)</f>
        <v>4</v>
      </c>
      <c r="K24945" s="16" t="n">
        <f aca="false">MIN(K24939,Assumptions!$L$57*Assumptions!$C$57)</f>
        <v>4</v>
      </c>
    </row>
    <row r="24946" customFormat="false" ht="15" hidden="false" customHeight="false" outlineLevel="0" collapsed="false">
      <c r="A24946" s="3" t="s">
        <v>335</v>
      </c>
      <c r="G24946" s="16" t="n">
        <f aca="false">IF(AND(Assumptions!$P$57=1,G24903&lt;Assumptions!$K$57),MIN(MAX(0,-G25119),MAX(0,Assumptions!$D$57-G24939)),0)</f>
        <v>0</v>
      </c>
      <c r="H24946" s="16" t="n">
        <f aca="false">IF(AND(Assumptions!$P$57=1,OR(H24903&lt;Assumptions!$K$57,G25249=1)),MIN(MAX(0,-H25119),MAX(0,Assumptions!$D$57-H24939)),0)</f>
        <v>0</v>
      </c>
      <c r="I24946" s="16" t="n">
        <f aca="false">IF(AND(Assumptions!$P$57=1,OR(I24903&lt;Assumptions!$K$57,H25249=1)),MIN(MAX(0,-I25119),MAX(0,Assumptions!$D$57-I24939)),0)</f>
        <v>0</v>
      </c>
      <c r="J24946" s="16" t="n">
        <f aca="false">IF(AND(Assumptions!$P$57=1,OR(J24903&lt;Assumptions!$K$57,I25249=1)),MIN(MAX(0,-J25119),MAX(0,Assumptions!$D$57-J24939)),0)</f>
        <v>0</v>
      </c>
      <c r="K24946" s="16" t="n">
        <f aca="false">IF(AND(Assumptions!$P$57=1,OR(K24903&lt;Assumptions!$K$57,J25249=1)),MIN(MAX(0,-K25119),MAX(0,Assumptions!$D$57-K24939)),0)</f>
        <v>0</v>
      </c>
    </row>
    <row r="24947" customFormat="false" ht="15" hidden="false" customHeight="false" outlineLevel="0" collapsed="false">
      <c r="A24947" s="3" t="s">
        <v>336</v>
      </c>
      <c r="G24947" s="16" t="n">
        <f aca="false">G24940*MIN(G24939-G24945+G24944,MAX(0,G25121-Assumptions!$C$12*G24937))</f>
        <v>0</v>
      </c>
      <c r="H24947" s="16" t="n">
        <f aca="false">H24940*MIN(H24939-H24945+H24944,MAX(0,H25121-Assumptions!$C$12*H24937))</f>
        <v>0</v>
      </c>
      <c r="I24947" s="16" t="n">
        <f aca="false">I24940*MIN(I24939-I24945+I24944,MAX(0,I25121-Assumptions!$C$12*I24937))</f>
        <v>0</v>
      </c>
      <c r="J24947" s="16" t="n">
        <f aca="false">J24940*MIN(J24939-J24945+J24944,MAX(0,J25121-Assumptions!$C$12*J24937))</f>
        <v>0</v>
      </c>
      <c r="K24947" s="16" t="n">
        <f aca="false">K24940*MIN(K24939-K24945+K24944,MAX(0,K25121-Assumptions!$C$12*K24937))</f>
        <v>0</v>
      </c>
    </row>
    <row r="24948" customFormat="false" ht="15" hidden="false" customHeight="false" outlineLevel="0" collapsed="false">
      <c r="A24948" s="3" t="s">
        <v>337</v>
      </c>
      <c r="G24948" s="16" t="n">
        <f aca="false">Assumptions!$N$57*MIN(G24939+G24946+G24944-G24945-G24947,MAX(0,G25125))</f>
        <v>0</v>
      </c>
      <c r="H24948" s="16" t="n">
        <f aca="false">Assumptions!$N$57*MIN(H24939+H24946+H24944-H24945-H24947,MAX(0,H25125))</f>
        <v>0</v>
      </c>
      <c r="I24948" s="16" t="n">
        <f aca="false">Assumptions!$N$57*MIN(I24939+I24946+I24944-I24945-I24947,MAX(0,I25125))</f>
        <v>0</v>
      </c>
      <c r="J24948" s="16" t="n">
        <f aca="false">Assumptions!$N$57*MIN(J24939+J24946+J24944-J24945-J24947,MAX(0,J25125))</f>
        <v>0</v>
      </c>
      <c r="K24948" s="16" t="n">
        <f aca="false">Assumptions!$N$57*MIN(K24939+K24946+K24944-K24945-K24947,MAX(0,K25125))</f>
        <v>0</v>
      </c>
    </row>
    <row r="24949" customFormat="false" ht="15" hidden="false" customHeight="false" outlineLevel="0" collapsed="false">
      <c r="A24949" s="3" t="s">
        <v>338</v>
      </c>
      <c r="G24949" s="16" t="n">
        <f aca="false">G24940*(1-G24937)*(G24939-G24945+G24944-G24947)</f>
        <v>0</v>
      </c>
      <c r="H24949" s="16" t="n">
        <f aca="false">H24940*(1-H24937)*(H24939-H24945+H24944-H24947)</f>
        <v>0</v>
      </c>
      <c r="I24949" s="16" t="n">
        <f aca="false">I24940*(1-I24937)*(I24939-I24945+I24944-I24947)</f>
        <v>0</v>
      </c>
      <c r="J24949" s="16" t="n">
        <f aca="false">J24940*(1-J24937)*(J24939-J24945+J24944-J24947)</f>
        <v>0</v>
      </c>
      <c r="K24949" s="16" t="n">
        <f aca="false">K24940*(1-K24937)*(K24939-K24945+K24944-K24947)</f>
        <v>380</v>
      </c>
    </row>
    <row r="24950" customFormat="false" ht="15" hidden="false" customHeight="false" outlineLevel="0" collapsed="false">
      <c r="A24950" s="2" t="s">
        <v>339</v>
      </c>
      <c r="F24950" s="28" t="n">
        <f aca="false">Assumptions!$C$57</f>
        <v>400</v>
      </c>
      <c r="G24950" s="17" t="n">
        <f aca="false">G24939+G24946+G24944-G24945-G24947-G24948</f>
        <v>396</v>
      </c>
      <c r="H24950" s="17" t="n">
        <f aca="false">H24939+H24946+H24944-H24945-H24947-H24948</f>
        <v>392</v>
      </c>
      <c r="I24950" s="17" t="n">
        <f aca="false">I24939+I24946+I24944-I24945-I24947-I24948</f>
        <v>388</v>
      </c>
      <c r="J24950" s="17" t="n">
        <f aca="false">J24939+J24946+J24944-J24945-J24947-J24948</f>
        <v>384</v>
      </c>
      <c r="K24950" s="17" t="n">
        <f aca="false">K24939+K24946+K24944-K24945-K24947-K24948</f>
        <v>380</v>
      </c>
    </row>
    <row r="24951" customFormat="false" ht="15" hidden="false" customHeight="false" outlineLevel="0" collapsed="false">
      <c r="A24951" s="24" t="s">
        <v>340</v>
      </c>
      <c r="B24951" s="25"/>
      <c r="C24951" s="25"/>
      <c r="D24951" s="25"/>
      <c r="E24951" s="25"/>
      <c r="F24951" s="25"/>
      <c r="G24951" s="25"/>
      <c r="H24951" s="25"/>
      <c r="I24951" s="25"/>
      <c r="J24951" s="25"/>
      <c r="K24951" s="25"/>
    </row>
    <row r="24952" customFormat="false" ht="15" hidden="false" customHeight="false" outlineLevel="0" collapsed="false">
      <c r="A24952" s="3" t="s">
        <v>329</v>
      </c>
      <c r="G24952" s="16" t="n">
        <f aca="false">F24963</f>
        <v>90</v>
      </c>
      <c r="H24952" s="16" t="n">
        <f aca="false">G24963</f>
        <v>90</v>
      </c>
      <c r="I24952" s="16" t="n">
        <f aca="false">H24963</f>
        <v>90</v>
      </c>
      <c r="J24952" s="16" t="n">
        <f aca="false">I24963</f>
        <v>90</v>
      </c>
      <c r="K24952" s="16" t="n">
        <f aca="false">J24963</f>
        <v>90</v>
      </c>
    </row>
    <row r="24953" customFormat="false" ht="15" hidden="false" customHeight="false" outlineLevel="0" collapsed="false">
      <c r="A24953" s="3" t="s">
        <v>330</v>
      </c>
      <c r="G24953" s="21" t="n">
        <f aca="false">IF(G24903=Assumptions!$K$58,1,0)</f>
        <v>0</v>
      </c>
      <c r="H24953" s="21" t="n">
        <f aca="false">IF(H24903=Assumptions!$K$58,1,0)</f>
        <v>0</v>
      </c>
      <c r="I24953" s="21" t="n">
        <f aca="false">IF(I24903=Assumptions!$K$58,1,0)</f>
        <v>0</v>
      </c>
      <c r="J24953" s="21" t="n">
        <f aca="false">IF(J24903=Assumptions!$K$58,1,0)</f>
        <v>0</v>
      </c>
      <c r="K24953" s="21" t="n">
        <f aca="false">IF(K24903=Assumptions!$K$58,1,0)</f>
        <v>0</v>
      </c>
    </row>
    <row r="24955" customFormat="false" ht="15" hidden="false" customHeight="false" outlineLevel="0" collapsed="false">
      <c r="A24955" s="3" t="s">
        <v>331</v>
      </c>
      <c r="G24955" s="31" t="n">
        <f aca="false">IF(Assumptions!$I$58=1,MAX(G24929,Assumptions!$G$58)+Assumptions!$F$58+$C$24930,Assumptions!$E$58)</f>
        <v>0.0581</v>
      </c>
      <c r="H24955" s="31" t="n">
        <f aca="false">IF(G25250=1,$C$24931,IF(Assumptions!$I$58=1,MAX(H24929,Assumptions!$G$58)+Assumptions!$F$58+$C$24930,Assumptions!$E$58))</f>
        <v>0.0581</v>
      </c>
      <c r="I24955" s="31" t="n">
        <f aca="false">IF(H25250=1,$C$24931,IF(Assumptions!$I$58=1,MAX(I24929,Assumptions!$G$58)+Assumptions!$F$58+$C$24930,Assumptions!$E$58))</f>
        <v>0.0581</v>
      </c>
      <c r="J24955" s="31" t="n">
        <f aca="false">IF(I25250=1,$C$24931,IF(Assumptions!$I$58=1,MAX(J24929,Assumptions!$G$58)+Assumptions!$F$58+$C$24930,Assumptions!$E$58))</f>
        <v>0.0581</v>
      </c>
      <c r="K24955" s="31" t="n">
        <f aca="false">IF(J25250=1,$C$24931,IF(Assumptions!$I$58=1,MAX(K24929,Assumptions!$G$58)+Assumptions!$F$58+$C$24930,Assumptions!$E$58))</f>
        <v>0.0581</v>
      </c>
    </row>
    <row r="24956" customFormat="false" ht="15" hidden="false" customHeight="false" outlineLevel="0" collapsed="false">
      <c r="A24956" s="3" t="s">
        <v>332</v>
      </c>
      <c r="G24956" s="16" t="n">
        <f aca="false">G24952*G24955</f>
        <v>5.229</v>
      </c>
      <c r="H24956" s="16" t="n">
        <f aca="false">H24952*H24955</f>
        <v>5.229</v>
      </c>
      <c r="I24956" s="16" t="n">
        <f aca="false">I24952*I24955</f>
        <v>5.229</v>
      </c>
      <c r="J24956" s="16" t="n">
        <f aca="false">J24952*J24955</f>
        <v>5.229</v>
      </c>
      <c r="K24956" s="16" t="n">
        <f aca="false">K24952*K24955</f>
        <v>5.229</v>
      </c>
    </row>
    <row r="24957" customFormat="false" ht="15" hidden="false" customHeight="false" outlineLevel="0" collapsed="false">
      <c r="A24957" s="3" t="s">
        <v>333</v>
      </c>
      <c r="G24957" s="16" t="n">
        <f aca="false">G24952*Assumptions!$H$58</f>
        <v>0</v>
      </c>
      <c r="H24957" s="16" t="n">
        <f aca="false">H24952*Assumptions!$H$58</f>
        <v>0</v>
      </c>
      <c r="I24957" s="16" t="n">
        <f aca="false">I24952*Assumptions!$H$58</f>
        <v>0</v>
      </c>
      <c r="J24957" s="16" t="n">
        <f aca="false">J24952*Assumptions!$H$58</f>
        <v>0</v>
      </c>
      <c r="K24957" s="16" t="n">
        <f aca="false">K24952*Assumptions!$H$58</f>
        <v>0</v>
      </c>
    </row>
    <row r="24958" customFormat="false" ht="15" hidden="false" customHeight="false" outlineLevel="0" collapsed="false">
      <c r="A24958" s="3" t="s">
        <v>334</v>
      </c>
      <c r="G24958" s="16" t="n">
        <f aca="false">MIN(G24952,Assumptions!$L$58*Assumptions!$C$58)</f>
        <v>0</v>
      </c>
      <c r="H24958" s="16" t="n">
        <f aca="false">MIN(H24952,Assumptions!$L$58*Assumptions!$C$58)</f>
        <v>0</v>
      </c>
      <c r="I24958" s="16" t="n">
        <f aca="false">MIN(I24952,Assumptions!$L$58*Assumptions!$C$58)</f>
        <v>0</v>
      </c>
      <c r="J24958" s="16" t="n">
        <f aca="false">MIN(J24952,Assumptions!$L$58*Assumptions!$C$58)</f>
        <v>0</v>
      </c>
      <c r="K24958" s="16" t="n">
        <f aca="false">MIN(K24952,Assumptions!$L$58*Assumptions!$C$58)</f>
        <v>0</v>
      </c>
    </row>
    <row r="24959" customFormat="false" ht="15" hidden="false" customHeight="false" outlineLevel="0" collapsed="false">
      <c r="A24959" s="3" t="s">
        <v>335</v>
      </c>
      <c r="G24959" s="16" t="n">
        <f aca="false">IF(AND(Assumptions!$P$58=1,G24903&lt;Assumptions!$K$58),MIN(MAX(0,-G25119),MAX(0,Assumptions!$D$58-G24952)),0)</f>
        <v>0</v>
      </c>
      <c r="H24959" s="16" t="n">
        <f aca="false">IF(AND(Assumptions!$P$58=1,OR(H24903&lt;Assumptions!$K$58,G25250=1)),MIN(MAX(0,-H25119),MAX(0,Assumptions!$D$58-H24952)),0)</f>
        <v>0</v>
      </c>
      <c r="I24959" s="16" t="n">
        <f aca="false">IF(AND(Assumptions!$P$58=1,OR(I24903&lt;Assumptions!$K$58,H25250=1)),MIN(MAX(0,-I25119),MAX(0,Assumptions!$D$58-I24952)),0)</f>
        <v>0</v>
      </c>
      <c r="J24959" s="16" t="n">
        <f aca="false">IF(AND(Assumptions!$P$58=1,OR(J24903&lt;Assumptions!$K$58,I25250=1)),MIN(MAX(0,-J25119),MAX(0,Assumptions!$D$58-J24952)),0)</f>
        <v>0</v>
      </c>
      <c r="K24959" s="16" t="n">
        <f aca="false">IF(AND(Assumptions!$P$58=1,OR(K24903&lt;Assumptions!$K$58,J25250=1)),MIN(MAX(0,-K25119),MAX(0,Assumptions!$D$58-K24952)),0)</f>
        <v>0</v>
      </c>
    </row>
    <row r="24960" customFormat="false" ht="15" hidden="false" customHeight="false" outlineLevel="0" collapsed="false">
      <c r="A24960" s="3" t="s">
        <v>336</v>
      </c>
      <c r="G24960" s="16" t="n">
        <f aca="false">G24953*MIN(G24952-G24958+G24957,MAX(0,G25121-Assumptions!$C$12*G24937-G24947))</f>
        <v>0</v>
      </c>
      <c r="H24960" s="16" t="n">
        <f aca="false">H24953*MIN(H24952-H24958+H24957,MAX(0,H25121-Assumptions!$C$12*H24937-H24947))</f>
        <v>0</v>
      </c>
      <c r="I24960" s="16" t="n">
        <f aca="false">I24953*MIN(I24952-I24958+I24957,MAX(0,I25121-Assumptions!$C$12*I24937-I24947))</f>
        <v>0</v>
      </c>
      <c r="J24960" s="16" t="n">
        <f aca="false">J24953*MIN(J24952-J24958+J24957,MAX(0,J25121-Assumptions!$C$12*J24937-J24947))</f>
        <v>0</v>
      </c>
      <c r="K24960" s="16" t="n">
        <f aca="false">K24953*MIN(K24952-K24958+K24957,MAX(0,K25121-Assumptions!$C$12*K24937-K24947))</f>
        <v>0</v>
      </c>
    </row>
    <row r="24961" customFormat="false" ht="15" hidden="false" customHeight="false" outlineLevel="0" collapsed="false">
      <c r="A24961" s="3" t="s">
        <v>337</v>
      </c>
      <c r="G24961" s="16" t="n">
        <f aca="false">Assumptions!$N$58*MIN(G24952+G24959+G24957-G24958-G24960,MAX(0,G25125-G24948))</f>
        <v>0</v>
      </c>
      <c r="H24961" s="16" t="n">
        <f aca="false">Assumptions!$N$58*MIN(H24952+H24959+H24957-H24958-H24960,MAX(0,H25125-H24948))</f>
        <v>0</v>
      </c>
      <c r="I24961" s="16" t="n">
        <f aca="false">Assumptions!$N$58*MIN(I24952+I24959+I24957-I24958-I24960,MAX(0,I25125-I24948))</f>
        <v>0</v>
      </c>
      <c r="J24961" s="16" t="n">
        <f aca="false">Assumptions!$N$58*MIN(J24952+J24959+J24957-J24958-J24960,MAX(0,J25125-J24948))</f>
        <v>0</v>
      </c>
      <c r="K24961" s="16" t="n">
        <f aca="false">Assumptions!$N$58*MIN(K24952+K24959+K24957-K24958-K24960,MAX(0,K25125-K24948))</f>
        <v>0</v>
      </c>
    </row>
    <row r="24962" customFormat="false" ht="15" hidden="false" customHeight="false" outlineLevel="0" collapsed="false">
      <c r="A24962" s="3" t="s">
        <v>338</v>
      </c>
      <c r="G24962" s="16" t="n">
        <f aca="false">G24953*(1-G24937)*(G24952-G24958+G24957-G24960)</f>
        <v>0</v>
      </c>
      <c r="H24962" s="16" t="n">
        <f aca="false">H24953*(1-H24937)*(H24952-H24958+H24957-H24960)</f>
        <v>0</v>
      </c>
      <c r="I24962" s="16" t="n">
        <f aca="false">I24953*(1-I24937)*(I24952-I24958+I24957-I24960)</f>
        <v>0</v>
      </c>
      <c r="J24962" s="16" t="n">
        <f aca="false">J24953*(1-J24937)*(J24952-J24958+J24957-J24960)</f>
        <v>0</v>
      </c>
      <c r="K24962" s="16" t="n">
        <f aca="false">K24953*(1-K24937)*(K24952-K24958+K24957-K24960)</f>
        <v>0</v>
      </c>
    </row>
    <row r="24963" customFormat="false" ht="15" hidden="false" customHeight="false" outlineLevel="0" collapsed="false">
      <c r="A24963" s="2" t="s">
        <v>339</v>
      </c>
      <c r="F24963" s="28" t="n">
        <f aca="false">Assumptions!$C$58</f>
        <v>90</v>
      </c>
      <c r="G24963" s="17" t="n">
        <f aca="false">G24952+G24959+G24957-G24958-G24960-G24961</f>
        <v>90</v>
      </c>
      <c r="H24963" s="17" t="n">
        <f aca="false">H24952+H24959+H24957-H24958-H24960-H24961</f>
        <v>90</v>
      </c>
      <c r="I24963" s="17" t="n">
        <f aca="false">I24952+I24959+I24957-I24958-I24960-I24961</f>
        <v>90</v>
      </c>
      <c r="J24963" s="17" t="n">
        <f aca="false">J24952+J24959+J24957-J24958-J24960-J24961</f>
        <v>90</v>
      </c>
      <c r="K24963" s="17" t="n">
        <f aca="false">K24952+K24959+K24957-K24958-K24960-K24961</f>
        <v>90</v>
      </c>
    </row>
    <row r="24964" customFormat="false" ht="15" hidden="false" customHeight="false" outlineLevel="0" collapsed="false">
      <c r="A24964" s="24" t="s">
        <v>341</v>
      </c>
      <c r="B24964" s="25"/>
      <c r="C24964" s="25"/>
      <c r="D24964" s="25"/>
      <c r="E24964" s="25"/>
      <c r="F24964" s="25"/>
      <c r="G24964" s="25"/>
      <c r="H24964" s="25"/>
      <c r="I24964" s="25"/>
      <c r="J24964" s="25"/>
      <c r="K24964" s="25"/>
    </row>
    <row r="24965" customFormat="false" ht="15" hidden="false" customHeight="false" outlineLevel="0" collapsed="false">
      <c r="A24965" s="3" t="s">
        <v>329</v>
      </c>
      <c r="G24965" s="16" t="n">
        <f aca="false">F24976</f>
        <v>57.324</v>
      </c>
      <c r="H24965" s="16" t="n">
        <f aca="false">G24976</f>
        <v>57.324</v>
      </c>
      <c r="I24965" s="16" t="n">
        <f aca="false">H24976</f>
        <v>57.324</v>
      </c>
      <c r="J24965" s="16" t="n">
        <f aca="false">I24976</f>
        <v>57.324</v>
      </c>
      <c r="K24965" s="16" t="n">
        <f aca="false">J24976</f>
        <v>57.324</v>
      </c>
    </row>
    <row r="24966" customFormat="false" ht="15" hidden="false" customHeight="false" outlineLevel="0" collapsed="false">
      <c r="A24966" s="3" t="s">
        <v>330</v>
      </c>
      <c r="G24966" s="21" t="n">
        <f aca="false">IF(G24903=Assumptions!$K$59,1,0)</f>
        <v>0</v>
      </c>
      <c r="H24966" s="21" t="n">
        <f aca="false">IF(H24903=Assumptions!$K$59,1,0)</f>
        <v>0</v>
      </c>
      <c r="I24966" s="21" t="n">
        <f aca="false">IF(I24903=Assumptions!$K$59,1,0)</f>
        <v>0</v>
      </c>
      <c r="J24966" s="21" t="n">
        <f aca="false">IF(J24903=Assumptions!$K$59,1,0)</f>
        <v>0</v>
      </c>
      <c r="K24966" s="21" t="n">
        <f aca="false">IF(K24903=Assumptions!$K$59,1,0)</f>
        <v>0</v>
      </c>
    </row>
    <row r="24968" customFormat="false" ht="15" hidden="false" customHeight="false" outlineLevel="0" collapsed="false">
      <c r="A24968" s="3" t="s">
        <v>331</v>
      </c>
      <c r="G24968" s="31" t="n">
        <f aca="false">IF(Assumptions!$I$59=1,MAX(G24929,Assumptions!$G$59)+Assumptions!$F$59+$C$24930,Assumptions!$E$59)</f>
        <v>0.0731</v>
      </c>
      <c r="H24968" s="31" t="n">
        <f aca="false">IF(G25251=1,$C$24931,IF(Assumptions!$I$59=1,MAX(H24929,Assumptions!$G$59)+Assumptions!$F$59+$C$24930,Assumptions!$E$59))</f>
        <v>0.0731</v>
      </c>
      <c r="I24968" s="31" t="n">
        <f aca="false">IF(H25251=1,$C$24931,IF(Assumptions!$I$59=1,MAX(I24929,Assumptions!$G$59)+Assumptions!$F$59+$C$24930,Assumptions!$E$59))</f>
        <v>0.0731</v>
      </c>
      <c r="J24968" s="31" t="n">
        <f aca="false">IF(I25251=1,$C$24931,IF(Assumptions!$I$59=1,MAX(J24929,Assumptions!$G$59)+Assumptions!$F$59+$C$24930,Assumptions!$E$59))</f>
        <v>0.0731</v>
      </c>
      <c r="K24968" s="31" t="n">
        <f aca="false">IF(J25251=1,$C$24931,IF(Assumptions!$I$59=1,MAX(K24929,Assumptions!$G$59)+Assumptions!$F$59+$C$24930,Assumptions!$E$59))</f>
        <v>0.0731</v>
      </c>
    </row>
    <row r="24969" customFormat="false" ht="15" hidden="false" customHeight="false" outlineLevel="0" collapsed="false">
      <c r="A24969" s="3" t="s">
        <v>332</v>
      </c>
      <c r="G24969" s="16" t="n">
        <f aca="false">G24965*G24968</f>
        <v>4.1903844</v>
      </c>
      <c r="H24969" s="16" t="n">
        <f aca="false">H24965*H24968</f>
        <v>4.1903844</v>
      </c>
      <c r="I24969" s="16" t="n">
        <f aca="false">I24965*I24968</f>
        <v>4.1903844</v>
      </c>
      <c r="J24969" s="16" t="n">
        <f aca="false">J24965*J24968</f>
        <v>4.1903844</v>
      </c>
      <c r="K24969" s="16" t="n">
        <f aca="false">K24965*K24968</f>
        <v>4.1903844</v>
      </c>
    </row>
    <row r="24970" customFormat="false" ht="15" hidden="false" customHeight="false" outlineLevel="0" collapsed="false">
      <c r="A24970" s="3" t="s">
        <v>333</v>
      </c>
      <c r="G24970" s="16" t="n">
        <f aca="false">G24965*Assumptions!$H$59</f>
        <v>0</v>
      </c>
      <c r="H24970" s="16" t="n">
        <f aca="false">H24965*Assumptions!$H$59</f>
        <v>0</v>
      </c>
      <c r="I24970" s="16" t="n">
        <f aca="false">I24965*Assumptions!$H$59</f>
        <v>0</v>
      </c>
      <c r="J24970" s="16" t="n">
        <f aca="false">J24965*Assumptions!$H$59</f>
        <v>0</v>
      </c>
      <c r="K24970" s="16" t="n">
        <f aca="false">K24965*Assumptions!$H$59</f>
        <v>0</v>
      </c>
    </row>
    <row r="24971" customFormat="false" ht="15" hidden="false" customHeight="false" outlineLevel="0" collapsed="false">
      <c r="A24971" s="3" t="s">
        <v>334</v>
      </c>
      <c r="G24971" s="16" t="n">
        <f aca="false">MIN(G24965,Assumptions!$L$59*Assumptions!$C$59)</f>
        <v>0</v>
      </c>
      <c r="H24971" s="16" t="n">
        <f aca="false">MIN(H24965,Assumptions!$L$59*Assumptions!$C$59)</f>
        <v>0</v>
      </c>
      <c r="I24971" s="16" t="n">
        <f aca="false">MIN(I24965,Assumptions!$L$59*Assumptions!$C$59)</f>
        <v>0</v>
      </c>
      <c r="J24971" s="16" t="n">
        <f aca="false">MIN(J24965,Assumptions!$L$59*Assumptions!$C$59)</f>
        <v>0</v>
      </c>
      <c r="K24971" s="16" t="n">
        <f aca="false">MIN(K24965,Assumptions!$L$59*Assumptions!$C$59)</f>
        <v>0</v>
      </c>
    </row>
    <row r="24972" customFormat="false" ht="15" hidden="false" customHeight="false" outlineLevel="0" collapsed="false">
      <c r="A24972" s="3" t="s">
        <v>335</v>
      </c>
      <c r="G24972" s="16" t="n">
        <f aca="false">IF(AND(Assumptions!$P$59=1,G24903&lt;Assumptions!$K$59),MIN(MAX(0,-G25119),MAX(0,Assumptions!$D$59-G24965)),0)</f>
        <v>0</v>
      </c>
      <c r="H24972" s="16" t="n">
        <f aca="false">IF(AND(Assumptions!$P$59=1,OR(H24903&lt;Assumptions!$K$59,G25251=1)),MIN(MAX(0,-H25119),MAX(0,Assumptions!$D$59-H24965)),0)</f>
        <v>0</v>
      </c>
      <c r="I24972" s="16" t="n">
        <f aca="false">IF(AND(Assumptions!$P$59=1,OR(I24903&lt;Assumptions!$K$59,H25251=1)),MIN(MAX(0,-I25119),MAX(0,Assumptions!$D$59-I24965)),0)</f>
        <v>0</v>
      </c>
      <c r="J24972" s="16" t="n">
        <f aca="false">IF(AND(Assumptions!$P$59=1,OR(J24903&lt;Assumptions!$K$59,I25251=1)),MIN(MAX(0,-J25119),MAX(0,Assumptions!$D$59-J24965)),0)</f>
        <v>0</v>
      </c>
      <c r="K24972" s="16" t="n">
        <f aca="false">IF(AND(Assumptions!$P$59=1,OR(K24903&lt;Assumptions!$K$59,J25251=1)),MIN(MAX(0,-K25119),MAX(0,Assumptions!$D$59-K24965)),0)</f>
        <v>0</v>
      </c>
    </row>
    <row r="24973" customFormat="false" ht="15" hidden="false" customHeight="false" outlineLevel="0" collapsed="false">
      <c r="A24973" s="3" t="s">
        <v>336</v>
      </c>
      <c r="G24973" s="16" t="n">
        <f aca="false">G24966*MIN(G24965-G24971+G24970,MAX(0,G25121-Assumptions!$C$12*G24937-G24947-G24960))</f>
        <v>0</v>
      </c>
      <c r="H24973" s="16" t="n">
        <f aca="false">H24966*MIN(H24965-H24971+H24970,MAX(0,H25121-Assumptions!$C$12*H24937-H24947-H24960))</f>
        <v>0</v>
      </c>
      <c r="I24973" s="16" t="n">
        <f aca="false">I24966*MIN(I24965-I24971+I24970,MAX(0,I25121-Assumptions!$C$12*I24937-I24947-I24960))</f>
        <v>0</v>
      </c>
      <c r="J24973" s="16" t="n">
        <f aca="false">J24966*MIN(J24965-J24971+J24970,MAX(0,J25121-Assumptions!$C$12*J24937-J24947-J24960))</f>
        <v>0</v>
      </c>
      <c r="K24973" s="16" t="n">
        <f aca="false">K24966*MIN(K24965-K24971+K24970,MAX(0,K25121-Assumptions!$C$12*K24937-K24947-K24960))</f>
        <v>0</v>
      </c>
    </row>
    <row r="24974" customFormat="false" ht="15" hidden="false" customHeight="false" outlineLevel="0" collapsed="false">
      <c r="A24974" s="3" t="s">
        <v>337</v>
      </c>
      <c r="G24974" s="16" t="n">
        <f aca="false">Assumptions!$N$59*MIN(G24965+G24972+G24970-G24971-G24973,MAX(0,G25125-G24948-G24961))</f>
        <v>0</v>
      </c>
      <c r="H24974" s="16" t="n">
        <f aca="false">Assumptions!$N$59*MIN(H24965+H24972+H24970-H24971-H24973,MAX(0,H25125-H24948-H24961))</f>
        <v>0</v>
      </c>
      <c r="I24974" s="16" t="n">
        <f aca="false">Assumptions!$N$59*MIN(I24965+I24972+I24970-I24971-I24973,MAX(0,I25125-I24948-I24961))</f>
        <v>0</v>
      </c>
      <c r="J24974" s="16" t="n">
        <f aca="false">Assumptions!$N$59*MIN(J24965+J24972+J24970-J24971-J24973,MAX(0,J25125-J24948-J24961))</f>
        <v>0</v>
      </c>
      <c r="K24974" s="16" t="n">
        <f aca="false">Assumptions!$N$59*MIN(K24965+K24972+K24970-K24971-K24973,MAX(0,K25125-K24948-K24961))</f>
        <v>0</v>
      </c>
    </row>
    <row r="24975" customFormat="false" ht="15" hidden="false" customHeight="false" outlineLevel="0" collapsed="false">
      <c r="A24975" s="3" t="s">
        <v>338</v>
      </c>
      <c r="G24975" s="16" t="n">
        <f aca="false">G24966*(1-G24937)*(G24965-G24971+G24970-G24973)</f>
        <v>0</v>
      </c>
      <c r="H24975" s="16" t="n">
        <f aca="false">H24966*(1-H24937)*(H24965-H24971+H24970-H24973)</f>
        <v>0</v>
      </c>
      <c r="I24975" s="16" t="n">
        <f aca="false">I24966*(1-I24937)*(I24965-I24971+I24970-I24973)</f>
        <v>0</v>
      </c>
      <c r="J24975" s="16" t="n">
        <f aca="false">J24966*(1-J24937)*(J24965-J24971+J24970-J24973)</f>
        <v>0</v>
      </c>
      <c r="K24975" s="16" t="n">
        <f aca="false">K24966*(1-K24937)*(K24965-K24971+K24970-K24973)</f>
        <v>0</v>
      </c>
    </row>
    <row r="24976" customFormat="false" ht="15" hidden="false" customHeight="false" outlineLevel="0" collapsed="false">
      <c r="A24976" s="2" t="s">
        <v>339</v>
      </c>
      <c r="F24976" s="28" t="n">
        <f aca="false">Assumptions!$C$59</f>
        <v>57.324</v>
      </c>
      <c r="G24976" s="17" t="n">
        <f aca="false">G24965+G24972+G24970-G24971-G24973-G24974</f>
        <v>57.324</v>
      </c>
      <c r="H24976" s="17" t="n">
        <f aca="false">H24965+H24972+H24970-H24971-H24973-H24974</f>
        <v>57.324</v>
      </c>
      <c r="I24976" s="17" t="n">
        <f aca="false">I24965+I24972+I24970-I24971-I24973-I24974</f>
        <v>57.324</v>
      </c>
      <c r="J24976" s="17" t="n">
        <f aca="false">J24965+J24972+J24970-J24971-J24973-J24974</f>
        <v>57.324</v>
      </c>
      <c r="K24976" s="17" t="n">
        <f aca="false">K24965+K24972+K24970-K24971-K24973-K24974</f>
        <v>57.324</v>
      </c>
    </row>
    <row r="24977" customFormat="false" ht="15" hidden="false" customHeight="false" outlineLevel="0" collapsed="false">
      <c r="A24977" s="24" t="s">
        <v>342</v>
      </c>
      <c r="B24977" s="25"/>
      <c r="C24977" s="25"/>
      <c r="D24977" s="25"/>
      <c r="E24977" s="25"/>
      <c r="F24977" s="25"/>
      <c r="G24977" s="25"/>
      <c r="H24977" s="25"/>
      <c r="I24977" s="25"/>
      <c r="J24977" s="25"/>
      <c r="K24977" s="25"/>
    </row>
    <row r="24978" customFormat="false" ht="15" hidden="false" customHeight="false" outlineLevel="0" collapsed="false">
      <c r="A24978" s="3" t="s">
        <v>329</v>
      </c>
      <c r="G24978" s="16" t="n">
        <f aca="false">F24989</f>
        <v>0</v>
      </c>
      <c r="H24978" s="16" t="n">
        <f aca="false">G24989</f>
        <v>0</v>
      </c>
      <c r="I24978" s="16" t="n">
        <f aca="false">H24989</f>
        <v>0</v>
      </c>
      <c r="J24978" s="16" t="n">
        <f aca="false">I24989</f>
        <v>0</v>
      </c>
      <c r="K24978" s="16" t="n">
        <f aca="false">J24989</f>
        <v>0</v>
      </c>
    </row>
    <row r="24979" customFormat="false" ht="15" hidden="false" customHeight="false" outlineLevel="0" collapsed="false">
      <c r="A24979" s="3" t="s">
        <v>330</v>
      </c>
      <c r="G24979" s="21" t="n">
        <f aca="false">IF(G24903=Assumptions!$K$60,1,0)</f>
        <v>1</v>
      </c>
      <c r="H24979" s="21" t="n">
        <f aca="false">IF(H24903=Assumptions!$K$60,1,0)</f>
        <v>0</v>
      </c>
      <c r="I24979" s="21" t="n">
        <f aca="false">IF(I24903=Assumptions!$K$60,1,0)</f>
        <v>0</v>
      </c>
      <c r="J24979" s="21" t="n">
        <f aca="false">IF(J24903=Assumptions!$K$60,1,0)</f>
        <v>0</v>
      </c>
      <c r="K24979" s="21" t="n">
        <f aca="false">IF(K24903=Assumptions!$K$60,1,0)</f>
        <v>0</v>
      </c>
    </row>
    <row r="24981" customFormat="false" ht="15" hidden="false" customHeight="false" outlineLevel="0" collapsed="false">
      <c r="A24981" s="3" t="s">
        <v>331</v>
      </c>
      <c r="G24981" s="31" t="n">
        <f aca="false">IF(Assumptions!$I$60=1,MAX(G24929,Assumptions!$G$60)+Assumptions!$F$60+$C$24930,Assumptions!$E$60)</f>
        <v>0.059</v>
      </c>
      <c r="H24981" s="31" t="n">
        <f aca="false">IF(G25252=1,$C$24931,IF(Assumptions!$I$60=1,MAX(H24929,Assumptions!$G$60)+Assumptions!$F$60+$C$24930,Assumptions!$E$60))</f>
        <v>0.0575</v>
      </c>
      <c r="I24981" s="31" t="n">
        <f aca="false">IF(H25252=1,$C$24931,IF(Assumptions!$I$60=1,MAX(I24929,Assumptions!$G$60)+Assumptions!$F$60+$C$24930,Assumptions!$E$60))</f>
        <v>0.055</v>
      </c>
      <c r="J24981" s="31" t="n">
        <f aca="false">IF(I25252=1,$C$24931,IF(Assumptions!$I$60=1,MAX(J24929,Assumptions!$G$60)+Assumptions!$F$60+$C$24930,Assumptions!$E$60))</f>
        <v>0.055</v>
      </c>
      <c r="K24981" s="31" t="n">
        <f aca="false">IF(J25252=1,$C$24931,IF(Assumptions!$I$60=1,MAX(K24929,Assumptions!$G$60)+Assumptions!$F$60+$C$24930,Assumptions!$E$60))</f>
        <v>0.055</v>
      </c>
    </row>
    <row r="24982" customFormat="false" ht="15" hidden="false" customHeight="false" outlineLevel="0" collapsed="false">
      <c r="A24982" s="3" t="s">
        <v>332</v>
      </c>
      <c r="G24982" s="16" t="n">
        <f aca="false">G24978*G24981</f>
        <v>0</v>
      </c>
      <c r="H24982" s="16" t="n">
        <f aca="false">H24978*H24981</f>
        <v>0</v>
      </c>
      <c r="I24982" s="16" t="n">
        <f aca="false">I24978*I24981</f>
        <v>0</v>
      </c>
      <c r="J24982" s="16" t="n">
        <f aca="false">J24978*J24981</f>
        <v>0</v>
      </c>
      <c r="K24982" s="16" t="n">
        <f aca="false">K24978*K24981</f>
        <v>0</v>
      </c>
    </row>
    <row r="24983" customFormat="false" ht="15" hidden="false" customHeight="false" outlineLevel="0" collapsed="false">
      <c r="A24983" s="3" t="s">
        <v>333</v>
      </c>
      <c r="G24983" s="16" t="n">
        <f aca="false">G24978*Assumptions!$H$60</f>
        <v>0</v>
      </c>
      <c r="H24983" s="16" t="n">
        <f aca="false">H24978*Assumptions!$H$60</f>
        <v>0</v>
      </c>
      <c r="I24983" s="16" t="n">
        <f aca="false">I24978*Assumptions!$H$60</f>
        <v>0</v>
      </c>
      <c r="J24983" s="16" t="n">
        <f aca="false">J24978*Assumptions!$H$60</f>
        <v>0</v>
      </c>
      <c r="K24983" s="16" t="n">
        <f aca="false">K24978*Assumptions!$H$60</f>
        <v>0</v>
      </c>
    </row>
    <row r="24984" customFormat="false" ht="15" hidden="false" customHeight="false" outlineLevel="0" collapsed="false">
      <c r="A24984" s="3" t="s">
        <v>334</v>
      </c>
      <c r="G24984" s="16" t="n">
        <f aca="false">MIN(G24978,Assumptions!$L$60*Assumptions!$C$60)</f>
        <v>0</v>
      </c>
      <c r="H24984" s="16" t="n">
        <f aca="false">MIN(H24978,Assumptions!$L$60*Assumptions!$C$60)</f>
        <v>0</v>
      </c>
      <c r="I24984" s="16" t="n">
        <f aca="false">MIN(I24978,Assumptions!$L$60*Assumptions!$C$60)</f>
        <v>0</v>
      </c>
      <c r="J24984" s="16" t="n">
        <f aca="false">MIN(J24978,Assumptions!$L$60*Assumptions!$C$60)</f>
        <v>0</v>
      </c>
      <c r="K24984" s="16" t="n">
        <f aca="false">MIN(K24978,Assumptions!$L$60*Assumptions!$C$60)</f>
        <v>0</v>
      </c>
    </row>
    <row r="24985" customFormat="false" ht="15" hidden="false" customHeight="false" outlineLevel="0" collapsed="false">
      <c r="A24985" s="3" t="s">
        <v>335</v>
      </c>
      <c r="G24985" s="16" t="n">
        <f aca="false">IF(AND(Assumptions!$P$60=1,G24903&lt;Assumptions!$K$60),MIN(MAX(0,-G25119),MAX(0,Assumptions!$D$60-G24978)),0)</f>
        <v>0</v>
      </c>
      <c r="H24985" s="16" t="n">
        <f aca="false">IF(AND(Assumptions!$P$60=1,OR(H24903&lt;Assumptions!$K$60,G25252=1)),MIN(MAX(0,-H25119),MAX(0,Assumptions!$D$60-H24978)),0)</f>
        <v>0</v>
      </c>
      <c r="I24985" s="16" t="n">
        <f aca="false">IF(AND(Assumptions!$P$60=1,OR(I24903&lt;Assumptions!$K$60,H25252=1)),MIN(MAX(0,-I25119),MAX(0,Assumptions!$D$60-I24978)),0)</f>
        <v>0</v>
      </c>
      <c r="J24985" s="16" t="n">
        <f aca="false">IF(AND(Assumptions!$P$60=1,OR(J24903&lt;Assumptions!$K$60,I25252=1)),MIN(MAX(0,-J25119),MAX(0,Assumptions!$D$60-J24978)),0)</f>
        <v>0</v>
      </c>
      <c r="K24985" s="16" t="n">
        <f aca="false">IF(AND(Assumptions!$P$60=1,OR(K24903&lt;Assumptions!$K$60,J25252=1)),MIN(MAX(0,-K25119),MAX(0,Assumptions!$D$60-K24978)),0)</f>
        <v>0</v>
      </c>
    </row>
    <row r="24986" customFormat="false" ht="15" hidden="false" customHeight="false" outlineLevel="0" collapsed="false">
      <c r="A24986" s="3" t="s">
        <v>336</v>
      </c>
      <c r="G24986" s="16" t="n">
        <f aca="false">G24979*MIN(G24978-G24984+G24983,MAX(0,G25121-Assumptions!$C$12*G24937-G24947-G24960-G24973))</f>
        <v>0</v>
      </c>
      <c r="H24986" s="16" t="n">
        <f aca="false">H24979*MIN(H24978-H24984+H24983,MAX(0,H25121-Assumptions!$C$12*H24937-H24947-H24960-H24973))</f>
        <v>0</v>
      </c>
      <c r="I24986" s="16" t="n">
        <f aca="false">I24979*MIN(I24978-I24984+I24983,MAX(0,I25121-Assumptions!$C$12*I24937-I24947-I24960-I24973))</f>
        <v>0</v>
      </c>
      <c r="J24986" s="16" t="n">
        <f aca="false">J24979*MIN(J24978-J24984+J24983,MAX(0,J25121-Assumptions!$C$12*J24937-J24947-J24960-J24973))</f>
        <v>0</v>
      </c>
      <c r="K24986" s="16" t="n">
        <f aca="false">K24979*MIN(K24978-K24984+K24983,MAX(0,K25121-Assumptions!$C$12*K24937-K24947-K24960-K24973))</f>
        <v>0</v>
      </c>
    </row>
    <row r="24987" customFormat="false" ht="15" hidden="false" customHeight="false" outlineLevel="0" collapsed="false">
      <c r="A24987" s="3" t="s">
        <v>337</v>
      </c>
      <c r="G24987" s="16" t="n">
        <f aca="false">Assumptions!$N$60*MIN(G24978+G24985+G24983-G24984-G24986,MAX(0,G25125-G24948-G24961-G24974))</f>
        <v>0</v>
      </c>
      <c r="H24987" s="16" t="n">
        <f aca="false">Assumptions!$N$60*MIN(H24978+H24985+H24983-H24984-H24986,MAX(0,H25125-H24948-H24961-H24974))</f>
        <v>0</v>
      </c>
      <c r="I24987" s="16" t="n">
        <f aca="false">Assumptions!$N$60*MIN(I24978+I24985+I24983-I24984-I24986,MAX(0,I25125-I24948-I24961-I24974))</f>
        <v>0</v>
      </c>
      <c r="J24987" s="16" t="n">
        <f aca="false">Assumptions!$N$60*MIN(J24978+J24985+J24983-J24984-J24986,MAX(0,J25125-J24948-J24961-J24974))</f>
        <v>0</v>
      </c>
      <c r="K24987" s="16" t="n">
        <f aca="false">Assumptions!$N$60*MIN(K24978+K24985+K24983-K24984-K24986,MAX(0,K25125-K24948-K24961-K24974))</f>
        <v>0</v>
      </c>
    </row>
    <row r="24988" customFormat="false" ht="15" hidden="false" customHeight="false" outlineLevel="0" collapsed="false">
      <c r="A24988" s="3" t="s">
        <v>338</v>
      </c>
      <c r="G24988" s="16" t="n">
        <f aca="false">G24979*(1-G24937)*(G24978-G24984+G24983-G24986)</f>
        <v>0</v>
      </c>
      <c r="H24988" s="16" t="n">
        <f aca="false">H24979*(1-H24937)*(H24978-H24984+H24983-H24986)</f>
        <v>0</v>
      </c>
      <c r="I24988" s="16" t="n">
        <f aca="false">I24979*(1-I24937)*(I24978-I24984+I24983-I24986)</f>
        <v>0</v>
      </c>
      <c r="J24988" s="16" t="n">
        <f aca="false">J24979*(1-J24937)*(J24978-J24984+J24983-J24986)</f>
        <v>0</v>
      </c>
      <c r="K24988" s="16" t="n">
        <f aca="false">K24979*(1-K24937)*(K24978-K24984+K24983-K24986)</f>
        <v>0</v>
      </c>
    </row>
    <row r="24989" customFormat="false" ht="15" hidden="false" customHeight="false" outlineLevel="0" collapsed="false">
      <c r="A24989" s="2" t="s">
        <v>339</v>
      </c>
      <c r="F24989" s="28" t="n">
        <f aca="false">Assumptions!$C$60</f>
        <v>0</v>
      </c>
      <c r="G24989" s="17" t="n">
        <f aca="false">G24978+G24985+G24983-G24984-G24986-G24987</f>
        <v>0</v>
      </c>
      <c r="H24989" s="17" t="n">
        <f aca="false">H24978+H24985+H24983-H24984-H24986-H24987</f>
        <v>0</v>
      </c>
      <c r="I24989" s="17" t="n">
        <f aca="false">I24978+I24985+I24983-I24984-I24986-I24987</f>
        <v>0</v>
      </c>
      <c r="J24989" s="17" t="n">
        <f aca="false">J24978+J24985+J24983-J24984-J24986-J24987</f>
        <v>0</v>
      </c>
      <c r="K24989" s="17" t="n">
        <f aca="false">K24978+K24985+K24983-K24984-K24986-K24987</f>
        <v>0</v>
      </c>
    </row>
    <row r="24990" customFormat="false" ht="15" hidden="false" customHeight="false" outlineLevel="0" collapsed="false">
      <c r="A24990" s="24" t="s">
        <v>343</v>
      </c>
      <c r="B24990" s="25"/>
      <c r="C24990" s="25"/>
      <c r="D24990" s="25"/>
      <c r="E24990" s="25"/>
      <c r="F24990" s="25"/>
      <c r="G24990" s="25"/>
      <c r="H24990" s="25"/>
      <c r="I24990" s="25"/>
      <c r="J24990" s="25"/>
      <c r="K24990" s="25"/>
    </row>
    <row r="24991" customFormat="false" ht="15" hidden="false" customHeight="false" outlineLevel="0" collapsed="false">
      <c r="A24991" s="3" t="s">
        <v>329</v>
      </c>
      <c r="G24991" s="16" t="n">
        <f aca="false">F25002</f>
        <v>450</v>
      </c>
      <c r="H24991" s="16" t="n">
        <f aca="false">G25002</f>
        <v>450</v>
      </c>
      <c r="I24991" s="16" t="n">
        <f aca="false">H25002</f>
        <v>391.914157881</v>
      </c>
      <c r="J24991" s="16" t="n">
        <f aca="false">I25002</f>
        <v>391.914157881</v>
      </c>
      <c r="K24991" s="16" t="n">
        <f aca="false">J25002</f>
        <v>391.914157881</v>
      </c>
    </row>
    <row r="24992" customFormat="false" ht="15" hidden="false" customHeight="false" outlineLevel="0" collapsed="false">
      <c r="A24992" s="3" t="s">
        <v>330</v>
      </c>
      <c r="G24992" s="21" t="n">
        <f aca="false">IF(G24903=Assumptions!$K$61,1,0)</f>
        <v>0</v>
      </c>
      <c r="H24992" s="21" t="n">
        <f aca="false">IF(H24903=Assumptions!$K$61,1,0)</f>
        <v>1</v>
      </c>
      <c r="I24992" s="21" t="n">
        <f aca="false">IF(I24903=Assumptions!$K$61,1,0)</f>
        <v>0</v>
      </c>
      <c r="J24992" s="21" t="n">
        <f aca="false">IF(J24903=Assumptions!$K$61,1,0)</f>
        <v>0</v>
      </c>
      <c r="K24992" s="21" t="n">
        <f aca="false">IF(K24903=Assumptions!$K$61,1,0)</f>
        <v>0</v>
      </c>
    </row>
    <row r="24994" customFormat="false" ht="15" hidden="false" customHeight="false" outlineLevel="0" collapsed="false">
      <c r="A24994" s="3" t="s">
        <v>331</v>
      </c>
      <c r="G24994" s="31" t="n">
        <f aca="false">IF(Assumptions!$I$61=1,MAX(G24929,Assumptions!$G$61)+Assumptions!$F$61+$C$24930,Assumptions!$E$61)</f>
        <v>0.0395</v>
      </c>
      <c r="H24994" s="31" t="n">
        <f aca="false">IF(G25253=1,$C$24931,IF(Assumptions!$I$61=1,MAX(H24929,Assumptions!$G$61)+Assumptions!$F$61+$C$24930,Assumptions!$E$61))</f>
        <v>0.0395</v>
      </c>
      <c r="I24994" s="31" t="n">
        <f aca="false">IF(H25253=1,$C$24931,IF(Assumptions!$I$61=1,MAX(I24929,Assumptions!$G$61)+Assumptions!$F$61+$C$24930,Assumptions!$E$61))</f>
        <v>0.0395</v>
      </c>
      <c r="J24994" s="31" t="n">
        <f aca="false">IF(I25253=1,$C$24931,IF(Assumptions!$I$61=1,MAX(J24929,Assumptions!$G$61)+Assumptions!$F$61+$C$24930,Assumptions!$E$61))</f>
        <v>0.0395</v>
      </c>
      <c r="K24994" s="31" t="n">
        <f aca="false">IF(J25253=1,$C$24931,IF(Assumptions!$I$61=1,MAX(K24929,Assumptions!$G$61)+Assumptions!$F$61+$C$24930,Assumptions!$E$61))</f>
        <v>0.0395</v>
      </c>
    </row>
    <row r="24995" customFormat="false" ht="15" hidden="false" customHeight="false" outlineLevel="0" collapsed="false">
      <c r="A24995" s="3" t="s">
        <v>332</v>
      </c>
      <c r="G24995" s="16" t="n">
        <f aca="false">G24991*G24994</f>
        <v>17.775</v>
      </c>
      <c r="H24995" s="16" t="n">
        <f aca="false">H24991*H24994</f>
        <v>17.775</v>
      </c>
      <c r="I24995" s="16" t="n">
        <f aca="false">I24991*I24994</f>
        <v>15.4806092362995</v>
      </c>
      <c r="J24995" s="16" t="n">
        <f aca="false">J24991*J24994</f>
        <v>15.4806092362995</v>
      </c>
      <c r="K24995" s="16" t="n">
        <f aca="false">K24991*K24994</f>
        <v>15.4806092362995</v>
      </c>
    </row>
    <row r="24996" customFormat="false" ht="15" hidden="false" customHeight="false" outlineLevel="0" collapsed="false">
      <c r="A24996" s="3" t="s">
        <v>333</v>
      </c>
      <c r="G24996" s="16" t="n">
        <f aca="false">G24991*Assumptions!$H$61</f>
        <v>0</v>
      </c>
      <c r="H24996" s="16" t="n">
        <f aca="false">H24991*Assumptions!$H$61</f>
        <v>0</v>
      </c>
      <c r="I24996" s="16" t="n">
        <f aca="false">I24991*Assumptions!$H$61</f>
        <v>0</v>
      </c>
      <c r="J24996" s="16" t="n">
        <f aca="false">J24991*Assumptions!$H$61</f>
        <v>0</v>
      </c>
      <c r="K24996" s="16" t="n">
        <f aca="false">K24991*Assumptions!$H$61</f>
        <v>0</v>
      </c>
    </row>
    <row r="24997" customFormat="false" ht="15" hidden="false" customHeight="false" outlineLevel="0" collapsed="false">
      <c r="A24997" s="3" t="s">
        <v>334</v>
      </c>
      <c r="G24997" s="16" t="n">
        <f aca="false">MIN(G24991,Assumptions!$L$61*Assumptions!$C$61)</f>
        <v>0</v>
      </c>
      <c r="H24997" s="16" t="n">
        <f aca="false">MIN(H24991,Assumptions!$L$61*Assumptions!$C$61)</f>
        <v>0</v>
      </c>
      <c r="I24997" s="16" t="n">
        <f aca="false">MIN(I24991,Assumptions!$L$61*Assumptions!$C$61)</f>
        <v>0</v>
      </c>
      <c r="J24997" s="16" t="n">
        <f aca="false">MIN(J24991,Assumptions!$L$61*Assumptions!$C$61)</f>
        <v>0</v>
      </c>
      <c r="K24997" s="16" t="n">
        <f aca="false">MIN(K24991,Assumptions!$L$61*Assumptions!$C$61)</f>
        <v>0</v>
      </c>
    </row>
    <row r="24998" customFormat="false" ht="15" hidden="false" customHeight="false" outlineLevel="0" collapsed="false">
      <c r="A24998" s="3" t="s">
        <v>335</v>
      </c>
      <c r="G24998" s="16" t="n">
        <f aca="false">IF(AND(Assumptions!$P$61=1,G24903&lt;Assumptions!$K$61),MIN(MAX(0,-G25119),MAX(0,Assumptions!$D$61-G24991)),0)</f>
        <v>0</v>
      </c>
      <c r="H24998" s="16" t="n">
        <f aca="false">IF(AND(Assumptions!$P$61=1,OR(H24903&lt;Assumptions!$K$61,G25253=1)),MIN(MAX(0,-H25119),MAX(0,Assumptions!$D$61-H24991)),0)</f>
        <v>0</v>
      </c>
      <c r="I24998" s="16" t="n">
        <f aca="false">IF(AND(Assumptions!$P$61=1,OR(I24903&lt;Assumptions!$K$61,H25253=1)),MIN(MAX(0,-I25119),MAX(0,Assumptions!$D$61-I24991)),0)</f>
        <v>0</v>
      </c>
      <c r="J24998" s="16" t="n">
        <f aca="false">IF(AND(Assumptions!$P$61=1,OR(J24903&lt;Assumptions!$K$61,I25253=1)),MIN(MAX(0,-J25119),MAX(0,Assumptions!$D$61-J24991)),0)</f>
        <v>0</v>
      </c>
      <c r="K24998" s="16" t="n">
        <f aca="false">IF(AND(Assumptions!$P$61=1,OR(K24903&lt;Assumptions!$K$61,J25253=1)),MIN(MAX(0,-K25119),MAX(0,Assumptions!$D$61-K24991)),0)</f>
        <v>0</v>
      </c>
    </row>
    <row r="24999" customFormat="false" ht="15" hidden="false" customHeight="false" outlineLevel="0" collapsed="false">
      <c r="A24999" s="3" t="s">
        <v>336</v>
      </c>
      <c r="G24999" s="16" t="n">
        <f aca="false">G24992*MIN(G24991-G24997+G24996,MAX(0,G25121-Assumptions!$C$12*G24937-G24947-G24960-G24973-G24986))</f>
        <v>0</v>
      </c>
      <c r="H24999" s="16" t="n">
        <f aca="false">H24992*MIN(H24991-H24997+H24996,MAX(0,H25121-Assumptions!$C$12*H24937-H24947-H24960-H24973-H24986))</f>
        <v>58.085842119</v>
      </c>
      <c r="I24999" s="16" t="n">
        <f aca="false">I24992*MIN(I24991-I24997+I24996,MAX(0,I25121-Assumptions!$C$12*I24937-I24947-I24960-I24973-I24986))</f>
        <v>0</v>
      </c>
      <c r="J24999" s="16" t="n">
        <f aca="false">J24992*MIN(J24991-J24997+J24996,MAX(0,J25121-Assumptions!$C$12*J24937-J24947-J24960-J24973-J24986))</f>
        <v>0</v>
      </c>
      <c r="K24999" s="16" t="n">
        <f aca="false">K24992*MIN(K24991-K24997+K24996,MAX(0,K25121-Assumptions!$C$12*K24937-K24947-K24960-K24973-K24986))</f>
        <v>0</v>
      </c>
    </row>
    <row r="25000" customFormat="false" ht="15" hidden="false" customHeight="false" outlineLevel="0" collapsed="false">
      <c r="A25000" s="3" t="s">
        <v>337</v>
      </c>
      <c r="G25000" s="16" t="n">
        <f aca="false">Assumptions!$N$61*MIN(G24991+G24998+G24996-G24997-G24999,MAX(0,G25125-G24948-G24961-G24974-G24987))</f>
        <v>0</v>
      </c>
      <c r="H25000" s="16" t="n">
        <f aca="false">Assumptions!$N$61*MIN(H24991+H24998+H24996-H24997-H24999,MAX(0,H25125-H24948-H24961-H24974-H24987))</f>
        <v>0</v>
      </c>
      <c r="I25000" s="16" t="n">
        <f aca="false">Assumptions!$N$61*MIN(I24991+I24998+I24996-I24997-I24999,MAX(0,I25125-I24948-I24961-I24974-I24987))</f>
        <v>0</v>
      </c>
      <c r="J25000" s="16" t="n">
        <f aca="false">Assumptions!$N$61*MIN(J24991+J24998+J24996-J24997-J24999,MAX(0,J25125-J24948-J24961-J24974-J24987))</f>
        <v>0</v>
      </c>
      <c r="K25000" s="16" t="n">
        <f aca="false">Assumptions!$N$61*MIN(K24991+K24998+K24996-K24997-K24999,MAX(0,K25125-K24948-K24961-K24974-K24987))</f>
        <v>0</v>
      </c>
    </row>
    <row r="25001" customFormat="false" ht="15" hidden="false" customHeight="false" outlineLevel="0" collapsed="false">
      <c r="A25001" s="3" t="s">
        <v>338</v>
      </c>
      <c r="G25001" s="16" t="n">
        <f aca="false">G24992*(1-G24937)*(G24991-G24997+G24996-G24999)</f>
        <v>0</v>
      </c>
      <c r="H25001" s="16" t="n">
        <f aca="false">H24992*(1-H24937)*(H24991-H24997+H24996-H24999)</f>
        <v>391.914157881</v>
      </c>
      <c r="I25001" s="16" t="n">
        <f aca="false">I24992*(1-I24937)*(I24991-I24997+I24996-I24999)</f>
        <v>0</v>
      </c>
      <c r="J25001" s="16" t="n">
        <f aca="false">J24992*(1-J24937)*(J24991-J24997+J24996-J24999)</f>
        <v>0</v>
      </c>
      <c r="K25001" s="16" t="n">
        <f aca="false">K24992*(1-K24937)*(K24991-K24997+K24996-K24999)</f>
        <v>0</v>
      </c>
    </row>
    <row r="25002" customFormat="false" ht="15" hidden="false" customHeight="false" outlineLevel="0" collapsed="false">
      <c r="A25002" s="2" t="s">
        <v>339</v>
      </c>
      <c r="F25002" s="28" t="n">
        <f aca="false">Assumptions!$C$61</f>
        <v>450</v>
      </c>
      <c r="G25002" s="17" t="n">
        <f aca="false">G24991+G24998+G24996-G24997-G24999-G25000</f>
        <v>450</v>
      </c>
      <c r="H25002" s="17" t="n">
        <f aca="false">H24991+H24998+H24996-H24997-H24999-H25000</f>
        <v>391.914157881</v>
      </c>
      <c r="I25002" s="17" t="n">
        <f aca="false">I24991+I24998+I24996-I24997-I24999-I25000</f>
        <v>391.914157881</v>
      </c>
      <c r="J25002" s="17" t="n">
        <f aca="false">J24991+J24998+J24996-J24997-J24999-J25000</f>
        <v>391.914157881</v>
      </c>
      <c r="K25002" s="17" t="n">
        <f aca="false">K24991+K24998+K24996-K24997-K24999-K25000</f>
        <v>391.914157881</v>
      </c>
    </row>
    <row r="25003" customFormat="false" ht="15" hidden="false" customHeight="false" outlineLevel="0" collapsed="false">
      <c r="A25003" s="24" t="s">
        <v>344</v>
      </c>
      <c r="B25003" s="25"/>
      <c r="C25003" s="25"/>
      <c r="D25003" s="25"/>
      <c r="E25003" s="25"/>
      <c r="F25003" s="25"/>
      <c r="G25003" s="25"/>
      <c r="H25003" s="25"/>
      <c r="I25003" s="25"/>
      <c r="J25003" s="25"/>
      <c r="K25003" s="25"/>
    </row>
    <row r="25004" customFormat="false" ht="15" hidden="false" customHeight="false" outlineLevel="0" collapsed="false">
      <c r="A25004" s="3" t="s">
        <v>329</v>
      </c>
      <c r="G25004" s="16" t="n">
        <f aca="false">F25015</f>
        <v>350</v>
      </c>
      <c r="H25004" s="16" t="n">
        <f aca="false">G25015</f>
        <v>350</v>
      </c>
      <c r="I25004" s="16" t="n">
        <f aca="false">H25015</f>
        <v>350</v>
      </c>
      <c r="J25004" s="16" t="n">
        <f aca="false">I25015</f>
        <v>350</v>
      </c>
      <c r="K25004" s="16" t="n">
        <f aca="false">J25015</f>
        <v>350</v>
      </c>
    </row>
    <row r="25005" customFormat="false" ht="15" hidden="false" customHeight="false" outlineLevel="0" collapsed="false">
      <c r="A25005" s="3" t="s">
        <v>330</v>
      </c>
      <c r="G25005" s="21" t="n">
        <f aca="false">IF(G24903=Assumptions!$K$62,1,0)</f>
        <v>0</v>
      </c>
      <c r="H25005" s="21" t="n">
        <f aca="false">IF(H24903=Assumptions!$K$62,1,0)</f>
        <v>1</v>
      </c>
      <c r="I25005" s="21" t="n">
        <f aca="false">IF(I24903=Assumptions!$K$62,1,0)</f>
        <v>0</v>
      </c>
      <c r="J25005" s="21" t="n">
        <f aca="false">IF(J24903=Assumptions!$K$62,1,0)</f>
        <v>0</v>
      </c>
      <c r="K25005" s="21" t="n">
        <f aca="false">IF(K24903=Assumptions!$K$62,1,0)</f>
        <v>0</v>
      </c>
    </row>
    <row r="25007" customFormat="false" ht="15" hidden="false" customHeight="false" outlineLevel="0" collapsed="false">
      <c r="A25007" s="3" t="s">
        <v>331</v>
      </c>
      <c r="G25007" s="31" t="n">
        <f aca="false">IF(Assumptions!$I$62=1,MAX(G24929,Assumptions!$G$62)+Assumptions!$F$62+$C$24930,Assumptions!$E$62)</f>
        <v>0.083</v>
      </c>
      <c r="H25007" s="31" t="n">
        <f aca="false">IF(G25254=1,$C$24931,IF(Assumptions!$I$62=1,MAX(H24929,Assumptions!$G$62)+Assumptions!$F$62+$C$24930,Assumptions!$E$62))</f>
        <v>0.083</v>
      </c>
      <c r="I25007" s="31" t="n">
        <f aca="false">IF(H25254=1,$C$24931,IF(Assumptions!$I$62=1,MAX(I24929,Assumptions!$G$62)+Assumptions!$F$62+$C$24930,Assumptions!$E$62))</f>
        <v>0.083</v>
      </c>
      <c r="J25007" s="31" t="n">
        <f aca="false">IF(I25254=1,$C$24931,IF(Assumptions!$I$62=1,MAX(J24929,Assumptions!$G$62)+Assumptions!$F$62+$C$24930,Assumptions!$E$62))</f>
        <v>0.083</v>
      </c>
      <c r="K25007" s="31" t="n">
        <f aca="false">IF(J25254=1,$C$24931,IF(Assumptions!$I$62=1,MAX(K24929,Assumptions!$G$62)+Assumptions!$F$62+$C$24930,Assumptions!$E$62))</f>
        <v>0.083</v>
      </c>
    </row>
    <row r="25008" customFormat="false" ht="15" hidden="false" customHeight="false" outlineLevel="0" collapsed="false">
      <c r="A25008" s="3" t="s">
        <v>332</v>
      </c>
      <c r="G25008" s="16" t="n">
        <f aca="false">G25004*G25007</f>
        <v>29.05</v>
      </c>
      <c r="H25008" s="16" t="n">
        <f aca="false">H25004*H25007</f>
        <v>29.05</v>
      </c>
      <c r="I25008" s="16" t="n">
        <f aca="false">I25004*I25007</f>
        <v>29.05</v>
      </c>
      <c r="J25008" s="16" t="n">
        <f aca="false">J25004*J25007</f>
        <v>29.05</v>
      </c>
      <c r="K25008" s="16" t="n">
        <f aca="false">K25004*K25007</f>
        <v>29.05</v>
      </c>
    </row>
    <row r="25009" customFormat="false" ht="15" hidden="false" customHeight="false" outlineLevel="0" collapsed="false">
      <c r="A25009" s="3" t="s">
        <v>333</v>
      </c>
      <c r="G25009" s="16" t="n">
        <f aca="false">G25004*Assumptions!$H$62</f>
        <v>0</v>
      </c>
      <c r="H25009" s="16" t="n">
        <f aca="false">H25004*Assumptions!$H$62</f>
        <v>0</v>
      </c>
      <c r="I25009" s="16" t="n">
        <f aca="false">I25004*Assumptions!$H$62</f>
        <v>0</v>
      </c>
      <c r="J25009" s="16" t="n">
        <f aca="false">J25004*Assumptions!$H$62</f>
        <v>0</v>
      </c>
      <c r="K25009" s="16" t="n">
        <f aca="false">K25004*Assumptions!$H$62</f>
        <v>0</v>
      </c>
    </row>
    <row r="25010" customFormat="false" ht="15" hidden="false" customHeight="false" outlineLevel="0" collapsed="false">
      <c r="A25010" s="3" t="s">
        <v>334</v>
      </c>
      <c r="G25010" s="16" t="n">
        <f aca="false">MIN(G25004,Assumptions!$L$62*Assumptions!$C$62)</f>
        <v>0</v>
      </c>
      <c r="H25010" s="16" t="n">
        <f aca="false">MIN(H25004,Assumptions!$L$62*Assumptions!$C$62)</f>
        <v>0</v>
      </c>
      <c r="I25010" s="16" t="n">
        <f aca="false">MIN(I25004,Assumptions!$L$62*Assumptions!$C$62)</f>
        <v>0</v>
      </c>
      <c r="J25010" s="16" t="n">
        <f aca="false">MIN(J25004,Assumptions!$L$62*Assumptions!$C$62)</f>
        <v>0</v>
      </c>
      <c r="K25010" s="16" t="n">
        <f aca="false">MIN(K25004,Assumptions!$L$62*Assumptions!$C$62)</f>
        <v>0</v>
      </c>
    </row>
    <row r="25011" customFormat="false" ht="15" hidden="false" customHeight="false" outlineLevel="0" collapsed="false">
      <c r="A25011" s="3" t="s">
        <v>335</v>
      </c>
      <c r="G25011" s="16" t="n">
        <f aca="false">IF(AND(Assumptions!$P$62=1,G24903&lt;Assumptions!$K$62),MIN(MAX(0,-G25119),MAX(0,Assumptions!$D$62-G25004)),0)</f>
        <v>0</v>
      </c>
      <c r="H25011" s="16" t="n">
        <f aca="false">IF(AND(Assumptions!$P$62=1,OR(H24903&lt;Assumptions!$K$62,G25254=1)),MIN(MAX(0,-H25119),MAX(0,Assumptions!$D$62-H25004)),0)</f>
        <v>0</v>
      </c>
      <c r="I25011" s="16" t="n">
        <f aca="false">IF(AND(Assumptions!$P$62=1,OR(I24903&lt;Assumptions!$K$62,H25254=1)),MIN(MAX(0,-I25119),MAX(0,Assumptions!$D$62-I25004)),0)</f>
        <v>0</v>
      </c>
      <c r="J25011" s="16" t="n">
        <f aca="false">IF(AND(Assumptions!$P$62=1,OR(J24903&lt;Assumptions!$K$62,I25254=1)),MIN(MAX(0,-J25119),MAX(0,Assumptions!$D$62-J25004)),0)</f>
        <v>0</v>
      </c>
      <c r="K25011" s="16" t="n">
        <f aca="false">IF(AND(Assumptions!$P$62=1,OR(K24903&lt;Assumptions!$K$62,J25254=1)),MIN(MAX(0,-K25119),MAX(0,Assumptions!$D$62-K25004)),0)</f>
        <v>0</v>
      </c>
    </row>
    <row r="25012" customFormat="false" ht="15" hidden="false" customHeight="false" outlineLevel="0" collapsed="false">
      <c r="A25012" s="3" t="s">
        <v>336</v>
      </c>
      <c r="G25012" s="16" t="n">
        <f aca="false">G25005*MIN(G25004-G25010+G25009,MAX(0,G25121-Assumptions!$C$12*G24937-G24947-G24960-G24973-G24986-G24999))</f>
        <v>0</v>
      </c>
      <c r="H25012" s="16" t="n">
        <f aca="false">H25005*MIN(H25004-H25010+H25009,MAX(0,H25121-Assumptions!$C$12*H24937-H24947-H24960-H24973-H24986-H24999))</f>
        <v>0</v>
      </c>
      <c r="I25012" s="16" t="n">
        <f aca="false">I25005*MIN(I25004-I25010+I25009,MAX(0,I25121-Assumptions!$C$12*I24937-I24947-I24960-I24973-I24986-I24999))</f>
        <v>0</v>
      </c>
      <c r="J25012" s="16" t="n">
        <f aca="false">J25005*MIN(J25004-J25010+J25009,MAX(0,J25121-Assumptions!$C$12*J24937-J24947-J24960-J24973-J24986-J24999))</f>
        <v>0</v>
      </c>
      <c r="K25012" s="16" t="n">
        <f aca="false">K25005*MIN(K25004-K25010+K25009,MAX(0,K25121-Assumptions!$C$12*K24937-K24947-K24960-K24973-K24986-K24999))</f>
        <v>0</v>
      </c>
    </row>
    <row r="25013" customFormat="false" ht="15" hidden="false" customHeight="false" outlineLevel="0" collapsed="false">
      <c r="A25013" s="3" t="s">
        <v>337</v>
      </c>
      <c r="G25013" s="16" t="n">
        <f aca="false">Assumptions!$N$62*MIN(G25004+G25011+G25009-G25010-G25012,MAX(0,G25125-G24948-G24961-G24974-G24987-G25000))</f>
        <v>0</v>
      </c>
      <c r="H25013" s="16" t="n">
        <f aca="false">Assumptions!$N$62*MIN(H25004+H25011+H25009-H25010-H25012,MAX(0,H25125-H24948-H24961-H24974-H24987-H25000))</f>
        <v>0</v>
      </c>
      <c r="I25013" s="16" t="n">
        <f aca="false">Assumptions!$N$62*MIN(I25004+I25011+I25009-I25010-I25012,MAX(0,I25125-I24948-I24961-I24974-I24987-I25000))</f>
        <v>0</v>
      </c>
      <c r="J25013" s="16" t="n">
        <f aca="false">Assumptions!$N$62*MIN(J25004+J25011+J25009-J25010-J25012,MAX(0,J25125-J24948-J24961-J24974-J24987-J25000))</f>
        <v>0</v>
      </c>
      <c r="K25013" s="16" t="n">
        <f aca="false">Assumptions!$N$62*MIN(K25004+K25011+K25009-K25010-K25012,MAX(0,K25125-K24948-K24961-K24974-K24987-K25000))</f>
        <v>0</v>
      </c>
    </row>
    <row r="25014" customFormat="false" ht="15" hidden="false" customHeight="false" outlineLevel="0" collapsed="false">
      <c r="A25014" s="3" t="s">
        <v>338</v>
      </c>
      <c r="G25014" s="16" t="n">
        <f aca="false">G25005*(1-G24937)*(G25004-G25010+G25009-G25012)</f>
        <v>0</v>
      </c>
      <c r="H25014" s="16" t="n">
        <f aca="false">H25005*(1-H24937)*(H25004-H25010+H25009-H25012)</f>
        <v>350</v>
      </c>
      <c r="I25014" s="16" t="n">
        <f aca="false">I25005*(1-I24937)*(I25004-I25010+I25009-I25012)</f>
        <v>0</v>
      </c>
      <c r="J25014" s="16" t="n">
        <f aca="false">J25005*(1-J24937)*(J25004-J25010+J25009-J25012)</f>
        <v>0</v>
      </c>
      <c r="K25014" s="16" t="n">
        <f aca="false">K25005*(1-K24937)*(K25004-K25010+K25009-K25012)</f>
        <v>0</v>
      </c>
    </row>
    <row r="25015" customFormat="false" ht="15" hidden="false" customHeight="false" outlineLevel="0" collapsed="false">
      <c r="A25015" s="2" t="s">
        <v>339</v>
      </c>
      <c r="F25015" s="28" t="n">
        <f aca="false">Assumptions!$C$62</f>
        <v>350</v>
      </c>
      <c r="G25015" s="17" t="n">
        <f aca="false">G25004+G25011+G25009-G25010-G25012-G25013</f>
        <v>350</v>
      </c>
      <c r="H25015" s="17" t="n">
        <f aca="false">H25004+H25011+H25009-H25010-H25012-H25013</f>
        <v>350</v>
      </c>
      <c r="I25015" s="17" t="n">
        <f aca="false">I25004+I25011+I25009-I25010-I25012-I25013</f>
        <v>350</v>
      </c>
      <c r="J25015" s="17" t="n">
        <f aca="false">J25004+J25011+J25009-J25010-J25012-J25013</f>
        <v>350</v>
      </c>
      <c r="K25015" s="17" t="n">
        <f aca="false">K25004+K25011+K25009-K25010-K25012-K25013</f>
        <v>350</v>
      </c>
    </row>
    <row r="25016" customFormat="false" ht="15" hidden="false" customHeight="false" outlineLevel="0" collapsed="false">
      <c r="A25016" s="24" t="s">
        <v>345</v>
      </c>
      <c r="B25016" s="25"/>
      <c r="C25016" s="25"/>
      <c r="D25016" s="25"/>
      <c r="E25016" s="25"/>
      <c r="F25016" s="25"/>
      <c r="G25016" s="25"/>
      <c r="H25016" s="25"/>
      <c r="I25016" s="25"/>
      <c r="J25016" s="25"/>
      <c r="K25016" s="25"/>
    </row>
    <row r="25017" customFormat="false" ht="15" hidden="false" customHeight="false" outlineLevel="0" collapsed="false">
      <c r="A25017" s="3" t="s">
        <v>329</v>
      </c>
      <c r="G25017" s="16" t="n">
        <f aca="false">F25028</f>
        <v>550</v>
      </c>
      <c r="H25017" s="16" t="n">
        <f aca="false">G25028</f>
        <v>550</v>
      </c>
      <c r="I25017" s="16" t="n">
        <f aca="false">H25028</f>
        <v>550</v>
      </c>
      <c r="J25017" s="16" t="n">
        <f aca="false">I25028</f>
        <v>550</v>
      </c>
      <c r="K25017" s="16" t="n">
        <f aca="false">J25028</f>
        <v>550</v>
      </c>
    </row>
    <row r="25018" customFormat="false" ht="15" hidden="false" customHeight="false" outlineLevel="0" collapsed="false">
      <c r="A25018" s="3" t="s">
        <v>330</v>
      </c>
      <c r="G25018" s="21" t="n">
        <f aca="false">IF(G24903=Assumptions!$K$63,1,0)</f>
        <v>0</v>
      </c>
      <c r="H25018" s="21" t="n">
        <f aca="false">IF(H24903=Assumptions!$K$63,1,0)</f>
        <v>0</v>
      </c>
      <c r="I25018" s="21" t="n">
        <f aca="false">IF(I24903=Assumptions!$K$63,1,0)</f>
        <v>1</v>
      </c>
      <c r="J25018" s="21" t="n">
        <f aca="false">IF(J24903=Assumptions!$K$63,1,0)</f>
        <v>0</v>
      </c>
      <c r="K25018" s="21" t="n">
        <f aca="false">IF(K24903=Assumptions!$K$63,1,0)</f>
        <v>0</v>
      </c>
    </row>
    <row r="25020" customFormat="false" ht="15" hidden="false" customHeight="false" outlineLevel="0" collapsed="false">
      <c r="A25020" s="3" t="s">
        <v>331</v>
      </c>
      <c r="G25020" s="31" t="n">
        <f aca="false">IF(Assumptions!$I$63=1,MAX(G24929,Assumptions!$G$63)+Assumptions!$F$63+$C$24930,Assumptions!$E$63)</f>
        <v>0.08875</v>
      </c>
      <c r="H25020" s="31" t="n">
        <f aca="false">IF(G25255=1,$C$24931,IF(Assumptions!$I$63=1,MAX(H24929,Assumptions!$G$63)+Assumptions!$F$63+$C$24930,Assumptions!$E$63))</f>
        <v>0.08875</v>
      </c>
      <c r="I25020" s="31" t="n">
        <f aca="false">IF(H25255=1,$C$24931,IF(Assumptions!$I$63=1,MAX(I24929,Assumptions!$G$63)+Assumptions!$F$63+$C$24930,Assumptions!$E$63))</f>
        <v>0.08875</v>
      </c>
      <c r="J25020" s="31" t="n">
        <f aca="false">IF(I25255=1,$C$24931,IF(Assumptions!$I$63=1,MAX(J24929,Assumptions!$G$63)+Assumptions!$F$63+$C$24930,Assumptions!$E$63))</f>
        <v>0.08875</v>
      </c>
      <c r="K25020" s="31" t="n">
        <f aca="false">IF(J25255=1,$C$24931,IF(Assumptions!$I$63=1,MAX(K24929,Assumptions!$G$63)+Assumptions!$F$63+$C$24930,Assumptions!$E$63))</f>
        <v>0.08875</v>
      </c>
    </row>
    <row r="25021" customFormat="false" ht="15" hidden="false" customHeight="false" outlineLevel="0" collapsed="false">
      <c r="A25021" s="3" t="s">
        <v>332</v>
      </c>
      <c r="G25021" s="16" t="n">
        <f aca="false">G25017*G25020</f>
        <v>48.8125</v>
      </c>
      <c r="H25021" s="16" t="n">
        <f aca="false">H25017*H25020</f>
        <v>48.8125</v>
      </c>
      <c r="I25021" s="16" t="n">
        <f aca="false">I25017*I25020</f>
        <v>48.8125</v>
      </c>
      <c r="J25021" s="16" t="n">
        <f aca="false">J25017*J25020</f>
        <v>48.8125</v>
      </c>
      <c r="K25021" s="16" t="n">
        <f aca="false">K25017*K25020</f>
        <v>48.8125</v>
      </c>
    </row>
    <row r="25022" customFormat="false" ht="15" hidden="false" customHeight="false" outlineLevel="0" collapsed="false">
      <c r="A25022" s="3" t="s">
        <v>333</v>
      </c>
      <c r="G25022" s="16" t="n">
        <f aca="false">G25017*Assumptions!$H$63</f>
        <v>0</v>
      </c>
      <c r="H25022" s="16" t="n">
        <f aca="false">H25017*Assumptions!$H$63</f>
        <v>0</v>
      </c>
      <c r="I25022" s="16" t="n">
        <f aca="false">I25017*Assumptions!$H$63</f>
        <v>0</v>
      </c>
      <c r="J25022" s="16" t="n">
        <f aca="false">J25017*Assumptions!$H$63</f>
        <v>0</v>
      </c>
      <c r="K25022" s="16" t="n">
        <f aca="false">K25017*Assumptions!$H$63</f>
        <v>0</v>
      </c>
    </row>
    <row r="25023" customFormat="false" ht="15" hidden="false" customHeight="false" outlineLevel="0" collapsed="false">
      <c r="A25023" s="3" t="s">
        <v>334</v>
      </c>
      <c r="G25023" s="16" t="n">
        <f aca="false">MIN(G25017,Assumptions!$L$63*Assumptions!$C$63)</f>
        <v>0</v>
      </c>
      <c r="H25023" s="16" t="n">
        <f aca="false">MIN(H25017,Assumptions!$L$63*Assumptions!$C$63)</f>
        <v>0</v>
      </c>
      <c r="I25023" s="16" t="n">
        <f aca="false">MIN(I25017,Assumptions!$L$63*Assumptions!$C$63)</f>
        <v>0</v>
      </c>
      <c r="J25023" s="16" t="n">
        <f aca="false">MIN(J25017,Assumptions!$L$63*Assumptions!$C$63)</f>
        <v>0</v>
      </c>
      <c r="K25023" s="16" t="n">
        <f aca="false">MIN(K25017,Assumptions!$L$63*Assumptions!$C$63)</f>
        <v>0</v>
      </c>
    </row>
    <row r="25024" customFormat="false" ht="15" hidden="false" customHeight="false" outlineLevel="0" collapsed="false">
      <c r="A25024" s="3" t="s">
        <v>335</v>
      </c>
      <c r="G25024" s="16" t="n">
        <f aca="false">IF(AND(Assumptions!$P$63=1,G24903&lt;Assumptions!$K$63),MIN(MAX(0,-G25119),MAX(0,Assumptions!$D$63-G25017)),0)</f>
        <v>0</v>
      </c>
      <c r="H25024" s="16" t="n">
        <f aca="false">IF(AND(Assumptions!$P$63=1,OR(H24903&lt;Assumptions!$K$63,G25255=1)),MIN(MAX(0,-H25119),MAX(0,Assumptions!$D$63-H25017)),0)</f>
        <v>0</v>
      </c>
      <c r="I25024" s="16" t="n">
        <f aca="false">IF(AND(Assumptions!$P$63=1,OR(I24903&lt;Assumptions!$K$63,H25255=1)),MIN(MAX(0,-I25119),MAX(0,Assumptions!$D$63-I25017)),0)</f>
        <v>0</v>
      </c>
      <c r="J25024" s="16" t="n">
        <f aca="false">IF(AND(Assumptions!$P$63=1,OR(J24903&lt;Assumptions!$K$63,I25255=1)),MIN(MAX(0,-J25119),MAX(0,Assumptions!$D$63-J25017)),0)</f>
        <v>0</v>
      </c>
      <c r="K25024" s="16" t="n">
        <f aca="false">IF(AND(Assumptions!$P$63=1,OR(K24903&lt;Assumptions!$K$63,J25255=1)),MIN(MAX(0,-K25119),MAX(0,Assumptions!$D$63-K25017)),0)</f>
        <v>0</v>
      </c>
    </row>
    <row r="25025" customFormat="false" ht="15" hidden="false" customHeight="false" outlineLevel="0" collapsed="false">
      <c r="A25025" s="3" t="s">
        <v>336</v>
      </c>
      <c r="G25025" s="16" t="n">
        <f aca="false">G25018*MIN(G25017-G25023+G25022,MAX(0,G25121-Assumptions!$C$12*G24937-G24947-G24960-G24973-G24986-G24999-G25012))</f>
        <v>0</v>
      </c>
      <c r="H25025" s="16" t="n">
        <f aca="false">H25018*MIN(H25017-H25023+H25022,MAX(0,H25121-Assumptions!$C$12*H24937-H24947-H24960-H24973-H24986-H24999-H25012))</f>
        <v>0</v>
      </c>
      <c r="I25025" s="16" t="n">
        <f aca="false">I25018*MIN(I25017-I25023+I25022,MAX(0,I25121-Assumptions!$C$12*I24937-I24947-I24960-I24973-I24986-I24999-I25012))</f>
        <v>0</v>
      </c>
      <c r="J25025" s="16" t="n">
        <f aca="false">J25018*MIN(J25017-J25023+J25022,MAX(0,J25121-Assumptions!$C$12*J24937-J24947-J24960-J24973-J24986-J24999-J25012))</f>
        <v>0</v>
      </c>
      <c r="K25025" s="16" t="n">
        <f aca="false">K25018*MIN(K25017-K25023+K25022,MAX(0,K25121-Assumptions!$C$12*K24937-K24947-K24960-K24973-K24986-K24999-K25012))</f>
        <v>0</v>
      </c>
    </row>
    <row r="25026" customFormat="false" ht="15" hidden="false" customHeight="false" outlineLevel="0" collapsed="false">
      <c r="A25026" s="3" t="s">
        <v>337</v>
      </c>
      <c r="G25026" s="16" t="n">
        <f aca="false">Assumptions!$N$63*MIN(G25017+G25024+G25022-G25023-G25025,MAX(0,G25125-G24948-G24961-G24974-G24987-G25000-G25013))</f>
        <v>0</v>
      </c>
      <c r="H25026" s="16" t="n">
        <f aca="false">Assumptions!$N$63*MIN(H25017+H25024+H25022-H25023-H25025,MAX(0,H25125-H24948-H24961-H24974-H24987-H25000-H25013))</f>
        <v>0</v>
      </c>
      <c r="I25026" s="16" t="n">
        <f aca="false">Assumptions!$N$63*MIN(I25017+I25024+I25022-I25023-I25025,MAX(0,I25125-I24948-I24961-I24974-I24987-I25000-I25013))</f>
        <v>0</v>
      </c>
      <c r="J25026" s="16" t="n">
        <f aca="false">Assumptions!$N$63*MIN(J25017+J25024+J25022-J25023-J25025,MAX(0,J25125-J24948-J24961-J24974-J24987-J25000-J25013))</f>
        <v>0</v>
      </c>
      <c r="K25026" s="16" t="n">
        <f aca="false">Assumptions!$N$63*MIN(K25017+K25024+K25022-K25023-K25025,MAX(0,K25125-K24948-K24961-K24974-K24987-K25000-K25013))</f>
        <v>0</v>
      </c>
    </row>
    <row r="25027" customFormat="false" ht="15" hidden="false" customHeight="false" outlineLevel="0" collapsed="false">
      <c r="A25027" s="3" t="s">
        <v>338</v>
      </c>
      <c r="G25027" s="16" t="n">
        <f aca="false">G25018*(1-G24937)*(G25017-G25023+G25022-G25025)</f>
        <v>0</v>
      </c>
      <c r="H25027" s="16" t="n">
        <f aca="false">H25018*(1-H24937)*(H25017-H25023+H25022-H25025)</f>
        <v>0</v>
      </c>
      <c r="I25027" s="16" t="n">
        <f aca="false">I25018*(1-I24937)*(I25017-I25023+I25022-I25025)</f>
        <v>550</v>
      </c>
      <c r="J25027" s="16" t="n">
        <f aca="false">J25018*(1-J24937)*(J25017-J25023+J25022-J25025)</f>
        <v>0</v>
      </c>
      <c r="K25027" s="16" t="n">
        <f aca="false">K25018*(1-K24937)*(K25017-K25023+K25022-K25025)</f>
        <v>0</v>
      </c>
    </row>
    <row r="25028" customFormat="false" ht="15" hidden="false" customHeight="false" outlineLevel="0" collapsed="false">
      <c r="A25028" s="2" t="s">
        <v>339</v>
      </c>
      <c r="F25028" s="28" t="n">
        <f aca="false">Assumptions!$C$63</f>
        <v>550</v>
      </c>
      <c r="G25028" s="17" t="n">
        <f aca="false">G25017+G25024+G25022-G25023-G25025-G25026</f>
        <v>550</v>
      </c>
      <c r="H25028" s="17" t="n">
        <f aca="false">H25017+H25024+H25022-H25023-H25025-H25026</f>
        <v>550</v>
      </c>
      <c r="I25028" s="17" t="n">
        <f aca="false">I25017+I25024+I25022-I25023-I25025-I25026</f>
        <v>550</v>
      </c>
      <c r="J25028" s="17" t="n">
        <f aca="false">J25017+J25024+J25022-J25023-J25025-J25026</f>
        <v>550</v>
      </c>
      <c r="K25028" s="17" t="n">
        <f aca="false">K25017+K25024+K25022-K25023-K25025-K25026</f>
        <v>550</v>
      </c>
    </row>
    <row r="25029" customFormat="false" ht="15" hidden="false" customHeight="false" outlineLevel="0" collapsed="false">
      <c r="A25029" s="24" t="s">
        <v>346</v>
      </c>
      <c r="B25029" s="25"/>
      <c r="C25029" s="25"/>
      <c r="D25029" s="25"/>
      <c r="E25029" s="25"/>
      <c r="F25029" s="25"/>
      <c r="G25029" s="25"/>
      <c r="H25029" s="25"/>
      <c r="I25029" s="25"/>
      <c r="J25029" s="25"/>
      <c r="K25029" s="25"/>
    </row>
    <row r="25030" customFormat="false" ht="15" hidden="false" customHeight="false" outlineLevel="0" collapsed="false">
      <c r="A25030" s="3" t="s">
        <v>329</v>
      </c>
      <c r="G25030" s="16" t="n">
        <f aca="false">F25041</f>
        <v>350</v>
      </c>
      <c r="H25030" s="16" t="n">
        <f aca="false">G25041</f>
        <v>350</v>
      </c>
      <c r="I25030" s="16" t="n">
        <f aca="false">H25041</f>
        <v>350</v>
      </c>
      <c r="J25030" s="16" t="n">
        <f aca="false">I25041</f>
        <v>350</v>
      </c>
      <c r="K25030" s="16" t="n">
        <f aca="false">J25041</f>
        <v>350</v>
      </c>
    </row>
    <row r="25031" customFormat="false" ht="15" hidden="false" customHeight="false" outlineLevel="0" collapsed="false">
      <c r="A25031" s="3" t="s">
        <v>330</v>
      </c>
      <c r="G25031" s="21" t="n">
        <f aca="false">IF(G24903=Assumptions!$K$64,1,0)</f>
        <v>0</v>
      </c>
      <c r="H25031" s="21" t="n">
        <f aca="false">IF(H24903=Assumptions!$K$64,1,0)</f>
        <v>0</v>
      </c>
      <c r="I25031" s="21" t="n">
        <f aca="false">IF(I24903=Assumptions!$K$64,1,0)</f>
        <v>0</v>
      </c>
      <c r="J25031" s="21" t="n">
        <f aca="false">IF(J24903=Assumptions!$K$64,1,0)</f>
        <v>1</v>
      </c>
      <c r="K25031" s="21" t="n">
        <f aca="false">IF(K24903=Assumptions!$K$64,1,0)</f>
        <v>0</v>
      </c>
    </row>
    <row r="25033" customFormat="false" ht="15" hidden="false" customHeight="false" outlineLevel="0" collapsed="false">
      <c r="A25033" s="3" t="s">
        <v>331</v>
      </c>
      <c r="G25033" s="31" t="n">
        <f aca="false">IF(Assumptions!$I$64=1,MAX(G24929,Assumptions!$G$64)+Assumptions!$F$64+$C$24930,Assumptions!$E$64)</f>
        <v>0.0455</v>
      </c>
      <c r="H25033" s="31" t="n">
        <f aca="false">IF(G25256=1,$C$24931,IF(Assumptions!$I$64=1,MAX(H24929,Assumptions!$G$64)+Assumptions!$F$64+$C$24930,Assumptions!$E$64))</f>
        <v>0.0455</v>
      </c>
      <c r="I25033" s="31" t="n">
        <f aca="false">IF(H25256=1,$C$24931,IF(Assumptions!$I$64=1,MAX(I24929,Assumptions!$G$64)+Assumptions!$F$64+$C$24930,Assumptions!$E$64))</f>
        <v>0.0455</v>
      </c>
      <c r="J25033" s="31" t="n">
        <f aca="false">IF(I25256=1,$C$24931,IF(Assumptions!$I$64=1,MAX(J24929,Assumptions!$G$64)+Assumptions!$F$64+$C$24930,Assumptions!$E$64))</f>
        <v>0.0455</v>
      </c>
      <c r="K25033" s="31" t="n">
        <f aca="false">IF(J25256=1,$C$24931,IF(Assumptions!$I$64=1,MAX(K24929,Assumptions!$G$64)+Assumptions!$F$64+$C$24930,Assumptions!$E$64))</f>
        <v>0.0455</v>
      </c>
    </row>
    <row r="25034" customFormat="false" ht="15" hidden="false" customHeight="false" outlineLevel="0" collapsed="false">
      <c r="A25034" s="3" t="s">
        <v>332</v>
      </c>
      <c r="G25034" s="16" t="n">
        <f aca="false">G25030*G25033</f>
        <v>15.925</v>
      </c>
      <c r="H25034" s="16" t="n">
        <f aca="false">H25030*H25033</f>
        <v>15.925</v>
      </c>
      <c r="I25034" s="16" t="n">
        <f aca="false">I25030*I25033</f>
        <v>15.925</v>
      </c>
      <c r="J25034" s="16" t="n">
        <f aca="false">J25030*J25033</f>
        <v>15.925</v>
      </c>
      <c r="K25034" s="16" t="n">
        <f aca="false">K25030*K25033</f>
        <v>15.925</v>
      </c>
    </row>
    <row r="25035" customFormat="false" ht="15" hidden="false" customHeight="false" outlineLevel="0" collapsed="false">
      <c r="A25035" s="3" t="s">
        <v>333</v>
      </c>
      <c r="G25035" s="16" t="n">
        <f aca="false">G25030*Assumptions!$H$64</f>
        <v>0</v>
      </c>
      <c r="H25035" s="16" t="n">
        <f aca="false">H25030*Assumptions!$H$64</f>
        <v>0</v>
      </c>
      <c r="I25035" s="16" t="n">
        <f aca="false">I25030*Assumptions!$H$64</f>
        <v>0</v>
      </c>
      <c r="J25035" s="16" t="n">
        <f aca="false">J25030*Assumptions!$H$64</f>
        <v>0</v>
      </c>
      <c r="K25035" s="16" t="n">
        <f aca="false">K25030*Assumptions!$H$64</f>
        <v>0</v>
      </c>
    </row>
    <row r="25036" customFormat="false" ht="15" hidden="false" customHeight="false" outlineLevel="0" collapsed="false">
      <c r="A25036" s="3" t="s">
        <v>334</v>
      </c>
      <c r="G25036" s="16" t="n">
        <f aca="false">MIN(G25030,Assumptions!$L$64*Assumptions!$C$64)</f>
        <v>0</v>
      </c>
      <c r="H25036" s="16" t="n">
        <f aca="false">MIN(H25030,Assumptions!$L$64*Assumptions!$C$64)</f>
        <v>0</v>
      </c>
      <c r="I25036" s="16" t="n">
        <f aca="false">MIN(I25030,Assumptions!$L$64*Assumptions!$C$64)</f>
        <v>0</v>
      </c>
      <c r="J25036" s="16" t="n">
        <f aca="false">MIN(J25030,Assumptions!$L$64*Assumptions!$C$64)</f>
        <v>0</v>
      </c>
      <c r="K25036" s="16" t="n">
        <f aca="false">MIN(K25030,Assumptions!$L$64*Assumptions!$C$64)</f>
        <v>0</v>
      </c>
    </row>
    <row r="25037" customFormat="false" ht="15" hidden="false" customHeight="false" outlineLevel="0" collapsed="false">
      <c r="A25037" s="3" t="s">
        <v>335</v>
      </c>
      <c r="G25037" s="16" t="n">
        <f aca="false">IF(AND(Assumptions!$P$64=1,G24903&lt;Assumptions!$K$64),MIN(MAX(0,-G25119),MAX(0,Assumptions!$D$64-G25030)),0)</f>
        <v>0</v>
      </c>
      <c r="H25037" s="16" t="n">
        <f aca="false">IF(AND(Assumptions!$P$64=1,OR(H24903&lt;Assumptions!$K$64,G25256=1)),MIN(MAX(0,-H25119),MAX(0,Assumptions!$D$64-H25030)),0)</f>
        <v>0</v>
      </c>
      <c r="I25037" s="16" t="n">
        <f aca="false">IF(AND(Assumptions!$P$64=1,OR(I24903&lt;Assumptions!$K$64,H25256=1)),MIN(MAX(0,-I25119),MAX(0,Assumptions!$D$64-I25030)),0)</f>
        <v>0</v>
      </c>
      <c r="J25037" s="16" t="n">
        <f aca="false">IF(AND(Assumptions!$P$64=1,OR(J24903&lt;Assumptions!$K$64,I25256=1)),MIN(MAX(0,-J25119),MAX(0,Assumptions!$D$64-J25030)),0)</f>
        <v>0</v>
      </c>
      <c r="K25037" s="16" t="n">
        <f aca="false">IF(AND(Assumptions!$P$64=1,OR(K24903&lt;Assumptions!$K$64,J25256=1)),MIN(MAX(0,-K25119),MAX(0,Assumptions!$D$64-K25030)),0)</f>
        <v>0</v>
      </c>
    </row>
    <row r="25038" customFormat="false" ht="15" hidden="false" customHeight="false" outlineLevel="0" collapsed="false">
      <c r="A25038" s="3" t="s">
        <v>336</v>
      </c>
      <c r="G25038" s="16" t="n">
        <f aca="false">G25031*MIN(G25030-G25036+G25035,MAX(0,G25121-Assumptions!$C$12*G24937-G24947-G24960-G24973-G24986-G24999-G25012-G25025))</f>
        <v>0</v>
      </c>
      <c r="H25038" s="16" t="n">
        <f aca="false">H25031*MIN(H25030-H25036+H25035,MAX(0,H25121-Assumptions!$C$12*H24937-H24947-H24960-H24973-H24986-H24999-H25012-H25025))</f>
        <v>0</v>
      </c>
      <c r="I25038" s="16" t="n">
        <f aca="false">I25031*MIN(I25030-I25036+I25035,MAX(0,I25121-Assumptions!$C$12*I24937-I24947-I24960-I24973-I24986-I24999-I25012-I25025))</f>
        <v>0</v>
      </c>
      <c r="J25038" s="16" t="n">
        <f aca="false">J25031*MIN(J25030-J25036+J25035,MAX(0,J25121-Assumptions!$C$12*J24937-J24947-J24960-J24973-J24986-J24999-J25012-J25025))</f>
        <v>0</v>
      </c>
      <c r="K25038" s="16" t="n">
        <f aca="false">K25031*MIN(K25030-K25036+K25035,MAX(0,K25121-Assumptions!$C$12*K24937-K24947-K24960-K24973-K24986-K24999-K25012-K25025))</f>
        <v>0</v>
      </c>
    </row>
    <row r="25039" customFormat="false" ht="15" hidden="false" customHeight="false" outlineLevel="0" collapsed="false">
      <c r="A25039" s="3" t="s">
        <v>337</v>
      </c>
      <c r="G25039" s="16" t="n">
        <f aca="false">Assumptions!$N$64*MIN(G25030+G25037+G25035-G25036-G25038,MAX(0,G25125-G24948-G24961-G24974-G24987-G25000-G25013-G25026))</f>
        <v>0</v>
      </c>
      <c r="H25039" s="16" t="n">
        <f aca="false">Assumptions!$N$64*MIN(H25030+H25037+H25035-H25036-H25038,MAX(0,H25125-H24948-H24961-H24974-H24987-H25000-H25013-H25026))</f>
        <v>0</v>
      </c>
      <c r="I25039" s="16" t="n">
        <f aca="false">Assumptions!$N$64*MIN(I25030+I25037+I25035-I25036-I25038,MAX(0,I25125-I24948-I24961-I24974-I24987-I25000-I25013-I25026))</f>
        <v>0</v>
      </c>
      <c r="J25039" s="16" t="n">
        <f aca="false">Assumptions!$N$64*MIN(J25030+J25037+J25035-J25036-J25038,MAX(0,J25125-J24948-J24961-J24974-J24987-J25000-J25013-J25026))</f>
        <v>0</v>
      </c>
      <c r="K25039" s="16" t="n">
        <f aca="false">Assumptions!$N$64*MIN(K25030+K25037+K25035-K25036-K25038,MAX(0,K25125-K24948-K24961-K24974-K24987-K25000-K25013-K25026))</f>
        <v>0</v>
      </c>
    </row>
    <row r="25040" customFormat="false" ht="15" hidden="false" customHeight="false" outlineLevel="0" collapsed="false">
      <c r="A25040" s="3" t="s">
        <v>338</v>
      </c>
      <c r="G25040" s="16" t="n">
        <f aca="false">G25031*(1-G24937)*(G25030-G25036+G25035-G25038)</f>
        <v>0</v>
      </c>
      <c r="H25040" s="16" t="n">
        <f aca="false">H25031*(1-H24937)*(H25030-H25036+H25035-H25038)</f>
        <v>0</v>
      </c>
      <c r="I25040" s="16" t="n">
        <f aca="false">I25031*(1-I24937)*(I25030-I25036+I25035-I25038)</f>
        <v>0</v>
      </c>
      <c r="J25040" s="16" t="n">
        <f aca="false">J25031*(1-J24937)*(J25030-J25036+J25035-J25038)</f>
        <v>350</v>
      </c>
      <c r="K25040" s="16" t="n">
        <f aca="false">K25031*(1-K24937)*(K25030-K25036+K25035-K25038)</f>
        <v>0</v>
      </c>
    </row>
    <row r="25041" customFormat="false" ht="15" hidden="false" customHeight="false" outlineLevel="0" collapsed="false">
      <c r="A25041" s="2" t="s">
        <v>339</v>
      </c>
      <c r="F25041" s="28" t="n">
        <f aca="false">Assumptions!$C$64</f>
        <v>350</v>
      </c>
      <c r="G25041" s="17" t="n">
        <f aca="false">G25030+G25037+G25035-G25036-G25038-G25039</f>
        <v>350</v>
      </c>
      <c r="H25041" s="17" t="n">
        <f aca="false">H25030+H25037+H25035-H25036-H25038-H25039</f>
        <v>350</v>
      </c>
      <c r="I25041" s="17" t="n">
        <f aca="false">I25030+I25037+I25035-I25036-I25038-I25039</f>
        <v>350</v>
      </c>
      <c r="J25041" s="17" t="n">
        <f aca="false">J25030+J25037+J25035-J25036-J25038-J25039</f>
        <v>350</v>
      </c>
      <c r="K25041" s="17" t="n">
        <f aca="false">K25030+K25037+K25035-K25036-K25038-K25039</f>
        <v>350</v>
      </c>
    </row>
    <row r="25042" customFormat="false" ht="15" hidden="false" customHeight="false" outlineLevel="0" collapsed="false">
      <c r="A25042" s="24" t="s">
        <v>347</v>
      </c>
      <c r="B25042" s="25"/>
      <c r="C25042" s="25"/>
      <c r="D25042" s="25"/>
      <c r="E25042" s="25"/>
      <c r="F25042" s="25"/>
      <c r="G25042" s="25"/>
      <c r="H25042" s="25"/>
      <c r="I25042" s="25"/>
      <c r="J25042" s="25"/>
      <c r="K25042" s="25"/>
    </row>
    <row r="25043" customFormat="false" ht="15" hidden="false" customHeight="false" outlineLevel="0" collapsed="false">
      <c r="A25043" s="3" t="s">
        <v>329</v>
      </c>
      <c r="G25043" s="16" t="n">
        <f aca="false">F25054</f>
        <v>300</v>
      </c>
      <c r="H25043" s="16" t="n">
        <f aca="false">G25054</f>
        <v>300</v>
      </c>
      <c r="I25043" s="16" t="n">
        <f aca="false">H25054</f>
        <v>300</v>
      </c>
      <c r="J25043" s="16" t="n">
        <f aca="false">I25054</f>
        <v>300</v>
      </c>
      <c r="K25043" s="16" t="n">
        <f aca="false">J25054</f>
        <v>300</v>
      </c>
    </row>
    <row r="25044" customFormat="false" ht="15" hidden="false" customHeight="false" outlineLevel="0" collapsed="false">
      <c r="A25044" s="3" t="s">
        <v>330</v>
      </c>
      <c r="G25044" s="21" t="n">
        <f aca="false">IF(G24903=Assumptions!$K$65,1,0)</f>
        <v>0</v>
      </c>
      <c r="H25044" s="21" t="n">
        <f aca="false">IF(H24903=Assumptions!$K$65,1,0)</f>
        <v>0</v>
      </c>
      <c r="I25044" s="21" t="n">
        <f aca="false">IF(I24903=Assumptions!$K$65,1,0)</f>
        <v>0</v>
      </c>
      <c r="J25044" s="21" t="n">
        <f aca="false">IF(J24903=Assumptions!$K$65,1,0)</f>
        <v>0</v>
      </c>
      <c r="K25044" s="21" t="n">
        <f aca="false">IF(K24903=Assumptions!$K$65,1,0)</f>
        <v>1</v>
      </c>
    </row>
    <row r="25046" customFormat="false" ht="15" hidden="false" customHeight="false" outlineLevel="0" collapsed="false">
      <c r="A25046" s="3" t="s">
        <v>331</v>
      </c>
      <c r="G25046" s="31" t="n">
        <f aca="false">IF(Assumptions!$I$65=1,MAX(G24929,Assumptions!$G$65)+Assumptions!$F$65+$C$24930,Assumptions!$E$65)</f>
        <v>0.06125</v>
      </c>
      <c r="H25046" s="31" t="n">
        <f aca="false">IF(G25257=1,$C$24931,IF(Assumptions!$I$65=1,MAX(H24929,Assumptions!$G$65)+Assumptions!$F$65+$C$24930,Assumptions!$E$65))</f>
        <v>0.06125</v>
      </c>
      <c r="I25046" s="31" t="n">
        <f aca="false">IF(H25257=1,$C$24931,IF(Assumptions!$I$65=1,MAX(I24929,Assumptions!$G$65)+Assumptions!$F$65+$C$24930,Assumptions!$E$65))</f>
        <v>0.06125</v>
      </c>
      <c r="J25046" s="31" t="n">
        <f aca="false">IF(I25257=1,$C$24931,IF(Assumptions!$I$65=1,MAX(J24929,Assumptions!$G$65)+Assumptions!$F$65+$C$24930,Assumptions!$E$65))</f>
        <v>0.06125</v>
      </c>
      <c r="K25046" s="31" t="n">
        <f aca="false">IF(J25257=1,$C$24931,IF(Assumptions!$I$65=1,MAX(K24929,Assumptions!$G$65)+Assumptions!$F$65+$C$24930,Assumptions!$E$65))</f>
        <v>0.06125</v>
      </c>
    </row>
    <row r="25047" customFormat="false" ht="15" hidden="false" customHeight="false" outlineLevel="0" collapsed="false">
      <c r="A25047" s="3" t="s">
        <v>332</v>
      </c>
      <c r="G25047" s="16" t="n">
        <f aca="false">G25043*G25046</f>
        <v>18.375</v>
      </c>
      <c r="H25047" s="16" t="n">
        <f aca="false">H25043*H25046</f>
        <v>18.375</v>
      </c>
      <c r="I25047" s="16" t="n">
        <f aca="false">I25043*I25046</f>
        <v>18.375</v>
      </c>
      <c r="J25047" s="16" t="n">
        <f aca="false">J25043*J25046</f>
        <v>18.375</v>
      </c>
      <c r="K25047" s="16" t="n">
        <f aca="false">K25043*K25046</f>
        <v>18.375</v>
      </c>
    </row>
    <row r="25048" customFormat="false" ht="15" hidden="false" customHeight="false" outlineLevel="0" collapsed="false">
      <c r="A25048" s="3" t="s">
        <v>333</v>
      </c>
      <c r="G25048" s="16" t="n">
        <f aca="false">G25043*Assumptions!$H$65</f>
        <v>0</v>
      </c>
      <c r="H25048" s="16" t="n">
        <f aca="false">H25043*Assumptions!$H$65</f>
        <v>0</v>
      </c>
      <c r="I25048" s="16" t="n">
        <f aca="false">I25043*Assumptions!$H$65</f>
        <v>0</v>
      </c>
      <c r="J25048" s="16" t="n">
        <f aca="false">J25043*Assumptions!$H$65</f>
        <v>0</v>
      </c>
      <c r="K25048" s="16" t="n">
        <f aca="false">K25043*Assumptions!$H$65</f>
        <v>0</v>
      </c>
    </row>
    <row r="25049" customFormat="false" ht="15" hidden="false" customHeight="false" outlineLevel="0" collapsed="false">
      <c r="A25049" s="3" t="s">
        <v>334</v>
      </c>
      <c r="G25049" s="16" t="n">
        <f aca="false">MIN(G25043,Assumptions!$L$65*Assumptions!$C$65)</f>
        <v>0</v>
      </c>
      <c r="H25049" s="16" t="n">
        <f aca="false">MIN(H25043,Assumptions!$L$65*Assumptions!$C$65)</f>
        <v>0</v>
      </c>
      <c r="I25049" s="16" t="n">
        <f aca="false">MIN(I25043,Assumptions!$L$65*Assumptions!$C$65)</f>
        <v>0</v>
      </c>
      <c r="J25049" s="16" t="n">
        <f aca="false">MIN(J25043,Assumptions!$L$65*Assumptions!$C$65)</f>
        <v>0</v>
      </c>
      <c r="K25049" s="16" t="n">
        <f aca="false">MIN(K25043,Assumptions!$L$65*Assumptions!$C$65)</f>
        <v>0</v>
      </c>
    </row>
    <row r="25050" customFormat="false" ht="15" hidden="false" customHeight="false" outlineLevel="0" collapsed="false">
      <c r="A25050" s="3" t="s">
        <v>335</v>
      </c>
      <c r="G25050" s="16" t="n">
        <f aca="false">IF(AND(Assumptions!$P$65=1,G24903&lt;Assumptions!$K$65),MIN(MAX(0,-G25119),MAX(0,Assumptions!$D$65-G25043)),0)</f>
        <v>0</v>
      </c>
      <c r="H25050" s="16" t="n">
        <f aca="false">IF(AND(Assumptions!$P$65=1,OR(H24903&lt;Assumptions!$K$65,G25257=1)),MIN(MAX(0,-H25119),MAX(0,Assumptions!$D$65-H25043)),0)</f>
        <v>0</v>
      </c>
      <c r="I25050" s="16" t="n">
        <f aca="false">IF(AND(Assumptions!$P$65=1,OR(I24903&lt;Assumptions!$K$65,H25257=1)),MIN(MAX(0,-I25119),MAX(0,Assumptions!$D$65-I25043)),0)</f>
        <v>0</v>
      </c>
      <c r="J25050" s="16" t="n">
        <f aca="false">IF(AND(Assumptions!$P$65=1,OR(J24903&lt;Assumptions!$K$65,I25257=1)),MIN(MAX(0,-J25119),MAX(0,Assumptions!$D$65-J25043)),0)</f>
        <v>0</v>
      </c>
      <c r="K25050" s="16" t="n">
        <f aca="false">IF(AND(Assumptions!$P$65=1,OR(K24903&lt;Assumptions!$K$65,J25257=1)),MIN(MAX(0,-K25119),MAX(0,Assumptions!$D$65-K25043)),0)</f>
        <v>0</v>
      </c>
    </row>
    <row r="25051" customFormat="false" ht="15" hidden="false" customHeight="false" outlineLevel="0" collapsed="false">
      <c r="A25051" s="3" t="s">
        <v>336</v>
      </c>
      <c r="G25051" s="16" t="n">
        <f aca="false">G25044*MIN(G25043-G25049+G25048,MAX(0,G25121-Assumptions!$C$12*G24937-G24947-G24960-G24973-G24986-G24999-G25012-G25025-G25038))</f>
        <v>0</v>
      </c>
      <c r="H25051" s="16" t="n">
        <f aca="false">H25044*MIN(H25043-H25049+H25048,MAX(0,H25121-Assumptions!$C$12*H24937-H24947-H24960-H24973-H24986-H24999-H25012-H25025-H25038))</f>
        <v>0</v>
      </c>
      <c r="I25051" s="16" t="n">
        <f aca="false">I25044*MIN(I25043-I25049+I25048,MAX(0,I25121-Assumptions!$C$12*I24937-I24947-I24960-I24973-I24986-I24999-I25012-I25025-I25038))</f>
        <v>0</v>
      </c>
      <c r="J25051" s="16" t="n">
        <f aca="false">J25044*MIN(J25043-J25049+J25048,MAX(0,J25121-Assumptions!$C$12*J24937-J24947-J24960-J24973-J24986-J24999-J25012-J25025-J25038))</f>
        <v>0</v>
      </c>
      <c r="K25051" s="16" t="n">
        <f aca="false">K25044*MIN(K25043-K25049+K25048,MAX(0,K25121-Assumptions!$C$12*K24937-K24947-K24960-K24973-K24986-K24999-K25012-K25025-K25038))</f>
        <v>0</v>
      </c>
    </row>
    <row r="25052" customFormat="false" ht="15" hidden="false" customHeight="false" outlineLevel="0" collapsed="false">
      <c r="A25052" s="3" t="s">
        <v>337</v>
      </c>
      <c r="G25052" s="16" t="n">
        <f aca="false">Assumptions!$N$65*MIN(G25043+G25050+G25048-G25049-G25051,MAX(0,G25125-G24948-G24961-G24974-G24987-G25000-G25013-G25026-G25039))</f>
        <v>0</v>
      </c>
      <c r="H25052" s="16" t="n">
        <f aca="false">Assumptions!$N$65*MIN(H25043+H25050+H25048-H25049-H25051,MAX(0,H25125-H24948-H24961-H24974-H24987-H25000-H25013-H25026-H25039))</f>
        <v>0</v>
      </c>
      <c r="I25052" s="16" t="n">
        <f aca="false">Assumptions!$N$65*MIN(I25043+I25050+I25048-I25049-I25051,MAX(0,I25125-I24948-I24961-I24974-I24987-I25000-I25013-I25026-I25039))</f>
        <v>0</v>
      </c>
      <c r="J25052" s="16" t="n">
        <f aca="false">Assumptions!$N$65*MIN(J25043+J25050+J25048-J25049-J25051,MAX(0,J25125-J24948-J24961-J24974-J24987-J25000-J25013-J25026-J25039))</f>
        <v>0</v>
      </c>
      <c r="K25052" s="16" t="n">
        <f aca="false">Assumptions!$N$65*MIN(K25043+K25050+K25048-K25049-K25051,MAX(0,K25125-K24948-K24961-K24974-K24987-K25000-K25013-K25026-K25039))</f>
        <v>0</v>
      </c>
    </row>
    <row r="25053" customFormat="false" ht="15" hidden="false" customHeight="false" outlineLevel="0" collapsed="false">
      <c r="A25053" s="3" t="s">
        <v>338</v>
      </c>
      <c r="G25053" s="16" t="n">
        <f aca="false">G25044*(1-G24937)*(G25043-G25049+G25048-G25051)</f>
        <v>0</v>
      </c>
      <c r="H25053" s="16" t="n">
        <f aca="false">H25044*(1-H24937)*(H25043-H25049+H25048-H25051)</f>
        <v>0</v>
      </c>
      <c r="I25053" s="16" t="n">
        <f aca="false">I25044*(1-I24937)*(I25043-I25049+I25048-I25051)</f>
        <v>0</v>
      </c>
      <c r="J25053" s="16" t="n">
        <f aca="false">J25044*(1-J24937)*(J25043-J25049+J25048-J25051)</f>
        <v>0</v>
      </c>
      <c r="K25053" s="16" t="n">
        <f aca="false">K25044*(1-K24937)*(K25043-K25049+K25048-K25051)</f>
        <v>300</v>
      </c>
    </row>
    <row r="25054" customFormat="false" ht="15" hidden="false" customHeight="false" outlineLevel="0" collapsed="false">
      <c r="A25054" s="2" t="s">
        <v>339</v>
      </c>
      <c r="F25054" s="28" t="n">
        <f aca="false">Assumptions!$C$65</f>
        <v>300</v>
      </c>
      <c r="G25054" s="17" t="n">
        <f aca="false">G25043+G25050+G25048-G25049-G25051-G25052</f>
        <v>300</v>
      </c>
      <c r="H25054" s="17" t="n">
        <f aca="false">H25043+H25050+H25048-H25049-H25051-H25052</f>
        <v>300</v>
      </c>
      <c r="I25054" s="17" t="n">
        <f aca="false">I25043+I25050+I25048-I25049-I25051-I25052</f>
        <v>300</v>
      </c>
      <c r="J25054" s="17" t="n">
        <f aca="false">J25043+J25050+J25048-J25049-J25051-J25052</f>
        <v>300</v>
      </c>
      <c r="K25054" s="17" t="n">
        <f aca="false">K25043+K25050+K25048-K25049-K25051-K25052</f>
        <v>300</v>
      </c>
    </row>
    <row r="25055" customFormat="false" ht="15" hidden="false" customHeight="false" outlineLevel="0" collapsed="false">
      <c r="A25055" s="24" t="s">
        <v>348</v>
      </c>
      <c r="B25055" s="25"/>
      <c r="C25055" s="25"/>
      <c r="D25055" s="25"/>
      <c r="E25055" s="25"/>
      <c r="F25055" s="25"/>
      <c r="G25055" s="25"/>
      <c r="H25055" s="25"/>
      <c r="I25055" s="25"/>
      <c r="J25055" s="25"/>
      <c r="K25055" s="25"/>
    </row>
    <row r="25056" customFormat="false" ht="15" hidden="false" customHeight="false" outlineLevel="0" collapsed="false">
      <c r="A25056" s="3" t="s">
        <v>329</v>
      </c>
      <c r="G25056" s="16" t="n">
        <f aca="false">F25067</f>
        <v>78.61</v>
      </c>
      <c r="H25056" s="16" t="n">
        <f aca="false">G25067</f>
        <v>78.61</v>
      </c>
      <c r="I25056" s="16" t="n">
        <f aca="false">H25067</f>
        <v>78.61</v>
      </c>
      <c r="J25056" s="16" t="n">
        <f aca="false">I25067</f>
        <v>78.61</v>
      </c>
      <c r="K25056" s="16" t="n">
        <f aca="false">J25067</f>
        <v>78.61</v>
      </c>
    </row>
    <row r="25057" customFormat="false" ht="15" hidden="false" customHeight="false" outlineLevel="0" collapsed="false">
      <c r="A25057" s="3" t="s">
        <v>330</v>
      </c>
      <c r="G25057" s="21" t="n">
        <f aca="false">IF(G24903=Assumptions!$K$66,1,0)</f>
        <v>0</v>
      </c>
      <c r="H25057" s="21" t="n">
        <f aca="false">IF(H24903=Assumptions!$K$66,1,0)</f>
        <v>0</v>
      </c>
      <c r="I25057" s="21" t="n">
        <f aca="false">IF(I24903=Assumptions!$K$66,1,0)</f>
        <v>0</v>
      </c>
      <c r="J25057" s="21" t="n">
        <f aca="false">IF(J24903=Assumptions!$K$66,1,0)</f>
        <v>0</v>
      </c>
      <c r="K25057" s="21" t="n">
        <f aca="false">IF(K24903=Assumptions!$K$66,1,0)</f>
        <v>0</v>
      </c>
    </row>
    <row r="25059" customFormat="false" ht="15" hidden="false" customHeight="false" outlineLevel="0" collapsed="false">
      <c r="A25059" s="3" t="s">
        <v>331</v>
      </c>
      <c r="G25059" s="31" t="n">
        <f aca="false">IF(Assumptions!$I$66=1,MAX(G24929,Assumptions!$G$66)+Assumptions!$F$66+$C$24930,Assumptions!$E$66)</f>
        <v>0.0591</v>
      </c>
      <c r="H25059" s="31" t="n">
        <f aca="false">IF(G25258=1,$C$24931,IF(Assumptions!$I$66=1,MAX(H24929,Assumptions!$G$66)+Assumptions!$F$66+$C$24930,Assumptions!$E$66))</f>
        <v>0.0576</v>
      </c>
      <c r="I25059" s="31" t="n">
        <f aca="false">IF(H25258=1,$C$24931,IF(Assumptions!$I$66=1,MAX(I24929,Assumptions!$G$66)+Assumptions!$F$66+$C$24930,Assumptions!$E$66))</f>
        <v>0.0551</v>
      </c>
      <c r="J25059" s="31" t="n">
        <f aca="false">IF(I25258=1,$C$24931,IF(Assumptions!$I$66=1,MAX(J24929,Assumptions!$G$66)+Assumptions!$F$66+$C$24930,Assumptions!$E$66))</f>
        <v>0.0551</v>
      </c>
      <c r="K25059" s="31" t="n">
        <f aca="false">IF(J25258=1,$C$24931,IF(Assumptions!$I$66=1,MAX(K24929,Assumptions!$G$66)+Assumptions!$F$66+$C$24930,Assumptions!$E$66))</f>
        <v>0.0551</v>
      </c>
    </row>
    <row r="25060" customFormat="false" ht="15" hidden="false" customHeight="false" outlineLevel="0" collapsed="false">
      <c r="A25060" s="3" t="s">
        <v>332</v>
      </c>
      <c r="G25060" s="16" t="n">
        <f aca="false">G25056*G25059</f>
        <v>4.645851</v>
      </c>
      <c r="H25060" s="16" t="n">
        <f aca="false">H25056*H25059</f>
        <v>4.527936</v>
      </c>
      <c r="I25060" s="16" t="n">
        <f aca="false">I25056*I25059</f>
        <v>4.331411</v>
      </c>
      <c r="J25060" s="16" t="n">
        <f aca="false">J25056*J25059</f>
        <v>4.331411</v>
      </c>
      <c r="K25060" s="16" t="n">
        <f aca="false">K25056*K25059</f>
        <v>4.331411</v>
      </c>
    </row>
    <row r="25061" customFormat="false" ht="15" hidden="false" customHeight="false" outlineLevel="0" collapsed="false">
      <c r="A25061" s="3" t="s">
        <v>333</v>
      </c>
      <c r="G25061" s="16" t="n">
        <f aca="false">G25056*Assumptions!$H$66</f>
        <v>0</v>
      </c>
      <c r="H25061" s="16" t="n">
        <f aca="false">H25056*Assumptions!$H$66</f>
        <v>0</v>
      </c>
      <c r="I25061" s="16" t="n">
        <f aca="false">I25056*Assumptions!$H$66</f>
        <v>0</v>
      </c>
      <c r="J25061" s="16" t="n">
        <f aca="false">J25056*Assumptions!$H$66</f>
        <v>0</v>
      </c>
      <c r="K25061" s="16" t="n">
        <f aca="false">K25056*Assumptions!$H$66</f>
        <v>0</v>
      </c>
    </row>
    <row r="25062" customFormat="false" ht="15" hidden="false" customHeight="false" outlineLevel="0" collapsed="false">
      <c r="A25062" s="3" t="s">
        <v>334</v>
      </c>
      <c r="G25062" s="16" t="n">
        <f aca="false">MIN(G25056,Assumptions!$L$66*Assumptions!$C$66)</f>
        <v>0</v>
      </c>
      <c r="H25062" s="16" t="n">
        <f aca="false">MIN(H25056,Assumptions!$L$66*Assumptions!$C$66)</f>
        <v>0</v>
      </c>
      <c r="I25062" s="16" t="n">
        <f aca="false">MIN(I25056,Assumptions!$L$66*Assumptions!$C$66)</f>
        <v>0</v>
      </c>
      <c r="J25062" s="16" t="n">
        <f aca="false">MIN(J25056,Assumptions!$L$66*Assumptions!$C$66)</f>
        <v>0</v>
      </c>
      <c r="K25062" s="16" t="n">
        <f aca="false">MIN(K25056,Assumptions!$L$66*Assumptions!$C$66)</f>
        <v>0</v>
      </c>
    </row>
    <row r="25063" customFormat="false" ht="15" hidden="false" customHeight="false" outlineLevel="0" collapsed="false">
      <c r="A25063" s="3" t="s">
        <v>335</v>
      </c>
      <c r="G25063" s="16" t="n">
        <f aca="false">IF(AND(Assumptions!$P$66=1,G24903&lt;Assumptions!$K$66),MIN(MAX(0,-G25119),MAX(0,Assumptions!$D$66-G25056)),0)</f>
        <v>0</v>
      </c>
      <c r="H25063" s="16" t="n">
        <f aca="false">IF(AND(Assumptions!$P$66=1,OR(H24903&lt;Assumptions!$K$66,G25258=1)),MIN(MAX(0,-H25119),MAX(0,Assumptions!$D$66-H25056)),0)</f>
        <v>0</v>
      </c>
      <c r="I25063" s="16" t="n">
        <f aca="false">IF(AND(Assumptions!$P$66=1,OR(I24903&lt;Assumptions!$K$66,H25258=1)),MIN(MAX(0,-I25119),MAX(0,Assumptions!$D$66-I25056)),0)</f>
        <v>0</v>
      </c>
      <c r="J25063" s="16" t="n">
        <f aca="false">IF(AND(Assumptions!$P$66=1,OR(J24903&lt;Assumptions!$K$66,I25258=1)),MIN(MAX(0,-J25119),MAX(0,Assumptions!$D$66-J25056)),0)</f>
        <v>0</v>
      </c>
      <c r="K25063" s="16" t="n">
        <f aca="false">IF(AND(Assumptions!$P$66=1,OR(K24903&lt;Assumptions!$K$66,J25258=1)),MIN(MAX(0,-K25119),MAX(0,Assumptions!$D$66-K25056)),0)</f>
        <v>0</v>
      </c>
    </row>
    <row r="25064" customFormat="false" ht="15" hidden="false" customHeight="false" outlineLevel="0" collapsed="false">
      <c r="A25064" s="3" t="s">
        <v>336</v>
      </c>
      <c r="G25064" s="16" t="n">
        <f aca="false">G25057*MIN(G25056-G25062+G25061,MAX(0,G25121-Assumptions!$C$12*G24937-G24947-G24960-G24973-G24986-G24999-G25012-G25025-G25038-G25051))</f>
        <v>0</v>
      </c>
      <c r="H25064" s="16" t="n">
        <f aca="false">H25057*MIN(H25056-H25062+H25061,MAX(0,H25121-Assumptions!$C$12*H24937-H24947-H24960-H24973-H24986-H24999-H25012-H25025-H25038-H25051))</f>
        <v>0</v>
      </c>
      <c r="I25064" s="16" t="n">
        <f aca="false">I25057*MIN(I25056-I25062+I25061,MAX(0,I25121-Assumptions!$C$12*I24937-I24947-I24960-I24973-I24986-I24999-I25012-I25025-I25038-I25051))</f>
        <v>0</v>
      </c>
      <c r="J25064" s="16" t="n">
        <f aca="false">J25057*MIN(J25056-J25062+J25061,MAX(0,J25121-Assumptions!$C$12*J24937-J24947-J24960-J24973-J24986-J24999-J25012-J25025-J25038-J25051))</f>
        <v>0</v>
      </c>
      <c r="K25064" s="16" t="n">
        <f aca="false">K25057*MIN(K25056-K25062+K25061,MAX(0,K25121-Assumptions!$C$12*K24937-K24947-K24960-K24973-K24986-K24999-K25012-K25025-K25038-K25051))</f>
        <v>0</v>
      </c>
    </row>
    <row r="25065" customFormat="false" ht="15" hidden="false" customHeight="false" outlineLevel="0" collapsed="false">
      <c r="A25065" s="3" t="s">
        <v>337</v>
      </c>
      <c r="G25065" s="16" t="n">
        <f aca="false">Assumptions!$N$66*MIN(G25056+G25063+G25061-G25062-G25064,MAX(0,G25125-G24948-G24961-G24974-G24987-G25000-G25013-G25026-G25039-G25052))</f>
        <v>0</v>
      </c>
      <c r="H25065" s="16" t="n">
        <f aca="false">Assumptions!$N$66*MIN(H25056+H25063+H25061-H25062-H25064,MAX(0,H25125-H24948-H24961-H24974-H24987-H25000-H25013-H25026-H25039-H25052))</f>
        <v>0</v>
      </c>
      <c r="I25065" s="16" t="n">
        <f aca="false">Assumptions!$N$66*MIN(I25056+I25063+I25061-I25062-I25064,MAX(0,I25125-I24948-I24961-I24974-I24987-I25000-I25013-I25026-I25039-I25052))</f>
        <v>0</v>
      </c>
      <c r="J25065" s="16" t="n">
        <f aca="false">Assumptions!$N$66*MIN(J25056+J25063+J25061-J25062-J25064,MAX(0,J25125-J24948-J24961-J24974-J24987-J25000-J25013-J25026-J25039-J25052))</f>
        <v>0</v>
      </c>
      <c r="K25065" s="16" t="n">
        <f aca="false">Assumptions!$N$66*MIN(K25056+K25063+K25061-K25062-K25064,MAX(0,K25125-K24948-K24961-K24974-K24987-K25000-K25013-K25026-K25039-K25052))</f>
        <v>0</v>
      </c>
    </row>
    <row r="25066" customFormat="false" ht="15" hidden="false" customHeight="false" outlineLevel="0" collapsed="false">
      <c r="A25066" s="3" t="s">
        <v>338</v>
      </c>
      <c r="G25066" s="16" t="n">
        <f aca="false">G25057*(1-G24937)*(G25056-G25062+G25061-G25064)</f>
        <v>0</v>
      </c>
      <c r="H25066" s="16" t="n">
        <f aca="false">H25057*(1-H24937)*(H25056-H25062+H25061-H25064)</f>
        <v>0</v>
      </c>
      <c r="I25066" s="16" t="n">
        <f aca="false">I25057*(1-I24937)*(I25056-I25062+I25061-I25064)</f>
        <v>0</v>
      </c>
      <c r="J25066" s="16" t="n">
        <f aca="false">J25057*(1-J24937)*(J25056-J25062+J25061-J25064)</f>
        <v>0</v>
      </c>
      <c r="K25066" s="16" t="n">
        <f aca="false">K25057*(1-K24937)*(K25056-K25062+K25061-K25064)</f>
        <v>0</v>
      </c>
    </row>
    <row r="25067" customFormat="false" ht="15" hidden="false" customHeight="false" outlineLevel="0" collapsed="false">
      <c r="A25067" s="2" t="s">
        <v>339</v>
      </c>
      <c r="F25067" s="28" t="n">
        <f aca="false">Assumptions!$C$66</f>
        <v>78.61</v>
      </c>
      <c r="G25067" s="17" t="n">
        <f aca="false">G25056+G25063+G25061-G25062-G25064-G25065</f>
        <v>78.61</v>
      </c>
      <c r="H25067" s="17" t="n">
        <f aca="false">H25056+H25063+H25061-H25062-H25064-H25065</f>
        <v>78.61</v>
      </c>
      <c r="I25067" s="17" t="n">
        <f aca="false">I25056+I25063+I25061-I25062-I25064-I25065</f>
        <v>78.61</v>
      </c>
      <c r="J25067" s="17" t="n">
        <f aca="false">J25056+J25063+J25061-J25062-J25064-J25065</f>
        <v>78.61</v>
      </c>
      <c r="K25067" s="17" t="n">
        <f aca="false">K25056+K25063+K25061-K25062-K25064-K25065</f>
        <v>78.61</v>
      </c>
    </row>
    <row r="25068" customFormat="false" ht="15" hidden="false" customHeight="false" outlineLevel="0" collapsed="false">
      <c r="A25068" s="24" t="s">
        <v>349</v>
      </c>
      <c r="B25068" s="25"/>
      <c r="C25068" s="25"/>
      <c r="D25068" s="25"/>
      <c r="E25068" s="25"/>
      <c r="F25068" s="25"/>
      <c r="G25068" s="25"/>
      <c r="H25068" s="25"/>
      <c r="I25068" s="25"/>
      <c r="J25068" s="25"/>
      <c r="K25068" s="25"/>
    </row>
    <row r="25069" customFormat="false" ht="15" hidden="false" customHeight="false" outlineLevel="0" collapsed="false">
      <c r="A25069" s="2" t="s">
        <v>350</v>
      </c>
      <c r="F25069" s="17" t="n">
        <f aca="false">F24950+F24963+F24976+F24989+F25002+F25015+F25028+F25041+F25054+F25067</f>
        <v>2625.934</v>
      </c>
      <c r="G25069" s="17" t="n">
        <f aca="false">G24950+G24963+G24976+G24989+G25002+G25015+G25028+G25041+G25054+G25067</f>
        <v>2621.934</v>
      </c>
      <c r="H25069" s="17" t="n">
        <f aca="false">H24950+H24963+H24976+H24989+H25002+H25015+H25028+H25041+H25054+H25067</f>
        <v>2559.848157881</v>
      </c>
      <c r="I25069" s="17" t="n">
        <f aca="false">I24950+I24963+I24976+I24989+I25002+I25015+I25028+I25041+I25054+I25067</f>
        <v>2555.848157881</v>
      </c>
      <c r="J25069" s="17" t="n">
        <f aca="false">J24950+J24963+J24976+J24989+J25002+J25015+J25028+J25041+J25054+J25067</f>
        <v>2551.848157881</v>
      </c>
      <c r="K25069" s="17" t="n">
        <f aca="false">K24950+K24963+K24976+K24989+K25002+K25015+K25028+K25041+K25054+K25067</f>
        <v>2547.848157881</v>
      </c>
    </row>
    <row r="25070" customFormat="false" ht="15" hidden="false" customHeight="false" outlineLevel="0" collapsed="false">
      <c r="A25070" s="3" t="s">
        <v>351</v>
      </c>
      <c r="G25070" s="16" t="n">
        <f aca="false">G24940*Assumptions!$C$57+G24953*Assumptions!$C$58+G24966*Assumptions!$C$59+G24979*Assumptions!$C$60+G24992*Assumptions!$C$61+G25005*Assumptions!$C$62+G25018*Assumptions!$C$63+G25031*Assumptions!$C$64+G25044*Assumptions!$C$65+G25057*Assumptions!$C$66</f>
        <v>0</v>
      </c>
      <c r="H25070" s="16" t="n">
        <f aca="false">H24940*Assumptions!$C$57+H24953*Assumptions!$C$58+H24966*Assumptions!$C$59+H24979*Assumptions!$C$60+H24992*Assumptions!$C$61+H25005*Assumptions!$C$62+H25018*Assumptions!$C$63+H25031*Assumptions!$C$64+H25044*Assumptions!$C$65+H25057*Assumptions!$C$66</f>
        <v>800</v>
      </c>
      <c r="I25070" s="16" t="n">
        <f aca="false">I24940*Assumptions!$C$57+I24953*Assumptions!$C$58+I24966*Assumptions!$C$59+I24979*Assumptions!$C$60+I24992*Assumptions!$C$61+I25005*Assumptions!$C$62+I25018*Assumptions!$C$63+I25031*Assumptions!$C$64+I25044*Assumptions!$C$65+I25057*Assumptions!$C$66</f>
        <v>550</v>
      </c>
      <c r="J25070" s="16" t="n">
        <f aca="false">J24940*Assumptions!$C$57+J24953*Assumptions!$C$58+J24966*Assumptions!$C$59+J24979*Assumptions!$C$60+J24992*Assumptions!$C$61+J25005*Assumptions!$C$62+J25018*Assumptions!$C$63+J25031*Assumptions!$C$64+J25044*Assumptions!$C$65+J25057*Assumptions!$C$66</f>
        <v>350</v>
      </c>
      <c r="K25070" s="16" t="n">
        <f aca="false">K24940*Assumptions!$C$57+K24953*Assumptions!$C$58+K24966*Assumptions!$C$59+K24979*Assumptions!$C$60+K24992*Assumptions!$C$61+K25005*Assumptions!$C$62+K25018*Assumptions!$C$63+K25031*Assumptions!$C$64+K25044*Assumptions!$C$65+K25057*Assumptions!$C$66</f>
        <v>700</v>
      </c>
    </row>
    <row r="25071" customFormat="false" ht="15" hidden="false" customHeight="false" outlineLevel="0" collapsed="false">
      <c r="A25071" s="24" t="s">
        <v>352</v>
      </c>
      <c r="B25071" s="25"/>
      <c r="C25071" s="25"/>
      <c r="D25071" s="25"/>
      <c r="E25071" s="25"/>
      <c r="F25071" s="25"/>
      <c r="G25071" s="25"/>
      <c r="H25071" s="25"/>
      <c r="I25071" s="25"/>
      <c r="J25071" s="25"/>
      <c r="K25071" s="25"/>
    </row>
    <row r="25072" customFormat="false" ht="15" hidden="false" customHeight="false" outlineLevel="0" collapsed="false">
      <c r="A25072" s="3" t="s">
        <v>353</v>
      </c>
      <c r="C25072" s="16" t="n">
        <f aca="false">SUMPRODUCT($G$24940:$K$24940,$G$24939:$K$24939-$G$24945:$K$24945+$G$24944:$K$24944)</f>
        <v>380</v>
      </c>
    </row>
    <row r="25073" customFormat="false" ht="15" hidden="false" customHeight="false" outlineLevel="0" collapsed="false">
      <c r="A25073" s="3" t="s">
        <v>354</v>
      </c>
      <c r="C25073" s="16" t="n">
        <f aca="false">SUMPRODUCT($G$24940:$K$24940,$G$24947:$K$24947)</f>
        <v>0</v>
      </c>
    </row>
    <row r="25074" customFormat="false" ht="15" hidden="false" customHeight="false" outlineLevel="0" collapsed="false">
      <c r="A25074" s="3" t="s">
        <v>355</v>
      </c>
      <c r="C25074" s="3" t="str">
        <f aca="false">IF(SUM($G$24940:$K$24940)=0,"n/a (beyond horizon)",IF(SUMPRODUCT($G$24940:$K$24940,$G$24937:$K$24937)&gt;0,"REFINANCING PASS","REFINANCING FAILURE"))</f>
        <v>REFINANCING FAILURE</v>
      </c>
    </row>
    <row r="25075" customFormat="false" ht="15" hidden="false" customHeight="false" outlineLevel="0" collapsed="false">
      <c r="A25075" s="3" t="s">
        <v>356</v>
      </c>
      <c r="C25075" s="3" t="str">
        <f aca="false">IF(SUM($G$24940:$K$24940)=0,"n/a",IF(C25073&gt;=C25072-0.001,"Repaid from cash",IF(SUMPRODUCT($G$24940:$K$24940,$G$24937:$K$24937)&gt;0,IF(C25073&gt;0,"Partly repaid; remainder refinanced","Refinanced"),IF(SUM($G$24949:$K$24949)&gt;0.001,IF(C25073&gt;0,"Partial repayment; PAYMENT DEFAULT","PAYMENT DEFAULT"),"Repaid from cash"))))</f>
        <v>PAYMENT DEFAULT</v>
      </c>
    </row>
    <row r="25076" customFormat="false" ht="15" hidden="false" customHeight="false" outlineLevel="0" collapsed="false">
      <c r="A25076" s="3" t="s">
        <v>357</v>
      </c>
      <c r="C25076" s="16" t="n">
        <f aca="false">SUMPRODUCT($G$24953:$K$24953,$G$24952:$K$24952-$G$24958:$K$24958+$G$24957:$K$24957)</f>
        <v>0</v>
      </c>
    </row>
    <row r="25077" customFormat="false" ht="15" hidden="false" customHeight="false" outlineLevel="0" collapsed="false">
      <c r="A25077" s="3" t="s">
        <v>358</v>
      </c>
      <c r="C25077" s="16" t="n">
        <f aca="false">SUMPRODUCT($G$24953:$K$24953,$G$24960:$K$24960)</f>
        <v>0</v>
      </c>
    </row>
    <row r="25078" customFormat="false" ht="15" hidden="false" customHeight="false" outlineLevel="0" collapsed="false">
      <c r="A25078" s="3" t="s">
        <v>359</v>
      </c>
      <c r="C25078" s="3" t="str">
        <f aca="false">IF(SUM($G$24953:$K$24953)=0,"n/a (beyond horizon)",IF(SUMPRODUCT($G$24953:$K$24953,$G$24937:$K$24937)&gt;0,"REFINANCING PASS","REFINANCING FAILURE"))</f>
        <v>n/a (beyond horizon)</v>
      </c>
    </row>
    <row r="25079" customFormat="false" ht="15" hidden="false" customHeight="false" outlineLevel="0" collapsed="false">
      <c r="A25079" s="3" t="s">
        <v>360</v>
      </c>
      <c r="C25079" s="3" t="str">
        <f aca="false">IF(SUM($G$24953:$K$24953)=0,"n/a",IF(C25077&gt;=C25076-0.001,"Repaid from cash",IF(SUMPRODUCT($G$24953:$K$24953,$G$24937:$K$24937)&gt;0,IF(C25077&gt;0,"Partly repaid; remainder refinanced","Refinanced"),IF(SUM($G$24962:$K$24962)&gt;0.001,IF(C25077&gt;0,"Partial repayment; PAYMENT DEFAULT","PAYMENT DEFAULT"),"Repaid from cash"))))</f>
        <v>n/a</v>
      </c>
    </row>
    <row r="25080" customFormat="false" ht="15" hidden="false" customHeight="false" outlineLevel="0" collapsed="false">
      <c r="A25080" s="3" t="s">
        <v>361</v>
      </c>
      <c r="C25080" s="16" t="n">
        <f aca="false">SUMPRODUCT($G$24966:$K$24966,$G$24965:$K$24965-$G$24971:$K$24971+$G$24970:$K$24970)</f>
        <v>0</v>
      </c>
    </row>
    <row r="25081" customFormat="false" ht="15" hidden="false" customHeight="false" outlineLevel="0" collapsed="false">
      <c r="A25081" s="3" t="s">
        <v>362</v>
      </c>
      <c r="C25081" s="16" t="n">
        <f aca="false">SUMPRODUCT($G$24966:$K$24966,$G$24973:$K$24973)</f>
        <v>0</v>
      </c>
    </row>
    <row r="25082" customFormat="false" ht="15" hidden="false" customHeight="false" outlineLevel="0" collapsed="false">
      <c r="A25082" s="3" t="s">
        <v>363</v>
      </c>
      <c r="C25082" s="3" t="str">
        <f aca="false">IF(SUM($G$24966:$K$24966)=0,"n/a (beyond horizon)",IF(SUMPRODUCT($G$24966:$K$24966,$G$24937:$K$24937)&gt;0,"REFINANCING PASS","REFINANCING FAILURE"))</f>
        <v>n/a (beyond horizon)</v>
      </c>
    </row>
    <row r="25083" customFormat="false" ht="15" hidden="false" customHeight="false" outlineLevel="0" collapsed="false">
      <c r="A25083" s="3" t="s">
        <v>364</v>
      </c>
      <c r="C25083" s="3" t="str">
        <f aca="false">IF(SUM($G$24966:$K$24966)=0,"n/a",IF(C25081&gt;=C25080-0.001,"Repaid from cash",IF(SUMPRODUCT($G$24966:$K$24966,$G$24937:$K$24937)&gt;0,IF(C25081&gt;0,"Partly repaid; remainder refinanced","Refinanced"),IF(SUM($G$24975:$K$24975)&gt;0.001,IF(C25081&gt;0,"Partial repayment; PAYMENT DEFAULT","PAYMENT DEFAULT"),"Repaid from cash"))))</f>
        <v>n/a</v>
      </c>
    </row>
    <row r="25084" customFormat="false" ht="15" hidden="false" customHeight="false" outlineLevel="0" collapsed="false">
      <c r="A25084" s="3" t="s">
        <v>365</v>
      </c>
      <c r="C25084" s="16" t="n">
        <f aca="false">SUMPRODUCT($G$24979:$K$24979,$G$24978:$K$24978-$G$24984:$K$24984+$G$24983:$K$24983)</f>
        <v>0</v>
      </c>
    </row>
    <row r="25085" customFormat="false" ht="15" hidden="false" customHeight="false" outlineLevel="0" collapsed="false">
      <c r="A25085" s="3" t="s">
        <v>366</v>
      </c>
      <c r="C25085" s="16" t="n">
        <f aca="false">SUMPRODUCT($G$24979:$K$24979,$G$24986:$K$24986)</f>
        <v>0</v>
      </c>
    </row>
    <row r="25086" customFormat="false" ht="15" hidden="false" customHeight="false" outlineLevel="0" collapsed="false">
      <c r="A25086" s="3" t="s">
        <v>367</v>
      </c>
      <c r="C25086" s="3" t="str">
        <f aca="false">IF(SUM($G$24979:$K$24979)=0,"n/a (beyond horizon)",IF(SUMPRODUCT($G$24979:$K$24979,$G$24937:$K$24937)&gt;0,"REFINANCING PASS","REFINANCING FAILURE"))</f>
        <v>REFINANCING FAILURE</v>
      </c>
    </row>
    <row r="25087" customFormat="false" ht="15" hidden="false" customHeight="false" outlineLevel="0" collapsed="false">
      <c r="A25087" s="3" t="s">
        <v>368</v>
      </c>
      <c r="C25087" s="3" t="str">
        <f aca="false">IF(SUM($G$24979:$K$24979)=0,"n/a",IF(C25085&gt;=C25084-0.001,"Repaid from cash",IF(SUMPRODUCT($G$24979:$K$24979,$G$24937:$K$24937)&gt;0,IF(C25085&gt;0,"Partly repaid; remainder refinanced","Refinanced"),IF(SUM($G$24988:$K$24988)&gt;0.001,IF(C25085&gt;0,"Partial repayment; PAYMENT DEFAULT","PAYMENT DEFAULT"),"Repaid from cash"))))</f>
        <v>Repaid from cash</v>
      </c>
    </row>
    <row r="25088" customFormat="false" ht="15" hidden="false" customHeight="false" outlineLevel="0" collapsed="false">
      <c r="A25088" s="3" t="s">
        <v>369</v>
      </c>
      <c r="C25088" s="16" t="n">
        <f aca="false">SUMPRODUCT($G$24992:$K$24992,$G$24991:$K$24991-$G$24997:$K$24997+$G$24996:$K$24996)</f>
        <v>450</v>
      </c>
    </row>
    <row r="25089" customFormat="false" ht="15" hidden="false" customHeight="false" outlineLevel="0" collapsed="false">
      <c r="A25089" s="3" t="s">
        <v>370</v>
      </c>
      <c r="C25089" s="16" t="n">
        <f aca="false">SUMPRODUCT($G$24992:$K$24992,$G$24999:$K$24999)</f>
        <v>58.085842119</v>
      </c>
    </row>
    <row r="25090" customFormat="false" ht="15" hidden="false" customHeight="false" outlineLevel="0" collapsed="false">
      <c r="A25090" s="3" t="s">
        <v>371</v>
      </c>
      <c r="C25090" s="3" t="str">
        <f aca="false">IF(SUM($G$24992:$K$24992)=0,"n/a (beyond horizon)",IF(SUMPRODUCT($G$24992:$K$24992,$G$24937:$K$24937)&gt;0,"REFINANCING PASS","REFINANCING FAILURE"))</f>
        <v>REFINANCING FAILURE</v>
      </c>
    </row>
    <row r="25091" customFormat="false" ht="15" hidden="false" customHeight="false" outlineLevel="0" collapsed="false">
      <c r="A25091" s="3" t="s">
        <v>372</v>
      </c>
      <c r="C25091" s="3" t="str">
        <f aca="false">IF(SUM($G$24992:$K$24992)=0,"n/a",IF(C25089&gt;=C25088-0.001,"Repaid from cash",IF(SUMPRODUCT($G$24992:$K$24992,$G$24937:$K$24937)&gt;0,IF(C25089&gt;0,"Partly repaid; remainder refinanced","Refinanced"),IF(SUM($G$25001:$K$25001)&gt;0.001,IF(C25089&gt;0,"Partial repayment; PAYMENT DEFAULT","PAYMENT DEFAULT"),"Repaid from cash"))))</f>
        <v>Partial repayment; PAYMENT DEFAULT</v>
      </c>
    </row>
    <row r="25092" customFormat="false" ht="15" hidden="false" customHeight="false" outlineLevel="0" collapsed="false">
      <c r="A25092" s="3" t="s">
        <v>373</v>
      </c>
      <c r="C25092" s="16" t="n">
        <f aca="false">SUMPRODUCT($G$25005:$K$25005,$G$25004:$K$25004-$G$25010:$K$25010+$G$25009:$K$25009)</f>
        <v>350</v>
      </c>
    </row>
    <row r="25093" customFormat="false" ht="15" hidden="false" customHeight="false" outlineLevel="0" collapsed="false">
      <c r="A25093" s="3" t="s">
        <v>374</v>
      </c>
      <c r="C25093" s="16" t="n">
        <f aca="false">SUMPRODUCT($G$25005:$K$25005,$G$25012:$K$25012)</f>
        <v>0</v>
      </c>
    </row>
    <row r="25094" customFormat="false" ht="15" hidden="false" customHeight="false" outlineLevel="0" collapsed="false">
      <c r="A25094" s="3" t="s">
        <v>375</v>
      </c>
      <c r="C25094" s="3" t="str">
        <f aca="false">IF(SUM($G$25005:$K$25005)=0,"n/a (beyond horizon)",IF(SUMPRODUCT($G$25005:$K$25005,$G$24937:$K$24937)&gt;0,"REFINANCING PASS","REFINANCING FAILURE"))</f>
        <v>REFINANCING FAILURE</v>
      </c>
    </row>
    <row r="25095" customFormat="false" ht="15" hidden="false" customHeight="false" outlineLevel="0" collapsed="false">
      <c r="A25095" s="3" t="s">
        <v>376</v>
      </c>
      <c r="C25095" s="3" t="str">
        <f aca="false">IF(SUM($G$25005:$K$25005)=0,"n/a",IF(C25093&gt;=C25092-0.001,"Repaid from cash",IF(SUMPRODUCT($G$25005:$K$25005,$G$24937:$K$24937)&gt;0,IF(C25093&gt;0,"Partly repaid; remainder refinanced","Refinanced"),IF(SUM($G$25014:$K$25014)&gt;0.001,IF(C25093&gt;0,"Partial repayment; PAYMENT DEFAULT","PAYMENT DEFAULT"),"Repaid from cash"))))</f>
        <v>PAYMENT DEFAULT</v>
      </c>
    </row>
    <row r="25096" customFormat="false" ht="15" hidden="false" customHeight="false" outlineLevel="0" collapsed="false">
      <c r="A25096" s="3" t="s">
        <v>377</v>
      </c>
      <c r="C25096" s="16" t="n">
        <f aca="false">SUMPRODUCT($G$25018:$K$25018,$G$25017:$K$25017-$G$25023:$K$25023+$G$25022:$K$25022)</f>
        <v>550</v>
      </c>
    </row>
    <row r="25097" customFormat="false" ht="15" hidden="false" customHeight="false" outlineLevel="0" collapsed="false">
      <c r="A25097" s="3" t="s">
        <v>378</v>
      </c>
      <c r="C25097" s="16" t="n">
        <f aca="false">SUMPRODUCT($G$25018:$K$25018,$G$25025:$K$25025)</f>
        <v>0</v>
      </c>
    </row>
    <row r="25098" customFormat="false" ht="15" hidden="false" customHeight="false" outlineLevel="0" collapsed="false">
      <c r="A25098" s="3" t="s">
        <v>379</v>
      </c>
      <c r="C25098" s="3" t="str">
        <f aca="false">IF(SUM($G$25018:$K$25018)=0,"n/a (beyond horizon)",IF(SUMPRODUCT($G$25018:$K$25018,$G$24937:$K$24937)&gt;0,"REFINANCING PASS","REFINANCING FAILURE"))</f>
        <v>REFINANCING FAILURE</v>
      </c>
    </row>
    <row r="25099" customFormat="false" ht="15" hidden="false" customHeight="false" outlineLevel="0" collapsed="false">
      <c r="A25099" s="3" t="s">
        <v>380</v>
      </c>
      <c r="C25099" s="3" t="str">
        <f aca="false">IF(SUM($G$25018:$K$25018)=0,"n/a",IF(C25097&gt;=C25096-0.001,"Repaid from cash",IF(SUMPRODUCT($G$25018:$K$25018,$G$24937:$K$24937)&gt;0,IF(C25097&gt;0,"Partly repaid; remainder refinanced","Refinanced"),IF(SUM($G$25027:$K$25027)&gt;0.001,IF(C25097&gt;0,"Partial repayment; PAYMENT DEFAULT","PAYMENT DEFAULT"),"Repaid from cash"))))</f>
        <v>PAYMENT DEFAULT</v>
      </c>
    </row>
    <row r="25100" customFormat="false" ht="15" hidden="false" customHeight="false" outlineLevel="0" collapsed="false">
      <c r="A25100" s="3" t="s">
        <v>381</v>
      </c>
      <c r="C25100" s="16" t="n">
        <f aca="false">SUMPRODUCT($G$25031:$K$25031,$G$25030:$K$25030-$G$25036:$K$25036+$G$25035:$K$25035)</f>
        <v>350</v>
      </c>
    </row>
    <row r="25101" customFormat="false" ht="15" hidden="false" customHeight="false" outlineLevel="0" collapsed="false">
      <c r="A25101" s="3" t="s">
        <v>382</v>
      </c>
      <c r="C25101" s="16" t="n">
        <f aca="false">SUMPRODUCT($G$25031:$K$25031,$G$25038:$K$25038)</f>
        <v>0</v>
      </c>
    </row>
    <row r="25102" customFormat="false" ht="15" hidden="false" customHeight="false" outlineLevel="0" collapsed="false">
      <c r="A25102" s="3" t="s">
        <v>383</v>
      </c>
      <c r="C25102" s="3" t="str">
        <f aca="false">IF(SUM($G$25031:$K$25031)=0,"n/a (beyond horizon)",IF(SUMPRODUCT($G$25031:$K$25031,$G$24937:$K$24937)&gt;0,"REFINANCING PASS","REFINANCING FAILURE"))</f>
        <v>REFINANCING FAILURE</v>
      </c>
    </row>
    <row r="25103" customFormat="false" ht="15" hidden="false" customHeight="false" outlineLevel="0" collapsed="false">
      <c r="A25103" s="3" t="s">
        <v>384</v>
      </c>
      <c r="C25103" s="3" t="str">
        <f aca="false">IF(SUM($G$25031:$K$25031)=0,"n/a",IF(C25101&gt;=C25100-0.001,"Repaid from cash",IF(SUMPRODUCT($G$25031:$K$25031,$G$24937:$K$24937)&gt;0,IF(C25101&gt;0,"Partly repaid; remainder refinanced","Refinanced"),IF(SUM($G$25040:$K$25040)&gt;0.001,IF(C25101&gt;0,"Partial repayment; PAYMENT DEFAULT","PAYMENT DEFAULT"),"Repaid from cash"))))</f>
        <v>PAYMENT DEFAULT</v>
      </c>
    </row>
    <row r="25104" customFormat="false" ht="15" hidden="false" customHeight="false" outlineLevel="0" collapsed="false">
      <c r="A25104" s="3" t="s">
        <v>385</v>
      </c>
      <c r="C25104" s="16" t="n">
        <f aca="false">SUMPRODUCT($G$25044:$K$25044,$G$25043:$K$25043-$G$25049:$K$25049+$G$25048:$K$25048)</f>
        <v>300</v>
      </c>
    </row>
    <row r="25105" customFormat="false" ht="15" hidden="false" customHeight="false" outlineLevel="0" collapsed="false">
      <c r="A25105" s="3" t="s">
        <v>386</v>
      </c>
      <c r="C25105" s="16" t="n">
        <f aca="false">SUMPRODUCT($G$25044:$K$25044,$G$25051:$K$25051)</f>
        <v>0</v>
      </c>
    </row>
    <row r="25106" customFormat="false" ht="15" hidden="false" customHeight="false" outlineLevel="0" collapsed="false">
      <c r="A25106" s="3" t="s">
        <v>387</v>
      </c>
      <c r="C25106" s="3" t="str">
        <f aca="false">IF(SUM($G$25044:$K$25044)=0,"n/a (beyond horizon)",IF(SUMPRODUCT($G$25044:$K$25044,$G$24937:$K$24937)&gt;0,"REFINANCING PASS","REFINANCING FAILURE"))</f>
        <v>REFINANCING FAILURE</v>
      </c>
    </row>
    <row r="25107" customFormat="false" ht="15" hidden="false" customHeight="false" outlineLevel="0" collapsed="false">
      <c r="A25107" s="3" t="s">
        <v>388</v>
      </c>
      <c r="C25107" s="3" t="str">
        <f aca="false">IF(SUM($G$25044:$K$25044)=0,"n/a",IF(C25105&gt;=C25104-0.001,"Repaid from cash",IF(SUMPRODUCT($G$25044:$K$25044,$G$24937:$K$24937)&gt;0,IF(C25105&gt;0,"Partly repaid; remainder refinanced","Refinanced"),IF(SUM($G$25053:$K$25053)&gt;0.001,IF(C25105&gt;0,"Partial repayment; PAYMENT DEFAULT","PAYMENT DEFAULT"),"Repaid from cash"))))</f>
        <v>PAYMENT DEFAULT</v>
      </c>
    </row>
    <row r="25108" customFormat="false" ht="15" hidden="false" customHeight="false" outlineLevel="0" collapsed="false">
      <c r="A25108" s="3" t="s">
        <v>389</v>
      </c>
      <c r="C25108" s="16" t="n">
        <f aca="false">SUMPRODUCT($G$25057:$K$25057,$G$25056:$K$25056-$G$25062:$K$25062+$G$25061:$K$25061)</f>
        <v>0</v>
      </c>
    </row>
    <row r="25109" customFormat="false" ht="15" hidden="false" customHeight="false" outlineLevel="0" collapsed="false">
      <c r="A25109" s="3" t="s">
        <v>390</v>
      </c>
      <c r="C25109" s="16" t="n">
        <f aca="false">SUMPRODUCT($G$25057:$K$25057,$G$25064:$K$25064)</f>
        <v>0</v>
      </c>
    </row>
    <row r="25110" customFormat="false" ht="15" hidden="false" customHeight="false" outlineLevel="0" collapsed="false">
      <c r="A25110" s="3" t="s">
        <v>391</v>
      </c>
      <c r="C25110" s="3" t="str">
        <f aca="false">IF(SUM($G$25057:$K$25057)=0,"n/a (beyond horizon)",IF(SUMPRODUCT($G$25057:$K$25057,$G$24937:$K$24937)&gt;0,"REFINANCING PASS","REFINANCING FAILURE"))</f>
        <v>n/a (beyond horizon)</v>
      </c>
    </row>
    <row r="25111" customFormat="false" ht="15" hidden="false" customHeight="false" outlineLevel="0" collapsed="false">
      <c r="A25111" s="3" t="s">
        <v>392</v>
      </c>
      <c r="C25111" s="3" t="str">
        <f aca="false">IF(SUM($G$25057:$K$25057)=0,"n/a",IF(C25109&gt;=C25108-0.001,"Repaid from cash",IF(SUMPRODUCT($G$25057:$K$25057,$G$24937:$K$24937)&gt;0,IF(C25109&gt;0,"Partly repaid; remainder refinanced","Refinanced"),IF(SUM($G$25066:$K$25066)&gt;0.001,IF(C25109&gt;0,"Partial repayment; PAYMENT DEFAULT","PAYMENT DEFAULT"),"Repaid from cash"))))</f>
        <v>n/a</v>
      </c>
    </row>
    <row r="25112" customFormat="false" ht="15" hidden="false" customHeight="false" outlineLevel="0" collapsed="false">
      <c r="A25112" s="3" t="s">
        <v>393</v>
      </c>
      <c r="C25112" s="21" t="n">
        <f aca="false">IF(C25074="REFINANCING FAILURE",1,0)+IF(C25078="REFINANCING FAILURE",1,0)+IF(C25082="REFINANCING FAILURE",1,0)+IF(C25086="REFINANCING FAILURE",1,0)+IF(C25090="REFINANCING FAILURE",1,0)+IF(C25094="REFINANCING FAILURE",1,0)+IF(C25098="REFINANCING FAILURE",1,0)+IF(C25102="REFINANCING FAILURE",1,0)+IF(C25106="REFINANCING FAILURE",1,0)+IF(C25110="REFINANCING FAILURE",1,0)</f>
        <v>7</v>
      </c>
    </row>
    <row r="25114" customFormat="false" ht="15" hidden="false" customHeight="false" outlineLevel="0" collapsed="false">
      <c r="A25114" s="24" t="s">
        <v>395</v>
      </c>
      <c r="B25114" s="25"/>
      <c r="C25114" s="25"/>
      <c r="D25114" s="25"/>
      <c r="E25114" s="25"/>
      <c r="F25114" s="25"/>
      <c r="G25114" s="25"/>
      <c r="H25114" s="25"/>
      <c r="I25114" s="25"/>
      <c r="J25114" s="25"/>
      <c r="K25114" s="25"/>
    </row>
    <row r="25115" customFormat="false" ht="15" hidden="false" customHeight="false" outlineLevel="0" collapsed="false">
      <c r="A25115" s="3" t="s">
        <v>325</v>
      </c>
      <c r="G25115" s="16" t="n">
        <f aca="false">F25127</f>
        <v>37.87</v>
      </c>
      <c r="H25115" s="16" t="n">
        <f aca="false">G25127</f>
        <v>127.7335204</v>
      </c>
      <c r="I25115" s="16" t="n">
        <f aca="false">H25127</f>
        <v>0</v>
      </c>
      <c r="J25115" s="16" t="n">
        <f aca="false">I25127</f>
        <v>-65.7967625172995</v>
      </c>
      <c r="K25115" s="16" t="n">
        <f aca="false">J25127</f>
        <v>-127.770527857719</v>
      </c>
    </row>
    <row r="25116" customFormat="false" ht="15" hidden="false" customHeight="false" outlineLevel="0" collapsed="false">
      <c r="A25116" s="3" t="s">
        <v>396</v>
      </c>
      <c r="G25116" s="16" t="n">
        <f aca="false">G24926</f>
        <v>-56.1364796</v>
      </c>
      <c r="H25116" s="16" t="n">
        <f aca="false">H24926</f>
        <v>-65.647678281</v>
      </c>
      <c r="I25116" s="16" t="n">
        <f aca="false">I24926</f>
        <v>-61.7967625172995</v>
      </c>
      <c r="J25116" s="16" t="n">
        <f aca="false">J24926</f>
        <v>-57.9737653404195</v>
      </c>
      <c r="K25116" s="16" t="n">
        <f aca="false">K24926</f>
        <v>-54.0932939342138</v>
      </c>
    </row>
    <row r="25117" customFormat="false" ht="15" hidden="false" customHeight="false" outlineLevel="0" collapsed="false">
      <c r="A25117" s="3" t="s">
        <v>397</v>
      </c>
      <c r="G25117" s="16" t="n">
        <f aca="false">CHOOSE($C$24896,Assumptions!$G$82,Assumptions!$G$101,Assumptions!$G$120)</f>
        <v>150</v>
      </c>
      <c r="H25117" s="16" t="n">
        <f aca="false">CHOOSE($C$24896,Assumptions!$H$82,Assumptions!$H$101,Assumptions!$H$120)</f>
        <v>0</v>
      </c>
      <c r="I25117" s="16" t="n">
        <f aca="false">CHOOSE($C$24896,Assumptions!$I$82,Assumptions!$I$101,Assumptions!$I$120)</f>
        <v>0</v>
      </c>
      <c r="J25117" s="16" t="n">
        <f aca="false">CHOOSE($C$24896,Assumptions!$J$82,Assumptions!$J$101,Assumptions!$J$120)</f>
        <v>0</v>
      </c>
      <c r="K25117" s="16" t="n">
        <f aca="false">CHOOSE($C$24896,Assumptions!$K$82,Assumptions!$K$101,Assumptions!$K$120)</f>
        <v>0</v>
      </c>
    </row>
    <row r="25118" customFormat="false" ht="15" hidden="false" customHeight="false" outlineLevel="0" collapsed="false">
      <c r="A25118" s="3" t="s">
        <v>398</v>
      </c>
      <c r="G25118" s="16" t="n">
        <f aca="false">G24945+G24958+G24971+G24984+G24997+G25010+G25023+G25036+G25049+G25062</f>
        <v>4</v>
      </c>
      <c r="H25118" s="16" t="n">
        <f aca="false">H24945+H24958+H24971+H24984+H24997+H25010+H25023+H25036+H25049+H25062</f>
        <v>4</v>
      </c>
      <c r="I25118" s="16" t="n">
        <f aca="false">I24945+I24958+I24971+I24984+I24997+I25010+I25023+I25036+I25049+I25062</f>
        <v>4</v>
      </c>
      <c r="J25118" s="16" t="n">
        <f aca="false">J24945+J24958+J24971+J24984+J24997+J25010+J25023+J25036+J25049+J25062</f>
        <v>4</v>
      </c>
      <c r="K25118" s="16" t="n">
        <f aca="false">K24945+K24958+K24971+K24984+K24997+K25010+K25023+K25036+K25049+K25062</f>
        <v>4</v>
      </c>
    </row>
    <row r="25119" customFormat="false" ht="15" hidden="false" customHeight="false" outlineLevel="0" collapsed="false">
      <c r="A25119" s="2" t="s">
        <v>399</v>
      </c>
      <c r="G25119" s="17" t="n">
        <f aca="false">G25115+G25116+G25117-G25118</f>
        <v>127.7335204</v>
      </c>
      <c r="H25119" s="17" t="n">
        <f aca="false">H25115+H25116+H25117-H25118</f>
        <v>58.085842119</v>
      </c>
      <c r="I25119" s="17" t="n">
        <f aca="false">I25115+I25116+I25117-I25118</f>
        <v>-65.7967625172995</v>
      </c>
      <c r="J25119" s="17" t="n">
        <f aca="false">J25115+J25116+J25117-J25118</f>
        <v>-127.770527857719</v>
      </c>
      <c r="K25119" s="17" t="n">
        <f aca="false">K25115+K25116+K25117-K25118</f>
        <v>-185.863821791933</v>
      </c>
    </row>
    <row r="25120" customFormat="false" ht="15" hidden="false" customHeight="false" outlineLevel="0" collapsed="false">
      <c r="A25120" s="3" t="s">
        <v>400</v>
      </c>
      <c r="G25120" s="16" t="n">
        <f aca="false">G24946+G24959+G24972+G24985+G24998+G25011+G25024+G25037+G25050+G25063</f>
        <v>0</v>
      </c>
      <c r="H25120" s="16" t="n">
        <f aca="false">H24946+H24959+H24972+H24985+H24998+H25011+H25024+H25037+H25050+H25063</f>
        <v>0</v>
      </c>
      <c r="I25120" s="16" t="n">
        <f aca="false">I24946+I24959+I24972+I24985+I24998+I25011+I25024+I25037+I25050+I25063</f>
        <v>0</v>
      </c>
      <c r="J25120" s="16" t="n">
        <f aca="false">J24946+J24959+J24972+J24985+J24998+J25011+J25024+J25037+J25050+J25063</f>
        <v>0</v>
      </c>
      <c r="K25120" s="16" t="n">
        <f aca="false">K24946+K24959+K24972+K24985+K24998+K25011+K25024+K25037+K25050+K25063</f>
        <v>0</v>
      </c>
    </row>
    <row r="25121" customFormat="false" ht="15" hidden="false" customHeight="false" outlineLevel="0" collapsed="false">
      <c r="A25121" s="2" t="s">
        <v>401</v>
      </c>
      <c r="G25121" s="17" t="n">
        <f aca="false">G25119+G25120</f>
        <v>127.7335204</v>
      </c>
      <c r="H25121" s="17" t="n">
        <f aca="false">H25119+H25120</f>
        <v>58.085842119</v>
      </c>
      <c r="I25121" s="17" t="n">
        <f aca="false">I25119+I25120</f>
        <v>-65.7967625172995</v>
      </c>
      <c r="J25121" s="17" t="n">
        <f aca="false">J25119+J25120</f>
        <v>-127.770527857719</v>
      </c>
      <c r="K25121" s="17" t="n">
        <f aca="false">K25119+K25120</f>
        <v>-185.863821791933</v>
      </c>
    </row>
    <row r="25122" customFormat="false" ht="15" hidden="false" customHeight="false" outlineLevel="0" collapsed="false">
      <c r="A25122" s="3" t="s">
        <v>402</v>
      </c>
      <c r="G25122" s="16" t="n">
        <f aca="false">G24947+G24960+G24973+G24986+G24999+G25012+G25025+G25038+G25051+G25064</f>
        <v>0</v>
      </c>
      <c r="H25122" s="16" t="n">
        <f aca="false">H24947+H24960+H24973+H24986+H24999+H25012+H25025+H25038+H25051+H25064</f>
        <v>58.085842119</v>
      </c>
      <c r="I25122" s="16" t="n">
        <f aca="false">I24947+I24960+I24973+I24986+I24999+I25012+I25025+I25038+I25051+I25064</f>
        <v>0</v>
      </c>
      <c r="J25122" s="16" t="n">
        <f aca="false">J24947+J24960+J24973+J24986+J24999+J25012+J25025+J25038+J25051+J25064</f>
        <v>0</v>
      </c>
      <c r="K25122" s="16" t="n">
        <f aca="false">K24947+K24960+K24973+K24986+K24999+K25012+K25025+K25038+K25051+K25064</f>
        <v>0</v>
      </c>
    </row>
    <row r="25123" customFormat="false" ht="15" hidden="false" customHeight="false" outlineLevel="0" collapsed="false">
      <c r="A25123" s="2" t="s">
        <v>403</v>
      </c>
      <c r="G25123" s="17" t="n">
        <f aca="false">G25121-G25122</f>
        <v>127.7335204</v>
      </c>
      <c r="H25123" s="17" t="n">
        <f aca="false">H25121-H25122</f>
        <v>0</v>
      </c>
      <c r="I25123" s="17" t="n">
        <f aca="false">I25121-I25122</f>
        <v>-65.7967625172995</v>
      </c>
      <c r="J25123" s="17" t="n">
        <f aca="false">J25121-J25122</f>
        <v>-127.770527857719</v>
      </c>
      <c r="K25123" s="17" t="n">
        <f aca="false">K25121-K25122</f>
        <v>-185.863821791933</v>
      </c>
    </row>
    <row r="25124" customFormat="false" ht="15" hidden="false" customHeight="false" outlineLevel="0" collapsed="false">
      <c r="A25124" s="3" t="s">
        <v>404</v>
      </c>
      <c r="G25124" s="16" t="n">
        <f aca="false">MAX(0,-G25123)</f>
        <v>0</v>
      </c>
      <c r="H25124" s="16" t="n">
        <f aca="false">MAX(0,-H25123)</f>
        <v>-0</v>
      </c>
      <c r="I25124" s="16" t="n">
        <f aca="false">MAX(0,-I25123)</f>
        <v>65.7967625172995</v>
      </c>
      <c r="J25124" s="16" t="n">
        <f aca="false">MAX(0,-J25123)</f>
        <v>127.770527857719</v>
      </c>
      <c r="K25124" s="16" t="n">
        <f aca="false">MAX(0,-K25123)</f>
        <v>185.863821791933</v>
      </c>
    </row>
    <row r="25125" customFormat="false" ht="15" hidden="false" customHeight="false" outlineLevel="0" collapsed="false">
      <c r="A25125" s="3" t="s">
        <v>405</v>
      </c>
      <c r="G25125" s="16" t="n">
        <f aca="false">MAX(0,G25123-Assumptions!$C$12)*Assumptions!$C$13</f>
        <v>0</v>
      </c>
      <c r="H25125" s="16" t="n">
        <f aca="false">MAX(0,H25123-Assumptions!$C$12)*Assumptions!$C$13</f>
        <v>0</v>
      </c>
      <c r="I25125" s="16" t="n">
        <f aca="false">MAX(0,I25123-Assumptions!$C$12)*Assumptions!$C$13</f>
        <v>0</v>
      </c>
      <c r="J25125" s="16" t="n">
        <f aca="false">MAX(0,J25123-Assumptions!$C$12)*Assumptions!$C$13</f>
        <v>0</v>
      </c>
      <c r="K25125" s="16" t="n">
        <f aca="false">MAX(0,K25123-Assumptions!$C$12)*Assumptions!$C$13</f>
        <v>0</v>
      </c>
    </row>
    <row r="25126" customFormat="false" ht="15" hidden="false" customHeight="false" outlineLevel="0" collapsed="false">
      <c r="A25126" s="3" t="s">
        <v>406</v>
      </c>
      <c r="G25126" s="16" t="n">
        <f aca="false">G24948+G24961+G24974+G24987+G25000+G25013+G25026+G25039+G25052+G25065</f>
        <v>0</v>
      </c>
      <c r="H25126" s="16" t="n">
        <f aca="false">H24948+H24961+H24974+H24987+H25000+H25013+H25026+H25039+H25052+H25065</f>
        <v>0</v>
      </c>
      <c r="I25126" s="16" t="n">
        <f aca="false">I24948+I24961+I24974+I24987+I25000+I25013+I25026+I25039+I25052+I25065</f>
        <v>0</v>
      </c>
      <c r="J25126" s="16" t="n">
        <f aca="false">J24948+J24961+J24974+J24987+J25000+J25013+J25026+J25039+J25052+J25065</f>
        <v>0</v>
      </c>
      <c r="K25126" s="16" t="n">
        <f aca="false">K24948+K24961+K24974+K24987+K25000+K25013+K25026+K25039+K25052+K25065</f>
        <v>0</v>
      </c>
    </row>
    <row r="25127" customFormat="false" ht="15" hidden="false" customHeight="false" outlineLevel="0" collapsed="false">
      <c r="A25127" s="2" t="s">
        <v>407</v>
      </c>
      <c r="F25127" s="28" t="n">
        <f aca="false">Assumptions!$C$11</f>
        <v>37.87</v>
      </c>
      <c r="G25127" s="17" t="n">
        <f aca="false">G25123-G25126</f>
        <v>127.7335204</v>
      </c>
      <c r="H25127" s="17" t="n">
        <f aca="false">H25123-H25126</f>
        <v>0</v>
      </c>
      <c r="I25127" s="17" t="n">
        <f aca="false">I25123-I25126</f>
        <v>-65.7967625172995</v>
      </c>
      <c r="J25127" s="17" t="n">
        <f aca="false">J25123-J25126</f>
        <v>-127.770527857719</v>
      </c>
      <c r="K25127" s="17" t="n">
        <f aca="false">K25123-K25126</f>
        <v>-185.863821791933</v>
      </c>
    </row>
    <row r="25128" customFormat="false" ht="15" hidden="false" customHeight="false" outlineLevel="0" collapsed="false">
      <c r="A25128" s="3" t="s">
        <v>408</v>
      </c>
      <c r="G25128" s="16" t="n">
        <f aca="false">G24949+G24962+G24975+G24988+G25001+G25014+G25027+G25040+G25053+G25066</f>
        <v>0</v>
      </c>
      <c r="H25128" s="16" t="n">
        <f aca="false">H24949+H24962+H24975+H24988+H25001+H25014+H25027+H25040+H25053+H25066</f>
        <v>741.914157881</v>
      </c>
      <c r="I25128" s="16" t="n">
        <f aca="false">I24949+I24962+I24975+I24988+I25001+I25014+I25027+I25040+I25053+I25066</f>
        <v>550</v>
      </c>
      <c r="J25128" s="16" t="n">
        <f aca="false">J24949+J24962+J24975+J24988+J25001+J25014+J25027+J25040+J25053+J25066</f>
        <v>350</v>
      </c>
      <c r="K25128" s="16" t="n">
        <f aca="false">K24949+K24962+K24975+K24988+K25001+K25014+K25027+K25040+K25053+K25066</f>
        <v>680</v>
      </c>
    </row>
    <row r="25129" customFormat="false" ht="15" hidden="false" customHeight="false" outlineLevel="0" collapsed="false">
      <c r="A25129" s="3" t="s">
        <v>409</v>
      </c>
      <c r="G25129" s="21" t="n">
        <f aca="false">IF(OR(G25124&gt;0.001,G25128&gt;0.001),1,0)</f>
        <v>0</v>
      </c>
      <c r="H25129" s="21" t="n">
        <f aca="false">IF(OR(H25124&gt;0.001,H25128&gt;0.001),1,0)</f>
        <v>1</v>
      </c>
      <c r="I25129" s="21" t="n">
        <f aca="false">IF(OR(I25124&gt;0.001,I25128&gt;0.001),1,0)</f>
        <v>1</v>
      </c>
      <c r="J25129" s="21" t="n">
        <f aca="false">IF(OR(J25124&gt;0.001,J25128&gt;0.001),1,0)</f>
        <v>1</v>
      </c>
      <c r="K25129" s="21" t="n">
        <f aca="false">IF(OR(K25124&gt;0.001,K25128&gt;0.001),1,0)</f>
        <v>1</v>
      </c>
    </row>
    <row r="25130" customFormat="false" ht="15" hidden="false" customHeight="false" outlineLevel="0" collapsed="false">
      <c r="A25130" s="3" t="s">
        <v>410</v>
      </c>
      <c r="G25130" s="21" t="n">
        <f aca="false">IF(G25129=1,1,0)</f>
        <v>0</v>
      </c>
      <c r="H25130" s="21" t="n">
        <f aca="false">IF(AND(H25129=1,SUM($G$25129:G25129)=0),1,0)</f>
        <v>1</v>
      </c>
      <c r="I25130" s="21" t="n">
        <f aca="false">IF(AND(I25129=1,SUM($G$25129:H25129)=0),1,0)</f>
        <v>0</v>
      </c>
      <c r="J25130" s="21" t="n">
        <f aca="false">IF(AND(J25129=1,SUM($G$25129:I25129)=0),1,0)</f>
        <v>0</v>
      </c>
      <c r="K25130" s="21" t="n">
        <f aca="false">IF(AND(K25129=1,SUM($G$25129:J25129)=0),1,0)</f>
        <v>0</v>
      </c>
    </row>
    <row r="25131" customFormat="false" ht="15" hidden="false" customHeight="false" outlineLevel="0" collapsed="false">
      <c r="A25131" s="3" t="s">
        <v>411</v>
      </c>
      <c r="G25131" s="16" t="n">
        <f aca="false">(G25069-F25069)-(G25120+G24918-G25118-G25122-G25126)</f>
        <v>0</v>
      </c>
      <c r="H25131" s="16" t="n">
        <f aca="false">(H25069-G25069)-(H25120+H24918-H25118-H25122-H25126)</f>
        <v>0</v>
      </c>
      <c r="I25131" s="16" t="n">
        <f aca="false">(I25069-H25069)-(I25120+I24918-I25118-I25122-I25126)</f>
        <v>0</v>
      </c>
      <c r="J25131" s="16" t="n">
        <f aca="false">(J25069-I25069)-(J25120+J24918-J25118-J25122-J25126)</f>
        <v>0</v>
      </c>
      <c r="K25131" s="16" t="n">
        <f aca="false">(K25069-J25069)-(K25120+K24918-K25118-K25122-K25126)</f>
        <v>0</v>
      </c>
    </row>
    <row r="25133" customFormat="false" ht="15" hidden="false" customHeight="false" outlineLevel="0" collapsed="false">
      <c r="A25133" s="24" t="s">
        <v>413</v>
      </c>
      <c r="B25133" s="25"/>
      <c r="C25133" s="25"/>
      <c r="D25133" s="25"/>
      <c r="E25133" s="25"/>
      <c r="F25133" s="25"/>
      <c r="G25133" s="25"/>
      <c r="H25133" s="25"/>
      <c r="I25133" s="25"/>
      <c r="J25133" s="25"/>
      <c r="K25133" s="25"/>
    </row>
    <row r="25134" customFormat="false" ht="15" hidden="false" customHeight="false" outlineLevel="0" collapsed="false">
      <c r="A25134" s="3" t="s">
        <v>414</v>
      </c>
      <c r="G25134" s="16" t="n">
        <f aca="false">G25069</f>
        <v>2621.934</v>
      </c>
      <c r="H25134" s="16" t="n">
        <f aca="false">H25069</f>
        <v>2559.848157881</v>
      </c>
      <c r="I25134" s="16" t="n">
        <f aca="false">I25069</f>
        <v>2555.848157881</v>
      </c>
      <c r="J25134" s="16" t="n">
        <f aca="false">J25069</f>
        <v>2551.848157881</v>
      </c>
      <c r="K25134" s="16" t="n">
        <f aca="false">K25069</f>
        <v>2547.848157881</v>
      </c>
    </row>
    <row r="25135" customFormat="false" ht="15" hidden="false" customHeight="false" outlineLevel="0" collapsed="false">
      <c r="A25135" s="3" t="s">
        <v>415</v>
      </c>
      <c r="G25135" s="16" t="n">
        <f aca="false">Assumptions!$O$57*G24950+Assumptions!$O$58*G24963+Assumptions!$O$59*G24976+Assumptions!$O$60*G24989+Assumptions!$O$61*G25002+Assumptions!$O$62*G25015+Assumptions!$O$63*G25028+Assumptions!$O$64*G25041+Assumptions!$O$65*G25054+Assumptions!$O$66*G25067</f>
        <v>543.324</v>
      </c>
      <c r="H25135" s="16" t="n">
        <f aca="false">Assumptions!$O$57*H24950+Assumptions!$O$58*H24963+Assumptions!$O$59*H24976+Assumptions!$O$60*H24989+Assumptions!$O$61*H25002+Assumptions!$O$62*H25015+Assumptions!$O$63*H25028+Assumptions!$O$64*H25041+Assumptions!$O$65*H25054+Assumptions!$O$66*H25067</f>
        <v>539.324</v>
      </c>
      <c r="I25135" s="16" t="n">
        <f aca="false">Assumptions!$O$57*I24950+Assumptions!$O$58*I24963+Assumptions!$O$59*I24976+Assumptions!$O$60*I24989+Assumptions!$O$61*I25002+Assumptions!$O$62*I25015+Assumptions!$O$63*I25028+Assumptions!$O$64*I25041+Assumptions!$O$65*I25054+Assumptions!$O$66*I25067</f>
        <v>535.324</v>
      </c>
      <c r="J25135" s="16" t="n">
        <f aca="false">Assumptions!$O$57*J24950+Assumptions!$O$58*J24963+Assumptions!$O$59*J24976+Assumptions!$O$60*J24989+Assumptions!$O$61*J25002+Assumptions!$O$62*J25015+Assumptions!$O$63*J25028+Assumptions!$O$64*J25041+Assumptions!$O$65*J25054+Assumptions!$O$66*J25067</f>
        <v>531.324</v>
      </c>
      <c r="K25135" s="16" t="n">
        <f aca="false">Assumptions!$O$57*K24950+Assumptions!$O$58*K24963+Assumptions!$O$59*K24976+Assumptions!$O$60*K24989+Assumptions!$O$61*K25002+Assumptions!$O$62*K25015+Assumptions!$O$63*K25028+Assumptions!$O$64*K25041+Assumptions!$O$65*K25054+Assumptions!$O$66*K25067</f>
        <v>527.324</v>
      </c>
    </row>
    <row r="25136" customFormat="false" ht="15" hidden="false" customHeight="false" outlineLevel="0" collapsed="false">
      <c r="A25136" s="3" t="s">
        <v>416</v>
      </c>
      <c r="G25136" s="16" t="n">
        <f aca="false">G25134-G25127</f>
        <v>2494.2004796</v>
      </c>
      <c r="H25136" s="16" t="n">
        <f aca="false">H25134-H25127</f>
        <v>2559.848157881</v>
      </c>
      <c r="I25136" s="16" t="n">
        <f aca="false">I25134-I25127</f>
        <v>2621.6449203983</v>
      </c>
      <c r="J25136" s="16" t="n">
        <f aca="false">J25134-J25127</f>
        <v>2679.61868573872</v>
      </c>
      <c r="K25136" s="16" t="n">
        <f aca="false">K25134-K25127</f>
        <v>2733.71197967293</v>
      </c>
    </row>
    <row r="25137" customFormat="false" ht="15" hidden="false" customHeight="false" outlineLevel="0" collapsed="false">
      <c r="A25137" s="3" t="s">
        <v>417</v>
      </c>
      <c r="G25137" s="32" t="n">
        <f aca="false">IF(G24913&gt;0,G25134/G24913,0)</f>
        <v>11.1954319438308</v>
      </c>
      <c r="H25137" s="32" t="n">
        <f aca="false">IF(H24913&gt;0,H25134/H24913,0)</f>
        <v>11.616888888427</v>
      </c>
      <c r="I25137" s="32" t="n">
        <f aca="false">IF(I24913&gt;0,I25134/I24913,0)</f>
        <v>11.5987364228557</v>
      </c>
      <c r="J25137" s="32" t="n">
        <f aca="false">IF(J24913&gt;0,J25134/J24913,0)</f>
        <v>11.348925478446</v>
      </c>
      <c r="K25137" s="32" t="n">
        <f aca="false">IF(K24913&gt;0,K25134/K24913,0)</f>
        <v>11.1056239752309</v>
      </c>
    </row>
    <row r="25138" customFormat="false" ht="15" hidden="false" customHeight="false" outlineLevel="0" collapsed="false">
      <c r="A25138" s="3" t="s">
        <v>418</v>
      </c>
      <c r="G25138" s="32" t="n">
        <f aca="false">IF(G24913&gt;0,G25136/G24913,0)</f>
        <v>10.650020833336</v>
      </c>
      <c r="H25138" s="32" t="n">
        <f aca="false">IF(H24913&gt;0,H25136/H24913,0)</f>
        <v>11.616888888427</v>
      </c>
      <c r="I25138" s="32" t="n">
        <f aca="false">IF(I24913&gt;0,I25136/I24913,0)</f>
        <v>11.8973297894304</v>
      </c>
      <c r="J25138" s="32" t="n">
        <f aca="false">IF(J24913&gt;0,J25136/J24913,0)</f>
        <v>11.9171639116462</v>
      </c>
      <c r="K25138" s="32" t="n">
        <f aca="false">IF(K24913&gt;0,K25136/K24913,0)</f>
        <v>11.9157718284441</v>
      </c>
    </row>
    <row r="25139" customFormat="false" ht="15" hidden="false" customHeight="false" outlineLevel="0" collapsed="false">
      <c r="A25139" s="3" t="s">
        <v>419</v>
      </c>
      <c r="G25139" s="32" t="n">
        <f aca="false">IF(G24917&gt;0,G24913/G24917,0)</f>
        <v>1.28254798312293</v>
      </c>
      <c r="H25139" s="32" t="n">
        <f aca="false">IF(H24917&gt;0,H24913/H24917,0)</f>
        <v>1.21404897350594</v>
      </c>
      <c r="I25139" s="32" t="n">
        <f aca="false">IF(I24917&gt;0,I24913/I24917,0)</f>
        <v>1.24036531222954</v>
      </c>
      <c r="J25139" s="32" t="n">
        <f aca="false">IF(J24917&gt;0,J24913/J24917,0)</f>
        <v>1.26832565268071</v>
      </c>
      <c r="K25139" s="32" t="n">
        <f aca="false">IF(K24917&gt;0,K24913/K24917,0)</f>
        <v>1.29678688502798</v>
      </c>
    </row>
    <row r="25140" customFormat="false" ht="15" hidden="false" customHeight="false" outlineLevel="0" collapsed="false">
      <c r="A25140" s="3" t="s">
        <v>420</v>
      </c>
      <c r="G25140" s="32" t="n">
        <f aca="false">IF(G24917&gt;0,G24916/G24917,0)</f>
        <v>0.328699073803689</v>
      </c>
      <c r="H25140" s="32" t="n">
        <f aca="false">IF(H24917&gt;0,H24916/H24917,0)</f>
        <v>0.283218833415622</v>
      </c>
      <c r="I25140" s="32" t="n">
        <f aca="false">IF(I24917&gt;0,I24916/I24917,0)</f>
        <v>0.289358027892715</v>
      </c>
      <c r="J25140" s="32" t="n">
        <f aca="false">IF(J24917&gt;0,J24916/J24917,0)</f>
        <v>0.305803649772048</v>
      </c>
      <c r="K25140" s="32" t="n">
        <f aca="false">IF(K24917&gt;0,K24916/K24917,0)</f>
        <v>0.322606500970262</v>
      </c>
    </row>
    <row r="25141" customFormat="false" ht="15" hidden="false" customHeight="false" outlineLevel="0" collapsed="false">
      <c r="A25141" s="3" t="s">
        <v>213</v>
      </c>
      <c r="G25141" s="22" t="n">
        <f aca="false">IF(G25134&gt;0,G24926/G25134,0)</f>
        <v>-0.021410332830651</v>
      </c>
      <c r="H25141" s="22" t="n">
        <f aca="false">IF(H25134&gt;0,H24926/H25134,0)</f>
        <v>-0.0256451454274312</v>
      </c>
      <c r="I25141" s="22" t="n">
        <f aca="false">IF(I25134&gt;0,I24926/I25134,0)</f>
        <v>-0.0241785734910535</v>
      </c>
      <c r="J25141" s="22" t="n">
        <f aca="false">IF(J25134&gt;0,J24926/J25134,0)</f>
        <v>-0.0227183444129997</v>
      </c>
      <c r="K25141" s="22" t="n">
        <f aca="false">IF(K25134&gt;0,K24926/K25134,0)</f>
        <v>-0.021230972405829</v>
      </c>
    </row>
    <row r="25142" customFormat="false" ht="15" hidden="false" customHeight="false" outlineLevel="0" collapsed="false">
      <c r="A25142" s="3" t="s">
        <v>421</v>
      </c>
      <c r="G25142" s="32" t="n">
        <f aca="false">IF(G24917+G25118&gt;0,(G24913-G24924-G24921)/(G24917+G25118),0)</f>
        <v>0.803235453535586</v>
      </c>
      <c r="H25142" s="32" t="n">
        <f aca="false">IF(H24917+H25118&gt;0,(H24913-H24924-H24921)/(H24917+H25118),0)</f>
        <v>0.747011471239375</v>
      </c>
      <c r="I25142" s="32" t="n">
        <f aca="false">IF(I24917+I25118&gt;0,(I24913-I24924-I24921)/(I24917+I25118),0)</f>
        <v>0.762847509864696</v>
      </c>
      <c r="J25142" s="32" t="n">
        <f aca="false">IF(J24917+J25118&gt;0,(J24913-J24924-J24921)/(J24917+J25118),0)</f>
        <v>0.784705057727975</v>
      </c>
      <c r="K25142" s="32" t="n">
        <f aca="false">IF(K24917+K25118&gt;0,(K24913-K24924-K24921)/(K24917+K25118),0)</f>
        <v>0.806982255609676</v>
      </c>
    </row>
    <row r="25143" customFormat="false" ht="15" hidden="false" customHeight="false" outlineLevel="0" collapsed="false">
      <c r="A25143" s="3" t="s">
        <v>422</v>
      </c>
      <c r="G25143" s="16" t="n">
        <f aca="false">MAX(0,G25127)+Assumptions!$P$57*MAX(0,Assumptions!$D$57-G24950)+Assumptions!$P$58*MAX(0,Assumptions!$D$58-G24963)+Assumptions!$P$59*MAX(0,Assumptions!$D$59-G24976)+Assumptions!$P$60*MAX(0,Assumptions!$D$60-G24989)+Assumptions!$P$61*MAX(0,Assumptions!$D$61-G25002)+Assumptions!$P$62*MAX(0,Assumptions!$D$62-G25015)+Assumptions!$P$63*MAX(0,Assumptions!$D$63-G25028)+Assumptions!$P$64*MAX(0,Assumptions!$D$64-G25041)+Assumptions!$P$65*MAX(0,Assumptions!$D$65-G25054)+Assumptions!$P$66*MAX(0,Assumptions!$D$66-G25067)</f>
        <v>702.2335204</v>
      </c>
      <c r="H25143" s="16" t="n">
        <f aca="false">MAX(0,H25127)+Assumptions!$P$57*MAX(0,Assumptions!$D$57-H24950)+Assumptions!$P$58*MAX(0,Assumptions!$D$58-H24963)+Assumptions!$P$59*MAX(0,Assumptions!$D$59-H24976)+Assumptions!$P$60*MAX(0,Assumptions!$D$60-H24989)+Assumptions!$P$61*MAX(0,Assumptions!$D$61-H25002)+Assumptions!$P$62*MAX(0,Assumptions!$D$62-H25015)+Assumptions!$P$63*MAX(0,Assumptions!$D$63-H25028)+Assumptions!$P$64*MAX(0,Assumptions!$D$64-H25041)+Assumptions!$P$65*MAX(0,Assumptions!$D$65-H25054)+Assumptions!$P$66*MAX(0,Assumptions!$D$66-H25067)</f>
        <v>574.5</v>
      </c>
      <c r="I25143" s="16" t="n">
        <f aca="false">MAX(0,I25127)+Assumptions!$P$57*MAX(0,Assumptions!$D$57-I24950)+Assumptions!$P$58*MAX(0,Assumptions!$D$58-I24963)+Assumptions!$P$59*MAX(0,Assumptions!$D$59-I24976)+Assumptions!$P$60*MAX(0,Assumptions!$D$60-I24989)+Assumptions!$P$61*MAX(0,Assumptions!$D$61-I25002)+Assumptions!$P$62*MAX(0,Assumptions!$D$62-I25015)+Assumptions!$P$63*MAX(0,Assumptions!$D$63-I25028)+Assumptions!$P$64*MAX(0,Assumptions!$D$64-I25041)+Assumptions!$P$65*MAX(0,Assumptions!$D$65-I25054)+Assumptions!$P$66*MAX(0,Assumptions!$D$66-I25067)</f>
        <v>574.5</v>
      </c>
      <c r="J25143" s="16" t="n">
        <f aca="false">MAX(0,J25127)+Assumptions!$P$57*MAX(0,Assumptions!$D$57-J24950)+Assumptions!$P$58*MAX(0,Assumptions!$D$58-J24963)+Assumptions!$P$59*MAX(0,Assumptions!$D$59-J24976)+Assumptions!$P$60*MAX(0,Assumptions!$D$60-J24989)+Assumptions!$P$61*MAX(0,Assumptions!$D$61-J25002)+Assumptions!$P$62*MAX(0,Assumptions!$D$62-J25015)+Assumptions!$P$63*MAX(0,Assumptions!$D$63-J25028)+Assumptions!$P$64*MAX(0,Assumptions!$D$64-J25041)+Assumptions!$P$65*MAX(0,Assumptions!$D$65-J25054)+Assumptions!$P$66*MAX(0,Assumptions!$D$66-J25067)</f>
        <v>574.5</v>
      </c>
      <c r="K25143" s="16" t="n">
        <f aca="false">MAX(0,K25127)+Assumptions!$P$57*MAX(0,Assumptions!$D$57-K24950)+Assumptions!$P$58*MAX(0,Assumptions!$D$58-K24963)+Assumptions!$P$59*MAX(0,Assumptions!$D$59-K24976)+Assumptions!$P$60*MAX(0,Assumptions!$D$60-K24989)+Assumptions!$P$61*MAX(0,Assumptions!$D$61-K25002)+Assumptions!$P$62*MAX(0,Assumptions!$D$62-K25015)+Assumptions!$P$63*MAX(0,Assumptions!$D$63-K25028)+Assumptions!$P$64*MAX(0,Assumptions!$D$64-K25041)+Assumptions!$P$65*MAX(0,Assumptions!$D$65-K25054)+Assumptions!$P$66*MAX(0,Assumptions!$D$66-K25067)</f>
        <v>574.5</v>
      </c>
    </row>
    <row r="25144" customFormat="false" ht="15" hidden="false" customHeight="false" outlineLevel="0" collapsed="false">
      <c r="A25144" s="3" t="s">
        <v>423</v>
      </c>
      <c r="G25144" s="22" t="n">
        <f aca="false">IF(G25134&gt;0,G25134/(G25134+MAX(0,G24913*CHOOSE($C$24896,Assumptions!$C$90,Assumptions!$C$109,Assumptions!$C$128)-G25136)),0)</f>
        <v>0.96968672979121</v>
      </c>
      <c r="H25144" s="22" t="n">
        <f aca="false">IF(H25134&gt;0,H25134/(H25134+MAX(0,H24913*CHOOSE($C$24896,Assumptions!$C$90,Assumptions!$C$109,Assumptions!$C$128)-H25136)),0)</f>
        <v>1</v>
      </c>
      <c r="I25144" s="22" t="n">
        <f aca="false">IF(I25134&gt;0,I25134/(I25134+MAX(0,I24913*CHOOSE($C$24896,Assumptions!$C$90,Assumptions!$C$109,Assumptions!$C$128)-I25136)),0)</f>
        <v>1</v>
      </c>
      <c r="J25144" s="22" t="n">
        <f aca="false">IF(J25134&gt;0,J25134/(J25134+MAX(0,J24913*CHOOSE($C$24896,Assumptions!$C$90,Assumptions!$C$109,Assumptions!$C$128)-J25136)),0)</f>
        <v>1</v>
      </c>
      <c r="K25144" s="22" t="n">
        <f aca="false">IF(K25134&gt;0,K25134/(K25134+MAX(0,K24913*CHOOSE($C$24896,Assumptions!$C$90,Assumptions!$C$109,Assumptions!$C$128)-K25136)),0)</f>
        <v>1</v>
      </c>
    </row>
    <row r="25145" customFormat="false" ht="15" hidden="false" customHeight="false" outlineLevel="0" collapsed="false">
      <c r="A25145" s="3" t="s">
        <v>424</v>
      </c>
      <c r="G25145" s="22" t="n">
        <f aca="false">IF(G25134&gt;0,MAX(0,G25127)/G25134,0)</f>
        <v>0.0487172905191359</v>
      </c>
      <c r="H25145" s="22" t="n">
        <f aca="false">IF(H25134&gt;0,MAX(0,H25127)/H25134,0)</f>
        <v>0</v>
      </c>
      <c r="I25145" s="22" t="n">
        <f aca="false">IF(I25134&gt;0,MAX(0,I25127)/I25134,0)</f>
        <v>0</v>
      </c>
      <c r="J25145" s="22" t="n">
        <f aca="false">IF(J25134&gt;0,MAX(0,J25127)/J25134,0)</f>
        <v>0</v>
      </c>
      <c r="K25145" s="22" t="n">
        <f aca="false">IF(K25134&gt;0,MAX(0,K25127)/K25134,0)</f>
        <v>0</v>
      </c>
    </row>
    <row r="25146" customFormat="false" ht="15" hidden="false" customHeight="false" outlineLevel="0" collapsed="false">
      <c r="A25146" s="3" t="s">
        <v>425</v>
      </c>
      <c r="G25146" s="16" t="n">
        <f aca="false">Assumptions!$C$31*(1-CHOOSE($C$24896,Assumptions!$C$93,Assumptions!$C$112,Assumptions!$C$131))</f>
        <v>3840.04556666667</v>
      </c>
      <c r="H25146" s="16" t="n">
        <f aca="false">Assumptions!$C$31*(1-CHOOSE($C$24896,Assumptions!$C$93,Assumptions!$C$112,Assumptions!$C$131))</f>
        <v>3840.04556666667</v>
      </c>
      <c r="I25146" s="16" t="n">
        <f aca="false">Assumptions!$C$31*(1-CHOOSE($C$24896,Assumptions!$C$93,Assumptions!$C$112,Assumptions!$C$131))</f>
        <v>3840.04556666667</v>
      </c>
      <c r="J25146" s="16" t="n">
        <f aca="false">Assumptions!$C$31*(1-CHOOSE($C$24896,Assumptions!$C$93,Assumptions!$C$112,Assumptions!$C$131))</f>
        <v>3840.04556666667</v>
      </c>
      <c r="K25146" s="16" t="n">
        <f aca="false">Assumptions!$C$31*(1-CHOOSE($C$24896,Assumptions!$C$93,Assumptions!$C$112,Assumptions!$C$131))</f>
        <v>3840.04556666667</v>
      </c>
    </row>
    <row r="25147" customFormat="false" ht="15" hidden="false" customHeight="false" outlineLevel="0" collapsed="false">
      <c r="A25147" s="24" t="s">
        <v>426</v>
      </c>
      <c r="B25147" s="25"/>
      <c r="C25147" s="25"/>
      <c r="D25147" s="25"/>
      <c r="E25147" s="25"/>
      <c r="F25147" s="25"/>
      <c r="G25147" s="25"/>
      <c r="H25147" s="25"/>
      <c r="I25147" s="25"/>
      <c r="J25147" s="25"/>
      <c r="K25147" s="25"/>
    </row>
    <row r="25148" customFormat="false" ht="15" hidden="false" customHeight="false" outlineLevel="0" collapsed="false">
      <c r="A25148" s="24" t="s">
        <v>427</v>
      </c>
      <c r="B25148" s="25"/>
      <c r="C25148" s="25"/>
      <c r="D25148" s="25"/>
      <c r="E25148" s="25"/>
      <c r="F25148" s="25"/>
      <c r="G25148" s="25"/>
      <c r="H25148" s="25"/>
      <c r="I25148" s="25"/>
      <c r="J25148" s="25"/>
      <c r="K25148" s="25"/>
    </row>
    <row r="25149" customFormat="false" ht="15" hidden="false" customHeight="false" outlineLevel="0" collapsed="false">
      <c r="A25149" s="3" t="s">
        <v>428</v>
      </c>
      <c r="G25149" s="22" t="n">
        <f aca="false">IF(G25146&gt;0,G25134/G25146,99)</f>
        <v>0.68278721032885</v>
      </c>
      <c r="H25149" s="22" t="n">
        <f aca="false">IF(H25146&gt;0,H25134/H25146,99)</f>
        <v>0.666619214131634</v>
      </c>
      <c r="I25149" s="22" t="n">
        <f aca="false">IF(I25146&gt;0,I25134/I25146,99)</f>
        <v>0.665577559825571</v>
      </c>
      <c r="J25149" s="22" t="n">
        <f aca="false">IF(J25146&gt;0,J25134/J25146,99)</f>
        <v>0.664535905519507</v>
      </c>
      <c r="K25149" s="22" t="n">
        <f aca="false">IF(K25146&gt;0,K25134/K25146,99)</f>
        <v>0.663494251213443</v>
      </c>
    </row>
    <row r="25150" customFormat="false" ht="15" hidden="false" customHeight="false" outlineLevel="0" collapsed="false">
      <c r="A25150" s="3" t="s">
        <v>429</v>
      </c>
      <c r="G25150" s="33" t="n">
        <f aca="false">Assumptions!$G$71</f>
        <v>0.6</v>
      </c>
      <c r="H25150" s="33" t="n">
        <f aca="false">Assumptions!$H$71</f>
        <v>0.6</v>
      </c>
      <c r="I25150" s="33" t="n">
        <f aca="false">Assumptions!$I$71</f>
        <v>0.6</v>
      </c>
      <c r="J25150" s="33" t="n">
        <f aca="false">Assumptions!$J$71</f>
        <v>0.6</v>
      </c>
      <c r="K25150" s="33" t="n">
        <f aca="false">Assumptions!$K$71</f>
        <v>0.6</v>
      </c>
    </row>
    <row r="25151" customFormat="false" ht="15" hidden="false" customHeight="false" outlineLevel="0" collapsed="false">
      <c r="A25151" s="3" t="s">
        <v>430</v>
      </c>
      <c r="G25151" s="22" t="n">
        <f aca="false">G25150-G25149</f>
        <v>-0.0827872103288497</v>
      </c>
      <c r="H25151" s="22" t="n">
        <f aca="false">H25150-H25149</f>
        <v>-0.0666192141316344</v>
      </c>
      <c r="I25151" s="22" t="n">
        <f aca="false">I25150-I25149</f>
        <v>-0.0655775598255706</v>
      </c>
      <c r="J25151" s="22" t="n">
        <f aca="false">J25150-J25149</f>
        <v>-0.0645359055195066</v>
      </c>
      <c r="K25151" s="22" t="n">
        <f aca="false">K25150-K25149</f>
        <v>-0.0634942512134427</v>
      </c>
    </row>
    <row r="25152" customFormat="false" ht="15" hidden="false" customHeight="false" outlineLevel="0" collapsed="false">
      <c r="A25152" s="3" t="s">
        <v>431</v>
      </c>
      <c r="G25152" s="22" t="n">
        <f aca="false">IF(G25150=0,0,G25151/ABS(G25150))</f>
        <v>-0.137978683881416</v>
      </c>
      <c r="H25152" s="22" t="n">
        <f aca="false">IF(H25150=0,0,H25151/ABS(H25150))</f>
        <v>-0.111032023552724</v>
      </c>
      <c r="I25152" s="22" t="n">
        <f aca="false">IF(I25150=0,0,I25151/ABS(I25150))</f>
        <v>-0.109295933042618</v>
      </c>
      <c r="J25152" s="22" t="n">
        <f aca="false">IF(J25150=0,0,J25151/ABS(J25150))</f>
        <v>-0.107559842532511</v>
      </c>
      <c r="K25152" s="22" t="n">
        <f aca="false">IF(K25150=0,0,K25151/ABS(K25150))</f>
        <v>-0.105823752022404</v>
      </c>
    </row>
    <row r="25153" customFormat="false" ht="15" hidden="false" customHeight="false" outlineLevel="0" collapsed="false">
      <c r="A25153" s="3" t="s">
        <v>432</v>
      </c>
      <c r="G25153" s="21" t="n">
        <f aca="false">IF(G25151&lt;0,1,0)</f>
        <v>1</v>
      </c>
      <c r="H25153" s="21" t="n">
        <f aca="false">IF(H25151&lt;0,1,0)</f>
        <v>1</v>
      </c>
      <c r="I25153" s="21" t="n">
        <f aca="false">IF(I25151&lt;0,1,0)</f>
        <v>1</v>
      </c>
      <c r="J25153" s="21" t="n">
        <f aca="false">IF(J25151&lt;0,1,0)</f>
        <v>1</v>
      </c>
      <c r="K25153" s="21" t="n">
        <f aca="false">IF(K25151&lt;0,1,0)</f>
        <v>1</v>
      </c>
    </row>
    <row r="25154" customFormat="false" ht="15" hidden="false" customHeight="false" outlineLevel="0" collapsed="false">
      <c r="A25154" s="3" t="s">
        <v>433</v>
      </c>
      <c r="C25154" s="21" t="n">
        <f aca="false">IFERROR(INDEX($G$24903:$K$24903,MATCH(1,$G$25153:$K$25153,0)),0)</f>
        <v>2027</v>
      </c>
    </row>
    <row r="25155" customFormat="false" ht="15" hidden="false" customHeight="false" outlineLevel="0" collapsed="false">
      <c r="A25155" s="3" t="s">
        <v>434</v>
      </c>
      <c r="C25155" s="22" t="n">
        <f aca="false">MIN($G$25152:$K$25152)</f>
        <v>-0.137978683881416</v>
      </c>
    </row>
    <row r="25156" customFormat="false" ht="15" hidden="false" customHeight="false" outlineLevel="0" collapsed="false">
      <c r="A25156" s="24" t="s">
        <v>435</v>
      </c>
      <c r="B25156" s="25"/>
      <c r="C25156" s="25"/>
      <c r="D25156" s="25"/>
      <c r="E25156" s="25"/>
      <c r="F25156" s="25"/>
      <c r="G25156" s="25"/>
      <c r="H25156" s="25"/>
      <c r="I25156" s="25"/>
      <c r="J25156" s="25"/>
      <c r="K25156" s="25"/>
    </row>
    <row r="25157" customFormat="false" ht="15" hidden="false" customHeight="false" outlineLevel="0" collapsed="false">
      <c r="A25157" s="3" t="s">
        <v>428</v>
      </c>
      <c r="G25157" s="32" t="n">
        <f aca="false">IF(G24917&gt;0,G24913/G24917,99)</f>
        <v>1.28254798312293</v>
      </c>
      <c r="H25157" s="32" t="n">
        <f aca="false">IF(H24917&gt;0,H24913/H24917,99)</f>
        <v>1.21404897350594</v>
      </c>
      <c r="I25157" s="32" t="n">
        <f aca="false">IF(I24917&gt;0,I24913/I24917,99)</f>
        <v>1.24036531222954</v>
      </c>
      <c r="J25157" s="32" t="n">
        <f aca="false">IF(J24917&gt;0,J24913/J24917,99)</f>
        <v>1.26832565268071</v>
      </c>
      <c r="K25157" s="32" t="n">
        <f aca="false">IF(K24917&gt;0,K24913/K24917,99)</f>
        <v>1.29678688502798</v>
      </c>
    </row>
    <row r="25158" customFormat="false" ht="15" hidden="false" customHeight="false" outlineLevel="0" collapsed="false">
      <c r="A25158" s="3" t="s">
        <v>429</v>
      </c>
      <c r="G25158" s="34" t="n">
        <f aca="false">Assumptions!$G$72</f>
        <v>1.5</v>
      </c>
      <c r="H25158" s="34" t="n">
        <f aca="false">Assumptions!$H$72</f>
        <v>1.5</v>
      </c>
      <c r="I25158" s="34" t="n">
        <f aca="false">Assumptions!$I$72</f>
        <v>1.5</v>
      </c>
      <c r="J25158" s="34" t="n">
        <f aca="false">Assumptions!$J$72</f>
        <v>1.5</v>
      </c>
      <c r="K25158" s="34" t="n">
        <f aca="false">Assumptions!$K$72</f>
        <v>1.5</v>
      </c>
    </row>
    <row r="25159" customFormat="false" ht="15" hidden="false" customHeight="false" outlineLevel="0" collapsed="false">
      <c r="A25159" s="3" t="s">
        <v>430</v>
      </c>
      <c r="G25159" s="32" t="n">
        <f aca="false">G25157-G25158</f>
        <v>-0.21745201687707</v>
      </c>
      <c r="H25159" s="32" t="n">
        <f aca="false">H25157-H25158</f>
        <v>-0.28595102649406</v>
      </c>
      <c r="I25159" s="32" t="n">
        <f aca="false">I25157-I25158</f>
        <v>-0.259634687770463</v>
      </c>
      <c r="J25159" s="32" t="n">
        <f aca="false">J25157-J25158</f>
        <v>-0.231674347319286</v>
      </c>
      <c r="K25159" s="32" t="n">
        <f aca="false">K25157-K25158</f>
        <v>-0.203213114972025</v>
      </c>
    </row>
    <row r="25160" customFormat="false" ht="15" hidden="false" customHeight="false" outlineLevel="0" collapsed="false">
      <c r="A25160" s="3" t="s">
        <v>431</v>
      </c>
      <c r="G25160" s="22" t="n">
        <f aca="false">IF(G25158=0,0,G25159/ABS(G25158))</f>
        <v>-0.14496801125138</v>
      </c>
      <c r="H25160" s="22" t="n">
        <f aca="false">IF(H25158=0,0,H25159/ABS(H25158))</f>
        <v>-0.190634017662707</v>
      </c>
      <c r="I25160" s="22" t="n">
        <f aca="false">IF(I25158=0,0,I25159/ABS(I25158))</f>
        <v>-0.173089791846975</v>
      </c>
      <c r="J25160" s="22" t="n">
        <f aca="false">IF(J25158=0,0,J25159/ABS(J25158))</f>
        <v>-0.154449564879524</v>
      </c>
      <c r="K25160" s="22" t="n">
        <f aca="false">IF(K25158=0,0,K25159/ABS(K25158))</f>
        <v>-0.13547540998135</v>
      </c>
    </row>
    <row r="25161" customFormat="false" ht="15" hidden="false" customHeight="false" outlineLevel="0" collapsed="false">
      <c r="A25161" s="3" t="s">
        <v>432</v>
      </c>
      <c r="G25161" s="21" t="n">
        <f aca="false">IF(G25159&lt;0,1,0)</f>
        <v>1</v>
      </c>
      <c r="H25161" s="21" t="n">
        <f aca="false">IF(H25159&lt;0,1,0)</f>
        <v>1</v>
      </c>
      <c r="I25161" s="21" t="n">
        <f aca="false">IF(I25159&lt;0,1,0)</f>
        <v>1</v>
      </c>
      <c r="J25161" s="21" t="n">
        <f aca="false">IF(J25159&lt;0,1,0)</f>
        <v>1</v>
      </c>
      <c r="K25161" s="21" t="n">
        <f aca="false">IF(K25159&lt;0,1,0)</f>
        <v>1</v>
      </c>
    </row>
    <row r="25162" customFormat="false" ht="15" hidden="false" customHeight="false" outlineLevel="0" collapsed="false">
      <c r="A25162" s="3" t="s">
        <v>433</v>
      </c>
      <c r="C25162" s="21" t="n">
        <f aca="false">IFERROR(INDEX($G$24903:$K$24903,MATCH(1,$G$25161:$K$25161,0)),0)</f>
        <v>2027</v>
      </c>
    </row>
    <row r="25163" customFormat="false" ht="15" hidden="false" customHeight="false" outlineLevel="0" collapsed="false">
      <c r="A25163" s="3" t="s">
        <v>434</v>
      </c>
      <c r="C25163" s="22" t="n">
        <f aca="false">MIN($G$25160:$K$25160)</f>
        <v>-0.190634017662707</v>
      </c>
    </row>
    <row r="25164" customFormat="false" ht="15" hidden="false" customHeight="false" outlineLevel="0" collapsed="false">
      <c r="A25164" s="24" t="s">
        <v>436</v>
      </c>
      <c r="B25164" s="25"/>
      <c r="C25164" s="25"/>
      <c r="D25164" s="25"/>
      <c r="E25164" s="25"/>
      <c r="F25164" s="25"/>
      <c r="G25164" s="25"/>
      <c r="H25164" s="25"/>
      <c r="I25164" s="25"/>
      <c r="J25164" s="25"/>
      <c r="K25164" s="25"/>
    </row>
    <row r="25165" customFormat="false" ht="15" hidden="false" customHeight="false" outlineLevel="0" collapsed="false">
      <c r="A25165" s="3" t="s">
        <v>428</v>
      </c>
      <c r="G25165" s="22" t="n">
        <f aca="false">IF(G25146&gt;0,G25135/G25146,99)</f>
        <v>0.141488946046968</v>
      </c>
      <c r="H25165" s="22" t="n">
        <f aca="false">IF(H25146&gt;0,H25135/H25146,99)</f>
        <v>0.140447291740904</v>
      </c>
      <c r="I25165" s="22" t="n">
        <f aca="false">IF(I25146&gt;0,I25135/I25146,99)</f>
        <v>0.139405637434841</v>
      </c>
      <c r="J25165" s="22" t="n">
        <f aca="false">IF(J25146&gt;0,J25135/J25146,99)</f>
        <v>0.138363983128777</v>
      </c>
      <c r="K25165" s="22" t="n">
        <f aca="false">IF(K25146&gt;0,K25135/K25146,99)</f>
        <v>0.137322328822713</v>
      </c>
    </row>
    <row r="25166" customFormat="false" ht="15" hidden="false" customHeight="false" outlineLevel="0" collapsed="false">
      <c r="A25166" s="3" t="s">
        <v>429</v>
      </c>
      <c r="G25166" s="33" t="n">
        <f aca="false">Assumptions!$G$73</f>
        <v>0.4</v>
      </c>
      <c r="H25166" s="33" t="n">
        <f aca="false">Assumptions!$H$73</f>
        <v>0.4</v>
      </c>
      <c r="I25166" s="33" t="n">
        <f aca="false">Assumptions!$I$73</f>
        <v>0.4</v>
      </c>
      <c r="J25166" s="33" t="n">
        <f aca="false">Assumptions!$J$73</f>
        <v>0.4</v>
      </c>
      <c r="K25166" s="33" t="n">
        <f aca="false">Assumptions!$K$73</f>
        <v>0.4</v>
      </c>
    </row>
    <row r="25167" customFormat="false" ht="15" hidden="false" customHeight="false" outlineLevel="0" collapsed="false">
      <c r="A25167" s="3" t="s">
        <v>430</v>
      </c>
      <c r="G25167" s="22" t="n">
        <f aca="false">G25166-G25165</f>
        <v>0.258511053953032</v>
      </c>
      <c r="H25167" s="22" t="n">
        <f aca="false">H25166-H25165</f>
        <v>0.259552708259096</v>
      </c>
      <c r="I25167" s="22" t="n">
        <f aca="false">I25166-I25165</f>
        <v>0.26059436256516</v>
      </c>
      <c r="J25167" s="22" t="n">
        <f aca="false">J25166-J25165</f>
        <v>0.261636016871223</v>
      </c>
      <c r="K25167" s="22" t="n">
        <f aca="false">K25166-K25165</f>
        <v>0.262677671177287</v>
      </c>
    </row>
    <row r="25168" customFormat="false" ht="15" hidden="false" customHeight="false" outlineLevel="0" collapsed="false">
      <c r="A25168" s="3" t="s">
        <v>431</v>
      </c>
      <c r="G25168" s="22" t="n">
        <f aca="false">IF(G25166=0,0,G25167/ABS(G25166))</f>
        <v>0.646277634882579</v>
      </c>
      <c r="H25168" s="22" t="n">
        <f aca="false">IF(H25166=0,0,H25167/ABS(H25166))</f>
        <v>0.648881770647739</v>
      </c>
      <c r="I25168" s="22" t="n">
        <f aca="false">IF(I25166=0,0,I25167/ABS(I25166))</f>
        <v>0.651485906412899</v>
      </c>
      <c r="J25168" s="22" t="n">
        <f aca="false">IF(J25166=0,0,J25167/ABS(J25166))</f>
        <v>0.654090042178059</v>
      </c>
      <c r="K25168" s="22" t="n">
        <f aca="false">IF(K25166=0,0,K25167/ABS(K25166))</f>
        <v>0.656694177943218</v>
      </c>
    </row>
    <row r="25169" customFormat="false" ht="15" hidden="false" customHeight="false" outlineLevel="0" collapsed="false">
      <c r="A25169" s="3" t="s">
        <v>432</v>
      </c>
      <c r="G25169" s="21" t="n">
        <f aca="false">IF(G25167&lt;0,1,0)</f>
        <v>0</v>
      </c>
      <c r="H25169" s="21" t="n">
        <f aca="false">IF(H25167&lt;0,1,0)</f>
        <v>0</v>
      </c>
      <c r="I25169" s="21" t="n">
        <f aca="false">IF(I25167&lt;0,1,0)</f>
        <v>0</v>
      </c>
      <c r="J25169" s="21" t="n">
        <f aca="false">IF(J25167&lt;0,1,0)</f>
        <v>0</v>
      </c>
      <c r="K25169" s="21" t="n">
        <f aca="false">IF(K25167&lt;0,1,0)</f>
        <v>0</v>
      </c>
    </row>
    <row r="25170" customFormat="false" ht="15" hidden="false" customHeight="false" outlineLevel="0" collapsed="false">
      <c r="A25170" s="3" t="s">
        <v>433</v>
      </c>
      <c r="C25170" s="21" t="n">
        <f aca="false">IFERROR(INDEX($G$24903:$K$24903,MATCH(1,$G$25169:$K$25169,0)),0)</f>
        <v>0</v>
      </c>
    </row>
    <row r="25171" customFormat="false" ht="15" hidden="false" customHeight="false" outlineLevel="0" collapsed="false">
      <c r="A25171" s="3" t="s">
        <v>434</v>
      </c>
      <c r="C25171" s="22" t="n">
        <f aca="false">MIN($G$25168:$K$25168)</f>
        <v>0.646277634882579</v>
      </c>
    </row>
    <row r="25172" customFormat="false" ht="15" hidden="false" customHeight="false" outlineLevel="0" collapsed="false">
      <c r="A25172" s="24" t="s">
        <v>437</v>
      </c>
      <c r="B25172" s="25"/>
      <c r="C25172" s="25"/>
      <c r="D25172" s="25"/>
      <c r="E25172" s="25"/>
      <c r="F25172" s="25"/>
      <c r="G25172" s="25"/>
      <c r="H25172" s="25"/>
      <c r="I25172" s="25"/>
      <c r="J25172" s="25"/>
      <c r="K25172" s="25"/>
    </row>
    <row r="25173" customFormat="false" ht="15" hidden="false" customHeight="false" outlineLevel="0" collapsed="false">
      <c r="A25173" s="3" t="s">
        <v>428</v>
      </c>
      <c r="G25173" s="16" t="n">
        <f aca="false">G25143</f>
        <v>702.2335204</v>
      </c>
      <c r="H25173" s="16" t="n">
        <f aca="false">H25143</f>
        <v>574.5</v>
      </c>
      <c r="I25173" s="16" t="n">
        <f aca="false">I25143</f>
        <v>574.5</v>
      </c>
      <c r="J25173" s="16" t="n">
        <f aca="false">J25143</f>
        <v>574.5</v>
      </c>
      <c r="K25173" s="16" t="n">
        <f aca="false">K25143</f>
        <v>574.5</v>
      </c>
    </row>
    <row r="25174" customFormat="false" ht="15" hidden="false" customHeight="false" outlineLevel="0" collapsed="false">
      <c r="A25174" s="3" t="s">
        <v>429</v>
      </c>
      <c r="G25174" s="29" t="n">
        <f aca="false">Assumptions!$G$74</f>
        <v>100</v>
      </c>
      <c r="H25174" s="29" t="n">
        <f aca="false">Assumptions!$H$74</f>
        <v>100</v>
      </c>
      <c r="I25174" s="29" t="n">
        <f aca="false">Assumptions!$I$74</f>
        <v>100</v>
      </c>
      <c r="J25174" s="29" t="n">
        <f aca="false">Assumptions!$J$74</f>
        <v>100</v>
      </c>
      <c r="K25174" s="29" t="n">
        <f aca="false">Assumptions!$K$74</f>
        <v>100</v>
      </c>
    </row>
    <row r="25175" customFormat="false" ht="15" hidden="false" customHeight="false" outlineLevel="0" collapsed="false">
      <c r="A25175" s="3" t="s">
        <v>430</v>
      </c>
      <c r="G25175" s="16" t="n">
        <f aca="false">G25173-G25174</f>
        <v>602.2335204</v>
      </c>
      <c r="H25175" s="16" t="n">
        <f aca="false">H25173-H25174</f>
        <v>474.5</v>
      </c>
      <c r="I25175" s="16" t="n">
        <f aca="false">I25173-I25174</f>
        <v>474.5</v>
      </c>
      <c r="J25175" s="16" t="n">
        <f aca="false">J25173-J25174</f>
        <v>474.5</v>
      </c>
      <c r="K25175" s="16" t="n">
        <f aca="false">K25173-K25174</f>
        <v>474.5</v>
      </c>
    </row>
    <row r="25176" customFormat="false" ht="15" hidden="false" customHeight="false" outlineLevel="0" collapsed="false">
      <c r="A25176" s="3" t="s">
        <v>431</v>
      </c>
      <c r="G25176" s="22" t="n">
        <f aca="false">IF(G25174=0,0,G25175/ABS(G25174))</f>
        <v>6.022335204</v>
      </c>
      <c r="H25176" s="22" t="n">
        <f aca="false">IF(H25174=0,0,H25175/ABS(H25174))</f>
        <v>4.745</v>
      </c>
      <c r="I25176" s="22" t="n">
        <f aca="false">IF(I25174=0,0,I25175/ABS(I25174))</f>
        <v>4.745</v>
      </c>
      <c r="J25176" s="22" t="n">
        <f aca="false">IF(J25174=0,0,J25175/ABS(J25174))</f>
        <v>4.745</v>
      </c>
      <c r="K25176" s="22" t="n">
        <f aca="false">IF(K25174=0,0,K25175/ABS(K25174))</f>
        <v>4.745</v>
      </c>
    </row>
    <row r="25177" customFormat="false" ht="15" hidden="false" customHeight="false" outlineLevel="0" collapsed="false">
      <c r="A25177" s="3" t="s">
        <v>432</v>
      </c>
      <c r="G25177" s="21" t="n">
        <f aca="false">IF(G25175&lt;0,1,0)</f>
        <v>0</v>
      </c>
      <c r="H25177" s="21" t="n">
        <f aca="false">IF(H25175&lt;0,1,0)</f>
        <v>0</v>
      </c>
      <c r="I25177" s="21" t="n">
        <f aca="false">IF(I25175&lt;0,1,0)</f>
        <v>0</v>
      </c>
      <c r="J25177" s="21" t="n">
        <f aca="false">IF(J25175&lt;0,1,0)</f>
        <v>0</v>
      </c>
      <c r="K25177" s="21" t="n">
        <f aca="false">IF(K25175&lt;0,1,0)</f>
        <v>0</v>
      </c>
    </row>
    <row r="25178" customFormat="false" ht="15" hidden="false" customHeight="false" outlineLevel="0" collapsed="false">
      <c r="A25178" s="3" t="s">
        <v>433</v>
      </c>
      <c r="C25178" s="21" t="n">
        <f aca="false">IFERROR(INDEX($G$24903:$K$24903,MATCH(1,$G$25177:$K$25177,0)),0)</f>
        <v>0</v>
      </c>
    </row>
    <row r="25179" customFormat="false" ht="15" hidden="false" customHeight="false" outlineLevel="0" collapsed="false">
      <c r="A25179" s="3" t="s">
        <v>434</v>
      </c>
      <c r="C25179" s="22" t="n">
        <f aca="false">MIN($G$25176:$K$25176)</f>
        <v>4.745</v>
      </c>
    </row>
    <row r="25180" customFormat="false" ht="15" hidden="false" customHeight="false" outlineLevel="0" collapsed="false">
      <c r="A25180" s="24" t="s">
        <v>438</v>
      </c>
      <c r="B25180" s="25"/>
      <c r="C25180" s="25"/>
      <c r="D25180" s="25"/>
      <c r="E25180" s="25"/>
      <c r="F25180" s="25"/>
      <c r="G25180" s="25"/>
      <c r="H25180" s="25"/>
      <c r="I25180" s="25"/>
      <c r="J25180" s="25"/>
      <c r="K25180" s="25"/>
    </row>
    <row r="25181" customFormat="false" ht="15" hidden="false" customHeight="false" outlineLevel="0" collapsed="false">
      <c r="A25181" s="3" t="s">
        <v>428</v>
      </c>
      <c r="G25181" s="32" t="n">
        <f aca="false">IF(G24913&gt;0,G25136/G24913,99)</f>
        <v>10.650020833336</v>
      </c>
      <c r="H25181" s="32" t="n">
        <f aca="false">IF(H24913&gt;0,H25136/H24913,99)</f>
        <v>11.616888888427</v>
      </c>
      <c r="I25181" s="32" t="n">
        <f aca="false">IF(I24913&gt;0,I25136/I24913,99)</f>
        <v>11.8973297894304</v>
      </c>
      <c r="J25181" s="32" t="n">
        <f aca="false">IF(J24913&gt;0,J25136/J24913,99)</f>
        <v>11.9171639116462</v>
      </c>
      <c r="K25181" s="32" t="n">
        <f aca="false">IF(K24913&gt;0,K25136/K24913,99)</f>
        <v>11.9157718284441</v>
      </c>
    </row>
    <row r="25182" customFormat="false" ht="15" hidden="false" customHeight="false" outlineLevel="0" collapsed="false">
      <c r="A25182" s="3" t="s">
        <v>429</v>
      </c>
      <c r="G25182" s="34" t="n">
        <f aca="false">Assumptions!$G$75</f>
        <v>10.5</v>
      </c>
      <c r="H25182" s="34" t="n">
        <f aca="false">Assumptions!$H$75</f>
        <v>10.5</v>
      </c>
      <c r="I25182" s="34" t="n">
        <f aca="false">Assumptions!$I$75</f>
        <v>10</v>
      </c>
      <c r="J25182" s="34" t="n">
        <f aca="false">Assumptions!$J$75</f>
        <v>10</v>
      </c>
      <c r="K25182" s="34" t="n">
        <f aca="false">Assumptions!$K$75</f>
        <v>9.5</v>
      </c>
    </row>
    <row r="25183" customFormat="false" ht="15" hidden="false" customHeight="false" outlineLevel="0" collapsed="false">
      <c r="A25183" s="3" t="s">
        <v>430</v>
      </c>
      <c r="G25183" s="32" t="n">
        <f aca="false">G25182-G25181</f>
        <v>-0.150020833336002</v>
      </c>
      <c r="H25183" s="32" t="n">
        <f aca="false">H25182-H25181</f>
        <v>-1.11688888842704</v>
      </c>
      <c r="I25183" s="32" t="n">
        <f aca="false">I25182-I25181</f>
        <v>-1.89732978943042</v>
      </c>
      <c r="J25183" s="32" t="n">
        <f aca="false">J25182-J25181</f>
        <v>-1.91716391164619</v>
      </c>
      <c r="K25183" s="32" t="n">
        <f aca="false">K25182-K25181</f>
        <v>-2.41577182844413</v>
      </c>
    </row>
    <row r="25184" customFormat="false" ht="15" hidden="false" customHeight="false" outlineLevel="0" collapsed="false">
      <c r="A25184" s="3" t="s">
        <v>431</v>
      </c>
      <c r="G25184" s="22" t="n">
        <f aca="false">IF(G25182=0,0,G25183/ABS(G25182))</f>
        <v>-0.0142876984129526</v>
      </c>
      <c r="H25184" s="22" t="n">
        <f aca="false">IF(H25182=0,0,H25183/ABS(H25182))</f>
        <v>-0.106370370326385</v>
      </c>
      <c r="I25184" s="22" t="n">
        <f aca="false">IF(I25182=0,0,I25183/ABS(I25182))</f>
        <v>-0.189732978943042</v>
      </c>
      <c r="J25184" s="22" t="n">
        <f aca="false">IF(J25182=0,0,J25183/ABS(J25182))</f>
        <v>-0.191716391164619</v>
      </c>
      <c r="K25184" s="22" t="n">
        <f aca="false">IF(K25182=0,0,K25183/ABS(K25182))</f>
        <v>-0.254291771415172</v>
      </c>
    </row>
    <row r="25185" customFormat="false" ht="15" hidden="false" customHeight="false" outlineLevel="0" collapsed="false">
      <c r="A25185" s="3" t="s">
        <v>432</v>
      </c>
      <c r="G25185" s="21" t="n">
        <f aca="false">IF(G25183&lt;0,1,0)</f>
        <v>1</v>
      </c>
      <c r="H25185" s="21" t="n">
        <f aca="false">IF(H25183&lt;0,1,0)</f>
        <v>1</v>
      </c>
      <c r="I25185" s="21" t="n">
        <f aca="false">IF(I25183&lt;0,1,0)</f>
        <v>1</v>
      </c>
      <c r="J25185" s="21" t="n">
        <f aca="false">IF(J25183&lt;0,1,0)</f>
        <v>1</v>
      </c>
      <c r="K25185" s="21" t="n">
        <f aca="false">IF(K25183&lt;0,1,0)</f>
        <v>1</v>
      </c>
    </row>
    <row r="25186" customFormat="false" ht="15" hidden="false" customHeight="false" outlineLevel="0" collapsed="false">
      <c r="A25186" s="3" t="s">
        <v>433</v>
      </c>
      <c r="C25186" s="21" t="n">
        <f aca="false">IFERROR(INDEX($G$24903:$K$24903,MATCH(1,$G$25185:$K$25185,0)),0)</f>
        <v>2027</v>
      </c>
    </row>
    <row r="25187" customFormat="false" ht="15" hidden="false" customHeight="false" outlineLevel="0" collapsed="false">
      <c r="A25187" s="3" t="s">
        <v>434</v>
      </c>
      <c r="C25187" s="22" t="n">
        <f aca="false">MIN($G$25184:$K$25184)</f>
        <v>-0.254291771415172</v>
      </c>
    </row>
    <row r="25188" customFormat="false" ht="15" hidden="false" customHeight="false" outlineLevel="0" collapsed="false">
      <c r="A25188" s="3" t="s">
        <v>439</v>
      </c>
      <c r="G25188" s="21" t="n">
        <f aca="false">G25153+G25161+G25169+G25177+G25185</f>
        <v>3</v>
      </c>
      <c r="H25188" s="21" t="n">
        <f aca="false">H25153+H25161+H25169+H25177+H25185</f>
        <v>3</v>
      </c>
      <c r="I25188" s="21" t="n">
        <f aca="false">I25153+I25161+I25169+I25177+I25185</f>
        <v>3</v>
      </c>
      <c r="J25188" s="21" t="n">
        <f aca="false">J25153+J25161+J25169+J25177+J25185</f>
        <v>3</v>
      </c>
      <c r="K25188" s="21" t="n">
        <f aca="false">K25153+K25161+K25169+K25177+K25185</f>
        <v>3</v>
      </c>
    </row>
    <row r="25189" customFormat="false" ht="15" hidden="false" customHeight="false" outlineLevel="0" collapsed="false">
      <c r="A25189" s="3" t="s">
        <v>440</v>
      </c>
      <c r="C25189" s="21" t="n">
        <f aca="false">SUM($G$25188:$K$25188)</f>
        <v>15</v>
      </c>
    </row>
    <row r="25190" customFormat="false" ht="15" hidden="false" customHeight="false" outlineLevel="0" collapsed="false">
      <c r="A25190" s="3" t="s">
        <v>441</v>
      </c>
      <c r="C25190" s="22" t="n">
        <f aca="false">MIN(C25155,C25163,C25171,C25179,C25187)</f>
        <v>-0.254291771415172</v>
      </c>
    </row>
    <row r="25192" customFormat="false" ht="15" hidden="false" customHeight="false" outlineLevel="0" collapsed="false">
      <c r="A25192" s="24" t="s">
        <v>543</v>
      </c>
      <c r="B25192" s="25"/>
      <c r="C25192" s="25"/>
      <c r="D25192" s="25"/>
      <c r="E25192" s="25"/>
      <c r="F25192" s="25"/>
      <c r="G25192" s="25"/>
      <c r="H25192" s="25"/>
      <c r="I25192" s="25"/>
      <c r="J25192" s="25"/>
      <c r="K25192" s="25"/>
    </row>
    <row r="25193" customFormat="false" ht="15" hidden="false" customHeight="false" outlineLevel="0" collapsed="false">
      <c r="A25193" s="3" t="s">
        <v>544</v>
      </c>
      <c r="G25193" s="21" t="n">
        <f aca="false">IF($C$25194=1,G25130,IF(G24913=MIN($G$24913:$K$24913),1,0))</f>
        <v>0</v>
      </c>
      <c r="H25193" s="21" t="n">
        <f aca="false">IF($C$25194=1,H25130,IF(AND(H24913=MIN($G$24913:$K$24913),SUM($G$25193:G25193)=0),1,0))</f>
        <v>1</v>
      </c>
      <c r="I25193" s="21" t="n">
        <f aca="false">IF($C$25194=1,I25130,IF(AND(I24913=MIN($G$24913:$K$24913),SUM($G$25193:H25193)=0),1,0))</f>
        <v>0</v>
      </c>
      <c r="J25193" s="21" t="n">
        <f aca="false">IF($C$25194=1,J25130,IF(AND(J24913=MIN($G$24913:$K$24913),SUM($G$25193:I25193)=0),1,0))</f>
        <v>0</v>
      </c>
      <c r="K25193" s="21" t="n">
        <f aca="false">IF($C$25194=1,K25130,IF(AND(K24913=MIN($G$24913:$K$24913),SUM($G$25193:J25193)=0),1,0))</f>
        <v>0</v>
      </c>
    </row>
    <row r="25194" customFormat="false" ht="15" hidden="false" customHeight="false" outlineLevel="0" collapsed="false">
      <c r="A25194" s="3" t="s">
        <v>545</v>
      </c>
      <c r="C25194" s="21" t="n">
        <f aca="false">IF(SUM($G$25130:$K$25130)&gt;0,1,0)</f>
        <v>1</v>
      </c>
    </row>
    <row r="25195" customFormat="false" ht="15" hidden="false" customHeight="false" outlineLevel="0" collapsed="false">
      <c r="A25195" s="3" t="s">
        <v>546</v>
      </c>
      <c r="C25195" s="21" t="n">
        <f aca="false">SUMPRODUCT($G$25193:$K$25193,$G$24903:$K$24903)</f>
        <v>2028</v>
      </c>
    </row>
    <row r="25196" customFormat="false" ht="15" hidden="false" customHeight="false" outlineLevel="0" collapsed="false">
      <c r="A25196" s="3" t="s">
        <v>547</v>
      </c>
      <c r="C25196" s="16" t="n">
        <f aca="false">SUMPRODUCT($G$25193:$K$25193,$G$24913:$K$24913)</f>
        <v>220.355740893</v>
      </c>
    </row>
    <row r="25197" customFormat="false" ht="15" hidden="false" customHeight="false" outlineLevel="0" collapsed="false">
      <c r="A25197" s="3" t="s">
        <v>548</v>
      </c>
      <c r="C25197" s="16" t="n">
        <f aca="false">MAX(0,SUMPRODUCT($G$25193:$K$25193,$G$25127:$K$25127))</f>
        <v>0</v>
      </c>
    </row>
    <row r="25198" customFormat="false" ht="15" hidden="false" customHeight="false" outlineLevel="0" collapsed="false">
      <c r="A25198" s="3" t="s">
        <v>549</v>
      </c>
      <c r="C25198" s="16" t="n">
        <f aca="false">(CHOOSE($C$24896,Assumptions!$C$92,Assumptions!$C$111,Assumptions!$C$130)+$C$24900)*C25196</f>
        <v>1983.201668037</v>
      </c>
    </row>
    <row r="25199" customFormat="false" ht="15" hidden="false" customHeight="false" outlineLevel="0" collapsed="false">
      <c r="A25199" s="3" t="s">
        <v>550</v>
      </c>
      <c r="C25199" s="16" t="n">
        <f aca="false">Assumptions!$C$31*(1-CHOOSE($C$24896,Assumptions!$C$93,Assumptions!$C$112,Assumptions!$C$131))*CHOOSE($C$24896,Assumptions!$C$94,Assumptions!$C$113,Assumptions!$C$132)</f>
        <v>3264.03873166667</v>
      </c>
    </row>
    <row r="25200" customFormat="false" ht="15" hidden="false" customHeight="false" outlineLevel="0" collapsed="false">
      <c r="A25200" s="3" t="s">
        <v>551</v>
      </c>
      <c r="C25200" s="16" t="n">
        <f aca="false">MAX(C25198,C25199)+C25197</f>
        <v>3264.03873166667</v>
      </c>
    </row>
    <row r="25201" customFormat="false" ht="15" hidden="false" customHeight="false" outlineLevel="0" collapsed="false">
      <c r="A25201" s="2" t="s">
        <v>552</v>
      </c>
      <c r="C25201" s="17" t="n">
        <f aca="false">IF(ISNUMBER(Assumptions!$C$14),Assumptions!$C$14,C25200)</f>
        <v>3264.03873166667</v>
      </c>
    </row>
    <row r="25202" customFormat="false" ht="15" hidden="false" customHeight="false" outlineLevel="0" collapsed="false">
      <c r="A25202" s="3" t="s">
        <v>553</v>
      </c>
      <c r="C25202" s="16" t="n">
        <f aca="false">C25201*Assumptions!$C$15</f>
        <v>130.561549266667</v>
      </c>
    </row>
    <row r="25203" customFormat="false" ht="15" hidden="false" customHeight="false" outlineLevel="0" collapsed="false">
      <c r="A25203" s="2" t="s">
        <v>554</v>
      </c>
      <c r="C25203" s="17" t="n">
        <f aca="false">C25201-C25202</f>
        <v>3133.4771824</v>
      </c>
    </row>
    <row r="25204" customFormat="false" ht="15" hidden="false" customHeight="false" outlineLevel="0" collapsed="false">
      <c r="A25204" s="24" t="s">
        <v>555</v>
      </c>
      <c r="B25204" s="25"/>
      <c r="C25204" s="25"/>
      <c r="D25204" s="25"/>
      <c r="E25204" s="25"/>
      <c r="F25204" s="25"/>
      <c r="G25204" s="25"/>
      <c r="H25204" s="25"/>
      <c r="I25204" s="25"/>
      <c r="J25204" s="25"/>
      <c r="K25204" s="25"/>
    </row>
    <row r="25205" customFormat="false" ht="15" hidden="false" customHeight="false" outlineLevel="0" collapsed="false">
      <c r="A25205" s="3" t="s">
        <v>556</v>
      </c>
      <c r="C25205" s="16" t="n">
        <f aca="false">SUMPRODUCT($G$25193:$K$25193,$G$24950:$K$24950)*(1+SUMPRODUCT($G$25193:$K$25193,$G$24942:$K$24942)*Assumptions!$C$16/12)</f>
        <v>401.31</v>
      </c>
    </row>
    <row r="25206" customFormat="false" ht="15" hidden="false" customHeight="false" outlineLevel="0" collapsed="false">
      <c r="A25206" s="3" t="s">
        <v>557</v>
      </c>
      <c r="C25206" s="16" t="n">
        <f aca="false">SUMPRODUCT($G$25193:$K$25193,$G$24963:$K$24963)*(1+SUMPRODUCT($G$25193:$K$25193,$G$24955:$K$24955)*Assumptions!$C$16/12)</f>
        <v>91.30725</v>
      </c>
    </row>
    <row r="25207" customFormat="false" ht="15" hidden="false" customHeight="false" outlineLevel="0" collapsed="false">
      <c r="A25207" s="3" t="s">
        <v>558</v>
      </c>
      <c r="C25207" s="16" t="n">
        <f aca="false">SUMPRODUCT($G$25193:$K$25193,$G$24976:$K$24976)*(1+SUMPRODUCT($G$25193:$K$25193,$G$24968:$K$24968)*Assumptions!$C$16/12)</f>
        <v>58.3715961</v>
      </c>
    </row>
    <row r="25208" customFormat="false" ht="15" hidden="false" customHeight="false" outlineLevel="0" collapsed="false">
      <c r="A25208" s="3" t="s">
        <v>559</v>
      </c>
      <c r="C25208" s="16" t="n">
        <f aca="false">SUMPRODUCT($G$25193:$K$25193,$G$24989:$K$24989)*(1+SUMPRODUCT($G$25193:$K$25193,$G$24981:$K$24981)*Assumptions!$C$16/12)</f>
        <v>0</v>
      </c>
    </row>
    <row r="25209" customFormat="false" ht="15" hidden="false" customHeight="false" outlineLevel="0" collapsed="false">
      <c r="A25209" s="3" t="s">
        <v>560</v>
      </c>
      <c r="C25209" s="16" t="n">
        <f aca="false">SUMPRODUCT($G$25193:$K$25193,$G$25002:$K$25002)*(1+SUMPRODUCT($G$25193:$K$25193,$G$24994:$K$24994)*Assumptions!$C$16/12)</f>
        <v>395.784310190075</v>
      </c>
    </row>
    <row r="25210" customFormat="false" ht="15" hidden="false" customHeight="false" outlineLevel="0" collapsed="false">
      <c r="A25210" s="3" t="s">
        <v>561</v>
      </c>
      <c r="C25210" s="16" t="n">
        <f aca="false">SUMPRODUCT($G$25193:$K$25193,$G$25015:$K$25015)*(1+SUMPRODUCT($G$25193:$K$25193,$G$25007:$K$25007)*Assumptions!$C$16/12)</f>
        <v>357.2625</v>
      </c>
    </row>
    <row r="25211" customFormat="false" ht="15" hidden="false" customHeight="false" outlineLevel="0" collapsed="false">
      <c r="A25211" s="3" t="s">
        <v>562</v>
      </c>
      <c r="C25211" s="16" t="n">
        <f aca="false">SUMPRODUCT($G$25193:$K$25193,$G$25028:$K$25028)*(1+SUMPRODUCT($G$25193:$K$25193,$G$25020:$K$25020)*Assumptions!$C$16/12)</f>
        <v>562.203125</v>
      </c>
    </row>
    <row r="25212" customFormat="false" ht="15" hidden="false" customHeight="false" outlineLevel="0" collapsed="false">
      <c r="A25212" s="3" t="s">
        <v>563</v>
      </c>
      <c r="C25212" s="16" t="n">
        <f aca="false">SUMPRODUCT($G$25193:$K$25193,$G$25041:$K$25041)*(1+SUMPRODUCT($G$25193:$K$25193,$G$25033:$K$25033)*Assumptions!$C$16/12)</f>
        <v>353.98125</v>
      </c>
    </row>
    <row r="25213" customFormat="false" ht="15" hidden="false" customHeight="false" outlineLevel="0" collapsed="false">
      <c r="A25213" s="3" t="s">
        <v>564</v>
      </c>
      <c r="C25213" s="16" t="n">
        <f aca="false">SUMPRODUCT($G$25193:$K$25193,$G$25054:$K$25054)*(1+SUMPRODUCT($G$25193:$K$25193,$G$25046:$K$25046)*Assumptions!$C$16/12)</f>
        <v>304.59375</v>
      </c>
    </row>
    <row r="25214" customFormat="false" ht="15" hidden="false" customHeight="false" outlineLevel="0" collapsed="false">
      <c r="A25214" s="3" t="s">
        <v>565</v>
      </c>
      <c r="C25214" s="16" t="n">
        <f aca="false">SUMPRODUCT($G$25193:$K$25193,$G$25067:$K$25067)*(1+SUMPRODUCT($G$25193:$K$25193,$G$25059:$K$25059)*Assumptions!$C$16/12)</f>
        <v>79.741984</v>
      </c>
    </row>
    <row r="25215" customFormat="false" ht="15" hidden="false" customHeight="false" outlineLevel="0" collapsed="false">
      <c r="A25215" s="24" t="s">
        <v>566</v>
      </c>
      <c r="B25215" s="25"/>
      <c r="C25215" s="25"/>
      <c r="D25215" s="25"/>
      <c r="E25215" s="25"/>
      <c r="F25215" s="25"/>
      <c r="G25215" s="25"/>
      <c r="H25215" s="25"/>
      <c r="I25215" s="25"/>
      <c r="J25215" s="25"/>
      <c r="K25215" s="25"/>
    </row>
    <row r="25216" customFormat="false" ht="15" hidden="false" customHeight="false" outlineLevel="0" collapsed="false">
      <c r="A25216" s="3" t="s">
        <v>556</v>
      </c>
      <c r="C25216" s="27" t="n">
        <f aca="false">Assumptions!$M$57</f>
        <v>1</v>
      </c>
    </row>
    <row r="25217" customFormat="false" ht="15" hidden="false" customHeight="false" outlineLevel="0" collapsed="false">
      <c r="A25217" s="3" t="s">
        <v>557</v>
      </c>
      <c r="C25217" s="27" t="n">
        <f aca="false">Assumptions!$M$58</f>
        <v>1</v>
      </c>
    </row>
    <row r="25218" customFormat="false" ht="15" hidden="false" customHeight="false" outlineLevel="0" collapsed="false">
      <c r="A25218" s="3" t="s">
        <v>558</v>
      </c>
      <c r="C25218" s="27" t="n">
        <f aca="false">Assumptions!$M$59</f>
        <v>1</v>
      </c>
    </row>
    <row r="25219" customFormat="false" ht="15" hidden="false" customHeight="false" outlineLevel="0" collapsed="false">
      <c r="A25219" s="3" t="s">
        <v>559</v>
      </c>
      <c r="C25219" s="27" t="n">
        <f aca="false">Assumptions!$M$60</f>
        <v>2</v>
      </c>
    </row>
    <row r="25220" customFormat="false" ht="15" hidden="false" customHeight="false" outlineLevel="0" collapsed="false">
      <c r="A25220" s="3" t="s">
        <v>560</v>
      </c>
      <c r="C25220" s="27" t="n">
        <f aca="false">Assumptions!$M$61</f>
        <v>2</v>
      </c>
    </row>
    <row r="25221" customFormat="false" ht="15" hidden="false" customHeight="false" outlineLevel="0" collapsed="false">
      <c r="A25221" s="3" t="s">
        <v>561</v>
      </c>
      <c r="C25221" s="27" t="n">
        <f aca="false">Assumptions!$M$62</f>
        <v>2</v>
      </c>
    </row>
    <row r="25222" customFormat="false" ht="15" hidden="false" customHeight="false" outlineLevel="0" collapsed="false">
      <c r="A25222" s="3" t="s">
        <v>562</v>
      </c>
      <c r="C25222" s="27" t="n">
        <f aca="false">Assumptions!$M$63</f>
        <v>2</v>
      </c>
    </row>
    <row r="25223" customFormat="false" ht="15" hidden="false" customHeight="false" outlineLevel="0" collapsed="false">
      <c r="A25223" s="3" t="s">
        <v>563</v>
      </c>
      <c r="C25223" s="27" t="n">
        <f aca="false">Assumptions!$M$64</f>
        <v>2</v>
      </c>
    </row>
    <row r="25224" customFormat="false" ht="15" hidden="false" customHeight="false" outlineLevel="0" collapsed="false">
      <c r="A25224" s="3" t="s">
        <v>564</v>
      </c>
      <c r="C25224" s="27" t="n">
        <f aca="false">Assumptions!$M$65</f>
        <v>2</v>
      </c>
    </row>
    <row r="25225" customFormat="false" ht="15" hidden="false" customHeight="false" outlineLevel="0" collapsed="false">
      <c r="A25225" s="3" t="s">
        <v>565</v>
      </c>
      <c r="C25225" s="27" t="n">
        <f aca="false">Assumptions!$M$66</f>
        <v>3</v>
      </c>
    </row>
    <row r="25226" customFormat="false" ht="15" hidden="false" customHeight="false" outlineLevel="0" collapsed="false">
      <c r="A25226" s="24" t="s">
        <v>567</v>
      </c>
      <c r="B25226" s="25"/>
      <c r="C25226" s="25"/>
      <c r="D25226" s="25"/>
      <c r="E25226" s="25"/>
      <c r="F25226" s="25"/>
      <c r="G25226" s="25"/>
      <c r="H25226" s="25"/>
      <c r="I25226" s="25"/>
      <c r="J25226" s="25"/>
      <c r="K25226" s="25"/>
    </row>
    <row r="25227" customFormat="false" ht="15" hidden="false" customHeight="false" outlineLevel="0" collapsed="false">
      <c r="A25227" s="3" t="s">
        <v>556</v>
      </c>
      <c r="C25227" s="33" t="n">
        <f aca="false">Assumptions!$Q$57</f>
        <v>0.3</v>
      </c>
    </row>
    <row r="25228" customFormat="false" ht="15" hidden="false" customHeight="false" outlineLevel="0" collapsed="false">
      <c r="A25228" s="3" t="s">
        <v>557</v>
      </c>
      <c r="C25228" s="33" t="n">
        <f aca="false">Assumptions!$Q$58</f>
        <v>0.033</v>
      </c>
    </row>
    <row r="25229" customFormat="false" ht="15" hidden="false" customHeight="false" outlineLevel="0" collapsed="false">
      <c r="A25229" s="3" t="s">
        <v>558</v>
      </c>
      <c r="C25229" s="33" t="n">
        <f aca="false">Assumptions!$Q$59</f>
        <v>0.021</v>
      </c>
    </row>
    <row r="25230" customFormat="false" ht="15" hidden="false" customHeight="false" outlineLevel="0" collapsed="false">
      <c r="A25230" s="3" t="s">
        <v>559</v>
      </c>
      <c r="C25230" s="33" t="n">
        <f aca="false">Assumptions!$Q$60</f>
        <v>0</v>
      </c>
    </row>
    <row r="25231" customFormat="false" ht="15" hidden="false" customHeight="false" outlineLevel="0" collapsed="false">
      <c r="A25231" s="3" t="s">
        <v>560</v>
      </c>
      <c r="C25231" s="33" t="n">
        <f aca="false">Assumptions!$Q$61</f>
        <v>0</v>
      </c>
    </row>
    <row r="25232" customFormat="false" ht="15" hidden="false" customHeight="false" outlineLevel="0" collapsed="false">
      <c r="A25232" s="3" t="s">
        <v>561</v>
      </c>
      <c r="C25232" s="33" t="n">
        <f aca="false">Assumptions!$Q$62</f>
        <v>0</v>
      </c>
    </row>
    <row r="25233" customFormat="false" ht="15" hidden="false" customHeight="false" outlineLevel="0" collapsed="false">
      <c r="A25233" s="3" t="s">
        <v>562</v>
      </c>
      <c r="C25233" s="33" t="n">
        <f aca="false">Assumptions!$Q$63</f>
        <v>0</v>
      </c>
    </row>
    <row r="25234" customFormat="false" ht="15" hidden="false" customHeight="false" outlineLevel="0" collapsed="false">
      <c r="A25234" s="3" t="s">
        <v>563</v>
      </c>
      <c r="C25234" s="33" t="n">
        <f aca="false">Assumptions!$Q$64</f>
        <v>0</v>
      </c>
    </row>
    <row r="25235" customFormat="false" ht="15" hidden="false" customHeight="false" outlineLevel="0" collapsed="false">
      <c r="A25235" s="3" t="s">
        <v>564</v>
      </c>
      <c r="C25235" s="33" t="n">
        <f aca="false">Assumptions!$Q$65</f>
        <v>0</v>
      </c>
    </row>
    <row r="25236" customFormat="false" ht="15" hidden="false" customHeight="false" outlineLevel="0" collapsed="false">
      <c r="A25236" s="3" t="s">
        <v>565</v>
      </c>
      <c r="C25236" s="33" t="n">
        <f aca="false">Assumptions!$Q$66</f>
        <v>0</v>
      </c>
    </row>
    <row r="25237" customFormat="false" ht="15" hidden="false" customHeight="false" outlineLevel="0" collapsed="false">
      <c r="A25237" s="24" t="s">
        <v>568</v>
      </c>
      <c r="B25237" s="25"/>
      <c r="C25237" s="25"/>
      <c r="D25237" s="25"/>
      <c r="E25237" s="25"/>
      <c r="F25237" s="25"/>
      <c r="G25237" s="25"/>
      <c r="H25237" s="25"/>
      <c r="I25237" s="25"/>
      <c r="J25237" s="25"/>
      <c r="K25237" s="25"/>
    </row>
    <row r="25238" customFormat="false" ht="15" hidden="false" customHeight="false" outlineLevel="0" collapsed="false">
      <c r="A25238" s="3" t="s">
        <v>556</v>
      </c>
      <c r="C25238" s="16" t="n">
        <f aca="false">IF(C25227&gt;0,MIN(C25205,C25227*$C$25203),0)</f>
        <v>401.31</v>
      </c>
    </row>
    <row r="25239" customFormat="false" ht="15" hidden="false" customHeight="false" outlineLevel="0" collapsed="false">
      <c r="A25239" s="3" t="s">
        <v>557</v>
      </c>
      <c r="C25239" s="16" t="n">
        <f aca="false">IF(C25228&gt;0,MIN(C25206,C25228*$C$25203),0)</f>
        <v>91.30725</v>
      </c>
    </row>
    <row r="25240" customFormat="false" ht="15" hidden="false" customHeight="false" outlineLevel="0" collapsed="false">
      <c r="A25240" s="3" t="s">
        <v>558</v>
      </c>
      <c r="C25240" s="16" t="n">
        <f aca="false">IF(C25229&gt;0,MIN(C25207,C25229*$C$25203),0)</f>
        <v>58.3715961</v>
      </c>
    </row>
    <row r="25241" customFormat="false" ht="15" hidden="false" customHeight="false" outlineLevel="0" collapsed="false">
      <c r="A25241" s="3" t="s">
        <v>559</v>
      </c>
      <c r="C25241" s="16" t="n">
        <f aca="false">IF(C25230&gt;0,MIN(C25208,C25230*$C$25203),0)</f>
        <v>0</v>
      </c>
    </row>
    <row r="25242" customFormat="false" ht="15" hidden="false" customHeight="false" outlineLevel="0" collapsed="false">
      <c r="A25242" s="3" t="s">
        <v>560</v>
      </c>
      <c r="C25242" s="16" t="n">
        <f aca="false">IF(C25231&gt;0,MIN(C25209,C25231*$C$25203),0)</f>
        <v>0</v>
      </c>
    </row>
    <row r="25243" customFormat="false" ht="15" hidden="false" customHeight="false" outlineLevel="0" collapsed="false">
      <c r="A25243" s="3" t="s">
        <v>561</v>
      </c>
      <c r="C25243" s="16" t="n">
        <f aca="false">IF(C25232&gt;0,MIN(C25210,C25232*$C$25203),0)</f>
        <v>0</v>
      </c>
    </row>
    <row r="25244" customFormat="false" ht="15" hidden="false" customHeight="false" outlineLevel="0" collapsed="false">
      <c r="A25244" s="3" t="s">
        <v>562</v>
      </c>
      <c r="C25244" s="16" t="n">
        <f aca="false">IF(C25233&gt;0,MIN(C25211,C25233*$C$25203),0)</f>
        <v>0</v>
      </c>
    </row>
    <row r="25245" customFormat="false" ht="15" hidden="false" customHeight="false" outlineLevel="0" collapsed="false">
      <c r="A25245" s="3" t="s">
        <v>563</v>
      </c>
      <c r="C25245" s="16" t="n">
        <f aca="false">IF(C25234&gt;0,MIN(C25212,C25234*$C$25203),0)</f>
        <v>0</v>
      </c>
    </row>
    <row r="25246" customFormat="false" ht="15" hidden="false" customHeight="false" outlineLevel="0" collapsed="false">
      <c r="A25246" s="3" t="s">
        <v>564</v>
      </c>
      <c r="C25246" s="16" t="n">
        <f aca="false">IF(C25235&gt;0,MIN(C25213,C25235*$C$25203),0)</f>
        <v>0</v>
      </c>
    </row>
    <row r="25247" customFormat="false" ht="15" hidden="false" customHeight="false" outlineLevel="0" collapsed="false">
      <c r="A25247" s="3" t="s">
        <v>565</v>
      </c>
      <c r="C25247" s="16" t="n">
        <f aca="false">IF(C25236&gt;0,MIN(C25214,C25236*$C$25203),0)</f>
        <v>0</v>
      </c>
    </row>
    <row r="25248" customFormat="false" ht="15" hidden="false" customHeight="false" outlineLevel="0" collapsed="false">
      <c r="A25248" s="24" t="s">
        <v>569</v>
      </c>
      <c r="B25248" s="25"/>
      <c r="C25248" s="25"/>
      <c r="D25248" s="25"/>
      <c r="E25248" s="25"/>
      <c r="F25248" s="25"/>
      <c r="G25248" s="25"/>
      <c r="H25248" s="25"/>
      <c r="I25248" s="25"/>
      <c r="J25248" s="25"/>
      <c r="K25248" s="25"/>
    </row>
    <row r="25249" customFormat="false" ht="15" hidden="false" customHeight="false" outlineLevel="0" collapsed="false">
      <c r="A25249" s="3" t="s">
        <v>556</v>
      </c>
      <c r="C25249" s="16" t="n">
        <f aca="false">IF(C25227&gt;0,C25205-C25238,0)</f>
        <v>0</v>
      </c>
      <c r="G25249" s="21" t="n">
        <f aca="false">IF(AND(G24940=1,G24937=1),1,0)</f>
        <v>0</v>
      </c>
      <c r="H25249" s="21" t="n">
        <f aca="false">IF(G25249=1,1,IF(AND(H24940=1,H24937=1),1,0))</f>
        <v>0</v>
      </c>
      <c r="I25249" s="21" t="n">
        <f aca="false">IF(H25249=1,1,IF(AND(I24940=1,I24937=1),1,0))</f>
        <v>0</v>
      </c>
      <c r="J25249" s="21" t="n">
        <f aca="false">IF(I25249=1,1,IF(AND(J24940=1,J24937=1),1,0))</f>
        <v>0</v>
      </c>
      <c r="K25249" s="21" t="n">
        <f aca="false">IF(J25249=1,1,IF(AND(K24940=1,K24937=1),1,0))</f>
        <v>0</v>
      </c>
    </row>
    <row r="25250" customFormat="false" ht="15" hidden="false" customHeight="false" outlineLevel="0" collapsed="false">
      <c r="A25250" s="3" t="s">
        <v>557</v>
      </c>
      <c r="C25250" s="16" t="n">
        <f aca="false">IF(C25228&gt;0,C25206-C25239,0)</f>
        <v>0</v>
      </c>
      <c r="G25250" s="21" t="n">
        <f aca="false">IF(AND(G24953=1,G24937=1),1,0)</f>
        <v>0</v>
      </c>
      <c r="H25250" s="21" t="n">
        <f aca="false">IF(G25250=1,1,IF(AND(H24953=1,H24937=1),1,0))</f>
        <v>0</v>
      </c>
      <c r="I25250" s="21" t="n">
        <f aca="false">IF(H25250=1,1,IF(AND(I24953=1,I24937=1),1,0))</f>
        <v>0</v>
      </c>
      <c r="J25250" s="21" t="n">
        <f aca="false">IF(I25250=1,1,IF(AND(J24953=1,J24937=1),1,0))</f>
        <v>0</v>
      </c>
      <c r="K25250" s="21" t="n">
        <f aca="false">IF(J25250=1,1,IF(AND(K24953=1,K24937=1),1,0))</f>
        <v>0</v>
      </c>
    </row>
    <row r="25251" customFormat="false" ht="15" hidden="false" customHeight="false" outlineLevel="0" collapsed="false">
      <c r="A25251" s="3" t="s">
        <v>558</v>
      </c>
      <c r="C25251" s="16" t="n">
        <f aca="false">IF(C25229&gt;0,C25207-C25240,0)</f>
        <v>0</v>
      </c>
      <c r="G25251" s="21" t="n">
        <f aca="false">IF(AND(G24966=1,G24937=1),1,0)</f>
        <v>0</v>
      </c>
      <c r="H25251" s="21" t="n">
        <f aca="false">IF(G25251=1,1,IF(AND(H24966=1,H24937=1),1,0))</f>
        <v>0</v>
      </c>
      <c r="I25251" s="21" t="n">
        <f aca="false">IF(H25251=1,1,IF(AND(I24966=1,I24937=1),1,0))</f>
        <v>0</v>
      </c>
      <c r="J25251" s="21" t="n">
        <f aca="false">IF(I25251=1,1,IF(AND(J24966=1,J24937=1),1,0))</f>
        <v>0</v>
      </c>
      <c r="K25251" s="21" t="n">
        <f aca="false">IF(J25251=1,1,IF(AND(K24966=1,K24937=1),1,0))</f>
        <v>0</v>
      </c>
    </row>
    <row r="25252" customFormat="false" ht="15" hidden="false" customHeight="false" outlineLevel="0" collapsed="false">
      <c r="A25252" s="3" t="s">
        <v>559</v>
      </c>
      <c r="C25252" s="16" t="n">
        <f aca="false">IF(C25230&gt;0,C25208-C25241,0)</f>
        <v>0</v>
      </c>
      <c r="G25252" s="21" t="n">
        <f aca="false">IF(AND(G24979=1,G24937=1),1,0)</f>
        <v>0</v>
      </c>
      <c r="H25252" s="21" t="n">
        <f aca="false">IF(G25252=1,1,IF(AND(H24979=1,H24937=1),1,0))</f>
        <v>0</v>
      </c>
      <c r="I25252" s="21" t="n">
        <f aca="false">IF(H25252=1,1,IF(AND(I24979=1,I24937=1),1,0))</f>
        <v>0</v>
      </c>
      <c r="J25252" s="21" t="n">
        <f aca="false">IF(I25252=1,1,IF(AND(J24979=1,J24937=1),1,0))</f>
        <v>0</v>
      </c>
      <c r="K25252" s="21" t="n">
        <f aca="false">IF(J25252=1,1,IF(AND(K24979=1,K24937=1),1,0))</f>
        <v>0</v>
      </c>
    </row>
    <row r="25253" customFormat="false" ht="15" hidden="false" customHeight="false" outlineLevel="0" collapsed="false">
      <c r="A25253" s="3" t="s">
        <v>560</v>
      </c>
      <c r="C25253" s="16" t="n">
        <f aca="false">IF(C25231&gt;0,C25209-C25242,0)</f>
        <v>0</v>
      </c>
      <c r="G25253" s="21" t="n">
        <f aca="false">IF(AND(G24992=1,G24937=1),1,0)</f>
        <v>0</v>
      </c>
      <c r="H25253" s="21" t="n">
        <f aca="false">IF(G25253=1,1,IF(AND(H24992=1,H24937=1),1,0))</f>
        <v>0</v>
      </c>
      <c r="I25253" s="21" t="n">
        <f aca="false">IF(H25253=1,1,IF(AND(I24992=1,I24937=1),1,0))</f>
        <v>0</v>
      </c>
      <c r="J25253" s="21" t="n">
        <f aca="false">IF(I25253=1,1,IF(AND(J24992=1,J24937=1),1,0))</f>
        <v>0</v>
      </c>
      <c r="K25253" s="21" t="n">
        <f aca="false">IF(J25253=1,1,IF(AND(K24992=1,K24937=1),1,0))</f>
        <v>0</v>
      </c>
    </row>
    <row r="25254" customFormat="false" ht="15" hidden="false" customHeight="false" outlineLevel="0" collapsed="false">
      <c r="A25254" s="3" t="s">
        <v>561</v>
      </c>
      <c r="C25254" s="16" t="n">
        <f aca="false">IF(C25232&gt;0,C25210-C25243,0)</f>
        <v>0</v>
      </c>
      <c r="G25254" s="21" t="n">
        <f aca="false">IF(AND(G25005=1,G24937=1),1,0)</f>
        <v>0</v>
      </c>
      <c r="H25254" s="21" t="n">
        <f aca="false">IF(G25254=1,1,IF(AND(H25005=1,H24937=1),1,0))</f>
        <v>0</v>
      </c>
      <c r="I25254" s="21" t="n">
        <f aca="false">IF(H25254=1,1,IF(AND(I25005=1,I24937=1),1,0))</f>
        <v>0</v>
      </c>
      <c r="J25254" s="21" t="n">
        <f aca="false">IF(I25254=1,1,IF(AND(J25005=1,J24937=1),1,0))</f>
        <v>0</v>
      </c>
      <c r="K25254" s="21" t="n">
        <f aca="false">IF(J25254=1,1,IF(AND(K25005=1,K24937=1),1,0))</f>
        <v>0</v>
      </c>
    </row>
    <row r="25255" customFormat="false" ht="15" hidden="false" customHeight="false" outlineLevel="0" collapsed="false">
      <c r="A25255" s="3" t="s">
        <v>562</v>
      </c>
      <c r="C25255" s="16" t="n">
        <f aca="false">IF(C25233&gt;0,C25211-C25244,0)</f>
        <v>0</v>
      </c>
      <c r="G25255" s="21" t="n">
        <f aca="false">IF(AND(G25018=1,G24937=1),1,0)</f>
        <v>0</v>
      </c>
      <c r="H25255" s="21" t="n">
        <f aca="false">IF(G25255=1,1,IF(AND(H25018=1,H24937=1),1,0))</f>
        <v>0</v>
      </c>
      <c r="I25255" s="21" t="n">
        <f aca="false">IF(H25255=1,1,IF(AND(I25018=1,I24937=1),1,0))</f>
        <v>0</v>
      </c>
      <c r="J25255" s="21" t="n">
        <f aca="false">IF(I25255=1,1,IF(AND(J25018=1,J24937=1),1,0))</f>
        <v>0</v>
      </c>
      <c r="K25255" s="21" t="n">
        <f aca="false">IF(J25255=1,1,IF(AND(K25018=1,K24937=1),1,0))</f>
        <v>0</v>
      </c>
    </row>
    <row r="25256" customFormat="false" ht="15" hidden="false" customHeight="false" outlineLevel="0" collapsed="false">
      <c r="A25256" s="3" t="s">
        <v>563</v>
      </c>
      <c r="C25256" s="16" t="n">
        <f aca="false">IF(C25234&gt;0,C25212-C25245,0)</f>
        <v>0</v>
      </c>
      <c r="G25256" s="21" t="n">
        <f aca="false">IF(AND(G25031=1,G24937=1),1,0)</f>
        <v>0</v>
      </c>
      <c r="H25256" s="21" t="n">
        <f aca="false">IF(G25256=1,1,IF(AND(H25031=1,H24937=1),1,0))</f>
        <v>0</v>
      </c>
      <c r="I25256" s="21" t="n">
        <f aca="false">IF(H25256=1,1,IF(AND(I25031=1,I24937=1),1,0))</f>
        <v>0</v>
      </c>
      <c r="J25256" s="21" t="n">
        <f aca="false">IF(I25256=1,1,IF(AND(J25031=1,J24937=1),1,0))</f>
        <v>0</v>
      </c>
      <c r="K25256" s="21" t="n">
        <f aca="false">IF(J25256=1,1,IF(AND(K25031=1,K24937=1),1,0))</f>
        <v>0</v>
      </c>
    </row>
    <row r="25257" customFormat="false" ht="15" hidden="false" customHeight="false" outlineLevel="0" collapsed="false">
      <c r="A25257" s="3" t="s">
        <v>564</v>
      </c>
      <c r="C25257" s="16" t="n">
        <f aca="false">IF(C25235&gt;0,C25213-C25246,0)</f>
        <v>0</v>
      </c>
      <c r="G25257" s="21" t="n">
        <f aca="false">IF(AND(G25044=1,G24937=1),1,0)</f>
        <v>0</v>
      </c>
      <c r="H25257" s="21" t="n">
        <f aca="false">IF(G25257=1,1,IF(AND(H25044=1,H24937=1),1,0))</f>
        <v>0</v>
      </c>
      <c r="I25257" s="21" t="n">
        <f aca="false">IF(H25257=1,1,IF(AND(I25044=1,I24937=1),1,0))</f>
        <v>0</v>
      </c>
      <c r="J25257" s="21" t="n">
        <f aca="false">IF(I25257=1,1,IF(AND(J25044=1,J24937=1),1,0))</f>
        <v>0</v>
      </c>
      <c r="K25257" s="21" t="n">
        <f aca="false">IF(J25257=1,1,IF(AND(K25044=1,K24937=1),1,0))</f>
        <v>0</v>
      </c>
    </row>
    <row r="25258" customFormat="false" ht="15" hidden="false" customHeight="false" outlineLevel="0" collapsed="false">
      <c r="A25258" s="3" t="s">
        <v>565</v>
      </c>
      <c r="C25258" s="16" t="n">
        <f aca="false">IF(C25236&gt;0,C25214-C25247,0)</f>
        <v>0</v>
      </c>
      <c r="G25258" s="21" t="n">
        <f aca="false">IF(AND(G25057=1,G24937=1),1,0)</f>
        <v>0</v>
      </c>
      <c r="H25258" s="21" t="n">
        <f aca="false">IF(G25258=1,1,IF(AND(H25057=1,H24937=1),1,0))</f>
        <v>0</v>
      </c>
      <c r="I25258" s="21" t="n">
        <f aca="false">IF(H25258=1,1,IF(AND(I25057=1,I24937=1),1,0))</f>
        <v>0</v>
      </c>
      <c r="J25258" s="21" t="n">
        <f aca="false">IF(I25258=1,1,IF(AND(J25057=1,J24937=1),1,0))</f>
        <v>0</v>
      </c>
      <c r="K25258" s="21" t="n">
        <f aca="false">IF(J25258=1,1,IF(AND(K25057=1,K24937=1),1,0))</f>
        <v>0</v>
      </c>
    </row>
    <row r="25259" customFormat="false" ht="15" hidden="false" customHeight="false" outlineLevel="0" collapsed="false">
      <c r="A25259" s="24" t="s">
        <v>570</v>
      </c>
      <c r="B25259" s="25"/>
      <c r="C25259" s="25"/>
      <c r="D25259" s="25"/>
      <c r="E25259" s="25"/>
      <c r="F25259" s="25"/>
      <c r="G25259" s="25"/>
      <c r="H25259" s="25"/>
      <c r="I25259" s="25"/>
      <c r="J25259" s="25"/>
      <c r="K25259" s="25"/>
    </row>
    <row r="25260" customFormat="false" ht="15" hidden="false" customHeight="false" outlineLevel="0" collapsed="false">
      <c r="A25260" s="3" t="s">
        <v>556</v>
      </c>
      <c r="C25260" s="16" t="n">
        <f aca="false">IF(C25227&gt;0,C25249,C25205)</f>
        <v>0</v>
      </c>
    </row>
    <row r="25261" customFormat="false" ht="15" hidden="false" customHeight="false" outlineLevel="0" collapsed="false">
      <c r="A25261" s="3" t="s">
        <v>557</v>
      </c>
      <c r="C25261" s="16" t="n">
        <f aca="false">IF(C25228&gt;0,C25250,C25206)</f>
        <v>0</v>
      </c>
    </row>
    <row r="25262" customFormat="false" ht="15" hidden="false" customHeight="false" outlineLevel="0" collapsed="false">
      <c r="A25262" s="3" t="s">
        <v>558</v>
      </c>
      <c r="C25262" s="16" t="n">
        <f aca="false">IF(C25229&gt;0,C25251,C25207)</f>
        <v>0</v>
      </c>
    </row>
    <row r="25263" customFormat="false" ht="15" hidden="false" customHeight="false" outlineLevel="0" collapsed="false">
      <c r="A25263" s="3" t="s">
        <v>559</v>
      </c>
      <c r="C25263" s="16" t="n">
        <f aca="false">IF(C25230&gt;0,C25252,C25208)</f>
        <v>0</v>
      </c>
    </row>
    <row r="25264" customFormat="false" ht="15" hidden="false" customHeight="false" outlineLevel="0" collapsed="false">
      <c r="A25264" s="3" t="s">
        <v>560</v>
      </c>
      <c r="C25264" s="16" t="n">
        <f aca="false">IF(C25231&gt;0,C25253,C25209)</f>
        <v>395.784310190075</v>
      </c>
    </row>
    <row r="25265" customFormat="false" ht="15" hidden="false" customHeight="false" outlineLevel="0" collapsed="false">
      <c r="A25265" s="3" t="s">
        <v>561</v>
      </c>
      <c r="C25265" s="16" t="n">
        <f aca="false">IF(C25232&gt;0,C25254,C25210)</f>
        <v>357.2625</v>
      </c>
    </row>
    <row r="25266" customFormat="false" ht="15" hidden="false" customHeight="false" outlineLevel="0" collapsed="false">
      <c r="A25266" s="3" t="s">
        <v>562</v>
      </c>
      <c r="C25266" s="16" t="n">
        <f aca="false">IF(C25233&gt;0,C25255,C25211)</f>
        <v>562.203125</v>
      </c>
    </row>
    <row r="25267" customFormat="false" ht="15" hidden="false" customHeight="false" outlineLevel="0" collapsed="false">
      <c r="A25267" s="3" t="s">
        <v>563</v>
      </c>
      <c r="C25267" s="16" t="n">
        <f aca="false">IF(C25234&gt;0,C25256,C25212)</f>
        <v>353.98125</v>
      </c>
    </row>
    <row r="25268" customFormat="false" ht="15" hidden="false" customHeight="false" outlineLevel="0" collapsed="false">
      <c r="A25268" s="3" t="s">
        <v>564</v>
      </c>
      <c r="C25268" s="16" t="n">
        <f aca="false">IF(C25235&gt;0,C25257,C25213)</f>
        <v>304.59375</v>
      </c>
    </row>
    <row r="25269" customFormat="false" ht="15" hidden="false" customHeight="false" outlineLevel="0" collapsed="false">
      <c r="A25269" s="3" t="s">
        <v>565</v>
      </c>
      <c r="C25269" s="16" t="n">
        <f aca="false">IF(C25236&gt;0,C25258,C25214)</f>
        <v>79.741984</v>
      </c>
    </row>
    <row r="25270" customFormat="false" ht="15" hidden="false" customHeight="false" outlineLevel="0" collapsed="false">
      <c r="A25270" s="24" t="s">
        <v>571</v>
      </c>
      <c r="B25270" s="25"/>
      <c r="C25270" s="25"/>
      <c r="D25270" s="25"/>
      <c r="E25270" s="25"/>
      <c r="F25270" s="25"/>
      <c r="G25270" s="25"/>
      <c r="H25270" s="25"/>
      <c r="I25270" s="25"/>
      <c r="J25270" s="25"/>
      <c r="K25270" s="25"/>
    </row>
    <row r="25271" customFormat="false" ht="15" hidden="false" customHeight="false" outlineLevel="0" collapsed="false">
      <c r="A25271" s="3" t="s">
        <v>556</v>
      </c>
      <c r="C25271" s="21" t="n">
        <f aca="false">IF(C25227&gt;0,Assumptions!$C$17,C25216)</f>
        <v>99</v>
      </c>
    </row>
    <row r="25272" customFormat="false" ht="15" hidden="false" customHeight="false" outlineLevel="0" collapsed="false">
      <c r="A25272" s="3" t="s">
        <v>557</v>
      </c>
      <c r="C25272" s="21" t="n">
        <f aca="false">IF(C25228&gt;0,Assumptions!$C$17,C25217)</f>
        <v>99</v>
      </c>
    </row>
    <row r="25273" customFormat="false" ht="15" hidden="false" customHeight="false" outlineLevel="0" collapsed="false">
      <c r="A25273" s="3" t="s">
        <v>558</v>
      </c>
      <c r="C25273" s="21" t="n">
        <f aca="false">IF(C25229&gt;0,Assumptions!$C$17,C25218)</f>
        <v>99</v>
      </c>
    </row>
    <row r="25274" customFormat="false" ht="15" hidden="false" customHeight="false" outlineLevel="0" collapsed="false">
      <c r="A25274" s="3" t="s">
        <v>559</v>
      </c>
      <c r="C25274" s="21" t="n">
        <f aca="false">IF(C25230&gt;0,Assumptions!$C$17,C25219)</f>
        <v>2</v>
      </c>
    </row>
    <row r="25275" customFormat="false" ht="15" hidden="false" customHeight="false" outlineLevel="0" collapsed="false">
      <c r="A25275" s="3" t="s">
        <v>560</v>
      </c>
      <c r="C25275" s="21" t="n">
        <f aca="false">IF(C25231&gt;0,Assumptions!$C$17,C25220)</f>
        <v>2</v>
      </c>
    </row>
    <row r="25276" customFormat="false" ht="15" hidden="false" customHeight="false" outlineLevel="0" collapsed="false">
      <c r="A25276" s="3" t="s">
        <v>561</v>
      </c>
      <c r="C25276" s="21" t="n">
        <f aca="false">IF(C25232&gt;0,Assumptions!$C$17,C25221)</f>
        <v>2</v>
      </c>
    </row>
    <row r="25277" customFormat="false" ht="15" hidden="false" customHeight="false" outlineLevel="0" collapsed="false">
      <c r="A25277" s="3" t="s">
        <v>562</v>
      </c>
      <c r="C25277" s="21" t="n">
        <f aca="false">IF(C25233&gt;0,Assumptions!$C$17,C25222)</f>
        <v>2</v>
      </c>
    </row>
    <row r="25278" customFormat="false" ht="15" hidden="false" customHeight="false" outlineLevel="0" collapsed="false">
      <c r="A25278" s="3" t="s">
        <v>563</v>
      </c>
      <c r="C25278" s="21" t="n">
        <f aca="false">IF(C25234&gt;0,Assumptions!$C$17,C25223)</f>
        <v>2</v>
      </c>
    </row>
    <row r="25279" customFormat="false" ht="15" hidden="false" customHeight="false" outlineLevel="0" collapsed="false">
      <c r="A25279" s="3" t="s">
        <v>564</v>
      </c>
      <c r="C25279" s="21" t="n">
        <f aca="false">IF(C25235&gt;0,Assumptions!$C$17,C25224)</f>
        <v>2</v>
      </c>
    </row>
    <row r="25280" customFormat="false" ht="15" hidden="false" customHeight="false" outlineLevel="0" collapsed="false">
      <c r="A25280" s="3" t="s">
        <v>565</v>
      </c>
      <c r="C25280" s="21" t="n">
        <f aca="false">IF(C25236&gt;0,Assumptions!$C$17,C25225)</f>
        <v>3</v>
      </c>
    </row>
    <row r="25281" customFormat="false" ht="15" hidden="false" customHeight="false" outlineLevel="0" collapsed="false">
      <c r="A25281" s="24" t="s">
        <v>572</v>
      </c>
      <c r="B25281" s="25"/>
      <c r="C25281" s="25"/>
      <c r="D25281" s="25"/>
      <c r="E25281" s="25"/>
      <c r="F25281" s="25"/>
      <c r="G25281" s="25"/>
      <c r="H25281" s="25"/>
      <c r="I25281" s="25"/>
      <c r="J25281" s="25"/>
      <c r="K25281" s="25"/>
    </row>
    <row r="25282" customFormat="false" ht="15" hidden="false" customHeight="false" outlineLevel="0" collapsed="false">
      <c r="A25282" s="3" t="s">
        <v>556</v>
      </c>
      <c r="C25282" s="16" t="n">
        <f aca="false">SUMPRODUCT(($C$25271:$C$25280&lt;C25271)*$C$25260:$C$25269)</f>
        <v>2053.56691919007</v>
      </c>
    </row>
    <row r="25283" customFormat="false" ht="15" hidden="false" customHeight="false" outlineLevel="0" collapsed="false">
      <c r="A25283" s="3" t="s">
        <v>557</v>
      </c>
      <c r="C25283" s="16" t="n">
        <f aca="false">SUMPRODUCT(($C$25271:$C$25280&lt;C25272)*$C$25260:$C$25269)</f>
        <v>2053.56691919007</v>
      </c>
    </row>
    <row r="25284" customFormat="false" ht="15" hidden="false" customHeight="false" outlineLevel="0" collapsed="false">
      <c r="A25284" s="3" t="s">
        <v>558</v>
      </c>
      <c r="C25284" s="16" t="n">
        <f aca="false">SUMPRODUCT(($C$25271:$C$25280&lt;C25273)*$C$25260:$C$25269)</f>
        <v>2053.56691919007</v>
      </c>
    </row>
    <row r="25285" customFormat="false" ht="15" hidden="false" customHeight="false" outlineLevel="0" collapsed="false">
      <c r="A25285" s="3" t="s">
        <v>559</v>
      </c>
      <c r="C25285" s="16" t="n">
        <f aca="false">SUMPRODUCT(($C$25271:$C$25280&lt;C25274)*$C$25260:$C$25269)</f>
        <v>0</v>
      </c>
    </row>
    <row r="25286" customFormat="false" ht="15" hidden="false" customHeight="false" outlineLevel="0" collapsed="false">
      <c r="A25286" s="3" t="s">
        <v>560</v>
      </c>
      <c r="C25286" s="16" t="n">
        <f aca="false">SUMPRODUCT(($C$25271:$C$25280&lt;C25275)*$C$25260:$C$25269)</f>
        <v>0</v>
      </c>
    </row>
    <row r="25287" customFormat="false" ht="15" hidden="false" customHeight="false" outlineLevel="0" collapsed="false">
      <c r="A25287" s="3" t="s">
        <v>561</v>
      </c>
      <c r="C25287" s="16" t="n">
        <f aca="false">SUMPRODUCT(($C$25271:$C$25280&lt;C25276)*$C$25260:$C$25269)</f>
        <v>0</v>
      </c>
    </row>
    <row r="25288" customFormat="false" ht="15" hidden="false" customHeight="false" outlineLevel="0" collapsed="false">
      <c r="A25288" s="3" t="s">
        <v>562</v>
      </c>
      <c r="C25288" s="16" t="n">
        <f aca="false">SUMPRODUCT(($C$25271:$C$25280&lt;C25277)*$C$25260:$C$25269)</f>
        <v>0</v>
      </c>
    </row>
    <row r="25289" customFormat="false" ht="15" hidden="false" customHeight="false" outlineLevel="0" collapsed="false">
      <c r="A25289" s="3" t="s">
        <v>563</v>
      </c>
      <c r="C25289" s="16" t="n">
        <f aca="false">SUMPRODUCT(($C$25271:$C$25280&lt;C25278)*$C$25260:$C$25269)</f>
        <v>0</v>
      </c>
    </row>
    <row r="25290" customFormat="false" ht="15" hidden="false" customHeight="false" outlineLevel="0" collapsed="false">
      <c r="A25290" s="3" t="s">
        <v>564</v>
      </c>
      <c r="C25290" s="16" t="n">
        <f aca="false">SUMPRODUCT(($C$25271:$C$25280&lt;C25279)*$C$25260:$C$25269)</f>
        <v>0</v>
      </c>
    </row>
    <row r="25291" customFormat="false" ht="15" hidden="false" customHeight="false" outlineLevel="0" collapsed="false">
      <c r="A25291" s="3" t="s">
        <v>565</v>
      </c>
      <c r="C25291" s="16" t="n">
        <f aca="false">SUMPRODUCT(($C$25271:$C$25280&lt;C25280)*$C$25260:$C$25269)</f>
        <v>1973.82493519008</v>
      </c>
    </row>
    <row r="25292" customFormat="false" ht="15" hidden="false" customHeight="false" outlineLevel="0" collapsed="false">
      <c r="A25292" s="24" t="s">
        <v>573</v>
      </c>
      <c r="B25292" s="25"/>
      <c r="C25292" s="25"/>
      <c r="D25292" s="25"/>
      <c r="E25292" s="25"/>
      <c r="F25292" s="25"/>
      <c r="G25292" s="25"/>
      <c r="H25292" s="25"/>
      <c r="I25292" s="25"/>
      <c r="J25292" s="25"/>
      <c r="K25292" s="25"/>
    </row>
    <row r="25293" customFormat="false" ht="15" hidden="false" customHeight="false" outlineLevel="0" collapsed="false">
      <c r="A25293" s="3" t="s">
        <v>556</v>
      </c>
      <c r="C25293" s="16" t="n">
        <f aca="false">SUMPRODUCT(($C$25271:$C$25280=C25271)*$C$25260:$C$25269)</f>
        <v>0</v>
      </c>
    </row>
    <row r="25294" customFormat="false" ht="15" hidden="false" customHeight="false" outlineLevel="0" collapsed="false">
      <c r="A25294" s="3" t="s">
        <v>557</v>
      </c>
      <c r="C25294" s="16" t="n">
        <f aca="false">SUMPRODUCT(($C$25271:$C$25280=C25272)*$C$25260:$C$25269)</f>
        <v>0</v>
      </c>
    </row>
    <row r="25295" customFormat="false" ht="15" hidden="false" customHeight="false" outlineLevel="0" collapsed="false">
      <c r="A25295" s="3" t="s">
        <v>558</v>
      </c>
      <c r="C25295" s="16" t="n">
        <f aca="false">SUMPRODUCT(($C$25271:$C$25280=C25273)*$C$25260:$C$25269)</f>
        <v>0</v>
      </c>
    </row>
    <row r="25296" customFormat="false" ht="15" hidden="false" customHeight="false" outlineLevel="0" collapsed="false">
      <c r="A25296" s="3" t="s">
        <v>559</v>
      </c>
      <c r="C25296" s="16" t="n">
        <f aca="false">SUMPRODUCT(($C$25271:$C$25280=C25274)*$C$25260:$C$25269)</f>
        <v>1973.82493519008</v>
      </c>
    </row>
    <row r="25297" customFormat="false" ht="15" hidden="false" customHeight="false" outlineLevel="0" collapsed="false">
      <c r="A25297" s="3" t="s">
        <v>560</v>
      </c>
      <c r="C25297" s="16" t="n">
        <f aca="false">SUMPRODUCT(($C$25271:$C$25280=C25275)*$C$25260:$C$25269)</f>
        <v>1973.82493519008</v>
      </c>
    </row>
    <row r="25298" customFormat="false" ht="15" hidden="false" customHeight="false" outlineLevel="0" collapsed="false">
      <c r="A25298" s="3" t="s">
        <v>561</v>
      </c>
      <c r="C25298" s="16" t="n">
        <f aca="false">SUMPRODUCT(($C$25271:$C$25280=C25276)*$C$25260:$C$25269)</f>
        <v>1973.82493519008</v>
      </c>
    </row>
    <row r="25299" customFormat="false" ht="15" hidden="false" customHeight="false" outlineLevel="0" collapsed="false">
      <c r="A25299" s="3" t="s">
        <v>562</v>
      </c>
      <c r="C25299" s="16" t="n">
        <f aca="false">SUMPRODUCT(($C$25271:$C$25280=C25277)*$C$25260:$C$25269)</f>
        <v>1973.82493519008</v>
      </c>
    </row>
    <row r="25300" customFormat="false" ht="15" hidden="false" customHeight="false" outlineLevel="0" collapsed="false">
      <c r="A25300" s="3" t="s">
        <v>563</v>
      </c>
      <c r="C25300" s="16" t="n">
        <f aca="false">SUMPRODUCT(($C$25271:$C$25280=C25278)*$C$25260:$C$25269)</f>
        <v>1973.82493519008</v>
      </c>
    </row>
    <row r="25301" customFormat="false" ht="15" hidden="false" customHeight="false" outlineLevel="0" collapsed="false">
      <c r="A25301" s="3" t="s">
        <v>564</v>
      </c>
      <c r="C25301" s="16" t="n">
        <f aca="false">SUMPRODUCT(($C$25271:$C$25280=C25279)*$C$25260:$C$25269)</f>
        <v>1973.82493519008</v>
      </c>
    </row>
    <row r="25302" customFormat="false" ht="15" hidden="false" customHeight="false" outlineLevel="0" collapsed="false">
      <c r="A25302" s="3" t="s">
        <v>565</v>
      </c>
      <c r="C25302" s="16" t="n">
        <f aca="false">SUMPRODUCT(($C$25271:$C$25280=C25280)*$C$25260:$C$25269)</f>
        <v>79.741984</v>
      </c>
    </row>
    <row r="25303" customFormat="false" ht="15" hidden="false" customHeight="false" outlineLevel="0" collapsed="false">
      <c r="A25303" s="24" t="s">
        <v>574</v>
      </c>
      <c r="B25303" s="25"/>
      <c r="C25303" s="25"/>
      <c r="D25303" s="25"/>
      <c r="E25303" s="25"/>
      <c r="F25303" s="25"/>
      <c r="G25303" s="25"/>
      <c r="H25303" s="25"/>
      <c r="I25303" s="25"/>
      <c r="J25303" s="25"/>
      <c r="K25303" s="25"/>
    </row>
    <row r="25304" customFormat="false" ht="15" hidden="false" customHeight="false" outlineLevel="0" collapsed="false">
      <c r="A25304" s="3" t="s">
        <v>556</v>
      </c>
      <c r="C25304" s="16" t="n">
        <f aca="false">IF(C25293=0,0,C25260/C25293*MAX(0,MIN(C25293,$C$25203-SUM($C$25238:$C$25247)-C25282)))</f>
        <v>0</v>
      </c>
    </row>
    <row r="25305" customFormat="false" ht="15" hidden="false" customHeight="false" outlineLevel="0" collapsed="false">
      <c r="A25305" s="3" t="s">
        <v>557</v>
      </c>
      <c r="C25305" s="16" t="n">
        <f aca="false">IF(C25294=0,0,C25261/C25294*MAX(0,MIN(C25294,$C$25203-SUM($C$25238:$C$25247)-C25283)))</f>
        <v>0</v>
      </c>
    </row>
    <row r="25306" customFormat="false" ht="15" hidden="false" customHeight="false" outlineLevel="0" collapsed="false">
      <c r="A25306" s="3" t="s">
        <v>558</v>
      </c>
      <c r="C25306" s="16" t="n">
        <f aca="false">IF(C25295=0,0,C25262/C25295*MAX(0,MIN(C25295,$C$25203-SUM($C$25238:$C$25247)-C25284)))</f>
        <v>0</v>
      </c>
    </row>
    <row r="25307" customFormat="false" ht="15" hidden="false" customHeight="false" outlineLevel="0" collapsed="false">
      <c r="A25307" s="3" t="s">
        <v>559</v>
      </c>
      <c r="C25307" s="16" t="n">
        <f aca="false">IF(C25296=0,0,C25263/C25296*MAX(0,MIN(C25296,$C$25203-SUM($C$25238:$C$25247)-C25285)))</f>
        <v>0</v>
      </c>
    </row>
    <row r="25308" customFormat="false" ht="15" hidden="false" customHeight="false" outlineLevel="0" collapsed="false">
      <c r="A25308" s="3" t="s">
        <v>560</v>
      </c>
      <c r="C25308" s="16" t="n">
        <f aca="false">IF(C25297=0,0,C25264/C25297*MAX(0,MIN(C25297,$C$25203-SUM($C$25238:$C$25247)-C25286)))</f>
        <v>395.784310190075</v>
      </c>
    </row>
    <row r="25309" customFormat="false" ht="15" hidden="false" customHeight="false" outlineLevel="0" collapsed="false">
      <c r="A25309" s="3" t="s">
        <v>561</v>
      </c>
      <c r="C25309" s="16" t="n">
        <f aca="false">IF(C25298=0,0,C25265/C25298*MAX(0,MIN(C25298,$C$25203-SUM($C$25238:$C$25247)-C25287)))</f>
        <v>357.2625</v>
      </c>
    </row>
    <row r="25310" customFormat="false" ht="15" hidden="false" customHeight="false" outlineLevel="0" collapsed="false">
      <c r="A25310" s="3" t="s">
        <v>562</v>
      </c>
      <c r="C25310" s="16" t="n">
        <f aca="false">IF(C25299=0,0,C25266/C25299*MAX(0,MIN(C25299,$C$25203-SUM($C$25238:$C$25247)-C25288)))</f>
        <v>562.203125</v>
      </c>
    </row>
    <row r="25311" customFormat="false" ht="15" hidden="false" customHeight="false" outlineLevel="0" collapsed="false">
      <c r="A25311" s="3" t="s">
        <v>563</v>
      </c>
      <c r="C25311" s="16" t="n">
        <f aca="false">IF(C25300=0,0,C25267/C25300*MAX(0,MIN(C25300,$C$25203-SUM($C$25238:$C$25247)-C25289)))</f>
        <v>353.98125</v>
      </c>
    </row>
    <row r="25312" customFormat="false" ht="15" hidden="false" customHeight="false" outlineLevel="0" collapsed="false">
      <c r="A25312" s="3" t="s">
        <v>564</v>
      </c>
      <c r="C25312" s="16" t="n">
        <f aca="false">IF(C25301=0,0,C25268/C25301*MAX(0,MIN(C25301,$C$25203-SUM($C$25238:$C$25247)-C25290)))</f>
        <v>304.59375</v>
      </c>
    </row>
    <row r="25313" customFormat="false" ht="15" hidden="false" customHeight="false" outlineLevel="0" collapsed="false">
      <c r="A25313" s="3" t="s">
        <v>565</v>
      </c>
      <c r="C25313" s="16" t="n">
        <f aca="false">IF(C25302=0,0,C25269/C25302*MAX(0,MIN(C25302,$C$25203-SUM($C$25238:$C$25247)-C25291)))</f>
        <v>79.741984</v>
      </c>
    </row>
    <row r="25314" customFormat="false" ht="15" hidden="false" customHeight="false" outlineLevel="0" collapsed="false">
      <c r="A25314" s="24" t="s">
        <v>575</v>
      </c>
      <c r="B25314" s="25"/>
      <c r="C25314" s="25"/>
      <c r="D25314" s="25"/>
      <c r="E25314" s="25"/>
      <c r="F25314" s="25"/>
      <c r="G25314" s="25"/>
      <c r="H25314" s="25"/>
      <c r="I25314" s="25"/>
      <c r="J25314" s="25"/>
      <c r="K25314" s="25"/>
    </row>
    <row r="25315" customFormat="false" ht="15" hidden="false" customHeight="false" outlineLevel="0" collapsed="false">
      <c r="A25315" s="2" t="s">
        <v>556</v>
      </c>
      <c r="C25315" s="17" t="n">
        <f aca="false">C25238+C25304</f>
        <v>401.31</v>
      </c>
    </row>
    <row r="25316" customFormat="false" ht="15" hidden="false" customHeight="false" outlineLevel="0" collapsed="false">
      <c r="A25316" s="2" t="s">
        <v>557</v>
      </c>
      <c r="C25316" s="17" t="n">
        <f aca="false">C25239+C25305</f>
        <v>91.30725</v>
      </c>
    </row>
    <row r="25317" customFormat="false" ht="15" hidden="false" customHeight="false" outlineLevel="0" collapsed="false">
      <c r="A25317" s="2" t="s">
        <v>558</v>
      </c>
      <c r="C25317" s="17" t="n">
        <f aca="false">C25240+C25306</f>
        <v>58.3715961</v>
      </c>
    </row>
    <row r="25318" customFormat="false" ht="15" hidden="false" customHeight="false" outlineLevel="0" collapsed="false">
      <c r="A25318" s="2" t="s">
        <v>559</v>
      </c>
      <c r="C25318" s="17" t="n">
        <f aca="false">C25241+C25307</f>
        <v>0</v>
      </c>
    </row>
    <row r="25319" customFormat="false" ht="15" hidden="false" customHeight="false" outlineLevel="0" collapsed="false">
      <c r="A25319" s="2" t="s">
        <v>560</v>
      </c>
      <c r="C25319" s="17" t="n">
        <f aca="false">C25242+C25308</f>
        <v>395.784310190075</v>
      </c>
    </row>
    <row r="25320" customFormat="false" ht="15" hidden="false" customHeight="false" outlineLevel="0" collapsed="false">
      <c r="A25320" s="2" t="s">
        <v>561</v>
      </c>
      <c r="C25320" s="17" t="n">
        <f aca="false">C25243+C25309</f>
        <v>357.2625</v>
      </c>
    </row>
    <row r="25321" customFormat="false" ht="15" hidden="false" customHeight="false" outlineLevel="0" collapsed="false">
      <c r="A25321" s="2" t="s">
        <v>562</v>
      </c>
      <c r="C25321" s="17" t="n">
        <f aca="false">C25244+C25310</f>
        <v>562.203125</v>
      </c>
    </row>
    <row r="25322" customFormat="false" ht="15" hidden="false" customHeight="false" outlineLevel="0" collapsed="false">
      <c r="A25322" s="2" t="s">
        <v>563</v>
      </c>
      <c r="C25322" s="17" t="n">
        <f aca="false">C25245+C25311</f>
        <v>353.98125</v>
      </c>
    </row>
    <row r="25323" customFormat="false" ht="15" hidden="false" customHeight="false" outlineLevel="0" collapsed="false">
      <c r="A25323" s="2" t="s">
        <v>564</v>
      </c>
      <c r="C25323" s="17" t="n">
        <f aca="false">C25246+C25312</f>
        <v>304.59375</v>
      </c>
    </row>
    <row r="25324" customFormat="false" ht="15" hidden="false" customHeight="false" outlineLevel="0" collapsed="false">
      <c r="A25324" s="2" t="s">
        <v>565</v>
      </c>
      <c r="C25324" s="17" t="n">
        <f aca="false">C25247+C25313</f>
        <v>79.741984</v>
      </c>
    </row>
    <row r="25325" customFormat="false" ht="15" hidden="false" customHeight="false" outlineLevel="0" collapsed="false">
      <c r="A25325" s="24" t="s">
        <v>576</v>
      </c>
      <c r="B25325" s="25"/>
      <c r="C25325" s="25"/>
      <c r="D25325" s="25"/>
      <c r="E25325" s="25"/>
      <c r="F25325" s="25"/>
      <c r="G25325" s="25"/>
      <c r="H25325" s="25"/>
      <c r="I25325" s="25"/>
      <c r="J25325" s="25"/>
      <c r="K25325" s="25"/>
    </row>
    <row r="25326" customFormat="false" ht="15" hidden="false" customHeight="false" outlineLevel="0" collapsed="false">
      <c r="A25326" s="3" t="s">
        <v>556</v>
      </c>
      <c r="C25326" s="22" t="n">
        <f aca="false">IF(C25205=0,1,C25315/C25205)</f>
        <v>1</v>
      </c>
    </row>
    <row r="25327" customFormat="false" ht="15" hidden="false" customHeight="false" outlineLevel="0" collapsed="false">
      <c r="A25327" s="3" t="s">
        <v>557</v>
      </c>
      <c r="C25327" s="22" t="n">
        <f aca="false">IF(C25206=0,1,C25316/C25206)</f>
        <v>1</v>
      </c>
    </row>
    <row r="25328" customFormat="false" ht="15" hidden="false" customHeight="false" outlineLevel="0" collapsed="false">
      <c r="A25328" s="3" t="s">
        <v>558</v>
      </c>
      <c r="C25328" s="22" t="n">
        <f aca="false">IF(C25207=0,1,C25317/C25207)</f>
        <v>1</v>
      </c>
    </row>
    <row r="25329" customFormat="false" ht="15" hidden="false" customHeight="false" outlineLevel="0" collapsed="false">
      <c r="A25329" s="3" t="s">
        <v>559</v>
      </c>
      <c r="C25329" s="22" t="n">
        <f aca="false">IF(C25208=0,1,C25318/C25208)</f>
        <v>1</v>
      </c>
    </row>
    <row r="25330" customFormat="false" ht="15" hidden="false" customHeight="false" outlineLevel="0" collapsed="false">
      <c r="A25330" s="3" t="s">
        <v>560</v>
      </c>
      <c r="C25330" s="22" t="n">
        <f aca="false">IF(C25209=0,1,C25319/C25209)</f>
        <v>1</v>
      </c>
    </row>
    <row r="25331" customFormat="false" ht="15" hidden="false" customHeight="false" outlineLevel="0" collapsed="false">
      <c r="A25331" s="3" t="s">
        <v>561</v>
      </c>
      <c r="C25331" s="22" t="n">
        <f aca="false">IF(C25210=0,1,C25320/C25210)</f>
        <v>1</v>
      </c>
    </row>
    <row r="25332" customFormat="false" ht="15" hidden="false" customHeight="false" outlineLevel="0" collapsed="false">
      <c r="A25332" s="3" t="s">
        <v>562</v>
      </c>
      <c r="C25332" s="22" t="n">
        <f aca="false">IF(C25211=0,1,C25321/C25211)</f>
        <v>1</v>
      </c>
    </row>
    <row r="25333" customFormat="false" ht="15" hidden="false" customHeight="false" outlineLevel="0" collapsed="false">
      <c r="A25333" s="3" t="s">
        <v>563</v>
      </c>
      <c r="C25333" s="22" t="n">
        <f aca="false">IF(C25212=0,1,C25322/C25212)</f>
        <v>1</v>
      </c>
    </row>
    <row r="25334" customFormat="false" ht="15" hidden="false" customHeight="false" outlineLevel="0" collapsed="false">
      <c r="A25334" s="3" t="s">
        <v>564</v>
      </c>
      <c r="C25334" s="22" t="n">
        <f aca="false">IF(C25213=0,1,C25323/C25213)</f>
        <v>1</v>
      </c>
    </row>
    <row r="25335" customFormat="false" ht="15" hidden="false" customHeight="false" outlineLevel="0" collapsed="false">
      <c r="A25335" s="3" t="s">
        <v>565</v>
      </c>
      <c r="C25335" s="22" t="n">
        <f aca="false">IF(C25214=0,1,C25324/C25214)</f>
        <v>1</v>
      </c>
    </row>
    <row r="25336" customFormat="false" ht="15" hidden="false" customHeight="false" outlineLevel="0" collapsed="false">
      <c r="A25336" s="24" t="s">
        <v>577</v>
      </c>
      <c r="B25336" s="25"/>
      <c r="C25336" s="25"/>
      <c r="D25336" s="25"/>
      <c r="E25336" s="25"/>
      <c r="F25336" s="25"/>
      <c r="G25336" s="25"/>
      <c r="H25336" s="25"/>
      <c r="I25336" s="25"/>
      <c r="J25336" s="25"/>
      <c r="K25336" s="25"/>
    </row>
    <row r="25337" customFormat="false" ht="15" hidden="false" customHeight="false" outlineLevel="0" collapsed="false">
      <c r="A25337" s="3" t="s">
        <v>556</v>
      </c>
      <c r="C25337" s="16" t="n">
        <f aca="false">C25205-C25315</f>
        <v>0</v>
      </c>
    </row>
    <row r="25338" customFormat="false" ht="15" hidden="false" customHeight="false" outlineLevel="0" collapsed="false">
      <c r="A25338" s="3" t="s">
        <v>557</v>
      </c>
      <c r="C25338" s="16" t="n">
        <f aca="false">C25206-C25316</f>
        <v>0</v>
      </c>
    </row>
    <row r="25339" customFormat="false" ht="15" hidden="false" customHeight="false" outlineLevel="0" collapsed="false">
      <c r="A25339" s="3" t="s">
        <v>558</v>
      </c>
      <c r="C25339" s="16" t="n">
        <f aca="false">C25207-C25317</f>
        <v>0</v>
      </c>
    </row>
    <row r="25340" customFormat="false" ht="15" hidden="false" customHeight="false" outlineLevel="0" collapsed="false">
      <c r="A25340" s="3" t="s">
        <v>559</v>
      </c>
      <c r="C25340" s="16" t="n">
        <f aca="false">C25208-C25318</f>
        <v>0</v>
      </c>
    </row>
    <row r="25341" customFormat="false" ht="15" hidden="false" customHeight="false" outlineLevel="0" collapsed="false">
      <c r="A25341" s="3" t="s">
        <v>560</v>
      </c>
      <c r="C25341" s="16" t="n">
        <f aca="false">C25209-C25319</f>
        <v>0</v>
      </c>
    </row>
    <row r="25342" customFormat="false" ht="15" hidden="false" customHeight="false" outlineLevel="0" collapsed="false">
      <c r="A25342" s="3" t="s">
        <v>561</v>
      </c>
      <c r="C25342" s="16" t="n">
        <f aca="false">C25210-C25320</f>
        <v>0</v>
      </c>
    </row>
    <row r="25343" customFormat="false" ht="15" hidden="false" customHeight="false" outlineLevel="0" collapsed="false">
      <c r="A25343" s="3" t="s">
        <v>562</v>
      </c>
      <c r="C25343" s="16" t="n">
        <f aca="false">C25211-C25321</f>
        <v>0</v>
      </c>
    </row>
    <row r="25344" customFormat="false" ht="15" hidden="false" customHeight="false" outlineLevel="0" collapsed="false">
      <c r="A25344" s="3" t="s">
        <v>563</v>
      </c>
      <c r="C25344" s="16" t="n">
        <f aca="false">C25212-C25322</f>
        <v>0</v>
      </c>
    </row>
    <row r="25345" customFormat="false" ht="15" hidden="false" customHeight="false" outlineLevel="0" collapsed="false">
      <c r="A25345" s="3" t="s">
        <v>564</v>
      </c>
      <c r="C25345" s="16" t="n">
        <f aca="false">C25213-C25323</f>
        <v>0</v>
      </c>
    </row>
    <row r="25346" customFormat="false" ht="15" hidden="false" customHeight="false" outlineLevel="0" collapsed="false">
      <c r="A25346" s="3" t="s">
        <v>565</v>
      </c>
      <c r="C25346" s="16" t="n">
        <f aca="false">C25214-C25324</f>
        <v>0</v>
      </c>
    </row>
    <row r="25347" customFormat="false" ht="15" hidden="false" customHeight="false" outlineLevel="0" collapsed="false">
      <c r="A25347" s="24" t="s">
        <v>578</v>
      </c>
      <c r="B25347" s="25"/>
      <c r="C25347" s="25"/>
      <c r="D25347" s="25"/>
      <c r="E25347" s="25"/>
      <c r="F25347" s="25"/>
      <c r="G25347" s="25"/>
      <c r="H25347" s="25"/>
      <c r="I25347" s="25"/>
      <c r="J25347" s="25"/>
      <c r="K25347" s="25"/>
    </row>
    <row r="25348" customFormat="false" ht="15" hidden="false" customHeight="false" outlineLevel="0" collapsed="false">
      <c r="A25348" s="3" t="s">
        <v>556</v>
      </c>
      <c r="C25348" s="22" t="n">
        <f aca="false">IF(C25205=0,0,C25337/C25205)</f>
        <v>0</v>
      </c>
    </row>
    <row r="25349" customFormat="false" ht="15" hidden="false" customHeight="false" outlineLevel="0" collapsed="false">
      <c r="A25349" s="3" t="s">
        <v>557</v>
      </c>
      <c r="C25349" s="22" t="n">
        <f aca="false">IF(C25206=0,0,C25338/C25206)</f>
        <v>0</v>
      </c>
    </row>
    <row r="25350" customFormat="false" ht="15" hidden="false" customHeight="false" outlineLevel="0" collapsed="false">
      <c r="A25350" s="3" t="s">
        <v>558</v>
      </c>
      <c r="C25350" s="22" t="n">
        <f aca="false">IF(C25207=0,0,C25339/C25207)</f>
        <v>0</v>
      </c>
    </row>
    <row r="25351" customFormat="false" ht="15" hidden="false" customHeight="false" outlineLevel="0" collapsed="false">
      <c r="A25351" s="3" t="s">
        <v>559</v>
      </c>
      <c r="C25351" s="22" t="n">
        <f aca="false">IF(C25208=0,0,C25340/C25208)</f>
        <v>0</v>
      </c>
    </row>
    <row r="25352" customFormat="false" ht="15" hidden="false" customHeight="false" outlineLevel="0" collapsed="false">
      <c r="A25352" s="3" t="s">
        <v>560</v>
      </c>
      <c r="C25352" s="22" t="n">
        <f aca="false">IF(C25209=0,0,C25341/C25209)</f>
        <v>0</v>
      </c>
    </row>
    <row r="25353" customFormat="false" ht="15" hidden="false" customHeight="false" outlineLevel="0" collapsed="false">
      <c r="A25353" s="3" t="s">
        <v>561</v>
      </c>
      <c r="C25353" s="22" t="n">
        <f aca="false">IF(C25210=0,0,C25342/C25210)</f>
        <v>0</v>
      </c>
    </row>
    <row r="25354" customFormat="false" ht="15" hidden="false" customHeight="false" outlineLevel="0" collapsed="false">
      <c r="A25354" s="3" t="s">
        <v>562</v>
      </c>
      <c r="C25354" s="22" t="n">
        <f aca="false">IF(C25211=0,0,C25343/C25211)</f>
        <v>0</v>
      </c>
    </row>
    <row r="25355" customFormat="false" ht="15" hidden="false" customHeight="false" outlineLevel="0" collapsed="false">
      <c r="A25355" s="3" t="s">
        <v>563</v>
      </c>
      <c r="C25355" s="22" t="n">
        <f aca="false">IF(C25212=0,0,C25344/C25212)</f>
        <v>0</v>
      </c>
    </row>
    <row r="25356" customFormat="false" ht="15" hidden="false" customHeight="false" outlineLevel="0" collapsed="false">
      <c r="A25356" s="3" t="s">
        <v>564</v>
      </c>
      <c r="C25356" s="22" t="n">
        <f aca="false">IF(C25213=0,0,C25345/C25213)</f>
        <v>0</v>
      </c>
    </row>
    <row r="25357" customFormat="false" ht="15" hidden="false" customHeight="false" outlineLevel="0" collapsed="false">
      <c r="A25357" s="3" t="s">
        <v>565</v>
      </c>
      <c r="C25357" s="22" t="n">
        <f aca="false">IF(C25214=0,0,C25346/C25214)</f>
        <v>0</v>
      </c>
    </row>
    <row r="25358" customFormat="false" ht="15" hidden="false" customHeight="false" outlineLevel="0" collapsed="false">
      <c r="A25358" s="2" t="s">
        <v>579</v>
      </c>
      <c r="C25358" s="17" t="n">
        <f aca="false">MAX(0,$C$25203-SUM($C$25238:$C$25247)-SUM($C$25260:$C$25269))</f>
        <v>528.921417109925</v>
      </c>
    </row>
    <row r="25359" customFormat="false" ht="15" hidden="false" customHeight="false" outlineLevel="0" collapsed="false">
      <c r="A25359" s="3" t="s">
        <v>580</v>
      </c>
      <c r="C25359" s="16" t="n">
        <f aca="false">SUM($C$25315:$C$25324)+C25358+C25202-C25201</f>
        <v>0</v>
      </c>
    </row>
    <row r="25361" customFormat="false" ht="15" hidden="false" customHeight="false" outlineLevel="0" collapsed="false">
      <c r="A25361" s="24" t="s">
        <v>583</v>
      </c>
      <c r="B25361" s="25"/>
      <c r="C25361" s="25"/>
      <c r="D25361" s="25"/>
      <c r="E25361" s="25"/>
      <c r="F25361" s="25"/>
      <c r="G25361" s="25"/>
      <c r="H25361" s="25"/>
      <c r="I25361" s="25"/>
      <c r="J25361" s="25"/>
      <c r="K25361" s="25"/>
    </row>
    <row r="25362" customFormat="false" ht="15" hidden="false" customHeight="false" outlineLevel="0" collapsed="false">
      <c r="A25362" s="3" t="s">
        <v>584</v>
      </c>
      <c r="C25362" s="27" t="n">
        <f aca="false">Assumptions!$C$34</f>
        <v>1</v>
      </c>
    </row>
    <row r="25363" customFormat="false" ht="15" hidden="false" customHeight="false" outlineLevel="0" collapsed="false">
      <c r="A25363" s="3" t="s">
        <v>585</v>
      </c>
      <c r="C25363" s="29" t="n">
        <f aca="false">Assumptions!$C$35</f>
        <v>100</v>
      </c>
    </row>
    <row r="25364" customFormat="false" ht="15" hidden="false" customHeight="false" outlineLevel="0" collapsed="false">
      <c r="A25364" s="3" t="s">
        <v>586</v>
      </c>
      <c r="C25364" s="40" t="n">
        <f aca="false">Assumptions!$C$36</f>
        <v>98</v>
      </c>
    </row>
    <row r="25365" customFormat="false" ht="15" hidden="false" customHeight="false" outlineLevel="0" collapsed="false">
      <c r="A25365" s="3" t="s">
        <v>587</v>
      </c>
      <c r="C25365" s="16" t="n">
        <f aca="false">C25363*C25364/100*(1+Assumptions!$C$37)</f>
        <v>98.49</v>
      </c>
    </row>
    <row r="25366" customFormat="false" ht="15" hidden="false" customHeight="false" outlineLevel="0" collapsed="false">
      <c r="A25366" s="3" t="s">
        <v>588</v>
      </c>
      <c r="C25366" s="27" t="n">
        <f aca="false">Assumptions!$C$38</f>
        <v>3</v>
      </c>
    </row>
    <row r="25367" customFormat="false" ht="15" hidden="false" customHeight="false" outlineLevel="0" collapsed="false">
      <c r="A25367" s="3" t="s">
        <v>589</v>
      </c>
      <c r="C25367" s="21" t="n">
        <f aca="false">IF(C25194=1,SUMPRODUCT($G$25130:$K$25130,$G$24904:$K$24904),0)</f>
        <v>2</v>
      </c>
    </row>
    <row r="25368" customFormat="false" ht="15" hidden="false" customHeight="false" outlineLevel="0" collapsed="false">
      <c r="A25368" s="3" t="s">
        <v>590</v>
      </c>
      <c r="C25368" s="22" t="n">
        <f aca="false">IFERROR(C25363/CHOOSE(C25362,SUMPRODUCT($G$25193:$K$25193,$G$24950:$K$24950),SUMPRODUCT($G$25193:$K$25193,$G$24963:$K$24963),SUMPRODUCT($G$25193:$K$25193,$G$24976:$K$24976),SUMPRODUCT($G$25193:$K$25193,$G$24989:$K$24989),SUMPRODUCT($G$25193:$K$25193,$G$25002:$K$25002),SUMPRODUCT($G$25193:$K$25193,$G$25015:$K$25015),SUMPRODUCT($G$25193:$K$25193,$G$25028:$K$25028),SUMPRODUCT($G$25193:$K$25193,$G$25041:$K$25041),SUMPRODUCT($G$25193:$K$25193,$G$25054:$K$25054),SUMPRODUCT($G$25193:$K$25193,$G$25067:$K$25067)),0)</f>
        <v>0.255102040816327</v>
      </c>
    </row>
    <row r="25369" customFormat="false" ht="15" hidden="false" customHeight="false" outlineLevel="0" collapsed="false">
      <c r="A25369" s="3" t="s">
        <v>591</v>
      </c>
      <c r="C25369" s="16" t="n">
        <f aca="false">CHOOSE(C25362,C25315,C25316,C25317,C25318,C25319,C25320,C25321,C25322,C25323,C25324)*C25368</f>
        <v>102.375</v>
      </c>
    </row>
    <row r="25370" customFormat="false" ht="15" hidden="false" customHeight="false" outlineLevel="0" collapsed="false">
      <c r="A25370" s="3" t="s">
        <v>592</v>
      </c>
      <c r="C25370" s="22" t="n">
        <f aca="false">CHOOSE(C25362,C25326,C25327,C25328,C25329,C25330,C25331,C25332,C25333,C25334,C25335)</f>
        <v>1</v>
      </c>
    </row>
    <row r="25371" customFormat="false" ht="15" hidden="false" customHeight="false" outlineLevel="0" collapsed="false">
      <c r="A25371" s="3" t="s">
        <v>593</v>
      </c>
      <c r="C25371" s="21" t="n">
        <f aca="false">IF(C25194=1,C25367,C25366)</f>
        <v>2</v>
      </c>
    </row>
    <row r="25372" customFormat="false" ht="15" hidden="false" customHeight="false" outlineLevel="0" collapsed="false">
      <c r="A25372" s="3" t="s">
        <v>594</v>
      </c>
      <c r="C25372" s="35" t="n">
        <f aca="false">CHOOSE($C$24896,Assumptions!$C$91,Assumptions!$C$110,Assumptions!$C$129)</f>
        <v>95</v>
      </c>
    </row>
    <row r="25373" customFormat="false" ht="15" hidden="false" customHeight="false" outlineLevel="0" collapsed="false">
      <c r="A25373" s="3" t="s">
        <v>595</v>
      </c>
      <c r="C25373" s="16" t="n">
        <f aca="false">INDEX($G$24913:$K$24913,C25366)*CHOOSE($C$24896,Assumptions!$C$90,Assumptions!$C$109,Assumptions!$C$128)+MAX(0,INDEX($G$25127:$K$25127,C25366))</f>
        <v>2423.913149823</v>
      </c>
    </row>
    <row r="25374" customFormat="false" ht="15" hidden="false" customHeight="false" outlineLevel="0" collapsed="false">
      <c r="A25374" s="24" t="s">
        <v>596</v>
      </c>
      <c r="B25374" s="25"/>
      <c r="C25374" s="25"/>
      <c r="D25374" s="25"/>
      <c r="E25374" s="25"/>
      <c r="F25374" s="25"/>
      <c r="G25374" s="25"/>
      <c r="H25374" s="25"/>
      <c r="I25374" s="25"/>
      <c r="J25374" s="25"/>
      <c r="K25374" s="25"/>
    </row>
    <row r="25375" customFormat="false" ht="15" hidden="false" customHeight="false" outlineLevel="0" collapsed="false">
      <c r="A25375" s="3" t="s">
        <v>556</v>
      </c>
      <c r="C25375" s="16" t="n">
        <f aca="false">INDEX($G$24950:$K$24950,C25366)</f>
        <v>388</v>
      </c>
    </row>
    <row r="25376" customFormat="false" ht="15" hidden="false" customHeight="false" outlineLevel="0" collapsed="false">
      <c r="A25376" s="3" t="s">
        <v>557</v>
      </c>
      <c r="C25376" s="16" t="n">
        <f aca="false">INDEX($G$24963:$K$24963,C25366)</f>
        <v>90</v>
      </c>
    </row>
    <row r="25377" customFormat="false" ht="15" hidden="false" customHeight="false" outlineLevel="0" collapsed="false">
      <c r="A25377" s="3" t="s">
        <v>558</v>
      </c>
      <c r="C25377" s="16" t="n">
        <f aca="false">INDEX($G$24976:$K$24976,C25366)</f>
        <v>57.324</v>
      </c>
    </row>
    <row r="25378" customFormat="false" ht="15" hidden="false" customHeight="false" outlineLevel="0" collapsed="false">
      <c r="A25378" s="3" t="s">
        <v>559</v>
      </c>
      <c r="C25378" s="16" t="n">
        <f aca="false">INDEX($G$24989:$K$24989,C25366)</f>
        <v>0</v>
      </c>
    </row>
    <row r="25379" customFormat="false" ht="15" hidden="false" customHeight="false" outlineLevel="0" collapsed="false">
      <c r="A25379" s="3" t="s">
        <v>560</v>
      </c>
      <c r="C25379" s="16" t="n">
        <f aca="false">INDEX($G$25002:$K$25002,C25366)</f>
        <v>391.914157881</v>
      </c>
    </row>
    <row r="25380" customFormat="false" ht="15" hidden="false" customHeight="false" outlineLevel="0" collapsed="false">
      <c r="A25380" s="3" t="s">
        <v>561</v>
      </c>
      <c r="C25380" s="16" t="n">
        <f aca="false">INDEX($G$25015:$K$25015,C25366)</f>
        <v>350</v>
      </c>
    </row>
    <row r="25381" customFormat="false" ht="15" hidden="false" customHeight="false" outlineLevel="0" collapsed="false">
      <c r="A25381" s="3" t="s">
        <v>562</v>
      </c>
      <c r="C25381" s="16" t="n">
        <f aca="false">INDEX($G$25028:$K$25028,C25366)</f>
        <v>550</v>
      </c>
    </row>
    <row r="25382" customFormat="false" ht="15" hidden="false" customHeight="false" outlineLevel="0" collapsed="false">
      <c r="A25382" s="3" t="s">
        <v>563</v>
      </c>
      <c r="C25382" s="16" t="n">
        <f aca="false">INDEX($G$25041:$K$25041,C25366)</f>
        <v>350</v>
      </c>
    </row>
    <row r="25383" customFormat="false" ht="15" hidden="false" customHeight="false" outlineLevel="0" collapsed="false">
      <c r="A25383" s="3" t="s">
        <v>564</v>
      </c>
      <c r="C25383" s="16" t="n">
        <f aca="false">INDEX($G$25054:$K$25054,C25366)</f>
        <v>300</v>
      </c>
    </row>
    <row r="25384" customFormat="false" ht="15" hidden="false" customHeight="false" outlineLevel="0" collapsed="false">
      <c r="A25384" s="3" t="s">
        <v>565</v>
      </c>
      <c r="C25384" s="16" t="n">
        <f aca="false">INDEX($G$25067:$K$25067,C25366)</f>
        <v>78.61</v>
      </c>
    </row>
    <row r="25385" customFormat="false" ht="15" hidden="false" customHeight="false" outlineLevel="0" collapsed="false">
      <c r="A25385" s="24" t="s">
        <v>566</v>
      </c>
      <c r="B25385" s="25"/>
      <c r="C25385" s="25"/>
      <c r="D25385" s="25"/>
      <c r="E25385" s="25"/>
      <c r="F25385" s="25"/>
      <c r="G25385" s="25"/>
      <c r="H25385" s="25"/>
      <c r="I25385" s="25"/>
      <c r="J25385" s="25"/>
      <c r="K25385" s="25"/>
    </row>
    <row r="25386" customFormat="false" ht="15" hidden="false" customHeight="false" outlineLevel="0" collapsed="false">
      <c r="A25386" s="3" t="s">
        <v>556</v>
      </c>
      <c r="C25386" s="27" t="n">
        <f aca="false">Assumptions!$M$57</f>
        <v>1</v>
      </c>
    </row>
    <row r="25387" customFormat="false" ht="15" hidden="false" customHeight="false" outlineLevel="0" collapsed="false">
      <c r="A25387" s="3" t="s">
        <v>557</v>
      </c>
      <c r="C25387" s="27" t="n">
        <f aca="false">Assumptions!$M$58</f>
        <v>1</v>
      </c>
    </row>
    <row r="25388" customFormat="false" ht="15" hidden="false" customHeight="false" outlineLevel="0" collapsed="false">
      <c r="A25388" s="3" t="s">
        <v>558</v>
      </c>
      <c r="C25388" s="27" t="n">
        <f aca="false">Assumptions!$M$59</f>
        <v>1</v>
      </c>
    </row>
    <row r="25389" customFormat="false" ht="15" hidden="false" customHeight="false" outlineLevel="0" collapsed="false">
      <c r="A25389" s="3" t="s">
        <v>559</v>
      </c>
      <c r="C25389" s="27" t="n">
        <f aca="false">Assumptions!$M$60</f>
        <v>2</v>
      </c>
    </row>
    <row r="25390" customFormat="false" ht="15" hidden="false" customHeight="false" outlineLevel="0" collapsed="false">
      <c r="A25390" s="3" t="s">
        <v>560</v>
      </c>
      <c r="C25390" s="27" t="n">
        <f aca="false">Assumptions!$M$61</f>
        <v>2</v>
      </c>
    </row>
    <row r="25391" customFormat="false" ht="15" hidden="false" customHeight="false" outlineLevel="0" collapsed="false">
      <c r="A25391" s="3" t="s">
        <v>561</v>
      </c>
      <c r="C25391" s="27" t="n">
        <f aca="false">Assumptions!$M$62</f>
        <v>2</v>
      </c>
    </row>
    <row r="25392" customFormat="false" ht="15" hidden="false" customHeight="false" outlineLevel="0" collapsed="false">
      <c r="A25392" s="3" t="s">
        <v>562</v>
      </c>
      <c r="C25392" s="27" t="n">
        <f aca="false">Assumptions!$M$63</f>
        <v>2</v>
      </c>
    </row>
    <row r="25393" customFormat="false" ht="15" hidden="false" customHeight="false" outlineLevel="0" collapsed="false">
      <c r="A25393" s="3" t="s">
        <v>563</v>
      </c>
      <c r="C25393" s="27" t="n">
        <f aca="false">Assumptions!$M$64</f>
        <v>2</v>
      </c>
    </row>
    <row r="25394" customFormat="false" ht="15" hidden="false" customHeight="false" outlineLevel="0" collapsed="false">
      <c r="A25394" s="3" t="s">
        <v>564</v>
      </c>
      <c r="C25394" s="27" t="n">
        <f aca="false">Assumptions!$M$65</f>
        <v>2</v>
      </c>
    </row>
    <row r="25395" customFormat="false" ht="15" hidden="false" customHeight="false" outlineLevel="0" collapsed="false">
      <c r="A25395" s="3" t="s">
        <v>565</v>
      </c>
      <c r="C25395" s="27" t="n">
        <f aca="false">Assumptions!$M$66</f>
        <v>3</v>
      </c>
    </row>
    <row r="25396" customFormat="false" ht="15" hidden="false" customHeight="false" outlineLevel="0" collapsed="false">
      <c r="A25396" s="24" t="s">
        <v>567</v>
      </c>
      <c r="B25396" s="25"/>
      <c r="C25396" s="25"/>
      <c r="D25396" s="25"/>
      <c r="E25396" s="25"/>
      <c r="F25396" s="25"/>
      <c r="G25396" s="25"/>
      <c r="H25396" s="25"/>
      <c r="I25396" s="25"/>
      <c r="J25396" s="25"/>
      <c r="K25396" s="25"/>
    </row>
    <row r="25397" customFormat="false" ht="15" hidden="false" customHeight="false" outlineLevel="0" collapsed="false">
      <c r="A25397" s="3" t="s">
        <v>556</v>
      </c>
      <c r="C25397" s="33" t="n">
        <f aca="false">Assumptions!$Q$57</f>
        <v>0.3</v>
      </c>
    </row>
    <row r="25398" customFormat="false" ht="15" hidden="false" customHeight="false" outlineLevel="0" collapsed="false">
      <c r="A25398" s="3" t="s">
        <v>557</v>
      </c>
      <c r="C25398" s="33" t="n">
        <f aca="false">Assumptions!$Q$58</f>
        <v>0.033</v>
      </c>
    </row>
    <row r="25399" customFormat="false" ht="15" hidden="false" customHeight="false" outlineLevel="0" collapsed="false">
      <c r="A25399" s="3" t="s">
        <v>558</v>
      </c>
      <c r="C25399" s="33" t="n">
        <f aca="false">Assumptions!$Q$59</f>
        <v>0.021</v>
      </c>
    </row>
    <row r="25400" customFormat="false" ht="15" hidden="false" customHeight="false" outlineLevel="0" collapsed="false">
      <c r="A25400" s="3" t="s">
        <v>559</v>
      </c>
      <c r="C25400" s="33" t="n">
        <f aca="false">Assumptions!$Q$60</f>
        <v>0</v>
      </c>
    </row>
    <row r="25401" customFormat="false" ht="15" hidden="false" customHeight="false" outlineLevel="0" collapsed="false">
      <c r="A25401" s="3" t="s">
        <v>560</v>
      </c>
      <c r="C25401" s="33" t="n">
        <f aca="false">Assumptions!$Q$61</f>
        <v>0</v>
      </c>
    </row>
    <row r="25402" customFormat="false" ht="15" hidden="false" customHeight="false" outlineLevel="0" collapsed="false">
      <c r="A25402" s="3" t="s">
        <v>561</v>
      </c>
      <c r="C25402" s="33" t="n">
        <f aca="false">Assumptions!$Q$62</f>
        <v>0</v>
      </c>
    </row>
    <row r="25403" customFormat="false" ht="15" hidden="false" customHeight="false" outlineLevel="0" collapsed="false">
      <c r="A25403" s="3" t="s">
        <v>562</v>
      </c>
      <c r="C25403" s="33" t="n">
        <f aca="false">Assumptions!$Q$63</f>
        <v>0</v>
      </c>
    </row>
    <row r="25404" customFormat="false" ht="15" hidden="false" customHeight="false" outlineLevel="0" collapsed="false">
      <c r="A25404" s="3" t="s">
        <v>563</v>
      </c>
      <c r="C25404" s="33" t="n">
        <f aca="false">Assumptions!$Q$64</f>
        <v>0</v>
      </c>
    </row>
    <row r="25405" customFormat="false" ht="15" hidden="false" customHeight="false" outlineLevel="0" collapsed="false">
      <c r="A25405" s="3" t="s">
        <v>564</v>
      </c>
      <c r="C25405" s="33" t="n">
        <f aca="false">Assumptions!$Q$65</f>
        <v>0</v>
      </c>
    </row>
    <row r="25406" customFormat="false" ht="15" hidden="false" customHeight="false" outlineLevel="0" collapsed="false">
      <c r="A25406" s="3" t="s">
        <v>565</v>
      </c>
      <c r="C25406" s="33" t="n">
        <f aca="false">Assumptions!$Q$66</f>
        <v>0</v>
      </c>
    </row>
    <row r="25407" customFormat="false" ht="15" hidden="false" customHeight="false" outlineLevel="0" collapsed="false">
      <c r="A25407" s="24" t="s">
        <v>568</v>
      </c>
      <c r="B25407" s="25"/>
      <c r="C25407" s="25"/>
      <c r="D25407" s="25"/>
      <c r="E25407" s="25"/>
      <c r="F25407" s="25"/>
      <c r="G25407" s="25"/>
      <c r="H25407" s="25"/>
      <c r="I25407" s="25"/>
      <c r="J25407" s="25"/>
      <c r="K25407" s="25"/>
    </row>
    <row r="25408" customFormat="false" ht="15" hidden="false" customHeight="false" outlineLevel="0" collapsed="false">
      <c r="A25408" s="3" t="s">
        <v>556</v>
      </c>
      <c r="C25408" s="16" t="n">
        <f aca="false">IF(C25397&gt;0,MIN(C25375,C25397*$C$25373),0)</f>
        <v>388</v>
      </c>
    </row>
    <row r="25409" customFormat="false" ht="15" hidden="false" customHeight="false" outlineLevel="0" collapsed="false">
      <c r="A25409" s="3" t="s">
        <v>557</v>
      </c>
      <c r="C25409" s="16" t="n">
        <f aca="false">IF(C25398&gt;0,MIN(C25376,C25398*$C$25373),0)</f>
        <v>79.989133944159</v>
      </c>
    </row>
    <row r="25410" customFormat="false" ht="15" hidden="false" customHeight="false" outlineLevel="0" collapsed="false">
      <c r="A25410" s="3" t="s">
        <v>558</v>
      </c>
      <c r="C25410" s="16" t="n">
        <f aca="false">IF(C25399&gt;0,MIN(C25377,C25399*$C$25373),0)</f>
        <v>50.902176146283</v>
      </c>
    </row>
    <row r="25411" customFormat="false" ht="15" hidden="false" customHeight="false" outlineLevel="0" collapsed="false">
      <c r="A25411" s="3" t="s">
        <v>559</v>
      </c>
      <c r="C25411" s="16" t="n">
        <f aca="false">IF(C25400&gt;0,MIN(C25378,C25400*$C$25373),0)</f>
        <v>0</v>
      </c>
    </row>
    <row r="25412" customFormat="false" ht="15" hidden="false" customHeight="false" outlineLevel="0" collapsed="false">
      <c r="A25412" s="3" t="s">
        <v>560</v>
      </c>
      <c r="C25412" s="16" t="n">
        <f aca="false">IF(C25401&gt;0,MIN(C25379,C25401*$C$25373),0)</f>
        <v>0</v>
      </c>
    </row>
    <row r="25413" customFormat="false" ht="15" hidden="false" customHeight="false" outlineLevel="0" collapsed="false">
      <c r="A25413" s="3" t="s">
        <v>561</v>
      </c>
      <c r="C25413" s="16" t="n">
        <f aca="false">IF(C25402&gt;0,MIN(C25380,C25402*$C$25373),0)</f>
        <v>0</v>
      </c>
    </row>
    <row r="25414" customFormat="false" ht="15" hidden="false" customHeight="false" outlineLevel="0" collapsed="false">
      <c r="A25414" s="3" t="s">
        <v>562</v>
      </c>
      <c r="C25414" s="16" t="n">
        <f aca="false">IF(C25403&gt;0,MIN(C25381,C25403*$C$25373),0)</f>
        <v>0</v>
      </c>
    </row>
    <row r="25415" customFormat="false" ht="15" hidden="false" customHeight="false" outlineLevel="0" collapsed="false">
      <c r="A25415" s="3" t="s">
        <v>563</v>
      </c>
      <c r="C25415" s="16" t="n">
        <f aca="false">IF(C25404&gt;0,MIN(C25382,C25404*$C$25373),0)</f>
        <v>0</v>
      </c>
    </row>
    <row r="25416" customFormat="false" ht="15" hidden="false" customHeight="false" outlineLevel="0" collapsed="false">
      <c r="A25416" s="3" t="s">
        <v>564</v>
      </c>
      <c r="C25416" s="16" t="n">
        <f aca="false">IF(C25405&gt;0,MIN(C25383,C25405*$C$25373),0)</f>
        <v>0</v>
      </c>
    </row>
    <row r="25417" customFormat="false" ht="15" hidden="false" customHeight="false" outlineLevel="0" collapsed="false">
      <c r="A25417" s="3" t="s">
        <v>565</v>
      </c>
      <c r="C25417" s="16" t="n">
        <f aca="false">IF(C25406&gt;0,MIN(C25384,C25406*$C$25373),0)</f>
        <v>0</v>
      </c>
    </row>
    <row r="25418" customFormat="false" ht="15" hidden="false" customHeight="false" outlineLevel="0" collapsed="false">
      <c r="A25418" s="24" t="s">
        <v>569</v>
      </c>
      <c r="B25418" s="25"/>
      <c r="C25418" s="25"/>
      <c r="D25418" s="25"/>
      <c r="E25418" s="25"/>
      <c r="F25418" s="25"/>
      <c r="G25418" s="25"/>
      <c r="H25418" s="25"/>
      <c r="I25418" s="25"/>
      <c r="J25418" s="25"/>
      <c r="K25418" s="25"/>
    </row>
    <row r="25419" customFormat="false" ht="15" hidden="false" customHeight="false" outlineLevel="0" collapsed="false">
      <c r="A25419" s="3" t="s">
        <v>556</v>
      </c>
      <c r="C25419" s="16" t="n">
        <f aca="false">IF(C25397&gt;0,C25375-C25408,0)</f>
        <v>0</v>
      </c>
    </row>
    <row r="25420" customFormat="false" ht="15" hidden="false" customHeight="false" outlineLevel="0" collapsed="false">
      <c r="A25420" s="3" t="s">
        <v>557</v>
      </c>
      <c r="C25420" s="16" t="n">
        <f aca="false">IF(C25398&gt;0,C25376-C25409,0)</f>
        <v>10.010866055841</v>
      </c>
    </row>
    <row r="25421" customFormat="false" ht="15" hidden="false" customHeight="false" outlineLevel="0" collapsed="false">
      <c r="A25421" s="3" t="s">
        <v>558</v>
      </c>
      <c r="C25421" s="16" t="n">
        <f aca="false">IF(C25399&gt;0,C25377-C25410,0)</f>
        <v>6.42182385371699</v>
      </c>
    </row>
    <row r="25422" customFormat="false" ht="15" hidden="false" customHeight="false" outlineLevel="0" collapsed="false">
      <c r="A25422" s="3" t="s">
        <v>559</v>
      </c>
      <c r="C25422" s="16" t="n">
        <f aca="false">IF(C25400&gt;0,C25378-C25411,0)</f>
        <v>0</v>
      </c>
    </row>
    <row r="25423" customFormat="false" ht="15" hidden="false" customHeight="false" outlineLevel="0" collapsed="false">
      <c r="A25423" s="3" t="s">
        <v>560</v>
      </c>
      <c r="C25423" s="16" t="n">
        <f aca="false">IF(C25401&gt;0,C25379-C25412,0)</f>
        <v>0</v>
      </c>
    </row>
    <row r="25424" customFormat="false" ht="15" hidden="false" customHeight="false" outlineLevel="0" collapsed="false">
      <c r="A25424" s="3" t="s">
        <v>561</v>
      </c>
      <c r="C25424" s="16" t="n">
        <f aca="false">IF(C25402&gt;0,C25380-C25413,0)</f>
        <v>0</v>
      </c>
    </row>
    <row r="25425" customFormat="false" ht="15" hidden="false" customHeight="false" outlineLevel="0" collapsed="false">
      <c r="A25425" s="3" t="s">
        <v>562</v>
      </c>
      <c r="C25425" s="16" t="n">
        <f aca="false">IF(C25403&gt;0,C25381-C25414,0)</f>
        <v>0</v>
      </c>
    </row>
    <row r="25426" customFormat="false" ht="15" hidden="false" customHeight="false" outlineLevel="0" collapsed="false">
      <c r="A25426" s="3" t="s">
        <v>563</v>
      </c>
      <c r="C25426" s="16" t="n">
        <f aca="false">IF(C25404&gt;0,C25382-C25415,0)</f>
        <v>0</v>
      </c>
    </row>
    <row r="25427" customFormat="false" ht="15" hidden="false" customHeight="false" outlineLevel="0" collapsed="false">
      <c r="A25427" s="3" t="s">
        <v>564</v>
      </c>
      <c r="C25427" s="16" t="n">
        <f aca="false">IF(C25405&gt;0,C25383-C25416,0)</f>
        <v>0</v>
      </c>
    </row>
    <row r="25428" customFormat="false" ht="15" hidden="false" customHeight="false" outlineLevel="0" collapsed="false">
      <c r="A25428" s="3" t="s">
        <v>565</v>
      </c>
      <c r="C25428" s="16" t="n">
        <f aca="false">IF(C25406&gt;0,C25384-C25417,0)</f>
        <v>0</v>
      </c>
    </row>
    <row r="25429" customFormat="false" ht="15" hidden="false" customHeight="false" outlineLevel="0" collapsed="false">
      <c r="A25429" s="24" t="s">
        <v>570</v>
      </c>
      <c r="B25429" s="25"/>
      <c r="C25429" s="25"/>
      <c r="D25429" s="25"/>
      <c r="E25429" s="25"/>
      <c r="F25429" s="25"/>
      <c r="G25429" s="25"/>
      <c r="H25429" s="25"/>
      <c r="I25429" s="25"/>
      <c r="J25429" s="25"/>
      <c r="K25429" s="25"/>
    </row>
    <row r="25430" customFormat="false" ht="15" hidden="false" customHeight="false" outlineLevel="0" collapsed="false">
      <c r="A25430" s="3" t="s">
        <v>556</v>
      </c>
      <c r="C25430" s="16" t="n">
        <f aca="false">IF(C25397&gt;0,C25419,C25375)</f>
        <v>0</v>
      </c>
    </row>
    <row r="25431" customFormat="false" ht="15" hidden="false" customHeight="false" outlineLevel="0" collapsed="false">
      <c r="A25431" s="3" t="s">
        <v>557</v>
      </c>
      <c r="C25431" s="16" t="n">
        <f aca="false">IF(C25398&gt;0,C25420,C25376)</f>
        <v>10.010866055841</v>
      </c>
    </row>
    <row r="25432" customFormat="false" ht="15" hidden="false" customHeight="false" outlineLevel="0" collapsed="false">
      <c r="A25432" s="3" t="s">
        <v>558</v>
      </c>
      <c r="C25432" s="16" t="n">
        <f aca="false">IF(C25399&gt;0,C25421,C25377)</f>
        <v>6.42182385371699</v>
      </c>
    </row>
    <row r="25433" customFormat="false" ht="15" hidden="false" customHeight="false" outlineLevel="0" collapsed="false">
      <c r="A25433" s="3" t="s">
        <v>559</v>
      </c>
      <c r="C25433" s="16" t="n">
        <f aca="false">IF(C25400&gt;0,C25422,C25378)</f>
        <v>0</v>
      </c>
    </row>
    <row r="25434" customFormat="false" ht="15" hidden="false" customHeight="false" outlineLevel="0" collapsed="false">
      <c r="A25434" s="3" t="s">
        <v>560</v>
      </c>
      <c r="C25434" s="16" t="n">
        <f aca="false">IF(C25401&gt;0,C25423,C25379)</f>
        <v>391.914157881</v>
      </c>
    </row>
    <row r="25435" customFormat="false" ht="15" hidden="false" customHeight="false" outlineLevel="0" collapsed="false">
      <c r="A25435" s="3" t="s">
        <v>561</v>
      </c>
      <c r="C25435" s="16" t="n">
        <f aca="false">IF(C25402&gt;0,C25424,C25380)</f>
        <v>350</v>
      </c>
    </row>
    <row r="25436" customFormat="false" ht="15" hidden="false" customHeight="false" outlineLevel="0" collapsed="false">
      <c r="A25436" s="3" t="s">
        <v>562</v>
      </c>
      <c r="C25436" s="16" t="n">
        <f aca="false">IF(C25403&gt;0,C25425,C25381)</f>
        <v>550</v>
      </c>
    </row>
    <row r="25437" customFormat="false" ht="15" hidden="false" customHeight="false" outlineLevel="0" collapsed="false">
      <c r="A25437" s="3" t="s">
        <v>563</v>
      </c>
      <c r="C25437" s="16" t="n">
        <f aca="false">IF(C25404&gt;0,C25426,C25382)</f>
        <v>350</v>
      </c>
    </row>
    <row r="25438" customFormat="false" ht="15" hidden="false" customHeight="false" outlineLevel="0" collapsed="false">
      <c r="A25438" s="3" t="s">
        <v>564</v>
      </c>
      <c r="C25438" s="16" t="n">
        <f aca="false">IF(C25405&gt;0,C25427,C25383)</f>
        <v>300</v>
      </c>
    </row>
    <row r="25439" customFormat="false" ht="15" hidden="false" customHeight="false" outlineLevel="0" collapsed="false">
      <c r="A25439" s="3" t="s">
        <v>565</v>
      </c>
      <c r="C25439" s="16" t="n">
        <f aca="false">IF(C25406&gt;0,C25428,C25384)</f>
        <v>78.61</v>
      </c>
    </row>
    <row r="25440" customFormat="false" ht="15" hidden="false" customHeight="false" outlineLevel="0" collapsed="false">
      <c r="A25440" s="24" t="s">
        <v>571</v>
      </c>
      <c r="B25440" s="25"/>
      <c r="C25440" s="25"/>
      <c r="D25440" s="25"/>
      <c r="E25440" s="25"/>
      <c r="F25440" s="25"/>
      <c r="G25440" s="25"/>
      <c r="H25440" s="25"/>
      <c r="I25440" s="25"/>
      <c r="J25440" s="25"/>
      <c r="K25440" s="25"/>
    </row>
    <row r="25441" customFormat="false" ht="15" hidden="false" customHeight="false" outlineLevel="0" collapsed="false">
      <c r="A25441" s="3" t="s">
        <v>556</v>
      </c>
      <c r="C25441" s="21" t="n">
        <f aca="false">IF(C25397&gt;0,Assumptions!$C$17,C25386)</f>
        <v>99</v>
      </c>
    </row>
    <row r="25442" customFormat="false" ht="15" hidden="false" customHeight="false" outlineLevel="0" collapsed="false">
      <c r="A25442" s="3" t="s">
        <v>557</v>
      </c>
      <c r="C25442" s="21" t="n">
        <f aca="false">IF(C25398&gt;0,Assumptions!$C$17,C25387)</f>
        <v>99</v>
      </c>
    </row>
    <row r="25443" customFormat="false" ht="15" hidden="false" customHeight="false" outlineLevel="0" collapsed="false">
      <c r="A25443" s="3" t="s">
        <v>558</v>
      </c>
      <c r="C25443" s="21" t="n">
        <f aca="false">IF(C25399&gt;0,Assumptions!$C$17,C25388)</f>
        <v>99</v>
      </c>
    </row>
    <row r="25444" customFormat="false" ht="15" hidden="false" customHeight="false" outlineLevel="0" collapsed="false">
      <c r="A25444" s="3" t="s">
        <v>559</v>
      </c>
      <c r="C25444" s="21" t="n">
        <f aca="false">IF(C25400&gt;0,Assumptions!$C$17,C25389)</f>
        <v>2</v>
      </c>
    </row>
    <row r="25445" customFormat="false" ht="15" hidden="false" customHeight="false" outlineLevel="0" collapsed="false">
      <c r="A25445" s="3" t="s">
        <v>560</v>
      </c>
      <c r="C25445" s="21" t="n">
        <f aca="false">IF(C25401&gt;0,Assumptions!$C$17,C25390)</f>
        <v>2</v>
      </c>
    </row>
    <row r="25446" customFormat="false" ht="15" hidden="false" customHeight="false" outlineLevel="0" collapsed="false">
      <c r="A25446" s="3" t="s">
        <v>561</v>
      </c>
      <c r="C25446" s="21" t="n">
        <f aca="false">IF(C25402&gt;0,Assumptions!$C$17,C25391)</f>
        <v>2</v>
      </c>
    </row>
    <row r="25447" customFormat="false" ht="15" hidden="false" customHeight="false" outlineLevel="0" collapsed="false">
      <c r="A25447" s="3" t="s">
        <v>562</v>
      </c>
      <c r="C25447" s="21" t="n">
        <f aca="false">IF(C25403&gt;0,Assumptions!$C$17,C25392)</f>
        <v>2</v>
      </c>
    </row>
    <row r="25448" customFormat="false" ht="15" hidden="false" customHeight="false" outlineLevel="0" collapsed="false">
      <c r="A25448" s="3" t="s">
        <v>563</v>
      </c>
      <c r="C25448" s="21" t="n">
        <f aca="false">IF(C25404&gt;0,Assumptions!$C$17,C25393)</f>
        <v>2</v>
      </c>
    </row>
    <row r="25449" customFormat="false" ht="15" hidden="false" customHeight="false" outlineLevel="0" collapsed="false">
      <c r="A25449" s="3" t="s">
        <v>564</v>
      </c>
      <c r="C25449" s="21" t="n">
        <f aca="false">IF(C25405&gt;0,Assumptions!$C$17,C25394)</f>
        <v>2</v>
      </c>
    </row>
    <row r="25450" customFormat="false" ht="15" hidden="false" customHeight="false" outlineLevel="0" collapsed="false">
      <c r="A25450" s="3" t="s">
        <v>565</v>
      </c>
      <c r="C25450" s="21" t="n">
        <f aca="false">IF(C25406&gt;0,Assumptions!$C$17,C25395)</f>
        <v>3</v>
      </c>
    </row>
    <row r="25451" customFormat="false" ht="15" hidden="false" customHeight="false" outlineLevel="0" collapsed="false">
      <c r="A25451" s="24" t="s">
        <v>572</v>
      </c>
      <c r="B25451" s="25"/>
      <c r="C25451" s="25"/>
      <c r="D25451" s="25"/>
      <c r="E25451" s="25"/>
      <c r="F25451" s="25"/>
      <c r="G25451" s="25"/>
      <c r="H25451" s="25"/>
      <c r="I25451" s="25"/>
      <c r="J25451" s="25"/>
      <c r="K25451" s="25"/>
    </row>
    <row r="25452" customFormat="false" ht="15" hidden="false" customHeight="false" outlineLevel="0" collapsed="false">
      <c r="A25452" s="3" t="s">
        <v>556</v>
      </c>
      <c r="C25452" s="16" t="n">
        <f aca="false">SUMPRODUCT(($C$25441:$C$25450&lt;C25441)*$C$25430:$C$25439)</f>
        <v>2020.524157881</v>
      </c>
    </row>
    <row r="25453" customFormat="false" ht="15" hidden="false" customHeight="false" outlineLevel="0" collapsed="false">
      <c r="A25453" s="3" t="s">
        <v>557</v>
      </c>
      <c r="C25453" s="16" t="n">
        <f aca="false">SUMPRODUCT(($C$25441:$C$25450&lt;C25442)*$C$25430:$C$25439)</f>
        <v>2020.524157881</v>
      </c>
    </row>
    <row r="25454" customFormat="false" ht="15" hidden="false" customHeight="false" outlineLevel="0" collapsed="false">
      <c r="A25454" s="3" t="s">
        <v>558</v>
      </c>
      <c r="C25454" s="16" t="n">
        <f aca="false">SUMPRODUCT(($C$25441:$C$25450&lt;C25443)*$C$25430:$C$25439)</f>
        <v>2020.524157881</v>
      </c>
    </row>
    <row r="25455" customFormat="false" ht="15" hidden="false" customHeight="false" outlineLevel="0" collapsed="false">
      <c r="A25455" s="3" t="s">
        <v>559</v>
      </c>
      <c r="C25455" s="16" t="n">
        <f aca="false">SUMPRODUCT(($C$25441:$C$25450&lt;C25444)*$C$25430:$C$25439)</f>
        <v>0</v>
      </c>
    </row>
    <row r="25456" customFormat="false" ht="15" hidden="false" customHeight="false" outlineLevel="0" collapsed="false">
      <c r="A25456" s="3" t="s">
        <v>560</v>
      </c>
      <c r="C25456" s="16" t="n">
        <f aca="false">SUMPRODUCT(($C$25441:$C$25450&lt;C25445)*$C$25430:$C$25439)</f>
        <v>0</v>
      </c>
    </row>
    <row r="25457" customFormat="false" ht="15" hidden="false" customHeight="false" outlineLevel="0" collapsed="false">
      <c r="A25457" s="3" t="s">
        <v>561</v>
      </c>
      <c r="C25457" s="16" t="n">
        <f aca="false">SUMPRODUCT(($C$25441:$C$25450&lt;C25446)*$C$25430:$C$25439)</f>
        <v>0</v>
      </c>
    </row>
    <row r="25458" customFormat="false" ht="15" hidden="false" customHeight="false" outlineLevel="0" collapsed="false">
      <c r="A25458" s="3" t="s">
        <v>562</v>
      </c>
      <c r="C25458" s="16" t="n">
        <f aca="false">SUMPRODUCT(($C$25441:$C$25450&lt;C25447)*$C$25430:$C$25439)</f>
        <v>0</v>
      </c>
    </row>
    <row r="25459" customFormat="false" ht="15" hidden="false" customHeight="false" outlineLevel="0" collapsed="false">
      <c r="A25459" s="3" t="s">
        <v>563</v>
      </c>
      <c r="C25459" s="16" t="n">
        <f aca="false">SUMPRODUCT(($C$25441:$C$25450&lt;C25448)*$C$25430:$C$25439)</f>
        <v>0</v>
      </c>
    </row>
    <row r="25460" customFormat="false" ht="15" hidden="false" customHeight="false" outlineLevel="0" collapsed="false">
      <c r="A25460" s="3" t="s">
        <v>564</v>
      </c>
      <c r="C25460" s="16" t="n">
        <f aca="false">SUMPRODUCT(($C$25441:$C$25450&lt;C25449)*$C$25430:$C$25439)</f>
        <v>0</v>
      </c>
    </row>
    <row r="25461" customFormat="false" ht="15" hidden="false" customHeight="false" outlineLevel="0" collapsed="false">
      <c r="A25461" s="3" t="s">
        <v>565</v>
      </c>
      <c r="C25461" s="16" t="n">
        <f aca="false">SUMPRODUCT(($C$25441:$C$25450&lt;C25450)*$C$25430:$C$25439)</f>
        <v>1941.914157881</v>
      </c>
    </row>
    <row r="25462" customFormat="false" ht="15" hidden="false" customHeight="false" outlineLevel="0" collapsed="false">
      <c r="A25462" s="24" t="s">
        <v>573</v>
      </c>
      <c r="B25462" s="25"/>
      <c r="C25462" s="25"/>
      <c r="D25462" s="25"/>
      <c r="E25462" s="25"/>
      <c r="F25462" s="25"/>
      <c r="G25462" s="25"/>
      <c r="H25462" s="25"/>
      <c r="I25462" s="25"/>
      <c r="J25462" s="25"/>
      <c r="K25462" s="25"/>
    </row>
    <row r="25463" customFormat="false" ht="15" hidden="false" customHeight="false" outlineLevel="0" collapsed="false">
      <c r="A25463" s="3" t="s">
        <v>556</v>
      </c>
      <c r="C25463" s="16" t="n">
        <f aca="false">SUMPRODUCT(($C$25441:$C$25450=C25441)*$C$25430:$C$25439)</f>
        <v>16.432689909558</v>
      </c>
    </row>
    <row r="25464" customFormat="false" ht="15" hidden="false" customHeight="false" outlineLevel="0" collapsed="false">
      <c r="A25464" s="3" t="s">
        <v>557</v>
      </c>
      <c r="C25464" s="16" t="n">
        <f aca="false">SUMPRODUCT(($C$25441:$C$25450=C25442)*$C$25430:$C$25439)</f>
        <v>16.432689909558</v>
      </c>
    </row>
    <row r="25465" customFormat="false" ht="15" hidden="false" customHeight="false" outlineLevel="0" collapsed="false">
      <c r="A25465" s="3" t="s">
        <v>558</v>
      </c>
      <c r="C25465" s="16" t="n">
        <f aca="false">SUMPRODUCT(($C$25441:$C$25450=C25443)*$C$25430:$C$25439)</f>
        <v>16.432689909558</v>
      </c>
    </row>
    <row r="25466" customFormat="false" ht="15" hidden="false" customHeight="false" outlineLevel="0" collapsed="false">
      <c r="A25466" s="3" t="s">
        <v>559</v>
      </c>
      <c r="C25466" s="16" t="n">
        <f aca="false">SUMPRODUCT(($C$25441:$C$25450=C25444)*$C$25430:$C$25439)</f>
        <v>1941.914157881</v>
      </c>
    </row>
    <row r="25467" customFormat="false" ht="15" hidden="false" customHeight="false" outlineLevel="0" collapsed="false">
      <c r="A25467" s="3" t="s">
        <v>560</v>
      </c>
      <c r="C25467" s="16" t="n">
        <f aca="false">SUMPRODUCT(($C$25441:$C$25450=C25445)*$C$25430:$C$25439)</f>
        <v>1941.914157881</v>
      </c>
    </row>
    <row r="25468" customFormat="false" ht="15" hidden="false" customHeight="false" outlineLevel="0" collapsed="false">
      <c r="A25468" s="3" t="s">
        <v>561</v>
      </c>
      <c r="C25468" s="16" t="n">
        <f aca="false">SUMPRODUCT(($C$25441:$C$25450=C25446)*$C$25430:$C$25439)</f>
        <v>1941.914157881</v>
      </c>
    </row>
    <row r="25469" customFormat="false" ht="15" hidden="false" customHeight="false" outlineLevel="0" collapsed="false">
      <c r="A25469" s="3" t="s">
        <v>562</v>
      </c>
      <c r="C25469" s="16" t="n">
        <f aca="false">SUMPRODUCT(($C$25441:$C$25450=C25447)*$C$25430:$C$25439)</f>
        <v>1941.914157881</v>
      </c>
    </row>
    <row r="25470" customFormat="false" ht="15" hidden="false" customHeight="false" outlineLevel="0" collapsed="false">
      <c r="A25470" s="3" t="s">
        <v>563</v>
      </c>
      <c r="C25470" s="16" t="n">
        <f aca="false">SUMPRODUCT(($C$25441:$C$25450=C25448)*$C$25430:$C$25439)</f>
        <v>1941.914157881</v>
      </c>
    </row>
    <row r="25471" customFormat="false" ht="15" hidden="false" customHeight="false" outlineLevel="0" collapsed="false">
      <c r="A25471" s="3" t="s">
        <v>564</v>
      </c>
      <c r="C25471" s="16" t="n">
        <f aca="false">SUMPRODUCT(($C$25441:$C$25450=C25449)*$C$25430:$C$25439)</f>
        <v>1941.914157881</v>
      </c>
    </row>
    <row r="25472" customFormat="false" ht="15" hidden="false" customHeight="false" outlineLevel="0" collapsed="false">
      <c r="A25472" s="3" t="s">
        <v>565</v>
      </c>
      <c r="C25472" s="16" t="n">
        <f aca="false">SUMPRODUCT(($C$25441:$C$25450=C25450)*$C$25430:$C$25439)</f>
        <v>78.61</v>
      </c>
    </row>
    <row r="25473" customFormat="false" ht="15" hidden="false" customHeight="false" outlineLevel="0" collapsed="false">
      <c r="A25473" s="24" t="s">
        <v>574</v>
      </c>
      <c r="B25473" s="25"/>
      <c r="C25473" s="25"/>
      <c r="D25473" s="25"/>
      <c r="E25473" s="25"/>
      <c r="F25473" s="25"/>
      <c r="G25473" s="25"/>
      <c r="H25473" s="25"/>
      <c r="I25473" s="25"/>
      <c r="J25473" s="25"/>
      <c r="K25473" s="25"/>
    </row>
    <row r="25474" customFormat="false" ht="15" hidden="false" customHeight="false" outlineLevel="0" collapsed="false">
      <c r="A25474" s="3" t="s">
        <v>556</v>
      </c>
      <c r="C25474" s="16" t="n">
        <f aca="false">IF(C25463=0,0,C25430/C25463*MAX(0,MIN(C25463,$C$25373-SUM($C$25408:$C$25417)-C25452)))</f>
        <v>0</v>
      </c>
    </row>
    <row r="25475" customFormat="false" ht="15" hidden="false" customHeight="false" outlineLevel="0" collapsed="false">
      <c r="A25475" s="3" t="s">
        <v>557</v>
      </c>
      <c r="C25475" s="16" t="n">
        <f aca="false">IF(C25464=0,0,C25431/C25464*MAX(0,MIN(C25464,$C$25373-SUM($C$25408:$C$25417)-C25453)))</f>
        <v>0</v>
      </c>
    </row>
    <row r="25476" customFormat="false" ht="15" hidden="false" customHeight="false" outlineLevel="0" collapsed="false">
      <c r="A25476" s="3" t="s">
        <v>558</v>
      </c>
      <c r="C25476" s="16" t="n">
        <f aca="false">IF(C25465=0,0,C25432/C25465*MAX(0,MIN(C25465,$C$25373-SUM($C$25408:$C$25417)-C25454)))</f>
        <v>0</v>
      </c>
    </row>
    <row r="25477" customFormat="false" ht="15" hidden="false" customHeight="false" outlineLevel="0" collapsed="false">
      <c r="A25477" s="3" t="s">
        <v>559</v>
      </c>
      <c r="C25477" s="16" t="n">
        <f aca="false">IF(C25466=0,0,C25433/C25466*MAX(0,MIN(C25466,$C$25373-SUM($C$25408:$C$25417)-C25455)))</f>
        <v>0</v>
      </c>
    </row>
    <row r="25478" customFormat="false" ht="15" hidden="false" customHeight="false" outlineLevel="0" collapsed="false">
      <c r="A25478" s="3" t="s">
        <v>560</v>
      </c>
      <c r="C25478" s="16" t="n">
        <f aca="false">IF(C25467=0,0,C25434/C25467*MAX(0,MIN(C25467,$C$25373-SUM($C$25408:$C$25417)-C25456)))</f>
        <v>384.468606417901</v>
      </c>
    </row>
    <row r="25479" customFormat="false" ht="15" hidden="false" customHeight="false" outlineLevel="0" collapsed="false">
      <c r="A25479" s="3" t="s">
        <v>561</v>
      </c>
      <c r="C25479" s="16" t="n">
        <f aca="false">IF(C25468=0,0,C25435/C25468*MAX(0,MIN(C25468,$C$25373-SUM($C$25408:$C$25417)-C25457)))</f>
        <v>343.35073010331</v>
      </c>
    </row>
    <row r="25480" customFormat="false" ht="15" hidden="false" customHeight="false" outlineLevel="0" collapsed="false">
      <c r="A25480" s="3" t="s">
        <v>562</v>
      </c>
      <c r="C25480" s="16" t="n">
        <f aca="false">IF(C25469=0,0,C25436/C25469*MAX(0,MIN(C25469,$C$25373-SUM($C$25408:$C$25417)-C25458)))</f>
        <v>539.551147305201</v>
      </c>
    </row>
    <row r="25481" customFormat="false" ht="15" hidden="false" customHeight="false" outlineLevel="0" collapsed="false">
      <c r="A25481" s="3" t="s">
        <v>563</v>
      </c>
      <c r="C25481" s="16" t="n">
        <f aca="false">IF(C25470=0,0,C25437/C25470*MAX(0,MIN(C25470,$C$25373-SUM($C$25408:$C$25417)-C25459)))</f>
        <v>343.35073010331</v>
      </c>
    </row>
    <row r="25482" customFormat="false" ht="15" hidden="false" customHeight="false" outlineLevel="0" collapsed="false">
      <c r="A25482" s="3" t="s">
        <v>564</v>
      </c>
      <c r="C25482" s="16" t="n">
        <f aca="false">IF(C25471=0,0,C25438/C25471*MAX(0,MIN(C25471,$C$25373-SUM($C$25408:$C$25417)-C25460)))</f>
        <v>294.300625802837</v>
      </c>
    </row>
    <row r="25483" customFormat="false" ht="15" hidden="false" customHeight="false" outlineLevel="0" collapsed="false">
      <c r="A25483" s="3" t="s">
        <v>565</v>
      </c>
      <c r="C25483" s="16" t="n">
        <f aca="false">IF(C25472=0,0,C25439/C25472*MAX(0,MIN(C25472,$C$25373-SUM($C$25408:$C$25417)-C25461)))</f>
        <v>0</v>
      </c>
    </row>
    <row r="25484" customFormat="false" ht="15" hidden="false" customHeight="false" outlineLevel="0" collapsed="false">
      <c r="A25484" s="24" t="s">
        <v>575</v>
      </c>
      <c r="B25484" s="25"/>
      <c r="C25484" s="25"/>
      <c r="D25484" s="25"/>
      <c r="E25484" s="25"/>
      <c r="F25484" s="25"/>
      <c r="G25484" s="25"/>
      <c r="H25484" s="25"/>
      <c r="I25484" s="25"/>
      <c r="J25484" s="25"/>
      <c r="K25484" s="25"/>
    </row>
    <row r="25485" customFormat="false" ht="15" hidden="false" customHeight="false" outlineLevel="0" collapsed="false">
      <c r="A25485" s="2" t="s">
        <v>556</v>
      </c>
      <c r="C25485" s="17" t="n">
        <f aca="false">C25408+C25474</f>
        <v>388</v>
      </c>
    </row>
    <row r="25486" customFormat="false" ht="15" hidden="false" customHeight="false" outlineLevel="0" collapsed="false">
      <c r="A25486" s="2" t="s">
        <v>557</v>
      </c>
      <c r="C25486" s="17" t="n">
        <f aca="false">C25409+C25475</f>
        <v>79.989133944159</v>
      </c>
    </row>
    <row r="25487" customFormat="false" ht="15" hidden="false" customHeight="false" outlineLevel="0" collapsed="false">
      <c r="A25487" s="2" t="s">
        <v>558</v>
      </c>
      <c r="C25487" s="17" t="n">
        <f aca="false">C25410+C25476</f>
        <v>50.902176146283</v>
      </c>
    </row>
    <row r="25488" customFormat="false" ht="15" hidden="false" customHeight="false" outlineLevel="0" collapsed="false">
      <c r="A25488" s="2" t="s">
        <v>559</v>
      </c>
      <c r="C25488" s="17" t="n">
        <f aca="false">C25411+C25477</f>
        <v>0</v>
      </c>
    </row>
    <row r="25489" customFormat="false" ht="15" hidden="false" customHeight="false" outlineLevel="0" collapsed="false">
      <c r="A25489" s="2" t="s">
        <v>560</v>
      </c>
      <c r="C25489" s="17" t="n">
        <f aca="false">C25412+C25478</f>
        <v>384.468606417901</v>
      </c>
    </row>
    <row r="25490" customFormat="false" ht="15" hidden="false" customHeight="false" outlineLevel="0" collapsed="false">
      <c r="A25490" s="2" t="s">
        <v>561</v>
      </c>
      <c r="C25490" s="17" t="n">
        <f aca="false">C25413+C25479</f>
        <v>343.35073010331</v>
      </c>
    </row>
    <row r="25491" customFormat="false" ht="15" hidden="false" customHeight="false" outlineLevel="0" collapsed="false">
      <c r="A25491" s="2" t="s">
        <v>562</v>
      </c>
      <c r="C25491" s="17" t="n">
        <f aca="false">C25414+C25480</f>
        <v>539.551147305201</v>
      </c>
    </row>
    <row r="25492" customFormat="false" ht="15" hidden="false" customHeight="false" outlineLevel="0" collapsed="false">
      <c r="A25492" s="2" t="s">
        <v>563</v>
      </c>
      <c r="C25492" s="17" t="n">
        <f aca="false">C25415+C25481</f>
        <v>343.35073010331</v>
      </c>
    </row>
    <row r="25493" customFormat="false" ht="15" hidden="false" customHeight="false" outlineLevel="0" collapsed="false">
      <c r="A25493" s="2" t="s">
        <v>564</v>
      </c>
      <c r="C25493" s="17" t="n">
        <f aca="false">C25416+C25482</f>
        <v>294.300625802837</v>
      </c>
    </row>
    <row r="25494" customFormat="false" ht="15" hidden="false" customHeight="false" outlineLevel="0" collapsed="false">
      <c r="A25494" s="2" t="s">
        <v>565</v>
      </c>
      <c r="C25494" s="17" t="n">
        <f aca="false">C25417+C25483</f>
        <v>0</v>
      </c>
    </row>
    <row r="25495" customFormat="false" ht="15" hidden="false" customHeight="false" outlineLevel="0" collapsed="false">
      <c r="A25495" s="24" t="s">
        <v>576</v>
      </c>
      <c r="B25495" s="25"/>
      <c r="C25495" s="25"/>
      <c r="D25495" s="25"/>
      <c r="E25495" s="25"/>
      <c r="F25495" s="25"/>
      <c r="G25495" s="25"/>
      <c r="H25495" s="25"/>
      <c r="I25495" s="25"/>
      <c r="J25495" s="25"/>
      <c r="K25495" s="25"/>
    </row>
    <row r="25496" customFormat="false" ht="15" hidden="false" customHeight="false" outlineLevel="0" collapsed="false">
      <c r="A25496" s="3" t="s">
        <v>556</v>
      </c>
      <c r="C25496" s="22" t="n">
        <f aca="false">IF(C25375=0,1,C25485/C25375)</f>
        <v>1</v>
      </c>
    </row>
    <row r="25497" customFormat="false" ht="15" hidden="false" customHeight="false" outlineLevel="0" collapsed="false">
      <c r="A25497" s="3" t="s">
        <v>557</v>
      </c>
      <c r="C25497" s="22" t="n">
        <f aca="false">IF(C25376=0,1,C25486/C25376)</f>
        <v>0.8887681549351</v>
      </c>
    </row>
    <row r="25498" customFormat="false" ht="15" hidden="false" customHeight="false" outlineLevel="0" collapsed="false">
      <c r="A25498" s="3" t="s">
        <v>558</v>
      </c>
      <c r="C25498" s="22" t="n">
        <f aca="false">IF(C25377=0,1,C25487/C25377)</f>
        <v>0.887973207492202</v>
      </c>
    </row>
    <row r="25499" customFormat="false" ht="15" hidden="false" customHeight="false" outlineLevel="0" collapsed="false">
      <c r="A25499" s="3" t="s">
        <v>559</v>
      </c>
      <c r="C25499" s="22" t="n">
        <f aca="false">IF(C25378=0,1,C25488/C25378)</f>
        <v>1</v>
      </c>
    </row>
    <row r="25500" customFormat="false" ht="15" hidden="false" customHeight="false" outlineLevel="0" collapsed="false">
      <c r="A25500" s="3" t="s">
        <v>560</v>
      </c>
      <c r="C25500" s="22" t="n">
        <f aca="false">IF(C25379=0,1,C25489/C25379)</f>
        <v>0.981002086009457</v>
      </c>
    </row>
    <row r="25501" customFormat="false" ht="15" hidden="false" customHeight="false" outlineLevel="0" collapsed="false">
      <c r="A25501" s="3" t="s">
        <v>561</v>
      </c>
      <c r="C25501" s="22" t="n">
        <f aca="false">IF(C25380=0,1,C25490/C25380)</f>
        <v>0.981002086009457</v>
      </c>
    </row>
    <row r="25502" customFormat="false" ht="15" hidden="false" customHeight="false" outlineLevel="0" collapsed="false">
      <c r="A25502" s="3" t="s">
        <v>562</v>
      </c>
      <c r="C25502" s="22" t="n">
        <f aca="false">IF(C25381=0,1,C25491/C25381)</f>
        <v>0.981002086009457</v>
      </c>
    </row>
    <row r="25503" customFormat="false" ht="15" hidden="false" customHeight="false" outlineLevel="0" collapsed="false">
      <c r="A25503" s="3" t="s">
        <v>563</v>
      </c>
      <c r="C25503" s="22" t="n">
        <f aca="false">IF(C25382=0,1,C25492/C25382)</f>
        <v>0.981002086009457</v>
      </c>
    </row>
    <row r="25504" customFormat="false" ht="15" hidden="false" customHeight="false" outlineLevel="0" collapsed="false">
      <c r="A25504" s="3" t="s">
        <v>564</v>
      </c>
      <c r="C25504" s="22" t="n">
        <f aca="false">IF(C25383=0,1,C25493/C25383)</f>
        <v>0.981002086009457</v>
      </c>
    </row>
    <row r="25505" customFormat="false" ht="15" hidden="false" customHeight="false" outlineLevel="0" collapsed="false">
      <c r="A25505" s="3" t="s">
        <v>565</v>
      </c>
      <c r="C25505" s="22" t="n">
        <f aca="false">IF(C25384=0,1,C25494/C25384)</f>
        <v>0</v>
      </c>
    </row>
    <row r="25506" customFormat="false" ht="15" hidden="false" customHeight="false" outlineLevel="0" collapsed="false">
      <c r="A25506" s="24" t="s">
        <v>577</v>
      </c>
      <c r="B25506" s="25"/>
      <c r="C25506" s="25"/>
      <c r="D25506" s="25"/>
      <c r="E25506" s="25"/>
      <c r="F25506" s="25"/>
      <c r="G25506" s="25"/>
      <c r="H25506" s="25"/>
      <c r="I25506" s="25"/>
      <c r="J25506" s="25"/>
      <c r="K25506" s="25"/>
    </row>
    <row r="25507" customFormat="false" ht="15" hidden="false" customHeight="false" outlineLevel="0" collapsed="false">
      <c r="A25507" s="3" t="s">
        <v>556</v>
      </c>
      <c r="C25507" s="16" t="n">
        <f aca="false">C25375-C25485</f>
        <v>0</v>
      </c>
    </row>
    <row r="25508" customFormat="false" ht="15" hidden="false" customHeight="false" outlineLevel="0" collapsed="false">
      <c r="A25508" s="3" t="s">
        <v>557</v>
      </c>
      <c r="C25508" s="16" t="n">
        <f aca="false">C25376-C25486</f>
        <v>10.010866055841</v>
      </c>
    </row>
    <row r="25509" customFormat="false" ht="15" hidden="false" customHeight="false" outlineLevel="0" collapsed="false">
      <c r="A25509" s="3" t="s">
        <v>558</v>
      </c>
      <c r="C25509" s="16" t="n">
        <f aca="false">C25377-C25487</f>
        <v>6.42182385371699</v>
      </c>
    </row>
    <row r="25510" customFormat="false" ht="15" hidden="false" customHeight="false" outlineLevel="0" collapsed="false">
      <c r="A25510" s="3" t="s">
        <v>559</v>
      </c>
      <c r="C25510" s="16" t="n">
        <f aca="false">C25378-C25488</f>
        <v>0</v>
      </c>
    </row>
    <row r="25511" customFormat="false" ht="15" hidden="false" customHeight="false" outlineLevel="0" collapsed="false">
      <c r="A25511" s="3" t="s">
        <v>560</v>
      </c>
      <c r="C25511" s="16" t="n">
        <f aca="false">C25379-C25489</f>
        <v>7.44555146309943</v>
      </c>
    </row>
    <row r="25512" customFormat="false" ht="15" hidden="false" customHeight="false" outlineLevel="0" collapsed="false">
      <c r="A25512" s="3" t="s">
        <v>561</v>
      </c>
      <c r="C25512" s="16" t="n">
        <f aca="false">C25380-C25490</f>
        <v>6.64926989669016</v>
      </c>
    </row>
    <row r="25513" customFormat="false" ht="15" hidden="false" customHeight="false" outlineLevel="0" collapsed="false">
      <c r="A25513" s="3" t="s">
        <v>562</v>
      </c>
      <c r="C25513" s="16" t="n">
        <f aca="false">C25381-C25491</f>
        <v>10.4488526947988</v>
      </c>
    </row>
    <row r="25514" customFormat="false" ht="15" hidden="false" customHeight="false" outlineLevel="0" collapsed="false">
      <c r="A25514" s="3" t="s">
        <v>563</v>
      </c>
      <c r="C25514" s="16" t="n">
        <f aca="false">C25382-C25492</f>
        <v>6.64926989669016</v>
      </c>
    </row>
    <row r="25515" customFormat="false" ht="15" hidden="false" customHeight="false" outlineLevel="0" collapsed="false">
      <c r="A25515" s="3" t="s">
        <v>564</v>
      </c>
      <c r="C25515" s="16" t="n">
        <f aca="false">C25383-C25493</f>
        <v>5.69937419716297</v>
      </c>
    </row>
    <row r="25516" customFormat="false" ht="15" hidden="false" customHeight="false" outlineLevel="0" collapsed="false">
      <c r="A25516" s="3" t="s">
        <v>565</v>
      </c>
      <c r="C25516" s="16" t="n">
        <f aca="false">C25384-C25494</f>
        <v>78.61</v>
      </c>
    </row>
    <row r="25517" customFormat="false" ht="15" hidden="false" customHeight="false" outlineLevel="0" collapsed="false">
      <c r="A25517" s="24" t="s">
        <v>578</v>
      </c>
      <c r="B25517" s="25"/>
      <c r="C25517" s="25"/>
      <c r="D25517" s="25"/>
      <c r="E25517" s="25"/>
      <c r="F25517" s="25"/>
      <c r="G25517" s="25"/>
      <c r="H25517" s="25"/>
      <c r="I25517" s="25"/>
      <c r="J25517" s="25"/>
      <c r="K25517" s="25"/>
    </row>
    <row r="25518" customFormat="false" ht="15" hidden="false" customHeight="false" outlineLevel="0" collapsed="false">
      <c r="A25518" s="3" t="s">
        <v>556</v>
      </c>
      <c r="C25518" s="22" t="n">
        <f aca="false">IF(C25375=0,0,C25507/C25375)</f>
        <v>0</v>
      </c>
    </row>
    <row r="25519" customFormat="false" ht="15" hidden="false" customHeight="false" outlineLevel="0" collapsed="false">
      <c r="A25519" s="3" t="s">
        <v>557</v>
      </c>
      <c r="C25519" s="22" t="n">
        <f aca="false">IF(C25376=0,0,C25508/C25376)</f>
        <v>0.1112318450649</v>
      </c>
    </row>
    <row r="25520" customFormat="false" ht="15" hidden="false" customHeight="false" outlineLevel="0" collapsed="false">
      <c r="A25520" s="3" t="s">
        <v>558</v>
      </c>
      <c r="C25520" s="22" t="n">
        <f aca="false">IF(C25377=0,0,C25509/C25377)</f>
        <v>0.112026792507798</v>
      </c>
    </row>
    <row r="25521" customFormat="false" ht="15" hidden="false" customHeight="false" outlineLevel="0" collapsed="false">
      <c r="A25521" s="3" t="s">
        <v>559</v>
      </c>
      <c r="C25521" s="22" t="n">
        <f aca="false">IF(C25378=0,0,C25510/C25378)</f>
        <v>0</v>
      </c>
    </row>
    <row r="25522" customFormat="false" ht="15" hidden="false" customHeight="false" outlineLevel="0" collapsed="false">
      <c r="A25522" s="3" t="s">
        <v>560</v>
      </c>
      <c r="C25522" s="22" t="n">
        <f aca="false">IF(C25379=0,0,C25511/C25379)</f>
        <v>0.0189979139905433</v>
      </c>
    </row>
    <row r="25523" customFormat="false" ht="15" hidden="false" customHeight="false" outlineLevel="0" collapsed="false">
      <c r="A25523" s="3" t="s">
        <v>561</v>
      </c>
      <c r="C25523" s="22" t="n">
        <f aca="false">IF(C25380=0,0,C25512/C25380)</f>
        <v>0.0189979139905433</v>
      </c>
    </row>
    <row r="25524" customFormat="false" ht="15" hidden="false" customHeight="false" outlineLevel="0" collapsed="false">
      <c r="A25524" s="3" t="s">
        <v>562</v>
      </c>
      <c r="C25524" s="22" t="n">
        <f aca="false">IF(C25381=0,0,C25513/C25381)</f>
        <v>0.0189979139905433</v>
      </c>
    </row>
    <row r="25525" customFormat="false" ht="15" hidden="false" customHeight="false" outlineLevel="0" collapsed="false">
      <c r="A25525" s="3" t="s">
        <v>563</v>
      </c>
      <c r="C25525" s="22" t="n">
        <f aca="false">IF(C25382=0,0,C25514/C25382)</f>
        <v>0.0189979139905433</v>
      </c>
    </row>
    <row r="25526" customFormat="false" ht="15" hidden="false" customHeight="false" outlineLevel="0" collapsed="false">
      <c r="A25526" s="3" t="s">
        <v>564</v>
      </c>
      <c r="C25526" s="22" t="n">
        <f aca="false">IF(C25383=0,0,C25515/C25383)</f>
        <v>0.0189979139905432</v>
      </c>
    </row>
    <row r="25527" customFormat="false" ht="15" hidden="false" customHeight="false" outlineLevel="0" collapsed="false">
      <c r="A25527" s="3" t="s">
        <v>565</v>
      </c>
      <c r="C25527" s="22" t="n">
        <f aca="false">IF(C25384=0,0,C25516/C25384)</f>
        <v>1</v>
      </c>
    </row>
    <row r="25528" customFormat="false" ht="15" hidden="false" customHeight="false" outlineLevel="0" collapsed="false">
      <c r="A25528" s="2" t="s">
        <v>579</v>
      </c>
      <c r="C25528" s="17" t="n">
        <f aca="false">MAX(0,$C$25373-SUM($C$25408:$C$25417)-SUM($C$25430:$C$25439))</f>
        <v>0</v>
      </c>
    </row>
    <row r="25529" customFormat="false" ht="15" hidden="false" customHeight="false" outlineLevel="0" collapsed="false">
      <c r="A25529" s="3" t="s">
        <v>597</v>
      </c>
      <c r="C25529" s="35" t="n">
        <f aca="false">MIN(C25372,100*CHOOSE(C25362,C25496,C25497,C25498,C25499,C25500,C25501,C25502,C25503,C25504,C25505))</f>
        <v>95</v>
      </c>
    </row>
    <row r="25530" customFormat="false" ht="15" hidden="false" customHeight="false" outlineLevel="0" collapsed="false">
      <c r="A25530" s="3" t="s">
        <v>598</v>
      </c>
      <c r="C25530" s="21" t="n">
        <f aca="false">IF(C25194=1,C25367+Assumptions!$C$40,C25366)</f>
        <v>3</v>
      </c>
    </row>
    <row r="25531" customFormat="false" ht="15" hidden="false" customHeight="false" outlineLevel="0" collapsed="false">
      <c r="A25531" s="24" t="s">
        <v>599</v>
      </c>
      <c r="B25531" s="25"/>
      <c r="C25531" s="25"/>
      <c r="D25531" s="25"/>
      <c r="E25531" s="25"/>
      <c r="F25531" s="25"/>
      <c r="G25531" s="25"/>
      <c r="H25531" s="25"/>
      <c r="I25531" s="25"/>
      <c r="J25531" s="25"/>
      <c r="K25531" s="25"/>
    </row>
    <row r="25532" customFormat="false" ht="15" hidden="false" customHeight="false" outlineLevel="0" collapsed="false">
      <c r="A25532" s="3" t="s">
        <v>600</v>
      </c>
      <c r="C25532" s="21" t="n">
        <f aca="false">COLUMN()-COLUMN($C$1)</f>
        <v>0</v>
      </c>
      <c r="D25532" s="21" t="n">
        <f aca="false">COLUMN()-COLUMN($C$1)</f>
        <v>1</v>
      </c>
      <c r="E25532" s="21" t="n">
        <f aca="false">COLUMN()-COLUMN($C$1)</f>
        <v>2</v>
      </c>
      <c r="F25532" s="21" t="n">
        <f aca="false">COLUMN()-COLUMN($C$1)</f>
        <v>3</v>
      </c>
      <c r="G25532" s="21" t="n">
        <f aca="false">COLUMN()-COLUMN($C$1)</f>
        <v>4</v>
      </c>
      <c r="H25532" s="21" t="n">
        <f aca="false">COLUMN()-COLUMN($C$1)</f>
        <v>5</v>
      </c>
      <c r="I25532" s="21" t="n">
        <f aca="false">COLUMN()-COLUMN($C$1)</f>
        <v>6</v>
      </c>
    </row>
    <row r="25533" customFormat="false" ht="15" hidden="false" customHeight="false" outlineLevel="0" collapsed="false">
      <c r="A25533" s="3" t="s">
        <v>601</v>
      </c>
      <c r="D25533" s="31" t="n">
        <f aca="false">CHOOSE($C$25362,G24942,G24955,G24968,G24981,G24994,G25007,G25020,G25033,G25046,G25059)</f>
        <v>0.0965</v>
      </c>
      <c r="E25533" s="31" t="n">
        <f aca="false">CHOOSE($C$25362,H24942,H24955,H24968,H24981,H24994,H25007,H25020,H25033,H25046,H25059)</f>
        <v>0.095</v>
      </c>
      <c r="F25533" s="31" t="n">
        <f aca="false">CHOOSE($C$25362,I24942,I24955,I24968,I24981,I24994,I25007,I25020,I25033,I25046,I25059)</f>
        <v>0.0925</v>
      </c>
      <c r="G25533" s="31" t="n">
        <f aca="false">CHOOSE($C$25362,J24942,J24955,J24968,J24981,J24994,J25007,J25020,J25033,J25046,J25059)</f>
        <v>0.0925</v>
      </c>
      <c r="H25533" s="31" t="n">
        <f aca="false">CHOOSE($C$25362,K24942,K24955,K24968,K24981,K24994,K25007,K25020,K25033,K25046,K25059)</f>
        <v>0.0925</v>
      </c>
    </row>
    <row r="25534" customFormat="false" ht="15" hidden="false" customHeight="false" outlineLevel="0" collapsed="false">
      <c r="A25534" s="3" t="s">
        <v>602</v>
      </c>
      <c r="D25534" s="16" t="n">
        <f aca="false">IF(D25532&lt;=$C$25371,$C$25363*D25533,0)</f>
        <v>9.65</v>
      </c>
      <c r="E25534" s="16" t="n">
        <f aca="false">IF(E25532&lt;=$C$25371,$C$25363*E25533,0)</f>
        <v>9.5</v>
      </c>
      <c r="F25534" s="16" t="n">
        <f aca="false">IF(F25532&lt;=$C$25371,$C$25363*F25533,0)</f>
        <v>0</v>
      </c>
      <c r="G25534" s="16" t="n">
        <f aca="false">IF(G25532&lt;=$C$25371,$C$25363*G25533,0)</f>
        <v>0</v>
      </c>
      <c r="H25534" s="16" t="n">
        <f aca="false">IF(H25532&lt;=$C$25371,$C$25363*H25533,0)</f>
        <v>0</v>
      </c>
    </row>
    <row r="25535" customFormat="false" ht="15" hidden="false" customHeight="false" outlineLevel="0" collapsed="false">
      <c r="A25535" s="3" t="s">
        <v>603</v>
      </c>
      <c r="D25535" s="16" t="n">
        <f aca="false">IF(AND($C$25194=0,D25532=$C$25366),$C$25363*$C$25529/100,0)+IF(AND($C$25194=1,D25532=$C$25530),$C$25369,0)</f>
        <v>0</v>
      </c>
      <c r="E25535" s="16" t="n">
        <f aca="false">IF(AND($C$25194=0,E25532=$C$25366),$C$25363*$C$25529/100,0)+IF(AND($C$25194=1,E25532=$C$25530),$C$25369,0)</f>
        <v>0</v>
      </c>
      <c r="F25535" s="16" t="n">
        <f aca="false">IF(AND($C$25194=0,F25532=$C$25366),$C$25363*$C$25529/100,0)+IF(AND($C$25194=1,F25532=$C$25530),$C$25369,0)</f>
        <v>102.375</v>
      </c>
      <c r="G25535" s="16" t="n">
        <f aca="false">IF(AND($C$25194=0,G25532=$C$25366),$C$25363*$C$25529/100,0)+IF(AND($C$25194=1,G25532=$C$25530),$C$25369,0)</f>
        <v>0</v>
      </c>
      <c r="H25535" s="16" t="n">
        <f aca="false">IF(AND($C$25194=0,H25532=$C$25366),$C$25363*$C$25529/100,0)+IF(AND($C$25194=1,H25532=$C$25530),$C$25369,0)</f>
        <v>0</v>
      </c>
      <c r="I25535" s="16" t="n">
        <f aca="false">IF(AND($C$25194=0,I25532=$C$25366),$C$25363*$C$25529/100,0)+IF(AND($C$25194=1,I25532=$C$25530),$C$25369,0)</f>
        <v>0</v>
      </c>
    </row>
    <row r="25536" customFormat="false" ht="15" hidden="false" customHeight="false" outlineLevel="0" collapsed="false">
      <c r="A25536" s="2" t="s">
        <v>604</v>
      </c>
      <c r="C25536" s="17" t="n">
        <f aca="false">-$C$25365</f>
        <v>-98.49</v>
      </c>
      <c r="D25536" s="17" t="n">
        <f aca="false">D25534+D25535</f>
        <v>9.65</v>
      </c>
      <c r="E25536" s="17" t="n">
        <f aca="false">E25534+E25535</f>
        <v>9.5</v>
      </c>
      <c r="F25536" s="17" t="n">
        <f aca="false">F25534+F25535</f>
        <v>102.375</v>
      </c>
      <c r="G25536" s="17" t="n">
        <f aca="false">G25534+G25535</f>
        <v>0</v>
      </c>
      <c r="H25536" s="17" t="n">
        <f aca="false">H25534+H25535</f>
        <v>0</v>
      </c>
      <c r="I25536" s="17" t="n">
        <f aca="false">I25534+I25535</f>
        <v>0</v>
      </c>
    </row>
    <row r="25537" customFormat="false" ht="15" hidden="false" customHeight="false" outlineLevel="0" collapsed="false">
      <c r="A25537" s="3" t="s">
        <v>605</v>
      </c>
      <c r="C25537" s="16" t="n">
        <f aca="false">SUM($C$25534:$I$25534)</f>
        <v>19.15</v>
      </c>
    </row>
    <row r="25538" customFormat="false" ht="15" hidden="false" customHeight="false" outlineLevel="0" collapsed="false">
      <c r="A25538" s="3" t="s">
        <v>606</v>
      </c>
      <c r="C25538" s="16" t="n">
        <f aca="false">SUM($C$25535:$I$25535)</f>
        <v>102.375</v>
      </c>
    </row>
    <row r="25539" customFormat="false" ht="15" hidden="false" customHeight="false" outlineLevel="0" collapsed="false">
      <c r="A25539" s="3" t="s">
        <v>607</v>
      </c>
      <c r="C25539" s="16" t="n">
        <f aca="false">C25537+C25538</f>
        <v>121.525</v>
      </c>
    </row>
    <row r="25540" customFormat="false" ht="15" hidden="false" customHeight="false" outlineLevel="0" collapsed="false">
      <c r="A25540" s="3" t="s">
        <v>608</v>
      </c>
      <c r="C25540" s="16" t="n">
        <f aca="false">C25538-C25363*C25364/100</f>
        <v>4.375</v>
      </c>
    </row>
    <row r="25541" customFormat="false" ht="15" hidden="false" customHeight="false" outlineLevel="0" collapsed="false">
      <c r="A25541" s="3" t="s">
        <v>609</v>
      </c>
      <c r="C25541" s="16" t="n">
        <f aca="false">C25539-C25365</f>
        <v>23.035</v>
      </c>
    </row>
    <row r="25542" customFormat="false" ht="15" hidden="false" customHeight="false" outlineLevel="0" collapsed="false">
      <c r="A25542" s="2" t="s">
        <v>484</v>
      </c>
      <c r="C25542" s="44" t="n">
        <f aca="false">C25539/C25365</f>
        <v>1.23388161234643</v>
      </c>
    </row>
    <row r="25543" customFormat="false" ht="15" hidden="false" customHeight="false" outlineLevel="0" collapsed="false">
      <c r="A25543" s="2" t="s">
        <v>483</v>
      </c>
      <c r="C25543" s="42" t="n">
        <f aca="false">IF(C25539&lt;=0,-1,IFERROR(IRR($C$25536:$I$25536,MAX(-0.9,C25542^(1/C25530)-1)),IRR($C$25536:$I$25536,0.1)))</f>
        <v>0.079432456371703</v>
      </c>
    </row>
    <row r="25544" customFormat="false" ht="15" hidden="false" customHeight="false" outlineLevel="0" collapsed="false">
      <c r="A25544" s="3" t="s">
        <v>610</v>
      </c>
      <c r="C25544" s="32" t="n">
        <f aca="false">MAX($G$25138:$K$25138)</f>
        <v>11.9171639116462</v>
      </c>
    </row>
    <row r="25545" customFormat="false" ht="15" hidden="false" customHeight="false" outlineLevel="0" collapsed="false">
      <c r="A25545" s="3" t="s">
        <v>611</v>
      </c>
      <c r="C25545" s="32" t="n">
        <f aca="false">MIN($G$25139:$K$25139)</f>
        <v>1.21404897350594</v>
      </c>
    </row>
    <row r="25546" customFormat="false" ht="15" hidden="false" customHeight="false" outlineLevel="0" collapsed="false">
      <c r="A25546" s="3" t="s">
        <v>612</v>
      </c>
      <c r="C25546" s="16" t="n">
        <f aca="false">SUM($G$24926:$K$24926)</f>
        <v>-295.647979672933</v>
      </c>
    </row>
    <row r="25550" customFormat="false" ht="15" hidden="false" customHeight="false" outlineLevel="0" collapsed="false">
      <c r="A25550" s="9" t="s">
        <v>1169</v>
      </c>
      <c r="B25550" s="10"/>
      <c r="C25550" s="10"/>
      <c r="D25550" s="10"/>
      <c r="E25550" s="10"/>
      <c r="F25550" s="10"/>
      <c r="G25550" s="10"/>
      <c r="H25550" s="10"/>
      <c r="I25550" s="10"/>
      <c r="J25550" s="10"/>
      <c r="K25550" s="10"/>
    </row>
    <row r="25551" customFormat="false" ht="15" hidden="false" customHeight="false" outlineLevel="0" collapsed="false">
      <c r="A25551" s="3" t="s">
        <v>1126</v>
      </c>
      <c r="C25551" s="11" t="n">
        <v>2</v>
      </c>
    </row>
    <row r="25552" customFormat="false" ht="15" hidden="false" customHeight="false" outlineLevel="0" collapsed="false">
      <c r="A25552" s="3" t="s">
        <v>1127</v>
      </c>
      <c r="C25552" s="19" t="n">
        <v>0</v>
      </c>
    </row>
    <row r="25553" customFormat="false" ht="15" hidden="false" customHeight="false" outlineLevel="0" collapsed="false">
      <c r="A25553" s="3" t="s">
        <v>1128</v>
      </c>
      <c r="C25553" s="19" t="n">
        <v>0</v>
      </c>
    </row>
    <row r="25554" customFormat="false" ht="15" hidden="false" customHeight="false" outlineLevel="0" collapsed="false">
      <c r="A25554" s="3" t="s">
        <v>1129</v>
      </c>
      <c r="C25554" s="30" t="n">
        <f aca="false">Sensitivities!$A$51</f>
        <v>-0.005</v>
      </c>
    </row>
    <row r="25555" customFormat="false" ht="15" hidden="false" customHeight="false" outlineLevel="0" collapsed="false">
      <c r="A25555" s="3" t="s">
        <v>1130</v>
      </c>
      <c r="C25555" s="15" t="n">
        <v>0</v>
      </c>
    </row>
    <row r="25557" customFormat="false" ht="15" hidden="false" customHeight="false" outlineLevel="0" collapsed="false">
      <c r="A25557" s="24" t="s">
        <v>301</v>
      </c>
      <c r="B25557" s="25"/>
      <c r="C25557" s="25"/>
      <c r="D25557" s="25"/>
      <c r="E25557" s="25"/>
      <c r="F25557" s="25"/>
      <c r="G25557" s="25"/>
      <c r="H25557" s="25"/>
      <c r="I25557" s="25"/>
      <c r="J25557" s="25"/>
      <c r="K25557" s="25"/>
    </row>
    <row r="25558" customFormat="false" ht="15" hidden="false" customHeight="false" outlineLevel="0" collapsed="false">
      <c r="A25558" s="3" t="s">
        <v>302</v>
      </c>
      <c r="F25558" s="27" t="n">
        <f aca="false">Assumptions!$C$6</f>
        <v>2026</v>
      </c>
      <c r="G25558" s="21" t="n">
        <f aca="false">F25558+1</f>
        <v>2027</v>
      </c>
      <c r="H25558" s="21" t="n">
        <f aca="false">G25558+1</f>
        <v>2028</v>
      </c>
      <c r="I25558" s="21" t="n">
        <f aca="false">H25558+1</f>
        <v>2029</v>
      </c>
      <c r="J25558" s="21" t="n">
        <f aca="false">I25558+1</f>
        <v>2030</v>
      </c>
      <c r="K25558" s="21" t="n">
        <f aca="false">J25558+1</f>
        <v>2031</v>
      </c>
    </row>
    <row r="25559" customFormat="false" ht="15" hidden="false" customHeight="false" outlineLevel="0" collapsed="false">
      <c r="A25559" s="3" t="s">
        <v>303</v>
      </c>
      <c r="G25559" s="21" t="n">
        <f aca="false">G25558-Assumptions!$C$6</f>
        <v>1</v>
      </c>
      <c r="H25559" s="21" t="n">
        <f aca="false">H25558-Assumptions!$C$6</f>
        <v>2</v>
      </c>
      <c r="I25559" s="21" t="n">
        <f aca="false">I25558-Assumptions!$C$6</f>
        <v>3</v>
      </c>
      <c r="J25559" s="21" t="n">
        <f aca="false">J25558-Assumptions!$C$6</f>
        <v>4</v>
      </c>
      <c r="K25559" s="21" t="n">
        <f aca="false">K25558-Assumptions!$C$6</f>
        <v>5</v>
      </c>
    </row>
    <row r="25560" customFormat="false" ht="15" hidden="false" customHeight="false" outlineLevel="0" collapsed="false">
      <c r="A25560" s="3" t="s">
        <v>180</v>
      </c>
      <c r="G25560" s="22" t="n">
        <f aca="false">CHOOSE($C$25551,Assumptions!$G$79,Assumptions!$G$98,Assumptions!$G$117)+$C$25552</f>
        <v>-0.06</v>
      </c>
      <c r="H25560" s="22" t="n">
        <f aca="false">CHOOSE($C$25551,Assumptions!$H$79,Assumptions!$H$98,Assumptions!$H$117)+$C$25552</f>
        <v>-0.03</v>
      </c>
      <c r="I25560" s="22" t="n">
        <f aca="false">CHOOSE($C$25551,Assumptions!$I$79,Assumptions!$I$98,Assumptions!$I$117)+$C$25552</f>
        <v>0</v>
      </c>
      <c r="J25560" s="22" t="n">
        <f aca="false">CHOOSE($C$25551,Assumptions!$J$79,Assumptions!$J$98,Assumptions!$J$117)+$C$25552</f>
        <v>0.01</v>
      </c>
      <c r="K25560" s="22" t="n">
        <f aca="false">CHOOSE($C$25551,Assumptions!$K$79,Assumptions!$K$98,Assumptions!$K$117)+$C$25552</f>
        <v>0.01</v>
      </c>
    </row>
    <row r="25561" customFormat="false" ht="15" hidden="false" customHeight="false" outlineLevel="0" collapsed="false">
      <c r="A25561" s="3" t="s">
        <v>181</v>
      </c>
      <c r="G25561" s="22" t="n">
        <f aca="false">CHOOSE($C$25551,Assumptions!$G$80,Assumptions!$G$99,Assumptions!$G$118)</f>
        <v>0.573920660818678</v>
      </c>
      <c r="H25561" s="22" t="n">
        <f aca="false">CHOOSE($C$25551,Assumptions!$H$80,Assumptions!$H$99,Assumptions!$H$118)</f>
        <v>0.558920660818678</v>
      </c>
      <c r="I25561" s="22" t="n">
        <f aca="false">CHOOSE($C$25551,Assumptions!$I$80,Assumptions!$I$99,Assumptions!$I$118)</f>
        <v>0.558920660818678</v>
      </c>
      <c r="J25561" s="22" t="n">
        <f aca="false">CHOOSE($C$25551,Assumptions!$J$80,Assumptions!$J$99,Assumptions!$J$118)</f>
        <v>0.563920660818678</v>
      </c>
      <c r="K25561" s="22" t="n">
        <f aca="false">CHOOSE($C$25551,Assumptions!$K$80,Assumptions!$K$99,Assumptions!$K$118)</f>
        <v>0.568920660818678</v>
      </c>
    </row>
    <row r="25562" customFormat="false" ht="15" hidden="false" customHeight="false" outlineLevel="0" collapsed="false">
      <c r="A25562" s="3" t="s">
        <v>182</v>
      </c>
      <c r="G25562" s="22" t="n">
        <f aca="false">CHOOSE($C$25551,Assumptions!$G$81,Assumptions!$G$100,Assumptions!$G$119)+$C$25553</f>
        <v>0.5</v>
      </c>
      <c r="H25562" s="22" t="n">
        <f aca="false">CHOOSE($C$25551,Assumptions!$H$81,Assumptions!$H$100,Assumptions!$H$119)+$C$25553</f>
        <v>0.485</v>
      </c>
      <c r="I25562" s="22" t="n">
        <f aca="false">CHOOSE($C$25551,Assumptions!$I$81,Assumptions!$I$100,Assumptions!$I$119)+$C$25553</f>
        <v>0.485</v>
      </c>
      <c r="J25562" s="22" t="n">
        <f aca="false">CHOOSE($C$25551,Assumptions!$J$81,Assumptions!$J$100,Assumptions!$J$119)+$C$25553</f>
        <v>0.49</v>
      </c>
      <c r="K25562" s="22" t="n">
        <f aca="false">CHOOSE($C$25551,Assumptions!$K$81,Assumptions!$K$100,Assumptions!$K$119)+$C$25553</f>
        <v>0.495</v>
      </c>
    </row>
    <row r="25563" customFormat="false" ht="15" hidden="false" customHeight="false" outlineLevel="0" collapsed="false">
      <c r="A25563" s="24" t="s">
        <v>304</v>
      </c>
      <c r="B25563" s="25"/>
      <c r="C25563" s="25"/>
      <c r="D25563" s="25"/>
      <c r="E25563" s="25"/>
      <c r="F25563" s="25"/>
      <c r="G25563" s="25"/>
      <c r="H25563" s="25"/>
      <c r="I25563" s="25"/>
      <c r="J25563" s="25"/>
      <c r="K25563" s="25"/>
    </row>
    <row r="25564" customFormat="false" ht="15" hidden="false" customHeight="false" outlineLevel="0" collapsed="false">
      <c r="A25564" s="2" t="s">
        <v>275</v>
      </c>
      <c r="F25564" s="28" t="n">
        <f aca="false">'Historical Financials'!G25</f>
        <v>498.291</v>
      </c>
      <c r="G25564" s="17" t="n">
        <f aca="false">F25564*(1+G25560)</f>
        <v>468.39354</v>
      </c>
      <c r="H25564" s="17" t="n">
        <f aca="false">G25564*(1+H25560)</f>
        <v>454.3417338</v>
      </c>
      <c r="I25564" s="17" t="n">
        <f aca="false">H25564*(1+I25560)</f>
        <v>454.3417338</v>
      </c>
      <c r="J25564" s="17" t="n">
        <f aca="false">I25564*(1+J25560)</f>
        <v>458.885151138</v>
      </c>
      <c r="K25564" s="17" t="n">
        <f aca="false">J25564*(1+K25560)</f>
        <v>463.47400264938</v>
      </c>
    </row>
    <row r="25565" customFormat="false" ht="15" hidden="false" customHeight="false" outlineLevel="0" collapsed="false">
      <c r="A25565" s="3" t="s">
        <v>276</v>
      </c>
      <c r="G25565" s="16" t="n">
        <f aca="false">G25564*(1-G25561)</f>
        <v>199.57281</v>
      </c>
      <c r="H25565" s="16" t="n">
        <f aca="false">H25564*(1-H25561)</f>
        <v>200.400751707</v>
      </c>
      <c r="I25565" s="16" t="n">
        <f aca="false">I25564*(1-I25561)</f>
        <v>200.400751707</v>
      </c>
      <c r="J25565" s="16" t="n">
        <f aca="false">J25564*(1-J25561)</f>
        <v>200.11033346838</v>
      </c>
      <c r="K25565" s="16" t="n">
        <f aca="false">K25564*(1-K25561)</f>
        <v>199.794066789817</v>
      </c>
    </row>
    <row r="25566" customFormat="false" ht="15" hidden="false" customHeight="false" outlineLevel="0" collapsed="false">
      <c r="A25566" s="2" t="s">
        <v>277</v>
      </c>
      <c r="G25566" s="17" t="n">
        <f aca="false">G25564-G25565</f>
        <v>268.82073</v>
      </c>
      <c r="H25566" s="17" t="n">
        <f aca="false">H25564-H25565</f>
        <v>253.940982093</v>
      </c>
      <c r="I25566" s="17" t="n">
        <f aca="false">I25564-I25565</f>
        <v>253.940982093</v>
      </c>
      <c r="J25566" s="17" t="n">
        <f aca="false">J25564-J25565</f>
        <v>258.77481766962</v>
      </c>
      <c r="K25566" s="17" t="n">
        <f aca="false">K25564-K25565</f>
        <v>263.679935859563</v>
      </c>
    </row>
    <row r="25567" customFormat="false" ht="15" hidden="false" customHeight="false" outlineLevel="0" collapsed="false">
      <c r="A25567" s="3" t="s">
        <v>305</v>
      </c>
      <c r="G25567" s="16" t="n">
        <f aca="false">G25566-G25568</f>
        <v>34.62396</v>
      </c>
      <c r="H25567" s="16" t="n">
        <f aca="false">H25566-H25568</f>
        <v>33.5852412</v>
      </c>
      <c r="I25567" s="16" t="n">
        <f aca="false">I25566-I25568</f>
        <v>33.5852412</v>
      </c>
      <c r="J25567" s="16" t="n">
        <f aca="false">J25566-J25568</f>
        <v>33.921093612</v>
      </c>
      <c r="K25567" s="16" t="n">
        <f aca="false">K25566-K25568</f>
        <v>34.26030454812</v>
      </c>
    </row>
    <row r="25568" customFormat="false" ht="15" hidden="false" customHeight="false" outlineLevel="0" collapsed="false">
      <c r="A25568" s="2" t="s">
        <v>306</v>
      </c>
      <c r="G25568" s="17" t="n">
        <f aca="false">G25564*G25562</f>
        <v>234.19677</v>
      </c>
      <c r="H25568" s="17" t="n">
        <f aca="false">H25564*H25562</f>
        <v>220.355740893</v>
      </c>
      <c r="I25568" s="17" t="n">
        <f aca="false">I25564*I25562</f>
        <v>220.355740893</v>
      </c>
      <c r="J25568" s="17" t="n">
        <f aca="false">J25564*J25562</f>
        <v>224.85372405762</v>
      </c>
      <c r="K25568" s="17" t="n">
        <f aca="false">K25564*K25562</f>
        <v>229.419631311443</v>
      </c>
    </row>
    <row r="25569" customFormat="false" ht="15" hidden="false" customHeight="false" outlineLevel="0" collapsed="false">
      <c r="A25569" s="3" t="s">
        <v>307</v>
      </c>
      <c r="G25569" s="16" t="n">
        <f aca="false">G25564*'Historical Financials'!G30/'Historical Financials'!G25</f>
        <v>174.17542</v>
      </c>
      <c r="H25569" s="16" t="n">
        <f aca="false">H25564*'Historical Financials'!G30/'Historical Financials'!G25</f>
        <v>168.9501574</v>
      </c>
      <c r="I25569" s="16" t="n">
        <f aca="false">I25564*'Historical Financials'!G30/'Historical Financials'!G25</f>
        <v>168.9501574</v>
      </c>
      <c r="J25569" s="16" t="n">
        <f aca="false">J25564*'Historical Financials'!G30/'Historical Financials'!G25</f>
        <v>170.639658974</v>
      </c>
      <c r="K25569" s="16" t="n">
        <f aca="false">K25564*'Historical Financials'!G30/'Historical Financials'!G25</f>
        <v>172.34605556374</v>
      </c>
    </row>
    <row r="25570" customFormat="false" ht="15" hidden="false" customHeight="false" outlineLevel="0" collapsed="false">
      <c r="A25570" s="3" t="s">
        <v>308</v>
      </c>
      <c r="G25570" s="16" t="n">
        <f aca="false">G25564*'Historical Financials'!G31/'Historical Financials'!G25</f>
        <v>0</v>
      </c>
      <c r="H25570" s="16" t="n">
        <f aca="false">H25564*'Historical Financials'!G31/'Historical Financials'!G25</f>
        <v>0</v>
      </c>
      <c r="I25570" s="16" t="n">
        <f aca="false">I25564*'Historical Financials'!G31/'Historical Financials'!G25</f>
        <v>0</v>
      </c>
      <c r="J25570" s="16" t="n">
        <f aca="false">J25564*'Historical Financials'!G31/'Historical Financials'!G25</f>
        <v>0</v>
      </c>
      <c r="K25570" s="16" t="n">
        <f aca="false">K25564*'Historical Financials'!G31/'Historical Financials'!G25</f>
        <v>0</v>
      </c>
    </row>
    <row r="25571" customFormat="false" ht="15" hidden="false" customHeight="false" outlineLevel="0" collapsed="false">
      <c r="A25571" s="2" t="s">
        <v>309</v>
      </c>
      <c r="G25571" s="17" t="n">
        <f aca="false">G25568-G25569-G25570</f>
        <v>60.02135</v>
      </c>
      <c r="H25571" s="17" t="n">
        <f aca="false">H25568-H25569-H25570</f>
        <v>51.405583493</v>
      </c>
      <c r="I25571" s="17" t="n">
        <f aca="false">I25568-I25569-I25570</f>
        <v>51.405583493</v>
      </c>
      <c r="J25571" s="17" t="n">
        <f aca="false">J25568-J25569-J25570</f>
        <v>54.21406508362</v>
      </c>
      <c r="K25571" s="17" t="n">
        <f aca="false">K25568-K25569-K25570</f>
        <v>57.0735757477031</v>
      </c>
    </row>
    <row r="25572" customFormat="false" ht="15" hidden="false" customHeight="false" outlineLevel="0" collapsed="false">
      <c r="A25572" s="3" t="s">
        <v>310</v>
      </c>
      <c r="G25572" s="16" t="n">
        <f aca="false">G25598+G25611+G25624+G25637+G25650+G25663+G25676+G25689+G25702+G25715</f>
        <v>184.9957854</v>
      </c>
      <c r="H25572" s="16" t="n">
        <f aca="false">H25598+H25611+H25624+H25637+H25650+H25663+H25676+H25689+H25702+H25715</f>
        <v>183.8778704</v>
      </c>
      <c r="I25572" s="16" t="n">
        <f aca="false">I25598+I25611+I25624+I25637+I25650+I25663+I25676+I25689+I25702+I25715</f>
        <v>180.1952155863</v>
      </c>
      <c r="J25572" s="16" t="n">
        <f aca="false">J25598+J25611+J25624+J25637+J25650+J25663+J25676+J25689+J25702+J25715</f>
        <v>179.8052155863</v>
      </c>
      <c r="K25572" s="16" t="n">
        <f aca="false">K25598+K25611+K25624+K25637+K25650+K25663+K25676+K25689+K25702+K25715</f>
        <v>179.4152155863</v>
      </c>
    </row>
    <row r="25573" customFormat="false" ht="15" hidden="false" customHeight="false" outlineLevel="0" collapsed="false">
      <c r="A25573" s="3" t="s">
        <v>311</v>
      </c>
      <c r="G25573" s="16" t="n">
        <f aca="false">G25599+G25612+G25625+G25638+G25651+G25664+G25677+G25690+G25703+G25716</f>
        <v>0</v>
      </c>
      <c r="H25573" s="16" t="n">
        <f aca="false">H25599+H25612+H25625+H25638+H25651+H25664+H25677+H25690+H25703+H25716</f>
        <v>0</v>
      </c>
      <c r="I25573" s="16" t="n">
        <f aca="false">I25599+I25612+I25625+I25638+I25651+I25664+I25677+I25690+I25703+I25716</f>
        <v>0</v>
      </c>
      <c r="J25573" s="16" t="n">
        <f aca="false">J25599+J25612+J25625+J25638+J25651+J25664+J25677+J25690+J25703+J25716</f>
        <v>0</v>
      </c>
      <c r="K25573" s="16" t="n">
        <f aca="false">K25599+K25612+K25625+K25638+K25651+K25664+K25677+K25690+K25703+K25716</f>
        <v>0</v>
      </c>
    </row>
    <row r="25574" customFormat="false" ht="15" hidden="false" customHeight="false" outlineLevel="0" collapsed="false">
      <c r="A25574" s="3" t="s">
        <v>283</v>
      </c>
      <c r="G25574" s="16" t="n">
        <f aca="false">G25572+G25573</f>
        <v>184.9957854</v>
      </c>
      <c r="H25574" s="16" t="n">
        <f aca="false">H25572+H25573</f>
        <v>183.8778704</v>
      </c>
      <c r="I25574" s="16" t="n">
        <f aca="false">I25572+I25573</f>
        <v>180.1952155863</v>
      </c>
      <c r="J25574" s="16" t="n">
        <f aca="false">J25572+J25573</f>
        <v>179.8052155863</v>
      </c>
      <c r="K25574" s="16" t="n">
        <f aca="false">K25572+K25573</f>
        <v>179.4152155863</v>
      </c>
    </row>
    <row r="25575" customFormat="false" ht="15" hidden="false" customHeight="false" outlineLevel="0" collapsed="false">
      <c r="A25575" s="2" t="s">
        <v>284</v>
      </c>
      <c r="G25575" s="17" t="n">
        <f aca="false">G25571-G25574</f>
        <v>-124.9744354</v>
      </c>
      <c r="H25575" s="17" t="n">
        <f aca="false">H25571-H25574</f>
        <v>-132.472286907</v>
      </c>
      <c r="I25575" s="17" t="n">
        <f aca="false">I25571-I25574</f>
        <v>-128.789632093299</v>
      </c>
      <c r="J25575" s="17" t="n">
        <f aca="false">J25571-J25574</f>
        <v>-125.591150502679</v>
      </c>
      <c r="K25575" s="17" t="n">
        <f aca="false">K25571-K25574</f>
        <v>-122.341639838596</v>
      </c>
    </row>
    <row r="25576" customFormat="false" ht="15" hidden="false" customHeight="false" outlineLevel="0" collapsed="false">
      <c r="A25576" s="3" t="s">
        <v>312</v>
      </c>
      <c r="G25576" s="16" t="n">
        <f aca="false">MAX(0,G25575)*Assumptions!$C$9</f>
        <v>0</v>
      </c>
      <c r="H25576" s="16" t="n">
        <f aca="false">MAX(0,H25575)*Assumptions!$C$9</f>
        <v>0</v>
      </c>
      <c r="I25576" s="16" t="n">
        <f aca="false">MAX(0,I25575)*Assumptions!$C$9</f>
        <v>0</v>
      </c>
      <c r="J25576" s="16" t="n">
        <f aca="false">MAX(0,J25575)*Assumptions!$C$9</f>
        <v>0</v>
      </c>
      <c r="K25576" s="16" t="n">
        <f aca="false">MAX(0,K25575)*Assumptions!$C$9</f>
        <v>0</v>
      </c>
    </row>
    <row r="25577" customFormat="false" ht="15" hidden="false" customHeight="false" outlineLevel="0" collapsed="false">
      <c r="A25577" s="2" t="s">
        <v>313</v>
      </c>
      <c r="G25577" s="17" t="n">
        <f aca="false">G25575-G25576</f>
        <v>-124.9744354</v>
      </c>
      <c r="H25577" s="17" t="n">
        <f aca="false">H25575-H25576</f>
        <v>-132.472286907</v>
      </c>
      <c r="I25577" s="17" t="n">
        <f aca="false">I25575-I25576</f>
        <v>-128.789632093299</v>
      </c>
      <c r="J25577" s="17" t="n">
        <f aca="false">J25575-J25576</f>
        <v>-125.591150502679</v>
      </c>
      <c r="K25577" s="17" t="n">
        <f aca="false">K25575-K25576</f>
        <v>-122.341639838596</v>
      </c>
    </row>
    <row r="25578" customFormat="false" ht="15" hidden="false" customHeight="false" outlineLevel="0" collapsed="false">
      <c r="A25578" s="24" t="s">
        <v>314</v>
      </c>
      <c r="B25578" s="25"/>
      <c r="C25578" s="25"/>
      <c r="D25578" s="25"/>
      <c r="E25578" s="25"/>
      <c r="F25578" s="25"/>
      <c r="G25578" s="25"/>
      <c r="H25578" s="25"/>
      <c r="I25578" s="25"/>
      <c r="J25578" s="25"/>
      <c r="K25578" s="25"/>
    </row>
    <row r="25579" customFormat="false" ht="15" hidden="false" customHeight="false" outlineLevel="0" collapsed="false">
      <c r="A25579" s="3" t="s">
        <v>184</v>
      </c>
      <c r="G25579" s="16" t="n">
        <f aca="false">G25564*CHOOSE($C$25551,Assumptions!$C$83,Assumptions!$C$102,Assumptions!$C$121)</f>
        <v>84.3108372</v>
      </c>
      <c r="H25579" s="16" t="n">
        <f aca="false">H25564*CHOOSE($C$25551,Assumptions!$C$83,Assumptions!$C$102,Assumptions!$C$121)</f>
        <v>81.781512084</v>
      </c>
      <c r="I25579" s="16" t="n">
        <f aca="false">I25564*CHOOSE($C$25551,Assumptions!$C$83,Assumptions!$C$102,Assumptions!$C$121)</f>
        <v>81.781512084</v>
      </c>
      <c r="J25579" s="16" t="n">
        <f aca="false">J25564*CHOOSE($C$25551,Assumptions!$C$83,Assumptions!$C$102,Assumptions!$C$121)</f>
        <v>82.59932720484</v>
      </c>
      <c r="K25579" s="16" t="n">
        <f aca="false">K25564*CHOOSE($C$25551,Assumptions!$C$83,Assumptions!$C$102,Assumptions!$C$121)</f>
        <v>83.4253204768884</v>
      </c>
    </row>
    <row r="25580" customFormat="false" ht="15" hidden="false" customHeight="false" outlineLevel="0" collapsed="false">
      <c r="A25580" s="3" t="s">
        <v>315</v>
      </c>
      <c r="G25580" s="16" t="n">
        <f aca="false">CHOOSE($C$25551,Assumptions!$C$84,Assumptions!$C$103,Assumptions!$C$122)*(G25564-F25564)+CHOOSE($C$25551,Assumptions!$C$85,Assumptions!$C$104,Assumptions!$C$123)*G25564</f>
        <v>23.419677</v>
      </c>
      <c r="H25580" s="16" t="n">
        <f aca="false">CHOOSE($C$25551,Assumptions!$C$84,Assumptions!$C$103,Assumptions!$C$122)*(H25564-G25564)+CHOOSE($C$25551,Assumptions!$C$85,Assumptions!$C$104,Assumptions!$C$123)*H25564</f>
        <v>22.71708669</v>
      </c>
      <c r="I25580" s="16" t="n">
        <f aca="false">CHOOSE($C$25551,Assumptions!$C$84,Assumptions!$C$103,Assumptions!$C$122)*(I25564-H25564)+CHOOSE($C$25551,Assumptions!$C$85,Assumptions!$C$104,Assumptions!$C$123)*I25564</f>
        <v>22.71708669</v>
      </c>
      <c r="J25580" s="16" t="n">
        <f aca="false">CHOOSE($C$25551,Assumptions!$C$84,Assumptions!$C$103,Assumptions!$C$122)*(J25564-I25564)+CHOOSE($C$25551,Assumptions!$C$85,Assumptions!$C$104,Assumptions!$C$123)*J25564</f>
        <v>22.9442575569</v>
      </c>
      <c r="K25580" s="16" t="n">
        <f aca="false">CHOOSE($C$25551,Assumptions!$C$84,Assumptions!$C$103,Assumptions!$C$122)*(K25564-J25564)+CHOOSE($C$25551,Assumptions!$C$85,Assumptions!$C$104,Assumptions!$C$123)*K25564</f>
        <v>23.173700132469</v>
      </c>
    </row>
    <row r="25581" customFormat="false" ht="15" hidden="false" customHeight="false" outlineLevel="0" collapsed="false">
      <c r="A25581" s="2" t="s">
        <v>316</v>
      </c>
      <c r="G25581" s="17" t="n">
        <f aca="false">G25577+G25569+G25570+G25573-G25579-G25580</f>
        <v>-58.5295296</v>
      </c>
      <c r="H25581" s="17" t="n">
        <f aca="false">H25577+H25569+H25570+H25573-H25579-H25580</f>
        <v>-68.020728281</v>
      </c>
      <c r="I25581" s="17" t="n">
        <f aca="false">I25577+I25569+I25570+I25573-I25579-I25580</f>
        <v>-64.3380734672995</v>
      </c>
      <c r="J25581" s="17" t="n">
        <f aca="false">J25577+J25569+J25570+J25573-J25579-J25580</f>
        <v>-60.4950762904195</v>
      </c>
      <c r="K25581" s="17" t="n">
        <f aca="false">K25577+K25569+K25570+K25573-K25579-K25580</f>
        <v>-56.5946048842138</v>
      </c>
    </row>
    <row r="25583" customFormat="false" ht="15" hidden="false" customHeight="false" outlineLevel="0" collapsed="false">
      <c r="A25583" s="24" t="s">
        <v>318</v>
      </c>
      <c r="B25583" s="25"/>
      <c r="C25583" s="25"/>
      <c r="D25583" s="25"/>
      <c r="E25583" s="25"/>
      <c r="F25583" s="25"/>
      <c r="G25583" s="25"/>
      <c r="H25583" s="25"/>
      <c r="I25583" s="25"/>
      <c r="J25583" s="25"/>
      <c r="K25583" s="25"/>
    </row>
    <row r="25584" customFormat="false" ht="15" hidden="false" customHeight="false" outlineLevel="0" collapsed="false">
      <c r="A25584" s="3" t="s">
        <v>319</v>
      </c>
      <c r="G25584" s="30" t="n">
        <f aca="false">Assumptions!$G$53</f>
        <v>0.039</v>
      </c>
      <c r="H25584" s="30" t="n">
        <f aca="false">Assumptions!$H$53</f>
        <v>0.0375</v>
      </c>
      <c r="I25584" s="30" t="n">
        <f aca="false">Assumptions!$I$53</f>
        <v>0.035</v>
      </c>
      <c r="J25584" s="30" t="n">
        <f aca="false">Assumptions!$J$53</f>
        <v>0.035</v>
      </c>
      <c r="K25584" s="30" t="n">
        <f aca="false">Assumptions!$K$53</f>
        <v>0.035</v>
      </c>
    </row>
    <row r="25585" customFormat="false" ht="15" hidden="false" customHeight="false" outlineLevel="0" collapsed="false">
      <c r="A25585" s="3" t="s">
        <v>320</v>
      </c>
      <c r="C25585" s="31" t="n">
        <f aca="false">CHOOSE($C$25551,Assumptions!$C$86,Assumptions!$C$105,Assumptions!$C$124)+$C$25554</f>
        <v>0.01</v>
      </c>
    </row>
    <row r="25586" customFormat="false" ht="15" hidden="false" customHeight="false" outlineLevel="0" collapsed="false">
      <c r="A25586" s="3" t="s">
        <v>321</v>
      </c>
      <c r="C25586" s="31" t="n">
        <f aca="false">CHOOSE($C$25551,Assumptions!$C$87,Assumptions!$C$106,Assumptions!$C$125)</f>
        <v>0.1</v>
      </c>
    </row>
    <row r="25587" customFormat="false" ht="15" hidden="false" customHeight="false" outlineLevel="0" collapsed="false">
      <c r="A25587" s="3" t="s">
        <v>322</v>
      </c>
      <c r="C25587" s="32" t="n">
        <f aca="false">CHOOSE($C$25551,Assumptions!$C$88,Assumptions!$C$107,Assumptions!$C$126)</f>
        <v>9.5</v>
      </c>
    </row>
    <row r="25588" customFormat="false" ht="15" hidden="false" customHeight="false" outlineLevel="0" collapsed="false">
      <c r="A25588" s="3" t="s">
        <v>323</v>
      </c>
      <c r="C25588" s="32" t="n">
        <f aca="false">CHOOSE($C$25551,Assumptions!$C$89,Assumptions!$C$108,Assumptions!$C$127)</f>
        <v>1.5</v>
      </c>
    </row>
    <row r="25589" customFormat="false" ht="15" hidden="false" customHeight="false" outlineLevel="0" collapsed="false">
      <c r="A25589" s="3" t="s">
        <v>324</v>
      </c>
      <c r="G25589" s="16" t="n">
        <f aca="false">G25594+G25607+G25620+G25633+G25646+G25659+G25672+G25685+G25698+G25711</f>
        <v>2625.934</v>
      </c>
      <c r="H25589" s="16" t="n">
        <f aca="false">H25594+H25607+H25620+H25633+H25646+H25659+H25672+H25685+H25698+H25711</f>
        <v>2621.934</v>
      </c>
      <c r="I25589" s="16" t="n">
        <f aca="false">I25594+I25607+I25620+I25633+I25646+I25659+I25672+I25685+I25698+I25711</f>
        <v>2564.614257881</v>
      </c>
      <c r="J25589" s="16" t="n">
        <f aca="false">J25594+J25607+J25620+J25633+J25646+J25659+J25672+J25685+J25698+J25711</f>
        <v>2560.614257881</v>
      </c>
      <c r="K25589" s="16" t="n">
        <f aca="false">K25594+K25607+K25620+K25633+K25646+K25659+K25672+K25685+K25698+K25711</f>
        <v>2556.614257881</v>
      </c>
    </row>
    <row r="25590" customFormat="false" ht="15" hidden="false" customHeight="false" outlineLevel="0" collapsed="false">
      <c r="A25590" s="3" t="s">
        <v>325</v>
      </c>
      <c r="G25590" s="16" t="n">
        <f aca="false">F25782</f>
        <v>37.87</v>
      </c>
      <c r="H25590" s="16" t="n">
        <f aca="false">G25782</f>
        <v>125.3404704</v>
      </c>
      <c r="I25590" s="16" t="n">
        <f aca="false">H25782</f>
        <v>0</v>
      </c>
      <c r="J25590" s="16" t="n">
        <f aca="false">I25782</f>
        <v>-68.3380734672995</v>
      </c>
      <c r="K25590" s="16" t="n">
        <f aca="false">J25782</f>
        <v>-132.833149757719</v>
      </c>
    </row>
    <row r="25591" customFormat="false" ht="15" hidden="false" customHeight="false" outlineLevel="0" collapsed="false">
      <c r="A25591" s="3" t="s">
        <v>326</v>
      </c>
      <c r="G25591" s="16" t="n">
        <f aca="false">G25594*IF(G25595=1,$C$25586,IF(Assumptions!$I$57=1,MAX(G25584,Assumptions!$G$57)+Assumptions!$F$57+$C$25585,Assumptions!$E$57))+G25607*IF(G25608=1,$C$25586,IF(Assumptions!$I$58=1,MAX(G25584,Assumptions!$G$58)+Assumptions!$F$58+$C$25585,Assumptions!$E$58))+G25620*IF(G25621=1,$C$25586,IF(Assumptions!$I$59=1,MAX(G25584,Assumptions!$G$59)+Assumptions!$F$59+$C$25585,Assumptions!$E$59))+G25633*IF(G25634=1,$C$25586,IF(Assumptions!$I$60=1,MAX(G25584,Assumptions!$G$60)+Assumptions!$F$60+$C$25585,Assumptions!$E$60))+G25646*IF(G25647=1,$C$25586,IF(Assumptions!$I$61=1,MAX(G25584,Assumptions!$G$61)+Assumptions!$F$61+$C$25585,Assumptions!$E$61))+G25659*IF(G25660=1,$C$25586,IF(Assumptions!$I$62=1,MAX(G25584,Assumptions!$G$62)+Assumptions!$F$62+$C$25585,Assumptions!$E$62))+G25672*IF(G25673=1,$C$25586,IF(Assumptions!$I$63=1,MAX(G25584,Assumptions!$G$63)+Assumptions!$F$63+$C$25585,Assumptions!$E$63))+G25685*IF(G25686=1,$C$25586,IF(Assumptions!$I$64=1,MAX(G25584,Assumptions!$G$64)+Assumptions!$F$64+$C$25585,Assumptions!$E$64))+G25698*IF(G25699=1,$C$25586,IF(Assumptions!$I$65=1,MAX(G25584,Assumptions!$G$65)+Assumptions!$F$65+$C$25585,Assumptions!$E$65))+G25711*IF(G25712=1,$C$25586,IF(Assumptions!$I$66=1,MAX(G25584,Assumptions!$G$66)+Assumptions!$F$66+$C$25585,Assumptions!$E$66))</f>
        <v>184.9957854</v>
      </c>
      <c r="H25591" s="16" t="n">
        <f aca="false">H25594*IF(OR(H25595=1,G25904=1),$C$25586,IF(Assumptions!$I$57=1,MAX(H25584,Assumptions!$G$57)+Assumptions!$F$57+$C$25585,Assumptions!$E$57))+H25607*IF(OR(H25608=1,G25905=1),$C$25586,IF(Assumptions!$I$58=1,MAX(H25584,Assumptions!$G$58)+Assumptions!$F$58+$C$25585,Assumptions!$E$58))+H25620*IF(OR(H25621=1,G25906=1),$C$25586,IF(Assumptions!$I$59=1,MAX(H25584,Assumptions!$G$59)+Assumptions!$F$59+$C$25585,Assumptions!$E$59))+H25633*IF(OR(H25634=1,G25907=1),$C$25586,IF(Assumptions!$I$60=1,MAX(H25584,Assumptions!$G$60)+Assumptions!$F$60+$C$25585,Assumptions!$E$60))+H25646*IF(OR(H25647=1,G25908=1),$C$25586,IF(Assumptions!$I$61=1,MAX(H25584,Assumptions!$G$61)+Assumptions!$F$61+$C$25585,Assumptions!$E$61))+H25659*IF(OR(H25660=1,G25909=1),$C$25586,IF(Assumptions!$I$62=1,MAX(H25584,Assumptions!$G$62)+Assumptions!$F$62+$C$25585,Assumptions!$E$62))+H25672*IF(OR(H25673=1,G25910=1),$C$25586,IF(Assumptions!$I$63=1,MAX(H25584,Assumptions!$G$63)+Assumptions!$F$63+$C$25585,Assumptions!$E$63))+H25685*IF(OR(H25686=1,G25911=1),$C$25586,IF(Assumptions!$I$64=1,MAX(H25584,Assumptions!$G$64)+Assumptions!$F$64+$C$25585,Assumptions!$E$64))+H25698*IF(OR(H25699=1,G25912=1),$C$25586,IF(Assumptions!$I$65=1,MAX(H25584,Assumptions!$G$65)+Assumptions!$F$65+$C$25585,Assumptions!$E$65))+H25711*IF(OR(H25712=1,G25913=1),$C$25586,IF(Assumptions!$I$66=1,MAX(H25584,Assumptions!$G$66)+Assumptions!$F$66+$C$25585,Assumptions!$E$66))</f>
        <v>217.0528704</v>
      </c>
      <c r="I25591" s="16" t="n">
        <f aca="false">I25594*IF(OR(I25595=1,H25904=1),$C$25586,IF(Assumptions!$I$57=1,MAX(I25584,Assumptions!$G$57)+Assumptions!$F$57+$C$25585,Assumptions!$E$57))+I25607*IF(OR(I25608=1,H25905=1),$C$25586,IF(Assumptions!$I$58=1,MAX(I25584,Assumptions!$G$58)+Assumptions!$F$58+$C$25585,Assumptions!$E$58))+I25620*IF(OR(I25621=1,H25906=1),$C$25586,IF(Assumptions!$I$59=1,MAX(I25584,Assumptions!$G$59)+Assumptions!$F$59+$C$25585,Assumptions!$E$59))+I25633*IF(OR(I25634=1,H25907=1),$C$25586,IF(Assumptions!$I$60=1,MAX(I25584,Assumptions!$G$60)+Assumptions!$F$60+$C$25585,Assumptions!$E$60))+I25646*IF(OR(I25647=1,H25908=1),$C$25586,IF(Assumptions!$I$61=1,MAX(I25584,Assumptions!$G$61)+Assumptions!$F$61+$C$25585,Assumptions!$E$61))+I25659*IF(OR(I25660=1,H25909=1),$C$25586,IF(Assumptions!$I$62=1,MAX(I25584,Assumptions!$G$62)+Assumptions!$F$62+$C$25585,Assumptions!$E$62))+I25672*IF(OR(I25673=1,H25910=1),$C$25586,IF(Assumptions!$I$63=1,MAX(I25584,Assumptions!$G$63)+Assumptions!$F$63+$C$25585,Assumptions!$E$63))+I25685*IF(OR(I25686=1,H25911=1),$C$25586,IF(Assumptions!$I$64=1,MAX(I25584,Assumptions!$G$64)+Assumptions!$F$64+$C$25585,Assumptions!$E$64))+I25698*IF(OR(I25699=1,H25912=1),$C$25586,IF(Assumptions!$I$65=1,MAX(I25584,Assumptions!$G$65)+Assumptions!$F$65+$C$25585,Assumptions!$E$65))+I25711*IF(OR(I25712=1,H25913=1),$C$25586,IF(Assumptions!$I$66=1,MAX(I25584,Assumptions!$G$66)+Assumptions!$F$66+$C$25585,Assumptions!$E$66))</f>
        <v>186.3827155863</v>
      </c>
      <c r="J25591" s="16" t="n">
        <f aca="false">J25594*IF(OR(J25595=1,I25904=1),$C$25586,IF(Assumptions!$I$57=1,MAX(J25584,Assumptions!$G$57)+Assumptions!$F$57+$C$25585,Assumptions!$E$57))+J25607*IF(OR(J25608=1,I25905=1),$C$25586,IF(Assumptions!$I$58=1,MAX(J25584,Assumptions!$G$58)+Assumptions!$F$58+$C$25585,Assumptions!$E$58))+J25620*IF(OR(J25621=1,I25906=1),$C$25586,IF(Assumptions!$I$59=1,MAX(J25584,Assumptions!$G$59)+Assumptions!$F$59+$C$25585,Assumptions!$E$59))+J25633*IF(OR(J25634=1,I25907=1),$C$25586,IF(Assumptions!$I$60=1,MAX(J25584,Assumptions!$G$60)+Assumptions!$F$60+$C$25585,Assumptions!$E$60))+J25646*IF(OR(J25647=1,I25908=1),$C$25586,IF(Assumptions!$I$61=1,MAX(J25584,Assumptions!$G$61)+Assumptions!$F$61+$C$25585,Assumptions!$E$61))+J25659*IF(OR(J25660=1,I25909=1),$C$25586,IF(Assumptions!$I$62=1,MAX(J25584,Assumptions!$G$62)+Assumptions!$F$62+$C$25585,Assumptions!$E$62))+J25672*IF(OR(J25673=1,I25910=1),$C$25586,IF(Assumptions!$I$63=1,MAX(J25584,Assumptions!$G$63)+Assumptions!$F$63+$C$25585,Assumptions!$E$63))+J25685*IF(OR(J25686=1,I25911=1),$C$25586,IF(Assumptions!$I$64=1,MAX(J25584,Assumptions!$G$64)+Assumptions!$F$64+$C$25585,Assumptions!$E$64))+J25698*IF(OR(J25699=1,I25912=1),$C$25586,IF(Assumptions!$I$65=1,MAX(J25584,Assumptions!$G$65)+Assumptions!$F$65+$C$25585,Assumptions!$E$65))+J25711*IF(OR(J25712=1,I25913=1),$C$25586,IF(Assumptions!$I$66=1,MAX(J25584,Assumptions!$G$66)+Assumptions!$F$66+$C$25585,Assumptions!$E$66))</f>
        <v>198.8802155863</v>
      </c>
      <c r="K25591" s="16" t="n">
        <f aca="false">K25594*IF(OR(K25595=1,J25904=1),$C$25586,IF(Assumptions!$I$57=1,MAX(K25584,Assumptions!$G$57)+Assumptions!$F$57+$C$25585,Assumptions!$E$57))+K25607*IF(OR(K25608=1,J25905=1),$C$25586,IF(Assumptions!$I$58=1,MAX(K25584,Assumptions!$G$58)+Assumptions!$F$58+$C$25585,Assumptions!$E$58))+K25620*IF(OR(K25621=1,J25906=1),$C$25586,IF(Assumptions!$I$59=1,MAX(K25584,Assumptions!$G$59)+Assumptions!$F$59+$C$25585,Assumptions!$E$59))+K25633*IF(OR(K25634=1,J25907=1),$C$25586,IF(Assumptions!$I$60=1,MAX(K25584,Assumptions!$G$60)+Assumptions!$F$60+$C$25585,Assumptions!$E$60))+K25646*IF(OR(K25647=1,J25908=1),$C$25586,IF(Assumptions!$I$61=1,MAX(K25584,Assumptions!$G$61)+Assumptions!$F$61+$C$25585,Assumptions!$E$61))+K25659*IF(OR(K25660=1,J25909=1),$C$25586,IF(Assumptions!$I$62=1,MAX(K25584,Assumptions!$G$62)+Assumptions!$F$62+$C$25585,Assumptions!$E$62))+K25672*IF(OR(K25673=1,J25910=1),$C$25586,IF(Assumptions!$I$63=1,MAX(K25584,Assumptions!$G$63)+Assumptions!$F$63+$C$25585,Assumptions!$E$63))+K25685*IF(OR(K25686=1,J25911=1),$C$25586,IF(Assumptions!$I$64=1,MAX(K25584,Assumptions!$G$64)+Assumptions!$F$64+$C$25585,Assumptions!$E$64))+K25698*IF(OR(K25699=1,J25912=1),$C$25586,IF(Assumptions!$I$65=1,MAX(K25584,Assumptions!$G$65)+Assumptions!$F$65+$C$25585,Assumptions!$E$65))+K25711*IF(OR(K25712=1,J25913=1),$C$25586,IF(Assumptions!$I$66=1,MAX(K25584,Assumptions!$G$66)+Assumptions!$F$66+$C$25585,Assumptions!$E$66))</f>
        <v>192.0002155863</v>
      </c>
    </row>
    <row r="25592" customFormat="false" ht="15" hidden="false" customHeight="false" outlineLevel="0" collapsed="false">
      <c r="A25592" s="3" t="s">
        <v>327</v>
      </c>
      <c r="G25592" s="21" t="n">
        <f aca="false">IF(G25568&lt;=0,0,IF(AND((G25589-G25590)/G25568&lt;=$C$25587,G25568/G25591&gt;=$C$25588),1,0))</f>
        <v>0</v>
      </c>
      <c r="H25592" s="21" t="n">
        <f aca="false">IF(H25568&lt;=0,0,IF(AND((H25589-H25590)/H25568&lt;=$C$25587,H25568/H25591&gt;=$C$25588),1,0))</f>
        <v>0</v>
      </c>
      <c r="I25592" s="21" t="n">
        <f aca="false">IF(I25568&lt;=0,0,IF(AND((I25589-I25590)/I25568&lt;=$C$25587,I25568/I25591&gt;=$C$25588),1,0))</f>
        <v>0</v>
      </c>
      <c r="J25592" s="21" t="n">
        <f aca="false">IF(J25568&lt;=0,0,IF(AND((J25589-J25590)/J25568&lt;=$C$25587,J25568/J25591&gt;=$C$25588),1,0))</f>
        <v>0</v>
      </c>
      <c r="K25592" s="21" t="n">
        <f aca="false">IF(K25568&lt;=0,0,IF(AND((K25589-K25590)/K25568&lt;=$C$25587,K25568/K25591&gt;=$C$25588),1,0))</f>
        <v>0</v>
      </c>
    </row>
    <row r="25593" customFormat="false" ht="15" hidden="false" customHeight="false" outlineLevel="0" collapsed="false">
      <c r="A25593" s="24" t="s">
        <v>328</v>
      </c>
      <c r="B25593" s="25"/>
      <c r="C25593" s="25"/>
      <c r="D25593" s="25"/>
      <c r="E25593" s="25"/>
      <c r="F25593" s="25"/>
      <c r="G25593" s="25"/>
      <c r="H25593" s="25"/>
      <c r="I25593" s="25"/>
      <c r="J25593" s="25"/>
      <c r="K25593" s="25"/>
    </row>
    <row r="25594" customFormat="false" ht="15" hidden="false" customHeight="false" outlineLevel="0" collapsed="false">
      <c r="A25594" s="3" t="s">
        <v>329</v>
      </c>
      <c r="G25594" s="16" t="n">
        <f aca="false">F25605</f>
        <v>400</v>
      </c>
      <c r="H25594" s="16" t="n">
        <f aca="false">G25605</f>
        <v>396</v>
      </c>
      <c r="I25594" s="16" t="n">
        <f aca="false">H25605</f>
        <v>392</v>
      </c>
      <c r="J25594" s="16" t="n">
        <f aca="false">I25605</f>
        <v>388</v>
      </c>
      <c r="K25594" s="16" t="n">
        <f aca="false">J25605</f>
        <v>384</v>
      </c>
    </row>
    <row r="25595" customFormat="false" ht="15" hidden="false" customHeight="false" outlineLevel="0" collapsed="false">
      <c r="A25595" s="3" t="s">
        <v>330</v>
      </c>
      <c r="G25595" s="21" t="n">
        <f aca="false">IF(G25558=Assumptions!$K$57,1,0)</f>
        <v>0</v>
      </c>
      <c r="H25595" s="21" t="n">
        <f aca="false">IF(H25558=Assumptions!$K$57,1,0)</f>
        <v>0</v>
      </c>
      <c r="I25595" s="21" t="n">
        <f aca="false">IF(I25558=Assumptions!$K$57,1,0)</f>
        <v>0</v>
      </c>
      <c r="J25595" s="21" t="n">
        <f aca="false">IF(J25558=Assumptions!$K$57,1,0)</f>
        <v>0</v>
      </c>
      <c r="K25595" s="21" t="n">
        <f aca="false">IF(K25558=Assumptions!$K$57,1,0)</f>
        <v>1</v>
      </c>
    </row>
    <row r="25597" customFormat="false" ht="15" hidden="false" customHeight="false" outlineLevel="0" collapsed="false">
      <c r="A25597" s="3" t="s">
        <v>331</v>
      </c>
      <c r="G25597" s="31" t="n">
        <f aca="false">IF(Assumptions!$I$57=1,MAX(G25584,Assumptions!$G$57)+Assumptions!$F$57+$C$25585,Assumptions!$E$57)</f>
        <v>0.1015</v>
      </c>
      <c r="H25597" s="31" t="n">
        <f aca="false">IF(G25904=1,$C$25586,IF(Assumptions!$I$57=1,MAX(H25584,Assumptions!$G$57)+Assumptions!$F$57+$C$25585,Assumptions!$E$57))</f>
        <v>0.1</v>
      </c>
      <c r="I25597" s="31" t="n">
        <f aca="false">IF(H25904=1,$C$25586,IF(Assumptions!$I$57=1,MAX(I25584,Assumptions!$G$57)+Assumptions!$F$57+$C$25585,Assumptions!$E$57))</f>
        <v>0.0975</v>
      </c>
      <c r="J25597" s="31" t="n">
        <f aca="false">IF(I25904=1,$C$25586,IF(Assumptions!$I$57=1,MAX(J25584,Assumptions!$G$57)+Assumptions!$F$57+$C$25585,Assumptions!$E$57))</f>
        <v>0.0975</v>
      </c>
      <c r="K25597" s="31" t="n">
        <f aca="false">IF(J25904=1,$C$25586,IF(Assumptions!$I$57=1,MAX(K25584,Assumptions!$G$57)+Assumptions!$F$57+$C$25585,Assumptions!$E$57))</f>
        <v>0.0975</v>
      </c>
    </row>
    <row r="25598" customFormat="false" ht="15" hidden="false" customHeight="false" outlineLevel="0" collapsed="false">
      <c r="A25598" s="3" t="s">
        <v>332</v>
      </c>
      <c r="G25598" s="16" t="n">
        <f aca="false">G25594*G25597</f>
        <v>40.6</v>
      </c>
      <c r="H25598" s="16" t="n">
        <f aca="false">H25594*H25597</f>
        <v>39.6</v>
      </c>
      <c r="I25598" s="16" t="n">
        <f aca="false">I25594*I25597</f>
        <v>38.22</v>
      </c>
      <c r="J25598" s="16" t="n">
        <f aca="false">J25594*J25597</f>
        <v>37.83</v>
      </c>
      <c r="K25598" s="16" t="n">
        <f aca="false">K25594*K25597</f>
        <v>37.44</v>
      </c>
    </row>
    <row r="25599" customFormat="false" ht="15" hidden="false" customHeight="false" outlineLevel="0" collapsed="false">
      <c r="A25599" s="3" t="s">
        <v>333</v>
      </c>
      <c r="G25599" s="16" t="n">
        <f aca="false">G25594*Assumptions!$H$57</f>
        <v>0</v>
      </c>
      <c r="H25599" s="16" t="n">
        <f aca="false">H25594*Assumptions!$H$57</f>
        <v>0</v>
      </c>
      <c r="I25599" s="16" t="n">
        <f aca="false">I25594*Assumptions!$H$57</f>
        <v>0</v>
      </c>
      <c r="J25599" s="16" t="n">
        <f aca="false">J25594*Assumptions!$H$57</f>
        <v>0</v>
      </c>
      <c r="K25599" s="16" t="n">
        <f aca="false">K25594*Assumptions!$H$57</f>
        <v>0</v>
      </c>
    </row>
    <row r="25600" customFormat="false" ht="15" hidden="false" customHeight="false" outlineLevel="0" collapsed="false">
      <c r="A25600" s="3" t="s">
        <v>334</v>
      </c>
      <c r="G25600" s="16" t="n">
        <f aca="false">MIN(G25594,Assumptions!$L$57*Assumptions!$C$57)</f>
        <v>4</v>
      </c>
      <c r="H25600" s="16" t="n">
        <f aca="false">MIN(H25594,Assumptions!$L$57*Assumptions!$C$57)</f>
        <v>4</v>
      </c>
      <c r="I25600" s="16" t="n">
        <f aca="false">MIN(I25594,Assumptions!$L$57*Assumptions!$C$57)</f>
        <v>4</v>
      </c>
      <c r="J25600" s="16" t="n">
        <f aca="false">MIN(J25594,Assumptions!$L$57*Assumptions!$C$57)</f>
        <v>4</v>
      </c>
      <c r="K25600" s="16" t="n">
        <f aca="false">MIN(K25594,Assumptions!$L$57*Assumptions!$C$57)</f>
        <v>4</v>
      </c>
    </row>
    <row r="25601" customFormat="false" ht="15" hidden="false" customHeight="false" outlineLevel="0" collapsed="false">
      <c r="A25601" s="3" t="s">
        <v>335</v>
      </c>
      <c r="G25601" s="16" t="n">
        <f aca="false">IF(AND(Assumptions!$P$57=1,G25558&lt;Assumptions!$K$57),MIN(MAX(0,-G25774),MAX(0,Assumptions!$D$57-G25594)),0)</f>
        <v>0</v>
      </c>
      <c r="H25601" s="16" t="n">
        <f aca="false">IF(AND(Assumptions!$P$57=1,OR(H25558&lt;Assumptions!$K$57,G25904=1)),MIN(MAX(0,-H25774),MAX(0,Assumptions!$D$57-H25594)),0)</f>
        <v>0</v>
      </c>
      <c r="I25601" s="16" t="n">
        <f aca="false">IF(AND(Assumptions!$P$57=1,OR(I25558&lt;Assumptions!$K$57,H25904=1)),MIN(MAX(0,-I25774),MAX(0,Assumptions!$D$57-I25594)),0)</f>
        <v>0</v>
      </c>
      <c r="J25601" s="16" t="n">
        <f aca="false">IF(AND(Assumptions!$P$57=1,OR(J25558&lt;Assumptions!$K$57,I25904=1)),MIN(MAX(0,-J25774),MAX(0,Assumptions!$D$57-J25594)),0)</f>
        <v>0</v>
      </c>
      <c r="K25601" s="16" t="n">
        <f aca="false">IF(AND(Assumptions!$P$57=1,OR(K25558&lt;Assumptions!$K$57,J25904=1)),MIN(MAX(0,-K25774),MAX(0,Assumptions!$D$57-K25594)),0)</f>
        <v>0</v>
      </c>
    </row>
    <row r="25602" customFormat="false" ht="15" hidden="false" customHeight="false" outlineLevel="0" collapsed="false">
      <c r="A25602" s="3" t="s">
        <v>336</v>
      </c>
      <c r="G25602" s="16" t="n">
        <f aca="false">G25595*MIN(G25594-G25600+G25599,MAX(0,G25776-Assumptions!$C$12*G25592))</f>
        <v>0</v>
      </c>
      <c r="H25602" s="16" t="n">
        <f aca="false">H25595*MIN(H25594-H25600+H25599,MAX(0,H25776-Assumptions!$C$12*H25592))</f>
        <v>0</v>
      </c>
      <c r="I25602" s="16" t="n">
        <f aca="false">I25595*MIN(I25594-I25600+I25599,MAX(0,I25776-Assumptions!$C$12*I25592))</f>
        <v>0</v>
      </c>
      <c r="J25602" s="16" t="n">
        <f aca="false">J25595*MIN(J25594-J25600+J25599,MAX(0,J25776-Assumptions!$C$12*J25592))</f>
        <v>0</v>
      </c>
      <c r="K25602" s="16" t="n">
        <f aca="false">K25595*MIN(K25594-K25600+K25599,MAX(0,K25776-Assumptions!$C$12*K25592))</f>
        <v>0</v>
      </c>
    </row>
    <row r="25603" customFormat="false" ht="15" hidden="false" customHeight="false" outlineLevel="0" collapsed="false">
      <c r="A25603" s="3" t="s">
        <v>337</v>
      </c>
      <c r="G25603" s="16" t="n">
        <f aca="false">Assumptions!$N$57*MIN(G25594+G25601+G25599-G25600-G25602,MAX(0,G25780))</f>
        <v>0</v>
      </c>
      <c r="H25603" s="16" t="n">
        <f aca="false">Assumptions!$N$57*MIN(H25594+H25601+H25599-H25600-H25602,MAX(0,H25780))</f>
        <v>0</v>
      </c>
      <c r="I25603" s="16" t="n">
        <f aca="false">Assumptions!$N$57*MIN(I25594+I25601+I25599-I25600-I25602,MAX(0,I25780))</f>
        <v>0</v>
      </c>
      <c r="J25603" s="16" t="n">
        <f aca="false">Assumptions!$N$57*MIN(J25594+J25601+J25599-J25600-J25602,MAX(0,J25780))</f>
        <v>0</v>
      </c>
      <c r="K25603" s="16" t="n">
        <f aca="false">Assumptions!$N$57*MIN(K25594+K25601+K25599-K25600-K25602,MAX(0,K25780))</f>
        <v>0</v>
      </c>
    </row>
    <row r="25604" customFormat="false" ht="15" hidden="false" customHeight="false" outlineLevel="0" collapsed="false">
      <c r="A25604" s="3" t="s">
        <v>338</v>
      </c>
      <c r="G25604" s="16" t="n">
        <f aca="false">G25595*(1-G25592)*(G25594-G25600+G25599-G25602)</f>
        <v>0</v>
      </c>
      <c r="H25604" s="16" t="n">
        <f aca="false">H25595*(1-H25592)*(H25594-H25600+H25599-H25602)</f>
        <v>0</v>
      </c>
      <c r="I25604" s="16" t="n">
        <f aca="false">I25595*(1-I25592)*(I25594-I25600+I25599-I25602)</f>
        <v>0</v>
      </c>
      <c r="J25604" s="16" t="n">
        <f aca="false">J25595*(1-J25592)*(J25594-J25600+J25599-J25602)</f>
        <v>0</v>
      </c>
      <c r="K25604" s="16" t="n">
        <f aca="false">K25595*(1-K25592)*(K25594-K25600+K25599-K25602)</f>
        <v>380</v>
      </c>
    </row>
    <row r="25605" customFormat="false" ht="15" hidden="false" customHeight="false" outlineLevel="0" collapsed="false">
      <c r="A25605" s="2" t="s">
        <v>339</v>
      </c>
      <c r="F25605" s="28" t="n">
        <f aca="false">Assumptions!$C$57</f>
        <v>400</v>
      </c>
      <c r="G25605" s="17" t="n">
        <f aca="false">G25594+G25601+G25599-G25600-G25602-G25603</f>
        <v>396</v>
      </c>
      <c r="H25605" s="17" t="n">
        <f aca="false">H25594+H25601+H25599-H25600-H25602-H25603</f>
        <v>392</v>
      </c>
      <c r="I25605" s="17" t="n">
        <f aca="false">I25594+I25601+I25599-I25600-I25602-I25603</f>
        <v>388</v>
      </c>
      <c r="J25605" s="17" t="n">
        <f aca="false">J25594+J25601+J25599-J25600-J25602-J25603</f>
        <v>384</v>
      </c>
      <c r="K25605" s="17" t="n">
        <f aca="false">K25594+K25601+K25599-K25600-K25602-K25603</f>
        <v>380</v>
      </c>
    </row>
    <row r="25606" customFormat="false" ht="15" hidden="false" customHeight="false" outlineLevel="0" collapsed="false">
      <c r="A25606" s="24" t="s">
        <v>340</v>
      </c>
      <c r="B25606" s="25"/>
      <c r="C25606" s="25"/>
      <c r="D25606" s="25"/>
      <c r="E25606" s="25"/>
      <c r="F25606" s="25"/>
      <c r="G25606" s="25"/>
      <c r="H25606" s="25"/>
      <c r="I25606" s="25"/>
      <c r="J25606" s="25"/>
      <c r="K25606" s="25"/>
    </row>
    <row r="25607" customFormat="false" ht="15" hidden="false" customHeight="false" outlineLevel="0" collapsed="false">
      <c r="A25607" s="3" t="s">
        <v>329</v>
      </c>
      <c r="G25607" s="16" t="n">
        <f aca="false">F25618</f>
        <v>90</v>
      </c>
      <c r="H25607" s="16" t="n">
        <f aca="false">G25618</f>
        <v>90</v>
      </c>
      <c r="I25607" s="16" t="n">
        <f aca="false">H25618</f>
        <v>90</v>
      </c>
      <c r="J25607" s="16" t="n">
        <f aca="false">I25618</f>
        <v>90</v>
      </c>
      <c r="K25607" s="16" t="n">
        <f aca="false">J25618</f>
        <v>90</v>
      </c>
    </row>
    <row r="25608" customFormat="false" ht="15" hidden="false" customHeight="false" outlineLevel="0" collapsed="false">
      <c r="A25608" s="3" t="s">
        <v>330</v>
      </c>
      <c r="G25608" s="21" t="n">
        <f aca="false">IF(G25558=Assumptions!$K$58,1,0)</f>
        <v>0</v>
      </c>
      <c r="H25608" s="21" t="n">
        <f aca="false">IF(H25558=Assumptions!$K$58,1,0)</f>
        <v>0</v>
      </c>
      <c r="I25608" s="21" t="n">
        <f aca="false">IF(I25558=Assumptions!$K$58,1,0)</f>
        <v>0</v>
      </c>
      <c r="J25608" s="21" t="n">
        <f aca="false">IF(J25558=Assumptions!$K$58,1,0)</f>
        <v>0</v>
      </c>
      <c r="K25608" s="21" t="n">
        <f aca="false">IF(K25558=Assumptions!$K$58,1,0)</f>
        <v>0</v>
      </c>
    </row>
    <row r="25610" customFormat="false" ht="15" hidden="false" customHeight="false" outlineLevel="0" collapsed="false">
      <c r="A25610" s="3" t="s">
        <v>331</v>
      </c>
      <c r="G25610" s="31" t="n">
        <f aca="false">IF(Assumptions!$I$58=1,MAX(G25584,Assumptions!$G$58)+Assumptions!$F$58+$C$25585,Assumptions!$E$58)</f>
        <v>0.0581</v>
      </c>
      <c r="H25610" s="31" t="n">
        <f aca="false">IF(G25905=1,$C$25586,IF(Assumptions!$I$58=1,MAX(H25584,Assumptions!$G$58)+Assumptions!$F$58+$C$25585,Assumptions!$E$58))</f>
        <v>0.0581</v>
      </c>
      <c r="I25610" s="31" t="n">
        <f aca="false">IF(H25905=1,$C$25586,IF(Assumptions!$I$58=1,MAX(I25584,Assumptions!$G$58)+Assumptions!$F$58+$C$25585,Assumptions!$E$58))</f>
        <v>0.0581</v>
      </c>
      <c r="J25610" s="31" t="n">
        <f aca="false">IF(I25905=1,$C$25586,IF(Assumptions!$I$58=1,MAX(J25584,Assumptions!$G$58)+Assumptions!$F$58+$C$25585,Assumptions!$E$58))</f>
        <v>0.0581</v>
      </c>
      <c r="K25610" s="31" t="n">
        <f aca="false">IF(J25905=1,$C$25586,IF(Assumptions!$I$58=1,MAX(K25584,Assumptions!$G$58)+Assumptions!$F$58+$C$25585,Assumptions!$E$58))</f>
        <v>0.0581</v>
      </c>
    </row>
    <row r="25611" customFormat="false" ht="15" hidden="false" customHeight="false" outlineLevel="0" collapsed="false">
      <c r="A25611" s="3" t="s">
        <v>332</v>
      </c>
      <c r="G25611" s="16" t="n">
        <f aca="false">G25607*G25610</f>
        <v>5.229</v>
      </c>
      <c r="H25611" s="16" t="n">
        <f aca="false">H25607*H25610</f>
        <v>5.229</v>
      </c>
      <c r="I25611" s="16" t="n">
        <f aca="false">I25607*I25610</f>
        <v>5.229</v>
      </c>
      <c r="J25611" s="16" t="n">
        <f aca="false">J25607*J25610</f>
        <v>5.229</v>
      </c>
      <c r="K25611" s="16" t="n">
        <f aca="false">K25607*K25610</f>
        <v>5.229</v>
      </c>
    </row>
    <row r="25612" customFormat="false" ht="15" hidden="false" customHeight="false" outlineLevel="0" collapsed="false">
      <c r="A25612" s="3" t="s">
        <v>333</v>
      </c>
      <c r="G25612" s="16" t="n">
        <f aca="false">G25607*Assumptions!$H$58</f>
        <v>0</v>
      </c>
      <c r="H25612" s="16" t="n">
        <f aca="false">H25607*Assumptions!$H$58</f>
        <v>0</v>
      </c>
      <c r="I25612" s="16" t="n">
        <f aca="false">I25607*Assumptions!$H$58</f>
        <v>0</v>
      </c>
      <c r="J25612" s="16" t="n">
        <f aca="false">J25607*Assumptions!$H$58</f>
        <v>0</v>
      </c>
      <c r="K25612" s="16" t="n">
        <f aca="false">K25607*Assumptions!$H$58</f>
        <v>0</v>
      </c>
    </row>
    <row r="25613" customFormat="false" ht="15" hidden="false" customHeight="false" outlineLevel="0" collapsed="false">
      <c r="A25613" s="3" t="s">
        <v>334</v>
      </c>
      <c r="G25613" s="16" t="n">
        <f aca="false">MIN(G25607,Assumptions!$L$58*Assumptions!$C$58)</f>
        <v>0</v>
      </c>
      <c r="H25613" s="16" t="n">
        <f aca="false">MIN(H25607,Assumptions!$L$58*Assumptions!$C$58)</f>
        <v>0</v>
      </c>
      <c r="I25613" s="16" t="n">
        <f aca="false">MIN(I25607,Assumptions!$L$58*Assumptions!$C$58)</f>
        <v>0</v>
      </c>
      <c r="J25613" s="16" t="n">
        <f aca="false">MIN(J25607,Assumptions!$L$58*Assumptions!$C$58)</f>
        <v>0</v>
      </c>
      <c r="K25613" s="16" t="n">
        <f aca="false">MIN(K25607,Assumptions!$L$58*Assumptions!$C$58)</f>
        <v>0</v>
      </c>
    </row>
    <row r="25614" customFormat="false" ht="15" hidden="false" customHeight="false" outlineLevel="0" collapsed="false">
      <c r="A25614" s="3" t="s">
        <v>335</v>
      </c>
      <c r="G25614" s="16" t="n">
        <f aca="false">IF(AND(Assumptions!$P$58=1,G25558&lt;Assumptions!$K$58),MIN(MAX(0,-G25774),MAX(0,Assumptions!$D$58-G25607)),0)</f>
        <v>0</v>
      </c>
      <c r="H25614" s="16" t="n">
        <f aca="false">IF(AND(Assumptions!$P$58=1,OR(H25558&lt;Assumptions!$K$58,G25905=1)),MIN(MAX(0,-H25774),MAX(0,Assumptions!$D$58-H25607)),0)</f>
        <v>0</v>
      </c>
      <c r="I25614" s="16" t="n">
        <f aca="false">IF(AND(Assumptions!$P$58=1,OR(I25558&lt;Assumptions!$K$58,H25905=1)),MIN(MAX(0,-I25774),MAX(0,Assumptions!$D$58-I25607)),0)</f>
        <v>0</v>
      </c>
      <c r="J25614" s="16" t="n">
        <f aca="false">IF(AND(Assumptions!$P$58=1,OR(J25558&lt;Assumptions!$K$58,I25905=1)),MIN(MAX(0,-J25774),MAX(0,Assumptions!$D$58-J25607)),0)</f>
        <v>0</v>
      </c>
      <c r="K25614" s="16" t="n">
        <f aca="false">IF(AND(Assumptions!$P$58=1,OR(K25558&lt;Assumptions!$K$58,J25905=1)),MIN(MAX(0,-K25774),MAX(0,Assumptions!$D$58-K25607)),0)</f>
        <v>0</v>
      </c>
    </row>
    <row r="25615" customFormat="false" ht="15" hidden="false" customHeight="false" outlineLevel="0" collapsed="false">
      <c r="A25615" s="3" t="s">
        <v>336</v>
      </c>
      <c r="G25615" s="16" t="n">
        <f aca="false">G25608*MIN(G25607-G25613+G25612,MAX(0,G25776-Assumptions!$C$12*G25592-G25602))</f>
        <v>0</v>
      </c>
      <c r="H25615" s="16" t="n">
        <f aca="false">H25608*MIN(H25607-H25613+H25612,MAX(0,H25776-Assumptions!$C$12*H25592-H25602))</f>
        <v>0</v>
      </c>
      <c r="I25615" s="16" t="n">
        <f aca="false">I25608*MIN(I25607-I25613+I25612,MAX(0,I25776-Assumptions!$C$12*I25592-I25602))</f>
        <v>0</v>
      </c>
      <c r="J25615" s="16" t="n">
        <f aca="false">J25608*MIN(J25607-J25613+J25612,MAX(0,J25776-Assumptions!$C$12*J25592-J25602))</f>
        <v>0</v>
      </c>
      <c r="K25615" s="16" t="n">
        <f aca="false">K25608*MIN(K25607-K25613+K25612,MAX(0,K25776-Assumptions!$C$12*K25592-K25602))</f>
        <v>0</v>
      </c>
    </row>
    <row r="25616" customFormat="false" ht="15" hidden="false" customHeight="false" outlineLevel="0" collapsed="false">
      <c r="A25616" s="3" t="s">
        <v>337</v>
      </c>
      <c r="G25616" s="16" t="n">
        <f aca="false">Assumptions!$N$58*MIN(G25607+G25614+G25612-G25613-G25615,MAX(0,G25780-G25603))</f>
        <v>0</v>
      </c>
      <c r="H25616" s="16" t="n">
        <f aca="false">Assumptions!$N$58*MIN(H25607+H25614+H25612-H25613-H25615,MAX(0,H25780-H25603))</f>
        <v>0</v>
      </c>
      <c r="I25616" s="16" t="n">
        <f aca="false">Assumptions!$N$58*MIN(I25607+I25614+I25612-I25613-I25615,MAX(0,I25780-I25603))</f>
        <v>0</v>
      </c>
      <c r="J25616" s="16" t="n">
        <f aca="false">Assumptions!$N$58*MIN(J25607+J25614+J25612-J25613-J25615,MAX(0,J25780-J25603))</f>
        <v>0</v>
      </c>
      <c r="K25616" s="16" t="n">
        <f aca="false">Assumptions!$N$58*MIN(K25607+K25614+K25612-K25613-K25615,MAX(0,K25780-K25603))</f>
        <v>0</v>
      </c>
    </row>
    <row r="25617" customFormat="false" ht="15" hidden="false" customHeight="false" outlineLevel="0" collapsed="false">
      <c r="A25617" s="3" t="s">
        <v>338</v>
      </c>
      <c r="G25617" s="16" t="n">
        <f aca="false">G25608*(1-G25592)*(G25607-G25613+G25612-G25615)</f>
        <v>0</v>
      </c>
      <c r="H25617" s="16" t="n">
        <f aca="false">H25608*(1-H25592)*(H25607-H25613+H25612-H25615)</f>
        <v>0</v>
      </c>
      <c r="I25617" s="16" t="n">
        <f aca="false">I25608*(1-I25592)*(I25607-I25613+I25612-I25615)</f>
        <v>0</v>
      </c>
      <c r="J25617" s="16" t="n">
        <f aca="false">J25608*(1-J25592)*(J25607-J25613+J25612-J25615)</f>
        <v>0</v>
      </c>
      <c r="K25617" s="16" t="n">
        <f aca="false">K25608*(1-K25592)*(K25607-K25613+K25612-K25615)</f>
        <v>0</v>
      </c>
    </row>
    <row r="25618" customFormat="false" ht="15" hidden="false" customHeight="false" outlineLevel="0" collapsed="false">
      <c r="A25618" s="2" t="s">
        <v>339</v>
      </c>
      <c r="F25618" s="28" t="n">
        <f aca="false">Assumptions!$C$58</f>
        <v>90</v>
      </c>
      <c r="G25618" s="17" t="n">
        <f aca="false">G25607+G25614+G25612-G25613-G25615-G25616</f>
        <v>90</v>
      </c>
      <c r="H25618" s="17" t="n">
        <f aca="false">H25607+H25614+H25612-H25613-H25615-H25616</f>
        <v>90</v>
      </c>
      <c r="I25618" s="17" t="n">
        <f aca="false">I25607+I25614+I25612-I25613-I25615-I25616</f>
        <v>90</v>
      </c>
      <c r="J25618" s="17" t="n">
        <f aca="false">J25607+J25614+J25612-J25613-J25615-J25616</f>
        <v>90</v>
      </c>
      <c r="K25618" s="17" t="n">
        <f aca="false">K25607+K25614+K25612-K25613-K25615-K25616</f>
        <v>90</v>
      </c>
    </row>
    <row r="25619" customFormat="false" ht="15" hidden="false" customHeight="false" outlineLevel="0" collapsed="false">
      <c r="A25619" s="24" t="s">
        <v>341</v>
      </c>
      <c r="B25619" s="25"/>
      <c r="C25619" s="25"/>
      <c r="D25619" s="25"/>
      <c r="E25619" s="25"/>
      <c r="F25619" s="25"/>
      <c r="G25619" s="25"/>
      <c r="H25619" s="25"/>
      <c r="I25619" s="25"/>
      <c r="J25619" s="25"/>
      <c r="K25619" s="25"/>
    </row>
    <row r="25620" customFormat="false" ht="15" hidden="false" customHeight="false" outlineLevel="0" collapsed="false">
      <c r="A25620" s="3" t="s">
        <v>329</v>
      </c>
      <c r="G25620" s="16" t="n">
        <f aca="false">F25631</f>
        <v>57.324</v>
      </c>
      <c r="H25620" s="16" t="n">
        <f aca="false">G25631</f>
        <v>57.324</v>
      </c>
      <c r="I25620" s="16" t="n">
        <f aca="false">H25631</f>
        <v>57.324</v>
      </c>
      <c r="J25620" s="16" t="n">
        <f aca="false">I25631</f>
        <v>57.324</v>
      </c>
      <c r="K25620" s="16" t="n">
        <f aca="false">J25631</f>
        <v>57.324</v>
      </c>
    </row>
    <row r="25621" customFormat="false" ht="15" hidden="false" customHeight="false" outlineLevel="0" collapsed="false">
      <c r="A25621" s="3" t="s">
        <v>330</v>
      </c>
      <c r="G25621" s="21" t="n">
        <f aca="false">IF(G25558=Assumptions!$K$59,1,0)</f>
        <v>0</v>
      </c>
      <c r="H25621" s="21" t="n">
        <f aca="false">IF(H25558=Assumptions!$K$59,1,0)</f>
        <v>0</v>
      </c>
      <c r="I25621" s="21" t="n">
        <f aca="false">IF(I25558=Assumptions!$K$59,1,0)</f>
        <v>0</v>
      </c>
      <c r="J25621" s="21" t="n">
        <f aca="false">IF(J25558=Assumptions!$K$59,1,0)</f>
        <v>0</v>
      </c>
      <c r="K25621" s="21" t="n">
        <f aca="false">IF(K25558=Assumptions!$K$59,1,0)</f>
        <v>0</v>
      </c>
    </row>
    <row r="25623" customFormat="false" ht="15" hidden="false" customHeight="false" outlineLevel="0" collapsed="false">
      <c r="A25623" s="3" t="s">
        <v>331</v>
      </c>
      <c r="G25623" s="31" t="n">
        <f aca="false">IF(Assumptions!$I$59=1,MAX(G25584,Assumptions!$G$59)+Assumptions!$F$59+$C$25585,Assumptions!$E$59)</f>
        <v>0.0731</v>
      </c>
      <c r="H25623" s="31" t="n">
        <f aca="false">IF(G25906=1,$C$25586,IF(Assumptions!$I$59=1,MAX(H25584,Assumptions!$G$59)+Assumptions!$F$59+$C$25585,Assumptions!$E$59))</f>
        <v>0.0731</v>
      </c>
      <c r="I25623" s="31" t="n">
        <f aca="false">IF(H25906=1,$C$25586,IF(Assumptions!$I$59=1,MAX(I25584,Assumptions!$G$59)+Assumptions!$F$59+$C$25585,Assumptions!$E$59))</f>
        <v>0.0731</v>
      </c>
      <c r="J25623" s="31" t="n">
        <f aca="false">IF(I25906=1,$C$25586,IF(Assumptions!$I$59=1,MAX(J25584,Assumptions!$G$59)+Assumptions!$F$59+$C$25585,Assumptions!$E$59))</f>
        <v>0.0731</v>
      </c>
      <c r="K25623" s="31" t="n">
        <f aca="false">IF(J25906=1,$C$25586,IF(Assumptions!$I$59=1,MAX(K25584,Assumptions!$G$59)+Assumptions!$F$59+$C$25585,Assumptions!$E$59))</f>
        <v>0.0731</v>
      </c>
    </row>
    <row r="25624" customFormat="false" ht="15" hidden="false" customHeight="false" outlineLevel="0" collapsed="false">
      <c r="A25624" s="3" t="s">
        <v>332</v>
      </c>
      <c r="G25624" s="16" t="n">
        <f aca="false">G25620*G25623</f>
        <v>4.1903844</v>
      </c>
      <c r="H25624" s="16" t="n">
        <f aca="false">H25620*H25623</f>
        <v>4.1903844</v>
      </c>
      <c r="I25624" s="16" t="n">
        <f aca="false">I25620*I25623</f>
        <v>4.1903844</v>
      </c>
      <c r="J25624" s="16" t="n">
        <f aca="false">J25620*J25623</f>
        <v>4.1903844</v>
      </c>
      <c r="K25624" s="16" t="n">
        <f aca="false">K25620*K25623</f>
        <v>4.1903844</v>
      </c>
    </row>
    <row r="25625" customFormat="false" ht="15" hidden="false" customHeight="false" outlineLevel="0" collapsed="false">
      <c r="A25625" s="3" t="s">
        <v>333</v>
      </c>
      <c r="G25625" s="16" t="n">
        <f aca="false">G25620*Assumptions!$H$59</f>
        <v>0</v>
      </c>
      <c r="H25625" s="16" t="n">
        <f aca="false">H25620*Assumptions!$H$59</f>
        <v>0</v>
      </c>
      <c r="I25625" s="16" t="n">
        <f aca="false">I25620*Assumptions!$H$59</f>
        <v>0</v>
      </c>
      <c r="J25625" s="16" t="n">
        <f aca="false">J25620*Assumptions!$H$59</f>
        <v>0</v>
      </c>
      <c r="K25625" s="16" t="n">
        <f aca="false">K25620*Assumptions!$H$59</f>
        <v>0</v>
      </c>
    </row>
    <row r="25626" customFormat="false" ht="15" hidden="false" customHeight="false" outlineLevel="0" collapsed="false">
      <c r="A25626" s="3" t="s">
        <v>334</v>
      </c>
      <c r="G25626" s="16" t="n">
        <f aca="false">MIN(G25620,Assumptions!$L$59*Assumptions!$C$59)</f>
        <v>0</v>
      </c>
      <c r="H25626" s="16" t="n">
        <f aca="false">MIN(H25620,Assumptions!$L$59*Assumptions!$C$59)</f>
        <v>0</v>
      </c>
      <c r="I25626" s="16" t="n">
        <f aca="false">MIN(I25620,Assumptions!$L$59*Assumptions!$C$59)</f>
        <v>0</v>
      </c>
      <c r="J25626" s="16" t="n">
        <f aca="false">MIN(J25620,Assumptions!$L$59*Assumptions!$C$59)</f>
        <v>0</v>
      </c>
      <c r="K25626" s="16" t="n">
        <f aca="false">MIN(K25620,Assumptions!$L$59*Assumptions!$C$59)</f>
        <v>0</v>
      </c>
    </row>
    <row r="25627" customFormat="false" ht="15" hidden="false" customHeight="false" outlineLevel="0" collapsed="false">
      <c r="A25627" s="3" t="s">
        <v>335</v>
      </c>
      <c r="G25627" s="16" t="n">
        <f aca="false">IF(AND(Assumptions!$P$59=1,G25558&lt;Assumptions!$K$59),MIN(MAX(0,-G25774),MAX(0,Assumptions!$D$59-G25620)),0)</f>
        <v>0</v>
      </c>
      <c r="H25627" s="16" t="n">
        <f aca="false">IF(AND(Assumptions!$P$59=1,OR(H25558&lt;Assumptions!$K$59,G25906=1)),MIN(MAX(0,-H25774),MAX(0,Assumptions!$D$59-H25620)),0)</f>
        <v>0</v>
      </c>
      <c r="I25627" s="16" t="n">
        <f aca="false">IF(AND(Assumptions!$P$59=1,OR(I25558&lt;Assumptions!$K$59,H25906=1)),MIN(MAX(0,-I25774),MAX(0,Assumptions!$D$59-I25620)),0)</f>
        <v>0</v>
      </c>
      <c r="J25627" s="16" t="n">
        <f aca="false">IF(AND(Assumptions!$P$59=1,OR(J25558&lt;Assumptions!$K$59,I25906=1)),MIN(MAX(0,-J25774),MAX(0,Assumptions!$D$59-J25620)),0)</f>
        <v>0</v>
      </c>
      <c r="K25627" s="16" t="n">
        <f aca="false">IF(AND(Assumptions!$P$59=1,OR(K25558&lt;Assumptions!$K$59,J25906=1)),MIN(MAX(0,-K25774),MAX(0,Assumptions!$D$59-K25620)),0)</f>
        <v>0</v>
      </c>
    </row>
    <row r="25628" customFormat="false" ht="15" hidden="false" customHeight="false" outlineLevel="0" collapsed="false">
      <c r="A25628" s="3" t="s">
        <v>336</v>
      </c>
      <c r="G25628" s="16" t="n">
        <f aca="false">G25621*MIN(G25620-G25626+G25625,MAX(0,G25776-Assumptions!$C$12*G25592-G25602-G25615))</f>
        <v>0</v>
      </c>
      <c r="H25628" s="16" t="n">
        <f aca="false">H25621*MIN(H25620-H25626+H25625,MAX(0,H25776-Assumptions!$C$12*H25592-H25602-H25615))</f>
        <v>0</v>
      </c>
      <c r="I25628" s="16" t="n">
        <f aca="false">I25621*MIN(I25620-I25626+I25625,MAX(0,I25776-Assumptions!$C$12*I25592-I25602-I25615))</f>
        <v>0</v>
      </c>
      <c r="J25628" s="16" t="n">
        <f aca="false">J25621*MIN(J25620-J25626+J25625,MAX(0,J25776-Assumptions!$C$12*J25592-J25602-J25615))</f>
        <v>0</v>
      </c>
      <c r="K25628" s="16" t="n">
        <f aca="false">K25621*MIN(K25620-K25626+K25625,MAX(0,K25776-Assumptions!$C$12*K25592-K25602-K25615))</f>
        <v>0</v>
      </c>
    </row>
    <row r="25629" customFormat="false" ht="15" hidden="false" customHeight="false" outlineLevel="0" collapsed="false">
      <c r="A25629" s="3" t="s">
        <v>337</v>
      </c>
      <c r="G25629" s="16" t="n">
        <f aca="false">Assumptions!$N$59*MIN(G25620+G25627+G25625-G25626-G25628,MAX(0,G25780-G25603-G25616))</f>
        <v>0</v>
      </c>
      <c r="H25629" s="16" t="n">
        <f aca="false">Assumptions!$N$59*MIN(H25620+H25627+H25625-H25626-H25628,MAX(0,H25780-H25603-H25616))</f>
        <v>0</v>
      </c>
      <c r="I25629" s="16" t="n">
        <f aca="false">Assumptions!$N$59*MIN(I25620+I25627+I25625-I25626-I25628,MAX(0,I25780-I25603-I25616))</f>
        <v>0</v>
      </c>
      <c r="J25629" s="16" t="n">
        <f aca="false">Assumptions!$N$59*MIN(J25620+J25627+J25625-J25626-J25628,MAX(0,J25780-J25603-J25616))</f>
        <v>0</v>
      </c>
      <c r="K25629" s="16" t="n">
        <f aca="false">Assumptions!$N$59*MIN(K25620+K25627+K25625-K25626-K25628,MAX(0,K25780-K25603-K25616))</f>
        <v>0</v>
      </c>
    </row>
    <row r="25630" customFormat="false" ht="15" hidden="false" customHeight="false" outlineLevel="0" collapsed="false">
      <c r="A25630" s="3" t="s">
        <v>338</v>
      </c>
      <c r="G25630" s="16" t="n">
        <f aca="false">G25621*(1-G25592)*(G25620-G25626+G25625-G25628)</f>
        <v>0</v>
      </c>
      <c r="H25630" s="16" t="n">
        <f aca="false">H25621*(1-H25592)*(H25620-H25626+H25625-H25628)</f>
        <v>0</v>
      </c>
      <c r="I25630" s="16" t="n">
        <f aca="false">I25621*(1-I25592)*(I25620-I25626+I25625-I25628)</f>
        <v>0</v>
      </c>
      <c r="J25630" s="16" t="n">
        <f aca="false">J25621*(1-J25592)*(J25620-J25626+J25625-J25628)</f>
        <v>0</v>
      </c>
      <c r="K25630" s="16" t="n">
        <f aca="false">K25621*(1-K25592)*(K25620-K25626+K25625-K25628)</f>
        <v>0</v>
      </c>
    </row>
    <row r="25631" customFormat="false" ht="15" hidden="false" customHeight="false" outlineLevel="0" collapsed="false">
      <c r="A25631" s="2" t="s">
        <v>339</v>
      </c>
      <c r="F25631" s="28" t="n">
        <f aca="false">Assumptions!$C$59</f>
        <v>57.324</v>
      </c>
      <c r="G25631" s="17" t="n">
        <f aca="false">G25620+G25627+G25625-G25626-G25628-G25629</f>
        <v>57.324</v>
      </c>
      <c r="H25631" s="17" t="n">
        <f aca="false">H25620+H25627+H25625-H25626-H25628-H25629</f>
        <v>57.324</v>
      </c>
      <c r="I25631" s="17" t="n">
        <f aca="false">I25620+I25627+I25625-I25626-I25628-I25629</f>
        <v>57.324</v>
      </c>
      <c r="J25631" s="17" t="n">
        <f aca="false">J25620+J25627+J25625-J25626-J25628-J25629</f>
        <v>57.324</v>
      </c>
      <c r="K25631" s="17" t="n">
        <f aca="false">K25620+K25627+K25625-K25626-K25628-K25629</f>
        <v>57.324</v>
      </c>
    </row>
    <row r="25632" customFormat="false" ht="15" hidden="false" customHeight="false" outlineLevel="0" collapsed="false">
      <c r="A25632" s="24" t="s">
        <v>342</v>
      </c>
      <c r="B25632" s="25"/>
      <c r="C25632" s="25"/>
      <c r="D25632" s="25"/>
      <c r="E25632" s="25"/>
      <c r="F25632" s="25"/>
      <c r="G25632" s="25"/>
      <c r="H25632" s="25"/>
      <c r="I25632" s="25"/>
      <c r="J25632" s="25"/>
      <c r="K25632" s="25"/>
    </row>
    <row r="25633" customFormat="false" ht="15" hidden="false" customHeight="false" outlineLevel="0" collapsed="false">
      <c r="A25633" s="3" t="s">
        <v>329</v>
      </c>
      <c r="G25633" s="16" t="n">
        <f aca="false">F25644</f>
        <v>0</v>
      </c>
      <c r="H25633" s="16" t="n">
        <f aca="false">G25644</f>
        <v>0</v>
      </c>
      <c r="I25633" s="16" t="n">
        <f aca="false">H25644</f>
        <v>0</v>
      </c>
      <c r="J25633" s="16" t="n">
        <f aca="false">I25644</f>
        <v>0</v>
      </c>
      <c r="K25633" s="16" t="n">
        <f aca="false">J25644</f>
        <v>0</v>
      </c>
    </row>
    <row r="25634" customFormat="false" ht="15" hidden="false" customHeight="false" outlineLevel="0" collapsed="false">
      <c r="A25634" s="3" t="s">
        <v>330</v>
      </c>
      <c r="G25634" s="21" t="n">
        <f aca="false">IF(G25558=Assumptions!$K$60,1,0)</f>
        <v>1</v>
      </c>
      <c r="H25634" s="21" t="n">
        <f aca="false">IF(H25558=Assumptions!$K$60,1,0)</f>
        <v>0</v>
      </c>
      <c r="I25634" s="21" t="n">
        <f aca="false">IF(I25558=Assumptions!$K$60,1,0)</f>
        <v>0</v>
      </c>
      <c r="J25634" s="21" t="n">
        <f aca="false">IF(J25558=Assumptions!$K$60,1,0)</f>
        <v>0</v>
      </c>
      <c r="K25634" s="21" t="n">
        <f aca="false">IF(K25558=Assumptions!$K$60,1,0)</f>
        <v>0</v>
      </c>
    </row>
    <row r="25636" customFormat="false" ht="15" hidden="false" customHeight="false" outlineLevel="0" collapsed="false">
      <c r="A25636" s="3" t="s">
        <v>331</v>
      </c>
      <c r="G25636" s="31" t="n">
        <f aca="false">IF(Assumptions!$I$60=1,MAX(G25584,Assumptions!$G$60)+Assumptions!$F$60+$C$25585,Assumptions!$E$60)</f>
        <v>0.064</v>
      </c>
      <c r="H25636" s="31" t="n">
        <f aca="false">IF(G25907=1,$C$25586,IF(Assumptions!$I$60=1,MAX(H25584,Assumptions!$G$60)+Assumptions!$F$60+$C$25585,Assumptions!$E$60))</f>
        <v>0.0625</v>
      </c>
      <c r="I25636" s="31" t="n">
        <f aca="false">IF(H25907=1,$C$25586,IF(Assumptions!$I$60=1,MAX(I25584,Assumptions!$G$60)+Assumptions!$F$60+$C$25585,Assumptions!$E$60))</f>
        <v>0.06</v>
      </c>
      <c r="J25636" s="31" t="n">
        <f aca="false">IF(I25907=1,$C$25586,IF(Assumptions!$I$60=1,MAX(J25584,Assumptions!$G$60)+Assumptions!$F$60+$C$25585,Assumptions!$E$60))</f>
        <v>0.06</v>
      </c>
      <c r="K25636" s="31" t="n">
        <f aca="false">IF(J25907=1,$C$25586,IF(Assumptions!$I$60=1,MAX(K25584,Assumptions!$G$60)+Assumptions!$F$60+$C$25585,Assumptions!$E$60))</f>
        <v>0.06</v>
      </c>
    </row>
    <row r="25637" customFormat="false" ht="15" hidden="false" customHeight="false" outlineLevel="0" collapsed="false">
      <c r="A25637" s="3" t="s">
        <v>332</v>
      </c>
      <c r="G25637" s="16" t="n">
        <f aca="false">G25633*G25636</f>
        <v>0</v>
      </c>
      <c r="H25637" s="16" t="n">
        <f aca="false">H25633*H25636</f>
        <v>0</v>
      </c>
      <c r="I25637" s="16" t="n">
        <f aca="false">I25633*I25636</f>
        <v>0</v>
      </c>
      <c r="J25637" s="16" t="n">
        <f aca="false">J25633*J25636</f>
        <v>0</v>
      </c>
      <c r="K25637" s="16" t="n">
        <f aca="false">K25633*K25636</f>
        <v>0</v>
      </c>
    </row>
    <row r="25638" customFormat="false" ht="15" hidden="false" customHeight="false" outlineLevel="0" collapsed="false">
      <c r="A25638" s="3" t="s">
        <v>333</v>
      </c>
      <c r="G25638" s="16" t="n">
        <f aca="false">G25633*Assumptions!$H$60</f>
        <v>0</v>
      </c>
      <c r="H25638" s="16" t="n">
        <f aca="false">H25633*Assumptions!$H$60</f>
        <v>0</v>
      </c>
      <c r="I25638" s="16" t="n">
        <f aca="false">I25633*Assumptions!$H$60</f>
        <v>0</v>
      </c>
      <c r="J25638" s="16" t="n">
        <f aca="false">J25633*Assumptions!$H$60</f>
        <v>0</v>
      </c>
      <c r="K25638" s="16" t="n">
        <f aca="false">K25633*Assumptions!$H$60</f>
        <v>0</v>
      </c>
    </row>
    <row r="25639" customFormat="false" ht="15" hidden="false" customHeight="false" outlineLevel="0" collapsed="false">
      <c r="A25639" s="3" t="s">
        <v>334</v>
      </c>
      <c r="G25639" s="16" t="n">
        <f aca="false">MIN(G25633,Assumptions!$L$60*Assumptions!$C$60)</f>
        <v>0</v>
      </c>
      <c r="H25639" s="16" t="n">
        <f aca="false">MIN(H25633,Assumptions!$L$60*Assumptions!$C$60)</f>
        <v>0</v>
      </c>
      <c r="I25639" s="16" t="n">
        <f aca="false">MIN(I25633,Assumptions!$L$60*Assumptions!$C$60)</f>
        <v>0</v>
      </c>
      <c r="J25639" s="16" t="n">
        <f aca="false">MIN(J25633,Assumptions!$L$60*Assumptions!$C$60)</f>
        <v>0</v>
      </c>
      <c r="K25639" s="16" t="n">
        <f aca="false">MIN(K25633,Assumptions!$L$60*Assumptions!$C$60)</f>
        <v>0</v>
      </c>
    </row>
    <row r="25640" customFormat="false" ht="15" hidden="false" customHeight="false" outlineLevel="0" collapsed="false">
      <c r="A25640" s="3" t="s">
        <v>335</v>
      </c>
      <c r="G25640" s="16" t="n">
        <f aca="false">IF(AND(Assumptions!$P$60=1,G25558&lt;Assumptions!$K$60),MIN(MAX(0,-G25774),MAX(0,Assumptions!$D$60-G25633)),0)</f>
        <v>0</v>
      </c>
      <c r="H25640" s="16" t="n">
        <f aca="false">IF(AND(Assumptions!$P$60=1,OR(H25558&lt;Assumptions!$K$60,G25907=1)),MIN(MAX(0,-H25774),MAX(0,Assumptions!$D$60-H25633)),0)</f>
        <v>0</v>
      </c>
      <c r="I25640" s="16" t="n">
        <f aca="false">IF(AND(Assumptions!$P$60=1,OR(I25558&lt;Assumptions!$K$60,H25907=1)),MIN(MAX(0,-I25774),MAX(0,Assumptions!$D$60-I25633)),0)</f>
        <v>0</v>
      </c>
      <c r="J25640" s="16" t="n">
        <f aca="false">IF(AND(Assumptions!$P$60=1,OR(J25558&lt;Assumptions!$K$60,I25907=1)),MIN(MAX(0,-J25774),MAX(0,Assumptions!$D$60-J25633)),0)</f>
        <v>0</v>
      </c>
      <c r="K25640" s="16" t="n">
        <f aca="false">IF(AND(Assumptions!$P$60=1,OR(K25558&lt;Assumptions!$K$60,J25907=1)),MIN(MAX(0,-K25774),MAX(0,Assumptions!$D$60-K25633)),0)</f>
        <v>0</v>
      </c>
    </row>
    <row r="25641" customFormat="false" ht="15" hidden="false" customHeight="false" outlineLevel="0" collapsed="false">
      <c r="A25641" s="3" t="s">
        <v>336</v>
      </c>
      <c r="G25641" s="16" t="n">
        <f aca="false">G25634*MIN(G25633-G25639+G25638,MAX(0,G25776-Assumptions!$C$12*G25592-G25602-G25615-G25628))</f>
        <v>0</v>
      </c>
      <c r="H25641" s="16" t="n">
        <f aca="false">H25634*MIN(H25633-H25639+H25638,MAX(0,H25776-Assumptions!$C$12*H25592-H25602-H25615-H25628))</f>
        <v>0</v>
      </c>
      <c r="I25641" s="16" t="n">
        <f aca="false">I25634*MIN(I25633-I25639+I25638,MAX(0,I25776-Assumptions!$C$12*I25592-I25602-I25615-I25628))</f>
        <v>0</v>
      </c>
      <c r="J25641" s="16" t="n">
        <f aca="false">J25634*MIN(J25633-J25639+J25638,MAX(0,J25776-Assumptions!$C$12*J25592-J25602-J25615-J25628))</f>
        <v>0</v>
      </c>
      <c r="K25641" s="16" t="n">
        <f aca="false">K25634*MIN(K25633-K25639+K25638,MAX(0,K25776-Assumptions!$C$12*K25592-K25602-K25615-K25628))</f>
        <v>0</v>
      </c>
    </row>
    <row r="25642" customFormat="false" ht="15" hidden="false" customHeight="false" outlineLevel="0" collapsed="false">
      <c r="A25642" s="3" t="s">
        <v>337</v>
      </c>
      <c r="G25642" s="16" t="n">
        <f aca="false">Assumptions!$N$60*MIN(G25633+G25640+G25638-G25639-G25641,MAX(0,G25780-G25603-G25616-G25629))</f>
        <v>0</v>
      </c>
      <c r="H25642" s="16" t="n">
        <f aca="false">Assumptions!$N$60*MIN(H25633+H25640+H25638-H25639-H25641,MAX(0,H25780-H25603-H25616-H25629))</f>
        <v>0</v>
      </c>
      <c r="I25642" s="16" t="n">
        <f aca="false">Assumptions!$N$60*MIN(I25633+I25640+I25638-I25639-I25641,MAX(0,I25780-I25603-I25616-I25629))</f>
        <v>0</v>
      </c>
      <c r="J25642" s="16" t="n">
        <f aca="false">Assumptions!$N$60*MIN(J25633+J25640+J25638-J25639-J25641,MAX(0,J25780-J25603-J25616-J25629))</f>
        <v>0</v>
      </c>
      <c r="K25642" s="16" t="n">
        <f aca="false">Assumptions!$N$60*MIN(K25633+K25640+K25638-K25639-K25641,MAX(0,K25780-K25603-K25616-K25629))</f>
        <v>0</v>
      </c>
    </row>
    <row r="25643" customFormat="false" ht="15" hidden="false" customHeight="false" outlineLevel="0" collapsed="false">
      <c r="A25643" s="3" t="s">
        <v>338</v>
      </c>
      <c r="G25643" s="16" t="n">
        <f aca="false">G25634*(1-G25592)*(G25633-G25639+G25638-G25641)</f>
        <v>0</v>
      </c>
      <c r="H25643" s="16" t="n">
        <f aca="false">H25634*(1-H25592)*(H25633-H25639+H25638-H25641)</f>
        <v>0</v>
      </c>
      <c r="I25643" s="16" t="n">
        <f aca="false">I25634*(1-I25592)*(I25633-I25639+I25638-I25641)</f>
        <v>0</v>
      </c>
      <c r="J25643" s="16" t="n">
        <f aca="false">J25634*(1-J25592)*(J25633-J25639+J25638-J25641)</f>
        <v>0</v>
      </c>
      <c r="K25643" s="16" t="n">
        <f aca="false">K25634*(1-K25592)*(K25633-K25639+K25638-K25641)</f>
        <v>0</v>
      </c>
    </row>
    <row r="25644" customFormat="false" ht="15" hidden="false" customHeight="false" outlineLevel="0" collapsed="false">
      <c r="A25644" s="2" t="s">
        <v>339</v>
      </c>
      <c r="F25644" s="28" t="n">
        <f aca="false">Assumptions!$C$60</f>
        <v>0</v>
      </c>
      <c r="G25644" s="17" t="n">
        <f aca="false">G25633+G25640+G25638-G25639-G25641-G25642</f>
        <v>0</v>
      </c>
      <c r="H25644" s="17" t="n">
        <f aca="false">H25633+H25640+H25638-H25639-H25641-H25642</f>
        <v>0</v>
      </c>
      <c r="I25644" s="17" t="n">
        <f aca="false">I25633+I25640+I25638-I25639-I25641-I25642</f>
        <v>0</v>
      </c>
      <c r="J25644" s="17" t="n">
        <f aca="false">J25633+J25640+J25638-J25639-J25641-J25642</f>
        <v>0</v>
      </c>
      <c r="K25644" s="17" t="n">
        <f aca="false">K25633+K25640+K25638-K25639-K25641-K25642</f>
        <v>0</v>
      </c>
    </row>
    <row r="25645" customFormat="false" ht="15" hidden="false" customHeight="false" outlineLevel="0" collapsed="false">
      <c r="A25645" s="24" t="s">
        <v>343</v>
      </c>
      <c r="B25645" s="25"/>
      <c r="C25645" s="25"/>
      <c r="D25645" s="25"/>
      <c r="E25645" s="25"/>
      <c r="F25645" s="25"/>
      <c r="G25645" s="25"/>
      <c r="H25645" s="25"/>
      <c r="I25645" s="25"/>
      <c r="J25645" s="25"/>
      <c r="K25645" s="25"/>
    </row>
    <row r="25646" customFormat="false" ht="15" hidden="false" customHeight="false" outlineLevel="0" collapsed="false">
      <c r="A25646" s="3" t="s">
        <v>329</v>
      </c>
      <c r="G25646" s="16" t="n">
        <f aca="false">F25657</f>
        <v>450</v>
      </c>
      <c r="H25646" s="16" t="n">
        <f aca="false">G25657</f>
        <v>450</v>
      </c>
      <c r="I25646" s="16" t="n">
        <f aca="false">H25657</f>
        <v>396.680257881</v>
      </c>
      <c r="J25646" s="16" t="n">
        <f aca="false">I25657</f>
        <v>396.680257881</v>
      </c>
      <c r="K25646" s="16" t="n">
        <f aca="false">J25657</f>
        <v>396.680257881</v>
      </c>
    </row>
    <row r="25647" customFormat="false" ht="15" hidden="false" customHeight="false" outlineLevel="0" collapsed="false">
      <c r="A25647" s="3" t="s">
        <v>330</v>
      </c>
      <c r="G25647" s="21" t="n">
        <f aca="false">IF(G25558=Assumptions!$K$61,1,0)</f>
        <v>0</v>
      </c>
      <c r="H25647" s="21" t="n">
        <f aca="false">IF(H25558=Assumptions!$K$61,1,0)</f>
        <v>1</v>
      </c>
      <c r="I25647" s="21" t="n">
        <f aca="false">IF(I25558=Assumptions!$K$61,1,0)</f>
        <v>0</v>
      </c>
      <c r="J25647" s="21" t="n">
        <f aca="false">IF(J25558=Assumptions!$K$61,1,0)</f>
        <v>0</v>
      </c>
      <c r="K25647" s="21" t="n">
        <f aca="false">IF(K25558=Assumptions!$K$61,1,0)</f>
        <v>0</v>
      </c>
    </row>
    <row r="25649" customFormat="false" ht="15" hidden="false" customHeight="false" outlineLevel="0" collapsed="false">
      <c r="A25649" s="3" t="s">
        <v>331</v>
      </c>
      <c r="G25649" s="31" t="n">
        <f aca="false">IF(Assumptions!$I$61=1,MAX(G25584,Assumptions!$G$61)+Assumptions!$F$61+$C$25585,Assumptions!$E$61)</f>
        <v>0.0395</v>
      </c>
      <c r="H25649" s="31" t="n">
        <f aca="false">IF(G25908=1,$C$25586,IF(Assumptions!$I$61=1,MAX(H25584,Assumptions!$G$61)+Assumptions!$F$61+$C$25585,Assumptions!$E$61))</f>
        <v>0.0395</v>
      </c>
      <c r="I25649" s="31" t="n">
        <f aca="false">IF(H25908=1,$C$25586,IF(Assumptions!$I$61=1,MAX(I25584,Assumptions!$G$61)+Assumptions!$F$61+$C$25585,Assumptions!$E$61))</f>
        <v>0.0395</v>
      </c>
      <c r="J25649" s="31" t="n">
        <f aca="false">IF(I25908=1,$C$25586,IF(Assumptions!$I$61=1,MAX(J25584,Assumptions!$G$61)+Assumptions!$F$61+$C$25585,Assumptions!$E$61))</f>
        <v>0.0395</v>
      </c>
      <c r="K25649" s="31" t="n">
        <f aca="false">IF(J25908=1,$C$25586,IF(Assumptions!$I$61=1,MAX(K25584,Assumptions!$G$61)+Assumptions!$F$61+$C$25585,Assumptions!$E$61))</f>
        <v>0.0395</v>
      </c>
    </row>
    <row r="25650" customFormat="false" ht="15" hidden="false" customHeight="false" outlineLevel="0" collapsed="false">
      <c r="A25650" s="3" t="s">
        <v>332</v>
      </c>
      <c r="G25650" s="16" t="n">
        <f aca="false">G25646*G25649</f>
        <v>17.775</v>
      </c>
      <c r="H25650" s="16" t="n">
        <f aca="false">H25646*H25649</f>
        <v>17.775</v>
      </c>
      <c r="I25650" s="16" t="n">
        <f aca="false">I25646*I25649</f>
        <v>15.6688701862995</v>
      </c>
      <c r="J25650" s="16" t="n">
        <f aca="false">J25646*J25649</f>
        <v>15.6688701862995</v>
      </c>
      <c r="K25650" s="16" t="n">
        <f aca="false">K25646*K25649</f>
        <v>15.6688701862995</v>
      </c>
    </row>
    <row r="25651" customFormat="false" ht="15" hidden="false" customHeight="false" outlineLevel="0" collapsed="false">
      <c r="A25651" s="3" t="s">
        <v>333</v>
      </c>
      <c r="G25651" s="16" t="n">
        <f aca="false">G25646*Assumptions!$H$61</f>
        <v>0</v>
      </c>
      <c r="H25651" s="16" t="n">
        <f aca="false">H25646*Assumptions!$H$61</f>
        <v>0</v>
      </c>
      <c r="I25651" s="16" t="n">
        <f aca="false">I25646*Assumptions!$H$61</f>
        <v>0</v>
      </c>
      <c r="J25651" s="16" t="n">
        <f aca="false">J25646*Assumptions!$H$61</f>
        <v>0</v>
      </c>
      <c r="K25651" s="16" t="n">
        <f aca="false">K25646*Assumptions!$H$61</f>
        <v>0</v>
      </c>
    </row>
    <row r="25652" customFormat="false" ht="15" hidden="false" customHeight="false" outlineLevel="0" collapsed="false">
      <c r="A25652" s="3" t="s">
        <v>334</v>
      </c>
      <c r="G25652" s="16" t="n">
        <f aca="false">MIN(G25646,Assumptions!$L$61*Assumptions!$C$61)</f>
        <v>0</v>
      </c>
      <c r="H25652" s="16" t="n">
        <f aca="false">MIN(H25646,Assumptions!$L$61*Assumptions!$C$61)</f>
        <v>0</v>
      </c>
      <c r="I25652" s="16" t="n">
        <f aca="false">MIN(I25646,Assumptions!$L$61*Assumptions!$C$61)</f>
        <v>0</v>
      </c>
      <c r="J25652" s="16" t="n">
        <f aca="false">MIN(J25646,Assumptions!$L$61*Assumptions!$C$61)</f>
        <v>0</v>
      </c>
      <c r="K25652" s="16" t="n">
        <f aca="false">MIN(K25646,Assumptions!$L$61*Assumptions!$C$61)</f>
        <v>0</v>
      </c>
    </row>
    <row r="25653" customFormat="false" ht="15" hidden="false" customHeight="false" outlineLevel="0" collapsed="false">
      <c r="A25653" s="3" t="s">
        <v>335</v>
      </c>
      <c r="G25653" s="16" t="n">
        <f aca="false">IF(AND(Assumptions!$P$61=1,G25558&lt;Assumptions!$K$61),MIN(MAX(0,-G25774),MAX(0,Assumptions!$D$61-G25646)),0)</f>
        <v>0</v>
      </c>
      <c r="H25653" s="16" t="n">
        <f aca="false">IF(AND(Assumptions!$P$61=1,OR(H25558&lt;Assumptions!$K$61,G25908=1)),MIN(MAX(0,-H25774),MAX(0,Assumptions!$D$61-H25646)),0)</f>
        <v>0</v>
      </c>
      <c r="I25653" s="16" t="n">
        <f aca="false">IF(AND(Assumptions!$P$61=1,OR(I25558&lt;Assumptions!$K$61,H25908=1)),MIN(MAX(0,-I25774),MAX(0,Assumptions!$D$61-I25646)),0)</f>
        <v>0</v>
      </c>
      <c r="J25653" s="16" t="n">
        <f aca="false">IF(AND(Assumptions!$P$61=1,OR(J25558&lt;Assumptions!$K$61,I25908=1)),MIN(MAX(0,-J25774),MAX(0,Assumptions!$D$61-J25646)),0)</f>
        <v>0</v>
      </c>
      <c r="K25653" s="16" t="n">
        <f aca="false">IF(AND(Assumptions!$P$61=1,OR(K25558&lt;Assumptions!$K$61,J25908=1)),MIN(MAX(0,-K25774),MAX(0,Assumptions!$D$61-K25646)),0)</f>
        <v>0</v>
      </c>
    </row>
    <row r="25654" customFormat="false" ht="15" hidden="false" customHeight="false" outlineLevel="0" collapsed="false">
      <c r="A25654" s="3" t="s">
        <v>336</v>
      </c>
      <c r="G25654" s="16" t="n">
        <f aca="false">G25647*MIN(G25646-G25652+G25651,MAX(0,G25776-Assumptions!$C$12*G25592-G25602-G25615-G25628-G25641))</f>
        <v>0</v>
      </c>
      <c r="H25654" s="16" t="n">
        <f aca="false">H25647*MIN(H25646-H25652+H25651,MAX(0,H25776-Assumptions!$C$12*H25592-H25602-H25615-H25628-H25641))</f>
        <v>53.3197421190001</v>
      </c>
      <c r="I25654" s="16" t="n">
        <f aca="false">I25647*MIN(I25646-I25652+I25651,MAX(0,I25776-Assumptions!$C$12*I25592-I25602-I25615-I25628-I25641))</f>
        <v>0</v>
      </c>
      <c r="J25654" s="16" t="n">
        <f aca="false">J25647*MIN(J25646-J25652+J25651,MAX(0,J25776-Assumptions!$C$12*J25592-J25602-J25615-J25628-J25641))</f>
        <v>0</v>
      </c>
      <c r="K25654" s="16" t="n">
        <f aca="false">K25647*MIN(K25646-K25652+K25651,MAX(0,K25776-Assumptions!$C$12*K25592-K25602-K25615-K25628-K25641))</f>
        <v>0</v>
      </c>
    </row>
    <row r="25655" customFormat="false" ht="15" hidden="false" customHeight="false" outlineLevel="0" collapsed="false">
      <c r="A25655" s="3" t="s">
        <v>337</v>
      </c>
      <c r="G25655" s="16" t="n">
        <f aca="false">Assumptions!$N$61*MIN(G25646+G25653+G25651-G25652-G25654,MAX(0,G25780-G25603-G25616-G25629-G25642))</f>
        <v>0</v>
      </c>
      <c r="H25655" s="16" t="n">
        <f aca="false">Assumptions!$N$61*MIN(H25646+H25653+H25651-H25652-H25654,MAX(0,H25780-H25603-H25616-H25629-H25642))</f>
        <v>0</v>
      </c>
      <c r="I25655" s="16" t="n">
        <f aca="false">Assumptions!$N$61*MIN(I25646+I25653+I25651-I25652-I25654,MAX(0,I25780-I25603-I25616-I25629-I25642))</f>
        <v>0</v>
      </c>
      <c r="J25655" s="16" t="n">
        <f aca="false">Assumptions!$N$61*MIN(J25646+J25653+J25651-J25652-J25654,MAX(0,J25780-J25603-J25616-J25629-J25642))</f>
        <v>0</v>
      </c>
      <c r="K25655" s="16" t="n">
        <f aca="false">Assumptions!$N$61*MIN(K25646+K25653+K25651-K25652-K25654,MAX(0,K25780-K25603-K25616-K25629-K25642))</f>
        <v>0</v>
      </c>
    </row>
    <row r="25656" customFormat="false" ht="15" hidden="false" customHeight="false" outlineLevel="0" collapsed="false">
      <c r="A25656" s="3" t="s">
        <v>338</v>
      </c>
      <c r="G25656" s="16" t="n">
        <f aca="false">G25647*(1-G25592)*(G25646-G25652+G25651-G25654)</f>
        <v>0</v>
      </c>
      <c r="H25656" s="16" t="n">
        <f aca="false">H25647*(1-H25592)*(H25646-H25652+H25651-H25654)</f>
        <v>396.680257881</v>
      </c>
      <c r="I25656" s="16" t="n">
        <f aca="false">I25647*(1-I25592)*(I25646-I25652+I25651-I25654)</f>
        <v>0</v>
      </c>
      <c r="J25656" s="16" t="n">
        <f aca="false">J25647*(1-J25592)*(J25646-J25652+J25651-J25654)</f>
        <v>0</v>
      </c>
      <c r="K25656" s="16" t="n">
        <f aca="false">K25647*(1-K25592)*(K25646-K25652+K25651-K25654)</f>
        <v>0</v>
      </c>
    </row>
    <row r="25657" customFormat="false" ht="15" hidden="false" customHeight="false" outlineLevel="0" collapsed="false">
      <c r="A25657" s="2" t="s">
        <v>339</v>
      </c>
      <c r="F25657" s="28" t="n">
        <f aca="false">Assumptions!$C$61</f>
        <v>450</v>
      </c>
      <c r="G25657" s="17" t="n">
        <f aca="false">G25646+G25653+G25651-G25652-G25654-G25655</f>
        <v>450</v>
      </c>
      <c r="H25657" s="17" t="n">
        <f aca="false">H25646+H25653+H25651-H25652-H25654-H25655</f>
        <v>396.680257881</v>
      </c>
      <c r="I25657" s="17" t="n">
        <f aca="false">I25646+I25653+I25651-I25652-I25654-I25655</f>
        <v>396.680257881</v>
      </c>
      <c r="J25657" s="17" t="n">
        <f aca="false">J25646+J25653+J25651-J25652-J25654-J25655</f>
        <v>396.680257881</v>
      </c>
      <c r="K25657" s="17" t="n">
        <f aca="false">K25646+K25653+K25651-K25652-K25654-K25655</f>
        <v>396.680257881</v>
      </c>
    </row>
    <row r="25658" customFormat="false" ht="15" hidden="false" customHeight="false" outlineLevel="0" collapsed="false">
      <c r="A25658" s="24" t="s">
        <v>344</v>
      </c>
      <c r="B25658" s="25"/>
      <c r="C25658" s="25"/>
      <c r="D25658" s="25"/>
      <c r="E25658" s="25"/>
      <c r="F25658" s="25"/>
      <c r="G25658" s="25"/>
      <c r="H25658" s="25"/>
      <c r="I25658" s="25"/>
      <c r="J25658" s="25"/>
      <c r="K25658" s="25"/>
    </row>
    <row r="25659" customFormat="false" ht="15" hidden="false" customHeight="false" outlineLevel="0" collapsed="false">
      <c r="A25659" s="3" t="s">
        <v>329</v>
      </c>
      <c r="G25659" s="16" t="n">
        <f aca="false">F25670</f>
        <v>350</v>
      </c>
      <c r="H25659" s="16" t="n">
        <f aca="false">G25670</f>
        <v>350</v>
      </c>
      <c r="I25659" s="16" t="n">
        <f aca="false">H25670</f>
        <v>350</v>
      </c>
      <c r="J25659" s="16" t="n">
        <f aca="false">I25670</f>
        <v>350</v>
      </c>
      <c r="K25659" s="16" t="n">
        <f aca="false">J25670</f>
        <v>350</v>
      </c>
    </row>
    <row r="25660" customFormat="false" ht="15" hidden="false" customHeight="false" outlineLevel="0" collapsed="false">
      <c r="A25660" s="3" t="s">
        <v>330</v>
      </c>
      <c r="G25660" s="21" t="n">
        <f aca="false">IF(G25558=Assumptions!$K$62,1,0)</f>
        <v>0</v>
      </c>
      <c r="H25660" s="21" t="n">
        <f aca="false">IF(H25558=Assumptions!$K$62,1,0)</f>
        <v>1</v>
      </c>
      <c r="I25660" s="21" t="n">
        <f aca="false">IF(I25558=Assumptions!$K$62,1,0)</f>
        <v>0</v>
      </c>
      <c r="J25660" s="21" t="n">
        <f aca="false">IF(J25558=Assumptions!$K$62,1,0)</f>
        <v>0</v>
      </c>
      <c r="K25660" s="21" t="n">
        <f aca="false">IF(K25558=Assumptions!$K$62,1,0)</f>
        <v>0</v>
      </c>
    </row>
    <row r="25662" customFormat="false" ht="15" hidden="false" customHeight="false" outlineLevel="0" collapsed="false">
      <c r="A25662" s="3" t="s">
        <v>331</v>
      </c>
      <c r="G25662" s="31" t="n">
        <f aca="false">IF(Assumptions!$I$62=1,MAX(G25584,Assumptions!$G$62)+Assumptions!$F$62+$C$25585,Assumptions!$E$62)</f>
        <v>0.083</v>
      </c>
      <c r="H25662" s="31" t="n">
        <f aca="false">IF(G25909=1,$C$25586,IF(Assumptions!$I$62=1,MAX(H25584,Assumptions!$G$62)+Assumptions!$F$62+$C$25585,Assumptions!$E$62))</f>
        <v>0.083</v>
      </c>
      <c r="I25662" s="31" t="n">
        <f aca="false">IF(H25909=1,$C$25586,IF(Assumptions!$I$62=1,MAX(I25584,Assumptions!$G$62)+Assumptions!$F$62+$C$25585,Assumptions!$E$62))</f>
        <v>0.083</v>
      </c>
      <c r="J25662" s="31" t="n">
        <f aca="false">IF(I25909=1,$C$25586,IF(Assumptions!$I$62=1,MAX(J25584,Assumptions!$G$62)+Assumptions!$F$62+$C$25585,Assumptions!$E$62))</f>
        <v>0.083</v>
      </c>
      <c r="K25662" s="31" t="n">
        <f aca="false">IF(J25909=1,$C$25586,IF(Assumptions!$I$62=1,MAX(K25584,Assumptions!$G$62)+Assumptions!$F$62+$C$25585,Assumptions!$E$62))</f>
        <v>0.083</v>
      </c>
    </row>
    <row r="25663" customFormat="false" ht="15" hidden="false" customHeight="false" outlineLevel="0" collapsed="false">
      <c r="A25663" s="3" t="s">
        <v>332</v>
      </c>
      <c r="G25663" s="16" t="n">
        <f aca="false">G25659*G25662</f>
        <v>29.05</v>
      </c>
      <c r="H25663" s="16" t="n">
        <f aca="false">H25659*H25662</f>
        <v>29.05</v>
      </c>
      <c r="I25663" s="16" t="n">
        <f aca="false">I25659*I25662</f>
        <v>29.05</v>
      </c>
      <c r="J25663" s="16" t="n">
        <f aca="false">J25659*J25662</f>
        <v>29.05</v>
      </c>
      <c r="K25663" s="16" t="n">
        <f aca="false">K25659*K25662</f>
        <v>29.05</v>
      </c>
    </row>
    <row r="25664" customFormat="false" ht="15" hidden="false" customHeight="false" outlineLevel="0" collapsed="false">
      <c r="A25664" s="3" t="s">
        <v>333</v>
      </c>
      <c r="G25664" s="16" t="n">
        <f aca="false">G25659*Assumptions!$H$62</f>
        <v>0</v>
      </c>
      <c r="H25664" s="16" t="n">
        <f aca="false">H25659*Assumptions!$H$62</f>
        <v>0</v>
      </c>
      <c r="I25664" s="16" t="n">
        <f aca="false">I25659*Assumptions!$H$62</f>
        <v>0</v>
      </c>
      <c r="J25664" s="16" t="n">
        <f aca="false">J25659*Assumptions!$H$62</f>
        <v>0</v>
      </c>
      <c r="K25664" s="16" t="n">
        <f aca="false">K25659*Assumptions!$H$62</f>
        <v>0</v>
      </c>
    </row>
    <row r="25665" customFormat="false" ht="15" hidden="false" customHeight="false" outlineLevel="0" collapsed="false">
      <c r="A25665" s="3" t="s">
        <v>334</v>
      </c>
      <c r="G25665" s="16" t="n">
        <f aca="false">MIN(G25659,Assumptions!$L$62*Assumptions!$C$62)</f>
        <v>0</v>
      </c>
      <c r="H25665" s="16" t="n">
        <f aca="false">MIN(H25659,Assumptions!$L$62*Assumptions!$C$62)</f>
        <v>0</v>
      </c>
      <c r="I25665" s="16" t="n">
        <f aca="false">MIN(I25659,Assumptions!$L$62*Assumptions!$C$62)</f>
        <v>0</v>
      </c>
      <c r="J25665" s="16" t="n">
        <f aca="false">MIN(J25659,Assumptions!$L$62*Assumptions!$C$62)</f>
        <v>0</v>
      </c>
      <c r="K25665" s="16" t="n">
        <f aca="false">MIN(K25659,Assumptions!$L$62*Assumptions!$C$62)</f>
        <v>0</v>
      </c>
    </row>
    <row r="25666" customFormat="false" ht="15" hidden="false" customHeight="false" outlineLevel="0" collapsed="false">
      <c r="A25666" s="3" t="s">
        <v>335</v>
      </c>
      <c r="G25666" s="16" t="n">
        <f aca="false">IF(AND(Assumptions!$P$62=1,G25558&lt;Assumptions!$K$62),MIN(MAX(0,-G25774),MAX(0,Assumptions!$D$62-G25659)),0)</f>
        <v>0</v>
      </c>
      <c r="H25666" s="16" t="n">
        <f aca="false">IF(AND(Assumptions!$P$62=1,OR(H25558&lt;Assumptions!$K$62,G25909=1)),MIN(MAX(0,-H25774),MAX(0,Assumptions!$D$62-H25659)),0)</f>
        <v>0</v>
      </c>
      <c r="I25666" s="16" t="n">
        <f aca="false">IF(AND(Assumptions!$P$62=1,OR(I25558&lt;Assumptions!$K$62,H25909=1)),MIN(MAX(0,-I25774),MAX(0,Assumptions!$D$62-I25659)),0)</f>
        <v>0</v>
      </c>
      <c r="J25666" s="16" t="n">
        <f aca="false">IF(AND(Assumptions!$P$62=1,OR(J25558&lt;Assumptions!$K$62,I25909=1)),MIN(MAX(0,-J25774),MAX(0,Assumptions!$D$62-J25659)),0)</f>
        <v>0</v>
      </c>
      <c r="K25666" s="16" t="n">
        <f aca="false">IF(AND(Assumptions!$P$62=1,OR(K25558&lt;Assumptions!$K$62,J25909=1)),MIN(MAX(0,-K25774),MAX(0,Assumptions!$D$62-K25659)),0)</f>
        <v>0</v>
      </c>
    </row>
    <row r="25667" customFormat="false" ht="15" hidden="false" customHeight="false" outlineLevel="0" collapsed="false">
      <c r="A25667" s="3" t="s">
        <v>336</v>
      </c>
      <c r="G25667" s="16" t="n">
        <f aca="false">G25660*MIN(G25659-G25665+G25664,MAX(0,G25776-Assumptions!$C$12*G25592-G25602-G25615-G25628-G25641-G25654))</f>
        <v>0</v>
      </c>
      <c r="H25667" s="16" t="n">
        <f aca="false">H25660*MIN(H25659-H25665+H25664,MAX(0,H25776-Assumptions!$C$12*H25592-H25602-H25615-H25628-H25641-H25654))</f>
        <v>0</v>
      </c>
      <c r="I25667" s="16" t="n">
        <f aca="false">I25660*MIN(I25659-I25665+I25664,MAX(0,I25776-Assumptions!$C$12*I25592-I25602-I25615-I25628-I25641-I25654))</f>
        <v>0</v>
      </c>
      <c r="J25667" s="16" t="n">
        <f aca="false">J25660*MIN(J25659-J25665+J25664,MAX(0,J25776-Assumptions!$C$12*J25592-J25602-J25615-J25628-J25641-J25654))</f>
        <v>0</v>
      </c>
      <c r="K25667" s="16" t="n">
        <f aca="false">K25660*MIN(K25659-K25665+K25664,MAX(0,K25776-Assumptions!$C$12*K25592-K25602-K25615-K25628-K25641-K25654))</f>
        <v>0</v>
      </c>
    </row>
    <row r="25668" customFormat="false" ht="15" hidden="false" customHeight="false" outlineLevel="0" collapsed="false">
      <c r="A25668" s="3" t="s">
        <v>337</v>
      </c>
      <c r="G25668" s="16" t="n">
        <f aca="false">Assumptions!$N$62*MIN(G25659+G25666+G25664-G25665-G25667,MAX(0,G25780-G25603-G25616-G25629-G25642-G25655))</f>
        <v>0</v>
      </c>
      <c r="H25668" s="16" t="n">
        <f aca="false">Assumptions!$N$62*MIN(H25659+H25666+H25664-H25665-H25667,MAX(0,H25780-H25603-H25616-H25629-H25642-H25655))</f>
        <v>0</v>
      </c>
      <c r="I25668" s="16" t="n">
        <f aca="false">Assumptions!$N$62*MIN(I25659+I25666+I25664-I25665-I25667,MAX(0,I25780-I25603-I25616-I25629-I25642-I25655))</f>
        <v>0</v>
      </c>
      <c r="J25668" s="16" t="n">
        <f aca="false">Assumptions!$N$62*MIN(J25659+J25666+J25664-J25665-J25667,MAX(0,J25780-J25603-J25616-J25629-J25642-J25655))</f>
        <v>0</v>
      </c>
      <c r="K25668" s="16" t="n">
        <f aca="false">Assumptions!$N$62*MIN(K25659+K25666+K25664-K25665-K25667,MAX(0,K25780-K25603-K25616-K25629-K25642-K25655))</f>
        <v>0</v>
      </c>
    </row>
    <row r="25669" customFormat="false" ht="15" hidden="false" customHeight="false" outlineLevel="0" collapsed="false">
      <c r="A25669" s="3" t="s">
        <v>338</v>
      </c>
      <c r="G25669" s="16" t="n">
        <f aca="false">G25660*(1-G25592)*(G25659-G25665+G25664-G25667)</f>
        <v>0</v>
      </c>
      <c r="H25669" s="16" t="n">
        <f aca="false">H25660*(1-H25592)*(H25659-H25665+H25664-H25667)</f>
        <v>350</v>
      </c>
      <c r="I25669" s="16" t="n">
        <f aca="false">I25660*(1-I25592)*(I25659-I25665+I25664-I25667)</f>
        <v>0</v>
      </c>
      <c r="J25669" s="16" t="n">
        <f aca="false">J25660*(1-J25592)*(J25659-J25665+J25664-J25667)</f>
        <v>0</v>
      </c>
      <c r="K25669" s="16" t="n">
        <f aca="false">K25660*(1-K25592)*(K25659-K25665+K25664-K25667)</f>
        <v>0</v>
      </c>
    </row>
    <row r="25670" customFormat="false" ht="15" hidden="false" customHeight="false" outlineLevel="0" collapsed="false">
      <c r="A25670" s="2" t="s">
        <v>339</v>
      </c>
      <c r="F25670" s="28" t="n">
        <f aca="false">Assumptions!$C$62</f>
        <v>350</v>
      </c>
      <c r="G25670" s="17" t="n">
        <f aca="false">G25659+G25666+G25664-G25665-G25667-G25668</f>
        <v>350</v>
      </c>
      <c r="H25670" s="17" t="n">
        <f aca="false">H25659+H25666+H25664-H25665-H25667-H25668</f>
        <v>350</v>
      </c>
      <c r="I25670" s="17" t="n">
        <f aca="false">I25659+I25666+I25664-I25665-I25667-I25668</f>
        <v>350</v>
      </c>
      <c r="J25670" s="17" t="n">
        <f aca="false">J25659+J25666+J25664-J25665-J25667-J25668</f>
        <v>350</v>
      </c>
      <c r="K25670" s="17" t="n">
        <f aca="false">K25659+K25666+K25664-K25665-K25667-K25668</f>
        <v>350</v>
      </c>
    </row>
    <row r="25671" customFormat="false" ht="15" hidden="false" customHeight="false" outlineLevel="0" collapsed="false">
      <c r="A25671" s="24" t="s">
        <v>345</v>
      </c>
      <c r="B25671" s="25"/>
      <c r="C25671" s="25"/>
      <c r="D25671" s="25"/>
      <c r="E25671" s="25"/>
      <c r="F25671" s="25"/>
      <c r="G25671" s="25"/>
      <c r="H25671" s="25"/>
      <c r="I25671" s="25"/>
      <c r="J25671" s="25"/>
      <c r="K25671" s="25"/>
    </row>
    <row r="25672" customFormat="false" ht="15" hidden="false" customHeight="false" outlineLevel="0" collapsed="false">
      <c r="A25672" s="3" t="s">
        <v>329</v>
      </c>
      <c r="G25672" s="16" t="n">
        <f aca="false">F25683</f>
        <v>550</v>
      </c>
      <c r="H25672" s="16" t="n">
        <f aca="false">G25683</f>
        <v>550</v>
      </c>
      <c r="I25672" s="16" t="n">
        <f aca="false">H25683</f>
        <v>550</v>
      </c>
      <c r="J25672" s="16" t="n">
        <f aca="false">I25683</f>
        <v>550</v>
      </c>
      <c r="K25672" s="16" t="n">
        <f aca="false">J25683</f>
        <v>550</v>
      </c>
    </row>
    <row r="25673" customFormat="false" ht="15" hidden="false" customHeight="false" outlineLevel="0" collapsed="false">
      <c r="A25673" s="3" t="s">
        <v>330</v>
      </c>
      <c r="G25673" s="21" t="n">
        <f aca="false">IF(G25558=Assumptions!$K$63,1,0)</f>
        <v>0</v>
      </c>
      <c r="H25673" s="21" t="n">
        <f aca="false">IF(H25558=Assumptions!$K$63,1,0)</f>
        <v>0</v>
      </c>
      <c r="I25673" s="21" t="n">
        <f aca="false">IF(I25558=Assumptions!$K$63,1,0)</f>
        <v>1</v>
      </c>
      <c r="J25673" s="21" t="n">
        <f aca="false">IF(J25558=Assumptions!$K$63,1,0)</f>
        <v>0</v>
      </c>
      <c r="K25673" s="21" t="n">
        <f aca="false">IF(K25558=Assumptions!$K$63,1,0)</f>
        <v>0</v>
      </c>
    </row>
    <row r="25675" customFormat="false" ht="15" hidden="false" customHeight="false" outlineLevel="0" collapsed="false">
      <c r="A25675" s="3" t="s">
        <v>331</v>
      </c>
      <c r="G25675" s="31" t="n">
        <f aca="false">IF(Assumptions!$I$63=1,MAX(G25584,Assumptions!$G$63)+Assumptions!$F$63+$C$25585,Assumptions!$E$63)</f>
        <v>0.08875</v>
      </c>
      <c r="H25675" s="31" t="n">
        <f aca="false">IF(G25910=1,$C$25586,IF(Assumptions!$I$63=1,MAX(H25584,Assumptions!$G$63)+Assumptions!$F$63+$C$25585,Assumptions!$E$63))</f>
        <v>0.08875</v>
      </c>
      <c r="I25675" s="31" t="n">
        <f aca="false">IF(H25910=1,$C$25586,IF(Assumptions!$I$63=1,MAX(I25584,Assumptions!$G$63)+Assumptions!$F$63+$C$25585,Assumptions!$E$63))</f>
        <v>0.08875</v>
      </c>
      <c r="J25675" s="31" t="n">
        <f aca="false">IF(I25910=1,$C$25586,IF(Assumptions!$I$63=1,MAX(J25584,Assumptions!$G$63)+Assumptions!$F$63+$C$25585,Assumptions!$E$63))</f>
        <v>0.08875</v>
      </c>
      <c r="K25675" s="31" t="n">
        <f aca="false">IF(J25910=1,$C$25586,IF(Assumptions!$I$63=1,MAX(K25584,Assumptions!$G$63)+Assumptions!$F$63+$C$25585,Assumptions!$E$63))</f>
        <v>0.08875</v>
      </c>
    </row>
    <row r="25676" customFormat="false" ht="15" hidden="false" customHeight="false" outlineLevel="0" collapsed="false">
      <c r="A25676" s="3" t="s">
        <v>332</v>
      </c>
      <c r="G25676" s="16" t="n">
        <f aca="false">G25672*G25675</f>
        <v>48.8125</v>
      </c>
      <c r="H25676" s="16" t="n">
        <f aca="false">H25672*H25675</f>
        <v>48.8125</v>
      </c>
      <c r="I25676" s="16" t="n">
        <f aca="false">I25672*I25675</f>
        <v>48.8125</v>
      </c>
      <c r="J25676" s="16" t="n">
        <f aca="false">J25672*J25675</f>
        <v>48.8125</v>
      </c>
      <c r="K25676" s="16" t="n">
        <f aca="false">K25672*K25675</f>
        <v>48.8125</v>
      </c>
    </row>
    <row r="25677" customFormat="false" ht="15" hidden="false" customHeight="false" outlineLevel="0" collapsed="false">
      <c r="A25677" s="3" t="s">
        <v>333</v>
      </c>
      <c r="G25677" s="16" t="n">
        <f aca="false">G25672*Assumptions!$H$63</f>
        <v>0</v>
      </c>
      <c r="H25677" s="16" t="n">
        <f aca="false">H25672*Assumptions!$H$63</f>
        <v>0</v>
      </c>
      <c r="I25677" s="16" t="n">
        <f aca="false">I25672*Assumptions!$H$63</f>
        <v>0</v>
      </c>
      <c r="J25677" s="16" t="n">
        <f aca="false">J25672*Assumptions!$H$63</f>
        <v>0</v>
      </c>
      <c r="K25677" s="16" t="n">
        <f aca="false">K25672*Assumptions!$H$63</f>
        <v>0</v>
      </c>
    </row>
    <row r="25678" customFormat="false" ht="15" hidden="false" customHeight="false" outlineLevel="0" collapsed="false">
      <c r="A25678" s="3" t="s">
        <v>334</v>
      </c>
      <c r="G25678" s="16" t="n">
        <f aca="false">MIN(G25672,Assumptions!$L$63*Assumptions!$C$63)</f>
        <v>0</v>
      </c>
      <c r="H25678" s="16" t="n">
        <f aca="false">MIN(H25672,Assumptions!$L$63*Assumptions!$C$63)</f>
        <v>0</v>
      </c>
      <c r="I25678" s="16" t="n">
        <f aca="false">MIN(I25672,Assumptions!$L$63*Assumptions!$C$63)</f>
        <v>0</v>
      </c>
      <c r="J25678" s="16" t="n">
        <f aca="false">MIN(J25672,Assumptions!$L$63*Assumptions!$C$63)</f>
        <v>0</v>
      </c>
      <c r="K25678" s="16" t="n">
        <f aca="false">MIN(K25672,Assumptions!$L$63*Assumptions!$C$63)</f>
        <v>0</v>
      </c>
    </row>
    <row r="25679" customFormat="false" ht="15" hidden="false" customHeight="false" outlineLevel="0" collapsed="false">
      <c r="A25679" s="3" t="s">
        <v>335</v>
      </c>
      <c r="G25679" s="16" t="n">
        <f aca="false">IF(AND(Assumptions!$P$63=1,G25558&lt;Assumptions!$K$63),MIN(MAX(0,-G25774),MAX(0,Assumptions!$D$63-G25672)),0)</f>
        <v>0</v>
      </c>
      <c r="H25679" s="16" t="n">
        <f aca="false">IF(AND(Assumptions!$P$63=1,OR(H25558&lt;Assumptions!$K$63,G25910=1)),MIN(MAX(0,-H25774),MAX(0,Assumptions!$D$63-H25672)),0)</f>
        <v>0</v>
      </c>
      <c r="I25679" s="16" t="n">
        <f aca="false">IF(AND(Assumptions!$P$63=1,OR(I25558&lt;Assumptions!$K$63,H25910=1)),MIN(MAX(0,-I25774),MAX(0,Assumptions!$D$63-I25672)),0)</f>
        <v>0</v>
      </c>
      <c r="J25679" s="16" t="n">
        <f aca="false">IF(AND(Assumptions!$P$63=1,OR(J25558&lt;Assumptions!$K$63,I25910=1)),MIN(MAX(0,-J25774),MAX(0,Assumptions!$D$63-J25672)),0)</f>
        <v>0</v>
      </c>
      <c r="K25679" s="16" t="n">
        <f aca="false">IF(AND(Assumptions!$P$63=1,OR(K25558&lt;Assumptions!$K$63,J25910=1)),MIN(MAX(0,-K25774),MAX(0,Assumptions!$D$63-K25672)),0)</f>
        <v>0</v>
      </c>
    </row>
    <row r="25680" customFormat="false" ht="15" hidden="false" customHeight="false" outlineLevel="0" collapsed="false">
      <c r="A25680" s="3" t="s">
        <v>336</v>
      </c>
      <c r="G25680" s="16" t="n">
        <f aca="false">G25673*MIN(G25672-G25678+G25677,MAX(0,G25776-Assumptions!$C$12*G25592-G25602-G25615-G25628-G25641-G25654-G25667))</f>
        <v>0</v>
      </c>
      <c r="H25680" s="16" t="n">
        <f aca="false">H25673*MIN(H25672-H25678+H25677,MAX(0,H25776-Assumptions!$C$12*H25592-H25602-H25615-H25628-H25641-H25654-H25667))</f>
        <v>0</v>
      </c>
      <c r="I25680" s="16" t="n">
        <f aca="false">I25673*MIN(I25672-I25678+I25677,MAX(0,I25776-Assumptions!$C$12*I25592-I25602-I25615-I25628-I25641-I25654-I25667))</f>
        <v>0</v>
      </c>
      <c r="J25680" s="16" t="n">
        <f aca="false">J25673*MIN(J25672-J25678+J25677,MAX(0,J25776-Assumptions!$C$12*J25592-J25602-J25615-J25628-J25641-J25654-J25667))</f>
        <v>0</v>
      </c>
      <c r="K25680" s="16" t="n">
        <f aca="false">K25673*MIN(K25672-K25678+K25677,MAX(0,K25776-Assumptions!$C$12*K25592-K25602-K25615-K25628-K25641-K25654-K25667))</f>
        <v>0</v>
      </c>
    </row>
    <row r="25681" customFormat="false" ht="15" hidden="false" customHeight="false" outlineLevel="0" collapsed="false">
      <c r="A25681" s="3" t="s">
        <v>337</v>
      </c>
      <c r="G25681" s="16" t="n">
        <f aca="false">Assumptions!$N$63*MIN(G25672+G25679+G25677-G25678-G25680,MAX(0,G25780-G25603-G25616-G25629-G25642-G25655-G25668))</f>
        <v>0</v>
      </c>
      <c r="H25681" s="16" t="n">
        <f aca="false">Assumptions!$N$63*MIN(H25672+H25679+H25677-H25678-H25680,MAX(0,H25780-H25603-H25616-H25629-H25642-H25655-H25668))</f>
        <v>0</v>
      </c>
      <c r="I25681" s="16" t="n">
        <f aca="false">Assumptions!$N$63*MIN(I25672+I25679+I25677-I25678-I25680,MAX(0,I25780-I25603-I25616-I25629-I25642-I25655-I25668))</f>
        <v>0</v>
      </c>
      <c r="J25681" s="16" t="n">
        <f aca="false">Assumptions!$N$63*MIN(J25672+J25679+J25677-J25678-J25680,MAX(0,J25780-J25603-J25616-J25629-J25642-J25655-J25668))</f>
        <v>0</v>
      </c>
      <c r="K25681" s="16" t="n">
        <f aca="false">Assumptions!$N$63*MIN(K25672+K25679+K25677-K25678-K25680,MAX(0,K25780-K25603-K25616-K25629-K25642-K25655-K25668))</f>
        <v>0</v>
      </c>
    </row>
    <row r="25682" customFormat="false" ht="15" hidden="false" customHeight="false" outlineLevel="0" collapsed="false">
      <c r="A25682" s="3" t="s">
        <v>338</v>
      </c>
      <c r="G25682" s="16" t="n">
        <f aca="false">G25673*(1-G25592)*(G25672-G25678+G25677-G25680)</f>
        <v>0</v>
      </c>
      <c r="H25682" s="16" t="n">
        <f aca="false">H25673*(1-H25592)*(H25672-H25678+H25677-H25680)</f>
        <v>0</v>
      </c>
      <c r="I25682" s="16" t="n">
        <f aca="false">I25673*(1-I25592)*(I25672-I25678+I25677-I25680)</f>
        <v>550</v>
      </c>
      <c r="J25682" s="16" t="n">
        <f aca="false">J25673*(1-J25592)*(J25672-J25678+J25677-J25680)</f>
        <v>0</v>
      </c>
      <c r="K25682" s="16" t="n">
        <f aca="false">K25673*(1-K25592)*(K25672-K25678+K25677-K25680)</f>
        <v>0</v>
      </c>
    </row>
    <row r="25683" customFormat="false" ht="15" hidden="false" customHeight="false" outlineLevel="0" collapsed="false">
      <c r="A25683" s="2" t="s">
        <v>339</v>
      </c>
      <c r="F25683" s="28" t="n">
        <f aca="false">Assumptions!$C$63</f>
        <v>550</v>
      </c>
      <c r="G25683" s="17" t="n">
        <f aca="false">G25672+G25679+G25677-G25678-G25680-G25681</f>
        <v>550</v>
      </c>
      <c r="H25683" s="17" t="n">
        <f aca="false">H25672+H25679+H25677-H25678-H25680-H25681</f>
        <v>550</v>
      </c>
      <c r="I25683" s="17" t="n">
        <f aca="false">I25672+I25679+I25677-I25678-I25680-I25681</f>
        <v>550</v>
      </c>
      <c r="J25683" s="17" t="n">
        <f aca="false">J25672+J25679+J25677-J25678-J25680-J25681</f>
        <v>550</v>
      </c>
      <c r="K25683" s="17" t="n">
        <f aca="false">K25672+K25679+K25677-K25678-K25680-K25681</f>
        <v>550</v>
      </c>
    </row>
    <row r="25684" customFormat="false" ht="15" hidden="false" customHeight="false" outlineLevel="0" collapsed="false">
      <c r="A25684" s="24" t="s">
        <v>346</v>
      </c>
      <c r="B25684" s="25"/>
      <c r="C25684" s="25"/>
      <c r="D25684" s="25"/>
      <c r="E25684" s="25"/>
      <c r="F25684" s="25"/>
      <c r="G25684" s="25"/>
      <c r="H25684" s="25"/>
      <c r="I25684" s="25"/>
      <c r="J25684" s="25"/>
      <c r="K25684" s="25"/>
    </row>
    <row r="25685" customFormat="false" ht="15" hidden="false" customHeight="false" outlineLevel="0" collapsed="false">
      <c r="A25685" s="3" t="s">
        <v>329</v>
      </c>
      <c r="G25685" s="16" t="n">
        <f aca="false">F25696</f>
        <v>350</v>
      </c>
      <c r="H25685" s="16" t="n">
        <f aca="false">G25696</f>
        <v>350</v>
      </c>
      <c r="I25685" s="16" t="n">
        <f aca="false">H25696</f>
        <v>350</v>
      </c>
      <c r="J25685" s="16" t="n">
        <f aca="false">I25696</f>
        <v>350</v>
      </c>
      <c r="K25685" s="16" t="n">
        <f aca="false">J25696</f>
        <v>350</v>
      </c>
    </row>
    <row r="25686" customFormat="false" ht="15" hidden="false" customHeight="false" outlineLevel="0" collapsed="false">
      <c r="A25686" s="3" t="s">
        <v>330</v>
      </c>
      <c r="G25686" s="21" t="n">
        <f aca="false">IF(G25558=Assumptions!$K$64,1,0)</f>
        <v>0</v>
      </c>
      <c r="H25686" s="21" t="n">
        <f aca="false">IF(H25558=Assumptions!$K$64,1,0)</f>
        <v>0</v>
      </c>
      <c r="I25686" s="21" t="n">
        <f aca="false">IF(I25558=Assumptions!$K$64,1,0)</f>
        <v>0</v>
      </c>
      <c r="J25686" s="21" t="n">
        <f aca="false">IF(J25558=Assumptions!$K$64,1,0)</f>
        <v>1</v>
      </c>
      <c r="K25686" s="21" t="n">
        <f aca="false">IF(K25558=Assumptions!$K$64,1,0)</f>
        <v>0</v>
      </c>
    </row>
    <row r="25688" customFormat="false" ht="15" hidden="false" customHeight="false" outlineLevel="0" collapsed="false">
      <c r="A25688" s="3" t="s">
        <v>331</v>
      </c>
      <c r="G25688" s="31" t="n">
        <f aca="false">IF(Assumptions!$I$64=1,MAX(G25584,Assumptions!$G$64)+Assumptions!$F$64+$C$25585,Assumptions!$E$64)</f>
        <v>0.0455</v>
      </c>
      <c r="H25688" s="31" t="n">
        <f aca="false">IF(G25911=1,$C$25586,IF(Assumptions!$I$64=1,MAX(H25584,Assumptions!$G$64)+Assumptions!$F$64+$C$25585,Assumptions!$E$64))</f>
        <v>0.0455</v>
      </c>
      <c r="I25688" s="31" t="n">
        <f aca="false">IF(H25911=1,$C$25586,IF(Assumptions!$I$64=1,MAX(I25584,Assumptions!$G$64)+Assumptions!$F$64+$C$25585,Assumptions!$E$64))</f>
        <v>0.0455</v>
      </c>
      <c r="J25688" s="31" t="n">
        <f aca="false">IF(I25911=1,$C$25586,IF(Assumptions!$I$64=1,MAX(J25584,Assumptions!$G$64)+Assumptions!$F$64+$C$25585,Assumptions!$E$64))</f>
        <v>0.0455</v>
      </c>
      <c r="K25688" s="31" t="n">
        <f aca="false">IF(J25911=1,$C$25586,IF(Assumptions!$I$64=1,MAX(K25584,Assumptions!$G$64)+Assumptions!$F$64+$C$25585,Assumptions!$E$64))</f>
        <v>0.0455</v>
      </c>
    </row>
    <row r="25689" customFormat="false" ht="15" hidden="false" customHeight="false" outlineLevel="0" collapsed="false">
      <c r="A25689" s="3" t="s">
        <v>332</v>
      </c>
      <c r="G25689" s="16" t="n">
        <f aca="false">G25685*G25688</f>
        <v>15.925</v>
      </c>
      <c r="H25689" s="16" t="n">
        <f aca="false">H25685*H25688</f>
        <v>15.925</v>
      </c>
      <c r="I25689" s="16" t="n">
        <f aca="false">I25685*I25688</f>
        <v>15.925</v>
      </c>
      <c r="J25689" s="16" t="n">
        <f aca="false">J25685*J25688</f>
        <v>15.925</v>
      </c>
      <c r="K25689" s="16" t="n">
        <f aca="false">K25685*K25688</f>
        <v>15.925</v>
      </c>
    </row>
    <row r="25690" customFormat="false" ht="15" hidden="false" customHeight="false" outlineLevel="0" collapsed="false">
      <c r="A25690" s="3" t="s">
        <v>333</v>
      </c>
      <c r="G25690" s="16" t="n">
        <f aca="false">G25685*Assumptions!$H$64</f>
        <v>0</v>
      </c>
      <c r="H25690" s="16" t="n">
        <f aca="false">H25685*Assumptions!$H$64</f>
        <v>0</v>
      </c>
      <c r="I25690" s="16" t="n">
        <f aca="false">I25685*Assumptions!$H$64</f>
        <v>0</v>
      </c>
      <c r="J25690" s="16" t="n">
        <f aca="false">J25685*Assumptions!$H$64</f>
        <v>0</v>
      </c>
      <c r="K25690" s="16" t="n">
        <f aca="false">K25685*Assumptions!$H$64</f>
        <v>0</v>
      </c>
    </row>
    <row r="25691" customFormat="false" ht="15" hidden="false" customHeight="false" outlineLevel="0" collapsed="false">
      <c r="A25691" s="3" t="s">
        <v>334</v>
      </c>
      <c r="G25691" s="16" t="n">
        <f aca="false">MIN(G25685,Assumptions!$L$64*Assumptions!$C$64)</f>
        <v>0</v>
      </c>
      <c r="H25691" s="16" t="n">
        <f aca="false">MIN(H25685,Assumptions!$L$64*Assumptions!$C$64)</f>
        <v>0</v>
      </c>
      <c r="I25691" s="16" t="n">
        <f aca="false">MIN(I25685,Assumptions!$L$64*Assumptions!$C$64)</f>
        <v>0</v>
      </c>
      <c r="J25691" s="16" t="n">
        <f aca="false">MIN(J25685,Assumptions!$L$64*Assumptions!$C$64)</f>
        <v>0</v>
      </c>
      <c r="K25691" s="16" t="n">
        <f aca="false">MIN(K25685,Assumptions!$L$64*Assumptions!$C$64)</f>
        <v>0</v>
      </c>
    </row>
    <row r="25692" customFormat="false" ht="15" hidden="false" customHeight="false" outlineLevel="0" collapsed="false">
      <c r="A25692" s="3" t="s">
        <v>335</v>
      </c>
      <c r="G25692" s="16" t="n">
        <f aca="false">IF(AND(Assumptions!$P$64=1,G25558&lt;Assumptions!$K$64),MIN(MAX(0,-G25774),MAX(0,Assumptions!$D$64-G25685)),0)</f>
        <v>0</v>
      </c>
      <c r="H25692" s="16" t="n">
        <f aca="false">IF(AND(Assumptions!$P$64=1,OR(H25558&lt;Assumptions!$K$64,G25911=1)),MIN(MAX(0,-H25774),MAX(0,Assumptions!$D$64-H25685)),0)</f>
        <v>0</v>
      </c>
      <c r="I25692" s="16" t="n">
        <f aca="false">IF(AND(Assumptions!$P$64=1,OR(I25558&lt;Assumptions!$K$64,H25911=1)),MIN(MAX(0,-I25774),MAX(0,Assumptions!$D$64-I25685)),0)</f>
        <v>0</v>
      </c>
      <c r="J25692" s="16" t="n">
        <f aca="false">IF(AND(Assumptions!$P$64=1,OR(J25558&lt;Assumptions!$K$64,I25911=1)),MIN(MAX(0,-J25774),MAX(0,Assumptions!$D$64-J25685)),0)</f>
        <v>0</v>
      </c>
      <c r="K25692" s="16" t="n">
        <f aca="false">IF(AND(Assumptions!$P$64=1,OR(K25558&lt;Assumptions!$K$64,J25911=1)),MIN(MAX(0,-K25774),MAX(0,Assumptions!$D$64-K25685)),0)</f>
        <v>0</v>
      </c>
    </row>
    <row r="25693" customFormat="false" ht="15" hidden="false" customHeight="false" outlineLevel="0" collapsed="false">
      <c r="A25693" s="3" t="s">
        <v>336</v>
      </c>
      <c r="G25693" s="16" t="n">
        <f aca="false">G25686*MIN(G25685-G25691+G25690,MAX(0,G25776-Assumptions!$C$12*G25592-G25602-G25615-G25628-G25641-G25654-G25667-G25680))</f>
        <v>0</v>
      </c>
      <c r="H25693" s="16" t="n">
        <f aca="false">H25686*MIN(H25685-H25691+H25690,MAX(0,H25776-Assumptions!$C$12*H25592-H25602-H25615-H25628-H25641-H25654-H25667-H25680))</f>
        <v>0</v>
      </c>
      <c r="I25693" s="16" t="n">
        <f aca="false">I25686*MIN(I25685-I25691+I25690,MAX(0,I25776-Assumptions!$C$12*I25592-I25602-I25615-I25628-I25641-I25654-I25667-I25680))</f>
        <v>0</v>
      </c>
      <c r="J25693" s="16" t="n">
        <f aca="false">J25686*MIN(J25685-J25691+J25690,MAX(0,J25776-Assumptions!$C$12*J25592-J25602-J25615-J25628-J25641-J25654-J25667-J25680))</f>
        <v>0</v>
      </c>
      <c r="K25693" s="16" t="n">
        <f aca="false">K25686*MIN(K25685-K25691+K25690,MAX(0,K25776-Assumptions!$C$12*K25592-K25602-K25615-K25628-K25641-K25654-K25667-K25680))</f>
        <v>0</v>
      </c>
    </row>
    <row r="25694" customFormat="false" ht="15" hidden="false" customHeight="false" outlineLevel="0" collapsed="false">
      <c r="A25694" s="3" t="s">
        <v>337</v>
      </c>
      <c r="G25694" s="16" t="n">
        <f aca="false">Assumptions!$N$64*MIN(G25685+G25692+G25690-G25691-G25693,MAX(0,G25780-G25603-G25616-G25629-G25642-G25655-G25668-G25681))</f>
        <v>0</v>
      </c>
      <c r="H25694" s="16" t="n">
        <f aca="false">Assumptions!$N$64*MIN(H25685+H25692+H25690-H25691-H25693,MAX(0,H25780-H25603-H25616-H25629-H25642-H25655-H25668-H25681))</f>
        <v>0</v>
      </c>
      <c r="I25694" s="16" t="n">
        <f aca="false">Assumptions!$N$64*MIN(I25685+I25692+I25690-I25691-I25693,MAX(0,I25780-I25603-I25616-I25629-I25642-I25655-I25668-I25681))</f>
        <v>0</v>
      </c>
      <c r="J25694" s="16" t="n">
        <f aca="false">Assumptions!$N$64*MIN(J25685+J25692+J25690-J25691-J25693,MAX(0,J25780-J25603-J25616-J25629-J25642-J25655-J25668-J25681))</f>
        <v>0</v>
      </c>
      <c r="K25694" s="16" t="n">
        <f aca="false">Assumptions!$N$64*MIN(K25685+K25692+K25690-K25691-K25693,MAX(0,K25780-K25603-K25616-K25629-K25642-K25655-K25668-K25681))</f>
        <v>0</v>
      </c>
    </row>
    <row r="25695" customFormat="false" ht="15" hidden="false" customHeight="false" outlineLevel="0" collapsed="false">
      <c r="A25695" s="3" t="s">
        <v>338</v>
      </c>
      <c r="G25695" s="16" t="n">
        <f aca="false">G25686*(1-G25592)*(G25685-G25691+G25690-G25693)</f>
        <v>0</v>
      </c>
      <c r="H25695" s="16" t="n">
        <f aca="false">H25686*(1-H25592)*(H25685-H25691+H25690-H25693)</f>
        <v>0</v>
      </c>
      <c r="I25695" s="16" t="n">
        <f aca="false">I25686*(1-I25592)*(I25685-I25691+I25690-I25693)</f>
        <v>0</v>
      </c>
      <c r="J25695" s="16" t="n">
        <f aca="false">J25686*(1-J25592)*(J25685-J25691+J25690-J25693)</f>
        <v>350</v>
      </c>
      <c r="K25695" s="16" t="n">
        <f aca="false">K25686*(1-K25592)*(K25685-K25691+K25690-K25693)</f>
        <v>0</v>
      </c>
    </row>
    <row r="25696" customFormat="false" ht="15" hidden="false" customHeight="false" outlineLevel="0" collapsed="false">
      <c r="A25696" s="2" t="s">
        <v>339</v>
      </c>
      <c r="F25696" s="28" t="n">
        <f aca="false">Assumptions!$C$64</f>
        <v>350</v>
      </c>
      <c r="G25696" s="17" t="n">
        <f aca="false">G25685+G25692+G25690-G25691-G25693-G25694</f>
        <v>350</v>
      </c>
      <c r="H25696" s="17" t="n">
        <f aca="false">H25685+H25692+H25690-H25691-H25693-H25694</f>
        <v>350</v>
      </c>
      <c r="I25696" s="17" t="n">
        <f aca="false">I25685+I25692+I25690-I25691-I25693-I25694</f>
        <v>350</v>
      </c>
      <c r="J25696" s="17" t="n">
        <f aca="false">J25685+J25692+J25690-J25691-J25693-J25694</f>
        <v>350</v>
      </c>
      <c r="K25696" s="17" t="n">
        <f aca="false">K25685+K25692+K25690-K25691-K25693-K25694</f>
        <v>350</v>
      </c>
    </row>
    <row r="25697" customFormat="false" ht="15" hidden="false" customHeight="false" outlineLevel="0" collapsed="false">
      <c r="A25697" s="24" t="s">
        <v>347</v>
      </c>
      <c r="B25697" s="25"/>
      <c r="C25697" s="25"/>
      <c r="D25697" s="25"/>
      <c r="E25697" s="25"/>
      <c r="F25697" s="25"/>
      <c r="G25697" s="25"/>
      <c r="H25697" s="25"/>
      <c r="I25697" s="25"/>
      <c r="J25697" s="25"/>
      <c r="K25697" s="25"/>
    </row>
    <row r="25698" customFormat="false" ht="15" hidden="false" customHeight="false" outlineLevel="0" collapsed="false">
      <c r="A25698" s="3" t="s">
        <v>329</v>
      </c>
      <c r="G25698" s="16" t="n">
        <f aca="false">F25709</f>
        <v>300</v>
      </c>
      <c r="H25698" s="16" t="n">
        <f aca="false">G25709</f>
        <v>300</v>
      </c>
      <c r="I25698" s="16" t="n">
        <f aca="false">H25709</f>
        <v>300</v>
      </c>
      <c r="J25698" s="16" t="n">
        <f aca="false">I25709</f>
        <v>300</v>
      </c>
      <c r="K25698" s="16" t="n">
        <f aca="false">J25709</f>
        <v>300</v>
      </c>
    </row>
    <row r="25699" customFormat="false" ht="15" hidden="false" customHeight="false" outlineLevel="0" collapsed="false">
      <c r="A25699" s="3" t="s">
        <v>330</v>
      </c>
      <c r="G25699" s="21" t="n">
        <f aca="false">IF(G25558=Assumptions!$K$65,1,0)</f>
        <v>0</v>
      </c>
      <c r="H25699" s="21" t="n">
        <f aca="false">IF(H25558=Assumptions!$K$65,1,0)</f>
        <v>0</v>
      </c>
      <c r="I25699" s="21" t="n">
        <f aca="false">IF(I25558=Assumptions!$K$65,1,0)</f>
        <v>0</v>
      </c>
      <c r="J25699" s="21" t="n">
        <f aca="false">IF(J25558=Assumptions!$K$65,1,0)</f>
        <v>0</v>
      </c>
      <c r="K25699" s="21" t="n">
        <f aca="false">IF(K25558=Assumptions!$K$65,1,0)</f>
        <v>1</v>
      </c>
    </row>
    <row r="25701" customFormat="false" ht="15" hidden="false" customHeight="false" outlineLevel="0" collapsed="false">
      <c r="A25701" s="3" t="s">
        <v>331</v>
      </c>
      <c r="G25701" s="31" t="n">
        <f aca="false">IF(Assumptions!$I$65=1,MAX(G25584,Assumptions!$G$65)+Assumptions!$F$65+$C$25585,Assumptions!$E$65)</f>
        <v>0.06125</v>
      </c>
      <c r="H25701" s="31" t="n">
        <f aca="false">IF(G25912=1,$C$25586,IF(Assumptions!$I$65=1,MAX(H25584,Assumptions!$G$65)+Assumptions!$F$65+$C$25585,Assumptions!$E$65))</f>
        <v>0.06125</v>
      </c>
      <c r="I25701" s="31" t="n">
        <f aca="false">IF(H25912=1,$C$25586,IF(Assumptions!$I$65=1,MAX(I25584,Assumptions!$G$65)+Assumptions!$F$65+$C$25585,Assumptions!$E$65))</f>
        <v>0.06125</v>
      </c>
      <c r="J25701" s="31" t="n">
        <f aca="false">IF(I25912=1,$C$25586,IF(Assumptions!$I$65=1,MAX(J25584,Assumptions!$G$65)+Assumptions!$F$65+$C$25585,Assumptions!$E$65))</f>
        <v>0.06125</v>
      </c>
      <c r="K25701" s="31" t="n">
        <f aca="false">IF(J25912=1,$C$25586,IF(Assumptions!$I$65=1,MAX(K25584,Assumptions!$G$65)+Assumptions!$F$65+$C$25585,Assumptions!$E$65))</f>
        <v>0.06125</v>
      </c>
    </row>
    <row r="25702" customFormat="false" ht="15" hidden="false" customHeight="false" outlineLevel="0" collapsed="false">
      <c r="A25702" s="3" t="s">
        <v>332</v>
      </c>
      <c r="G25702" s="16" t="n">
        <f aca="false">G25698*G25701</f>
        <v>18.375</v>
      </c>
      <c r="H25702" s="16" t="n">
        <f aca="false">H25698*H25701</f>
        <v>18.375</v>
      </c>
      <c r="I25702" s="16" t="n">
        <f aca="false">I25698*I25701</f>
        <v>18.375</v>
      </c>
      <c r="J25702" s="16" t="n">
        <f aca="false">J25698*J25701</f>
        <v>18.375</v>
      </c>
      <c r="K25702" s="16" t="n">
        <f aca="false">K25698*K25701</f>
        <v>18.375</v>
      </c>
    </row>
    <row r="25703" customFormat="false" ht="15" hidden="false" customHeight="false" outlineLevel="0" collapsed="false">
      <c r="A25703" s="3" t="s">
        <v>333</v>
      </c>
      <c r="G25703" s="16" t="n">
        <f aca="false">G25698*Assumptions!$H$65</f>
        <v>0</v>
      </c>
      <c r="H25703" s="16" t="n">
        <f aca="false">H25698*Assumptions!$H$65</f>
        <v>0</v>
      </c>
      <c r="I25703" s="16" t="n">
        <f aca="false">I25698*Assumptions!$H$65</f>
        <v>0</v>
      </c>
      <c r="J25703" s="16" t="n">
        <f aca="false">J25698*Assumptions!$H$65</f>
        <v>0</v>
      </c>
      <c r="K25703" s="16" t="n">
        <f aca="false">K25698*Assumptions!$H$65</f>
        <v>0</v>
      </c>
    </row>
    <row r="25704" customFormat="false" ht="15" hidden="false" customHeight="false" outlineLevel="0" collapsed="false">
      <c r="A25704" s="3" t="s">
        <v>334</v>
      </c>
      <c r="G25704" s="16" t="n">
        <f aca="false">MIN(G25698,Assumptions!$L$65*Assumptions!$C$65)</f>
        <v>0</v>
      </c>
      <c r="H25704" s="16" t="n">
        <f aca="false">MIN(H25698,Assumptions!$L$65*Assumptions!$C$65)</f>
        <v>0</v>
      </c>
      <c r="I25704" s="16" t="n">
        <f aca="false">MIN(I25698,Assumptions!$L$65*Assumptions!$C$65)</f>
        <v>0</v>
      </c>
      <c r="J25704" s="16" t="n">
        <f aca="false">MIN(J25698,Assumptions!$L$65*Assumptions!$C$65)</f>
        <v>0</v>
      </c>
      <c r="K25704" s="16" t="n">
        <f aca="false">MIN(K25698,Assumptions!$L$65*Assumptions!$C$65)</f>
        <v>0</v>
      </c>
    </row>
    <row r="25705" customFormat="false" ht="15" hidden="false" customHeight="false" outlineLevel="0" collapsed="false">
      <c r="A25705" s="3" t="s">
        <v>335</v>
      </c>
      <c r="G25705" s="16" t="n">
        <f aca="false">IF(AND(Assumptions!$P$65=1,G25558&lt;Assumptions!$K$65),MIN(MAX(0,-G25774),MAX(0,Assumptions!$D$65-G25698)),0)</f>
        <v>0</v>
      </c>
      <c r="H25705" s="16" t="n">
        <f aca="false">IF(AND(Assumptions!$P$65=1,OR(H25558&lt;Assumptions!$K$65,G25912=1)),MIN(MAX(0,-H25774),MAX(0,Assumptions!$D$65-H25698)),0)</f>
        <v>0</v>
      </c>
      <c r="I25705" s="16" t="n">
        <f aca="false">IF(AND(Assumptions!$P$65=1,OR(I25558&lt;Assumptions!$K$65,H25912=1)),MIN(MAX(0,-I25774),MAX(0,Assumptions!$D$65-I25698)),0)</f>
        <v>0</v>
      </c>
      <c r="J25705" s="16" t="n">
        <f aca="false">IF(AND(Assumptions!$P$65=1,OR(J25558&lt;Assumptions!$K$65,I25912=1)),MIN(MAX(0,-J25774),MAX(0,Assumptions!$D$65-J25698)),0)</f>
        <v>0</v>
      </c>
      <c r="K25705" s="16" t="n">
        <f aca="false">IF(AND(Assumptions!$P$65=1,OR(K25558&lt;Assumptions!$K$65,J25912=1)),MIN(MAX(0,-K25774),MAX(0,Assumptions!$D$65-K25698)),0)</f>
        <v>0</v>
      </c>
    </row>
    <row r="25706" customFormat="false" ht="15" hidden="false" customHeight="false" outlineLevel="0" collapsed="false">
      <c r="A25706" s="3" t="s">
        <v>336</v>
      </c>
      <c r="G25706" s="16" t="n">
        <f aca="false">G25699*MIN(G25698-G25704+G25703,MAX(0,G25776-Assumptions!$C$12*G25592-G25602-G25615-G25628-G25641-G25654-G25667-G25680-G25693))</f>
        <v>0</v>
      </c>
      <c r="H25706" s="16" t="n">
        <f aca="false">H25699*MIN(H25698-H25704+H25703,MAX(0,H25776-Assumptions!$C$12*H25592-H25602-H25615-H25628-H25641-H25654-H25667-H25680-H25693))</f>
        <v>0</v>
      </c>
      <c r="I25706" s="16" t="n">
        <f aca="false">I25699*MIN(I25698-I25704+I25703,MAX(0,I25776-Assumptions!$C$12*I25592-I25602-I25615-I25628-I25641-I25654-I25667-I25680-I25693))</f>
        <v>0</v>
      </c>
      <c r="J25706" s="16" t="n">
        <f aca="false">J25699*MIN(J25698-J25704+J25703,MAX(0,J25776-Assumptions!$C$12*J25592-J25602-J25615-J25628-J25641-J25654-J25667-J25680-J25693))</f>
        <v>0</v>
      </c>
      <c r="K25706" s="16" t="n">
        <f aca="false">K25699*MIN(K25698-K25704+K25703,MAX(0,K25776-Assumptions!$C$12*K25592-K25602-K25615-K25628-K25641-K25654-K25667-K25680-K25693))</f>
        <v>0</v>
      </c>
    </row>
    <row r="25707" customFormat="false" ht="15" hidden="false" customHeight="false" outlineLevel="0" collapsed="false">
      <c r="A25707" s="3" t="s">
        <v>337</v>
      </c>
      <c r="G25707" s="16" t="n">
        <f aca="false">Assumptions!$N$65*MIN(G25698+G25705+G25703-G25704-G25706,MAX(0,G25780-G25603-G25616-G25629-G25642-G25655-G25668-G25681-G25694))</f>
        <v>0</v>
      </c>
      <c r="H25707" s="16" t="n">
        <f aca="false">Assumptions!$N$65*MIN(H25698+H25705+H25703-H25704-H25706,MAX(0,H25780-H25603-H25616-H25629-H25642-H25655-H25668-H25681-H25694))</f>
        <v>0</v>
      </c>
      <c r="I25707" s="16" t="n">
        <f aca="false">Assumptions!$N$65*MIN(I25698+I25705+I25703-I25704-I25706,MAX(0,I25780-I25603-I25616-I25629-I25642-I25655-I25668-I25681-I25694))</f>
        <v>0</v>
      </c>
      <c r="J25707" s="16" t="n">
        <f aca="false">Assumptions!$N$65*MIN(J25698+J25705+J25703-J25704-J25706,MAX(0,J25780-J25603-J25616-J25629-J25642-J25655-J25668-J25681-J25694))</f>
        <v>0</v>
      </c>
      <c r="K25707" s="16" t="n">
        <f aca="false">Assumptions!$N$65*MIN(K25698+K25705+K25703-K25704-K25706,MAX(0,K25780-K25603-K25616-K25629-K25642-K25655-K25668-K25681-K25694))</f>
        <v>0</v>
      </c>
    </row>
    <row r="25708" customFormat="false" ht="15" hidden="false" customHeight="false" outlineLevel="0" collapsed="false">
      <c r="A25708" s="3" t="s">
        <v>338</v>
      </c>
      <c r="G25708" s="16" t="n">
        <f aca="false">G25699*(1-G25592)*(G25698-G25704+G25703-G25706)</f>
        <v>0</v>
      </c>
      <c r="H25708" s="16" t="n">
        <f aca="false">H25699*(1-H25592)*(H25698-H25704+H25703-H25706)</f>
        <v>0</v>
      </c>
      <c r="I25708" s="16" t="n">
        <f aca="false">I25699*(1-I25592)*(I25698-I25704+I25703-I25706)</f>
        <v>0</v>
      </c>
      <c r="J25708" s="16" t="n">
        <f aca="false">J25699*(1-J25592)*(J25698-J25704+J25703-J25706)</f>
        <v>0</v>
      </c>
      <c r="K25708" s="16" t="n">
        <f aca="false">K25699*(1-K25592)*(K25698-K25704+K25703-K25706)</f>
        <v>300</v>
      </c>
    </row>
    <row r="25709" customFormat="false" ht="15" hidden="false" customHeight="false" outlineLevel="0" collapsed="false">
      <c r="A25709" s="2" t="s">
        <v>339</v>
      </c>
      <c r="F25709" s="28" t="n">
        <f aca="false">Assumptions!$C$65</f>
        <v>300</v>
      </c>
      <c r="G25709" s="17" t="n">
        <f aca="false">G25698+G25705+G25703-G25704-G25706-G25707</f>
        <v>300</v>
      </c>
      <c r="H25709" s="17" t="n">
        <f aca="false">H25698+H25705+H25703-H25704-H25706-H25707</f>
        <v>300</v>
      </c>
      <c r="I25709" s="17" t="n">
        <f aca="false">I25698+I25705+I25703-I25704-I25706-I25707</f>
        <v>300</v>
      </c>
      <c r="J25709" s="17" t="n">
        <f aca="false">J25698+J25705+J25703-J25704-J25706-J25707</f>
        <v>300</v>
      </c>
      <c r="K25709" s="17" t="n">
        <f aca="false">K25698+K25705+K25703-K25704-K25706-K25707</f>
        <v>300</v>
      </c>
    </row>
    <row r="25710" customFormat="false" ht="15" hidden="false" customHeight="false" outlineLevel="0" collapsed="false">
      <c r="A25710" s="24" t="s">
        <v>348</v>
      </c>
      <c r="B25710" s="25"/>
      <c r="C25710" s="25"/>
      <c r="D25710" s="25"/>
      <c r="E25710" s="25"/>
      <c r="F25710" s="25"/>
      <c r="G25710" s="25"/>
      <c r="H25710" s="25"/>
      <c r="I25710" s="25"/>
      <c r="J25710" s="25"/>
      <c r="K25710" s="25"/>
    </row>
    <row r="25711" customFormat="false" ht="15" hidden="false" customHeight="false" outlineLevel="0" collapsed="false">
      <c r="A25711" s="3" t="s">
        <v>329</v>
      </c>
      <c r="G25711" s="16" t="n">
        <f aca="false">F25722</f>
        <v>78.61</v>
      </c>
      <c r="H25711" s="16" t="n">
        <f aca="false">G25722</f>
        <v>78.61</v>
      </c>
      <c r="I25711" s="16" t="n">
        <f aca="false">H25722</f>
        <v>78.61</v>
      </c>
      <c r="J25711" s="16" t="n">
        <f aca="false">I25722</f>
        <v>78.61</v>
      </c>
      <c r="K25711" s="16" t="n">
        <f aca="false">J25722</f>
        <v>78.61</v>
      </c>
    </row>
    <row r="25712" customFormat="false" ht="15" hidden="false" customHeight="false" outlineLevel="0" collapsed="false">
      <c r="A25712" s="3" t="s">
        <v>330</v>
      </c>
      <c r="G25712" s="21" t="n">
        <f aca="false">IF(G25558=Assumptions!$K$66,1,0)</f>
        <v>0</v>
      </c>
      <c r="H25712" s="21" t="n">
        <f aca="false">IF(H25558=Assumptions!$K$66,1,0)</f>
        <v>0</v>
      </c>
      <c r="I25712" s="21" t="n">
        <f aca="false">IF(I25558=Assumptions!$K$66,1,0)</f>
        <v>0</v>
      </c>
      <c r="J25712" s="21" t="n">
        <f aca="false">IF(J25558=Assumptions!$K$66,1,0)</f>
        <v>0</v>
      </c>
      <c r="K25712" s="21" t="n">
        <f aca="false">IF(K25558=Assumptions!$K$66,1,0)</f>
        <v>0</v>
      </c>
    </row>
    <row r="25714" customFormat="false" ht="15" hidden="false" customHeight="false" outlineLevel="0" collapsed="false">
      <c r="A25714" s="3" t="s">
        <v>331</v>
      </c>
      <c r="G25714" s="31" t="n">
        <f aca="false">IF(Assumptions!$I$66=1,MAX(G25584,Assumptions!$G$66)+Assumptions!$F$66+$C$25585,Assumptions!$E$66)</f>
        <v>0.0641</v>
      </c>
      <c r="H25714" s="31" t="n">
        <f aca="false">IF(G25913=1,$C$25586,IF(Assumptions!$I$66=1,MAX(H25584,Assumptions!$G$66)+Assumptions!$F$66+$C$25585,Assumptions!$E$66))</f>
        <v>0.0626</v>
      </c>
      <c r="I25714" s="31" t="n">
        <f aca="false">IF(H25913=1,$C$25586,IF(Assumptions!$I$66=1,MAX(I25584,Assumptions!$G$66)+Assumptions!$F$66+$C$25585,Assumptions!$E$66))</f>
        <v>0.0601</v>
      </c>
      <c r="J25714" s="31" t="n">
        <f aca="false">IF(I25913=1,$C$25586,IF(Assumptions!$I$66=1,MAX(J25584,Assumptions!$G$66)+Assumptions!$F$66+$C$25585,Assumptions!$E$66))</f>
        <v>0.0601</v>
      </c>
      <c r="K25714" s="31" t="n">
        <f aca="false">IF(J25913=1,$C$25586,IF(Assumptions!$I$66=1,MAX(K25584,Assumptions!$G$66)+Assumptions!$F$66+$C$25585,Assumptions!$E$66))</f>
        <v>0.0601</v>
      </c>
    </row>
    <row r="25715" customFormat="false" ht="15" hidden="false" customHeight="false" outlineLevel="0" collapsed="false">
      <c r="A25715" s="3" t="s">
        <v>332</v>
      </c>
      <c r="G25715" s="16" t="n">
        <f aca="false">G25711*G25714</f>
        <v>5.038901</v>
      </c>
      <c r="H25715" s="16" t="n">
        <f aca="false">H25711*H25714</f>
        <v>4.920986</v>
      </c>
      <c r="I25715" s="16" t="n">
        <f aca="false">I25711*I25714</f>
        <v>4.724461</v>
      </c>
      <c r="J25715" s="16" t="n">
        <f aca="false">J25711*J25714</f>
        <v>4.724461</v>
      </c>
      <c r="K25715" s="16" t="n">
        <f aca="false">K25711*K25714</f>
        <v>4.724461</v>
      </c>
    </row>
    <row r="25716" customFormat="false" ht="15" hidden="false" customHeight="false" outlineLevel="0" collapsed="false">
      <c r="A25716" s="3" t="s">
        <v>333</v>
      </c>
      <c r="G25716" s="16" t="n">
        <f aca="false">G25711*Assumptions!$H$66</f>
        <v>0</v>
      </c>
      <c r="H25716" s="16" t="n">
        <f aca="false">H25711*Assumptions!$H$66</f>
        <v>0</v>
      </c>
      <c r="I25716" s="16" t="n">
        <f aca="false">I25711*Assumptions!$H$66</f>
        <v>0</v>
      </c>
      <c r="J25716" s="16" t="n">
        <f aca="false">J25711*Assumptions!$H$66</f>
        <v>0</v>
      </c>
      <c r="K25716" s="16" t="n">
        <f aca="false">K25711*Assumptions!$H$66</f>
        <v>0</v>
      </c>
    </row>
    <row r="25717" customFormat="false" ht="15" hidden="false" customHeight="false" outlineLevel="0" collapsed="false">
      <c r="A25717" s="3" t="s">
        <v>334</v>
      </c>
      <c r="G25717" s="16" t="n">
        <f aca="false">MIN(G25711,Assumptions!$L$66*Assumptions!$C$66)</f>
        <v>0</v>
      </c>
      <c r="H25717" s="16" t="n">
        <f aca="false">MIN(H25711,Assumptions!$L$66*Assumptions!$C$66)</f>
        <v>0</v>
      </c>
      <c r="I25717" s="16" t="n">
        <f aca="false">MIN(I25711,Assumptions!$L$66*Assumptions!$C$66)</f>
        <v>0</v>
      </c>
      <c r="J25717" s="16" t="n">
        <f aca="false">MIN(J25711,Assumptions!$L$66*Assumptions!$C$66)</f>
        <v>0</v>
      </c>
      <c r="K25717" s="16" t="n">
        <f aca="false">MIN(K25711,Assumptions!$L$66*Assumptions!$C$66)</f>
        <v>0</v>
      </c>
    </row>
    <row r="25718" customFormat="false" ht="15" hidden="false" customHeight="false" outlineLevel="0" collapsed="false">
      <c r="A25718" s="3" t="s">
        <v>335</v>
      </c>
      <c r="G25718" s="16" t="n">
        <f aca="false">IF(AND(Assumptions!$P$66=1,G25558&lt;Assumptions!$K$66),MIN(MAX(0,-G25774),MAX(0,Assumptions!$D$66-G25711)),0)</f>
        <v>0</v>
      </c>
      <c r="H25718" s="16" t="n">
        <f aca="false">IF(AND(Assumptions!$P$66=1,OR(H25558&lt;Assumptions!$K$66,G25913=1)),MIN(MAX(0,-H25774),MAX(0,Assumptions!$D$66-H25711)),0)</f>
        <v>0</v>
      </c>
      <c r="I25718" s="16" t="n">
        <f aca="false">IF(AND(Assumptions!$P$66=1,OR(I25558&lt;Assumptions!$K$66,H25913=1)),MIN(MAX(0,-I25774),MAX(0,Assumptions!$D$66-I25711)),0)</f>
        <v>0</v>
      </c>
      <c r="J25718" s="16" t="n">
        <f aca="false">IF(AND(Assumptions!$P$66=1,OR(J25558&lt;Assumptions!$K$66,I25913=1)),MIN(MAX(0,-J25774),MAX(0,Assumptions!$D$66-J25711)),0)</f>
        <v>0</v>
      </c>
      <c r="K25718" s="16" t="n">
        <f aca="false">IF(AND(Assumptions!$P$66=1,OR(K25558&lt;Assumptions!$K$66,J25913=1)),MIN(MAX(0,-K25774),MAX(0,Assumptions!$D$66-K25711)),0)</f>
        <v>0</v>
      </c>
    </row>
    <row r="25719" customFormat="false" ht="15" hidden="false" customHeight="false" outlineLevel="0" collapsed="false">
      <c r="A25719" s="3" t="s">
        <v>336</v>
      </c>
      <c r="G25719" s="16" t="n">
        <f aca="false">G25712*MIN(G25711-G25717+G25716,MAX(0,G25776-Assumptions!$C$12*G25592-G25602-G25615-G25628-G25641-G25654-G25667-G25680-G25693-G25706))</f>
        <v>0</v>
      </c>
      <c r="H25719" s="16" t="n">
        <f aca="false">H25712*MIN(H25711-H25717+H25716,MAX(0,H25776-Assumptions!$C$12*H25592-H25602-H25615-H25628-H25641-H25654-H25667-H25680-H25693-H25706))</f>
        <v>0</v>
      </c>
      <c r="I25719" s="16" t="n">
        <f aca="false">I25712*MIN(I25711-I25717+I25716,MAX(0,I25776-Assumptions!$C$12*I25592-I25602-I25615-I25628-I25641-I25654-I25667-I25680-I25693-I25706))</f>
        <v>0</v>
      </c>
      <c r="J25719" s="16" t="n">
        <f aca="false">J25712*MIN(J25711-J25717+J25716,MAX(0,J25776-Assumptions!$C$12*J25592-J25602-J25615-J25628-J25641-J25654-J25667-J25680-J25693-J25706))</f>
        <v>0</v>
      </c>
      <c r="K25719" s="16" t="n">
        <f aca="false">K25712*MIN(K25711-K25717+K25716,MAX(0,K25776-Assumptions!$C$12*K25592-K25602-K25615-K25628-K25641-K25654-K25667-K25680-K25693-K25706))</f>
        <v>0</v>
      </c>
    </row>
    <row r="25720" customFormat="false" ht="15" hidden="false" customHeight="false" outlineLevel="0" collapsed="false">
      <c r="A25720" s="3" t="s">
        <v>337</v>
      </c>
      <c r="G25720" s="16" t="n">
        <f aca="false">Assumptions!$N$66*MIN(G25711+G25718+G25716-G25717-G25719,MAX(0,G25780-G25603-G25616-G25629-G25642-G25655-G25668-G25681-G25694-G25707))</f>
        <v>0</v>
      </c>
      <c r="H25720" s="16" t="n">
        <f aca="false">Assumptions!$N$66*MIN(H25711+H25718+H25716-H25717-H25719,MAX(0,H25780-H25603-H25616-H25629-H25642-H25655-H25668-H25681-H25694-H25707))</f>
        <v>0</v>
      </c>
      <c r="I25720" s="16" t="n">
        <f aca="false">Assumptions!$N$66*MIN(I25711+I25718+I25716-I25717-I25719,MAX(0,I25780-I25603-I25616-I25629-I25642-I25655-I25668-I25681-I25694-I25707))</f>
        <v>0</v>
      </c>
      <c r="J25720" s="16" t="n">
        <f aca="false">Assumptions!$N$66*MIN(J25711+J25718+J25716-J25717-J25719,MAX(0,J25780-J25603-J25616-J25629-J25642-J25655-J25668-J25681-J25694-J25707))</f>
        <v>0</v>
      </c>
      <c r="K25720" s="16" t="n">
        <f aca="false">Assumptions!$N$66*MIN(K25711+K25718+K25716-K25717-K25719,MAX(0,K25780-K25603-K25616-K25629-K25642-K25655-K25668-K25681-K25694-K25707))</f>
        <v>0</v>
      </c>
    </row>
    <row r="25721" customFormat="false" ht="15" hidden="false" customHeight="false" outlineLevel="0" collapsed="false">
      <c r="A25721" s="3" t="s">
        <v>338</v>
      </c>
      <c r="G25721" s="16" t="n">
        <f aca="false">G25712*(1-G25592)*(G25711-G25717+G25716-G25719)</f>
        <v>0</v>
      </c>
      <c r="H25721" s="16" t="n">
        <f aca="false">H25712*(1-H25592)*(H25711-H25717+H25716-H25719)</f>
        <v>0</v>
      </c>
      <c r="I25721" s="16" t="n">
        <f aca="false">I25712*(1-I25592)*(I25711-I25717+I25716-I25719)</f>
        <v>0</v>
      </c>
      <c r="J25721" s="16" t="n">
        <f aca="false">J25712*(1-J25592)*(J25711-J25717+J25716-J25719)</f>
        <v>0</v>
      </c>
      <c r="K25721" s="16" t="n">
        <f aca="false">K25712*(1-K25592)*(K25711-K25717+K25716-K25719)</f>
        <v>0</v>
      </c>
    </row>
    <row r="25722" customFormat="false" ht="15" hidden="false" customHeight="false" outlineLevel="0" collapsed="false">
      <c r="A25722" s="2" t="s">
        <v>339</v>
      </c>
      <c r="F25722" s="28" t="n">
        <f aca="false">Assumptions!$C$66</f>
        <v>78.61</v>
      </c>
      <c r="G25722" s="17" t="n">
        <f aca="false">G25711+G25718+G25716-G25717-G25719-G25720</f>
        <v>78.61</v>
      </c>
      <c r="H25722" s="17" t="n">
        <f aca="false">H25711+H25718+H25716-H25717-H25719-H25720</f>
        <v>78.61</v>
      </c>
      <c r="I25722" s="17" t="n">
        <f aca="false">I25711+I25718+I25716-I25717-I25719-I25720</f>
        <v>78.61</v>
      </c>
      <c r="J25722" s="17" t="n">
        <f aca="false">J25711+J25718+J25716-J25717-J25719-J25720</f>
        <v>78.61</v>
      </c>
      <c r="K25722" s="17" t="n">
        <f aca="false">K25711+K25718+K25716-K25717-K25719-K25720</f>
        <v>78.61</v>
      </c>
    </row>
    <row r="25723" customFormat="false" ht="15" hidden="false" customHeight="false" outlineLevel="0" collapsed="false">
      <c r="A25723" s="24" t="s">
        <v>349</v>
      </c>
      <c r="B25723" s="25"/>
      <c r="C25723" s="25"/>
      <c r="D25723" s="25"/>
      <c r="E25723" s="25"/>
      <c r="F25723" s="25"/>
      <c r="G25723" s="25"/>
      <c r="H25723" s="25"/>
      <c r="I25723" s="25"/>
      <c r="J25723" s="25"/>
      <c r="K25723" s="25"/>
    </row>
    <row r="25724" customFormat="false" ht="15" hidden="false" customHeight="false" outlineLevel="0" collapsed="false">
      <c r="A25724" s="2" t="s">
        <v>350</v>
      </c>
      <c r="F25724" s="17" t="n">
        <f aca="false">F25605+F25618+F25631+F25644+F25657+F25670+F25683+F25696+F25709+F25722</f>
        <v>2625.934</v>
      </c>
      <c r="G25724" s="17" t="n">
        <f aca="false">G25605+G25618+G25631+G25644+G25657+G25670+G25683+G25696+G25709+G25722</f>
        <v>2621.934</v>
      </c>
      <c r="H25724" s="17" t="n">
        <f aca="false">H25605+H25618+H25631+H25644+H25657+H25670+H25683+H25696+H25709+H25722</f>
        <v>2564.614257881</v>
      </c>
      <c r="I25724" s="17" t="n">
        <f aca="false">I25605+I25618+I25631+I25644+I25657+I25670+I25683+I25696+I25709+I25722</f>
        <v>2560.614257881</v>
      </c>
      <c r="J25724" s="17" t="n">
        <f aca="false">J25605+J25618+J25631+J25644+J25657+J25670+J25683+J25696+J25709+J25722</f>
        <v>2556.614257881</v>
      </c>
      <c r="K25724" s="17" t="n">
        <f aca="false">K25605+K25618+K25631+K25644+K25657+K25670+K25683+K25696+K25709+K25722</f>
        <v>2552.614257881</v>
      </c>
    </row>
    <row r="25725" customFormat="false" ht="15" hidden="false" customHeight="false" outlineLevel="0" collapsed="false">
      <c r="A25725" s="3" t="s">
        <v>351</v>
      </c>
      <c r="G25725" s="16" t="n">
        <f aca="false">G25595*Assumptions!$C$57+G25608*Assumptions!$C$58+G25621*Assumptions!$C$59+G25634*Assumptions!$C$60+G25647*Assumptions!$C$61+G25660*Assumptions!$C$62+G25673*Assumptions!$C$63+G25686*Assumptions!$C$64+G25699*Assumptions!$C$65+G25712*Assumptions!$C$66</f>
        <v>0</v>
      </c>
      <c r="H25725" s="16" t="n">
        <f aca="false">H25595*Assumptions!$C$57+H25608*Assumptions!$C$58+H25621*Assumptions!$C$59+H25634*Assumptions!$C$60+H25647*Assumptions!$C$61+H25660*Assumptions!$C$62+H25673*Assumptions!$C$63+H25686*Assumptions!$C$64+H25699*Assumptions!$C$65+H25712*Assumptions!$C$66</f>
        <v>800</v>
      </c>
      <c r="I25725" s="16" t="n">
        <f aca="false">I25595*Assumptions!$C$57+I25608*Assumptions!$C$58+I25621*Assumptions!$C$59+I25634*Assumptions!$C$60+I25647*Assumptions!$C$61+I25660*Assumptions!$C$62+I25673*Assumptions!$C$63+I25686*Assumptions!$C$64+I25699*Assumptions!$C$65+I25712*Assumptions!$C$66</f>
        <v>550</v>
      </c>
      <c r="J25725" s="16" t="n">
        <f aca="false">J25595*Assumptions!$C$57+J25608*Assumptions!$C$58+J25621*Assumptions!$C$59+J25634*Assumptions!$C$60+J25647*Assumptions!$C$61+J25660*Assumptions!$C$62+J25673*Assumptions!$C$63+J25686*Assumptions!$C$64+J25699*Assumptions!$C$65+J25712*Assumptions!$C$66</f>
        <v>350</v>
      </c>
      <c r="K25725" s="16" t="n">
        <f aca="false">K25595*Assumptions!$C$57+K25608*Assumptions!$C$58+K25621*Assumptions!$C$59+K25634*Assumptions!$C$60+K25647*Assumptions!$C$61+K25660*Assumptions!$C$62+K25673*Assumptions!$C$63+K25686*Assumptions!$C$64+K25699*Assumptions!$C$65+K25712*Assumptions!$C$66</f>
        <v>700</v>
      </c>
    </row>
    <row r="25726" customFormat="false" ht="15" hidden="false" customHeight="false" outlineLevel="0" collapsed="false">
      <c r="A25726" s="24" t="s">
        <v>352</v>
      </c>
      <c r="B25726" s="25"/>
      <c r="C25726" s="25"/>
      <c r="D25726" s="25"/>
      <c r="E25726" s="25"/>
      <c r="F25726" s="25"/>
      <c r="G25726" s="25"/>
      <c r="H25726" s="25"/>
      <c r="I25726" s="25"/>
      <c r="J25726" s="25"/>
      <c r="K25726" s="25"/>
    </row>
    <row r="25727" customFormat="false" ht="15" hidden="false" customHeight="false" outlineLevel="0" collapsed="false">
      <c r="A25727" s="3" t="s">
        <v>353</v>
      </c>
      <c r="C25727" s="16" t="n">
        <f aca="false">SUMPRODUCT($G$25595:$K$25595,$G$25594:$K$25594-$G$25600:$K$25600+$G$25599:$K$25599)</f>
        <v>380</v>
      </c>
    </row>
    <row r="25728" customFormat="false" ht="15" hidden="false" customHeight="false" outlineLevel="0" collapsed="false">
      <c r="A25728" s="3" t="s">
        <v>354</v>
      </c>
      <c r="C25728" s="16" t="n">
        <f aca="false">SUMPRODUCT($G$25595:$K$25595,$G$25602:$K$25602)</f>
        <v>0</v>
      </c>
    </row>
    <row r="25729" customFormat="false" ht="15" hidden="false" customHeight="false" outlineLevel="0" collapsed="false">
      <c r="A25729" s="3" t="s">
        <v>355</v>
      </c>
      <c r="C25729" s="3" t="str">
        <f aca="false">IF(SUM($G$25595:$K$25595)=0,"n/a (beyond horizon)",IF(SUMPRODUCT($G$25595:$K$25595,$G$25592:$K$25592)&gt;0,"REFINANCING PASS","REFINANCING FAILURE"))</f>
        <v>REFINANCING FAILURE</v>
      </c>
    </row>
    <row r="25730" customFormat="false" ht="15" hidden="false" customHeight="false" outlineLevel="0" collapsed="false">
      <c r="A25730" s="3" t="s">
        <v>356</v>
      </c>
      <c r="C25730" s="3" t="str">
        <f aca="false">IF(SUM($G$25595:$K$25595)=0,"n/a",IF(C25728&gt;=C25727-0.001,"Repaid from cash",IF(SUMPRODUCT($G$25595:$K$25595,$G$25592:$K$25592)&gt;0,IF(C25728&gt;0,"Partly repaid; remainder refinanced","Refinanced"),IF(SUM($G$25604:$K$25604)&gt;0.001,IF(C25728&gt;0,"Partial repayment; PAYMENT DEFAULT","PAYMENT DEFAULT"),"Repaid from cash"))))</f>
        <v>PAYMENT DEFAULT</v>
      </c>
    </row>
    <row r="25731" customFormat="false" ht="15" hidden="false" customHeight="false" outlineLevel="0" collapsed="false">
      <c r="A25731" s="3" t="s">
        <v>357</v>
      </c>
      <c r="C25731" s="16" t="n">
        <f aca="false">SUMPRODUCT($G$25608:$K$25608,$G$25607:$K$25607-$G$25613:$K$25613+$G$25612:$K$25612)</f>
        <v>0</v>
      </c>
    </row>
    <row r="25732" customFormat="false" ht="15" hidden="false" customHeight="false" outlineLevel="0" collapsed="false">
      <c r="A25732" s="3" t="s">
        <v>358</v>
      </c>
      <c r="C25732" s="16" t="n">
        <f aca="false">SUMPRODUCT($G$25608:$K$25608,$G$25615:$K$25615)</f>
        <v>0</v>
      </c>
    </row>
    <row r="25733" customFormat="false" ht="15" hidden="false" customHeight="false" outlineLevel="0" collapsed="false">
      <c r="A25733" s="3" t="s">
        <v>359</v>
      </c>
      <c r="C25733" s="3" t="str">
        <f aca="false">IF(SUM($G$25608:$K$25608)=0,"n/a (beyond horizon)",IF(SUMPRODUCT($G$25608:$K$25608,$G$25592:$K$25592)&gt;0,"REFINANCING PASS","REFINANCING FAILURE"))</f>
        <v>n/a (beyond horizon)</v>
      </c>
    </row>
    <row r="25734" customFormat="false" ht="15" hidden="false" customHeight="false" outlineLevel="0" collapsed="false">
      <c r="A25734" s="3" t="s">
        <v>360</v>
      </c>
      <c r="C25734" s="3" t="str">
        <f aca="false">IF(SUM($G$25608:$K$25608)=0,"n/a",IF(C25732&gt;=C25731-0.001,"Repaid from cash",IF(SUMPRODUCT($G$25608:$K$25608,$G$25592:$K$25592)&gt;0,IF(C25732&gt;0,"Partly repaid; remainder refinanced","Refinanced"),IF(SUM($G$25617:$K$25617)&gt;0.001,IF(C25732&gt;0,"Partial repayment; PAYMENT DEFAULT","PAYMENT DEFAULT"),"Repaid from cash"))))</f>
        <v>n/a</v>
      </c>
    </row>
    <row r="25735" customFormat="false" ht="15" hidden="false" customHeight="false" outlineLevel="0" collapsed="false">
      <c r="A25735" s="3" t="s">
        <v>361</v>
      </c>
      <c r="C25735" s="16" t="n">
        <f aca="false">SUMPRODUCT($G$25621:$K$25621,$G$25620:$K$25620-$G$25626:$K$25626+$G$25625:$K$25625)</f>
        <v>0</v>
      </c>
    </row>
    <row r="25736" customFormat="false" ht="15" hidden="false" customHeight="false" outlineLevel="0" collapsed="false">
      <c r="A25736" s="3" t="s">
        <v>362</v>
      </c>
      <c r="C25736" s="16" t="n">
        <f aca="false">SUMPRODUCT($G$25621:$K$25621,$G$25628:$K$25628)</f>
        <v>0</v>
      </c>
    </row>
    <row r="25737" customFormat="false" ht="15" hidden="false" customHeight="false" outlineLevel="0" collapsed="false">
      <c r="A25737" s="3" t="s">
        <v>363</v>
      </c>
      <c r="C25737" s="3" t="str">
        <f aca="false">IF(SUM($G$25621:$K$25621)=0,"n/a (beyond horizon)",IF(SUMPRODUCT($G$25621:$K$25621,$G$25592:$K$25592)&gt;0,"REFINANCING PASS","REFINANCING FAILURE"))</f>
        <v>n/a (beyond horizon)</v>
      </c>
    </row>
    <row r="25738" customFormat="false" ht="15" hidden="false" customHeight="false" outlineLevel="0" collapsed="false">
      <c r="A25738" s="3" t="s">
        <v>364</v>
      </c>
      <c r="C25738" s="3" t="str">
        <f aca="false">IF(SUM($G$25621:$K$25621)=0,"n/a",IF(C25736&gt;=C25735-0.001,"Repaid from cash",IF(SUMPRODUCT($G$25621:$K$25621,$G$25592:$K$25592)&gt;0,IF(C25736&gt;0,"Partly repaid; remainder refinanced","Refinanced"),IF(SUM($G$25630:$K$25630)&gt;0.001,IF(C25736&gt;0,"Partial repayment; PAYMENT DEFAULT","PAYMENT DEFAULT"),"Repaid from cash"))))</f>
        <v>n/a</v>
      </c>
    </row>
    <row r="25739" customFormat="false" ht="15" hidden="false" customHeight="false" outlineLevel="0" collapsed="false">
      <c r="A25739" s="3" t="s">
        <v>365</v>
      </c>
      <c r="C25739" s="16" t="n">
        <f aca="false">SUMPRODUCT($G$25634:$K$25634,$G$25633:$K$25633-$G$25639:$K$25639+$G$25638:$K$25638)</f>
        <v>0</v>
      </c>
    </row>
    <row r="25740" customFormat="false" ht="15" hidden="false" customHeight="false" outlineLevel="0" collapsed="false">
      <c r="A25740" s="3" t="s">
        <v>366</v>
      </c>
      <c r="C25740" s="16" t="n">
        <f aca="false">SUMPRODUCT($G$25634:$K$25634,$G$25641:$K$25641)</f>
        <v>0</v>
      </c>
    </row>
    <row r="25741" customFormat="false" ht="15" hidden="false" customHeight="false" outlineLevel="0" collapsed="false">
      <c r="A25741" s="3" t="s">
        <v>367</v>
      </c>
      <c r="C25741" s="3" t="str">
        <f aca="false">IF(SUM($G$25634:$K$25634)=0,"n/a (beyond horizon)",IF(SUMPRODUCT($G$25634:$K$25634,$G$25592:$K$25592)&gt;0,"REFINANCING PASS","REFINANCING FAILURE"))</f>
        <v>REFINANCING FAILURE</v>
      </c>
    </row>
    <row r="25742" customFormat="false" ht="15" hidden="false" customHeight="false" outlineLevel="0" collapsed="false">
      <c r="A25742" s="3" t="s">
        <v>368</v>
      </c>
      <c r="C25742" s="3" t="str">
        <f aca="false">IF(SUM($G$25634:$K$25634)=0,"n/a",IF(C25740&gt;=C25739-0.001,"Repaid from cash",IF(SUMPRODUCT($G$25634:$K$25634,$G$25592:$K$25592)&gt;0,IF(C25740&gt;0,"Partly repaid; remainder refinanced","Refinanced"),IF(SUM($G$25643:$K$25643)&gt;0.001,IF(C25740&gt;0,"Partial repayment; PAYMENT DEFAULT","PAYMENT DEFAULT"),"Repaid from cash"))))</f>
        <v>Repaid from cash</v>
      </c>
    </row>
    <row r="25743" customFormat="false" ht="15" hidden="false" customHeight="false" outlineLevel="0" collapsed="false">
      <c r="A25743" s="3" t="s">
        <v>369</v>
      </c>
      <c r="C25743" s="16" t="n">
        <f aca="false">SUMPRODUCT($G$25647:$K$25647,$G$25646:$K$25646-$G$25652:$K$25652+$G$25651:$K$25651)</f>
        <v>450</v>
      </c>
    </row>
    <row r="25744" customFormat="false" ht="15" hidden="false" customHeight="false" outlineLevel="0" collapsed="false">
      <c r="A25744" s="3" t="s">
        <v>370</v>
      </c>
      <c r="C25744" s="16" t="n">
        <f aca="false">SUMPRODUCT($G$25647:$K$25647,$G$25654:$K$25654)</f>
        <v>53.3197421190001</v>
      </c>
    </row>
    <row r="25745" customFormat="false" ht="15" hidden="false" customHeight="false" outlineLevel="0" collapsed="false">
      <c r="A25745" s="3" t="s">
        <v>371</v>
      </c>
      <c r="C25745" s="3" t="str">
        <f aca="false">IF(SUM($G$25647:$K$25647)=0,"n/a (beyond horizon)",IF(SUMPRODUCT($G$25647:$K$25647,$G$25592:$K$25592)&gt;0,"REFINANCING PASS","REFINANCING FAILURE"))</f>
        <v>REFINANCING FAILURE</v>
      </c>
    </row>
    <row r="25746" customFormat="false" ht="15" hidden="false" customHeight="false" outlineLevel="0" collapsed="false">
      <c r="A25746" s="3" t="s">
        <v>372</v>
      </c>
      <c r="C25746" s="3" t="str">
        <f aca="false">IF(SUM($G$25647:$K$25647)=0,"n/a",IF(C25744&gt;=C25743-0.001,"Repaid from cash",IF(SUMPRODUCT($G$25647:$K$25647,$G$25592:$K$25592)&gt;0,IF(C25744&gt;0,"Partly repaid; remainder refinanced","Refinanced"),IF(SUM($G$25656:$K$25656)&gt;0.001,IF(C25744&gt;0,"Partial repayment; PAYMENT DEFAULT","PAYMENT DEFAULT"),"Repaid from cash"))))</f>
        <v>Partial repayment; PAYMENT DEFAULT</v>
      </c>
    </row>
    <row r="25747" customFormat="false" ht="15" hidden="false" customHeight="false" outlineLevel="0" collapsed="false">
      <c r="A25747" s="3" t="s">
        <v>373</v>
      </c>
      <c r="C25747" s="16" t="n">
        <f aca="false">SUMPRODUCT($G$25660:$K$25660,$G$25659:$K$25659-$G$25665:$K$25665+$G$25664:$K$25664)</f>
        <v>350</v>
      </c>
    </row>
    <row r="25748" customFormat="false" ht="15" hidden="false" customHeight="false" outlineLevel="0" collapsed="false">
      <c r="A25748" s="3" t="s">
        <v>374</v>
      </c>
      <c r="C25748" s="16" t="n">
        <f aca="false">SUMPRODUCT($G$25660:$K$25660,$G$25667:$K$25667)</f>
        <v>0</v>
      </c>
    </row>
    <row r="25749" customFormat="false" ht="15" hidden="false" customHeight="false" outlineLevel="0" collapsed="false">
      <c r="A25749" s="3" t="s">
        <v>375</v>
      </c>
      <c r="C25749" s="3" t="str">
        <f aca="false">IF(SUM($G$25660:$K$25660)=0,"n/a (beyond horizon)",IF(SUMPRODUCT($G$25660:$K$25660,$G$25592:$K$25592)&gt;0,"REFINANCING PASS","REFINANCING FAILURE"))</f>
        <v>REFINANCING FAILURE</v>
      </c>
    </row>
    <row r="25750" customFormat="false" ht="15" hidden="false" customHeight="false" outlineLevel="0" collapsed="false">
      <c r="A25750" s="3" t="s">
        <v>376</v>
      </c>
      <c r="C25750" s="3" t="str">
        <f aca="false">IF(SUM($G$25660:$K$25660)=0,"n/a",IF(C25748&gt;=C25747-0.001,"Repaid from cash",IF(SUMPRODUCT($G$25660:$K$25660,$G$25592:$K$25592)&gt;0,IF(C25748&gt;0,"Partly repaid; remainder refinanced","Refinanced"),IF(SUM($G$25669:$K$25669)&gt;0.001,IF(C25748&gt;0,"Partial repayment; PAYMENT DEFAULT","PAYMENT DEFAULT"),"Repaid from cash"))))</f>
        <v>PAYMENT DEFAULT</v>
      </c>
    </row>
    <row r="25751" customFormat="false" ht="15" hidden="false" customHeight="false" outlineLevel="0" collapsed="false">
      <c r="A25751" s="3" t="s">
        <v>377</v>
      </c>
      <c r="C25751" s="16" t="n">
        <f aca="false">SUMPRODUCT($G$25673:$K$25673,$G$25672:$K$25672-$G$25678:$K$25678+$G$25677:$K$25677)</f>
        <v>550</v>
      </c>
    </row>
    <row r="25752" customFormat="false" ht="15" hidden="false" customHeight="false" outlineLevel="0" collapsed="false">
      <c r="A25752" s="3" t="s">
        <v>378</v>
      </c>
      <c r="C25752" s="16" t="n">
        <f aca="false">SUMPRODUCT($G$25673:$K$25673,$G$25680:$K$25680)</f>
        <v>0</v>
      </c>
    </row>
    <row r="25753" customFormat="false" ht="15" hidden="false" customHeight="false" outlineLevel="0" collapsed="false">
      <c r="A25753" s="3" t="s">
        <v>379</v>
      </c>
      <c r="C25753" s="3" t="str">
        <f aca="false">IF(SUM($G$25673:$K$25673)=0,"n/a (beyond horizon)",IF(SUMPRODUCT($G$25673:$K$25673,$G$25592:$K$25592)&gt;0,"REFINANCING PASS","REFINANCING FAILURE"))</f>
        <v>REFINANCING FAILURE</v>
      </c>
    </row>
    <row r="25754" customFormat="false" ht="15" hidden="false" customHeight="false" outlineLevel="0" collapsed="false">
      <c r="A25754" s="3" t="s">
        <v>380</v>
      </c>
      <c r="C25754" s="3" t="str">
        <f aca="false">IF(SUM($G$25673:$K$25673)=0,"n/a",IF(C25752&gt;=C25751-0.001,"Repaid from cash",IF(SUMPRODUCT($G$25673:$K$25673,$G$25592:$K$25592)&gt;0,IF(C25752&gt;0,"Partly repaid; remainder refinanced","Refinanced"),IF(SUM($G$25682:$K$25682)&gt;0.001,IF(C25752&gt;0,"Partial repayment; PAYMENT DEFAULT","PAYMENT DEFAULT"),"Repaid from cash"))))</f>
        <v>PAYMENT DEFAULT</v>
      </c>
    </row>
    <row r="25755" customFormat="false" ht="15" hidden="false" customHeight="false" outlineLevel="0" collapsed="false">
      <c r="A25755" s="3" t="s">
        <v>381</v>
      </c>
      <c r="C25755" s="16" t="n">
        <f aca="false">SUMPRODUCT($G$25686:$K$25686,$G$25685:$K$25685-$G$25691:$K$25691+$G$25690:$K$25690)</f>
        <v>350</v>
      </c>
    </row>
    <row r="25756" customFormat="false" ht="15" hidden="false" customHeight="false" outlineLevel="0" collapsed="false">
      <c r="A25756" s="3" t="s">
        <v>382</v>
      </c>
      <c r="C25756" s="16" t="n">
        <f aca="false">SUMPRODUCT($G$25686:$K$25686,$G$25693:$K$25693)</f>
        <v>0</v>
      </c>
    </row>
    <row r="25757" customFormat="false" ht="15" hidden="false" customHeight="false" outlineLevel="0" collapsed="false">
      <c r="A25757" s="3" t="s">
        <v>383</v>
      </c>
      <c r="C25757" s="3" t="str">
        <f aca="false">IF(SUM($G$25686:$K$25686)=0,"n/a (beyond horizon)",IF(SUMPRODUCT($G$25686:$K$25686,$G$25592:$K$25592)&gt;0,"REFINANCING PASS","REFINANCING FAILURE"))</f>
        <v>REFINANCING FAILURE</v>
      </c>
    </row>
    <row r="25758" customFormat="false" ht="15" hidden="false" customHeight="false" outlineLevel="0" collapsed="false">
      <c r="A25758" s="3" t="s">
        <v>384</v>
      </c>
      <c r="C25758" s="3" t="str">
        <f aca="false">IF(SUM($G$25686:$K$25686)=0,"n/a",IF(C25756&gt;=C25755-0.001,"Repaid from cash",IF(SUMPRODUCT($G$25686:$K$25686,$G$25592:$K$25592)&gt;0,IF(C25756&gt;0,"Partly repaid; remainder refinanced","Refinanced"),IF(SUM($G$25695:$K$25695)&gt;0.001,IF(C25756&gt;0,"Partial repayment; PAYMENT DEFAULT","PAYMENT DEFAULT"),"Repaid from cash"))))</f>
        <v>PAYMENT DEFAULT</v>
      </c>
    </row>
    <row r="25759" customFormat="false" ht="15" hidden="false" customHeight="false" outlineLevel="0" collapsed="false">
      <c r="A25759" s="3" t="s">
        <v>385</v>
      </c>
      <c r="C25759" s="16" t="n">
        <f aca="false">SUMPRODUCT($G$25699:$K$25699,$G$25698:$K$25698-$G$25704:$K$25704+$G$25703:$K$25703)</f>
        <v>300</v>
      </c>
    </row>
    <row r="25760" customFormat="false" ht="15" hidden="false" customHeight="false" outlineLevel="0" collapsed="false">
      <c r="A25760" s="3" t="s">
        <v>386</v>
      </c>
      <c r="C25760" s="16" t="n">
        <f aca="false">SUMPRODUCT($G$25699:$K$25699,$G$25706:$K$25706)</f>
        <v>0</v>
      </c>
    </row>
    <row r="25761" customFormat="false" ht="15" hidden="false" customHeight="false" outlineLevel="0" collapsed="false">
      <c r="A25761" s="3" t="s">
        <v>387</v>
      </c>
      <c r="C25761" s="3" t="str">
        <f aca="false">IF(SUM($G$25699:$K$25699)=0,"n/a (beyond horizon)",IF(SUMPRODUCT($G$25699:$K$25699,$G$25592:$K$25592)&gt;0,"REFINANCING PASS","REFINANCING FAILURE"))</f>
        <v>REFINANCING FAILURE</v>
      </c>
    </row>
    <row r="25762" customFormat="false" ht="15" hidden="false" customHeight="false" outlineLevel="0" collapsed="false">
      <c r="A25762" s="3" t="s">
        <v>388</v>
      </c>
      <c r="C25762" s="3" t="str">
        <f aca="false">IF(SUM($G$25699:$K$25699)=0,"n/a",IF(C25760&gt;=C25759-0.001,"Repaid from cash",IF(SUMPRODUCT($G$25699:$K$25699,$G$25592:$K$25592)&gt;0,IF(C25760&gt;0,"Partly repaid; remainder refinanced","Refinanced"),IF(SUM($G$25708:$K$25708)&gt;0.001,IF(C25760&gt;0,"Partial repayment; PAYMENT DEFAULT","PAYMENT DEFAULT"),"Repaid from cash"))))</f>
        <v>PAYMENT DEFAULT</v>
      </c>
    </row>
    <row r="25763" customFormat="false" ht="15" hidden="false" customHeight="false" outlineLevel="0" collapsed="false">
      <c r="A25763" s="3" t="s">
        <v>389</v>
      </c>
      <c r="C25763" s="16" t="n">
        <f aca="false">SUMPRODUCT($G$25712:$K$25712,$G$25711:$K$25711-$G$25717:$K$25717+$G$25716:$K$25716)</f>
        <v>0</v>
      </c>
    </row>
    <row r="25764" customFormat="false" ht="15" hidden="false" customHeight="false" outlineLevel="0" collapsed="false">
      <c r="A25764" s="3" t="s">
        <v>390</v>
      </c>
      <c r="C25764" s="16" t="n">
        <f aca="false">SUMPRODUCT($G$25712:$K$25712,$G$25719:$K$25719)</f>
        <v>0</v>
      </c>
    </row>
    <row r="25765" customFormat="false" ht="15" hidden="false" customHeight="false" outlineLevel="0" collapsed="false">
      <c r="A25765" s="3" t="s">
        <v>391</v>
      </c>
      <c r="C25765" s="3" t="str">
        <f aca="false">IF(SUM($G$25712:$K$25712)=0,"n/a (beyond horizon)",IF(SUMPRODUCT($G$25712:$K$25712,$G$25592:$K$25592)&gt;0,"REFINANCING PASS","REFINANCING FAILURE"))</f>
        <v>n/a (beyond horizon)</v>
      </c>
    </row>
    <row r="25766" customFormat="false" ht="15" hidden="false" customHeight="false" outlineLevel="0" collapsed="false">
      <c r="A25766" s="3" t="s">
        <v>392</v>
      </c>
      <c r="C25766" s="3" t="str">
        <f aca="false">IF(SUM($G$25712:$K$25712)=0,"n/a",IF(C25764&gt;=C25763-0.001,"Repaid from cash",IF(SUMPRODUCT($G$25712:$K$25712,$G$25592:$K$25592)&gt;0,IF(C25764&gt;0,"Partly repaid; remainder refinanced","Refinanced"),IF(SUM($G$25721:$K$25721)&gt;0.001,IF(C25764&gt;0,"Partial repayment; PAYMENT DEFAULT","PAYMENT DEFAULT"),"Repaid from cash"))))</f>
        <v>n/a</v>
      </c>
    </row>
    <row r="25767" customFormat="false" ht="15" hidden="false" customHeight="false" outlineLevel="0" collapsed="false">
      <c r="A25767" s="3" t="s">
        <v>393</v>
      </c>
      <c r="C25767" s="21" t="n">
        <f aca="false">IF(C25729="REFINANCING FAILURE",1,0)+IF(C25733="REFINANCING FAILURE",1,0)+IF(C25737="REFINANCING FAILURE",1,0)+IF(C25741="REFINANCING FAILURE",1,0)+IF(C25745="REFINANCING FAILURE",1,0)+IF(C25749="REFINANCING FAILURE",1,0)+IF(C25753="REFINANCING FAILURE",1,0)+IF(C25757="REFINANCING FAILURE",1,0)+IF(C25761="REFINANCING FAILURE",1,0)+IF(C25765="REFINANCING FAILURE",1,0)</f>
        <v>7</v>
      </c>
    </row>
    <row r="25769" customFormat="false" ht="15" hidden="false" customHeight="false" outlineLevel="0" collapsed="false">
      <c r="A25769" s="24" t="s">
        <v>395</v>
      </c>
      <c r="B25769" s="25"/>
      <c r="C25769" s="25"/>
      <c r="D25769" s="25"/>
      <c r="E25769" s="25"/>
      <c r="F25769" s="25"/>
      <c r="G25769" s="25"/>
      <c r="H25769" s="25"/>
      <c r="I25769" s="25"/>
      <c r="J25769" s="25"/>
      <c r="K25769" s="25"/>
    </row>
    <row r="25770" customFormat="false" ht="15" hidden="false" customHeight="false" outlineLevel="0" collapsed="false">
      <c r="A25770" s="3" t="s">
        <v>325</v>
      </c>
      <c r="G25770" s="16" t="n">
        <f aca="false">F25782</f>
        <v>37.87</v>
      </c>
      <c r="H25770" s="16" t="n">
        <f aca="false">G25782</f>
        <v>125.3404704</v>
      </c>
      <c r="I25770" s="16" t="n">
        <f aca="false">H25782</f>
        <v>0</v>
      </c>
      <c r="J25770" s="16" t="n">
        <f aca="false">I25782</f>
        <v>-68.3380734672995</v>
      </c>
      <c r="K25770" s="16" t="n">
        <f aca="false">J25782</f>
        <v>-132.833149757719</v>
      </c>
    </row>
    <row r="25771" customFormat="false" ht="15" hidden="false" customHeight="false" outlineLevel="0" collapsed="false">
      <c r="A25771" s="3" t="s">
        <v>396</v>
      </c>
      <c r="G25771" s="16" t="n">
        <f aca="false">G25581</f>
        <v>-58.5295296</v>
      </c>
      <c r="H25771" s="16" t="n">
        <f aca="false">H25581</f>
        <v>-68.020728281</v>
      </c>
      <c r="I25771" s="16" t="n">
        <f aca="false">I25581</f>
        <v>-64.3380734672995</v>
      </c>
      <c r="J25771" s="16" t="n">
        <f aca="false">J25581</f>
        <v>-60.4950762904195</v>
      </c>
      <c r="K25771" s="16" t="n">
        <f aca="false">K25581</f>
        <v>-56.5946048842138</v>
      </c>
    </row>
    <row r="25772" customFormat="false" ht="15" hidden="false" customHeight="false" outlineLevel="0" collapsed="false">
      <c r="A25772" s="3" t="s">
        <v>397</v>
      </c>
      <c r="G25772" s="16" t="n">
        <f aca="false">CHOOSE($C$25551,Assumptions!$G$82,Assumptions!$G$101,Assumptions!$G$120)</f>
        <v>150</v>
      </c>
      <c r="H25772" s="16" t="n">
        <f aca="false">CHOOSE($C$25551,Assumptions!$H$82,Assumptions!$H$101,Assumptions!$H$120)</f>
        <v>0</v>
      </c>
      <c r="I25772" s="16" t="n">
        <f aca="false">CHOOSE($C$25551,Assumptions!$I$82,Assumptions!$I$101,Assumptions!$I$120)</f>
        <v>0</v>
      </c>
      <c r="J25772" s="16" t="n">
        <f aca="false">CHOOSE($C$25551,Assumptions!$J$82,Assumptions!$J$101,Assumptions!$J$120)</f>
        <v>0</v>
      </c>
      <c r="K25772" s="16" t="n">
        <f aca="false">CHOOSE($C$25551,Assumptions!$K$82,Assumptions!$K$101,Assumptions!$K$120)</f>
        <v>0</v>
      </c>
    </row>
    <row r="25773" customFormat="false" ht="15" hidden="false" customHeight="false" outlineLevel="0" collapsed="false">
      <c r="A25773" s="3" t="s">
        <v>398</v>
      </c>
      <c r="G25773" s="16" t="n">
        <f aca="false">G25600+G25613+G25626+G25639+G25652+G25665+G25678+G25691+G25704+G25717</f>
        <v>4</v>
      </c>
      <c r="H25773" s="16" t="n">
        <f aca="false">H25600+H25613+H25626+H25639+H25652+H25665+H25678+H25691+H25704+H25717</f>
        <v>4</v>
      </c>
      <c r="I25773" s="16" t="n">
        <f aca="false">I25600+I25613+I25626+I25639+I25652+I25665+I25678+I25691+I25704+I25717</f>
        <v>4</v>
      </c>
      <c r="J25773" s="16" t="n">
        <f aca="false">J25600+J25613+J25626+J25639+J25652+J25665+J25678+J25691+J25704+J25717</f>
        <v>4</v>
      </c>
      <c r="K25773" s="16" t="n">
        <f aca="false">K25600+K25613+K25626+K25639+K25652+K25665+K25678+K25691+K25704+K25717</f>
        <v>4</v>
      </c>
    </row>
    <row r="25774" customFormat="false" ht="15" hidden="false" customHeight="false" outlineLevel="0" collapsed="false">
      <c r="A25774" s="2" t="s">
        <v>399</v>
      </c>
      <c r="G25774" s="17" t="n">
        <f aca="false">G25770+G25771+G25772-G25773</f>
        <v>125.3404704</v>
      </c>
      <c r="H25774" s="17" t="n">
        <f aca="false">H25770+H25771+H25772-H25773</f>
        <v>53.3197421190001</v>
      </c>
      <c r="I25774" s="17" t="n">
        <f aca="false">I25770+I25771+I25772-I25773</f>
        <v>-68.3380734672995</v>
      </c>
      <c r="J25774" s="17" t="n">
        <f aca="false">J25770+J25771+J25772-J25773</f>
        <v>-132.833149757719</v>
      </c>
      <c r="K25774" s="17" t="n">
        <f aca="false">K25770+K25771+K25772-K25773</f>
        <v>-193.427754641933</v>
      </c>
    </row>
    <row r="25775" customFormat="false" ht="15" hidden="false" customHeight="false" outlineLevel="0" collapsed="false">
      <c r="A25775" s="3" t="s">
        <v>400</v>
      </c>
      <c r="G25775" s="16" t="n">
        <f aca="false">G25601+G25614+G25627+G25640+G25653+G25666+G25679+G25692+G25705+G25718</f>
        <v>0</v>
      </c>
      <c r="H25775" s="16" t="n">
        <f aca="false">H25601+H25614+H25627+H25640+H25653+H25666+H25679+H25692+H25705+H25718</f>
        <v>0</v>
      </c>
      <c r="I25775" s="16" t="n">
        <f aca="false">I25601+I25614+I25627+I25640+I25653+I25666+I25679+I25692+I25705+I25718</f>
        <v>0</v>
      </c>
      <c r="J25775" s="16" t="n">
        <f aca="false">J25601+J25614+J25627+J25640+J25653+J25666+J25679+J25692+J25705+J25718</f>
        <v>0</v>
      </c>
      <c r="K25775" s="16" t="n">
        <f aca="false">K25601+K25614+K25627+K25640+K25653+K25666+K25679+K25692+K25705+K25718</f>
        <v>0</v>
      </c>
    </row>
    <row r="25776" customFormat="false" ht="15" hidden="false" customHeight="false" outlineLevel="0" collapsed="false">
      <c r="A25776" s="2" t="s">
        <v>401</v>
      </c>
      <c r="G25776" s="17" t="n">
        <f aca="false">G25774+G25775</f>
        <v>125.3404704</v>
      </c>
      <c r="H25776" s="17" t="n">
        <f aca="false">H25774+H25775</f>
        <v>53.3197421190001</v>
      </c>
      <c r="I25776" s="17" t="n">
        <f aca="false">I25774+I25775</f>
        <v>-68.3380734672995</v>
      </c>
      <c r="J25776" s="17" t="n">
        <f aca="false">J25774+J25775</f>
        <v>-132.833149757719</v>
      </c>
      <c r="K25776" s="17" t="n">
        <f aca="false">K25774+K25775</f>
        <v>-193.427754641933</v>
      </c>
    </row>
    <row r="25777" customFormat="false" ht="15" hidden="false" customHeight="false" outlineLevel="0" collapsed="false">
      <c r="A25777" s="3" t="s">
        <v>402</v>
      </c>
      <c r="G25777" s="16" t="n">
        <f aca="false">G25602+G25615+G25628+G25641+G25654+G25667+G25680+G25693+G25706+G25719</f>
        <v>0</v>
      </c>
      <c r="H25777" s="16" t="n">
        <f aca="false">H25602+H25615+H25628+H25641+H25654+H25667+H25680+H25693+H25706+H25719</f>
        <v>53.3197421190001</v>
      </c>
      <c r="I25777" s="16" t="n">
        <f aca="false">I25602+I25615+I25628+I25641+I25654+I25667+I25680+I25693+I25706+I25719</f>
        <v>0</v>
      </c>
      <c r="J25777" s="16" t="n">
        <f aca="false">J25602+J25615+J25628+J25641+J25654+J25667+J25680+J25693+J25706+J25719</f>
        <v>0</v>
      </c>
      <c r="K25777" s="16" t="n">
        <f aca="false">K25602+K25615+K25628+K25641+K25654+K25667+K25680+K25693+K25706+K25719</f>
        <v>0</v>
      </c>
    </row>
    <row r="25778" customFormat="false" ht="15" hidden="false" customHeight="false" outlineLevel="0" collapsed="false">
      <c r="A25778" s="2" t="s">
        <v>403</v>
      </c>
      <c r="G25778" s="17" t="n">
        <f aca="false">G25776-G25777</f>
        <v>125.3404704</v>
      </c>
      <c r="H25778" s="17" t="n">
        <f aca="false">H25776-H25777</f>
        <v>0</v>
      </c>
      <c r="I25778" s="17" t="n">
        <f aca="false">I25776-I25777</f>
        <v>-68.3380734672995</v>
      </c>
      <c r="J25778" s="17" t="n">
        <f aca="false">J25776-J25777</f>
        <v>-132.833149757719</v>
      </c>
      <c r="K25778" s="17" t="n">
        <f aca="false">K25776-K25777</f>
        <v>-193.427754641933</v>
      </c>
    </row>
    <row r="25779" customFormat="false" ht="15" hidden="false" customHeight="false" outlineLevel="0" collapsed="false">
      <c r="A25779" s="3" t="s">
        <v>404</v>
      </c>
      <c r="G25779" s="16" t="n">
        <f aca="false">MAX(0,-G25778)</f>
        <v>0</v>
      </c>
      <c r="H25779" s="16" t="n">
        <f aca="false">MAX(0,-H25778)</f>
        <v>-0</v>
      </c>
      <c r="I25779" s="16" t="n">
        <f aca="false">MAX(0,-I25778)</f>
        <v>68.3380734672995</v>
      </c>
      <c r="J25779" s="16" t="n">
        <f aca="false">MAX(0,-J25778)</f>
        <v>132.833149757719</v>
      </c>
      <c r="K25779" s="16" t="n">
        <f aca="false">MAX(0,-K25778)</f>
        <v>193.427754641933</v>
      </c>
    </row>
    <row r="25780" customFormat="false" ht="15" hidden="false" customHeight="false" outlineLevel="0" collapsed="false">
      <c r="A25780" s="3" t="s">
        <v>405</v>
      </c>
      <c r="G25780" s="16" t="n">
        <f aca="false">MAX(0,G25778-Assumptions!$C$12)*Assumptions!$C$13</f>
        <v>0</v>
      </c>
      <c r="H25780" s="16" t="n">
        <f aca="false">MAX(0,H25778-Assumptions!$C$12)*Assumptions!$C$13</f>
        <v>0</v>
      </c>
      <c r="I25780" s="16" t="n">
        <f aca="false">MAX(0,I25778-Assumptions!$C$12)*Assumptions!$C$13</f>
        <v>0</v>
      </c>
      <c r="J25780" s="16" t="n">
        <f aca="false">MAX(0,J25778-Assumptions!$C$12)*Assumptions!$C$13</f>
        <v>0</v>
      </c>
      <c r="K25780" s="16" t="n">
        <f aca="false">MAX(0,K25778-Assumptions!$C$12)*Assumptions!$C$13</f>
        <v>0</v>
      </c>
    </row>
    <row r="25781" customFormat="false" ht="15" hidden="false" customHeight="false" outlineLevel="0" collapsed="false">
      <c r="A25781" s="3" t="s">
        <v>406</v>
      </c>
      <c r="G25781" s="16" t="n">
        <f aca="false">G25603+G25616+G25629+G25642+G25655+G25668+G25681+G25694+G25707+G25720</f>
        <v>0</v>
      </c>
      <c r="H25781" s="16" t="n">
        <f aca="false">H25603+H25616+H25629+H25642+H25655+H25668+H25681+H25694+H25707+H25720</f>
        <v>0</v>
      </c>
      <c r="I25781" s="16" t="n">
        <f aca="false">I25603+I25616+I25629+I25642+I25655+I25668+I25681+I25694+I25707+I25720</f>
        <v>0</v>
      </c>
      <c r="J25781" s="16" t="n">
        <f aca="false">J25603+J25616+J25629+J25642+J25655+J25668+J25681+J25694+J25707+J25720</f>
        <v>0</v>
      </c>
      <c r="K25781" s="16" t="n">
        <f aca="false">K25603+K25616+K25629+K25642+K25655+K25668+K25681+K25694+K25707+K25720</f>
        <v>0</v>
      </c>
    </row>
    <row r="25782" customFormat="false" ht="15" hidden="false" customHeight="false" outlineLevel="0" collapsed="false">
      <c r="A25782" s="2" t="s">
        <v>407</v>
      </c>
      <c r="F25782" s="28" t="n">
        <f aca="false">Assumptions!$C$11</f>
        <v>37.87</v>
      </c>
      <c r="G25782" s="17" t="n">
        <f aca="false">G25778-G25781</f>
        <v>125.3404704</v>
      </c>
      <c r="H25782" s="17" t="n">
        <f aca="false">H25778-H25781</f>
        <v>0</v>
      </c>
      <c r="I25782" s="17" t="n">
        <f aca="false">I25778-I25781</f>
        <v>-68.3380734672995</v>
      </c>
      <c r="J25782" s="17" t="n">
        <f aca="false">J25778-J25781</f>
        <v>-132.833149757719</v>
      </c>
      <c r="K25782" s="17" t="n">
        <f aca="false">K25778-K25781</f>
        <v>-193.427754641933</v>
      </c>
    </row>
    <row r="25783" customFormat="false" ht="15" hidden="false" customHeight="false" outlineLevel="0" collapsed="false">
      <c r="A25783" s="3" t="s">
        <v>408</v>
      </c>
      <c r="G25783" s="16" t="n">
        <f aca="false">G25604+G25617+G25630+G25643+G25656+G25669+G25682+G25695+G25708+G25721</f>
        <v>0</v>
      </c>
      <c r="H25783" s="16" t="n">
        <f aca="false">H25604+H25617+H25630+H25643+H25656+H25669+H25682+H25695+H25708+H25721</f>
        <v>746.680257881</v>
      </c>
      <c r="I25783" s="16" t="n">
        <f aca="false">I25604+I25617+I25630+I25643+I25656+I25669+I25682+I25695+I25708+I25721</f>
        <v>550</v>
      </c>
      <c r="J25783" s="16" t="n">
        <f aca="false">J25604+J25617+J25630+J25643+J25656+J25669+J25682+J25695+J25708+J25721</f>
        <v>350</v>
      </c>
      <c r="K25783" s="16" t="n">
        <f aca="false">K25604+K25617+K25630+K25643+K25656+K25669+K25682+K25695+K25708+K25721</f>
        <v>680</v>
      </c>
    </row>
    <row r="25784" customFormat="false" ht="15" hidden="false" customHeight="false" outlineLevel="0" collapsed="false">
      <c r="A25784" s="3" t="s">
        <v>409</v>
      </c>
      <c r="G25784" s="21" t="n">
        <f aca="false">IF(OR(G25779&gt;0.001,G25783&gt;0.001),1,0)</f>
        <v>0</v>
      </c>
      <c r="H25784" s="21" t="n">
        <f aca="false">IF(OR(H25779&gt;0.001,H25783&gt;0.001),1,0)</f>
        <v>1</v>
      </c>
      <c r="I25784" s="21" t="n">
        <f aca="false">IF(OR(I25779&gt;0.001,I25783&gt;0.001),1,0)</f>
        <v>1</v>
      </c>
      <c r="J25784" s="21" t="n">
        <f aca="false">IF(OR(J25779&gt;0.001,J25783&gt;0.001),1,0)</f>
        <v>1</v>
      </c>
      <c r="K25784" s="21" t="n">
        <f aca="false">IF(OR(K25779&gt;0.001,K25783&gt;0.001),1,0)</f>
        <v>1</v>
      </c>
    </row>
    <row r="25785" customFormat="false" ht="15" hidden="false" customHeight="false" outlineLevel="0" collapsed="false">
      <c r="A25785" s="3" t="s">
        <v>410</v>
      </c>
      <c r="G25785" s="21" t="n">
        <f aca="false">IF(G25784=1,1,0)</f>
        <v>0</v>
      </c>
      <c r="H25785" s="21" t="n">
        <f aca="false">IF(AND(H25784=1,SUM($G$25784:G25784)=0),1,0)</f>
        <v>1</v>
      </c>
      <c r="I25785" s="21" t="n">
        <f aca="false">IF(AND(I25784=1,SUM($G$25784:H25784)=0),1,0)</f>
        <v>0</v>
      </c>
      <c r="J25785" s="21" t="n">
        <f aca="false">IF(AND(J25784=1,SUM($G$25784:I25784)=0),1,0)</f>
        <v>0</v>
      </c>
      <c r="K25785" s="21" t="n">
        <f aca="false">IF(AND(K25784=1,SUM($G$25784:J25784)=0),1,0)</f>
        <v>0</v>
      </c>
    </row>
    <row r="25786" customFormat="false" ht="15" hidden="false" customHeight="false" outlineLevel="0" collapsed="false">
      <c r="A25786" s="3" t="s">
        <v>411</v>
      </c>
      <c r="G25786" s="16" t="n">
        <f aca="false">(G25724-F25724)-(G25775+G25573-G25773-G25777-G25781)</f>
        <v>0</v>
      </c>
      <c r="H25786" s="16" t="n">
        <f aca="false">(H25724-G25724)-(H25775+H25573-H25773-H25777-H25781)</f>
        <v>0</v>
      </c>
      <c r="I25786" s="16" t="n">
        <f aca="false">(I25724-H25724)-(I25775+I25573-I25773-I25777-I25781)</f>
        <v>0</v>
      </c>
      <c r="J25786" s="16" t="n">
        <f aca="false">(J25724-I25724)-(J25775+J25573-J25773-J25777-J25781)</f>
        <v>0</v>
      </c>
      <c r="K25786" s="16" t="n">
        <f aca="false">(K25724-J25724)-(K25775+K25573-K25773-K25777-K25781)</f>
        <v>0</v>
      </c>
    </row>
    <row r="25788" customFormat="false" ht="15" hidden="false" customHeight="false" outlineLevel="0" collapsed="false">
      <c r="A25788" s="24" t="s">
        <v>413</v>
      </c>
      <c r="B25788" s="25"/>
      <c r="C25788" s="25"/>
      <c r="D25788" s="25"/>
      <c r="E25788" s="25"/>
      <c r="F25788" s="25"/>
      <c r="G25788" s="25"/>
      <c r="H25788" s="25"/>
      <c r="I25788" s="25"/>
      <c r="J25788" s="25"/>
      <c r="K25788" s="25"/>
    </row>
    <row r="25789" customFormat="false" ht="15" hidden="false" customHeight="false" outlineLevel="0" collapsed="false">
      <c r="A25789" s="3" t="s">
        <v>414</v>
      </c>
      <c r="G25789" s="16" t="n">
        <f aca="false">G25724</f>
        <v>2621.934</v>
      </c>
      <c r="H25789" s="16" t="n">
        <f aca="false">H25724</f>
        <v>2564.614257881</v>
      </c>
      <c r="I25789" s="16" t="n">
        <f aca="false">I25724</f>
        <v>2560.614257881</v>
      </c>
      <c r="J25789" s="16" t="n">
        <f aca="false">J25724</f>
        <v>2556.614257881</v>
      </c>
      <c r="K25789" s="16" t="n">
        <f aca="false">K25724</f>
        <v>2552.614257881</v>
      </c>
    </row>
    <row r="25790" customFormat="false" ht="15" hidden="false" customHeight="false" outlineLevel="0" collapsed="false">
      <c r="A25790" s="3" t="s">
        <v>415</v>
      </c>
      <c r="G25790" s="16" t="n">
        <f aca="false">Assumptions!$O$57*G25605+Assumptions!$O$58*G25618+Assumptions!$O$59*G25631+Assumptions!$O$60*G25644+Assumptions!$O$61*G25657+Assumptions!$O$62*G25670+Assumptions!$O$63*G25683+Assumptions!$O$64*G25696+Assumptions!$O$65*G25709+Assumptions!$O$66*G25722</f>
        <v>543.324</v>
      </c>
      <c r="H25790" s="16" t="n">
        <f aca="false">Assumptions!$O$57*H25605+Assumptions!$O$58*H25618+Assumptions!$O$59*H25631+Assumptions!$O$60*H25644+Assumptions!$O$61*H25657+Assumptions!$O$62*H25670+Assumptions!$O$63*H25683+Assumptions!$O$64*H25696+Assumptions!$O$65*H25709+Assumptions!$O$66*H25722</f>
        <v>539.324</v>
      </c>
      <c r="I25790" s="16" t="n">
        <f aca="false">Assumptions!$O$57*I25605+Assumptions!$O$58*I25618+Assumptions!$O$59*I25631+Assumptions!$O$60*I25644+Assumptions!$O$61*I25657+Assumptions!$O$62*I25670+Assumptions!$O$63*I25683+Assumptions!$O$64*I25696+Assumptions!$O$65*I25709+Assumptions!$O$66*I25722</f>
        <v>535.324</v>
      </c>
      <c r="J25790" s="16" t="n">
        <f aca="false">Assumptions!$O$57*J25605+Assumptions!$O$58*J25618+Assumptions!$O$59*J25631+Assumptions!$O$60*J25644+Assumptions!$O$61*J25657+Assumptions!$O$62*J25670+Assumptions!$O$63*J25683+Assumptions!$O$64*J25696+Assumptions!$O$65*J25709+Assumptions!$O$66*J25722</f>
        <v>531.324</v>
      </c>
      <c r="K25790" s="16" t="n">
        <f aca="false">Assumptions!$O$57*K25605+Assumptions!$O$58*K25618+Assumptions!$O$59*K25631+Assumptions!$O$60*K25644+Assumptions!$O$61*K25657+Assumptions!$O$62*K25670+Assumptions!$O$63*K25683+Assumptions!$O$64*K25696+Assumptions!$O$65*K25709+Assumptions!$O$66*K25722</f>
        <v>527.324</v>
      </c>
    </row>
    <row r="25791" customFormat="false" ht="15" hidden="false" customHeight="false" outlineLevel="0" collapsed="false">
      <c r="A25791" s="3" t="s">
        <v>416</v>
      </c>
      <c r="G25791" s="16" t="n">
        <f aca="false">G25789-G25782</f>
        <v>2496.5935296</v>
      </c>
      <c r="H25791" s="16" t="n">
        <f aca="false">H25789-H25782</f>
        <v>2564.614257881</v>
      </c>
      <c r="I25791" s="16" t="n">
        <f aca="false">I25789-I25782</f>
        <v>2628.9523313483</v>
      </c>
      <c r="J25791" s="16" t="n">
        <f aca="false">J25789-J25782</f>
        <v>2689.44740763872</v>
      </c>
      <c r="K25791" s="16" t="n">
        <f aca="false">K25789-K25782</f>
        <v>2746.04201252293</v>
      </c>
    </row>
    <row r="25792" customFormat="false" ht="15" hidden="false" customHeight="false" outlineLevel="0" collapsed="false">
      <c r="A25792" s="3" t="s">
        <v>417</v>
      </c>
      <c r="G25792" s="32" t="n">
        <f aca="false">IF(G25568&gt;0,G25789/G25568,0)</f>
        <v>11.1954319438308</v>
      </c>
      <c r="H25792" s="32" t="n">
        <f aca="false">IF(H25568&gt;0,H25789/H25568,0)</f>
        <v>11.6385180049669</v>
      </c>
      <c r="I25792" s="32" t="n">
        <f aca="false">IF(I25568&gt;0,I25789/I25568,0)</f>
        <v>11.6203655393956</v>
      </c>
      <c r="J25792" s="32" t="n">
        <f aca="false">IF(J25568&gt;0,J25789/J25568,0)</f>
        <v>11.3701219252471</v>
      </c>
      <c r="K25792" s="32" t="n">
        <f aca="false">IF(K25568&gt;0,K25789/K25568,0)</f>
        <v>11.1263985705555</v>
      </c>
    </row>
    <row r="25793" customFormat="false" ht="15" hidden="false" customHeight="false" outlineLevel="0" collapsed="false">
      <c r="A25793" s="3" t="s">
        <v>418</v>
      </c>
      <c r="G25793" s="32" t="n">
        <f aca="false">IF(G25568&gt;0,G25791/G25568,0)</f>
        <v>10.6602389503493</v>
      </c>
      <c r="H25793" s="32" t="n">
        <f aca="false">IF(H25568&gt;0,H25791/H25568,0)</f>
        <v>11.6385180049669</v>
      </c>
      <c r="I25793" s="32" t="n">
        <f aca="false">IF(I25568&gt;0,I25791/I25568,0)</f>
        <v>11.9304916708517</v>
      </c>
      <c r="J25793" s="32" t="n">
        <f aca="false">IF(J25568&gt;0,J25791/J25568,0)</f>
        <v>11.9608755376875</v>
      </c>
      <c r="K25793" s="32" t="n">
        <f aca="false">IF(K25568&gt;0,K25791/K25568,0)</f>
        <v>11.9695162825674</v>
      </c>
    </row>
    <row r="25794" customFormat="false" ht="15" hidden="false" customHeight="false" outlineLevel="0" collapsed="false">
      <c r="A25794" s="3" t="s">
        <v>419</v>
      </c>
      <c r="G25794" s="32" t="n">
        <f aca="false">IF(G25572&gt;0,G25568/G25572,0)</f>
        <v>1.2659573270473</v>
      </c>
      <c r="H25794" s="32" t="n">
        <f aca="false">IF(H25572&gt;0,H25568/H25572,0)</f>
        <v>1.19838097109591</v>
      </c>
      <c r="I25794" s="32" t="n">
        <f aca="false">IF(I25572&gt;0,I25568/I25572,0)</f>
        <v>1.22287231753646</v>
      </c>
      <c r="J25794" s="32" t="n">
        <f aca="false">IF(J25572&gt;0,J25568/J25572,0)</f>
        <v>1.25054061042906</v>
      </c>
      <c r="K25794" s="32" t="n">
        <f aca="false">IF(K25572&gt;0,K25568/K25572,0)</f>
        <v>1.27870777604752</v>
      </c>
    </row>
    <row r="25795" customFormat="false" ht="15" hidden="false" customHeight="false" outlineLevel="0" collapsed="false">
      <c r="A25795" s="3" t="s">
        <v>420</v>
      </c>
      <c r="G25795" s="32" t="n">
        <f aca="false">IF(G25572&gt;0,G25571/G25572,0)</f>
        <v>0.32444712116128</v>
      </c>
      <c r="H25795" s="32" t="n">
        <f aca="false">IF(H25572&gt;0,H25571/H25572,0)</f>
        <v>0.279563730976297</v>
      </c>
      <c r="I25795" s="32" t="n">
        <f aca="false">IF(I25572&gt;0,I25571/I25572,0)</f>
        <v>0.285277183002568</v>
      </c>
      <c r="J25795" s="32" t="n">
        <f aca="false">IF(J25572&gt;0,J25571/J25572,0)</f>
        <v>0.30151553116433</v>
      </c>
      <c r="K25795" s="32" t="n">
        <f aca="false">IF(K25572&gt;0,K25571/K25572,0)</f>
        <v>0.31810889372563</v>
      </c>
    </row>
    <row r="25796" customFormat="false" ht="15" hidden="false" customHeight="false" outlineLevel="0" collapsed="false">
      <c r="A25796" s="3" t="s">
        <v>213</v>
      </c>
      <c r="G25796" s="22" t="n">
        <f aca="false">IF(G25789&gt;0,G25581/G25789,0)</f>
        <v>-0.0223230369643172</v>
      </c>
      <c r="H25796" s="22" t="n">
        <f aca="false">IF(H25789&gt;0,H25581/H25789,0)</f>
        <v>-0.0265227911261796</v>
      </c>
      <c r="I25796" s="22" t="n">
        <f aca="false">IF(I25789&gt;0,I25581/I25789,0)</f>
        <v>-0.0251260310955784</v>
      </c>
      <c r="J25796" s="22" t="n">
        <f aca="false">IF(J25789&gt;0,J25581/J25789,0)</f>
        <v>-0.0236621837275365</v>
      </c>
      <c r="K25796" s="22" t="n">
        <f aca="false">IF(K25789&gt;0,K25581/K25789,0)</f>
        <v>-0.0221712327702795</v>
      </c>
    </row>
    <row r="25797" customFormat="false" ht="15" hidden="false" customHeight="false" outlineLevel="0" collapsed="false">
      <c r="A25797" s="3" t="s">
        <v>421</v>
      </c>
      <c r="G25797" s="32" t="n">
        <f aca="false">IF(G25572+G25773&gt;0,(G25568-G25579-G25576)/(G25572+G25773),0)</f>
        <v>0.793064948420802</v>
      </c>
      <c r="H25797" s="32" t="n">
        <f aca="false">IF(H25572+H25773&gt;0,(H25568-H25579-H25576)/(H25572+H25773),0)</f>
        <v>0.737576110022802</v>
      </c>
      <c r="I25797" s="32" t="n">
        <f aca="false">IF(I25572+I25773&gt;0,(I25568-I25579-I25576)/(I25572+I25773),0)</f>
        <v>0.752322628836551</v>
      </c>
      <c r="J25797" s="32" t="n">
        <f aca="false">IF(J25572+J25773&gt;0,(J25568-J25579-J25576)/(J25572+J25773),0)</f>
        <v>0.773941024464506</v>
      </c>
      <c r="K25797" s="32" t="n">
        <f aca="false">IF(K25572+K25773&gt;0,(K25568-K25579-K25576)/(K25572+K25773),0)</f>
        <v>0.79597709692663</v>
      </c>
    </row>
    <row r="25798" customFormat="false" ht="15" hidden="false" customHeight="false" outlineLevel="0" collapsed="false">
      <c r="A25798" s="3" t="s">
        <v>422</v>
      </c>
      <c r="G25798" s="16" t="n">
        <f aca="false">MAX(0,G25782)+Assumptions!$P$57*MAX(0,Assumptions!$D$57-G25605)+Assumptions!$P$58*MAX(0,Assumptions!$D$58-G25618)+Assumptions!$P$59*MAX(0,Assumptions!$D$59-G25631)+Assumptions!$P$60*MAX(0,Assumptions!$D$60-G25644)+Assumptions!$P$61*MAX(0,Assumptions!$D$61-G25657)+Assumptions!$P$62*MAX(0,Assumptions!$D$62-G25670)+Assumptions!$P$63*MAX(0,Assumptions!$D$63-G25683)+Assumptions!$P$64*MAX(0,Assumptions!$D$64-G25696)+Assumptions!$P$65*MAX(0,Assumptions!$D$65-G25709)+Assumptions!$P$66*MAX(0,Assumptions!$D$66-G25722)</f>
        <v>699.8404704</v>
      </c>
      <c r="H25798" s="16" t="n">
        <f aca="false">MAX(0,H25782)+Assumptions!$P$57*MAX(0,Assumptions!$D$57-H25605)+Assumptions!$P$58*MAX(0,Assumptions!$D$58-H25618)+Assumptions!$P$59*MAX(0,Assumptions!$D$59-H25631)+Assumptions!$P$60*MAX(0,Assumptions!$D$60-H25644)+Assumptions!$P$61*MAX(0,Assumptions!$D$61-H25657)+Assumptions!$P$62*MAX(0,Assumptions!$D$62-H25670)+Assumptions!$P$63*MAX(0,Assumptions!$D$63-H25683)+Assumptions!$P$64*MAX(0,Assumptions!$D$64-H25696)+Assumptions!$P$65*MAX(0,Assumptions!$D$65-H25709)+Assumptions!$P$66*MAX(0,Assumptions!$D$66-H25722)</f>
        <v>574.5</v>
      </c>
      <c r="I25798" s="16" t="n">
        <f aca="false">MAX(0,I25782)+Assumptions!$P$57*MAX(0,Assumptions!$D$57-I25605)+Assumptions!$P$58*MAX(0,Assumptions!$D$58-I25618)+Assumptions!$P$59*MAX(0,Assumptions!$D$59-I25631)+Assumptions!$P$60*MAX(0,Assumptions!$D$60-I25644)+Assumptions!$P$61*MAX(0,Assumptions!$D$61-I25657)+Assumptions!$P$62*MAX(0,Assumptions!$D$62-I25670)+Assumptions!$P$63*MAX(0,Assumptions!$D$63-I25683)+Assumptions!$P$64*MAX(0,Assumptions!$D$64-I25696)+Assumptions!$P$65*MAX(0,Assumptions!$D$65-I25709)+Assumptions!$P$66*MAX(0,Assumptions!$D$66-I25722)</f>
        <v>574.5</v>
      </c>
      <c r="J25798" s="16" t="n">
        <f aca="false">MAX(0,J25782)+Assumptions!$P$57*MAX(0,Assumptions!$D$57-J25605)+Assumptions!$P$58*MAX(0,Assumptions!$D$58-J25618)+Assumptions!$P$59*MAX(0,Assumptions!$D$59-J25631)+Assumptions!$P$60*MAX(0,Assumptions!$D$60-J25644)+Assumptions!$P$61*MAX(0,Assumptions!$D$61-J25657)+Assumptions!$P$62*MAX(0,Assumptions!$D$62-J25670)+Assumptions!$P$63*MAX(0,Assumptions!$D$63-J25683)+Assumptions!$P$64*MAX(0,Assumptions!$D$64-J25696)+Assumptions!$P$65*MAX(0,Assumptions!$D$65-J25709)+Assumptions!$P$66*MAX(0,Assumptions!$D$66-J25722)</f>
        <v>574.5</v>
      </c>
      <c r="K25798" s="16" t="n">
        <f aca="false">MAX(0,K25782)+Assumptions!$P$57*MAX(0,Assumptions!$D$57-K25605)+Assumptions!$P$58*MAX(0,Assumptions!$D$58-K25618)+Assumptions!$P$59*MAX(0,Assumptions!$D$59-K25631)+Assumptions!$P$60*MAX(0,Assumptions!$D$60-K25644)+Assumptions!$P$61*MAX(0,Assumptions!$D$61-K25657)+Assumptions!$P$62*MAX(0,Assumptions!$D$62-K25670)+Assumptions!$P$63*MAX(0,Assumptions!$D$63-K25683)+Assumptions!$P$64*MAX(0,Assumptions!$D$64-K25696)+Assumptions!$P$65*MAX(0,Assumptions!$D$65-K25709)+Assumptions!$P$66*MAX(0,Assumptions!$D$66-K25722)</f>
        <v>574.5</v>
      </c>
    </row>
    <row r="25799" customFormat="false" ht="15" hidden="false" customHeight="false" outlineLevel="0" collapsed="false">
      <c r="A25799" s="3" t="s">
        <v>423</v>
      </c>
      <c r="G25799" s="22" t="n">
        <f aca="false">IF(G25789&gt;0,G25789/(G25789+MAX(0,G25568*CHOOSE($C$25551,Assumptions!$C$90,Assumptions!$C$109,Assumptions!$C$128)-G25791)),0)</f>
        <v>0.970545698728865</v>
      </c>
      <c r="H25799" s="22" t="n">
        <f aca="false">IF(H25789&gt;0,H25789/(H25789+MAX(0,H25568*CHOOSE($C$25551,Assumptions!$C$90,Assumptions!$C$109,Assumptions!$C$128)-H25791)),0)</f>
        <v>1</v>
      </c>
      <c r="I25799" s="22" t="n">
        <f aca="false">IF(I25789&gt;0,I25789/(I25789+MAX(0,I25568*CHOOSE($C$25551,Assumptions!$C$90,Assumptions!$C$109,Assumptions!$C$128)-I25791)),0)</f>
        <v>1</v>
      </c>
      <c r="J25799" s="22" t="n">
        <f aca="false">IF(J25789&gt;0,J25789/(J25789+MAX(0,J25568*CHOOSE($C$25551,Assumptions!$C$90,Assumptions!$C$109,Assumptions!$C$128)-J25791)),0)</f>
        <v>1</v>
      </c>
      <c r="K25799" s="22" t="n">
        <f aca="false">IF(K25789&gt;0,K25789/(K25789+MAX(0,K25568*CHOOSE($C$25551,Assumptions!$C$90,Assumptions!$C$109,Assumptions!$C$128)-K25791)),0)</f>
        <v>1</v>
      </c>
    </row>
    <row r="25800" customFormat="false" ht="15" hidden="false" customHeight="false" outlineLevel="0" collapsed="false">
      <c r="A25800" s="3" t="s">
        <v>424</v>
      </c>
      <c r="G25800" s="22" t="n">
        <f aca="false">IF(G25789&gt;0,MAX(0,G25782)/G25789,0)</f>
        <v>0.0478045863854697</v>
      </c>
      <c r="H25800" s="22" t="n">
        <f aca="false">IF(H25789&gt;0,MAX(0,H25782)/H25789,0)</f>
        <v>0</v>
      </c>
      <c r="I25800" s="22" t="n">
        <f aca="false">IF(I25789&gt;0,MAX(0,I25782)/I25789,0)</f>
        <v>0</v>
      </c>
      <c r="J25800" s="22" t="n">
        <f aca="false">IF(J25789&gt;0,MAX(0,J25782)/J25789,0)</f>
        <v>0</v>
      </c>
      <c r="K25800" s="22" t="n">
        <f aca="false">IF(K25789&gt;0,MAX(0,K25782)/K25789,0)</f>
        <v>0</v>
      </c>
    </row>
    <row r="25801" customFormat="false" ht="15" hidden="false" customHeight="false" outlineLevel="0" collapsed="false">
      <c r="A25801" s="3" t="s">
        <v>425</v>
      </c>
      <c r="G25801" s="16" t="n">
        <f aca="false">Assumptions!$C$31*(1-CHOOSE($C$25551,Assumptions!$C$93,Assumptions!$C$112,Assumptions!$C$131))</f>
        <v>3840.04556666667</v>
      </c>
      <c r="H25801" s="16" t="n">
        <f aca="false">Assumptions!$C$31*(1-CHOOSE($C$25551,Assumptions!$C$93,Assumptions!$C$112,Assumptions!$C$131))</f>
        <v>3840.04556666667</v>
      </c>
      <c r="I25801" s="16" t="n">
        <f aca="false">Assumptions!$C$31*(1-CHOOSE($C$25551,Assumptions!$C$93,Assumptions!$C$112,Assumptions!$C$131))</f>
        <v>3840.04556666667</v>
      </c>
      <c r="J25801" s="16" t="n">
        <f aca="false">Assumptions!$C$31*(1-CHOOSE($C$25551,Assumptions!$C$93,Assumptions!$C$112,Assumptions!$C$131))</f>
        <v>3840.04556666667</v>
      </c>
      <c r="K25801" s="16" t="n">
        <f aca="false">Assumptions!$C$31*(1-CHOOSE($C$25551,Assumptions!$C$93,Assumptions!$C$112,Assumptions!$C$131))</f>
        <v>3840.04556666667</v>
      </c>
    </row>
    <row r="25802" customFormat="false" ht="15" hidden="false" customHeight="false" outlineLevel="0" collapsed="false">
      <c r="A25802" s="24" t="s">
        <v>426</v>
      </c>
      <c r="B25802" s="25"/>
      <c r="C25802" s="25"/>
      <c r="D25802" s="25"/>
      <c r="E25802" s="25"/>
      <c r="F25802" s="25"/>
      <c r="G25802" s="25"/>
      <c r="H25802" s="25"/>
      <c r="I25802" s="25"/>
      <c r="J25802" s="25"/>
      <c r="K25802" s="25"/>
    </row>
    <row r="25803" customFormat="false" ht="15" hidden="false" customHeight="false" outlineLevel="0" collapsed="false">
      <c r="A25803" s="24" t="s">
        <v>427</v>
      </c>
      <c r="B25803" s="25"/>
      <c r="C25803" s="25"/>
      <c r="D25803" s="25"/>
      <c r="E25803" s="25"/>
      <c r="F25803" s="25"/>
      <c r="G25803" s="25"/>
      <c r="H25803" s="25"/>
      <c r="I25803" s="25"/>
      <c r="J25803" s="25"/>
      <c r="K25803" s="25"/>
    </row>
    <row r="25804" customFormat="false" ht="15" hidden="false" customHeight="false" outlineLevel="0" collapsed="false">
      <c r="A25804" s="3" t="s">
        <v>428</v>
      </c>
      <c r="G25804" s="22" t="n">
        <f aca="false">IF(G25801&gt;0,G25789/G25801,99)</f>
        <v>0.68278721032885</v>
      </c>
      <c r="H25804" s="22" t="n">
        <f aca="false">IF(H25801&gt;0,H25789/H25801,99)</f>
        <v>0.667860371278667</v>
      </c>
      <c r="I25804" s="22" t="n">
        <f aca="false">IF(I25801&gt;0,I25789/I25801,99)</f>
        <v>0.666818716972603</v>
      </c>
      <c r="J25804" s="22" t="n">
        <f aca="false">IF(J25801&gt;0,J25789/J25801,99)</f>
        <v>0.665777062666539</v>
      </c>
      <c r="K25804" s="22" t="n">
        <f aca="false">IF(K25801&gt;0,K25789/K25801,99)</f>
        <v>0.664735408360475</v>
      </c>
    </row>
    <row r="25805" customFormat="false" ht="15" hidden="false" customHeight="false" outlineLevel="0" collapsed="false">
      <c r="A25805" s="3" t="s">
        <v>429</v>
      </c>
      <c r="G25805" s="33" t="n">
        <f aca="false">Assumptions!$G$71</f>
        <v>0.6</v>
      </c>
      <c r="H25805" s="33" t="n">
        <f aca="false">Assumptions!$H$71</f>
        <v>0.6</v>
      </c>
      <c r="I25805" s="33" t="n">
        <f aca="false">Assumptions!$I$71</f>
        <v>0.6</v>
      </c>
      <c r="J25805" s="33" t="n">
        <f aca="false">Assumptions!$J$71</f>
        <v>0.6</v>
      </c>
      <c r="K25805" s="33" t="n">
        <f aca="false">Assumptions!$K$71</f>
        <v>0.6</v>
      </c>
    </row>
    <row r="25806" customFormat="false" ht="15" hidden="false" customHeight="false" outlineLevel="0" collapsed="false">
      <c r="A25806" s="3" t="s">
        <v>430</v>
      </c>
      <c r="G25806" s="22" t="n">
        <f aca="false">G25805-G25804</f>
        <v>-0.0827872103288497</v>
      </c>
      <c r="H25806" s="22" t="n">
        <f aca="false">H25805-H25804</f>
        <v>-0.0678603712786672</v>
      </c>
      <c r="I25806" s="22" t="n">
        <f aca="false">I25805-I25804</f>
        <v>-0.0668187169726033</v>
      </c>
      <c r="J25806" s="22" t="n">
        <f aca="false">J25805-J25804</f>
        <v>-0.0657770626665394</v>
      </c>
      <c r="K25806" s="22" t="n">
        <f aca="false">K25805-K25804</f>
        <v>-0.0647354083604754</v>
      </c>
    </row>
    <row r="25807" customFormat="false" ht="15" hidden="false" customHeight="false" outlineLevel="0" collapsed="false">
      <c r="A25807" s="3" t="s">
        <v>431</v>
      </c>
      <c r="G25807" s="22" t="n">
        <f aca="false">IF(G25805=0,0,G25806/ABS(G25805))</f>
        <v>-0.137978683881416</v>
      </c>
      <c r="H25807" s="22" t="n">
        <f aca="false">IF(H25805=0,0,H25806/ABS(H25805))</f>
        <v>-0.113100618797779</v>
      </c>
      <c r="I25807" s="22" t="n">
        <f aca="false">IF(I25805=0,0,I25806/ABS(I25805))</f>
        <v>-0.111364528287672</v>
      </c>
      <c r="J25807" s="22" t="n">
        <f aca="false">IF(J25805=0,0,J25806/ABS(J25805))</f>
        <v>-0.109628437777566</v>
      </c>
      <c r="K25807" s="22" t="n">
        <f aca="false">IF(K25805=0,0,K25806/ABS(K25805))</f>
        <v>-0.107892347267459</v>
      </c>
    </row>
    <row r="25808" customFormat="false" ht="15" hidden="false" customHeight="false" outlineLevel="0" collapsed="false">
      <c r="A25808" s="3" t="s">
        <v>432</v>
      </c>
      <c r="G25808" s="21" t="n">
        <f aca="false">IF(G25806&lt;0,1,0)</f>
        <v>1</v>
      </c>
      <c r="H25808" s="21" t="n">
        <f aca="false">IF(H25806&lt;0,1,0)</f>
        <v>1</v>
      </c>
      <c r="I25808" s="21" t="n">
        <f aca="false">IF(I25806&lt;0,1,0)</f>
        <v>1</v>
      </c>
      <c r="J25808" s="21" t="n">
        <f aca="false">IF(J25806&lt;0,1,0)</f>
        <v>1</v>
      </c>
      <c r="K25808" s="21" t="n">
        <f aca="false">IF(K25806&lt;0,1,0)</f>
        <v>1</v>
      </c>
    </row>
    <row r="25809" customFormat="false" ht="15" hidden="false" customHeight="false" outlineLevel="0" collapsed="false">
      <c r="A25809" s="3" t="s">
        <v>433</v>
      </c>
      <c r="C25809" s="21" t="n">
        <f aca="false">IFERROR(INDEX($G$25558:$K$25558,MATCH(1,$G$25808:$K$25808,0)),0)</f>
        <v>2027</v>
      </c>
    </row>
    <row r="25810" customFormat="false" ht="15" hidden="false" customHeight="false" outlineLevel="0" collapsed="false">
      <c r="A25810" s="3" t="s">
        <v>434</v>
      </c>
      <c r="C25810" s="22" t="n">
        <f aca="false">MIN($G$25807:$K$25807)</f>
        <v>-0.137978683881416</v>
      </c>
    </row>
    <row r="25811" customFormat="false" ht="15" hidden="false" customHeight="false" outlineLevel="0" collapsed="false">
      <c r="A25811" s="24" t="s">
        <v>435</v>
      </c>
      <c r="B25811" s="25"/>
      <c r="C25811" s="25"/>
      <c r="D25811" s="25"/>
      <c r="E25811" s="25"/>
      <c r="F25811" s="25"/>
      <c r="G25811" s="25"/>
      <c r="H25811" s="25"/>
      <c r="I25811" s="25"/>
      <c r="J25811" s="25"/>
      <c r="K25811" s="25"/>
    </row>
    <row r="25812" customFormat="false" ht="15" hidden="false" customHeight="false" outlineLevel="0" collapsed="false">
      <c r="A25812" s="3" t="s">
        <v>428</v>
      </c>
      <c r="G25812" s="32" t="n">
        <f aca="false">IF(G25572&gt;0,G25568/G25572,99)</f>
        <v>1.2659573270473</v>
      </c>
      <c r="H25812" s="32" t="n">
        <f aca="false">IF(H25572&gt;0,H25568/H25572,99)</f>
        <v>1.19838097109591</v>
      </c>
      <c r="I25812" s="32" t="n">
        <f aca="false">IF(I25572&gt;0,I25568/I25572,99)</f>
        <v>1.22287231753646</v>
      </c>
      <c r="J25812" s="32" t="n">
        <f aca="false">IF(J25572&gt;0,J25568/J25572,99)</f>
        <v>1.25054061042906</v>
      </c>
      <c r="K25812" s="32" t="n">
        <f aca="false">IF(K25572&gt;0,K25568/K25572,99)</f>
        <v>1.27870777604752</v>
      </c>
    </row>
    <row r="25813" customFormat="false" ht="15" hidden="false" customHeight="false" outlineLevel="0" collapsed="false">
      <c r="A25813" s="3" t="s">
        <v>429</v>
      </c>
      <c r="G25813" s="34" t="n">
        <f aca="false">Assumptions!$G$72</f>
        <v>1.5</v>
      </c>
      <c r="H25813" s="34" t="n">
        <f aca="false">Assumptions!$H$72</f>
        <v>1.5</v>
      </c>
      <c r="I25813" s="34" t="n">
        <f aca="false">Assumptions!$I$72</f>
        <v>1.5</v>
      </c>
      <c r="J25813" s="34" t="n">
        <f aca="false">Assumptions!$J$72</f>
        <v>1.5</v>
      </c>
      <c r="K25813" s="34" t="n">
        <f aca="false">Assumptions!$K$72</f>
        <v>1.5</v>
      </c>
    </row>
    <row r="25814" customFormat="false" ht="15" hidden="false" customHeight="false" outlineLevel="0" collapsed="false">
      <c r="A25814" s="3" t="s">
        <v>430</v>
      </c>
      <c r="G25814" s="32" t="n">
        <f aca="false">G25812-G25813</f>
        <v>-0.234042672952699</v>
      </c>
      <c r="H25814" s="32" t="n">
        <f aca="false">H25812-H25813</f>
        <v>-0.301619028904089</v>
      </c>
      <c r="I25814" s="32" t="n">
        <f aca="false">I25812-I25813</f>
        <v>-0.27712768246354</v>
      </c>
      <c r="J25814" s="32" t="n">
        <f aca="false">J25812-J25813</f>
        <v>-0.249459389570939</v>
      </c>
      <c r="K25814" s="32" t="n">
        <f aca="false">K25812-K25813</f>
        <v>-0.221292223952482</v>
      </c>
    </row>
    <row r="25815" customFormat="false" ht="15" hidden="false" customHeight="false" outlineLevel="0" collapsed="false">
      <c r="A25815" s="3" t="s">
        <v>431</v>
      </c>
      <c r="G25815" s="22" t="n">
        <f aca="false">IF(G25813=0,0,G25814/ABS(G25813))</f>
        <v>-0.156028448635133</v>
      </c>
      <c r="H25815" s="22" t="n">
        <f aca="false">IF(H25813=0,0,H25814/ABS(H25813))</f>
        <v>-0.201079352602726</v>
      </c>
      <c r="I25815" s="22" t="n">
        <f aca="false">IF(I25813=0,0,I25814/ABS(I25813))</f>
        <v>-0.184751788309027</v>
      </c>
      <c r="J25815" s="22" t="n">
        <f aca="false">IF(J25813=0,0,J25814/ABS(J25813))</f>
        <v>-0.166306259713959</v>
      </c>
      <c r="K25815" s="22" t="n">
        <f aca="false">IF(K25813=0,0,K25814/ABS(K25813))</f>
        <v>-0.147528149301654</v>
      </c>
    </row>
    <row r="25816" customFormat="false" ht="15" hidden="false" customHeight="false" outlineLevel="0" collapsed="false">
      <c r="A25816" s="3" t="s">
        <v>432</v>
      </c>
      <c r="G25816" s="21" t="n">
        <f aca="false">IF(G25814&lt;0,1,0)</f>
        <v>1</v>
      </c>
      <c r="H25816" s="21" t="n">
        <f aca="false">IF(H25814&lt;0,1,0)</f>
        <v>1</v>
      </c>
      <c r="I25816" s="21" t="n">
        <f aca="false">IF(I25814&lt;0,1,0)</f>
        <v>1</v>
      </c>
      <c r="J25816" s="21" t="n">
        <f aca="false">IF(J25814&lt;0,1,0)</f>
        <v>1</v>
      </c>
      <c r="K25816" s="21" t="n">
        <f aca="false">IF(K25814&lt;0,1,0)</f>
        <v>1</v>
      </c>
    </row>
    <row r="25817" customFormat="false" ht="15" hidden="false" customHeight="false" outlineLevel="0" collapsed="false">
      <c r="A25817" s="3" t="s">
        <v>433</v>
      </c>
      <c r="C25817" s="21" t="n">
        <f aca="false">IFERROR(INDEX($G$25558:$K$25558,MATCH(1,$G$25816:$K$25816,0)),0)</f>
        <v>2027</v>
      </c>
    </row>
    <row r="25818" customFormat="false" ht="15" hidden="false" customHeight="false" outlineLevel="0" collapsed="false">
      <c r="A25818" s="3" t="s">
        <v>434</v>
      </c>
      <c r="C25818" s="22" t="n">
        <f aca="false">MIN($G$25815:$K$25815)</f>
        <v>-0.201079352602726</v>
      </c>
    </row>
    <row r="25819" customFormat="false" ht="15" hidden="false" customHeight="false" outlineLevel="0" collapsed="false">
      <c r="A25819" s="24" t="s">
        <v>436</v>
      </c>
      <c r="B25819" s="25"/>
      <c r="C25819" s="25"/>
      <c r="D25819" s="25"/>
      <c r="E25819" s="25"/>
      <c r="F25819" s="25"/>
      <c r="G25819" s="25"/>
      <c r="H25819" s="25"/>
      <c r="I25819" s="25"/>
      <c r="J25819" s="25"/>
      <c r="K25819" s="25"/>
    </row>
    <row r="25820" customFormat="false" ht="15" hidden="false" customHeight="false" outlineLevel="0" collapsed="false">
      <c r="A25820" s="3" t="s">
        <v>428</v>
      </c>
      <c r="G25820" s="22" t="n">
        <f aca="false">IF(G25801&gt;0,G25790/G25801,99)</f>
        <v>0.141488946046968</v>
      </c>
      <c r="H25820" s="22" t="n">
        <f aca="false">IF(H25801&gt;0,H25790/H25801,99)</f>
        <v>0.140447291740904</v>
      </c>
      <c r="I25820" s="22" t="n">
        <f aca="false">IF(I25801&gt;0,I25790/I25801,99)</f>
        <v>0.139405637434841</v>
      </c>
      <c r="J25820" s="22" t="n">
        <f aca="false">IF(J25801&gt;0,J25790/J25801,99)</f>
        <v>0.138363983128777</v>
      </c>
      <c r="K25820" s="22" t="n">
        <f aca="false">IF(K25801&gt;0,K25790/K25801,99)</f>
        <v>0.137322328822713</v>
      </c>
    </row>
    <row r="25821" customFormat="false" ht="15" hidden="false" customHeight="false" outlineLevel="0" collapsed="false">
      <c r="A25821" s="3" t="s">
        <v>429</v>
      </c>
      <c r="G25821" s="33" t="n">
        <f aca="false">Assumptions!$G$73</f>
        <v>0.4</v>
      </c>
      <c r="H25821" s="33" t="n">
        <f aca="false">Assumptions!$H$73</f>
        <v>0.4</v>
      </c>
      <c r="I25821" s="33" t="n">
        <f aca="false">Assumptions!$I$73</f>
        <v>0.4</v>
      </c>
      <c r="J25821" s="33" t="n">
        <f aca="false">Assumptions!$J$73</f>
        <v>0.4</v>
      </c>
      <c r="K25821" s="33" t="n">
        <f aca="false">Assumptions!$K$73</f>
        <v>0.4</v>
      </c>
    </row>
    <row r="25822" customFormat="false" ht="15" hidden="false" customHeight="false" outlineLevel="0" collapsed="false">
      <c r="A25822" s="3" t="s">
        <v>430</v>
      </c>
      <c r="G25822" s="22" t="n">
        <f aca="false">G25821-G25820</f>
        <v>0.258511053953032</v>
      </c>
      <c r="H25822" s="22" t="n">
        <f aca="false">H25821-H25820</f>
        <v>0.259552708259096</v>
      </c>
      <c r="I25822" s="22" t="n">
        <f aca="false">I25821-I25820</f>
        <v>0.26059436256516</v>
      </c>
      <c r="J25822" s="22" t="n">
        <f aca="false">J25821-J25820</f>
        <v>0.261636016871223</v>
      </c>
      <c r="K25822" s="22" t="n">
        <f aca="false">K25821-K25820</f>
        <v>0.262677671177287</v>
      </c>
    </row>
    <row r="25823" customFormat="false" ht="15" hidden="false" customHeight="false" outlineLevel="0" collapsed="false">
      <c r="A25823" s="3" t="s">
        <v>431</v>
      </c>
      <c r="G25823" s="22" t="n">
        <f aca="false">IF(G25821=0,0,G25822/ABS(G25821))</f>
        <v>0.646277634882579</v>
      </c>
      <c r="H25823" s="22" t="n">
        <f aca="false">IF(H25821=0,0,H25822/ABS(H25821))</f>
        <v>0.648881770647739</v>
      </c>
      <c r="I25823" s="22" t="n">
        <f aca="false">IF(I25821=0,0,I25822/ABS(I25821))</f>
        <v>0.651485906412899</v>
      </c>
      <c r="J25823" s="22" t="n">
        <f aca="false">IF(J25821=0,0,J25822/ABS(J25821))</f>
        <v>0.654090042178059</v>
      </c>
      <c r="K25823" s="22" t="n">
        <f aca="false">IF(K25821=0,0,K25822/ABS(K25821))</f>
        <v>0.656694177943218</v>
      </c>
    </row>
    <row r="25824" customFormat="false" ht="15" hidden="false" customHeight="false" outlineLevel="0" collapsed="false">
      <c r="A25824" s="3" t="s">
        <v>432</v>
      </c>
      <c r="G25824" s="21" t="n">
        <f aca="false">IF(G25822&lt;0,1,0)</f>
        <v>0</v>
      </c>
      <c r="H25824" s="21" t="n">
        <f aca="false">IF(H25822&lt;0,1,0)</f>
        <v>0</v>
      </c>
      <c r="I25824" s="21" t="n">
        <f aca="false">IF(I25822&lt;0,1,0)</f>
        <v>0</v>
      </c>
      <c r="J25824" s="21" t="n">
        <f aca="false">IF(J25822&lt;0,1,0)</f>
        <v>0</v>
      </c>
      <c r="K25824" s="21" t="n">
        <f aca="false">IF(K25822&lt;0,1,0)</f>
        <v>0</v>
      </c>
    </row>
    <row r="25825" customFormat="false" ht="15" hidden="false" customHeight="false" outlineLevel="0" collapsed="false">
      <c r="A25825" s="3" t="s">
        <v>433</v>
      </c>
      <c r="C25825" s="21" t="n">
        <f aca="false">IFERROR(INDEX($G$25558:$K$25558,MATCH(1,$G$25824:$K$25824,0)),0)</f>
        <v>0</v>
      </c>
    </row>
    <row r="25826" customFormat="false" ht="15" hidden="false" customHeight="false" outlineLevel="0" collapsed="false">
      <c r="A25826" s="3" t="s">
        <v>434</v>
      </c>
      <c r="C25826" s="22" t="n">
        <f aca="false">MIN($G$25823:$K$25823)</f>
        <v>0.646277634882579</v>
      </c>
    </row>
    <row r="25827" customFormat="false" ht="15" hidden="false" customHeight="false" outlineLevel="0" collapsed="false">
      <c r="A25827" s="24" t="s">
        <v>437</v>
      </c>
      <c r="B25827" s="25"/>
      <c r="C25827" s="25"/>
      <c r="D25827" s="25"/>
      <c r="E25827" s="25"/>
      <c r="F25827" s="25"/>
      <c r="G25827" s="25"/>
      <c r="H25827" s="25"/>
      <c r="I25827" s="25"/>
      <c r="J25827" s="25"/>
      <c r="K25827" s="25"/>
    </row>
    <row r="25828" customFormat="false" ht="15" hidden="false" customHeight="false" outlineLevel="0" collapsed="false">
      <c r="A25828" s="3" t="s">
        <v>428</v>
      </c>
      <c r="G25828" s="16" t="n">
        <f aca="false">G25798</f>
        <v>699.8404704</v>
      </c>
      <c r="H25828" s="16" t="n">
        <f aca="false">H25798</f>
        <v>574.5</v>
      </c>
      <c r="I25828" s="16" t="n">
        <f aca="false">I25798</f>
        <v>574.5</v>
      </c>
      <c r="J25828" s="16" t="n">
        <f aca="false">J25798</f>
        <v>574.5</v>
      </c>
      <c r="K25828" s="16" t="n">
        <f aca="false">K25798</f>
        <v>574.5</v>
      </c>
    </row>
    <row r="25829" customFormat="false" ht="15" hidden="false" customHeight="false" outlineLevel="0" collapsed="false">
      <c r="A25829" s="3" t="s">
        <v>429</v>
      </c>
      <c r="G25829" s="29" t="n">
        <f aca="false">Assumptions!$G$74</f>
        <v>100</v>
      </c>
      <c r="H25829" s="29" t="n">
        <f aca="false">Assumptions!$H$74</f>
        <v>100</v>
      </c>
      <c r="I25829" s="29" t="n">
        <f aca="false">Assumptions!$I$74</f>
        <v>100</v>
      </c>
      <c r="J25829" s="29" t="n">
        <f aca="false">Assumptions!$J$74</f>
        <v>100</v>
      </c>
      <c r="K25829" s="29" t="n">
        <f aca="false">Assumptions!$K$74</f>
        <v>100</v>
      </c>
    </row>
    <row r="25830" customFormat="false" ht="15" hidden="false" customHeight="false" outlineLevel="0" collapsed="false">
      <c r="A25830" s="3" t="s">
        <v>430</v>
      </c>
      <c r="G25830" s="16" t="n">
        <f aca="false">G25828-G25829</f>
        <v>599.8404704</v>
      </c>
      <c r="H25830" s="16" t="n">
        <f aca="false">H25828-H25829</f>
        <v>474.5</v>
      </c>
      <c r="I25830" s="16" t="n">
        <f aca="false">I25828-I25829</f>
        <v>474.5</v>
      </c>
      <c r="J25830" s="16" t="n">
        <f aca="false">J25828-J25829</f>
        <v>474.5</v>
      </c>
      <c r="K25830" s="16" t="n">
        <f aca="false">K25828-K25829</f>
        <v>474.5</v>
      </c>
    </row>
    <row r="25831" customFormat="false" ht="15" hidden="false" customHeight="false" outlineLevel="0" collapsed="false">
      <c r="A25831" s="3" t="s">
        <v>431</v>
      </c>
      <c r="G25831" s="22" t="n">
        <f aca="false">IF(G25829=0,0,G25830/ABS(G25829))</f>
        <v>5.998404704</v>
      </c>
      <c r="H25831" s="22" t="n">
        <f aca="false">IF(H25829=0,0,H25830/ABS(H25829))</f>
        <v>4.745</v>
      </c>
      <c r="I25831" s="22" t="n">
        <f aca="false">IF(I25829=0,0,I25830/ABS(I25829))</f>
        <v>4.745</v>
      </c>
      <c r="J25831" s="22" t="n">
        <f aca="false">IF(J25829=0,0,J25830/ABS(J25829))</f>
        <v>4.745</v>
      </c>
      <c r="K25831" s="22" t="n">
        <f aca="false">IF(K25829=0,0,K25830/ABS(K25829))</f>
        <v>4.745</v>
      </c>
    </row>
    <row r="25832" customFormat="false" ht="15" hidden="false" customHeight="false" outlineLevel="0" collapsed="false">
      <c r="A25832" s="3" t="s">
        <v>432</v>
      </c>
      <c r="G25832" s="21" t="n">
        <f aca="false">IF(G25830&lt;0,1,0)</f>
        <v>0</v>
      </c>
      <c r="H25832" s="21" t="n">
        <f aca="false">IF(H25830&lt;0,1,0)</f>
        <v>0</v>
      </c>
      <c r="I25832" s="21" t="n">
        <f aca="false">IF(I25830&lt;0,1,0)</f>
        <v>0</v>
      </c>
      <c r="J25832" s="21" t="n">
        <f aca="false">IF(J25830&lt;0,1,0)</f>
        <v>0</v>
      </c>
      <c r="K25832" s="21" t="n">
        <f aca="false">IF(K25830&lt;0,1,0)</f>
        <v>0</v>
      </c>
    </row>
    <row r="25833" customFormat="false" ht="15" hidden="false" customHeight="false" outlineLevel="0" collapsed="false">
      <c r="A25833" s="3" t="s">
        <v>433</v>
      </c>
      <c r="C25833" s="21" t="n">
        <f aca="false">IFERROR(INDEX($G$25558:$K$25558,MATCH(1,$G$25832:$K$25832,0)),0)</f>
        <v>0</v>
      </c>
    </row>
    <row r="25834" customFormat="false" ht="15" hidden="false" customHeight="false" outlineLevel="0" collapsed="false">
      <c r="A25834" s="3" t="s">
        <v>434</v>
      </c>
      <c r="C25834" s="22" t="n">
        <f aca="false">MIN($G$25831:$K$25831)</f>
        <v>4.745</v>
      </c>
    </row>
    <row r="25835" customFormat="false" ht="15" hidden="false" customHeight="false" outlineLevel="0" collapsed="false">
      <c r="A25835" s="24" t="s">
        <v>438</v>
      </c>
      <c r="B25835" s="25"/>
      <c r="C25835" s="25"/>
      <c r="D25835" s="25"/>
      <c r="E25835" s="25"/>
      <c r="F25835" s="25"/>
      <c r="G25835" s="25"/>
      <c r="H25835" s="25"/>
      <c r="I25835" s="25"/>
      <c r="J25835" s="25"/>
      <c r="K25835" s="25"/>
    </row>
    <row r="25836" customFormat="false" ht="15" hidden="false" customHeight="false" outlineLevel="0" collapsed="false">
      <c r="A25836" s="3" t="s">
        <v>428</v>
      </c>
      <c r="G25836" s="32" t="n">
        <f aca="false">IF(G25568&gt;0,G25791/G25568,99)</f>
        <v>10.6602389503493</v>
      </c>
      <c r="H25836" s="32" t="n">
        <f aca="false">IF(H25568&gt;0,H25791/H25568,99)</f>
        <v>11.6385180049669</v>
      </c>
      <c r="I25836" s="32" t="n">
        <f aca="false">IF(I25568&gt;0,I25791/I25568,99)</f>
        <v>11.9304916708517</v>
      </c>
      <c r="J25836" s="32" t="n">
        <f aca="false">IF(J25568&gt;0,J25791/J25568,99)</f>
        <v>11.9608755376875</v>
      </c>
      <c r="K25836" s="32" t="n">
        <f aca="false">IF(K25568&gt;0,K25791/K25568,99)</f>
        <v>11.9695162825674</v>
      </c>
    </row>
    <row r="25837" customFormat="false" ht="15" hidden="false" customHeight="false" outlineLevel="0" collapsed="false">
      <c r="A25837" s="3" t="s">
        <v>429</v>
      </c>
      <c r="G25837" s="34" t="n">
        <f aca="false">Assumptions!$G$75</f>
        <v>10.5</v>
      </c>
      <c r="H25837" s="34" t="n">
        <f aca="false">Assumptions!$H$75</f>
        <v>10.5</v>
      </c>
      <c r="I25837" s="34" t="n">
        <f aca="false">Assumptions!$I$75</f>
        <v>10</v>
      </c>
      <c r="J25837" s="34" t="n">
        <f aca="false">Assumptions!$J$75</f>
        <v>10</v>
      </c>
      <c r="K25837" s="34" t="n">
        <f aca="false">Assumptions!$K$75</f>
        <v>9.5</v>
      </c>
    </row>
    <row r="25838" customFormat="false" ht="15" hidden="false" customHeight="false" outlineLevel="0" collapsed="false">
      <c r="A25838" s="3" t="s">
        <v>430</v>
      </c>
      <c r="G25838" s="32" t="n">
        <f aca="false">G25837-G25836</f>
        <v>-0.160238950349315</v>
      </c>
      <c r="H25838" s="32" t="n">
        <f aca="false">H25837-H25836</f>
        <v>-1.13851800496689</v>
      </c>
      <c r="I25838" s="32" t="n">
        <f aca="false">I25837-I25836</f>
        <v>-1.93049167085174</v>
      </c>
      <c r="J25838" s="32" t="n">
        <f aca="false">J25837-J25836</f>
        <v>-1.96087553768749</v>
      </c>
      <c r="K25838" s="32" t="n">
        <f aca="false">K25837-K25836</f>
        <v>-2.46951628256742</v>
      </c>
    </row>
    <row r="25839" customFormat="false" ht="15" hidden="false" customHeight="false" outlineLevel="0" collapsed="false">
      <c r="A25839" s="3" t="s">
        <v>431</v>
      </c>
      <c r="G25839" s="22" t="n">
        <f aca="false">IF(G25837=0,0,G25838/ABS(G25837))</f>
        <v>-0.0152608524142205</v>
      </c>
      <c r="H25839" s="22" t="n">
        <f aca="false">IF(H25837=0,0,H25838/ABS(H25837))</f>
        <v>-0.108430286187323</v>
      </c>
      <c r="I25839" s="22" t="n">
        <f aca="false">IF(I25837=0,0,I25838/ABS(I25837))</f>
        <v>-0.193049167085174</v>
      </c>
      <c r="J25839" s="22" t="n">
        <f aca="false">IF(J25837=0,0,J25838/ABS(J25837))</f>
        <v>-0.196087553768749</v>
      </c>
      <c r="K25839" s="22" t="n">
        <f aca="false">IF(K25837=0,0,K25838/ABS(K25837))</f>
        <v>-0.259949082375518</v>
      </c>
    </row>
    <row r="25840" customFormat="false" ht="15" hidden="false" customHeight="false" outlineLevel="0" collapsed="false">
      <c r="A25840" s="3" t="s">
        <v>432</v>
      </c>
      <c r="G25840" s="21" t="n">
        <f aca="false">IF(G25838&lt;0,1,0)</f>
        <v>1</v>
      </c>
      <c r="H25840" s="21" t="n">
        <f aca="false">IF(H25838&lt;0,1,0)</f>
        <v>1</v>
      </c>
      <c r="I25840" s="21" t="n">
        <f aca="false">IF(I25838&lt;0,1,0)</f>
        <v>1</v>
      </c>
      <c r="J25840" s="21" t="n">
        <f aca="false">IF(J25838&lt;0,1,0)</f>
        <v>1</v>
      </c>
      <c r="K25840" s="21" t="n">
        <f aca="false">IF(K25838&lt;0,1,0)</f>
        <v>1</v>
      </c>
    </row>
    <row r="25841" customFormat="false" ht="15" hidden="false" customHeight="false" outlineLevel="0" collapsed="false">
      <c r="A25841" s="3" t="s">
        <v>433</v>
      </c>
      <c r="C25841" s="21" t="n">
        <f aca="false">IFERROR(INDEX($G$25558:$K$25558,MATCH(1,$G$25840:$K$25840,0)),0)</f>
        <v>2027</v>
      </c>
    </row>
    <row r="25842" customFormat="false" ht="15" hidden="false" customHeight="false" outlineLevel="0" collapsed="false">
      <c r="A25842" s="3" t="s">
        <v>434</v>
      </c>
      <c r="C25842" s="22" t="n">
        <f aca="false">MIN($G$25839:$K$25839)</f>
        <v>-0.259949082375518</v>
      </c>
    </row>
    <row r="25843" customFormat="false" ht="15" hidden="false" customHeight="false" outlineLevel="0" collapsed="false">
      <c r="A25843" s="3" t="s">
        <v>439</v>
      </c>
      <c r="G25843" s="21" t="n">
        <f aca="false">G25808+G25816+G25824+G25832+G25840</f>
        <v>3</v>
      </c>
      <c r="H25843" s="21" t="n">
        <f aca="false">H25808+H25816+H25824+H25832+H25840</f>
        <v>3</v>
      </c>
      <c r="I25843" s="21" t="n">
        <f aca="false">I25808+I25816+I25824+I25832+I25840</f>
        <v>3</v>
      </c>
      <c r="J25843" s="21" t="n">
        <f aca="false">J25808+J25816+J25824+J25832+J25840</f>
        <v>3</v>
      </c>
      <c r="K25843" s="21" t="n">
        <f aca="false">K25808+K25816+K25824+K25832+K25840</f>
        <v>3</v>
      </c>
    </row>
    <row r="25844" customFormat="false" ht="15" hidden="false" customHeight="false" outlineLevel="0" collapsed="false">
      <c r="A25844" s="3" t="s">
        <v>440</v>
      </c>
      <c r="C25844" s="21" t="n">
        <f aca="false">SUM($G$25843:$K$25843)</f>
        <v>15</v>
      </c>
    </row>
    <row r="25845" customFormat="false" ht="15" hidden="false" customHeight="false" outlineLevel="0" collapsed="false">
      <c r="A25845" s="3" t="s">
        <v>441</v>
      </c>
      <c r="C25845" s="22" t="n">
        <f aca="false">MIN(C25810,C25818,C25826,C25834,C25842)</f>
        <v>-0.259949082375518</v>
      </c>
    </row>
    <row r="25847" customFormat="false" ht="15" hidden="false" customHeight="false" outlineLevel="0" collapsed="false">
      <c r="A25847" s="24" t="s">
        <v>543</v>
      </c>
      <c r="B25847" s="25"/>
      <c r="C25847" s="25"/>
      <c r="D25847" s="25"/>
      <c r="E25847" s="25"/>
      <c r="F25847" s="25"/>
      <c r="G25847" s="25"/>
      <c r="H25847" s="25"/>
      <c r="I25847" s="25"/>
      <c r="J25847" s="25"/>
      <c r="K25847" s="25"/>
    </row>
    <row r="25848" customFormat="false" ht="15" hidden="false" customHeight="false" outlineLevel="0" collapsed="false">
      <c r="A25848" s="3" t="s">
        <v>544</v>
      </c>
      <c r="G25848" s="21" t="n">
        <f aca="false">IF($C$25849=1,G25785,IF(G25568=MIN($G$25568:$K$25568),1,0))</f>
        <v>0</v>
      </c>
      <c r="H25848" s="21" t="n">
        <f aca="false">IF($C$25849=1,H25785,IF(AND(H25568=MIN($G$25568:$K$25568),SUM($G$25848:G25848)=0),1,0))</f>
        <v>1</v>
      </c>
      <c r="I25848" s="21" t="n">
        <f aca="false">IF($C$25849=1,I25785,IF(AND(I25568=MIN($G$25568:$K$25568),SUM($G$25848:H25848)=0),1,0))</f>
        <v>0</v>
      </c>
      <c r="J25848" s="21" t="n">
        <f aca="false">IF($C$25849=1,J25785,IF(AND(J25568=MIN($G$25568:$K$25568),SUM($G$25848:I25848)=0),1,0))</f>
        <v>0</v>
      </c>
      <c r="K25848" s="21" t="n">
        <f aca="false">IF($C$25849=1,K25785,IF(AND(K25568=MIN($G$25568:$K$25568),SUM($G$25848:J25848)=0),1,0))</f>
        <v>0</v>
      </c>
    </row>
    <row r="25849" customFormat="false" ht="15" hidden="false" customHeight="false" outlineLevel="0" collapsed="false">
      <c r="A25849" s="3" t="s">
        <v>545</v>
      </c>
      <c r="C25849" s="21" t="n">
        <f aca="false">IF(SUM($G$25785:$K$25785)&gt;0,1,0)</f>
        <v>1</v>
      </c>
    </row>
    <row r="25850" customFormat="false" ht="15" hidden="false" customHeight="false" outlineLevel="0" collapsed="false">
      <c r="A25850" s="3" t="s">
        <v>546</v>
      </c>
      <c r="C25850" s="21" t="n">
        <f aca="false">SUMPRODUCT($G$25848:$K$25848,$G$25558:$K$25558)</f>
        <v>2028</v>
      </c>
    </row>
    <row r="25851" customFormat="false" ht="15" hidden="false" customHeight="false" outlineLevel="0" collapsed="false">
      <c r="A25851" s="3" t="s">
        <v>547</v>
      </c>
      <c r="C25851" s="16" t="n">
        <f aca="false">SUMPRODUCT($G$25848:$K$25848,$G$25568:$K$25568)</f>
        <v>220.355740893</v>
      </c>
    </row>
    <row r="25852" customFormat="false" ht="15" hidden="false" customHeight="false" outlineLevel="0" collapsed="false">
      <c r="A25852" s="3" t="s">
        <v>548</v>
      </c>
      <c r="C25852" s="16" t="n">
        <f aca="false">MAX(0,SUMPRODUCT($G$25848:$K$25848,$G$25782:$K$25782))</f>
        <v>0</v>
      </c>
    </row>
    <row r="25853" customFormat="false" ht="15" hidden="false" customHeight="false" outlineLevel="0" collapsed="false">
      <c r="A25853" s="3" t="s">
        <v>549</v>
      </c>
      <c r="C25853" s="16" t="n">
        <f aca="false">(CHOOSE($C$25551,Assumptions!$C$92,Assumptions!$C$111,Assumptions!$C$130)+$C$25555)*C25851</f>
        <v>1983.201668037</v>
      </c>
    </row>
    <row r="25854" customFormat="false" ht="15" hidden="false" customHeight="false" outlineLevel="0" collapsed="false">
      <c r="A25854" s="3" t="s">
        <v>550</v>
      </c>
      <c r="C25854" s="16" t="n">
        <f aca="false">Assumptions!$C$31*(1-CHOOSE($C$25551,Assumptions!$C$93,Assumptions!$C$112,Assumptions!$C$131))*CHOOSE($C$25551,Assumptions!$C$94,Assumptions!$C$113,Assumptions!$C$132)</f>
        <v>3264.03873166667</v>
      </c>
    </row>
    <row r="25855" customFormat="false" ht="15" hidden="false" customHeight="false" outlineLevel="0" collapsed="false">
      <c r="A25855" s="3" t="s">
        <v>551</v>
      </c>
      <c r="C25855" s="16" t="n">
        <f aca="false">MAX(C25853,C25854)+C25852</f>
        <v>3264.03873166667</v>
      </c>
    </row>
    <row r="25856" customFormat="false" ht="15" hidden="false" customHeight="false" outlineLevel="0" collapsed="false">
      <c r="A25856" s="2" t="s">
        <v>552</v>
      </c>
      <c r="C25856" s="17" t="n">
        <f aca="false">IF(ISNUMBER(Assumptions!$C$14),Assumptions!$C$14,C25855)</f>
        <v>3264.03873166667</v>
      </c>
    </row>
    <row r="25857" customFormat="false" ht="15" hidden="false" customHeight="false" outlineLevel="0" collapsed="false">
      <c r="A25857" s="3" t="s">
        <v>553</v>
      </c>
      <c r="C25857" s="16" t="n">
        <f aca="false">C25856*Assumptions!$C$15</f>
        <v>130.561549266667</v>
      </c>
    </row>
    <row r="25858" customFormat="false" ht="15" hidden="false" customHeight="false" outlineLevel="0" collapsed="false">
      <c r="A25858" s="2" t="s">
        <v>554</v>
      </c>
      <c r="C25858" s="17" t="n">
        <f aca="false">C25856-C25857</f>
        <v>3133.4771824</v>
      </c>
    </row>
    <row r="25859" customFormat="false" ht="15" hidden="false" customHeight="false" outlineLevel="0" collapsed="false">
      <c r="A25859" s="24" t="s">
        <v>555</v>
      </c>
      <c r="B25859" s="25"/>
      <c r="C25859" s="25"/>
      <c r="D25859" s="25"/>
      <c r="E25859" s="25"/>
      <c r="F25859" s="25"/>
      <c r="G25859" s="25"/>
      <c r="H25859" s="25"/>
      <c r="I25859" s="25"/>
      <c r="J25859" s="25"/>
      <c r="K25859" s="25"/>
    </row>
    <row r="25860" customFormat="false" ht="15" hidden="false" customHeight="false" outlineLevel="0" collapsed="false">
      <c r="A25860" s="3" t="s">
        <v>556</v>
      </c>
      <c r="C25860" s="16" t="n">
        <f aca="false">SUMPRODUCT($G$25848:$K$25848,$G$25605:$K$25605)*(1+SUMPRODUCT($G$25848:$K$25848,$G$25597:$K$25597)*Assumptions!$C$16/12)</f>
        <v>401.8</v>
      </c>
    </row>
    <row r="25861" customFormat="false" ht="15" hidden="false" customHeight="false" outlineLevel="0" collapsed="false">
      <c r="A25861" s="3" t="s">
        <v>557</v>
      </c>
      <c r="C25861" s="16" t="n">
        <f aca="false">SUMPRODUCT($G$25848:$K$25848,$G$25618:$K$25618)*(1+SUMPRODUCT($G$25848:$K$25848,$G$25610:$K$25610)*Assumptions!$C$16/12)</f>
        <v>91.30725</v>
      </c>
    </row>
    <row r="25862" customFormat="false" ht="15" hidden="false" customHeight="false" outlineLevel="0" collapsed="false">
      <c r="A25862" s="3" t="s">
        <v>558</v>
      </c>
      <c r="C25862" s="16" t="n">
        <f aca="false">SUMPRODUCT($G$25848:$K$25848,$G$25631:$K$25631)*(1+SUMPRODUCT($G$25848:$K$25848,$G$25623:$K$25623)*Assumptions!$C$16/12)</f>
        <v>58.3715961</v>
      </c>
    </row>
    <row r="25863" customFormat="false" ht="15" hidden="false" customHeight="false" outlineLevel="0" collapsed="false">
      <c r="A25863" s="3" t="s">
        <v>559</v>
      </c>
      <c r="C25863" s="16" t="n">
        <f aca="false">SUMPRODUCT($G$25848:$K$25848,$G$25644:$K$25644)*(1+SUMPRODUCT($G$25848:$K$25848,$G$25636:$K$25636)*Assumptions!$C$16/12)</f>
        <v>0</v>
      </c>
    </row>
    <row r="25864" customFormat="false" ht="15" hidden="false" customHeight="false" outlineLevel="0" collapsed="false">
      <c r="A25864" s="3" t="s">
        <v>560</v>
      </c>
      <c r="C25864" s="16" t="n">
        <f aca="false">SUMPRODUCT($G$25848:$K$25848,$G$25657:$K$25657)*(1+SUMPRODUCT($G$25848:$K$25848,$G$25649:$K$25649)*Assumptions!$C$16/12)</f>
        <v>400.597475427575</v>
      </c>
    </row>
    <row r="25865" customFormat="false" ht="15" hidden="false" customHeight="false" outlineLevel="0" collapsed="false">
      <c r="A25865" s="3" t="s">
        <v>561</v>
      </c>
      <c r="C25865" s="16" t="n">
        <f aca="false">SUMPRODUCT($G$25848:$K$25848,$G$25670:$K$25670)*(1+SUMPRODUCT($G$25848:$K$25848,$G$25662:$K$25662)*Assumptions!$C$16/12)</f>
        <v>357.2625</v>
      </c>
    </row>
    <row r="25866" customFormat="false" ht="15" hidden="false" customHeight="false" outlineLevel="0" collapsed="false">
      <c r="A25866" s="3" t="s">
        <v>562</v>
      </c>
      <c r="C25866" s="16" t="n">
        <f aca="false">SUMPRODUCT($G$25848:$K$25848,$G$25683:$K$25683)*(1+SUMPRODUCT($G$25848:$K$25848,$G$25675:$K$25675)*Assumptions!$C$16/12)</f>
        <v>562.203125</v>
      </c>
    </row>
    <row r="25867" customFormat="false" ht="15" hidden="false" customHeight="false" outlineLevel="0" collapsed="false">
      <c r="A25867" s="3" t="s">
        <v>563</v>
      </c>
      <c r="C25867" s="16" t="n">
        <f aca="false">SUMPRODUCT($G$25848:$K$25848,$G$25696:$K$25696)*(1+SUMPRODUCT($G$25848:$K$25848,$G$25688:$K$25688)*Assumptions!$C$16/12)</f>
        <v>353.98125</v>
      </c>
    </row>
    <row r="25868" customFormat="false" ht="15" hidden="false" customHeight="false" outlineLevel="0" collapsed="false">
      <c r="A25868" s="3" t="s">
        <v>564</v>
      </c>
      <c r="C25868" s="16" t="n">
        <f aca="false">SUMPRODUCT($G$25848:$K$25848,$G$25709:$K$25709)*(1+SUMPRODUCT($G$25848:$K$25848,$G$25701:$K$25701)*Assumptions!$C$16/12)</f>
        <v>304.59375</v>
      </c>
    </row>
    <row r="25869" customFormat="false" ht="15" hidden="false" customHeight="false" outlineLevel="0" collapsed="false">
      <c r="A25869" s="3" t="s">
        <v>565</v>
      </c>
      <c r="C25869" s="16" t="n">
        <f aca="false">SUMPRODUCT($G$25848:$K$25848,$G$25722:$K$25722)*(1+SUMPRODUCT($G$25848:$K$25848,$G$25714:$K$25714)*Assumptions!$C$16/12)</f>
        <v>79.8402465</v>
      </c>
    </row>
    <row r="25870" customFormat="false" ht="15" hidden="false" customHeight="false" outlineLevel="0" collapsed="false">
      <c r="A25870" s="24" t="s">
        <v>566</v>
      </c>
      <c r="B25870" s="25"/>
      <c r="C25870" s="25"/>
      <c r="D25870" s="25"/>
      <c r="E25870" s="25"/>
      <c r="F25870" s="25"/>
      <c r="G25870" s="25"/>
      <c r="H25870" s="25"/>
      <c r="I25870" s="25"/>
      <c r="J25870" s="25"/>
      <c r="K25870" s="25"/>
    </row>
    <row r="25871" customFormat="false" ht="15" hidden="false" customHeight="false" outlineLevel="0" collapsed="false">
      <c r="A25871" s="3" t="s">
        <v>556</v>
      </c>
      <c r="C25871" s="27" t="n">
        <f aca="false">Assumptions!$M$57</f>
        <v>1</v>
      </c>
    </row>
    <row r="25872" customFormat="false" ht="15" hidden="false" customHeight="false" outlineLevel="0" collapsed="false">
      <c r="A25872" s="3" t="s">
        <v>557</v>
      </c>
      <c r="C25872" s="27" t="n">
        <f aca="false">Assumptions!$M$58</f>
        <v>1</v>
      </c>
    </row>
    <row r="25873" customFormat="false" ht="15" hidden="false" customHeight="false" outlineLevel="0" collapsed="false">
      <c r="A25873" s="3" t="s">
        <v>558</v>
      </c>
      <c r="C25873" s="27" t="n">
        <f aca="false">Assumptions!$M$59</f>
        <v>1</v>
      </c>
    </row>
    <row r="25874" customFormat="false" ht="15" hidden="false" customHeight="false" outlineLevel="0" collapsed="false">
      <c r="A25874" s="3" t="s">
        <v>559</v>
      </c>
      <c r="C25874" s="27" t="n">
        <f aca="false">Assumptions!$M$60</f>
        <v>2</v>
      </c>
    </row>
    <row r="25875" customFormat="false" ht="15" hidden="false" customHeight="false" outlineLevel="0" collapsed="false">
      <c r="A25875" s="3" t="s">
        <v>560</v>
      </c>
      <c r="C25875" s="27" t="n">
        <f aca="false">Assumptions!$M$61</f>
        <v>2</v>
      </c>
    </row>
    <row r="25876" customFormat="false" ht="15" hidden="false" customHeight="false" outlineLevel="0" collapsed="false">
      <c r="A25876" s="3" t="s">
        <v>561</v>
      </c>
      <c r="C25876" s="27" t="n">
        <f aca="false">Assumptions!$M$62</f>
        <v>2</v>
      </c>
    </row>
    <row r="25877" customFormat="false" ht="15" hidden="false" customHeight="false" outlineLevel="0" collapsed="false">
      <c r="A25877" s="3" t="s">
        <v>562</v>
      </c>
      <c r="C25877" s="27" t="n">
        <f aca="false">Assumptions!$M$63</f>
        <v>2</v>
      </c>
    </row>
    <row r="25878" customFormat="false" ht="15" hidden="false" customHeight="false" outlineLevel="0" collapsed="false">
      <c r="A25878" s="3" t="s">
        <v>563</v>
      </c>
      <c r="C25878" s="27" t="n">
        <f aca="false">Assumptions!$M$64</f>
        <v>2</v>
      </c>
    </row>
    <row r="25879" customFormat="false" ht="15" hidden="false" customHeight="false" outlineLevel="0" collapsed="false">
      <c r="A25879" s="3" t="s">
        <v>564</v>
      </c>
      <c r="C25879" s="27" t="n">
        <f aca="false">Assumptions!$M$65</f>
        <v>2</v>
      </c>
    </row>
    <row r="25880" customFormat="false" ht="15" hidden="false" customHeight="false" outlineLevel="0" collapsed="false">
      <c r="A25880" s="3" t="s">
        <v>565</v>
      </c>
      <c r="C25880" s="27" t="n">
        <f aca="false">Assumptions!$M$66</f>
        <v>3</v>
      </c>
    </row>
    <row r="25881" customFormat="false" ht="15" hidden="false" customHeight="false" outlineLevel="0" collapsed="false">
      <c r="A25881" s="24" t="s">
        <v>567</v>
      </c>
      <c r="B25881" s="25"/>
      <c r="C25881" s="25"/>
      <c r="D25881" s="25"/>
      <c r="E25881" s="25"/>
      <c r="F25881" s="25"/>
      <c r="G25881" s="25"/>
      <c r="H25881" s="25"/>
      <c r="I25881" s="25"/>
      <c r="J25881" s="25"/>
      <c r="K25881" s="25"/>
    </row>
    <row r="25882" customFormat="false" ht="15" hidden="false" customHeight="false" outlineLevel="0" collapsed="false">
      <c r="A25882" s="3" t="s">
        <v>556</v>
      </c>
      <c r="C25882" s="33" t="n">
        <f aca="false">Assumptions!$Q$57</f>
        <v>0.3</v>
      </c>
    </row>
    <row r="25883" customFormat="false" ht="15" hidden="false" customHeight="false" outlineLevel="0" collapsed="false">
      <c r="A25883" s="3" t="s">
        <v>557</v>
      </c>
      <c r="C25883" s="33" t="n">
        <f aca="false">Assumptions!$Q$58</f>
        <v>0.033</v>
      </c>
    </row>
    <row r="25884" customFormat="false" ht="15" hidden="false" customHeight="false" outlineLevel="0" collapsed="false">
      <c r="A25884" s="3" t="s">
        <v>558</v>
      </c>
      <c r="C25884" s="33" t="n">
        <f aca="false">Assumptions!$Q$59</f>
        <v>0.021</v>
      </c>
    </row>
    <row r="25885" customFormat="false" ht="15" hidden="false" customHeight="false" outlineLevel="0" collapsed="false">
      <c r="A25885" s="3" t="s">
        <v>559</v>
      </c>
      <c r="C25885" s="33" t="n">
        <f aca="false">Assumptions!$Q$60</f>
        <v>0</v>
      </c>
    </row>
    <row r="25886" customFormat="false" ht="15" hidden="false" customHeight="false" outlineLevel="0" collapsed="false">
      <c r="A25886" s="3" t="s">
        <v>560</v>
      </c>
      <c r="C25886" s="33" t="n">
        <f aca="false">Assumptions!$Q$61</f>
        <v>0</v>
      </c>
    </row>
    <row r="25887" customFormat="false" ht="15" hidden="false" customHeight="false" outlineLevel="0" collapsed="false">
      <c r="A25887" s="3" t="s">
        <v>561</v>
      </c>
      <c r="C25887" s="33" t="n">
        <f aca="false">Assumptions!$Q$62</f>
        <v>0</v>
      </c>
    </row>
    <row r="25888" customFormat="false" ht="15" hidden="false" customHeight="false" outlineLevel="0" collapsed="false">
      <c r="A25888" s="3" t="s">
        <v>562</v>
      </c>
      <c r="C25888" s="33" t="n">
        <f aca="false">Assumptions!$Q$63</f>
        <v>0</v>
      </c>
    </row>
    <row r="25889" customFormat="false" ht="15" hidden="false" customHeight="false" outlineLevel="0" collapsed="false">
      <c r="A25889" s="3" t="s">
        <v>563</v>
      </c>
      <c r="C25889" s="33" t="n">
        <f aca="false">Assumptions!$Q$64</f>
        <v>0</v>
      </c>
    </row>
    <row r="25890" customFormat="false" ht="15" hidden="false" customHeight="false" outlineLevel="0" collapsed="false">
      <c r="A25890" s="3" t="s">
        <v>564</v>
      </c>
      <c r="C25890" s="33" t="n">
        <f aca="false">Assumptions!$Q$65</f>
        <v>0</v>
      </c>
    </row>
    <row r="25891" customFormat="false" ht="15" hidden="false" customHeight="false" outlineLevel="0" collapsed="false">
      <c r="A25891" s="3" t="s">
        <v>565</v>
      </c>
      <c r="C25891" s="33" t="n">
        <f aca="false">Assumptions!$Q$66</f>
        <v>0</v>
      </c>
    </row>
    <row r="25892" customFormat="false" ht="15" hidden="false" customHeight="false" outlineLevel="0" collapsed="false">
      <c r="A25892" s="24" t="s">
        <v>568</v>
      </c>
      <c r="B25892" s="25"/>
      <c r="C25892" s="25"/>
      <c r="D25892" s="25"/>
      <c r="E25892" s="25"/>
      <c r="F25892" s="25"/>
      <c r="G25892" s="25"/>
      <c r="H25892" s="25"/>
      <c r="I25892" s="25"/>
      <c r="J25892" s="25"/>
      <c r="K25892" s="25"/>
    </row>
    <row r="25893" customFormat="false" ht="15" hidden="false" customHeight="false" outlineLevel="0" collapsed="false">
      <c r="A25893" s="3" t="s">
        <v>556</v>
      </c>
      <c r="C25893" s="16" t="n">
        <f aca="false">IF(C25882&gt;0,MIN(C25860,C25882*$C$25858),0)</f>
        <v>401.8</v>
      </c>
    </row>
    <row r="25894" customFormat="false" ht="15" hidden="false" customHeight="false" outlineLevel="0" collapsed="false">
      <c r="A25894" s="3" t="s">
        <v>557</v>
      </c>
      <c r="C25894" s="16" t="n">
        <f aca="false">IF(C25883&gt;0,MIN(C25861,C25883*$C$25858),0)</f>
        <v>91.30725</v>
      </c>
    </row>
    <row r="25895" customFormat="false" ht="15" hidden="false" customHeight="false" outlineLevel="0" collapsed="false">
      <c r="A25895" s="3" t="s">
        <v>558</v>
      </c>
      <c r="C25895" s="16" t="n">
        <f aca="false">IF(C25884&gt;0,MIN(C25862,C25884*$C$25858),0)</f>
        <v>58.3715961</v>
      </c>
    </row>
    <row r="25896" customFormat="false" ht="15" hidden="false" customHeight="false" outlineLevel="0" collapsed="false">
      <c r="A25896" s="3" t="s">
        <v>559</v>
      </c>
      <c r="C25896" s="16" t="n">
        <f aca="false">IF(C25885&gt;0,MIN(C25863,C25885*$C$25858),0)</f>
        <v>0</v>
      </c>
    </row>
    <row r="25897" customFormat="false" ht="15" hidden="false" customHeight="false" outlineLevel="0" collapsed="false">
      <c r="A25897" s="3" t="s">
        <v>560</v>
      </c>
      <c r="C25897" s="16" t="n">
        <f aca="false">IF(C25886&gt;0,MIN(C25864,C25886*$C$25858),0)</f>
        <v>0</v>
      </c>
    </row>
    <row r="25898" customFormat="false" ht="15" hidden="false" customHeight="false" outlineLevel="0" collapsed="false">
      <c r="A25898" s="3" t="s">
        <v>561</v>
      </c>
      <c r="C25898" s="16" t="n">
        <f aca="false">IF(C25887&gt;0,MIN(C25865,C25887*$C$25858),0)</f>
        <v>0</v>
      </c>
    </row>
    <row r="25899" customFormat="false" ht="15" hidden="false" customHeight="false" outlineLevel="0" collapsed="false">
      <c r="A25899" s="3" t="s">
        <v>562</v>
      </c>
      <c r="C25899" s="16" t="n">
        <f aca="false">IF(C25888&gt;0,MIN(C25866,C25888*$C$25858),0)</f>
        <v>0</v>
      </c>
    </row>
    <row r="25900" customFormat="false" ht="15" hidden="false" customHeight="false" outlineLevel="0" collapsed="false">
      <c r="A25900" s="3" t="s">
        <v>563</v>
      </c>
      <c r="C25900" s="16" t="n">
        <f aca="false">IF(C25889&gt;0,MIN(C25867,C25889*$C$25858),0)</f>
        <v>0</v>
      </c>
    </row>
    <row r="25901" customFormat="false" ht="15" hidden="false" customHeight="false" outlineLevel="0" collapsed="false">
      <c r="A25901" s="3" t="s">
        <v>564</v>
      </c>
      <c r="C25901" s="16" t="n">
        <f aca="false">IF(C25890&gt;0,MIN(C25868,C25890*$C$25858),0)</f>
        <v>0</v>
      </c>
    </row>
    <row r="25902" customFormat="false" ht="15" hidden="false" customHeight="false" outlineLevel="0" collapsed="false">
      <c r="A25902" s="3" t="s">
        <v>565</v>
      </c>
      <c r="C25902" s="16" t="n">
        <f aca="false">IF(C25891&gt;0,MIN(C25869,C25891*$C$25858),0)</f>
        <v>0</v>
      </c>
    </row>
    <row r="25903" customFormat="false" ht="15" hidden="false" customHeight="false" outlineLevel="0" collapsed="false">
      <c r="A25903" s="24" t="s">
        <v>569</v>
      </c>
      <c r="B25903" s="25"/>
      <c r="C25903" s="25"/>
      <c r="D25903" s="25"/>
      <c r="E25903" s="25"/>
      <c r="F25903" s="25"/>
      <c r="G25903" s="25"/>
      <c r="H25903" s="25"/>
      <c r="I25903" s="25"/>
      <c r="J25903" s="25"/>
      <c r="K25903" s="25"/>
    </row>
    <row r="25904" customFormat="false" ht="15" hidden="false" customHeight="false" outlineLevel="0" collapsed="false">
      <c r="A25904" s="3" t="s">
        <v>556</v>
      </c>
      <c r="C25904" s="16" t="n">
        <f aca="false">IF(C25882&gt;0,C25860-C25893,0)</f>
        <v>0</v>
      </c>
      <c r="G25904" s="21" t="n">
        <f aca="false">IF(AND(G25595=1,G25592=1),1,0)</f>
        <v>0</v>
      </c>
      <c r="H25904" s="21" t="n">
        <f aca="false">IF(G25904=1,1,IF(AND(H25595=1,H25592=1),1,0))</f>
        <v>0</v>
      </c>
      <c r="I25904" s="21" t="n">
        <f aca="false">IF(H25904=1,1,IF(AND(I25595=1,I25592=1),1,0))</f>
        <v>0</v>
      </c>
      <c r="J25904" s="21" t="n">
        <f aca="false">IF(I25904=1,1,IF(AND(J25595=1,J25592=1),1,0))</f>
        <v>0</v>
      </c>
      <c r="K25904" s="21" t="n">
        <f aca="false">IF(J25904=1,1,IF(AND(K25595=1,K25592=1),1,0))</f>
        <v>0</v>
      </c>
    </row>
    <row r="25905" customFormat="false" ht="15" hidden="false" customHeight="false" outlineLevel="0" collapsed="false">
      <c r="A25905" s="3" t="s">
        <v>557</v>
      </c>
      <c r="C25905" s="16" t="n">
        <f aca="false">IF(C25883&gt;0,C25861-C25894,0)</f>
        <v>0</v>
      </c>
      <c r="G25905" s="21" t="n">
        <f aca="false">IF(AND(G25608=1,G25592=1),1,0)</f>
        <v>0</v>
      </c>
      <c r="H25905" s="21" t="n">
        <f aca="false">IF(G25905=1,1,IF(AND(H25608=1,H25592=1),1,0))</f>
        <v>0</v>
      </c>
      <c r="I25905" s="21" t="n">
        <f aca="false">IF(H25905=1,1,IF(AND(I25608=1,I25592=1),1,0))</f>
        <v>0</v>
      </c>
      <c r="J25905" s="21" t="n">
        <f aca="false">IF(I25905=1,1,IF(AND(J25608=1,J25592=1),1,0))</f>
        <v>0</v>
      </c>
      <c r="K25905" s="21" t="n">
        <f aca="false">IF(J25905=1,1,IF(AND(K25608=1,K25592=1),1,0))</f>
        <v>0</v>
      </c>
    </row>
    <row r="25906" customFormat="false" ht="15" hidden="false" customHeight="false" outlineLevel="0" collapsed="false">
      <c r="A25906" s="3" t="s">
        <v>558</v>
      </c>
      <c r="C25906" s="16" t="n">
        <f aca="false">IF(C25884&gt;0,C25862-C25895,0)</f>
        <v>0</v>
      </c>
      <c r="G25906" s="21" t="n">
        <f aca="false">IF(AND(G25621=1,G25592=1),1,0)</f>
        <v>0</v>
      </c>
      <c r="H25906" s="21" t="n">
        <f aca="false">IF(G25906=1,1,IF(AND(H25621=1,H25592=1),1,0))</f>
        <v>0</v>
      </c>
      <c r="I25906" s="21" t="n">
        <f aca="false">IF(H25906=1,1,IF(AND(I25621=1,I25592=1),1,0))</f>
        <v>0</v>
      </c>
      <c r="J25906" s="21" t="n">
        <f aca="false">IF(I25906=1,1,IF(AND(J25621=1,J25592=1),1,0))</f>
        <v>0</v>
      </c>
      <c r="K25906" s="21" t="n">
        <f aca="false">IF(J25906=1,1,IF(AND(K25621=1,K25592=1),1,0))</f>
        <v>0</v>
      </c>
    </row>
    <row r="25907" customFormat="false" ht="15" hidden="false" customHeight="false" outlineLevel="0" collapsed="false">
      <c r="A25907" s="3" t="s">
        <v>559</v>
      </c>
      <c r="C25907" s="16" t="n">
        <f aca="false">IF(C25885&gt;0,C25863-C25896,0)</f>
        <v>0</v>
      </c>
      <c r="G25907" s="21" t="n">
        <f aca="false">IF(AND(G25634=1,G25592=1),1,0)</f>
        <v>0</v>
      </c>
      <c r="H25907" s="21" t="n">
        <f aca="false">IF(G25907=1,1,IF(AND(H25634=1,H25592=1),1,0))</f>
        <v>0</v>
      </c>
      <c r="I25907" s="21" t="n">
        <f aca="false">IF(H25907=1,1,IF(AND(I25634=1,I25592=1),1,0))</f>
        <v>0</v>
      </c>
      <c r="J25907" s="21" t="n">
        <f aca="false">IF(I25907=1,1,IF(AND(J25634=1,J25592=1),1,0))</f>
        <v>0</v>
      </c>
      <c r="K25907" s="21" t="n">
        <f aca="false">IF(J25907=1,1,IF(AND(K25634=1,K25592=1),1,0))</f>
        <v>0</v>
      </c>
    </row>
    <row r="25908" customFormat="false" ht="15" hidden="false" customHeight="false" outlineLevel="0" collapsed="false">
      <c r="A25908" s="3" t="s">
        <v>560</v>
      </c>
      <c r="C25908" s="16" t="n">
        <f aca="false">IF(C25886&gt;0,C25864-C25897,0)</f>
        <v>0</v>
      </c>
      <c r="G25908" s="21" t="n">
        <f aca="false">IF(AND(G25647=1,G25592=1),1,0)</f>
        <v>0</v>
      </c>
      <c r="H25908" s="21" t="n">
        <f aca="false">IF(G25908=1,1,IF(AND(H25647=1,H25592=1),1,0))</f>
        <v>0</v>
      </c>
      <c r="I25908" s="21" t="n">
        <f aca="false">IF(H25908=1,1,IF(AND(I25647=1,I25592=1),1,0))</f>
        <v>0</v>
      </c>
      <c r="J25908" s="21" t="n">
        <f aca="false">IF(I25908=1,1,IF(AND(J25647=1,J25592=1),1,0))</f>
        <v>0</v>
      </c>
      <c r="K25908" s="21" t="n">
        <f aca="false">IF(J25908=1,1,IF(AND(K25647=1,K25592=1),1,0))</f>
        <v>0</v>
      </c>
    </row>
    <row r="25909" customFormat="false" ht="15" hidden="false" customHeight="false" outlineLevel="0" collapsed="false">
      <c r="A25909" s="3" t="s">
        <v>561</v>
      </c>
      <c r="C25909" s="16" t="n">
        <f aca="false">IF(C25887&gt;0,C25865-C25898,0)</f>
        <v>0</v>
      </c>
      <c r="G25909" s="21" t="n">
        <f aca="false">IF(AND(G25660=1,G25592=1),1,0)</f>
        <v>0</v>
      </c>
      <c r="H25909" s="21" t="n">
        <f aca="false">IF(G25909=1,1,IF(AND(H25660=1,H25592=1),1,0))</f>
        <v>0</v>
      </c>
      <c r="I25909" s="21" t="n">
        <f aca="false">IF(H25909=1,1,IF(AND(I25660=1,I25592=1),1,0))</f>
        <v>0</v>
      </c>
      <c r="J25909" s="21" t="n">
        <f aca="false">IF(I25909=1,1,IF(AND(J25660=1,J25592=1),1,0))</f>
        <v>0</v>
      </c>
      <c r="K25909" s="21" t="n">
        <f aca="false">IF(J25909=1,1,IF(AND(K25660=1,K25592=1),1,0))</f>
        <v>0</v>
      </c>
    </row>
    <row r="25910" customFormat="false" ht="15" hidden="false" customHeight="false" outlineLevel="0" collapsed="false">
      <c r="A25910" s="3" t="s">
        <v>562</v>
      </c>
      <c r="C25910" s="16" t="n">
        <f aca="false">IF(C25888&gt;0,C25866-C25899,0)</f>
        <v>0</v>
      </c>
      <c r="G25910" s="21" t="n">
        <f aca="false">IF(AND(G25673=1,G25592=1),1,0)</f>
        <v>0</v>
      </c>
      <c r="H25910" s="21" t="n">
        <f aca="false">IF(G25910=1,1,IF(AND(H25673=1,H25592=1),1,0))</f>
        <v>0</v>
      </c>
      <c r="I25910" s="21" t="n">
        <f aca="false">IF(H25910=1,1,IF(AND(I25673=1,I25592=1),1,0))</f>
        <v>0</v>
      </c>
      <c r="J25910" s="21" t="n">
        <f aca="false">IF(I25910=1,1,IF(AND(J25673=1,J25592=1),1,0))</f>
        <v>0</v>
      </c>
      <c r="K25910" s="21" t="n">
        <f aca="false">IF(J25910=1,1,IF(AND(K25673=1,K25592=1),1,0))</f>
        <v>0</v>
      </c>
    </row>
    <row r="25911" customFormat="false" ht="15" hidden="false" customHeight="false" outlineLevel="0" collapsed="false">
      <c r="A25911" s="3" t="s">
        <v>563</v>
      </c>
      <c r="C25911" s="16" t="n">
        <f aca="false">IF(C25889&gt;0,C25867-C25900,0)</f>
        <v>0</v>
      </c>
      <c r="G25911" s="21" t="n">
        <f aca="false">IF(AND(G25686=1,G25592=1),1,0)</f>
        <v>0</v>
      </c>
      <c r="H25911" s="21" t="n">
        <f aca="false">IF(G25911=1,1,IF(AND(H25686=1,H25592=1),1,0))</f>
        <v>0</v>
      </c>
      <c r="I25911" s="21" t="n">
        <f aca="false">IF(H25911=1,1,IF(AND(I25686=1,I25592=1),1,0))</f>
        <v>0</v>
      </c>
      <c r="J25911" s="21" t="n">
        <f aca="false">IF(I25911=1,1,IF(AND(J25686=1,J25592=1),1,0))</f>
        <v>0</v>
      </c>
      <c r="K25911" s="21" t="n">
        <f aca="false">IF(J25911=1,1,IF(AND(K25686=1,K25592=1),1,0))</f>
        <v>0</v>
      </c>
    </row>
    <row r="25912" customFormat="false" ht="15" hidden="false" customHeight="false" outlineLevel="0" collapsed="false">
      <c r="A25912" s="3" t="s">
        <v>564</v>
      </c>
      <c r="C25912" s="16" t="n">
        <f aca="false">IF(C25890&gt;0,C25868-C25901,0)</f>
        <v>0</v>
      </c>
      <c r="G25912" s="21" t="n">
        <f aca="false">IF(AND(G25699=1,G25592=1),1,0)</f>
        <v>0</v>
      </c>
      <c r="H25912" s="21" t="n">
        <f aca="false">IF(G25912=1,1,IF(AND(H25699=1,H25592=1),1,0))</f>
        <v>0</v>
      </c>
      <c r="I25912" s="21" t="n">
        <f aca="false">IF(H25912=1,1,IF(AND(I25699=1,I25592=1),1,0))</f>
        <v>0</v>
      </c>
      <c r="J25912" s="21" t="n">
        <f aca="false">IF(I25912=1,1,IF(AND(J25699=1,J25592=1),1,0))</f>
        <v>0</v>
      </c>
      <c r="K25912" s="21" t="n">
        <f aca="false">IF(J25912=1,1,IF(AND(K25699=1,K25592=1),1,0))</f>
        <v>0</v>
      </c>
    </row>
    <row r="25913" customFormat="false" ht="15" hidden="false" customHeight="false" outlineLevel="0" collapsed="false">
      <c r="A25913" s="3" t="s">
        <v>565</v>
      </c>
      <c r="C25913" s="16" t="n">
        <f aca="false">IF(C25891&gt;0,C25869-C25902,0)</f>
        <v>0</v>
      </c>
      <c r="G25913" s="21" t="n">
        <f aca="false">IF(AND(G25712=1,G25592=1),1,0)</f>
        <v>0</v>
      </c>
      <c r="H25913" s="21" t="n">
        <f aca="false">IF(G25913=1,1,IF(AND(H25712=1,H25592=1),1,0))</f>
        <v>0</v>
      </c>
      <c r="I25913" s="21" t="n">
        <f aca="false">IF(H25913=1,1,IF(AND(I25712=1,I25592=1),1,0))</f>
        <v>0</v>
      </c>
      <c r="J25913" s="21" t="n">
        <f aca="false">IF(I25913=1,1,IF(AND(J25712=1,J25592=1),1,0))</f>
        <v>0</v>
      </c>
      <c r="K25913" s="21" t="n">
        <f aca="false">IF(J25913=1,1,IF(AND(K25712=1,K25592=1),1,0))</f>
        <v>0</v>
      </c>
    </row>
    <row r="25914" customFormat="false" ht="15" hidden="false" customHeight="false" outlineLevel="0" collapsed="false">
      <c r="A25914" s="24" t="s">
        <v>570</v>
      </c>
      <c r="B25914" s="25"/>
      <c r="C25914" s="25"/>
      <c r="D25914" s="25"/>
      <c r="E25914" s="25"/>
      <c r="F25914" s="25"/>
      <c r="G25914" s="25"/>
      <c r="H25914" s="25"/>
      <c r="I25914" s="25"/>
      <c r="J25914" s="25"/>
      <c r="K25914" s="25"/>
    </row>
    <row r="25915" customFormat="false" ht="15" hidden="false" customHeight="false" outlineLevel="0" collapsed="false">
      <c r="A25915" s="3" t="s">
        <v>556</v>
      </c>
      <c r="C25915" s="16" t="n">
        <f aca="false">IF(C25882&gt;0,C25904,C25860)</f>
        <v>0</v>
      </c>
    </row>
    <row r="25916" customFormat="false" ht="15" hidden="false" customHeight="false" outlineLevel="0" collapsed="false">
      <c r="A25916" s="3" t="s">
        <v>557</v>
      </c>
      <c r="C25916" s="16" t="n">
        <f aca="false">IF(C25883&gt;0,C25905,C25861)</f>
        <v>0</v>
      </c>
    </row>
    <row r="25917" customFormat="false" ht="15" hidden="false" customHeight="false" outlineLevel="0" collapsed="false">
      <c r="A25917" s="3" t="s">
        <v>558</v>
      </c>
      <c r="C25917" s="16" t="n">
        <f aca="false">IF(C25884&gt;0,C25906,C25862)</f>
        <v>0</v>
      </c>
    </row>
    <row r="25918" customFormat="false" ht="15" hidden="false" customHeight="false" outlineLevel="0" collapsed="false">
      <c r="A25918" s="3" t="s">
        <v>559</v>
      </c>
      <c r="C25918" s="16" t="n">
        <f aca="false">IF(C25885&gt;0,C25907,C25863)</f>
        <v>0</v>
      </c>
    </row>
    <row r="25919" customFormat="false" ht="15" hidden="false" customHeight="false" outlineLevel="0" collapsed="false">
      <c r="A25919" s="3" t="s">
        <v>560</v>
      </c>
      <c r="C25919" s="16" t="n">
        <f aca="false">IF(C25886&gt;0,C25908,C25864)</f>
        <v>400.597475427575</v>
      </c>
    </row>
    <row r="25920" customFormat="false" ht="15" hidden="false" customHeight="false" outlineLevel="0" collapsed="false">
      <c r="A25920" s="3" t="s">
        <v>561</v>
      </c>
      <c r="C25920" s="16" t="n">
        <f aca="false">IF(C25887&gt;0,C25909,C25865)</f>
        <v>357.2625</v>
      </c>
    </row>
    <row r="25921" customFormat="false" ht="15" hidden="false" customHeight="false" outlineLevel="0" collapsed="false">
      <c r="A25921" s="3" t="s">
        <v>562</v>
      </c>
      <c r="C25921" s="16" t="n">
        <f aca="false">IF(C25888&gt;0,C25910,C25866)</f>
        <v>562.203125</v>
      </c>
    </row>
    <row r="25922" customFormat="false" ht="15" hidden="false" customHeight="false" outlineLevel="0" collapsed="false">
      <c r="A25922" s="3" t="s">
        <v>563</v>
      </c>
      <c r="C25922" s="16" t="n">
        <f aca="false">IF(C25889&gt;0,C25911,C25867)</f>
        <v>353.98125</v>
      </c>
    </row>
    <row r="25923" customFormat="false" ht="15" hidden="false" customHeight="false" outlineLevel="0" collapsed="false">
      <c r="A25923" s="3" t="s">
        <v>564</v>
      </c>
      <c r="C25923" s="16" t="n">
        <f aca="false">IF(C25890&gt;0,C25912,C25868)</f>
        <v>304.59375</v>
      </c>
    </row>
    <row r="25924" customFormat="false" ht="15" hidden="false" customHeight="false" outlineLevel="0" collapsed="false">
      <c r="A25924" s="3" t="s">
        <v>565</v>
      </c>
      <c r="C25924" s="16" t="n">
        <f aca="false">IF(C25891&gt;0,C25913,C25869)</f>
        <v>79.8402465</v>
      </c>
    </row>
    <row r="25925" customFormat="false" ht="15" hidden="false" customHeight="false" outlineLevel="0" collapsed="false">
      <c r="A25925" s="24" t="s">
        <v>571</v>
      </c>
      <c r="B25925" s="25"/>
      <c r="C25925" s="25"/>
      <c r="D25925" s="25"/>
      <c r="E25925" s="25"/>
      <c r="F25925" s="25"/>
      <c r="G25925" s="25"/>
      <c r="H25925" s="25"/>
      <c r="I25925" s="25"/>
      <c r="J25925" s="25"/>
      <c r="K25925" s="25"/>
    </row>
    <row r="25926" customFormat="false" ht="15" hidden="false" customHeight="false" outlineLevel="0" collapsed="false">
      <c r="A25926" s="3" t="s">
        <v>556</v>
      </c>
      <c r="C25926" s="21" t="n">
        <f aca="false">IF(C25882&gt;0,Assumptions!$C$17,C25871)</f>
        <v>99</v>
      </c>
    </row>
    <row r="25927" customFormat="false" ht="15" hidden="false" customHeight="false" outlineLevel="0" collapsed="false">
      <c r="A25927" s="3" t="s">
        <v>557</v>
      </c>
      <c r="C25927" s="21" t="n">
        <f aca="false">IF(C25883&gt;0,Assumptions!$C$17,C25872)</f>
        <v>99</v>
      </c>
    </row>
    <row r="25928" customFormat="false" ht="15" hidden="false" customHeight="false" outlineLevel="0" collapsed="false">
      <c r="A25928" s="3" t="s">
        <v>558</v>
      </c>
      <c r="C25928" s="21" t="n">
        <f aca="false">IF(C25884&gt;0,Assumptions!$C$17,C25873)</f>
        <v>99</v>
      </c>
    </row>
    <row r="25929" customFormat="false" ht="15" hidden="false" customHeight="false" outlineLevel="0" collapsed="false">
      <c r="A25929" s="3" t="s">
        <v>559</v>
      </c>
      <c r="C25929" s="21" t="n">
        <f aca="false">IF(C25885&gt;0,Assumptions!$C$17,C25874)</f>
        <v>2</v>
      </c>
    </row>
    <row r="25930" customFormat="false" ht="15" hidden="false" customHeight="false" outlineLevel="0" collapsed="false">
      <c r="A25930" s="3" t="s">
        <v>560</v>
      </c>
      <c r="C25930" s="21" t="n">
        <f aca="false">IF(C25886&gt;0,Assumptions!$C$17,C25875)</f>
        <v>2</v>
      </c>
    </row>
    <row r="25931" customFormat="false" ht="15" hidden="false" customHeight="false" outlineLevel="0" collapsed="false">
      <c r="A25931" s="3" t="s">
        <v>561</v>
      </c>
      <c r="C25931" s="21" t="n">
        <f aca="false">IF(C25887&gt;0,Assumptions!$C$17,C25876)</f>
        <v>2</v>
      </c>
    </row>
    <row r="25932" customFormat="false" ht="15" hidden="false" customHeight="false" outlineLevel="0" collapsed="false">
      <c r="A25932" s="3" t="s">
        <v>562</v>
      </c>
      <c r="C25932" s="21" t="n">
        <f aca="false">IF(C25888&gt;0,Assumptions!$C$17,C25877)</f>
        <v>2</v>
      </c>
    </row>
    <row r="25933" customFormat="false" ht="15" hidden="false" customHeight="false" outlineLevel="0" collapsed="false">
      <c r="A25933" s="3" t="s">
        <v>563</v>
      </c>
      <c r="C25933" s="21" t="n">
        <f aca="false">IF(C25889&gt;0,Assumptions!$C$17,C25878)</f>
        <v>2</v>
      </c>
    </row>
    <row r="25934" customFormat="false" ht="15" hidden="false" customHeight="false" outlineLevel="0" collapsed="false">
      <c r="A25934" s="3" t="s">
        <v>564</v>
      </c>
      <c r="C25934" s="21" t="n">
        <f aca="false">IF(C25890&gt;0,Assumptions!$C$17,C25879)</f>
        <v>2</v>
      </c>
    </row>
    <row r="25935" customFormat="false" ht="15" hidden="false" customHeight="false" outlineLevel="0" collapsed="false">
      <c r="A25935" s="3" t="s">
        <v>565</v>
      </c>
      <c r="C25935" s="21" t="n">
        <f aca="false">IF(C25891&gt;0,Assumptions!$C$17,C25880)</f>
        <v>3</v>
      </c>
    </row>
    <row r="25936" customFormat="false" ht="15" hidden="false" customHeight="false" outlineLevel="0" collapsed="false">
      <c r="A25936" s="24" t="s">
        <v>572</v>
      </c>
      <c r="B25936" s="25"/>
      <c r="C25936" s="25"/>
      <c r="D25936" s="25"/>
      <c r="E25936" s="25"/>
      <c r="F25936" s="25"/>
      <c r="G25936" s="25"/>
      <c r="H25936" s="25"/>
      <c r="I25936" s="25"/>
      <c r="J25936" s="25"/>
      <c r="K25936" s="25"/>
    </row>
    <row r="25937" customFormat="false" ht="15" hidden="false" customHeight="false" outlineLevel="0" collapsed="false">
      <c r="A25937" s="3" t="s">
        <v>556</v>
      </c>
      <c r="C25937" s="16" t="n">
        <f aca="false">SUMPRODUCT(($C$25926:$C$25935&lt;C25926)*$C$25915:$C$25924)</f>
        <v>2058.47834692758</v>
      </c>
    </row>
    <row r="25938" customFormat="false" ht="15" hidden="false" customHeight="false" outlineLevel="0" collapsed="false">
      <c r="A25938" s="3" t="s">
        <v>557</v>
      </c>
      <c r="C25938" s="16" t="n">
        <f aca="false">SUMPRODUCT(($C$25926:$C$25935&lt;C25927)*$C$25915:$C$25924)</f>
        <v>2058.47834692758</v>
      </c>
    </row>
    <row r="25939" customFormat="false" ht="15" hidden="false" customHeight="false" outlineLevel="0" collapsed="false">
      <c r="A25939" s="3" t="s">
        <v>558</v>
      </c>
      <c r="C25939" s="16" t="n">
        <f aca="false">SUMPRODUCT(($C$25926:$C$25935&lt;C25928)*$C$25915:$C$25924)</f>
        <v>2058.47834692758</v>
      </c>
    </row>
    <row r="25940" customFormat="false" ht="15" hidden="false" customHeight="false" outlineLevel="0" collapsed="false">
      <c r="A25940" s="3" t="s">
        <v>559</v>
      </c>
      <c r="C25940" s="16" t="n">
        <f aca="false">SUMPRODUCT(($C$25926:$C$25935&lt;C25929)*$C$25915:$C$25924)</f>
        <v>0</v>
      </c>
    </row>
    <row r="25941" customFormat="false" ht="15" hidden="false" customHeight="false" outlineLevel="0" collapsed="false">
      <c r="A25941" s="3" t="s">
        <v>560</v>
      </c>
      <c r="C25941" s="16" t="n">
        <f aca="false">SUMPRODUCT(($C$25926:$C$25935&lt;C25930)*$C$25915:$C$25924)</f>
        <v>0</v>
      </c>
    </row>
    <row r="25942" customFormat="false" ht="15" hidden="false" customHeight="false" outlineLevel="0" collapsed="false">
      <c r="A25942" s="3" t="s">
        <v>561</v>
      </c>
      <c r="C25942" s="16" t="n">
        <f aca="false">SUMPRODUCT(($C$25926:$C$25935&lt;C25931)*$C$25915:$C$25924)</f>
        <v>0</v>
      </c>
    </row>
    <row r="25943" customFormat="false" ht="15" hidden="false" customHeight="false" outlineLevel="0" collapsed="false">
      <c r="A25943" s="3" t="s">
        <v>562</v>
      </c>
      <c r="C25943" s="16" t="n">
        <f aca="false">SUMPRODUCT(($C$25926:$C$25935&lt;C25932)*$C$25915:$C$25924)</f>
        <v>0</v>
      </c>
    </row>
    <row r="25944" customFormat="false" ht="15" hidden="false" customHeight="false" outlineLevel="0" collapsed="false">
      <c r="A25944" s="3" t="s">
        <v>563</v>
      </c>
      <c r="C25944" s="16" t="n">
        <f aca="false">SUMPRODUCT(($C$25926:$C$25935&lt;C25933)*$C$25915:$C$25924)</f>
        <v>0</v>
      </c>
    </row>
    <row r="25945" customFormat="false" ht="15" hidden="false" customHeight="false" outlineLevel="0" collapsed="false">
      <c r="A25945" s="3" t="s">
        <v>564</v>
      </c>
      <c r="C25945" s="16" t="n">
        <f aca="false">SUMPRODUCT(($C$25926:$C$25935&lt;C25934)*$C$25915:$C$25924)</f>
        <v>0</v>
      </c>
    </row>
    <row r="25946" customFormat="false" ht="15" hidden="false" customHeight="false" outlineLevel="0" collapsed="false">
      <c r="A25946" s="3" t="s">
        <v>565</v>
      </c>
      <c r="C25946" s="16" t="n">
        <f aca="false">SUMPRODUCT(($C$25926:$C$25935&lt;C25935)*$C$25915:$C$25924)</f>
        <v>1978.63810042758</v>
      </c>
    </row>
    <row r="25947" customFormat="false" ht="15" hidden="false" customHeight="false" outlineLevel="0" collapsed="false">
      <c r="A25947" s="24" t="s">
        <v>573</v>
      </c>
      <c r="B25947" s="25"/>
      <c r="C25947" s="25"/>
      <c r="D25947" s="25"/>
      <c r="E25947" s="25"/>
      <c r="F25947" s="25"/>
      <c r="G25947" s="25"/>
      <c r="H25947" s="25"/>
      <c r="I25947" s="25"/>
      <c r="J25947" s="25"/>
      <c r="K25947" s="25"/>
    </row>
    <row r="25948" customFormat="false" ht="15" hidden="false" customHeight="false" outlineLevel="0" collapsed="false">
      <c r="A25948" s="3" t="s">
        <v>556</v>
      </c>
      <c r="C25948" s="16" t="n">
        <f aca="false">SUMPRODUCT(($C$25926:$C$25935=C25926)*$C$25915:$C$25924)</f>
        <v>0</v>
      </c>
    </row>
    <row r="25949" customFormat="false" ht="15" hidden="false" customHeight="false" outlineLevel="0" collapsed="false">
      <c r="A25949" s="3" t="s">
        <v>557</v>
      </c>
      <c r="C25949" s="16" t="n">
        <f aca="false">SUMPRODUCT(($C$25926:$C$25935=C25927)*$C$25915:$C$25924)</f>
        <v>0</v>
      </c>
    </row>
    <row r="25950" customFormat="false" ht="15" hidden="false" customHeight="false" outlineLevel="0" collapsed="false">
      <c r="A25950" s="3" t="s">
        <v>558</v>
      </c>
      <c r="C25950" s="16" t="n">
        <f aca="false">SUMPRODUCT(($C$25926:$C$25935=C25928)*$C$25915:$C$25924)</f>
        <v>0</v>
      </c>
    </row>
    <row r="25951" customFormat="false" ht="15" hidden="false" customHeight="false" outlineLevel="0" collapsed="false">
      <c r="A25951" s="3" t="s">
        <v>559</v>
      </c>
      <c r="C25951" s="16" t="n">
        <f aca="false">SUMPRODUCT(($C$25926:$C$25935=C25929)*$C$25915:$C$25924)</f>
        <v>1978.63810042758</v>
      </c>
    </row>
    <row r="25952" customFormat="false" ht="15" hidden="false" customHeight="false" outlineLevel="0" collapsed="false">
      <c r="A25952" s="3" t="s">
        <v>560</v>
      </c>
      <c r="C25952" s="16" t="n">
        <f aca="false">SUMPRODUCT(($C$25926:$C$25935=C25930)*$C$25915:$C$25924)</f>
        <v>1978.63810042758</v>
      </c>
    </row>
    <row r="25953" customFormat="false" ht="15" hidden="false" customHeight="false" outlineLevel="0" collapsed="false">
      <c r="A25953" s="3" t="s">
        <v>561</v>
      </c>
      <c r="C25953" s="16" t="n">
        <f aca="false">SUMPRODUCT(($C$25926:$C$25935=C25931)*$C$25915:$C$25924)</f>
        <v>1978.63810042758</v>
      </c>
    </row>
    <row r="25954" customFormat="false" ht="15" hidden="false" customHeight="false" outlineLevel="0" collapsed="false">
      <c r="A25954" s="3" t="s">
        <v>562</v>
      </c>
      <c r="C25954" s="16" t="n">
        <f aca="false">SUMPRODUCT(($C$25926:$C$25935=C25932)*$C$25915:$C$25924)</f>
        <v>1978.63810042758</v>
      </c>
    </row>
    <row r="25955" customFormat="false" ht="15" hidden="false" customHeight="false" outlineLevel="0" collapsed="false">
      <c r="A25955" s="3" t="s">
        <v>563</v>
      </c>
      <c r="C25955" s="16" t="n">
        <f aca="false">SUMPRODUCT(($C$25926:$C$25935=C25933)*$C$25915:$C$25924)</f>
        <v>1978.63810042758</v>
      </c>
    </row>
    <row r="25956" customFormat="false" ht="15" hidden="false" customHeight="false" outlineLevel="0" collapsed="false">
      <c r="A25956" s="3" t="s">
        <v>564</v>
      </c>
      <c r="C25956" s="16" t="n">
        <f aca="false">SUMPRODUCT(($C$25926:$C$25935=C25934)*$C$25915:$C$25924)</f>
        <v>1978.63810042758</v>
      </c>
    </row>
    <row r="25957" customFormat="false" ht="15" hidden="false" customHeight="false" outlineLevel="0" collapsed="false">
      <c r="A25957" s="3" t="s">
        <v>565</v>
      </c>
      <c r="C25957" s="16" t="n">
        <f aca="false">SUMPRODUCT(($C$25926:$C$25935=C25935)*$C$25915:$C$25924)</f>
        <v>79.8402465</v>
      </c>
    </row>
    <row r="25958" customFormat="false" ht="15" hidden="false" customHeight="false" outlineLevel="0" collapsed="false">
      <c r="A25958" s="24" t="s">
        <v>574</v>
      </c>
      <c r="B25958" s="25"/>
      <c r="C25958" s="25"/>
      <c r="D25958" s="25"/>
      <c r="E25958" s="25"/>
      <c r="F25958" s="25"/>
      <c r="G25958" s="25"/>
      <c r="H25958" s="25"/>
      <c r="I25958" s="25"/>
      <c r="J25958" s="25"/>
      <c r="K25958" s="25"/>
    </row>
    <row r="25959" customFormat="false" ht="15" hidden="false" customHeight="false" outlineLevel="0" collapsed="false">
      <c r="A25959" s="3" t="s">
        <v>556</v>
      </c>
      <c r="C25959" s="16" t="n">
        <f aca="false">IF(C25948=0,0,C25915/C25948*MAX(0,MIN(C25948,$C$25858-SUM($C$25893:$C$25902)-C25937)))</f>
        <v>0</v>
      </c>
    </row>
    <row r="25960" customFormat="false" ht="15" hidden="false" customHeight="false" outlineLevel="0" collapsed="false">
      <c r="A25960" s="3" t="s">
        <v>557</v>
      </c>
      <c r="C25960" s="16" t="n">
        <f aca="false">IF(C25949=0,0,C25916/C25949*MAX(0,MIN(C25949,$C$25858-SUM($C$25893:$C$25902)-C25938)))</f>
        <v>0</v>
      </c>
    </row>
    <row r="25961" customFormat="false" ht="15" hidden="false" customHeight="false" outlineLevel="0" collapsed="false">
      <c r="A25961" s="3" t="s">
        <v>558</v>
      </c>
      <c r="C25961" s="16" t="n">
        <f aca="false">IF(C25950=0,0,C25917/C25950*MAX(0,MIN(C25950,$C$25858-SUM($C$25893:$C$25902)-C25939)))</f>
        <v>0</v>
      </c>
    </row>
    <row r="25962" customFormat="false" ht="15" hidden="false" customHeight="false" outlineLevel="0" collapsed="false">
      <c r="A25962" s="3" t="s">
        <v>559</v>
      </c>
      <c r="C25962" s="16" t="n">
        <f aca="false">IF(C25951=0,0,C25918/C25951*MAX(0,MIN(C25951,$C$25858-SUM($C$25893:$C$25902)-C25940)))</f>
        <v>0</v>
      </c>
    </row>
    <row r="25963" customFormat="false" ht="15" hidden="false" customHeight="false" outlineLevel="0" collapsed="false">
      <c r="A25963" s="3" t="s">
        <v>560</v>
      </c>
      <c r="C25963" s="16" t="n">
        <f aca="false">IF(C25952=0,0,C25919/C25952*MAX(0,MIN(C25952,$C$25858-SUM($C$25893:$C$25902)-C25941)))</f>
        <v>400.597475427575</v>
      </c>
    </row>
    <row r="25964" customFormat="false" ht="15" hidden="false" customHeight="false" outlineLevel="0" collapsed="false">
      <c r="A25964" s="3" t="s">
        <v>561</v>
      </c>
      <c r="C25964" s="16" t="n">
        <f aca="false">IF(C25953=0,0,C25920/C25953*MAX(0,MIN(C25953,$C$25858-SUM($C$25893:$C$25902)-C25942)))</f>
        <v>357.2625</v>
      </c>
    </row>
    <row r="25965" customFormat="false" ht="15" hidden="false" customHeight="false" outlineLevel="0" collapsed="false">
      <c r="A25965" s="3" t="s">
        <v>562</v>
      </c>
      <c r="C25965" s="16" t="n">
        <f aca="false">IF(C25954=0,0,C25921/C25954*MAX(0,MIN(C25954,$C$25858-SUM($C$25893:$C$25902)-C25943)))</f>
        <v>562.203125</v>
      </c>
    </row>
    <row r="25966" customFormat="false" ht="15" hidden="false" customHeight="false" outlineLevel="0" collapsed="false">
      <c r="A25966" s="3" t="s">
        <v>563</v>
      </c>
      <c r="C25966" s="16" t="n">
        <f aca="false">IF(C25955=0,0,C25922/C25955*MAX(0,MIN(C25955,$C$25858-SUM($C$25893:$C$25902)-C25944)))</f>
        <v>353.98125</v>
      </c>
    </row>
    <row r="25967" customFormat="false" ht="15" hidden="false" customHeight="false" outlineLevel="0" collapsed="false">
      <c r="A25967" s="3" t="s">
        <v>564</v>
      </c>
      <c r="C25967" s="16" t="n">
        <f aca="false">IF(C25956=0,0,C25923/C25956*MAX(0,MIN(C25956,$C$25858-SUM($C$25893:$C$25902)-C25945)))</f>
        <v>304.59375</v>
      </c>
    </row>
    <row r="25968" customFormat="false" ht="15" hidden="false" customHeight="false" outlineLevel="0" collapsed="false">
      <c r="A25968" s="3" t="s">
        <v>565</v>
      </c>
      <c r="C25968" s="16" t="n">
        <f aca="false">IF(C25957=0,0,C25924/C25957*MAX(0,MIN(C25957,$C$25858-SUM($C$25893:$C$25902)-C25946)))</f>
        <v>79.8402465</v>
      </c>
    </row>
    <row r="25969" customFormat="false" ht="15" hidden="false" customHeight="false" outlineLevel="0" collapsed="false">
      <c r="A25969" s="24" t="s">
        <v>575</v>
      </c>
      <c r="B25969" s="25"/>
      <c r="C25969" s="25"/>
      <c r="D25969" s="25"/>
      <c r="E25969" s="25"/>
      <c r="F25969" s="25"/>
      <c r="G25969" s="25"/>
      <c r="H25969" s="25"/>
      <c r="I25969" s="25"/>
      <c r="J25969" s="25"/>
      <c r="K25969" s="25"/>
    </row>
    <row r="25970" customFormat="false" ht="15" hidden="false" customHeight="false" outlineLevel="0" collapsed="false">
      <c r="A25970" s="2" t="s">
        <v>556</v>
      </c>
      <c r="C25970" s="17" t="n">
        <f aca="false">C25893+C25959</f>
        <v>401.8</v>
      </c>
    </row>
    <row r="25971" customFormat="false" ht="15" hidden="false" customHeight="false" outlineLevel="0" collapsed="false">
      <c r="A25971" s="2" t="s">
        <v>557</v>
      </c>
      <c r="C25971" s="17" t="n">
        <f aca="false">C25894+C25960</f>
        <v>91.30725</v>
      </c>
    </row>
    <row r="25972" customFormat="false" ht="15" hidden="false" customHeight="false" outlineLevel="0" collapsed="false">
      <c r="A25972" s="2" t="s">
        <v>558</v>
      </c>
      <c r="C25972" s="17" t="n">
        <f aca="false">C25895+C25961</f>
        <v>58.3715961</v>
      </c>
    </row>
    <row r="25973" customFormat="false" ht="15" hidden="false" customHeight="false" outlineLevel="0" collapsed="false">
      <c r="A25973" s="2" t="s">
        <v>559</v>
      </c>
      <c r="C25973" s="17" t="n">
        <f aca="false">C25896+C25962</f>
        <v>0</v>
      </c>
    </row>
    <row r="25974" customFormat="false" ht="15" hidden="false" customHeight="false" outlineLevel="0" collapsed="false">
      <c r="A25974" s="2" t="s">
        <v>560</v>
      </c>
      <c r="C25974" s="17" t="n">
        <f aca="false">C25897+C25963</f>
        <v>400.597475427575</v>
      </c>
    </row>
    <row r="25975" customFormat="false" ht="15" hidden="false" customHeight="false" outlineLevel="0" collapsed="false">
      <c r="A25975" s="2" t="s">
        <v>561</v>
      </c>
      <c r="C25975" s="17" t="n">
        <f aca="false">C25898+C25964</f>
        <v>357.2625</v>
      </c>
    </row>
    <row r="25976" customFormat="false" ht="15" hidden="false" customHeight="false" outlineLevel="0" collapsed="false">
      <c r="A25976" s="2" t="s">
        <v>562</v>
      </c>
      <c r="C25976" s="17" t="n">
        <f aca="false">C25899+C25965</f>
        <v>562.203125</v>
      </c>
    </row>
    <row r="25977" customFormat="false" ht="15" hidden="false" customHeight="false" outlineLevel="0" collapsed="false">
      <c r="A25977" s="2" t="s">
        <v>563</v>
      </c>
      <c r="C25977" s="17" t="n">
        <f aca="false">C25900+C25966</f>
        <v>353.98125</v>
      </c>
    </row>
    <row r="25978" customFormat="false" ht="15" hidden="false" customHeight="false" outlineLevel="0" collapsed="false">
      <c r="A25978" s="2" t="s">
        <v>564</v>
      </c>
      <c r="C25978" s="17" t="n">
        <f aca="false">C25901+C25967</f>
        <v>304.59375</v>
      </c>
    </row>
    <row r="25979" customFormat="false" ht="15" hidden="false" customHeight="false" outlineLevel="0" collapsed="false">
      <c r="A25979" s="2" t="s">
        <v>565</v>
      </c>
      <c r="C25979" s="17" t="n">
        <f aca="false">C25902+C25968</f>
        <v>79.8402465</v>
      </c>
    </row>
    <row r="25980" customFormat="false" ht="15" hidden="false" customHeight="false" outlineLevel="0" collapsed="false">
      <c r="A25980" s="24" t="s">
        <v>576</v>
      </c>
      <c r="B25980" s="25"/>
      <c r="C25980" s="25"/>
      <c r="D25980" s="25"/>
      <c r="E25980" s="25"/>
      <c r="F25980" s="25"/>
      <c r="G25980" s="25"/>
      <c r="H25980" s="25"/>
      <c r="I25980" s="25"/>
      <c r="J25980" s="25"/>
      <c r="K25980" s="25"/>
    </row>
    <row r="25981" customFormat="false" ht="15" hidden="false" customHeight="false" outlineLevel="0" collapsed="false">
      <c r="A25981" s="3" t="s">
        <v>556</v>
      </c>
      <c r="C25981" s="22" t="n">
        <f aca="false">IF(C25860=0,1,C25970/C25860)</f>
        <v>1</v>
      </c>
    </row>
    <row r="25982" customFormat="false" ht="15" hidden="false" customHeight="false" outlineLevel="0" collapsed="false">
      <c r="A25982" s="3" t="s">
        <v>557</v>
      </c>
      <c r="C25982" s="22" t="n">
        <f aca="false">IF(C25861=0,1,C25971/C25861)</f>
        <v>1</v>
      </c>
    </row>
    <row r="25983" customFormat="false" ht="15" hidden="false" customHeight="false" outlineLevel="0" collapsed="false">
      <c r="A25983" s="3" t="s">
        <v>558</v>
      </c>
      <c r="C25983" s="22" t="n">
        <f aca="false">IF(C25862=0,1,C25972/C25862)</f>
        <v>1</v>
      </c>
    </row>
    <row r="25984" customFormat="false" ht="15" hidden="false" customHeight="false" outlineLevel="0" collapsed="false">
      <c r="A25984" s="3" t="s">
        <v>559</v>
      </c>
      <c r="C25984" s="22" t="n">
        <f aca="false">IF(C25863=0,1,C25973/C25863)</f>
        <v>1</v>
      </c>
    </row>
    <row r="25985" customFormat="false" ht="15" hidden="false" customHeight="false" outlineLevel="0" collapsed="false">
      <c r="A25985" s="3" t="s">
        <v>560</v>
      </c>
      <c r="C25985" s="22" t="n">
        <f aca="false">IF(C25864=0,1,C25974/C25864)</f>
        <v>1</v>
      </c>
    </row>
    <row r="25986" customFormat="false" ht="15" hidden="false" customHeight="false" outlineLevel="0" collapsed="false">
      <c r="A25986" s="3" t="s">
        <v>561</v>
      </c>
      <c r="C25986" s="22" t="n">
        <f aca="false">IF(C25865=0,1,C25975/C25865)</f>
        <v>1</v>
      </c>
    </row>
    <row r="25987" customFormat="false" ht="15" hidden="false" customHeight="false" outlineLevel="0" collapsed="false">
      <c r="A25987" s="3" t="s">
        <v>562</v>
      </c>
      <c r="C25987" s="22" t="n">
        <f aca="false">IF(C25866=0,1,C25976/C25866)</f>
        <v>1</v>
      </c>
    </row>
    <row r="25988" customFormat="false" ht="15" hidden="false" customHeight="false" outlineLevel="0" collapsed="false">
      <c r="A25988" s="3" t="s">
        <v>563</v>
      </c>
      <c r="C25988" s="22" t="n">
        <f aca="false">IF(C25867=0,1,C25977/C25867)</f>
        <v>1</v>
      </c>
    </row>
    <row r="25989" customFormat="false" ht="15" hidden="false" customHeight="false" outlineLevel="0" collapsed="false">
      <c r="A25989" s="3" t="s">
        <v>564</v>
      </c>
      <c r="C25989" s="22" t="n">
        <f aca="false">IF(C25868=0,1,C25978/C25868)</f>
        <v>1</v>
      </c>
    </row>
    <row r="25990" customFormat="false" ht="15" hidden="false" customHeight="false" outlineLevel="0" collapsed="false">
      <c r="A25990" s="3" t="s">
        <v>565</v>
      </c>
      <c r="C25990" s="22" t="n">
        <f aca="false">IF(C25869=0,1,C25979/C25869)</f>
        <v>1</v>
      </c>
    </row>
    <row r="25991" customFormat="false" ht="15" hidden="false" customHeight="false" outlineLevel="0" collapsed="false">
      <c r="A25991" s="24" t="s">
        <v>577</v>
      </c>
      <c r="B25991" s="25"/>
      <c r="C25991" s="25"/>
      <c r="D25991" s="25"/>
      <c r="E25991" s="25"/>
      <c r="F25991" s="25"/>
      <c r="G25991" s="25"/>
      <c r="H25991" s="25"/>
      <c r="I25991" s="25"/>
      <c r="J25991" s="25"/>
      <c r="K25991" s="25"/>
    </row>
    <row r="25992" customFormat="false" ht="15" hidden="false" customHeight="false" outlineLevel="0" collapsed="false">
      <c r="A25992" s="3" t="s">
        <v>556</v>
      </c>
      <c r="C25992" s="16" t="n">
        <f aca="false">C25860-C25970</f>
        <v>0</v>
      </c>
    </row>
    <row r="25993" customFormat="false" ht="15" hidden="false" customHeight="false" outlineLevel="0" collapsed="false">
      <c r="A25993" s="3" t="s">
        <v>557</v>
      </c>
      <c r="C25993" s="16" t="n">
        <f aca="false">C25861-C25971</f>
        <v>0</v>
      </c>
    </row>
    <row r="25994" customFormat="false" ht="15" hidden="false" customHeight="false" outlineLevel="0" collapsed="false">
      <c r="A25994" s="3" t="s">
        <v>558</v>
      </c>
      <c r="C25994" s="16" t="n">
        <f aca="false">C25862-C25972</f>
        <v>0</v>
      </c>
    </row>
    <row r="25995" customFormat="false" ht="15" hidden="false" customHeight="false" outlineLevel="0" collapsed="false">
      <c r="A25995" s="3" t="s">
        <v>559</v>
      </c>
      <c r="C25995" s="16" t="n">
        <f aca="false">C25863-C25973</f>
        <v>0</v>
      </c>
    </row>
    <row r="25996" customFormat="false" ht="15" hidden="false" customHeight="false" outlineLevel="0" collapsed="false">
      <c r="A25996" s="3" t="s">
        <v>560</v>
      </c>
      <c r="C25996" s="16" t="n">
        <f aca="false">C25864-C25974</f>
        <v>0</v>
      </c>
    </row>
    <row r="25997" customFormat="false" ht="15" hidden="false" customHeight="false" outlineLevel="0" collapsed="false">
      <c r="A25997" s="3" t="s">
        <v>561</v>
      </c>
      <c r="C25997" s="16" t="n">
        <f aca="false">C25865-C25975</f>
        <v>0</v>
      </c>
    </row>
    <row r="25998" customFormat="false" ht="15" hidden="false" customHeight="false" outlineLevel="0" collapsed="false">
      <c r="A25998" s="3" t="s">
        <v>562</v>
      </c>
      <c r="C25998" s="16" t="n">
        <f aca="false">C25866-C25976</f>
        <v>0</v>
      </c>
    </row>
    <row r="25999" customFormat="false" ht="15" hidden="false" customHeight="false" outlineLevel="0" collapsed="false">
      <c r="A25999" s="3" t="s">
        <v>563</v>
      </c>
      <c r="C25999" s="16" t="n">
        <f aca="false">C25867-C25977</f>
        <v>0</v>
      </c>
    </row>
    <row r="26000" customFormat="false" ht="15" hidden="false" customHeight="false" outlineLevel="0" collapsed="false">
      <c r="A26000" s="3" t="s">
        <v>564</v>
      </c>
      <c r="C26000" s="16" t="n">
        <f aca="false">C25868-C25978</f>
        <v>0</v>
      </c>
    </row>
    <row r="26001" customFormat="false" ht="15" hidden="false" customHeight="false" outlineLevel="0" collapsed="false">
      <c r="A26001" s="3" t="s">
        <v>565</v>
      </c>
      <c r="C26001" s="16" t="n">
        <f aca="false">C25869-C25979</f>
        <v>0</v>
      </c>
    </row>
    <row r="26002" customFormat="false" ht="15" hidden="false" customHeight="false" outlineLevel="0" collapsed="false">
      <c r="A26002" s="24" t="s">
        <v>578</v>
      </c>
      <c r="B26002" s="25"/>
      <c r="C26002" s="25"/>
      <c r="D26002" s="25"/>
      <c r="E26002" s="25"/>
      <c r="F26002" s="25"/>
      <c r="G26002" s="25"/>
      <c r="H26002" s="25"/>
      <c r="I26002" s="25"/>
      <c r="J26002" s="25"/>
      <c r="K26002" s="25"/>
    </row>
    <row r="26003" customFormat="false" ht="15" hidden="false" customHeight="false" outlineLevel="0" collapsed="false">
      <c r="A26003" s="3" t="s">
        <v>556</v>
      </c>
      <c r="C26003" s="22" t="n">
        <f aca="false">IF(C25860=0,0,C25992/C25860)</f>
        <v>0</v>
      </c>
    </row>
    <row r="26004" customFormat="false" ht="15" hidden="false" customHeight="false" outlineLevel="0" collapsed="false">
      <c r="A26004" s="3" t="s">
        <v>557</v>
      </c>
      <c r="C26004" s="22" t="n">
        <f aca="false">IF(C25861=0,0,C25993/C25861)</f>
        <v>0</v>
      </c>
    </row>
    <row r="26005" customFormat="false" ht="15" hidden="false" customHeight="false" outlineLevel="0" collapsed="false">
      <c r="A26005" s="3" t="s">
        <v>558</v>
      </c>
      <c r="C26005" s="22" t="n">
        <f aca="false">IF(C25862=0,0,C25994/C25862)</f>
        <v>0</v>
      </c>
    </row>
    <row r="26006" customFormat="false" ht="15" hidden="false" customHeight="false" outlineLevel="0" collapsed="false">
      <c r="A26006" s="3" t="s">
        <v>559</v>
      </c>
      <c r="C26006" s="22" t="n">
        <f aca="false">IF(C25863=0,0,C25995/C25863)</f>
        <v>0</v>
      </c>
    </row>
    <row r="26007" customFormat="false" ht="15" hidden="false" customHeight="false" outlineLevel="0" collapsed="false">
      <c r="A26007" s="3" t="s">
        <v>560</v>
      </c>
      <c r="C26007" s="22" t="n">
        <f aca="false">IF(C25864=0,0,C25996/C25864)</f>
        <v>0</v>
      </c>
    </row>
    <row r="26008" customFormat="false" ht="15" hidden="false" customHeight="false" outlineLevel="0" collapsed="false">
      <c r="A26008" s="3" t="s">
        <v>561</v>
      </c>
      <c r="C26008" s="22" t="n">
        <f aca="false">IF(C25865=0,0,C25997/C25865)</f>
        <v>0</v>
      </c>
    </row>
    <row r="26009" customFormat="false" ht="15" hidden="false" customHeight="false" outlineLevel="0" collapsed="false">
      <c r="A26009" s="3" t="s">
        <v>562</v>
      </c>
      <c r="C26009" s="22" t="n">
        <f aca="false">IF(C25866=0,0,C25998/C25866)</f>
        <v>0</v>
      </c>
    </row>
    <row r="26010" customFormat="false" ht="15" hidden="false" customHeight="false" outlineLevel="0" collapsed="false">
      <c r="A26010" s="3" t="s">
        <v>563</v>
      </c>
      <c r="C26010" s="22" t="n">
        <f aca="false">IF(C25867=0,0,C25999/C25867)</f>
        <v>0</v>
      </c>
    </row>
    <row r="26011" customFormat="false" ht="15" hidden="false" customHeight="false" outlineLevel="0" collapsed="false">
      <c r="A26011" s="3" t="s">
        <v>564</v>
      </c>
      <c r="C26011" s="22" t="n">
        <f aca="false">IF(C25868=0,0,C26000/C25868)</f>
        <v>0</v>
      </c>
    </row>
    <row r="26012" customFormat="false" ht="15" hidden="false" customHeight="false" outlineLevel="0" collapsed="false">
      <c r="A26012" s="3" t="s">
        <v>565</v>
      </c>
      <c r="C26012" s="22" t="n">
        <f aca="false">IF(C25869=0,0,C26001/C25869)</f>
        <v>0</v>
      </c>
    </row>
    <row r="26013" customFormat="false" ht="15" hidden="false" customHeight="false" outlineLevel="0" collapsed="false">
      <c r="A26013" s="2" t="s">
        <v>579</v>
      </c>
      <c r="C26013" s="17" t="n">
        <f aca="false">MAX(0,$C$25858-SUM($C$25893:$C$25902)-SUM($C$25915:$C$25924))</f>
        <v>523.519989372425</v>
      </c>
    </row>
    <row r="26014" customFormat="false" ht="15" hidden="false" customHeight="false" outlineLevel="0" collapsed="false">
      <c r="A26014" s="3" t="s">
        <v>580</v>
      </c>
      <c r="C26014" s="16" t="n">
        <f aca="false">SUM($C$25970:$C$25979)+C26013+C25857-C25856</f>
        <v>0</v>
      </c>
    </row>
    <row r="26016" customFormat="false" ht="15" hidden="false" customHeight="false" outlineLevel="0" collapsed="false">
      <c r="A26016" s="24" t="s">
        <v>583</v>
      </c>
      <c r="B26016" s="25"/>
      <c r="C26016" s="25"/>
      <c r="D26016" s="25"/>
      <c r="E26016" s="25"/>
      <c r="F26016" s="25"/>
      <c r="G26016" s="25"/>
      <c r="H26016" s="25"/>
      <c r="I26016" s="25"/>
      <c r="J26016" s="25"/>
      <c r="K26016" s="25"/>
    </row>
    <row r="26017" customFormat="false" ht="15" hidden="false" customHeight="false" outlineLevel="0" collapsed="false">
      <c r="A26017" s="3" t="s">
        <v>584</v>
      </c>
      <c r="C26017" s="27" t="n">
        <f aca="false">Assumptions!$C$34</f>
        <v>1</v>
      </c>
    </row>
    <row r="26018" customFormat="false" ht="15" hidden="false" customHeight="false" outlineLevel="0" collapsed="false">
      <c r="A26018" s="3" t="s">
        <v>585</v>
      </c>
      <c r="C26018" s="29" t="n">
        <f aca="false">Assumptions!$C$35</f>
        <v>100</v>
      </c>
    </row>
    <row r="26019" customFormat="false" ht="15" hidden="false" customHeight="false" outlineLevel="0" collapsed="false">
      <c r="A26019" s="3" t="s">
        <v>586</v>
      </c>
      <c r="C26019" s="40" t="n">
        <f aca="false">Assumptions!$C$36</f>
        <v>98</v>
      </c>
    </row>
    <row r="26020" customFormat="false" ht="15" hidden="false" customHeight="false" outlineLevel="0" collapsed="false">
      <c r="A26020" s="3" t="s">
        <v>587</v>
      </c>
      <c r="C26020" s="16" t="n">
        <f aca="false">C26018*C26019/100*(1+Assumptions!$C$37)</f>
        <v>98.49</v>
      </c>
    </row>
    <row r="26021" customFormat="false" ht="15" hidden="false" customHeight="false" outlineLevel="0" collapsed="false">
      <c r="A26021" s="3" t="s">
        <v>588</v>
      </c>
      <c r="C26021" s="27" t="n">
        <f aca="false">Assumptions!$C$38</f>
        <v>3</v>
      </c>
    </row>
    <row r="26022" customFormat="false" ht="15" hidden="false" customHeight="false" outlineLevel="0" collapsed="false">
      <c r="A26022" s="3" t="s">
        <v>589</v>
      </c>
      <c r="C26022" s="21" t="n">
        <f aca="false">IF(C25849=1,SUMPRODUCT($G$25785:$K$25785,$G$25559:$K$25559),0)</f>
        <v>2</v>
      </c>
    </row>
    <row r="26023" customFormat="false" ht="15" hidden="false" customHeight="false" outlineLevel="0" collapsed="false">
      <c r="A26023" s="3" t="s">
        <v>590</v>
      </c>
      <c r="C26023" s="22" t="n">
        <f aca="false">IFERROR(C26018/CHOOSE(C26017,SUMPRODUCT($G$25848:$K$25848,$G$25605:$K$25605),SUMPRODUCT($G$25848:$K$25848,$G$25618:$K$25618),SUMPRODUCT($G$25848:$K$25848,$G$25631:$K$25631),SUMPRODUCT($G$25848:$K$25848,$G$25644:$K$25644),SUMPRODUCT($G$25848:$K$25848,$G$25657:$K$25657),SUMPRODUCT($G$25848:$K$25848,$G$25670:$K$25670),SUMPRODUCT($G$25848:$K$25848,$G$25683:$K$25683),SUMPRODUCT($G$25848:$K$25848,$G$25696:$K$25696),SUMPRODUCT($G$25848:$K$25848,$G$25709:$K$25709),SUMPRODUCT($G$25848:$K$25848,$G$25722:$K$25722)),0)</f>
        <v>0.255102040816327</v>
      </c>
    </row>
    <row r="26024" customFormat="false" ht="15" hidden="false" customHeight="false" outlineLevel="0" collapsed="false">
      <c r="A26024" s="3" t="s">
        <v>591</v>
      </c>
      <c r="C26024" s="16" t="n">
        <f aca="false">CHOOSE(C26017,C25970,C25971,C25972,C25973,C25974,C25975,C25976,C25977,C25978,C25979)*C26023</f>
        <v>102.5</v>
      </c>
    </row>
    <row r="26025" customFormat="false" ht="15" hidden="false" customHeight="false" outlineLevel="0" collapsed="false">
      <c r="A26025" s="3" t="s">
        <v>592</v>
      </c>
      <c r="C26025" s="22" t="n">
        <f aca="false">CHOOSE(C26017,C25981,C25982,C25983,C25984,C25985,C25986,C25987,C25988,C25989,C25990)</f>
        <v>1</v>
      </c>
    </row>
    <row r="26026" customFormat="false" ht="15" hidden="false" customHeight="false" outlineLevel="0" collapsed="false">
      <c r="A26026" s="3" t="s">
        <v>593</v>
      </c>
      <c r="C26026" s="21" t="n">
        <f aca="false">IF(C25849=1,C26022,C26021)</f>
        <v>2</v>
      </c>
    </row>
    <row r="26027" customFormat="false" ht="15" hidden="false" customHeight="false" outlineLevel="0" collapsed="false">
      <c r="A26027" s="3" t="s">
        <v>594</v>
      </c>
      <c r="C26027" s="35" t="n">
        <f aca="false">CHOOSE($C$25551,Assumptions!$C$91,Assumptions!$C$110,Assumptions!$C$129)</f>
        <v>95</v>
      </c>
    </row>
    <row r="26028" customFormat="false" ht="15" hidden="false" customHeight="false" outlineLevel="0" collapsed="false">
      <c r="A26028" s="3" t="s">
        <v>595</v>
      </c>
      <c r="C26028" s="16" t="n">
        <f aca="false">INDEX($G$25568:$K$25568,C26021)*CHOOSE($C$25551,Assumptions!$C$90,Assumptions!$C$109,Assumptions!$C$128)+MAX(0,INDEX($G$25782:$K$25782,C26021))</f>
        <v>2423.913149823</v>
      </c>
    </row>
    <row r="26029" customFormat="false" ht="15" hidden="false" customHeight="false" outlineLevel="0" collapsed="false">
      <c r="A26029" s="24" t="s">
        <v>596</v>
      </c>
      <c r="B26029" s="25"/>
      <c r="C26029" s="25"/>
      <c r="D26029" s="25"/>
      <c r="E26029" s="25"/>
      <c r="F26029" s="25"/>
      <c r="G26029" s="25"/>
      <c r="H26029" s="25"/>
      <c r="I26029" s="25"/>
      <c r="J26029" s="25"/>
      <c r="K26029" s="25"/>
    </row>
    <row r="26030" customFormat="false" ht="15" hidden="false" customHeight="false" outlineLevel="0" collapsed="false">
      <c r="A26030" s="3" t="s">
        <v>556</v>
      </c>
      <c r="C26030" s="16" t="n">
        <f aca="false">INDEX($G$25605:$K$25605,C26021)</f>
        <v>388</v>
      </c>
    </row>
    <row r="26031" customFormat="false" ht="15" hidden="false" customHeight="false" outlineLevel="0" collapsed="false">
      <c r="A26031" s="3" t="s">
        <v>557</v>
      </c>
      <c r="C26031" s="16" t="n">
        <f aca="false">INDEX($G$25618:$K$25618,C26021)</f>
        <v>90</v>
      </c>
    </row>
    <row r="26032" customFormat="false" ht="15" hidden="false" customHeight="false" outlineLevel="0" collapsed="false">
      <c r="A26032" s="3" t="s">
        <v>558</v>
      </c>
      <c r="C26032" s="16" t="n">
        <f aca="false">INDEX($G$25631:$K$25631,C26021)</f>
        <v>57.324</v>
      </c>
    </row>
    <row r="26033" customFormat="false" ht="15" hidden="false" customHeight="false" outlineLevel="0" collapsed="false">
      <c r="A26033" s="3" t="s">
        <v>559</v>
      </c>
      <c r="C26033" s="16" t="n">
        <f aca="false">INDEX($G$25644:$K$25644,C26021)</f>
        <v>0</v>
      </c>
    </row>
    <row r="26034" customFormat="false" ht="15" hidden="false" customHeight="false" outlineLevel="0" collapsed="false">
      <c r="A26034" s="3" t="s">
        <v>560</v>
      </c>
      <c r="C26034" s="16" t="n">
        <f aca="false">INDEX($G$25657:$K$25657,C26021)</f>
        <v>396.680257881</v>
      </c>
    </row>
    <row r="26035" customFormat="false" ht="15" hidden="false" customHeight="false" outlineLevel="0" collapsed="false">
      <c r="A26035" s="3" t="s">
        <v>561</v>
      </c>
      <c r="C26035" s="16" t="n">
        <f aca="false">INDEX($G$25670:$K$25670,C26021)</f>
        <v>350</v>
      </c>
    </row>
    <row r="26036" customFormat="false" ht="15" hidden="false" customHeight="false" outlineLevel="0" collapsed="false">
      <c r="A26036" s="3" t="s">
        <v>562</v>
      </c>
      <c r="C26036" s="16" t="n">
        <f aca="false">INDEX($G$25683:$K$25683,C26021)</f>
        <v>550</v>
      </c>
    </row>
    <row r="26037" customFormat="false" ht="15" hidden="false" customHeight="false" outlineLevel="0" collapsed="false">
      <c r="A26037" s="3" t="s">
        <v>563</v>
      </c>
      <c r="C26037" s="16" t="n">
        <f aca="false">INDEX($G$25696:$K$25696,C26021)</f>
        <v>350</v>
      </c>
    </row>
    <row r="26038" customFormat="false" ht="15" hidden="false" customHeight="false" outlineLevel="0" collapsed="false">
      <c r="A26038" s="3" t="s">
        <v>564</v>
      </c>
      <c r="C26038" s="16" t="n">
        <f aca="false">INDEX($G$25709:$K$25709,C26021)</f>
        <v>300</v>
      </c>
    </row>
    <row r="26039" customFormat="false" ht="15" hidden="false" customHeight="false" outlineLevel="0" collapsed="false">
      <c r="A26039" s="3" t="s">
        <v>565</v>
      </c>
      <c r="C26039" s="16" t="n">
        <f aca="false">INDEX($G$25722:$K$25722,C26021)</f>
        <v>78.61</v>
      </c>
    </row>
    <row r="26040" customFormat="false" ht="15" hidden="false" customHeight="false" outlineLevel="0" collapsed="false">
      <c r="A26040" s="24" t="s">
        <v>566</v>
      </c>
      <c r="B26040" s="25"/>
      <c r="C26040" s="25"/>
      <c r="D26040" s="25"/>
      <c r="E26040" s="25"/>
      <c r="F26040" s="25"/>
      <c r="G26040" s="25"/>
      <c r="H26040" s="25"/>
      <c r="I26040" s="25"/>
      <c r="J26040" s="25"/>
      <c r="K26040" s="25"/>
    </row>
    <row r="26041" customFormat="false" ht="15" hidden="false" customHeight="false" outlineLevel="0" collapsed="false">
      <c r="A26041" s="3" t="s">
        <v>556</v>
      </c>
      <c r="C26041" s="27" t="n">
        <f aca="false">Assumptions!$M$57</f>
        <v>1</v>
      </c>
    </row>
    <row r="26042" customFormat="false" ht="15" hidden="false" customHeight="false" outlineLevel="0" collapsed="false">
      <c r="A26042" s="3" t="s">
        <v>557</v>
      </c>
      <c r="C26042" s="27" t="n">
        <f aca="false">Assumptions!$M$58</f>
        <v>1</v>
      </c>
    </row>
    <row r="26043" customFormat="false" ht="15" hidden="false" customHeight="false" outlineLevel="0" collapsed="false">
      <c r="A26043" s="3" t="s">
        <v>558</v>
      </c>
      <c r="C26043" s="27" t="n">
        <f aca="false">Assumptions!$M$59</f>
        <v>1</v>
      </c>
    </row>
    <row r="26044" customFormat="false" ht="15" hidden="false" customHeight="false" outlineLevel="0" collapsed="false">
      <c r="A26044" s="3" t="s">
        <v>559</v>
      </c>
      <c r="C26044" s="27" t="n">
        <f aca="false">Assumptions!$M$60</f>
        <v>2</v>
      </c>
    </row>
    <row r="26045" customFormat="false" ht="15" hidden="false" customHeight="false" outlineLevel="0" collapsed="false">
      <c r="A26045" s="3" t="s">
        <v>560</v>
      </c>
      <c r="C26045" s="27" t="n">
        <f aca="false">Assumptions!$M$61</f>
        <v>2</v>
      </c>
    </row>
    <row r="26046" customFormat="false" ht="15" hidden="false" customHeight="false" outlineLevel="0" collapsed="false">
      <c r="A26046" s="3" t="s">
        <v>561</v>
      </c>
      <c r="C26046" s="27" t="n">
        <f aca="false">Assumptions!$M$62</f>
        <v>2</v>
      </c>
    </row>
    <row r="26047" customFormat="false" ht="15" hidden="false" customHeight="false" outlineLevel="0" collapsed="false">
      <c r="A26047" s="3" t="s">
        <v>562</v>
      </c>
      <c r="C26047" s="27" t="n">
        <f aca="false">Assumptions!$M$63</f>
        <v>2</v>
      </c>
    </row>
    <row r="26048" customFormat="false" ht="15" hidden="false" customHeight="false" outlineLevel="0" collapsed="false">
      <c r="A26048" s="3" t="s">
        <v>563</v>
      </c>
      <c r="C26048" s="27" t="n">
        <f aca="false">Assumptions!$M$64</f>
        <v>2</v>
      </c>
    </row>
    <row r="26049" customFormat="false" ht="15" hidden="false" customHeight="false" outlineLevel="0" collapsed="false">
      <c r="A26049" s="3" t="s">
        <v>564</v>
      </c>
      <c r="C26049" s="27" t="n">
        <f aca="false">Assumptions!$M$65</f>
        <v>2</v>
      </c>
    </row>
    <row r="26050" customFormat="false" ht="15" hidden="false" customHeight="false" outlineLevel="0" collapsed="false">
      <c r="A26050" s="3" t="s">
        <v>565</v>
      </c>
      <c r="C26050" s="27" t="n">
        <f aca="false">Assumptions!$M$66</f>
        <v>3</v>
      </c>
    </row>
    <row r="26051" customFormat="false" ht="15" hidden="false" customHeight="false" outlineLevel="0" collapsed="false">
      <c r="A26051" s="24" t="s">
        <v>567</v>
      </c>
      <c r="B26051" s="25"/>
      <c r="C26051" s="25"/>
      <c r="D26051" s="25"/>
      <c r="E26051" s="25"/>
      <c r="F26051" s="25"/>
      <c r="G26051" s="25"/>
      <c r="H26051" s="25"/>
      <c r="I26051" s="25"/>
      <c r="J26051" s="25"/>
      <c r="K26051" s="25"/>
    </row>
    <row r="26052" customFormat="false" ht="15" hidden="false" customHeight="false" outlineLevel="0" collapsed="false">
      <c r="A26052" s="3" t="s">
        <v>556</v>
      </c>
      <c r="C26052" s="33" t="n">
        <f aca="false">Assumptions!$Q$57</f>
        <v>0.3</v>
      </c>
    </row>
    <row r="26053" customFormat="false" ht="15" hidden="false" customHeight="false" outlineLevel="0" collapsed="false">
      <c r="A26053" s="3" t="s">
        <v>557</v>
      </c>
      <c r="C26053" s="33" t="n">
        <f aca="false">Assumptions!$Q$58</f>
        <v>0.033</v>
      </c>
    </row>
    <row r="26054" customFormat="false" ht="15" hidden="false" customHeight="false" outlineLevel="0" collapsed="false">
      <c r="A26054" s="3" t="s">
        <v>558</v>
      </c>
      <c r="C26054" s="33" t="n">
        <f aca="false">Assumptions!$Q$59</f>
        <v>0.021</v>
      </c>
    </row>
    <row r="26055" customFormat="false" ht="15" hidden="false" customHeight="false" outlineLevel="0" collapsed="false">
      <c r="A26055" s="3" t="s">
        <v>559</v>
      </c>
      <c r="C26055" s="33" t="n">
        <f aca="false">Assumptions!$Q$60</f>
        <v>0</v>
      </c>
    </row>
    <row r="26056" customFormat="false" ht="15" hidden="false" customHeight="false" outlineLevel="0" collapsed="false">
      <c r="A26056" s="3" t="s">
        <v>560</v>
      </c>
      <c r="C26056" s="33" t="n">
        <f aca="false">Assumptions!$Q$61</f>
        <v>0</v>
      </c>
    </row>
    <row r="26057" customFormat="false" ht="15" hidden="false" customHeight="false" outlineLevel="0" collapsed="false">
      <c r="A26057" s="3" t="s">
        <v>561</v>
      </c>
      <c r="C26057" s="33" t="n">
        <f aca="false">Assumptions!$Q$62</f>
        <v>0</v>
      </c>
    </row>
    <row r="26058" customFormat="false" ht="15" hidden="false" customHeight="false" outlineLevel="0" collapsed="false">
      <c r="A26058" s="3" t="s">
        <v>562</v>
      </c>
      <c r="C26058" s="33" t="n">
        <f aca="false">Assumptions!$Q$63</f>
        <v>0</v>
      </c>
    </row>
    <row r="26059" customFormat="false" ht="15" hidden="false" customHeight="false" outlineLevel="0" collapsed="false">
      <c r="A26059" s="3" t="s">
        <v>563</v>
      </c>
      <c r="C26059" s="33" t="n">
        <f aca="false">Assumptions!$Q$64</f>
        <v>0</v>
      </c>
    </row>
    <row r="26060" customFormat="false" ht="15" hidden="false" customHeight="false" outlineLevel="0" collapsed="false">
      <c r="A26060" s="3" t="s">
        <v>564</v>
      </c>
      <c r="C26060" s="33" t="n">
        <f aca="false">Assumptions!$Q$65</f>
        <v>0</v>
      </c>
    </row>
    <row r="26061" customFormat="false" ht="15" hidden="false" customHeight="false" outlineLevel="0" collapsed="false">
      <c r="A26061" s="3" t="s">
        <v>565</v>
      </c>
      <c r="C26061" s="33" t="n">
        <f aca="false">Assumptions!$Q$66</f>
        <v>0</v>
      </c>
    </row>
    <row r="26062" customFormat="false" ht="15" hidden="false" customHeight="false" outlineLevel="0" collapsed="false">
      <c r="A26062" s="24" t="s">
        <v>568</v>
      </c>
      <c r="B26062" s="25"/>
      <c r="C26062" s="25"/>
      <c r="D26062" s="25"/>
      <c r="E26062" s="25"/>
      <c r="F26062" s="25"/>
      <c r="G26062" s="25"/>
      <c r="H26062" s="25"/>
      <c r="I26062" s="25"/>
      <c r="J26062" s="25"/>
      <c r="K26062" s="25"/>
    </row>
    <row r="26063" customFormat="false" ht="15" hidden="false" customHeight="false" outlineLevel="0" collapsed="false">
      <c r="A26063" s="3" t="s">
        <v>556</v>
      </c>
      <c r="C26063" s="16" t="n">
        <f aca="false">IF(C26052&gt;0,MIN(C26030,C26052*$C$26028),0)</f>
        <v>388</v>
      </c>
    </row>
    <row r="26064" customFormat="false" ht="15" hidden="false" customHeight="false" outlineLevel="0" collapsed="false">
      <c r="A26064" s="3" t="s">
        <v>557</v>
      </c>
      <c r="C26064" s="16" t="n">
        <f aca="false">IF(C26053&gt;0,MIN(C26031,C26053*$C$26028),0)</f>
        <v>79.989133944159</v>
      </c>
    </row>
    <row r="26065" customFormat="false" ht="15" hidden="false" customHeight="false" outlineLevel="0" collapsed="false">
      <c r="A26065" s="3" t="s">
        <v>558</v>
      </c>
      <c r="C26065" s="16" t="n">
        <f aca="false">IF(C26054&gt;0,MIN(C26032,C26054*$C$26028),0)</f>
        <v>50.902176146283</v>
      </c>
    </row>
    <row r="26066" customFormat="false" ht="15" hidden="false" customHeight="false" outlineLevel="0" collapsed="false">
      <c r="A26066" s="3" t="s">
        <v>559</v>
      </c>
      <c r="C26066" s="16" t="n">
        <f aca="false">IF(C26055&gt;0,MIN(C26033,C26055*$C$26028),0)</f>
        <v>0</v>
      </c>
    </row>
    <row r="26067" customFormat="false" ht="15" hidden="false" customHeight="false" outlineLevel="0" collapsed="false">
      <c r="A26067" s="3" t="s">
        <v>560</v>
      </c>
      <c r="C26067" s="16" t="n">
        <f aca="false">IF(C26056&gt;0,MIN(C26034,C26056*$C$26028),0)</f>
        <v>0</v>
      </c>
    </row>
    <row r="26068" customFormat="false" ht="15" hidden="false" customHeight="false" outlineLevel="0" collapsed="false">
      <c r="A26068" s="3" t="s">
        <v>561</v>
      </c>
      <c r="C26068" s="16" t="n">
        <f aca="false">IF(C26057&gt;0,MIN(C26035,C26057*$C$26028),0)</f>
        <v>0</v>
      </c>
    </row>
    <row r="26069" customFormat="false" ht="15" hidden="false" customHeight="false" outlineLevel="0" collapsed="false">
      <c r="A26069" s="3" t="s">
        <v>562</v>
      </c>
      <c r="C26069" s="16" t="n">
        <f aca="false">IF(C26058&gt;0,MIN(C26036,C26058*$C$26028),0)</f>
        <v>0</v>
      </c>
    </row>
    <row r="26070" customFormat="false" ht="15" hidden="false" customHeight="false" outlineLevel="0" collapsed="false">
      <c r="A26070" s="3" t="s">
        <v>563</v>
      </c>
      <c r="C26070" s="16" t="n">
        <f aca="false">IF(C26059&gt;0,MIN(C26037,C26059*$C$26028),0)</f>
        <v>0</v>
      </c>
    </row>
    <row r="26071" customFormat="false" ht="15" hidden="false" customHeight="false" outlineLevel="0" collapsed="false">
      <c r="A26071" s="3" t="s">
        <v>564</v>
      </c>
      <c r="C26071" s="16" t="n">
        <f aca="false">IF(C26060&gt;0,MIN(C26038,C26060*$C$26028),0)</f>
        <v>0</v>
      </c>
    </row>
    <row r="26072" customFormat="false" ht="15" hidden="false" customHeight="false" outlineLevel="0" collapsed="false">
      <c r="A26072" s="3" t="s">
        <v>565</v>
      </c>
      <c r="C26072" s="16" t="n">
        <f aca="false">IF(C26061&gt;0,MIN(C26039,C26061*$C$26028),0)</f>
        <v>0</v>
      </c>
    </row>
    <row r="26073" customFormat="false" ht="15" hidden="false" customHeight="false" outlineLevel="0" collapsed="false">
      <c r="A26073" s="24" t="s">
        <v>569</v>
      </c>
      <c r="B26073" s="25"/>
      <c r="C26073" s="25"/>
      <c r="D26073" s="25"/>
      <c r="E26073" s="25"/>
      <c r="F26073" s="25"/>
      <c r="G26073" s="25"/>
      <c r="H26073" s="25"/>
      <c r="I26073" s="25"/>
      <c r="J26073" s="25"/>
      <c r="K26073" s="25"/>
    </row>
    <row r="26074" customFormat="false" ht="15" hidden="false" customHeight="false" outlineLevel="0" collapsed="false">
      <c r="A26074" s="3" t="s">
        <v>556</v>
      </c>
      <c r="C26074" s="16" t="n">
        <f aca="false">IF(C26052&gt;0,C26030-C26063,0)</f>
        <v>0</v>
      </c>
    </row>
    <row r="26075" customFormat="false" ht="15" hidden="false" customHeight="false" outlineLevel="0" collapsed="false">
      <c r="A26075" s="3" t="s">
        <v>557</v>
      </c>
      <c r="C26075" s="16" t="n">
        <f aca="false">IF(C26053&gt;0,C26031-C26064,0)</f>
        <v>10.010866055841</v>
      </c>
    </row>
    <row r="26076" customFormat="false" ht="15" hidden="false" customHeight="false" outlineLevel="0" collapsed="false">
      <c r="A26076" s="3" t="s">
        <v>558</v>
      </c>
      <c r="C26076" s="16" t="n">
        <f aca="false">IF(C26054&gt;0,C26032-C26065,0)</f>
        <v>6.42182385371699</v>
      </c>
    </row>
    <row r="26077" customFormat="false" ht="15" hidden="false" customHeight="false" outlineLevel="0" collapsed="false">
      <c r="A26077" s="3" t="s">
        <v>559</v>
      </c>
      <c r="C26077" s="16" t="n">
        <f aca="false">IF(C26055&gt;0,C26033-C26066,0)</f>
        <v>0</v>
      </c>
    </row>
    <row r="26078" customFormat="false" ht="15" hidden="false" customHeight="false" outlineLevel="0" collapsed="false">
      <c r="A26078" s="3" t="s">
        <v>560</v>
      </c>
      <c r="C26078" s="16" t="n">
        <f aca="false">IF(C26056&gt;0,C26034-C26067,0)</f>
        <v>0</v>
      </c>
    </row>
    <row r="26079" customFormat="false" ht="15" hidden="false" customHeight="false" outlineLevel="0" collapsed="false">
      <c r="A26079" s="3" t="s">
        <v>561</v>
      </c>
      <c r="C26079" s="16" t="n">
        <f aca="false">IF(C26057&gt;0,C26035-C26068,0)</f>
        <v>0</v>
      </c>
    </row>
    <row r="26080" customFormat="false" ht="15" hidden="false" customHeight="false" outlineLevel="0" collapsed="false">
      <c r="A26080" s="3" t="s">
        <v>562</v>
      </c>
      <c r="C26080" s="16" t="n">
        <f aca="false">IF(C26058&gt;0,C26036-C26069,0)</f>
        <v>0</v>
      </c>
    </row>
    <row r="26081" customFormat="false" ht="15" hidden="false" customHeight="false" outlineLevel="0" collapsed="false">
      <c r="A26081" s="3" t="s">
        <v>563</v>
      </c>
      <c r="C26081" s="16" t="n">
        <f aca="false">IF(C26059&gt;0,C26037-C26070,0)</f>
        <v>0</v>
      </c>
    </row>
    <row r="26082" customFormat="false" ht="15" hidden="false" customHeight="false" outlineLevel="0" collapsed="false">
      <c r="A26082" s="3" t="s">
        <v>564</v>
      </c>
      <c r="C26082" s="16" t="n">
        <f aca="false">IF(C26060&gt;0,C26038-C26071,0)</f>
        <v>0</v>
      </c>
    </row>
    <row r="26083" customFormat="false" ht="15" hidden="false" customHeight="false" outlineLevel="0" collapsed="false">
      <c r="A26083" s="3" t="s">
        <v>565</v>
      </c>
      <c r="C26083" s="16" t="n">
        <f aca="false">IF(C26061&gt;0,C26039-C26072,0)</f>
        <v>0</v>
      </c>
    </row>
    <row r="26084" customFormat="false" ht="15" hidden="false" customHeight="false" outlineLevel="0" collapsed="false">
      <c r="A26084" s="24" t="s">
        <v>570</v>
      </c>
      <c r="B26084" s="25"/>
      <c r="C26084" s="25"/>
      <c r="D26084" s="25"/>
      <c r="E26084" s="25"/>
      <c r="F26084" s="25"/>
      <c r="G26084" s="25"/>
      <c r="H26084" s="25"/>
      <c r="I26084" s="25"/>
      <c r="J26084" s="25"/>
      <c r="K26084" s="25"/>
    </row>
    <row r="26085" customFormat="false" ht="15" hidden="false" customHeight="false" outlineLevel="0" collapsed="false">
      <c r="A26085" s="3" t="s">
        <v>556</v>
      </c>
      <c r="C26085" s="16" t="n">
        <f aca="false">IF(C26052&gt;0,C26074,C26030)</f>
        <v>0</v>
      </c>
    </row>
    <row r="26086" customFormat="false" ht="15" hidden="false" customHeight="false" outlineLevel="0" collapsed="false">
      <c r="A26086" s="3" t="s">
        <v>557</v>
      </c>
      <c r="C26086" s="16" t="n">
        <f aca="false">IF(C26053&gt;0,C26075,C26031)</f>
        <v>10.010866055841</v>
      </c>
    </row>
    <row r="26087" customFormat="false" ht="15" hidden="false" customHeight="false" outlineLevel="0" collapsed="false">
      <c r="A26087" s="3" t="s">
        <v>558</v>
      </c>
      <c r="C26087" s="16" t="n">
        <f aca="false">IF(C26054&gt;0,C26076,C26032)</f>
        <v>6.42182385371699</v>
      </c>
    </row>
    <row r="26088" customFormat="false" ht="15" hidden="false" customHeight="false" outlineLevel="0" collapsed="false">
      <c r="A26088" s="3" t="s">
        <v>559</v>
      </c>
      <c r="C26088" s="16" t="n">
        <f aca="false">IF(C26055&gt;0,C26077,C26033)</f>
        <v>0</v>
      </c>
    </row>
    <row r="26089" customFormat="false" ht="15" hidden="false" customHeight="false" outlineLevel="0" collapsed="false">
      <c r="A26089" s="3" t="s">
        <v>560</v>
      </c>
      <c r="C26089" s="16" t="n">
        <f aca="false">IF(C26056&gt;0,C26078,C26034)</f>
        <v>396.680257881</v>
      </c>
    </row>
    <row r="26090" customFormat="false" ht="15" hidden="false" customHeight="false" outlineLevel="0" collapsed="false">
      <c r="A26090" s="3" t="s">
        <v>561</v>
      </c>
      <c r="C26090" s="16" t="n">
        <f aca="false">IF(C26057&gt;0,C26079,C26035)</f>
        <v>350</v>
      </c>
    </row>
    <row r="26091" customFormat="false" ht="15" hidden="false" customHeight="false" outlineLevel="0" collapsed="false">
      <c r="A26091" s="3" t="s">
        <v>562</v>
      </c>
      <c r="C26091" s="16" t="n">
        <f aca="false">IF(C26058&gt;0,C26080,C26036)</f>
        <v>550</v>
      </c>
    </row>
    <row r="26092" customFormat="false" ht="15" hidden="false" customHeight="false" outlineLevel="0" collapsed="false">
      <c r="A26092" s="3" t="s">
        <v>563</v>
      </c>
      <c r="C26092" s="16" t="n">
        <f aca="false">IF(C26059&gt;0,C26081,C26037)</f>
        <v>350</v>
      </c>
    </row>
    <row r="26093" customFormat="false" ht="15" hidden="false" customHeight="false" outlineLevel="0" collapsed="false">
      <c r="A26093" s="3" t="s">
        <v>564</v>
      </c>
      <c r="C26093" s="16" t="n">
        <f aca="false">IF(C26060&gt;0,C26082,C26038)</f>
        <v>300</v>
      </c>
    </row>
    <row r="26094" customFormat="false" ht="15" hidden="false" customHeight="false" outlineLevel="0" collapsed="false">
      <c r="A26094" s="3" t="s">
        <v>565</v>
      </c>
      <c r="C26094" s="16" t="n">
        <f aca="false">IF(C26061&gt;0,C26083,C26039)</f>
        <v>78.61</v>
      </c>
    </row>
    <row r="26095" customFormat="false" ht="15" hidden="false" customHeight="false" outlineLevel="0" collapsed="false">
      <c r="A26095" s="24" t="s">
        <v>571</v>
      </c>
      <c r="B26095" s="25"/>
      <c r="C26095" s="25"/>
      <c r="D26095" s="25"/>
      <c r="E26095" s="25"/>
      <c r="F26095" s="25"/>
      <c r="G26095" s="25"/>
      <c r="H26095" s="25"/>
      <c r="I26095" s="25"/>
      <c r="J26095" s="25"/>
      <c r="K26095" s="25"/>
    </row>
    <row r="26096" customFormat="false" ht="15" hidden="false" customHeight="false" outlineLevel="0" collapsed="false">
      <c r="A26096" s="3" t="s">
        <v>556</v>
      </c>
      <c r="C26096" s="21" t="n">
        <f aca="false">IF(C26052&gt;0,Assumptions!$C$17,C26041)</f>
        <v>99</v>
      </c>
    </row>
    <row r="26097" customFormat="false" ht="15" hidden="false" customHeight="false" outlineLevel="0" collapsed="false">
      <c r="A26097" s="3" t="s">
        <v>557</v>
      </c>
      <c r="C26097" s="21" t="n">
        <f aca="false">IF(C26053&gt;0,Assumptions!$C$17,C26042)</f>
        <v>99</v>
      </c>
    </row>
    <row r="26098" customFormat="false" ht="15" hidden="false" customHeight="false" outlineLevel="0" collapsed="false">
      <c r="A26098" s="3" t="s">
        <v>558</v>
      </c>
      <c r="C26098" s="21" t="n">
        <f aca="false">IF(C26054&gt;0,Assumptions!$C$17,C26043)</f>
        <v>99</v>
      </c>
    </row>
    <row r="26099" customFormat="false" ht="15" hidden="false" customHeight="false" outlineLevel="0" collapsed="false">
      <c r="A26099" s="3" t="s">
        <v>559</v>
      </c>
      <c r="C26099" s="21" t="n">
        <f aca="false">IF(C26055&gt;0,Assumptions!$C$17,C26044)</f>
        <v>2</v>
      </c>
    </row>
    <row r="26100" customFormat="false" ht="15" hidden="false" customHeight="false" outlineLevel="0" collapsed="false">
      <c r="A26100" s="3" t="s">
        <v>560</v>
      </c>
      <c r="C26100" s="21" t="n">
        <f aca="false">IF(C26056&gt;0,Assumptions!$C$17,C26045)</f>
        <v>2</v>
      </c>
    </row>
    <row r="26101" customFormat="false" ht="15" hidden="false" customHeight="false" outlineLevel="0" collapsed="false">
      <c r="A26101" s="3" t="s">
        <v>561</v>
      </c>
      <c r="C26101" s="21" t="n">
        <f aca="false">IF(C26057&gt;0,Assumptions!$C$17,C26046)</f>
        <v>2</v>
      </c>
    </row>
    <row r="26102" customFormat="false" ht="15" hidden="false" customHeight="false" outlineLevel="0" collapsed="false">
      <c r="A26102" s="3" t="s">
        <v>562</v>
      </c>
      <c r="C26102" s="21" t="n">
        <f aca="false">IF(C26058&gt;0,Assumptions!$C$17,C26047)</f>
        <v>2</v>
      </c>
    </row>
    <row r="26103" customFormat="false" ht="15" hidden="false" customHeight="false" outlineLevel="0" collapsed="false">
      <c r="A26103" s="3" t="s">
        <v>563</v>
      </c>
      <c r="C26103" s="21" t="n">
        <f aca="false">IF(C26059&gt;0,Assumptions!$C$17,C26048)</f>
        <v>2</v>
      </c>
    </row>
    <row r="26104" customFormat="false" ht="15" hidden="false" customHeight="false" outlineLevel="0" collapsed="false">
      <c r="A26104" s="3" t="s">
        <v>564</v>
      </c>
      <c r="C26104" s="21" t="n">
        <f aca="false">IF(C26060&gt;0,Assumptions!$C$17,C26049)</f>
        <v>2</v>
      </c>
    </row>
    <row r="26105" customFormat="false" ht="15" hidden="false" customHeight="false" outlineLevel="0" collapsed="false">
      <c r="A26105" s="3" t="s">
        <v>565</v>
      </c>
      <c r="C26105" s="21" t="n">
        <f aca="false">IF(C26061&gt;0,Assumptions!$C$17,C26050)</f>
        <v>3</v>
      </c>
    </row>
    <row r="26106" customFormat="false" ht="15" hidden="false" customHeight="false" outlineLevel="0" collapsed="false">
      <c r="A26106" s="24" t="s">
        <v>572</v>
      </c>
      <c r="B26106" s="25"/>
      <c r="C26106" s="25"/>
      <c r="D26106" s="25"/>
      <c r="E26106" s="25"/>
      <c r="F26106" s="25"/>
      <c r="G26106" s="25"/>
      <c r="H26106" s="25"/>
      <c r="I26106" s="25"/>
      <c r="J26106" s="25"/>
      <c r="K26106" s="25"/>
    </row>
    <row r="26107" customFormat="false" ht="15" hidden="false" customHeight="false" outlineLevel="0" collapsed="false">
      <c r="A26107" s="3" t="s">
        <v>556</v>
      </c>
      <c r="C26107" s="16" t="n">
        <f aca="false">SUMPRODUCT(($C$26096:$C$26105&lt;C26096)*$C$26085:$C$26094)</f>
        <v>2025.290257881</v>
      </c>
    </row>
    <row r="26108" customFormat="false" ht="15" hidden="false" customHeight="false" outlineLevel="0" collapsed="false">
      <c r="A26108" s="3" t="s">
        <v>557</v>
      </c>
      <c r="C26108" s="16" t="n">
        <f aca="false">SUMPRODUCT(($C$26096:$C$26105&lt;C26097)*$C$26085:$C$26094)</f>
        <v>2025.290257881</v>
      </c>
    </row>
    <row r="26109" customFormat="false" ht="15" hidden="false" customHeight="false" outlineLevel="0" collapsed="false">
      <c r="A26109" s="3" t="s">
        <v>558</v>
      </c>
      <c r="C26109" s="16" t="n">
        <f aca="false">SUMPRODUCT(($C$26096:$C$26105&lt;C26098)*$C$26085:$C$26094)</f>
        <v>2025.290257881</v>
      </c>
    </row>
    <row r="26110" customFormat="false" ht="15" hidden="false" customHeight="false" outlineLevel="0" collapsed="false">
      <c r="A26110" s="3" t="s">
        <v>559</v>
      </c>
      <c r="C26110" s="16" t="n">
        <f aca="false">SUMPRODUCT(($C$26096:$C$26105&lt;C26099)*$C$26085:$C$26094)</f>
        <v>0</v>
      </c>
    </row>
    <row r="26111" customFormat="false" ht="15" hidden="false" customHeight="false" outlineLevel="0" collapsed="false">
      <c r="A26111" s="3" t="s">
        <v>560</v>
      </c>
      <c r="C26111" s="16" t="n">
        <f aca="false">SUMPRODUCT(($C$26096:$C$26105&lt;C26100)*$C$26085:$C$26094)</f>
        <v>0</v>
      </c>
    </row>
    <row r="26112" customFormat="false" ht="15" hidden="false" customHeight="false" outlineLevel="0" collapsed="false">
      <c r="A26112" s="3" t="s">
        <v>561</v>
      </c>
      <c r="C26112" s="16" t="n">
        <f aca="false">SUMPRODUCT(($C$26096:$C$26105&lt;C26101)*$C$26085:$C$26094)</f>
        <v>0</v>
      </c>
    </row>
    <row r="26113" customFormat="false" ht="15" hidden="false" customHeight="false" outlineLevel="0" collapsed="false">
      <c r="A26113" s="3" t="s">
        <v>562</v>
      </c>
      <c r="C26113" s="16" t="n">
        <f aca="false">SUMPRODUCT(($C$26096:$C$26105&lt;C26102)*$C$26085:$C$26094)</f>
        <v>0</v>
      </c>
    </row>
    <row r="26114" customFormat="false" ht="15" hidden="false" customHeight="false" outlineLevel="0" collapsed="false">
      <c r="A26114" s="3" t="s">
        <v>563</v>
      </c>
      <c r="C26114" s="16" t="n">
        <f aca="false">SUMPRODUCT(($C$26096:$C$26105&lt;C26103)*$C$26085:$C$26094)</f>
        <v>0</v>
      </c>
    </row>
    <row r="26115" customFormat="false" ht="15" hidden="false" customHeight="false" outlineLevel="0" collapsed="false">
      <c r="A26115" s="3" t="s">
        <v>564</v>
      </c>
      <c r="C26115" s="16" t="n">
        <f aca="false">SUMPRODUCT(($C$26096:$C$26105&lt;C26104)*$C$26085:$C$26094)</f>
        <v>0</v>
      </c>
    </row>
    <row r="26116" customFormat="false" ht="15" hidden="false" customHeight="false" outlineLevel="0" collapsed="false">
      <c r="A26116" s="3" t="s">
        <v>565</v>
      </c>
      <c r="C26116" s="16" t="n">
        <f aca="false">SUMPRODUCT(($C$26096:$C$26105&lt;C26105)*$C$26085:$C$26094)</f>
        <v>1946.680257881</v>
      </c>
    </row>
    <row r="26117" customFormat="false" ht="15" hidden="false" customHeight="false" outlineLevel="0" collapsed="false">
      <c r="A26117" s="24" t="s">
        <v>573</v>
      </c>
      <c r="B26117" s="25"/>
      <c r="C26117" s="25"/>
      <c r="D26117" s="25"/>
      <c r="E26117" s="25"/>
      <c r="F26117" s="25"/>
      <c r="G26117" s="25"/>
      <c r="H26117" s="25"/>
      <c r="I26117" s="25"/>
      <c r="J26117" s="25"/>
      <c r="K26117" s="25"/>
    </row>
    <row r="26118" customFormat="false" ht="15" hidden="false" customHeight="false" outlineLevel="0" collapsed="false">
      <c r="A26118" s="3" t="s">
        <v>556</v>
      </c>
      <c r="C26118" s="16" t="n">
        <f aca="false">SUMPRODUCT(($C$26096:$C$26105=C26096)*$C$26085:$C$26094)</f>
        <v>16.432689909558</v>
      </c>
    </row>
    <row r="26119" customFormat="false" ht="15" hidden="false" customHeight="false" outlineLevel="0" collapsed="false">
      <c r="A26119" s="3" t="s">
        <v>557</v>
      </c>
      <c r="C26119" s="16" t="n">
        <f aca="false">SUMPRODUCT(($C$26096:$C$26105=C26097)*$C$26085:$C$26094)</f>
        <v>16.432689909558</v>
      </c>
    </row>
    <row r="26120" customFormat="false" ht="15" hidden="false" customHeight="false" outlineLevel="0" collapsed="false">
      <c r="A26120" s="3" t="s">
        <v>558</v>
      </c>
      <c r="C26120" s="16" t="n">
        <f aca="false">SUMPRODUCT(($C$26096:$C$26105=C26098)*$C$26085:$C$26094)</f>
        <v>16.432689909558</v>
      </c>
    </row>
    <row r="26121" customFormat="false" ht="15" hidden="false" customHeight="false" outlineLevel="0" collapsed="false">
      <c r="A26121" s="3" t="s">
        <v>559</v>
      </c>
      <c r="C26121" s="16" t="n">
        <f aca="false">SUMPRODUCT(($C$26096:$C$26105=C26099)*$C$26085:$C$26094)</f>
        <v>1946.680257881</v>
      </c>
    </row>
    <row r="26122" customFormat="false" ht="15" hidden="false" customHeight="false" outlineLevel="0" collapsed="false">
      <c r="A26122" s="3" t="s">
        <v>560</v>
      </c>
      <c r="C26122" s="16" t="n">
        <f aca="false">SUMPRODUCT(($C$26096:$C$26105=C26100)*$C$26085:$C$26094)</f>
        <v>1946.680257881</v>
      </c>
    </row>
    <row r="26123" customFormat="false" ht="15" hidden="false" customHeight="false" outlineLevel="0" collapsed="false">
      <c r="A26123" s="3" t="s">
        <v>561</v>
      </c>
      <c r="C26123" s="16" t="n">
        <f aca="false">SUMPRODUCT(($C$26096:$C$26105=C26101)*$C$26085:$C$26094)</f>
        <v>1946.680257881</v>
      </c>
    </row>
    <row r="26124" customFormat="false" ht="15" hidden="false" customHeight="false" outlineLevel="0" collapsed="false">
      <c r="A26124" s="3" t="s">
        <v>562</v>
      </c>
      <c r="C26124" s="16" t="n">
        <f aca="false">SUMPRODUCT(($C$26096:$C$26105=C26102)*$C$26085:$C$26094)</f>
        <v>1946.680257881</v>
      </c>
    </row>
    <row r="26125" customFormat="false" ht="15" hidden="false" customHeight="false" outlineLevel="0" collapsed="false">
      <c r="A26125" s="3" t="s">
        <v>563</v>
      </c>
      <c r="C26125" s="16" t="n">
        <f aca="false">SUMPRODUCT(($C$26096:$C$26105=C26103)*$C$26085:$C$26094)</f>
        <v>1946.680257881</v>
      </c>
    </row>
    <row r="26126" customFormat="false" ht="15" hidden="false" customHeight="false" outlineLevel="0" collapsed="false">
      <c r="A26126" s="3" t="s">
        <v>564</v>
      </c>
      <c r="C26126" s="16" t="n">
        <f aca="false">SUMPRODUCT(($C$26096:$C$26105=C26104)*$C$26085:$C$26094)</f>
        <v>1946.680257881</v>
      </c>
    </row>
    <row r="26127" customFormat="false" ht="15" hidden="false" customHeight="false" outlineLevel="0" collapsed="false">
      <c r="A26127" s="3" t="s">
        <v>565</v>
      </c>
      <c r="C26127" s="16" t="n">
        <f aca="false">SUMPRODUCT(($C$26096:$C$26105=C26105)*$C$26085:$C$26094)</f>
        <v>78.61</v>
      </c>
    </row>
    <row r="26128" customFormat="false" ht="15" hidden="false" customHeight="false" outlineLevel="0" collapsed="false">
      <c r="A26128" s="24" t="s">
        <v>574</v>
      </c>
      <c r="B26128" s="25"/>
      <c r="C26128" s="25"/>
      <c r="D26128" s="25"/>
      <c r="E26128" s="25"/>
      <c r="F26128" s="25"/>
      <c r="G26128" s="25"/>
      <c r="H26128" s="25"/>
      <c r="I26128" s="25"/>
      <c r="J26128" s="25"/>
      <c r="K26128" s="25"/>
    </row>
    <row r="26129" customFormat="false" ht="15" hidden="false" customHeight="false" outlineLevel="0" collapsed="false">
      <c r="A26129" s="3" t="s">
        <v>556</v>
      </c>
      <c r="C26129" s="16" t="n">
        <f aca="false">IF(C26118=0,0,C26085/C26118*MAX(0,MIN(C26118,$C$26028-SUM($C$26063:$C$26072)-C26107)))</f>
        <v>0</v>
      </c>
    </row>
    <row r="26130" customFormat="false" ht="15" hidden="false" customHeight="false" outlineLevel="0" collapsed="false">
      <c r="A26130" s="3" t="s">
        <v>557</v>
      </c>
      <c r="C26130" s="16" t="n">
        <f aca="false">IF(C26119=0,0,C26086/C26119*MAX(0,MIN(C26119,$C$26028-SUM($C$26063:$C$26072)-C26108)))</f>
        <v>0</v>
      </c>
    </row>
    <row r="26131" customFormat="false" ht="15" hidden="false" customHeight="false" outlineLevel="0" collapsed="false">
      <c r="A26131" s="3" t="s">
        <v>558</v>
      </c>
      <c r="C26131" s="16" t="n">
        <f aca="false">IF(C26120=0,0,C26087/C26120*MAX(0,MIN(C26120,$C$26028-SUM($C$26063:$C$26072)-C26109)))</f>
        <v>0</v>
      </c>
    </row>
    <row r="26132" customFormat="false" ht="15" hidden="false" customHeight="false" outlineLevel="0" collapsed="false">
      <c r="A26132" s="3" t="s">
        <v>559</v>
      </c>
      <c r="C26132" s="16" t="n">
        <f aca="false">IF(C26121=0,0,C26088/C26121*MAX(0,MIN(C26121,$C$26028-SUM($C$26063:$C$26072)-C26110)))</f>
        <v>0</v>
      </c>
    </row>
    <row r="26133" customFormat="false" ht="15" hidden="false" customHeight="false" outlineLevel="0" collapsed="false">
      <c r="A26133" s="3" t="s">
        <v>560</v>
      </c>
      <c r="C26133" s="16" t="n">
        <f aca="false">IF(C26122=0,0,C26089/C26122*MAX(0,MIN(C26122,$C$26028-SUM($C$26063:$C$26072)-C26111)))</f>
        <v>388.191410271261</v>
      </c>
    </row>
    <row r="26134" customFormat="false" ht="15" hidden="false" customHeight="false" outlineLevel="0" collapsed="false">
      <c r="A26134" s="3" t="s">
        <v>561</v>
      </c>
      <c r="C26134" s="16" t="n">
        <f aca="false">IF(C26123=0,0,C26090/C26123*MAX(0,MIN(C26123,$C$26028-SUM($C$26063:$C$26072)-C26112)))</f>
        <v>342.510096975132</v>
      </c>
    </row>
    <row r="26135" customFormat="false" ht="15" hidden="false" customHeight="false" outlineLevel="0" collapsed="false">
      <c r="A26135" s="3" t="s">
        <v>562</v>
      </c>
      <c r="C26135" s="16" t="n">
        <f aca="false">IF(C26124=0,0,C26091/C26124*MAX(0,MIN(C26124,$C$26028-SUM($C$26063:$C$26072)-C26113)))</f>
        <v>538.230152389492</v>
      </c>
    </row>
    <row r="26136" customFormat="false" ht="15" hidden="false" customHeight="false" outlineLevel="0" collapsed="false">
      <c r="A26136" s="3" t="s">
        <v>563</v>
      </c>
      <c r="C26136" s="16" t="n">
        <f aca="false">IF(C26125=0,0,C26092/C26125*MAX(0,MIN(C26125,$C$26028-SUM($C$26063:$C$26072)-C26114)))</f>
        <v>342.510096975132</v>
      </c>
    </row>
    <row r="26137" customFormat="false" ht="15" hidden="false" customHeight="false" outlineLevel="0" collapsed="false">
      <c r="A26137" s="3" t="s">
        <v>564</v>
      </c>
      <c r="C26137" s="16" t="n">
        <f aca="false">IF(C26126=0,0,C26093/C26126*MAX(0,MIN(C26126,$C$26028-SUM($C$26063:$C$26072)-C26115)))</f>
        <v>293.580083121541</v>
      </c>
    </row>
    <row r="26138" customFormat="false" ht="15" hidden="false" customHeight="false" outlineLevel="0" collapsed="false">
      <c r="A26138" s="3" t="s">
        <v>565</v>
      </c>
      <c r="C26138" s="16" t="n">
        <f aca="false">IF(C26127=0,0,C26094/C26127*MAX(0,MIN(C26127,$C$26028-SUM($C$26063:$C$26072)-C26116)))</f>
        <v>0</v>
      </c>
    </row>
    <row r="26139" customFormat="false" ht="15" hidden="false" customHeight="false" outlineLevel="0" collapsed="false">
      <c r="A26139" s="24" t="s">
        <v>575</v>
      </c>
      <c r="B26139" s="25"/>
      <c r="C26139" s="25"/>
      <c r="D26139" s="25"/>
      <c r="E26139" s="25"/>
      <c r="F26139" s="25"/>
      <c r="G26139" s="25"/>
      <c r="H26139" s="25"/>
      <c r="I26139" s="25"/>
      <c r="J26139" s="25"/>
      <c r="K26139" s="25"/>
    </row>
    <row r="26140" customFormat="false" ht="15" hidden="false" customHeight="false" outlineLevel="0" collapsed="false">
      <c r="A26140" s="2" t="s">
        <v>556</v>
      </c>
      <c r="C26140" s="17" t="n">
        <f aca="false">C26063+C26129</f>
        <v>388</v>
      </c>
    </row>
    <row r="26141" customFormat="false" ht="15" hidden="false" customHeight="false" outlineLevel="0" collapsed="false">
      <c r="A26141" s="2" t="s">
        <v>557</v>
      </c>
      <c r="C26141" s="17" t="n">
        <f aca="false">C26064+C26130</f>
        <v>79.989133944159</v>
      </c>
    </row>
    <row r="26142" customFormat="false" ht="15" hidden="false" customHeight="false" outlineLevel="0" collapsed="false">
      <c r="A26142" s="2" t="s">
        <v>558</v>
      </c>
      <c r="C26142" s="17" t="n">
        <f aca="false">C26065+C26131</f>
        <v>50.902176146283</v>
      </c>
    </row>
    <row r="26143" customFormat="false" ht="15" hidden="false" customHeight="false" outlineLevel="0" collapsed="false">
      <c r="A26143" s="2" t="s">
        <v>559</v>
      </c>
      <c r="C26143" s="17" t="n">
        <f aca="false">C26066+C26132</f>
        <v>0</v>
      </c>
    </row>
    <row r="26144" customFormat="false" ht="15" hidden="false" customHeight="false" outlineLevel="0" collapsed="false">
      <c r="A26144" s="2" t="s">
        <v>560</v>
      </c>
      <c r="C26144" s="17" t="n">
        <f aca="false">C26067+C26133</f>
        <v>388.191410271261</v>
      </c>
    </row>
    <row r="26145" customFormat="false" ht="15" hidden="false" customHeight="false" outlineLevel="0" collapsed="false">
      <c r="A26145" s="2" t="s">
        <v>561</v>
      </c>
      <c r="C26145" s="17" t="n">
        <f aca="false">C26068+C26134</f>
        <v>342.510096975132</v>
      </c>
    </row>
    <row r="26146" customFormat="false" ht="15" hidden="false" customHeight="false" outlineLevel="0" collapsed="false">
      <c r="A26146" s="2" t="s">
        <v>562</v>
      </c>
      <c r="C26146" s="17" t="n">
        <f aca="false">C26069+C26135</f>
        <v>538.230152389492</v>
      </c>
    </row>
    <row r="26147" customFormat="false" ht="15" hidden="false" customHeight="false" outlineLevel="0" collapsed="false">
      <c r="A26147" s="2" t="s">
        <v>563</v>
      </c>
      <c r="C26147" s="17" t="n">
        <f aca="false">C26070+C26136</f>
        <v>342.510096975132</v>
      </c>
    </row>
    <row r="26148" customFormat="false" ht="15" hidden="false" customHeight="false" outlineLevel="0" collapsed="false">
      <c r="A26148" s="2" t="s">
        <v>564</v>
      </c>
      <c r="C26148" s="17" t="n">
        <f aca="false">C26071+C26137</f>
        <v>293.580083121541</v>
      </c>
    </row>
    <row r="26149" customFormat="false" ht="15" hidden="false" customHeight="false" outlineLevel="0" collapsed="false">
      <c r="A26149" s="2" t="s">
        <v>565</v>
      </c>
      <c r="C26149" s="17" t="n">
        <f aca="false">C26072+C26138</f>
        <v>0</v>
      </c>
    </row>
    <row r="26150" customFormat="false" ht="15" hidden="false" customHeight="false" outlineLevel="0" collapsed="false">
      <c r="A26150" s="24" t="s">
        <v>576</v>
      </c>
      <c r="B26150" s="25"/>
      <c r="C26150" s="25"/>
      <c r="D26150" s="25"/>
      <c r="E26150" s="25"/>
      <c r="F26150" s="25"/>
      <c r="G26150" s="25"/>
      <c r="H26150" s="25"/>
      <c r="I26150" s="25"/>
      <c r="J26150" s="25"/>
      <c r="K26150" s="25"/>
    </row>
    <row r="26151" customFormat="false" ht="15" hidden="false" customHeight="false" outlineLevel="0" collapsed="false">
      <c r="A26151" s="3" t="s">
        <v>556</v>
      </c>
      <c r="C26151" s="22" t="n">
        <f aca="false">IF(C26030=0,1,C26140/C26030)</f>
        <v>1</v>
      </c>
    </row>
    <row r="26152" customFormat="false" ht="15" hidden="false" customHeight="false" outlineLevel="0" collapsed="false">
      <c r="A26152" s="3" t="s">
        <v>557</v>
      </c>
      <c r="C26152" s="22" t="n">
        <f aca="false">IF(C26031=0,1,C26141/C26031)</f>
        <v>0.8887681549351</v>
      </c>
    </row>
    <row r="26153" customFormat="false" ht="15" hidden="false" customHeight="false" outlineLevel="0" collapsed="false">
      <c r="A26153" s="3" t="s">
        <v>558</v>
      </c>
      <c r="C26153" s="22" t="n">
        <f aca="false">IF(C26032=0,1,C26142/C26032)</f>
        <v>0.887973207492202</v>
      </c>
    </row>
    <row r="26154" customFormat="false" ht="15" hidden="false" customHeight="false" outlineLevel="0" collapsed="false">
      <c r="A26154" s="3" t="s">
        <v>559</v>
      </c>
      <c r="C26154" s="22" t="n">
        <f aca="false">IF(C26033=0,1,C26143/C26033)</f>
        <v>1</v>
      </c>
    </row>
    <row r="26155" customFormat="false" ht="15" hidden="false" customHeight="false" outlineLevel="0" collapsed="false">
      <c r="A26155" s="3" t="s">
        <v>560</v>
      </c>
      <c r="C26155" s="22" t="n">
        <f aca="false">IF(C26034=0,1,C26144/C26034)</f>
        <v>0.978600277071804</v>
      </c>
    </row>
    <row r="26156" customFormat="false" ht="15" hidden="false" customHeight="false" outlineLevel="0" collapsed="false">
      <c r="A26156" s="3" t="s">
        <v>561</v>
      </c>
      <c r="C26156" s="22" t="n">
        <f aca="false">IF(C26035=0,1,C26145/C26035)</f>
        <v>0.978600277071805</v>
      </c>
    </row>
    <row r="26157" customFormat="false" ht="15" hidden="false" customHeight="false" outlineLevel="0" collapsed="false">
      <c r="A26157" s="3" t="s">
        <v>562</v>
      </c>
      <c r="C26157" s="22" t="n">
        <f aca="false">IF(C26036=0,1,C26146/C26036)</f>
        <v>0.978600277071804</v>
      </c>
    </row>
    <row r="26158" customFormat="false" ht="15" hidden="false" customHeight="false" outlineLevel="0" collapsed="false">
      <c r="A26158" s="3" t="s">
        <v>563</v>
      </c>
      <c r="C26158" s="22" t="n">
        <f aca="false">IF(C26037=0,1,C26147/C26037)</f>
        <v>0.978600277071805</v>
      </c>
    </row>
    <row r="26159" customFormat="false" ht="15" hidden="false" customHeight="false" outlineLevel="0" collapsed="false">
      <c r="A26159" s="3" t="s">
        <v>564</v>
      </c>
      <c r="C26159" s="22" t="n">
        <f aca="false">IF(C26038=0,1,C26148/C26038)</f>
        <v>0.978600277071805</v>
      </c>
    </row>
    <row r="26160" customFormat="false" ht="15" hidden="false" customHeight="false" outlineLevel="0" collapsed="false">
      <c r="A26160" s="3" t="s">
        <v>565</v>
      </c>
      <c r="C26160" s="22" t="n">
        <f aca="false">IF(C26039=0,1,C26149/C26039)</f>
        <v>0</v>
      </c>
    </row>
    <row r="26161" customFormat="false" ht="15" hidden="false" customHeight="false" outlineLevel="0" collapsed="false">
      <c r="A26161" s="24" t="s">
        <v>577</v>
      </c>
      <c r="B26161" s="25"/>
      <c r="C26161" s="25"/>
      <c r="D26161" s="25"/>
      <c r="E26161" s="25"/>
      <c r="F26161" s="25"/>
      <c r="G26161" s="25"/>
      <c r="H26161" s="25"/>
      <c r="I26161" s="25"/>
      <c r="J26161" s="25"/>
      <c r="K26161" s="25"/>
    </row>
    <row r="26162" customFormat="false" ht="15" hidden="false" customHeight="false" outlineLevel="0" collapsed="false">
      <c r="A26162" s="3" t="s">
        <v>556</v>
      </c>
      <c r="C26162" s="16" t="n">
        <f aca="false">C26030-C26140</f>
        <v>0</v>
      </c>
    </row>
    <row r="26163" customFormat="false" ht="15" hidden="false" customHeight="false" outlineLevel="0" collapsed="false">
      <c r="A26163" s="3" t="s">
        <v>557</v>
      </c>
      <c r="C26163" s="16" t="n">
        <f aca="false">C26031-C26141</f>
        <v>10.010866055841</v>
      </c>
    </row>
    <row r="26164" customFormat="false" ht="15" hidden="false" customHeight="false" outlineLevel="0" collapsed="false">
      <c r="A26164" s="3" t="s">
        <v>558</v>
      </c>
      <c r="C26164" s="16" t="n">
        <f aca="false">C26032-C26142</f>
        <v>6.42182385371699</v>
      </c>
    </row>
    <row r="26165" customFormat="false" ht="15" hidden="false" customHeight="false" outlineLevel="0" collapsed="false">
      <c r="A26165" s="3" t="s">
        <v>559</v>
      </c>
      <c r="C26165" s="16" t="n">
        <f aca="false">C26033-C26143</f>
        <v>0</v>
      </c>
    </row>
    <row r="26166" customFormat="false" ht="15" hidden="false" customHeight="false" outlineLevel="0" collapsed="false">
      <c r="A26166" s="3" t="s">
        <v>560</v>
      </c>
      <c r="C26166" s="16" t="n">
        <f aca="false">C26034-C26144</f>
        <v>8.48884760973857</v>
      </c>
    </row>
    <row r="26167" customFormat="false" ht="15" hidden="false" customHeight="false" outlineLevel="0" collapsed="false">
      <c r="A26167" s="3" t="s">
        <v>561</v>
      </c>
      <c r="C26167" s="16" t="n">
        <f aca="false">C26035-C26145</f>
        <v>7.4899030248684</v>
      </c>
    </row>
    <row r="26168" customFormat="false" ht="15" hidden="false" customHeight="false" outlineLevel="0" collapsed="false">
      <c r="A26168" s="3" t="s">
        <v>562</v>
      </c>
      <c r="C26168" s="16" t="n">
        <f aca="false">C26036-C26146</f>
        <v>11.7698476105076</v>
      </c>
    </row>
    <row r="26169" customFormat="false" ht="15" hidden="false" customHeight="false" outlineLevel="0" collapsed="false">
      <c r="A26169" s="3" t="s">
        <v>563</v>
      </c>
      <c r="C26169" s="16" t="n">
        <f aca="false">C26037-C26147</f>
        <v>7.4899030248684</v>
      </c>
    </row>
    <row r="26170" customFormat="false" ht="15" hidden="false" customHeight="false" outlineLevel="0" collapsed="false">
      <c r="A26170" s="3" t="s">
        <v>564</v>
      </c>
      <c r="C26170" s="16" t="n">
        <f aca="false">C26038-C26148</f>
        <v>6.41991687845865</v>
      </c>
    </row>
    <row r="26171" customFormat="false" ht="15" hidden="false" customHeight="false" outlineLevel="0" collapsed="false">
      <c r="A26171" s="3" t="s">
        <v>565</v>
      </c>
      <c r="C26171" s="16" t="n">
        <f aca="false">C26039-C26149</f>
        <v>78.61</v>
      </c>
    </row>
    <row r="26172" customFormat="false" ht="15" hidden="false" customHeight="false" outlineLevel="0" collapsed="false">
      <c r="A26172" s="24" t="s">
        <v>578</v>
      </c>
      <c r="B26172" s="25"/>
      <c r="C26172" s="25"/>
      <c r="D26172" s="25"/>
      <c r="E26172" s="25"/>
      <c r="F26172" s="25"/>
      <c r="G26172" s="25"/>
      <c r="H26172" s="25"/>
      <c r="I26172" s="25"/>
      <c r="J26172" s="25"/>
      <c r="K26172" s="25"/>
    </row>
    <row r="26173" customFormat="false" ht="15" hidden="false" customHeight="false" outlineLevel="0" collapsed="false">
      <c r="A26173" s="3" t="s">
        <v>556</v>
      </c>
      <c r="C26173" s="22" t="n">
        <f aca="false">IF(C26030=0,0,C26162/C26030)</f>
        <v>0</v>
      </c>
    </row>
    <row r="26174" customFormat="false" ht="15" hidden="false" customHeight="false" outlineLevel="0" collapsed="false">
      <c r="A26174" s="3" t="s">
        <v>557</v>
      </c>
      <c r="C26174" s="22" t="n">
        <f aca="false">IF(C26031=0,0,C26163/C26031)</f>
        <v>0.1112318450649</v>
      </c>
    </row>
    <row r="26175" customFormat="false" ht="15" hidden="false" customHeight="false" outlineLevel="0" collapsed="false">
      <c r="A26175" s="3" t="s">
        <v>558</v>
      </c>
      <c r="C26175" s="22" t="n">
        <f aca="false">IF(C26032=0,0,C26164/C26032)</f>
        <v>0.112026792507798</v>
      </c>
    </row>
    <row r="26176" customFormat="false" ht="15" hidden="false" customHeight="false" outlineLevel="0" collapsed="false">
      <c r="A26176" s="3" t="s">
        <v>559</v>
      </c>
      <c r="C26176" s="22" t="n">
        <f aca="false">IF(C26033=0,0,C26165/C26033)</f>
        <v>0</v>
      </c>
    </row>
    <row r="26177" customFormat="false" ht="15" hidden="false" customHeight="false" outlineLevel="0" collapsed="false">
      <c r="A26177" s="3" t="s">
        <v>560</v>
      </c>
      <c r="C26177" s="22" t="n">
        <f aca="false">IF(C26034=0,0,C26166/C26034)</f>
        <v>0.0213997229281956</v>
      </c>
    </row>
    <row r="26178" customFormat="false" ht="15" hidden="false" customHeight="false" outlineLevel="0" collapsed="false">
      <c r="A26178" s="3" t="s">
        <v>561</v>
      </c>
      <c r="C26178" s="22" t="n">
        <f aca="false">IF(C26035=0,0,C26167/C26035)</f>
        <v>0.0213997229281954</v>
      </c>
    </row>
    <row r="26179" customFormat="false" ht="15" hidden="false" customHeight="false" outlineLevel="0" collapsed="false">
      <c r="A26179" s="3" t="s">
        <v>562</v>
      </c>
      <c r="C26179" s="22" t="n">
        <f aca="false">IF(C26036=0,0,C26168/C26036)</f>
        <v>0.0213997229281956</v>
      </c>
    </row>
    <row r="26180" customFormat="false" ht="15" hidden="false" customHeight="false" outlineLevel="0" collapsed="false">
      <c r="A26180" s="3" t="s">
        <v>563</v>
      </c>
      <c r="C26180" s="22" t="n">
        <f aca="false">IF(C26037=0,0,C26169/C26037)</f>
        <v>0.0213997229281954</v>
      </c>
    </row>
    <row r="26181" customFormat="false" ht="15" hidden="false" customHeight="false" outlineLevel="0" collapsed="false">
      <c r="A26181" s="3" t="s">
        <v>564</v>
      </c>
      <c r="C26181" s="22" t="n">
        <f aca="false">IF(C26038=0,0,C26170/C26038)</f>
        <v>0.0213997229281955</v>
      </c>
    </row>
    <row r="26182" customFormat="false" ht="15" hidden="false" customHeight="false" outlineLevel="0" collapsed="false">
      <c r="A26182" s="3" t="s">
        <v>565</v>
      </c>
      <c r="C26182" s="22" t="n">
        <f aca="false">IF(C26039=0,0,C26171/C26039)</f>
        <v>1</v>
      </c>
    </row>
    <row r="26183" customFormat="false" ht="15" hidden="false" customHeight="false" outlineLevel="0" collapsed="false">
      <c r="A26183" s="2" t="s">
        <v>579</v>
      </c>
      <c r="C26183" s="17" t="n">
        <f aca="false">MAX(0,$C$26028-SUM($C$26063:$C$26072)-SUM($C$26085:$C$26094))</f>
        <v>0</v>
      </c>
    </row>
    <row r="26184" customFormat="false" ht="15" hidden="false" customHeight="false" outlineLevel="0" collapsed="false">
      <c r="A26184" s="3" t="s">
        <v>597</v>
      </c>
      <c r="C26184" s="35" t="n">
        <f aca="false">MIN(C26027,100*CHOOSE(C26017,C26151,C26152,C26153,C26154,C26155,C26156,C26157,C26158,C26159,C26160))</f>
        <v>95</v>
      </c>
    </row>
    <row r="26185" customFormat="false" ht="15" hidden="false" customHeight="false" outlineLevel="0" collapsed="false">
      <c r="A26185" s="3" t="s">
        <v>598</v>
      </c>
      <c r="C26185" s="21" t="n">
        <f aca="false">IF(C25849=1,C26022+Assumptions!$C$40,C26021)</f>
        <v>3</v>
      </c>
    </row>
    <row r="26186" customFormat="false" ht="15" hidden="false" customHeight="false" outlineLevel="0" collapsed="false">
      <c r="A26186" s="24" t="s">
        <v>599</v>
      </c>
      <c r="B26186" s="25"/>
      <c r="C26186" s="25"/>
      <c r="D26186" s="25"/>
      <c r="E26186" s="25"/>
      <c r="F26186" s="25"/>
      <c r="G26186" s="25"/>
      <c r="H26186" s="25"/>
      <c r="I26186" s="25"/>
      <c r="J26186" s="25"/>
      <c r="K26186" s="25"/>
    </row>
    <row r="26187" customFormat="false" ht="15" hidden="false" customHeight="false" outlineLevel="0" collapsed="false">
      <c r="A26187" s="3" t="s">
        <v>600</v>
      </c>
      <c r="C26187" s="21" t="n">
        <f aca="false">COLUMN()-COLUMN($C$1)</f>
        <v>0</v>
      </c>
      <c r="D26187" s="21" t="n">
        <f aca="false">COLUMN()-COLUMN($C$1)</f>
        <v>1</v>
      </c>
      <c r="E26187" s="21" t="n">
        <f aca="false">COLUMN()-COLUMN($C$1)</f>
        <v>2</v>
      </c>
      <c r="F26187" s="21" t="n">
        <f aca="false">COLUMN()-COLUMN($C$1)</f>
        <v>3</v>
      </c>
      <c r="G26187" s="21" t="n">
        <f aca="false">COLUMN()-COLUMN($C$1)</f>
        <v>4</v>
      </c>
      <c r="H26187" s="21" t="n">
        <f aca="false">COLUMN()-COLUMN($C$1)</f>
        <v>5</v>
      </c>
      <c r="I26187" s="21" t="n">
        <f aca="false">COLUMN()-COLUMN($C$1)</f>
        <v>6</v>
      </c>
    </row>
    <row r="26188" customFormat="false" ht="15" hidden="false" customHeight="false" outlineLevel="0" collapsed="false">
      <c r="A26188" s="3" t="s">
        <v>601</v>
      </c>
      <c r="D26188" s="31" t="n">
        <f aca="false">CHOOSE($C$26017,G25597,G25610,G25623,G25636,G25649,G25662,G25675,G25688,G25701,G25714)</f>
        <v>0.1015</v>
      </c>
      <c r="E26188" s="31" t="n">
        <f aca="false">CHOOSE($C$26017,H25597,H25610,H25623,H25636,H25649,H25662,H25675,H25688,H25701,H25714)</f>
        <v>0.1</v>
      </c>
      <c r="F26188" s="31" t="n">
        <f aca="false">CHOOSE($C$26017,I25597,I25610,I25623,I25636,I25649,I25662,I25675,I25688,I25701,I25714)</f>
        <v>0.0975</v>
      </c>
      <c r="G26188" s="31" t="n">
        <f aca="false">CHOOSE($C$26017,J25597,J25610,J25623,J25636,J25649,J25662,J25675,J25688,J25701,J25714)</f>
        <v>0.0975</v>
      </c>
      <c r="H26188" s="31" t="n">
        <f aca="false">CHOOSE($C$26017,K25597,K25610,K25623,K25636,K25649,K25662,K25675,K25688,K25701,K25714)</f>
        <v>0.0975</v>
      </c>
    </row>
    <row r="26189" customFormat="false" ht="15" hidden="false" customHeight="false" outlineLevel="0" collapsed="false">
      <c r="A26189" s="3" t="s">
        <v>602</v>
      </c>
      <c r="D26189" s="16" t="n">
        <f aca="false">IF(D26187&lt;=$C$26026,$C$26018*D26188,0)</f>
        <v>10.15</v>
      </c>
      <c r="E26189" s="16" t="n">
        <f aca="false">IF(E26187&lt;=$C$26026,$C$26018*E26188,0)</f>
        <v>10</v>
      </c>
      <c r="F26189" s="16" t="n">
        <f aca="false">IF(F26187&lt;=$C$26026,$C$26018*F26188,0)</f>
        <v>0</v>
      </c>
      <c r="G26189" s="16" t="n">
        <f aca="false">IF(G26187&lt;=$C$26026,$C$26018*G26188,0)</f>
        <v>0</v>
      </c>
      <c r="H26189" s="16" t="n">
        <f aca="false">IF(H26187&lt;=$C$26026,$C$26018*H26188,0)</f>
        <v>0</v>
      </c>
    </row>
    <row r="26190" customFormat="false" ht="15" hidden="false" customHeight="false" outlineLevel="0" collapsed="false">
      <c r="A26190" s="3" t="s">
        <v>603</v>
      </c>
      <c r="D26190" s="16" t="n">
        <f aca="false">IF(AND($C$25849=0,D26187=$C$26021),$C$26018*$C$26184/100,0)+IF(AND($C$25849=1,D26187=$C$26185),$C$26024,0)</f>
        <v>0</v>
      </c>
      <c r="E26190" s="16" t="n">
        <f aca="false">IF(AND($C$25849=0,E26187=$C$26021),$C$26018*$C$26184/100,0)+IF(AND($C$25849=1,E26187=$C$26185),$C$26024,0)</f>
        <v>0</v>
      </c>
      <c r="F26190" s="16" t="n">
        <f aca="false">IF(AND($C$25849=0,F26187=$C$26021),$C$26018*$C$26184/100,0)+IF(AND($C$25849=1,F26187=$C$26185),$C$26024,0)</f>
        <v>102.5</v>
      </c>
      <c r="G26190" s="16" t="n">
        <f aca="false">IF(AND($C$25849=0,G26187=$C$26021),$C$26018*$C$26184/100,0)+IF(AND($C$25849=1,G26187=$C$26185),$C$26024,0)</f>
        <v>0</v>
      </c>
      <c r="H26190" s="16" t="n">
        <f aca="false">IF(AND($C$25849=0,H26187=$C$26021),$C$26018*$C$26184/100,0)+IF(AND($C$25849=1,H26187=$C$26185),$C$26024,0)</f>
        <v>0</v>
      </c>
      <c r="I26190" s="16" t="n">
        <f aca="false">IF(AND($C$25849=0,I26187=$C$26021),$C$26018*$C$26184/100,0)+IF(AND($C$25849=1,I26187=$C$26185),$C$26024,0)</f>
        <v>0</v>
      </c>
    </row>
    <row r="26191" customFormat="false" ht="15" hidden="false" customHeight="false" outlineLevel="0" collapsed="false">
      <c r="A26191" s="2" t="s">
        <v>604</v>
      </c>
      <c r="C26191" s="17" t="n">
        <f aca="false">-$C$26020</f>
        <v>-98.49</v>
      </c>
      <c r="D26191" s="17" t="n">
        <f aca="false">D26189+D26190</f>
        <v>10.15</v>
      </c>
      <c r="E26191" s="17" t="n">
        <f aca="false">E26189+E26190</f>
        <v>10</v>
      </c>
      <c r="F26191" s="17" t="n">
        <f aca="false">F26189+F26190</f>
        <v>102.5</v>
      </c>
      <c r="G26191" s="17" t="n">
        <f aca="false">G26189+G26190</f>
        <v>0</v>
      </c>
      <c r="H26191" s="17" t="n">
        <f aca="false">H26189+H26190</f>
        <v>0</v>
      </c>
      <c r="I26191" s="17" t="n">
        <f aca="false">I26189+I26190</f>
        <v>0</v>
      </c>
    </row>
    <row r="26192" customFormat="false" ht="15" hidden="false" customHeight="false" outlineLevel="0" collapsed="false">
      <c r="A26192" s="3" t="s">
        <v>605</v>
      </c>
      <c r="C26192" s="16" t="n">
        <f aca="false">SUM($C$26189:$I$26189)</f>
        <v>20.15</v>
      </c>
    </row>
    <row r="26193" customFormat="false" ht="15" hidden="false" customHeight="false" outlineLevel="0" collapsed="false">
      <c r="A26193" s="3" t="s">
        <v>606</v>
      </c>
      <c r="C26193" s="16" t="n">
        <f aca="false">SUM($C$26190:$I$26190)</f>
        <v>102.5</v>
      </c>
    </row>
    <row r="26194" customFormat="false" ht="15" hidden="false" customHeight="false" outlineLevel="0" collapsed="false">
      <c r="A26194" s="3" t="s">
        <v>607</v>
      </c>
      <c r="C26194" s="16" t="n">
        <f aca="false">C26192+C26193</f>
        <v>122.65</v>
      </c>
    </row>
    <row r="26195" customFormat="false" ht="15" hidden="false" customHeight="false" outlineLevel="0" collapsed="false">
      <c r="A26195" s="3" t="s">
        <v>608</v>
      </c>
      <c r="C26195" s="16" t="n">
        <f aca="false">C26193-C26018*C26019/100</f>
        <v>4.49999999999999</v>
      </c>
    </row>
    <row r="26196" customFormat="false" ht="15" hidden="false" customHeight="false" outlineLevel="0" collapsed="false">
      <c r="A26196" s="3" t="s">
        <v>609</v>
      </c>
      <c r="C26196" s="16" t="n">
        <f aca="false">C26194-C26020</f>
        <v>24.16</v>
      </c>
    </row>
    <row r="26197" customFormat="false" ht="15" hidden="false" customHeight="false" outlineLevel="0" collapsed="false">
      <c r="A26197" s="2" t="s">
        <v>484</v>
      </c>
      <c r="C26197" s="44" t="n">
        <f aca="false">C26194/C26020</f>
        <v>1.24530409178597</v>
      </c>
    </row>
    <row r="26198" customFormat="false" ht="15" hidden="false" customHeight="false" outlineLevel="0" collapsed="false">
      <c r="A26198" s="2" t="s">
        <v>483</v>
      </c>
      <c r="C26198" s="42" t="n">
        <f aca="false">IF(C26194&lt;=0,-1,IFERROR(IRR($C$26191:$I$26191,MAX(-0.9,C26197^(1/C26185)-1)),IRR($C$26191:$I$26191,0.1)))</f>
        <v>0.0834099364580266</v>
      </c>
    </row>
    <row r="26199" customFormat="false" ht="15" hidden="false" customHeight="false" outlineLevel="0" collapsed="false">
      <c r="A26199" s="3" t="s">
        <v>610</v>
      </c>
      <c r="C26199" s="32" t="n">
        <f aca="false">MAX($G$25793:$K$25793)</f>
        <v>11.9695162825674</v>
      </c>
    </row>
    <row r="26200" customFormat="false" ht="15" hidden="false" customHeight="false" outlineLevel="0" collapsed="false">
      <c r="A26200" s="3" t="s">
        <v>611</v>
      </c>
      <c r="C26200" s="32" t="n">
        <f aca="false">MIN($G$25794:$K$25794)</f>
        <v>1.19838097109591</v>
      </c>
    </row>
    <row r="26201" customFormat="false" ht="15" hidden="false" customHeight="false" outlineLevel="0" collapsed="false">
      <c r="A26201" s="3" t="s">
        <v>612</v>
      </c>
      <c r="C26201" s="16" t="n">
        <f aca="false">SUM($G$25581:$K$25581)</f>
        <v>-307.978012522933</v>
      </c>
    </row>
    <row r="26205" customFormat="false" ht="15" hidden="false" customHeight="false" outlineLevel="0" collapsed="false">
      <c r="A26205" s="9" t="s">
        <v>1170</v>
      </c>
      <c r="B26205" s="10"/>
      <c r="C26205" s="10"/>
      <c r="D26205" s="10"/>
      <c r="E26205" s="10"/>
      <c r="F26205" s="10"/>
      <c r="G26205" s="10"/>
      <c r="H26205" s="10"/>
      <c r="I26205" s="10"/>
      <c r="J26205" s="10"/>
      <c r="K26205" s="10"/>
    </row>
    <row r="26206" customFormat="false" ht="15" hidden="false" customHeight="false" outlineLevel="0" collapsed="false">
      <c r="A26206" s="3" t="s">
        <v>1126</v>
      </c>
      <c r="C26206" s="11" t="n">
        <v>2</v>
      </c>
    </row>
    <row r="26207" customFormat="false" ht="15" hidden="false" customHeight="false" outlineLevel="0" collapsed="false">
      <c r="A26207" s="3" t="s">
        <v>1127</v>
      </c>
      <c r="C26207" s="19" t="n">
        <v>0</v>
      </c>
    </row>
    <row r="26208" customFormat="false" ht="15" hidden="false" customHeight="false" outlineLevel="0" collapsed="false">
      <c r="A26208" s="3" t="s">
        <v>1128</v>
      </c>
      <c r="C26208" s="19" t="n">
        <v>0</v>
      </c>
    </row>
    <row r="26209" customFormat="false" ht="15" hidden="false" customHeight="false" outlineLevel="0" collapsed="false">
      <c r="A26209" s="3" t="s">
        <v>1129</v>
      </c>
      <c r="C26209" s="30" t="n">
        <f aca="false">Sensitivities!$A$52</f>
        <v>0</v>
      </c>
    </row>
    <row r="26210" customFormat="false" ht="15" hidden="false" customHeight="false" outlineLevel="0" collapsed="false">
      <c r="A26210" s="3" t="s">
        <v>1130</v>
      </c>
      <c r="C26210" s="15" t="n">
        <v>0</v>
      </c>
    </row>
    <row r="26212" customFormat="false" ht="15" hidden="false" customHeight="false" outlineLevel="0" collapsed="false">
      <c r="A26212" s="24" t="s">
        <v>301</v>
      </c>
      <c r="B26212" s="25"/>
      <c r="C26212" s="25"/>
      <c r="D26212" s="25"/>
      <c r="E26212" s="25"/>
      <c r="F26212" s="25"/>
      <c r="G26212" s="25"/>
      <c r="H26212" s="25"/>
      <c r="I26212" s="25"/>
      <c r="J26212" s="25"/>
      <c r="K26212" s="25"/>
    </row>
    <row r="26213" customFormat="false" ht="15" hidden="false" customHeight="false" outlineLevel="0" collapsed="false">
      <c r="A26213" s="3" t="s">
        <v>302</v>
      </c>
      <c r="F26213" s="27" t="n">
        <f aca="false">Assumptions!$C$6</f>
        <v>2026</v>
      </c>
      <c r="G26213" s="21" t="n">
        <f aca="false">F26213+1</f>
        <v>2027</v>
      </c>
      <c r="H26213" s="21" t="n">
        <f aca="false">G26213+1</f>
        <v>2028</v>
      </c>
      <c r="I26213" s="21" t="n">
        <f aca="false">H26213+1</f>
        <v>2029</v>
      </c>
      <c r="J26213" s="21" t="n">
        <f aca="false">I26213+1</f>
        <v>2030</v>
      </c>
      <c r="K26213" s="21" t="n">
        <f aca="false">J26213+1</f>
        <v>2031</v>
      </c>
    </row>
    <row r="26214" customFormat="false" ht="15" hidden="false" customHeight="false" outlineLevel="0" collapsed="false">
      <c r="A26214" s="3" t="s">
        <v>303</v>
      </c>
      <c r="G26214" s="21" t="n">
        <f aca="false">G26213-Assumptions!$C$6</f>
        <v>1</v>
      </c>
      <c r="H26214" s="21" t="n">
        <f aca="false">H26213-Assumptions!$C$6</f>
        <v>2</v>
      </c>
      <c r="I26214" s="21" t="n">
        <f aca="false">I26213-Assumptions!$C$6</f>
        <v>3</v>
      </c>
      <c r="J26214" s="21" t="n">
        <f aca="false">J26213-Assumptions!$C$6</f>
        <v>4</v>
      </c>
      <c r="K26214" s="21" t="n">
        <f aca="false">K26213-Assumptions!$C$6</f>
        <v>5</v>
      </c>
    </row>
    <row r="26215" customFormat="false" ht="15" hidden="false" customHeight="false" outlineLevel="0" collapsed="false">
      <c r="A26215" s="3" t="s">
        <v>180</v>
      </c>
      <c r="G26215" s="22" t="n">
        <f aca="false">CHOOSE($C$26206,Assumptions!$G$79,Assumptions!$G$98,Assumptions!$G$117)+$C$26207</f>
        <v>-0.06</v>
      </c>
      <c r="H26215" s="22" t="n">
        <f aca="false">CHOOSE($C$26206,Assumptions!$H$79,Assumptions!$H$98,Assumptions!$H$117)+$C$26207</f>
        <v>-0.03</v>
      </c>
      <c r="I26215" s="22" t="n">
        <f aca="false">CHOOSE($C$26206,Assumptions!$I$79,Assumptions!$I$98,Assumptions!$I$117)+$C$26207</f>
        <v>0</v>
      </c>
      <c r="J26215" s="22" t="n">
        <f aca="false">CHOOSE($C$26206,Assumptions!$J$79,Assumptions!$J$98,Assumptions!$J$117)+$C$26207</f>
        <v>0.01</v>
      </c>
      <c r="K26215" s="22" t="n">
        <f aca="false">CHOOSE($C$26206,Assumptions!$K$79,Assumptions!$K$98,Assumptions!$K$117)+$C$26207</f>
        <v>0.01</v>
      </c>
    </row>
    <row r="26216" customFormat="false" ht="15" hidden="false" customHeight="false" outlineLevel="0" collapsed="false">
      <c r="A26216" s="3" t="s">
        <v>181</v>
      </c>
      <c r="G26216" s="22" t="n">
        <f aca="false">CHOOSE($C$26206,Assumptions!$G$80,Assumptions!$G$99,Assumptions!$G$118)</f>
        <v>0.573920660818678</v>
      </c>
      <c r="H26216" s="22" t="n">
        <f aca="false">CHOOSE($C$26206,Assumptions!$H$80,Assumptions!$H$99,Assumptions!$H$118)</f>
        <v>0.558920660818678</v>
      </c>
      <c r="I26216" s="22" t="n">
        <f aca="false">CHOOSE($C$26206,Assumptions!$I$80,Assumptions!$I$99,Assumptions!$I$118)</f>
        <v>0.558920660818678</v>
      </c>
      <c r="J26216" s="22" t="n">
        <f aca="false">CHOOSE($C$26206,Assumptions!$J$80,Assumptions!$J$99,Assumptions!$J$118)</f>
        <v>0.563920660818678</v>
      </c>
      <c r="K26216" s="22" t="n">
        <f aca="false">CHOOSE($C$26206,Assumptions!$K$80,Assumptions!$K$99,Assumptions!$K$118)</f>
        <v>0.568920660818678</v>
      </c>
    </row>
    <row r="26217" customFormat="false" ht="15" hidden="false" customHeight="false" outlineLevel="0" collapsed="false">
      <c r="A26217" s="3" t="s">
        <v>182</v>
      </c>
      <c r="G26217" s="22" t="n">
        <f aca="false">CHOOSE($C$26206,Assumptions!$G$81,Assumptions!$G$100,Assumptions!$G$119)+$C$26208</f>
        <v>0.5</v>
      </c>
      <c r="H26217" s="22" t="n">
        <f aca="false">CHOOSE($C$26206,Assumptions!$H$81,Assumptions!$H$100,Assumptions!$H$119)+$C$26208</f>
        <v>0.485</v>
      </c>
      <c r="I26217" s="22" t="n">
        <f aca="false">CHOOSE($C$26206,Assumptions!$I$81,Assumptions!$I$100,Assumptions!$I$119)+$C$26208</f>
        <v>0.485</v>
      </c>
      <c r="J26217" s="22" t="n">
        <f aca="false">CHOOSE($C$26206,Assumptions!$J$81,Assumptions!$J$100,Assumptions!$J$119)+$C$26208</f>
        <v>0.49</v>
      </c>
      <c r="K26217" s="22" t="n">
        <f aca="false">CHOOSE($C$26206,Assumptions!$K$81,Assumptions!$K$100,Assumptions!$K$119)+$C$26208</f>
        <v>0.495</v>
      </c>
    </row>
    <row r="26218" customFormat="false" ht="15" hidden="false" customHeight="false" outlineLevel="0" collapsed="false">
      <c r="A26218" s="24" t="s">
        <v>304</v>
      </c>
      <c r="B26218" s="25"/>
      <c r="C26218" s="25"/>
      <c r="D26218" s="25"/>
      <c r="E26218" s="25"/>
      <c r="F26218" s="25"/>
      <c r="G26218" s="25"/>
      <c r="H26218" s="25"/>
      <c r="I26218" s="25"/>
      <c r="J26218" s="25"/>
      <c r="K26218" s="25"/>
    </row>
    <row r="26219" customFormat="false" ht="15" hidden="false" customHeight="false" outlineLevel="0" collapsed="false">
      <c r="A26219" s="2" t="s">
        <v>275</v>
      </c>
      <c r="F26219" s="28" t="n">
        <f aca="false">'Historical Financials'!G25</f>
        <v>498.291</v>
      </c>
      <c r="G26219" s="17" t="n">
        <f aca="false">F26219*(1+G26215)</f>
        <v>468.39354</v>
      </c>
      <c r="H26219" s="17" t="n">
        <f aca="false">G26219*(1+H26215)</f>
        <v>454.3417338</v>
      </c>
      <c r="I26219" s="17" t="n">
        <f aca="false">H26219*(1+I26215)</f>
        <v>454.3417338</v>
      </c>
      <c r="J26219" s="17" t="n">
        <f aca="false">I26219*(1+J26215)</f>
        <v>458.885151138</v>
      </c>
      <c r="K26219" s="17" t="n">
        <f aca="false">J26219*(1+K26215)</f>
        <v>463.47400264938</v>
      </c>
    </row>
    <row r="26220" customFormat="false" ht="15" hidden="false" customHeight="false" outlineLevel="0" collapsed="false">
      <c r="A26220" s="3" t="s">
        <v>276</v>
      </c>
      <c r="G26220" s="16" t="n">
        <f aca="false">G26219*(1-G26216)</f>
        <v>199.57281</v>
      </c>
      <c r="H26220" s="16" t="n">
        <f aca="false">H26219*(1-H26216)</f>
        <v>200.400751707</v>
      </c>
      <c r="I26220" s="16" t="n">
        <f aca="false">I26219*(1-I26216)</f>
        <v>200.400751707</v>
      </c>
      <c r="J26220" s="16" t="n">
        <f aca="false">J26219*(1-J26216)</f>
        <v>200.11033346838</v>
      </c>
      <c r="K26220" s="16" t="n">
        <f aca="false">K26219*(1-K26216)</f>
        <v>199.794066789817</v>
      </c>
    </row>
    <row r="26221" customFormat="false" ht="15" hidden="false" customHeight="false" outlineLevel="0" collapsed="false">
      <c r="A26221" s="2" t="s">
        <v>277</v>
      </c>
      <c r="G26221" s="17" t="n">
        <f aca="false">G26219-G26220</f>
        <v>268.82073</v>
      </c>
      <c r="H26221" s="17" t="n">
        <f aca="false">H26219-H26220</f>
        <v>253.940982093</v>
      </c>
      <c r="I26221" s="17" t="n">
        <f aca="false">I26219-I26220</f>
        <v>253.940982093</v>
      </c>
      <c r="J26221" s="17" t="n">
        <f aca="false">J26219-J26220</f>
        <v>258.77481766962</v>
      </c>
      <c r="K26221" s="17" t="n">
        <f aca="false">K26219-K26220</f>
        <v>263.679935859563</v>
      </c>
    </row>
    <row r="26222" customFormat="false" ht="15" hidden="false" customHeight="false" outlineLevel="0" collapsed="false">
      <c r="A26222" s="3" t="s">
        <v>305</v>
      </c>
      <c r="G26222" s="16" t="n">
        <f aca="false">G26221-G26223</f>
        <v>34.62396</v>
      </c>
      <c r="H26222" s="16" t="n">
        <f aca="false">H26221-H26223</f>
        <v>33.5852412</v>
      </c>
      <c r="I26222" s="16" t="n">
        <f aca="false">I26221-I26223</f>
        <v>33.5852412</v>
      </c>
      <c r="J26222" s="16" t="n">
        <f aca="false">J26221-J26223</f>
        <v>33.921093612</v>
      </c>
      <c r="K26222" s="16" t="n">
        <f aca="false">K26221-K26223</f>
        <v>34.26030454812</v>
      </c>
    </row>
    <row r="26223" customFormat="false" ht="15" hidden="false" customHeight="false" outlineLevel="0" collapsed="false">
      <c r="A26223" s="2" t="s">
        <v>306</v>
      </c>
      <c r="G26223" s="17" t="n">
        <f aca="false">G26219*G26217</f>
        <v>234.19677</v>
      </c>
      <c r="H26223" s="17" t="n">
        <f aca="false">H26219*H26217</f>
        <v>220.355740893</v>
      </c>
      <c r="I26223" s="17" t="n">
        <f aca="false">I26219*I26217</f>
        <v>220.355740893</v>
      </c>
      <c r="J26223" s="17" t="n">
        <f aca="false">J26219*J26217</f>
        <v>224.85372405762</v>
      </c>
      <c r="K26223" s="17" t="n">
        <f aca="false">K26219*K26217</f>
        <v>229.419631311443</v>
      </c>
    </row>
    <row r="26224" customFormat="false" ht="15" hidden="false" customHeight="false" outlineLevel="0" collapsed="false">
      <c r="A26224" s="3" t="s">
        <v>307</v>
      </c>
      <c r="G26224" s="16" t="n">
        <f aca="false">G26219*'Historical Financials'!G30/'Historical Financials'!G25</f>
        <v>174.17542</v>
      </c>
      <c r="H26224" s="16" t="n">
        <f aca="false">H26219*'Historical Financials'!G30/'Historical Financials'!G25</f>
        <v>168.9501574</v>
      </c>
      <c r="I26224" s="16" t="n">
        <f aca="false">I26219*'Historical Financials'!G30/'Historical Financials'!G25</f>
        <v>168.9501574</v>
      </c>
      <c r="J26224" s="16" t="n">
        <f aca="false">J26219*'Historical Financials'!G30/'Historical Financials'!G25</f>
        <v>170.639658974</v>
      </c>
      <c r="K26224" s="16" t="n">
        <f aca="false">K26219*'Historical Financials'!G30/'Historical Financials'!G25</f>
        <v>172.34605556374</v>
      </c>
    </row>
    <row r="26225" customFormat="false" ht="15" hidden="false" customHeight="false" outlineLevel="0" collapsed="false">
      <c r="A26225" s="3" t="s">
        <v>308</v>
      </c>
      <c r="G26225" s="16" t="n">
        <f aca="false">G26219*'Historical Financials'!G31/'Historical Financials'!G25</f>
        <v>0</v>
      </c>
      <c r="H26225" s="16" t="n">
        <f aca="false">H26219*'Historical Financials'!G31/'Historical Financials'!G25</f>
        <v>0</v>
      </c>
      <c r="I26225" s="16" t="n">
        <f aca="false">I26219*'Historical Financials'!G31/'Historical Financials'!G25</f>
        <v>0</v>
      </c>
      <c r="J26225" s="16" t="n">
        <f aca="false">J26219*'Historical Financials'!G31/'Historical Financials'!G25</f>
        <v>0</v>
      </c>
      <c r="K26225" s="16" t="n">
        <f aca="false">K26219*'Historical Financials'!G31/'Historical Financials'!G25</f>
        <v>0</v>
      </c>
    </row>
    <row r="26226" customFormat="false" ht="15" hidden="false" customHeight="false" outlineLevel="0" collapsed="false">
      <c r="A26226" s="2" t="s">
        <v>309</v>
      </c>
      <c r="G26226" s="17" t="n">
        <f aca="false">G26223-G26224-G26225</f>
        <v>60.02135</v>
      </c>
      <c r="H26226" s="17" t="n">
        <f aca="false">H26223-H26224-H26225</f>
        <v>51.405583493</v>
      </c>
      <c r="I26226" s="17" t="n">
        <f aca="false">I26223-I26224-I26225</f>
        <v>51.405583493</v>
      </c>
      <c r="J26226" s="17" t="n">
        <f aca="false">J26223-J26224-J26225</f>
        <v>54.21406508362</v>
      </c>
      <c r="K26226" s="17" t="n">
        <f aca="false">K26223-K26224-K26225</f>
        <v>57.0735757477031</v>
      </c>
    </row>
    <row r="26227" customFormat="false" ht="15" hidden="false" customHeight="false" outlineLevel="0" collapsed="false">
      <c r="A26227" s="3" t="s">
        <v>310</v>
      </c>
      <c r="G26227" s="16" t="n">
        <f aca="false">G26253+G26266+G26279+G26292+G26305+G26318+G26331+G26344+G26357+G26370</f>
        <v>187.3888354</v>
      </c>
      <c r="H26227" s="16" t="n">
        <f aca="false">H26253+H26266+H26279+H26292+H26305+H26318+H26331+H26344+H26357+H26370</f>
        <v>186.2509204</v>
      </c>
      <c r="I26227" s="16" t="n">
        <f aca="false">I26253+I26266+I26279+I26292+I26305+I26318+I26331+I26344+I26357+I26370</f>
        <v>182.7365265363</v>
      </c>
      <c r="J26227" s="16" t="n">
        <f aca="false">J26253+J26266+J26279+J26292+J26305+J26318+J26331+J26344+J26357+J26370</f>
        <v>182.3265265363</v>
      </c>
      <c r="K26227" s="16" t="n">
        <f aca="false">K26253+K26266+K26279+K26292+K26305+K26318+K26331+K26344+K26357+K26370</f>
        <v>181.9165265363</v>
      </c>
    </row>
    <row r="26228" customFormat="false" ht="15" hidden="false" customHeight="false" outlineLevel="0" collapsed="false">
      <c r="A26228" s="3" t="s">
        <v>311</v>
      </c>
      <c r="G26228" s="16" t="n">
        <f aca="false">G26254+G26267+G26280+G26293+G26306+G26319+G26332+G26345+G26358+G26371</f>
        <v>0</v>
      </c>
      <c r="H26228" s="16" t="n">
        <f aca="false">H26254+H26267+H26280+H26293+H26306+H26319+H26332+H26345+H26358+H26371</f>
        <v>0</v>
      </c>
      <c r="I26228" s="16" t="n">
        <f aca="false">I26254+I26267+I26280+I26293+I26306+I26319+I26332+I26345+I26358+I26371</f>
        <v>0</v>
      </c>
      <c r="J26228" s="16" t="n">
        <f aca="false">J26254+J26267+J26280+J26293+J26306+J26319+J26332+J26345+J26358+J26371</f>
        <v>0</v>
      </c>
      <c r="K26228" s="16" t="n">
        <f aca="false">K26254+K26267+K26280+K26293+K26306+K26319+K26332+K26345+K26358+K26371</f>
        <v>0</v>
      </c>
    </row>
    <row r="26229" customFormat="false" ht="15" hidden="false" customHeight="false" outlineLevel="0" collapsed="false">
      <c r="A26229" s="3" t="s">
        <v>283</v>
      </c>
      <c r="G26229" s="16" t="n">
        <f aca="false">G26227+G26228</f>
        <v>187.3888354</v>
      </c>
      <c r="H26229" s="16" t="n">
        <f aca="false">H26227+H26228</f>
        <v>186.2509204</v>
      </c>
      <c r="I26229" s="16" t="n">
        <f aca="false">I26227+I26228</f>
        <v>182.7365265363</v>
      </c>
      <c r="J26229" s="16" t="n">
        <f aca="false">J26227+J26228</f>
        <v>182.3265265363</v>
      </c>
      <c r="K26229" s="16" t="n">
        <f aca="false">K26227+K26228</f>
        <v>181.9165265363</v>
      </c>
    </row>
    <row r="26230" customFormat="false" ht="15" hidden="false" customHeight="false" outlineLevel="0" collapsed="false">
      <c r="A26230" s="2" t="s">
        <v>284</v>
      </c>
      <c r="G26230" s="17" t="n">
        <f aca="false">G26226-G26229</f>
        <v>-127.3674854</v>
      </c>
      <c r="H26230" s="17" t="n">
        <f aca="false">H26226-H26229</f>
        <v>-134.845336907</v>
      </c>
      <c r="I26230" s="17" t="n">
        <f aca="false">I26226-I26229</f>
        <v>-131.3309430433</v>
      </c>
      <c r="J26230" s="17" t="n">
        <f aca="false">J26226-J26229</f>
        <v>-128.112461452679</v>
      </c>
      <c r="K26230" s="17" t="n">
        <f aca="false">K26226-K26229</f>
        <v>-124.842950788596</v>
      </c>
    </row>
    <row r="26231" customFormat="false" ht="15" hidden="false" customHeight="false" outlineLevel="0" collapsed="false">
      <c r="A26231" s="3" t="s">
        <v>312</v>
      </c>
      <c r="G26231" s="16" t="n">
        <f aca="false">MAX(0,G26230)*Assumptions!$C$9</f>
        <v>0</v>
      </c>
      <c r="H26231" s="16" t="n">
        <f aca="false">MAX(0,H26230)*Assumptions!$C$9</f>
        <v>0</v>
      </c>
      <c r="I26231" s="16" t="n">
        <f aca="false">MAX(0,I26230)*Assumptions!$C$9</f>
        <v>0</v>
      </c>
      <c r="J26231" s="16" t="n">
        <f aca="false">MAX(0,J26230)*Assumptions!$C$9</f>
        <v>0</v>
      </c>
      <c r="K26231" s="16" t="n">
        <f aca="false">MAX(0,K26230)*Assumptions!$C$9</f>
        <v>0</v>
      </c>
    </row>
    <row r="26232" customFormat="false" ht="15" hidden="false" customHeight="false" outlineLevel="0" collapsed="false">
      <c r="A26232" s="2" t="s">
        <v>313</v>
      </c>
      <c r="G26232" s="17" t="n">
        <f aca="false">G26230-G26231</f>
        <v>-127.3674854</v>
      </c>
      <c r="H26232" s="17" t="n">
        <f aca="false">H26230-H26231</f>
        <v>-134.845336907</v>
      </c>
      <c r="I26232" s="17" t="n">
        <f aca="false">I26230-I26231</f>
        <v>-131.3309430433</v>
      </c>
      <c r="J26232" s="17" t="n">
        <f aca="false">J26230-J26231</f>
        <v>-128.112461452679</v>
      </c>
      <c r="K26232" s="17" t="n">
        <f aca="false">K26230-K26231</f>
        <v>-124.842950788596</v>
      </c>
    </row>
    <row r="26233" customFormat="false" ht="15" hidden="false" customHeight="false" outlineLevel="0" collapsed="false">
      <c r="A26233" s="24" t="s">
        <v>314</v>
      </c>
      <c r="B26233" s="25"/>
      <c r="C26233" s="25"/>
      <c r="D26233" s="25"/>
      <c r="E26233" s="25"/>
      <c r="F26233" s="25"/>
      <c r="G26233" s="25"/>
      <c r="H26233" s="25"/>
      <c r="I26233" s="25"/>
      <c r="J26233" s="25"/>
      <c r="K26233" s="25"/>
    </row>
    <row r="26234" customFormat="false" ht="15" hidden="false" customHeight="false" outlineLevel="0" collapsed="false">
      <c r="A26234" s="3" t="s">
        <v>184</v>
      </c>
      <c r="G26234" s="16" t="n">
        <f aca="false">G26219*CHOOSE($C$26206,Assumptions!$C$83,Assumptions!$C$102,Assumptions!$C$121)</f>
        <v>84.3108372</v>
      </c>
      <c r="H26234" s="16" t="n">
        <f aca="false">H26219*CHOOSE($C$26206,Assumptions!$C$83,Assumptions!$C$102,Assumptions!$C$121)</f>
        <v>81.781512084</v>
      </c>
      <c r="I26234" s="16" t="n">
        <f aca="false">I26219*CHOOSE($C$26206,Assumptions!$C$83,Assumptions!$C$102,Assumptions!$C$121)</f>
        <v>81.781512084</v>
      </c>
      <c r="J26234" s="16" t="n">
        <f aca="false">J26219*CHOOSE($C$26206,Assumptions!$C$83,Assumptions!$C$102,Assumptions!$C$121)</f>
        <v>82.59932720484</v>
      </c>
      <c r="K26234" s="16" t="n">
        <f aca="false">K26219*CHOOSE($C$26206,Assumptions!$C$83,Assumptions!$C$102,Assumptions!$C$121)</f>
        <v>83.4253204768884</v>
      </c>
    </row>
    <row r="26235" customFormat="false" ht="15" hidden="false" customHeight="false" outlineLevel="0" collapsed="false">
      <c r="A26235" s="3" t="s">
        <v>315</v>
      </c>
      <c r="G26235" s="16" t="n">
        <f aca="false">CHOOSE($C$26206,Assumptions!$C$84,Assumptions!$C$103,Assumptions!$C$122)*(G26219-F26219)+CHOOSE($C$26206,Assumptions!$C$85,Assumptions!$C$104,Assumptions!$C$123)*G26219</f>
        <v>23.419677</v>
      </c>
      <c r="H26235" s="16" t="n">
        <f aca="false">CHOOSE($C$26206,Assumptions!$C$84,Assumptions!$C$103,Assumptions!$C$122)*(H26219-G26219)+CHOOSE($C$26206,Assumptions!$C$85,Assumptions!$C$104,Assumptions!$C$123)*H26219</f>
        <v>22.71708669</v>
      </c>
      <c r="I26235" s="16" t="n">
        <f aca="false">CHOOSE($C$26206,Assumptions!$C$84,Assumptions!$C$103,Assumptions!$C$122)*(I26219-H26219)+CHOOSE($C$26206,Assumptions!$C$85,Assumptions!$C$104,Assumptions!$C$123)*I26219</f>
        <v>22.71708669</v>
      </c>
      <c r="J26235" s="16" t="n">
        <f aca="false">CHOOSE($C$26206,Assumptions!$C$84,Assumptions!$C$103,Assumptions!$C$122)*(J26219-I26219)+CHOOSE($C$26206,Assumptions!$C$85,Assumptions!$C$104,Assumptions!$C$123)*J26219</f>
        <v>22.9442575569</v>
      </c>
      <c r="K26235" s="16" t="n">
        <f aca="false">CHOOSE($C$26206,Assumptions!$C$84,Assumptions!$C$103,Assumptions!$C$122)*(K26219-J26219)+CHOOSE($C$26206,Assumptions!$C$85,Assumptions!$C$104,Assumptions!$C$123)*K26219</f>
        <v>23.173700132469</v>
      </c>
    </row>
    <row r="26236" customFormat="false" ht="15" hidden="false" customHeight="false" outlineLevel="0" collapsed="false">
      <c r="A26236" s="2" t="s">
        <v>316</v>
      </c>
      <c r="G26236" s="17" t="n">
        <f aca="false">G26232+G26224+G26225+G26228-G26234-G26235</f>
        <v>-60.9225796</v>
      </c>
      <c r="H26236" s="17" t="n">
        <f aca="false">H26232+H26224+H26225+H26228-H26234-H26235</f>
        <v>-70.393778281</v>
      </c>
      <c r="I26236" s="17" t="n">
        <f aca="false">I26232+I26224+I26225+I26228-I26234-I26235</f>
        <v>-66.8793844172995</v>
      </c>
      <c r="J26236" s="17" t="n">
        <f aca="false">J26232+J26224+J26225+J26228-J26234-J26235</f>
        <v>-63.0163872404195</v>
      </c>
      <c r="K26236" s="17" t="n">
        <f aca="false">K26232+K26224+K26225+K26228-K26234-K26235</f>
        <v>-59.0959158342138</v>
      </c>
    </row>
    <row r="26238" customFormat="false" ht="15" hidden="false" customHeight="false" outlineLevel="0" collapsed="false">
      <c r="A26238" s="24" t="s">
        <v>318</v>
      </c>
      <c r="B26238" s="25"/>
      <c r="C26238" s="25"/>
      <c r="D26238" s="25"/>
      <c r="E26238" s="25"/>
      <c r="F26238" s="25"/>
      <c r="G26238" s="25"/>
      <c r="H26238" s="25"/>
      <c r="I26238" s="25"/>
      <c r="J26238" s="25"/>
      <c r="K26238" s="25"/>
    </row>
    <row r="26239" customFormat="false" ht="15" hidden="false" customHeight="false" outlineLevel="0" collapsed="false">
      <c r="A26239" s="3" t="s">
        <v>319</v>
      </c>
      <c r="G26239" s="30" t="n">
        <f aca="false">Assumptions!$G$53</f>
        <v>0.039</v>
      </c>
      <c r="H26239" s="30" t="n">
        <f aca="false">Assumptions!$H$53</f>
        <v>0.0375</v>
      </c>
      <c r="I26239" s="30" t="n">
        <f aca="false">Assumptions!$I$53</f>
        <v>0.035</v>
      </c>
      <c r="J26239" s="30" t="n">
        <f aca="false">Assumptions!$J$53</f>
        <v>0.035</v>
      </c>
      <c r="K26239" s="30" t="n">
        <f aca="false">Assumptions!$K$53</f>
        <v>0.035</v>
      </c>
    </row>
    <row r="26240" customFormat="false" ht="15" hidden="false" customHeight="false" outlineLevel="0" collapsed="false">
      <c r="A26240" s="3" t="s">
        <v>320</v>
      </c>
      <c r="C26240" s="31" t="n">
        <f aca="false">CHOOSE($C$26206,Assumptions!$C$86,Assumptions!$C$105,Assumptions!$C$124)+$C$26209</f>
        <v>0.015</v>
      </c>
    </row>
    <row r="26241" customFormat="false" ht="15" hidden="false" customHeight="false" outlineLevel="0" collapsed="false">
      <c r="A26241" s="3" t="s">
        <v>321</v>
      </c>
      <c r="C26241" s="31" t="n">
        <f aca="false">CHOOSE($C$26206,Assumptions!$C$87,Assumptions!$C$106,Assumptions!$C$125)</f>
        <v>0.1</v>
      </c>
    </row>
    <row r="26242" customFormat="false" ht="15" hidden="false" customHeight="false" outlineLevel="0" collapsed="false">
      <c r="A26242" s="3" t="s">
        <v>322</v>
      </c>
      <c r="C26242" s="32" t="n">
        <f aca="false">CHOOSE($C$26206,Assumptions!$C$88,Assumptions!$C$107,Assumptions!$C$126)</f>
        <v>9.5</v>
      </c>
    </row>
    <row r="26243" customFormat="false" ht="15" hidden="false" customHeight="false" outlineLevel="0" collapsed="false">
      <c r="A26243" s="3" t="s">
        <v>323</v>
      </c>
      <c r="C26243" s="32" t="n">
        <f aca="false">CHOOSE($C$26206,Assumptions!$C$89,Assumptions!$C$108,Assumptions!$C$127)</f>
        <v>1.5</v>
      </c>
    </row>
    <row r="26244" customFormat="false" ht="15" hidden="false" customHeight="false" outlineLevel="0" collapsed="false">
      <c r="A26244" s="3" t="s">
        <v>324</v>
      </c>
      <c r="G26244" s="16" t="n">
        <f aca="false">G26249+G26262+G26275+G26288+G26301+G26314+G26327+G26340+G26353+G26366</f>
        <v>2625.934</v>
      </c>
      <c r="H26244" s="16" t="n">
        <f aca="false">H26249+H26262+H26275+H26288+H26301+H26314+H26327+H26340+H26353+H26366</f>
        <v>2621.934</v>
      </c>
      <c r="I26244" s="16" t="n">
        <f aca="false">I26249+I26262+I26275+I26288+I26301+I26314+I26327+I26340+I26353+I26366</f>
        <v>2569.380357881</v>
      </c>
      <c r="J26244" s="16" t="n">
        <f aca="false">J26249+J26262+J26275+J26288+J26301+J26314+J26327+J26340+J26353+J26366</f>
        <v>2565.380357881</v>
      </c>
      <c r="K26244" s="16" t="n">
        <f aca="false">K26249+K26262+K26275+K26288+K26301+K26314+K26327+K26340+K26353+K26366</f>
        <v>2561.380357881</v>
      </c>
    </row>
    <row r="26245" customFormat="false" ht="15" hidden="false" customHeight="false" outlineLevel="0" collapsed="false">
      <c r="A26245" s="3" t="s">
        <v>325</v>
      </c>
      <c r="G26245" s="16" t="n">
        <f aca="false">F26437</f>
        <v>37.87</v>
      </c>
      <c r="H26245" s="16" t="n">
        <f aca="false">G26437</f>
        <v>122.9474204</v>
      </c>
      <c r="I26245" s="16" t="n">
        <f aca="false">H26437</f>
        <v>0</v>
      </c>
      <c r="J26245" s="16" t="n">
        <f aca="false">I26437</f>
        <v>-70.8793844172995</v>
      </c>
      <c r="K26245" s="16" t="n">
        <f aca="false">J26437</f>
        <v>-137.895771657719</v>
      </c>
    </row>
    <row r="26246" customFormat="false" ht="15" hidden="false" customHeight="false" outlineLevel="0" collapsed="false">
      <c r="A26246" s="3" t="s">
        <v>326</v>
      </c>
      <c r="G26246" s="16" t="n">
        <f aca="false">G26249*IF(G26250=1,$C$26241,IF(Assumptions!$I$57=1,MAX(G26239,Assumptions!$G$57)+Assumptions!$F$57+$C$26240,Assumptions!$E$57))+G26262*IF(G26263=1,$C$26241,IF(Assumptions!$I$58=1,MAX(G26239,Assumptions!$G$58)+Assumptions!$F$58+$C$26240,Assumptions!$E$58))+G26275*IF(G26276=1,$C$26241,IF(Assumptions!$I$59=1,MAX(G26239,Assumptions!$G$59)+Assumptions!$F$59+$C$26240,Assumptions!$E$59))+G26288*IF(G26289=1,$C$26241,IF(Assumptions!$I$60=1,MAX(G26239,Assumptions!$G$60)+Assumptions!$F$60+$C$26240,Assumptions!$E$60))+G26301*IF(G26302=1,$C$26241,IF(Assumptions!$I$61=1,MAX(G26239,Assumptions!$G$61)+Assumptions!$F$61+$C$26240,Assumptions!$E$61))+G26314*IF(G26315=1,$C$26241,IF(Assumptions!$I$62=1,MAX(G26239,Assumptions!$G$62)+Assumptions!$F$62+$C$26240,Assumptions!$E$62))+G26327*IF(G26328=1,$C$26241,IF(Assumptions!$I$63=1,MAX(G26239,Assumptions!$G$63)+Assumptions!$F$63+$C$26240,Assumptions!$E$63))+G26340*IF(G26341=1,$C$26241,IF(Assumptions!$I$64=1,MAX(G26239,Assumptions!$G$64)+Assumptions!$F$64+$C$26240,Assumptions!$E$64))+G26353*IF(G26354=1,$C$26241,IF(Assumptions!$I$65=1,MAX(G26239,Assumptions!$G$65)+Assumptions!$F$65+$C$26240,Assumptions!$E$65))+G26366*IF(G26367=1,$C$26241,IF(Assumptions!$I$66=1,MAX(G26239,Assumptions!$G$66)+Assumptions!$F$66+$C$26240,Assumptions!$E$66))</f>
        <v>187.3888354</v>
      </c>
      <c r="H26246" s="16" t="n">
        <f aca="false">H26249*IF(OR(H26250=1,G26559=1),$C$26241,IF(Assumptions!$I$57=1,MAX(H26239,Assumptions!$G$57)+Assumptions!$F$57+$C$26240,Assumptions!$E$57))+H26262*IF(OR(H26263=1,G26560=1),$C$26241,IF(Assumptions!$I$58=1,MAX(H26239,Assumptions!$G$58)+Assumptions!$F$58+$C$26240,Assumptions!$E$58))+H26275*IF(OR(H26276=1,G26561=1),$C$26241,IF(Assumptions!$I$59=1,MAX(H26239,Assumptions!$G$59)+Assumptions!$F$59+$C$26240,Assumptions!$E$59))+H26288*IF(OR(H26289=1,G26562=1),$C$26241,IF(Assumptions!$I$60=1,MAX(H26239,Assumptions!$G$60)+Assumptions!$F$60+$C$26240,Assumptions!$E$60))+H26301*IF(OR(H26302=1,G26563=1),$C$26241,IF(Assumptions!$I$61=1,MAX(H26239,Assumptions!$G$61)+Assumptions!$F$61+$C$26240,Assumptions!$E$61))+H26314*IF(OR(H26315=1,G26564=1),$C$26241,IF(Assumptions!$I$62=1,MAX(H26239,Assumptions!$G$62)+Assumptions!$F$62+$C$26240,Assumptions!$E$62))+H26327*IF(OR(H26328=1,G26565=1),$C$26241,IF(Assumptions!$I$63=1,MAX(H26239,Assumptions!$G$63)+Assumptions!$F$63+$C$26240,Assumptions!$E$63))+H26340*IF(OR(H26341=1,G26566=1),$C$26241,IF(Assumptions!$I$64=1,MAX(H26239,Assumptions!$G$64)+Assumptions!$F$64+$C$26240,Assumptions!$E$64))+H26353*IF(OR(H26354=1,G26567=1),$C$26241,IF(Assumptions!$I$65=1,MAX(H26239,Assumptions!$G$65)+Assumptions!$F$65+$C$26240,Assumptions!$E$65))+H26366*IF(OR(H26367=1,G26568=1),$C$26241,IF(Assumptions!$I$66=1,MAX(H26239,Assumptions!$G$66)+Assumptions!$F$66+$C$26240,Assumptions!$E$66))</f>
        <v>219.4259204</v>
      </c>
      <c r="I26246" s="16" t="n">
        <f aca="false">I26249*IF(OR(I26250=1,H26559=1),$C$26241,IF(Assumptions!$I$57=1,MAX(I26239,Assumptions!$G$57)+Assumptions!$F$57+$C$26240,Assumptions!$E$57))+I26262*IF(OR(I26263=1,H26560=1),$C$26241,IF(Assumptions!$I$58=1,MAX(I26239,Assumptions!$G$58)+Assumptions!$F$58+$C$26240,Assumptions!$E$58))+I26275*IF(OR(I26276=1,H26561=1),$C$26241,IF(Assumptions!$I$59=1,MAX(I26239,Assumptions!$G$59)+Assumptions!$F$59+$C$26240,Assumptions!$E$59))+I26288*IF(OR(I26289=1,H26562=1),$C$26241,IF(Assumptions!$I$60=1,MAX(I26239,Assumptions!$G$60)+Assumptions!$F$60+$C$26240,Assumptions!$E$60))+I26301*IF(OR(I26302=1,H26563=1),$C$26241,IF(Assumptions!$I$61=1,MAX(I26239,Assumptions!$G$61)+Assumptions!$F$61+$C$26240,Assumptions!$E$61))+I26314*IF(OR(I26315=1,H26564=1),$C$26241,IF(Assumptions!$I$62=1,MAX(I26239,Assumptions!$G$62)+Assumptions!$F$62+$C$26240,Assumptions!$E$62))+I26327*IF(OR(I26328=1,H26565=1),$C$26241,IF(Assumptions!$I$63=1,MAX(I26239,Assumptions!$G$63)+Assumptions!$F$63+$C$26240,Assumptions!$E$63))+I26340*IF(OR(I26341=1,H26566=1),$C$26241,IF(Assumptions!$I$64=1,MAX(I26239,Assumptions!$G$64)+Assumptions!$F$64+$C$26240,Assumptions!$E$64))+I26353*IF(OR(I26354=1,H26567=1),$C$26241,IF(Assumptions!$I$65=1,MAX(I26239,Assumptions!$G$65)+Assumptions!$F$65+$C$26240,Assumptions!$E$65))+I26366*IF(OR(I26367=1,H26568=1),$C$26241,IF(Assumptions!$I$66=1,MAX(I26239,Assumptions!$G$66)+Assumptions!$F$66+$C$26240,Assumptions!$E$66))</f>
        <v>188.9240265363</v>
      </c>
      <c r="J26246" s="16" t="n">
        <f aca="false">J26249*IF(OR(J26250=1,I26559=1),$C$26241,IF(Assumptions!$I$57=1,MAX(J26239,Assumptions!$G$57)+Assumptions!$F$57+$C$26240,Assumptions!$E$57))+J26262*IF(OR(J26263=1,I26560=1),$C$26241,IF(Assumptions!$I$58=1,MAX(J26239,Assumptions!$G$58)+Assumptions!$F$58+$C$26240,Assumptions!$E$58))+J26275*IF(OR(J26276=1,I26561=1),$C$26241,IF(Assumptions!$I$59=1,MAX(J26239,Assumptions!$G$59)+Assumptions!$F$59+$C$26240,Assumptions!$E$59))+J26288*IF(OR(J26289=1,I26562=1),$C$26241,IF(Assumptions!$I$60=1,MAX(J26239,Assumptions!$G$60)+Assumptions!$F$60+$C$26240,Assumptions!$E$60))+J26301*IF(OR(J26302=1,I26563=1),$C$26241,IF(Assumptions!$I$61=1,MAX(J26239,Assumptions!$G$61)+Assumptions!$F$61+$C$26240,Assumptions!$E$61))+J26314*IF(OR(J26315=1,I26564=1),$C$26241,IF(Assumptions!$I$62=1,MAX(J26239,Assumptions!$G$62)+Assumptions!$F$62+$C$26240,Assumptions!$E$62))+J26327*IF(OR(J26328=1,I26565=1),$C$26241,IF(Assumptions!$I$63=1,MAX(J26239,Assumptions!$G$63)+Assumptions!$F$63+$C$26240,Assumptions!$E$63))+J26340*IF(OR(J26341=1,I26566=1),$C$26241,IF(Assumptions!$I$64=1,MAX(J26239,Assumptions!$G$64)+Assumptions!$F$64+$C$26240,Assumptions!$E$64))+J26353*IF(OR(J26354=1,I26567=1),$C$26241,IF(Assumptions!$I$65=1,MAX(J26239,Assumptions!$G$65)+Assumptions!$F$65+$C$26240,Assumptions!$E$65))+J26366*IF(OR(J26367=1,I26568=1),$C$26241,IF(Assumptions!$I$66=1,MAX(J26239,Assumptions!$G$66)+Assumptions!$F$66+$C$26240,Assumptions!$E$66))</f>
        <v>201.401526536299</v>
      </c>
      <c r="K26246" s="16" t="n">
        <f aca="false">K26249*IF(OR(K26250=1,J26559=1),$C$26241,IF(Assumptions!$I$57=1,MAX(K26239,Assumptions!$G$57)+Assumptions!$F$57+$C$26240,Assumptions!$E$57))+K26262*IF(OR(K26263=1,J26560=1),$C$26241,IF(Assumptions!$I$58=1,MAX(K26239,Assumptions!$G$58)+Assumptions!$F$58+$C$26240,Assumptions!$E$58))+K26275*IF(OR(K26276=1,J26561=1),$C$26241,IF(Assumptions!$I$59=1,MAX(K26239,Assumptions!$G$59)+Assumptions!$F$59+$C$26240,Assumptions!$E$59))+K26288*IF(OR(K26289=1,J26562=1),$C$26241,IF(Assumptions!$I$60=1,MAX(K26239,Assumptions!$G$60)+Assumptions!$F$60+$C$26240,Assumptions!$E$60))+K26301*IF(OR(K26302=1,J26563=1),$C$26241,IF(Assumptions!$I$61=1,MAX(K26239,Assumptions!$G$61)+Assumptions!$F$61+$C$26240,Assumptions!$E$61))+K26314*IF(OR(K26315=1,J26564=1),$C$26241,IF(Assumptions!$I$62=1,MAX(K26239,Assumptions!$G$62)+Assumptions!$F$62+$C$26240,Assumptions!$E$62))+K26327*IF(OR(K26328=1,J26565=1),$C$26241,IF(Assumptions!$I$63=1,MAX(K26239,Assumptions!$G$63)+Assumptions!$F$63+$C$26240,Assumptions!$E$63))+K26340*IF(OR(K26341=1,J26566=1),$C$26241,IF(Assumptions!$I$64=1,MAX(K26239,Assumptions!$G$64)+Assumptions!$F$64+$C$26240,Assumptions!$E$64))+K26353*IF(OR(K26354=1,J26567=1),$C$26241,IF(Assumptions!$I$65=1,MAX(K26239,Assumptions!$G$65)+Assumptions!$F$65+$C$26240,Assumptions!$E$65))+K26366*IF(OR(K26367=1,J26568=1),$C$26241,IF(Assumptions!$I$66=1,MAX(K26239,Assumptions!$G$66)+Assumptions!$F$66+$C$26240,Assumptions!$E$66))</f>
        <v>192.5815265363</v>
      </c>
    </row>
    <row r="26247" customFormat="false" ht="15" hidden="false" customHeight="false" outlineLevel="0" collapsed="false">
      <c r="A26247" s="3" t="s">
        <v>327</v>
      </c>
      <c r="G26247" s="21" t="n">
        <f aca="false">IF(G26223&lt;=0,0,IF(AND((G26244-G26245)/G26223&lt;=$C$26242,G26223/G26246&gt;=$C$26243),1,0))</f>
        <v>0</v>
      </c>
      <c r="H26247" s="21" t="n">
        <f aca="false">IF(H26223&lt;=0,0,IF(AND((H26244-H26245)/H26223&lt;=$C$26242,H26223/H26246&gt;=$C$26243),1,0))</f>
        <v>0</v>
      </c>
      <c r="I26247" s="21" t="n">
        <f aca="false">IF(I26223&lt;=0,0,IF(AND((I26244-I26245)/I26223&lt;=$C$26242,I26223/I26246&gt;=$C$26243),1,0))</f>
        <v>0</v>
      </c>
      <c r="J26247" s="21" t="n">
        <f aca="false">IF(J26223&lt;=0,0,IF(AND((J26244-J26245)/J26223&lt;=$C$26242,J26223/J26246&gt;=$C$26243),1,0))</f>
        <v>0</v>
      </c>
      <c r="K26247" s="21" t="n">
        <f aca="false">IF(K26223&lt;=0,0,IF(AND((K26244-K26245)/K26223&lt;=$C$26242,K26223/K26246&gt;=$C$26243),1,0))</f>
        <v>0</v>
      </c>
    </row>
    <row r="26248" customFormat="false" ht="15" hidden="false" customHeight="false" outlineLevel="0" collapsed="false">
      <c r="A26248" s="24" t="s">
        <v>328</v>
      </c>
      <c r="B26248" s="25"/>
      <c r="C26248" s="25"/>
      <c r="D26248" s="25"/>
      <c r="E26248" s="25"/>
      <c r="F26248" s="25"/>
      <c r="G26248" s="25"/>
      <c r="H26248" s="25"/>
      <c r="I26248" s="25"/>
      <c r="J26248" s="25"/>
      <c r="K26248" s="25"/>
    </row>
    <row r="26249" customFormat="false" ht="15" hidden="false" customHeight="false" outlineLevel="0" collapsed="false">
      <c r="A26249" s="3" t="s">
        <v>329</v>
      </c>
      <c r="G26249" s="16" t="n">
        <f aca="false">F26260</f>
        <v>400</v>
      </c>
      <c r="H26249" s="16" t="n">
        <f aca="false">G26260</f>
        <v>396</v>
      </c>
      <c r="I26249" s="16" t="n">
        <f aca="false">H26260</f>
        <v>392</v>
      </c>
      <c r="J26249" s="16" t="n">
        <f aca="false">I26260</f>
        <v>388</v>
      </c>
      <c r="K26249" s="16" t="n">
        <f aca="false">J26260</f>
        <v>384</v>
      </c>
    </row>
    <row r="26250" customFormat="false" ht="15" hidden="false" customHeight="false" outlineLevel="0" collapsed="false">
      <c r="A26250" s="3" t="s">
        <v>330</v>
      </c>
      <c r="G26250" s="21" t="n">
        <f aca="false">IF(G26213=Assumptions!$K$57,1,0)</f>
        <v>0</v>
      </c>
      <c r="H26250" s="21" t="n">
        <f aca="false">IF(H26213=Assumptions!$K$57,1,0)</f>
        <v>0</v>
      </c>
      <c r="I26250" s="21" t="n">
        <f aca="false">IF(I26213=Assumptions!$K$57,1,0)</f>
        <v>0</v>
      </c>
      <c r="J26250" s="21" t="n">
        <f aca="false">IF(J26213=Assumptions!$K$57,1,0)</f>
        <v>0</v>
      </c>
      <c r="K26250" s="21" t="n">
        <f aca="false">IF(K26213=Assumptions!$K$57,1,0)</f>
        <v>1</v>
      </c>
    </row>
    <row r="26252" customFormat="false" ht="15" hidden="false" customHeight="false" outlineLevel="0" collapsed="false">
      <c r="A26252" s="3" t="s">
        <v>331</v>
      </c>
      <c r="G26252" s="31" t="n">
        <f aca="false">IF(Assumptions!$I$57=1,MAX(G26239,Assumptions!$G$57)+Assumptions!$F$57+$C$26240,Assumptions!$E$57)</f>
        <v>0.1065</v>
      </c>
      <c r="H26252" s="31" t="n">
        <f aca="false">IF(G26559=1,$C$26241,IF(Assumptions!$I$57=1,MAX(H26239,Assumptions!$G$57)+Assumptions!$F$57+$C$26240,Assumptions!$E$57))</f>
        <v>0.105</v>
      </c>
      <c r="I26252" s="31" t="n">
        <f aca="false">IF(H26559=1,$C$26241,IF(Assumptions!$I$57=1,MAX(I26239,Assumptions!$G$57)+Assumptions!$F$57+$C$26240,Assumptions!$E$57))</f>
        <v>0.1025</v>
      </c>
      <c r="J26252" s="31" t="n">
        <f aca="false">IF(I26559=1,$C$26241,IF(Assumptions!$I$57=1,MAX(J26239,Assumptions!$G$57)+Assumptions!$F$57+$C$26240,Assumptions!$E$57))</f>
        <v>0.1025</v>
      </c>
      <c r="K26252" s="31" t="n">
        <f aca="false">IF(J26559=1,$C$26241,IF(Assumptions!$I$57=1,MAX(K26239,Assumptions!$G$57)+Assumptions!$F$57+$C$26240,Assumptions!$E$57))</f>
        <v>0.1025</v>
      </c>
    </row>
    <row r="26253" customFormat="false" ht="15" hidden="false" customHeight="false" outlineLevel="0" collapsed="false">
      <c r="A26253" s="3" t="s">
        <v>332</v>
      </c>
      <c r="G26253" s="16" t="n">
        <f aca="false">G26249*G26252</f>
        <v>42.6</v>
      </c>
      <c r="H26253" s="16" t="n">
        <f aca="false">H26249*H26252</f>
        <v>41.58</v>
      </c>
      <c r="I26253" s="16" t="n">
        <f aca="false">I26249*I26252</f>
        <v>40.18</v>
      </c>
      <c r="J26253" s="16" t="n">
        <f aca="false">J26249*J26252</f>
        <v>39.77</v>
      </c>
      <c r="K26253" s="16" t="n">
        <f aca="false">K26249*K26252</f>
        <v>39.36</v>
      </c>
    </row>
    <row r="26254" customFormat="false" ht="15" hidden="false" customHeight="false" outlineLevel="0" collapsed="false">
      <c r="A26254" s="3" t="s">
        <v>333</v>
      </c>
      <c r="G26254" s="16" t="n">
        <f aca="false">G26249*Assumptions!$H$57</f>
        <v>0</v>
      </c>
      <c r="H26254" s="16" t="n">
        <f aca="false">H26249*Assumptions!$H$57</f>
        <v>0</v>
      </c>
      <c r="I26254" s="16" t="n">
        <f aca="false">I26249*Assumptions!$H$57</f>
        <v>0</v>
      </c>
      <c r="J26254" s="16" t="n">
        <f aca="false">J26249*Assumptions!$H$57</f>
        <v>0</v>
      </c>
      <c r="K26254" s="16" t="n">
        <f aca="false">K26249*Assumptions!$H$57</f>
        <v>0</v>
      </c>
    </row>
    <row r="26255" customFormat="false" ht="15" hidden="false" customHeight="false" outlineLevel="0" collapsed="false">
      <c r="A26255" s="3" t="s">
        <v>334</v>
      </c>
      <c r="G26255" s="16" t="n">
        <f aca="false">MIN(G26249,Assumptions!$L$57*Assumptions!$C$57)</f>
        <v>4</v>
      </c>
      <c r="H26255" s="16" t="n">
        <f aca="false">MIN(H26249,Assumptions!$L$57*Assumptions!$C$57)</f>
        <v>4</v>
      </c>
      <c r="I26255" s="16" t="n">
        <f aca="false">MIN(I26249,Assumptions!$L$57*Assumptions!$C$57)</f>
        <v>4</v>
      </c>
      <c r="J26255" s="16" t="n">
        <f aca="false">MIN(J26249,Assumptions!$L$57*Assumptions!$C$57)</f>
        <v>4</v>
      </c>
      <c r="K26255" s="16" t="n">
        <f aca="false">MIN(K26249,Assumptions!$L$57*Assumptions!$C$57)</f>
        <v>4</v>
      </c>
    </row>
    <row r="26256" customFormat="false" ht="15" hidden="false" customHeight="false" outlineLevel="0" collapsed="false">
      <c r="A26256" s="3" t="s">
        <v>335</v>
      </c>
      <c r="G26256" s="16" t="n">
        <f aca="false">IF(AND(Assumptions!$P$57=1,G26213&lt;Assumptions!$K$57),MIN(MAX(0,-G26429),MAX(0,Assumptions!$D$57-G26249)),0)</f>
        <v>0</v>
      </c>
      <c r="H26256" s="16" t="n">
        <f aca="false">IF(AND(Assumptions!$P$57=1,OR(H26213&lt;Assumptions!$K$57,G26559=1)),MIN(MAX(0,-H26429),MAX(0,Assumptions!$D$57-H26249)),0)</f>
        <v>0</v>
      </c>
      <c r="I26256" s="16" t="n">
        <f aca="false">IF(AND(Assumptions!$P$57=1,OR(I26213&lt;Assumptions!$K$57,H26559=1)),MIN(MAX(0,-I26429),MAX(0,Assumptions!$D$57-I26249)),0)</f>
        <v>0</v>
      </c>
      <c r="J26256" s="16" t="n">
        <f aca="false">IF(AND(Assumptions!$P$57=1,OR(J26213&lt;Assumptions!$K$57,I26559=1)),MIN(MAX(0,-J26429),MAX(0,Assumptions!$D$57-J26249)),0)</f>
        <v>0</v>
      </c>
      <c r="K26256" s="16" t="n">
        <f aca="false">IF(AND(Assumptions!$P$57=1,OR(K26213&lt;Assumptions!$K$57,J26559=1)),MIN(MAX(0,-K26429),MAX(0,Assumptions!$D$57-K26249)),0)</f>
        <v>0</v>
      </c>
    </row>
    <row r="26257" customFormat="false" ht="15" hidden="false" customHeight="false" outlineLevel="0" collapsed="false">
      <c r="A26257" s="3" t="s">
        <v>336</v>
      </c>
      <c r="G26257" s="16" t="n">
        <f aca="false">G26250*MIN(G26249-G26255+G26254,MAX(0,G26431-Assumptions!$C$12*G26247))</f>
        <v>0</v>
      </c>
      <c r="H26257" s="16" t="n">
        <f aca="false">H26250*MIN(H26249-H26255+H26254,MAX(0,H26431-Assumptions!$C$12*H26247))</f>
        <v>0</v>
      </c>
      <c r="I26257" s="16" t="n">
        <f aca="false">I26250*MIN(I26249-I26255+I26254,MAX(0,I26431-Assumptions!$C$12*I26247))</f>
        <v>0</v>
      </c>
      <c r="J26257" s="16" t="n">
        <f aca="false">J26250*MIN(J26249-J26255+J26254,MAX(0,J26431-Assumptions!$C$12*J26247))</f>
        <v>0</v>
      </c>
      <c r="K26257" s="16" t="n">
        <f aca="false">K26250*MIN(K26249-K26255+K26254,MAX(0,K26431-Assumptions!$C$12*K26247))</f>
        <v>0</v>
      </c>
    </row>
    <row r="26258" customFormat="false" ht="15" hidden="false" customHeight="false" outlineLevel="0" collapsed="false">
      <c r="A26258" s="3" t="s">
        <v>337</v>
      </c>
      <c r="G26258" s="16" t="n">
        <f aca="false">Assumptions!$N$57*MIN(G26249+G26256+G26254-G26255-G26257,MAX(0,G26435))</f>
        <v>0</v>
      </c>
      <c r="H26258" s="16" t="n">
        <f aca="false">Assumptions!$N$57*MIN(H26249+H26256+H26254-H26255-H26257,MAX(0,H26435))</f>
        <v>0</v>
      </c>
      <c r="I26258" s="16" t="n">
        <f aca="false">Assumptions!$N$57*MIN(I26249+I26256+I26254-I26255-I26257,MAX(0,I26435))</f>
        <v>0</v>
      </c>
      <c r="J26258" s="16" t="n">
        <f aca="false">Assumptions!$N$57*MIN(J26249+J26256+J26254-J26255-J26257,MAX(0,J26435))</f>
        <v>0</v>
      </c>
      <c r="K26258" s="16" t="n">
        <f aca="false">Assumptions!$N$57*MIN(K26249+K26256+K26254-K26255-K26257,MAX(0,K26435))</f>
        <v>0</v>
      </c>
    </row>
    <row r="26259" customFormat="false" ht="15" hidden="false" customHeight="false" outlineLevel="0" collapsed="false">
      <c r="A26259" s="3" t="s">
        <v>338</v>
      </c>
      <c r="G26259" s="16" t="n">
        <f aca="false">G26250*(1-G26247)*(G26249-G26255+G26254-G26257)</f>
        <v>0</v>
      </c>
      <c r="H26259" s="16" t="n">
        <f aca="false">H26250*(1-H26247)*(H26249-H26255+H26254-H26257)</f>
        <v>0</v>
      </c>
      <c r="I26259" s="16" t="n">
        <f aca="false">I26250*(1-I26247)*(I26249-I26255+I26254-I26257)</f>
        <v>0</v>
      </c>
      <c r="J26259" s="16" t="n">
        <f aca="false">J26250*(1-J26247)*(J26249-J26255+J26254-J26257)</f>
        <v>0</v>
      </c>
      <c r="K26259" s="16" t="n">
        <f aca="false">K26250*(1-K26247)*(K26249-K26255+K26254-K26257)</f>
        <v>380</v>
      </c>
    </row>
    <row r="26260" customFormat="false" ht="15" hidden="false" customHeight="false" outlineLevel="0" collapsed="false">
      <c r="A26260" s="2" t="s">
        <v>339</v>
      </c>
      <c r="F26260" s="28" t="n">
        <f aca="false">Assumptions!$C$57</f>
        <v>400</v>
      </c>
      <c r="G26260" s="17" t="n">
        <f aca="false">G26249+G26256+G26254-G26255-G26257-G26258</f>
        <v>396</v>
      </c>
      <c r="H26260" s="17" t="n">
        <f aca="false">H26249+H26256+H26254-H26255-H26257-H26258</f>
        <v>392</v>
      </c>
      <c r="I26260" s="17" t="n">
        <f aca="false">I26249+I26256+I26254-I26255-I26257-I26258</f>
        <v>388</v>
      </c>
      <c r="J26260" s="17" t="n">
        <f aca="false">J26249+J26256+J26254-J26255-J26257-J26258</f>
        <v>384</v>
      </c>
      <c r="K26260" s="17" t="n">
        <f aca="false">K26249+K26256+K26254-K26255-K26257-K26258</f>
        <v>380</v>
      </c>
    </row>
    <row r="26261" customFormat="false" ht="15" hidden="false" customHeight="false" outlineLevel="0" collapsed="false">
      <c r="A26261" s="24" t="s">
        <v>340</v>
      </c>
      <c r="B26261" s="25"/>
      <c r="C26261" s="25"/>
      <c r="D26261" s="25"/>
      <c r="E26261" s="25"/>
      <c r="F26261" s="25"/>
      <c r="G26261" s="25"/>
      <c r="H26261" s="25"/>
      <c r="I26261" s="25"/>
      <c r="J26261" s="25"/>
      <c r="K26261" s="25"/>
    </row>
    <row r="26262" customFormat="false" ht="15" hidden="false" customHeight="false" outlineLevel="0" collapsed="false">
      <c r="A26262" s="3" t="s">
        <v>329</v>
      </c>
      <c r="G26262" s="16" t="n">
        <f aca="false">F26273</f>
        <v>90</v>
      </c>
      <c r="H26262" s="16" t="n">
        <f aca="false">G26273</f>
        <v>90</v>
      </c>
      <c r="I26262" s="16" t="n">
        <f aca="false">H26273</f>
        <v>90</v>
      </c>
      <c r="J26262" s="16" t="n">
        <f aca="false">I26273</f>
        <v>90</v>
      </c>
      <c r="K26262" s="16" t="n">
        <f aca="false">J26273</f>
        <v>90</v>
      </c>
    </row>
    <row r="26263" customFormat="false" ht="15" hidden="false" customHeight="false" outlineLevel="0" collapsed="false">
      <c r="A26263" s="3" t="s">
        <v>330</v>
      </c>
      <c r="G26263" s="21" t="n">
        <f aca="false">IF(G26213=Assumptions!$K$58,1,0)</f>
        <v>0</v>
      </c>
      <c r="H26263" s="21" t="n">
        <f aca="false">IF(H26213=Assumptions!$K$58,1,0)</f>
        <v>0</v>
      </c>
      <c r="I26263" s="21" t="n">
        <f aca="false">IF(I26213=Assumptions!$K$58,1,0)</f>
        <v>0</v>
      </c>
      <c r="J26263" s="21" t="n">
        <f aca="false">IF(J26213=Assumptions!$K$58,1,0)</f>
        <v>0</v>
      </c>
      <c r="K26263" s="21" t="n">
        <f aca="false">IF(K26213=Assumptions!$K$58,1,0)</f>
        <v>0</v>
      </c>
    </row>
    <row r="26265" customFormat="false" ht="15" hidden="false" customHeight="false" outlineLevel="0" collapsed="false">
      <c r="A26265" s="3" t="s">
        <v>331</v>
      </c>
      <c r="G26265" s="31" t="n">
        <f aca="false">IF(Assumptions!$I$58=1,MAX(G26239,Assumptions!$G$58)+Assumptions!$F$58+$C$26240,Assumptions!$E$58)</f>
        <v>0.0581</v>
      </c>
      <c r="H26265" s="31" t="n">
        <f aca="false">IF(G26560=1,$C$26241,IF(Assumptions!$I$58=1,MAX(H26239,Assumptions!$G$58)+Assumptions!$F$58+$C$26240,Assumptions!$E$58))</f>
        <v>0.0581</v>
      </c>
      <c r="I26265" s="31" t="n">
        <f aca="false">IF(H26560=1,$C$26241,IF(Assumptions!$I$58=1,MAX(I26239,Assumptions!$G$58)+Assumptions!$F$58+$C$26240,Assumptions!$E$58))</f>
        <v>0.0581</v>
      </c>
      <c r="J26265" s="31" t="n">
        <f aca="false">IF(I26560=1,$C$26241,IF(Assumptions!$I$58=1,MAX(J26239,Assumptions!$G$58)+Assumptions!$F$58+$C$26240,Assumptions!$E$58))</f>
        <v>0.0581</v>
      </c>
      <c r="K26265" s="31" t="n">
        <f aca="false">IF(J26560=1,$C$26241,IF(Assumptions!$I$58=1,MAX(K26239,Assumptions!$G$58)+Assumptions!$F$58+$C$26240,Assumptions!$E$58))</f>
        <v>0.0581</v>
      </c>
    </row>
    <row r="26266" customFormat="false" ht="15" hidden="false" customHeight="false" outlineLevel="0" collapsed="false">
      <c r="A26266" s="3" t="s">
        <v>332</v>
      </c>
      <c r="G26266" s="16" t="n">
        <f aca="false">G26262*G26265</f>
        <v>5.229</v>
      </c>
      <c r="H26266" s="16" t="n">
        <f aca="false">H26262*H26265</f>
        <v>5.229</v>
      </c>
      <c r="I26266" s="16" t="n">
        <f aca="false">I26262*I26265</f>
        <v>5.229</v>
      </c>
      <c r="J26266" s="16" t="n">
        <f aca="false">J26262*J26265</f>
        <v>5.229</v>
      </c>
      <c r="K26266" s="16" t="n">
        <f aca="false">K26262*K26265</f>
        <v>5.229</v>
      </c>
    </row>
    <row r="26267" customFormat="false" ht="15" hidden="false" customHeight="false" outlineLevel="0" collapsed="false">
      <c r="A26267" s="3" t="s">
        <v>333</v>
      </c>
      <c r="G26267" s="16" t="n">
        <f aca="false">G26262*Assumptions!$H$58</f>
        <v>0</v>
      </c>
      <c r="H26267" s="16" t="n">
        <f aca="false">H26262*Assumptions!$H$58</f>
        <v>0</v>
      </c>
      <c r="I26267" s="16" t="n">
        <f aca="false">I26262*Assumptions!$H$58</f>
        <v>0</v>
      </c>
      <c r="J26267" s="16" t="n">
        <f aca="false">J26262*Assumptions!$H$58</f>
        <v>0</v>
      </c>
      <c r="K26267" s="16" t="n">
        <f aca="false">K26262*Assumptions!$H$58</f>
        <v>0</v>
      </c>
    </row>
    <row r="26268" customFormat="false" ht="15" hidden="false" customHeight="false" outlineLevel="0" collapsed="false">
      <c r="A26268" s="3" t="s">
        <v>334</v>
      </c>
      <c r="G26268" s="16" t="n">
        <f aca="false">MIN(G26262,Assumptions!$L$58*Assumptions!$C$58)</f>
        <v>0</v>
      </c>
      <c r="H26268" s="16" t="n">
        <f aca="false">MIN(H26262,Assumptions!$L$58*Assumptions!$C$58)</f>
        <v>0</v>
      </c>
      <c r="I26268" s="16" t="n">
        <f aca="false">MIN(I26262,Assumptions!$L$58*Assumptions!$C$58)</f>
        <v>0</v>
      </c>
      <c r="J26268" s="16" t="n">
        <f aca="false">MIN(J26262,Assumptions!$L$58*Assumptions!$C$58)</f>
        <v>0</v>
      </c>
      <c r="K26268" s="16" t="n">
        <f aca="false">MIN(K26262,Assumptions!$L$58*Assumptions!$C$58)</f>
        <v>0</v>
      </c>
    </row>
    <row r="26269" customFormat="false" ht="15" hidden="false" customHeight="false" outlineLevel="0" collapsed="false">
      <c r="A26269" s="3" t="s">
        <v>335</v>
      </c>
      <c r="G26269" s="16" t="n">
        <f aca="false">IF(AND(Assumptions!$P$58=1,G26213&lt;Assumptions!$K$58),MIN(MAX(0,-G26429),MAX(0,Assumptions!$D$58-G26262)),0)</f>
        <v>0</v>
      </c>
      <c r="H26269" s="16" t="n">
        <f aca="false">IF(AND(Assumptions!$P$58=1,OR(H26213&lt;Assumptions!$K$58,G26560=1)),MIN(MAX(0,-H26429),MAX(0,Assumptions!$D$58-H26262)),0)</f>
        <v>0</v>
      </c>
      <c r="I26269" s="16" t="n">
        <f aca="false">IF(AND(Assumptions!$P$58=1,OR(I26213&lt;Assumptions!$K$58,H26560=1)),MIN(MAX(0,-I26429),MAX(0,Assumptions!$D$58-I26262)),0)</f>
        <v>0</v>
      </c>
      <c r="J26269" s="16" t="n">
        <f aca="false">IF(AND(Assumptions!$P$58=1,OR(J26213&lt;Assumptions!$K$58,I26560=1)),MIN(MAX(0,-J26429),MAX(0,Assumptions!$D$58-J26262)),0)</f>
        <v>0</v>
      </c>
      <c r="K26269" s="16" t="n">
        <f aca="false">IF(AND(Assumptions!$P$58=1,OR(K26213&lt;Assumptions!$K$58,J26560=1)),MIN(MAX(0,-K26429),MAX(0,Assumptions!$D$58-K26262)),0)</f>
        <v>0</v>
      </c>
    </row>
    <row r="26270" customFormat="false" ht="15" hidden="false" customHeight="false" outlineLevel="0" collapsed="false">
      <c r="A26270" s="3" t="s">
        <v>336</v>
      </c>
      <c r="G26270" s="16" t="n">
        <f aca="false">G26263*MIN(G26262-G26268+G26267,MAX(0,G26431-Assumptions!$C$12*G26247-G26257))</f>
        <v>0</v>
      </c>
      <c r="H26270" s="16" t="n">
        <f aca="false">H26263*MIN(H26262-H26268+H26267,MAX(0,H26431-Assumptions!$C$12*H26247-H26257))</f>
        <v>0</v>
      </c>
      <c r="I26270" s="16" t="n">
        <f aca="false">I26263*MIN(I26262-I26268+I26267,MAX(0,I26431-Assumptions!$C$12*I26247-I26257))</f>
        <v>0</v>
      </c>
      <c r="J26270" s="16" t="n">
        <f aca="false">J26263*MIN(J26262-J26268+J26267,MAX(0,J26431-Assumptions!$C$12*J26247-J26257))</f>
        <v>0</v>
      </c>
      <c r="K26270" s="16" t="n">
        <f aca="false">K26263*MIN(K26262-K26268+K26267,MAX(0,K26431-Assumptions!$C$12*K26247-K26257))</f>
        <v>0</v>
      </c>
    </row>
    <row r="26271" customFormat="false" ht="15" hidden="false" customHeight="false" outlineLevel="0" collapsed="false">
      <c r="A26271" s="3" t="s">
        <v>337</v>
      </c>
      <c r="G26271" s="16" t="n">
        <f aca="false">Assumptions!$N$58*MIN(G26262+G26269+G26267-G26268-G26270,MAX(0,G26435-G26258))</f>
        <v>0</v>
      </c>
      <c r="H26271" s="16" t="n">
        <f aca="false">Assumptions!$N$58*MIN(H26262+H26269+H26267-H26268-H26270,MAX(0,H26435-H26258))</f>
        <v>0</v>
      </c>
      <c r="I26271" s="16" t="n">
        <f aca="false">Assumptions!$N$58*MIN(I26262+I26269+I26267-I26268-I26270,MAX(0,I26435-I26258))</f>
        <v>0</v>
      </c>
      <c r="J26271" s="16" t="n">
        <f aca="false">Assumptions!$N$58*MIN(J26262+J26269+J26267-J26268-J26270,MAX(0,J26435-J26258))</f>
        <v>0</v>
      </c>
      <c r="K26271" s="16" t="n">
        <f aca="false">Assumptions!$N$58*MIN(K26262+K26269+K26267-K26268-K26270,MAX(0,K26435-K26258))</f>
        <v>0</v>
      </c>
    </row>
    <row r="26272" customFormat="false" ht="15" hidden="false" customHeight="false" outlineLevel="0" collapsed="false">
      <c r="A26272" s="3" t="s">
        <v>338</v>
      </c>
      <c r="G26272" s="16" t="n">
        <f aca="false">G26263*(1-G26247)*(G26262-G26268+G26267-G26270)</f>
        <v>0</v>
      </c>
      <c r="H26272" s="16" t="n">
        <f aca="false">H26263*(1-H26247)*(H26262-H26268+H26267-H26270)</f>
        <v>0</v>
      </c>
      <c r="I26272" s="16" t="n">
        <f aca="false">I26263*(1-I26247)*(I26262-I26268+I26267-I26270)</f>
        <v>0</v>
      </c>
      <c r="J26272" s="16" t="n">
        <f aca="false">J26263*(1-J26247)*(J26262-J26268+J26267-J26270)</f>
        <v>0</v>
      </c>
      <c r="K26272" s="16" t="n">
        <f aca="false">K26263*(1-K26247)*(K26262-K26268+K26267-K26270)</f>
        <v>0</v>
      </c>
    </row>
    <row r="26273" customFormat="false" ht="15" hidden="false" customHeight="false" outlineLevel="0" collapsed="false">
      <c r="A26273" s="2" t="s">
        <v>339</v>
      </c>
      <c r="F26273" s="28" t="n">
        <f aca="false">Assumptions!$C$58</f>
        <v>90</v>
      </c>
      <c r="G26273" s="17" t="n">
        <f aca="false">G26262+G26269+G26267-G26268-G26270-G26271</f>
        <v>90</v>
      </c>
      <c r="H26273" s="17" t="n">
        <f aca="false">H26262+H26269+H26267-H26268-H26270-H26271</f>
        <v>90</v>
      </c>
      <c r="I26273" s="17" t="n">
        <f aca="false">I26262+I26269+I26267-I26268-I26270-I26271</f>
        <v>90</v>
      </c>
      <c r="J26273" s="17" t="n">
        <f aca="false">J26262+J26269+J26267-J26268-J26270-J26271</f>
        <v>90</v>
      </c>
      <c r="K26273" s="17" t="n">
        <f aca="false">K26262+K26269+K26267-K26268-K26270-K26271</f>
        <v>90</v>
      </c>
    </row>
    <row r="26274" customFormat="false" ht="15" hidden="false" customHeight="false" outlineLevel="0" collapsed="false">
      <c r="A26274" s="24" t="s">
        <v>341</v>
      </c>
      <c r="B26274" s="25"/>
      <c r="C26274" s="25"/>
      <c r="D26274" s="25"/>
      <c r="E26274" s="25"/>
      <c r="F26274" s="25"/>
      <c r="G26274" s="25"/>
      <c r="H26274" s="25"/>
      <c r="I26274" s="25"/>
      <c r="J26274" s="25"/>
      <c r="K26274" s="25"/>
    </row>
    <row r="26275" customFormat="false" ht="15" hidden="false" customHeight="false" outlineLevel="0" collapsed="false">
      <c r="A26275" s="3" t="s">
        <v>329</v>
      </c>
      <c r="G26275" s="16" t="n">
        <f aca="false">F26286</f>
        <v>57.324</v>
      </c>
      <c r="H26275" s="16" t="n">
        <f aca="false">G26286</f>
        <v>57.324</v>
      </c>
      <c r="I26275" s="16" t="n">
        <f aca="false">H26286</f>
        <v>57.324</v>
      </c>
      <c r="J26275" s="16" t="n">
        <f aca="false">I26286</f>
        <v>57.324</v>
      </c>
      <c r="K26275" s="16" t="n">
        <f aca="false">J26286</f>
        <v>57.324</v>
      </c>
    </row>
    <row r="26276" customFormat="false" ht="15" hidden="false" customHeight="false" outlineLevel="0" collapsed="false">
      <c r="A26276" s="3" t="s">
        <v>330</v>
      </c>
      <c r="G26276" s="21" t="n">
        <f aca="false">IF(G26213=Assumptions!$K$59,1,0)</f>
        <v>0</v>
      </c>
      <c r="H26276" s="21" t="n">
        <f aca="false">IF(H26213=Assumptions!$K$59,1,0)</f>
        <v>0</v>
      </c>
      <c r="I26276" s="21" t="n">
        <f aca="false">IF(I26213=Assumptions!$K$59,1,0)</f>
        <v>0</v>
      </c>
      <c r="J26276" s="21" t="n">
        <f aca="false">IF(J26213=Assumptions!$K$59,1,0)</f>
        <v>0</v>
      </c>
      <c r="K26276" s="21" t="n">
        <f aca="false">IF(K26213=Assumptions!$K$59,1,0)</f>
        <v>0</v>
      </c>
    </row>
    <row r="26278" customFormat="false" ht="15" hidden="false" customHeight="false" outlineLevel="0" collapsed="false">
      <c r="A26278" s="3" t="s">
        <v>331</v>
      </c>
      <c r="G26278" s="31" t="n">
        <f aca="false">IF(Assumptions!$I$59=1,MAX(G26239,Assumptions!$G$59)+Assumptions!$F$59+$C$26240,Assumptions!$E$59)</f>
        <v>0.0731</v>
      </c>
      <c r="H26278" s="31" t="n">
        <f aca="false">IF(G26561=1,$C$26241,IF(Assumptions!$I$59=1,MAX(H26239,Assumptions!$G$59)+Assumptions!$F$59+$C$26240,Assumptions!$E$59))</f>
        <v>0.0731</v>
      </c>
      <c r="I26278" s="31" t="n">
        <f aca="false">IF(H26561=1,$C$26241,IF(Assumptions!$I$59=1,MAX(I26239,Assumptions!$G$59)+Assumptions!$F$59+$C$26240,Assumptions!$E$59))</f>
        <v>0.0731</v>
      </c>
      <c r="J26278" s="31" t="n">
        <f aca="false">IF(I26561=1,$C$26241,IF(Assumptions!$I$59=1,MAX(J26239,Assumptions!$G$59)+Assumptions!$F$59+$C$26240,Assumptions!$E$59))</f>
        <v>0.0731</v>
      </c>
      <c r="K26278" s="31" t="n">
        <f aca="false">IF(J26561=1,$C$26241,IF(Assumptions!$I$59=1,MAX(K26239,Assumptions!$G$59)+Assumptions!$F$59+$C$26240,Assumptions!$E$59))</f>
        <v>0.0731</v>
      </c>
    </row>
    <row r="26279" customFormat="false" ht="15" hidden="false" customHeight="false" outlineLevel="0" collapsed="false">
      <c r="A26279" s="3" t="s">
        <v>332</v>
      </c>
      <c r="G26279" s="16" t="n">
        <f aca="false">G26275*G26278</f>
        <v>4.1903844</v>
      </c>
      <c r="H26279" s="16" t="n">
        <f aca="false">H26275*H26278</f>
        <v>4.1903844</v>
      </c>
      <c r="I26279" s="16" t="n">
        <f aca="false">I26275*I26278</f>
        <v>4.1903844</v>
      </c>
      <c r="J26279" s="16" t="n">
        <f aca="false">J26275*J26278</f>
        <v>4.1903844</v>
      </c>
      <c r="K26279" s="16" t="n">
        <f aca="false">K26275*K26278</f>
        <v>4.1903844</v>
      </c>
    </row>
    <row r="26280" customFormat="false" ht="15" hidden="false" customHeight="false" outlineLevel="0" collapsed="false">
      <c r="A26280" s="3" t="s">
        <v>333</v>
      </c>
      <c r="G26280" s="16" t="n">
        <f aca="false">G26275*Assumptions!$H$59</f>
        <v>0</v>
      </c>
      <c r="H26280" s="16" t="n">
        <f aca="false">H26275*Assumptions!$H$59</f>
        <v>0</v>
      </c>
      <c r="I26280" s="16" t="n">
        <f aca="false">I26275*Assumptions!$H$59</f>
        <v>0</v>
      </c>
      <c r="J26280" s="16" t="n">
        <f aca="false">J26275*Assumptions!$H$59</f>
        <v>0</v>
      </c>
      <c r="K26280" s="16" t="n">
        <f aca="false">K26275*Assumptions!$H$59</f>
        <v>0</v>
      </c>
    </row>
    <row r="26281" customFormat="false" ht="15" hidden="false" customHeight="false" outlineLevel="0" collapsed="false">
      <c r="A26281" s="3" t="s">
        <v>334</v>
      </c>
      <c r="G26281" s="16" t="n">
        <f aca="false">MIN(G26275,Assumptions!$L$59*Assumptions!$C$59)</f>
        <v>0</v>
      </c>
      <c r="H26281" s="16" t="n">
        <f aca="false">MIN(H26275,Assumptions!$L$59*Assumptions!$C$59)</f>
        <v>0</v>
      </c>
      <c r="I26281" s="16" t="n">
        <f aca="false">MIN(I26275,Assumptions!$L$59*Assumptions!$C$59)</f>
        <v>0</v>
      </c>
      <c r="J26281" s="16" t="n">
        <f aca="false">MIN(J26275,Assumptions!$L$59*Assumptions!$C$59)</f>
        <v>0</v>
      </c>
      <c r="K26281" s="16" t="n">
        <f aca="false">MIN(K26275,Assumptions!$L$59*Assumptions!$C$59)</f>
        <v>0</v>
      </c>
    </row>
    <row r="26282" customFormat="false" ht="15" hidden="false" customHeight="false" outlineLevel="0" collapsed="false">
      <c r="A26282" s="3" t="s">
        <v>335</v>
      </c>
      <c r="G26282" s="16" t="n">
        <f aca="false">IF(AND(Assumptions!$P$59=1,G26213&lt;Assumptions!$K$59),MIN(MAX(0,-G26429),MAX(0,Assumptions!$D$59-G26275)),0)</f>
        <v>0</v>
      </c>
      <c r="H26282" s="16" t="n">
        <f aca="false">IF(AND(Assumptions!$P$59=1,OR(H26213&lt;Assumptions!$K$59,G26561=1)),MIN(MAX(0,-H26429),MAX(0,Assumptions!$D$59-H26275)),0)</f>
        <v>0</v>
      </c>
      <c r="I26282" s="16" t="n">
        <f aca="false">IF(AND(Assumptions!$P$59=1,OR(I26213&lt;Assumptions!$K$59,H26561=1)),MIN(MAX(0,-I26429),MAX(0,Assumptions!$D$59-I26275)),0)</f>
        <v>0</v>
      </c>
      <c r="J26282" s="16" t="n">
        <f aca="false">IF(AND(Assumptions!$P$59=1,OR(J26213&lt;Assumptions!$K$59,I26561=1)),MIN(MAX(0,-J26429),MAX(0,Assumptions!$D$59-J26275)),0)</f>
        <v>0</v>
      </c>
      <c r="K26282" s="16" t="n">
        <f aca="false">IF(AND(Assumptions!$P$59=1,OR(K26213&lt;Assumptions!$K$59,J26561=1)),MIN(MAX(0,-K26429),MAX(0,Assumptions!$D$59-K26275)),0)</f>
        <v>0</v>
      </c>
    </row>
    <row r="26283" customFormat="false" ht="15" hidden="false" customHeight="false" outlineLevel="0" collapsed="false">
      <c r="A26283" s="3" t="s">
        <v>336</v>
      </c>
      <c r="G26283" s="16" t="n">
        <f aca="false">G26276*MIN(G26275-G26281+G26280,MAX(0,G26431-Assumptions!$C$12*G26247-G26257-G26270))</f>
        <v>0</v>
      </c>
      <c r="H26283" s="16" t="n">
        <f aca="false">H26276*MIN(H26275-H26281+H26280,MAX(0,H26431-Assumptions!$C$12*H26247-H26257-H26270))</f>
        <v>0</v>
      </c>
      <c r="I26283" s="16" t="n">
        <f aca="false">I26276*MIN(I26275-I26281+I26280,MAX(0,I26431-Assumptions!$C$12*I26247-I26257-I26270))</f>
        <v>0</v>
      </c>
      <c r="J26283" s="16" t="n">
        <f aca="false">J26276*MIN(J26275-J26281+J26280,MAX(0,J26431-Assumptions!$C$12*J26247-J26257-J26270))</f>
        <v>0</v>
      </c>
      <c r="K26283" s="16" t="n">
        <f aca="false">K26276*MIN(K26275-K26281+K26280,MAX(0,K26431-Assumptions!$C$12*K26247-K26257-K26270))</f>
        <v>0</v>
      </c>
    </row>
    <row r="26284" customFormat="false" ht="15" hidden="false" customHeight="false" outlineLevel="0" collapsed="false">
      <c r="A26284" s="3" t="s">
        <v>337</v>
      </c>
      <c r="G26284" s="16" t="n">
        <f aca="false">Assumptions!$N$59*MIN(G26275+G26282+G26280-G26281-G26283,MAX(0,G26435-G26258-G26271))</f>
        <v>0</v>
      </c>
      <c r="H26284" s="16" t="n">
        <f aca="false">Assumptions!$N$59*MIN(H26275+H26282+H26280-H26281-H26283,MAX(0,H26435-H26258-H26271))</f>
        <v>0</v>
      </c>
      <c r="I26284" s="16" t="n">
        <f aca="false">Assumptions!$N$59*MIN(I26275+I26282+I26280-I26281-I26283,MAX(0,I26435-I26258-I26271))</f>
        <v>0</v>
      </c>
      <c r="J26284" s="16" t="n">
        <f aca="false">Assumptions!$N$59*MIN(J26275+J26282+J26280-J26281-J26283,MAX(0,J26435-J26258-J26271))</f>
        <v>0</v>
      </c>
      <c r="K26284" s="16" t="n">
        <f aca="false">Assumptions!$N$59*MIN(K26275+K26282+K26280-K26281-K26283,MAX(0,K26435-K26258-K26271))</f>
        <v>0</v>
      </c>
    </row>
    <row r="26285" customFormat="false" ht="15" hidden="false" customHeight="false" outlineLevel="0" collapsed="false">
      <c r="A26285" s="3" t="s">
        <v>338</v>
      </c>
      <c r="G26285" s="16" t="n">
        <f aca="false">G26276*(1-G26247)*(G26275-G26281+G26280-G26283)</f>
        <v>0</v>
      </c>
      <c r="H26285" s="16" t="n">
        <f aca="false">H26276*(1-H26247)*(H26275-H26281+H26280-H26283)</f>
        <v>0</v>
      </c>
      <c r="I26285" s="16" t="n">
        <f aca="false">I26276*(1-I26247)*(I26275-I26281+I26280-I26283)</f>
        <v>0</v>
      </c>
      <c r="J26285" s="16" t="n">
        <f aca="false">J26276*(1-J26247)*(J26275-J26281+J26280-J26283)</f>
        <v>0</v>
      </c>
      <c r="K26285" s="16" t="n">
        <f aca="false">K26276*(1-K26247)*(K26275-K26281+K26280-K26283)</f>
        <v>0</v>
      </c>
    </row>
    <row r="26286" customFormat="false" ht="15" hidden="false" customHeight="false" outlineLevel="0" collapsed="false">
      <c r="A26286" s="2" t="s">
        <v>339</v>
      </c>
      <c r="F26286" s="28" t="n">
        <f aca="false">Assumptions!$C$59</f>
        <v>57.324</v>
      </c>
      <c r="G26286" s="17" t="n">
        <f aca="false">G26275+G26282+G26280-G26281-G26283-G26284</f>
        <v>57.324</v>
      </c>
      <c r="H26286" s="17" t="n">
        <f aca="false">H26275+H26282+H26280-H26281-H26283-H26284</f>
        <v>57.324</v>
      </c>
      <c r="I26286" s="17" t="n">
        <f aca="false">I26275+I26282+I26280-I26281-I26283-I26284</f>
        <v>57.324</v>
      </c>
      <c r="J26286" s="17" t="n">
        <f aca="false">J26275+J26282+J26280-J26281-J26283-J26284</f>
        <v>57.324</v>
      </c>
      <c r="K26286" s="17" t="n">
        <f aca="false">K26275+K26282+K26280-K26281-K26283-K26284</f>
        <v>57.324</v>
      </c>
    </row>
    <row r="26287" customFormat="false" ht="15" hidden="false" customHeight="false" outlineLevel="0" collapsed="false">
      <c r="A26287" s="24" t="s">
        <v>342</v>
      </c>
      <c r="B26287" s="25"/>
      <c r="C26287" s="25"/>
      <c r="D26287" s="25"/>
      <c r="E26287" s="25"/>
      <c r="F26287" s="25"/>
      <c r="G26287" s="25"/>
      <c r="H26287" s="25"/>
      <c r="I26287" s="25"/>
      <c r="J26287" s="25"/>
      <c r="K26287" s="25"/>
    </row>
    <row r="26288" customFormat="false" ht="15" hidden="false" customHeight="false" outlineLevel="0" collapsed="false">
      <c r="A26288" s="3" t="s">
        <v>329</v>
      </c>
      <c r="G26288" s="16" t="n">
        <f aca="false">F26299</f>
        <v>0</v>
      </c>
      <c r="H26288" s="16" t="n">
        <f aca="false">G26299</f>
        <v>0</v>
      </c>
      <c r="I26288" s="16" t="n">
        <f aca="false">H26299</f>
        <v>0</v>
      </c>
      <c r="J26288" s="16" t="n">
        <f aca="false">I26299</f>
        <v>0</v>
      </c>
      <c r="K26288" s="16" t="n">
        <f aca="false">J26299</f>
        <v>0</v>
      </c>
    </row>
    <row r="26289" customFormat="false" ht="15" hidden="false" customHeight="false" outlineLevel="0" collapsed="false">
      <c r="A26289" s="3" t="s">
        <v>330</v>
      </c>
      <c r="G26289" s="21" t="n">
        <f aca="false">IF(G26213=Assumptions!$K$60,1,0)</f>
        <v>1</v>
      </c>
      <c r="H26289" s="21" t="n">
        <f aca="false">IF(H26213=Assumptions!$K$60,1,0)</f>
        <v>0</v>
      </c>
      <c r="I26289" s="21" t="n">
        <f aca="false">IF(I26213=Assumptions!$K$60,1,0)</f>
        <v>0</v>
      </c>
      <c r="J26289" s="21" t="n">
        <f aca="false">IF(J26213=Assumptions!$K$60,1,0)</f>
        <v>0</v>
      </c>
      <c r="K26289" s="21" t="n">
        <f aca="false">IF(K26213=Assumptions!$K$60,1,0)</f>
        <v>0</v>
      </c>
    </row>
    <row r="26291" customFormat="false" ht="15" hidden="false" customHeight="false" outlineLevel="0" collapsed="false">
      <c r="A26291" s="3" t="s">
        <v>331</v>
      </c>
      <c r="G26291" s="31" t="n">
        <f aca="false">IF(Assumptions!$I$60=1,MAX(G26239,Assumptions!$G$60)+Assumptions!$F$60+$C$26240,Assumptions!$E$60)</f>
        <v>0.069</v>
      </c>
      <c r="H26291" s="31" t="n">
        <f aca="false">IF(G26562=1,$C$26241,IF(Assumptions!$I$60=1,MAX(H26239,Assumptions!$G$60)+Assumptions!$F$60+$C$26240,Assumptions!$E$60))</f>
        <v>0.0675</v>
      </c>
      <c r="I26291" s="31" t="n">
        <f aca="false">IF(H26562=1,$C$26241,IF(Assumptions!$I$60=1,MAX(I26239,Assumptions!$G$60)+Assumptions!$F$60+$C$26240,Assumptions!$E$60))</f>
        <v>0.065</v>
      </c>
      <c r="J26291" s="31" t="n">
        <f aca="false">IF(I26562=1,$C$26241,IF(Assumptions!$I$60=1,MAX(J26239,Assumptions!$G$60)+Assumptions!$F$60+$C$26240,Assumptions!$E$60))</f>
        <v>0.065</v>
      </c>
      <c r="K26291" s="31" t="n">
        <f aca="false">IF(J26562=1,$C$26241,IF(Assumptions!$I$60=1,MAX(K26239,Assumptions!$G$60)+Assumptions!$F$60+$C$26240,Assumptions!$E$60))</f>
        <v>0.065</v>
      </c>
    </row>
    <row r="26292" customFormat="false" ht="15" hidden="false" customHeight="false" outlineLevel="0" collapsed="false">
      <c r="A26292" s="3" t="s">
        <v>332</v>
      </c>
      <c r="G26292" s="16" t="n">
        <f aca="false">G26288*G26291</f>
        <v>0</v>
      </c>
      <c r="H26292" s="16" t="n">
        <f aca="false">H26288*H26291</f>
        <v>0</v>
      </c>
      <c r="I26292" s="16" t="n">
        <f aca="false">I26288*I26291</f>
        <v>0</v>
      </c>
      <c r="J26292" s="16" t="n">
        <f aca="false">J26288*J26291</f>
        <v>0</v>
      </c>
      <c r="K26292" s="16" t="n">
        <f aca="false">K26288*K26291</f>
        <v>0</v>
      </c>
    </row>
    <row r="26293" customFormat="false" ht="15" hidden="false" customHeight="false" outlineLevel="0" collapsed="false">
      <c r="A26293" s="3" t="s">
        <v>333</v>
      </c>
      <c r="G26293" s="16" t="n">
        <f aca="false">G26288*Assumptions!$H$60</f>
        <v>0</v>
      </c>
      <c r="H26293" s="16" t="n">
        <f aca="false">H26288*Assumptions!$H$60</f>
        <v>0</v>
      </c>
      <c r="I26293" s="16" t="n">
        <f aca="false">I26288*Assumptions!$H$60</f>
        <v>0</v>
      </c>
      <c r="J26293" s="16" t="n">
        <f aca="false">J26288*Assumptions!$H$60</f>
        <v>0</v>
      </c>
      <c r="K26293" s="16" t="n">
        <f aca="false">K26288*Assumptions!$H$60</f>
        <v>0</v>
      </c>
    </row>
    <row r="26294" customFormat="false" ht="15" hidden="false" customHeight="false" outlineLevel="0" collapsed="false">
      <c r="A26294" s="3" t="s">
        <v>334</v>
      </c>
      <c r="G26294" s="16" t="n">
        <f aca="false">MIN(G26288,Assumptions!$L$60*Assumptions!$C$60)</f>
        <v>0</v>
      </c>
      <c r="H26294" s="16" t="n">
        <f aca="false">MIN(H26288,Assumptions!$L$60*Assumptions!$C$60)</f>
        <v>0</v>
      </c>
      <c r="I26294" s="16" t="n">
        <f aca="false">MIN(I26288,Assumptions!$L$60*Assumptions!$C$60)</f>
        <v>0</v>
      </c>
      <c r="J26294" s="16" t="n">
        <f aca="false">MIN(J26288,Assumptions!$L$60*Assumptions!$C$60)</f>
        <v>0</v>
      </c>
      <c r="K26294" s="16" t="n">
        <f aca="false">MIN(K26288,Assumptions!$L$60*Assumptions!$C$60)</f>
        <v>0</v>
      </c>
    </row>
    <row r="26295" customFormat="false" ht="15" hidden="false" customHeight="false" outlineLevel="0" collapsed="false">
      <c r="A26295" s="3" t="s">
        <v>335</v>
      </c>
      <c r="G26295" s="16" t="n">
        <f aca="false">IF(AND(Assumptions!$P$60=1,G26213&lt;Assumptions!$K$60),MIN(MAX(0,-G26429),MAX(0,Assumptions!$D$60-G26288)),0)</f>
        <v>0</v>
      </c>
      <c r="H26295" s="16" t="n">
        <f aca="false">IF(AND(Assumptions!$P$60=1,OR(H26213&lt;Assumptions!$K$60,G26562=1)),MIN(MAX(0,-H26429),MAX(0,Assumptions!$D$60-H26288)),0)</f>
        <v>0</v>
      </c>
      <c r="I26295" s="16" t="n">
        <f aca="false">IF(AND(Assumptions!$P$60=1,OR(I26213&lt;Assumptions!$K$60,H26562=1)),MIN(MAX(0,-I26429),MAX(0,Assumptions!$D$60-I26288)),0)</f>
        <v>0</v>
      </c>
      <c r="J26295" s="16" t="n">
        <f aca="false">IF(AND(Assumptions!$P$60=1,OR(J26213&lt;Assumptions!$K$60,I26562=1)),MIN(MAX(0,-J26429),MAX(0,Assumptions!$D$60-J26288)),0)</f>
        <v>0</v>
      </c>
      <c r="K26295" s="16" t="n">
        <f aca="false">IF(AND(Assumptions!$P$60=1,OR(K26213&lt;Assumptions!$K$60,J26562=1)),MIN(MAX(0,-K26429),MAX(0,Assumptions!$D$60-K26288)),0)</f>
        <v>0</v>
      </c>
    </row>
    <row r="26296" customFormat="false" ht="15" hidden="false" customHeight="false" outlineLevel="0" collapsed="false">
      <c r="A26296" s="3" t="s">
        <v>336</v>
      </c>
      <c r="G26296" s="16" t="n">
        <f aca="false">G26289*MIN(G26288-G26294+G26293,MAX(0,G26431-Assumptions!$C$12*G26247-G26257-G26270-G26283))</f>
        <v>0</v>
      </c>
      <c r="H26296" s="16" t="n">
        <f aca="false">H26289*MIN(H26288-H26294+H26293,MAX(0,H26431-Assumptions!$C$12*H26247-H26257-H26270-H26283))</f>
        <v>0</v>
      </c>
      <c r="I26296" s="16" t="n">
        <f aca="false">I26289*MIN(I26288-I26294+I26293,MAX(0,I26431-Assumptions!$C$12*I26247-I26257-I26270-I26283))</f>
        <v>0</v>
      </c>
      <c r="J26296" s="16" t="n">
        <f aca="false">J26289*MIN(J26288-J26294+J26293,MAX(0,J26431-Assumptions!$C$12*J26247-J26257-J26270-J26283))</f>
        <v>0</v>
      </c>
      <c r="K26296" s="16" t="n">
        <f aca="false">K26289*MIN(K26288-K26294+K26293,MAX(0,K26431-Assumptions!$C$12*K26247-K26257-K26270-K26283))</f>
        <v>0</v>
      </c>
    </row>
    <row r="26297" customFormat="false" ht="15" hidden="false" customHeight="false" outlineLevel="0" collapsed="false">
      <c r="A26297" s="3" t="s">
        <v>337</v>
      </c>
      <c r="G26297" s="16" t="n">
        <f aca="false">Assumptions!$N$60*MIN(G26288+G26295+G26293-G26294-G26296,MAX(0,G26435-G26258-G26271-G26284))</f>
        <v>0</v>
      </c>
      <c r="H26297" s="16" t="n">
        <f aca="false">Assumptions!$N$60*MIN(H26288+H26295+H26293-H26294-H26296,MAX(0,H26435-H26258-H26271-H26284))</f>
        <v>0</v>
      </c>
      <c r="I26297" s="16" t="n">
        <f aca="false">Assumptions!$N$60*MIN(I26288+I26295+I26293-I26294-I26296,MAX(0,I26435-I26258-I26271-I26284))</f>
        <v>0</v>
      </c>
      <c r="J26297" s="16" t="n">
        <f aca="false">Assumptions!$N$60*MIN(J26288+J26295+J26293-J26294-J26296,MAX(0,J26435-J26258-J26271-J26284))</f>
        <v>0</v>
      </c>
      <c r="K26297" s="16" t="n">
        <f aca="false">Assumptions!$N$60*MIN(K26288+K26295+K26293-K26294-K26296,MAX(0,K26435-K26258-K26271-K26284))</f>
        <v>0</v>
      </c>
    </row>
    <row r="26298" customFormat="false" ht="15" hidden="false" customHeight="false" outlineLevel="0" collapsed="false">
      <c r="A26298" s="3" t="s">
        <v>338</v>
      </c>
      <c r="G26298" s="16" t="n">
        <f aca="false">G26289*(1-G26247)*(G26288-G26294+G26293-G26296)</f>
        <v>0</v>
      </c>
      <c r="H26298" s="16" t="n">
        <f aca="false">H26289*(1-H26247)*(H26288-H26294+H26293-H26296)</f>
        <v>0</v>
      </c>
      <c r="I26298" s="16" t="n">
        <f aca="false">I26289*(1-I26247)*(I26288-I26294+I26293-I26296)</f>
        <v>0</v>
      </c>
      <c r="J26298" s="16" t="n">
        <f aca="false">J26289*(1-J26247)*(J26288-J26294+J26293-J26296)</f>
        <v>0</v>
      </c>
      <c r="K26298" s="16" t="n">
        <f aca="false">K26289*(1-K26247)*(K26288-K26294+K26293-K26296)</f>
        <v>0</v>
      </c>
    </row>
    <row r="26299" customFormat="false" ht="15" hidden="false" customHeight="false" outlineLevel="0" collapsed="false">
      <c r="A26299" s="2" t="s">
        <v>339</v>
      </c>
      <c r="F26299" s="28" t="n">
        <f aca="false">Assumptions!$C$60</f>
        <v>0</v>
      </c>
      <c r="G26299" s="17" t="n">
        <f aca="false">G26288+G26295+G26293-G26294-G26296-G26297</f>
        <v>0</v>
      </c>
      <c r="H26299" s="17" t="n">
        <f aca="false">H26288+H26295+H26293-H26294-H26296-H26297</f>
        <v>0</v>
      </c>
      <c r="I26299" s="17" t="n">
        <f aca="false">I26288+I26295+I26293-I26294-I26296-I26297</f>
        <v>0</v>
      </c>
      <c r="J26299" s="17" t="n">
        <f aca="false">J26288+J26295+J26293-J26294-J26296-J26297</f>
        <v>0</v>
      </c>
      <c r="K26299" s="17" t="n">
        <f aca="false">K26288+K26295+K26293-K26294-K26296-K26297</f>
        <v>0</v>
      </c>
    </row>
    <row r="26300" customFormat="false" ht="15" hidden="false" customHeight="false" outlineLevel="0" collapsed="false">
      <c r="A26300" s="24" t="s">
        <v>343</v>
      </c>
      <c r="B26300" s="25"/>
      <c r="C26300" s="25"/>
      <c r="D26300" s="25"/>
      <c r="E26300" s="25"/>
      <c r="F26300" s="25"/>
      <c r="G26300" s="25"/>
      <c r="H26300" s="25"/>
      <c r="I26300" s="25"/>
      <c r="J26300" s="25"/>
      <c r="K26300" s="25"/>
    </row>
    <row r="26301" customFormat="false" ht="15" hidden="false" customHeight="false" outlineLevel="0" collapsed="false">
      <c r="A26301" s="3" t="s">
        <v>329</v>
      </c>
      <c r="G26301" s="16" t="n">
        <f aca="false">F26312</f>
        <v>450</v>
      </c>
      <c r="H26301" s="16" t="n">
        <f aca="false">G26312</f>
        <v>450</v>
      </c>
      <c r="I26301" s="16" t="n">
        <f aca="false">H26312</f>
        <v>401.446357881</v>
      </c>
      <c r="J26301" s="16" t="n">
        <f aca="false">I26312</f>
        <v>401.446357881</v>
      </c>
      <c r="K26301" s="16" t="n">
        <f aca="false">J26312</f>
        <v>401.446357881</v>
      </c>
    </row>
    <row r="26302" customFormat="false" ht="15" hidden="false" customHeight="false" outlineLevel="0" collapsed="false">
      <c r="A26302" s="3" t="s">
        <v>330</v>
      </c>
      <c r="G26302" s="21" t="n">
        <f aca="false">IF(G26213=Assumptions!$K$61,1,0)</f>
        <v>0</v>
      </c>
      <c r="H26302" s="21" t="n">
        <f aca="false">IF(H26213=Assumptions!$K$61,1,0)</f>
        <v>1</v>
      </c>
      <c r="I26302" s="21" t="n">
        <f aca="false">IF(I26213=Assumptions!$K$61,1,0)</f>
        <v>0</v>
      </c>
      <c r="J26302" s="21" t="n">
        <f aca="false">IF(J26213=Assumptions!$K$61,1,0)</f>
        <v>0</v>
      </c>
      <c r="K26302" s="21" t="n">
        <f aca="false">IF(K26213=Assumptions!$K$61,1,0)</f>
        <v>0</v>
      </c>
    </row>
    <row r="26304" customFormat="false" ht="15" hidden="false" customHeight="false" outlineLevel="0" collapsed="false">
      <c r="A26304" s="3" t="s">
        <v>331</v>
      </c>
      <c r="G26304" s="31" t="n">
        <f aca="false">IF(Assumptions!$I$61=1,MAX(G26239,Assumptions!$G$61)+Assumptions!$F$61+$C$26240,Assumptions!$E$61)</f>
        <v>0.0395</v>
      </c>
      <c r="H26304" s="31" t="n">
        <f aca="false">IF(G26563=1,$C$26241,IF(Assumptions!$I$61=1,MAX(H26239,Assumptions!$G$61)+Assumptions!$F$61+$C$26240,Assumptions!$E$61))</f>
        <v>0.0395</v>
      </c>
      <c r="I26304" s="31" t="n">
        <f aca="false">IF(H26563=1,$C$26241,IF(Assumptions!$I$61=1,MAX(I26239,Assumptions!$G$61)+Assumptions!$F$61+$C$26240,Assumptions!$E$61))</f>
        <v>0.0395</v>
      </c>
      <c r="J26304" s="31" t="n">
        <f aca="false">IF(I26563=1,$C$26241,IF(Assumptions!$I$61=1,MAX(J26239,Assumptions!$G$61)+Assumptions!$F$61+$C$26240,Assumptions!$E$61))</f>
        <v>0.0395</v>
      </c>
      <c r="K26304" s="31" t="n">
        <f aca="false">IF(J26563=1,$C$26241,IF(Assumptions!$I$61=1,MAX(K26239,Assumptions!$G$61)+Assumptions!$F$61+$C$26240,Assumptions!$E$61))</f>
        <v>0.0395</v>
      </c>
    </row>
    <row r="26305" customFormat="false" ht="15" hidden="false" customHeight="false" outlineLevel="0" collapsed="false">
      <c r="A26305" s="3" t="s">
        <v>332</v>
      </c>
      <c r="G26305" s="16" t="n">
        <f aca="false">G26301*G26304</f>
        <v>17.775</v>
      </c>
      <c r="H26305" s="16" t="n">
        <f aca="false">H26301*H26304</f>
        <v>17.775</v>
      </c>
      <c r="I26305" s="16" t="n">
        <f aca="false">I26301*I26304</f>
        <v>15.8571311362995</v>
      </c>
      <c r="J26305" s="16" t="n">
        <f aca="false">J26301*J26304</f>
        <v>15.8571311362995</v>
      </c>
      <c r="K26305" s="16" t="n">
        <f aca="false">K26301*K26304</f>
        <v>15.8571311362995</v>
      </c>
    </row>
    <row r="26306" customFormat="false" ht="15" hidden="false" customHeight="false" outlineLevel="0" collapsed="false">
      <c r="A26306" s="3" t="s">
        <v>333</v>
      </c>
      <c r="G26306" s="16" t="n">
        <f aca="false">G26301*Assumptions!$H$61</f>
        <v>0</v>
      </c>
      <c r="H26306" s="16" t="n">
        <f aca="false">H26301*Assumptions!$H$61</f>
        <v>0</v>
      </c>
      <c r="I26306" s="16" t="n">
        <f aca="false">I26301*Assumptions!$H$61</f>
        <v>0</v>
      </c>
      <c r="J26306" s="16" t="n">
        <f aca="false">J26301*Assumptions!$H$61</f>
        <v>0</v>
      </c>
      <c r="K26306" s="16" t="n">
        <f aca="false">K26301*Assumptions!$H$61</f>
        <v>0</v>
      </c>
    </row>
    <row r="26307" customFormat="false" ht="15" hidden="false" customHeight="false" outlineLevel="0" collapsed="false">
      <c r="A26307" s="3" t="s">
        <v>334</v>
      </c>
      <c r="G26307" s="16" t="n">
        <f aca="false">MIN(G26301,Assumptions!$L$61*Assumptions!$C$61)</f>
        <v>0</v>
      </c>
      <c r="H26307" s="16" t="n">
        <f aca="false">MIN(H26301,Assumptions!$L$61*Assumptions!$C$61)</f>
        <v>0</v>
      </c>
      <c r="I26307" s="16" t="n">
        <f aca="false">MIN(I26301,Assumptions!$L$61*Assumptions!$C$61)</f>
        <v>0</v>
      </c>
      <c r="J26307" s="16" t="n">
        <f aca="false">MIN(J26301,Assumptions!$L$61*Assumptions!$C$61)</f>
        <v>0</v>
      </c>
      <c r="K26307" s="16" t="n">
        <f aca="false">MIN(K26301,Assumptions!$L$61*Assumptions!$C$61)</f>
        <v>0</v>
      </c>
    </row>
    <row r="26308" customFormat="false" ht="15" hidden="false" customHeight="false" outlineLevel="0" collapsed="false">
      <c r="A26308" s="3" t="s">
        <v>335</v>
      </c>
      <c r="G26308" s="16" t="n">
        <f aca="false">IF(AND(Assumptions!$P$61=1,G26213&lt;Assumptions!$K$61),MIN(MAX(0,-G26429),MAX(0,Assumptions!$D$61-G26301)),0)</f>
        <v>0</v>
      </c>
      <c r="H26308" s="16" t="n">
        <f aca="false">IF(AND(Assumptions!$P$61=1,OR(H26213&lt;Assumptions!$K$61,G26563=1)),MIN(MAX(0,-H26429),MAX(0,Assumptions!$D$61-H26301)),0)</f>
        <v>0</v>
      </c>
      <c r="I26308" s="16" t="n">
        <f aca="false">IF(AND(Assumptions!$P$61=1,OR(I26213&lt;Assumptions!$K$61,H26563=1)),MIN(MAX(0,-I26429),MAX(0,Assumptions!$D$61-I26301)),0)</f>
        <v>0</v>
      </c>
      <c r="J26308" s="16" t="n">
        <f aca="false">IF(AND(Assumptions!$P$61=1,OR(J26213&lt;Assumptions!$K$61,I26563=1)),MIN(MAX(0,-J26429),MAX(0,Assumptions!$D$61-J26301)),0)</f>
        <v>0</v>
      </c>
      <c r="K26308" s="16" t="n">
        <f aca="false">IF(AND(Assumptions!$P$61=1,OR(K26213&lt;Assumptions!$K$61,J26563=1)),MIN(MAX(0,-K26429),MAX(0,Assumptions!$D$61-K26301)),0)</f>
        <v>0</v>
      </c>
    </row>
    <row r="26309" customFormat="false" ht="15" hidden="false" customHeight="false" outlineLevel="0" collapsed="false">
      <c r="A26309" s="3" t="s">
        <v>336</v>
      </c>
      <c r="G26309" s="16" t="n">
        <f aca="false">G26302*MIN(G26301-G26307+G26306,MAX(0,G26431-Assumptions!$C$12*G26247-G26257-G26270-G26283-G26296))</f>
        <v>0</v>
      </c>
      <c r="H26309" s="16" t="n">
        <f aca="false">H26302*MIN(H26301-H26307+H26306,MAX(0,H26431-Assumptions!$C$12*H26247-H26257-H26270-H26283-H26296))</f>
        <v>48.553642119</v>
      </c>
      <c r="I26309" s="16" t="n">
        <f aca="false">I26302*MIN(I26301-I26307+I26306,MAX(0,I26431-Assumptions!$C$12*I26247-I26257-I26270-I26283-I26296))</f>
        <v>0</v>
      </c>
      <c r="J26309" s="16" t="n">
        <f aca="false">J26302*MIN(J26301-J26307+J26306,MAX(0,J26431-Assumptions!$C$12*J26247-J26257-J26270-J26283-J26296))</f>
        <v>0</v>
      </c>
      <c r="K26309" s="16" t="n">
        <f aca="false">K26302*MIN(K26301-K26307+K26306,MAX(0,K26431-Assumptions!$C$12*K26247-K26257-K26270-K26283-K26296))</f>
        <v>0</v>
      </c>
    </row>
    <row r="26310" customFormat="false" ht="15" hidden="false" customHeight="false" outlineLevel="0" collapsed="false">
      <c r="A26310" s="3" t="s">
        <v>337</v>
      </c>
      <c r="G26310" s="16" t="n">
        <f aca="false">Assumptions!$N$61*MIN(G26301+G26308+G26306-G26307-G26309,MAX(0,G26435-G26258-G26271-G26284-G26297))</f>
        <v>0</v>
      </c>
      <c r="H26310" s="16" t="n">
        <f aca="false">Assumptions!$N$61*MIN(H26301+H26308+H26306-H26307-H26309,MAX(0,H26435-H26258-H26271-H26284-H26297))</f>
        <v>0</v>
      </c>
      <c r="I26310" s="16" t="n">
        <f aca="false">Assumptions!$N$61*MIN(I26301+I26308+I26306-I26307-I26309,MAX(0,I26435-I26258-I26271-I26284-I26297))</f>
        <v>0</v>
      </c>
      <c r="J26310" s="16" t="n">
        <f aca="false">Assumptions!$N$61*MIN(J26301+J26308+J26306-J26307-J26309,MAX(0,J26435-J26258-J26271-J26284-J26297))</f>
        <v>0</v>
      </c>
      <c r="K26310" s="16" t="n">
        <f aca="false">Assumptions!$N$61*MIN(K26301+K26308+K26306-K26307-K26309,MAX(0,K26435-K26258-K26271-K26284-K26297))</f>
        <v>0</v>
      </c>
    </row>
    <row r="26311" customFormat="false" ht="15" hidden="false" customHeight="false" outlineLevel="0" collapsed="false">
      <c r="A26311" s="3" t="s">
        <v>338</v>
      </c>
      <c r="G26311" s="16" t="n">
        <f aca="false">G26302*(1-G26247)*(G26301-G26307+G26306-G26309)</f>
        <v>0</v>
      </c>
      <c r="H26311" s="16" t="n">
        <f aca="false">H26302*(1-H26247)*(H26301-H26307+H26306-H26309)</f>
        <v>401.446357881</v>
      </c>
      <c r="I26311" s="16" t="n">
        <f aca="false">I26302*(1-I26247)*(I26301-I26307+I26306-I26309)</f>
        <v>0</v>
      </c>
      <c r="J26311" s="16" t="n">
        <f aca="false">J26302*(1-J26247)*(J26301-J26307+J26306-J26309)</f>
        <v>0</v>
      </c>
      <c r="K26311" s="16" t="n">
        <f aca="false">K26302*(1-K26247)*(K26301-K26307+K26306-K26309)</f>
        <v>0</v>
      </c>
    </row>
    <row r="26312" customFormat="false" ht="15" hidden="false" customHeight="false" outlineLevel="0" collapsed="false">
      <c r="A26312" s="2" t="s">
        <v>339</v>
      </c>
      <c r="F26312" s="28" t="n">
        <f aca="false">Assumptions!$C$61</f>
        <v>450</v>
      </c>
      <c r="G26312" s="17" t="n">
        <f aca="false">G26301+G26308+G26306-G26307-G26309-G26310</f>
        <v>450</v>
      </c>
      <c r="H26312" s="17" t="n">
        <f aca="false">H26301+H26308+H26306-H26307-H26309-H26310</f>
        <v>401.446357881</v>
      </c>
      <c r="I26312" s="17" t="n">
        <f aca="false">I26301+I26308+I26306-I26307-I26309-I26310</f>
        <v>401.446357881</v>
      </c>
      <c r="J26312" s="17" t="n">
        <f aca="false">J26301+J26308+J26306-J26307-J26309-J26310</f>
        <v>401.446357881</v>
      </c>
      <c r="K26312" s="17" t="n">
        <f aca="false">K26301+K26308+K26306-K26307-K26309-K26310</f>
        <v>401.446357881</v>
      </c>
    </row>
    <row r="26313" customFormat="false" ht="15" hidden="false" customHeight="false" outlineLevel="0" collapsed="false">
      <c r="A26313" s="24" t="s">
        <v>344</v>
      </c>
      <c r="B26313" s="25"/>
      <c r="C26313" s="25"/>
      <c r="D26313" s="25"/>
      <c r="E26313" s="25"/>
      <c r="F26313" s="25"/>
      <c r="G26313" s="25"/>
      <c r="H26313" s="25"/>
      <c r="I26313" s="25"/>
      <c r="J26313" s="25"/>
      <c r="K26313" s="25"/>
    </row>
    <row r="26314" customFormat="false" ht="15" hidden="false" customHeight="false" outlineLevel="0" collapsed="false">
      <c r="A26314" s="3" t="s">
        <v>329</v>
      </c>
      <c r="G26314" s="16" t="n">
        <f aca="false">F26325</f>
        <v>350</v>
      </c>
      <c r="H26314" s="16" t="n">
        <f aca="false">G26325</f>
        <v>350</v>
      </c>
      <c r="I26314" s="16" t="n">
        <f aca="false">H26325</f>
        <v>350</v>
      </c>
      <c r="J26314" s="16" t="n">
        <f aca="false">I26325</f>
        <v>350</v>
      </c>
      <c r="K26314" s="16" t="n">
        <f aca="false">J26325</f>
        <v>350</v>
      </c>
    </row>
    <row r="26315" customFormat="false" ht="15" hidden="false" customHeight="false" outlineLevel="0" collapsed="false">
      <c r="A26315" s="3" t="s">
        <v>330</v>
      </c>
      <c r="G26315" s="21" t="n">
        <f aca="false">IF(G26213=Assumptions!$K$62,1,0)</f>
        <v>0</v>
      </c>
      <c r="H26315" s="21" t="n">
        <f aca="false">IF(H26213=Assumptions!$K$62,1,0)</f>
        <v>1</v>
      </c>
      <c r="I26315" s="21" t="n">
        <f aca="false">IF(I26213=Assumptions!$K$62,1,0)</f>
        <v>0</v>
      </c>
      <c r="J26315" s="21" t="n">
        <f aca="false">IF(J26213=Assumptions!$K$62,1,0)</f>
        <v>0</v>
      </c>
      <c r="K26315" s="21" t="n">
        <f aca="false">IF(K26213=Assumptions!$K$62,1,0)</f>
        <v>0</v>
      </c>
    </row>
    <row r="26317" customFormat="false" ht="15" hidden="false" customHeight="false" outlineLevel="0" collapsed="false">
      <c r="A26317" s="3" t="s">
        <v>331</v>
      </c>
      <c r="G26317" s="31" t="n">
        <f aca="false">IF(Assumptions!$I$62=1,MAX(G26239,Assumptions!$G$62)+Assumptions!$F$62+$C$26240,Assumptions!$E$62)</f>
        <v>0.083</v>
      </c>
      <c r="H26317" s="31" t="n">
        <f aca="false">IF(G26564=1,$C$26241,IF(Assumptions!$I$62=1,MAX(H26239,Assumptions!$G$62)+Assumptions!$F$62+$C$26240,Assumptions!$E$62))</f>
        <v>0.083</v>
      </c>
      <c r="I26317" s="31" t="n">
        <f aca="false">IF(H26564=1,$C$26241,IF(Assumptions!$I$62=1,MAX(I26239,Assumptions!$G$62)+Assumptions!$F$62+$C$26240,Assumptions!$E$62))</f>
        <v>0.083</v>
      </c>
      <c r="J26317" s="31" t="n">
        <f aca="false">IF(I26564=1,$C$26241,IF(Assumptions!$I$62=1,MAX(J26239,Assumptions!$G$62)+Assumptions!$F$62+$C$26240,Assumptions!$E$62))</f>
        <v>0.083</v>
      </c>
      <c r="K26317" s="31" t="n">
        <f aca="false">IF(J26564=1,$C$26241,IF(Assumptions!$I$62=1,MAX(K26239,Assumptions!$G$62)+Assumptions!$F$62+$C$26240,Assumptions!$E$62))</f>
        <v>0.083</v>
      </c>
    </row>
    <row r="26318" customFormat="false" ht="15" hidden="false" customHeight="false" outlineLevel="0" collapsed="false">
      <c r="A26318" s="3" t="s">
        <v>332</v>
      </c>
      <c r="G26318" s="16" t="n">
        <f aca="false">G26314*G26317</f>
        <v>29.05</v>
      </c>
      <c r="H26318" s="16" t="n">
        <f aca="false">H26314*H26317</f>
        <v>29.05</v>
      </c>
      <c r="I26318" s="16" t="n">
        <f aca="false">I26314*I26317</f>
        <v>29.05</v>
      </c>
      <c r="J26318" s="16" t="n">
        <f aca="false">J26314*J26317</f>
        <v>29.05</v>
      </c>
      <c r="K26318" s="16" t="n">
        <f aca="false">K26314*K26317</f>
        <v>29.05</v>
      </c>
    </row>
    <row r="26319" customFormat="false" ht="15" hidden="false" customHeight="false" outlineLevel="0" collapsed="false">
      <c r="A26319" s="3" t="s">
        <v>333</v>
      </c>
      <c r="G26319" s="16" t="n">
        <f aca="false">G26314*Assumptions!$H$62</f>
        <v>0</v>
      </c>
      <c r="H26319" s="16" t="n">
        <f aca="false">H26314*Assumptions!$H$62</f>
        <v>0</v>
      </c>
      <c r="I26319" s="16" t="n">
        <f aca="false">I26314*Assumptions!$H$62</f>
        <v>0</v>
      </c>
      <c r="J26319" s="16" t="n">
        <f aca="false">J26314*Assumptions!$H$62</f>
        <v>0</v>
      </c>
      <c r="K26319" s="16" t="n">
        <f aca="false">K26314*Assumptions!$H$62</f>
        <v>0</v>
      </c>
    </row>
    <row r="26320" customFormat="false" ht="15" hidden="false" customHeight="false" outlineLevel="0" collapsed="false">
      <c r="A26320" s="3" t="s">
        <v>334</v>
      </c>
      <c r="G26320" s="16" t="n">
        <f aca="false">MIN(G26314,Assumptions!$L$62*Assumptions!$C$62)</f>
        <v>0</v>
      </c>
      <c r="H26320" s="16" t="n">
        <f aca="false">MIN(H26314,Assumptions!$L$62*Assumptions!$C$62)</f>
        <v>0</v>
      </c>
      <c r="I26320" s="16" t="n">
        <f aca="false">MIN(I26314,Assumptions!$L$62*Assumptions!$C$62)</f>
        <v>0</v>
      </c>
      <c r="J26320" s="16" t="n">
        <f aca="false">MIN(J26314,Assumptions!$L$62*Assumptions!$C$62)</f>
        <v>0</v>
      </c>
      <c r="K26320" s="16" t="n">
        <f aca="false">MIN(K26314,Assumptions!$L$62*Assumptions!$C$62)</f>
        <v>0</v>
      </c>
    </row>
    <row r="26321" customFormat="false" ht="15" hidden="false" customHeight="false" outlineLevel="0" collapsed="false">
      <c r="A26321" s="3" t="s">
        <v>335</v>
      </c>
      <c r="G26321" s="16" t="n">
        <f aca="false">IF(AND(Assumptions!$P$62=1,G26213&lt;Assumptions!$K$62),MIN(MAX(0,-G26429),MAX(0,Assumptions!$D$62-G26314)),0)</f>
        <v>0</v>
      </c>
      <c r="H26321" s="16" t="n">
        <f aca="false">IF(AND(Assumptions!$P$62=1,OR(H26213&lt;Assumptions!$K$62,G26564=1)),MIN(MAX(0,-H26429),MAX(0,Assumptions!$D$62-H26314)),0)</f>
        <v>0</v>
      </c>
      <c r="I26321" s="16" t="n">
        <f aca="false">IF(AND(Assumptions!$P$62=1,OR(I26213&lt;Assumptions!$K$62,H26564=1)),MIN(MAX(0,-I26429),MAX(0,Assumptions!$D$62-I26314)),0)</f>
        <v>0</v>
      </c>
      <c r="J26321" s="16" t="n">
        <f aca="false">IF(AND(Assumptions!$P$62=1,OR(J26213&lt;Assumptions!$K$62,I26564=1)),MIN(MAX(0,-J26429),MAX(0,Assumptions!$D$62-J26314)),0)</f>
        <v>0</v>
      </c>
      <c r="K26321" s="16" t="n">
        <f aca="false">IF(AND(Assumptions!$P$62=1,OR(K26213&lt;Assumptions!$K$62,J26564=1)),MIN(MAX(0,-K26429),MAX(0,Assumptions!$D$62-K26314)),0)</f>
        <v>0</v>
      </c>
    </row>
    <row r="26322" customFormat="false" ht="15" hidden="false" customHeight="false" outlineLevel="0" collapsed="false">
      <c r="A26322" s="3" t="s">
        <v>336</v>
      </c>
      <c r="G26322" s="16" t="n">
        <f aca="false">G26315*MIN(G26314-G26320+G26319,MAX(0,G26431-Assumptions!$C$12*G26247-G26257-G26270-G26283-G26296-G26309))</f>
        <v>0</v>
      </c>
      <c r="H26322" s="16" t="n">
        <f aca="false">H26315*MIN(H26314-H26320+H26319,MAX(0,H26431-Assumptions!$C$12*H26247-H26257-H26270-H26283-H26296-H26309))</f>
        <v>0</v>
      </c>
      <c r="I26322" s="16" t="n">
        <f aca="false">I26315*MIN(I26314-I26320+I26319,MAX(0,I26431-Assumptions!$C$12*I26247-I26257-I26270-I26283-I26296-I26309))</f>
        <v>0</v>
      </c>
      <c r="J26322" s="16" t="n">
        <f aca="false">J26315*MIN(J26314-J26320+J26319,MAX(0,J26431-Assumptions!$C$12*J26247-J26257-J26270-J26283-J26296-J26309))</f>
        <v>0</v>
      </c>
      <c r="K26322" s="16" t="n">
        <f aca="false">K26315*MIN(K26314-K26320+K26319,MAX(0,K26431-Assumptions!$C$12*K26247-K26257-K26270-K26283-K26296-K26309))</f>
        <v>0</v>
      </c>
    </row>
    <row r="26323" customFormat="false" ht="15" hidden="false" customHeight="false" outlineLevel="0" collapsed="false">
      <c r="A26323" s="3" t="s">
        <v>337</v>
      </c>
      <c r="G26323" s="16" t="n">
        <f aca="false">Assumptions!$N$62*MIN(G26314+G26321+G26319-G26320-G26322,MAX(0,G26435-G26258-G26271-G26284-G26297-G26310))</f>
        <v>0</v>
      </c>
      <c r="H26323" s="16" t="n">
        <f aca="false">Assumptions!$N$62*MIN(H26314+H26321+H26319-H26320-H26322,MAX(0,H26435-H26258-H26271-H26284-H26297-H26310))</f>
        <v>0</v>
      </c>
      <c r="I26323" s="16" t="n">
        <f aca="false">Assumptions!$N$62*MIN(I26314+I26321+I26319-I26320-I26322,MAX(0,I26435-I26258-I26271-I26284-I26297-I26310))</f>
        <v>0</v>
      </c>
      <c r="J26323" s="16" t="n">
        <f aca="false">Assumptions!$N$62*MIN(J26314+J26321+J26319-J26320-J26322,MAX(0,J26435-J26258-J26271-J26284-J26297-J26310))</f>
        <v>0</v>
      </c>
      <c r="K26323" s="16" t="n">
        <f aca="false">Assumptions!$N$62*MIN(K26314+K26321+K26319-K26320-K26322,MAX(0,K26435-K26258-K26271-K26284-K26297-K26310))</f>
        <v>0</v>
      </c>
    </row>
    <row r="26324" customFormat="false" ht="15" hidden="false" customHeight="false" outlineLevel="0" collapsed="false">
      <c r="A26324" s="3" t="s">
        <v>338</v>
      </c>
      <c r="G26324" s="16" t="n">
        <f aca="false">G26315*(1-G26247)*(G26314-G26320+G26319-G26322)</f>
        <v>0</v>
      </c>
      <c r="H26324" s="16" t="n">
        <f aca="false">H26315*(1-H26247)*(H26314-H26320+H26319-H26322)</f>
        <v>350</v>
      </c>
      <c r="I26324" s="16" t="n">
        <f aca="false">I26315*(1-I26247)*(I26314-I26320+I26319-I26322)</f>
        <v>0</v>
      </c>
      <c r="J26324" s="16" t="n">
        <f aca="false">J26315*(1-J26247)*(J26314-J26320+J26319-J26322)</f>
        <v>0</v>
      </c>
      <c r="K26324" s="16" t="n">
        <f aca="false">K26315*(1-K26247)*(K26314-K26320+K26319-K26322)</f>
        <v>0</v>
      </c>
    </row>
    <row r="26325" customFormat="false" ht="15" hidden="false" customHeight="false" outlineLevel="0" collapsed="false">
      <c r="A26325" s="2" t="s">
        <v>339</v>
      </c>
      <c r="F26325" s="28" t="n">
        <f aca="false">Assumptions!$C$62</f>
        <v>350</v>
      </c>
      <c r="G26325" s="17" t="n">
        <f aca="false">G26314+G26321+G26319-G26320-G26322-G26323</f>
        <v>350</v>
      </c>
      <c r="H26325" s="17" t="n">
        <f aca="false">H26314+H26321+H26319-H26320-H26322-H26323</f>
        <v>350</v>
      </c>
      <c r="I26325" s="17" t="n">
        <f aca="false">I26314+I26321+I26319-I26320-I26322-I26323</f>
        <v>350</v>
      </c>
      <c r="J26325" s="17" t="n">
        <f aca="false">J26314+J26321+J26319-J26320-J26322-J26323</f>
        <v>350</v>
      </c>
      <c r="K26325" s="17" t="n">
        <f aca="false">K26314+K26321+K26319-K26320-K26322-K26323</f>
        <v>350</v>
      </c>
    </row>
    <row r="26326" customFormat="false" ht="15" hidden="false" customHeight="false" outlineLevel="0" collapsed="false">
      <c r="A26326" s="24" t="s">
        <v>345</v>
      </c>
      <c r="B26326" s="25"/>
      <c r="C26326" s="25"/>
      <c r="D26326" s="25"/>
      <c r="E26326" s="25"/>
      <c r="F26326" s="25"/>
      <c r="G26326" s="25"/>
      <c r="H26326" s="25"/>
      <c r="I26326" s="25"/>
      <c r="J26326" s="25"/>
      <c r="K26326" s="25"/>
    </row>
    <row r="26327" customFormat="false" ht="15" hidden="false" customHeight="false" outlineLevel="0" collapsed="false">
      <c r="A26327" s="3" t="s">
        <v>329</v>
      </c>
      <c r="G26327" s="16" t="n">
        <f aca="false">F26338</f>
        <v>550</v>
      </c>
      <c r="H26327" s="16" t="n">
        <f aca="false">G26338</f>
        <v>550</v>
      </c>
      <c r="I26327" s="16" t="n">
        <f aca="false">H26338</f>
        <v>550</v>
      </c>
      <c r="J26327" s="16" t="n">
        <f aca="false">I26338</f>
        <v>550</v>
      </c>
      <c r="K26327" s="16" t="n">
        <f aca="false">J26338</f>
        <v>550</v>
      </c>
    </row>
    <row r="26328" customFormat="false" ht="15" hidden="false" customHeight="false" outlineLevel="0" collapsed="false">
      <c r="A26328" s="3" t="s">
        <v>330</v>
      </c>
      <c r="G26328" s="21" t="n">
        <f aca="false">IF(G26213=Assumptions!$K$63,1,0)</f>
        <v>0</v>
      </c>
      <c r="H26328" s="21" t="n">
        <f aca="false">IF(H26213=Assumptions!$K$63,1,0)</f>
        <v>0</v>
      </c>
      <c r="I26328" s="21" t="n">
        <f aca="false">IF(I26213=Assumptions!$K$63,1,0)</f>
        <v>1</v>
      </c>
      <c r="J26328" s="21" t="n">
        <f aca="false">IF(J26213=Assumptions!$K$63,1,0)</f>
        <v>0</v>
      </c>
      <c r="K26328" s="21" t="n">
        <f aca="false">IF(K26213=Assumptions!$K$63,1,0)</f>
        <v>0</v>
      </c>
    </row>
    <row r="26330" customFormat="false" ht="15" hidden="false" customHeight="false" outlineLevel="0" collapsed="false">
      <c r="A26330" s="3" t="s">
        <v>331</v>
      </c>
      <c r="G26330" s="31" t="n">
        <f aca="false">IF(Assumptions!$I$63=1,MAX(G26239,Assumptions!$G$63)+Assumptions!$F$63+$C$26240,Assumptions!$E$63)</f>
        <v>0.08875</v>
      </c>
      <c r="H26330" s="31" t="n">
        <f aca="false">IF(G26565=1,$C$26241,IF(Assumptions!$I$63=1,MAX(H26239,Assumptions!$G$63)+Assumptions!$F$63+$C$26240,Assumptions!$E$63))</f>
        <v>0.08875</v>
      </c>
      <c r="I26330" s="31" t="n">
        <f aca="false">IF(H26565=1,$C$26241,IF(Assumptions!$I$63=1,MAX(I26239,Assumptions!$G$63)+Assumptions!$F$63+$C$26240,Assumptions!$E$63))</f>
        <v>0.08875</v>
      </c>
      <c r="J26330" s="31" t="n">
        <f aca="false">IF(I26565=1,$C$26241,IF(Assumptions!$I$63=1,MAX(J26239,Assumptions!$G$63)+Assumptions!$F$63+$C$26240,Assumptions!$E$63))</f>
        <v>0.08875</v>
      </c>
      <c r="K26330" s="31" t="n">
        <f aca="false">IF(J26565=1,$C$26241,IF(Assumptions!$I$63=1,MAX(K26239,Assumptions!$G$63)+Assumptions!$F$63+$C$26240,Assumptions!$E$63))</f>
        <v>0.08875</v>
      </c>
    </row>
    <row r="26331" customFormat="false" ht="15" hidden="false" customHeight="false" outlineLevel="0" collapsed="false">
      <c r="A26331" s="3" t="s">
        <v>332</v>
      </c>
      <c r="G26331" s="16" t="n">
        <f aca="false">G26327*G26330</f>
        <v>48.8125</v>
      </c>
      <c r="H26331" s="16" t="n">
        <f aca="false">H26327*H26330</f>
        <v>48.8125</v>
      </c>
      <c r="I26331" s="16" t="n">
        <f aca="false">I26327*I26330</f>
        <v>48.8125</v>
      </c>
      <c r="J26331" s="16" t="n">
        <f aca="false">J26327*J26330</f>
        <v>48.8125</v>
      </c>
      <c r="K26331" s="16" t="n">
        <f aca="false">K26327*K26330</f>
        <v>48.8125</v>
      </c>
    </row>
    <row r="26332" customFormat="false" ht="15" hidden="false" customHeight="false" outlineLevel="0" collapsed="false">
      <c r="A26332" s="3" t="s">
        <v>333</v>
      </c>
      <c r="G26332" s="16" t="n">
        <f aca="false">G26327*Assumptions!$H$63</f>
        <v>0</v>
      </c>
      <c r="H26332" s="16" t="n">
        <f aca="false">H26327*Assumptions!$H$63</f>
        <v>0</v>
      </c>
      <c r="I26332" s="16" t="n">
        <f aca="false">I26327*Assumptions!$H$63</f>
        <v>0</v>
      </c>
      <c r="J26332" s="16" t="n">
        <f aca="false">J26327*Assumptions!$H$63</f>
        <v>0</v>
      </c>
      <c r="K26332" s="16" t="n">
        <f aca="false">K26327*Assumptions!$H$63</f>
        <v>0</v>
      </c>
    </row>
    <row r="26333" customFormat="false" ht="15" hidden="false" customHeight="false" outlineLevel="0" collapsed="false">
      <c r="A26333" s="3" t="s">
        <v>334</v>
      </c>
      <c r="G26333" s="16" t="n">
        <f aca="false">MIN(G26327,Assumptions!$L$63*Assumptions!$C$63)</f>
        <v>0</v>
      </c>
      <c r="H26333" s="16" t="n">
        <f aca="false">MIN(H26327,Assumptions!$L$63*Assumptions!$C$63)</f>
        <v>0</v>
      </c>
      <c r="I26333" s="16" t="n">
        <f aca="false">MIN(I26327,Assumptions!$L$63*Assumptions!$C$63)</f>
        <v>0</v>
      </c>
      <c r="J26333" s="16" t="n">
        <f aca="false">MIN(J26327,Assumptions!$L$63*Assumptions!$C$63)</f>
        <v>0</v>
      </c>
      <c r="K26333" s="16" t="n">
        <f aca="false">MIN(K26327,Assumptions!$L$63*Assumptions!$C$63)</f>
        <v>0</v>
      </c>
    </row>
    <row r="26334" customFormat="false" ht="15" hidden="false" customHeight="false" outlineLevel="0" collapsed="false">
      <c r="A26334" s="3" t="s">
        <v>335</v>
      </c>
      <c r="G26334" s="16" t="n">
        <f aca="false">IF(AND(Assumptions!$P$63=1,G26213&lt;Assumptions!$K$63),MIN(MAX(0,-G26429),MAX(0,Assumptions!$D$63-G26327)),0)</f>
        <v>0</v>
      </c>
      <c r="H26334" s="16" t="n">
        <f aca="false">IF(AND(Assumptions!$P$63=1,OR(H26213&lt;Assumptions!$K$63,G26565=1)),MIN(MAX(0,-H26429),MAX(0,Assumptions!$D$63-H26327)),0)</f>
        <v>0</v>
      </c>
      <c r="I26334" s="16" t="n">
        <f aca="false">IF(AND(Assumptions!$P$63=1,OR(I26213&lt;Assumptions!$K$63,H26565=1)),MIN(MAX(0,-I26429),MAX(0,Assumptions!$D$63-I26327)),0)</f>
        <v>0</v>
      </c>
      <c r="J26334" s="16" t="n">
        <f aca="false">IF(AND(Assumptions!$P$63=1,OR(J26213&lt;Assumptions!$K$63,I26565=1)),MIN(MAX(0,-J26429),MAX(0,Assumptions!$D$63-J26327)),0)</f>
        <v>0</v>
      </c>
      <c r="K26334" s="16" t="n">
        <f aca="false">IF(AND(Assumptions!$P$63=1,OR(K26213&lt;Assumptions!$K$63,J26565=1)),MIN(MAX(0,-K26429),MAX(0,Assumptions!$D$63-K26327)),0)</f>
        <v>0</v>
      </c>
    </row>
    <row r="26335" customFormat="false" ht="15" hidden="false" customHeight="false" outlineLevel="0" collapsed="false">
      <c r="A26335" s="3" t="s">
        <v>336</v>
      </c>
      <c r="G26335" s="16" t="n">
        <f aca="false">G26328*MIN(G26327-G26333+G26332,MAX(0,G26431-Assumptions!$C$12*G26247-G26257-G26270-G26283-G26296-G26309-G26322))</f>
        <v>0</v>
      </c>
      <c r="H26335" s="16" t="n">
        <f aca="false">H26328*MIN(H26327-H26333+H26332,MAX(0,H26431-Assumptions!$C$12*H26247-H26257-H26270-H26283-H26296-H26309-H26322))</f>
        <v>0</v>
      </c>
      <c r="I26335" s="16" t="n">
        <f aca="false">I26328*MIN(I26327-I26333+I26332,MAX(0,I26431-Assumptions!$C$12*I26247-I26257-I26270-I26283-I26296-I26309-I26322))</f>
        <v>0</v>
      </c>
      <c r="J26335" s="16" t="n">
        <f aca="false">J26328*MIN(J26327-J26333+J26332,MAX(0,J26431-Assumptions!$C$12*J26247-J26257-J26270-J26283-J26296-J26309-J26322))</f>
        <v>0</v>
      </c>
      <c r="K26335" s="16" t="n">
        <f aca="false">K26328*MIN(K26327-K26333+K26332,MAX(0,K26431-Assumptions!$C$12*K26247-K26257-K26270-K26283-K26296-K26309-K26322))</f>
        <v>0</v>
      </c>
    </row>
    <row r="26336" customFormat="false" ht="15" hidden="false" customHeight="false" outlineLevel="0" collapsed="false">
      <c r="A26336" s="3" t="s">
        <v>337</v>
      </c>
      <c r="G26336" s="16" t="n">
        <f aca="false">Assumptions!$N$63*MIN(G26327+G26334+G26332-G26333-G26335,MAX(0,G26435-G26258-G26271-G26284-G26297-G26310-G26323))</f>
        <v>0</v>
      </c>
      <c r="H26336" s="16" t="n">
        <f aca="false">Assumptions!$N$63*MIN(H26327+H26334+H26332-H26333-H26335,MAX(0,H26435-H26258-H26271-H26284-H26297-H26310-H26323))</f>
        <v>0</v>
      </c>
      <c r="I26336" s="16" t="n">
        <f aca="false">Assumptions!$N$63*MIN(I26327+I26334+I26332-I26333-I26335,MAX(0,I26435-I26258-I26271-I26284-I26297-I26310-I26323))</f>
        <v>0</v>
      </c>
      <c r="J26336" s="16" t="n">
        <f aca="false">Assumptions!$N$63*MIN(J26327+J26334+J26332-J26333-J26335,MAX(0,J26435-J26258-J26271-J26284-J26297-J26310-J26323))</f>
        <v>0</v>
      </c>
      <c r="K26336" s="16" t="n">
        <f aca="false">Assumptions!$N$63*MIN(K26327+K26334+K26332-K26333-K26335,MAX(0,K26435-K26258-K26271-K26284-K26297-K26310-K26323))</f>
        <v>0</v>
      </c>
    </row>
    <row r="26337" customFormat="false" ht="15" hidden="false" customHeight="false" outlineLevel="0" collapsed="false">
      <c r="A26337" s="3" t="s">
        <v>338</v>
      </c>
      <c r="G26337" s="16" t="n">
        <f aca="false">G26328*(1-G26247)*(G26327-G26333+G26332-G26335)</f>
        <v>0</v>
      </c>
      <c r="H26337" s="16" t="n">
        <f aca="false">H26328*(1-H26247)*(H26327-H26333+H26332-H26335)</f>
        <v>0</v>
      </c>
      <c r="I26337" s="16" t="n">
        <f aca="false">I26328*(1-I26247)*(I26327-I26333+I26332-I26335)</f>
        <v>550</v>
      </c>
      <c r="J26337" s="16" t="n">
        <f aca="false">J26328*(1-J26247)*(J26327-J26333+J26332-J26335)</f>
        <v>0</v>
      </c>
      <c r="K26337" s="16" t="n">
        <f aca="false">K26328*(1-K26247)*(K26327-K26333+K26332-K26335)</f>
        <v>0</v>
      </c>
    </row>
    <row r="26338" customFormat="false" ht="15" hidden="false" customHeight="false" outlineLevel="0" collapsed="false">
      <c r="A26338" s="2" t="s">
        <v>339</v>
      </c>
      <c r="F26338" s="28" t="n">
        <f aca="false">Assumptions!$C$63</f>
        <v>550</v>
      </c>
      <c r="G26338" s="17" t="n">
        <f aca="false">G26327+G26334+G26332-G26333-G26335-G26336</f>
        <v>550</v>
      </c>
      <c r="H26338" s="17" t="n">
        <f aca="false">H26327+H26334+H26332-H26333-H26335-H26336</f>
        <v>550</v>
      </c>
      <c r="I26338" s="17" t="n">
        <f aca="false">I26327+I26334+I26332-I26333-I26335-I26336</f>
        <v>550</v>
      </c>
      <c r="J26338" s="17" t="n">
        <f aca="false">J26327+J26334+J26332-J26333-J26335-J26336</f>
        <v>550</v>
      </c>
      <c r="K26338" s="17" t="n">
        <f aca="false">K26327+K26334+K26332-K26333-K26335-K26336</f>
        <v>550</v>
      </c>
    </row>
    <row r="26339" customFormat="false" ht="15" hidden="false" customHeight="false" outlineLevel="0" collapsed="false">
      <c r="A26339" s="24" t="s">
        <v>346</v>
      </c>
      <c r="B26339" s="25"/>
      <c r="C26339" s="25"/>
      <c r="D26339" s="25"/>
      <c r="E26339" s="25"/>
      <c r="F26339" s="25"/>
      <c r="G26339" s="25"/>
      <c r="H26339" s="25"/>
      <c r="I26339" s="25"/>
      <c r="J26339" s="25"/>
      <c r="K26339" s="25"/>
    </row>
    <row r="26340" customFormat="false" ht="15" hidden="false" customHeight="false" outlineLevel="0" collapsed="false">
      <c r="A26340" s="3" t="s">
        <v>329</v>
      </c>
      <c r="G26340" s="16" t="n">
        <f aca="false">F26351</f>
        <v>350</v>
      </c>
      <c r="H26340" s="16" t="n">
        <f aca="false">G26351</f>
        <v>350</v>
      </c>
      <c r="I26340" s="16" t="n">
        <f aca="false">H26351</f>
        <v>350</v>
      </c>
      <c r="J26340" s="16" t="n">
        <f aca="false">I26351</f>
        <v>350</v>
      </c>
      <c r="K26340" s="16" t="n">
        <f aca="false">J26351</f>
        <v>350</v>
      </c>
    </row>
    <row r="26341" customFormat="false" ht="15" hidden="false" customHeight="false" outlineLevel="0" collapsed="false">
      <c r="A26341" s="3" t="s">
        <v>330</v>
      </c>
      <c r="G26341" s="21" t="n">
        <f aca="false">IF(G26213=Assumptions!$K$64,1,0)</f>
        <v>0</v>
      </c>
      <c r="H26341" s="21" t="n">
        <f aca="false">IF(H26213=Assumptions!$K$64,1,0)</f>
        <v>0</v>
      </c>
      <c r="I26341" s="21" t="n">
        <f aca="false">IF(I26213=Assumptions!$K$64,1,0)</f>
        <v>0</v>
      </c>
      <c r="J26341" s="21" t="n">
        <f aca="false">IF(J26213=Assumptions!$K$64,1,0)</f>
        <v>1</v>
      </c>
      <c r="K26341" s="21" t="n">
        <f aca="false">IF(K26213=Assumptions!$K$64,1,0)</f>
        <v>0</v>
      </c>
    </row>
    <row r="26343" customFormat="false" ht="15" hidden="false" customHeight="false" outlineLevel="0" collapsed="false">
      <c r="A26343" s="3" t="s">
        <v>331</v>
      </c>
      <c r="G26343" s="31" t="n">
        <f aca="false">IF(Assumptions!$I$64=1,MAX(G26239,Assumptions!$G$64)+Assumptions!$F$64+$C$26240,Assumptions!$E$64)</f>
        <v>0.0455</v>
      </c>
      <c r="H26343" s="31" t="n">
        <f aca="false">IF(G26566=1,$C$26241,IF(Assumptions!$I$64=1,MAX(H26239,Assumptions!$G$64)+Assumptions!$F$64+$C$26240,Assumptions!$E$64))</f>
        <v>0.0455</v>
      </c>
      <c r="I26343" s="31" t="n">
        <f aca="false">IF(H26566=1,$C$26241,IF(Assumptions!$I$64=1,MAX(I26239,Assumptions!$G$64)+Assumptions!$F$64+$C$26240,Assumptions!$E$64))</f>
        <v>0.0455</v>
      </c>
      <c r="J26343" s="31" t="n">
        <f aca="false">IF(I26566=1,$C$26241,IF(Assumptions!$I$64=1,MAX(J26239,Assumptions!$G$64)+Assumptions!$F$64+$C$26240,Assumptions!$E$64))</f>
        <v>0.0455</v>
      </c>
      <c r="K26343" s="31" t="n">
        <f aca="false">IF(J26566=1,$C$26241,IF(Assumptions!$I$64=1,MAX(K26239,Assumptions!$G$64)+Assumptions!$F$64+$C$26240,Assumptions!$E$64))</f>
        <v>0.0455</v>
      </c>
    </row>
    <row r="26344" customFormat="false" ht="15" hidden="false" customHeight="false" outlineLevel="0" collapsed="false">
      <c r="A26344" s="3" t="s">
        <v>332</v>
      </c>
      <c r="G26344" s="16" t="n">
        <f aca="false">G26340*G26343</f>
        <v>15.925</v>
      </c>
      <c r="H26344" s="16" t="n">
        <f aca="false">H26340*H26343</f>
        <v>15.925</v>
      </c>
      <c r="I26344" s="16" t="n">
        <f aca="false">I26340*I26343</f>
        <v>15.925</v>
      </c>
      <c r="J26344" s="16" t="n">
        <f aca="false">J26340*J26343</f>
        <v>15.925</v>
      </c>
      <c r="K26344" s="16" t="n">
        <f aca="false">K26340*K26343</f>
        <v>15.925</v>
      </c>
    </row>
    <row r="26345" customFormat="false" ht="15" hidden="false" customHeight="false" outlineLevel="0" collapsed="false">
      <c r="A26345" s="3" t="s">
        <v>333</v>
      </c>
      <c r="G26345" s="16" t="n">
        <f aca="false">G26340*Assumptions!$H$64</f>
        <v>0</v>
      </c>
      <c r="H26345" s="16" t="n">
        <f aca="false">H26340*Assumptions!$H$64</f>
        <v>0</v>
      </c>
      <c r="I26345" s="16" t="n">
        <f aca="false">I26340*Assumptions!$H$64</f>
        <v>0</v>
      </c>
      <c r="J26345" s="16" t="n">
        <f aca="false">J26340*Assumptions!$H$64</f>
        <v>0</v>
      </c>
      <c r="K26345" s="16" t="n">
        <f aca="false">K26340*Assumptions!$H$64</f>
        <v>0</v>
      </c>
    </row>
    <row r="26346" customFormat="false" ht="15" hidden="false" customHeight="false" outlineLevel="0" collapsed="false">
      <c r="A26346" s="3" t="s">
        <v>334</v>
      </c>
      <c r="G26346" s="16" t="n">
        <f aca="false">MIN(G26340,Assumptions!$L$64*Assumptions!$C$64)</f>
        <v>0</v>
      </c>
      <c r="H26346" s="16" t="n">
        <f aca="false">MIN(H26340,Assumptions!$L$64*Assumptions!$C$64)</f>
        <v>0</v>
      </c>
      <c r="I26346" s="16" t="n">
        <f aca="false">MIN(I26340,Assumptions!$L$64*Assumptions!$C$64)</f>
        <v>0</v>
      </c>
      <c r="J26346" s="16" t="n">
        <f aca="false">MIN(J26340,Assumptions!$L$64*Assumptions!$C$64)</f>
        <v>0</v>
      </c>
      <c r="K26346" s="16" t="n">
        <f aca="false">MIN(K26340,Assumptions!$L$64*Assumptions!$C$64)</f>
        <v>0</v>
      </c>
    </row>
    <row r="26347" customFormat="false" ht="15" hidden="false" customHeight="false" outlineLevel="0" collapsed="false">
      <c r="A26347" s="3" t="s">
        <v>335</v>
      </c>
      <c r="G26347" s="16" t="n">
        <f aca="false">IF(AND(Assumptions!$P$64=1,G26213&lt;Assumptions!$K$64),MIN(MAX(0,-G26429),MAX(0,Assumptions!$D$64-G26340)),0)</f>
        <v>0</v>
      </c>
      <c r="H26347" s="16" t="n">
        <f aca="false">IF(AND(Assumptions!$P$64=1,OR(H26213&lt;Assumptions!$K$64,G26566=1)),MIN(MAX(0,-H26429),MAX(0,Assumptions!$D$64-H26340)),0)</f>
        <v>0</v>
      </c>
      <c r="I26347" s="16" t="n">
        <f aca="false">IF(AND(Assumptions!$P$64=1,OR(I26213&lt;Assumptions!$K$64,H26566=1)),MIN(MAX(0,-I26429),MAX(0,Assumptions!$D$64-I26340)),0)</f>
        <v>0</v>
      </c>
      <c r="J26347" s="16" t="n">
        <f aca="false">IF(AND(Assumptions!$P$64=1,OR(J26213&lt;Assumptions!$K$64,I26566=1)),MIN(MAX(0,-J26429),MAX(0,Assumptions!$D$64-J26340)),0)</f>
        <v>0</v>
      </c>
      <c r="K26347" s="16" t="n">
        <f aca="false">IF(AND(Assumptions!$P$64=1,OR(K26213&lt;Assumptions!$K$64,J26566=1)),MIN(MAX(0,-K26429),MAX(0,Assumptions!$D$64-K26340)),0)</f>
        <v>0</v>
      </c>
    </row>
    <row r="26348" customFormat="false" ht="15" hidden="false" customHeight="false" outlineLevel="0" collapsed="false">
      <c r="A26348" s="3" t="s">
        <v>336</v>
      </c>
      <c r="G26348" s="16" t="n">
        <f aca="false">G26341*MIN(G26340-G26346+G26345,MAX(0,G26431-Assumptions!$C$12*G26247-G26257-G26270-G26283-G26296-G26309-G26322-G26335))</f>
        <v>0</v>
      </c>
      <c r="H26348" s="16" t="n">
        <f aca="false">H26341*MIN(H26340-H26346+H26345,MAX(0,H26431-Assumptions!$C$12*H26247-H26257-H26270-H26283-H26296-H26309-H26322-H26335))</f>
        <v>0</v>
      </c>
      <c r="I26348" s="16" t="n">
        <f aca="false">I26341*MIN(I26340-I26346+I26345,MAX(0,I26431-Assumptions!$C$12*I26247-I26257-I26270-I26283-I26296-I26309-I26322-I26335))</f>
        <v>0</v>
      </c>
      <c r="J26348" s="16" t="n">
        <f aca="false">J26341*MIN(J26340-J26346+J26345,MAX(0,J26431-Assumptions!$C$12*J26247-J26257-J26270-J26283-J26296-J26309-J26322-J26335))</f>
        <v>0</v>
      </c>
      <c r="K26348" s="16" t="n">
        <f aca="false">K26341*MIN(K26340-K26346+K26345,MAX(0,K26431-Assumptions!$C$12*K26247-K26257-K26270-K26283-K26296-K26309-K26322-K26335))</f>
        <v>0</v>
      </c>
    </row>
    <row r="26349" customFormat="false" ht="15" hidden="false" customHeight="false" outlineLevel="0" collapsed="false">
      <c r="A26349" s="3" t="s">
        <v>337</v>
      </c>
      <c r="G26349" s="16" t="n">
        <f aca="false">Assumptions!$N$64*MIN(G26340+G26347+G26345-G26346-G26348,MAX(0,G26435-G26258-G26271-G26284-G26297-G26310-G26323-G26336))</f>
        <v>0</v>
      </c>
      <c r="H26349" s="16" t="n">
        <f aca="false">Assumptions!$N$64*MIN(H26340+H26347+H26345-H26346-H26348,MAX(0,H26435-H26258-H26271-H26284-H26297-H26310-H26323-H26336))</f>
        <v>0</v>
      </c>
      <c r="I26349" s="16" t="n">
        <f aca="false">Assumptions!$N$64*MIN(I26340+I26347+I26345-I26346-I26348,MAX(0,I26435-I26258-I26271-I26284-I26297-I26310-I26323-I26336))</f>
        <v>0</v>
      </c>
      <c r="J26349" s="16" t="n">
        <f aca="false">Assumptions!$N$64*MIN(J26340+J26347+J26345-J26346-J26348,MAX(0,J26435-J26258-J26271-J26284-J26297-J26310-J26323-J26336))</f>
        <v>0</v>
      </c>
      <c r="K26349" s="16" t="n">
        <f aca="false">Assumptions!$N$64*MIN(K26340+K26347+K26345-K26346-K26348,MAX(0,K26435-K26258-K26271-K26284-K26297-K26310-K26323-K26336))</f>
        <v>0</v>
      </c>
    </row>
    <row r="26350" customFormat="false" ht="15" hidden="false" customHeight="false" outlineLevel="0" collapsed="false">
      <c r="A26350" s="3" t="s">
        <v>338</v>
      </c>
      <c r="G26350" s="16" t="n">
        <f aca="false">G26341*(1-G26247)*(G26340-G26346+G26345-G26348)</f>
        <v>0</v>
      </c>
      <c r="H26350" s="16" t="n">
        <f aca="false">H26341*(1-H26247)*(H26340-H26346+H26345-H26348)</f>
        <v>0</v>
      </c>
      <c r="I26350" s="16" t="n">
        <f aca="false">I26341*(1-I26247)*(I26340-I26346+I26345-I26348)</f>
        <v>0</v>
      </c>
      <c r="J26350" s="16" t="n">
        <f aca="false">J26341*(1-J26247)*(J26340-J26346+J26345-J26348)</f>
        <v>350</v>
      </c>
      <c r="K26350" s="16" t="n">
        <f aca="false">K26341*(1-K26247)*(K26340-K26346+K26345-K26348)</f>
        <v>0</v>
      </c>
    </row>
    <row r="26351" customFormat="false" ht="15" hidden="false" customHeight="false" outlineLevel="0" collapsed="false">
      <c r="A26351" s="2" t="s">
        <v>339</v>
      </c>
      <c r="F26351" s="28" t="n">
        <f aca="false">Assumptions!$C$64</f>
        <v>350</v>
      </c>
      <c r="G26351" s="17" t="n">
        <f aca="false">G26340+G26347+G26345-G26346-G26348-G26349</f>
        <v>350</v>
      </c>
      <c r="H26351" s="17" t="n">
        <f aca="false">H26340+H26347+H26345-H26346-H26348-H26349</f>
        <v>350</v>
      </c>
      <c r="I26351" s="17" t="n">
        <f aca="false">I26340+I26347+I26345-I26346-I26348-I26349</f>
        <v>350</v>
      </c>
      <c r="J26351" s="17" t="n">
        <f aca="false">J26340+J26347+J26345-J26346-J26348-J26349</f>
        <v>350</v>
      </c>
      <c r="K26351" s="17" t="n">
        <f aca="false">K26340+K26347+K26345-K26346-K26348-K26349</f>
        <v>350</v>
      </c>
    </row>
    <row r="26352" customFormat="false" ht="15" hidden="false" customHeight="false" outlineLevel="0" collapsed="false">
      <c r="A26352" s="24" t="s">
        <v>347</v>
      </c>
      <c r="B26352" s="25"/>
      <c r="C26352" s="25"/>
      <c r="D26352" s="25"/>
      <c r="E26352" s="25"/>
      <c r="F26352" s="25"/>
      <c r="G26352" s="25"/>
      <c r="H26352" s="25"/>
      <c r="I26352" s="25"/>
      <c r="J26352" s="25"/>
      <c r="K26352" s="25"/>
    </row>
    <row r="26353" customFormat="false" ht="15" hidden="false" customHeight="false" outlineLevel="0" collapsed="false">
      <c r="A26353" s="3" t="s">
        <v>329</v>
      </c>
      <c r="G26353" s="16" t="n">
        <f aca="false">F26364</f>
        <v>300</v>
      </c>
      <c r="H26353" s="16" t="n">
        <f aca="false">G26364</f>
        <v>300</v>
      </c>
      <c r="I26353" s="16" t="n">
        <f aca="false">H26364</f>
        <v>300</v>
      </c>
      <c r="J26353" s="16" t="n">
        <f aca="false">I26364</f>
        <v>300</v>
      </c>
      <c r="K26353" s="16" t="n">
        <f aca="false">J26364</f>
        <v>300</v>
      </c>
    </row>
    <row r="26354" customFormat="false" ht="15" hidden="false" customHeight="false" outlineLevel="0" collapsed="false">
      <c r="A26354" s="3" t="s">
        <v>330</v>
      </c>
      <c r="G26354" s="21" t="n">
        <f aca="false">IF(G26213=Assumptions!$K$65,1,0)</f>
        <v>0</v>
      </c>
      <c r="H26354" s="21" t="n">
        <f aca="false">IF(H26213=Assumptions!$K$65,1,0)</f>
        <v>0</v>
      </c>
      <c r="I26354" s="21" t="n">
        <f aca="false">IF(I26213=Assumptions!$K$65,1,0)</f>
        <v>0</v>
      </c>
      <c r="J26354" s="21" t="n">
        <f aca="false">IF(J26213=Assumptions!$K$65,1,0)</f>
        <v>0</v>
      </c>
      <c r="K26354" s="21" t="n">
        <f aca="false">IF(K26213=Assumptions!$K$65,1,0)</f>
        <v>1</v>
      </c>
    </row>
    <row r="26356" customFormat="false" ht="15" hidden="false" customHeight="false" outlineLevel="0" collapsed="false">
      <c r="A26356" s="3" t="s">
        <v>331</v>
      </c>
      <c r="G26356" s="31" t="n">
        <f aca="false">IF(Assumptions!$I$65=1,MAX(G26239,Assumptions!$G$65)+Assumptions!$F$65+$C$26240,Assumptions!$E$65)</f>
        <v>0.06125</v>
      </c>
      <c r="H26356" s="31" t="n">
        <f aca="false">IF(G26567=1,$C$26241,IF(Assumptions!$I$65=1,MAX(H26239,Assumptions!$G$65)+Assumptions!$F$65+$C$26240,Assumptions!$E$65))</f>
        <v>0.06125</v>
      </c>
      <c r="I26356" s="31" t="n">
        <f aca="false">IF(H26567=1,$C$26241,IF(Assumptions!$I$65=1,MAX(I26239,Assumptions!$G$65)+Assumptions!$F$65+$C$26240,Assumptions!$E$65))</f>
        <v>0.06125</v>
      </c>
      <c r="J26356" s="31" t="n">
        <f aca="false">IF(I26567=1,$C$26241,IF(Assumptions!$I$65=1,MAX(J26239,Assumptions!$G$65)+Assumptions!$F$65+$C$26240,Assumptions!$E$65))</f>
        <v>0.06125</v>
      </c>
      <c r="K26356" s="31" t="n">
        <f aca="false">IF(J26567=1,$C$26241,IF(Assumptions!$I$65=1,MAX(K26239,Assumptions!$G$65)+Assumptions!$F$65+$C$26240,Assumptions!$E$65))</f>
        <v>0.06125</v>
      </c>
    </row>
    <row r="26357" customFormat="false" ht="15" hidden="false" customHeight="false" outlineLevel="0" collapsed="false">
      <c r="A26357" s="3" t="s">
        <v>332</v>
      </c>
      <c r="G26357" s="16" t="n">
        <f aca="false">G26353*G26356</f>
        <v>18.375</v>
      </c>
      <c r="H26357" s="16" t="n">
        <f aca="false">H26353*H26356</f>
        <v>18.375</v>
      </c>
      <c r="I26357" s="16" t="n">
        <f aca="false">I26353*I26356</f>
        <v>18.375</v>
      </c>
      <c r="J26357" s="16" t="n">
        <f aca="false">J26353*J26356</f>
        <v>18.375</v>
      </c>
      <c r="K26357" s="16" t="n">
        <f aca="false">K26353*K26356</f>
        <v>18.375</v>
      </c>
    </row>
    <row r="26358" customFormat="false" ht="15" hidden="false" customHeight="false" outlineLevel="0" collapsed="false">
      <c r="A26358" s="3" t="s">
        <v>333</v>
      </c>
      <c r="G26358" s="16" t="n">
        <f aca="false">G26353*Assumptions!$H$65</f>
        <v>0</v>
      </c>
      <c r="H26358" s="16" t="n">
        <f aca="false">H26353*Assumptions!$H$65</f>
        <v>0</v>
      </c>
      <c r="I26358" s="16" t="n">
        <f aca="false">I26353*Assumptions!$H$65</f>
        <v>0</v>
      </c>
      <c r="J26358" s="16" t="n">
        <f aca="false">J26353*Assumptions!$H$65</f>
        <v>0</v>
      </c>
      <c r="K26358" s="16" t="n">
        <f aca="false">K26353*Assumptions!$H$65</f>
        <v>0</v>
      </c>
    </row>
    <row r="26359" customFormat="false" ht="15" hidden="false" customHeight="false" outlineLevel="0" collapsed="false">
      <c r="A26359" s="3" t="s">
        <v>334</v>
      </c>
      <c r="G26359" s="16" t="n">
        <f aca="false">MIN(G26353,Assumptions!$L$65*Assumptions!$C$65)</f>
        <v>0</v>
      </c>
      <c r="H26359" s="16" t="n">
        <f aca="false">MIN(H26353,Assumptions!$L$65*Assumptions!$C$65)</f>
        <v>0</v>
      </c>
      <c r="I26359" s="16" t="n">
        <f aca="false">MIN(I26353,Assumptions!$L$65*Assumptions!$C$65)</f>
        <v>0</v>
      </c>
      <c r="J26359" s="16" t="n">
        <f aca="false">MIN(J26353,Assumptions!$L$65*Assumptions!$C$65)</f>
        <v>0</v>
      </c>
      <c r="K26359" s="16" t="n">
        <f aca="false">MIN(K26353,Assumptions!$L$65*Assumptions!$C$65)</f>
        <v>0</v>
      </c>
    </row>
    <row r="26360" customFormat="false" ht="15" hidden="false" customHeight="false" outlineLevel="0" collapsed="false">
      <c r="A26360" s="3" t="s">
        <v>335</v>
      </c>
      <c r="G26360" s="16" t="n">
        <f aca="false">IF(AND(Assumptions!$P$65=1,G26213&lt;Assumptions!$K$65),MIN(MAX(0,-G26429),MAX(0,Assumptions!$D$65-G26353)),0)</f>
        <v>0</v>
      </c>
      <c r="H26360" s="16" t="n">
        <f aca="false">IF(AND(Assumptions!$P$65=1,OR(H26213&lt;Assumptions!$K$65,G26567=1)),MIN(MAX(0,-H26429),MAX(0,Assumptions!$D$65-H26353)),0)</f>
        <v>0</v>
      </c>
      <c r="I26360" s="16" t="n">
        <f aca="false">IF(AND(Assumptions!$P$65=1,OR(I26213&lt;Assumptions!$K$65,H26567=1)),MIN(MAX(0,-I26429),MAX(0,Assumptions!$D$65-I26353)),0)</f>
        <v>0</v>
      </c>
      <c r="J26360" s="16" t="n">
        <f aca="false">IF(AND(Assumptions!$P$65=1,OR(J26213&lt;Assumptions!$K$65,I26567=1)),MIN(MAX(0,-J26429),MAX(0,Assumptions!$D$65-J26353)),0)</f>
        <v>0</v>
      </c>
      <c r="K26360" s="16" t="n">
        <f aca="false">IF(AND(Assumptions!$P$65=1,OR(K26213&lt;Assumptions!$K$65,J26567=1)),MIN(MAX(0,-K26429),MAX(0,Assumptions!$D$65-K26353)),0)</f>
        <v>0</v>
      </c>
    </row>
    <row r="26361" customFormat="false" ht="15" hidden="false" customHeight="false" outlineLevel="0" collapsed="false">
      <c r="A26361" s="3" t="s">
        <v>336</v>
      </c>
      <c r="G26361" s="16" t="n">
        <f aca="false">G26354*MIN(G26353-G26359+G26358,MAX(0,G26431-Assumptions!$C$12*G26247-G26257-G26270-G26283-G26296-G26309-G26322-G26335-G26348))</f>
        <v>0</v>
      </c>
      <c r="H26361" s="16" t="n">
        <f aca="false">H26354*MIN(H26353-H26359+H26358,MAX(0,H26431-Assumptions!$C$12*H26247-H26257-H26270-H26283-H26296-H26309-H26322-H26335-H26348))</f>
        <v>0</v>
      </c>
      <c r="I26361" s="16" t="n">
        <f aca="false">I26354*MIN(I26353-I26359+I26358,MAX(0,I26431-Assumptions!$C$12*I26247-I26257-I26270-I26283-I26296-I26309-I26322-I26335-I26348))</f>
        <v>0</v>
      </c>
      <c r="J26361" s="16" t="n">
        <f aca="false">J26354*MIN(J26353-J26359+J26358,MAX(0,J26431-Assumptions!$C$12*J26247-J26257-J26270-J26283-J26296-J26309-J26322-J26335-J26348))</f>
        <v>0</v>
      </c>
      <c r="K26361" s="16" t="n">
        <f aca="false">K26354*MIN(K26353-K26359+K26358,MAX(0,K26431-Assumptions!$C$12*K26247-K26257-K26270-K26283-K26296-K26309-K26322-K26335-K26348))</f>
        <v>0</v>
      </c>
    </row>
    <row r="26362" customFormat="false" ht="15" hidden="false" customHeight="false" outlineLevel="0" collapsed="false">
      <c r="A26362" s="3" t="s">
        <v>337</v>
      </c>
      <c r="G26362" s="16" t="n">
        <f aca="false">Assumptions!$N$65*MIN(G26353+G26360+G26358-G26359-G26361,MAX(0,G26435-G26258-G26271-G26284-G26297-G26310-G26323-G26336-G26349))</f>
        <v>0</v>
      </c>
      <c r="H26362" s="16" t="n">
        <f aca="false">Assumptions!$N$65*MIN(H26353+H26360+H26358-H26359-H26361,MAX(0,H26435-H26258-H26271-H26284-H26297-H26310-H26323-H26336-H26349))</f>
        <v>0</v>
      </c>
      <c r="I26362" s="16" t="n">
        <f aca="false">Assumptions!$N$65*MIN(I26353+I26360+I26358-I26359-I26361,MAX(0,I26435-I26258-I26271-I26284-I26297-I26310-I26323-I26336-I26349))</f>
        <v>0</v>
      </c>
      <c r="J26362" s="16" t="n">
        <f aca="false">Assumptions!$N$65*MIN(J26353+J26360+J26358-J26359-J26361,MAX(0,J26435-J26258-J26271-J26284-J26297-J26310-J26323-J26336-J26349))</f>
        <v>0</v>
      </c>
      <c r="K26362" s="16" t="n">
        <f aca="false">Assumptions!$N$65*MIN(K26353+K26360+K26358-K26359-K26361,MAX(0,K26435-K26258-K26271-K26284-K26297-K26310-K26323-K26336-K26349))</f>
        <v>0</v>
      </c>
    </row>
    <row r="26363" customFormat="false" ht="15" hidden="false" customHeight="false" outlineLevel="0" collapsed="false">
      <c r="A26363" s="3" t="s">
        <v>338</v>
      </c>
      <c r="G26363" s="16" t="n">
        <f aca="false">G26354*(1-G26247)*(G26353-G26359+G26358-G26361)</f>
        <v>0</v>
      </c>
      <c r="H26363" s="16" t="n">
        <f aca="false">H26354*(1-H26247)*(H26353-H26359+H26358-H26361)</f>
        <v>0</v>
      </c>
      <c r="I26363" s="16" t="n">
        <f aca="false">I26354*(1-I26247)*(I26353-I26359+I26358-I26361)</f>
        <v>0</v>
      </c>
      <c r="J26363" s="16" t="n">
        <f aca="false">J26354*(1-J26247)*(J26353-J26359+J26358-J26361)</f>
        <v>0</v>
      </c>
      <c r="K26363" s="16" t="n">
        <f aca="false">K26354*(1-K26247)*(K26353-K26359+K26358-K26361)</f>
        <v>300</v>
      </c>
    </row>
    <row r="26364" customFormat="false" ht="15" hidden="false" customHeight="false" outlineLevel="0" collapsed="false">
      <c r="A26364" s="2" t="s">
        <v>339</v>
      </c>
      <c r="F26364" s="28" t="n">
        <f aca="false">Assumptions!$C$65</f>
        <v>300</v>
      </c>
      <c r="G26364" s="17" t="n">
        <f aca="false">G26353+G26360+G26358-G26359-G26361-G26362</f>
        <v>300</v>
      </c>
      <c r="H26364" s="17" t="n">
        <f aca="false">H26353+H26360+H26358-H26359-H26361-H26362</f>
        <v>300</v>
      </c>
      <c r="I26364" s="17" t="n">
        <f aca="false">I26353+I26360+I26358-I26359-I26361-I26362</f>
        <v>300</v>
      </c>
      <c r="J26364" s="17" t="n">
        <f aca="false">J26353+J26360+J26358-J26359-J26361-J26362</f>
        <v>300</v>
      </c>
      <c r="K26364" s="17" t="n">
        <f aca="false">K26353+K26360+K26358-K26359-K26361-K26362</f>
        <v>300</v>
      </c>
    </row>
    <row r="26365" customFormat="false" ht="15" hidden="false" customHeight="false" outlineLevel="0" collapsed="false">
      <c r="A26365" s="24" t="s">
        <v>348</v>
      </c>
      <c r="B26365" s="25"/>
      <c r="C26365" s="25"/>
      <c r="D26365" s="25"/>
      <c r="E26365" s="25"/>
      <c r="F26365" s="25"/>
      <c r="G26365" s="25"/>
      <c r="H26365" s="25"/>
      <c r="I26365" s="25"/>
      <c r="J26365" s="25"/>
      <c r="K26365" s="25"/>
    </row>
    <row r="26366" customFormat="false" ht="15" hidden="false" customHeight="false" outlineLevel="0" collapsed="false">
      <c r="A26366" s="3" t="s">
        <v>329</v>
      </c>
      <c r="G26366" s="16" t="n">
        <f aca="false">F26377</f>
        <v>78.61</v>
      </c>
      <c r="H26366" s="16" t="n">
        <f aca="false">G26377</f>
        <v>78.61</v>
      </c>
      <c r="I26366" s="16" t="n">
        <f aca="false">H26377</f>
        <v>78.61</v>
      </c>
      <c r="J26366" s="16" t="n">
        <f aca="false">I26377</f>
        <v>78.61</v>
      </c>
      <c r="K26366" s="16" t="n">
        <f aca="false">J26377</f>
        <v>78.61</v>
      </c>
    </row>
    <row r="26367" customFormat="false" ht="15" hidden="false" customHeight="false" outlineLevel="0" collapsed="false">
      <c r="A26367" s="3" t="s">
        <v>330</v>
      </c>
      <c r="G26367" s="21" t="n">
        <f aca="false">IF(G26213=Assumptions!$K$66,1,0)</f>
        <v>0</v>
      </c>
      <c r="H26367" s="21" t="n">
        <f aca="false">IF(H26213=Assumptions!$K$66,1,0)</f>
        <v>0</v>
      </c>
      <c r="I26367" s="21" t="n">
        <f aca="false">IF(I26213=Assumptions!$K$66,1,0)</f>
        <v>0</v>
      </c>
      <c r="J26367" s="21" t="n">
        <f aca="false">IF(J26213=Assumptions!$K$66,1,0)</f>
        <v>0</v>
      </c>
      <c r="K26367" s="21" t="n">
        <f aca="false">IF(K26213=Assumptions!$K$66,1,0)</f>
        <v>0</v>
      </c>
    </row>
    <row r="26369" customFormat="false" ht="15" hidden="false" customHeight="false" outlineLevel="0" collapsed="false">
      <c r="A26369" s="3" t="s">
        <v>331</v>
      </c>
      <c r="G26369" s="31" t="n">
        <f aca="false">IF(Assumptions!$I$66=1,MAX(G26239,Assumptions!$G$66)+Assumptions!$F$66+$C$26240,Assumptions!$E$66)</f>
        <v>0.0691</v>
      </c>
      <c r="H26369" s="31" t="n">
        <f aca="false">IF(G26568=1,$C$26241,IF(Assumptions!$I$66=1,MAX(H26239,Assumptions!$G$66)+Assumptions!$F$66+$C$26240,Assumptions!$E$66))</f>
        <v>0.0676</v>
      </c>
      <c r="I26369" s="31" t="n">
        <f aca="false">IF(H26568=1,$C$26241,IF(Assumptions!$I$66=1,MAX(I26239,Assumptions!$G$66)+Assumptions!$F$66+$C$26240,Assumptions!$E$66))</f>
        <v>0.0651</v>
      </c>
      <c r="J26369" s="31" t="n">
        <f aca="false">IF(I26568=1,$C$26241,IF(Assumptions!$I$66=1,MAX(J26239,Assumptions!$G$66)+Assumptions!$F$66+$C$26240,Assumptions!$E$66))</f>
        <v>0.0651</v>
      </c>
      <c r="K26369" s="31" t="n">
        <f aca="false">IF(J26568=1,$C$26241,IF(Assumptions!$I$66=1,MAX(K26239,Assumptions!$G$66)+Assumptions!$F$66+$C$26240,Assumptions!$E$66))</f>
        <v>0.0651</v>
      </c>
    </row>
    <row r="26370" customFormat="false" ht="15" hidden="false" customHeight="false" outlineLevel="0" collapsed="false">
      <c r="A26370" s="3" t="s">
        <v>332</v>
      </c>
      <c r="G26370" s="16" t="n">
        <f aca="false">G26366*G26369</f>
        <v>5.431951</v>
      </c>
      <c r="H26370" s="16" t="n">
        <f aca="false">H26366*H26369</f>
        <v>5.314036</v>
      </c>
      <c r="I26370" s="16" t="n">
        <f aca="false">I26366*I26369</f>
        <v>5.117511</v>
      </c>
      <c r="J26370" s="16" t="n">
        <f aca="false">J26366*J26369</f>
        <v>5.117511</v>
      </c>
      <c r="K26370" s="16" t="n">
        <f aca="false">K26366*K26369</f>
        <v>5.117511</v>
      </c>
    </row>
    <row r="26371" customFormat="false" ht="15" hidden="false" customHeight="false" outlineLevel="0" collapsed="false">
      <c r="A26371" s="3" t="s">
        <v>333</v>
      </c>
      <c r="G26371" s="16" t="n">
        <f aca="false">G26366*Assumptions!$H$66</f>
        <v>0</v>
      </c>
      <c r="H26371" s="16" t="n">
        <f aca="false">H26366*Assumptions!$H$66</f>
        <v>0</v>
      </c>
      <c r="I26371" s="16" t="n">
        <f aca="false">I26366*Assumptions!$H$66</f>
        <v>0</v>
      </c>
      <c r="J26371" s="16" t="n">
        <f aca="false">J26366*Assumptions!$H$66</f>
        <v>0</v>
      </c>
      <c r="K26371" s="16" t="n">
        <f aca="false">K26366*Assumptions!$H$66</f>
        <v>0</v>
      </c>
    </row>
    <row r="26372" customFormat="false" ht="15" hidden="false" customHeight="false" outlineLevel="0" collapsed="false">
      <c r="A26372" s="3" t="s">
        <v>334</v>
      </c>
      <c r="G26372" s="16" t="n">
        <f aca="false">MIN(G26366,Assumptions!$L$66*Assumptions!$C$66)</f>
        <v>0</v>
      </c>
      <c r="H26372" s="16" t="n">
        <f aca="false">MIN(H26366,Assumptions!$L$66*Assumptions!$C$66)</f>
        <v>0</v>
      </c>
      <c r="I26372" s="16" t="n">
        <f aca="false">MIN(I26366,Assumptions!$L$66*Assumptions!$C$66)</f>
        <v>0</v>
      </c>
      <c r="J26372" s="16" t="n">
        <f aca="false">MIN(J26366,Assumptions!$L$66*Assumptions!$C$66)</f>
        <v>0</v>
      </c>
      <c r="K26372" s="16" t="n">
        <f aca="false">MIN(K26366,Assumptions!$L$66*Assumptions!$C$66)</f>
        <v>0</v>
      </c>
    </row>
    <row r="26373" customFormat="false" ht="15" hidden="false" customHeight="false" outlineLevel="0" collapsed="false">
      <c r="A26373" s="3" t="s">
        <v>335</v>
      </c>
      <c r="G26373" s="16" t="n">
        <f aca="false">IF(AND(Assumptions!$P$66=1,G26213&lt;Assumptions!$K$66),MIN(MAX(0,-G26429),MAX(0,Assumptions!$D$66-G26366)),0)</f>
        <v>0</v>
      </c>
      <c r="H26373" s="16" t="n">
        <f aca="false">IF(AND(Assumptions!$P$66=1,OR(H26213&lt;Assumptions!$K$66,G26568=1)),MIN(MAX(0,-H26429),MAX(0,Assumptions!$D$66-H26366)),0)</f>
        <v>0</v>
      </c>
      <c r="I26373" s="16" t="n">
        <f aca="false">IF(AND(Assumptions!$P$66=1,OR(I26213&lt;Assumptions!$K$66,H26568=1)),MIN(MAX(0,-I26429),MAX(0,Assumptions!$D$66-I26366)),0)</f>
        <v>0</v>
      </c>
      <c r="J26373" s="16" t="n">
        <f aca="false">IF(AND(Assumptions!$P$66=1,OR(J26213&lt;Assumptions!$K$66,I26568=1)),MIN(MAX(0,-J26429),MAX(0,Assumptions!$D$66-J26366)),0)</f>
        <v>0</v>
      </c>
      <c r="K26373" s="16" t="n">
        <f aca="false">IF(AND(Assumptions!$P$66=1,OR(K26213&lt;Assumptions!$K$66,J26568=1)),MIN(MAX(0,-K26429),MAX(0,Assumptions!$D$66-K26366)),0)</f>
        <v>0</v>
      </c>
    </row>
    <row r="26374" customFormat="false" ht="15" hidden="false" customHeight="false" outlineLevel="0" collapsed="false">
      <c r="A26374" s="3" t="s">
        <v>336</v>
      </c>
      <c r="G26374" s="16" t="n">
        <f aca="false">G26367*MIN(G26366-G26372+G26371,MAX(0,G26431-Assumptions!$C$12*G26247-G26257-G26270-G26283-G26296-G26309-G26322-G26335-G26348-G26361))</f>
        <v>0</v>
      </c>
      <c r="H26374" s="16" t="n">
        <f aca="false">H26367*MIN(H26366-H26372+H26371,MAX(0,H26431-Assumptions!$C$12*H26247-H26257-H26270-H26283-H26296-H26309-H26322-H26335-H26348-H26361))</f>
        <v>0</v>
      </c>
      <c r="I26374" s="16" t="n">
        <f aca="false">I26367*MIN(I26366-I26372+I26371,MAX(0,I26431-Assumptions!$C$12*I26247-I26257-I26270-I26283-I26296-I26309-I26322-I26335-I26348-I26361))</f>
        <v>0</v>
      </c>
      <c r="J26374" s="16" t="n">
        <f aca="false">J26367*MIN(J26366-J26372+J26371,MAX(0,J26431-Assumptions!$C$12*J26247-J26257-J26270-J26283-J26296-J26309-J26322-J26335-J26348-J26361))</f>
        <v>0</v>
      </c>
      <c r="K26374" s="16" t="n">
        <f aca="false">K26367*MIN(K26366-K26372+K26371,MAX(0,K26431-Assumptions!$C$12*K26247-K26257-K26270-K26283-K26296-K26309-K26322-K26335-K26348-K26361))</f>
        <v>0</v>
      </c>
    </row>
    <row r="26375" customFormat="false" ht="15" hidden="false" customHeight="false" outlineLevel="0" collapsed="false">
      <c r="A26375" s="3" t="s">
        <v>337</v>
      </c>
      <c r="G26375" s="16" t="n">
        <f aca="false">Assumptions!$N$66*MIN(G26366+G26373+G26371-G26372-G26374,MAX(0,G26435-G26258-G26271-G26284-G26297-G26310-G26323-G26336-G26349-G26362))</f>
        <v>0</v>
      </c>
      <c r="H26375" s="16" t="n">
        <f aca="false">Assumptions!$N$66*MIN(H26366+H26373+H26371-H26372-H26374,MAX(0,H26435-H26258-H26271-H26284-H26297-H26310-H26323-H26336-H26349-H26362))</f>
        <v>0</v>
      </c>
      <c r="I26375" s="16" t="n">
        <f aca="false">Assumptions!$N$66*MIN(I26366+I26373+I26371-I26372-I26374,MAX(0,I26435-I26258-I26271-I26284-I26297-I26310-I26323-I26336-I26349-I26362))</f>
        <v>0</v>
      </c>
      <c r="J26375" s="16" t="n">
        <f aca="false">Assumptions!$N$66*MIN(J26366+J26373+J26371-J26372-J26374,MAX(0,J26435-J26258-J26271-J26284-J26297-J26310-J26323-J26336-J26349-J26362))</f>
        <v>0</v>
      </c>
      <c r="K26375" s="16" t="n">
        <f aca="false">Assumptions!$N$66*MIN(K26366+K26373+K26371-K26372-K26374,MAX(0,K26435-K26258-K26271-K26284-K26297-K26310-K26323-K26336-K26349-K26362))</f>
        <v>0</v>
      </c>
    </row>
    <row r="26376" customFormat="false" ht="15" hidden="false" customHeight="false" outlineLevel="0" collapsed="false">
      <c r="A26376" s="3" t="s">
        <v>338</v>
      </c>
      <c r="G26376" s="16" t="n">
        <f aca="false">G26367*(1-G26247)*(G26366-G26372+G26371-G26374)</f>
        <v>0</v>
      </c>
      <c r="H26376" s="16" t="n">
        <f aca="false">H26367*(1-H26247)*(H26366-H26372+H26371-H26374)</f>
        <v>0</v>
      </c>
      <c r="I26376" s="16" t="n">
        <f aca="false">I26367*(1-I26247)*(I26366-I26372+I26371-I26374)</f>
        <v>0</v>
      </c>
      <c r="J26376" s="16" t="n">
        <f aca="false">J26367*(1-J26247)*(J26366-J26372+J26371-J26374)</f>
        <v>0</v>
      </c>
      <c r="K26376" s="16" t="n">
        <f aca="false">K26367*(1-K26247)*(K26366-K26372+K26371-K26374)</f>
        <v>0</v>
      </c>
    </row>
    <row r="26377" customFormat="false" ht="15" hidden="false" customHeight="false" outlineLevel="0" collapsed="false">
      <c r="A26377" s="2" t="s">
        <v>339</v>
      </c>
      <c r="F26377" s="28" t="n">
        <f aca="false">Assumptions!$C$66</f>
        <v>78.61</v>
      </c>
      <c r="G26377" s="17" t="n">
        <f aca="false">G26366+G26373+G26371-G26372-G26374-G26375</f>
        <v>78.61</v>
      </c>
      <c r="H26377" s="17" t="n">
        <f aca="false">H26366+H26373+H26371-H26372-H26374-H26375</f>
        <v>78.61</v>
      </c>
      <c r="I26377" s="17" t="n">
        <f aca="false">I26366+I26373+I26371-I26372-I26374-I26375</f>
        <v>78.61</v>
      </c>
      <c r="J26377" s="17" t="n">
        <f aca="false">J26366+J26373+J26371-J26372-J26374-J26375</f>
        <v>78.61</v>
      </c>
      <c r="K26377" s="17" t="n">
        <f aca="false">K26366+K26373+K26371-K26372-K26374-K26375</f>
        <v>78.61</v>
      </c>
    </row>
    <row r="26378" customFormat="false" ht="15" hidden="false" customHeight="false" outlineLevel="0" collapsed="false">
      <c r="A26378" s="24" t="s">
        <v>349</v>
      </c>
      <c r="B26378" s="25"/>
      <c r="C26378" s="25"/>
      <c r="D26378" s="25"/>
      <c r="E26378" s="25"/>
      <c r="F26378" s="25"/>
      <c r="G26378" s="25"/>
      <c r="H26378" s="25"/>
      <c r="I26378" s="25"/>
      <c r="J26378" s="25"/>
      <c r="K26378" s="25"/>
    </row>
    <row r="26379" customFormat="false" ht="15" hidden="false" customHeight="false" outlineLevel="0" collapsed="false">
      <c r="A26379" s="2" t="s">
        <v>350</v>
      </c>
      <c r="F26379" s="17" t="n">
        <f aca="false">F26260+F26273+F26286+F26299+F26312+F26325+F26338+F26351+F26364+F26377</f>
        <v>2625.934</v>
      </c>
      <c r="G26379" s="17" t="n">
        <f aca="false">G26260+G26273+G26286+G26299+G26312+G26325+G26338+G26351+G26364+G26377</f>
        <v>2621.934</v>
      </c>
      <c r="H26379" s="17" t="n">
        <f aca="false">H26260+H26273+H26286+H26299+H26312+H26325+H26338+H26351+H26364+H26377</f>
        <v>2569.380357881</v>
      </c>
      <c r="I26379" s="17" t="n">
        <f aca="false">I26260+I26273+I26286+I26299+I26312+I26325+I26338+I26351+I26364+I26377</f>
        <v>2565.380357881</v>
      </c>
      <c r="J26379" s="17" t="n">
        <f aca="false">J26260+J26273+J26286+J26299+J26312+J26325+J26338+J26351+J26364+J26377</f>
        <v>2561.380357881</v>
      </c>
      <c r="K26379" s="17" t="n">
        <f aca="false">K26260+K26273+K26286+K26299+K26312+K26325+K26338+K26351+K26364+K26377</f>
        <v>2557.380357881</v>
      </c>
    </row>
    <row r="26380" customFormat="false" ht="15" hidden="false" customHeight="false" outlineLevel="0" collapsed="false">
      <c r="A26380" s="3" t="s">
        <v>351</v>
      </c>
      <c r="G26380" s="16" t="n">
        <f aca="false">G26250*Assumptions!$C$57+G26263*Assumptions!$C$58+G26276*Assumptions!$C$59+G26289*Assumptions!$C$60+G26302*Assumptions!$C$61+G26315*Assumptions!$C$62+G26328*Assumptions!$C$63+G26341*Assumptions!$C$64+G26354*Assumptions!$C$65+G26367*Assumptions!$C$66</f>
        <v>0</v>
      </c>
      <c r="H26380" s="16" t="n">
        <f aca="false">H26250*Assumptions!$C$57+H26263*Assumptions!$C$58+H26276*Assumptions!$C$59+H26289*Assumptions!$C$60+H26302*Assumptions!$C$61+H26315*Assumptions!$C$62+H26328*Assumptions!$C$63+H26341*Assumptions!$C$64+H26354*Assumptions!$C$65+H26367*Assumptions!$C$66</f>
        <v>800</v>
      </c>
      <c r="I26380" s="16" t="n">
        <f aca="false">I26250*Assumptions!$C$57+I26263*Assumptions!$C$58+I26276*Assumptions!$C$59+I26289*Assumptions!$C$60+I26302*Assumptions!$C$61+I26315*Assumptions!$C$62+I26328*Assumptions!$C$63+I26341*Assumptions!$C$64+I26354*Assumptions!$C$65+I26367*Assumptions!$C$66</f>
        <v>550</v>
      </c>
      <c r="J26380" s="16" t="n">
        <f aca="false">J26250*Assumptions!$C$57+J26263*Assumptions!$C$58+J26276*Assumptions!$C$59+J26289*Assumptions!$C$60+J26302*Assumptions!$C$61+J26315*Assumptions!$C$62+J26328*Assumptions!$C$63+J26341*Assumptions!$C$64+J26354*Assumptions!$C$65+J26367*Assumptions!$C$66</f>
        <v>350</v>
      </c>
      <c r="K26380" s="16" t="n">
        <f aca="false">K26250*Assumptions!$C$57+K26263*Assumptions!$C$58+K26276*Assumptions!$C$59+K26289*Assumptions!$C$60+K26302*Assumptions!$C$61+K26315*Assumptions!$C$62+K26328*Assumptions!$C$63+K26341*Assumptions!$C$64+K26354*Assumptions!$C$65+K26367*Assumptions!$C$66</f>
        <v>700</v>
      </c>
    </row>
    <row r="26381" customFormat="false" ht="15" hidden="false" customHeight="false" outlineLevel="0" collapsed="false">
      <c r="A26381" s="24" t="s">
        <v>352</v>
      </c>
      <c r="B26381" s="25"/>
      <c r="C26381" s="25"/>
      <c r="D26381" s="25"/>
      <c r="E26381" s="25"/>
      <c r="F26381" s="25"/>
      <c r="G26381" s="25"/>
      <c r="H26381" s="25"/>
      <c r="I26381" s="25"/>
      <c r="J26381" s="25"/>
      <c r="K26381" s="25"/>
    </row>
    <row r="26382" customFormat="false" ht="15" hidden="false" customHeight="false" outlineLevel="0" collapsed="false">
      <c r="A26382" s="3" t="s">
        <v>353</v>
      </c>
      <c r="C26382" s="16" t="n">
        <f aca="false">SUMPRODUCT($G$26250:$K$26250,$G$26249:$K$26249-$G$26255:$K$26255+$G$26254:$K$26254)</f>
        <v>380</v>
      </c>
    </row>
    <row r="26383" customFormat="false" ht="15" hidden="false" customHeight="false" outlineLevel="0" collapsed="false">
      <c r="A26383" s="3" t="s">
        <v>354</v>
      </c>
      <c r="C26383" s="16" t="n">
        <f aca="false">SUMPRODUCT($G$26250:$K$26250,$G$26257:$K$26257)</f>
        <v>0</v>
      </c>
    </row>
    <row r="26384" customFormat="false" ht="15" hidden="false" customHeight="false" outlineLevel="0" collapsed="false">
      <c r="A26384" s="3" t="s">
        <v>355</v>
      </c>
      <c r="C26384" s="3" t="str">
        <f aca="false">IF(SUM($G$26250:$K$26250)=0,"n/a (beyond horizon)",IF(SUMPRODUCT($G$26250:$K$26250,$G$26247:$K$26247)&gt;0,"REFINANCING PASS","REFINANCING FAILURE"))</f>
        <v>REFINANCING FAILURE</v>
      </c>
    </row>
    <row r="26385" customFormat="false" ht="15" hidden="false" customHeight="false" outlineLevel="0" collapsed="false">
      <c r="A26385" s="3" t="s">
        <v>356</v>
      </c>
      <c r="C26385" s="3" t="str">
        <f aca="false">IF(SUM($G$26250:$K$26250)=0,"n/a",IF(C26383&gt;=C26382-0.001,"Repaid from cash",IF(SUMPRODUCT($G$26250:$K$26250,$G$26247:$K$26247)&gt;0,IF(C26383&gt;0,"Partly repaid; remainder refinanced","Refinanced"),IF(SUM($G$26259:$K$26259)&gt;0.001,IF(C26383&gt;0,"Partial repayment; PAYMENT DEFAULT","PAYMENT DEFAULT"),"Repaid from cash"))))</f>
        <v>PAYMENT DEFAULT</v>
      </c>
    </row>
    <row r="26386" customFormat="false" ht="15" hidden="false" customHeight="false" outlineLevel="0" collapsed="false">
      <c r="A26386" s="3" t="s">
        <v>357</v>
      </c>
      <c r="C26386" s="16" t="n">
        <f aca="false">SUMPRODUCT($G$26263:$K$26263,$G$26262:$K$26262-$G$26268:$K$26268+$G$26267:$K$26267)</f>
        <v>0</v>
      </c>
    </row>
    <row r="26387" customFormat="false" ht="15" hidden="false" customHeight="false" outlineLevel="0" collapsed="false">
      <c r="A26387" s="3" t="s">
        <v>358</v>
      </c>
      <c r="C26387" s="16" t="n">
        <f aca="false">SUMPRODUCT($G$26263:$K$26263,$G$26270:$K$26270)</f>
        <v>0</v>
      </c>
    </row>
    <row r="26388" customFormat="false" ht="15" hidden="false" customHeight="false" outlineLevel="0" collapsed="false">
      <c r="A26388" s="3" t="s">
        <v>359</v>
      </c>
      <c r="C26388" s="3" t="str">
        <f aca="false">IF(SUM($G$26263:$K$26263)=0,"n/a (beyond horizon)",IF(SUMPRODUCT($G$26263:$K$26263,$G$26247:$K$26247)&gt;0,"REFINANCING PASS","REFINANCING FAILURE"))</f>
        <v>n/a (beyond horizon)</v>
      </c>
    </row>
    <row r="26389" customFormat="false" ht="15" hidden="false" customHeight="false" outlineLevel="0" collapsed="false">
      <c r="A26389" s="3" t="s">
        <v>360</v>
      </c>
      <c r="C26389" s="3" t="str">
        <f aca="false">IF(SUM($G$26263:$K$26263)=0,"n/a",IF(C26387&gt;=C26386-0.001,"Repaid from cash",IF(SUMPRODUCT($G$26263:$K$26263,$G$26247:$K$26247)&gt;0,IF(C26387&gt;0,"Partly repaid; remainder refinanced","Refinanced"),IF(SUM($G$26272:$K$26272)&gt;0.001,IF(C26387&gt;0,"Partial repayment; PAYMENT DEFAULT","PAYMENT DEFAULT"),"Repaid from cash"))))</f>
        <v>n/a</v>
      </c>
    </row>
    <row r="26390" customFormat="false" ht="15" hidden="false" customHeight="false" outlineLevel="0" collapsed="false">
      <c r="A26390" s="3" t="s">
        <v>361</v>
      </c>
      <c r="C26390" s="16" t="n">
        <f aca="false">SUMPRODUCT($G$26276:$K$26276,$G$26275:$K$26275-$G$26281:$K$26281+$G$26280:$K$26280)</f>
        <v>0</v>
      </c>
    </row>
    <row r="26391" customFormat="false" ht="15" hidden="false" customHeight="false" outlineLevel="0" collapsed="false">
      <c r="A26391" s="3" t="s">
        <v>362</v>
      </c>
      <c r="C26391" s="16" t="n">
        <f aca="false">SUMPRODUCT($G$26276:$K$26276,$G$26283:$K$26283)</f>
        <v>0</v>
      </c>
    </row>
    <row r="26392" customFormat="false" ht="15" hidden="false" customHeight="false" outlineLevel="0" collapsed="false">
      <c r="A26392" s="3" t="s">
        <v>363</v>
      </c>
      <c r="C26392" s="3" t="str">
        <f aca="false">IF(SUM($G$26276:$K$26276)=0,"n/a (beyond horizon)",IF(SUMPRODUCT($G$26276:$K$26276,$G$26247:$K$26247)&gt;0,"REFINANCING PASS","REFINANCING FAILURE"))</f>
        <v>n/a (beyond horizon)</v>
      </c>
    </row>
    <row r="26393" customFormat="false" ht="15" hidden="false" customHeight="false" outlineLevel="0" collapsed="false">
      <c r="A26393" s="3" t="s">
        <v>364</v>
      </c>
      <c r="C26393" s="3" t="str">
        <f aca="false">IF(SUM($G$26276:$K$26276)=0,"n/a",IF(C26391&gt;=C26390-0.001,"Repaid from cash",IF(SUMPRODUCT($G$26276:$K$26276,$G$26247:$K$26247)&gt;0,IF(C26391&gt;0,"Partly repaid; remainder refinanced","Refinanced"),IF(SUM($G$26285:$K$26285)&gt;0.001,IF(C26391&gt;0,"Partial repayment; PAYMENT DEFAULT","PAYMENT DEFAULT"),"Repaid from cash"))))</f>
        <v>n/a</v>
      </c>
    </row>
    <row r="26394" customFormat="false" ht="15" hidden="false" customHeight="false" outlineLevel="0" collapsed="false">
      <c r="A26394" s="3" t="s">
        <v>365</v>
      </c>
      <c r="C26394" s="16" t="n">
        <f aca="false">SUMPRODUCT($G$26289:$K$26289,$G$26288:$K$26288-$G$26294:$K$26294+$G$26293:$K$26293)</f>
        <v>0</v>
      </c>
    </row>
    <row r="26395" customFormat="false" ht="15" hidden="false" customHeight="false" outlineLevel="0" collapsed="false">
      <c r="A26395" s="3" t="s">
        <v>366</v>
      </c>
      <c r="C26395" s="16" t="n">
        <f aca="false">SUMPRODUCT($G$26289:$K$26289,$G$26296:$K$26296)</f>
        <v>0</v>
      </c>
    </row>
    <row r="26396" customFormat="false" ht="15" hidden="false" customHeight="false" outlineLevel="0" collapsed="false">
      <c r="A26396" s="3" t="s">
        <v>367</v>
      </c>
      <c r="C26396" s="3" t="str">
        <f aca="false">IF(SUM($G$26289:$K$26289)=0,"n/a (beyond horizon)",IF(SUMPRODUCT($G$26289:$K$26289,$G$26247:$K$26247)&gt;0,"REFINANCING PASS","REFINANCING FAILURE"))</f>
        <v>REFINANCING FAILURE</v>
      </c>
    </row>
    <row r="26397" customFormat="false" ht="15" hidden="false" customHeight="false" outlineLevel="0" collapsed="false">
      <c r="A26397" s="3" t="s">
        <v>368</v>
      </c>
      <c r="C26397" s="3" t="str">
        <f aca="false">IF(SUM($G$26289:$K$26289)=0,"n/a",IF(C26395&gt;=C26394-0.001,"Repaid from cash",IF(SUMPRODUCT($G$26289:$K$26289,$G$26247:$K$26247)&gt;0,IF(C26395&gt;0,"Partly repaid; remainder refinanced","Refinanced"),IF(SUM($G$26298:$K$26298)&gt;0.001,IF(C26395&gt;0,"Partial repayment; PAYMENT DEFAULT","PAYMENT DEFAULT"),"Repaid from cash"))))</f>
        <v>Repaid from cash</v>
      </c>
    </row>
    <row r="26398" customFormat="false" ht="15" hidden="false" customHeight="false" outlineLevel="0" collapsed="false">
      <c r="A26398" s="3" t="s">
        <v>369</v>
      </c>
      <c r="C26398" s="16" t="n">
        <f aca="false">SUMPRODUCT($G$26302:$K$26302,$G$26301:$K$26301-$G$26307:$K$26307+$G$26306:$K$26306)</f>
        <v>450</v>
      </c>
    </row>
    <row r="26399" customFormat="false" ht="15" hidden="false" customHeight="false" outlineLevel="0" collapsed="false">
      <c r="A26399" s="3" t="s">
        <v>370</v>
      </c>
      <c r="C26399" s="16" t="n">
        <f aca="false">SUMPRODUCT($G$26302:$K$26302,$G$26309:$K$26309)</f>
        <v>48.553642119</v>
      </c>
    </row>
    <row r="26400" customFormat="false" ht="15" hidden="false" customHeight="false" outlineLevel="0" collapsed="false">
      <c r="A26400" s="3" t="s">
        <v>371</v>
      </c>
      <c r="C26400" s="3" t="str">
        <f aca="false">IF(SUM($G$26302:$K$26302)=0,"n/a (beyond horizon)",IF(SUMPRODUCT($G$26302:$K$26302,$G$26247:$K$26247)&gt;0,"REFINANCING PASS","REFINANCING FAILURE"))</f>
        <v>REFINANCING FAILURE</v>
      </c>
    </row>
    <row r="26401" customFormat="false" ht="15" hidden="false" customHeight="false" outlineLevel="0" collapsed="false">
      <c r="A26401" s="3" t="s">
        <v>372</v>
      </c>
      <c r="C26401" s="3" t="str">
        <f aca="false">IF(SUM($G$26302:$K$26302)=0,"n/a",IF(C26399&gt;=C26398-0.001,"Repaid from cash",IF(SUMPRODUCT($G$26302:$K$26302,$G$26247:$K$26247)&gt;0,IF(C26399&gt;0,"Partly repaid; remainder refinanced","Refinanced"),IF(SUM($G$26311:$K$26311)&gt;0.001,IF(C26399&gt;0,"Partial repayment; PAYMENT DEFAULT","PAYMENT DEFAULT"),"Repaid from cash"))))</f>
        <v>Partial repayment; PAYMENT DEFAULT</v>
      </c>
    </row>
    <row r="26402" customFormat="false" ht="15" hidden="false" customHeight="false" outlineLevel="0" collapsed="false">
      <c r="A26402" s="3" t="s">
        <v>373</v>
      </c>
      <c r="C26402" s="16" t="n">
        <f aca="false">SUMPRODUCT($G$26315:$K$26315,$G$26314:$K$26314-$G$26320:$K$26320+$G$26319:$K$26319)</f>
        <v>350</v>
      </c>
    </row>
    <row r="26403" customFormat="false" ht="15" hidden="false" customHeight="false" outlineLevel="0" collapsed="false">
      <c r="A26403" s="3" t="s">
        <v>374</v>
      </c>
      <c r="C26403" s="16" t="n">
        <f aca="false">SUMPRODUCT($G$26315:$K$26315,$G$26322:$K$26322)</f>
        <v>0</v>
      </c>
    </row>
    <row r="26404" customFormat="false" ht="15" hidden="false" customHeight="false" outlineLevel="0" collapsed="false">
      <c r="A26404" s="3" t="s">
        <v>375</v>
      </c>
      <c r="C26404" s="3" t="str">
        <f aca="false">IF(SUM($G$26315:$K$26315)=0,"n/a (beyond horizon)",IF(SUMPRODUCT($G$26315:$K$26315,$G$26247:$K$26247)&gt;0,"REFINANCING PASS","REFINANCING FAILURE"))</f>
        <v>REFINANCING FAILURE</v>
      </c>
    </row>
    <row r="26405" customFormat="false" ht="15" hidden="false" customHeight="false" outlineLevel="0" collapsed="false">
      <c r="A26405" s="3" t="s">
        <v>376</v>
      </c>
      <c r="C26405" s="3" t="str">
        <f aca="false">IF(SUM($G$26315:$K$26315)=0,"n/a",IF(C26403&gt;=C26402-0.001,"Repaid from cash",IF(SUMPRODUCT($G$26315:$K$26315,$G$26247:$K$26247)&gt;0,IF(C26403&gt;0,"Partly repaid; remainder refinanced","Refinanced"),IF(SUM($G$26324:$K$26324)&gt;0.001,IF(C26403&gt;0,"Partial repayment; PAYMENT DEFAULT","PAYMENT DEFAULT"),"Repaid from cash"))))</f>
        <v>PAYMENT DEFAULT</v>
      </c>
    </row>
    <row r="26406" customFormat="false" ht="15" hidden="false" customHeight="false" outlineLevel="0" collapsed="false">
      <c r="A26406" s="3" t="s">
        <v>377</v>
      </c>
      <c r="C26406" s="16" t="n">
        <f aca="false">SUMPRODUCT($G$26328:$K$26328,$G$26327:$K$26327-$G$26333:$K$26333+$G$26332:$K$26332)</f>
        <v>550</v>
      </c>
    </row>
    <row r="26407" customFormat="false" ht="15" hidden="false" customHeight="false" outlineLevel="0" collapsed="false">
      <c r="A26407" s="3" t="s">
        <v>378</v>
      </c>
      <c r="C26407" s="16" t="n">
        <f aca="false">SUMPRODUCT($G$26328:$K$26328,$G$26335:$K$26335)</f>
        <v>0</v>
      </c>
    </row>
    <row r="26408" customFormat="false" ht="15" hidden="false" customHeight="false" outlineLevel="0" collapsed="false">
      <c r="A26408" s="3" t="s">
        <v>379</v>
      </c>
      <c r="C26408" s="3" t="str">
        <f aca="false">IF(SUM($G$26328:$K$26328)=0,"n/a (beyond horizon)",IF(SUMPRODUCT($G$26328:$K$26328,$G$26247:$K$26247)&gt;0,"REFINANCING PASS","REFINANCING FAILURE"))</f>
        <v>REFINANCING FAILURE</v>
      </c>
    </row>
    <row r="26409" customFormat="false" ht="15" hidden="false" customHeight="false" outlineLevel="0" collapsed="false">
      <c r="A26409" s="3" t="s">
        <v>380</v>
      </c>
      <c r="C26409" s="3" t="str">
        <f aca="false">IF(SUM($G$26328:$K$26328)=0,"n/a",IF(C26407&gt;=C26406-0.001,"Repaid from cash",IF(SUMPRODUCT($G$26328:$K$26328,$G$26247:$K$26247)&gt;0,IF(C26407&gt;0,"Partly repaid; remainder refinanced","Refinanced"),IF(SUM($G$26337:$K$26337)&gt;0.001,IF(C26407&gt;0,"Partial repayment; PAYMENT DEFAULT","PAYMENT DEFAULT"),"Repaid from cash"))))</f>
        <v>PAYMENT DEFAULT</v>
      </c>
    </row>
    <row r="26410" customFormat="false" ht="15" hidden="false" customHeight="false" outlineLevel="0" collapsed="false">
      <c r="A26410" s="3" t="s">
        <v>381</v>
      </c>
      <c r="C26410" s="16" t="n">
        <f aca="false">SUMPRODUCT($G$26341:$K$26341,$G$26340:$K$26340-$G$26346:$K$26346+$G$26345:$K$26345)</f>
        <v>350</v>
      </c>
    </row>
    <row r="26411" customFormat="false" ht="15" hidden="false" customHeight="false" outlineLevel="0" collapsed="false">
      <c r="A26411" s="3" t="s">
        <v>382</v>
      </c>
      <c r="C26411" s="16" t="n">
        <f aca="false">SUMPRODUCT($G$26341:$K$26341,$G$26348:$K$26348)</f>
        <v>0</v>
      </c>
    </row>
    <row r="26412" customFormat="false" ht="15" hidden="false" customHeight="false" outlineLevel="0" collapsed="false">
      <c r="A26412" s="3" t="s">
        <v>383</v>
      </c>
      <c r="C26412" s="3" t="str">
        <f aca="false">IF(SUM($G$26341:$K$26341)=0,"n/a (beyond horizon)",IF(SUMPRODUCT($G$26341:$K$26341,$G$26247:$K$26247)&gt;0,"REFINANCING PASS","REFINANCING FAILURE"))</f>
        <v>REFINANCING FAILURE</v>
      </c>
    </row>
    <row r="26413" customFormat="false" ht="15" hidden="false" customHeight="false" outlineLevel="0" collapsed="false">
      <c r="A26413" s="3" t="s">
        <v>384</v>
      </c>
      <c r="C26413" s="3" t="str">
        <f aca="false">IF(SUM($G$26341:$K$26341)=0,"n/a",IF(C26411&gt;=C26410-0.001,"Repaid from cash",IF(SUMPRODUCT($G$26341:$K$26341,$G$26247:$K$26247)&gt;0,IF(C26411&gt;0,"Partly repaid; remainder refinanced","Refinanced"),IF(SUM($G$26350:$K$26350)&gt;0.001,IF(C26411&gt;0,"Partial repayment; PAYMENT DEFAULT","PAYMENT DEFAULT"),"Repaid from cash"))))</f>
        <v>PAYMENT DEFAULT</v>
      </c>
    </row>
    <row r="26414" customFormat="false" ht="15" hidden="false" customHeight="false" outlineLevel="0" collapsed="false">
      <c r="A26414" s="3" t="s">
        <v>385</v>
      </c>
      <c r="C26414" s="16" t="n">
        <f aca="false">SUMPRODUCT($G$26354:$K$26354,$G$26353:$K$26353-$G$26359:$K$26359+$G$26358:$K$26358)</f>
        <v>300</v>
      </c>
    </row>
    <row r="26415" customFormat="false" ht="15" hidden="false" customHeight="false" outlineLevel="0" collapsed="false">
      <c r="A26415" s="3" t="s">
        <v>386</v>
      </c>
      <c r="C26415" s="16" t="n">
        <f aca="false">SUMPRODUCT($G$26354:$K$26354,$G$26361:$K$26361)</f>
        <v>0</v>
      </c>
    </row>
    <row r="26416" customFormat="false" ht="15" hidden="false" customHeight="false" outlineLevel="0" collapsed="false">
      <c r="A26416" s="3" t="s">
        <v>387</v>
      </c>
      <c r="C26416" s="3" t="str">
        <f aca="false">IF(SUM($G$26354:$K$26354)=0,"n/a (beyond horizon)",IF(SUMPRODUCT($G$26354:$K$26354,$G$26247:$K$26247)&gt;0,"REFINANCING PASS","REFINANCING FAILURE"))</f>
        <v>REFINANCING FAILURE</v>
      </c>
    </row>
    <row r="26417" customFormat="false" ht="15" hidden="false" customHeight="false" outlineLevel="0" collapsed="false">
      <c r="A26417" s="3" t="s">
        <v>388</v>
      </c>
      <c r="C26417" s="3" t="str">
        <f aca="false">IF(SUM($G$26354:$K$26354)=0,"n/a",IF(C26415&gt;=C26414-0.001,"Repaid from cash",IF(SUMPRODUCT($G$26354:$K$26354,$G$26247:$K$26247)&gt;0,IF(C26415&gt;0,"Partly repaid; remainder refinanced","Refinanced"),IF(SUM($G$26363:$K$26363)&gt;0.001,IF(C26415&gt;0,"Partial repayment; PAYMENT DEFAULT","PAYMENT DEFAULT"),"Repaid from cash"))))</f>
        <v>PAYMENT DEFAULT</v>
      </c>
    </row>
    <row r="26418" customFormat="false" ht="15" hidden="false" customHeight="false" outlineLevel="0" collapsed="false">
      <c r="A26418" s="3" t="s">
        <v>389</v>
      </c>
      <c r="C26418" s="16" t="n">
        <f aca="false">SUMPRODUCT($G$26367:$K$26367,$G$26366:$K$26366-$G$26372:$K$26372+$G$26371:$K$26371)</f>
        <v>0</v>
      </c>
    </row>
    <row r="26419" customFormat="false" ht="15" hidden="false" customHeight="false" outlineLevel="0" collapsed="false">
      <c r="A26419" s="3" t="s">
        <v>390</v>
      </c>
      <c r="C26419" s="16" t="n">
        <f aca="false">SUMPRODUCT($G$26367:$K$26367,$G$26374:$K$26374)</f>
        <v>0</v>
      </c>
    </row>
    <row r="26420" customFormat="false" ht="15" hidden="false" customHeight="false" outlineLevel="0" collapsed="false">
      <c r="A26420" s="3" t="s">
        <v>391</v>
      </c>
      <c r="C26420" s="3" t="str">
        <f aca="false">IF(SUM($G$26367:$K$26367)=0,"n/a (beyond horizon)",IF(SUMPRODUCT($G$26367:$K$26367,$G$26247:$K$26247)&gt;0,"REFINANCING PASS","REFINANCING FAILURE"))</f>
        <v>n/a (beyond horizon)</v>
      </c>
    </row>
    <row r="26421" customFormat="false" ht="15" hidden="false" customHeight="false" outlineLevel="0" collapsed="false">
      <c r="A26421" s="3" t="s">
        <v>392</v>
      </c>
      <c r="C26421" s="3" t="str">
        <f aca="false">IF(SUM($G$26367:$K$26367)=0,"n/a",IF(C26419&gt;=C26418-0.001,"Repaid from cash",IF(SUMPRODUCT($G$26367:$K$26367,$G$26247:$K$26247)&gt;0,IF(C26419&gt;0,"Partly repaid; remainder refinanced","Refinanced"),IF(SUM($G$26376:$K$26376)&gt;0.001,IF(C26419&gt;0,"Partial repayment; PAYMENT DEFAULT","PAYMENT DEFAULT"),"Repaid from cash"))))</f>
        <v>n/a</v>
      </c>
    </row>
    <row r="26422" customFormat="false" ht="15" hidden="false" customHeight="false" outlineLevel="0" collapsed="false">
      <c r="A26422" s="3" t="s">
        <v>393</v>
      </c>
      <c r="C26422" s="21" t="n">
        <f aca="false">IF(C26384="REFINANCING FAILURE",1,0)+IF(C26388="REFINANCING FAILURE",1,0)+IF(C26392="REFINANCING FAILURE",1,0)+IF(C26396="REFINANCING FAILURE",1,0)+IF(C26400="REFINANCING FAILURE",1,0)+IF(C26404="REFINANCING FAILURE",1,0)+IF(C26408="REFINANCING FAILURE",1,0)+IF(C26412="REFINANCING FAILURE",1,0)+IF(C26416="REFINANCING FAILURE",1,0)+IF(C26420="REFINANCING FAILURE",1,0)</f>
        <v>7</v>
      </c>
    </row>
    <row r="26424" customFormat="false" ht="15" hidden="false" customHeight="false" outlineLevel="0" collapsed="false">
      <c r="A26424" s="24" t="s">
        <v>395</v>
      </c>
      <c r="B26424" s="25"/>
      <c r="C26424" s="25"/>
      <c r="D26424" s="25"/>
      <c r="E26424" s="25"/>
      <c r="F26424" s="25"/>
      <c r="G26424" s="25"/>
      <c r="H26424" s="25"/>
      <c r="I26424" s="25"/>
      <c r="J26424" s="25"/>
      <c r="K26424" s="25"/>
    </row>
    <row r="26425" customFormat="false" ht="15" hidden="false" customHeight="false" outlineLevel="0" collapsed="false">
      <c r="A26425" s="3" t="s">
        <v>325</v>
      </c>
      <c r="G26425" s="16" t="n">
        <f aca="false">F26437</f>
        <v>37.87</v>
      </c>
      <c r="H26425" s="16" t="n">
        <f aca="false">G26437</f>
        <v>122.9474204</v>
      </c>
      <c r="I26425" s="16" t="n">
        <f aca="false">H26437</f>
        <v>0</v>
      </c>
      <c r="J26425" s="16" t="n">
        <f aca="false">I26437</f>
        <v>-70.8793844172995</v>
      </c>
      <c r="K26425" s="16" t="n">
        <f aca="false">J26437</f>
        <v>-137.895771657719</v>
      </c>
    </row>
    <row r="26426" customFormat="false" ht="15" hidden="false" customHeight="false" outlineLevel="0" collapsed="false">
      <c r="A26426" s="3" t="s">
        <v>396</v>
      </c>
      <c r="G26426" s="16" t="n">
        <f aca="false">G26236</f>
        <v>-60.9225796</v>
      </c>
      <c r="H26426" s="16" t="n">
        <f aca="false">H26236</f>
        <v>-70.393778281</v>
      </c>
      <c r="I26426" s="16" t="n">
        <f aca="false">I26236</f>
        <v>-66.8793844172995</v>
      </c>
      <c r="J26426" s="16" t="n">
        <f aca="false">J26236</f>
        <v>-63.0163872404195</v>
      </c>
      <c r="K26426" s="16" t="n">
        <f aca="false">K26236</f>
        <v>-59.0959158342138</v>
      </c>
    </row>
    <row r="26427" customFormat="false" ht="15" hidden="false" customHeight="false" outlineLevel="0" collapsed="false">
      <c r="A26427" s="3" t="s">
        <v>397</v>
      </c>
      <c r="G26427" s="16" t="n">
        <f aca="false">CHOOSE($C$26206,Assumptions!$G$82,Assumptions!$G$101,Assumptions!$G$120)</f>
        <v>150</v>
      </c>
      <c r="H26427" s="16" t="n">
        <f aca="false">CHOOSE($C$26206,Assumptions!$H$82,Assumptions!$H$101,Assumptions!$H$120)</f>
        <v>0</v>
      </c>
      <c r="I26427" s="16" t="n">
        <f aca="false">CHOOSE($C$26206,Assumptions!$I$82,Assumptions!$I$101,Assumptions!$I$120)</f>
        <v>0</v>
      </c>
      <c r="J26427" s="16" t="n">
        <f aca="false">CHOOSE($C$26206,Assumptions!$J$82,Assumptions!$J$101,Assumptions!$J$120)</f>
        <v>0</v>
      </c>
      <c r="K26427" s="16" t="n">
        <f aca="false">CHOOSE($C$26206,Assumptions!$K$82,Assumptions!$K$101,Assumptions!$K$120)</f>
        <v>0</v>
      </c>
    </row>
    <row r="26428" customFormat="false" ht="15" hidden="false" customHeight="false" outlineLevel="0" collapsed="false">
      <c r="A26428" s="3" t="s">
        <v>398</v>
      </c>
      <c r="G26428" s="16" t="n">
        <f aca="false">G26255+G26268+G26281+G26294+G26307+G26320+G26333+G26346+G26359+G26372</f>
        <v>4</v>
      </c>
      <c r="H26428" s="16" t="n">
        <f aca="false">H26255+H26268+H26281+H26294+H26307+H26320+H26333+H26346+H26359+H26372</f>
        <v>4</v>
      </c>
      <c r="I26428" s="16" t="n">
        <f aca="false">I26255+I26268+I26281+I26294+I26307+I26320+I26333+I26346+I26359+I26372</f>
        <v>4</v>
      </c>
      <c r="J26428" s="16" t="n">
        <f aca="false">J26255+J26268+J26281+J26294+J26307+J26320+J26333+J26346+J26359+J26372</f>
        <v>4</v>
      </c>
      <c r="K26428" s="16" t="n">
        <f aca="false">K26255+K26268+K26281+K26294+K26307+K26320+K26333+K26346+K26359+K26372</f>
        <v>4</v>
      </c>
    </row>
    <row r="26429" customFormat="false" ht="15" hidden="false" customHeight="false" outlineLevel="0" collapsed="false">
      <c r="A26429" s="2" t="s">
        <v>399</v>
      </c>
      <c r="G26429" s="17" t="n">
        <f aca="false">G26425+G26426+G26427-G26428</f>
        <v>122.9474204</v>
      </c>
      <c r="H26429" s="17" t="n">
        <f aca="false">H26425+H26426+H26427-H26428</f>
        <v>48.553642119</v>
      </c>
      <c r="I26429" s="17" t="n">
        <f aca="false">I26425+I26426+I26427-I26428</f>
        <v>-70.8793844172995</v>
      </c>
      <c r="J26429" s="17" t="n">
        <f aca="false">J26425+J26426+J26427-J26428</f>
        <v>-137.895771657719</v>
      </c>
      <c r="K26429" s="17" t="n">
        <f aca="false">K26425+K26426+K26427-K26428</f>
        <v>-200.991687491933</v>
      </c>
    </row>
    <row r="26430" customFormat="false" ht="15" hidden="false" customHeight="false" outlineLevel="0" collapsed="false">
      <c r="A26430" s="3" t="s">
        <v>400</v>
      </c>
      <c r="G26430" s="16" t="n">
        <f aca="false">G26256+G26269+G26282+G26295+G26308+G26321+G26334+G26347+G26360+G26373</f>
        <v>0</v>
      </c>
      <c r="H26430" s="16" t="n">
        <f aca="false">H26256+H26269+H26282+H26295+H26308+H26321+H26334+H26347+H26360+H26373</f>
        <v>0</v>
      </c>
      <c r="I26430" s="16" t="n">
        <f aca="false">I26256+I26269+I26282+I26295+I26308+I26321+I26334+I26347+I26360+I26373</f>
        <v>0</v>
      </c>
      <c r="J26430" s="16" t="n">
        <f aca="false">J26256+J26269+J26282+J26295+J26308+J26321+J26334+J26347+J26360+J26373</f>
        <v>0</v>
      </c>
      <c r="K26430" s="16" t="n">
        <f aca="false">K26256+K26269+K26282+K26295+K26308+K26321+K26334+K26347+K26360+K26373</f>
        <v>0</v>
      </c>
    </row>
    <row r="26431" customFormat="false" ht="15" hidden="false" customHeight="false" outlineLevel="0" collapsed="false">
      <c r="A26431" s="2" t="s">
        <v>401</v>
      </c>
      <c r="G26431" s="17" t="n">
        <f aca="false">G26429+G26430</f>
        <v>122.9474204</v>
      </c>
      <c r="H26431" s="17" t="n">
        <f aca="false">H26429+H26430</f>
        <v>48.553642119</v>
      </c>
      <c r="I26431" s="17" t="n">
        <f aca="false">I26429+I26430</f>
        <v>-70.8793844172995</v>
      </c>
      <c r="J26431" s="17" t="n">
        <f aca="false">J26429+J26430</f>
        <v>-137.895771657719</v>
      </c>
      <c r="K26431" s="17" t="n">
        <f aca="false">K26429+K26430</f>
        <v>-200.991687491933</v>
      </c>
    </row>
    <row r="26432" customFormat="false" ht="15" hidden="false" customHeight="false" outlineLevel="0" collapsed="false">
      <c r="A26432" s="3" t="s">
        <v>402</v>
      </c>
      <c r="G26432" s="16" t="n">
        <f aca="false">G26257+G26270+G26283+G26296+G26309+G26322+G26335+G26348+G26361+G26374</f>
        <v>0</v>
      </c>
      <c r="H26432" s="16" t="n">
        <f aca="false">H26257+H26270+H26283+H26296+H26309+H26322+H26335+H26348+H26361+H26374</f>
        <v>48.553642119</v>
      </c>
      <c r="I26432" s="16" t="n">
        <f aca="false">I26257+I26270+I26283+I26296+I26309+I26322+I26335+I26348+I26361+I26374</f>
        <v>0</v>
      </c>
      <c r="J26432" s="16" t="n">
        <f aca="false">J26257+J26270+J26283+J26296+J26309+J26322+J26335+J26348+J26361+J26374</f>
        <v>0</v>
      </c>
      <c r="K26432" s="16" t="n">
        <f aca="false">K26257+K26270+K26283+K26296+K26309+K26322+K26335+K26348+K26361+K26374</f>
        <v>0</v>
      </c>
    </row>
    <row r="26433" customFormat="false" ht="15" hidden="false" customHeight="false" outlineLevel="0" collapsed="false">
      <c r="A26433" s="2" t="s">
        <v>403</v>
      </c>
      <c r="G26433" s="17" t="n">
        <f aca="false">G26431-G26432</f>
        <v>122.9474204</v>
      </c>
      <c r="H26433" s="17" t="n">
        <f aca="false">H26431-H26432</f>
        <v>0</v>
      </c>
      <c r="I26433" s="17" t="n">
        <f aca="false">I26431-I26432</f>
        <v>-70.8793844172995</v>
      </c>
      <c r="J26433" s="17" t="n">
        <f aca="false">J26431-J26432</f>
        <v>-137.895771657719</v>
      </c>
      <c r="K26433" s="17" t="n">
        <f aca="false">K26431-K26432</f>
        <v>-200.991687491933</v>
      </c>
    </row>
    <row r="26434" customFormat="false" ht="15" hidden="false" customHeight="false" outlineLevel="0" collapsed="false">
      <c r="A26434" s="3" t="s">
        <v>404</v>
      </c>
      <c r="G26434" s="16" t="n">
        <f aca="false">MAX(0,-G26433)</f>
        <v>0</v>
      </c>
      <c r="H26434" s="16" t="n">
        <f aca="false">MAX(0,-H26433)</f>
        <v>-0</v>
      </c>
      <c r="I26434" s="16" t="n">
        <f aca="false">MAX(0,-I26433)</f>
        <v>70.8793844172995</v>
      </c>
      <c r="J26434" s="16" t="n">
        <f aca="false">MAX(0,-J26433)</f>
        <v>137.895771657719</v>
      </c>
      <c r="K26434" s="16" t="n">
        <f aca="false">MAX(0,-K26433)</f>
        <v>200.991687491933</v>
      </c>
    </row>
    <row r="26435" customFormat="false" ht="15" hidden="false" customHeight="false" outlineLevel="0" collapsed="false">
      <c r="A26435" s="3" t="s">
        <v>405</v>
      </c>
      <c r="G26435" s="16" t="n">
        <f aca="false">MAX(0,G26433-Assumptions!$C$12)*Assumptions!$C$13</f>
        <v>0</v>
      </c>
      <c r="H26435" s="16" t="n">
        <f aca="false">MAX(0,H26433-Assumptions!$C$12)*Assumptions!$C$13</f>
        <v>0</v>
      </c>
      <c r="I26435" s="16" t="n">
        <f aca="false">MAX(0,I26433-Assumptions!$C$12)*Assumptions!$C$13</f>
        <v>0</v>
      </c>
      <c r="J26435" s="16" t="n">
        <f aca="false">MAX(0,J26433-Assumptions!$C$12)*Assumptions!$C$13</f>
        <v>0</v>
      </c>
      <c r="K26435" s="16" t="n">
        <f aca="false">MAX(0,K26433-Assumptions!$C$12)*Assumptions!$C$13</f>
        <v>0</v>
      </c>
    </row>
    <row r="26436" customFormat="false" ht="15" hidden="false" customHeight="false" outlineLevel="0" collapsed="false">
      <c r="A26436" s="3" t="s">
        <v>406</v>
      </c>
      <c r="G26436" s="16" t="n">
        <f aca="false">G26258+G26271+G26284+G26297+G26310+G26323+G26336+G26349+G26362+G26375</f>
        <v>0</v>
      </c>
      <c r="H26436" s="16" t="n">
        <f aca="false">H26258+H26271+H26284+H26297+H26310+H26323+H26336+H26349+H26362+H26375</f>
        <v>0</v>
      </c>
      <c r="I26436" s="16" t="n">
        <f aca="false">I26258+I26271+I26284+I26297+I26310+I26323+I26336+I26349+I26362+I26375</f>
        <v>0</v>
      </c>
      <c r="J26436" s="16" t="n">
        <f aca="false">J26258+J26271+J26284+J26297+J26310+J26323+J26336+J26349+J26362+J26375</f>
        <v>0</v>
      </c>
      <c r="K26436" s="16" t="n">
        <f aca="false">K26258+K26271+K26284+K26297+K26310+K26323+K26336+K26349+K26362+K26375</f>
        <v>0</v>
      </c>
    </row>
    <row r="26437" customFormat="false" ht="15" hidden="false" customHeight="false" outlineLevel="0" collapsed="false">
      <c r="A26437" s="2" t="s">
        <v>407</v>
      </c>
      <c r="F26437" s="28" t="n">
        <f aca="false">Assumptions!$C$11</f>
        <v>37.87</v>
      </c>
      <c r="G26437" s="17" t="n">
        <f aca="false">G26433-G26436</f>
        <v>122.9474204</v>
      </c>
      <c r="H26437" s="17" t="n">
        <f aca="false">H26433-H26436</f>
        <v>0</v>
      </c>
      <c r="I26437" s="17" t="n">
        <f aca="false">I26433-I26436</f>
        <v>-70.8793844172995</v>
      </c>
      <c r="J26437" s="17" t="n">
        <f aca="false">J26433-J26436</f>
        <v>-137.895771657719</v>
      </c>
      <c r="K26437" s="17" t="n">
        <f aca="false">K26433-K26436</f>
        <v>-200.991687491933</v>
      </c>
    </row>
    <row r="26438" customFormat="false" ht="15" hidden="false" customHeight="false" outlineLevel="0" collapsed="false">
      <c r="A26438" s="3" t="s">
        <v>408</v>
      </c>
      <c r="G26438" s="16" t="n">
        <f aca="false">G26259+G26272+G26285+G26298+G26311+G26324+G26337+G26350+G26363+G26376</f>
        <v>0</v>
      </c>
      <c r="H26438" s="16" t="n">
        <f aca="false">H26259+H26272+H26285+H26298+H26311+H26324+H26337+H26350+H26363+H26376</f>
        <v>751.446357881</v>
      </c>
      <c r="I26438" s="16" t="n">
        <f aca="false">I26259+I26272+I26285+I26298+I26311+I26324+I26337+I26350+I26363+I26376</f>
        <v>550</v>
      </c>
      <c r="J26438" s="16" t="n">
        <f aca="false">J26259+J26272+J26285+J26298+J26311+J26324+J26337+J26350+J26363+J26376</f>
        <v>350</v>
      </c>
      <c r="K26438" s="16" t="n">
        <f aca="false">K26259+K26272+K26285+K26298+K26311+K26324+K26337+K26350+K26363+K26376</f>
        <v>680</v>
      </c>
    </row>
    <row r="26439" customFormat="false" ht="15" hidden="false" customHeight="false" outlineLevel="0" collapsed="false">
      <c r="A26439" s="3" t="s">
        <v>409</v>
      </c>
      <c r="G26439" s="21" t="n">
        <f aca="false">IF(OR(G26434&gt;0.001,G26438&gt;0.001),1,0)</f>
        <v>0</v>
      </c>
      <c r="H26439" s="21" t="n">
        <f aca="false">IF(OR(H26434&gt;0.001,H26438&gt;0.001),1,0)</f>
        <v>1</v>
      </c>
      <c r="I26439" s="21" t="n">
        <f aca="false">IF(OR(I26434&gt;0.001,I26438&gt;0.001),1,0)</f>
        <v>1</v>
      </c>
      <c r="J26439" s="21" t="n">
        <f aca="false">IF(OR(J26434&gt;0.001,J26438&gt;0.001),1,0)</f>
        <v>1</v>
      </c>
      <c r="K26439" s="21" t="n">
        <f aca="false">IF(OR(K26434&gt;0.001,K26438&gt;0.001),1,0)</f>
        <v>1</v>
      </c>
    </row>
    <row r="26440" customFormat="false" ht="15" hidden="false" customHeight="false" outlineLevel="0" collapsed="false">
      <c r="A26440" s="3" t="s">
        <v>410</v>
      </c>
      <c r="G26440" s="21" t="n">
        <f aca="false">IF(G26439=1,1,0)</f>
        <v>0</v>
      </c>
      <c r="H26440" s="21" t="n">
        <f aca="false">IF(AND(H26439=1,SUM($G$26439:G26439)=0),1,0)</f>
        <v>1</v>
      </c>
      <c r="I26440" s="21" t="n">
        <f aca="false">IF(AND(I26439=1,SUM($G$26439:H26439)=0),1,0)</f>
        <v>0</v>
      </c>
      <c r="J26440" s="21" t="n">
        <f aca="false">IF(AND(J26439=1,SUM($G$26439:I26439)=0),1,0)</f>
        <v>0</v>
      </c>
      <c r="K26440" s="21" t="n">
        <f aca="false">IF(AND(K26439=1,SUM($G$26439:J26439)=0),1,0)</f>
        <v>0</v>
      </c>
    </row>
    <row r="26441" customFormat="false" ht="15" hidden="false" customHeight="false" outlineLevel="0" collapsed="false">
      <c r="A26441" s="3" t="s">
        <v>411</v>
      </c>
      <c r="G26441" s="16" t="n">
        <f aca="false">(G26379-F26379)-(G26430+G26228-G26428-G26432-G26436)</f>
        <v>0</v>
      </c>
      <c r="H26441" s="16" t="n">
        <f aca="false">(H26379-G26379)-(H26430+H26228-H26428-H26432-H26436)</f>
        <v>-3.83693077310454E-013</v>
      </c>
      <c r="I26441" s="16" t="n">
        <f aca="false">(I26379-H26379)-(I26430+I26228-I26428-I26432-I26436)</f>
        <v>0</v>
      </c>
      <c r="J26441" s="16" t="n">
        <f aca="false">(J26379-I26379)-(J26430+J26228-J26428-J26432-J26436)</f>
        <v>0</v>
      </c>
      <c r="K26441" s="16" t="n">
        <f aca="false">(K26379-J26379)-(K26430+K26228-K26428-K26432-K26436)</f>
        <v>0</v>
      </c>
    </row>
    <row r="26443" customFormat="false" ht="15" hidden="false" customHeight="false" outlineLevel="0" collapsed="false">
      <c r="A26443" s="24" t="s">
        <v>413</v>
      </c>
      <c r="B26443" s="25"/>
      <c r="C26443" s="25"/>
      <c r="D26443" s="25"/>
      <c r="E26443" s="25"/>
      <c r="F26443" s="25"/>
      <c r="G26443" s="25"/>
      <c r="H26443" s="25"/>
      <c r="I26443" s="25"/>
      <c r="J26443" s="25"/>
      <c r="K26443" s="25"/>
    </row>
    <row r="26444" customFormat="false" ht="15" hidden="false" customHeight="false" outlineLevel="0" collapsed="false">
      <c r="A26444" s="3" t="s">
        <v>414</v>
      </c>
      <c r="G26444" s="16" t="n">
        <f aca="false">G26379</f>
        <v>2621.934</v>
      </c>
      <c r="H26444" s="16" t="n">
        <f aca="false">H26379</f>
        <v>2569.380357881</v>
      </c>
      <c r="I26444" s="16" t="n">
        <f aca="false">I26379</f>
        <v>2565.380357881</v>
      </c>
      <c r="J26444" s="16" t="n">
        <f aca="false">J26379</f>
        <v>2561.380357881</v>
      </c>
      <c r="K26444" s="16" t="n">
        <f aca="false">K26379</f>
        <v>2557.380357881</v>
      </c>
    </row>
    <row r="26445" customFormat="false" ht="15" hidden="false" customHeight="false" outlineLevel="0" collapsed="false">
      <c r="A26445" s="3" t="s">
        <v>415</v>
      </c>
      <c r="G26445" s="16" t="n">
        <f aca="false">Assumptions!$O$57*G26260+Assumptions!$O$58*G26273+Assumptions!$O$59*G26286+Assumptions!$O$60*G26299+Assumptions!$O$61*G26312+Assumptions!$O$62*G26325+Assumptions!$O$63*G26338+Assumptions!$O$64*G26351+Assumptions!$O$65*G26364+Assumptions!$O$66*G26377</f>
        <v>543.324</v>
      </c>
      <c r="H26445" s="16" t="n">
        <f aca="false">Assumptions!$O$57*H26260+Assumptions!$O$58*H26273+Assumptions!$O$59*H26286+Assumptions!$O$60*H26299+Assumptions!$O$61*H26312+Assumptions!$O$62*H26325+Assumptions!$O$63*H26338+Assumptions!$O$64*H26351+Assumptions!$O$65*H26364+Assumptions!$O$66*H26377</f>
        <v>539.324</v>
      </c>
      <c r="I26445" s="16" t="n">
        <f aca="false">Assumptions!$O$57*I26260+Assumptions!$O$58*I26273+Assumptions!$O$59*I26286+Assumptions!$O$60*I26299+Assumptions!$O$61*I26312+Assumptions!$O$62*I26325+Assumptions!$O$63*I26338+Assumptions!$O$64*I26351+Assumptions!$O$65*I26364+Assumptions!$O$66*I26377</f>
        <v>535.324</v>
      </c>
      <c r="J26445" s="16" t="n">
        <f aca="false">Assumptions!$O$57*J26260+Assumptions!$O$58*J26273+Assumptions!$O$59*J26286+Assumptions!$O$60*J26299+Assumptions!$O$61*J26312+Assumptions!$O$62*J26325+Assumptions!$O$63*J26338+Assumptions!$O$64*J26351+Assumptions!$O$65*J26364+Assumptions!$O$66*J26377</f>
        <v>531.324</v>
      </c>
      <c r="K26445" s="16" t="n">
        <f aca="false">Assumptions!$O$57*K26260+Assumptions!$O$58*K26273+Assumptions!$O$59*K26286+Assumptions!$O$60*K26299+Assumptions!$O$61*K26312+Assumptions!$O$62*K26325+Assumptions!$O$63*K26338+Assumptions!$O$64*K26351+Assumptions!$O$65*K26364+Assumptions!$O$66*K26377</f>
        <v>527.324</v>
      </c>
    </row>
    <row r="26446" customFormat="false" ht="15" hidden="false" customHeight="false" outlineLevel="0" collapsed="false">
      <c r="A26446" s="3" t="s">
        <v>416</v>
      </c>
      <c r="G26446" s="16" t="n">
        <f aca="false">G26444-G26437</f>
        <v>2498.9865796</v>
      </c>
      <c r="H26446" s="16" t="n">
        <f aca="false">H26444-H26437</f>
        <v>2569.380357881</v>
      </c>
      <c r="I26446" s="16" t="n">
        <f aca="false">I26444-I26437</f>
        <v>2636.2597422983</v>
      </c>
      <c r="J26446" s="16" t="n">
        <f aca="false">J26444-J26437</f>
        <v>2699.27612953872</v>
      </c>
      <c r="K26446" s="16" t="n">
        <f aca="false">K26444-K26437</f>
        <v>2758.37204537293</v>
      </c>
    </row>
    <row r="26447" customFormat="false" ht="15" hidden="false" customHeight="false" outlineLevel="0" collapsed="false">
      <c r="A26447" s="3" t="s">
        <v>417</v>
      </c>
      <c r="G26447" s="32" t="n">
        <f aca="false">IF(G26223&gt;0,G26444/G26223,0)</f>
        <v>11.1954319438308</v>
      </c>
      <c r="H26447" s="32" t="n">
        <f aca="false">IF(H26223&gt;0,H26444/H26223,0)</f>
        <v>11.6601471215067</v>
      </c>
      <c r="I26447" s="32" t="n">
        <f aca="false">IF(I26223&gt;0,I26444/I26223,0)</f>
        <v>11.6419946559354</v>
      </c>
      <c r="J26447" s="32" t="n">
        <f aca="false">IF(J26223&gt;0,J26444/J26223,0)</f>
        <v>11.3913183720481</v>
      </c>
      <c r="K26447" s="32" t="n">
        <f aca="false">IF(K26223&gt;0,K26444/K26223,0)</f>
        <v>11.14717316588</v>
      </c>
    </row>
    <row r="26448" customFormat="false" ht="15" hidden="false" customHeight="false" outlineLevel="0" collapsed="false">
      <c r="A26448" s="3" t="s">
        <v>418</v>
      </c>
      <c r="G26448" s="32" t="n">
        <f aca="false">IF(G26223&gt;0,G26446/G26223,0)</f>
        <v>10.6704570673626</v>
      </c>
      <c r="H26448" s="32" t="n">
        <f aca="false">IF(H26223&gt;0,H26446/H26223,0)</f>
        <v>11.6601471215067</v>
      </c>
      <c r="I26448" s="32" t="n">
        <f aca="false">IF(I26223&gt;0,I26446/I26223,0)</f>
        <v>11.9636535522731</v>
      </c>
      <c r="J26448" s="32" t="n">
        <f aca="false">IF(J26223&gt;0,J26446/J26223,0)</f>
        <v>12.0045871637288</v>
      </c>
      <c r="K26448" s="32" t="n">
        <f aca="false">IF(K26223&gt;0,K26446/K26223,0)</f>
        <v>12.0232607366907</v>
      </c>
    </row>
    <row r="26449" customFormat="false" ht="15" hidden="false" customHeight="false" outlineLevel="0" collapsed="false">
      <c r="A26449" s="3" t="s">
        <v>419</v>
      </c>
      <c r="G26449" s="32" t="n">
        <f aca="false">IF(G26227&gt;0,G26223/G26227,0)</f>
        <v>1.24979041307388</v>
      </c>
      <c r="H26449" s="32" t="n">
        <f aca="false">IF(H26227&gt;0,H26223/H26227,0)</f>
        <v>1.18311222526984</v>
      </c>
      <c r="I26449" s="32" t="n">
        <f aca="false">IF(I26227&gt;0,I26223/I26227,0)</f>
        <v>1.20586587186349</v>
      </c>
      <c r="J26449" s="32" t="n">
        <f aca="false">IF(J26227&gt;0,J26223/J26227,0)</f>
        <v>1.23324745076441</v>
      </c>
      <c r="K26449" s="32" t="n">
        <f aca="false">IF(K26227&gt;0,K26223/K26227,0)</f>
        <v>1.26112583435714</v>
      </c>
    </row>
    <row r="26450" customFormat="false" ht="15" hidden="false" customHeight="false" outlineLevel="0" collapsed="false">
      <c r="A26450" s="3" t="s">
        <v>420</v>
      </c>
      <c r="G26450" s="32" t="n">
        <f aca="false">IF(G26227&gt;0,G26226/G26227,0)</f>
        <v>0.320303767681135</v>
      </c>
      <c r="H26450" s="32" t="n">
        <f aca="false">IF(H26227&gt;0,H26226/H26227,0)</f>
        <v>0.27600176891797</v>
      </c>
      <c r="I26450" s="32" t="n">
        <f aca="false">IF(I26227&gt;0,I26226/I26227,0)</f>
        <v>0.281309842467585</v>
      </c>
      <c r="J26450" s="32" t="n">
        <f aca="false">IF(J26227&gt;0,J26226/J26227,0)</f>
        <v>0.297346009456427</v>
      </c>
      <c r="K26450" s="32" t="n">
        <f aca="false">IF(K26227&gt;0,K26226/K26227,0)</f>
        <v>0.313734968638568</v>
      </c>
    </row>
    <row r="26451" customFormat="false" ht="15" hidden="false" customHeight="false" outlineLevel="0" collapsed="false">
      <c r="A26451" s="3" t="s">
        <v>213</v>
      </c>
      <c r="G26451" s="22" t="n">
        <f aca="false">IF(G26444&gt;0,G26236/G26444,0)</f>
        <v>-0.0232357410979834</v>
      </c>
      <c r="H26451" s="22" t="n">
        <f aca="false">IF(H26444&gt;0,H26236/H26444,0)</f>
        <v>-0.0273971808280867</v>
      </c>
      <c r="I26451" s="22" t="n">
        <f aca="false">IF(I26444&gt;0,I26236/I26444,0)</f>
        <v>-0.0260699682258976</v>
      </c>
      <c r="J26451" s="22" t="n">
        <f aca="false">IF(J26444&gt;0,J26236/J26444,0)</f>
        <v>-0.0246025105355896</v>
      </c>
      <c r="K26451" s="22" t="n">
        <f aca="false">IF(K26444&gt;0,K26236/K26444,0)</f>
        <v>-0.0231079884742603</v>
      </c>
    </row>
    <row r="26452" customFormat="false" ht="15" hidden="false" customHeight="false" outlineLevel="0" collapsed="false">
      <c r="A26452" s="3" t="s">
        <v>421</v>
      </c>
      <c r="G26452" s="32" t="n">
        <f aca="false">IF(G26227+G26428&gt;0,(G26223-G26234-G26231)/(G26227+G26428),0)</f>
        <v>0.783148779220797</v>
      </c>
      <c r="H26452" s="32" t="n">
        <f aca="false">IF(H26227+H26428&gt;0,(H26223-H26234-H26231)/(H26227+H26428),0)</f>
        <v>0.728376128313333</v>
      </c>
      <c r="I26452" s="32" t="n">
        <f aca="false">IF(I26227+I26428&gt;0,(I26223-I26234-I26231)/(I26227+I26428),0)</f>
        <v>0.742084215548814</v>
      </c>
      <c r="J26452" s="32" t="n">
        <f aca="false">IF(J26227+J26428&gt;0,(J26223-J26234-J26231)/(J26227+J26428),0)</f>
        <v>0.763468302110309</v>
      </c>
      <c r="K26452" s="32" t="n">
        <f aca="false">IF(K26227+K26428&gt;0,(K26223-K26234-K26231)/(K26227+K26428),0)</f>
        <v>0.785268063869781</v>
      </c>
    </row>
    <row r="26453" customFormat="false" ht="15" hidden="false" customHeight="false" outlineLevel="0" collapsed="false">
      <c r="A26453" s="3" t="s">
        <v>422</v>
      </c>
      <c r="G26453" s="16" t="n">
        <f aca="false">MAX(0,G26437)+Assumptions!$P$57*MAX(0,Assumptions!$D$57-G26260)+Assumptions!$P$58*MAX(0,Assumptions!$D$58-G26273)+Assumptions!$P$59*MAX(0,Assumptions!$D$59-G26286)+Assumptions!$P$60*MAX(0,Assumptions!$D$60-G26299)+Assumptions!$P$61*MAX(0,Assumptions!$D$61-G26312)+Assumptions!$P$62*MAX(0,Assumptions!$D$62-G26325)+Assumptions!$P$63*MAX(0,Assumptions!$D$63-G26338)+Assumptions!$P$64*MAX(0,Assumptions!$D$64-G26351)+Assumptions!$P$65*MAX(0,Assumptions!$D$65-G26364)+Assumptions!$P$66*MAX(0,Assumptions!$D$66-G26377)</f>
        <v>697.4474204</v>
      </c>
      <c r="H26453" s="16" t="n">
        <f aca="false">MAX(0,H26437)+Assumptions!$P$57*MAX(0,Assumptions!$D$57-H26260)+Assumptions!$P$58*MAX(0,Assumptions!$D$58-H26273)+Assumptions!$P$59*MAX(0,Assumptions!$D$59-H26286)+Assumptions!$P$60*MAX(0,Assumptions!$D$60-H26299)+Assumptions!$P$61*MAX(0,Assumptions!$D$61-H26312)+Assumptions!$P$62*MAX(0,Assumptions!$D$62-H26325)+Assumptions!$P$63*MAX(0,Assumptions!$D$63-H26338)+Assumptions!$P$64*MAX(0,Assumptions!$D$64-H26351)+Assumptions!$P$65*MAX(0,Assumptions!$D$65-H26364)+Assumptions!$P$66*MAX(0,Assumptions!$D$66-H26377)</f>
        <v>574.5</v>
      </c>
      <c r="I26453" s="16" t="n">
        <f aca="false">MAX(0,I26437)+Assumptions!$P$57*MAX(0,Assumptions!$D$57-I26260)+Assumptions!$P$58*MAX(0,Assumptions!$D$58-I26273)+Assumptions!$P$59*MAX(0,Assumptions!$D$59-I26286)+Assumptions!$P$60*MAX(0,Assumptions!$D$60-I26299)+Assumptions!$P$61*MAX(0,Assumptions!$D$61-I26312)+Assumptions!$P$62*MAX(0,Assumptions!$D$62-I26325)+Assumptions!$P$63*MAX(0,Assumptions!$D$63-I26338)+Assumptions!$P$64*MAX(0,Assumptions!$D$64-I26351)+Assumptions!$P$65*MAX(0,Assumptions!$D$65-I26364)+Assumptions!$P$66*MAX(0,Assumptions!$D$66-I26377)</f>
        <v>574.5</v>
      </c>
      <c r="J26453" s="16" t="n">
        <f aca="false">MAX(0,J26437)+Assumptions!$P$57*MAX(0,Assumptions!$D$57-J26260)+Assumptions!$P$58*MAX(0,Assumptions!$D$58-J26273)+Assumptions!$P$59*MAX(0,Assumptions!$D$59-J26286)+Assumptions!$P$60*MAX(0,Assumptions!$D$60-J26299)+Assumptions!$P$61*MAX(0,Assumptions!$D$61-J26312)+Assumptions!$P$62*MAX(0,Assumptions!$D$62-J26325)+Assumptions!$P$63*MAX(0,Assumptions!$D$63-J26338)+Assumptions!$P$64*MAX(0,Assumptions!$D$64-J26351)+Assumptions!$P$65*MAX(0,Assumptions!$D$65-J26364)+Assumptions!$P$66*MAX(0,Assumptions!$D$66-J26377)</f>
        <v>574.5</v>
      </c>
      <c r="K26453" s="16" t="n">
        <f aca="false">MAX(0,K26437)+Assumptions!$P$57*MAX(0,Assumptions!$D$57-K26260)+Assumptions!$P$58*MAX(0,Assumptions!$D$58-K26273)+Assumptions!$P$59*MAX(0,Assumptions!$D$59-K26286)+Assumptions!$P$60*MAX(0,Assumptions!$D$60-K26299)+Assumptions!$P$61*MAX(0,Assumptions!$D$61-K26312)+Assumptions!$P$62*MAX(0,Assumptions!$D$62-K26325)+Assumptions!$P$63*MAX(0,Assumptions!$D$63-K26338)+Assumptions!$P$64*MAX(0,Assumptions!$D$64-K26351)+Assumptions!$P$65*MAX(0,Assumptions!$D$65-K26364)+Assumptions!$P$66*MAX(0,Assumptions!$D$66-K26377)</f>
        <v>574.5</v>
      </c>
    </row>
    <row r="26454" customFormat="false" ht="15" hidden="false" customHeight="false" outlineLevel="0" collapsed="false">
      <c r="A26454" s="3" t="s">
        <v>423</v>
      </c>
      <c r="G26454" s="22" t="n">
        <f aca="false">IF(G26444&gt;0,G26444/(G26444+MAX(0,G26223*CHOOSE($C$26206,Assumptions!$C$90,Assumptions!$C$109,Assumptions!$C$128)-G26446)),0)</f>
        <v>0.971406190801315</v>
      </c>
      <c r="H26454" s="22" t="n">
        <f aca="false">IF(H26444&gt;0,H26444/(H26444+MAX(0,H26223*CHOOSE($C$26206,Assumptions!$C$90,Assumptions!$C$109,Assumptions!$C$128)-H26446)),0)</f>
        <v>1</v>
      </c>
      <c r="I26454" s="22" t="n">
        <f aca="false">IF(I26444&gt;0,I26444/(I26444+MAX(0,I26223*CHOOSE($C$26206,Assumptions!$C$90,Assumptions!$C$109,Assumptions!$C$128)-I26446)),0)</f>
        <v>1</v>
      </c>
      <c r="J26454" s="22" t="n">
        <f aca="false">IF(J26444&gt;0,J26444/(J26444+MAX(0,J26223*CHOOSE($C$26206,Assumptions!$C$90,Assumptions!$C$109,Assumptions!$C$128)-J26446)),0)</f>
        <v>1</v>
      </c>
      <c r="K26454" s="22" t="n">
        <f aca="false">IF(K26444&gt;0,K26444/(K26444+MAX(0,K26223*CHOOSE($C$26206,Assumptions!$C$90,Assumptions!$C$109,Assumptions!$C$128)-K26446)),0)</f>
        <v>1</v>
      </c>
    </row>
    <row r="26455" customFormat="false" ht="15" hidden="false" customHeight="false" outlineLevel="0" collapsed="false">
      <c r="A26455" s="3" t="s">
        <v>424</v>
      </c>
      <c r="G26455" s="22" t="n">
        <f aca="false">IF(G26444&gt;0,MAX(0,G26437)/G26444,0)</f>
        <v>0.0468918822518034</v>
      </c>
      <c r="H26455" s="22" t="n">
        <f aca="false">IF(H26444&gt;0,MAX(0,H26437)/H26444,0)</f>
        <v>0</v>
      </c>
      <c r="I26455" s="22" t="n">
        <f aca="false">IF(I26444&gt;0,MAX(0,I26437)/I26444,0)</f>
        <v>0</v>
      </c>
      <c r="J26455" s="22" t="n">
        <f aca="false">IF(J26444&gt;0,MAX(0,J26437)/J26444,0)</f>
        <v>0</v>
      </c>
      <c r="K26455" s="22" t="n">
        <f aca="false">IF(K26444&gt;0,MAX(0,K26437)/K26444,0)</f>
        <v>0</v>
      </c>
    </row>
    <row r="26456" customFormat="false" ht="15" hidden="false" customHeight="false" outlineLevel="0" collapsed="false">
      <c r="A26456" s="3" t="s">
        <v>425</v>
      </c>
      <c r="G26456" s="16" t="n">
        <f aca="false">Assumptions!$C$31*(1-CHOOSE($C$26206,Assumptions!$C$93,Assumptions!$C$112,Assumptions!$C$131))</f>
        <v>3840.04556666667</v>
      </c>
      <c r="H26456" s="16" t="n">
        <f aca="false">Assumptions!$C$31*(1-CHOOSE($C$26206,Assumptions!$C$93,Assumptions!$C$112,Assumptions!$C$131))</f>
        <v>3840.04556666667</v>
      </c>
      <c r="I26456" s="16" t="n">
        <f aca="false">Assumptions!$C$31*(1-CHOOSE($C$26206,Assumptions!$C$93,Assumptions!$C$112,Assumptions!$C$131))</f>
        <v>3840.04556666667</v>
      </c>
      <c r="J26456" s="16" t="n">
        <f aca="false">Assumptions!$C$31*(1-CHOOSE($C$26206,Assumptions!$C$93,Assumptions!$C$112,Assumptions!$C$131))</f>
        <v>3840.04556666667</v>
      </c>
      <c r="K26456" s="16" t="n">
        <f aca="false">Assumptions!$C$31*(1-CHOOSE($C$26206,Assumptions!$C$93,Assumptions!$C$112,Assumptions!$C$131))</f>
        <v>3840.04556666667</v>
      </c>
    </row>
    <row r="26457" customFormat="false" ht="15" hidden="false" customHeight="false" outlineLevel="0" collapsed="false">
      <c r="A26457" s="24" t="s">
        <v>426</v>
      </c>
      <c r="B26457" s="25"/>
      <c r="C26457" s="25"/>
      <c r="D26457" s="25"/>
      <c r="E26457" s="25"/>
      <c r="F26457" s="25"/>
      <c r="G26457" s="25"/>
      <c r="H26457" s="25"/>
      <c r="I26457" s="25"/>
      <c r="J26457" s="25"/>
      <c r="K26457" s="25"/>
    </row>
    <row r="26458" customFormat="false" ht="15" hidden="false" customHeight="false" outlineLevel="0" collapsed="false">
      <c r="A26458" s="24" t="s">
        <v>427</v>
      </c>
      <c r="B26458" s="25"/>
      <c r="C26458" s="25"/>
      <c r="D26458" s="25"/>
      <c r="E26458" s="25"/>
      <c r="F26458" s="25"/>
      <c r="G26458" s="25"/>
      <c r="H26458" s="25"/>
      <c r="I26458" s="25"/>
      <c r="J26458" s="25"/>
      <c r="K26458" s="25"/>
    </row>
    <row r="26459" customFormat="false" ht="15" hidden="false" customHeight="false" outlineLevel="0" collapsed="false">
      <c r="A26459" s="3" t="s">
        <v>428</v>
      </c>
      <c r="G26459" s="22" t="n">
        <f aca="false">IF(G26456&gt;0,G26444/G26456,99)</f>
        <v>0.68278721032885</v>
      </c>
      <c r="H26459" s="22" t="n">
        <f aca="false">IF(H26456&gt;0,H26444/H26456,99)</f>
        <v>0.6691015284257</v>
      </c>
      <c r="I26459" s="22" t="n">
        <f aca="false">IF(I26456&gt;0,I26444/I26456,99)</f>
        <v>0.668059874119636</v>
      </c>
      <c r="J26459" s="22" t="n">
        <f aca="false">IF(J26456&gt;0,J26444/J26456,99)</f>
        <v>0.667018219813572</v>
      </c>
      <c r="K26459" s="22" t="n">
        <f aca="false">IF(K26456&gt;0,K26444/K26456,99)</f>
        <v>0.665976565507508</v>
      </c>
    </row>
    <row r="26460" customFormat="false" ht="15" hidden="false" customHeight="false" outlineLevel="0" collapsed="false">
      <c r="A26460" s="3" t="s">
        <v>429</v>
      </c>
      <c r="G26460" s="33" t="n">
        <f aca="false">Assumptions!$G$71</f>
        <v>0.6</v>
      </c>
      <c r="H26460" s="33" t="n">
        <f aca="false">Assumptions!$H$71</f>
        <v>0.6</v>
      </c>
      <c r="I26460" s="33" t="n">
        <f aca="false">Assumptions!$I$71</f>
        <v>0.6</v>
      </c>
      <c r="J26460" s="33" t="n">
        <f aca="false">Assumptions!$J$71</f>
        <v>0.6</v>
      </c>
      <c r="K26460" s="33" t="n">
        <f aca="false">Assumptions!$K$71</f>
        <v>0.6</v>
      </c>
    </row>
    <row r="26461" customFormat="false" ht="15" hidden="false" customHeight="false" outlineLevel="0" collapsed="false">
      <c r="A26461" s="3" t="s">
        <v>430</v>
      </c>
      <c r="G26461" s="22" t="n">
        <f aca="false">G26460-G26459</f>
        <v>-0.0827872103288497</v>
      </c>
      <c r="H26461" s="22" t="n">
        <f aca="false">H26460-H26459</f>
        <v>-0.0691015284256999</v>
      </c>
      <c r="I26461" s="22" t="n">
        <f aca="false">I26460-I26459</f>
        <v>-0.0680598741196361</v>
      </c>
      <c r="J26461" s="22" t="n">
        <f aca="false">J26460-J26459</f>
        <v>-0.0670182198135721</v>
      </c>
      <c r="K26461" s="22" t="n">
        <f aca="false">K26460-K26459</f>
        <v>-0.0659765655075082</v>
      </c>
    </row>
    <row r="26462" customFormat="false" ht="15" hidden="false" customHeight="false" outlineLevel="0" collapsed="false">
      <c r="A26462" s="3" t="s">
        <v>431</v>
      </c>
      <c r="G26462" s="22" t="n">
        <f aca="false">IF(G26460=0,0,G26461/ABS(G26460))</f>
        <v>-0.137978683881416</v>
      </c>
      <c r="H26462" s="22" t="n">
        <f aca="false">IF(H26460=0,0,H26461/ABS(H26460))</f>
        <v>-0.115169214042833</v>
      </c>
      <c r="I26462" s="22" t="n">
        <f aca="false">IF(I26460=0,0,I26461/ABS(I26460))</f>
        <v>-0.113433123532727</v>
      </c>
      <c r="J26462" s="22" t="n">
        <f aca="false">IF(J26460=0,0,J26461/ABS(J26460))</f>
        <v>-0.11169703302262</v>
      </c>
      <c r="K26462" s="22" t="n">
        <f aca="false">IF(K26460=0,0,K26461/ABS(K26460))</f>
        <v>-0.109960942512514</v>
      </c>
    </row>
    <row r="26463" customFormat="false" ht="15" hidden="false" customHeight="false" outlineLevel="0" collapsed="false">
      <c r="A26463" s="3" t="s">
        <v>432</v>
      </c>
      <c r="G26463" s="21" t="n">
        <f aca="false">IF(G26461&lt;0,1,0)</f>
        <v>1</v>
      </c>
      <c r="H26463" s="21" t="n">
        <f aca="false">IF(H26461&lt;0,1,0)</f>
        <v>1</v>
      </c>
      <c r="I26463" s="21" t="n">
        <f aca="false">IF(I26461&lt;0,1,0)</f>
        <v>1</v>
      </c>
      <c r="J26463" s="21" t="n">
        <f aca="false">IF(J26461&lt;0,1,0)</f>
        <v>1</v>
      </c>
      <c r="K26463" s="21" t="n">
        <f aca="false">IF(K26461&lt;0,1,0)</f>
        <v>1</v>
      </c>
    </row>
    <row r="26464" customFormat="false" ht="15" hidden="false" customHeight="false" outlineLevel="0" collapsed="false">
      <c r="A26464" s="3" t="s">
        <v>433</v>
      </c>
      <c r="C26464" s="21" t="n">
        <f aca="false">IFERROR(INDEX($G$26213:$K$26213,MATCH(1,$G$26463:$K$26463,0)),0)</f>
        <v>2027</v>
      </c>
    </row>
    <row r="26465" customFormat="false" ht="15" hidden="false" customHeight="false" outlineLevel="0" collapsed="false">
      <c r="A26465" s="3" t="s">
        <v>434</v>
      </c>
      <c r="C26465" s="22" t="n">
        <f aca="false">MIN($G$26462:$K$26462)</f>
        <v>-0.137978683881416</v>
      </c>
    </row>
    <row r="26466" customFormat="false" ht="15" hidden="false" customHeight="false" outlineLevel="0" collapsed="false">
      <c r="A26466" s="24" t="s">
        <v>435</v>
      </c>
      <c r="B26466" s="25"/>
      <c r="C26466" s="25"/>
      <c r="D26466" s="25"/>
      <c r="E26466" s="25"/>
      <c r="F26466" s="25"/>
      <c r="G26466" s="25"/>
      <c r="H26466" s="25"/>
      <c r="I26466" s="25"/>
      <c r="J26466" s="25"/>
      <c r="K26466" s="25"/>
    </row>
    <row r="26467" customFormat="false" ht="15" hidden="false" customHeight="false" outlineLevel="0" collapsed="false">
      <c r="A26467" s="3" t="s">
        <v>428</v>
      </c>
      <c r="G26467" s="32" t="n">
        <f aca="false">IF(G26227&gt;0,G26223/G26227,99)</f>
        <v>1.24979041307388</v>
      </c>
      <c r="H26467" s="32" t="n">
        <f aca="false">IF(H26227&gt;0,H26223/H26227,99)</f>
        <v>1.18311222526984</v>
      </c>
      <c r="I26467" s="32" t="n">
        <f aca="false">IF(I26227&gt;0,I26223/I26227,99)</f>
        <v>1.20586587186349</v>
      </c>
      <c r="J26467" s="32" t="n">
        <f aca="false">IF(J26227&gt;0,J26223/J26227,99)</f>
        <v>1.23324745076441</v>
      </c>
      <c r="K26467" s="32" t="n">
        <f aca="false">IF(K26227&gt;0,K26223/K26227,99)</f>
        <v>1.26112583435714</v>
      </c>
    </row>
    <row r="26468" customFormat="false" ht="15" hidden="false" customHeight="false" outlineLevel="0" collapsed="false">
      <c r="A26468" s="3" t="s">
        <v>429</v>
      </c>
      <c r="G26468" s="34" t="n">
        <f aca="false">Assumptions!$G$72</f>
        <v>1.5</v>
      </c>
      <c r="H26468" s="34" t="n">
        <f aca="false">Assumptions!$H$72</f>
        <v>1.5</v>
      </c>
      <c r="I26468" s="34" t="n">
        <f aca="false">Assumptions!$I$72</f>
        <v>1.5</v>
      </c>
      <c r="J26468" s="34" t="n">
        <f aca="false">Assumptions!$J$72</f>
        <v>1.5</v>
      </c>
      <c r="K26468" s="34" t="n">
        <f aca="false">Assumptions!$K$72</f>
        <v>1.5</v>
      </c>
    </row>
    <row r="26469" customFormat="false" ht="15" hidden="false" customHeight="false" outlineLevel="0" collapsed="false">
      <c r="A26469" s="3" t="s">
        <v>430</v>
      </c>
      <c r="G26469" s="32" t="n">
        <f aca="false">G26467-G26468</f>
        <v>-0.250209586926116</v>
      </c>
      <c r="H26469" s="32" t="n">
        <f aca="false">H26467-H26468</f>
        <v>-0.316887774730159</v>
      </c>
      <c r="I26469" s="32" t="n">
        <f aca="false">I26467-I26468</f>
        <v>-0.294134128136513</v>
      </c>
      <c r="J26469" s="32" t="n">
        <f aca="false">J26467-J26468</f>
        <v>-0.266752549235595</v>
      </c>
      <c r="K26469" s="32" t="n">
        <f aca="false">K26467-K26468</f>
        <v>-0.238874165642862</v>
      </c>
    </row>
    <row r="26470" customFormat="false" ht="15" hidden="false" customHeight="false" outlineLevel="0" collapsed="false">
      <c r="A26470" s="3" t="s">
        <v>431</v>
      </c>
      <c r="G26470" s="22" t="n">
        <f aca="false">IF(G26468=0,0,G26469/ABS(G26468))</f>
        <v>-0.166806391284078</v>
      </c>
      <c r="H26470" s="22" t="n">
        <f aca="false">IF(H26468=0,0,H26469/ABS(H26468))</f>
        <v>-0.211258516486773</v>
      </c>
      <c r="I26470" s="22" t="n">
        <f aca="false">IF(I26468=0,0,I26469/ABS(I26468))</f>
        <v>-0.196089418757675</v>
      </c>
      <c r="J26470" s="22" t="n">
        <f aca="false">IF(J26468=0,0,J26469/ABS(J26468))</f>
        <v>-0.17783503282373</v>
      </c>
      <c r="K26470" s="22" t="n">
        <f aca="false">IF(K26468=0,0,K26469/ABS(K26468))</f>
        <v>-0.159249443761908</v>
      </c>
    </row>
    <row r="26471" customFormat="false" ht="15" hidden="false" customHeight="false" outlineLevel="0" collapsed="false">
      <c r="A26471" s="3" t="s">
        <v>432</v>
      </c>
      <c r="G26471" s="21" t="n">
        <f aca="false">IF(G26469&lt;0,1,0)</f>
        <v>1</v>
      </c>
      <c r="H26471" s="21" t="n">
        <f aca="false">IF(H26469&lt;0,1,0)</f>
        <v>1</v>
      </c>
      <c r="I26471" s="21" t="n">
        <f aca="false">IF(I26469&lt;0,1,0)</f>
        <v>1</v>
      </c>
      <c r="J26471" s="21" t="n">
        <f aca="false">IF(J26469&lt;0,1,0)</f>
        <v>1</v>
      </c>
      <c r="K26471" s="21" t="n">
        <f aca="false">IF(K26469&lt;0,1,0)</f>
        <v>1</v>
      </c>
    </row>
    <row r="26472" customFormat="false" ht="15" hidden="false" customHeight="false" outlineLevel="0" collapsed="false">
      <c r="A26472" s="3" t="s">
        <v>433</v>
      </c>
      <c r="C26472" s="21" t="n">
        <f aca="false">IFERROR(INDEX($G$26213:$K$26213,MATCH(1,$G$26471:$K$26471,0)),0)</f>
        <v>2027</v>
      </c>
    </row>
    <row r="26473" customFormat="false" ht="15" hidden="false" customHeight="false" outlineLevel="0" collapsed="false">
      <c r="A26473" s="3" t="s">
        <v>434</v>
      </c>
      <c r="C26473" s="22" t="n">
        <f aca="false">MIN($G$26470:$K$26470)</f>
        <v>-0.211258516486773</v>
      </c>
    </row>
    <row r="26474" customFormat="false" ht="15" hidden="false" customHeight="false" outlineLevel="0" collapsed="false">
      <c r="A26474" s="24" t="s">
        <v>436</v>
      </c>
      <c r="B26474" s="25"/>
      <c r="C26474" s="25"/>
      <c r="D26474" s="25"/>
      <c r="E26474" s="25"/>
      <c r="F26474" s="25"/>
      <c r="G26474" s="25"/>
      <c r="H26474" s="25"/>
      <c r="I26474" s="25"/>
      <c r="J26474" s="25"/>
      <c r="K26474" s="25"/>
    </row>
    <row r="26475" customFormat="false" ht="15" hidden="false" customHeight="false" outlineLevel="0" collapsed="false">
      <c r="A26475" s="3" t="s">
        <v>428</v>
      </c>
      <c r="G26475" s="22" t="n">
        <f aca="false">IF(G26456&gt;0,G26445/G26456,99)</f>
        <v>0.141488946046968</v>
      </c>
      <c r="H26475" s="22" t="n">
        <f aca="false">IF(H26456&gt;0,H26445/H26456,99)</f>
        <v>0.140447291740904</v>
      </c>
      <c r="I26475" s="22" t="n">
        <f aca="false">IF(I26456&gt;0,I26445/I26456,99)</f>
        <v>0.139405637434841</v>
      </c>
      <c r="J26475" s="22" t="n">
        <f aca="false">IF(J26456&gt;0,J26445/J26456,99)</f>
        <v>0.138363983128777</v>
      </c>
      <c r="K26475" s="22" t="n">
        <f aca="false">IF(K26456&gt;0,K26445/K26456,99)</f>
        <v>0.137322328822713</v>
      </c>
    </row>
    <row r="26476" customFormat="false" ht="15" hidden="false" customHeight="false" outlineLevel="0" collapsed="false">
      <c r="A26476" s="3" t="s">
        <v>429</v>
      </c>
      <c r="G26476" s="33" t="n">
        <f aca="false">Assumptions!$G$73</f>
        <v>0.4</v>
      </c>
      <c r="H26476" s="33" t="n">
        <f aca="false">Assumptions!$H$73</f>
        <v>0.4</v>
      </c>
      <c r="I26476" s="33" t="n">
        <f aca="false">Assumptions!$I$73</f>
        <v>0.4</v>
      </c>
      <c r="J26476" s="33" t="n">
        <f aca="false">Assumptions!$J$73</f>
        <v>0.4</v>
      </c>
      <c r="K26476" s="33" t="n">
        <f aca="false">Assumptions!$K$73</f>
        <v>0.4</v>
      </c>
    </row>
    <row r="26477" customFormat="false" ht="15" hidden="false" customHeight="false" outlineLevel="0" collapsed="false">
      <c r="A26477" s="3" t="s">
        <v>430</v>
      </c>
      <c r="G26477" s="22" t="n">
        <f aca="false">G26476-G26475</f>
        <v>0.258511053953032</v>
      </c>
      <c r="H26477" s="22" t="n">
        <f aca="false">H26476-H26475</f>
        <v>0.259552708259096</v>
      </c>
      <c r="I26477" s="22" t="n">
        <f aca="false">I26476-I26475</f>
        <v>0.26059436256516</v>
      </c>
      <c r="J26477" s="22" t="n">
        <f aca="false">J26476-J26475</f>
        <v>0.261636016871223</v>
      </c>
      <c r="K26477" s="22" t="n">
        <f aca="false">K26476-K26475</f>
        <v>0.262677671177287</v>
      </c>
    </row>
    <row r="26478" customFormat="false" ht="15" hidden="false" customHeight="false" outlineLevel="0" collapsed="false">
      <c r="A26478" s="3" t="s">
        <v>431</v>
      </c>
      <c r="G26478" s="22" t="n">
        <f aca="false">IF(G26476=0,0,G26477/ABS(G26476))</f>
        <v>0.646277634882579</v>
      </c>
      <c r="H26478" s="22" t="n">
        <f aca="false">IF(H26476=0,0,H26477/ABS(H26476))</f>
        <v>0.648881770647739</v>
      </c>
      <c r="I26478" s="22" t="n">
        <f aca="false">IF(I26476=0,0,I26477/ABS(I26476))</f>
        <v>0.651485906412899</v>
      </c>
      <c r="J26478" s="22" t="n">
        <f aca="false">IF(J26476=0,0,J26477/ABS(J26476))</f>
        <v>0.654090042178059</v>
      </c>
      <c r="K26478" s="22" t="n">
        <f aca="false">IF(K26476=0,0,K26477/ABS(K26476))</f>
        <v>0.656694177943218</v>
      </c>
    </row>
    <row r="26479" customFormat="false" ht="15" hidden="false" customHeight="false" outlineLevel="0" collapsed="false">
      <c r="A26479" s="3" t="s">
        <v>432</v>
      </c>
      <c r="G26479" s="21" t="n">
        <f aca="false">IF(G26477&lt;0,1,0)</f>
        <v>0</v>
      </c>
      <c r="H26479" s="21" t="n">
        <f aca="false">IF(H26477&lt;0,1,0)</f>
        <v>0</v>
      </c>
      <c r="I26479" s="21" t="n">
        <f aca="false">IF(I26477&lt;0,1,0)</f>
        <v>0</v>
      </c>
      <c r="J26479" s="21" t="n">
        <f aca="false">IF(J26477&lt;0,1,0)</f>
        <v>0</v>
      </c>
      <c r="K26479" s="21" t="n">
        <f aca="false">IF(K26477&lt;0,1,0)</f>
        <v>0</v>
      </c>
    </row>
    <row r="26480" customFormat="false" ht="15" hidden="false" customHeight="false" outlineLevel="0" collapsed="false">
      <c r="A26480" s="3" t="s">
        <v>433</v>
      </c>
      <c r="C26480" s="21" t="n">
        <f aca="false">IFERROR(INDEX($G$26213:$K$26213,MATCH(1,$G$26479:$K$26479,0)),0)</f>
        <v>0</v>
      </c>
    </row>
    <row r="26481" customFormat="false" ht="15" hidden="false" customHeight="false" outlineLevel="0" collapsed="false">
      <c r="A26481" s="3" t="s">
        <v>434</v>
      </c>
      <c r="C26481" s="22" t="n">
        <f aca="false">MIN($G$26478:$K$26478)</f>
        <v>0.646277634882579</v>
      </c>
    </row>
    <row r="26482" customFormat="false" ht="15" hidden="false" customHeight="false" outlineLevel="0" collapsed="false">
      <c r="A26482" s="24" t="s">
        <v>437</v>
      </c>
      <c r="B26482" s="25"/>
      <c r="C26482" s="25"/>
      <c r="D26482" s="25"/>
      <c r="E26482" s="25"/>
      <c r="F26482" s="25"/>
      <c r="G26482" s="25"/>
      <c r="H26482" s="25"/>
      <c r="I26482" s="25"/>
      <c r="J26482" s="25"/>
      <c r="K26482" s="25"/>
    </row>
    <row r="26483" customFormat="false" ht="15" hidden="false" customHeight="false" outlineLevel="0" collapsed="false">
      <c r="A26483" s="3" t="s">
        <v>428</v>
      </c>
      <c r="G26483" s="16" t="n">
        <f aca="false">G26453</f>
        <v>697.4474204</v>
      </c>
      <c r="H26483" s="16" t="n">
        <f aca="false">H26453</f>
        <v>574.5</v>
      </c>
      <c r="I26483" s="16" t="n">
        <f aca="false">I26453</f>
        <v>574.5</v>
      </c>
      <c r="J26483" s="16" t="n">
        <f aca="false">J26453</f>
        <v>574.5</v>
      </c>
      <c r="K26483" s="16" t="n">
        <f aca="false">K26453</f>
        <v>574.5</v>
      </c>
    </row>
    <row r="26484" customFormat="false" ht="15" hidden="false" customHeight="false" outlineLevel="0" collapsed="false">
      <c r="A26484" s="3" t="s">
        <v>429</v>
      </c>
      <c r="G26484" s="29" t="n">
        <f aca="false">Assumptions!$G$74</f>
        <v>100</v>
      </c>
      <c r="H26484" s="29" t="n">
        <f aca="false">Assumptions!$H$74</f>
        <v>100</v>
      </c>
      <c r="I26484" s="29" t="n">
        <f aca="false">Assumptions!$I$74</f>
        <v>100</v>
      </c>
      <c r="J26484" s="29" t="n">
        <f aca="false">Assumptions!$J$74</f>
        <v>100</v>
      </c>
      <c r="K26484" s="29" t="n">
        <f aca="false">Assumptions!$K$74</f>
        <v>100</v>
      </c>
    </row>
    <row r="26485" customFormat="false" ht="15" hidden="false" customHeight="false" outlineLevel="0" collapsed="false">
      <c r="A26485" s="3" t="s">
        <v>430</v>
      </c>
      <c r="G26485" s="16" t="n">
        <f aca="false">G26483-G26484</f>
        <v>597.4474204</v>
      </c>
      <c r="H26485" s="16" t="n">
        <f aca="false">H26483-H26484</f>
        <v>474.5</v>
      </c>
      <c r="I26485" s="16" t="n">
        <f aca="false">I26483-I26484</f>
        <v>474.5</v>
      </c>
      <c r="J26485" s="16" t="n">
        <f aca="false">J26483-J26484</f>
        <v>474.5</v>
      </c>
      <c r="K26485" s="16" t="n">
        <f aca="false">K26483-K26484</f>
        <v>474.5</v>
      </c>
    </row>
    <row r="26486" customFormat="false" ht="15" hidden="false" customHeight="false" outlineLevel="0" collapsed="false">
      <c r="A26486" s="3" t="s">
        <v>431</v>
      </c>
      <c r="G26486" s="22" t="n">
        <f aca="false">IF(G26484=0,0,G26485/ABS(G26484))</f>
        <v>5.974474204</v>
      </c>
      <c r="H26486" s="22" t="n">
        <f aca="false">IF(H26484=0,0,H26485/ABS(H26484))</f>
        <v>4.745</v>
      </c>
      <c r="I26486" s="22" t="n">
        <f aca="false">IF(I26484=0,0,I26485/ABS(I26484))</f>
        <v>4.745</v>
      </c>
      <c r="J26486" s="22" t="n">
        <f aca="false">IF(J26484=0,0,J26485/ABS(J26484))</f>
        <v>4.745</v>
      </c>
      <c r="K26486" s="22" t="n">
        <f aca="false">IF(K26484=0,0,K26485/ABS(K26484))</f>
        <v>4.745</v>
      </c>
    </row>
    <row r="26487" customFormat="false" ht="15" hidden="false" customHeight="false" outlineLevel="0" collapsed="false">
      <c r="A26487" s="3" t="s">
        <v>432</v>
      </c>
      <c r="G26487" s="21" t="n">
        <f aca="false">IF(G26485&lt;0,1,0)</f>
        <v>0</v>
      </c>
      <c r="H26487" s="21" t="n">
        <f aca="false">IF(H26485&lt;0,1,0)</f>
        <v>0</v>
      </c>
      <c r="I26487" s="21" t="n">
        <f aca="false">IF(I26485&lt;0,1,0)</f>
        <v>0</v>
      </c>
      <c r="J26487" s="21" t="n">
        <f aca="false">IF(J26485&lt;0,1,0)</f>
        <v>0</v>
      </c>
      <c r="K26487" s="21" t="n">
        <f aca="false">IF(K26485&lt;0,1,0)</f>
        <v>0</v>
      </c>
    </row>
    <row r="26488" customFormat="false" ht="15" hidden="false" customHeight="false" outlineLevel="0" collapsed="false">
      <c r="A26488" s="3" t="s">
        <v>433</v>
      </c>
      <c r="C26488" s="21" t="n">
        <f aca="false">IFERROR(INDEX($G$26213:$K$26213,MATCH(1,$G$26487:$K$26487,0)),0)</f>
        <v>0</v>
      </c>
    </row>
    <row r="26489" customFormat="false" ht="15" hidden="false" customHeight="false" outlineLevel="0" collapsed="false">
      <c r="A26489" s="3" t="s">
        <v>434</v>
      </c>
      <c r="C26489" s="22" t="n">
        <f aca="false">MIN($G$26486:$K$26486)</f>
        <v>4.745</v>
      </c>
    </row>
    <row r="26490" customFormat="false" ht="15" hidden="false" customHeight="false" outlineLevel="0" collapsed="false">
      <c r="A26490" s="24" t="s">
        <v>438</v>
      </c>
      <c r="B26490" s="25"/>
      <c r="C26490" s="25"/>
      <c r="D26490" s="25"/>
      <c r="E26490" s="25"/>
      <c r="F26490" s="25"/>
      <c r="G26490" s="25"/>
      <c r="H26490" s="25"/>
      <c r="I26490" s="25"/>
      <c r="J26490" s="25"/>
      <c r="K26490" s="25"/>
    </row>
    <row r="26491" customFormat="false" ht="15" hidden="false" customHeight="false" outlineLevel="0" collapsed="false">
      <c r="A26491" s="3" t="s">
        <v>428</v>
      </c>
      <c r="G26491" s="32" t="n">
        <f aca="false">IF(G26223&gt;0,G26446/G26223,99)</f>
        <v>10.6704570673626</v>
      </c>
      <c r="H26491" s="32" t="n">
        <f aca="false">IF(H26223&gt;0,H26446/H26223,99)</f>
        <v>11.6601471215067</v>
      </c>
      <c r="I26491" s="32" t="n">
        <f aca="false">IF(I26223&gt;0,I26446/I26223,99)</f>
        <v>11.9636535522731</v>
      </c>
      <c r="J26491" s="32" t="n">
        <f aca="false">IF(J26223&gt;0,J26446/J26223,99)</f>
        <v>12.0045871637288</v>
      </c>
      <c r="K26491" s="32" t="n">
        <f aca="false">IF(K26223&gt;0,K26446/K26223,99)</f>
        <v>12.0232607366907</v>
      </c>
    </row>
    <row r="26492" customFormat="false" ht="15" hidden="false" customHeight="false" outlineLevel="0" collapsed="false">
      <c r="A26492" s="3" t="s">
        <v>429</v>
      </c>
      <c r="G26492" s="34" t="n">
        <f aca="false">Assumptions!$G$75</f>
        <v>10.5</v>
      </c>
      <c r="H26492" s="34" t="n">
        <f aca="false">Assumptions!$H$75</f>
        <v>10.5</v>
      </c>
      <c r="I26492" s="34" t="n">
        <f aca="false">Assumptions!$I$75</f>
        <v>10</v>
      </c>
      <c r="J26492" s="34" t="n">
        <f aca="false">Assumptions!$J$75</f>
        <v>10</v>
      </c>
      <c r="K26492" s="34" t="n">
        <f aca="false">Assumptions!$K$75</f>
        <v>9.5</v>
      </c>
    </row>
    <row r="26493" customFormat="false" ht="15" hidden="false" customHeight="false" outlineLevel="0" collapsed="false">
      <c r="A26493" s="3" t="s">
        <v>430</v>
      </c>
      <c r="G26493" s="32" t="n">
        <f aca="false">G26492-G26491</f>
        <v>-0.17045706736263</v>
      </c>
      <c r="H26493" s="32" t="n">
        <f aca="false">H26492-H26491</f>
        <v>-1.16014712150674</v>
      </c>
      <c r="I26493" s="32" t="n">
        <f aca="false">I26492-I26491</f>
        <v>-1.96365355227305</v>
      </c>
      <c r="J26493" s="32" t="n">
        <f aca="false">J26492-J26491</f>
        <v>-2.00458716372878</v>
      </c>
      <c r="K26493" s="32" t="n">
        <f aca="false">K26492-K26491</f>
        <v>-2.52326073669071</v>
      </c>
    </row>
    <row r="26494" customFormat="false" ht="15" hidden="false" customHeight="false" outlineLevel="0" collapsed="false">
      <c r="A26494" s="3" t="s">
        <v>431</v>
      </c>
      <c r="G26494" s="22" t="n">
        <f aca="false">IF(G26492=0,0,G26493/ABS(G26492))</f>
        <v>-0.0162340064154886</v>
      </c>
      <c r="H26494" s="22" t="n">
        <f aca="false">IF(H26492=0,0,H26493/ABS(H26492))</f>
        <v>-0.110490202048261</v>
      </c>
      <c r="I26494" s="22" t="n">
        <f aca="false">IF(I26492=0,0,I26493/ABS(I26492))</f>
        <v>-0.196365355227305</v>
      </c>
      <c r="J26494" s="22" t="n">
        <f aca="false">IF(J26492=0,0,J26493/ABS(J26492))</f>
        <v>-0.200458716372878</v>
      </c>
      <c r="K26494" s="22" t="n">
        <f aca="false">IF(K26492=0,0,K26493/ABS(K26492))</f>
        <v>-0.265606393335864</v>
      </c>
    </row>
    <row r="26495" customFormat="false" ht="15" hidden="false" customHeight="false" outlineLevel="0" collapsed="false">
      <c r="A26495" s="3" t="s">
        <v>432</v>
      </c>
      <c r="G26495" s="21" t="n">
        <f aca="false">IF(G26493&lt;0,1,0)</f>
        <v>1</v>
      </c>
      <c r="H26495" s="21" t="n">
        <f aca="false">IF(H26493&lt;0,1,0)</f>
        <v>1</v>
      </c>
      <c r="I26495" s="21" t="n">
        <f aca="false">IF(I26493&lt;0,1,0)</f>
        <v>1</v>
      </c>
      <c r="J26495" s="21" t="n">
        <f aca="false">IF(J26493&lt;0,1,0)</f>
        <v>1</v>
      </c>
      <c r="K26495" s="21" t="n">
        <f aca="false">IF(K26493&lt;0,1,0)</f>
        <v>1</v>
      </c>
    </row>
    <row r="26496" customFormat="false" ht="15" hidden="false" customHeight="false" outlineLevel="0" collapsed="false">
      <c r="A26496" s="3" t="s">
        <v>433</v>
      </c>
      <c r="C26496" s="21" t="n">
        <f aca="false">IFERROR(INDEX($G$26213:$K$26213,MATCH(1,$G$26495:$K$26495,0)),0)</f>
        <v>2027</v>
      </c>
    </row>
    <row r="26497" customFormat="false" ht="15" hidden="false" customHeight="false" outlineLevel="0" collapsed="false">
      <c r="A26497" s="3" t="s">
        <v>434</v>
      </c>
      <c r="C26497" s="22" t="n">
        <f aca="false">MIN($G$26494:$K$26494)</f>
        <v>-0.265606393335864</v>
      </c>
    </row>
    <row r="26498" customFormat="false" ht="15" hidden="false" customHeight="false" outlineLevel="0" collapsed="false">
      <c r="A26498" s="3" t="s">
        <v>439</v>
      </c>
      <c r="G26498" s="21" t="n">
        <f aca="false">G26463+G26471+G26479+G26487+G26495</f>
        <v>3</v>
      </c>
      <c r="H26498" s="21" t="n">
        <f aca="false">H26463+H26471+H26479+H26487+H26495</f>
        <v>3</v>
      </c>
      <c r="I26498" s="21" t="n">
        <f aca="false">I26463+I26471+I26479+I26487+I26495</f>
        <v>3</v>
      </c>
      <c r="J26498" s="21" t="n">
        <f aca="false">J26463+J26471+J26479+J26487+J26495</f>
        <v>3</v>
      </c>
      <c r="K26498" s="21" t="n">
        <f aca="false">K26463+K26471+K26479+K26487+K26495</f>
        <v>3</v>
      </c>
    </row>
    <row r="26499" customFormat="false" ht="15" hidden="false" customHeight="false" outlineLevel="0" collapsed="false">
      <c r="A26499" s="3" t="s">
        <v>440</v>
      </c>
      <c r="C26499" s="21" t="n">
        <f aca="false">SUM($G$26498:$K$26498)</f>
        <v>15</v>
      </c>
    </row>
    <row r="26500" customFormat="false" ht="15" hidden="false" customHeight="false" outlineLevel="0" collapsed="false">
      <c r="A26500" s="3" t="s">
        <v>441</v>
      </c>
      <c r="C26500" s="22" t="n">
        <f aca="false">MIN(C26465,C26473,C26481,C26489,C26497)</f>
        <v>-0.265606393335864</v>
      </c>
    </row>
    <row r="26502" customFormat="false" ht="15" hidden="false" customHeight="false" outlineLevel="0" collapsed="false">
      <c r="A26502" s="24" t="s">
        <v>543</v>
      </c>
      <c r="B26502" s="25"/>
      <c r="C26502" s="25"/>
      <c r="D26502" s="25"/>
      <c r="E26502" s="25"/>
      <c r="F26502" s="25"/>
      <c r="G26502" s="25"/>
      <c r="H26502" s="25"/>
      <c r="I26502" s="25"/>
      <c r="J26502" s="25"/>
      <c r="K26502" s="25"/>
    </row>
    <row r="26503" customFormat="false" ht="15" hidden="false" customHeight="false" outlineLevel="0" collapsed="false">
      <c r="A26503" s="3" t="s">
        <v>544</v>
      </c>
      <c r="G26503" s="21" t="n">
        <f aca="false">IF($C$26504=1,G26440,IF(G26223=MIN($G$26223:$K$26223),1,0))</f>
        <v>0</v>
      </c>
      <c r="H26503" s="21" t="n">
        <f aca="false">IF($C$26504=1,H26440,IF(AND(H26223=MIN($G$26223:$K$26223),SUM($G$26503:G26503)=0),1,0))</f>
        <v>1</v>
      </c>
      <c r="I26503" s="21" t="n">
        <f aca="false">IF($C$26504=1,I26440,IF(AND(I26223=MIN($G$26223:$K$26223),SUM($G$26503:H26503)=0),1,0))</f>
        <v>0</v>
      </c>
      <c r="J26503" s="21" t="n">
        <f aca="false">IF($C$26504=1,J26440,IF(AND(J26223=MIN($G$26223:$K$26223),SUM($G$26503:I26503)=0),1,0))</f>
        <v>0</v>
      </c>
      <c r="K26503" s="21" t="n">
        <f aca="false">IF($C$26504=1,K26440,IF(AND(K26223=MIN($G$26223:$K$26223),SUM($G$26503:J26503)=0),1,0))</f>
        <v>0</v>
      </c>
    </row>
    <row r="26504" customFormat="false" ht="15" hidden="false" customHeight="false" outlineLevel="0" collapsed="false">
      <c r="A26504" s="3" t="s">
        <v>545</v>
      </c>
      <c r="C26504" s="21" t="n">
        <f aca="false">IF(SUM($G$26440:$K$26440)&gt;0,1,0)</f>
        <v>1</v>
      </c>
    </row>
    <row r="26505" customFormat="false" ht="15" hidden="false" customHeight="false" outlineLevel="0" collapsed="false">
      <c r="A26505" s="3" t="s">
        <v>546</v>
      </c>
      <c r="C26505" s="21" t="n">
        <f aca="false">SUMPRODUCT($G$26503:$K$26503,$G$26213:$K$26213)</f>
        <v>2028</v>
      </c>
    </row>
    <row r="26506" customFormat="false" ht="15" hidden="false" customHeight="false" outlineLevel="0" collapsed="false">
      <c r="A26506" s="3" t="s">
        <v>547</v>
      </c>
      <c r="C26506" s="16" t="n">
        <f aca="false">SUMPRODUCT($G$26503:$K$26503,$G$26223:$K$26223)</f>
        <v>220.355740893</v>
      </c>
    </row>
    <row r="26507" customFormat="false" ht="15" hidden="false" customHeight="false" outlineLevel="0" collapsed="false">
      <c r="A26507" s="3" t="s">
        <v>548</v>
      </c>
      <c r="C26507" s="16" t="n">
        <f aca="false">MAX(0,SUMPRODUCT($G$26503:$K$26503,$G$26437:$K$26437))</f>
        <v>0</v>
      </c>
    </row>
    <row r="26508" customFormat="false" ht="15" hidden="false" customHeight="false" outlineLevel="0" collapsed="false">
      <c r="A26508" s="3" t="s">
        <v>549</v>
      </c>
      <c r="C26508" s="16" t="n">
        <f aca="false">(CHOOSE($C$26206,Assumptions!$C$92,Assumptions!$C$111,Assumptions!$C$130)+$C$26210)*C26506</f>
        <v>1983.201668037</v>
      </c>
    </row>
    <row r="26509" customFormat="false" ht="15" hidden="false" customHeight="false" outlineLevel="0" collapsed="false">
      <c r="A26509" s="3" t="s">
        <v>550</v>
      </c>
      <c r="C26509" s="16" t="n">
        <f aca="false">Assumptions!$C$31*(1-CHOOSE($C$26206,Assumptions!$C$93,Assumptions!$C$112,Assumptions!$C$131))*CHOOSE($C$26206,Assumptions!$C$94,Assumptions!$C$113,Assumptions!$C$132)</f>
        <v>3264.03873166667</v>
      </c>
    </row>
    <row r="26510" customFormat="false" ht="15" hidden="false" customHeight="false" outlineLevel="0" collapsed="false">
      <c r="A26510" s="3" t="s">
        <v>551</v>
      </c>
      <c r="C26510" s="16" t="n">
        <f aca="false">MAX(C26508,C26509)+C26507</f>
        <v>3264.03873166667</v>
      </c>
    </row>
    <row r="26511" customFormat="false" ht="15" hidden="false" customHeight="false" outlineLevel="0" collapsed="false">
      <c r="A26511" s="2" t="s">
        <v>552</v>
      </c>
      <c r="C26511" s="17" t="n">
        <f aca="false">IF(ISNUMBER(Assumptions!$C$14),Assumptions!$C$14,C26510)</f>
        <v>3264.03873166667</v>
      </c>
    </row>
    <row r="26512" customFormat="false" ht="15" hidden="false" customHeight="false" outlineLevel="0" collapsed="false">
      <c r="A26512" s="3" t="s">
        <v>553</v>
      </c>
      <c r="C26512" s="16" t="n">
        <f aca="false">C26511*Assumptions!$C$15</f>
        <v>130.561549266667</v>
      </c>
    </row>
    <row r="26513" customFormat="false" ht="15" hidden="false" customHeight="false" outlineLevel="0" collapsed="false">
      <c r="A26513" s="2" t="s">
        <v>554</v>
      </c>
      <c r="C26513" s="17" t="n">
        <f aca="false">C26511-C26512</f>
        <v>3133.4771824</v>
      </c>
    </row>
    <row r="26514" customFormat="false" ht="15" hidden="false" customHeight="false" outlineLevel="0" collapsed="false">
      <c r="A26514" s="24" t="s">
        <v>555</v>
      </c>
      <c r="B26514" s="25"/>
      <c r="C26514" s="25"/>
      <c r="D26514" s="25"/>
      <c r="E26514" s="25"/>
      <c r="F26514" s="25"/>
      <c r="G26514" s="25"/>
      <c r="H26514" s="25"/>
      <c r="I26514" s="25"/>
      <c r="J26514" s="25"/>
      <c r="K26514" s="25"/>
    </row>
    <row r="26515" customFormat="false" ht="15" hidden="false" customHeight="false" outlineLevel="0" collapsed="false">
      <c r="A26515" s="3" t="s">
        <v>556</v>
      </c>
      <c r="C26515" s="16" t="n">
        <f aca="false">SUMPRODUCT($G$26503:$K$26503,$G$26260:$K$26260)*(1+SUMPRODUCT($G$26503:$K$26503,$G$26252:$K$26252)*Assumptions!$C$16/12)</f>
        <v>402.29</v>
      </c>
    </row>
    <row r="26516" customFormat="false" ht="15" hidden="false" customHeight="false" outlineLevel="0" collapsed="false">
      <c r="A26516" s="3" t="s">
        <v>557</v>
      </c>
      <c r="C26516" s="16" t="n">
        <f aca="false">SUMPRODUCT($G$26503:$K$26503,$G$26273:$K$26273)*(1+SUMPRODUCT($G$26503:$K$26503,$G$26265:$K$26265)*Assumptions!$C$16/12)</f>
        <v>91.30725</v>
      </c>
    </row>
    <row r="26517" customFormat="false" ht="15" hidden="false" customHeight="false" outlineLevel="0" collapsed="false">
      <c r="A26517" s="3" t="s">
        <v>558</v>
      </c>
      <c r="C26517" s="16" t="n">
        <f aca="false">SUMPRODUCT($G$26503:$K$26503,$G$26286:$K$26286)*(1+SUMPRODUCT($G$26503:$K$26503,$G$26278:$K$26278)*Assumptions!$C$16/12)</f>
        <v>58.3715961</v>
      </c>
    </row>
    <row r="26518" customFormat="false" ht="15" hidden="false" customHeight="false" outlineLevel="0" collapsed="false">
      <c r="A26518" s="3" t="s">
        <v>559</v>
      </c>
      <c r="C26518" s="16" t="n">
        <f aca="false">SUMPRODUCT($G$26503:$K$26503,$G$26299:$K$26299)*(1+SUMPRODUCT($G$26503:$K$26503,$G$26291:$K$26291)*Assumptions!$C$16/12)</f>
        <v>0</v>
      </c>
    </row>
    <row r="26519" customFormat="false" ht="15" hidden="false" customHeight="false" outlineLevel="0" collapsed="false">
      <c r="A26519" s="3" t="s">
        <v>560</v>
      </c>
      <c r="C26519" s="16" t="n">
        <f aca="false">SUMPRODUCT($G$26503:$K$26503,$G$26312:$K$26312)*(1+SUMPRODUCT($G$26503:$K$26503,$G$26304:$K$26304)*Assumptions!$C$16/12)</f>
        <v>405.410640665075</v>
      </c>
    </row>
    <row r="26520" customFormat="false" ht="15" hidden="false" customHeight="false" outlineLevel="0" collapsed="false">
      <c r="A26520" s="3" t="s">
        <v>561</v>
      </c>
      <c r="C26520" s="16" t="n">
        <f aca="false">SUMPRODUCT($G$26503:$K$26503,$G$26325:$K$26325)*(1+SUMPRODUCT($G$26503:$K$26503,$G$26317:$K$26317)*Assumptions!$C$16/12)</f>
        <v>357.2625</v>
      </c>
    </row>
    <row r="26521" customFormat="false" ht="15" hidden="false" customHeight="false" outlineLevel="0" collapsed="false">
      <c r="A26521" s="3" t="s">
        <v>562</v>
      </c>
      <c r="C26521" s="16" t="n">
        <f aca="false">SUMPRODUCT($G$26503:$K$26503,$G$26338:$K$26338)*(1+SUMPRODUCT($G$26503:$K$26503,$G$26330:$K$26330)*Assumptions!$C$16/12)</f>
        <v>562.203125</v>
      </c>
    </row>
    <row r="26522" customFormat="false" ht="15" hidden="false" customHeight="false" outlineLevel="0" collapsed="false">
      <c r="A26522" s="3" t="s">
        <v>563</v>
      </c>
      <c r="C26522" s="16" t="n">
        <f aca="false">SUMPRODUCT($G$26503:$K$26503,$G$26351:$K$26351)*(1+SUMPRODUCT($G$26503:$K$26503,$G$26343:$K$26343)*Assumptions!$C$16/12)</f>
        <v>353.98125</v>
      </c>
    </row>
    <row r="26523" customFormat="false" ht="15" hidden="false" customHeight="false" outlineLevel="0" collapsed="false">
      <c r="A26523" s="3" t="s">
        <v>564</v>
      </c>
      <c r="C26523" s="16" t="n">
        <f aca="false">SUMPRODUCT($G$26503:$K$26503,$G$26364:$K$26364)*(1+SUMPRODUCT($G$26503:$K$26503,$G$26356:$K$26356)*Assumptions!$C$16/12)</f>
        <v>304.59375</v>
      </c>
    </row>
    <row r="26524" customFormat="false" ht="15" hidden="false" customHeight="false" outlineLevel="0" collapsed="false">
      <c r="A26524" s="3" t="s">
        <v>565</v>
      </c>
      <c r="C26524" s="16" t="n">
        <f aca="false">SUMPRODUCT($G$26503:$K$26503,$G$26377:$K$26377)*(1+SUMPRODUCT($G$26503:$K$26503,$G$26369:$K$26369)*Assumptions!$C$16/12)</f>
        <v>79.938509</v>
      </c>
    </row>
    <row r="26525" customFormat="false" ht="15" hidden="false" customHeight="false" outlineLevel="0" collapsed="false">
      <c r="A26525" s="24" t="s">
        <v>566</v>
      </c>
      <c r="B26525" s="25"/>
      <c r="C26525" s="25"/>
      <c r="D26525" s="25"/>
      <c r="E26525" s="25"/>
      <c r="F26525" s="25"/>
      <c r="G26525" s="25"/>
      <c r="H26525" s="25"/>
      <c r="I26525" s="25"/>
      <c r="J26525" s="25"/>
      <c r="K26525" s="25"/>
    </row>
    <row r="26526" customFormat="false" ht="15" hidden="false" customHeight="false" outlineLevel="0" collapsed="false">
      <c r="A26526" s="3" t="s">
        <v>556</v>
      </c>
      <c r="C26526" s="27" t="n">
        <f aca="false">Assumptions!$M$57</f>
        <v>1</v>
      </c>
    </row>
    <row r="26527" customFormat="false" ht="15" hidden="false" customHeight="false" outlineLevel="0" collapsed="false">
      <c r="A26527" s="3" t="s">
        <v>557</v>
      </c>
      <c r="C26527" s="27" t="n">
        <f aca="false">Assumptions!$M$58</f>
        <v>1</v>
      </c>
    </row>
    <row r="26528" customFormat="false" ht="15" hidden="false" customHeight="false" outlineLevel="0" collapsed="false">
      <c r="A26528" s="3" t="s">
        <v>558</v>
      </c>
      <c r="C26528" s="27" t="n">
        <f aca="false">Assumptions!$M$59</f>
        <v>1</v>
      </c>
    </row>
    <row r="26529" customFormat="false" ht="15" hidden="false" customHeight="false" outlineLevel="0" collapsed="false">
      <c r="A26529" s="3" t="s">
        <v>559</v>
      </c>
      <c r="C26529" s="27" t="n">
        <f aca="false">Assumptions!$M$60</f>
        <v>2</v>
      </c>
    </row>
    <row r="26530" customFormat="false" ht="15" hidden="false" customHeight="false" outlineLevel="0" collapsed="false">
      <c r="A26530" s="3" t="s">
        <v>560</v>
      </c>
      <c r="C26530" s="27" t="n">
        <f aca="false">Assumptions!$M$61</f>
        <v>2</v>
      </c>
    </row>
    <row r="26531" customFormat="false" ht="15" hidden="false" customHeight="false" outlineLevel="0" collapsed="false">
      <c r="A26531" s="3" t="s">
        <v>561</v>
      </c>
      <c r="C26531" s="27" t="n">
        <f aca="false">Assumptions!$M$62</f>
        <v>2</v>
      </c>
    </row>
    <row r="26532" customFormat="false" ht="15" hidden="false" customHeight="false" outlineLevel="0" collapsed="false">
      <c r="A26532" s="3" t="s">
        <v>562</v>
      </c>
      <c r="C26532" s="27" t="n">
        <f aca="false">Assumptions!$M$63</f>
        <v>2</v>
      </c>
    </row>
    <row r="26533" customFormat="false" ht="15" hidden="false" customHeight="false" outlineLevel="0" collapsed="false">
      <c r="A26533" s="3" t="s">
        <v>563</v>
      </c>
      <c r="C26533" s="27" t="n">
        <f aca="false">Assumptions!$M$64</f>
        <v>2</v>
      </c>
    </row>
    <row r="26534" customFormat="false" ht="15" hidden="false" customHeight="false" outlineLevel="0" collapsed="false">
      <c r="A26534" s="3" t="s">
        <v>564</v>
      </c>
      <c r="C26534" s="27" t="n">
        <f aca="false">Assumptions!$M$65</f>
        <v>2</v>
      </c>
    </row>
    <row r="26535" customFormat="false" ht="15" hidden="false" customHeight="false" outlineLevel="0" collapsed="false">
      <c r="A26535" s="3" t="s">
        <v>565</v>
      </c>
      <c r="C26535" s="27" t="n">
        <f aca="false">Assumptions!$M$66</f>
        <v>3</v>
      </c>
    </row>
    <row r="26536" customFormat="false" ht="15" hidden="false" customHeight="false" outlineLevel="0" collapsed="false">
      <c r="A26536" s="24" t="s">
        <v>567</v>
      </c>
      <c r="B26536" s="25"/>
      <c r="C26536" s="25"/>
      <c r="D26536" s="25"/>
      <c r="E26536" s="25"/>
      <c r="F26536" s="25"/>
      <c r="G26536" s="25"/>
      <c r="H26536" s="25"/>
      <c r="I26536" s="25"/>
      <c r="J26536" s="25"/>
      <c r="K26536" s="25"/>
    </row>
    <row r="26537" customFormat="false" ht="15" hidden="false" customHeight="false" outlineLevel="0" collapsed="false">
      <c r="A26537" s="3" t="s">
        <v>556</v>
      </c>
      <c r="C26537" s="33" t="n">
        <f aca="false">Assumptions!$Q$57</f>
        <v>0.3</v>
      </c>
    </row>
    <row r="26538" customFormat="false" ht="15" hidden="false" customHeight="false" outlineLevel="0" collapsed="false">
      <c r="A26538" s="3" t="s">
        <v>557</v>
      </c>
      <c r="C26538" s="33" t="n">
        <f aca="false">Assumptions!$Q$58</f>
        <v>0.033</v>
      </c>
    </row>
    <row r="26539" customFormat="false" ht="15" hidden="false" customHeight="false" outlineLevel="0" collapsed="false">
      <c r="A26539" s="3" t="s">
        <v>558</v>
      </c>
      <c r="C26539" s="33" t="n">
        <f aca="false">Assumptions!$Q$59</f>
        <v>0.021</v>
      </c>
    </row>
    <row r="26540" customFormat="false" ht="15" hidden="false" customHeight="false" outlineLevel="0" collapsed="false">
      <c r="A26540" s="3" t="s">
        <v>559</v>
      </c>
      <c r="C26540" s="33" t="n">
        <f aca="false">Assumptions!$Q$60</f>
        <v>0</v>
      </c>
    </row>
    <row r="26541" customFormat="false" ht="15" hidden="false" customHeight="false" outlineLevel="0" collapsed="false">
      <c r="A26541" s="3" t="s">
        <v>560</v>
      </c>
      <c r="C26541" s="33" t="n">
        <f aca="false">Assumptions!$Q$61</f>
        <v>0</v>
      </c>
    </row>
    <row r="26542" customFormat="false" ht="15" hidden="false" customHeight="false" outlineLevel="0" collapsed="false">
      <c r="A26542" s="3" t="s">
        <v>561</v>
      </c>
      <c r="C26542" s="33" t="n">
        <f aca="false">Assumptions!$Q$62</f>
        <v>0</v>
      </c>
    </row>
    <row r="26543" customFormat="false" ht="15" hidden="false" customHeight="false" outlineLevel="0" collapsed="false">
      <c r="A26543" s="3" t="s">
        <v>562</v>
      </c>
      <c r="C26543" s="33" t="n">
        <f aca="false">Assumptions!$Q$63</f>
        <v>0</v>
      </c>
    </row>
    <row r="26544" customFormat="false" ht="15" hidden="false" customHeight="false" outlineLevel="0" collapsed="false">
      <c r="A26544" s="3" t="s">
        <v>563</v>
      </c>
      <c r="C26544" s="33" t="n">
        <f aca="false">Assumptions!$Q$64</f>
        <v>0</v>
      </c>
    </row>
    <row r="26545" customFormat="false" ht="15" hidden="false" customHeight="false" outlineLevel="0" collapsed="false">
      <c r="A26545" s="3" t="s">
        <v>564</v>
      </c>
      <c r="C26545" s="33" t="n">
        <f aca="false">Assumptions!$Q$65</f>
        <v>0</v>
      </c>
    </row>
    <row r="26546" customFormat="false" ht="15" hidden="false" customHeight="false" outlineLevel="0" collapsed="false">
      <c r="A26546" s="3" t="s">
        <v>565</v>
      </c>
      <c r="C26546" s="33" t="n">
        <f aca="false">Assumptions!$Q$66</f>
        <v>0</v>
      </c>
    </row>
    <row r="26547" customFormat="false" ht="15" hidden="false" customHeight="false" outlineLevel="0" collapsed="false">
      <c r="A26547" s="24" t="s">
        <v>568</v>
      </c>
      <c r="B26547" s="25"/>
      <c r="C26547" s="25"/>
      <c r="D26547" s="25"/>
      <c r="E26547" s="25"/>
      <c r="F26547" s="25"/>
      <c r="G26547" s="25"/>
      <c r="H26547" s="25"/>
      <c r="I26547" s="25"/>
      <c r="J26547" s="25"/>
      <c r="K26547" s="25"/>
    </row>
    <row r="26548" customFormat="false" ht="15" hidden="false" customHeight="false" outlineLevel="0" collapsed="false">
      <c r="A26548" s="3" t="s">
        <v>556</v>
      </c>
      <c r="C26548" s="16" t="n">
        <f aca="false">IF(C26537&gt;0,MIN(C26515,C26537*$C$26513),0)</f>
        <v>402.29</v>
      </c>
    </row>
    <row r="26549" customFormat="false" ht="15" hidden="false" customHeight="false" outlineLevel="0" collapsed="false">
      <c r="A26549" s="3" t="s">
        <v>557</v>
      </c>
      <c r="C26549" s="16" t="n">
        <f aca="false">IF(C26538&gt;0,MIN(C26516,C26538*$C$26513),0)</f>
        <v>91.30725</v>
      </c>
    </row>
    <row r="26550" customFormat="false" ht="15" hidden="false" customHeight="false" outlineLevel="0" collapsed="false">
      <c r="A26550" s="3" t="s">
        <v>558</v>
      </c>
      <c r="C26550" s="16" t="n">
        <f aca="false">IF(C26539&gt;0,MIN(C26517,C26539*$C$26513),0)</f>
        <v>58.3715961</v>
      </c>
    </row>
    <row r="26551" customFormat="false" ht="15" hidden="false" customHeight="false" outlineLevel="0" collapsed="false">
      <c r="A26551" s="3" t="s">
        <v>559</v>
      </c>
      <c r="C26551" s="16" t="n">
        <f aca="false">IF(C26540&gt;0,MIN(C26518,C26540*$C$26513),0)</f>
        <v>0</v>
      </c>
    </row>
    <row r="26552" customFormat="false" ht="15" hidden="false" customHeight="false" outlineLevel="0" collapsed="false">
      <c r="A26552" s="3" t="s">
        <v>560</v>
      </c>
      <c r="C26552" s="16" t="n">
        <f aca="false">IF(C26541&gt;0,MIN(C26519,C26541*$C$26513),0)</f>
        <v>0</v>
      </c>
    </row>
    <row r="26553" customFormat="false" ht="15" hidden="false" customHeight="false" outlineLevel="0" collapsed="false">
      <c r="A26553" s="3" t="s">
        <v>561</v>
      </c>
      <c r="C26553" s="16" t="n">
        <f aca="false">IF(C26542&gt;0,MIN(C26520,C26542*$C$26513),0)</f>
        <v>0</v>
      </c>
    </row>
    <row r="26554" customFormat="false" ht="15" hidden="false" customHeight="false" outlineLevel="0" collapsed="false">
      <c r="A26554" s="3" t="s">
        <v>562</v>
      </c>
      <c r="C26554" s="16" t="n">
        <f aca="false">IF(C26543&gt;0,MIN(C26521,C26543*$C$26513),0)</f>
        <v>0</v>
      </c>
    </row>
    <row r="26555" customFormat="false" ht="15" hidden="false" customHeight="false" outlineLevel="0" collapsed="false">
      <c r="A26555" s="3" t="s">
        <v>563</v>
      </c>
      <c r="C26555" s="16" t="n">
        <f aca="false">IF(C26544&gt;0,MIN(C26522,C26544*$C$26513),0)</f>
        <v>0</v>
      </c>
    </row>
    <row r="26556" customFormat="false" ht="15" hidden="false" customHeight="false" outlineLevel="0" collapsed="false">
      <c r="A26556" s="3" t="s">
        <v>564</v>
      </c>
      <c r="C26556" s="16" t="n">
        <f aca="false">IF(C26545&gt;0,MIN(C26523,C26545*$C$26513),0)</f>
        <v>0</v>
      </c>
    </row>
    <row r="26557" customFormat="false" ht="15" hidden="false" customHeight="false" outlineLevel="0" collapsed="false">
      <c r="A26557" s="3" t="s">
        <v>565</v>
      </c>
      <c r="C26557" s="16" t="n">
        <f aca="false">IF(C26546&gt;0,MIN(C26524,C26546*$C$26513),0)</f>
        <v>0</v>
      </c>
    </row>
    <row r="26558" customFormat="false" ht="15" hidden="false" customHeight="false" outlineLevel="0" collapsed="false">
      <c r="A26558" s="24" t="s">
        <v>569</v>
      </c>
      <c r="B26558" s="25"/>
      <c r="C26558" s="25"/>
      <c r="D26558" s="25"/>
      <c r="E26558" s="25"/>
      <c r="F26558" s="25"/>
      <c r="G26558" s="25"/>
      <c r="H26558" s="25"/>
      <c r="I26558" s="25"/>
      <c r="J26558" s="25"/>
      <c r="K26558" s="25"/>
    </row>
    <row r="26559" customFormat="false" ht="15" hidden="false" customHeight="false" outlineLevel="0" collapsed="false">
      <c r="A26559" s="3" t="s">
        <v>556</v>
      </c>
      <c r="C26559" s="16" t="n">
        <f aca="false">IF(C26537&gt;0,C26515-C26548,0)</f>
        <v>0</v>
      </c>
      <c r="G26559" s="21" t="n">
        <f aca="false">IF(AND(G26250=1,G26247=1),1,0)</f>
        <v>0</v>
      </c>
      <c r="H26559" s="21" t="n">
        <f aca="false">IF(G26559=1,1,IF(AND(H26250=1,H26247=1),1,0))</f>
        <v>0</v>
      </c>
      <c r="I26559" s="21" t="n">
        <f aca="false">IF(H26559=1,1,IF(AND(I26250=1,I26247=1),1,0))</f>
        <v>0</v>
      </c>
      <c r="J26559" s="21" t="n">
        <f aca="false">IF(I26559=1,1,IF(AND(J26250=1,J26247=1),1,0))</f>
        <v>0</v>
      </c>
      <c r="K26559" s="21" t="n">
        <f aca="false">IF(J26559=1,1,IF(AND(K26250=1,K26247=1),1,0))</f>
        <v>0</v>
      </c>
    </row>
    <row r="26560" customFormat="false" ht="15" hidden="false" customHeight="false" outlineLevel="0" collapsed="false">
      <c r="A26560" s="3" t="s">
        <v>557</v>
      </c>
      <c r="C26560" s="16" t="n">
        <f aca="false">IF(C26538&gt;0,C26516-C26549,0)</f>
        <v>0</v>
      </c>
      <c r="G26560" s="21" t="n">
        <f aca="false">IF(AND(G26263=1,G26247=1),1,0)</f>
        <v>0</v>
      </c>
      <c r="H26560" s="21" t="n">
        <f aca="false">IF(G26560=1,1,IF(AND(H26263=1,H26247=1),1,0))</f>
        <v>0</v>
      </c>
      <c r="I26560" s="21" t="n">
        <f aca="false">IF(H26560=1,1,IF(AND(I26263=1,I26247=1),1,0))</f>
        <v>0</v>
      </c>
      <c r="J26560" s="21" t="n">
        <f aca="false">IF(I26560=1,1,IF(AND(J26263=1,J26247=1),1,0))</f>
        <v>0</v>
      </c>
      <c r="K26560" s="21" t="n">
        <f aca="false">IF(J26560=1,1,IF(AND(K26263=1,K26247=1),1,0))</f>
        <v>0</v>
      </c>
    </row>
    <row r="26561" customFormat="false" ht="15" hidden="false" customHeight="false" outlineLevel="0" collapsed="false">
      <c r="A26561" s="3" t="s">
        <v>558</v>
      </c>
      <c r="C26561" s="16" t="n">
        <f aca="false">IF(C26539&gt;0,C26517-C26550,0)</f>
        <v>0</v>
      </c>
      <c r="G26561" s="21" t="n">
        <f aca="false">IF(AND(G26276=1,G26247=1),1,0)</f>
        <v>0</v>
      </c>
      <c r="H26561" s="21" t="n">
        <f aca="false">IF(G26561=1,1,IF(AND(H26276=1,H26247=1),1,0))</f>
        <v>0</v>
      </c>
      <c r="I26561" s="21" t="n">
        <f aca="false">IF(H26561=1,1,IF(AND(I26276=1,I26247=1),1,0))</f>
        <v>0</v>
      </c>
      <c r="J26561" s="21" t="n">
        <f aca="false">IF(I26561=1,1,IF(AND(J26276=1,J26247=1),1,0))</f>
        <v>0</v>
      </c>
      <c r="K26561" s="21" t="n">
        <f aca="false">IF(J26561=1,1,IF(AND(K26276=1,K26247=1),1,0))</f>
        <v>0</v>
      </c>
    </row>
    <row r="26562" customFormat="false" ht="15" hidden="false" customHeight="false" outlineLevel="0" collapsed="false">
      <c r="A26562" s="3" t="s">
        <v>559</v>
      </c>
      <c r="C26562" s="16" t="n">
        <f aca="false">IF(C26540&gt;0,C26518-C26551,0)</f>
        <v>0</v>
      </c>
      <c r="G26562" s="21" t="n">
        <f aca="false">IF(AND(G26289=1,G26247=1),1,0)</f>
        <v>0</v>
      </c>
      <c r="H26562" s="21" t="n">
        <f aca="false">IF(G26562=1,1,IF(AND(H26289=1,H26247=1),1,0))</f>
        <v>0</v>
      </c>
      <c r="I26562" s="21" t="n">
        <f aca="false">IF(H26562=1,1,IF(AND(I26289=1,I26247=1),1,0))</f>
        <v>0</v>
      </c>
      <c r="J26562" s="21" t="n">
        <f aca="false">IF(I26562=1,1,IF(AND(J26289=1,J26247=1),1,0))</f>
        <v>0</v>
      </c>
      <c r="K26562" s="21" t="n">
        <f aca="false">IF(J26562=1,1,IF(AND(K26289=1,K26247=1),1,0))</f>
        <v>0</v>
      </c>
    </row>
    <row r="26563" customFormat="false" ht="15" hidden="false" customHeight="false" outlineLevel="0" collapsed="false">
      <c r="A26563" s="3" t="s">
        <v>560</v>
      </c>
      <c r="C26563" s="16" t="n">
        <f aca="false">IF(C26541&gt;0,C26519-C26552,0)</f>
        <v>0</v>
      </c>
      <c r="G26563" s="21" t="n">
        <f aca="false">IF(AND(G26302=1,G26247=1),1,0)</f>
        <v>0</v>
      </c>
      <c r="H26563" s="21" t="n">
        <f aca="false">IF(G26563=1,1,IF(AND(H26302=1,H26247=1),1,0))</f>
        <v>0</v>
      </c>
      <c r="I26563" s="21" t="n">
        <f aca="false">IF(H26563=1,1,IF(AND(I26302=1,I26247=1),1,0))</f>
        <v>0</v>
      </c>
      <c r="J26563" s="21" t="n">
        <f aca="false">IF(I26563=1,1,IF(AND(J26302=1,J26247=1),1,0))</f>
        <v>0</v>
      </c>
      <c r="K26563" s="21" t="n">
        <f aca="false">IF(J26563=1,1,IF(AND(K26302=1,K26247=1),1,0))</f>
        <v>0</v>
      </c>
    </row>
    <row r="26564" customFormat="false" ht="15" hidden="false" customHeight="false" outlineLevel="0" collapsed="false">
      <c r="A26564" s="3" t="s">
        <v>561</v>
      </c>
      <c r="C26564" s="16" t="n">
        <f aca="false">IF(C26542&gt;0,C26520-C26553,0)</f>
        <v>0</v>
      </c>
      <c r="G26564" s="21" t="n">
        <f aca="false">IF(AND(G26315=1,G26247=1),1,0)</f>
        <v>0</v>
      </c>
      <c r="H26564" s="21" t="n">
        <f aca="false">IF(G26564=1,1,IF(AND(H26315=1,H26247=1),1,0))</f>
        <v>0</v>
      </c>
      <c r="I26564" s="21" t="n">
        <f aca="false">IF(H26564=1,1,IF(AND(I26315=1,I26247=1),1,0))</f>
        <v>0</v>
      </c>
      <c r="J26564" s="21" t="n">
        <f aca="false">IF(I26564=1,1,IF(AND(J26315=1,J26247=1),1,0))</f>
        <v>0</v>
      </c>
      <c r="K26564" s="21" t="n">
        <f aca="false">IF(J26564=1,1,IF(AND(K26315=1,K26247=1),1,0))</f>
        <v>0</v>
      </c>
    </row>
    <row r="26565" customFormat="false" ht="15" hidden="false" customHeight="false" outlineLevel="0" collapsed="false">
      <c r="A26565" s="3" t="s">
        <v>562</v>
      </c>
      <c r="C26565" s="16" t="n">
        <f aca="false">IF(C26543&gt;0,C26521-C26554,0)</f>
        <v>0</v>
      </c>
      <c r="G26565" s="21" t="n">
        <f aca="false">IF(AND(G26328=1,G26247=1),1,0)</f>
        <v>0</v>
      </c>
      <c r="H26565" s="21" t="n">
        <f aca="false">IF(G26565=1,1,IF(AND(H26328=1,H26247=1),1,0))</f>
        <v>0</v>
      </c>
      <c r="I26565" s="21" t="n">
        <f aca="false">IF(H26565=1,1,IF(AND(I26328=1,I26247=1),1,0))</f>
        <v>0</v>
      </c>
      <c r="J26565" s="21" t="n">
        <f aca="false">IF(I26565=1,1,IF(AND(J26328=1,J26247=1),1,0))</f>
        <v>0</v>
      </c>
      <c r="K26565" s="21" t="n">
        <f aca="false">IF(J26565=1,1,IF(AND(K26328=1,K26247=1),1,0))</f>
        <v>0</v>
      </c>
    </row>
    <row r="26566" customFormat="false" ht="15" hidden="false" customHeight="false" outlineLevel="0" collapsed="false">
      <c r="A26566" s="3" t="s">
        <v>563</v>
      </c>
      <c r="C26566" s="16" t="n">
        <f aca="false">IF(C26544&gt;0,C26522-C26555,0)</f>
        <v>0</v>
      </c>
      <c r="G26566" s="21" t="n">
        <f aca="false">IF(AND(G26341=1,G26247=1),1,0)</f>
        <v>0</v>
      </c>
      <c r="H26566" s="21" t="n">
        <f aca="false">IF(G26566=1,1,IF(AND(H26341=1,H26247=1),1,0))</f>
        <v>0</v>
      </c>
      <c r="I26566" s="21" t="n">
        <f aca="false">IF(H26566=1,1,IF(AND(I26341=1,I26247=1),1,0))</f>
        <v>0</v>
      </c>
      <c r="J26566" s="21" t="n">
        <f aca="false">IF(I26566=1,1,IF(AND(J26341=1,J26247=1),1,0))</f>
        <v>0</v>
      </c>
      <c r="K26566" s="21" t="n">
        <f aca="false">IF(J26566=1,1,IF(AND(K26341=1,K26247=1),1,0))</f>
        <v>0</v>
      </c>
    </row>
    <row r="26567" customFormat="false" ht="15" hidden="false" customHeight="false" outlineLevel="0" collapsed="false">
      <c r="A26567" s="3" t="s">
        <v>564</v>
      </c>
      <c r="C26567" s="16" t="n">
        <f aca="false">IF(C26545&gt;0,C26523-C26556,0)</f>
        <v>0</v>
      </c>
      <c r="G26567" s="21" t="n">
        <f aca="false">IF(AND(G26354=1,G26247=1),1,0)</f>
        <v>0</v>
      </c>
      <c r="H26567" s="21" t="n">
        <f aca="false">IF(G26567=1,1,IF(AND(H26354=1,H26247=1),1,0))</f>
        <v>0</v>
      </c>
      <c r="I26567" s="21" t="n">
        <f aca="false">IF(H26567=1,1,IF(AND(I26354=1,I26247=1),1,0))</f>
        <v>0</v>
      </c>
      <c r="J26567" s="21" t="n">
        <f aca="false">IF(I26567=1,1,IF(AND(J26354=1,J26247=1),1,0))</f>
        <v>0</v>
      </c>
      <c r="K26567" s="21" t="n">
        <f aca="false">IF(J26567=1,1,IF(AND(K26354=1,K26247=1),1,0))</f>
        <v>0</v>
      </c>
    </row>
    <row r="26568" customFormat="false" ht="15" hidden="false" customHeight="false" outlineLevel="0" collapsed="false">
      <c r="A26568" s="3" t="s">
        <v>565</v>
      </c>
      <c r="C26568" s="16" t="n">
        <f aca="false">IF(C26546&gt;0,C26524-C26557,0)</f>
        <v>0</v>
      </c>
      <c r="G26568" s="21" t="n">
        <f aca="false">IF(AND(G26367=1,G26247=1),1,0)</f>
        <v>0</v>
      </c>
      <c r="H26568" s="21" t="n">
        <f aca="false">IF(G26568=1,1,IF(AND(H26367=1,H26247=1),1,0))</f>
        <v>0</v>
      </c>
      <c r="I26568" s="21" t="n">
        <f aca="false">IF(H26568=1,1,IF(AND(I26367=1,I26247=1),1,0))</f>
        <v>0</v>
      </c>
      <c r="J26568" s="21" t="n">
        <f aca="false">IF(I26568=1,1,IF(AND(J26367=1,J26247=1),1,0))</f>
        <v>0</v>
      </c>
      <c r="K26568" s="21" t="n">
        <f aca="false">IF(J26568=1,1,IF(AND(K26367=1,K26247=1),1,0))</f>
        <v>0</v>
      </c>
    </row>
    <row r="26569" customFormat="false" ht="15" hidden="false" customHeight="false" outlineLevel="0" collapsed="false">
      <c r="A26569" s="24" t="s">
        <v>570</v>
      </c>
      <c r="B26569" s="25"/>
      <c r="C26569" s="25"/>
      <c r="D26569" s="25"/>
      <c r="E26569" s="25"/>
      <c r="F26569" s="25"/>
      <c r="G26569" s="25"/>
      <c r="H26569" s="25"/>
      <c r="I26569" s="25"/>
      <c r="J26569" s="25"/>
      <c r="K26569" s="25"/>
    </row>
    <row r="26570" customFormat="false" ht="15" hidden="false" customHeight="false" outlineLevel="0" collapsed="false">
      <c r="A26570" s="3" t="s">
        <v>556</v>
      </c>
      <c r="C26570" s="16" t="n">
        <f aca="false">IF(C26537&gt;0,C26559,C26515)</f>
        <v>0</v>
      </c>
    </row>
    <row r="26571" customFormat="false" ht="15" hidden="false" customHeight="false" outlineLevel="0" collapsed="false">
      <c r="A26571" s="3" t="s">
        <v>557</v>
      </c>
      <c r="C26571" s="16" t="n">
        <f aca="false">IF(C26538&gt;0,C26560,C26516)</f>
        <v>0</v>
      </c>
    </row>
    <row r="26572" customFormat="false" ht="15" hidden="false" customHeight="false" outlineLevel="0" collapsed="false">
      <c r="A26572" s="3" t="s">
        <v>558</v>
      </c>
      <c r="C26572" s="16" t="n">
        <f aca="false">IF(C26539&gt;0,C26561,C26517)</f>
        <v>0</v>
      </c>
    </row>
    <row r="26573" customFormat="false" ht="15" hidden="false" customHeight="false" outlineLevel="0" collapsed="false">
      <c r="A26573" s="3" t="s">
        <v>559</v>
      </c>
      <c r="C26573" s="16" t="n">
        <f aca="false">IF(C26540&gt;0,C26562,C26518)</f>
        <v>0</v>
      </c>
    </row>
    <row r="26574" customFormat="false" ht="15" hidden="false" customHeight="false" outlineLevel="0" collapsed="false">
      <c r="A26574" s="3" t="s">
        <v>560</v>
      </c>
      <c r="C26574" s="16" t="n">
        <f aca="false">IF(C26541&gt;0,C26563,C26519)</f>
        <v>405.410640665075</v>
      </c>
    </row>
    <row r="26575" customFormat="false" ht="15" hidden="false" customHeight="false" outlineLevel="0" collapsed="false">
      <c r="A26575" s="3" t="s">
        <v>561</v>
      </c>
      <c r="C26575" s="16" t="n">
        <f aca="false">IF(C26542&gt;0,C26564,C26520)</f>
        <v>357.2625</v>
      </c>
    </row>
    <row r="26576" customFormat="false" ht="15" hidden="false" customHeight="false" outlineLevel="0" collapsed="false">
      <c r="A26576" s="3" t="s">
        <v>562</v>
      </c>
      <c r="C26576" s="16" t="n">
        <f aca="false">IF(C26543&gt;0,C26565,C26521)</f>
        <v>562.203125</v>
      </c>
    </row>
    <row r="26577" customFormat="false" ht="15" hidden="false" customHeight="false" outlineLevel="0" collapsed="false">
      <c r="A26577" s="3" t="s">
        <v>563</v>
      </c>
      <c r="C26577" s="16" t="n">
        <f aca="false">IF(C26544&gt;0,C26566,C26522)</f>
        <v>353.98125</v>
      </c>
    </row>
    <row r="26578" customFormat="false" ht="15" hidden="false" customHeight="false" outlineLevel="0" collapsed="false">
      <c r="A26578" s="3" t="s">
        <v>564</v>
      </c>
      <c r="C26578" s="16" t="n">
        <f aca="false">IF(C26545&gt;0,C26567,C26523)</f>
        <v>304.59375</v>
      </c>
    </row>
    <row r="26579" customFormat="false" ht="15" hidden="false" customHeight="false" outlineLevel="0" collapsed="false">
      <c r="A26579" s="3" t="s">
        <v>565</v>
      </c>
      <c r="C26579" s="16" t="n">
        <f aca="false">IF(C26546&gt;0,C26568,C26524)</f>
        <v>79.938509</v>
      </c>
    </row>
    <row r="26580" customFormat="false" ht="15" hidden="false" customHeight="false" outlineLevel="0" collapsed="false">
      <c r="A26580" s="24" t="s">
        <v>571</v>
      </c>
      <c r="B26580" s="25"/>
      <c r="C26580" s="25"/>
      <c r="D26580" s="25"/>
      <c r="E26580" s="25"/>
      <c r="F26580" s="25"/>
      <c r="G26580" s="25"/>
      <c r="H26580" s="25"/>
      <c r="I26580" s="25"/>
      <c r="J26580" s="25"/>
      <c r="K26580" s="25"/>
    </row>
    <row r="26581" customFormat="false" ht="15" hidden="false" customHeight="false" outlineLevel="0" collapsed="false">
      <c r="A26581" s="3" t="s">
        <v>556</v>
      </c>
      <c r="C26581" s="21" t="n">
        <f aca="false">IF(C26537&gt;0,Assumptions!$C$17,C26526)</f>
        <v>99</v>
      </c>
    </row>
    <row r="26582" customFormat="false" ht="15" hidden="false" customHeight="false" outlineLevel="0" collapsed="false">
      <c r="A26582" s="3" t="s">
        <v>557</v>
      </c>
      <c r="C26582" s="21" t="n">
        <f aca="false">IF(C26538&gt;0,Assumptions!$C$17,C26527)</f>
        <v>99</v>
      </c>
    </row>
    <row r="26583" customFormat="false" ht="15" hidden="false" customHeight="false" outlineLevel="0" collapsed="false">
      <c r="A26583" s="3" t="s">
        <v>558</v>
      </c>
      <c r="C26583" s="21" t="n">
        <f aca="false">IF(C26539&gt;0,Assumptions!$C$17,C26528)</f>
        <v>99</v>
      </c>
    </row>
    <row r="26584" customFormat="false" ht="15" hidden="false" customHeight="false" outlineLevel="0" collapsed="false">
      <c r="A26584" s="3" t="s">
        <v>559</v>
      </c>
      <c r="C26584" s="21" t="n">
        <f aca="false">IF(C26540&gt;0,Assumptions!$C$17,C26529)</f>
        <v>2</v>
      </c>
    </row>
    <row r="26585" customFormat="false" ht="15" hidden="false" customHeight="false" outlineLevel="0" collapsed="false">
      <c r="A26585" s="3" t="s">
        <v>560</v>
      </c>
      <c r="C26585" s="21" t="n">
        <f aca="false">IF(C26541&gt;0,Assumptions!$C$17,C26530)</f>
        <v>2</v>
      </c>
    </row>
    <row r="26586" customFormat="false" ht="15" hidden="false" customHeight="false" outlineLevel="0" collapsed="false">
      <c r="A26586" s="3" t="s">
        <v>561</v>
      </c>
      <c r="C26586" s="21" t="n">
        <f aca="false">IF(C26542&gt;0,Assumptions!$C$17,C26531)</f>
        <v>2</v>
      </c>
    </row>
    <row r="26587" customFormat="false" ht="15" hidden="false" customHeight="false" outlineLevel="0" collapsed="false">
      <c r="A26587" s="3" t="s">
        <v>562</v>
      </c>
      <c r="C26587" s="21" t="n">
        <f aca="false">IF(C26543&gt;0,Assumptions!$C$17,C26532)</f>
        <v>2</v>
      </c>
    </row>
    <row r="26588" customFormat="false" ht="15" hidden="false" customHeight="false" outlineLevel="0" collapsed="false">
      <c r="A26588" s="3" t="s">
        <v>563</v>
      </c>
      <c r="C26588" s="21" t="n">
        <f aca="false">IF(C26544&gt;0,Assumptions!$C$17,C26533)</f>
        <v>2</v>
      </c>
    </row>
    <row r="26589" customFormat="false" ht="15" hidden="false" customHeight="false" outlineLevel="0" collapsed="false">
      <c r="A26589" s="3" t="s">
        <v>564</v>
      </c>
      <c r="C26589" s="21" t="n">
        <f aca="false">IF(C26545&gt;0,Assumptions!$C$17,C26534)</f>
        <v>2</v>
      </c>
    </row>
    <row r="26590" customFormat="false" ht="15" hidden="false" customHeight="false" outlineLevel="0" collapsed="false">
      <c r="A26590" s="3" t="s">
        <v>565</v>
      </c>
      <c r="C26590" s="21" t="n">
        <f aca="false">IF(C26546&gt;0,Assumptions!$C$17,C26535)</f>
        <v>3</v>
      </c>
    </row>
    <row r="26591" customFormat="false" ht="15" hidden="false" customHeight="false" outlineLevel="0" collapsed="false">
      <c r="A26591" s="24" t="s">
        <v>572</v>
      </c>
      <c r="B26591" s="25"/>
      <c r="C26591" s="25"/>
      <c r="D26591" s="25"/>
      <c r="E26591" s="25"/>
      <c r="F26591" s="25"/>
      <c r="G26591" s="25"/>
      <c r="H26591" s="25"/>
      <c r="I26591" s="25"/>
      <c r="J26591" s="25"/>
      <c r="K26591" s="25"/>
    </row>
    <row r="26592" customFormat="false" ht="15" hidden="false" customHeight="false" outlineLevel="0" collapsed="false">
      <c r="A26592" s="3" t="s">
        <v>556</v>
      </c>
      <c r="C26592" s="16" t="n">
        <f aca="false">SUMPRODUCT(($C$26581:$C$26590&lt;C26581)*$C$26570:$C$26579)</f>
        <v>2063.38977466508</v>
      </c>
    </row>
    <row r="26593" customFormat="false" ht="15" hidden="false" customHeight="false" outlineLevel="0" collapsed="false">
      <c r="A26593" s="3" t="s">
        <v>557</v>
      </c>
      <c r="C26593" s="16" t="n">
        <f aca="false">SUMPRODUCT(($C$26581:$C$26590&lt;C26582)*$C$26570:$C$26579)</f>
        <v>2063.38977466508</v>
      </c>
    </row>
    <row r="26594" customFormat="false" ht="15" hidden="false" customHeight="false" outlineLevel="0" collapsed="false">
      <c r="A26594" s="3" t="s">
        <v>558</v>
      </c>
      <c r="C26594" s="16" t="n">
        <f aca="false">SUMPRODUCT(($C$26581:$C$26590&lt;C26583)*$C$26570:$C$26579)</f>
        <v>2063.38977466508</v>
      </c>
    </row>
    <row r="26595" customFormat="false" ht="15" hidden="false" customHeight="false" outlineLevel="0" collapsed="false">
      <c r="A26595" s="3" t="s">
        <v>559</v>
      </c>
      <c r="C26595" s="16" t="n">
        <f aca="false">SUMPRODUCT(($C$26581:$C$26590&lt;C26584)*$C$26570:$C$26579)</f>
        <v>0</v>
      </c>
    </row>
    <row r="26596" customFormat="false" ht="15" hidden="false" customHeight="false" outlineLevel="0" collapsed="false">
      <c r="A26596" s="3" t="s">
        <v>560</v>
      </c>
      <c r="C26596" s="16" t="n">
        <f aca="false">SUMPRODUCT(($C$26581:$C$26590&lt;C26585)*$C$26570:$C$26579)</f>
        <v>0</v>
      </c>
    </row>
    <row r="26597" customFormat="false" ht="15" hidden="false" customHeight="false" outlineLevel="0" collapsed="false">
      <c r="A26597" s="3" t="s">
        <v>561</v>
      </c>
      <c r="C26597" s="16" t="n">
        <f aca="false">SUMPRODUCT(($C$26581:$C$26590&lt;C26586)*$C$26570:$C$26579)</f>
        <v>0</v>
      </c>
    </row>
    <row r="26598" customFormat="false" ht="15" hidden="false" customHeight="false" outlineLevel="0" collapsed="false">
      <c r="A26598" s="3" t="s">
        <v>562</v>
      </c>
      <c r="C26598" s="16" t="n">
        <f aca="false">SUMPRODUCT(($C$26581:$C$26590&lt;C26587)*$C$26570:$C$26579)</f>
        <v>0</v>
      </c>
    </row>
    <row r="26599" customFormat="false" ht="15" hidden="false" customHeight="false" outlineLevel="0" collapsed="false">
      <c r="A26599" s="3" t="s">
        <v>563</v>
      </c>
      <c r="C26599" s="16" t="n">
        <f aca="false">SUMPRODUCT(($C$26581:$C$26590&lt;C26588)*$C$26570:$C$26579)</f>
        <v>0</v>
      </c>
    </row>
    <row r="26600" customFormat="false" ht="15" hidden="false" customHeight="false" outlineLevel="0" collapsed="false">
      <c r="A26600" s="3" t="s">
        <v>564</v>
      </c>
      <c r="C26600" s="16" t="n">
        <f aca="false">SUMPRODUCT(($C$26581:$C$26590&lt;C26589)*$C$26570:$C$26579)</f>
        <v>0</v>
      </c>
    </row>
    <row r="26601" customFormat="false" ht="15" hidden="false" customHeight="false" outlineLevel="0" collapsed="false">
      <c r="A26601" s="3" t="s">
        <v>565</v>
      </c>
      <c r="C26601" s="16" t="n">
        <f aca="false">SUMPRODUCT(($C$26581:$C$26590&lt;C26590)*$C$26570:$C$26579)</f>
        <v>1983.45126566508</v>
      </c>
    </row>
    <row r="26602" customFormat="false" ht="15" hidden="false" customHeight="false" outlineLevel="0" collapsed="false">
      <c r="A26602" s="24" t="s">
        <v>573</v>
      </c>
      <c r="B26602" s="25"/>
      <c r="C26602" s="25"/>
      <c r="D26602" s="25"/>
      <c r="E26602" s="25"/>
      <c r="F26602" s="25"/>
      <c r="G26602" s="25"/>
      <c r="H26602" s="25"/>
      <c r="I26602" s="25"/>
      <c r="J26602" s="25"/>
      <c r="K26602" s="25"/>
    </row>
    <row r="26603" customFormat="false" ht="15" hidden="false" customHeight="false" outlineLevel="0" collapsed="false">
      <c r="A26603" s="3" t="s">
        <v>556</v>
      </c>
      <c r="C26603" s="16" t="n">
        <f aca="false">SUMPRODUCT(($C$26581:$C$26590=C26581)*$C$26570:$C$26579)</f>
        <v>0</v>
      </c>
    </row>
    <row r="26604" customFormat="false" ht="15" hidden="false" customHeight="false" outlineLevel="0" collapsed="false">
      <c r="A26604" s="3" t="s">
        <v>557</v>
      </c>
      <c r="C26604" s="16" t="n">
        <f aca="false">SUMPRODUCT(($C$26581:$C$26590=C26582)*$C$26570:$C$26579)</f>
        <v>0</v>
      </c>
    </row>
    <row r="26605" customFormat="false" ht="15" hidden="false" customHeight="false" outlineLevel="0" collapsed="false">
      <c r="A26605" s="3" t="s">
        <v>558</v>
      </c>
      <c r="C26605" s="16" t="n">
        <f aca="false">SUMPRODUCT(($C$26581:$C$26590=C26583)*$C$26570:$C$26579)</f>
        <v>0</v>
      </c>
    </row>
    <row r="26606" customFormat="false" ht="15" hidden="false" customHeight="false" outlineLevel="0" collapsed="false">
      <c r="A26606" s="3" t="s">
        <v>559</v>
      </c>
      <c r="C26606" s="16" t="n">
        <f aca="false">SUMPRODUCT(($C$26581:$C$26590=C26584)*$C$26570:$C$26579)</f>
        <v>1983.45126566508</v>
      </c>
    </row>
    <row r="26607" customFormat="false" ht="15" hidden="false" customHeight="false" outlineLevel="0" collapsed="false">
      <c r="A26607" s="3" t="s">
        <v>560</v>
      </c>
      <c r="C26607" s="16" t="n">
        <f aca="false">SUMPRODUCT(($C$26581:$C$26590=C26585)*$C$26570:$C$26579)</f>
        <v>1983.45126566508</v>
      </c>
    </row>
    <row r="26608" customFormat="false" ht="15" hidden="false" customHeight="false" outlineLevel="0" collapsed="false">
      <c r="A26608" s="3" t="s">
        <v>561</v>
      </c>
      <c r="C26608" s="16" t="n">
        <f aca="false">SUMPRODUCT(($C$26581:$C$26590=C26586)*$C$26570:$C$26579)</f>
        <v>1983.45126566508</v>
      </c>
    </row>
    <row r="26609" customFormat="false" ht="15" hidden="false" customHeight="false" outlineLevel="0" collapsed="false">
      <c r="A26609" s="3" t="s">
        <v>562</v>
      </c>
      <c r="C26609" s="16" t="n">
        <f aca="false">SUMPRODUCT(($C$26581:$C$26590=C26587)*$C$26570:$C$26579)</f>
        <v>1983.45126566508</v>
      </c>
    </row>
    <row r="26610" customFormat="false" ht="15" hidden="false" customHeight="false" outlineLevel="0" collapsed="false">
      <c r="A26610" s="3" t="s">
        <v>563</v>
      </c>
      <c r="C26610" s="16" t="n">
        <f aca="false">SUMPRODUCT(($C$26581:$C$26590=C26588)*$C$26570:$C$26579)</f>
        <v>1983.45126566508</v>
      </c>
    </row>
    <row r="26611" customFormat="false" ht="15" hidden="false" customHeight="false" outlineLevel="0" collapsed="false">
      <c r="A26611" s="3" t="s">
        <v>564</v>
      </c>
      <c r="C26611" s="16" t="n">
        <f aca="false">SUMPRODUCT(($C$26581:$C$26590=C26589)*$C$26570:$C$26579)</f>
        <v>1983.45126566508</v>
      </c>
    </row>
    <row r="26612" customFormat="false" ht="15" hidden="false" customHeight="false" outlineLevel="0" collapsed="false">
      <c r="A26612" s="3" t="s">
        <v>565</v>
      </c>
      <c r="C26612" s="16" t="n">
        <f aca="false">SUMPRODUCT(($C$26581:$C$26590=C26590)*$C$26570:$C$26579)</f>
        <v>79.938509</v>
      </c>
    </row>
    <row r="26613" customFormat="false" ht="15" hidden="false" customHeight="false" outlineLevel="0" collapsed="false">
      <c r="A26613" s="24" t="s">
        <v>574</v>
      </c>
      <c r="B26613" s="25"/>
      <c r="C26613" s="25"/>
      <c r="D26613" s="25"/>
      <c r="E26613" s="25"/>
      <c r="F26613" s="25"/>
      <c r="G26613" s="25"/>
      <c r="H26613" s="25"/>
      <c r="I26613" s="25"/>
      <c r="J26613" s="25"/>
      <c r="K26613" s="25"/>
    </row>
    <row r="26614" customFormat="false" ht="15" hidden="false" customHeight="false" outlineLevel="0" collapsed="false">
      <c r="A26614" s="3" t="s">
        <v>556</v>
      </c>
      <c r="C26614" s="16" t="n">
        <f aca="false">IF(C26603=0,0,C26570/C26603*MAX(0,MIN(C26603,$C$26513-SUM($C$26548:$C$26557)-C26592)))</f>
        <v>0</v>
      </c>
    </row>
    <row r="26615" customFormat="false" ht="15" hidden="false" customHeight="false" outlineLevel="0" collapsed="false">
      <c r="A26615" s="3" t="s">
        <v>557</v>
      </c>
      <c r="C26615" s="16" t="n">
        <f aca="false">IF(C26604=0,0,C26571/C26604*MAX(0,MIN(C26604,$C$26513-SUM($C$26548:$C$26557)-C26593)))</f>
        <v>0</v>
      </c>
    </row>
    <row r="26616" customFormat="false" ht="15" hidden="false" customHeight="false" outlineLevel="0" collapsed="false">
      <c r="A26616" s="3" t="s">
        <v>558</v>
      </c>
      <c r="C26616" s="16" t="n">
        <f aca="false">IF(C26605=0,0,C26572/C26605*MAX(0,MIN(C26605,$C$26513-SUM($C$26548:$C$26557)-C26594)))</f>
        <v>0</v>
      </c>
    </row>
    <row r="26617" customFormat="false" ht="15" hidden="false" customHeight="false" outlineLevel="0" collapsed="false">
      <c r="A26617" s="3" t="s">
        <v>559</v>
      </c>
      <c r="C26617" s="16" t="n">
        <f aca="false">IF(C26606=0,0,C26573/C26606*MAX(0,MIN(C26606,$C$26513-SUM($C$26548:$C$26557)-C26595)))</f>
        <v>0</v>
      </c>
    </row>
    <row r="26618" customFormat="false" ht="15" hidden="false" customHeight="false" outlineLevel="0" collapsed="false">
      <c r="A26618" s="3" t="s">
        <v>560</v>
      </c>
      <c r="C26618" s="16" t="n">
        <f aca="false">IF(C26607=0,0,C26574/C26607*MAX(0,MIN(C26607,$C$26513-SUM($C$26548:$C$26557)-C26596)))</f>
        <v>405.410640665075</v>
      </c>
    </row>
    <row r="26619" customFormat="false" ht="15" hidden="false" customHeight="false" outlineLevel="0" collapsed="false">
      <c r="A26619" s="3" t="s">
        <v>561</v>
      </c>
      <c r="C26619" s="16" t="n">
        <f aca="false">IF(C26608=0,0,C26575/C26608*MAX(0,MIN(C26608,$C$26513-SUM($C$26548:$C$26557)-C26597)))</f>
        <v>357.2625</v>
      </c>
    </row>
    <row r="26620" customFormat="false" ht="15" hidden="false" customHeight="false" outlineLevel="0" collapsed="false">
      <c r="A26620" s="3" t="s">
        <v>562</v>
      </c>
      <c r="C26620" s="16" t="n">
        <f aca="false">IF(C26609=0,0,C26576/C26609*MAX(0,MIN(C26609,$C$26513-SUM($C$26548:$C$26557)-C26598)))</f>
        <v>562.203125</v>
      </c>
    </row>
    <row r="26621" customFormat="false" ht="15" hidden="false" customHeight="false" outlineLevel="0" collapsed="false">
      <c r="A26621" s="3" t="s">
        <v>563</v>
      </c>
      <c r="C26621" s="16" t="n">
        <f aca="false">IF(C26610=0,0,C26577/C26610*MAX(0,MIN(C26610,$C$26513-SUM($C$26548:$C$26557)-C26599)))</f>
        <v>353.98125</v>
      </c>
    </row>
    <row r="26622" customFormat="false" ht="15" hidden="false" customHeight="false" outlineLevel="0" collapsed="false">
      <c r="A26622" s="3" t="s">
        <v>564</v>
      </c>
      <c r="C26622" s="16" t="n">
        <f aca="false">IF(C26611=0,0,C26578/C26611*MAX(0,MIN(C26611,$C$26513-SUM($C$26548:$C$26557)-C26600)))</f>
        <v>304.59375</v>
      </c>
    </row>
    <row r="26623" customFormat="false" ht="15" hidden="false" customHeight="false" outlineLevel="0" collapsed="false">
      <c r="A26623" s="3" t="s">
        <v>565</v>
      </c>
      <c r="C26623" s="16" t="n">
        <f aca="false">IF(C26612=0,0,C26579/C26612*MAX(0,MIN(C26612,$C$26513-SUM($C$26548:$C$26557)-C26601)))</f>
        <v>79.938509</v>
      </c>
    </row>
    <row r="26624" customFormat="false" ht="15" hidden="false" customHeight="false" outlineLevel="0" collapsed="false">
      <c r="A26624" s="24" t="s">
        <v>575</v>
      </c>
      <c r="B26624" s="25"/>
      <c r="C26624" s="25"/>
      <c r="D26624" s="25"/>
      <c r="E26624" s="25"/>
      <c r="F26624" s="25"/>
      <c r="G26624" s="25"/>
      <c r="H26624" s="25"/>
      <c r="I26624" s="25"/>
      <c r="J26624" s="25"/>
      <c r="K26624" s="25"/>
    </row>
    <row r="26625" customFormat="false" ht="15" hidden="false" customHeight="false" outlineLevel="0" collapsed="false">
      <c r="A26625" s="2" t="s">
        <v>556</v>
      </c>
      <c r="C26625" s="17" t="n">
        <f aca="false">C26548+C26614</f>
        <v>402.29</v>
      </c>
    </row>
    <row r="26626" customFormat="false" ht="15" hidden="false" customHeight="false" outlineLevel="0" collapsed="false">
      <c r="A26626" s="2" t="s">
        <v>557</v>
      </c>
      <c r="C26626" s="17" t="n">
        <f aca="false">C26549+C26615</f>
        <v>91.30725</v>
      </c>
    </row>
    <row r="26627" customFormat="false" ht="15" hidden="false" customHeight="false" outlineLevel="0" collapsed="false">
      <c r="A26627" s="2" t="s">
        <v>558</v>
      </c>
      <c r="C26627" s="17" t="n">
        <f aca="false">C26550+C26616</f>
        <v>58.3715961</v>
      </c>
    </row>
    <row r="26628" customFormat="false" ht="15" hidden="false" customHeight="false" outlineLevel="0" collapsed="false">
      <c r="A26628" s="2" t="s">
        <v>559</v>
      </c>
      <c r="C26628" s="17" t="n">
        <f aca="false">C26551+C26617</f>
        <v>0</v>
      </c>
    </row>
    <row r="26629" customFormat="false" ht="15" hidden="false" customHeight="false" outlineLevel="0" collapsed="false">
      <c r="A26629" s="2" t="s">
        <v>560</v>
      </c>
      <c r="C26629" s="17" t="n">
        <f aca="false">C26552+C26618</f>
        <v>405.410640665075</v>
      </c>
    </row>
    <row r="26630" customFormat="false" ht="15" hidden="false" customHeight="false" outlineLevel="0" collapsed="false">
      <c r="A26630" s="2" t="s">
        <v>561</v>
      </c>
      <c r="C26630" s="17" t="n">
        <f aca="false">C26553+C26619</f>
        <v>357.2625</v>
      </c>
    </row>
    <row r="26631" customFormat="false" ht="15" hidden="false" customHeight="false" outlineLevel="0" collapsed="false">
      <c r="A26631" s="2" t="s">
        <v>562</v>
      </c>
      <c r="C26631" s="17" t="n">
        <f aca="false">C26554+C26620</f>
        <v>562.203125</v>
      </c>
    </row>
    <row r="26632" customFormat="false" ht="15" hidden="false" customHeight="false" outlineLevel="0" collapsed="false">
      <c r="A26632" s="2" t="s">
        <v>563</v>
      </c>
      <c r="C26632" s="17" t="n">
        <f aca="false">C26555+C26621</f>
        <v>353.98125</v>
      </c>
    </row>
    <row r="26633" customFormat="false" ht="15" hidden="false" customHeight="false" outlineLevel="0" collapsed="false">
      <c r="A26633" s="2" t="s">
        <v>564</v>
      </c>
      <c r="C26633" s="17" t="n">
        <f aca="false">C26556+C26622</f>
        <v>304.59375</v>
      </c>
    </row>
    <row r="26634" customFormat="false" ht="15" hidden="false" customHeight="false" outlineLevel="0" collapsed="false">
      <c r="A26634" s="2" t="s">
        <v>565</v>
      </c>
      <c r="C26634" s="17" t="n">
        <f aca="false">C26557+C26623</f>
        <v>79.938509</v>
      </c>
    </row>
    <row r="26635" customFormat="false" ht="15" hidden="false" customHeight="false" outlineLevel="0" collapsed="false">
      <c r="A26635" s="24" t="s">
        <v>576</v>
      </c>
      <c r="B26635" s="25"/>
      <c r="C26635" s="25"/>
      <c r="D26635" s="25"/>
      <c r="E26635" s="25"/>
      <c r="F26635" s="25"/>
      <c r="G26635" s="25"/>
      <c r="H26635" s="25"/>
      <c r="I26635" s="25"/>
      <c r="J26635" s="25"/>
      <c r="K26635" s="25"/>
    </row>
    <row r="26636" customFormat="false" ht="15" hidden="false" customHeight="false" outlineLevel="0" collapsed="false">
      <c r="A26636" s="3" t="s">
        <v>556</v>
      </c>
      <c r="C26636" s="22" t="n">
        <f aca="false">IF(C26515=0,1,C26625/C26515)</f>
        <v>1</v>
      </c>
    </row>
    <row r="26637" customFormat="false" ht="15" hidden="false" customHeight="false" outlineLevel="0" collapsed="false">
      <c r="A26637" s="3" t="s">
        <v>557</v>
      </c>
      <c r="C26637" s="22" t="n">
        <f aca="false">IF(C26516=0,1,C26626/C26516)</f>
        <v>1</v>
      </c>
    </row>
    <row r="26638" customFormat="false" ht="15" hidden="false" customHeight="false" outlineLevel="0" collapsed="false">
      <c r="A26638" s="3" t="s">
        <v>558</v>
      </c>
      <c r="C26638" s="22" t="n">
        <f aca="false">IF(C26517=0,1,C26627/C26517)</f>
        <v>1</v>
      </c>
    </row>
    <row r="26639" customFormat="false" ht="15" hidden="false" customHeight="false" outlineLevel="0" collapsed="false">
      <c r="A26639" s="3" t="s">
        <v>559</v>
      </c>
      <c r="C26639" s="22" t="n">
        <f aca="false">IF(C26518=0,1,C26628/C26518)</f>
        <v>1</v>
      </c>
    </row>
    <row r="26640" customFormat="false" ht="15" hidden="false" customHeight="false" outlineLevel="0" collapsed="false">
      <c r="A26640" s="3" t="s">
        <v>560</v>
      </c>
      <c r="C26640" s="22" t="n">
        <f aca="false">IF(C26519=0,1,C26629/C26519)</f>
        <v>1</v>
      </c>
    </row>
    <row r="26641" customFormat="false" ht="15" hidden="false" customHeight="false" outlineLevel="0" collapsed="false">
      <c r="A26641" s="3" t="s">
        <v>561</v>
      </c>
      <c r="C26641" s="22" t="n">
        <f aca="false">IF(C26520=0,1,C26630/C26520)</f>
        <v>1</v>
      </c>
    </row>
    <row r="26642" customFormat="false" ht="15" hidden="false" customHeight="false" outlineLevel="0" collapsed="false">
      <c r="A26642" s="3" t="s">
        <v>562</v>
      </c>
      <c r="C26642" s="22" t="n">
        <f aca="false">IF(C26521=0,1,C26631/C26521)</f>
        <v>1</v>
      </c>
    </row>
    <row r="26643" customFormat="false" ht="15" hidden="false" customHeight="false" outlineLevel="0" collapsed="false">
      <c r="A26643" s="3" t="s">
        <v>563</v>
      </c>
      <c r="C26643" s="22" t="n">
        <f aca="false">IF(C26522=0,1,C26632/C26522)</f>
        <v>1</v>
      </c>
    </row>
    <row r="26644" customFormat="false" ht="15" hidden="false" customHeight="false" outlineLevel="0" collapsed="false">
      <c r="A26644" s="3" t="s">
        <v>564</v>
      </c>
      <c r="C26644" s="22" t="n">
        <f aca="false">IF(C26523=0,1,C26633/C26523)</f>
        <v>1</v>
      </c>
    </row>
    <row r="26645" customFormat="false" ht="15" hidden="false" customHeight="false" outlineLevel="0" collapsed="false">
      <c r="A26645" s="3" t="s">
        <v>565</v>
      </c>
      <c r="C26645" s="22" t="n">
        <f aca="false">IF(C26524=0,1,C26634/C26524)</f>
        <v>1</v>
      </c>
    </row>
    <row r="26646" customFormat="false" ht="15" hidden="false" customHeight="false" outlineLevel="0" collapsed="false">
      <c r="A26646" s="24" t="s">
        <v>577</v>
      </c>
      <c r="B26646" s="25"/>
      <c r="C26646" s="25"/>
      <c r="D26646" s="25"/>
      <c r="E26646" s="25"/>
      <c r="F26646" s="25"/>
      <c r="G26646" s="25"/>
      <c r="H26646" s="25"/>
      <c r="I26646" s="25"/>
      <c r="J26646" s="25"/>
      <c r="K26646" s="25"/>
    </row>
    <row r="26647" customFormat="false" ht="15" hidden="false" customHeight="false" outlineLevel="0" collapsed="false">
      <c r="A26647" s="3" t="s">
        <v>556</v>
      </c>
      <c r="C26647" s="16" t="n">
        <f aca="false">C26515-C26625</f>
        <v>0</v>
      </c>
    </row>
    <row r="26648" customFormat="false" ht="15" hidden="false" customHeight="false" outlineLevel="0" collapsed="false">
      <c r="A26648" s="3" t="s">
        <v>557</v>
      </c>
      <c r="C26648" s="16" t="n">
        <f aca="false">C26516-C26626</f>
        <v>0</v>
      </c>
    </row>
    <row r="26649" customFormat="false" ht="15" hidden="false" customHeight="false" outlineLevel="0" collapsed="false">
      <c r="A26649" s="3" t="s">
        <v>558</v>
      </c>
      <c r="C26649" s="16" t="n">
        <f aca="false">C26517-C26627</f>
        <v>0</v>
      </c>
    </row>
    <row r="26650" customFormat="false" ht="15" hidden="false" customHeight="false" outlineLevel="0" collapsed="false">
      <c r="A26650" s="3" t="s">
        <v>559</v>
      </c>
      <c r="C26650" s="16" t="n">
        <f aca="false">C26518-C26628</f>
        <v>0</v>
      </c>
    </row>
    <row r="26651" customFormat="false" ht="15" hidden="false" customHeight="false" outlineLevel="0" collapsed="false">
      <c r="A26651" s="3" t="s">
        <v>560</v>
      </c>
      <c r="C26651" s="16" t="n">
        <f aca="false">C26519-C26629</f>
        <v>0</v>
      </c>
    </row>
    <row r="26652" customFormat="false" ht="15" hidden="false" customHeight="false" outlineLevel="0" collapsed="false">
      <c r="A26652" s="3" t="s">
        <v>561</v>
      </c>
      <c r="C26652" s="16" t="n">
        <f aca="false">C26520-C26630</f>
        <v>0</v>
      </c>
    </row>
    <row r="26653" customFormat="false" ht="15" hidden="false" customHeight="false" outlineLevel="0" collapsed="false">
      <c r="A26653" s="3" t="s">
        <v>562</v>
      </c>
      <c r="C26653" s="16" t="n">
        <f aca="false">C26521-C26631</f>
        <v>0</v>
      </c>
    </row>
    <row r="26654" customFormat="false" ht="15" hidden="false" customHeight="false" outlineLevel="0" collapsed="false">
      <c r="A26654" s="3" t="s">
        <v>563</v>
      </c>
      <c r="C26654" s="16" t="n">
        <f aca="false">C26522-C26632</f>
        <v>0</v>
      </c>
    </row>
    <row r="26655" customFormat="false" ht="15" hidden="false" customHeight="false" outlineLevel="0" collapsed="false">
      <c r="A26655" s="3" t="s">
        <v>564</v>
      </c>
      <c r="C26655" s="16" t="n">
        <f aca="false">C26523-C26633</f>
        <v>0</v>
      </c>
    </row>
    <row r="26656" customFormat="false" ht="15" hidden="false" customHeight="false" outlineLevel="0" collapsed="false">
      <c r="A26656" s="3" t="s">
        <v>565</v>
      </c>
      <c r="C26656" s="16" t="n">
        <f aca="false">C26524-C26634</f>
        <v>0</v>
      </c>
    </row>
    <row r="26657" customFormat="false" ht="15" hidden="false" customHeight="false" outlineLevel="0" collapsed="false">
      <c r="A26657" s="24" t="s">
        <v>578</v>
      </c>
      <c r="B26657" s="25"/>
      <c r="C26657" s="25"/>
      <c r="D26657" s="25"/>
      <c r="E26657" s="25"/>
      <c r="F26657" s="25"/>
      <c r="G26657" s="25"/>
      <c r="H26657" s="25"/>
      <c r="I26657" s="25"/>
      <c r="J26657" s="25"/>
      <c r="K26657" s="25"/>
    </row>
    <row r="26658" customFormat="false" ht="15" hidden="false" customHeight="false" outlineLevel="0" collapsed="false">
      <c r="A26658" s="3" t="s">
        <v>556</v>
      </c>
      <c r="C26658" s="22" t="n">
        <f aca="false">IF(C26515=0,0,C26647/C26515)</f>
        <v>0</v>
      </c>
    </row>
    <row r="26659" customFormat="false" ht="15" hidden="false" customHeight="false" outlineLevel="0" collapsed="false">
      <c r="A26659" s="3" t="s">
        <v>557</v>
      </c>
      <c r="C26659" s="22" t="n">
        <f aca="false">IF(C26516=0,0,C26648/C26516)</f>
        <v>0</v>
      </c>
    </row>
    <row r="26660" customFormat="false" ht="15" hidden="false" customHeight="false" outlineLevel="0" collapsed="false">
      <c r="A26660" s="3" t="s">
        <v>558</v>
      </c>
      <c r="C26660" s="22" t="n">
        <f aca="false">IF(C26517=0,0,C26649/C26517)</f>
        <v>0</v>
      </c>
    </row>
    <row r="26661" customFormat="false" ht="15" hidden="false" customHeight="false" outlineLevel="0" collapsed="false">
      <c r="A26661" s="3" t="s">
        <v>559</v>
      </c>
      <c r="C26661" s="22" t="n">
        <f aca="false">IF(C26518=0,0,C26650/C26518)</f>
        <v>0</v>
      </c>
    </row>
    <row r="26662" customFormat="false" ht="15" hidden="false" customHeight="false" outlineLevel="0" collapsed="false">
      <c r="A26662" s="3" t="s">
        <v>560</v>
      </c>
      <c r="C26662" s="22" t="n">
        <f aca="false">IF(C26519=0,0,C26651/C26519)</f>
        <v>0</v>
      </c>
    </row>
    <row r="26663" customFormat="false" ht="15" hidden="false" customHeight="false" outlineLevel="0" collapsed="false">
      <c r="A26663" s="3" t="s">
        <v>561</v>
      </c>
      <c r="C26663" s="22" t="n">
        <f aca="false">IF(C26520=0,0,C26652/C26520)</f>
        <v>0</v>
      </c>
    </row>
    <row r="26664" customFormat="false" ht="15" hidden="false" customHeight="false" outlineLevel="0" collapsed="false">
      <c r="A26664" s="3" t="s">
        <v>562</v>
      </c>
      <c r="C26664" s="22" t="n">
        <f aca="false">IF(C26521=0,0,C26653/C26521)</f>
        <v>0</v>
      </c>
    </row>
    <row r="26665" customFormat="false" ht="15" hidden="false" customHeight="false" outlineLevel="0" collapsed="false">
      <c r="A26665" s="3" t="s">
        <v>563</v>
      </c>
      <c r="C26665" s="22" t="n">
        <f aca="false">IF(C26522=0,0,C26654/C26522)</f>
        <v>0</v>
      </c>
    </row>
    <row r="26666" customFormat="false" ht="15" hidden="false" customHeight="false" outlineLevel="0" collapsed="false">
      <c r="A26666" s="3" t="s">
        <v>564</v>
      </c>
      <c r="C26666" s="22" t="n">
        <f aca="false">IF(C26523=0,0,C26655/C26523)</f>
        <v>0</v>
      </c>
    </row>
    <row r="26667" customFormat="false" ht="15" hidden="false" customHeight="false" outlineLevel="0" collapsed="false">
      <c r="A26667" s="3" t="s">
        <v>565</v>
      </c>
      <c r="C26667" s="22" t="n">
        <f aca="false">IF(C26524=0,0,C26656/C26524)</f>
        <v>0</v>
      </c>
    </row>
    <row r="26668" customFormat="false" ht="15" hidden="false" customHeight="false" outlineLevel="0" collapsed="false">
      <c r="A26668" s="2" t="s">
        <v>579</v>
      </c>
      <c r="C26668" s="17" t="n">
        <f aca="false">MAX(0,$C$26513-SUM($C$26548:$C$26557)-SUM($C$26570:$C$26579))</f>
        <v>518.118561634925</v>
      </c>
    </row>
    <row r="26669" customFormat="false" ht="15" hidden="false" customHeight="false" outlineLevel="0" collapsed="false">
      <c r="A26669" s="3" t="s">
        <v>580</v>
      </c>
      <c r="C26669" s="16" t="n">
        <f aca="false">SUM($C$26625:$C$26634)+C26668+C26512-C26511</f>
        <v>0</v>
      </c>
    </row>
    <row r="26671" customFormat="false" ht="15" hidden="false" customHeight="false" outlineLevel="0" collapsed="false">
      <c r="A26671" s="24" t="s">
        <v>583</v>
      </c>
      <c r="B26671" s="25"/>
      <c r="C26671" s="25"/>
      <c r="D26671" s="25"/>
      <c r="E26671" s="25"/>
      <c r="F26671" s="25"/>
      <c r="G26671" s="25"/>
      <c r="H26671" s="25"/>
      <c r="I26671" s="25"/>
      <c r="J26671" s="25"/>
      <c r="K26671" s="25"/>
    </row>
    <row r="26672" customFormat="false" ht="15" hidden="false" customHeight="false" outlineLevel="0" collapsed="false">
      <c r="A26672" s="3" t="s">
        <v>584</v>
      </c>
      <c r="C26672" s="27" t="n">
        <f aca="false">Assumptions!$C$34</f>
        <v>1</v>
      </c>
    </row>
    <row r="26673" customFormat="false" ht="15" hidden="false" customHeight="false" outlineLevel="0" collapsed="false">
      <c r="A26673" s="3" t="s">
        <v>585</v>
      </c>
      <c r="C26673" s="29" t="n">
        <f aca="false">Assumptions!$C$35</f>
        <v>100</v>
      </c>
    </row>
    <row r="26674" customFormat="false" ht="15" hidden="false" customHeight="false" outlineLevel="0" collapsed="false">
      <c r="A26674" s="3" t="s">
        <v>586</v>
      </c>
      <c r="C26674" s="40" t="n">
        <f aca="false">Assumptions!$C$36</f>
        <v>98</v>
      </c>
    </row>
    <row r="26675" customFormat="false" ht="15" hidden="false" customHeight="false" outlineLevel="0" collapsed="false">
      <c r="A26675" s="3" t="s">
        <v>587</v>
      </c>
      <c r="C26675" s="16" t="n">
        <f aca="false">C26673*C26674/100*(1+Assumptions!$C$37)</f>
        <v>98.49</v>
      </c>
    </row>
    <row r="26676" customFormat="false" ht="15" hidden="false" customHeight="false" outlineLevel="0" collapsed="false">
      <c r="A26676" s="3" t="s">
        <v>588</v>
      </c>
      <c r="C26676" s="27" t="n">
        <f aca="false">Assumptions!$C$38</f>
        <v>3</v>
      </c>
    </row>
    <row r="26677" customFormat="false" ht="15" hidden="false" customHeight="false" outlineLevel="0" collapsed="false">
      <c r="A26677" s="3" t="s">
        <v>589</v>
      </c>
      <c r="C26677" s="21" t="n">
        <f aca="false">IF(C26504=1,SUMPRODUCT($G$26440:$K$26440,$G$26214:$K$26214),0)</f>
        <v>2</v>
      </c>
    </row>
    <row r="26678" customFormat="false" ht="15" hidden="false" customHeight="false" outlineLevel="0" collapsed="false">
      <c r="A26678" s="3" t="s">
        <v>590</v>
      </c>
      <c r="C26678" s="22" t="n">
        <f aca="false">IFERROR(C26673/CHOOSE(C26672,SUMPRODUCT($G$26503:$K$26503,$G$26260:$K$26260),SUMPRODUCT($G$26503:$K$26503,$G$26273:$K$26273),SUMPRODUCT($G$26503:$K$26503,$G$26286:$K$26286),SUMPRODUCT($G$26503:$K$26503,$G$26299:$K$26299),SUMPRODUCT($G$26503:$K$26503,$G$26312:$K$26312),SUMPRODUCT($G$26503:$K$26503,$G$26325:$K$26325),SUMPRODUCT($G$26503:$K$26503,$G$26338:$K$26338),SUMPRODUCT($G$26503:$K$26503,$G$26351:$K$26351),SUMPRODUCT($G$26503:$K$26503,$G$26364:$K$26364),SUMPRODUCT($G$26503:$K$26503,$G$26377:$K$26377)),0)</f>
        <v>0.255102040816327</v>
      </c>
    </row>
    <row r="26679" customFormat="false" ht="15" hidden="false" customHeight="false" outlineLevel="0" collapsed="false">
      <c r="A26679" s="3" t="s">
        <v>591</v>
      </c>
      <c r="C26679" s="16" t="n">
        <f aca="false">CHOOSE(C26672,C26625,C26626,C26627,C26628,C26629,C26630,C26631,C26632,C26633,C26634)*C26678</f>
        <v>102.625</v>
      </c>
    </row>
    <row r="26680" customFormat="false" ht="15" hidden="false" customHeight="false" outlineLevel="0" collapsed="false">
      <c r="A26680" s="3" t="s">
        <v>592</v>
      </c>
      <c r="C26680" s="22" t="n">
        <f aca="false">CHOOSE(C26672,C26636,C26637,C26638,C26639,C26640,C26641,C26642,C26643,C26644,C26645)</f>
        <v>1</v>
      </c>
    </row>
    <row r="26681" customFormat="false" ht="15" hidden="false" customHeight="false" outlineLevel="0" collapsed="false">
      <c r="A26681" s="3" t="s">
        <v>593</v>
      </c>
      <c r="C26681" s="21" t="n">
        <f aca="false">IF(C26504=1,C26677,C26676)</f>
        <v>2</v>
      </c>
    </row>
    <row r="26682" customFormat="false" ht="15" hidden="false" customHeight="false" outlineLevel="0" collapsed="false">
      <c r="A26682" s="3" t="s">
        <v>594</v>
      </c>
      <c r="C26682" s="35" t="n">
        <f aca="false">CHOOSE($C$26206,Assumptions!$C$91,Assumptions!$C$110,Assumptions!$C$129)</f>
        <v>95</v>
      </c>
    </row>
    <row r="26683" customFormat="false" ht="15" hidden="false" customHeight="false" outlineLevel="0" collapsed="false">
      <c r="A26683" s="3" t="s">
        <v>595</v>
      </c>
      <c r="C26683" s="16" t="n">
        <f aca="false">INDEX($G$26223:$K$26223,C26676)*CHOOSE($C$26206,Assumptions!$C$90,Assumptions!$C$109,Assumptions!$C$128)+MAX(0,INDEX($G$26437:$K$26437,C26676))</f>
        <v>2423.913149823</v>
      </c>
    </row>
    <row r="26684" customFormat="false" ht="15" hidden="false" customHeight="false" outlineLevel="0" collapsed="false">
      <c r="A26684" s="24" t="s">
        <v>596</v>
      </c>
      <c r="B26684" s="25"/>
      <c r="C26684" s="25"/>
      <c r="D26684" s="25"/>
      <c r="E26684" s="25"/>
      <c r="F26684" s="25"/>
      <c r="G26684" s="25"/>
      <c r="H26684" s="25"/>
      <c r="I26684" s="25"/>
      <c r="J26684" s="25"/>
      <c r="K26684" s="25"/>
    </row>
    <row r="26685" customFormat="false" ht="15" hidden="false" customHeight="false" outlineLevel="0" collapsed="false">
      <c r="A26685" s="3" t="s">
        <v>556</v>
      </c>
      <c r="C26685" s="16" t="n">
        <f aca="false">INDEX($G$26260:$K$26260,C26676)</f>
        <v>388</v>
      </c>
    </row>
    <row r="26686" customFormat="false" ht="15" hidden="false" customHeight="false" outlineLevel="0" collapsed="false">
      <c r="A26686" s="3" t="s">
        <v>557</v>
      </c>
      <c r="C26686" s="16" t="n">
        <f aca="false">INDEX($G$26273:$K$26273,C26676)</f>
        <v>90</v>
      </c>
    </row>
    <row r="26687" customFormat="false" ht="15" hidden="false" customHeight="false" outlineLevel="0" collapsed="false">
      <c r="A26687" s="3" t="s">
        <v>558</v>
      </c>
      <c r="C26687" s="16" t="n">
        <f aca="false">INDEX($G$26286:$K$26286,C26676)</f>
        <v>57.324</v>
      </c>
    </row>
    <row r="26688" customFormat="false" ht="15" hidden="false" customHeight="false" outlineLevel="0" collapsed="false">
      <c r="A26688" s="3" t="s">
        <v>559</v>
      </c>
      <c r="C26688" s="16" t="n">
        <f aca="false">INDEX($G$26299:$K$26299,C26676)</f>
        <v>0</v>
      </c>
    </row>
    <row r="26689" customFormat="false" ht="15" hidden="false" customHeight="false" outlineLevel="0" collapsed="false">
      <c r="A26689" s="3" t="s">
        <v>560</v>
      </c>
      <c r="C26689" s="16" t="n">
        <f aca="false">INDEX($G$26312:$K$26312,C26676)</f>
        <v>401.446357881</v>
      </c>
    </row>
    <row r="26690" customFormat="false" ht="15" hidden="false" customHeight="false" outlineLevel="0" collapsed="false">
      <c r="A26690" s="3" t="s">
        <v>561</v>
      </c>
      <c r="C26690" s="16" t="n">
        <f aca="false">INDEX($G$26325:$K$26325,C26676)</f>
        <v>350</v>
      </c>
    </row>
    <row r="26691" customFormat="false" ht="15" hidden="false" customHeight="false" outlineLevel="0" collapsed="false">
      <c r="A26691" s="3" t="s">
        <v>562</v>
      </c>
      <c r="C26691" s="16" t="n">
        <f aca="false">INDEX($G$26338:$K$26338,C26676)</f>
        <v>550</v>
      </c>
    </row>
    <row r="26692" customFormat="false" ht="15" hidden="false" customHeight="false" outlineLevel="0" collapsed="false">
      <c r="A26692" s="3" t="s">
        <v>563</v>
      </c>
      <c r="C26692" s="16" t="n">
        <f aca="false">INDEX($G$26351:$K$26351,C26676)</f>
        <v>350</v>
      </c>
    </row>
    <row r="26693" customFormat="false" ht="15" hidden="false" customHeight="false" outlineLevel="0" collapsed="false">
      <c r="A26693" s="3" t="s">
        <v>564</v>
      </c>
      <c r="C26693" s="16" t="n">
        <f aca="false">INDEX($G$26364:$K$26364,C26676)</f>
        <v>300</v>
      </c>
    </row>
    <row r="26694" customFormat="false" ht="15" hidden="false" customHeight="false" outlineLevel="0" collapsed="false">
      <c r="A26694" s="3" t="s">
        <v>565</v>
      </c>
      <c r="C26694" s="16" t="n">
        <f aca="false">INDEX($G$26377:$K$26377,C26676)</f>
        <v>78.61</v>
      </c>
    </row>
    <row r="26695" customFormat="false" ht="15" hidden="false" customHeight="false" outlineLevel="0" collapsed="false">
      <c r="A26695" s="24" t="s">
        <v>566</v>
      </c>
      <c r="B26695" s="25"/>
      <c r="C26695" s="25"/>
      <c r="D26695" s="25"/>
      <c r="E26695" s="25"/>
      <c r="F26695" s="25"/>
      <c r="G26695" s="25"/>
      <c r="H26695" s="25"/>
      <c r="I26695" s="25"/>
      <c r="J26695" s="25"/>
      <c r="K26695" s="25"/>
    </row>
    <row r="26696" customFormat="false" ht="15" hidden="false" customHeight="false" outlineLevel="0" collapsed="false">
      <c r="A26696" s="3" t="s">
        <v>556</v>
      </c>
      <c r="C26696" s="27" t="n">
        <f aca="false">Assumptions!$M$57</f>
        <v>1</v>
      </c>
    </row>
    <row r="26697" customFormat="false" ht="15" hidden="false" customHeight="false" outlineLevel="0" collapsed="false">
      <c r="A26697" s="3" t="s">
        <v>557</v>
      </c>
      <c r="C26697" s="27" t="n">
        <f aca="false">Assumptions!$M$58</f>
        <v>1</v>
      </c>
    </row>
    <row r="26698" customFormat="false" ht="15" hidden="false" customHeight="false" outlineLevel="0" collapsed="false">
      <c r="A26698" s="3" t="s">
        <v>558</v>
      </c>
      <c r="C26698" s="27" t="n">
        <f aca="false">Assumptions!$M$59</f>
        <v>1</v>
      </c>
    </row>
    <row r="26699" customFormat="false" ht="15" hidden="false" customHeight="false" outlineLevel="0" collapsed="false">
      <c r="A26699" s="3" t="s">
        <v>559</v>
      </c>
      <c r="C26699" s="27" t="n">
        <f aca="false">Assumptions!$M$60</f>
        <v>2</v>
      </c>
    </row>
    <row r="26700" customFormat="false" ht="15" hidden="false" customHeight="false" outlineLevel="0" collapsed="false">
      <c r="A26700" s="3" t="s">
        <v>560</v>
      </c>
      <c r="C26700" s="27" t="n">
        <f aca="false">Assumptions!$M$61</f>
        <v>2</v>
      </c>
    </row>
    <row r="26701" customFormat="false" ht="15" hidden="false" customHeight="false" outlineLevel="0" collapsed="false">
      <c r="A26701" s="3" t="s">
        <v>561</v>
      </c>
      <c r="C26701" s="27" t="n">
        <f aca="false">Assumptions!$M$62</f>
        <v>2</v>
      </c>
    </row>
    <row r="26702" customFormat="false" ht="15" hidden="false" customHeight="false" outlineLevel="0" collapsed="false">
      <c r="A26702" s="3" t="s">
        <v>562</v>
      </c>
      <c r="C26702" s="27" t="n">
        <f aca="false">Assumptions!$M$63</f>
        <v>2</v>
      </c>
    </row>
    <row r="26703" customFormat="false" ht="15" hidden="false" customHeight="false" outlineLevel="0" collapsed="false">
      <c r="A26703" s="3" t="s">
        <v>563</v>
      </c>
      <c r="C26703" s="27" t="n">
        <f aca="false">Assumptions!$M$64</f>
        <v>2</v>
      </c>
    </row>
    <row r="26704" customFormat="false" ht="15" hidden="false" customHeight="false" outlineLevel="0" collapsed="false">
      <c r="A26704" s="3" t="s">
        <v>564</v>
      </c>
      <c r="C26704" s="27" t="n">
        <f aca="false">Assumptions!$M$65</f>
        <v>2</v>
      </c>
    </row>
    <row r="26705" customFormat="false" ht="15" hidden="false" customHeight="false" outlineLevel="0" collapsed="false">
      <c r="A26705" s="3" t="s">
        <v>565</v>
      </c>
      <c r="C26705" s="27" t="n">
        <f aca="false">Assumptions!$M$66</f>
        <v>3</v>
      </c>
    </row>
    <row r="26706" customFormat="false" ht="15" hidden="false" customHeight="false" outlineLevel="0" collapsed="false">
      <c r="A26706" s="24" t="s">
        <v>567</v>
      </c>
      <c r="B26706" s="25"/>
      <c r="C26706" s="25"/>
      <c r="D26706" s="25"/>
      <c r="E26706" s="25"/>
      <c r="F26706" s="25"/>
      <c r="G26706" s="25"/>
      <c r="H26706" s="25"/>
      <c r="I26706" s="25"/>
      <c r="J26706" s="25"/>
      <c r="K26706" s="25"/>
    </row>
    <row r="26707" customFormat="false" ht="15" hidden="false" customHeight="false" outlineLevel="0" collapsed="false">
      <c r="A26707" s="3" t="s">
        <v>556</v>
      </c>
      <c r="C26707" s="33" t="n">
        <f aca="false">Assumptions!$Q$57</f>
        <v>0.3</v>
      </c>
    </row>
    <row r="26708" customFormat="false" ht="15" hidden="false" customHeight="false" outlineLevel="0" collapsed="false">
      <c r="A26708" s="3" t="s">
        <v>557</v>
      </c>
      <c r="C26708" s="33" t="n">
        <f aca="false">Assumptions!$Q$58</f>
        <v>0.033</v>
      </c>
    </row>
    <row r="26709" customFormat="false" ht="15" hidden="false" customHeight="false" outlineLevel="0" collapsed="false">
      <c r="A26709" s="3" t="s">
        <v>558</v>
      </c>
      <c r="C26709" s="33" t="n">
        <f aca="false">Assumptions!$Q$59</f>
        <v>0.021</v>
      </c>
    </row>
    <row r="26710" customFormat="false" ht="15" hidden="false" customHeight="false" outlineLevel="0" collapsed="false">
      <c r="A26710" s="3" t="s">
        <v>559</v>
      </c>
      <c r="C26710" s="33" t="n">
        <f aca="false">Assumptions!$Q$60</f>
        <v>0</v>
      </c>
    </row>
    <row r="26711" customFormat="false" ht="15" hidden="false" customHeight="false" outlineLevel="0" collapsed="false">
      <c r="A26711" s="3" t="s">
        <v>560</v>
      </c>
      <c r="C26711" s="33" t="n">
        <f aca="false">Assumptions!$Q$61</f>
        <v>0</v>
      </c>
    </row>
    <row r="26712" customFormat="false" ht="15" hidden="false" customHeight="false" outlineLevel="0" collapsed="false">
      <c r="A26712" s="3" t="s">
        <v>561</v>
      </c>
      <c r="C26712" s="33" t="n">
        <f aca="false">Assumptions!$Q$62</f>
        <v>0</v>
      </c>
    </row>
    <row r="26713" customFormat="false" ht="15" hidden="false" customHeight="false" outlineLevel="0" collapsed="false">
      <c r="A26713" s="3" t="s">
        <v>562</v>
      </c>
      <c r="C26713" s="33" t="n">
        <f aca="false">Assumptions!$Q$63</f>
        <v>0</v>
      </c>
    </row>
    <row r="26714" customFormat="false" ht="15" hidden="false" customHeight="false" outlineLevel="0" collapsed="false">
      <c r="A26714" s="3" t="s">
        <v>563</v>
      </c>
      <c r="C26714" s="33" t="n">
        <f aca="false">Assumptions!$Q$64</f>
        <v>0</v>
      </c>
    </row>
    <row r="26715" customFormat="false" ht="15" hidden="false" customHeight="false" outlineLevel="0" collapsed="false">
      <c r="A26715" s="3" t="s">
        <v>564</v>
      </c>
      <c r="C26715" s="33" t="n">
        <f aca="false">Assumptions!$Q$65</f>
        <v>0</v>
      </c>
    </row>
    <row r="26716" customFormat="false" ht="15" hidden="false" customHeight="false" outlineLevel="0" collapsed="false">
      <c r="A26716" s="3" t="s">
        <v>565</v>
      </c>
      <c r="C26716" s="33" t="n">
        <f aca="false">Assumptions!$Q$66</f>
        <v>0</v>
      </c>
    </row>
    <row r="26717" customFormat="false" ht="15" hidden="false" customHeight="false" outlineLevel="0" collapsed="false">
      <c r="A26717" s="24" t="s">
        <v>568</v>
      </c>
      <c r="B26717" s="25"/>
      <c r="C26717" s="25"/>
      <c r="D26717" s="25"/>
      <c r="E26717" s="25"/>
      <c r="F26717" s="25"/>
      <c r="G26717" s="25"/>
      <c r="H26717" s="25"/>
      <c r="I26717" s="25"/>
      <c r="J26717" s="25"/>
      <c r="K26717" s="25"/>
    </row>
    <row r="26718" customFormat="false" ht="15" hidden="false" customHeight="false" outlineLevel="0" collapsed="false">
      <c r="A26718" s="3" t="s">
        <v>556</v>
      </c>
      <c r="C26718" s="16" t="n">
        <f aca="false">IF(C26707&gt;0,MIN(C26685,C26707*$C$26683),0)</f>
        <v>388</v>
      </c>
    </row>
    <row r="26719" customFormat="false" ht="15" hidden="false" customHeight="false" outlineLevel="0" collapsed="false">
      <c r="A26719" s="3" t="s">
        <v>557</v>
      </c>
      <c r="C26719" s="16" t="n">
        <f aca="false">IF(C26708&gt;0,MIN(C26686,C26708*$C$26683),0)</f>
        <v>79.989133944159</v>
      </c>
    </row>
    <row r="26720" customFormat="false" ht="15" hidden="false" customHeight="false" outlineLevel="0" collapsed="false">
      <c r="A26720" s="3" t="s">
        <v>558</v>
      </c>
      <c r="C26720" s="16" t="n">
        <f aca="false">IF(C26709&gt;0,MIN(C26687,C26709*$C$26683),0)</f>
        <v>50.902176146283</v>
      </c>
    </row>
    <row r="26721" customFormat="false" ht="15" hidden="false" customHeight="false" outlineLevel="0" collapsed="false">
      <c r="A26721" s="3" t="s">
        <v>559</v>
      </c>
      <c r="C26721" s="16" t="n">
        <f aca="false">IF(C26710&gt;0,MIN(C26688,C26710*$C$26683),0)</f>
        <v>0</v>
      </c>
    </row>
    <row r="26722" customFormat="false" ht="15" hidden="false" customHeight="false" outlineLevel="0" collapsed="false">
      <c r="A26722" s="3" t="s">
        <v>560</v>
      </c>
      <c r="C26722" s="16" t="n">
        <f aca="false">IF(C26711&gt;0,MIN(C26689,C26711*$C$26683),0)</f>
        <v>0</v>
      </c>
    </row>
    <row r="26723" customFormat="false" ht="15" hidden="false" customHeight="false" outlineLevel="0" collapsed="false">
      <c r="A26723" s="3" t="s">
        <v>561</v>
      </c>
      <c r="C26723" s="16" t="n">
        <f aca="false">IF(C26712&gt;0,MIN(C26690,C26712*$C$26683),0)</f>
        <v>0</v>
      </c>
    </row>
    <row r="26724" customFormat="false" ht="15" hidden="false" customHeight="false" outlineLevel="0" collapsed="false">
      <c r="A26724" s="3" t="s">
        <v>562</v>
      </c>
      <c r="C26724" s="16" t="n">
        <f aca="false">IF(C26713&gt;0,MIN(C26691,C26713*$C$26683),0)</f>
        <v>0</v>
      </c>
    </row>
    <row r="26725" customFormat="false" ht="15" hidden="false" customHeight="false" outlineLevel="0" collapsed="false">
      <c r="A26725" s="3" t="s">
        <v>563</v>
      </c>
      <c r="C26725" s="16" t="n">
        <f aca="false">IF(C26714&gt;0,MIN(C26692,C26714*$C$26683),0)</f>
        <v>0</v>
      </c>
    </row>
    <row r="26726" customFormat="false" ht="15" hidden="false" customHeight="false" outlineLevel="0" collapsed="false">
      <c r="A26726" s="3" t="s">
        <v>564</v>
      </c>
      <c r="C26726" s="16" t="n">
        <f aca="false">IF(C26715&gt;0,MIN(C26693,C26715*$C$26683),0)</f>
        <v>0</v>
      </c>
    </row>
    <row r="26727" customFormat="false" ht="15" hidden="false" customHeight="false" outlineLevel="0" collapsed="false">
      <c r="A26727" s="3" t="s">
        <v>565</v>
      </c>
      <c r="C26727" s="16" t="n">
        <f aca="false">IF(C26716&gt;0,MIN(C26694,C26716*$C$26683),0)</f>
        <v>0</v>
      </c>
    </row>
    <row r="26728" customFormat="false" ht="15" hidden="false" customHeight="false" outlineLevel="0" collapsed="false">
      <c r="A26728" s="24" t="s">
        <v>569</v>
      </c>
      <c r="B26728" s="25"/>
      <c r="C26728" s="25"/>
      <c r="D26728" s="25"/>
      <c r="E26728" s="25"/>
      <c r="F26728" s="25"/>
      <c r="G26728" s="25"/>
      <c r="H26728" s="25"/>
      <c r="I26728" s="25"/>
      <c r="J26728" s="25"/>
      <c r="K26728" s="25"/>
    </row>
    <row r="26729" customFormat="false" ht="15" hidden="false" customHeight="false" outlineLevel="0" collapsed="false">
      <c r="A26729" s="3" t="s">
        <v>556</v>
      </c>
      <c r="C26729" s="16" t="n">
        <f aca="false">IF(C26707&gt;0,C26685-C26718,0)</f>
        <v>0</v>
      </c>
    </row>
    <row r="26730" customFormat="false" ht="15" hidden="false" customHeight="false" outlineLevel="0" collapsed="false">
      <c r="A26730" s="3" t="s">
        <v>557</v>
      </c>
      <c r="C26730" s="16" t="n">
        <f aca="false">IF(C26708&gt;0,C26686-C26719,0)</f>
        <v>10.010866055841</v>
      </c>
    </row>
    <row r="26731" customFormat="false" ht="15" hidden="false" customHeight="false" outlineLevel="0" collapsed="false">
      <c r="A26731" s="3" t="s">
        <v>558</v>
      </c>
      <c r="C26731" s="16" t="n">
        <f aca="false">IF(C26709&gt;0,C26687-C26720,0)</f>
        <v>6.42182385371699</v>
      </c>
    </row>
    <row r="26732" customFormat="false" ht="15" hidden="false" customHeight="false" outlineLevel="0" collapsed="false">
      <c r="A26732" s="3" t="s">
        <v>559</v>
      </c>
      <c r="C26732" s="16" t="n">
        <f aca="false">IF(C26710&gt;0,C26688-C26721,0)</f>
        <v>0</v>
      </c>
    </row>
    <row r="26733" customFormat="false" ht="15" hidden="false" customHeight="false" outlineLevel="0" collapsed="false">
      <c r="A26733" s="3" t="s">
        <v>560</v>
      </c>
      <c r="C26733" s="16" t="n">
        <f aca="false">IF(C26711&gt;0,C26689-C26722,0)</f>
        <v>0</v>
      </c>
    </row>
    <row r="26734" customFormat="false" ht="15" hidden="false" customHeight="false" outlineLevel="0" collapsed="false">
      <c r="A26734" s="3" t="s">
        <v>561</v>
      </c>
      <c r="C26734" s="16" t="n">
        <f aca="false">IF(C26712&gt;0,C26690-C26723,0)</f>
        <v>0</v>
      </c>
    </row>
    <row r="26735" customFormat="false" ht="15" hidden="false" customHeight="false" outlineLevel="0" collapsed="false">
      <c r="A26735" s="3" t="s">
        <v>562</v>
      </c>
      <c r="C26735" s="16" t="n">
        <f aca="false">IF(C26713&gt;0,C26691-C26724,0)</f>
        <v>0</v>
      </c>
    </row>
    <row r="26736" customFormat="false" ht="15" hidden="false" customHeight="false" outlineLevel="0" collapsed="false">
      <c r="A26736" s="3" t="s">
        <v>563</v>
      </c>
      <c r="C26736" s="16" t="n">
        <f aca="false">IF(C26714&gt;0,C26692-C26725,0)</f>
        <v>0</v>
      </c>
    </row>
    <row r="26737" customFormat="false" ht="15" hidden="false" customHeight="false" outlineLevel="0" collapsed="false">
      <c r="A26737" s="3" t="s">
        <v>564</v>
      </c>
      <c r="C26737" s="16" t="n">
        <f aca="false">IF(C26715&gt;0,C26693-C26726,0)</f>
        <v>0</v>
      </c>
    </row>
    <row r="26738" customFormat="false" ht="15" hidden="false" customHeight="false" outlineLevel="0" collapsed="false">
      <c r="A26738" s="3" t="s">
        <v>565</v>
      </c>
      <c r="C26738" s="16" t="n">
        <f aca="false">IF(C26716&gt;0,C26694-C26727,0)</f>
        <v>0</v>
      </c>
    </row>
    <row r="26739" customFormat="false" ht="15" hidden="false" customHeight="false" outlineLevel="0" collapsed="false">
      <c r="A26739" s="24" t="s">
        <v>570</v>
      </c>
      <c r="B26739" s="25"/>
      <c r="C26739" s="25"/>
      <c r="D26739" s="25"/>
      <c r="E26739" s="25"/>
      <c r="F26739" s="25"/>
      <c r="G26739" s="25"/>
      <c r="H26739" s="25"/>
      <c r="I26739" s="25"/>
      <c r="J26739" s="25"/>
      <c r="K26739" s="25"/>
    </row>
    <row r="26740" customFormat="false" ht="15" hidden="false" customHeight="false" outlineLevel="0" collapsed="false">
      <c r="A26740" s="3" t="s">
        <v>556</v>
      </c>
      <c r="C26740" s="16" t="n">
        <f aca="false">IF(C26707&gt;0,C26729,C26685)</f>
        <v>0</v>
      </c>
    </row>
    <row r="26741" customFormat="false" ht="15" hidden="false" customHeight="false" outlineLevel="0" collapsed="false">
      <c r="A26741" s="3" t="s">
        <v>557</v>
      </c>
      <c r="C26741" s="16" t="n">
        <f aca="false">IF(C26708&gt;0,C26730,C26686)</f>
        <v>10.010866055841</v>
      </c>
    </row>
    <row r="26742" customFormat="false" ht="15" hidden="false" customHeight="false" outlineLevel="0" collapsed="false">
      <c r="A26742" s="3" t="s">
        <v>558</v>
      </c>
      <c r="C26742" s="16" t="n">
        <f aca="false">IF(C26709&gt;0,C26731,C26687)</f>
        <v>6.42182385371699</v>
      </c>
    </row>
    <row r="26743" customFormat="false" ht="15" hidden="false" customHeight="false" outlineLevel="0" collapsed="false">
      <c r="A26743" s="3" t="s">
        <v>559</v>
      </c>
      <c r="C26743" s="16" t="n">
        <f aca="false">IF(C26710&gt;0,C26732,C26688)</f>
        <v>0</v>
      </c>
    </row>
    <row r="26744" customFormat="false" ht="15" hidden="false" customHeight="false" outlineLevel="0" collapsed="false">
      <c r="A26744" s="3" t="s">
        <v>560</v>
      </c>
      <c r="C26744" s="16" t="n">
        <f aca="false">IF(C26711&gt;0,C26733,C26689)</f>
        <v>401.446357881</v>
      </c>
    </row>
    <row r="26745" customFormat="false" ht="15" hidden="false" customHeight="false" outlineLevel="0" collapsed="false">
      <c r="A26745" s="3" t="s">
        <v>561</v>
      </c>
      <c r="C26745" s="16" t="n">
        <f aca="false">IF(C26712&gt;0,C26734,C26690)</f>
        <v>350</v>
      </c>
    </row>
    <row r="26746" customFormat="false" ht="15" hidden="false" customHeight="false" outlineLevel="0" collapsed="false">
      <c r="A26746" s="3" t="s">
        <v>562</v>
      </c>
      <c r="C26746" s="16" t="n">
        <f aca="false">IF(C26713&gt;0,C26735,C26691)</f>
        <v>550</v>
      </c>
    </row>
    <row r="26747" customFormat="false" ht="15" hidden="false" customHeight="false" outlineLevel="0" collapsed="false">
      <c r="A26747" s="3" t="s">
        <v>563</v>
      </c>
      <c r="C26747" s="16" t="n">
        <f aca="false">IF(C26714&gt;0,C26736,C26692)</f>
        <v>350</v>
      </c>
    </row>
    <row r="26748" customFormat="false" ht="15" hidden="false" customHeight="false" outlineLevel="0" collapsed="false">
      <c r="A26748" s="3" t="s">
        <v>564</v>
      </c>
      <c r="C26748" s="16" t="n">
        <f aca="false">IF(C26715&gt;0,C26737,C26693)</f>
        <v>300</v>
      </c>
    </row>
    <row r="26749" customFormat="false" ht="15" hidden="false" customHeight="false" outlineLevel="0" collapsed="false">
      <c r="A26749" s="3" t="s">
        <v>565</v>
      </c>
      <c r="C26749" s="16" t="n">
        <f aca="false">IF(C26716&gt;0,C26738,C26694)</f>
        <v>78.61</v>
      </c>
    </row>
    <row r="26750" customFormat="false" ht="15" hidden="false" customHeight="false" outlineLevel="0" collapsed="false">
      <c r="A26750" s="24" t="s">
        <v>571</v>
      </c>
      <c r="B26750" s="25"/>
      <c r="C26750" s="25"/>
      <c r="D26750" s="25"/>
      <c r="E26750" s="25"/>
      <c r="F26750" s="25"/>
      <c r="G26750" s="25"/>
      <c r="H26750" s="25"/>
      <c r="I26750" s="25"/>
      <c r="J26750" s="25"/>
      <c r="K26750" s="25"/>
    </row>
    <row r="26751" customFormat="false" ht="15" hidden="false" customHeight="false" outlineLevel="0" collapsed="false">
      <c r="A26751" s="3" t="s">
        <v>556</v>
      </c>
      <c r="C26751" s="21" t="n">
        <f aca="false">IF(C26707&gt;0,Assumptions!$C$17,C26696)</f>
        <v>99</v>
      </c>
    </row>
    <row r="26752" customFormat="false" ht="15" hidden="false" customHeight="false" outlineLevel="0" collapsed="false">
      <c r="A26752" s="3" t="s">
        <v>557</v>
      </c>
      <c r="C26752" s="21" t="n">
        <f aca="false">IF(C26708&gt;0,Assumptions!$C$17,C26697)</f>
        <v>99</v>
      </c>
    </row>
    <row r="26753" customFormat="false" ht="15" hidden="false" customHeight="false" outlineLevel="0" collapsed="false">
      <c r="A26753" s="3" t="s">
        <v>558</v>
      </c>
      <c r="C26753" s="21" t="n">
        <f aca="false">IF(C26709&gt;0,Assumptions!$C$17,C26698)</f>
        <v>99</v>
      </c>
    </row>
    <row r="26754" customFormat="false" ht="15" hidden="false" customHeight="false" outlineLevel="0" collapsed="false">
      <c r="A26754" s="3" t="s">
        <v>559</v>
      </c>
      <c r="C26754" s="21" t="n">
        <f aca="false">IF(C26710&gt;0,Assumptions!$C$17,C26699)</f>
        <v>2</v>
      </c>
    </row>
    <row r="26755" customFormat="false" ht="15" hidden="false" customHeight="false" outlineLevel="0" collapsed="false">
      <c r="A26755" s="3" t="s">
        <v>560</v>
      </c>
      <c r="C26755" s="21" t="n">
        <f aca="false">IF(C26711&gt;0,Assumptions!$C$17,C26700)</f>
        <v>2</v>
      </c>
    </row>
    <row r="26756" customFormat="false" ht="15" hidden="false" customHeight="false" outlineLevel="0" collapsed="false">
      <c r="A26756" s="3" t="s">
        <v>561</v>
      </c>
      <c r="C26756" s="21" t="n">
        <f aca="false">IF(C26712&gt;0,Assumptions!$C$17,C26701)</f>
        <v>2</v>
      </c>
    </row>
    <row r="26757" customFormat="false" ht="15" hidden="false" customHeight="false" outlineLevel="0" collapsed="false">
      <c r="A26757" s="3" t="s">
        <v>562</v>
      </c>
      <c r="C26757" s="21" t="n">
        <f aca="false">IF(C26713&gt;0,Assumptions!$C$17,C26702)</f>
        <v>2</v>
      </c>
    </row>
    <row r="26758" customFormat="false" ht="15" hidden="false" customHeight="false" outlineLevel="0" collapsed="false">
      <c r="A26758" s="3" t="s">
        <v>563</v>
      </c>
      <c r="C26758" s="21" t="n">
        <f aca="false">IF(C26714&gt;0,Assumptions!$C$17,C26703)</f>
        <v>2</v>
      </c>
    </row>
    <row r="26759" customFormat="false" ht="15" hidden="false" customHeight="false" outlineLevel="0" collapsed="false">
      <c r="A26759" s="3" t="s">
        <v>564</v>
      </c>
      <c r="C26759" s="21" t="n">
        <f aca="false">IF(C26715&gt;0,Assumptions!$C$17,C26704)</f>
        <v>2</v>
      </c>
    </row>
    <row r="26760" customFormat="false" ht="15" hidden="false" customHeight="false" outlineLevel="0" collapsed="false">
      <c r="A26760" s="3" t="s">
        <v>565</v>
      </c>
      <c r="C26760" s="21" t="n">
        <f aca="false">IF(C26716&gt;0,Assumptions!$C$17,C26705)</f>
        <v>3</v>
      </c>
    </row>
    <row r="26761" customFormat="false" ht="15" hidden="false" customHeight="false" outlineLevel="0" collapsed="false">
      <c r="A26761" s="24" t="s">
        <v>572</v>
      </c>
      <c r="B26761" s="25"/>
      <c r="C26761" s="25"/>
      <c r="D26761" s="25"/>
      <c r="E26761" s="25"/>
      <c r="F26761" s="25"/>
      <c r="G26761" s="25"/>
      <c r="H26761" s="25"/>
      <c r="I26761" s="25"/>
      <c r="J26761" s="25"/>
      <c r="K26761" s="25"/>
    </row>
    <row r="26762" customFormat="false" ht="15" hidden="false" customHeight="false" outlineLevel="0" collapsed="false">
      <c r="A26762" s="3" t="s">
        <v>556</v>
      </c>
      <c r="C26762" s="16" t="n">
        <f aca="false">SUMPRODUCT(($C$26751:$C$26760&lt;C26751)*$C$26740:$C$26749)</f>
        <v>2030.056357881</v>
      </c>
    </row>
    <row r="26763" customFormat="false" ht="15" hidden="false" customHeight="false" outlineLevel="0" collapsed="false">
      <c r="A26763" s="3" t="s">
        <v>557</v>
      </c>
      <c r="C26763" s="16" t="n">
        <f aca="false">SUMPRODUCT(($C$26751:$C$26760&lt;C26752)*$C$26740:$C$26749)</f>
        <v>2030.056357881</v>
      </c>
    </row>
    <row r="26764" customFormat="false" ht="15" hidden="false" customHeight="false" outlineLevel="0" collapsed="false">
      <c r="A26764" s="3" t="s">
        <v>558</v>
      </c>
      <c r="C26764" s="16" t="n">
        <f aca="false">SUMPRODUCT(($C$26751:$C$26760&lt;C26753)*$C$26740:$C$26749)</f>
        <v>2030.056357881</v>
      </c>
    </row>
    <row r="26765" customFormat="false" ht="15" hidden="false" customHeight="false" outlineLevel="0" collapsed="false">
      <c r="A26765" s="3" t="s">
        <v>559</v>
      </c>
      <c r="C26765" s="16" t="n">
        <f aca="false">SUMPRODUCT(($C$26751:$C$26760&lt;C26754)*$C$26740:$C$26749)</f>
        <v>0</v>
      </c>
    </row>
    <row r="26766" customFormat="false" ht="15" hidden="false" customHeight="false" outlineLevel="0" collapsed="false">
      <c r="A26766" s="3" t="s">
        <v>560</v>
      </c>
      <c r="C26766" s="16" t="n">
        <f aca="false">SUMPRODUCT(($C$26751:$C$26760&lt;C26755)*$C$26740:$C$26749)</f>
        <v>0</v>
      </c>
    </row>
    <row r="26767" customFormat="false" ht="15" hidden="false" customHeight="false" outlineLevel="0" collapsed="false">
      <c r="A26767" s="3" t="s">
        <v>561</v>
      </c>
      <c r="C26767" s="16" t="n">
        <f aca="false">SUMPRODUCT(($C$26751:$C$26760&lt;C26756)*$C$26740:$C$26749)</f>
        <v>0</v>
      </c>
    </row>
    <row r="26768" customFormat="false" ht="15" hidden="false" customHeight="false" outlineLevel="0" collapsed="false">
      <c r="A26768" s="3" t="s">
        <v>562</v>
      </c>
      <c r="C26768" s="16" t="n">
        <f aca="false">SUMPRODUCT(($C$26751:$C$26760&lt;C26757)*$C$26740:$C$26749)</f>
        <v>0</v>
      </c>
    </row>
    <row r="26769" customFormat="false" ht="15" hidden="false" customHeight="false" outlineLevel="0" collapsed="false">
      <c r="A26769" s="3" t="s">
        <v>563</v>
      </c>
      <c r="C26769" s="16" t="n">
        <f aca="false">SUMPRODUCT(($C$26751:$C$26760&lt;C26758)*$C$26740:$C$26749)</f>
        <v>0</v>
      </c>
    </row>
    <row r="26770" customFormat="false" ht="15" hidden="false" customHeight="false" outlineLevel="0" collapsed="false">
      <c r="A26770" s="3" t="s">
        <v>564</v>
      </c>
      <c r="C26770" s="16" t="n">
        <f aca="false">SUMPRODUCT(($C$26751:$C$26760&lt;C26759)*$C$26740:$C$26749)</f>
        <v>0</v>
      </c>
    </row>
    <row r="26771" customFormat="false" ht="15" hidden="false" customHeight="false" outlineLevel="0" collapsed="false">
      <c r="A26771" s="3" t="s">
        <v>565</v>
      </c>
      <c r="C26771" s="16" t="n">
        <f aca="false">SUMPRODUCT(($C$26751:$C$26760&lt;C26760)*$C$26740:$C$26749)</f>
        <v>1951.446357881</v>
      </c>
    </row>
    <row r="26772" customFormat="false" ht="15" hidden="false" customHeight="false" outlineLevel="0" collapsed="false">
      <c r="A26772" s="24" t="s">
        <v>573</v>
      </c>
      <c r="B26772" s="25"/>
      <c r="C26772" s="25"/>
      <c r="D26772" s="25"/>
      <c r="E26772" s="25"/>
      <c r="F26772" s="25"/>
      <c r="G26772" s="25"/>
      <c r="H26772" s="25"/>
      <c r="I26772" s="25"/>
      <c r="J26772" s="25"/>
      <c r="K26772" s="25"/>
    </row>
    <row r="26773" customFormat="false" ht="15" hidden="false" customHeight="false" outlineLevel="0" collapsed="false">
      <c r="A26773" s="3" t="s">
        <v>556</v>
      </c>
      <c r="C26773" s="16" t="n">
        <f aca="false">SUMPRODUCT(($C$26751:$C$26760=C26751)*$C$26740:$C$26749)</f>
        <v>16.432689909558</v>
      </c>
    </row>
    <row r="26774" customFormat="false" ht="15" hidden="false" customHeight="false" outlineLevel="0" collapsed="false">
      <c r="A26774" s="3" t="s">
        <v>557</v>
      </c>
      <c r="C26774" s="16" t="n">
        <f aca="false">SUMPRODUCT(($C$26751:$C$26760=C26752)*$C$26740:$C$26749)</f>
        <v>16.432689909558</v>
      </c>
    </row>
    <row r="26775" customFormat="false" ht="15" hidden="false" customHeight="false" outlineLevel="0" collapsed="false">
      <c r="A26775" s="3" t="s">
        <v>558</v>
      </c>
      <c r="C26775" s="16" t="n">
        <f aca="false">SUMPRODUCT(($C$26751:$C$26760=C26753)*$C$26740:$C$26749)</f>
        <v>16.432689909558</v>
      </c>
    </row>
    <row r="26776" customFormat="false" ht="15" hidden="false" customHeight="false" outlineLevel="0" collapsed="false">
      <c r="A26776" s="3" t="s">
        <v>559</v>
      </c>
      <c r="C26776" s="16" t="n">
        <f aca="false">SUMPRODUCT(($C$26751:$C$26760=C26754)*$C$26740:$C$26749)</f>
        <v>1951.446357881</v>
      </c>
    </row>
    <row r="26777" customFormat="false" ht="15" hidden="false" customHeight="false" outlineLevel="0" collapsed="false">
      <c r="A26777" s="3" t="s">
        <v>560</v>
      </c>
      <c r="C26777" s="16" t="n">
        <f aca="false">SUMPRODUCT(($C$26751:$C$26760=C26755)*$C$26740:$C$26749)</f>
        <v>1951.446357881</v>
      </c>
    </row>
    <row r="26778" customFormat="false" ht="15" hidden="false" customHeight="false" outlineLevel="0" collapsed="false">
      <c r="A26778" s="3" t="s">
        <v>561</v>
      </c>
      <c r="C26778" s="16" t="n">
        <f aca="false">SUMPRODUCT(($C$26751:$C$26760=C26756)*$C$26740:$C$26749)</f>
        <v>1951.446357881</v>
      </c>
    </row>
    <row r="26779" customFormat="false" ht="15" hidden="false" customHeight="false" outlineLevel="0" collapsed="false">
      <c r="A26779" s="3" t="s">
        <v>562</v>
      </c>
      <c r="C26779" s="16" t="n">
        <f aca="false">SUMPRODUCT(($C$26751:$C$26760=C26757)*$C$26740:$C$26749)</f>
        <v>1951.446357881</v>
      </c>
    </row>
    <row r="26780" customFormat="false" ht="15" hidden="false" customHeight="false" outlineLevel="0" collapsed="false">
      <c r="A26780" s="3" t="s">
        <v>563</v>
      </c>
      <c r="C26780" s="16" t="n">
        <f aca="false">SUMPRODUCT(($C$26751:$C$26760=C26758)*$C$26740:$C$26749)</f>
        <v>1951.446357881</v>
      </c>
    </row>
    <row r="26781" customFormat="false" ht="15" hidden="false" customHeight="false" outlineLevel="0" collapsed="false">
      <c r="A26781" s="3" t="s">
        <v>564</v>
      </c>
      <c r="C26781" s="16" t="n">
        <f aca="false">SUMPRODUCT(($C$26751:$C$26760=C26759)*$C$26740:$C$26749)</f>
        <v>1951.446357881</v>
      </c>
    </row>
    <row r="26782" customFormat="false" ht="15" hidden="false" customHeight="false" outlineLevel="0" collapsed="false">
      <c r="A26782" s="3" t="s">
        <v>565</v>
      </c>
      <c r="C26782" s="16" t="n">
        <f aca="false">SUMPRODUCT(($C$26751:$C$26760=C26760)*$C$26740:$C$26749)</f>
        <v>78.61</v>
      </c>
    </row>
    <row r="26783" customFormat="false" ht="15" hidden="false" customHeight="false" outlineLevel="0" collapsed="false">
      <c r="A26783" s="24" t="s">
        <v>574</v>
      </c>
      <c r="B26783" s="25"/>
      <c r="C26783" s="25"/>
      <c r="D26783" s="25"/>
      <c r="E26783" s="25"/>
      <c r="F26783" s="25"/>
      <c r="G26783" s="25"/>
      <c r="H26783" s="25"/>
      <c r="I26783" s="25"/>
      <c r="J26783" s="25"/>
      <c r="K26783" s="25"/>
    </row>
    <row r="26784" customFormat="false" ht="15" hidden="false" customHeight="false" outlineLevel="0" collapsed="false">
      <c r="A26784" s="3" t="s">
        <v>556</v>
      </c>
      <c r="C26784" s="16" t="n">
        <f aca="false">IF(C26773=0,0,C26740/C26773*MAX(0,MIN(C26773,$C$26683-SUM($C$26718:$C$26727)-C26762)))</f>
        <v>0</v>
      </c>
    </row>
    <row r="26785" customFormat="false" ht="15" hidden="false" customHeight="false" outlineLevel="0" collapsed="false">
      <c r="A26785" s="3" t="s">
        <v>557</v>
      </c>
      <c r="C26785" s="16" t="n">
        <f aca="false">IF(C26774=0,0,C26741/C26774*MAX(0,MIN(C26774,$C$26683-SUM($C$26718:$C$26727)-C26763)))</f>
        <v>0</v>
      </c>
    </row>
    <row r="26786" customFormat="false" ht="15" hidden="false" customHeight="false" outlineLevel="0" collapsed="false">
      <c r="A26786" s="3" t="s">
        <v>558</v>
      </c>
      <c r="C26786" s="16" t="n">
        <f aca="false">IF(C26775=0,0,C26742/C26775*MAX(0,MIN(C26775,$C$26683-SUM($C$26718:$C$26727)-C26764)))</f>
        <v>0</v>
      </c>
    </row>
    <row r="26787" customFormat="false" ht="15" hidden="false" customHeight="false" outlineLevel="0" collapsed="false">
      <c r="A26787" s="3" t="s">
        <v>559</v>
      </c>
      <c r="C26787" s="16" t="n">
        <f aca="false">IF(C26776=0,0,C26743/C26776*MAX(0,MIN(C26776,$C$26683-SUM($C$26718:$C$26727)-C26765)))</f>
        <v>0</v>
      </c>
    </row>
    <row r="26788" customFormat="false" ht="15" hidden="false" customHeight="false" outlineLevel="0" collapsed="false">
      <c r="A26788" s="3" t="s">
        <v>560</v>
      </c>
      <c r="C26788" s="16" t="n">
        <f aca="false">IF(C26777=0,0,C26744/C26777*MAX(0,MIN(C26777,$C$26683-SUM($C$26718:$C$26727)-C26766)))</f>
        <v>391.896029401918</v>
      </c>
    </row>
    <row r="26789" customFormat="false" ht="15" hidden="false" customHeight="false" outlineLevel="0" collapsed="false">
      <c r="A26789" s="3" t="s">
        <v>561</v>
      </c>
      <c r="C26789" s="16" t="n">
        <f aca="false">IF(C26778=0,0,C26745/C26778*MAX(0,MIN(C26778,$C$26683-SUM($C$26718:$C$26727)-C26767)))</f>
        <v>341.673570074661</v>
      </c>
    </row>
    <row r="26790" customFormat="false" ht="15" hidden="false" customHeight="false" outlineLevel="0" collapsed="false">
      <c r="A26790" s="3" t="s">
        <v>562</v>
      </c>
      <c r="C26790" s="16" t="n">
        <f aca="false">IF(C26779=0,0,C26746/C26779*MAX(0,MIN(C26779,$C$26683-SUM($C$26718:$C$26727)-C26768)))</f>
        <v>536.915610117324</v>
      </c>
    </row>
    <row r="26791" customFormat="false" ht="15" hidden="false" customHeight="false" outlineLevel="0" collapsed="false">
      <c r="A26791" s="3" t="s">
        <v>563</v>
      </c>
      <c r="C26791" s="16" t="n">
        <f aca="false">IF(C26780=0,0,C26747/C26780*MAX(0,MIN(C26780,$C$26683-SUM($C$26718:$C$26727)-C26769)))</f>
        <v>341.673570074661</v>
      </c>
    </row>
    <row r="26792" customFormat="false" ht="15" hidden="false" customHeight="false" outlineLevel="0" collapsed="false">
      <c r="A26792" s="3" t="s">
        <v>564</v>
      </c>
      <c r="C26792" s="16" t="n">
        <f aca="false">IF(C26781=0,0,C26748/C26781*MAX(0,MIN(C26781,$C$26683-SUM($C$26718:$C$26727)-C26770)))</f>
        <v>292.863060063995</v>
      </c>
    </row>
    <row r="26793" customFormat="false" ht="15" hidden="false" customHeight="false" outlineLevel="0" collapsed="false">
      <c r="A26793" s="3" t="s">
        <v>565</v>
      </c>
      <c r="C26793" s="16" t="n">
        <f aca="false">IF(C26782=0,0,C26749/C26782*MAX(0,MIN(C26782,$C$26683-SUM($C$26718:$C$26727)-C26771)))</f>
        <v>0</v>
      </c>
    </row>
    <row r="26794" customFormat="false" ht="15" hidden="false" customHeight="false" outlineLevel="0" collapsed="false">
      <c r="A26794" s="24" t="s">
        <v>575</v>
      </c>
      <c r="B26794" s="25"/>
      <c r="C26794" s="25"/>
      <c r="D26794" s="25"/>
      <c r="E26794" s="25"/>
      <c r="F26794" s="25"/>
      <c r="G26794" s="25"/>
      <c r="H26794" s="25"/>
      <c r="I26794" s="25"/>
      <c r="J26794" s="25"/>
      <c r="K26794" s="25"/>
    </row>
    <row r="26795" customFormat="false" ht="15" hidden="false" customHeight="false" outlineLevel="0" collapsed="false">
      <c r="A26795" s="2" t="s">
        <v>556</v>
      </c>
      <c r="C26795" s="17" t="n">
        <f aca="false">C26718+C26784</f>
        <v>388</v>
      </c>
    </row>
    <row r="26796" customFormat="false" ht="15" hidden="false" customHeight="false" outlineLevel="0" collapsed="false">
      <c r="A26796" s="2" t="s">
        <v>557</v>
      </c>
      <c r="C26796" s="17" t="n">
        <f aca="false">C26719+C26785</f>
        <v>79.989133944159</v>
      </c>
    </row>
    <row r="26797" customFormat="false" ht="15" hidden="false" customHeight="false" outlineLevel="0" collapsed="false">
      <c r="A26797" s="2" t="s">
        <v>558</v>
      </c>
      <c r="C26797" s="17" t="n">
        <f aca="false">C26720+C26786</f>
        <v>50.902176146283</v>
      </c>
    </row>
    <row r="26798" customFormat="false" ht="15" hidden="false" customHeight="false" outlineLevel="0" collapsed="false">
      <c r="A26798" s="2" t="s">
        <v>559</v>
      </c>
      <c r="C26798" s="17" t="n">
        <f aca="false">C26721+C26787</f>
        <v>0</v>
      </c>
    </row>
    <row r="26799" customFormat="false" ht="15" hidden="false" customHeight="false" outlineLevel="0" collapsed="false">
      <c r="A26799" s="2" t="s">
        <v>560</v>
      </c>
      <c r="C26799" s="17" t="n">
        <f aca="false">C26722+C26788</f>
        <v>391.896029401918</v>
      </c>
    </row>
    <row r="26800" customFormat="false" ht="15" hidden="false" customHeight="false" outlineLevel="0" collapsed="false">
      <c r="A26800" s="2" t="s">
        <v>561</v>
      </c>
      <c r="C26800" s="17" t="n">
        <f aca="false">C26723+C26789</f>
        <v>341.673570074661</v>
      </c>
    </row>
    <row r="26801" customFormat="false" ht="15" hidden="false" customHeight="false" outlineLevel="0" collapsed="false">
      <c r="A26801" s="2" t="s">
        <v>562</v>
      </c>
      <c r="C26801" s="17" t="n">
        <f aca="false">C26724+C26790</f>
        <v>536.915610117324</v>
      </c>
    </row>
    <row r="26802" customFormat="false" ht="15" hidden="false" customHeight="false" outlineLevel="0" collapsed="false">
      <c r="A26802" s="2" t="s">
        <v>563</v>
      </c>
      <c r="C26802" s="17" t="n">
        <f aca="false">C26725+C26791</f>
        <v>341.673570074661</v>
      </c>
    </row>
    <row r="26803" customFormat="false" ht="15" hidden="false" customHeight="false" outlineLevel="0" collapsed="false">
      <c r="A26803" s="2" t="s">
        <v>564</v>
      </c>
      <c r="C26803" s="17" t="n">
        <f aca="false">C26726+C26792</f>
        <v>292.863060063995</v>
      </c>
    </row>
    <row r="26804" customFormat="false" ht="15" hidden="false" customHeight="false" outlineLevel="0" collapsed="false">
      <c r="A26804" s="2" t="s">
        <v>565</v>
      </c>
      <c r="C26804" s="17" t="n">
        <f aca="false">C26727+C26793</f>
        <v>0</v>
      </c>
    </row>
    <row r="26805" customFormat="false" ht="15" hidden="false" customHeight="false" outlineLevel="0" collapsed="false">
      <c r="A26805" s="24" t="s">
        <v>576</v>
      </c>
      <c r="B26805" s="25"/>
      <c r="C26805" s="25"/>
      <c r="D26805" s="25"/>
      <c r="E26805" s="25"/>
      <c r="F26805" s="25"/>
      <c r="G26805" s="25"/>
      <c r="H26805" s="25"/>
      <c r="I26805" s="25"/>
      <c r="J26805" s="25"/>
      <c r="K26805" s="25"/>
    </row>
    <row r="26806" customFormat="false" ht="15" hidden="false" customHeight="false" outlineLevel="0" collapsed="false">
      <c r="A26806" s="3" t="s">
        <v>556</v>
      </c>
      <c r="C26806" s="22" t="n">
        <f aca="false">IF(C26685=0,1,C26795/C26685)</f>
        <v>1</v>
      </c>
    </row>
    <row r="26807" customFormat="false" ht="15" hidden="false" customHeight="false" outlineLevel="0" collapsed="false">
      <c r="A26807" s="3" t="s">
        <v>557</v>
      </c>
      <c r="C26807" s="22" t="n">
        <f aca="false">IF(C26686=0,1,C26796/C26686)</f>
        <v>0.8887681549351</v>
      </c>
    </row>
    <row r="26808" customFormat="false" ht="15" hidden="false" customHeight="false" outlineLevel="0" collapsed="false">
      <c r="A26808" s="3" t="s">
        <v>558</v>
      </c>
      <c r="C26808" s="22" t="n">
        <f aca="false">IF(C26687=0,1,C26797/C26687)</f>
        <v>0.887973207492202</v>
      </c>
    </row>
    <row r="26809" customFormat="false" ht="15" hidden="false" customHeight="false" outlineLevel="0" collapsed="false">
      <c r="A26809" s="3" t="s">
        <v>559</v>
      </c>
      <c r="C26809" s="22" t="n">
        <f aca="false">IF(C26688=0,1,C26798/C26688)</f>
        <v>1</v>
      </c>
    </row>
    <row r="26810" customFormat="false" ht="15" hidden="false" customHeight="false" outlineLevel="0" collapsed="false">
      <c r="A26810" s="3" t="s">
        <v>560</v>
      </c>
      <c r="C26810" s="22" t="n">
        <f aca="false">IF(C26689=0,1,C26799/C26689)</f>
        <v>0.976210200213317</v>
      </c>
    </row>
    <row r="26811" customFormat="false" ht="15" hidden="false" customHeight="false" outlineLevel="0" collapsed="false">
      <c r="A26811" s="3" t="s">
        <v>561</v>
      </c>
      <c r="C26811" s="22" t="n">
        <f aca="false">IF(C26690=0,1,C26800/C26690)</f>
        <v>0.976210200213316</v>
      </c>
    </row>
    <row r="26812" customFormat="false" ht="15" hidden="false" customHeight="false" outlineLevel="0" collapsed="false">
      <c r="A26812" s="3" t="s">
        <v>562</v>
      </c>
      <c r="C26812" s="22" t="n">
        <f aca="false">IF(C26691=0,1,C26801/C26691)</f>
        <v>0.976210200213317</v>
      </c>
    </row>
    <row r="26813" customFormat="false" ht="15" hidden="false" customHeight="false" outlineLevel="0" collapsed="false">
      <c r="A26813" s="3" t="s">
        <v>563</v>
      </c>
      <c r="C26813" s="22" t="n">
        <f aca="false">IF(C26692=0,1,C26802/C26692)</f>
        <v>0.976210200213316</v>
      </c>
    </row>
    <row r="26814" customFormat="false" ht="15" hidden="false" customHeight="false" outlineLevel="0" collapsed="false">
      <c r="A26814" s="3" t="s">
        <v>564</v>
      </c>
      <c r="C26814" s="22" t="n">
        <f aca="false">IF(C26693=0,1,C26803/C26693)</f>
        <v>0.976210200213317</v>
      </c>
    </row>
    <row r="26815" customFormat="false" ht="15" hidden="false" customHeight="false" outlineLevel="0" collapsed="false">
      <c r="A26815" s="3" t="s">
        <v>565</v>
      </c>
      <c r="C26815" s="22" t="n">
        <f aca="false">IF(C26694=0,1,C26804/C26694)</f>
        <v>0</v>
      </c>
    </row>
    <row r="26816" customFormat="false" ht="15" hidden="false" customHeight="false" outlineLevel="0" collapsed="false">
      <c r="A26816" s="24" t="s">
        <v>577</v>
      </c>
      <c r="B26816" s="25"/>
      <c r="C26816" s="25"/>
      <c r="D26816" s="25"/>
      <c r="E26816" s="25"/>
      <c r="F26816" s="25"/>
      <c r="G26816" s="25"/>
      <c r="H26816" s="25"/>
      <c r="I26816" s="25"/>
      <c r="J26816" s="25"/>
      <c r="K26816" s="25"/>
    </row>
    <row r="26817" customFormat="false" ht="15" hidden="false" customHeight="false" outlineLevel="0" collapsed="false">
      <c r="A26817" s="3" t="s">
        <v>556</v>
      </c>
      <c r="C26817" s="16" t="n">
        <f aca="false">C26685-C26795</f>
        <v>0</v>
      </c>
    </row>
    <row r="26818" customFormat="false" ht="15" hidden="false" customHeight="false" outlineLevel="0" collapsed="false">
      <c r="A26818" s="3" t="s">
        <v>557</v>
      </c>
      <c r="C26818" s="16" t="n">
        <f aca="false">C26686-C26796</f>
        <v>10.010866055841</v>
      </c>
    </row>
    <row r="26819" customFormat="false" ht="15" hidden="false" customHeight="false" outlineLevel="0" collapsed="false">
      <c r="A26819" s="3" t="s">
        <v>558</v>
      </c>
      <c r="C26819" s="16" t="n">
        <f aca="false">C26687-C26797</f>
        <v>6.42182385371699</v>
      </c>
    </row>
    <row r="26820" customFormat="false" ht="15" hidden="false" customHeight="false" outlineLevel="0" collapsed="false">
      <c r="A26820" s="3" t="s">
        <v>559</v>
      </c>
      <c r="C26820" s="16" t="n">
        <f aca="false">C26688-C26798</f>
        <v>0</v>
      </c>
    </row>
    <row r="26821" customFormat="false" ht="15" hidden="false" customHeight="false" outlineLevel="0" collapsed="false">
      <c r="A26821" s="3" t="s">
        <v>560</v>
      </c>
      <c r="C26821" s="16" t="n">
        <f aca="false">C26689-C26799</f>
        <v>9.55032847908228</v>
      </c>
    </row>
    <row r="26822" customFormat="false" ht="15" hidden="false" customHeight="false" outlineLevel="0" collapsed="false">
      <c r="A26822" s="3" t="s">
        <v>561</v>
      </c>
      <c r="C26822" s="16" t="n">
        <f aca="false">C26690-C26800</f>
        <v>8.32642992533926</v>
      </c>
    </row>
    <row r="26823" customFormat="false" ht="15" hidden="false" customHeight="false" outlineLevel="0" collapsed="false">
      <c r="A26823" s="3" t="s">
        <v>562</v>
      </c>
      <c r="C26823" s="16" t="n">
        <f aca="false">C26691-C26801</f>
        <v>13.0843898826759</v>
      </c>
    </row>
    <row r="26824" customFormat="false" ht="15" hidden="false" customHeight="false" outlineLevel="0" collapsed="false">
      <c r="A26824" s="3" t="s">
        <v>563</v>
      </c>
      <c r="C26824" s="16" t="n">
        <f aca="false">C26692-C26802</f>
        <v>8.32642992533926</v>
      </c>
    </row>
    <row r="26825" customFormat="false" ht="15" hidden="false" customHeight="false" outlineLevel="0" collapsed="false">
      <c r="A26825" s="3" t="s">
        <v>564</v>
      </c>
      <c r="C26825" s="16" t="n">
        <f aca="false">C26693-C26803</f>
        <v>7.13693993600504</v>
      </c>
    </row>
    <row r="26826" customFormat="false" ht="15" hidden="false" customHeight="false" outlineLevel="0" collapsed="false">
      <c r="A26826" s="3" t="s">
        <v>565</v>
      </c>
      <c r="C26826" s="16" t="n">
        <f aca="false">C26694-C26804</f>
        <v>78.61</v>
      </c>
    </row>
    <row r="26827" customFormat="false" ht="15" hidden="false" customHeight="false" outlineLevel="0" collapsed="false">
      <c r="A26827" s="24" t="s">
        <v>578</v>
      </c>
      <c r="B26827" s="25"/>
      <c r="C26827" s="25"/>
      <c r="D26827" s="25"/>
      <c r="E26827" s="25"/>
      <c r="F26827" s="25"/>
      <c r="G26827" s="25"/>
      <c r="H26827" s="25"/>
      <c r="I26827" s="25"/>
      <c r="J26827" s="25"/>
      <c r="K26827" s="25"/>
    </row>
    <row r="26828" customFormat="false" ht="15" hidden="false" customHeight="false" outlineLevel="0" collapsed="false">
      <c r="A26828" s="3" t="s">
        <v>556</v>
      </c>
      <c r="C26828" s="22" t="n">
        <f aca="false">IF(C26685=0,0,C26817/C26685)</f>
        <v>0</v>
      </c>
    </row>
    <row r="26829" customFormat="false" ht="15" hidden="false" customHeight="false" outlineLevel="0" collapsed="false">
      <c r="A26829" s="3" t="s">
        <v>557</v>
      </c>
      <c r="C26829" s="22" t="n">
        <f aca="false">IF(C26686=0,0,C26818/C26686)</f>
        <v>0.1112318450649</v>
      </c>
    </row>
    <row r="26830" customFormat="false" ht="15" hidden="false" customHeight="false" outlineLevel="0" collapsed="false">
      <c r="A26830" s="3" t="s">
        <v>558</v>
      </c>
      <c r="C26830" s="22" t="n">
        <f aca="false">IF(C26687=0,0,C26819/C26687)</f>
        <v>0.112026792507798</v>
      </c>
    </row>
    <row r="26831" customFormat="false" ht="15" hidden="false" customHeight="false" outlineLevel="0" collapsed="false">
      <c r="A26831" s="3" t="s">
        <v>559</v>
      </c>
      <c r="C26831" s="22" t="n">
        <f aca="false">IF(C26688=0,0,C26820/C26688)</f>
        <v>0</v>
      </c>
    </row>
    <row r="26832" customFormat="false" ht="15" hidden="false" customHeight="false" outlineLevel="0" collapsed="false">
      <c r="A26832" s="3" t="s">
        <v>560</v>
      </c>
      <c r="C26832" s="22" t="n">
        <f aca="false">IF(C26689=0,0,C26821/C26689)</f>
        <v>0.0237897997866835</v>
      </c>
    </row>
    <row r="26833" customFormat="false" ht="15" hidden="false" customHeight="false" outlineLevel="0" collapsed="false">
      <c r="A26833" s="3" t="s">
        <v>561</v>
      </c>
      <c r="C26833" s="22" t="n">
        <f aca="false">IF(C26690=0,0,C26822/C26690)</f>
        <v>0.0237897997866836</v>
      </c>
    </row>
    <row r="26834" customFormat="false" ht="15" hidden="false" customHeight="false" outlineLevel="0" collapsed="false">
      <c r="A26834" s="3" t="s">
        <v>562</v>
      </c>
      <c r="C26834" s="22" t="n">
        <f aca="false">IF(C26691=0,0,C26823/C26691)</f>
        <v>0.0237897997866834</v>
      </c>
    </row>
    <row r="26835" customFormat="false" ht="15" hidden="false" customHeight="false" outlineLevel="0" collapsed="false">
      <c r="A26835" s="3" t="s">
        <v>563</v>
      </c>
      <c r="C26835" s="22" t="n">
        <f aca="false">IF(C26692=0,0,C26824/C26692)</f>
        <v>0.0237897997866836</v>
      </c>
    </row>
    <row r="26836" customFormat="false" ht="15" hidden="false" customHeight="false" outlineLevel="0" collapsed="false">
      <c r="A26836" s="3" t="s">
        <v>564</v>
      </c>
      <c r="C26836" s="22" t="n">
        <f aca="false">IF(C26693=0,0,C26825/C26693)</f>
        <v>0.0237897997866835</v>
      </c>
    </row>
    <row r="26837" customFormat="false" ht="15" hidden="false" customHeight="false" outlineLevel="0" collapsed="false">
      <c r="A26837" s="3" t="s">
        <v>565</v>
      </c>
      <c r="C26837" s="22" t="n">
        <f aca="false">IF(C26694=0,0,C26826/C26694)</f>
        <v>1</v>
      </c>
    </row>
    <row r="26838" customFormat="false" ht="15" hidden="false" customHeight="false" outlineLevel="0" collapsed="false">
      <c r="A26838" s="2" t="s">
        <v>579</v>
      </c>
      <c r="C26838" s="17" t="n">
        <f aca="false">MAX(0,$C$26683-SUM($C$26718:$C$26727)-SUM($C$26740:$C$26749))</f>
        <v>0</v>
      </c>
    </row>
    <row r="26839" customFormat="false" ht="15" hidden="false" customHeight="false" outlineLevel="0" collapsed="false">
      <c r="A26839" s="3" t="s">
        <v>597</v>
      </c>
      <c r="C26839" s="35" t="n">
        <f aca="false">MIN(C26682,100*CHOOSE(C26672,C26806,C26807,C26808,C26809,C26810,C26811,C26812,C26813,C26814,C26815))</f>
        <v>95</v>
      </c>
    </row>
    <row r="26840" customFormat="false" ht="15" hidden="false" customHeight="false" outlineLevel="0" collapsed="false">
      <c r="A26840" s="3" t="s">
        <v>598</v>
      </c>
      <c r="C26840" s="21" t="n">
        <f aca="false">IF(C26504=1,C26677+Assumptions!$C$40,C26676)</f>
        <v>3</v>
      </c>
    </row>
    <row r="26841" customFormat="false" ht="15" hidden="false" customHeight="false" outlineLevel="0" collapsed="false">
      <c r="A26841" s="24" t="s">
        <v>599</v>
      </c>
      <c r="B26841" s="25"/>
      <c r="C26841" s="25"/>
      <c r="D26841" s="25"/>
      <c r="E26841" s="25"/>
      <c r="F26841" s="25"/>
      <c r="G26841" s="25"/>
      <c r="H26841" s="25"/>
      <c r="I26841" s="25"/>
      <c r="J26841" s="25"/>
      <c r="K26841" s="25"/>
    </row>
    <row r="26842" customFormat="false" ht="15" hidden="false" customHeight="false" outlineLevel="0" collapsed="false">
      <c r="A26842" s="3" t="s">
        <v>600</v>
      </c>
      <c r="C26842" s="21" t="n">
        <f aca="false">COLUMN()-COLUMN($C$1)</f>
        <v>0</v>
      </c>
      <c r="D26842" s="21" t="n">
        <f aca="false">COLUMN()-COLUMN($C$1)</f>
        <v>1</v>
      </c>
      <c r="E26842" s="21" t="n">
        <f aca="false">COLUMN()-COLUMN($C$1)</f>
        <v>2</v>
      </c>
      <c r="F26842" s="21" t="n">
        <f aca="false">COLUMN()-COLUMN($C$1)</f>
        <v>3</v>
      </c>
      <c r="G26842" s="21" t="n">
        <f aca="false">COLUMN()-COLUMN($C$1)</f>
        <v>4</v>
      </c>
      <c r="H26842" s="21" t="n">
        <f aca="false">COLUMN()-COLUMN($C$1)</f>
        <v>5</v>
      </c>
      <c r="I26842" s="21" t="n">
        <f aca="false">COLUMN()-COLUMN($C$1)</f>
        <v>6</v>
      </c>
    </row>
    <row r="26843" customFormat="false" ht="15" hidden="false" customHeight="false" outlineLevel="0" collapsed="false">
      <c r="A26843" s="3" t="s">
        <v>601</v>
      </c>
      <c r="D26843" s="31" t="n">
        <f aca="false">CHOOSE($C$26672,G26252,G26265,G26278,G26291,G26304,G26317,G26330,G26343,G26356,G26369)</f>
        <v>0.1065</v>
      </c>
      <c r="E26843" s="31" t="n">
        <f aca="false">CHOOSE($C$26672,H26252,H26265,H26278,H26291,H26304,H26317,H26330,H26343,H26356,H26369)</f>
        <v>0.105</v>
      </c>
      <c r="F26843" s="31" t="n">
        <f aca="false">CHOOSE($C$26672,I26252,I26265,I26278,I26291,I26304,I26317,I26330,I26343,I26356,I26369)</f>
        <v>0.1025</v>
      </c>
      <c r="G26843" s="31" t="n">
        <f aca="false">CHOOSE($C$26672,J26252,J26265,J26278,J26291,J26304,J26317,J26330,J26343,J26356,J26369)</f>
        <v>0.1025</v>
      </c>
      <c r="H26843" s="31" t="n">
        <f aca="false">CHOOSE($C$26672,K26252,K26265,K26278,K26291,K26304,K26317,K26330,K26343,K26356,K26369)</f>
        <v>0.1025</v>
      </c>
    </row>
    <row r="26844" customFormat="false" ht="15" hidden="false" customHeight="false" outlineLevel="0" collapsed="false">
      <c r="A26844" s="3" t="s">
        <v>602</v>
      </c>
      <c r="D26844" s="16" t="n">
        <f aca="false">IF(D26842&lt;=$C$26681,$C$26673*D26843,0)</f>
        <v>10.65</v>
      </c>
      <c r="E26844" s="16" t="n">
        <f aca="false">IF(E26842&lt;=$C$26681,$C$26673*E26843,0)</f>
        <v>10.5</v>
      </c>
      <c r="F26844" s="16" t="n">
        <f aca="false">IF(F26842&lt;=$C$26681,$C$26673*F26843,0)</f>
        <v>0</v>
      </c>
      <c r="G26844" s="16" t="n">
        <f aca="false">IF(G26842&lt;=$C$26681,$C$26673*G26843,0)</f>
        <v>0</v>
      </c>
      <c r="H26844" s="16" t="n">
        <f aca="false">IF(H26842&lt;=$C$26681,$C$26673*H26843,0)</f>
        <v>0</v>
      </c>
    </row>
    <row r="26845" customFormat="false" ht="15" hidden="false" customHeight="false" outlineLevel="0" collapsed="false">
      <c r="A26845" s="3" t="s">
        <v>603</v>
      </c>
      <c r="D26845" s="16" t="n">
        <f aca="false">IF(AND($C$26504=0,D26842=$C$26676),$C$26673*$C$26839/100,0)+IF(AND($C$26504=1,D26842=$C$26840),$C$26679,0)</f>
        <v>0</v>
      </c>
      <c r="E26845" s="16" t="n">
        <f aca="false">IF(AND($C$26504=0,E26842=$C$26676),$C$26673*$C$26839/100,0)+IF(AND($C$26504=1,E26842=$C$26840),$C$26679,0)</f>
        <v>0</v>
      </c>
      <c r="F26845" s="16" t="n">
        <f aca="false">IF(AND($C$26504=0,F26842=$C$26676),$C$26673*$C$26839/100,0)+IF(AND($C$26504=1,F26842=$C$26840),$C$26679,0)</f>
        <v>102.625</v>
      </c>
      <c r="G26845" s="16" t="n">
        <f aca="false">IF(AND($C$26504=0,G26842=$C$26676),$C$26673*$C$26839/100,0)+IF(AND($C$26504=1,G26842=$C$26840),$C$26679,0)</f>
        <v>0</v>
      </c>
      <c r="H26845" s="16" t="n">
        <f aca="false">IF(AND($C$26504=0,H26842=$C$26676),$C$26673*$C$26839/100,0)+IF(AND($C$26504=1,H26842=$C$26840),$C$26679,0)</f>
        <v>0</v>
      </c>
      <c r="I26845" s="16" t="n">
        <f aca="false">IF(AND($C$26504=0,I26842=$C$26676),$C$26673*$C$26839/100,0)+IF(AND($C$26504=1,I26842=$C$26840),$C$26679,0)</f>
        <v>0</v>
      </c>
    </row>
    <row r="26846" customFormat="false" ht="15" hidden="false" customHeight="false" outlineLevel="0" collapsed="false">
      <c r="A26846" s="2" t="s">
        <v>604</v>
      </c>
      <c r="C26846" s="17" t="n">
        <f aca="false">-$C$26675</f>
        <v>-98.49</v>
      </c>
      <c r="D26846" s="17" t="n">
        <f aca="false">D26844+D26845</f>
        <v>10.65</v>
      </c>
      <c r="E26846" s="17" t="n">
        <f aca="false">E26844+E26845</f>
        <v>10.5</v>
      </c>
      <c r="F26846" s="17" t="n">
        <f aca="false">F26844+F26845</f>
        <v>102.625</v>
      </c>
      <c r="G26846" s="17" t="n">
        <f aca="false">G26844+G26845</f>
        <v>0</v>
      </c>
      <c r="H26846" s="17" t="n">
        <f aca="false">H26844+H26845</f>
        <v>0</v>
      </c>
      <c r="I26846" s="17" t="n">
        <f aca="false">I26844+I26845</f>
        <v>0</v>
      </c>
    </row>
    <row r="26847" customFormat="false" ht="15" hidden="false" customHeight="false" outlineLevel="0" collapsed="false">
      <c r="A26847" s="3" t="s">
        <v>605</v>
      </c>
      <c r="C26847" s="16" t="n">
        <f aca="false">SUM($C$26844:$I$26844)</f>
        <v>21.15</v>
      </c>
    </row>
    <row r="26848" customFormat="false" ht="15" hidden="false" customHeight="false" outlineLevel="0" collapsed="false">
      <c r="A26848" s="3" t="s">
        <v>606</v>
      </c>
      <c r="C26848" s="16" t="n">
        <f aca="false">SUM($C$26845:$I$26845)</f>
        <v>102.625</v>
      </c>
    </row>
    <row r="26849" customFormat="false" ht="15" hidden="false" customHeight="false" outlineLevel="0" collapsed="false">
      <c r="A26849" s="3" t="s">
        <v>607</v>
      </c>
      <c r="C26849" s="16" t="n">
        <f aca="false">C26847+C26848</f>
        <v>123.775</v>
      </c>
    </row>
    <row r="26850" customFormat="false" ht="15" hidden="false" customHeight="false" outlineLevel="0" collapsed="false">
      <c r="A26850" s="3" t="s">
        <v>608</v>
      </c>
      <c r="C26850" s="16" t="n">
        <f aca="false">C26848-C26673*C26674/100</f>
        <v>4.62500000000001</v>
      </c>
    </row>
    <row r="26851" customFormat="false" ht="15" hidden="false" customHeight="false" outlineLevel="0" collapsed="false">
      <c r="A26851" s="3" t="s">
        <v>609</v>
      </c>
      <c r="C26851" s="16" t="n">
        <f aca="false">C26849-C26675</f>
        <v>25.285</v>
      </c>
    </row>
    <row r="26852" customFormat="false" ht="15" hidden="false" customHeight="false" outlineLevel="0" collapsed="false">
      <c r="A26852" s="2" t="s">
        <v>484</v>
      </c>
      <c r="C26852" s="44" t="n">
        <f aca="false">C26849/C26675</f>
        <v>1.25672657122551</v>
      </c>
    </row>
    <row r="26853" customFormat="false" ht="15" hidden="false" customHeight="false" outlineLevel="0" collapsed="false">
      <c r="A26853" s="2" t="s">
        <v>483</v>
      </c>
      <c r="C26853" s="42" t="n">
        <f aca="false">IF(C26849&lt;=0,-1,IFERROR(IRR($C$26846:$I$26846,MAX(-0.9,C26852^(1/C26840)-1)),IRR($C$26846:$I$26846,0.1)))</f>
        <v>0.0873962489027792</v>
      </c>
    </row>
    <row r="26854" customFormat="false" ht="15" hidden="false" customHeight="false" outlineLevel="0" collapsed="false">
      <c r="A26854" s="3" t="s">
        <v>610</v>
      </c>
      <c r="C26854" s="32" t="n">
        <f aca="false">MAX($G$26448:$K$26448)</f>
        <v>12.0232607366907</v>
      </c>
    </row>
    <row r="26855" customFormat="false" ht="15" hidden="false" customHeight="false" outlineLevel="0" collapsed="false">
      <c r="A26855" s="3" t="s">
        <v>611</v>
      </c>
      <c r="C26855" s="32" t="n">
        <f aca="false">MIN($G$26449:$K$26449)</f>
        <v>1.18311222526984</v>
      </c>
    </row>
    <row r="26856" customFormat="false" ht="15" hidden="false" customHeight="false" outlineLevel="0" collapsed="false">
      <c r="A26856" s="3" t="s">
        <v>612</v>
      </c>
      <c r="C26856" s="16" t="n">
        <f aca="false">SUM($G$26236:$K$26236)</f>
        <v>-320.308045372933</v>
      </c>
    </row>
    <row r="26860" customFormat="false" ht="15" hidden="false" customHeight="false" outlineLevel="0" collapsed="false">
      <c r="A26860" s="9" t="s">
        <v>1171</v>
      </c>
      <c r="B26860" s="10"/>
      <c r="C26860" s="10"/>
      <c r="D26860" s="10"/>
      <c r="E26860" s="10"/>
      <c r="F26860" s="10"/>
      <c r="G26860" s="10"/>
      <c r="H26860" s="10"/>
      <c r="I26860" s="10"/>
      <c r="J26860" s="10"/>
      <c r="K26860" s="10"/>
    </row>
    <row r="26861" customFormat="false" ht="15" hidden="false" customHeight="false" outlineLevel="0" collapsed="false">
      <c r="A26861" s="3" t="s">
        <v>1126</v>
      </c>
      <c r="C26861" s="11" t="n">
        <v>2</v>
      </c>
    </row>
    <row r="26862" customFormat="false" ht="15" hidden="false" customHeight="false" outlineLevel="0" collapsed="false">
      <c r="A26862" s="3" t="s">
        <v>1127</v>
      </c>
      <c r="C26862" s="19" t="n">
        <v>0</v>
      </c>
    </row>
    <row r="26863" customFormat="false" ht="15" hidden="false" customHeight="false" outlineLevel="0" collapsed="false">
      <c r="A26863" s="3" t="s">
        <v>1128</v>
      </c>
      <c r="C26863" s="19" t="n">
        <v>0</v>
      </c>
    </row>
    <row r="26864" customFormat="false" ht="15" hidden="false" customHeight="false" outlineLevel="0" collapsed="false">
      <c r="A26864" s="3" t="s">
        <v>1129</v>
      </c>
      <c r="C26864" s="30" t="n">
        <f aca="false">Sensitivities!$A$53</f>
        <v>0.01</v>
      </c>
    </row>
    <row r="26865" customFormat="false" ht="15" hidden="false" customHeight="false" outlineLevel="0" collapsed="false">
      <c r="A26865" s="3" t="s">
        <v>1130</v>
      </c>
      <c r="C26865" s="15" t="n">
        <v>0</v>
      </c>
    </row>
    <row r="26867" customFormat="false" ht="15" hidden="false" customHeight="false" outlineLevel="0" collapsed="false">
      <c r="A26867" s="24" t="s">
        <v>301</v>
      </c>
      <c r="B26867" s="25"/>
      <c r="C26867" s="25"/>
      <c r="D26867" s="25"/>
      <c r="E26867" s="25"/>
      <c r="F26867" s="25"/>
      <c r="G26867" s="25"/>
      <c r="H26867" s="25"/>
      <c r="I26867" s="25"/>
      <c r="J26867" s="25"/>
      <c r="K26867" s="25"/>
    </row>
    <row r="26868" customFormat="false" ht="15" hidden="false" customHeight="false" outlineLevel="0" collapsed="false">
      <c r="A26868" s="3" t="s">
        <v>302</v>
      </c>
      <c r="F26868" s="27" t="n">
        <f aca="false">Assumptions!$C$6</f>
        <v>2026</v>
      </c>
      <c r="G26868" s="21" t="n">
        <f aca="false">F26868+1</f>
        <v>2027</v>
      </c>
      <c r="H26868" s="21" t="n">
        <f aca="false">G26868+1</f>
        <v>2028</v>
      </c>
      <c r="I26868" s="21" t="n">
        <f aca="false">H26868+1</f>
        <v>2029</v>
      </c>
      <c r="J26868" s="21" t="n">
        <f aca="false">I26868+1</f>
        <v>2030</v>
      </c>
      <c r="K26868" s="21" t="n">
        <f aca="false">J26868+1</f>
        <v>2031</v>
      </c>
    </row>
    <row r="26869" customFormat="false" ht="15" hidden="false" customHeight="false" outlineLevel="0" collapsed="false">
      <c r="A26869" s="3" t="s">
        <v>303</v>
      </c>
      <c r="G26869" s="21" t="n">
        <f aca="false">G26868-Assumptions!$C$6</f>
        <v>1</v>
      </c>
      <c r="H26869" s="21" t="n">
        <f aca="false">H26868-Assumptions!$C$6</f>
        <v>2</v>
      </c>
      <c r="I26869" s="21" t="n">
        <f aca="false">I26868-Assumptions!$C$6</f>
        <v>3</v>
      </c>
      <c r="J26869" s="21" t="n">
        <f aca="false">J26868-Assumptions!$C$6</f>
        <v>4</v>
      </c>
      <c r="K26869" s="21" t="n">
        <f aca="false">K26868-Assumptions!$C$6</f>
        <v>5</v>
      </c>
    </row>
    <row r="26870" customFormat="false" ht="15" hidden="false" customHeight="false" outlineLevel="0" collapsed="false">
      <c r="A26870" s="3" t="s">
        <v>180</v>
      </c>
      <c r="G26870" s="22" t="n">
        <f aca="false">CHOOSE($C$26861,Assumptions!$G$79,Assumptions!$G$98,Assumptions!$G$117)+$C$26862</f>
        <v>-0.06</v>
      </c>
      <c r="H26870" s="22" t="n">
        <f aca="false">CHOOSE($C$26861,Assumptions!$H$79,Assumptions!$H$98,Assumptions!$H$117)+$C$26862</f>
        <v>-0.03</v>
      </c>
      <c r="I26870" s="22" t="n">
        <f aca="false">CHOOSE($C$26861,Assumptions!$I$79,Assumptions!$I$98,Assumptions!$I$117)+$C$26862</f>
        <v>0</v>
      </c>
      <c r="J26870" s="22" t="n">
        <f aca="false">CHOOSE($C$26861,Assumptions!$J$79,Assumptions!$J$98,Assumptions!$J$117)+$C$26862</f>
        <v>0.01</v>
      </c>
      <c r="K26870" s="22" t="n">
        <f aca="false">CHOOSE($C$26861,Assumptions!$K$79,Assumptions!$K$98,Assumptions!$K$117)+$C$26862</f>
        <v>0.01</v>
      </c>
    </row>
    <row r="26871" customFormat="false" ht="15" hidden="false" customHeight="false" outlineLevel="0" collapsed="false">
      <c r="A26871" s="3" t="s">
        <v>181</v>
      </c>
      <c r="G26871" s="22" t="n">
        <f aca="false">CHOOSE($C$26861,Assumptions!$G$80,Assumptions!$G$99,Assumptions!$G$118)</f>
        <v>0.573920660818678</v>
      </c>
      <c r="H26871" s="22" t="n">
        <f aca="false">CHOOSE($C$26861,Assumptions!$H$80,Assumptions!$H$99,Assumptions!$H$118)</f>
        <v>0.558920660818678</v>
      </c>
      <c r="I26871" s="22" t="n">
        <f aca="false">CHOOSE($C$26861,Assumptions!$I$80,Assumptions!$I$99,Assumptions!$I$118)</f>
        <v>0.558920660818678</v>
      </c>
      <c r="J26871" s="22" t="n">
        <f aca="false">CHOOSE($C$26861,Assumptions!$J$80,Assumptions!$J$99,Assumptions!$J$118)</f>
        <v>0.563920660818678</v>
      </c>
      <c r="K26871" s="22" t="n">
        <f aca="false">CHOOSE($C$26861,Assumptions!$K$80,Assumptions!$K$99,Assumptions!$K$118)</f>
        <v>0.568920660818678</v>
      </c>
    </row>
    <row r="26872" customFormat="false" ht="15" hidden="false" customHeight="false" outlineLevel="0" collapsed="false">
      <c r="A26872" s="3" t="s">
        <v>182</v>
      </c>
      <c r="G26872" s="22" t="n">
        <f aca="false">CHOOSE($C$26861,Assumptions!$G$81,Assumptions!$G$100,Assumptions!$G$119)+$C$26863</f>
        <v>0.5</v>
      </c>
      <c r="H26872" s="22" t="n">
        <f aca="false">CHOOSE($C$26861,Assumptions!$H$81,Assumptions!$H$100,Assumptions!$H$119)+$C$26863</f>
        <v>0.485</v>
      </c>
      <c r="I26872" s="22" t="n">
        <f aca="false">CHOOSE($C$26861,Assumptions!$I$81,Assumptions!$I$100,Assumptions!$I$119)+$C$26863</f>
        <v>0.485</v>
      </c>
      <c r="J26872" s="22" t="n">
        <f aca="false">CHOOSE($C$26861,Assumptions!$J$81,Assumptions!$J$100,Assumptions!$J$119)+$C$26863</f>
        <v>0.49</v>
      </c>
      <c r="K26872" s="22" t="n">
        <f aca="false">CHOOSE($C$26861,Assumptions!$K$81,Assumptions!$K$100,Assumptions!$K$119)+$C$26863</f>
        <v>0.495</v>
      </c>
    </row>
    <row r="26873" customFormat="false" ht="15" hidden="false" customHeight="false" outlineLevel="0" collapsed="false">
      <c r="A26873" s="24" t="s">
        <v>304</v>
      </c>
      <c r="B26873" s="25"/>
      <c r="C26873" s="25"/>
      <c r="D26873" s="25"/>
      <c r="E26873" s="25"/>
      <c r="F26873" s="25"/>
      <c r="G26873" s="25"/>
      <c r="H26873" s="25"/>
      <c r="I26873" s="25"/>
      <c r="J26873" s="25"/>
      <c r="K26873" s="25"/>
    </row>
    <row r="26874" customFormat="false" ht="15" hidden="false" customHeight="false" outlineLevel="0" collapsed="false">
      <c r="A26874" s="2" t="s">
        <v>275</v>
      </c>
      <c r="F26874" s="28" t="n">
        <f aca="false">'Historical Financials'!G25</f>
        <v>498.291</v>
      </c>
      <c r="G26874" s="17" t="n">
        <f aca="false">F26874*(1+G26870)</f>
        <v>468.39354</v>
      </c>
      <c r="H26874" s="17" t="n">
        <f aca="false">G26874*(1+H26870)</f>
        <v>454.3417338</v>
      </c>
      <c r="I26874" s="17" t="n">
        <f aca="false">H26874*(1+I26870)</f>
        <v>454.3417338</v>
      </c>
      <c r="J26874" s="17" t="n">
        <f aca="false">I26874*(1+J26870)</f>
        <v>458.885151138</v>
      </c>
      <c r="K26874" s="17" t="n">
        <f aca="false">J26874*(1+K26870)</f>
        <v>463.47400264938</v>
      </c>
    </row>
    <row r="26875" customFormat="false" ht="15" hidden="false" customHeight="false" outlineLevel="0" collapsed="false">
      <c r="A26875" s="3" t="s">
        <v>276</v>
      </c>
      <c r="G26875" s="16" t="n">
        <f aca="false">G26874*(1-G26871)</f>
        <v>199.57281</v>
      </c>
      <c r="H26875" s="16" t="n">
        <f aca="false">H26874*(1-H26871)</f>
        <v>200.400751707</v>
      </c>
      <c r="I26875" s="16" t="n">
        <f aca="false">I26874*(1-I26871)</f>
        <v>200.400751707</v>
      </c>
      <c r="J26875" s="16" t="n">
        <f aca="false">J26874*(1-J26871)</f>
        <v>200.11033346838</v>
      </c>
      <c r="K26875" s="16" t="n">
        <f aca="false">K26874*(1-K26871)</f>
        <v>199.794066789817</v>
      </c>
    </row>
    <row r="26876" customFormat="false" ht="15" hidden="false" customHeight="false" outlineLevel="0" collapsed="false">
      <c r="A26876" s="2" t="s">
        <v>277</v>
      </c>
      <c r="G26876" s="17" t="n">
        <f aca="false">G26874-G26875</f>
        <v>268.82073</v>
      </c>
      <c r="H26876" s="17" t="n">
        <f aca="false">H26874-H26875</f>
        <v>253.940982093</v>
      </c>
      <c r="I26876" s="17" t="n">
        <f aca="false">I26874-I26875</f>
        <v>253.940982093</v>
      </c>
      <c r="J26876" s="17" t="n">
        <f aca="false">J26874-J26875</f>
        <v>258.77481766962</v>
      </c>
      <c r="K26876" s="17" t="n">
        <f aca="false">K26874-K26875</f>
        <v>263.679935859563</v>
      </c>
    </row>
    <row r="26877" customFormat="false" ht="15" hidden="false" customHeight="false" outlineLevel="0" collapsed="false">
      <c r="A26877" s="3" t="s">
        <v>305</v>
      </c>
      <c r="G26877" s="16" t="n">
        <f aca="false">G26876-G26878</f>
        <v>34.62396</v>
      </c>
      <c r="H26877" s="16" t="n">
        <f aca="false">H26876-H26878</f>
        <v>33.5852412</v>
      </c>
      <c r="I26877" s="16" t="n">
        <f aca="false">I26876-I26878</f>
        <v>33.5852412</v>
      </c>
      <c r="J26877" s="16" t="n">
        <f aca="false">J26876-J26878</f>
        <v>33.921093612</v>
      </c>
      <c r="K26877" s="16" t="n">
        <f aca="false">K26876-K26878</f>
        <v>34.26030454812</v>
      </c>
    </row>
    <row r="26878" customFormat="false" ht="15" hidden="false" customHeight="false" outlineLevel="0" collapsed="false">
      <c r="A26878" s="2" t="s">
        <v>306</v>
      </c>
      <c r="G26878" s="17" t="n">
        <f aca="false">G26874*G26872</f>
        <v>234.19677</v>
      </c>
      <c r="H26878" s="17" t="n">
        <f aca="false">H26874*H26872</f>
        <v>220.355740893</v>
      </c>
      <c r="I26878" s="17" t="n">
        <f aca="false">I26874*I26872</f>
        <v>220.355740893</v>
      </c>
      <c r="J26878" s="17" t="n">
        <f aca="false">J26874*J26872</f>
        <v>224.85372405762</v>
      </c>
      <c r="K26878" s="17" t="n">
        <f aca="false">K26874*K26872</f>
        <v>229.419631311443</v>
      </c>
    </row>
    <row r="26879" customFormat="false" ht="15" hidden="false" customHeight="false" outlineLevel="0" collapsed="false">
      <c r="A26879" s="3" t="s">
        <v>307</v>
      </c>
      <c r="G26879" s="16" t="n">
        <f aca="false">G26874*'Historical Financials'!G30/'Historical Financials'!G25</f>
        <v>174.17542</v>
      </c>
      <c r="H26879" s="16" t="n">
        <f aca="false">H26874*'Historical Financials'!G30/'Historical Financials'!G25</f>
        <v>168.9501574</v>
      </c>
      <c r="I26879" s="16" t="n">
        <f aca="false">I26874*'Historical Financials'!G30/'Historical Financials'!G25</f>
        <v>168.9501574</v>
      </c>
      <c r="J26879" s="16" t="n">
        <f aca="false">J26874*'Historical Financials'!G30/'Historical Financials'!G25</f>
        <v>170.639658974</v>
      </c>
      <c r="K26879" s="16" t="n">
        <f aca="false">K26874*'Historical Financials'!G30/'Historical Financials'!G25</f>
        <v>172.34605556374</v>
      </c>
    </row>
    <row r="26880" customFormat="false" ht="15" hidden="false" customHeight="false" outlineLevel="0" collapsed="false">
      <c r="A26880" s="3" t="s">
        <v>308</v>
      </c>
      <c r="G26880" s="16" t="n">
        <f aca="false">G26874*'Historical Financials'!G31/'Historical Financials'!G25</f>
        <v>0</v>
      </c>
      <c r="H26880" s="16" t="n">
        <f aca="false">H26874*'Historical Financials'!G31/'Historical Financials'!G25</f>
        <v>0</v>
      </c>
      <c r="I26880" s="16" t="n">
        <f aca="false">I26874*'Historical Financials'!G31/'Historical Financials'!G25</f>
        <v>0</v>
      </c>
      <c r="J26880" s="16" t="n">
        <f aca="false">J26874*'Historical Financials'!G31/'Historical Financials'!G25</f>
        <v>0</v>
      </c>
      <c r="K26880" s="16" t="n">
        <f aca="false">K26874*'Historical Financials'!G31/'Historical Financials'!G25</f>
        <v>0</v>
      </c>
    </row>
    <row r="26881" customFormat="false" ht="15" hidden="false" customHeight="false" outlineLevel="0" collapsed="false">
      <c r="A26881" s="2" t="s">
        <v>309</v>
      </c>
      <c r="G26881" s="17" t="n">
        <f aca="false">G26878-G26879-G26880</f>
        <v>60.02135</v>
      </c>
      <c r="H26881" s="17" t="n">
        <f aca="false">H26878-H26879-H26880</f>
        <v>51.405583493</v>
      </c>
      <c r="I26881" s="17" t="n">
        <f aca="false">I26878-I26879-I26880</f>
        <v>51.405583493</v>
      </c>
      <c r="J26881" s="17" t="n">
        <f aca="false">J26878-J26879-J26880</f>
        <v>54.21406508362</v>
      </c>
      <c r="K26881" s="17" t="n">
        <f aca="false">K26878-K26879-K26880</f>
        <v>57.0735757477031</v>
      </c>
    </row>
    <row r="26882" customFormat="false" ht="15" hidden="false" customHeight="false" outlineLevel="0" collapsed="false">
      <c r="A26882" s="3" t="s">
        <v>310</v>
      </c>
      <c r="G26882" s="16" t="n">
        <f aca="false">G26908+G26921+G26934+G26947+G26960+G26973+G26986+G26999+G27012+G27025</f>
        <v>192.1749354</v>
      </c>
      <c r="H26882" s="16" t="n">
        <f aca="false">H26908+H26921+H26934+H26947+H26960+H26973+H26986+H26999+H27012+H27025</f>
        <v>190.9970204</v>
      </c>
      <c r="I26882" s="16" t="n">
        <f aca="false">I26908+I26921+I26934+I26947+I26960+I26973+I26986+I26999+I27012+I27025</f>
        <v>187.8191484363</v>
      </c>
      <c r="J26882" s="16" t="n">
        <f aca="false">J26908+J26921+J26934+J26947+J26960+J26973+J26986+J26999+J27012+J27025</f>
        <v>187.3691484363</v>
      </c>
      <c r="K26882" s="16" t="n">
        <f aca="false">K26908+K26921+K26934+K26947+K26960+K26973+K26986+K26999+K27012+K27025</f>
        <v>186.9191484363</v>
      </c>
    </row>
    <row r="26883" customFormat="false" ht="15" hidden="false" customHeight="false" outlineLevel="0" collapsed="false">
      <c r="A26883" s="3" t="s">
        <v>311</v>
      </c>
      <c r="G26883" s="16" t="n">
        <f aca="false">G26909+G26922+G26935+G26948+G26961+G26974+G26987+G27000+G27013+G27026</f>
        <v>0</v>
      </c>
      <c r="H26883" s="16" t="n">
        <f aca="false">H26909+H26922+H26935+H26948+H26961+H26974+H26987+H27000+H27013+H27026</f>
        <v>0</v>
      </c>
      <c r="I26883" s="16" t="n">
        <f aca="false">I26909+I26922+I26935+I26948+I26961+I26974+I26987+I27000+I27013+I27026</f>
        <v>0</v>
      </c>
      <c r="J26883" s="16" t="n">
        <f aca="false">J26909+J26922+J26935+J26948+J26961+J26974+J26987+J27000+J27013+J27026</f>
        <v>0</v>
      </c>
      <c r="K26883" s="16" t="n">
        <f aca="false">K26909+K26922+K26935+K26948+K26961+K26974+K26987+K27000+K27013+K27026</f>
        <v>0</v>
      </c>
    </row>
    <row r="26884" customFormat="false" ht="15" hidden="false" customHeight="false" outlineLevel="0" collapsed="false">
      <c r="A26884" s="3" t="s">
        <v>283</v>
      </c>
      <c r="G26884" s="16" t="n">
        <f aca="false">G26882+G26883</f>
        <v>192.1749354</v>
      </c>
      <c r="H26884" s="16" t="n">
        <f aca="false">H26882+H26883</f>
        <v>190.9970204</v>
      </c>
      <c r="I26884" s="16" t="n">
        <f aca="false">I26882+I26883</f>
        <v>187.8191484363</v>
      </c>
      <c r="J26884" s="16" t="n">
        <f aca="false">J26882+J26883</f>
        <v>187.3691484363</v>
      </c>
      <c r="K26884" s="16" t="n">
        <f aca="false">K26882+K26883</f>
        <v>186.9191484363</v>
      </c>
    </row>
    <row r="26885" customFormat="false" ht="15" hidden="false" customHeight="false" outlineLevel="0" collapsed="false">
      <c r="A26885" s="2" t="s">
        <v>284</v>
      </c>
      <c r="G26885" s="17" t="n">
        <f aca="false">G26881-G26884</f>
        <v>-132.1535854</v>
      </c>
      <c r="H26885" s="17" t="n">
        <f aca="false">H26881-H26884</f>
        <v>-139.591436907</v>
      </c>
      <c r="I26885" s="17" t="n">
        <f aca="false">I26881-I26884</f>
        <v>-136.4135649433</v>
      </c>
      <c r="J26885" s="17" t="n">
        <f aca="false">J26881-J26884</f>
        <v>-133.155083352679</v>
      </c>
      <c r="K26885" s="17" t="n">
        <f aca="false">K26881-K26884</f>
        <v>-129.845572688596</v>
      </c>
    </row>
    <row r="26886" customFormat="false" ht="15" hidden="false" customHeight="false" outlineLevel="0" collapsed="false">
      <c r="A26886" s="3" t="s">
        <v>312</v>
      </c>
      <c r="G26886" s="16" t="n">
        <f aca="false">MAX(0,G26885)*Assumptions!$C$9</f>
        <v>0</v>
      </c>
      <c r="H26886" s="16" t="n">
        <f aca="false">MAX(0,H26885)*Assumptions!$C$9</f>
        <v>0</v>
      </c>
      <c r="I26886" s="16" t="n">
        <f aca="false">MAX(0,I26885)*Assumptions!$C$9</f>
        <v>0</v>
      </c>
      <c r="J26886" s="16" t="n">
        <f aca="false">MAX(0,J26885)*Assumptions!$C$9</f>
        <v>0</v>
      </c>
      <c r="K26886" s="16" t="n">
        <f aca="false">MAX(0,K26885)*Assumptions!$C$9</f>
        <v>0</v>
      </c>
    </row>
    <row r="26887" customFormat="false" ht="15" hidden="false" customHeight="false" outlineLevel="0" collapsed="false">
      <c r="A26887" s="2" t="s">
        <v>313</v>
      </c>
      <c r="G26887" s="17" t="n">
        <f aca="false">G26885-G26886</f>
        <v>-132.1535854</v>
      </c>
      <c r="H26887" s="17" t="n">
        <f aca="false">H26885-H26886</f>
        <v>-139.591436907</v>
      </c>
      <c r="I26887" s="17" t="n">
        <f aca="false">I26885-I26886</f>
        <v>-136.4135649433</v>
      </c>
      <c r="J26887" s="17" t="n">
        <f aca="false">J26885-J26886</f>
        <v>-133.155083352679</v>
      </c>
      <c r="K26887" s="17" t="n">
        <f aca="false">K26885-K26886</f>
        <v>-129.845572688596</v>
      </c>
    </row>
    <row r="26888" customFormat="false" ht="15" hidden="false" customHeight="false" outlineLevel="0" collapsed="false">
      <c r="A26888" s="24" t="s">
        <v>314</v>
      </c>
      <c r="B26888" s="25"/>
      <c r="C26888" s="25"/>
      <c r="D26888" s="25"/>
      <c r="E26888" s="25"/>
      <c r="F26888" s="25"/>
      <c r="G26888" s="25"/>
      <c r="H26888" s="25"/>
      <c r="I26888" s="25"/>
      <c r="J26888" s="25"/>
      <c r="K26888" s="25"/>
    </row>
    <row r="26889" customFormat="false" ht="15" hidden="false" customHeight="false" outlineLevel="0" collapsed="false">
      <c r="A26889" s="3" t="s">
        <v>184</v>
      </c>
      <c r="G26889" s="16" t="n">
        <f aca="false">G26874*CHOOSE($C$26861,Assumptions!$C$83,Assumptions!$C$102,Assumptions!$C$121)</f>
        <v>84.3108372</v>
      </c>
      <c r="H26889" s="16" t="n">
        <f aca="false">H26874*CHOOSE($C$26861,Assumptions!$C$83,Assumptions!$C$102,Assumptions!$C$121)</f>
        <v>81.781512084</v>
      </c>
      <c r="I26889" s="16" t="n">
        <f aca="false">I26874*CHOOSE($C$26861,Assumptions!$C$83,Assumptions!$C$102,Assumptions!$C$121)</f>
        <v>81.781512084</v>
      </c>
      <c r="J26889" s="16" t="n">
        <f aca="false">J26874*CHOOSE($C$26861,Assumptions!$C$83,Assumptions!$C$102,Assumptions!$C$121)</f>
        <v>82.59932720484</v>
      </c>
      <c r="K26889" s="16" t="n">
        <f aca="false">K26874*CHOOSE($C$26861,Assumptions!$C$83,Assumptions!$C$102,Assumptions!$C$121)</f>
        <v>83.4253204768884</v>
      </c>
    </row>
    <row r="26890" customFormat="false" ht="15" hidden="false" customHeight="false" outlineLevel="0" collapsed="false">
      <c r="A26890" s="3" t="s">
        <v>315</v>
      </c>
      <c r="G26890" s="16" t="n">
        <f aca="false">CHOOSE($C$26861,Assumptions!$C$84,Assumptions!$C$103,Assumptions!$C$122)*(G26874-F26874)+CHOOSE($C$26861,Assumptions!$C$85,Assumptions!$C$104,Assumptions!$C$123)*G26874</f>
        <v>23.419677</v>
      </c>
      <c r="H26890" s="16" t="n">
        <f aca="false">CHOOSE($C$26861,Assumptions!$C$84,Assumptions!$C$103,Assumptions!$C$122)*(H26874-G26874)+CHOOSE($C$26861,Assumptions!$C$85,Assumptions!$C$104,Assumptions!$C$123)*H26874</f>
        <v>22.71708669</v>
      </c>
      <c r="I26890" s="16" t="n">
        <f aca="false">CHOOSE($C$26861,Assumptions!$C$84,Assumptions!$C$103,Assumptions!$C$122)*(I26874-H26874)+CHOOSE($C$26861,Assumptions!$C$85,Assumptions!$C$104,Assumptions!$C$123)*I26874</f>
        <v>22.71708669</v>
      </c>
      <c r="J26890" s="16" t="n">
        <f aca="false">CHOOSE($C$26861,Assumptions!$C$84,Assumptions!$C$103,Assumptions!$C$122)*(J26874-I26874)+CHOOSE($C$26861,Assumptions!$C$85,Assumptions!$C$104,Assumptions!$C$123)*J26874</f>
        <v>22.9442575569</v>
      </c>
      <c r="K26890" s="16" t="n">
        <f aca="false">CHOOSE($C$26861,Assumptions!$C$84,Assumptions!$C$103,Assumptions!$C$122)*(K26874-J26874)+CHOOSE($C$26861,Assumptions!$C$85,Assumptions!$C$104,Assumptions!$C$123)*K26874</f>
        <v>23.173700132469</v>
      </c>
    </row>
    <row r="26891" customFormat="false" ht="15" hidden="false" customHeight="false" outlineLevel="0" collapsed="false">
      <c r="A26891" s="2" t="s">
        <v>316</v>
      </c>
      <c r="G26891" s="17" t="n">
        <f aca="false">G26887+G26879+G26880+G26883-G26889-G26890</f>
        <v>-65.7086796</v>
      </c>
      <c r="H26891" s="17" t="n">
        <f aca="false">H26887+H26879+H26880+H26883-H26889-H26890</f>
        <v>-75.139878281</v>
      </c>
      <c r="I26891" s="17" t="n">
        <f aca="false">I26887+I26879+I26880+I26883-I26889-I26890</f>
        <v>-71.9620063172995</v>
      </c>
      <c r="J26891" s="17" t="n">
        <f aca="false">J26887+J26879+J26880+J26883-J26889-J26890</f>
        <v>-68.0590091404195</v>
      </c>
      <c r="K26891" s="17" t="n">
        <f aca="false">K26887+K26879+K26880+K26883-K26889-K26890</f>
        <v>-64.0985377342138</v>
      </c>
    </row>
    <row r="26893" customFormat="false" ht="15" hidden="false" customHeight="false" outlineLevel="0" collapsed="false">
      <c r="A26893" s="24" t="s">
        <v>318</v>
      </c>
      <c r="B26893" s="25"/>
      <c r="C26893" s="25"/>
      <c r="D26893" s="25"/>
      <c r="E26893" s="25"/>
      <c r="F26893" s="25"/>
      <c r="G26893" s="25"/>
      <c r="H26893" s="25"/>
      <c r="I26893" s="25"/>
      <c r="J26893" s="25"/>
      <c r="K26893" s="25"/>
    </row>
    <row r="26894" customFormat="false" ht="15" hidden="false" customHeight="false" outlineLevel="0" collapsed="false">
      <c r="A26894" s="3" t="s">
        <v>319</v>
      </c>
      <c r="G26894" s="30" t="n">
        <f aca="false">Assumptions!$G$53</f>
        <v>0.039</v>
      </c>
      <c r="H26894" s="30" t="n">
        <f aca="false">Assumptions!$H$53</f>
        <v>0.0375</v>
      </c>
      <c r="I26894" s="30" t="n">
        <f aca="false">Assumptions!$I$53</f>
        <v>0.035</v>
      </c>
      <c r="J26894" s="30" t="n">
        <f aca="false">Assumptions!$J$53</f>
        <v>0.035</v>
      </c>
      <c r="K26894" s="30" t="n">
        <f aca="false">Assumptions!$K$53</f>
        <v>0.035</v>
      </c>
    </row>
    <row r="26895" customFormat="false" ht="15" hidden="false" customHeight="false" outlineLevel="0" collapsed="false">
      <c r="A26895" s="3" t="s">
        <v>320</v>
      </c>
      <c r="C26895" s="31" t="n">
        <f aca="false">CHOOSE($C$26861,Assumptions!$C$86,Assumptions!$C$105,Assumptions!$C$124)+$C$26864</f>
        <v>0.025</v>
      </c>
    </row>
    <row r="26896" customFormat="false" ht="15" hidden="false" customHeight="false" outlineLevel="0" collapsed="false">
      <c r="A26896" s="3" t="s">
        <v>321</v>
      </c>
      <c r="C26896" s="31" t="n">
        <f aca="false">CHOOSE($C$26861,Assumptions!$C$87,Assumptions!$C$106,Assumptions!$C$125)</f>
        <v>0.1</v>
      </c>
    </row>
    <row r="26897" customFormat="false" ht="15" hidden="false" customHeight="false" outlineLevel="0" collapsed="false">
      <c r="A26897" s="3" t="s">
        <v>322</v>
      </c>
      <c r="C26897" s="32" t="n">
        <f aca="false">CHOOSE($C$26861,Assumptions!$C$88,Assumptions!$C$107,Assumptions!$C$126)</f>
        <v>9.5</v>
      </c>
    </row>
    <row r="26898" customFormat="false" ht="15" hidden="false" customHeight="false" outlineLevel="0" collapsed="false">
      <c r="A26898" s="3" t="s">
        <v>323</v>
      </c>
      <c r="C26898" s="32" t="n">
        <f aca="false">CHOOSE($C$26861,Assumptions!$C$89,Assumptions!$C$108,Assumptions!$C$127)</f>
        <v>1.5</v>
      </c>
    </row>
    <row r="26899" customFormat="false" ht="15" hidden="false" customHeight="false" outlineLevel="0" collapsed="false">
      <c r="A26899" s="3" t="s">
        <v>324</v>
      </c>
      <c r="G26899" s="16" t="n">
        <f aca="false">G26904+G26917+G26930+G26943+G26956+G26969+G26982+G26995+G27008+G27021</f>
        <v>2625.934</v>
      </c>
      <c r="H26899" s="16" t="n">
        <f aca="false">H26904+H26917+H26930+H26943+H26956+H26969+H26982+H26995+H27008+H27021</f>
        <v>2621.934</v>
      </c>
      <c r="I26899" s="16" t="n">
        <f aca="false">I26904+I26917+I26930+I26943+I26956+I26969+I26982+I26995+I27008+I27021</f>
        <v>2578.912557881</v>
      </c>
      <c r="J26899" s="16" t="n">
        <f aca="false">J26904+J26917+J26930+J26943+J26956+J26969+J26982+J26995+J27008+J27021</f>
        <v>2574.912557881</v>
      </c>
      <c r="K26899" s="16" t="n">
        <f aca="false">K26904+K26917+K26930+K26943+K26956+K26969+K26982+K26995+K27008+K27021</f>
        <v>2570.912557881</v>
      </c>
    </row>
    <row r="26900" customFormat="false" ht="15" hidden="false" customHeight="false" outlineLevel="0" collapsed="false">
      <c r="A26900" s="3" t="s">
        <v>325</v>
      </c>
      <c r="G26900" s="16" t="n">
        <f aca="false">F27092</f>
        <v>37.87</v>
      </c>
      <c r="H26900" s="16" t="n">
        <f aca="false">G27092</f>
        <v>118.1613204</v>
      </c>
      <c r="I26900" s="16" t="n">
        <f aca="false">H27092</f>
        <v>0</v>
      </c>
      <c r="J26900" s="16" t="n">
        <f aca="false">I27092</f>
        <v>-75.9620063172995</v>
      </c>
      <c r="K26900" s="16" t="n">
        <f aca="false">J27092</f>
        <v>-148.021015457719</v>
      </c>
    </row>
    <row r="26901" customFormat="false" ht="15" hidden="false" customHeight="false" outlineLevel="0" collapsed="false">
      <c r="A26901" s="3" t="s">
        <v>326</v>
      </c>
      <c r="G26901" s="16" t="n">
        <f aca="false">G26904*IF(G26905=1,$C$26896,IF(Assumptions!$I$57=1,MAX(G26894,Assumptions!$G$57)+Assumptions!$F$57+$C$26895,Assumptions!$E$57))+G26917*IF(G26918=1,$C$26896,IF(Assumptions!$I$58=1,MAX(G26894,Assumptions!$G$58)+Assumptions!$F$58+$C$26895,Assumptions!$E$58))+G26930*IF(G26931=1,$C$26896,IF(Assumptions!$I$59=1,MAX(G26894,Assumptions!$G$59)+Assumptions!$F$59+$C$26895,Assumptions!$E$59))+G26943*IF(G26944=1,$C$26896,IF(Assumptions!$I$60=1,MAX(G26894,Assumptions!$G$60)+Assumptions!$F$60+$C$26895,Assumptions!$E$60))+G26956*IF(G26957=1,$C$26896,IF(Assumptions!$I$61=1,MAX(G26894,Assumptions!$G$61)+Assumptions!$F$61+$C$26895,Assumptions!$E$61))+G26969*IF(G26970=1,$C$26896,IF(Assumptions!$I$62=1,MAX(G26894,Assumptions!$G$62)+Assumptions!$F$62+$C$26895,Assumptions!$E$62))+G26982*IF(G26983=1,$C$26896,IF(Assumptions!$I$63=1,MAX(G26894,Assumptions!$G$63)+Assumptions!$F$63+$C$26895,Assumptions!$E$63))+G26995*IF(G26996=1,$C$26896,IF(Assumptions!$I$64=1,MAX(G26894,Assumptions!$G$64)+Assumptions!$F$64+$C$26895,Assumptions!$E$64))+G27008*IF(G27009=1,$C$26896,IF(Assumptions!$I$65=1,MAX(G26894,Assumptions!$G$65)+Assumptions!$F$65+$C$26895,Assumptions!$E$65))+G27021*IF(G27022=1,$C$26896,IF(Assumptions!$I$66=1,MAX(G26894,Assumptions!$G$66)+Assumptions!$F$66+$C$26895,Assumptions!$E$66))</f>
        <v>192.1749354</v>
      </c>
      <c r="H26901" s="16" t="n">
        <f aca="false">H26904*IF(OR(H26905=1,G27214=1),$C$26896,IF(Assumptions!$I$57=1,MAX(H26894,Assumptions!$G$57)+Assumptions!$F$57+$C$26895,Assumptions!$E$57))+H26917*IF(OR(H26918=1,G27215=1),$C$26896,IF(Assumptions!$I$58=1,MAX(H26894,Assumptions!$G$58)+Assumptions!$F$58+$C$26895,Assumptions!$E$58))+H26930*IF(OR(H26931=1,G27216=1),$C$26896,IF(Assumptions!$I$59=1,MAX(H26894,Assumptions!$G$59)+Assumptions!$F$59+$C$26895,Assumptions!$E$59))+H26943*IF(OR(H26944=1,G27217=1),$C$26896,IF(Assumptions!$I$60=1,MAX(H26894,Assumptions!$G$60)+Assumptions!$F$60+$C$26895,Assumptions!$E$60))+H26956*IF(OR(H26957=1,G27218=1),$C$26896,IF(Assumptions!$I$61=1,MAX(H26894,Assumptions!$G$61)+Assumptions!$F$61+$C$26895,Assumptions!$E$61))+H26969*IF(OR(H26970=1,G27219=1),$C$26896,IF(Assumptions!$I$62=1,MAX(H26894,Assumptions!$G$62)+Assumptions!$F$62+$C$26895,Assumptions!$E$62))+H26982*IF(OR(H26983=1,G27220=1),$C$26896,IF(Assumptions!$I$63=1,MAX(H26894,Assumptions!$G$63)+Assumptions!$F$63+$C$26895,Assumptions!$E$63))+H26995*IF(OR(H26996=1,G27221=1),$C$26896,IF(Assumptions!$I$64=1,MAX(H26894,Assumptions!$G$64)+Assumptions!$F$64+$C$26895,Assumptions!$E$64))+H27008*IF(OR(H27009=1,G27222=1),$C$26896,IF(Assumptions!$I$65=1,MAX(H26894,Assumptions!$G$65)+Assumptions!$F$65+$C$26895,Assumptions!$E$65))+H27021*IF(OR(H27022=1,G27223=1),$C$26896,IF(Assumptions!$I$66=1,MAX(H26894,Assumptions!$G$66)+Assumptions!$F$66+$C$26895,Assumptions!$E$66))</f>
        <v>224.1720204</v>
      </c>
      <c r="I26901" s="16" t="n">
        <f aca="false">I26904*IF(OR(I26905=1,H27214=1),$C$26896,IF(Assumptions!$I$57=1,MAX(I26894,Assumptions!$G$57)+Assumptions!$F$57+$C$26895,Assumptions!$E$57))+I26917*IF(OR(I26918=1,H27215=1),$C$26896,IF(Assumptions!$I$58=1,MAX(I26894,Assumptions!$G$58)+Assumptions!$F$58+$C$26895,Assumptions!$E$58))+I26930*IF(OR(I26931=1,H27216=1),$C$26896,IF(Assumptions!$I$59=1,MAX(I26894,Assumptions!$G$59)+Assumptions!$F$59+$C$26895,Assumptions!$E$59))+I26943*IF(OR(I26944=1,H27217=1),$C$26896,IF(Assumptions!$I$60=1,MAX(I26894,Assumptions!$G$60)+Assumptions!$F$60+$C$26895,Assumptions!$E$60))+I26956*IF(OR(I26957=1,H27218=1),$C$26896,IF(Assumptions!$I$61=1,MAX(I26894,Assumptions!$G$61)+Assumptions!$F$61+$C$26895,Assumptions!$E$61))+I26969*IF(OR(I26970=1,H27219=1),$C$26896,IF(Assumptions!$I$62=1,MAX(I26894,Assumptions!$G$62)+Assumptions!$F$62+$C$26895,Assumptions!$E$62))+I26982*IF(OR(I26983=1,H27220=1),$C$26896,IF(Assumptions!$I$63=1,MAX(I26894,Assumptions!$G$63)+Assumptions!$F$63+$C$26895,Assumptions!$E$63))+I26995*IF(OR(I26996=1,H27221=1),$C$26896,IF(Assumptions!$I$64=1,MAX(I26894,Assumptions!$G$64)+Assumptions!$F$64+$C$26895,Assumptions!$E$64))+I27008*IF(OR(I27009=1,H27222=1),$C$26896,IF(Assumptions!$I$65=1,MAX(I26894,Assumptions!$G$65)+Assumptions!$F$65+$C$26895,Assumptions!$E$65))+I27021*IF(OR(I27022=1,H27223=1),$C$26896,IF(Assumptions!$I$66=1,MAX(I26894,Assumptions!$G$66)+Assumptions!$F$66+$C$26895,Assumptions!$E$66))</f>
        <v>194.0066484363</v>
      </c>
      <c r="J26901" s="16" t="n">
        <f aca="false">J26904*IF(OR(J26905=1,I27214=1),$C$26896,IF(Assumptions!$I$57=1,MAX(J26894,Assumptions!$G$57)+Assumptions!$F$57+$C$26895,Assumptions!$E$57))+J26917*IF(OR(J26918=1,I27215=1),$C$26896,IF(Assumptions!$I$58=1,MAX(J26894,Assumptions!$G$58)+Assumptions!$F$58+$C$26895,Assumptions!$E$58))+J26930*IF(OR(J26931=1,I27216=1),$C$26896,IF(Assumptions!$I$59=1,MAX(J26894,Assumptions!$G$59)+Assumptions!$F$59+$C$26895,Assumptions!$E$59))+J26943*IF(OR(J26944=1,I27217=1),$C$26896,IF(Assumptions!$I$60=1,MAX(J26894,Assumptions!$G$60)+Assumptions!$F$60+$C$26895,Assumptions!$E$60))+J26956*IF(OR(J26957=1,I27218=1),$C$26896,IF(Assumptions!$I$61=1,MAX(J26894,Assumptions!$G$61)+Assumptions!$F$61+$C$26895,Assumptions!$E$61))+J26969*IF(OR(J26970=1,I27219=1),$C$26896,IF(Assumptions!$I$62=1,MAX(J26894,Assumptions!$G$62)+Assumptions!$F$62+$C$26895,Assumptions!$E$62))+J26982*IF(OR(J26983=1,I27220=1),$C$26896,IF(Assumptions!$I$63=1,MAX(J26894,Assumptions!$G$63)+Assumptions!$F$63+$C$26895,Assumptions!$E$63))+J26995*IF(OR(J26996=1,I27221=1),$C$26896,IF(Assumptions!$I$64=1,MAX(J26894,Assumptions!$G$64)+Assumptions!$F$64+$C$26895,Assumptions!$E$64))+J27008*IF(OR(J27009=1,I27222=1),$C$26896,IF(Assumptions!$I$65=1,MAX(J26894,Assumptions!$G$65)+Assumptions!$F$65+$C$26895,Assumptions!$E$65))+J27021*IF(OR(J27022=1,I27223=1),$C$26896,IF(Assumptions!$I$66=1,MAX(J26894,Assumptions!$G$66)+Assumptions!$F$66+$C$26895,Assumptions!$E$66))</f>
        <v>206.444148436299</v>
      </c>
      <c r="K26901" s="16" t="n">
        <f aca="false">K26904*IF(OR(K26905=1,J27214=1),$C$26896,IF(Assumptions!$I$57=1,MAX(K26894,Assumptions!$G$57)+Assumptions!$F$57+$C$26895,Assumptions!$E$57))+K26917*IF(OR(K26918=1,J27215=1),$C$26896,IF(Assumptions!$I$58=1,MAX(K26894,Assumptions!$G$58)+Assumptions!$F$58+$C$26895,Assumptions!$E$58))+K26930*IF(OR(K26931=1,J27216=1),$C$26896,IF(Assumptions!$I$59=1,MAX(K26894,Assumptions!$G$59)+Assumptions!$F$59+$C$26895,Assumptions!$E$59))+K26943*IF(OR(K26944=1,J27217=1),$C$26896,IF(Assumptions!$I$60=1,MAX(K26894,Assumptions!$G$60)+Assumptions!$F$60+$C$26895,Assumptions!$E$60))+K26956*IF(OR(K26957=1,J27218=1),$C$26896,IF(Assumptions!$I$61=1,MAX(K26894,Assumptions!$G$61)+Assumptions!$F$61+$C$26895,Assumptions!$E$61))+K26969*IF(OR(K26970=1,J27219=1),$C$26896,IF(Assumptions!$I$62=1,MAX(K26894,Assumptions!$G$62)+Assumptions!$F$62+$C$26895,Assumptions!$E$62))+K26982*IF(OR(K26983=1,J27220=1),$C$26896,IF(Assumptions!$I$63=1,MAX(K26894,Assumptions!$G$63)+Assumptions!$F$63+$C$26895,Assumptions!$E$63))+K26995*IF(OR(K26996=1,J27221=1),$C$26896,IF(Assumptions!$I$64=1,MAX(K26894,Assumptions!$G$64)+Assumptions!$F$64+$C$26895,Assumptions!$E$64))+K27008*IF(OR(K27009=1,J27222=1),$C$26896,IF(Assumptions!$I$65=1,MAX(K26894,Assumptions!$G$65)+Assumptions!$F$65+$C$26895,Assumptions!$E$65))+K27021*IF(OR(K27022=1,J27223=1),$C$26896,IF(Assumptions!$I$66=1,MAX(K26894,Assumptions!$G$66)+Assumptions!$F$66+$C$26895,Assumptions!$E$66))</f>
        <v>193.7441484363</v>
      </c>
    </row>
    <row r="26902" customFormat="false" ht="15" hidden="false" customHeight="false" outlineLevel="0" collapsed="false">
      <c r="A26902" s="3" t="s">
        <v>327</v>
      </c>
      <c r="G26902" s="21" t="n">
        <f aca="false">IF(G26878&lt;=0,0,IF(AND((G26899-G26900)/G26878&lt;=$C$26897,G26878/G26901&gt;=$C$26898),1,0))</f>
        <v>0</v>
      </c>
      <c r="H26902" s="21" t="n">
        <f aca="false">IF(H26878&lt;=0,0,IF(AND((H26899-H26900)/H26878&lt;=$C$26897,H26878/H26901&gt;=$C$26898),1,0))</f>
        <v>0</v>
      </c>
      <c r="I26902" s="21" t="n">
        <f aca="false">IF(I26878&lt;=0,0,IF(AND((I26899-I26900)/I26878&lt;=$C$26897,I26878/I26901&gt;=$C$26898),1,0))</f>
        <v>0</v>
      </c>
      <c r="J26902" s="21" t="n">
        <f aca="false">IF(J26878&lt;=0,0,IF(AND((J26899-J26900)/J26878&lt;=$C$26897,J26878/J26901&gt;=$C$26898),1,0))</f>
        <v>0</v>
      </c>
      <c r="K26902" s="21" t="n">
        <f aca="false">IF(K26878&lt;=0,0,IF(AND((K26899-K26900)/K26878&lt;=$C$26897,K26878/K26901&gt;=$C$26898),1,0))</f>
        <v>0</v>
      </c>
    </row>
    <row r="26903" customFormat="false" ht="15" hidden="false" customHeight="false" outlineLevel="0" collapsed="false">
      <c r="A26903" s="24" t="s">
        <v>328</v>
      </c>
      <c r="B26903" s="25"/>
      <c r="C26903" s="25"/>
      <c r="D26903" s="25"/>
      <c r="E26903" s="25"/>
      <c r="F26903" s="25"/>
      <c r="G26903" s="25"/>
      <c r="H26903" s="25"/>
      <c r="I26903" s="25"/>
      <c r="J26903" s="25"/>
      <c r="K26903" s="25"/>
    </row>
    <row r="26904" customFormat="false" ht="15" hidden="false" customHeight="false" outlineLevel="0" collapsed="false">
      <c r="A26904" s="3" t="s">
        <v>329</v>
      </c>
      <c r="G26904" s="16" t="n">
        <f aca="false">F26915</f>
        <v>400</v>
      </c>
      <c r="H26904" s="16" t="n">
        <f aca="false">G26915</f>
        <v>396</v>
      </c>
      <c r="I26904" s="16" t="n">
        <f aca="false">H26915</f>
        <v>392</v>
      </c>
      <c r="J26904" s="16" t="n">
        <f aca="false">I26915</f>
        <v>388</v>
      </c>
      <c r="K26904" s="16" t="n">
        <f aca="false">J26915</f>
        <v>384</v>
      </c>
    </row>
    <row r="26905" customFormat="false" ht="15" hidden="false" customHeight="false" outlineLevel="0" collapsed="false">
      <c r="A26905" s="3" t="s">
        <v>330</v>
      </c>
      <c r="G26905" s="21" t="n">
        <f aca="false">IF(G26868=Assumptions!$K$57,1,0)</f>
        <v>0</v>
      </c>
      <c r="H26905" s="21" t="n">
        <f aca="false">IF(H26868=Assumptions!$K$57,1,0)</f>
        <v>0</v>
      </c>
      <c r="I26905" s="21" t="n">
        <f aca="false">IF(I26868=Assumptions!$K$57,1,0)</f>
        <v>0</v>
      </c>
      <c r="J26905" s="21" t="n">
        <f aca="false">IF(J26868=Assumptions!$K$57,1,0)</f>
        <v>0</v>
      </c>
      <c r="K26905" s="21" t="n">
        <f aca="false">IF(K26868=Assumptions!$K$57,1,0)</f>
        <v>1</v>
      </c>
    </row>
    <row r="26907" customFormat="false" ht="15" hidden="false" customHeight="false" outlineLevel="0" collapsed="false">
      <c r="A26907" s="3" t="s">
        <v>331</v>
      </c>
      <c r="G26907" s="31" t="n">
        <f aca="false">IF(Assumptions!$I$57=1,MAX(G26894,Assumptions!$G$57)+Assumptions!$F$57+$C$26895,Assumptions!$E$57)</f>
        <v>0.1165</v>
      </c>
      <c r="H26907" s="31" t="n">
        <f aca="false">IF(G27214=1,$C$26896,IF(Assumptions!$I$57=1,MAX(H26894,Assumptions!$G$57)+Assumptions!$F$57+$C$26895,Assumptions!$E$57))</f>
        <v>0.115</v>
      </c>
      <c r="I26907" s="31" t="n">
        <f aca="false">IF(H27214=1,$C$26896,IF(Assumptions!$I$57=1,MAX(I26894,Assumptions!$G$57)+Assumptions!$F$57+$C$26895,Assumptions!$E$57))</f>
        <v>0.1125</v>
      </c>
      <c r="J26907" s="31" t="n">
        <f aca="false">IF(I27214=1,$C$26896,IF(Assumptions!$I$57=1,MAX(J26894,Assumptions!$G$57)+Assumptions!$F$57+$C$26895,Assumptions!$E$57))</f>
        <v>0.1125</v>
      </c>
      <c r="K26907" s="31" t="n">
        <f aca="false">IF(J27214=1,$C$26896,IF(Assumptions!$I$57=1,MAX(K26894,Assumptions!$G$57)+Assumptions!$F$57+$C$26895,Assumptions!$E$57))</f>
        <v>0.1125</v>
      </c>
    </row>
    <row r="26908" customFormat="false" ht="15" hidden="false" customHeight="false" outlineLevel="0" collapsed="false">
      <c r="A26908" s="3" t="s">
        <v>332</v>
      </c>
      <c r="G26908" s="16" t="n">
        <f aca="false">G26904*G26907</f>
        <v>46.6</v>
      </c>
      <c r="H26908" s="16" t="n">
        <f aca="false">H26904*H26907</f>
        <v>45.54</v>
      </c>
      <c r="I26908" s="16" t="n">
        <f aca="false">I26904*I26907</f>
        <v>44.1</v>
      </c>
      <c r="J26908" s="16" t="n">
        <f aca="false">J26904*J26907</f>
        <v>43.65</v>
      </c>
      <c r="K26908" s="16" t="n">
        <f aca="false">K26904*K26907</f>
        <v>43.2</v>
      </c>
    </row>
    <row r="26909" customFormat="false" ht="15" hidden="false" customHeight="false" outlineLevel="0" collapsed="false">
      <c r="A26909" s="3" t="s">
        <v>333</v>
      </c>
      <c r="G26909" s="16" t="n">
        <f aca="false">G26904*Assumptions!$H$57</f>
        <v>0</v>
      </c>
      <c r="H26909" s="16" t="n">
        <f aca="false">H26904*Assumptions!$H$57</f>
        <v>0</v>
      </c>
      <c r="I26909" s="16" t="n">
        <f aca="false">I26904*Assumptions!$H$57</f>
        <v>0</v>
      </c>
      <c r="J26909" s="16" t="n">
        <f aca="false">J26904*Assumptions!$H$57</f>
        <v>0</v>
      </c>
      <c r="K26909" s="16" t="n">
        <f aca="false">K26904*Assumptions!$H$57</f>
        <v>0</v>
      </c>
    </row>
    <row r="26910" customFormat="false" ht="15" hidden="false" customHeight="false" outlineLevel="0" collapsed="false">
      <c r="A26910" s="3" t="s">
        <v>334</v>
      </c>
      <c r="G26910" s="16" t="n">
        <f aca="false">MIN(G26904,Assumptions!$L$57*Assumptions!$C$57)</f>
        <v>4</v>
      </c>
      <c r="H26910" s="16" t="n">
        <f aca="false">MIN(H26904,Assumptions!$L$57*Assumptions!$C$57)</f>
        <v>4</v>
      </c>
      <c r="I26910" s="16" t="n">
        <f aca="false">MIN(I26904,Assumptions!$L$57*Assumptions!$C$57)</f>
        <v>4</v>
      </c>
      <c r="J26910" s="16" t="n">
        <f aca="false">MIN(J26904,Assumptions!$L$57*Assumptions!$C$57)</f>
        <v>4</v>
      </c>
      <c r="K26910" s="16" t="n">
        <f aca="false">MIN(K26904,Assumptions!$L$57*Assumptions!$C$57)</f>
        <v>4</v>
      </c>
    </row>
    <row r="26911" customFormat="false" ht="15" hidden="false" customHeight="false" outlineLevel="0" collapsed="false">
      <c r="A26911" s="3" t="s">
        <v>335</v>
      </c>
      <c r="G26911" s="16" t="n">
        <f aca="false">IF(AND(Assumptions!$P$57=1,G26868&lt;Assumptions!$K$57),MIN(MAX(0,-G27084),MAX(0,Assumptions!$D$57-G26904)),0)</f>
        <v>0</v>
      </c>
      <c r="H26911" s="16" t="n">
        <f aca="false">IF(AND(Assumptions!$P$57=1,OR(H26868&lt;Assumptions!$K$57,G27214=1)),MIN(MAX(0,-H27084),MAX(0,Assumptions!$D$57-H26904)),0)</f>
        <v>0</v>
      </c>
      <c r="I26911" s="16" t="n">
        <f aca="false">IF(AND(Assumptions!$P$57=1,OR(I26868&lt;Assumptions!$K$57,H27214=1)),MIN(MAX(0,-I27084),MAX(0,Assumptions!$D$57-I26904)),0)</f>
        <v>0</v>
      </c>
      <c r="J26911" s="16" t="n">
        <f aca="false">IF(AND(Assumptions!$P$57=1,OR(J26868&lt;Assumptions!$K$57,I27214=1)),MIN(MAX(0,-J27084),MAX(0,Assumptions!$D$57-J26904)),0)</f>
        <v>0</v>
      </c>
      <c r="K26911" s="16" t="n">
        <f aca="false">IF(AND(Assumptions!$P$57=1,OR(K26868&lt;Assumptions!$K$57,J27214=1)),MIN(MAX(0,-K27084),MAX(0,Assumptions!$D$57-K26904)),0)</f>
        <v>0</v>
      </c>
    </row>
    <row r="26912" customFormat="false" ht="15" hidden="false" customHeight="false" outlineLevel="0" collapsed="false">
      <c r="A26912" s="3" t="s">
        <v>336</v>
      </c>
      <c r="G26912" s="16" t="n">
        <f aca="false">G26905*MIN(G26904-G26910+G26909,MAX(0,G27086-Assumptions!$C$12*G26902))</f>
        <v>0</v>
      </c>
      <c r="H26912" s="16" t="n">
        <f aca="false">H26905*MIN(H26904-H26910+H26909,MAX(0,H27086-Assumptions!$C$12*H26902))</f>
        <v>0</v>
      </c>
      <c r="I26912" s="16" t="n">
        <f aca="false">I26905*MIN(I26904-I26910+I26909,MAX(0,I27086-Assumptions!$C$12*I26902))</f>
        <v>0</v>
      </c>
      <c r="J26912" s="16" t="n">
        <f aca="false">J26905*MIN(J26904-J26910+J26909,MAX(0,J27086-Assumptions!$C$12*J26902))</f>
        <v>0</v>
      </c>
      <c r="K26912" s="16" t="n">
        <f aca="false">K26905*MIN(K26904-K26910+K26909,MAX(0,K27086-Assumptions!$C$12*K26902))</f>
        <v>0</v>
      </c>
    </row>
    <row r="26913" customFormat="false" ht="15" hidden="false" customHeight="false" outlineLevel="0" collapsed="false">
      <c r="A26913" s="3" t="s">
        <v>337</v>
      </c>
      <c r="G26913" s="16" t="n">
        <f aca="false">Assumptions!$N$57*MIN(G26904+G26911+G26909-G26910-G26912,MAX(0,G27090))</f>
        <v>0</v>
      </c>
      <c r="H26913" s="16" t="n">
        <f aca="false">Assumptions!$N$57*MIN(H26904+H26911+H26909-H26910-H26912,MAX(0,H27090))</f>
        <v>0</v>
      </c>
      <c r="I26913" s="16" t="n">
        <f aca="false">Assumptions!$N$57*MIN(I26904+I26911+I26909-I26910-I26912,MAX(0,I27090))</f>
        <v>0</v>
      </c>
      <c r="J26913" s="16" t="n">
        <f aca="false">Assumptions!$N$57*MIN(J26904+J26911+J26909-J26910-J26912,MAX(0,J27090))</f>
        <v>0</v>
      </c>
      <c r="K26913" s="16" t="n">
        <f aca="false">Assumptions!$N$57*MIN(K26904+K26911+K26909-K26910-K26912,MAX(0,K27090))</f>
        <v>0</v>
      </c>
    </row>
    <row r="26914" customFormat="false" ht="15" hidden="false" customHeight="false" outlineLevel="0" collapsed="false">
      <c r="A26914" s="3" t="s">
        <v>338</v>
      </c>
      <c r="G26914" s="16" t="n">
        <f aca="false">G26905*(1-G26902)*(G26904-G26910+G26909-G26912)</f>
        <v>0</v>
      </c>
      <c r="H26914" s="16" t="n">
        <f aca="false">H26905*(1-H26902)*(H26904-H26910+H26909-H26912)</f>
        <v>0</v>
      </c>
      <c r="I26914" s="16" t="n">
        <f aca="false">I26905*(1-I26902)*(I26904-I26910+I26909-I26912)</f>
        <v>0</v>
      </c>
      <c r="J26914" s="16" t="n">
        <f aca="false">J26905*(1-J26902)*(J26904-J26910+J26909-J26912)</f>
        <v>0</v>
      </c>
      <c r="K26914" s="16" t="n">
        <f aca="false">K26905*(1-K26902)*(K26904-K26910+K26909-K26912)</f>
        <v>380</v>
      </c>
    </row>
    <row r="26915" customFormat="false" ht="15" hidden="false" customHeight="false" outlineLevel="0" collapsed="false">
      <c r="A26915" s="2" t="s">
        <v>339</v>
      </c>
      <c r="F26915" s="28" t="n">
        <f aca="false">Assumptions!$C$57</f>
        <v>400</v>
      </c>
      <c r="G26915" s="17" t="n">
        <f aca="false">G26904+G26911+G26909-G26910-G26912-G26913</f>
        <v>396</v>
      </c>
      <c r="H26915" s="17" t="n">
        <f aca="false">H26904+H26911+H26909-H26910-H26912-H26913</f>
        <v>392</v>
      </c>
      <c r="I26915" s="17" t="n">
        <f aca="false">I26904+I26911+I26909-I26910-I26912-I26913</f>
        <v>388</v>
      </c>
      <c r="J26915" s="17" t="n">
        <f aca="false">J26904+J26911+J26909-J26910-J26912-J26913</f>
        <v>384</v>
      </c>
      <c r="K26915" s="17" t="n">
        <f aca="false">K26904+K26911+K26909-K26910-K26912-K26913</f>
        <v>380</v>
      </c>
    </row>
    <row r="26916" customFormat="false" ht="15" hidden="false" customHeight="false" outlineLevel="0" collapsed="false">
      <c r="A26916" s="24" t="s">
        <v>340</v>
      </c>
      <c r="B26916" s="25"/>
      <c r="C26916" s="25"/>
      <c r="D26916" s="25"/>
      <c r="E26916" s="25"/>
      <c r="F26916" s="25"/>
      <c r="G26916" s="25"/>
      <c r="H26916" s="25"/>
      <c r="I26916" s="25"/>
      <c r="J26916" s="25"/>
      <c r="K26916" s="25"/>
    </row>
    <row r="26917" customFormat="false" ht="15" hidden="false" customHeight="false" outlineLevel="0" collapsed="false">
      <c r="A26917" s="3" t="s">
        <v>329</v>
      </c>
      <c r="G26917" s="16" t="n">
        <f aca="false">F26928</f>
        <v>90</v>
      </c>
      <c r="H26917" s="16" t="n">
        <f aca="false">G26928</f>
        <v>90</v>
      </c>
      <c r="I26917" s="16" t="n">
        <f aca="false">H26928</f>
        <v>90</v>
      </c>
      <c r="J26917" s="16" t="n">
        <f aca="false">I26928</f>
        <v>90</v>
      </c>
      <c r="K26917" s="16" t="n">
        <f aca="false">J26928</f>
        <v>90</v>
      </c>
    </row>
    <row r="26918" customFormat="false" ht="15" hidden="false" customHeight="false" outlineLevel="0" collapsed="false">
      <c r="A26918" s="3" t="s">
        <v>330</v>
      </c>
      <c r="G26918" s="21" t="n">
        <f aca="false">IF(G26868=Assumptions!$K$58,1,0)</f>
        <v>0</v>
      </c>
      <c r="H26918" s="21" t="n">
        <f aca="false">IF(H26868=Assumptions!$K$58,1,0)</f>
        <v>0</v>
      </c>
      <c r="I26918" s="21" t="n">
        <f aca="false">IF(I26868=Assumptions!$K$58,1,0)</f>
        <v>0</v>
      </c>
      <c r="J26918" s="21" t="n">
        <f aca="false">IF(J26868=Assumptions!$K$58,1,0)</f>
        <v>0</v>
      </c>
      <c r="K26918" s="21" t="n">
        <f aca="false">IF(K26868=Assumptions!$K$58,1,0)</f>
        <v>0</v>
      </c>
    </row>
    <row r="26920" customFormat="false" ht="15" hidden="false" customHeight="false" outlineLevel="0" collapsed="false">
      <c r="A26920" s="3" t="s">
        <v>331</v>
      </c>
      <c r="G26920" s="31" t="n">
        <f aca="false">IF(Assumptions!$I$58=1,MAX(G26894,Assumptions!$G$58)+Assumptions!$F$58+$C$26895,Assumptions!$E$58)</f>
        <v>0.0581</v>
      </c>
      <c r="H26920" s="31" t="n">
        <f aca="false">IF(G27215=1,$C$26896,IF(Assumptions!$I$58=1,MAX(H26894,Assumptions!$G$58)+Assumptions!$F$58+$C$26895,Assumptions!$E$58))</f>
        <v>0.0581</v>
      </c>
      <c r="I26920" s="31" t="n">
        <f aca="false">IF(H27215=1,$C$26896,IF(Assumptions!$I$58=1,MAX(I26894,Assumptions!$G$58)+Assumptions!$F$58+$C$26895,Assumptions!$E$58))</f>
        <v>0.0581</v>
      </c>
      <c r="J26920" s="31" t="n">
        <f aca="false">IF(I27215=1,$C$26896,IF(Assumptions!$I$58=1,MAX(J26894,Assumptions!$G$58)+Assumptions!$F$58+$C$26895,Assumptions!$E$58))</f>
        <v>0.0581</v>
      </c>
      <c r="K26920" s="31" t="n">
        <f aca="false">IF(J27215=1,$C$26896,IF(Assumptions!$I$58=1,MAX(K26894,Assumptions!$G$58)+Assumptions!$F$58+$C$26895,Assumptions!$E$58))</f>
        <v>0.0581</v>
      </c>
    </row>
    <row r="26921" customFormat="false" ht="15" hidden="false" customHeight="false" outlineLevel="0" collapsed="false">
      <c r="A26921" s="3" t="s">
        <v>332</v>
      </c>
      <c r="G26921" s="16" t="n">
        <f aca="false">G26917*G26920</f>
        <v>5.229</v>
      </c>
      <c r="H26921" s="16" t="n">
        <f aca="false">H26917*H26920</f>
        <v>5.229</v>
      </c>
      <c r="I26921" s="16" t="n">
        <f aca="false">I26917*I26920</f>
        <v>5.229</v>
      </c>
      <c r="J26921" s="16" t="n">
        <f aca="false">J26917*J26920</f>
        <v>5.229</v>
      </c>
      <c r="K26921" s="16" t="n">
        <f aca="false">K26917*K26920</f>
        <v>5.229</v>
      </c>
    </row>
    <row r="26922" customFormat="false" ht="15" hidden="false" customHeight="false" outlineLevel="0" collapsed="false">
      <c r="A26922" s="3" t="s">
        <v>333</v>
      </c>
      <c r="G26922" s="16" t="n">
        <f aca="false">G26917*Assumptions!$H$58</f>
        <v>0</v>
      </c>
      <c r="H26922" s="16" t="n">
        <f aca="false">H26917*Assumptions!$H$58</f>
        <v>0</v>
      </c>
      <c r="I26922" s="16" t="n">
        <f aca="false">I26917*Assumptions!$H$58</f>
        <v>0</v>
      </c>
      <c r="J26922" s="16" t="n">
        <f aca="false">J26917*Assumptions!$H$58</f>
        <v>0</v>
      </c>
      <c r="K26922" s="16" t="n">
        <f aca="false">K26917*Assumptions!$H$58</f>
        <v>0</v>
      </c>
    </row>
    <row r="26923" customFormat="false" ht="15" hidden="false" customHeight="false" outlineLevel="0" collapsed="false">
      <c r="A26923" s="3" t="s">
        <v>334</v>
      </c>
      <c r="G26923" s="16" t="n">
        <f aca="false">MIN(G26917,Assumptions!$L$58*Assumptions!$C$58)</f>
        <v>0</v>
      </c>
      <c r="H26923" s="16" t="n">
        <f aca="false">MIN(H26917,Assumptions!$L$58*Assumptions!$C$58)</f>
        <v>0</v>
      </c>
      <c r="I26923" s="16" t="n">
        <f aca="false">MIN(I26917,Assumptions!$L$58*Assumptions!$C$58)</f>
        <v>0</v>
      </c>
      <c r="J26923" s="16" t="n">
        <f aca="false">MIN(J26917,Assumptions!$L$58*Assumptions!$C$58)</f>
        <v>0</v>
      </c>
      <c r="K26923" s="16" t="n">
        <f aca="false">MIN(K26917,Assumptions!$L$58*Assumptions!$C$58)</f>
        <v>0</v>
      </c>
    </row>
    <row r="26924" customFormat="false" ht="15" hidden="false" customHeight="false" outlineLevel="0" collapsed="false">
      <c r="A26924" s="3" t="s">
        <v>335</v>
      </c>
      <c r="G26924" s="16" t="n">
        <f aca="false">IF(AND(Assumptions!$P$58=1,G26868&lt;Assumptions!$K$58),MIN(MAX(0,-G27084),MAX(0,Assumptions!$D$58-G26917)),0)</f>
        <v>0</v>
      </c>
      <c r="H26924" s="16" t="n">
        <f aca="false">IF(AND(Assumptions!$P$58=1,OR(H26868&lt;Assumptions!$K$58,G27215=1)),MIN(MAX(0,-H27084),MAX(0,Assumptions!$D$58-H26917)),0)</f>
        <v>0</v>
      </c>
      <c r="I26924" s="16" t="n">
        <f aca="false">IF(AND(Assumptions!$P$58=1,OR(I26868&lt;Assumptions!$K$58,H27215=1)),MIN(MAX(0,-I27084),MAX(0,Assumptions!$D$58-I26917)),0)</f>
        <v>0</v>
      </c>
      <c r="J26924" s="16" t="n">
        <f aca="false">IF(AND(Assumptions!$P$58=1,OR(J26868&lt;Assumptions!$K$58,I27215=1)),MIN(MAX(0,-J27084),MAX(0,Assumptions!$D$58-J26917)),0)</f>
        <v>0</v>
      </c>
      <c r="K26924" s="16" t="n">
        <f aca="false">IF(AND(Assumptions!$P$58=1,OR(K26868&lt;Assumptions!$K$58,J27215=1)),MIN(MAX(0,-K27084),MAX(0,Assumptions!$D$58-K26917)),0)</f>
        <v>0</v>
      </c>
    </row>
    <row r="26925" customFormat="false" ht="15" hidden="false" customHeight="false" outlineLevel="0" collapsed="false">
      <c r="A26925" s="3" t="s">
        <v>336</v>
      </c>
      <c r="G26925" s="16" t="n">
        <f aca="false">G26918*MIN(G26917-G26923+G26922,MAX(0,G27086-Assumptions!$C$12*G26902-G26912))</f>
        <v>0</v>
      </c>
      <c r="H26925" s="16" t="n">
        <f aca="false">H26918*MIN(H26917-H26923+H26922,MAX(0,H27086-Assumptions!$C$12*H26902-H26912))</f>
        <v>0</v>
      </c>
      <c r="I26925" s="16" t="n">
        <f aca="false">I26918*MIN(I26917-I26923+I26922,MAX(0,I27086-Assumptions!$C$12*I26902-I26912))</f>
        <v>0</v>
      </c>
      <c r="J26925" s="16" t="n">
        <f aca="false">J26918*MIN(J26917-J26923+J26922,MAX(0,J27086-Assumptions!$C$12*J26902-J26912))</f>
        <v>0</v>
      </c>
      <c r="K26925" s="16" t="n">
        <f aca="false">K26918*MIN(K26917-K26923+K26922,MAX(0,K27086-Assumptions!$C$12*K26902-K26912))</f>
        <v>0</v>
      </c>
    </row>
    <row r="26926" customFormat="false" ht="15" hidden="false" customHeight="false" outlineLevel="0" collapsed="false">
      <c r="A26926" s="3" t="s">
        <v>337</v>
      </c>
      <c r="G26926" s="16" t="n">
        <f aca="false">Assumptions!$N$58*MIN(G26917+G26924+G26922-G26923-G26925,MAX(0,G27090-G26913))</f>
        <v>0</v>
      </c>
      <c r="H26926" s="16" t="n">
        <f aca="false">Assumptions!$N$58*MIN(H26917+H26924+H26922-H26923-H26925,MAX(0,H27090-H26913))</f>
        <v>0</v>
      </c>
      <c r="I26926" s="16" t="n">
        <f aca="false">Assumptions!$N$58*MIN(I26917+I26924+I26922-I26923-I26925,MAX(0,I27090-I26913))</f>
        <v>0</v>
      </c>
      <c r="J26926" s="16" t="n">
        <f aca="false">Assumptions!$N$58*MIN(J26917+J26924+J26922-J26923-J26925,MAX(0,J27090-J26913))</f>
        <v>0</v>
      </c>
      <c r="K26926" s="16" t="n">
        <f aca="false">Assumptions!$N$58*MIN(K26917+K26924+K26922-K26923-K26925,MAX(0,K27090-K26913))</f>
        <v>0</v>
      </c>
    </row>
    <row r="26927" customFormat="false" ht="15" hidden="false" customHeight="false" outlineLevel="0" collapsed="false">
      <c r="A26927" s="3" t="s">
        <v>338</v>
      </c>
      <c r="G26927" s="16" t="n">
        <f aca="false">G26918*(1-G26902)*(G26917-G26923+G26922-G26925)</f>
        <v>0</v>
      </c>
      <c r="H26927" s="16" t="n">
        <f aca="false">H26918*(1-H26902)*(H26917-H26923+H26922-H26925)</f>
        <v>0</v>
      </c>
      <c r="I26927" s="16" t="n">
        <f aca="false">I26918*(1-I26902)*(I26917-I26923+I26922-I26925)</f>
        <v>0</v>
      </c>
      <c r="J26927" s="16" t="n">
        <f aca="false">J26918*(1-J26902)*(J26917-J26923+J26922-J26925)</f>
        <v>0</v>
      </c>
      <c r="K26927" s="16" t="n">
        <f aca="false">K26918*(1-K26902)*(K26917-K26923+K26922-K26925)</f>
        <v>0</v>
      </c>
    </row>
    <row r="26928" customFormat="false" ht="15" hidden="false" customHeight="false" outlineLevel="0" collapsed="false">
      <c r="A26928" s="2" t="s">
        <v>339</v>
      </c>
      <c r="F26928" s="28" t="n">
        <f aca="false">Assumptions!$C$58</f>
        <v>90</v>
      </c>
      <c r="G26928" s="17" t="n">
        <f aca="false">G26917+G26924+G26922-G26923-G26925-G26926</f>
        <v>90</v>
      </c>
      <c r="H26928" s="17" t="n">
        <f aca="false">H26917+H26924+H26922-H26923-H26925-H26926</f>
        <v>90</v>
      </c>
      <c r="I26928" s="17" t="n">
        <f aca="false">I26917+I26924+I26922-I26923-I26925-I26926</f>
        <v>90</v>
      </c>
      <c r="J26928" s="17" t="n">
        <f aca="false">J26917+J26924+J26922-J26923-J26925-J26926</f>
        <v>90</v>
      </c>
      <c r="K26928" s="17" t="n">
        <f aca="false">K26917+K26924+K26922-K26923-K26925-K26926</f>
        <v>90</v>
      </c>
    </row>
    <row r="26929" customFormat="false" ht="15" hidden="false" customHeight="false" outlineLevel="0" collapsed="false">
      <c r="A26929" s="24" t="s">
        <v>341</v>
      </c>
      <c r="B26929" s="25"/>
      <c r="C26929" s="25"/>
      <c r="D26929" s="25"/>
      <c r="E26929" s="25"/>
      <c r="F26929" s="25"/>
      <c r="G26929" s="25"/>
      <c r="H26929" s="25"/>
      <c r="I26929" s="25"/>
      <c r="J26929" s="25"/>
      <c r="K26929" s="25"/>
    </row>
    <row r="26930" customFormat="false" ht="15" hidden="false" customHeight="false" outlineLevel="0" collapsed="false">
      <c r="A26930" s="3" t="s">
        <v>329</v>
      </c>
      <c r="G26930" s="16" t="n">
        <f aca="false">F26941</f>
        <v>57.324</v>
      </c>
      <c r="H26930" s="16" t="n">
        <f aca="false">G26941</f>
        <v>57.324</v>
      </c>
      <c r="I26930" s="16" t="n">
        <f aca="false">H26941</f>
        <v>57.324</v>
      </c>
      <c r="J26930" s="16" t="n">
        <f aca="false">I26941</f>
        <v>57.324</v>
      </c>
      <c r="K26930" s="16" t="n">
        <f aca="false">J26941</f>
        <v>57.324</v>
      </c>
    </row>
    <row r="26931" customFormat="false" ht="15" hidden="false" customHeight="false" outlineLevel="0" collapsed="false">
      <c r="A26931" s="3" t="s">
        <v>330</v>
      </c>
      <c r="G26931" s="21" t="n">
        <f aca="false">IF(G26868=Assumptions!$K$59,1,0)</f>
        <v>0</v>
      </c>
      <c r="H26931" s="21" t="n">
        <f aca="false">IF(H26868=Assumptions!$K$59,1,0)</f>
        <v>0</v>
      </c>
      <c r="I26931" s="21" t="n">
        <f aca="false">IF(I26868=Assumptions!$K$59,1,0)</f>
        <v>0</v>
      </c>
      <c r="J26931" s="21" t="n">
        <f aca="false">IF(J26868=Assumptions!$K$59,1,0)</f>
        <v>0</v>
      </c>
      <c r="K26931" s="21" t="n">
        <f aca="false">IF(K26868=Assumptions!$K$59,1,0)</f>
        <v>0</v>
      </c>
    </row>
    <row r="26933" customFormat="false" ht="15" hidden="false" customHeight="false" outlineLevel="0" collapsed="false">
      <c r="A26933" s="3" t="s">
        <v>331</v>
      </c>
      <c r="G26933" s="31" t="n">
        <f aca="false">IF(Assumptions!$I$59=1,MAX(G26894,Assumptions!$G$59)+Assumptions!$F$59+$C$26895,Assumptions!$E$59)</f>
        <v>0.0731</v>
      </c>
      <c r="H26933" s="31" t="n">
        <f aca="false">IF(G27216=1,$C$26896,IF(Assumptions!$I$59=1,MAX(H26894,Assumptions!$G$59)+Assumptions!$F$59+$C$26895,Assumptions!$E$59))</f>
        <v>0.0731</v>
      </c>
      <c r="I26933" s="31" t="n">
        <f aca="false">IF(H27216=1,$C$26896,IF(Assumptions!$I$59=1,MAX(I26894,Assumptions!$G$59)+Assumptions!$F$59+$C$26895,Assumptions!$E$59))</f>
        <v>0.0731</v>
      </c>
      <c r="J26933" s="31" t="n">
        <f aca="false">IF(I27216=1,$C$26896,IF(Assumptions!$I$59=1,MAX(J26894,Assumptions!$G$59)+Assumptions!$F$59+$C$26895,Assumptions!$E$59))</f>
        <v>0.0731</v>
      </c>
      <c r="K26933" s="31" t="n">
        <f aca="false">IF(J27216=1,$C$26896,IF(Assumptions!$I$59=1,MAX(K26894,Assumptions!$G$59)+Assumptions!$F$59+$C$26895,Assumptions!$E$59))</f>
        <v>0.0731</v>
      </c>
    </row>
    <row r="26934" customFormat="false" ht="15" hidden="false" customHeight="false" outlineLevel="0" collapsed="false">
      <c r="A26934" s="3" t="s">
        <v>332</v>
      </c>
      <c r="G26934" s="16" t="n">
        <f aca="false">G26930*G26933</f>
        <v>4.1903844</v>
      </c>
      <c r="H26934" s="16" t="n">
        <f aca="false">H26930*H26933</f>
        <v>4.1903844</v>
      </c>
      <c r="I26934" s="16" t="n">
        <f aca="false">I26930*I26933</f>
        <v>4.1903844</v>
      </c>
      <c r="J26934" s="16" t="n">
        <f aca="false">J26930*J26933</f>
        <v>4.1903844</v>
      </c>
      <c r="K26934" s="16" t="n">
        <f aca="false">K26930*K26933</f>
        <v>4.1903844</v>
      </c>
    </row>
    <row r="26935" customFormat="false" ht="15" hidden="false" customHeight="false" outlineLevel="0" collapsed="false">
      <c r="A26935" s="3" t="s">
        <v>333</v>
      </c>
      <c r="G26935" s="16" t="n">
        <f aca="false">G26930*Assumptions!$H$59</f>
        <v>0</v>
      </c>
      <c r="H26935" s="16" t="n">
        <f aca="false">H26930*Assumptions!$H$59</f>
        <v>0</v>
      </c>
      <c r="I26935" s="16" t="n">
        <f aca="false">I26930*Assumptions!$H$59</f>
        <v>0</v>
      </c>
      <c r="J26935" s="16" t="n">
        <f aca="false">J26930*Assumptions!$H$59</f>
        <v>0</v>
      </c>
      <c r="K26935" s="16" t="n">
        <f aca="false">K26930*Assumptions!$H$59</f>
        <v>0</v>
      </c>
    </row>
    <row r="26936" customFormat="false" ht="15" hidden="false" customHeight="false" outlineLevel="0" collapsed="false">
      <c r="A26936" s="3" t="s">
        <v>334</v>
      </c>
      <c r="G26936" s="16" t="n">
        <f aca="false">MIN(G26930,Assumptions!$L$59*Assumptions!$C$59)</f>
        <v>0</v>
      </c>
      <c r="H26936" s="16" t="n">
        <f aca="false">MIN(H26930,Assumptions!$L$59*Assumptions!$C$59)</f>
        <v>0</v>
      </c>
      <c r="I26936" s="16" t="n">
        <f aca="false">MIN(I26930,Assumptions!$L$59*Assumptions!$C$59)</f>
        <v>0</v>
      </c>
      <c r="J26936" s="16" t="n">
        <f aca="false">MIN(J26930,Assumptions!$L$59*Assumptions!$C$59)</f>
        <v>0</v>
      </c>
      <c r="K26936" s="16" t="n">
        <f aca="false">MIN(K26930,Assumptions!$L$59*Assumptions!$C$59)</f>
        <v>0</v>
      </c>
    </row>
    <row r="26937" customFormat="false" ht="15" hidden="false" customHeight="false" outlineLevel="0" collapsed="false">
      <c r="A26937" s="3" t="s">
        <v>335</v>
      </c>
      <c r="G26937" s="16" t="n">
        <f aca="false">IF(AND(Assumptions!$P$59=1,G26868&lt;Assumptions!$K$59),MIN(MAX(0,-G27084),MAX(0,Assumptions!$D$59-G26930)),0)</f>
        <v>0</v>
      </c>
      <c r="H26937" s="16" t="n">
        <f aca="false">IF(AND(Assumptions!$P$59=1,OR(H26868&lt;Assumptions!$K$59,G27216=1)),MIN(MAX(0,-H27084),MAX(0,Assumptions!$D$59-H26930)),0)</f>
        <v>0</v>
      </c>
      <c r="I26937" s="16" t="n">
        <f aca="false">IF(AND(Assumptions!$P$59=1,OR(I26868&lt;Assumptions!$K$59,H27216=1)),MIN(MAX(0,-I27084),MAX(0,Assumptions!$D$59-I26930)),0)</f>
        <v>0</v>
      </c>
      <c r="J26937" s="16" t="n">
        <f aca="false">IF(AND(Assumptions!$P$59=1,OR(J26868&lt;Assumptions!$K$59,I27216=1)),MIN(MAX(0,-J27084),MAX(0,Assumptions!$D$59-J26930)),0)</f>
        <v>0</v>
      </c>
      <c r="K26937" s="16" t="n">
        <f aca="false">IF(AND(Assumptions!$P$59=1,OR(K26868&lt;Assumptions!$K$59,J27216=1)),MIN(MAX(0,-K27084),MAX(0,Assumptions!$D$59-K26930)),0)</f>
        <v>0</v>
      </c>
    </row>
    <row r="26938" customFormat="false" ht="15" hidden="false" customHeight="false" outlineLevel="0" collapsed="false">
      <c r="A26938" s="3" t="s">
        <v>336</v>
      </c>
      <c r="G26938" s="16" t="n">
        <f aca="false">G26931*MIN(G26930-G26936+G26935,MAX(0,G27086-Assumptions!$C$12*G26902-G26912-G26925))</f>
        <v>0</v>
      </c>
      <c r="H26938" s="16" t="n">
        <f aca="false">H26931*MIN(H26930-H26936+H26935,MAX(0,H27086-Assumptions!$C$12*H26902-H26912-H26925))</f>
        <v>0</v>
      </c>
      <c r="I26938" s="16" t="n">
        <f aca="false">I26931*MIN(I26930-I26936+I26935,MAX(0,I27086-Assumptions!$C$12*I26902-I26912-I26925))</f>
        <v>0</v>
      </c>
      <c r="J26938" s="16" t="n">
        <f aca="false">J26931*MIN(J26930-J26936+J26935,MAX(0,J27086-Assumptions!$C$12*J26902-J26912-J26925))</f>
        <v>0</v>
      </c>
      <c r="K26938" s="16" t="n">
        <f aca="false">K26931*MIN(K26930-K26936+K26935,MAX(0,K27086-Assumptions!$C$12*K26902-K26912-K26925))</f>
        <v>0</v>
      </c>
    </row>
    <row r="26939" customFormat="false" ht="15" hidden="false" customHeight="false" outlineLevel="0" collapsed="false">
      <c r="A26939" s="3" t="s">
        <v>337</v>
      </c>
      <c r="G26939" s="16" t="n">
        <f aca="false">Assumptions!$N$59*MIN(G26930+G26937+G26935-G26936-G26938,MAX(0,G27090-G26913-G26926))</f>
        <v>0</v>
      </c>
      <c r="H26939" s="16" t="n">
        <f aca="false">Assumptions!$N$59*MIN(H26930+H26937+H26935-H26936-H26938,MAX(0,H27090-H26913-H26926))</f>
        <v>0</v>
      </c>
      <c r="I26939" s="16" t="n">
        <f aca="false">Assumptions!$N$59*MIN(I26930+I26937+I26935-I26936-I26938,MAX(0,I27090-I26913-I26926))</f>
        <v>0</v>
      </c>
      <c r="J26939" s="16" t="n">
        <f aca="false">Assumptions!$N$59*MIN(J26930+J26937+J26935-J26936-J26938,MAX(0,J27090-J26913-J26926))</f>
        <v>0</v>
      </c>
      <c r="K26939" s="16" t="n">
        <f aca="false">Assumptions!$N$59*MIN(K26930+K26937+K26935-K26936-K26938,MAX(0,K27090-K26913-K26926))</f>
        <v>0</v>
      </c>
    </row>
    <row r="26940" customFormat="false" ht="15" hidden="false" customHeight="false" outlineLevel="0" collapsed="false">
      <c r="A26940" s="3" t="s">
        <v>338</v>
      </c>
      <c r="G26940" s="16" t="n">
        <f aca="false">G26931*(1-G26902)*(G26930-G26936+G26935-G26938)</f>
        <v>0</v>
      </c>
      <c r="H26940" s="16" t="n">
        <f aca="false">H26931*(1-H26902)*(H26930-H26936+H26935-H26938)</f>
        <v>0</v>
      </c>
      <c r="I26940" s="16" t="n">
        <f aca="false">I26931*(1-I26902)*(I26930-I26936+I26935-I26938)</f>
        <v>0</v>
      </c>
      <c r="J26940" s="16" t="n">
        <f aca="false">J26931*(1-J26902)*(J26930-J26936+J26935-J26938)</f>
        <v>0</v>
      </c>
      <c r="K26940" s="16" t="n">
        <f aca="false">K26931*(1-K26902)*(K26930-K26936+K26935-K26938)</f>
        <v>0</v>
      </c>
    </row>
    <row r="26941" customFormat="false" ht="15" hidden="false" customHeight="false" outlineLevel="0" collapsed="false">
      <c r="A26941" s="2" t="s">
        <v>339</v>
      </c>
      <c r="F26941" s="28" t="n">
        <f aca="false">Assumptions!$C$59</f>
        <v>57.324</v>
      </c>
      <c r="G26941" s="17" t="n">
        <f aca="false">G26930+G26937+G26935-G26936-G26938-G26939</f>
        <v>57.324</v>
      </c>
      <c r="H26941" s="17" t="n">
        <f aca="false">H26930+H26937+H26935-H26936-H26938-H26939</f>
        <v>57.324</v>
      </c>
      <c r="I26941" s="17" t="n">
        <f aca="false">I26930+I26937+I26935-I26936-I26938-I26939</f>
        <v>57.324</v>
      </c>
      <c r="J26941" s="17" t="n">
        <f aca="false">J26930+J26937+J26935-J26936-J26938-J26939</f>
        <v>57.324</v>
      </c>
      <c r="K26941" s="17" t="n">
        <f aca="false">K26930+K26937+K26935-K26936-K26938-K26939</f>
        <v>57.324</v>
      </c>
    </row>
    <row r="26942" customFormat="false" ht="15" hidden="false" customHeight="false" outlineLevel="0" collapsed="false">
      <c r="A26942" s="24" t="s">
        <v>342</v>
      </c>
      <c r="B26942" s="25"/>
      <c r="C26942" s="25"/>
      <c r="D26942" s="25"/>
      <c r="E26942" s="25"/>
      <c r="F26942" s="25"/>
      <c r="G26942" s="25"/>
      <c r="H26942" s="25"/>
      <c r="I26942" s="25"/>
      <c r="J26942" s="25"/>
      <c r="K26942" s="25"/>
    </row>
    <row r="26943" customFormat="false" ht="15" hidden="false" customHeight="false" outlineLevel="0" collapsed="false">
      <c r="A26943" s="3" t="s">
        <v>329</v>
      </c>
      <c r="G26943" s="16" t="n">
        <f aca="false">F26954</f>
        <v>0</v>
      </c>
      <c r="H26943" s="16" t="n">
        <f aca="false">G26954</f>
        <v>0</v>
      </c>
      <c r="I26943" s="16" t="n">
        <f aca="false">H26954</f>
        <v>0</v>
      </c>
      <c r="J26943" s="16" t="n">
        <f aca="false">I26954</f>
        <v>0</v>
      </c>
      <c r="K26943" s="16" t="n">
        <f aca="false">J26954</f>
        <v>0</v>
      </c>
    </row>
    <row r="26944" customFormat="false" ht="15" hidden="false" customHeight="false" outlineLevel="0" collapsed="false">
      <c r="A26944" s="3" t="s">
        <v>330</v>
      </c>
      <c r="G26944" s="21" t="n">
        <f aca="false">IF(G26868=Assumptions!$K$60,1,0)</f>
        <v>1</v>
      </c>
      <c r="H26944" s="21" t="n">
        <f aca="false">IF(H26868=Assumptions!$K$60,1,0)</f>
        <v>0</v>
      </c>
      <c r="I26944" s="21" t="n">
        <f aca="false">IF(I26868=Assumptions!$K$60,1,0)</f>
        <v>0</v>
      </c>
      <c r="J26944" s="21" t="n">
        <f aca="false">IF(J26868=Assumptions!$K$60,1,0)</f>
        <v>0</v>
      </c>
      <c r="K26944" s="21" t="n">
        <f aca="false">IF(K26868=Assumptions!$K$60,1,0)</f>
        <v>0</v>
      </c>
    </row>
    <row r="26946" customFormat="false" ht="15" hidden="false" customHeight="false" outlineLevel="0" collapsed="false">
      <c r="A26946" s="3" t="s">
        <v>331</v>
      </c>
      <c r="G26946" s="31" t="n">
        <f aca="false">IF(Assumptions!$I$60=1,MAX(G26894,Assumptions!$G$60)+Assumptions!$F$60+$C$26895,Assumptions!$E$60)</f>
        <v>0.079</v>
      </c>
      <c r="H26946" s="31" t="n">
        <f aca="false">IF(G27217=1,$C$26896,IF(Assumptions!$I$60=1,MAX(H26894,Assumptions!$G$60)+Assumptions!$F$60+$C$26895,Assumptions!$E$60))</f>
        <v>0.0775</v>
      </c>
      <c r="I26946" s="31" t="n">
        <f aca="false">IF(H27217=1,$C$26896,IF(Assumptions!$I$60=1,MAX(I26894,Assumptions!$G$60)+Assumptions!$F$60+$C$26895,Assumptions!$E$60))</f>
        <v>0.075</v>
      </c>
      <c r="J26946" s="31" t="n">
        <f aca="false">IF(I27217=1,$C$26896,IF(Assumptions!$I$60=1,MAX(J26894,Assumptions!$G$60)+Assumptions!$F$60+$C$26895,Assumptions!$E$60))</f>
        <v>0.075</v>
      </c>
      <c r="K26946" s="31" t="n">
        <f aca="false">IF(J27217=1,$C$26896,IF(Assumptions!$I$60=1,MAX(K26894,Assumptions!$G$60)+Assumptions!$F$60+$C$26895,Assumptions!$E$60))</f>
        <v>0.075</v>
      </c>
    </row>
    <row r="26947" customFormat="false" ht="15" hidden="false" customHeight="false" outlineLevel="0" collapsed="false">
      <c r="A26947" s="3" t="s">
        <v>332</v>
      </c>
      <c r="G26947" s="16" t="n">
        <f aca="false">G26943*G26946</f>
        <v>0</v>
      </c>
      <c r="H26947" s="16" t="n">
        <f aca="false">H26943*H26946</f>
        <v>0</v>
      </c>
      <c r="I26947" s="16" t="n">
        <f aca="false">I26943*I26946</f>
        <v>0</v>
      </c>
      <c r="J26947" s="16" t="n">
        <f aca="false">J26943*J26946</f>
        <v>0</v>
      </c>
      <c r="K26947" s="16" t="n">
        <f aca="false">K26943*K26946</f>
        <v>0</v>
      </c>
    </row>
    <row r="26948" customFormat="false" ht="15" hidden="false" customHeight="false" outlineLevel="0" collapsed="false">
      <c r="A26948" s="3" t="s">
        <v>333</v>
      </c>
      <c r="G26948" s="16" t="n">
        <f aca="false">G26943*Assumptions!$H$60</f>
        <v>0</v>
      </c>
      <c r="H26948" s="16" t="n">
        <f aca="false">H26943*Assumptions!$H$60</f>
        <v>0</v>
      </c>
      <c r="I26948" s="16" t="n">
        <f aca="false">I26943*Assumptions!$H$60</f>
        <v>0</v>
      </c>
      <c r="J26948" s="16" t="n">
        <f aca="false">J26943*Assumptions!$H$60</f>
        <v>0</v>
      </c>
      <c r="K26948" s="16" t="n">
        <f aca="false">K26943*Assumptions!$H$60</f>
        <v>0</v>
      </c>
    </row>
    <row r="26949" customFormat="false" ht="15" hidden="false" customHeight="false" outlineLevel="0" collapsed="false">
      <c r="A26949" s="3" t="s">
        <v>334</v>
      </c>
      <c r="G26949" s="16" t="n">
        <f aca="false">MIN(G26943,Assumptions!$L$60*Assumptions!$C$60)</f>
        <v>0</v>
      </c>
      <c r="H26949" s="16" t="n">
        <f aca="false">MIN(H26943,Assumptions!$L$60*Assumptions!$C$60)</f>
        <v>0</v>
      </c>
      <c r="I26949" s="16" t="n">
        <f aca="false">MIN(I26943,Assumptions!$L$60*Assumptions!$C$60)</f>
        <v>0</v>
      </c>
      <c r="J26949" s="16" t="n">
        <f aca="false">MIN(J26943,Assumptions!$L$60*Assumptions!$C$60)</f>
        <v>0</v>
      </c>
      <c r="K26949" s="16" t="n">
        <f aca="false">MIN(K26943,Assumptions!$L$60*Assumptions!$C$60)</f>
        <v>0</v>
      </c>
    </row>
    <row r="26950" customFormat="false" ht="15" hidden="false" customHeight="false" outlineLevel="0" collapsed="false">
      <c r="A26950" s="3" t="s">
        <v>335</v>
      </c>
      <c r="G26950" s="16" t="n">
        <f aca="false">IF(AND(Assumptions!$P$60=1,G26868&lt;Assumptions!$K$60),MIN(MAX(0,-G27084),MAX(0,Assumptions!$D$60-G26943)),0)</f>
        <v>0</v>
      </c>
      <c r="H26950" s="16" t="n">
        <f aca="false">IF(AND(Assumptions!$P$60=1,OR(H26868&lt;Assumptions!$K$60,G27217=1)),MIN(MAX(0,-H27084),MAX(0,Assumptions!$D$60-H26943)),0)</f>
        <v>0</v>
      </c>
      <c r="I26950" s="16" t="n">
        <f aca="false">IF(AND(Assumptions!$P$60=1,OR(I26868&lt;Assumptions!$K$60,H27217=1)),MIN(MAX(0,-I27084),MAX(0,Assumptions!$D$60-I26943)),0)</f>
        <v>0</v>
      </c>
      <c r="J26950" s="16" t="n">
        <f aca="false">IF(AND(Assumptions!$P$60=1,OR(J26868&lt;Assumptions!$K$60,I27217=1)),MIN(MAX(0,-J27084),MAX(0,Assumptions!$D$60-J26943)),0)</f>
        <v>0</v>
      </c>
      <c r="K26950" s="16" t="n">
        <f aca="false">IF(AND(Assumptions!$P$60=1,OR(K26868&lt;Assumptions!$K$60,J27217=1)),MIN(MAX(0,-K27084),MAX(0,Assumptions!$D$60-K26943)),0)</f>
        <v>0</v>
      </c>
    </row>
    <row r="26951" customFormat="false" ht="15" hidden="false" customHeight="false" outlineLevel="0" collapsed="false">
      <c r="A26951" s="3" t="s">
        <v>336</v>
      </c>
      <c r="G26951" s="16" t="n">
        <f aca="false">G26944*MIN(G26943-G26949+G26948,MAX(0,G27086-Assumptions!$C$12*G26902-G26912-G26925-G26938))</f>
        <v>0</v>
      </c>
      <c r="H26951" s="16" t="n">
        <f aca="false">H26944*MIN(H26943-H26949+H26948,MAX(0,H27086-Assumptions!$C$12*H26902-H26912-H26925-H26938))</f>
        <v>0</v>
      </c>
      <c r="I26951" s="16" t="n">
        <f aca="false">I26944*MIN(I26943-I26949+I26948,MAX(0,I27086-Assumptions!$C$12*I26902-I26912-I26925-I26938))</f>
        <v>0</v>
      </c>
      <c r="J26951" s="16" t="n">
        <f aca="false">J26944*MIN(J26943-J26949+J26948,MAX(0,J27086-Assumptions!$C$12*J26902-J26912-J26925-J26938))</f>
        <v>0</v>
      </c>
      <c r="K26951" s="16" t="n">
        <f aca="false">K26944*MIN(K26943-K26949+K26948,MAX(0,K27086-Assumptions!$C$12*K26902-K26912-K26925-K26938))</f>
        <v>0</v>
      </c>
    </row>
    <row r="26952" customFormat="false" ht="15" hidden="false" customHeight="false" outlineLevel="0" collapsed="false">
      <c r="A26952" s="3" t="s">
        <v>337</v>
      </c>
      <c r="G26952" s="16" t="n">
        <f aca="false">Assumptions!$N$60*MIN(G26943+G26950+G26948-G26949-G26951,MAX(0,G27090-G26913-G26926-G26939))</f>
        <v>0</v>
      </c>
      <c r="H26952" s="16" t="n">
        <f aca="false">Assumptions!$N$60*MIN(H26943+H26950+H26948-H26949-H26951,MAX(0,H27090-H26913-H26926-H26939))</f>
        <v>0</v>
      </c>
      <c r="I26952" s="16" t="n">
        <f aca="false">Assumptions!$N$60*MIN(I26943+I26950+I26948-I26949-I26951,MAX(0,I27090-I26913-I26926-I26939))</f>
        <v>0</v>
      </c>
      <c r="J26952" s="16" t="n">
        <f aca="false">Assumptions!$N$60*MIN(J26943+J26950+J26948-J26949-J26951,MAX(0,J27090-J26913-J26926-J26939))</f>
        <v>0</v>
      </c>
      <c r="K26952" s="16" t="n">
        <f aca="false">Assumptions!$N$60*MIN(K26943+K26950+K26948-K26949-K26951,MAX(0,K27090-K26913-K26926-K26939))</f>
        <v>0</v>
      </c>
    </row>
    <row r="26953" customFormat="false" ht="15" hidden="false" customHeight="false" outlineLevel="0" collapsed="false">
      <c r="A26953" s="3" t="s">
        <v>338</v>
      </c>
      <c r="G26953" s="16" t="n">
        <f aca="false">G26944*(1-G26902)*(G26943-G26949+G26948-G26951)</f>
        <v>0</v>
      </c>
      <c r="H26953" s="16" t="n">
        <f aca="false">H26944*(1-H26902)*(H26943-H26949+H26948-H26951)</f>
        <v>0</v>
      </c>
      <c r="I26953" s="16" t="n">
        <f aca="false">I26944*(1-I26902)*(I26943-I26949+I26948-I26951)</f>
        <v>0</v>
      </c>
      <c r="J26953" s="16" t="n">
        <f aca="false">J26944*(1-J26902)*(J26943-J26949+J26948-J26951)</f>
        <v>0</v>
      </c>
      <c r="K26953" s="16" t="n">
        <f aca="false">K26944*(1-K26902)*(K26943-K26949+K26948-K26951)</f>
        <v>0</v>
      </c>
    </row>
    <row r="26954" customFormat="false" ht="15" hidden="false" customHeight="false" outlineLevel="0" collapsed="false">
      <c r="A26954" s="2" t="s">
        <v>339</v>
      </c>
      <c r="F26954" s="28" t="n">
        <f aca="false">Assumptions!$C$60</f>
        <v>0</v>
      </c>
      <c r="G26954" s="17" t="n">
        <f aca="false">G26943+G26950+G26948-G26949-G26951-G26952</f>
        <v>0</v>
      </c>
      <c r="H26954" s="17" t="n">
        <f aca="false">H26943+H26950+H26948-H26949-H26951-H26952</f>
        <v>0</v>
      </c>
      <c r="I26954" s="17" t="n">
        <f aca="false">I26943+I26950+I26948-I26949-I26951-I26952</f>
        <v>0</v>
      </c>
      <c r="J26954" s="17" t="n">
        <f aca="false">J26943+J26950+J26948-J26949-J26951-J26952</f>
        <v>0</v>
      </c>
      <c r="K26954" s="17" t="n">
        <f aca="false">K26943+K26950+K26948-K26949-K26951-K26952</f>
        <v>0</v>
      </c>
    </row>
    <row r="26955" customFormat="false" ht="15" hidden="false" customHeight="false" outlineLevel="0" collapsed="false">
      <c r="A26955" s="24" t="s">
        <v>343</v>
      </c>
      <c r="B26955" s="25"/>
      <c r="C26955" s="25"/>
      <c r="D26955" s="25"/>
      <c r="E26955" s="25"/>
      <c r="F26955" s="25"/>
      <c r="G26955" s="25"/>
      <c r="H26955" s="25"/>
      <c r="I26955" s="25"/>
      <c r="J26955" s="25"/>
      <c r="K26955" s="25"/>
    </row>
    <row r="26956" customFormat="false" ht="15" hidden="false" customHeight="false" outlineLevel="0" collapsed="false">
      <c r="A26956" s="3" t="s">
        <v>329</v>
      </c>
      <c r="G26956" s="16" t="n">
        <f aca="false">F26967</f>
        <v>450</v>
      </c>
      <c r="H26956" s="16" t="n">
        <f aca="false">G26967</f>
        <v>450</v>
      </c>
      <c r="I26956" s="16" t="n">
        <f aca="false">H26967</f>
        <v>410.978557881</v>
      </c>
      <c r="J26956" s="16" t="n">
        <f aca="false">I26967</f>
        <v>410.978557881</v>
      </c>
      <c r="K26956" s="16" t="n">
        <f aca="false">J26967</f>
        <v>410.978557881</v>
      </c>
    </row>
    <row r="26957" customFormat="false" ht="15" hidden="false" customHeight="false" outlineLevel="0" collapsed="false">
      <c r="A26957" s="3" t="s">
        <v>330</v>
      </c>
      <c r="G26957" s="21" t="n">
        <f aca="false">IF(G26868=Assumptions!$K$61,1,0)</f>
        <v>0</v>
      </c>
      <c r="H26957" s="21" t="n">
        <f aca="false">IF(H26868=Assumptions!$K$61,1,0)</f>
        <v>1</v>
      </c>
      <c r="I26957" s="21" t="n">
        <f aca="false">IF(I26868=Assumptions!$K$61,1,0)</f>
        <v>0</v>
      </c>
      <c r="J26957" s="21" t="n">
        <f aca="false">IF(J26868=Assumptions!$K$61,1,0)</f>
        <v>0</v>
      </c>
      <c r="K26957" s="21" t="n">
        <f aca="false">IF(K26868=Assumptions!$K$61,1,0)</f>
        <v>0</v>
      </c>
    </row>
    <row r="26959" customFormat="false" ht="15" hidden="false" customHeight="false" outlineLevel="0" collapsed="false">
      <c r="A26959" s="3" t="s">
        <v>331</v>
      </c>
      <c r="G26959" s="31" t="n">
        <f aca="false">IF(Assumptions!$I$61=1,MAX(G26894,Assumptions!$G$61)+Assumptions!$F$61+$C$26895,Assumptions!$E$61)</f>
        <v>0.0395</v>
      </c>
      <c r="H26959" s="31" t="n">
        <f aca="false">IF(G27218=1,$C$26896,IF(Assumptions!$I$61=1,MAX(H26894,Assumptions!$G$61)+Assumptions!$F$61+$C$26895,Assumptions!$E$61))</f>
        <v>0.0395</v>
      </c>
      <c r="I26959" s="31" t="n">
        <f aca="false">IF(H27218=1,$C$26896,IF(Assumptions!$I$61=1,MAX(I26894,Assumptions!$G$61)+Assumptions!$F$61+$C$26895,Assumptions!$E$61))</f>
        <v>0.0395</v>
      </c>
      <c r="J26959" s="31" t="n">
        <f aca="false">IF(I27218=1,$C$26896,IF(Assumptions!$I$61=1,MAX(J26894,Assumptions!$G$61)+Assumptions!$F$61+$C$26895,Assumptions!$E$61))</f>
        <v>0.0395</v>
      </c>
      <c r="K26959" s="31" t="n">
        <f aca="false">IF(J27218=1,$C$26896,IF(Assumptions!$I$61=1,MAX(K26894,Assumptions!$G$61)+Assumptions!$F$61+$C$26895,Assumptions!$E$61))</f>
        <v>0.0395</v>
      </c>
    </row>
    <row r="26960" customFormat="false" ht="15" hidden="false" customHeight="false" outlineLevel="0" collapsed="false">
      <c r="A26960" s="3" t="s">
        <v>332</v>
      </c>
      <c r="G26960" s="16" t="n">
        <f aca="false">G26956*G26959</f>
        <v>17.775</v>
      </c>
      <c r="H26960" s="16" t="n">
        <f aca="false">H26956*H26959</f>
        <v>17.775</v>
      </c>
      <c r="I26960" s="16" t="n">
        <f aca="false">I26956*I26959</f>
        <v>16.2336530362995</v>
      </c>
      <c r="J26960" s="16" t="n">
        <f aca="false">J26956*J26959</f>
        <v>16.2336530362995</v>
      </c>
      <c r="K26960" s="16" t="n">
        <f aca="false">K26956*K26959</f>
        <v>16.2336530362995</v>
      </c>
    </row>
    <row r="26961" customFormat="false" ht="15" hidden="false" customHeight="false" outlineLevel="0" collapsed="false">
      <c r="A26961" s="3" t="s">
        <v>333</v>
      </c>
      <c r="G26961" s="16" t="n">
        <f aca="false">G26956*Assumptions!$H$61</f>
        <v>0</v>
      </c>
      <c r="H26961" s="16" t="n">
        <f aca="false">H26956*Assumptions!$H$61</f>
        <v>0</v>
      </c>
      <c r="I26961" s="16" t="n">
        <f aca="false">I26956*Assumptions!$H$61</f>
        <v>0</v>
      </c>
      <c r="J26961" s="16" t="n">
        <f aca="false">J26956*Assumptions!$H$61</f>
        <v>0</v>
      </c>
      <c r="K26961" s="16" t="n">
        <f aca="false">K26956*Assumptions!$H$61</f>
        <v>0</v>
      </c>
    </row>
    <row r="26962" customFormat="false" ht="15" hidden="false" customHeight="false" outlineLevel="0" collapsed="false">
      <c r="A26962" s="3" t="s">
        <v>334</v>
      </c>
      <c r="G26962" s="16" t="n">
        <f aca="false">MIN(G26956,Assumptions!$L$61*Assumptions!$C$61)</f>
        <v>0</v>
      </c>
      <c r="H26962" s="16" t="n">
        <f aca="false">MIN(H26956,Assumptions!$L$61*Assumptions!$C$61)</f>
        <v>0</v>
      </c>
      <c r="I26962" s="16" t="n">
        <f aca="false">MIN(I26956,Assumptions!$L$61*Assumptions!$C$61)</f>
        <v>0</v>
      </c>
      <c r="J26962" s="16" t="n">
        <f aca="false">MIN(J26956,Assumptions!$L$61*Assumptions!$C$61)</f>
        <v>0</v>
      </c>
      <c r="K26962" s="16" t="n">
        <f aca="false">MIN(K26956,Assumptions!$L$61*Assumptions!$C$61)</f>
        <v>0</v>
      </c>
    </row>
    <row r="26963" customFormat="false" ht="15" hidden="false" customHeight="false" outlineLevel="0" collapsed="false">
      <c r="A26963" s="3" t="s">
        <v>335</v>
      </c>
      <c r="G26963" s="16" t="n">
        <f aca="false">IF(AND(Assumptions!$P$61=1,G26868&lt;Assumptions!$K$61),MIN(MAX(0,-G27084),MAX(0,Assumptions!$D$61-G26956)),0)</f>
        <v>0</v>
      </c>
      <c r="H26963" s="16" t="n">
        <f aca="false">IF(AND(Assumptions!$P$61=1,OR(H26868&lt;Assumptions!$K$61,G27218=1)),MIN(MAX(0,-H27084),MAX(0,Assumptions!$D$61-H26956)),0)</f>
        <v>0</v>
      </c>
      <c r="I26963" s="16" t="n">
        <f aca="false">IF(AND(Assumptions!$P$61=1,OR(I26868&lt;Assumptions!$K$61,H27218=1)),MIN(MAX(0,-I27084),MAX(0,Assumptions!$D$61-I26956)),0)</f>
        <v>0</v>
      </c>
      <c r="J26963" s="16" t="n">
        <f aca="false">IF(AND(Assumptions!$P$61=1,OR(J26868&lt;Assumptions!$K$61,I27218=1)),MIN(MAX(0,-J27084),MAX(0,Assumptions!$D$61-J26956)),0)</f>
        <v>0</v>
      </c>
      <c r="K26963" s="16" t="n">
        <f aca="false">IF(AND(Assumptions!$P$61=1,OR(K26868&lt;Assumptions!$K$61,J27218=1)),MIN(MAX(0,-K27084),MAX(0,Assumptions!$D$61-K26956)),0)</f>
        <v>0</v>
      </c>
    </row>
    <row r="26964" customFormat="false" ht="15" hidden="false" customHeight="false" outlineLevel="0" collapsed="false">
      <c r="A26964" s="3" t="s">
        <v>336</v>
      </c>
      <c r="G26964" s="16" t="n">
        <f aca="false">G26957*MIN(G26956-G26962+G26961,MAX(0,G27086-Assumptions!$C$12*G26902-G26912-G26925-G26938-G26951))</f>
        <v>0</v>
      </c>
      <c r="H26964" s="16" t="n">
        <f aca="false">H26957*MIN(H26956-H26962+H26961,MAX(0,H27086-Assumptions!$C$12*H26902-H26912-H26925-H26938-H26951))</f>
        <v>39.021442119</v>
      </c>
      <c r="I26964" s="16" t="n">
        <f aca="false">I26957*MIN(I26956-I26962+I26961,MAX(0,I27086-Assumptions!$C$12*I26902-I26912-I26925-I26938-I26951))</f>
        <v>0</v>
      </c>
      <c r="J26964" s="16" t="n">
        <f aca="false">J26957*MIN(J26956-J26962+J26961,MAX(0,J27086-Assumptions!$C$12*J26902-J26912-J26925-J26938-J26951))</f>
        <v>0</v>
      </c>
      <c r="K26964" s="16" t="n">
        <f aca="false">K26957*MIN(K26956-K26962+K26961,MAX(0,K27086-Assumptions!$C$12*K26902-K26912-K26925-K26938-K26951))</f>
        <v>0</v>
      </c>
    </row>
    <row r="26965" customFormat="false" ht="15" hidden="false" customHeight="false" outlineLevel="0" collapsed="false">
      <c r="A26965" s="3" t="s">
        <v>337</v>
      </c>
      <c r="G26965" s="16" t="n">
        <f aca="false">Assumptions!$N$61*MIN(G26956+G26963+G26961-G26962-G26964,MAX(0,G27090-G26913-G26926-G26939-G26952))</f>
        <v>0</v>
      </c>
      <c r="H26965" s="16" t="n">
        <f aca="false">Assumptions!$N$61*MIN(H26956+H26963+H26961-H26962-H26964,MAX(0,H27090-H26913-H26926-H26939-H26952))</f>
        <v>0</v>
      </c>
      <c r="I26965" s="16" t="n">
        <f aca="false">Assumptions!$N$61*MIN(I26956+I26963+I26961-I26962-I26964,MAX(0,I27090-I26913-I26926-I26939-I26952))</f>
        <v>0</v>
      </c>
      <c r="J26965" s="16" t="n">
        <f aca="false">Assumptions!$N$61*MIN(J26956+J26963+J26961-J26962-J26964,MAX(0,J27090-J26913-J26926-J26939-J26952))</f>
        <v>0</v>
      </c>
      <c r="K26965" s="16" t="n">
        <f aca="false">Assumptions!$N$61*MIN(K26956+K26963+K26961-K26962-K26964,MAX(0,K27090-K26913-K26926-K26939-K26952))</f>
        <v>0</v>
      </c>
    </row>
    <row r="26966" customFormat="false" ht="15" hidden="false" customHeight="false" outlineLevel="0" collapsed="false">
      <c r="A26966" s="3" t="s">
        <v>338</v>
      </c>
      <c r="G26966" s="16" t="n">
        <f aca="false">G26957*(1-G26902)*(G26956-G26962+G26961-G26964)</f>
        <v>0</v>
      </c>
      <c r="H26966" s="16" t="n">
        <f aca="false">H26957*(1-H26902)*(H26956-H26962+H26961-H26964)</f>
        <v>410.978557881</v>
      </c>
      <c r="I26966" s="16" t="n">
        <f aca="false">I26957*(1-I26902)*(I26956-I26962+I26961-I26964)</f>
        <v>0</v>
      </c>
      <c r="J26966" s="16" t="n">
        <f aca="false">J26957*(1-J26902)*(J26956-J26962+J26961-J26964)</f>
        <v>0</v>
      </c>
      <c r="K26966" s="16" t="n">
        <f aca="false">K26957*(1-K26902)*(K26956-K26962+K26961-K26964)</f>
        <v>0</v>
      </c>
    </row>
    <row r="26967" customFormat="false" ht="15" hidden="false" customHeight="false" outlineLevel="0" collapsed="false">
      <c r="A26967" s="2" t="s">
        <v>339</v>
      </c>
      <c r="F26967" s="28" t="n">
        <f aca="false">Assumptions!$C$61</f>
        <v>450</v>
      </c>
      <c r="G26967" s="17" t="n">
        <f aca="false">G26956+G26963+G26961-G26962-G26964-G26965</f>
        <v>450</v>
      </c>
      <c r="H26967" s="17" t="n">
        <f aca="false">H26956+H26963+H26961-H26962-H26964-H26965</f>
        <v>410.978557881</v>
      </c>
      <c r="I26967" s="17" t="n">
        <f aca="false">I26956+I26963+I26961-I26962-I26964-I26965</f>
        <v>410.978557881</v>
      </c>
      <c r="J26967" s="17" t="n">
        <f aca="false">J26956+J26963+J26961-J26962-J26964-J26965</f>
        <v>410.978557881</v>
      </c>
      <c r="K26967" s="17" t="n">
        <f aca="false">K26956+K26963+K26961-K26962-K26964-K26965</f>
        <v>410.978557881</v>
      </c>
    </row>
    <row r="26968" customFormat="false" ht="15" hidden="false" customHeight="false" outlineLevel="0" collapsed="false">
      <c r="A26968" s="24" t="s">
        <v>344</v>
      </c>
      <c r="B26968" s="25"/>
      <c r="C26968" s="25"/>
      <c r="D26968" s="25"/>
      <c r="E26968" s="25"/>
      <c r="F26968" s="25"/>
      <c r="G26968" s="25"/>
      <c r="H26968" s="25"/>
      <c r="I26968" s="25"/>
      <c r="J26968" s="25"/>
      <c r="K26968" s="25"/>
    </row>
    <row r="26969" customFormat="false" ht="15" hidden="false" customHeight="false" outlineLevel="0" collapsed="false">
      <c r="A26969" s="3" t="s">
        <v>329</v>
      </c>
      <c r="G26969" s="16" t="n">
        <f aca="false">F26980</f>
        <v>350</v>
      </c>
      <c r="H26969" s="16" t="n">
        <f aca="false">G26980</f>
        <v>350</v>
      </c>
      <c r="I26969" s="16" t="n">
        <f aca="false">H26980</f>
        <v>350</v>
      </c>
      <c r="J26969" s="16" t="n">
        <f aca="false">I26980</f>
        <v>350</v>
      </c>
      <c r="K26969" s="16" t="n">
        <f aca="false">J26980</f>
        <v>350</v>
      </c>
    </row>
    <row r="26970" customFormat="false" ht="15" hidden="false" customHeight="false" outlineLevel="0" collapsed="false">
      <c r="A26970" s="3" t="s">
        <v>330</v>
      </c>
      <c r="G26970" s="21" t="n">
        <f aca="false">IF(G26868=Assumptions!$K$62,1,0)</f>
        <v>0</v>
      </c>
      <c r="H26970" s="21" t="n">
        <f aca="false">IF(H26868=Assumptions!$K$62,1,0)</f>
        <v>1</v>
      </c>
      <c r="I26970" s="21" t="n">
        <f aca="false">IF(I26868=Assumptions!$K$62,1,0)</f>
        <v>0</v>
      </c>
      <c r="J26970" s="21" t="n">
        <f aca="false">IF(J26868=Assumptions!$K$62,1,0)</f>
        <v>0</v>
      </c>
      <c r="K26970" s="21" t="n">
        <f aca="false">IF(K26868=Assumptions!$K$62,1,0)</f>
        <v>0</v>
      </c>
    </row>
    <row r="26972" customFormat="false" ht="15" hidden="false" customHeight="false" outlineLevel="0" collapsed="false">
      <c r="A26972" s="3" t="s">
        <v>331</v>
      </c>
      <c r="G26972" s="31" t="n">
        <f aca="false">IF(Assumptions!$I$62=1,MAX(G26894,Assumptions!$G$62)+Assumptions!$F$62+$C$26895,Assumptions!$E$62)</f>
        <v>0.083</v>
      </c>
      <c r="H26972" s="31" t="n">
        <f aca="false">IF(G27219=1,$C$26896,IF(Assumptions!$I$62=1,MAX(H26894,Assumptions!$G$62)+Assumptions!$F$62+$C$26895,Assumptions!$E$62))</f>
        <v>0.083</v>
      </c>
      <c r="I26972" s="31" t="n">
        <f aca="false">IF(H27219=1,$C$26896,IF(Assumptions!$I$62=1,MAX(I26894,Assumptions!$G$62)+Assumptions!$F$62+$C$26895,Assumptions!$E$62))</f>
        <v>0.083</v>
      </c>
      <c r="J26972" s="31" t="n">
        <f aca="false">IF(I27219=1,$C$26896,IF(Assumptions!$I$62=1,MAX(J26894,Assumptions!$G$62)+Assumptions!$F$62+$C$26895,Assumptions!$E$62))</f>
        <v>0.083</v>
      </c>
      <c r="K26972" s="31" t="n">
        <f aca="false">IF(J27219=1,$C$26896,IF(Assumptions!$I$62=1,MAX(K26894,Assumptions!$G$62)+Assumptions!$F$62+$C$26895,Assumptions!$E$62))</f>
        <v>0.083</v>
      </c>
    </row>
    <row r="26973" customFormat="false" ht="15" hidden="false" customHeight="false" outlineLevel="0" collapsed="false">
      <c r="A26973" s="3" t="s">
        <v>332</v>
      </c>
      <c r="G26973" s="16" t="n">
        <f aca="false">G26969*G26972</f>
        <v>29.05</v>
      </c>
      <c r="H26973" s="16" t="n">
        <f aca="false">H26969*H26972</f>
        <v>29.05</v>
      </c>
      <c r="I26973" s="16" t="n">
        <f aca="false">I26969*I26972</f>
        <v>29.05</v>
      </c>
      <c r="J26973" s="16" t="n">
        <f aca="false">J26969*J26972</f>
        <v>29.05</v>
      </c>
      <c r="K26973" s="16" t="n">
        <f aca="false">K26969*K26972</f>
        <v>29.05</v>
      </c>
    </row>
    <row r="26974" customFormat="false" ht="15" hidden="false" customHeight="false" outlineLevel="0" collapsed="false">
      <c r="A26974" s="3" t="s">
        <v>333</v>
      </c>
      <c r="G26974" s="16" t="n">
        <f aca="false">G26969*Assumptions!$H$62</f>
        <v>0</v>
      </c>
      <c r="H26974" s="16" t="n">
        <f aca="false">H26969*Assumptions!$H$62</f>
        <v>0</v>
      </c>
      <c r="I26974" s="16" t="n">
        <f aca="false">I26969*Assumptions!$H$62</f>
        <v>0</v>
      </c>
      <c r="J26974" s="16" t="n">
        <f aca="false">J26969*Assumptions!$H$62</f>
        <v>0</v>
      </c>
      <c r="K26974" s="16" t="n">
        <f aca="false">K26969*Assumptions!$H$62</f>
        <v>0</v>
      </c>
    </row>
    <row r="26975" customFormat="false" ht="15" hidden="false" customHeight="false" outlineLevel="0" collapsed="false">
      <c r="A26975" s="3" t="s">
        <v>334</v>
      </c>
      <c r="G26975" s="16" t="n">
        <f aca="false">MIN(G26969,Assumptions!$L$62*Assumptions!$C$62)</f>
        <v>0</v>
      </c>
      <c r="H26975" s="16" t="n">
        <f aca="false">MIN(H26969,Assumptions!$L$62*Assumptions!$C$62)</f>
        <v>0</v>
      </c>
      <c r="I26975" s="16" t="n">
        <f aca="false">MIN(I26969,Assumptions!$L$62*Assumptions!$C$62)</f>
        <v>0</v>
      </c>
      <c r="J26975" s="16" t="n">
        <f aca="false">MIN(J26969,Assumptions!$L$62*Assumptions!$C$62)</f>
        <v>0</v>
      </c>
      <c r="K26975" s="16" t="n">
        <f aca="false">MIN(K26969,Assumptions!$L$62*Assumptions!$C$62)</f>
        <v>0</v>
      </c>
    </row>
    <row r="26976" customFormat="false" ht="15" hidden="false" customHeight="false" outlineLevel="0" collapsed="false">
      <c r="A26976" s="3" t="s">
        <v>335</v>
      </c>
      <c r="G26976" s="16" t="n">
        <f aca="false">IF(AND(Assumptions!$P$62=1,G26868&lt;Assumptions!$K$62),MIN(MAX(0,-G27084),MAX(0,Assumptions!$D$62-G26969)),0)</f>
        <v>0</v>
      </c>
      <c r="H26976" s="16" t="n">
        <f aca="false">IF(AND(Assumptions!$P$62=1,OR(H26868&lt;Assumptions!$K$62,G27219=1)),MIN(MAX(0,-H27084),MAX(0,Assumptions!$D$62-H26969)),0)</f>
        <v>0</v>
      </c>
      <c r="I26976" s="16" t="n">
        <f aca="false">IF(AND(Assumptions!$P$62=1,OR(I26868&lt;Assumptions!$K$62,H27219=1)),MIN(MAX(0,-I27084),MAX(0,Assumptions!$D$62-I26969)),0)</f>
        <v>0</v>
      </c>
      <c r="J26976" s="16" t="n">
        <f aca="false">IF(AND(Assumptions!$P$62=1,OR(J26868&lt;Assumptions!$K$62,I27219=1)),MIN(MAX(0,-J27084),MAX(0,Assumptions!$D$62-J26969)),0)</f>
        <v>0</v>
      </c>
      <c r="K26976" s="16" t="n">
        <f aca="false">IF(AND(Assumptions!$P$62=1,OR(K26868&lt;Assumptions!$K$62,J27219=1)),MIN(MAX(0,-K27084),MAX(0,Assumptions!$D$62-K26969)),0)</f>
        <v>0</v>
      </c>
    </row>
    <row r="26977" customFormat="false" ht="15" hidden="false" customHeight="false" outlineLevel="0" collapsed="false">
      <c r="A26977" s="3" t="s">
        <v>336</v>
      </c>
      <c r="G26977" s="16" t="n">
        <f aca="false">G26970*MIN(G26969-G26975+G26974,MAX(0,G27086-Assumptions!$C$12*G26902-G26912-G26925-G26938-G26951-G26964))</f>
        <v>0</v>
      </c>
      <c r="H26977" s="16" t="n">
        <f aca="false">H26970*MIN(H26969-H26975+H26974,MAX(0,H27086-Assumptions!$C$12*H26902-H26912-H26925-H26938-H26951-H26964))</f>
        <v>0</v>
      </c>
      <c r="I26977" s="16" t="n">
        <f aca="false">I26970*MIN(I26969-I26975+I26974,MAX(0,I27086-Assumptions!$C$12*I26902-I26912-I26925-I26938-I26951-I26964))</f>
        <v>0</v>
      </c>
      <c r="J26977" s="16" t="n">
        <f aca="false">J26970*MIN(J26969-J26975+J26974,MAX(0,J27086-Assumptions!$C$12*J26902-J26912-J26925-J26938-J26951-J26964))</f>
        <v>0</v>
      </c>
      <c r="K26977" s="16" t="n">
        <f aca="false">K26970*MIN(K26969-K26975+K26974,MAX(0,K27086-Assumptions!$C$12*K26902-K26912-K26925-K26938-K26951-K26964))</f>
        <v>0</v>
      </c>
    </row>
    <row r="26978" customFormat="false" ht="15" hidden="false" customHeight="false" outlineLevel="0" collapsed="false">
      <c r="A26978" s="3" t="s">
        <v>337</v>
      </c>
      <c r="G26978" s="16" t="n">
        <f aca="false">Assumptions!$N$62*MIN(G26969+G26976+G26974-G26975-G26977,MAX(0,G27090-G26913-G26926-G26939-G26952-G26965))</f>
        <v>0</v>
      </c>
      <c r="H26978" s="16" t="n">
        <f aca="false">Assumptions!$N$62*MIN(H26969+H26976+H26974-H26975-H26977,MAX(0,H27090-H26913-H26926-H26939-H26952-H26965))</f>
        <v>0</v>
      </c>
      <c r="I26978" s="16" t="n">
        <f aca="false">Assumptions!$N$62*MIN(I26969+I26976+I26974-I26975-I26977,MAX(0,I27090-I26913-I26926-I26939-I26952-I26965))</f>
        <v>0</v>
      </c>
      <c r="J26978" s="16" t="n">
        <f aca="false">Assumptions!$N$62*MIN(J26969+J26976+J26974-J26975-J26977,MAX(0,J27090-J26913-J26926-J26939-J26952-J26965))</f>
        <v>0</v>
      </c>
      <c r="K26978" s="16" t="n">
        <f aca="false">Assumptions!$N$62*MIN(K26969+K26976+K26974-K26975-K26977,MAX(0,K27090-K26913-K26926-K26939-K26952-K26965))</f>
        <v>0</v>
      </c>
    </row>
    <row r="26979" customFormat="false" ht="15" hidden="false" customHeight="false" outlineLevel="0" collapsed="false">
      <c r="A26979" s="3" t="s">
        <v>338</v>
      </c>
      <c r="G26979" s="16" t="n">
        <f aca="false">G26970*(1-G26902)*(G26969-G26975+G26974-G26977)</f>
        <v>0</v>
      </c>
      <c r="H26979" s="16" t="n">
        <f aca="false">H26970*(1-H26902)*(H26969-H26975+H26974-H26977)</f>
        <v>350</v>
      </c>
      <c r="I26979" s="16" t="n">
        <f aca="false">I26970*(1-I26902)*(I26969-I26975+I26974-I26977)</f>
        <v>0</v>
      </c>
      <c r="J26979" s="16" t="n">
        <f aca="false">J26970*(1-J26902)*(J26969-J26975+J26974-J26977)</f>
        <v>0</v>
      </c>
      <c r="K26979" s="16" t="n">
        <f aca="false">K26970*(1-K26902)*(K26969-K26975+K26974-K26977)</f>
        <v>0</v>
      </c>
    </row>
    <row r="26980" customFormat="false" ht="15" hidden="false" customHeight="false" outlineLevel="0" collapsed="false">
      <c r="A26980" s="2" t="s">
        <v>339</v>
      </c>
      <c r="F26980" s="28" t="n">
        <f aca="false">Assumptions!$C$62</f>
        <v>350</v>
      </c>
      <c r="G26980" s="17" t="n">
        <f aca="false">G26969+G26976+G26974-G26975-G26977-G26978</f>
        <v>350</v>
      </c>
      <c r="H26980" s="17" t="n">
        <f aca="false">H26969+H26976+H26974-H26975-H26977-H26978</f>
        <v>350</v>
      </c>
      <c r="I26980" s="17" t="n">
        <f aca="false">I26969+I26976+I26974-I26975-I26977-I26978</f>
        <v>350</v>
      </c>
      <c r="J26980" s="17" t="n">
        <f aca="false">J26969+J26976+J26974-J26975-J26977-J26978</f>
        <v>350</v>
      </c>
      <c r="K26980" s="17" t="n">
        <f aca="false">K26969+K26976+K26974-K26975-K26977-K26978</f>
        <v>350</v>
      </c>
    </row>
    <row r="26981" customFormat="false" ht="15" hidden="false" customHeight="false" outlineLevel="0" collapsed="false">
      <c r="A26981" s="24" t="s">
        <v>345</v>
      </c>
      <c r="B26981" s="25"/>
      <c r="C26981" s="25"/>
      <c r="D26981" s="25"/>
      <c r="E26981" s="25"/>
      <c r="F26981" s="25"/>
      <c r="G26981" s="25"/>
      <c r="H26981" s="25"/>
      <c r="I26981" s="25"/>
      <c r="J26981" s="25"/>
      <c r="K26981" s="25"/>
    </row>
    <row r="26982" customFormat="false" ht="15" hidden="false" customHeight="false" outlineLevel="0" collapsed="false">
      <c r="A26982" s="3" t="s">
        <v>329</v>
      </c>
      <c r="G26982" s="16" t="n">
        <f aca="false">F26993</f>
        <v>550</v>
      </c>
      <c r="H26982" s="16" t="n">
        <f aca="false">G26993</f>
        <v>550</v>
      </c>
      <c r="I26982" s="16" t="n">
        <f aca="false">H26993</f>
        <v>550</v>
      </c>
      <c r="J26982" s="16" t="n">
        <f aca="false">I26993</f>
        <v>550</v>
      </c>
      <c r="K26982" s="16" t="n">
        <f aca="false">J26993</f>
        <v>550</v>
      </c>
    </row>
    <row r="26983" customFormat="false" ht="15" hidden="false" customHeight="false" outlineLevel="0" collapsed="false">
      <c r="A26983" s="3" t="s">
        <v>330</v>
      </c>
      <c r="G26983" s="21" t="n">
        <f aca="false">IF(G26868=Assumptions!$K$63,1,0)</f>
        <v>0</v>
      </c>
      <c r="H26983" s="21" t="n">
        <f aca="false">IF(H26868=Assumptions!$K$63,1,0)</f>
        <v>0</v>
      </c>
      <c r="I26983" s="21" t="n">
        <f aca="false">IF(I26868=Assumptions!$K$63,1,0)</f>
        <v>1</v>
      </c>
      <c r="J26983" s="21" t="n">
        <f aca="false">IF(J26868=Assumptions!$K$63,1,0)</f>
        <v>0</v>
      </c>
      <c r="K26983" s="21" t="n">
        <f aca="false">IF(K26868=Assumptions!$K$63,1,0)</f>
        <v>0</v>
      </c>
    </row>
    <row r="26985" customFormat="false" ht="15" hidden="false" customHeight="false" outlineLevel="0" collapsed="false">
      <c r="A26985" s="3" t="s">
        <v>331</v>
      </c>
      <c r="G26985" s="31" t="n">
        <f aca="false">IF(Assumptions!$I$63=1,MAX(G26894,Assumptions!$G$63)+Assumptions!$F$63+$C$26895,Assumptions!$E$63)</f>
        <v>0.08875</v>
      </c>
      <c r="H26985" s="31" t="n">
        <f aca="false">IF(G27220=1,$C$26896,IF(Assumptions!$I$63=1,MAX(H26894,Assumptions!$G$63)+Assumptions!$F$63+$C$26895,Assumptions!$E$63))</f>
        <v>0.08875</v>
      </c>
      <c r="I26985" s="31" t="n">
        <f aca="false">IF(H27220=1,$C$26896,IF(Assumptions!$I$63=1,MAX(I26894,Assumptions!$G$63)+Assumptions!$F$63+$C$26895,Assumptions!$E$63))</f>
        <v>0.08875</v>
      </c>
      <c r="J26985" s="31" t="n">
        <f aca="false">IF(I27220=1,$C$26896,IF(Assumptions!$I$63=1,MAX(J26894,Assumptions!$G$63)+Assumptions!$F$63+$C$26895,Assumptions!$E$63))</f>
        <v>0.08875</v>
      </c>
      <c r="K26985" s="31" t="n">
        <f aca="false">IF(J27220=1,$C$26896,IF(Assumptions!$I$63=1,MAX(K26894,Assumptions!$G$63)+Assumptions!$F$63+$C$26895,Assumptions!$E$63))</f>
        <v>0.08875</v>
      </c>
    </row>
    <row r="26986" customFormat="false" ht="15" hidden="false" customHeight="false" outlineLevel="0" collapsed="false">
      <c r="A26986" s="3" t="s">
        <v>332</v>
      </c>
      <c r="G26986" s="16" t="n">
        <f aca="false">G26982*G26985</f>
        <v>48.8125</v>
      </c>
      <c r="H26986" s="16" t="n">
        <f aca="false">H26982*H26985</f>
        <v>48.8125</v>
      </c>
      <c r="I26986" s="16" t="n">
        <f aca="false">I26982*I26985</f>
        <v>48.8125</v>
      </c>
      <c r="J26986" s="16" t="n">
        <f aca="false">J26982*J26985</f>
        <v>48.8125</v>
      </c>
      <c r="K26986" s="16" t="n">
        <f aca="false">K26982*K26985</f>
        <v>48.8125</v>
      </c>
    </row>
    <row r="26987" customFormat="false" ht="15" hidden="false" customHeight="false" outlineLevel="0" collapsed="false">
      <c r="A26987" s="3" t="s">
        <v>333</v>
      </c>
      <c r="G26987" s="16" t="n">
        <f aca="false">G26982*Assumptions!$H$63</f>
        <v>0</v>
      </c>
      <c r="H26987" s="16" t="n">
        <f aca="false">H26982*Assumptions!$H$63</f>
        <v>0</v>
      </c>
      <c r="I26987" s="16" t="n">
        <f aca="false">I26982*Assumptions!$H$63</f>
        <v>0</v>
      </c>
      <c r="J26987" s="16" t="n">
        <f aca="false">J26982*Assumptions!$H$63</f>
        <v>0</v>
      </c>
      <c r="K26987" s="16" t="n">
        <f aca="false">K26982*Assumptions!$H$63</f>
        <v>0</v>
      </c>
    </row>
    <row r="26988" customFormat="false" ht="15" hidden="false" customHeight="false" outlineLevel="0" collapsed="false">
      <c r="A26988" s="3" t="s">
        <v>334</v>
      </c>
      <c r="G26988" s="16" t="n">
        <f aca="false">MIN(G26982,Assumptions!$L$63*Assumptions!$C$63)</f>
        <v>0</v>
      </c>
      <c r="H26988" s="16" t="n">
        <f aca="false">MIN(H26982,Assumptions!$L$63*Assumptions!$C$63)</f>
        <v>0</v>
      </c>
      <c r="I26988" s="16" t="n">
        <f aca="false">MIN(I26982,Assumptions!$L$63*Assumptions!$C$63)</f>
        <v>0</v>
      </c>
      <c r="J26988" s="16" t="n">
        <f aca="false">MIN(J26982,Assumptions!$L$63*Assumptions!$C$63)</f>
        <v>0</v>
      </c>
      <c r="K26988" s="16" t="n">
        <f aca="false">MIN(K26982,Assumptions!$L$63*Assumptions!$C$63)</f>
        <v>0</v>
      </c>
    </row>
    <row r="26989" customFormat="false" ht="15" hidden="false" customHeight="false" outlineLevel="0" collapsed="false">
      <c r="A26989" s="3" t="s">
        <v>335</v>
      </c>
      <c r="G26989" s="16" t="n">
        <f aca="false">IF(AND(Assumptions!$P$63=1,G26868&lt;Assumptions!$K$63),MIN(MAX(0,-G27084),MAX(0,Assumptions!$D$63-G26982)),0)</f>
        <v>0</v>
      </c>
      <c r="H26989" s="16" t="n">
        <f aca="false">IF(AND(Assumptions!$P$63=1,OR(H26868&lt;Assumptions!$K$63,G27220=1)),MIN(MAX(0,-H27084),MAX(0,Assumptions!$D$63-H26982)),0)</f>
        <v>0</v>
      </c>
      <c r="I26989" s="16" t="n">
        <f aca="false">IF(AND(Assumptions!$P$63=1,OR(I26868&lt;Assumptions!$K$63,H27220=1)),MIN(MAX(0,-I27084),MAX(0,Assumptions!$D$63-I26982)),0)</f>
        <v>0</v>
      </c>
      <c r="J26989" s="16" t="n">
        <f aca="false">IF(AND(Assumptions!$P$63=1,OR(J26868&lt;Assumptions!$K$63,I27220=1)),MIN(MAX(0,-J27084),MAX(0,Assumptions!$D$63-J26982)),0)</f>
        <v>0</v>
      </c>
      <c r="K26989" s="16" t="n">
        <f aca="false">IF(AND(Assumptions!$P$63=1,OR(K26868&lt;Assumptions!$K$63,J27220=1)),MIN(MAX(0,-K27084),MAX(0,Assumptions!$D$63-K26982)),0)</f>
        <v>0</v>
      </c>
    </row>
    <row r="26990" customFormat="false" ht="15" hidden="false" customHeight="false" outlineLevel="0" collapsed="false">
      <c r="A26990" s="3" t="s">
        <v>336</v>
      </c>
      <c r="G26990" s="16" t="n">
        <f aca="false">G26983*MIN(G26982-G26988+G26987,MAX(0,G27086-Assumptions!$C$12*G26902-G26912-G26925-G26938-G26951-G26964-G26977))</f>
        <v>0</v>
      </c>
      <c r="H26990" s="16" t="n">
        <f aca="false">H26983*MIN(H26982-H26988+H26987,MAX(0,H27086-Assumptions!$C$12*H26902-H26912-H26925-H26938-H26951-H26964-H26977))</f>
        <v>0</v>
      </c>
      <c r="I26990" s="16" t="n">
        <f aca="false">I26983*MIN(I26982-I26988+I26987,MAX(0,I27086-Assumptions!$C$12*I26902-I26912-I26925-I26938-I26951-I26964-I26977))</f>
        <v>0</v>
      </c>
      <c r="J26990" s="16" t="n">
        <f aca="false">J26983*MIN(J26982-J26988+J26987,MAX(0,J27086-Assumptions!$C$12*J26902-J26912-J26925-J26938-J26951-J26964-J26977))</f>
        <v>0</v>
      </c>
      <c r="K26990" s="16" t="n">
        <f aca="false">K26983*MIN(K26982-K26988+K26987,MAX(0,K27086-Assumptions!$C$12*K26902-K26912-K26925-K26938-K26951-K26964-K26977))</f>
        <v>0</v>
      </c>
    </row>
    <row r="26991" customFormat="false" ht="15" hidden="false" customHeight="false" outlineLevel="0" collapsed="false">
      <c r="A26991" s="3" t="s">
        <v>337</v>
      </c>
      <c r="G26991" s="16" t="n">
        <f aca="false">Assumptions!$N$63*MIN(G26982+G26989+G26987-G26988-G26990,MAX(0,G27090-G26913-G26926-G26939-G26952-G26965-G26978))</f>
        <v>0</v>
      </c>
      <c r="H26991" s="16" t="n">
        <f aca="false">Assumptions!$N$63*MIN(H26982+H26989+H26987-H26988-H26990,MAX(0,H27090-H26913-H26926-H26939-H26952-H26965-H26978))</f>
        <v>0</v>
      </c>
      <c r="I26991" s="16" t="n">
        <f aca="false">Assumptions!$N$63*MIN(I26982+I26989+I26987-I26988-I26990,MAX(0,I27090-I26913-I26926-I26939-I26952-I26965-I26978))</f>
        <v>0</v>
      </c>
      <c r="J26991" s="16" t="n">
        <f aca="false">Assumptions!$N$63*MIN(J26982+J26989+J26987-J26988-J26990,MAX(0,J27090-J26913-J26926-J26939-J26952-J26965-J26978))</f>
        <v>0</v>
      </c>
      <c r="K26991" s="16" t="n">
        <f aca="false">Assumptions!$N$63*MIN(K26982+K26989+K26987-K26988-K26990,MAX(0,K27090-K26913-K26926-K26939-K26952-K26965-K26978))</f>
        <v>0</v>
      </c>
    </row>
    <row r="26992" customFormat="false" ht="15" hidden="false" customHeight="false" outlineLevel="0" collapsed="false">
      <c r="A26992" s="3" t="s">
        <v>338</v>
      </c>
      <c r="G26992" s="16" t="n">
        <f aca="false">G26983*(1-G26902)*(G26982-G26988+G26987-G26990)</f>
        <v>0</v>
      </c>
      <c r="H26992" s="16" t="n">
        <f aca="false">H26983*(1-H26902)*(H26982-H26988+H26987-H26990)</f>
        <v>0</v>
      </c>
      <c r="I26992" s="16" t="n">
        <f aca="false">I26983*(1-I26902)*(I26982-I26988+I26987-I26990)</f>
        <v>550</v>
      </c>
      <c r="J26992" s="16" t="n">
        <f aca="false">J26983*(1-J26902)*(J26982-J26988+J26987-J26990)</f>
        <v>0</v>
      </c>
      <c r="K26992" s="16" t="n">
        <f aca="false">K26983*(1-K26902)*(K26982-K26988+K26987-K26990)</f>
        <v>0</v>
      </c>
    </row>
    <row r="26993" customFormat="false" ht="15" hidden="false" customHeight="false" outlineLevel="0" collapsed="false">
      <c r="A26993" s="2" t="s">
        <v>339</v>
      </c>
      <c r="F26993" s="28" t="n">
        <f aca="false">Assumptions!$C$63</f>
        <v>550</v>
      </c>
      <c r="G26993" s="17" t="n">
        <f aca="false">G26982+G26989+G26987-G26988-G26990-G26991</f>
        <v>550</v>
      </c>
      <c r="H26993" s="17" t="n">
        <f aca="false">H26982+H26989+H26987-H26988-H26990-H26991</f>
        <v>550</v>
      </c>
      <c r="I26993" s="17" t="n">
        <f aca="false">I26982+I26989+I26987-I26988-I26990-I26991</f>
        <v>550</v>
      </c>
      <c r="J26993" s="17" t="n">
        <f aca="false">J26982+J26989+J26987-J26988-J26990-J26991</f>
        <v>550</v>
      </c>
      <c r="K26993" s="17" t="n">
        <f aca="false">K26982+K26989+K26987-K26988-K26990-K26991</f>
        <v>550</v>
      </c>
    </row>
    <row r="26994" customFormat="false" ht="15" hidden="false" customHeight="false" outlineLevel="0" collapsed="false">
      <c r="A26994" s="24" t="s">
        <v>346</v>
      </c>
      <c r="B26994" s="25"/>
      <c r="C26994" s="25"/>
      <c r="D26994" s="25"/>
      <c r="E26994" s="25"/>
      <c r="F26994" s="25"/>
      <c r="G26994" s="25"/>
      <c r="H26994" s="25"/>
      <c r="I26994" s="25"/>
      <c r="J26994" s="25"/>
      <c r="K26994" s="25"/>
    </row>
    <row r="26995" customFormat="false" ht="15" hidden="false" customHeight="false" outlineLevel="0" collapsed="false">
      <c r="A26995" s="3" t="s">
        <v>329</v>
      </c>
      <c r="G26995" s="16" t="n">
        <f aca="false">F27006</f>
        <v>350</v>
      </c>
      <c r="H26995" s="16" t="n">
        <f aca="false">G27006</f>
        <v>350</v>
      </c>
      <c r="I26995" s="16" t="n">
        <f aca="false">H27006</f>
        <v>350</v>
      </c>
      <c r="J26995" s="16" t="n">
        <f aca="false">I27006</f>
        <v>350</v>
      </c>
      <c r="K26995" s="16" t="n">
        <f aca="false">J27006</f>
        <v>350</v>
      </c>
    </row>
    <row r="26996" customFormat="false" ht="15" hidden="false" customHeight="false" outlineLevel="0" collapsed="false">
      <c r="A26996" s="3" t="s">
        <v>330</v>
      </c>
      <c r="G26996" s="21" t="n">
        <f aca="false">IF(G26868=Assumptions!$K$64,1,0)</f>
        <v>0</v>
      </c>
      <c r="H26996" s="21" t="n">
        <f aca="false">IF(H26868=Assumptions!$K$64,1,0)</f>
        <v>0</v>
      </c>
      <c r="I26996" s="21" t="n">
        <f aca="false">IF(I26868=Assumptions!$K$64,1,0)</f>
        <v>0</v>
      </c>
      <c r="J26996" s="21" t="n">
        <f aca="false">IF(J26868=Assumptions!$K$64,1,0)</f>
        <v>1</v>
      </c>
      <c r="K26996" s="21" t="n">
        <f aca="false">IF(K26868=Assumptions!$K$64,1,0)</f>
        <v>0</v>
      </c>
    </row>
    <row r="26998" customFormat="false" ht="15" hidden="false" customHeight="false" outlineLevel="0" collapsed="false">
      <c r="A26998" s="3" t="s">
        <v>331</v>
      </c>
      <c r="G26998" s="31" t="n">
        <f aca="false">IF(Assumptions!$I$64=1,MAX(G26894,Assumptions!$G$64)+Assumptions!$F$64+$C$26895,Assumptions!$E$64)</f>
        <v>0.0455</v>
      </c>
      <c r="H26998" s="31" t="n">
        <f aca="false">IF(G27221=1,$C$26896,IF(Assumptions!$I$64=1,MAX(H26894,Assumptions!$G$64)+Assumptions!$F$64+$C$26895,Assumptions!$E$64))</f>
        <v>0.0455</v>
      </c>
      <c r="I26998" s="31" t="n">
        <f aca="false">IF(H27221=1,$C$26896,IF(Assumptions!$I$64=1,MAX(I26894,Assumptions!$G$64)+Assumptions!$F$64+$C$26895,Assumptions!$E$64))</f>
        <v>0.0455</v>
      </c>
      <c r="J26998" s="31" t="n">
        <f aca="false">IF(I27221=1,$C$26896,IF(Assumptions!$I$64=1,MAX(J26894,Assumptions!$G$64)+Assumptions!$F$64+$C$26895,Assumptions!$E$64))</f>
        <v>0.0455</v>
      </c>
      <c r="K26998" s="31" t="n">
        <f aca="false">IF(J27221=1,$C$26896,IF(Assumptions!$I$64=1,MAX(K26894,Assumptions!$G$64)+Assumptions!$F$64+$C$26895,Assumptions!$E$64))</f>
        <v>0.0455</v>
      </c>
    </row>
    <row r="26999" customFormat="false" ht="15" hidden="false" customHeight="false" outlineLevel="0" collapsed="false">
      <c r="A26999" s="3" t="s">
        <v>332</v>
      </c>
      <c r="G26999" s="16" t="n">
        <f aca="false">G26995*G26998</f>
        <v>15.925</v>
      </c>
      <c r="H26999" s="16" t="n">
        <f aca="false">H26995*H26998</f>
        <v>15.925</v>
      </c>
      <c r="I26999" s="16" t="n">
        <f aca="false">I26995*I26998</f>
        <v>15.925</v>
      </c>
      <c r="J26999" s="16" t="n">
        <f aca="false">J26995*J26998</f>
        <v>15.925</v>
      </c>
      <c r="K26999" s="16" t="n">
        <f aca="false">K26995*K26998</f>
        <v>15.925</v>
      </c>
    </row>
    <row r="27000" customFormat="false" ht="15" hidden="false" customHeight="false" outlineLevel="0" collapsed="false">
      <c r="A27000" s="3" t="s">
        <v>333</v>
      </c>
      <c r="G27000" s="16" t="n">
        <f aca="false">G26995*Assumptions!$H$64</f>
        <v>0</v>
      </c>
      <c r="H27000" s="16" t="n">
        <f aca="false">H26995*Assumptions!$H$64</f>
        <v>0</v>
      </c>
      <c r="I27000" s="16" t="n">
        <f aca="false">I26995*Assumptions!$H$64</f>
        <v>0</v>
      </c>
      <c r="J27000" s="16" t="n">
        <f aca="false">J26995*Assumptions!$H$64</f>
        <v>0</v>
      </c>
      <c r="K27000" s="16" t="n">
        <f aca="false">K26995*Assumptions!$H$64</f>
        <v>0</v>
      </c>
    </row>
    <row r="27001" customFormat="false" ht="15" hidden="false" customHeight="false" outlineLevel="0" collapsed="false">
      <c r="A27001" s="3" t="s">
        <v>334</v>
      </c>
      <c r="G27001" s="16" t="n">
        <f aca="false">MIN(G26995,Assumptions!$L$64*Assumptions!$C$64)</f>
        <v>0</v>
      </c>
      <c r="H27001" s="16" t="n">
        <f aca="false">MIN(H26995,Assumptions!$L$64*Assumptions!$C$64)</f>
        <v>0</v>
      </c>
      <c r="I27001" s="16" t="n">
        <f aca="false">MIN(I26995,Assumptions!$L$64*Assumptions!$C$64)</f>
        <v>0</v>
      </c>
      <c r="J27001" s="16" t="n">
        <f aca="false">MIN(J26995,Assumptions!$L$64*Assumptions!$C$64)</f>
        <v>0</v>
      </c>
      <c r="K27001" s="16" t="n">
        <f aca="false">MIN(K26995,Assumptions!$L$64*Assumptions!$C$64)</f>
        <v>0</v>
      </c>
    </row>
    <row r="27002" customFormat="false" ht="15" hidden="false" customHeight="false" outlineLevel="0" collapsed="false">
      <c r="A27002" s="3" t="s">
        <v>335</v>
      </c>
      <c r="G27002" s="16" t="n">
        <f aca="false">IF(AND(Assumptions!$P$64=1,G26868&lt;Assumptions!$K$64),MIN(MAX(0,-G27084),MAX(0,Assumptions!$D$64-G26995)),0)</f>
        <v>0</v>
      </c>
      <c r="H27002" s="16" t="n">
        <f aca="false">IF(AND(Assumptions!$P$64=1,OR(H26868&lt;Assumptions!$K$64,G27221=1)),MIN(MAX(0,-H27084),MAX(0,Assumptions!$D$64-H26995)),0)</f>
        <v>0</v>
      </c>
      <c r="I27002" s="16" t="n">
        <f aca="false">IF(AND(Assumptions!$P$64=1,OR(I26868&lt;Assumptions!$K$64,H27221=1)),MIN(MAX(0,-I27084),MAX(0,Assumptions!$D$64-I26995)),0)</f>
        <v>0</v>
      </c>
      <c r="J27002" s="16" t="n">
        <f aca="false">IF(AND(Assumptions!$P$64=1,OR(J26868&lt;Assumptions!$K$64,I27221=1)),MIN(MAX(0,-J27084),MAX(0,Assumptions!$D$64-J26995)),0)</f>
        <v>0</v>
      </c>
      <c r="K27002" s="16" t="n">
        <f aca="false">IF(AND(Assumptions!$P$64=1,OR(K26868&lt;Assumptions!$K$64,J27221=1)),MIN(MAX(0,-K27084),MAX(0,Assumptions!$D$64-K26995)),0)</f>
        <v>0</v>
      </c>
    </row>
    <row r="27003" customFormat="false" ht="15" hidden="false" customHeight="false" outlineLevel="0" collapsed="false">
      <c r="A27003" s="3" t="s">
        <v>336</v>
      </c>
      <c r="G27003" s="16" t="n">
        <f aca="false">G26996*MIN(G26995-G27001+G27000,MAX(0,G27086-Assumptions!$C$12*G26902-G26912-G26925-G26938-G26951-G26964-G26977-G26990))</f>
        <v>0</v>
      </c>
      <c r="H27003" s="16" t="n">
        <f aca="false">H26996*MIN(H26995-H27001+H27000,MAX(0,H27086-Assumptions!$C$12*H26902-H26912-H26925-H26938-H26951-H26964-H26977-H26990))</f>
        <v>0</v>
      </c>
      <c r="I27003" s="16" t="n">
        <f aca="false">I26996*MIN(I26995-I27001+I27000,MAX(0,I27086-Assumptions!$C$12*I26902-I26912-I26925-I26938-I26951-I26964-I26977-I26990))</f>
        <v>0</v>
      </c>
      <c r="J27003" s="16" t="n">
        <f aca="false">J26996*MIN(J26995-J27001+J27000,MAX(0,J27086-Assumptions!$C$12*J26902-J26912-J26925-J26938-J26951-J26964-J26977-J26990))</f>
        <v>0</v>
      </c>
      <c r="K27003" s="16" t="n">
        <f aca="false">K26996*MIN(K26995-K27001+K27000,MAX(0,K27086-Assumptions!$C$12*K26902-K26912-K26925-K26938-K26951-K26964-K26977-K26990))</f>
        <v>0</v>
      </c>
    </row>
    <row r="27004" customFormat="false" ht="15" hidden="false" customHeight="false" outlineLevel="0" collapsed="false">
      <c r="A27004" s="3" t="s">
        <v>337</v>
      </c>
      <c r="G27004" s="16" t="n">
        <f aca="false">Assumptions!$N$64*MIN(G26995+G27002+G27000-G27001-G27003,MAX(0,G27090-G26913-G26926-G26939-G26952-G26965-G26978-G26991))</f>
        <v>0</v>
      </c>
      <c r="H27004" s="16" t="n">
        <f aca="false">Assumptions!$N$64*MIN(H26995+H27002+H27000-H27001-H27003,MAX(0,H27090-H26913-H26926-H26939-H26952-H26965-H26978-H26991))</f>
        <v>0</v>
      </c>
      <c r="I27004" s="16" t="n">
        <f aca="false">Assumptions!$N$64*MIN(I26995+I27002+I27000-I27001-I27003,MAX(0,I27090-I26913-I26926-I26939-I26952-I26965-I26978-I26991))</f>
        <v>0</v>
      </c>
      <c r="J27004" s="16" t="n">
        <f aca="false">Assumptions!$N$64*MIN(J26995+J27002+J27000-J27001-J27003,MAX(0,J27090-J26913-J26926-J26939-J26952-J26965-J26978-J26991))</f>
        <v>0</v>
      </c>
      <c r="K27004" s="16" t="n">
        <f aca="false">Assumptions!$N$64*MIN(K26995+K27002+K27000-K27001-K27003,MAX(0,K27090-K26913-K26926-K26939-K26952-K26965-K26978-K26991))</f>
        <v>0</v>
      </c>
    </row>
    <row r="27005" customFormat="false" ht="15" hidden="false" customHeight="false" outlineLevel="0" collapsed="false">
      <c r="A27005" s="3" t="s">
        <v>338</v>
      </c>
      <c r="G27005" s="16" t="n">
        <f aca="false">G26996*(1-G26902)*(G26995-G27001+G27000-G27003)</f>
        <v>0</v>
      </c>
      <c r="H27005" s="16" t="n">
        <f aca="false">H26996*(1-H26902)*(H26995-H27001+H27000-H27003)</f>
        <v>0</v>
      </c>
      <c r="I27005" s="16" t="n">
        <f aca="false">I26996*(1-I26902)*(I26995-I27001+I27000-I27003)</f>
        <v>0</v>
      </c>
      <c r="J27005" s="16" t="n">
        <f aca="false">J26996*(1-J26902)*(J26995-J27001+J27000-J27003)</f>
        <v>350</v>
      </c>
      <c r="K27005" s="16" t="n">
        <f aca="false">K26996*(1-K26902)*(K26995-K27001+K27000-K27003)</f>
        <v>0</v>
      </c>
    </row>
    <row r="27006" customFormat="false" ht="15" hidden="false" customHeight="false" outlineLevel="0" collapsed="false">
      <c r="A27006" s="2" t="s">
        <v>339</v>
      </c>
      <c r="F27006" s="28" t="n">
        <f aca="false">Assumptions!$C$64</f>
        <v>350</v>
      </c>
      <c r="G27006" s="17" t="n">
        <f aca="false">G26995+G27002+G27000-G27001-G27003-G27004</f>
        <v>350</v>
      </c>
      <c r="H27006" s="17" t="n">
        <f aca="false">H26995+H27002+H27000-H27001-H27003-H27004</f>
        <v>350</v>
      </c>
      <c r="I27006" s="17" t="n">
        <f aca="false">I26995+I27002+I27000-I27001-I27003-I27004</f>
        <v>350</v>
      </c>
      <c r="J27006" s="17" t="n">
        <f aca="false">J26995+J27002+J27000-J27001-J27003-J27004</f>
        <v>350</v>
      </c>
      <c r="K27006" s="17" t="n">
        <f aca="false">K26995+K27002+K27000-K27001-K27003-K27004</f>
        <v>350</v>
      </c>
    </row>
    <row r="27007" customFormat="false" ht="15" hidden="false" customHeight="false" outlineLevel="0" collapsed="false">
      <c r="A27007" s="24" t="s">
        <v>347</v>
      </c>
      <c r="B27007" s="25"/>
      <c r="C27007" s="25"/>
      <c r="D27007" s="25"/>
      <c r="E27007" s="25"/>
      <c r="F27007" s="25"/>
      <c r="G27007" s="25"/>
      <c r="H27007" s="25"/>
      <c r="I27007" s="25"/>
      <c r="J27007" s="25"/>
      <c r="K27007" s="25"/>
    </row>
    <row r="27008" customFormat="false" ht="15" hidden="false" customHeight="false" outlineLevel="0" collapsed="false">
      <c r="A27008" s="3" t="s">
        <v>329</v>
      </c>
      <c r="G27008" s="16" t="n">
        <f aca="false">F27019</f>
        <v>300</v>
      </c>
      <c r="H27008" s="16" t="n">
        <f aca="false">G27019</f>
        <v>300</v>
      </c>
      <c r="I27008" s="16" t="n">
        <f aca="false">H27019</f>
        <v>300</v>
      </c>
      <c r="J27008" s="16" t="n">
        <f aca="false">I27019</f>
        <v>300</v>
      </c>
      <c r="K27008" s="16" t="n">
        <f aca="false">J27019</f>
        <v>300</v>
      </c>
    </row>
    <row r="27009" customFormat="false" ht="15" hidden="false" customHeight="false" outlineLevel="0" collapsed="false">
      <c r="A27009" s="3" t="s">
        <v>330</v>
      </c>
      <c r="G27009" s="21" t="n">
        <f aca="false">IF(G26868=Assumptions!$K$65,1,0)</f>
        <v>0</v>
      </c>
      <c r="H27009" s="21" t="n">
        <f aca="false">IF(H26868=Assumptions!$K$65,1,0)</f>
        <v>0</v>
      </c>
      <c r="I27009" s="21" t="n">
        <f aca="false">IF(I26868=Assumptions!$K$65,1,0)</f>
        <v>0</v>
      </c>
      <c r="J27009" s="21" t="n">
        <f aca="false">IF(J26868=Assumptions!$K$65,1,0)</f>
        <v>0</v>
      </c>
      <c r="K27009" s="21" t="n">
        <f aca="false">IF(K26868=Assumptions!$K$65,1,0)</f>
        <v>1</v>
      </c>
    </row>
    <row r="27011" customFormat="false" ht="15" hidden="false" customHeight="false" outlineLevel="0" collapsed="false">
      <c r="A27011" s="3" t="s">
        <v>331</v>
      </c>
      <c r="G27011" s="31" t="n">
        <f aca="false">IF(Assumptions!$I$65=1,MAX(G26894,Assumptions!$G$65)+Assumptions!$F$65+$C$26895,Assumptions!$E$65)</f>
        <v>0.06125</v>
      </c>
      <c r="H27011" s="31" t="n">
        <f aca="false">IF(G27222=1,$C$26896,IF(Assumptions!$I$65=1,MAX(H26894,Assumptions!$G$65)+Assumptions!$F$65+$C$26895,Assumptions!$E$65))</f>
        <v>0.06125</v>
      </c>
      <c r="I27011" s="31" t="n">
        <f aca="false">IF(H27222=1,$C$26896,IF(Assumptions!$I$65=1,MAX(I26894,Assumptions!$G$65)+Assumptions!$F$65+$C$26895,Assumptions!$E$65))</f>
        <v>0.06125</v>
      </c>
      <c r="J27011" s="31" t="n">
        <f aca="false">IF(I27222=1,$C$26896,IF(Assumptions!$I$65=1,MAX(J26894,Assumptions!$G$65)+Assumptions!$F$65+$C$26895,Assumptions!$E$65))</f>
        <v>0.06125</v>
      </c>
      <c r="K27011" s="31" t="n">
        <f aca="false">IF(J27222=1,$C$26896,IF(Assumptions!$I$65=1,MAX(K26894,Assumptions!$G$65)+Assumptions!$F$65+$C$26895,Assumptions!$E$65))</f>
        <v>0.06125</v>
      </c>
    </row>
    <row r="27012" customFormat="false" ht="15" hidden="false" customHeight="false" outlineLevel="0" collapsed="false">
      <c r="A27012" s="3" t="s">
        <v>332</v>
      </c>
      <c r="G27012" s="16" t="n">
        <f aca="false">G27008*G27011</f>
        <v>18.375</v>
      </c>
      <c r="H27012" s="16" t="n">
        <f aca="false">H27008*H27011</f>
        <v>18.375</v>
      </c>
      <c r="I27012" s="16" t="n">
        <f aca="false">I27008*I27011</f>
        <v>18.375</v>
      </c>
      <c r="J27012" s="16" t="n">
        <f aca="false">J27008*J27011</f>
        <v>18.375</v>
      </c>
      <c r="K27012" s="16" t="n">
        <f aca="false">K27008*K27011</f>
        <v>18.375</v>
      </c>
    </row>
    <row r="27013" customFormat="false" ht="15" hidden="false" customHeight="false" outlineLevel="0" collapsed="false">
      <c r="A27013" s="3" t="s">
        <v>333</v>
      </c>
      <c r="G27013" s="16" t="n">
        <f aca="false">G27008*Assumptions!$H$65</f>
        <v>0</v>
      </c>
      <c r="H27013" s="16" t="n">
        <f aca="false">H27008*Assumptions!$H$65</f>
        <v>0</v>
      </c>
      <c r="I27013" s="16" t="n">
        <f aca="false">I27008*Assumptions!$H$65</f>
        <v>0</v>
      </c>
      <c r="J27013" s="16" t="n">
        <f aca="false">J27008*Assumptions!$H$65</f>
        <v>0</v>
      </c>
      <c r="K27013" s="16" t="n">
        <f aca="false">K27008*Assumptions!$H$65</f>
        <v>0</v>
      </c>
    </row>
    <row r="27014" customFormat="false" ht="15" hidden="false" customHeight="false" outlineLevel="0" collapsed="false">
      <c r="A27014" s="3" t="s">
        <v>334</v>
      </c>
      <c r="G27014" s="16" t="n">
        <f aca="false">MIN(G27008,Assumptions!$L$65*Assumptions!$C$65)</f>
        <v>0</v>
      </c>
      <c r="H27014" s="16" t="n">
        <f aca="false">MIN(H27008,Assumptions!$L$65*Assumptions!$C$65)</f>
        <v>0</v>
      </c>
      <c r="I27014" s="16" t="n">
        <f aca="false">MIN(I27008,Assumptions!$L$65*Assumptions!$C$65)</f>
        <v>0</v>
      </c>
      <c r="J27014" s="16" t="n">
        <f aca="false">MIN(J27008,Assumptions!$L$65*Assumptions!$C$65)</f>
        <v>0</v>
      </c>
      <c r="K27014" s="16" t="n">
        <f aca="false">MIN(K27008,Assumptions!$L$65*Assumptions!$C$65)</f>
        <v>0</v>
      </c>
    </row>
    <row r="27015" customFormat="false" ht="15" hidden="false" customHeight="false" outlineLevel="0" collapsed="false">
      <c r="A27015" s="3" t="s">
        <v>335</v>
      </c>
      <c r="G27015" s="16" t="n">
        <f aca="false">IF(AND(Assumptions!$P$65=1,G26868&lt;Assumptions!$K$65),MIN(MAX(0,-G27084),MAX(0,Assumptions!$D$65-G27008)),0)</f>
        <v>0</v>
      </c>
      <c r="H27015" s="16" t="n">
        <f aca="false">IF(AND(Assumptions!$P$65=1,OR(H26868&lt;Assumptions!$K$65,G27222=1)),MIN(MAX(0,-H27084),MAX(0,Assumptions!$D$65-H27008)),0)</f>
        <v>0</v>
      </c>
      <c r="I27015" s="16" t="n">
        <f aca="false">IF(AND(Assumptions!$P$65=1,OR(I26868&lt;Assumptions!$K$65,H27222=1)),MIN(MAX(0,-I27084),MAX(0,Assumptions!$D$65-I27008)),0)</f>
        <v>0</v>
      </c>
      <c r="J27015" s="16" t="n">
        <f aca="false">IF(AND(Assumptions!$P$65=1,OR(J26868&lt;Assumptions!$K$65,I27222=1)),MIN(MAX(0,-J27084),MAX(0,Assumptions!$D$65-J27008)),0)</f>
        <v>0</v>
      </c>
      <c r="K27015" s="16" t="n">
        <f aca="false">IF(AND(Assumptions!$P$65=1,OR(K26868&lt;Assumptions!$K$65,J27222=1)),MIN(MAX(0,-K27084),MAX(0,Assumptions!$D$65-K27008)),0)</f>
        <v>0</v>
      </c>
    </row>
    <row r="27016" customFormat="false" ht="15" hidden="false" customHeight="false" outlineLevel="0" collapsed="false">
      <c r="A27016" s="3" t="s">
        <v>336</v>
      </c>
      <c r="G27016" s="16" t="n">
        <f aca="false">G27009*MIN(G27008-G27014+G27013,MAX(0,G27086-Assumptions!$C$12*G26902-G26912-G26925-G26938-G26951-G26964-G26977-G26990-G27003))</f>
        <v>0</v>
      </c>
      <c r="H27016" s="16" t="n">
        <f aca="false">H27009*MIN(H27008-H27014+H27013,MAX(0,H27086-Assumptions!$C$12*H26902-H26912-H26925-H26938-H26951-H26964-H26977-H26990-H27003))</f>
        <v>0</v>
      </c>
      <c r="I27016" s="16" t="n">
        <f aca="false">I27009*MIN(I27008-I27014+I27013,MAX(0,I27086-Assumptions!$C$12*I26902-I26912-I26925-I26938-I26951-I26964-I26977-I26990-I27003))</f>
        <v>0</v>
      </c>
      <c r="J27016" s="16" t="n">
        <f aca="false">J27009*MIN(J27008-J27014+J27013,MAX(0,J27086-Assumptions!$C$12*J26902-J26912-J26925-J26938-J26951-J26964-J26977-J26990-J27003))</f>
        <v>0</v>
      </c>
      <c r="K27016" s="16" t="n">
        <f aca="false">K27009*MIN(K27008-K27014+K27013,MAX(0,K27086-Assumptions!$C$12*K26902-K26912-K26925-K26938-K26951-K26964-K26977-K26990-K27003))</f>
        <v>0</v>
      </c>
    </row>
    <row r="27017" customFormat="false" ht="15" hidden="false" customHeight="false" outlineLevel="0" collapsed="false">
      <c r="A27017" s="3" t="s">
        <v>337</v>
      </c>
      <c r="G27017" s="16" t="n">
        <f aca="false">Assumptions!$N$65*MIN(G27008+G27015+G27013-G27014-G27016,MAX(0,G27090-G26913-G26926-G26939-G26952-G26965-G26978-G26991-G27004))</f>
        <v>0</v>
      </c>
      <c r="H27017" s="16" t="n">
        <f aca="false">Assumptions!$N$65*MIN(H27008+H27015+H27013-H27014-H27016,MAX(0,H27090-H26913-H26926-H26939-H26952-H26965-H26978-H26991-H27004))</f>
        <v>0</v>
      </c>
      <c r="I27017" s="16" t="n">
        <f aca="false">Assumptions!$N$65*MIN(I27008+I27015+I27013-I27014-I27016,MAX(0,I27090-I26913-I26926-I26939-I26952-I26965-I26978-I26991-I27004))</f>
        <v>0</v>
      </c>
      <c r="J27017" s="16" t="n">
        <f aca="false">Assumptions!$N$65*MIN(J27008+J27015+J27013-J27014-J27016,MAX(0,J27090-J26913-J26926-J26939-J26952-J26965-J26978-J26991-J27004))</f>
        <v>0</v>
      </c>
      <c r="K27017" s="16" t="n">
        <f aca="false">Assumptions!$N$65*MIN(K27008+K27015+K27013-K27014-K27016,MAX(0,K27090-K26913-K26926-K26939-K26952-K26965-K26978-K26991-K27004))</f>
        <v>0</v>
      </c>
    </row>
    <row r="27018" customFormat="false" ht="15" hidden="false" customHeight="false" outlineLevel="0" collapsed="false">
      <c r="A27018" s="3" t="s">
        <v>338</v>
      </c>
      <c r="G27018" s="16" t="n">
        <f aca="false">G27009*(1-G26902)*(G27008-G27014+G27013-G27016)</f>
        <v>0</v>
      </c>
      <c r="H27018" s="16" t="n">
        <f aca="false">H27009*(1-H26902)*(H27008-H27014+H27013-H27016)</f>
        <v>0</v>
      </c>
      <c r="I27018" s="16" t="n">
        <f aca="false">I27009*(1-I26902)*(I27008-I27014+I27013-I27016)</f>
        <v>0</v>
      </c>
      <c r="J27018" s="16" t="n">
        <f aca="false">J27009*(1-J26902)*(J27008-J27014+J27013-J27016)</f>
        <v>0</v>
      </c>
      <c r="K27018" s="16" t="n">
        <f aca="false">K27009*(1-K26902)*(K27008-K27014+K27013-K27016)</f>
        <v>300</v>
      </c>
    </row>
    <row r="27019" customFormat="false" ht="15" hidden="false" customHeight="false" outlineLevel="0" collapsed="false">
      <c r="A27019" s="2" t="s">
        <v>339</v>
      </c>
      <c r="F27019" s="28" t="n">
        <f aca="false">Assumptions!$C$65</f>
        <v>300</v>
      </c>
      <c r="G27019" s="17" t="n">
        <f aca="false">G27008+G27015+G27013-G27014-G27016-G27017</f>
        <v>300</v>
      </c>
      <c r="H27019" s="17" t="n">
        <f aca="false">H27008+H27015+H27013-H27014-H27016-H27017</f>
        <v>300</v>
      </c>
      <c r="I27019" s="17" t="n">
        <f aca="false">I27008+I27015+I27013-I27014-I27016-I27017</f>
        <v>300</v>
      </c>
      <c r="J27019" s="17" t="n">
        <f aca="false">J27008+J27015+J27013-J27014-J27016-J27017</f>
        <v>300</v>
      </c>
      <c r="K27019" s="17" t="n">
        <f aca="false">K27008+K27015+K27013-K27014-K27016-K27017</f>
        <v>300</v>
      </c>
    </row>
    <row r="27020" customFormat="false" ht="15" hidden="false" customHeight="false" outlineLevel="0" collapsed="false">
      <c r="A27020" s="24" t="s">
        <v>348</v>
      </c>
      <c r="B27020" s="25"/>
      <c r="C27020" s="25"/>
      <c r="D27020" s="25"/>
      <c r="E27020" s="25"/>
      <c r="F27020" s="25"/>
      <c r="G27020" s="25"/>
      <c r="H27020" s="25"/>
      <c r="I27020" s="25"/>
      <c r="J27020" s="25"/>
      <c r="K27020" s="25"/>
    </row>
    <row r="27021" customFormat="false" ht="15" hidden="false" customHeight="false" outlineLevel="0" collapsed="false">
      <c r="A27021" s="3" t="s">
        <v>329</v>
      </c>
      <c r="G27021" s="16" t="n">
        <f aca="false">F27032</f>
        <v>78.61</v>
      </c>
      <c r="H27021" s="16" t="n">
        <f aca="false">G27032</f>
        <v>78.61</v>
      </c>
      <c r="I27021" s="16" t="n">
        <f aca="false">H27032</f>
        <v>78.61</v>
      </c>
      <c r="J27021" s="16" t="n">
        <f aca="false">I27032</f>
        <v>78.61</v>
      </c>
      <c r="K27021" s="16" t="n">
        <f aca="false">J27032</f>
        <v>78.61</v>
      </c>
    </row>
    <row r="27022" customFormat="false" ht="15" hidden="false" customHeight="false" outlineLevel="0" collapsed="false">
      <c r="A27022" s="3" t="s">
        <v>330</v>
      </c>
      <c r="G27022" s="21" t="n">
        <f aca="false">IF(G26868=Assumptions!$K$66,1,0)</f>
        <v>0</v>
      </c>
      <c r="H27022" s="21" t="n">
        <f aca="false">IF(H26868=Assumptions!$K$66,1,0)</f>
        <v>0</v>
      </c>
      <c r="I27022" s="21" t="n">
        <f aca="false">IF(I26868=Assumptions!$K$66,1,0)</f>
        <v>0</v>
      </c>
      <c r="J27022" s="21" t="n">
        <f aca="false">IF(J26868=Assumptions!$K$66,1,0)</f>
        <v>0</v>
      </c>
      <c r="K27022" s="21" t="n">
        <f aca="false">IF(K26868=Assumptions!$K$66,1,0)</f>
        <v>0</v>
      </c>
    </row>
    <row r="27024" customFormat="false" ht="15" hidden="false" customHeight="false" outlineLevel="0" collapsed="false">
      <c r="A27024" s="3" t="s">
        <v>331</v>
      </c>
      <c r="G27024" s="31" t="n">
        <f aca="false">IF(Assumptions!$I$66=1,MAX(G26894,Assumptions!$G$66)+Assumptions!$F$66+$C$26895,Assumptions!$E$66)</f>
        <v>0.0791</v>
      </c>
      <c r="H27024" s="31" t="n">
        <f aca="false">IF(G27223=1,$C$26896,IF(Assumptions!$I$66=1,MAX(H26894,Assumptions!$G$66)+Assumptions!$F$66+$C$26895,Assumptions!$E$66))</f>
        <v>0.0776</v>
      </c>
      <c r="I27024" s="31" t="n">
        <f aca="false">IF(H27223=1,$C$26896,IF(Assumptions!$I$66=1,MAX(I26894,Assumptions!$G$66)+Assumptions!$F$66+$C$26895,Assumptions!$E$66))</f>
        <v>0.0751</v>
      </c>
      <c r="J27024" s="31" t="n">
        <f aca="false">IF(I27223=1,$C$26896,IF(Assumptions!$I$66=1,MAX(J26894,Assumptions!$G$66)+Assumptions!$F$66+$C$26895,Assumptions!$E$66))</f>
        <v>0.0751</v>
      </c>
      <c r="K27024" s="31" t="n">
        <f aca="false">IF(J27223=1,$C$26896,IF(Assumptions!$I$66=1,MAX(K26894,Assumptions!$G$66)+Assumptions!$F$66+$C$26895,Assumptions!$E$66))</f>
        <v>0.0751</v>
      </c>
    </row>
    <row r="27025" customFormat="false" ht="15" hidden="false" customHeight="false" outlineLevel="0" collapsed="false">
      <c r="A27025" s="3" t="s">
        <v>332</v>
      </c>
      <c r="G27025" s="16" t="n">
        <f aca="false">G27021*G27024</f>
        <v>6.218051</v>
      </c>
      <c r="H27025" s="16" t="n">
        <f aca="false">H27021*H27024</f>
        <v>6.100136</v>
      </c>
      <c r="I27025" s="16" t="n">
        <f aca="false">I27021*I27024</f>
        <v>5.903611</v>
      </c>
      <c r="J27025" s="16" t="n">
        <f aca="false">J27021*J27024</f>
        <v>5.903611</v>
      </c>
      <c r="K27025" s="16" t="n">
        <f aca="false">K27021*K27024</f>
        <v>5.903611</v>
      </c>
    </row>
    <row r="27026" customFormat="false" ht="15" hidden="false" customHeight="false" outlineLevel="0" collapsed="false">
      <c r="A27026" s="3" t="s">
        <v>333</v>
      </c>
      <c r="G27026" s="16" t="n">
        <f aca="false">G27021*Assumptions!$H$66</f>
        <v>0</v>
      </c>
      <c r="H27026" s="16" t="n">
        <f aca="false">H27021*Assumptions!$H$66</f>
        <v>0</v>
      </c>
      <c r="I27026" s="16" t="n">
        <f aca="false">I27021*Assumptions!$H$66</f>
        <v>0</v>
      </c>
      <c r="J27026" s="16" t="n">
        <f aca="false">J27021*Assumptions!$H$66</f>
        <v>0</v>
      </c>
      <c r="K27026" s="16" t="n">
        <f aca="false">K27021*Assumptions!$H$66</f>
        <v>0</v>
      </c>
    </row>
    <row r="27027" customFormat="false" ht="15" hidden="false" customHeight="false" outlineLevel="0" collapsed="false">
      <c r="A27027" s="3" t="s">
        <v>334</v>
      </c>
      <c r="G27027" s="16" t="n">
        <f aca="false">MIN(G27021,Assumptions!$L$66*Assumptions!$C$66)</f>
        <v>0</v>
      </c>
      <c r="H27027" s="16" t="n">
        <f aca="false">MIN(H27021,Assumptions!$L$66*Assumptions!$C$66)</f>
        <v>0</v>
      </c>
      <c r="I27027" s="16" t="n">
        <f aca="false">MIN(I27021,Assumptions!$L$66*Assumptions!$C$66)</f>
        <v>0</v>
      </c>
      <c r="J27027" s="16" t="n">
        <f aca="false">MIN(J27021,Assumptions!$L$66*Assumptions!$C$66)</f>
        <v>0</v>
      </c>
      <c r="K27027" s="16" t="n">
        <f aca="false">MIN(K27021,Assumptions!$L$66*Assumptions!$C$66)</f>
        <v>0</v>
      </c>
    </row>
    <row r="27028" customFormat="false" ht="15" hidden="false" customHeight="false" outlineLevel="0" collapsed="false">
      <c r="A27028" s="3" t="s">
        <v>335</v>
      </c>
      <c r="G27028" s="16" t="n">
        <f aca="false">IF(AND(Assumptions!$P$66=1,G26868&lt;Assumptions!$K$66),MIN(MAX(0,-G27084),MAX(0,Assumptions!$D$66-G27021)),0)</f>
        <v>0</v>
      </c>
      <c r="H27028" s="16" t="n">
        <f aca="false">IF(AND(Assumptions!$P$66=1,OR(H26868&lt;Assumptions!$K$66,G27223=1)),MIN(MAX(0,-H27084),MAX(0,Assumptions!$D$66-H27021)),0)</f>
        <v>0</v>
      </c>
      <c r="I27028" s="16" t="n">
        <f aca="false">IF(AND(Assumptions!$P$66=1,OR(I26868&lt;Assumptions!$K$66,H27223=1)),MIN(MAX(0,-I27084),MAX(0,Assumptions!$D$66-I27021)),0)</f>
        <v>0</v>
      </c>
      <c r="J27028" s="16" t="n">
        <f aca="false">IF(AND(Assumptions!$P$66=1,OR(J26868&lt;Assumptions!$K$66,I27223=1)),MIN(MAX(0,-J27084),MAX(0,Assumptions!$D$66-J27021)),0)</f>
        <v>0</v>
      </c>
      <c r="K27028" s="16" t="n">
        <f aca="false">IF(AND(Assumptions!$P$66=1,OR(K26868&lt;Assumptions!$K$66,J27223=1)),MIN(MAX(0,-K27084),MAX(0,Assumptions!$D$66-K27021)),0)</f>
        <v>0</v>
      </c>
    </row>
    <row r="27029" customFormat="false" ht="15" hidden="false" customHeight="false" outlineLevel="0" collapsed="false">
      <c r="A27029" s="3" t="s">
        <v>336</v>
      </c>
      <c r="G27029" s="16" t="n">
        <f aca="false">G27022*MIN(G27021-G27027+G27026,MAX(0,G27086-Assumptions!$C$12*G26902-G26912-G26925-G26938-G26951-G26964-G26977-G26990-G27003-G27016))</f>
        <v>0</v>
      </c>
      <c r="H27029" s="16" t="n">
        <f aca="false">H27022*MIN(H27021-H27027+H27026,MAX(0,H27086-Assumptions!$C$12*H26902-H26912-H26925-H26938-H26951-H26964-H26977-H26990-H27003-H27016))</f>
        <v>0</v>
      </c>
      <c r="I27029" s="16" t="n">
        <f aca="false">I27022*MIN(I27021-I27027+I27026,MAX(0,I27086-Assumptions!$C$12*I26902-I26912-I26925-I26938-I26951-I26964-I26977-I26990-I27003-I27016))</f>
        <v>0</v>
      </c>
      <c r="J27029" s="16" t="n">
        <f aca="false">J27022*MIN(J27021-J27027+J27026,MAX(0,J27086-Assumptions!$C$12*J26902-J26912-J26925-J26938-J26951-J26964-J26977-J26990-J27003-J27016))</f>
        <v>0</v>
      </c>
      <c r="K27029" s="16" t="n">
        <f aca="false">K27022*MIN(K27021-K27027+K27026,MAX(0,K27086-Assumptions!$C$12*K26902-K26912-K26925-K26938-K26951-K26964-K26977-K26990-K27003-K27016))</f>
        <v>0</v>
      </c>
    </row>
    <row r="27030" customFormat="false" ht="15" hidden="false" customHeight="false" outlineLevel="0" collapsed="false">
      <c r="A27030" s="3" t="s">
        <v>337</v>
      </c>
      <c r="G27030" s="16" t="n">
        <f aca="false">Assumptions!$N$66*MIN(G27021+G27028+G27026-G27027-G27029,MAX(0,G27090-G26913-G26926-G26939-G26952-G26965-G26978-G26991-G27004-G27017))</f>
        <v>0</v>
      </c>
      <c r="H27030" s="16" t="n">
        <f aca="false">Assumptions!$N$66*MIN(H27021+H27028+H27026-H27027-H27029,MAX(0,H27090-H26913-H26926-H26939-H26952-H26965-H26978-H26991-H27004-H27017))</f>
        <v>0</v>
      </c>
      <c r="I27030" s="16" t="n">
        <f aca="false">Assumptions!$N$66*MIN(I27021+I27028+I27026-I27027-I27029,MAX(0,I27090-I26913-I26926-I26939-I26952-I26965-I26978-I26991-I27004-I27017))</f>
        <v>0</v>
      </c>
      <c r="J27030" s="16" t="n">
        <f aca="false">Assumptions!$N$66*MIN(J27021+J27028+J27026-J27027-J27029,MAX(0,J27090-J26913-J26926-J26939-J26952-J26965-J26978-J26991-J27004-J27017))</f>
        <v>0</v>
      </c>
      <c r="K27030" s="16" t="n">
        <f aca="false">Assumptions!$N$66*MIN(K27021+K27028+K27026-K27027-K27029,MAX(0,K27090-K26913-K26926-K26939-K26952-K26965-K26978-K26991-K27004-K27017))</f>
        <v>0</v>
      </c>
    </row>
    <row r="27031" customFormat="false" ht="15" hidden="false" customHeight="false" outlineLevel="0" collapsed="false">
      <c r="A27031" s="3" t="s">
        <v>338</v>
      </c>
      <c r="G27031" s="16" t="n">
        <f aca="false">G27022*(1-G26902)*(G27021-G27027+G27026-G27029)</f>
        <v>0</v>
      </c>
      <c r="H27031" s="16" t="n">
        <f aca="false">H27022*(1-H26902)*(H27021-H27027+H27026-H27029)</f>
        <v>0</v>
      </c>
      <c r="I27031" s="16" t="n">
        <f aca="false">I27022*(1-I26902)*(I27021-I27027+I27026-I27029)</f>
        <v>0</v>
      </c>
      <c r="J27031" s="16" t="n">
        <f aca="false">J27022*(1-J26902)*(J27021-J27027+J27026-J27029)</f>
        <v>0</v>
      </c>
      <c r="K27031" s="16" t="n">
        <f aca="false">K27022*(1-K26902)*(K27021-K27027+K27026-K27029)</f>
        <v>0</v>
      </c>
    </row>
    <row r="27032" customFormat="false" ht="15" hidden="false" customHeight="false" outlineLevel="0" collapsed="false">
      <c r="A27032" s="2" t="s">
        <v>339</v>
      </c>
      <c r="F27032" s="28" t="n">
        <f aca="false">Assumptions!$C$66</f>
        <v>78.61</v>
      </c>
      <c r="G27032" s="17" t="n">
        <f aca="false">G27021+G27028+G27026-G27027-G27029-G27030</f>
        <v>78.61</v>
      </c>
      <c r="H27032" s="17" t="n">
        <f aca="false">H27021+H27028+H27026-H27027-H27029-H27030</f>
        <v>78.61</v>
      </c>
      <c r="I27032" s="17" t="n">
        <f aca="false">I27021+I27028+I27026-I27027-I27029-I27030</f>
        <v>78.61</v>
      </c>
      <c r="J27032" s="17" t="n">
        <f aca="false">J27021+J27028+J27026-J27027-J27029-J27030</f>
        <v>78.61</v>
      </c>
      <c r="K27032" s="17" t="n">
        <f aca="false">K27021+K27028+K27026-K27027-K27029-K27030</f>
        <v>78.61</v>
      </c>
    </row>
    <row r="27033" customFormat="false" ht="15" hidden="false" customHeight="false" outlineLevel="0" collapsed="false">
      <c r="A27033" s="24" t="s">
        <v>349</v>
      </c>
      <c r="B27033" s="25"/>
      <c r="C27033" s="25"/>
      <c r="D27033" s="25"/>
      <c r="E27033" s="25"/>
      <c r="F27033" s="25"/>
      <c r="G27033" s="25"/>
      <c r="H27033" s="25"/>
      <c r="I27033" s="25"/>
      <c r="J27033" s="25"/>
      <c r="K27033" s="25"/>
    </row>
    <row r="27034" customFormat="false" ht="15" hidden="false" customHeight="false" outlineLevel="0" collapsed="false">
      <c r="A27034" s="2" t="s">
        <v>350</v>
      </c>
      <c r="F27034" s="17" t="n">
        <f aca="false">F26915+F26928+F26941+F26954+F26967+F26980+F26993+F27006+F27019+F27032</f>
        <v>2625.934</v>
      </c>
      <c r="G27034" s="17" t="n">
        <f aca="false">G26915+G26928+G26941+G26954+G26967+G26980+G26993+G27006+G27019+G27032</f>
        <v>2621.934</v>
      </c>
      <c r="H27034" s="17" t="n">
        <f aca="false">H26915+H26928+H26941+H26954+H26967+H26980+H26993+H27006+H27019+H27032</f>
        <v>2578.912557881</v>
      </c>
      <c r="I27034" s="17" t="n">
        <f aca="false">I26915+I26928+I26941+I26954+I26967+I26980+I26993+I27006+I27019+I27032</f>
        <v>2574.912557881</v>
      </c>
      <c r="J27034" s="17" t="n">
        <f aca="false">J26915+J26928+J26941+J26954+J26967+J26980+J26993+J27006+J27019+J27032</f>
        <v>2570.912557881</v>
      </c>
      <c r="K27034" s="17" t="n">
        <f aca="false">K26915+K26928+K26941+K26954+K26967+K26980+K26993+K27006+K27019+K27032</f>
        <v>2566.912557881</v>
      </c>
    </row>
    <row r="27035" customFormat="false" ht="15" hidden="false" customHeight="false" outlineLevel="0" collapsed="false">
      <c r="A27035" s="3" t="s">
        <v>351</v>
      </c>
      <c r="G27035" s="16" t="n">
        <f aca="false">G26905*Assumptions!$C$57+G26918*Assumptions!$C$58+G26931*Assumptions!$C$59+G26944*Assumptions!$C$60+G26957*Assumptions!$C$61+G26970*Assumptions!$C$62+G26983*Assumptions!$C$63+G26996*Assumptions!$C$64+G27009*Assumptions!$C$65+G27022*Assumptions!$C$66</f>
        <v>0</v>
      </c>
      <c r="H27035" s="16" t="n">
        <f aca="false">H26905*Assumptions!$C$57+H26918*Assumptions!$C$58+H26931*Assumptions!$C$59+H26944*Assumptions!$C$60+H26957*Assumptions!$C$61+H26970*Assumptions!$C$62+H26983*Assumptions!$C$63+H26996*Assumptions!$C$64+H27009*Assumptions!$C$65+H27022*Assumptions!$C$66</f>
        <v>800</v>
      </c>
      <c r="I27035" s="16" t="n">
        <f aca="false">I26905*Assumptions!$C$57+I26918*Assumptions!$C$58+I26931*Assumptions!$C$59+I26944*Assumptions!$C$60+I26957*Assumptions!$C$61+I26970*Assumptions!$C$62+I26983*Assumptions!$C$63+I26996*Assumptions!$C$64+I27009*Assumptions!$C$65+I27022*Assumptions!$C$66</f>
        <v>550</v>
      </c>
      <c r="J27035" s="16" t="n">
        <f aca="false">J26905*Assumptions!$C$57+J26918*Assumptions!$C$58+J26931*Assumptions!$C$59+J26944*Assumptions!$C$60+J26957*Assumptions!$C$61+J26970*Assumptions!$C$62+J26983*Assumptions!$C$63+J26996*Assumptions!$C$64+J27009*Assumptions!$C$65+J27022*Assumptions!$C$66</f>
        <v>350</v>
      </c>
      <c r="K27035" s="16" t="n">
        <f aca="false">K26905*Assumptions!$C$57+K26918*Assumptions!$C$58+K26931*Assumptions!$C$59+K26944*Assumptions!$C$60+K26957*Assumptions!$C$61+K26970*Assumptions!$C$62+K26983*Assumptions!$C$63+K26996*Assumptions!$C$64+K27009*Assumptions!$C$65+K27022*Assumptions!$C$66</f>
        <v>700</v>
      </c>
    </row>
    <row r="27036" customFormat="false" ht="15" hidden="false" customHeight="false" outlineLevel="0" collapsed="false">
      <c r="A27036" s="24" t="s">
        <v>352</v>
      </c>
      <c r="B27036" s="25"/>
      <c r="C27036" s="25"/>
      <c r="D27036" s="25"/>
      <c r="E27036" s="25"/>
      <c r="F27036" s="25"/>
      <c r="G27036" s="25"/>
      <c r="H27036" s="25"/>
      <c r="I27036" s="25"/>
      <c r="J27036" s="25"/>
      <c r="K27036" s="25"/>
    </row>
    <row r="27037" customFormat="false" ht="15" hidden="false" customHeight="false" outlineLevel="0" collapsed="false">
      <c r="A27037" s="3" t="s">
        <v>353</v>
      </c>
      <c r="C27037" s="16" t="n">
        <f aca="false">SUMPRODUCT($G$26905:$K$26905,$G$26904:$K$26904-$G$26910:$K$26910+$G$26909:$K$26909)</f>
        <v>380</v>
      </c>
    </row>
    <row r="27038" customFormat="false" ht="15" hidden="false" customHeight="false" outlineLevel="0" collapsed="false">
      <c r="A27038" s="3" t="s">
        <v>354</v>
      </c>
      <c r="C27038" s="16" t="n">
        <f aca="false">SUMPRODUCT($G$26905:$K$26905,$G$26912:$K$26912)</f>
        <v>0</v>
      </c>
    </row>
    <row r="27039" customFormat="false" ht="15" hidden="false" customHeight="false" outlineLevel="0" collapsed="false">
      <c r="A27039" s="3" t="s">
        <v>355</v>
      </c>
      <c r="C27039" s="3" t="str">
        <f aca="false">IF(SUM($G$26905:$K$26905)=0,"n/a (beyond horizon)",IF(SUMPRODUCT($G$26905:$K$26905,$G$26902:$K$26902)&gt;0,"REFINANCING PASS","REFINANCING FAILURE"))</f>
        <v>REFINANCING FAILURE</v>
      </c>
    </row>
    <row r="27040" customFormat="false" ht="15" hidden="false" customHeight="false" outlineLevel="0" collapsed="false">
      <c r="A27040" s="3" t="s">
        <v>356</v>
      </c>
      <c r="C27040" s="3" t="str">
        <f aca="false">IF(SUM($G$26905:$K$26905)=0,"n/a",IF(C27038&gt;=C27037-0.001,"Repaid from cash",IF(SUMPRODUCT($G$26905:$K$26905,$G$26902:$K$26902)&gt;0,IF(C27038&gt;0,"Partly repaid; remainder refinanced","Refinanced"),IF(SUM($G$26914:$K$26914)&gt;0.001,IF(C27038&gt;0,"Partial repayment; PAYMENT DEFAULT","PAYMENT DEFAULT"),"Repaid from cash"))))</f>
        <v>PAYMENT DEFAULT</v>
      </c>
    </row>
    <row r="27041" customFormat="false" ht="15" hidden="false" customHeight="false" outlineLevel="0" collapsed="false">
      <c r="A27041" s="3" t="s">
        <v>357</v>
      </c>
      <c r="C27041" s="16" t="n">
        <f aca="false">SUMPRODUCT($G$26918:$K$26918,$G$26917:$K$26917-$G$26923:$K$26923+$G$26922:$K$26922)</f>
        <v>0</v>
      </c>
    </row>
    <row r="27042" customFormat="false" ht="15" hidden="false" customHeight="false" outlineLevel="0" collapsed="false">
      <c r="A27042" s="3" t="s">
        <v>358</v>
      </c>
      <c r="C27042" s="16" t="n">
        <f aca="false">SUMPRODUCT($G$26918:$K$26918,$G$26925:$K$26925)</f>
        <v>0</v>
      </c>
    </row>
    <row r="27043" customFormat="false" ht="15" hidden="false" customHeight="false" outlineLevel="0" collapsed="false">
      <c r="A27043" s="3" t="s">
        <v>359</v>
      </c>
      <c r="C27043" s="3" t="str">
        <f aca="false">IF(SUM($G$26918:$K$26918)=0,"n/a (beyond horizon)",IF(SUMPRODUCT($G$26918:$K$26918,$G$26902:$K$26902)&gt;0,"REFINANCING PASS","REFINANCING FAILURE"))</f>
        <v>n/a (beyond horizon)</v>
      </c>
    </row>
    <row r="27044" customFormat="false" ht="15" hidden="false" customHeight="false" outlineLevel="0" collapsed="false">
      <c r="A27044" s="3" t="s">
        <v>360</v>
      </c>
      <c r="C27044" s="3" t="str">
        <f aca="false">IF(SUM($G$26918:$K$26918)=0,"n/a",IF(C27042&gt;=C27041-0.001,"Repaid from cash",IF(SUMPRODUCT($G$26918:$K$26918,$G$26902:$K$26902)&gt;0,IF(C27042&gt;0,"Partly repaid; remainder refinanced","Refinanced"),IF(SUM($G$26927:$K$26927)&gt;0.001,IF(C27042&gt;0,"Partial repayment; PAYMENT DEFAULT","PAYMENT DEFAULT"),"Repaid from cash"))))</f>
        <v>n/a</v>
      </c>
    </row>
    <row r="27045" customFormat="false" ht="15" hidden="false" customHeight="false" outlineLevel="0" collapsed="false">
      <c r="A27045" s="3" t="s">
        <v>361</v>
      </c>
      <c r="C27045" s="16" t="n">
        <f aca="false">SUMPRODUCT($G$26931:$K$26931,$G$26930:$K$26930-$G$26936:$K$26936+$G$26935:$K$26935)</f>
        <v>0</v>
      </c>
    </row>
    <row r="27046" customFormat="false" ht="15" hidden="false" customHeight="false" outlineLevel="0" collapsed="false">
      <c r="A27046" s="3" t="s">
        <v>362</v>
      </c>
      <c r="C27046" s="16" t="n">
        <f aca="false">SUMPRODUCT($G$26931:$K$26931,$G$26938:$K$26938)</f>
        <v>0</v>
      </c>
    </row>
    <row r="27047" customFormat="false" ht="15" hidden="false" customHeight="false" outlineLevel="0" collapsed="false">
      <c r="A27047" s="3" t="s">
        <v>363</v>
      </c>
      <c r="C27047" s="3" t="str">
        <f aca="false">IF(SUM($G$26931:$K$26931)=0,"n/a (beyond horizon)",IF(SUMPRODUCT($G$26931:$K$26931,$G$26902:$K$26902)&gt;0,"REFINANCING PASS","REFINANCING FAILURE"))</f>
        <v>n/a (beyond horizon)</v>
      </c>
    </row>
    <row r="27048" customFormat="false" ht="15" hidden="false" customHeight="false" outlineLevel="0" collapsed="false">
      <c r="A27048" s="3" t="s">
        <v>364</v>
      </c>
      <c r="C27048" s="3" t="str">
        <f aca="false">IF(SUM($G$26931:$K$26931)=0,"n/a",IF(C27046&gt;=C27045-0.001,"Repaid from cash",IF(SUMPRODUCT($G$26931:$K$26931,$G$26902:$K$26902)&gt;0,IF(C27046&gt;0,"Partly repaid; remainder refinanced","Refinanced"),IF(SUM($G$26940:$K$26940)&gt;0.001,IF(C27046&gt;0,"Partial repayment; PAYMENT DEFAULT","PAYMENT DEFAULT"),"Repaid from cash"))))</f>
        <v>n/a</v>
      </c>
    </row>
    <row r="27049" customFormat="false" ht="15" hidden="false" customHeight="false" outlineLevel="0" collapsed="false">
      <c r="A27049" s="3" t="s">
        <v>365</v>
      </c>
      <c r="C27049" s="16" t="n">
        <f aca="false">SUMPRODUCT($G$26944:$K$26944,$G$26943:$K$26943-$G$26949:$K$26949+$G$26948:$K$26948)</f>
        <v>0</v>
      </c>
    </row>
    <row r="27050" customFormat="false" ht="15" hidden="false" customHeight="false" outlineLevel="0" collapsed="false">
      <c r="A27050" s="3" t="s">
        <v>366</v>
      </c>
      <c r="C27050" s="16" t="n">
        <f aca="false">SUMPRODUCT($G$26944:$K$26944,$G$26951:$K$26951)</f>
        <v>0</v>
      </c>
    </row>
    <row r="27051" customFormat="false" ht="15" hidden="false" customHeight="false" outlineLevel="0" collapsed="false">
      <c r="A27051" s="3" t="s">
        <v>367</v>
      </c>
      <c r="C27051" s="3" t="str">
        <f aca="false">IF(SUM($G$26944:$K$26944)=0,"n/a (beyond horizon)",IF(SUMPRODUCT($G$26944:$K$26944,$G$26902:$K$26902)&gt;0,"REFINANCING PASS","REFINANCING FAILURE"))</f>
        <v>REFINANCING FAILURE</v>
      </c>
    </row>
    <row r="27052" customFormat="false" ht="15" hidden="false" customHeight="false" outlineLevel="0" collapsed="false">
      <c r="A27052" s="3" t="s">
        <v>368</v>
      </c>
      <c r="C27052" s="3" t="str">
        <f aca="false">IF(SUM($G$26944:$K$26944)=0,"n/a",IF(C27050&gt;=C27049-0.001,"Repaid from cash",IF(SUMPRODUCT($G$26944:$K$26944,$G$26902:$K$26902)&gt;0,IF(C27050&gt;0,"Partly repaid; remainder refinanced","Refinanced"),IF(SUM($G$26953:$K$26953)&gt;0.001,IF(C27050&gt;0,"Partial repayment; PAYMENT DEFAULT","PAYMENT DEFAULT"),"Repaid from cash"))))</f>
        <v>Repaid from cash</v>
      </c>
    </row>
    <row r="27053" customFormat="false" ht="15" hidden="false" customHeight="false" outlineLevel="0" collapsed="false">
      <c r="A27053" s="3" t="s">
        <v>369</v>
      </c>
      <c r="C27053" s="16" t="n">
        <f aca="false">SUMPRODUCT($G$26957:$K$26957,$G$26956:$K$26956-$G$26962:$K$26962+$G$26961:$K$26961)</f>
        <v>450</v>
      </c>
    </row>
    <row r="27054" customFormat="false" ht="15" hidden="false" customHeight="false" outlineLevel="0" collapsed="false">
      <c r="A27054" s="3" t="s">
        <v>370</v>
      </c>
      <c r="C27054" s="16" t="n">
        <f aca="false">SUMPRODUCT($G$26957:$K$26957,$G$26964:$K$26964)</f>
        <v>39.021442119</v>
      </c>
    </row>
    <row r="27055" customFormat="false" ht="15" hidden="false" customHeight="false" outlineLevel="0" collapsed="false">
      <c r="A27055" s="3" t="s">
        <v>371</v>
      </c>
      <c r="C27055" s="3" t="str">
        <f aca="false">IF(SUM($G$26957:$K$26957)=0,"n/a (beyond horizon)",IF(SUMPRODUCT($G$26957:$K$26957,$G$26902:$K$26902)&gt;0,"REFINANCING PASS","REFINANCING FAILURE"))</f>
        <v>REFINANCING FAILURE</v>
      </c>
    </row>
    <row r="27056" customFormat="false" ht="15" hidden="false" customHeight="false" outlineLevel="0" collapsed="false">
      <c r="A27056" s="3" t="s">
        <v>372</v>
      </c>
      <c r="C27056" s="3" t="str">
        <f aca="false">IF(SUM($G$26957:$K$26957)=0,"n/a",IF(C27054&gt;=C27053-0.001,"Repaid from cash",IF(SUMPRODUCT($G$26957:$K$26957,$G$26902:$K$26902)&gt;0,IF(C27054&gt;0,"Partly repaid; remainder refinanced","Refinanced"),IF(SUM($G$26966:$K$26966)&gt;0.001,IF(C27054&gt;0,"Partial repayment; PAYMENT DEFAULT","PAYMENT DEFAULT"),"Repaid from cash"))))</f>
        <v>Partial repayment; PAYMENT DEFAULT</v>
      </c>
    </row>
    <row r="27057" customFormat="false" ht="15" hidden="false" customHeight="false" outlineLevel="0" collapsed="false">
      <c r="A27057" s="3" t="s">
        <v>373</v>
      </c>
      <c r="C27057" s="16" t="n">
        <f aca="false">SUMPRODUCT($G$26970:$K$26970,$G$26969:$K$26969-$G$26975:$K$26975+$G$26974:$K$26974)</f>
        <v>350</v>
      </c>
    </row>
    <row r="27058" customFormat="false" ht="15" hidden="false" customHeight="false" outlineLevel="0" collapsed="false">
      <c r="A27058" s="3" t="s">
        <v>374</v>
      </c>
      <c r="C27058" s="16" t="n">
        <f aca="false">SUMPRODUCT($G$26970:$K$26970,$G$26977:$K$26977)</f>
        <v>0</v>
      </c>
    </row>
    <row r="27059" customFormat="false" ht="15" hidden="false" customHeight="false" outlineLevel="0" collapsed="false">
      <c r="A27059" s="3" t="s">
        <v>375</v>
      </c>
      <c r="C27059" s="3" t="str">
        <f aca="false">IF(SUM($G$26970:$K$26970)=0,"n/a (beyond horizon)",IF(SUMPRODUCT($G$26970:$K$26970,$G$26902:$K$26902)&gt;0,"REFINANCING PASS","REFINANCING FAILURE"))</f>
        <v>REFINANCING FAILURE</v>
      </c>
    </row>
    <row r="27060" customFormat="false" ht="15" hidden="false" customHeight="false" outlineLevel="0" collapsed="false">
      <c r="A27060" s="3" t="s">
        <v>376</v>
      </c>
      <c r="C27060" s="3" t="str">
        <f aca="false">IF(SUM($G$26970:$K$26970)=0,"n/a",IF(C27058&gt;=C27057-0.001,"Repaid from cash",IF(SUMPRODUCT($G$26970:$K$26970,$G$26902:$K$26902)&gt;0,IF(C27058&gt;0,"Partly repaid; remainder refinanced","Refinanced"),IF(SUM($G$26979:$K$26979)&gt;0.001,IF(C27058&gt;0,"Partial repayment; PAYMENT DEFAULT","PAYMENT DEFAULT"),"Repaid from cash"))))</f>
        <v>PAYMENT DEFAULT</v>
      </c>
    </row>
    <row r="27061" customFormat="false" ht="15" hidden="false" customHeight="false" outlineLevel="0" collapsed="false">
      <c r="A27061" s="3" t="s">
        <v>377</v>
      </c>
      <c r="C27061" s="16" t="n">
        <f aca="false">SUMPRODUCT($G$26983:$K$26983,$G$26982:$K$26982-$G$26988:$K$26988+$G$26987:$K$26987)</f>
        <v>550</v>
      </c>
    </row>
    <row r="27062" customFormat="false" ht="15" hidden="false" customHeight="false" outlineLevel="0" collapsed="false">
      <c r="A27062" s="3" t="s">
        <v>378</v>
      </c>
      <c r="C27062" s="16" t="n">
        <f aca="false">SUMPRODUCT($G$26983:$K$26983,$G$26990:$K$26990)</f>
        <v>0</v>
      </c>
    </row>
    <row r="27063" customFormat="false" ht="15" hidden="false" customHeight="false" outlineLevel="0" collapsed="false">
      <c r="A27063" s="3" t="s">
        <v>379</v>
      </c>
      <c r="C27063" s="3" t="str">
        <f aca="false">IF(SUM($G$26983:$K$26983)=0,"n/a (beyond horizon)",IF(SUMPRODUCT($G$26983:$K$26983,$G$26902:$K$26902)&gt;0,"REFINANCING PASS","REFINANCING FAILURE"))</f>
        <v>REFINANCING FAILURE</v>
      </c>
    </row>
    <row r="27064" customFormat="false" ht="15" hidden="false" customHeight="false" outlineLevel="0" collapsed="false">
      <c r="A27064" s="3" t="s">
        <v>380</v>
      </c>
      <c r="C27064" s="3" t="str">
        <f aca="false">IF(SUM($G$26983:$K$26983)=0,"n/a",IF(C27062&gt;=C27061-0.001,"Repaid from cash",IF(SUMPRODUCT($G$26983:$K$26983,$G$26902:$K$26902)&gt;0,IF(C27062&gt;0,"Partly repaid; remainder refinanced","Refinanced"),IF(SUM($G$26992:$K$26992)&gt;0.001,IF(C27062&gt;0,"Partial repayment; PAYMENT DEFAULT","PAYMENT DEFAULT"),"Repaid from cash"))))</f>
        <v>PAYMENT DEFAULT</v>
      </c>
    </row>
    <row r="27065" customFormat="false" ht="15" hidden="false" customHeight="false" outlineLevel="0" collapsed="false">
      <c r="A27065" s="3" t="s">
        <v>381</v>
      </c>
      <c r="C27065" s="16" t="n">
        <f aca="false">SUMPRODUCT($G$26996:$K$26996,$G$26995:$K$26995-$G$27001:$K$27001+$G$27000:$K$27000)</f>
        <v>350</v>
      </c>
    </row>
    <row r="27066" customFormat="false" ht="15" hidden="false" customHeight="false" outlineLevel="0" collapsed="false">
      <c r="A27066" s="3" t="s">
        <v>382</v>
      </c>
      <c r="C27066" s="16" t="n">
        <f aca="false">SUMPRODUCT($G$26996:$K$26996,$G$27003:$K$27003)</f>
        <v>0</v>
      </c>
    </row>
    <row r="27067" customFormat="false" ht="15" hidden="false" customHeight="false" outlineLevel="0" collapsed="false">
      <c r="A27067" s="3" t="s">
        <v>383</v>
      </c>
      <c r="C27067" s="3" t="str">
        <f aca="false">IF(SUM($G$26996:$K$26996)=0,"n/a (beyond horizon)",IF(SUMPRODUCT($G$26996:$K$26996,$G$26902:$K$26902)&gt;0,"REFINANCING PASS","REFINANCING FAILURE"))</f>
        <v>REFINANCING FAILURE</v>
      </c>
    </row>
    <row r="27068" customFormat="false" ht="15" hidden="false" customHeight="false" outlineLevel="0" collapsed="false">
      <c r="A27068" s="3" t="s">
        <v>384</v>
      </c>
      <c r="C27068" s="3" t="str">
        <f aca="false">IF(SUM($G$26996:$K$26996)=0,"n/a",IF(C27066&gt;=C27065-0.001,"Repaid from cash",IF(SUMPRODUCT($G$26996:$K$26996,$G$26902:$K$26902)&gt;0,IF(C27066&gt;0,"Partly repaid; remainder refinanced","Refinanced"),IF(SUM($G$27005:$K$27005)&gt;0.001,IF(C27066&gt;0,"Partial repayment; PAYMENT DEFAULT","PAYMENT DEFAULT"),"Repaid from cash"))))</f>
        <v>PAYMENT DEFAULT</v>
      </c>
    </row>
    <row r="27069" customFormat="false" ht="15" hidden="false" customHeight="false" outlineLevel="0" collapsed="false">
      <c r="A27069" s="3" t="s">
        <v>385</v>
      </c>
      <c r="C27069" s="16" t="n">
        <f aca="false">SUMPRODUCT($G$27009:$K$27009,$G$27008:$K$27008-$G$27014:$K$27014+$G$27013:$K$27013)</f>
        <v>300</v>
      </c>
    </row>
    <row r="27070" customFormat="false" ht="15" hidden="false" customHeight="false" outlineLevel="0" collapsed="false">
      <c r="A27070" s="3" t="s">
        <v>386</v>
      </c>
      <c r="C27070" s="16" t="n">
        <f aca="false">SUMPRODUCT($G$27009:$K$27009,$G$27016:$K$27016)</f>
        <v>0</v>
      </c>
    </row>
    <row r="27071" customFormat="false" ht="15" hidden="false" customHeight="false" outlineLevel="0" collapsed="false">
      <c r="A27071" s="3" t="s">
        <v>387</v>
      </c>
      <c r="C27071" s="3" t="str">
        <f aca="false">IF(SUM($G$27009:$K$27009)=0,"n/a (beyond horizon)",IF(SUMPRODUCT($G$27009:$K$27009,$G$26902:$K$26902)&gt;0,"REFINANCING PASS","REFINANCING FAILURE"))</f>
        <v>REFINANCING FAILURE</v>
      </c>
    </row>
    <row r="27072" customFormat="false" ht="15" hidden="false" customHeight="false" outlineLevel="0" collapsed="false">
      <c r="A27072" s="3" t="s">
        <v>388</v>
      </c>
      <c r="C27072" s="3" t="str">
        <f aca="false">IF(SUM($G$27009:$K$27009)=0,"n/a",IF(C27070&gt;=C27069-0.001,"Repaid from cash",IF(SUMPRODUCT($G$27009:$K$27009,$G$26902:$K$26902)&gt;0,IF(C27070&gt;0,"Partly repaid; remainder refinanced","Refinanced"),IF(SUM($G$27018:$K$27018)&gt;0.001,IF(C27070&gt;0,"Partial repayment; PAYMENT DEFAULT","PAYMENT DEFAULT"),"Repaid from cash"))))</f>
        <v>PAYMENT DEFAULT</v>
      </c>
    </row>
    <row r="27073" customFormat="false" ht="15" hidden="false" customHeight="false" outlineLevel="0" collapsed="false">
      <c r="A27073" s="3" t="s">
        <v>389</v>
      </c>
      <c r="C27073" s="16" t="n">
        <f aca="false">SUMPRODUCT($G$27022:$K$27022,$G$27021:$K$27021-$G$27027:$K$27027+$G$27026:$K$27026)</f>
        <v>0</v>
      </c>
    </row>
    <row r="27074" customFormat="false" ht="15" hidden="false" customHeight="false" outlineLevel="0" collapsed="false">
      <c r="A27074" s="3" t="s">
        <v>390</v>
      </c>
      <c r="C27074" s="16" t="n">
        <f aca="false">SUMPRODUCT($G$27022:$K$27022,$G$27029:$K$27029)</f>
        <v>0</v>
      </c>
    </row>
    <row r="27075" customFormat="false" ht="15" hidden="false" customHeight="false" outlineLevel="0" collapsed="false">
      <c r="A27075" s="3" t="s">
        <v>391</v>
      </c>
      <c r="C27075" s="3" t="str">
        <f aca="false">IF(SUM($G$27022:$K$27022)=0,"n/a (beyond horizon)",IF(SUMPRODUCT($G$27022:$K$27022,$G$26902:$K$26902)&gt;0,"REFINANCING PASS","REFINANCING FAILURE"))</f>
        <v>n/a (beyond horizon)</v>
      </c>
    </row>
    <row r="27076" customFormat="false" ht="15" hidden="false" customHeight="false" outlineLevel="0" collapsed="false">
      <c r="A27076" s="3" t="s">
        <v>392</v>
      </c>
      <c r="C27076" s="3" t="str">
        <f aca="false">IF(SUM($G$27022:$K$27022)=0,"n/a",IF(C27074&gt;=C27073-0.001,"Repaid from cash",IF(SUMPRODUCT($G$27022:$K$27022,$G$26902:$K$26902)&gt;0,IF(C27074&gt;0,"Partly repaid; remainder refinanced","Refinanced"),IF(SUM($G$27031:$K$27031)&gt;0.001,IF(C27074&gt;0,"Partial repayment; PAYMENT DEFAULT","PAYMENT DEFAULT"),"Repaid from cash"))))</f>
        <v>n/a</v>
      </c>
    </row>
    <row r="27077" customFormat="false" ht="15" hidden="false" customHeight="false" outlineLevel="0" collapsed="false">
      <c r="A27077" s="3" t="s">
        <v>393</v>
      </c>
      <c r="C27077" s="21" t="n">
        <f aca="false">IF(C27039="REFINANCING FAILURE",1,0)+IF(C27043="REFINANCING FAILURE",1,0)+IF(C27047="REFINANCING FAILURE",1,0)+IF(C27051="REFINANCING FAILURE",1,0)+IF(C27055="REFINANCING FAILURE",1,0)+IF(C27059="REFINANCING FAILURE",1,0)+IF(C27063="REFINANCING FAILURE",1,0)+IF(C27067="REFINANCING FAILURE",1,0)+IF(C27071="REFINANCING FAILURE",1,0)+IF(C27075="REFINANCING FAILURE",1,0)</f>
        <v>7</v>
      </c>
    </row>
    <row r="27079" customFormat="false" ht="15" hidden="false" customHeight="false" outlineLevel="0" collapsed="false">
      <c r="A27079" s="24" t="s">
        <v>395</v>
      </c>
      <c r="B27079" s="25"/>
      <c r="C27079" s="25"/>
      <c r="D27079" s="25"/>
      <c r="E27079" s="25"/>
      <c r="F27079" s="25"/>
      <c r="G27079" s="25"/>
      <c r="H27079" s="25"/>
      <c r="I27079" s="25"/>
      <c r="J27079" s="25"/>
      <c r="K27079" s="25"/>
    </row>
    <row r="27080" customFormat="false" ht="15" hidden="false" customHeight="false" outlineLevel="0" collapsed="false">
      <c r="A27080" s="3" t="s">
        <v>325</v>
      </c>
      <c r="G27080" s="16" t="n">
        <f aca="false">F27092</f>
        <v>37.87</v>
      </c>
      <c r="H27080" s="16" t="n">
        <f aca="false">G27092</f>
        <v>118.1613204</v>
      </c>
      <c r="I27080" s="16" t="n">
        <f aca="false">H27092</f>
        <v>0</v>
      </c>
      <c r="J27080" s="16" t="n">
        <f aca="false">I27092</f>
        <v>-75.9620063172995</v>
      </c>
      <c r="K27080" s="16" t="n">
        <f aca="false">J27092</f>
        <v>-148.021015457719</v>
      </c>
    </row>
    <row r="27081" customFormat="false" ht="15" hidden="false" customHeight="false" outlineLevel="0" collapsed="false">
      <c r="A27081" s="3" t="s">
        <v>396</v>
      </c>
      <c r="G27081" s="16" t="n">
        <f aca="false">G26891</f>
        <v>-65.7086796</v>
      </c>
      <c r="H27081" s="16" t="n">
        <f aca="false">H26891</f>
        <v>-75.139878281</v>
      </c>
      <c r="I27081" s="16" t="n">
        <f aca="false">I26891</f>
        <v>-71.9620063172995</v>
      </c>
      <c r="J27081" s="16" t="n">
        <f aca="false">J26891</f>
        <v>-68.0590091404195</v>
      </c>
      <c r="K27081" s="16" t="n">
        <f aca="false">K26891</f>
        <v>-64.0985377342138</v>
      </c>
    </row>
    <row r="27082" customFormat="false" ht="15" hidden="false" customHeight="false" outlineLevel="0" collapsed="false">
      <c r="A27082" s="3" t="s">
        <v>397</v>
      </c>
      <c r="G27082" s="16" t="n">
        <f aca="false">CHOOSE($C$26861,Assumptions!$G$82,Assumptions!$G$101,Assumptions!$G$120)</f>
        <v>150</v>
      </c>
      <c r="H27082" s="16" t="n">
        <f aca="false">CHOOSE($C$26861,Assumptions!$H$82,Assumptions!$H$101,Assumptions!$H$120)</f>
        <v>0</v>
      </c>
      <c r="I27082" s="16" t="n">
        <f aca="false">CHOOSE($C$26861,Assumptions!$I$82,Assumptions!$I$101,Assumptions!$I$120)</f>
        <v>0</v>
      </c>
      <c r="J27082" s="16" t="n">
        <f aca="false">CHOOSE($C$26861,Assumptions!$J$82,Assumptions!$J$101,Assumptions!$J$120)</f>
        <v>0</v>
      </c>
      <c r="K27082" s="16" t="n">
        <f aca="false">CHOOSE($C$26861,Assumptions!$K$82,Assumptions!$K$101,Assumptions!$K$120)</f>
        <v>0</v>
      </c>
    </row>
    <row r="27083" customFormat="false" ht="15" hidden="false" customHeight="false" outlineLevel="0" collapsed="false">
      <c r="A27083" s="3" t="s">
        <v>398</v>
      </c>
      <c r="G27083" s="16" t="n">
        <f aca="false">G26910+G26923+G26936+G26949+G26962+G26975+G26988+G27001+G27014+G27027</f>
        <v>4</v>
      </c>
      <c r="H27083" s="16" t="n">
        <f aca="false">H26910+H26923+H26936+H26949+H26962+H26975+H26988+H27001+H27014+H27027</f>
        <v>4</v>
      </c>
      <c r="I27083" s="16" t="n">
        <f aca="false">I26910+I26923+I26936+I26949+I26962+I26975+I26988+I27001+I27014+I27027</f>
        <v>4</v>
      </c>
      <c r="J27083" s="16" t="n">
        <f aca="false">J26910+J26923+J26936+J26949+J26962+J26975+J26988+J27001+J27014+J27027</f>
        <v>4</v>
      </c>
      <c r="K27083" s="16" t="n">
        <f aca="false">K26910+K26923+K26936+K26949+K26962+K26975+K26988+K27001+K27014+K27027</f>
        <v>4</v>
      </c>
    </row>
    <row r="27084" customFormat="false" ht="15" hidden="false" customHeight="false" outlineLevel="0" collapsed="false">
      <c r="A27084" s="2" t="s">
        <v>399</v>
      </c>
      <c r="G27084" s="17" t="n">
        <f aca="false">G27080+G27081+G27082-G27083</f>
        <v>118.1613204</v>
      </c>
      <c r="H27084" s="17" t="n">
        <f aca="false">H27080+H27081+H27082-H27083</f>
        <v>39.021442119</v>
      </c>
      <c r="I27084" s="17" t="n">
        <f aca="false">I27080+I27081+I27082-I27083</f>
        <v>-75.9620063172995</v>
      </c>
      <c r="J27084" s="17" t="n">
        <f aca="false">J27080+J27081+J27082-J27083</f>
        <v>-148.021015457719</v>
      </c>
      <c r="K27084" s="17" t="n">
        <f aca="false">K27080+K27081+K27082-K27083</f>
        <v>-216.119553191933</v>
      </c>
    </row>
    <row r="27085" customFormat="false" ht="15" hidden="false" customHeight="false" outlineLevel="0" collapsed="false">
      <c r="A27085" s="3" t="s">
        <v>400</v>
      </c>
      <c r="G27085" s="16" t="n">
        <f aca="false">G26911+G26924+G26937+G26950+G26963+G26976+G26989+G27002+G27015+G27028</f>
        <v>0</v>
      </c>
      <c r="H27085" s="16" t="n">
        <f aca="false">H26911+H26924+H26937+H26950+H26963+H26976+H26989+H27002+H27015+H27028</f>
        <v>0</v>
      </c>
      <c r="I27085" s="16" t="n">
        <f aca="false">I26911+I26924+I26937+I26950+I26963+I26976+I26989+I27002+I27015+I27028</f>
        <v>0</v>
      </c>
      <c r="J27085" s="16" t="n">
        <f aca="false">J26911+J26924+J26937+J26950+J26963+J26976+J26989+J27002+J27015+J27028</f>
        <v>0</v>
      </c>
      <c r="K27085" s="16" t="n">
        <f aca="false">K26911+K26924+K26937+K26950+K26963+K26976+K26989+K27002+K27015+K27028</f>
        <v>0</v>
      </c>
    </row>
    <row r="27086" customFormat="false" ht="15" hidden="false" customHeight="false" outlineLevel="0" collapsed="false">
      <c r="A27086" s="2" t="s">
        <v>401</v>
      </c>
      <c r="G27086" s="17" t="n">
        <f aca="false">G27084+G27085</f>
        <v>118.1613204</v>
      </c>
      <c r="H27086" s="17" t="n">
        <f aca="false">H27084+H27085</f>
        <v>39.021442119</v>
      </c>
      <c r="I27086" s="17" t="n">
        <f aca="false">I27084+I27085</f>
        <v>-75.9620063172995</v>
      </c>
      <c r="J27086" s="17" t="n">
        <f aca="false">J27084+J27085</f>
        <v>-148.021015457719</v>
      </c>
      <c r="K27086" s="17" t="n">
        <f aca="false">K27084+K27085</f>
        <v>-216.119553191933</v>
      </c>
    </row>
    <row r="27087" customFormat="false" ht="15" hidden="false" customHeight="false" outlineLevel="0" collapsed="false">
      <c r="A27087" s="3" t="s">
        <v>402</v>
      </c>
      <c r="G27087" s="16" t="n">
        <f aca="false">G26912+G26925+G26938+G26951+G26964+G26977+G26990+G27003+G27016+G27029</f>
        <v>0</v>
      </c>
      <c r="H27087" s="16" t="n">
        <f aca="false">H26912+H26925+H26938+H26951+H26964+H26977+H26990+H27003+H27016+H27029</f>
        <v>39.021442119</v>
      </c>
      <c r="I27087" s="16" t="n">
        <f aca="false">I26912+I26925+I26938+I26951+I26964+I26977+I26990+I27003+I27016+I27029</f>
        <v>0</v>
      </c>
      <c r="J27087" s="16" t="n">
        <f aca="false">J26912+J26925+J26938+J26951+J26964+J26977+J26990+J27003+J27016+J27029</f>
        <v>0</v>
      </c>
      <c r="K27087" s="16" t="n">
        <f aca="false">K26912+K26925+K26938+K26951+K26964+K26977+K26990+K27003+K27016+K27029</f>
        <v>0</v>
      </c>
    </row>
    <row r="27088" customFormat="false" ht="15" hidden="false" customHeight="false" outlineLevel="0" collapsed="false">
      <c r="A27088" s="2" t="s">
        <v>403</v>
      </c>
      <c r="G27088" s="17" t="n">
        <f aca="false">G27086-G27087</f>
        <v>118.1613204</v>
      </c>
      <c r="H27088" s="17" t="n">
        <f aca="false">H27086-H27087</f>
        <v>0</v>
      </c>
      <c r="I27088" s="17" t="n">
        <f aca="false">I27086-I27087</f>
        <v>-75.9620063172995</v>
      </c>
      <c r="J27088" s="17" t="n">
        <f aca="false">J27086-J27087</f>
        <v>-148.021015457719</v>
      </c>
      <c r="K27088" s="17" t="n">
        <f aca="false">K27086-K27087</f>
        <v>-216.119553191933</v>
      </c>
    </row>
    <row r="27089" customFormat="false" ht="15" hidden="false" customHeight="false" outlineLevel="0" collapsed="false">
      <c r="A27089" s="3" t="s">
        <v>404</v>
      </c>
      <c r="G27089" s="16" t="n">
        <f aca="false">MAX(0,-G27088)</f>
        <v>0</v>
      </c>
      <c r="H27089" s="16" t="n">
        <f aca="false">MAX(0,-H27088)</f>
        <v>-0</v>
      </c>
      <c r="I27089" s="16" t="n">
        <f aca="false">MAX(0,-I27088)</f>
        <v>75.9620063172995</v>
      </c>
      <c r="J27089" s="16" t="n">
        <f aca="false">MAX(0,-J27088)</f>
        <v>148.021015457719</v>
      </c>
      <c r="K27089" s="16" t="n">
        <f aca="false">MAX(0,-K27088)</f>
        <v>216.119553191933</v>
      </c>
    </row>
    <row r="27090" customFormat="false" ht="15" hidden="false" customHeight="false" outlineLevel="0" collapsed="false">
      <c r="A27090" s="3" t="s">
        <v>405</v>
      </c>
      <c r="G27090" s="16" t="n">
        <f aca="false">MAX(0,G27088-Assumptions!$C$12)*Assumptions!$C$13</f>
        <v>0</v>
      </c>
      <c r="H27090" s="16" t="n">
        <f aca="false">MAX(0,H27088-Assumptions!$C$12)*Assumptions!$C$13</f>
        <v>0</v>
      </c>
      <c r="I27090" s="16" t="n">
        <f aca="false">MAX(0,I27088-Assumptions!$C$12)*Assumptions!$C$13</f>
        <v>0</v>
      </c>
      <c r="J27090" s="16" t="n">
        <f aca="false">MAX(0,J27088-Assumptions!$C$12)*Assumptions!$C$13</f>
        <v>0</v>
      </c>
      <c r="K27090" s="16" t="n">
        <f aca="false">MAX(0,K27088-Assumptions!$C$12)*Assumptions!$C$13</f>
        <v>0</v>
      </c>
    </row>
    <row r="27091" customFormat="false" ht="15" hidden="false" customHeight="false" outlineLevel="0" collapsed="false">
      <c r="A27091" s="3" t="s">
        <v>406</v>
      </c>
      <c r="G27091" s="16" t="n">
        <f aca="false">G26913+G26926+G26939+G26952+G26965+G26978+G26991+G27004+G27017+G27030</f>
        <v>0</v>
      </c>
      <c r="H27091" s="16" t="n">
        <f aca="false">H26913+H26926+H26939+H26952+H26965+H26978+H26991+H27004+H27017+H27030</f>
        <v>0</v>
      </c>
      <c r="I27091" s="16" t="n">
        <f aca="false">I26913+I26926+I26939+I26952+I26965+I26978+I26991+I27004+I27017+I27030</f>
        <v>0</v>
      </c>
      <c r="J27091" s="16" t="n">
        <f aca="false">J26913+J26926+J26939+J26952+J26965+J26978+J26991+J27004+J27017+J27030</f>
        <v>0</v>
      </c>
      <c r="K27091" s="16" t="n">
        <f aca="false">K26913+K26926+K26939+K26952+K26965+K26978+K26991+K27004+K27017+K27030</f>
        <v>0</v>
      </c>
    </row>
    <row r="27092" customFormat="false" ht="15" hidden="false" customHeight="false" outlineLevel="0" collapsed="false">
      <c r="A27092" s="2" t="s">
        <v>407</v>
      </c>
      <c r="F27092" s="28" t="n">
        <f aca="false">Assumptions!$C$11</f>
        <v>37.87</v>
      </c>
      <c r="G27092" s="17" t="n">
        <f aca="false">G27088-G27091</f>
        <v>118.1613204</v>
      </c>
      <c r="H27092" s="17" t="n">
        <f aca="false">H27088-H27091</f>
        <v>0</v>
      </c>
      <c r="I27092" s="17" t="n">
        <f aca="false">I27088-I27091</f>
        <v>-75.9620063172995</v>
      </c>
      <c r="J27092" s="17" t="n">
        <f aca="false">J27088-J27091</f>
        <v>-148.021015457719</v>
      </c>
      <c r="K27092" s="17" t="n">
        <f aca="false">K27088-K27091</f>
        <v>-216.119553191933</v>
      </c>
    </row>
    <row r="27093" customFormat="false" ht="15" hidden="false" customHeight="false" outlineLevel="0" collapsed="false">
      <c r="A27093" s="3" t="s">
        <v>408</v>
      </c>
      <c r="G27093" s="16" t="n">
        <f aca="false">G26914+G26927+G26940+G26953+G26966+G26979+G26992+G27005+G27018+G27031</f>
        <v>0</v>
      </c>
      <c r="H27093" s="16" t="n">
        <f aca="false">H26914+H26927+H26940+H26953+H26966+H26979+H26992+H27005+H27018+H27031</f>
        <v>760.978557881</v>
      </c>
      <c r="I27093" s="16" t="n">
        <f aca="false">I26914+I26927+I26940+I26953+I26966+I26979+I26992+I27005+I27018+I27031</f>
        <v>550</v>
      </c>
      <c r="J27093" s="16" t="n">
        <f aca="false">J26914+J26927+J26940+J26953+J26966+J26979+J26992+J27005+J27018+J27031</f>
        <v>350</v>
      </c>
      <c r="K27093" s="16" t="n">
        <f aca="false">K26914+K26927+K26940+K26953+K26966+K26979+K26992+K27005+K27018+K27031</f>
        <v>680</v>
      </c>
    </row>
    <row r="27094" customFormat="false" ht="15" hidden="false" customHeight="false" outlineLevel="0" collapsed="false">
      <c r="A27094" s="3" t="s">
        <v>409</v>
      </c>
      <c r="G27094" s="21" t="n">
        <f aca="false">IF(OR(G27089&gt;0.001,G27093&gt;0.001),1,0)</f>
        <v>0</v>
      </c>
      <c r="H27094" s="21" t="n">
        <f aca="false">IF(OR(H27089&gt;0.001,H27093&gt;0.001),1,0)</f>
        <v>1</v>
      </c>
      <c r="I27094" s="21" t="n">
        <f aca="false">IF(OR(I27089&gt;0.001,I27093&gt;0.001),1,0)</f>
        <v>1</v>
      </c>
      <c r="J27094" s="21" t="n">
        <f aca="false">IF(OR(J27089&gt;0.001,J27093&gt;0.001),1,0)</f>
        <v>1</v>
      </c>
      <c r="K27094" s="21" t="n">
        <f aca="false">IF(OR(K27089&gt;0.001,K27093&gt;0.001),1,0)</f>
        <v>1</v>
      </c>
    </row>
    <row r="27095" customFormat="false" ht="15" hidden="false" customHeight="false" outlineLevel="0" collapsed="false">
      <c r="A27095" s="3" t="s">
        <v>410</v>
      </c>
      <c r="G27095" s="21" t="n">
        <f aca="false">IF(G27094=1,1,0)</f>
        <v>0</v>
      </c>
      <c r="H27095" s="21" t="n">
        <f aca="false">IF(AND(H27094=1,SUM($G$27094:G27094)=0),1,0)</f>
        <v>1</v>
      </c>
      <c r="I27095" s="21" t="n">
        <f aca="false">IF(AND(I27094=1,SUM($G$27094:H27094)=0),1,0)</f>
        <v>0</v>
      </c>
      <c r="J27095" s="21" t="n">
        <f aca="false">IF(AND(J27094=1,SUM($G$27094:I27094)=0),1,0)</f>
        <v>0</v>
      </c>
      <c r="K27095" s="21" t="n">
        <f aca="false">IF(AND(K27094=1,SUM($G$27094:J27094)=0),1,0)</f>
        <v>0</v>
      </c>
    </row>
    <row r="27096" customFormat="false" ht="15" hidden="false" customHeight="false" outlineLevel="0" collapsed="false">
      <c r="A27096" s="3" t="s">
        <v>411</v>
      </c>
      <c r="G27096" s="16" t="n">
        <f aca="false">(G27034-F27034)-(G27085+G26883-G27083-G27087-G27091)</f>
        <v>0</v>
      </c>
      <c r="H27096" s="16" t="n">
        <f aca="false">(H27034-G27034)-(H27085+H26883-H27083-H27087-H27091)</f>
        <v>1.84741111297626E-013</v>
      </c>
      <c r="I27096" s="16" t="n">
        <f aca="false">(I27034-H27034)-(I27085+I26883-I27083-I27087-I27091)</f>
        <v>0</v>
      </c>
      <c r="J27096" s="16" t="n">
        <f aca="false">(J27034-I27034)-(J27085+J26883-J27083-J27087-J27091)</f>
        <v>0</v>
      </c>
      <c r="K27096" s="16" t="n">
        <f aca="false">(K27034-J27034)-(K27085+K26883-K27083-K27087-K27091)</f>
        <v>0</v>
      </c>
    </row>
    <row r="27098" customFormat="false" ht="15" hidden="false" customHeight="false" outlineLevel="0" collapsed="false">
      <c r="A27098" s="24" t="s">
        <v>413</v>
      </c>
      <c r="B27098" s="25"/>
      <c r="C27098" s="25"/>
      <c r="D27098" s="25"/>
      <c r="E27098" s="25"/>
      <c r="F27098" s="25"/>
      <c r="G27098" s="25"/>
      <c r="H27098" s="25"/>
      <c r="I27098" s="25"/>
      <c r="J27098" s="25"/>
      <c r="K27098" s="25"/>
    </row>
    <row r="27099" customFormat="false" ht="15" hidden="false" customHeight="false" outlineLevel="0" collapsed="false">
      <c r="A27099" s="3" t="s">
        <v>414</v>
      </c>
      <c r="G27099" s="16" t="n">
        <f aca="false">G27034</f>
        <v>2621.934</v>
      </c>
      <c r="H27099" s="16" t="n">
        <f aca="false">H27034</f>
        <v>2578.912557881</v>
      </c>
      <c r="I27099" s="16" t="n">
        <f aca="false">I27034</f>
        <v>2574.912557881</v>
      </c>
      <c r="J27099" s="16" t="n">
        <f aca="false">J27034</f>
        <v>2570.912557881</v>
      </c>
      <c r="K27099" s="16" t="n">
        <f aca="false">K27034</f>
        <v>2566.912557881</v>
      </c>
    </row>
    <row r="27100" customFormat="false" ht="15" hidden="false" customHeight="false" outlineLevel="0" collapsed="false">
      <c r="A27100" s="3" t="s">
        <v>415</v>
      </c>
      <c r="G27100" s="16" t="n">
        <f aca="false">Assumptions!$O$57*G26915+Assumptions!$O$58*G26928+Assumptions!$O$59*G26941+Assumptions!$O$60*G26954+Assumptions!$O$61*G26967+Assumptions!$O$62*G26980+Assumptions!$O$63*G26993+Assumptions!$O$64*G27006+Assumptions!$O$65*G27019+Assumptions!$O$66*G27032</f>
        <v>543.324</v>
      </c>
      <c r="H27100" s="16" t="n">
        <f aca="false">Assumptions!$O$57*H26915+Assumptions!$O$58*H26928+Assumptions!$O$59*H26941+Assumptions!$O$60*H26954+Assumptions!$O$61*H26967+Assumptions!$O$62*H26980+Assumptions!$O$63*H26993+Assumptions!$O$64*H27006+Assumptions!$O$65*H27019+Assumptions!$O$66*H27032</f>
        <v>539.324</v>
      </c>
      <c r="I27100" s="16" t="n">
        <f aca="false">Assumptions!$O$57*I26915+Assumptions!$O$58*I26928+Assumptions!$O$59*I26941+Assumptions!$O$60*I26954+Assumptions!$O$61*I26967+Assumptions!$O$62*I26980+Assumptions!$O$63*I26993+Assumptions!$O$64*I27006+Assumptions!$O$65*I27019+Assumptions!$O$66*I27032</f>
        <v>535.324</v>
      </c>
      <c r="J27100" s="16" t="n">
        <f aca="false">Assumptions!$O$57*J26915+Assumptions!$O$58*J26928+Assumptions!$O$59*J26941+Assumptions!$O$60*J26954+Assumptions!$O$61*J26967+Assumptions!$O$62*J26980+Assumptions!$O$63*J26993+Assumptions!$O$64*J27006+Assumptions!$O$65*J27019+Assumptions!$O$66*J27032</f>
        <v>531.324</v>
      </c>
      <c r="K27100" s="16" t="n">
        <f aca="false">Assumptions!$O$57*K26915+Assumptions!$O$58*K26928+Assumptions!$O$59*K26941+Assumptions!$O$60*K26954+Assumptions!$O$61*K26967+Assumptions!$O$62*K26980+Assumptions!$O$63*K26993+Assumptions!$O$64*K27006+Assumptions!$O$65*K27019+Assumptions!$O$66*K27032</f>
        <v>527.324</v>
      </c>
    </row>
    <row r="27101" customFormat="false" ht="15" hidden="false" customHeight="false" outlineLevel="0" collapsed="false">
      <c r="A27101" s="3" t="s">
        <v>416</v>
      </c>
      <c r="G27101" s="16" t="n">
        <f aca="false">G27099-G27092</f>
        <v>2503.7726796</v>
      </c>
      <c r="H27101" s="16" t="n">
        <f aca="false">H27099-H27092</f>
        <v>2578.912557881</v>
      </c>
      <c r="I27101" s="16" t="n">
        <f aca="false">I27099-I27092</f>
        <v>2650.8745641983</v>
      </c>
      <c r="J27101" s="16" t="n">
        <f aca="false">J27099-J27092</f>
        <v>2718.93357333872</v>
      </c>
      <c r="K27101" s="16" t="n">
        <f aca="false">K27099-K27092</f>
        <v>2783.03211107293</v>
      </c>
    </row>
    <row r="27102" customFormat="false" ht="15" hidden="false" customHeight="false" outlineLevel="0" collapsed="false">
      <c r="A27102" s="3" t="s">
        <v>417</v>
      </c>
      <c r="G27102" s="32" t="n">
        <f aca="false">IF(G26878&gt;0,G27099/G26878,0)</f>
        <v>11.1954319438308</v>
      </c>
      <c r="H27102" s="32" t="n">
        <f aca="false">IF(H26878&gt;0,H27099/H26878,0)</f>
        <v>11.7034053545864</v>
      </c>
      <c r="I27102" s="32" t="n">
        <f aca="false">IF(I26878&gt;0,I27099/I26878,0)</f>
        <v>11.6852528890151</v>
      </c>
      <c r="J27102" s="32" t="n">
        <f aca="false">IF(J26878&gt;0,J27099/J26878,0)</f>
        <v>11.4337112656502</v>
      </c>
      <c r="K27102" s="32" t="n">
        <f aca="false">IF(K26878&gt;0,K27099/K26878,0)</f>
        <v>11.1887223565291</v>
      </c>
    </row>
    <row r="27103" customFormat="false" ht="15" hidden="false" customHeight="false" outlineLevel="0" collapsed="false">
      <c r="A27103" s="3" t="s">
        <v>418</v>
      </c>
      <c r="G27103" s="32" t="n">
        <f aca="false">IF(G26878&gt;0,G27101/G26878,0)</f>
        <v>10.6908933013893</v>
      </c>
      <c r="H27103" s="32" t="n">
        <f aca="false">IF(H26878&gt;0,H27101/H26878,0)</f>
        <v>11.7034053545864</v>
      </c>
      <c r="I27103" s="32" t="n">
        <f aca="false">IF(I26878&gt;0,I27101/I26878,0)</f>
        <v>12.0299773151157</v>
      </c>
      <c r="J27103" s="32" t="n">
        <f aca="false">IF(J26878&gt;0,J27101/J26878,0)</f>
        <v>12.0920104158114</v>
      </c>
      <c r="K27103" s="32" t="n">
        <f aca="false">IF(K26878&gt;0,K27101/K26878,0)</f>
        <v>12.1307496449373</v>
      </c>
    </row>
    <row r="27104" customFormat="false" ht="15" hidden="false" customHeight="false" outlineLevel="0" collapsed="false">
      <c r="A27104" s="3" t="s">
        <v>419</v>
      </c>
      <c r="G27104" s="32" t="n">
        <f aca="false">IF(G26882&gt;0,G26878/G26882,0)</f>
        <v>1.21866449187317</v>
      </c>
      <c r="H27104" s="32" t="n">
        <f aca="false">IF(H26882&gt;0,H26878/H26882,0)</f>
        <v>1.15371297641981</v>
      </c>
      <c r="I27104" s="32" t="n">
        <f aca="false">IF(I26882&gt;0,I26878/I26882,0)</f>
        <v>1.17323362781477</v>
      </c>
      <c r="J27104" s="32" t="n">
        <f aca="false">IF(J26882&gt;0,J26878/J26882,0)</f>
        <v>1.20005735167262</v>
      </c>
      <c r="K27104" s="32" t="n">
        <f aca="false">IF(K26882&gt;0,K26878/K26882,0)</f>
        <v>1.22737361704613</v>
      </c>
    </row>
    <row r="27105" customFormat="false" ht="15" hidden="false" customHeight="false" outlineLevel="0" collapsed="false">
      <c r="A27105" s="3" t="s">
        <v>420</v>
      </c>
      <c r="G27105" s="32" t="n">
        <f aca="false">IF(G26882&gt;0,G26881/G26882,0)</f>
        <v>0.312326630291663</v>
      </c>
      <c r="H27105" s="32" t="n">
        <f aca="false">IF(H26882&gt;0,H26881/H26882,0)</f>
        <v>0.269143379228339</v>
      </c>
      <c r="I27105" s="32" t="n">
        <f aca="false">IF(I26882&gt;0,I26881/I26882,0)</f>
        <v>0.273697245041203</v>
      </c>
      <c r="J27105" s="32" t="n">
        <f aca="false">IF(J26882&gt;0,J26881/J26882,0)</f>
        <v>0.289343606116945</v>
      </c>
      <c r="K27105" s="32" t="n">
        <f aca="false">IF(K26882&gt;0,K26881/K26882,0)</f>
        <v>0.305338303887862</v>
      </c>
    </row>
    <row r="27106" customFormat="false" ht="15" hidden="false" customHeight="false" outlineLevel="0" collapsed="false">
      <c r="A27106" s="3" t="s">
        <v>213</v>
      </c>
      <c r="G27106" s="22" t="n">
        <f aca="false">IF(G27099&gt;0,G26891/G27099,0)</f>
        <v>-0.0250611493653158</v>
      </c>
      <c r="H27106" s="22" t="n">
        <f aca="false">IF(H27099&gt;0,H26891/H27099,0)</f>
        <v>-0.0291362644504472</v>
      </c>
      <c r="I27106" s="22" t="n">
        <f aca="false">IF(I27099&gt;0,I26891/I27099,0)</f>
        <v>-0.0279473592596558</v>
      </c>
      <c r="J27106" s="22" t="n">
        <f aca="false">IF(J27099&gt;0,J26891/J27099,0)</f>
        <v>-0.0264727047723922</v>
      </c>
      <c r="K27106" s="22" t="n">
        <f aca="false">IF(K27099&gt;0,K26891/K27099,0)</f>
        <v>-0.0249710639879091</v>
      </c>
    </row>
    <row r="27107" customFormat="false" ht="15" hidden="false" customHeight="false" outlineLevel="0" collapsed="false">
      <c r="A27107" s="3" t="s">
        <v>421</v>
      </c>
      <c r="G27107" s="32" t="n">
        <f aca="false">IF(G26882+G27083&gt;0,(G26878-G26889-G26886)/(G26882+G27083),0)</f>
        <v>0.764042218208881</v>
      </c>
      <c r="H27107" s="32" t="n">
        <f aca="false">IF(H26882+H27083&gt;0,(H26878-H26889-H26886)/(H26882+H27083),0)</f>
        <v>0.710647929515748</v>
      </c>
      <c r="I27107" s="32" t="n">
        <f aca="false">IF(I26882+I27083&gt;0,(I26878-I26889-I26886)/(I26882+I27083),0)</f>
        <v>0.722421249070546</v>
      </c>
      <c r="J27107" s="32" t="n">
        <f aca="false">IF(J26882+J27083&gt;0,(J26878-J26889-J26886)/(J26882+J27083),0)</f>
        <v>0.743350733465441</v>
      </c>
      <c r="K27107" s="32" t="n">
        <f aca="false">IF(K26882+K27083&gt;0,(K26878-K26889-K26886)/(K26882+K27083),0)</f>
        <v>0.76469181865886</v>
      </c>
    </row>
    <row r="27108" customFormat="false" ht="15" hidden="false" customHeight="false" outlineLevel="0" collapsed="false">
      <c r="A27108" s="3" t="s">
        <v>422</v>
      </c>
      <c r="G27108" s="16" t="n">
        <f aca="false">MAX(0,G27092)+Assumptions!$P$57*MAX(0,Assumptions!$D$57-G26915)+Assumptions!$P$58*MAX(0,Assumptions!$D$58-G26928)+Assumptions!$P$59*MAX(0,Assumptions!$D$59-G26941)+Assumptions!$P$60*MAX(0,Assumptions!$D$60-G26954)+Assumptions!$P$61*MAX(0,Assumptions!$D$61-G26967)+Assumptions!$P$62*MAX(0,Assumptions!$D$62-G26980)+Assumptions!$P$63*MAX(0,Assumptions!$D$63-G26993)+Assumptions!$P$64*MAX(0,Assumptions!$D$64-G27006)+Assumptions!$P$65*MAX(0,Assumptions!$D$65-G27019)+Assumptions!$P$66*MAX(0,Assumptions!$D$66-G27032)</f>
        <v>692.6613204</v>
      </c>
      <c r="H27108" s="16" t="n">
        <f aca="false">MAX(0,H27092)+Assumptions!$P$57*MAX(0,Assumptions!$D$57-H26915)+Assumptions!$P$58*MAX(0,Assumptions!$D$58-H26928)+Assumptions!$P$59*MAX(0,Assumptions!$D$59-H26941)+Assumptions!$P$60*MAX(0,Assumptions!$D$60-H26954)+Assumptions!$P$61*MAX(0,Assumptions!$D$61-H26967)+Assumptions!$P$62*MAX(0,Assumptions!$D$62-H26980)+Assumptions!$P$63*MAX(0,Assumptions!$D$63-H26993)+Assumptions!$P$64*MAX(0,Assumptions!$D$64-H27006)+Assumptions!$P$65*MAX(0,Assumptions!$D$65-H27019)+Assumptions!$P$66*MAX(0,Assumptions!$D$66-H27032)</f>
        <v>574.5</v>
      </c>
      <c r="I27108" s="16" t="n">
        <f aca="false">MAX(0,I27092)+Assumptions!$P$57*MAX(0,Assumptions!$D$57-I26915)+Assumptions!$P$58*MAX(0,Assumptions!$D$58-I26928)+Assumptions!$P$59*MAX(0,Assumptions!$D$59-I26941)+Assumptions!$P$60*MAX(0,Assumptions!$D$60-I26954)+Assumptions!$P$61*MAX(0,Assumptions!$D$61-I26967)+Assumptions!$P$62*MAX(0,Assumptions!$D$62-I26980)+Assumptions!$P$63*MAX(0,Assumptions!$D$63-I26993)+Assumptions!$P$64*MAX(0,Assumptions!$D$64-I27006)+Assumptions!$P$65*MAX(0,Assumptions!$D$65-I27019)+Assumptions!$P$66*MAX(0,Assumptions!$D$66-I27032)</f>
        <v>574.5</v>
      </c>
      <c r="J27108" s="16" t="n">
        <f aca="false">MAX(0,J27092)+Assumptions!$P$57*MAX(0,Assumptions!$D$57-J26915)+Assumptions!$P$58*MAX(0,Assumptions!$D$58-J26928)+Assumptions!$P$59*MAX(0,Assumptions!$D$59-J26941)+Assumptions!$P$60*MAX(0,Assumptions!$D$60-J26954)+Assumptions!$P$61*MAX(0,Assumptions!$D$61-J26967)+Assumptions!$P$62*MAX(0,Assumptions!$D$62-J26980)+Assumptions!$P$63*MAX(0,Assumptions!$D$63-J26993)+Assumptions!$P$64*MAX(0,Assumptions!$D$64-J27006)+Assumptions!$P$65*MAX(0,Assumptions!$D$65-J27019)+Assumptions!$P$66*MAX(0,Assumptions!$D$66-J27032)</f>
        <v>574.5</v>
      </c>
      <c r="K27108" s="16" t="n">
        <f aca="false">MAX(0,K27092)+Assumptions!$P$57*MAX(0,Assumptions!$D$57-K26915)+Assumptions!$P$58*MAX(0,Assumptions!$D$58-K26928)+Assumptions!$P$59*MAX(0,Assumptions!$D$59-K26941)+Assumptions!$P$60*MAX(0,Assumptions!$D$60-K26954)+Assumptions!$P$61*MAX(0,Assumptions!$D$61-K26967)+Assumptions!$P$62*MAX(0,Assumptions!$D$62-K26980)+Assumptions!$P$63*MAX(0,Assumptions!$D$63-K26993)+Assumptions!$P$64*MAX(0,Assumptions!$D$64-K27006)+Assumptions!$P$65*MAX(0,Assumptions!$D$65-K27019)+Assumptions!$P$66*MAX(0,Assumptions!$D$66-K27032)</f>
        <v>574.5</v>
      </c>
    </row>
    <row r="27109" customFormat="false" ht="15" hidden="false" customHeight="false" outlineLevel="0" collapsed="false">
      <c r="A27109" s="3" t="s">
        <v>423</v>
      </c>
      <c r="G27109" s="22" t="n">
        <f aca="false">IF(G27099&gt;0,G27099/(G27099+MAX(0,G26878*CHOOSE($C$26861,Assumptions!$C$90,Assumptions!$C$109,Assumptions!$C$128)-G27101)),0)</f>
        <v>0.973131760584435</v>
      </c>
      <c r="H27109" s="22" t="n">
        <f aca="false">IF(H27099&gt;0,H27099/(H27099+MAX(0,H26878*CHOOSE($C$26861,Assumptions!$C$90,Assumptions!$C$109,Assumptions!$C$128)-H27101)),0)</f>
        <v>1</v>
      </c>
      <c r="I27109" s="22" t="n">
        <f aca="false">IF(I27099&gt;0,I27099/(I27099+MAX(0,I26878*CHOOSE($C$26861,Assumptions!$C$90,Assumptions!$C$109,Assumptions!$C$128)-I27101)),0)</f>
        <v>1</v>
      </c>
      <c r="J27109" s="22" t="n">
        <f aca="false">IF(J27099&gt;0,J27099/(J27099+MAX(0,J26878*CHOOSE($C$26861,Assumptions!$C$90,Assumptions!$C$109,Assumptions!$C$128)-J27101)),0)</f>
        <v>1</v>
      </c>
      <c r="K27109" s="22" t="n">
        <f aca="false">IF(K27099&gt;0,K27099/(K27099+MAX(0,K26878*CHOOSE($C$26861,Assumptions!$C$90,Assumptions!$C$109,Assumptions!$C$128)-K27101)),0)</f>
        <v>1</v>
      </c>
    </row>
    <row r="27110" customFormat="false" ht="15" hidden="false" customHeight="false" outlineLevel="0" collapsed="false">
      <c r="A27110" s="3" t="s">
        <v>424</v>
      </c>
      <c r="G27110" s="22" t="n">
        <f aca="false">IF(G27099&gt;0,MAX(0,G27092)/G27099,0)</f>
        <v>0.045066473984471</v>
      </c>
      <c r="H27110" s="22" t="n">
        <f aca="false">IF(H27099&gt;0,MAX(0,H27092)/H27099,0)</f>
        <v>0</v>
      </c>
      <c r="I27110" s="22" t="n">
        <f aca="false">IF(I27099&gt;0,MAX(0,I27092)/I27099,0)</f>
        <v>0</v>
      </c>
      <c r="J27110" s="22" t="n">
        <f aca="false">IF(J27099&gt;0,MAX(0,J27092)/J27099,0)</f>
        <v>0</v>
      </c>
      <c r="K27110" s="22" t="n">
        <f aca="false">IF(K27099&gt;0,MAX(0,K27092)/K27099,0)</f>
        <v>0</v>
      </c>
    </row>
    <row r="27111" customFormat="false" ht="15" hidden="false" customHeight="false" outlineLevel="0" collapsed="false">
      <c r="A27111" s="3" t="s">
        <v>425</v>
      </c>
      <c r="G27111" s="16" t="n">
        <f aca="false">Assumptions!$C$31*(1-CHOOSE($C$26861,Assumptions!$C$93,Assumptions!$C$112,Assumptions!$C$131))</f>
        <v>3840.04556666667</v>
      </c>
      <c r="H27111" s="16" t="n">
        <f aca="false">Assumptions!$C$31*(1-CHOOSE($C$26861,Assumptions!$C$93,Assumptions!$C$112,Assumptions!$C$131))</f>
        <v>3840.04556666667</v>
      </c>
      <c r="I27111" s="16" t="n">
        <f aca="false">Assumptions!$C$31*(1-CHOOSE($C$26861,Assumptions!$C$93,Assumptions!$C$112,Assumptions!$C$131))</f>
        <v>3840.04556666667</v>
      </c>
      <c r="J27111" s="16" t="n">
        <f aca="false">Assumptions!$C$31*(1-CHOOSE($C$26861,Assumptions!$C$93,Assumptions!$C$112,Assumptions!$C$131))</f>
        <v>3840.04556666667</v>
      </c>
      <c r="K27111" s="16" t="n">
        <f aca="false">Assumptions!$C$31*(1-CHOOSE($C$26861,Assumptions!$C$93,Assumptions!$C$112,Assumptions!$C$131))</f>
        <v>3840.04556666667</v>
      </c>
    </row>
    <row r="27112" customFormat="false" ht="15" hidden="false" customHeight="false" outlineLevel="0" collapsed="false">
      <c r="A27112" s="24" t="s">
        <v>426</v>
      </c>
      <c r="B27112" s="25"/>
      <c r="C27112" s="25"/>
      <c r="D27112" s="25"/>
      <c r="E27112" s="25"/>
      <c r="F27112" s="25"/>
      <c r="G27112" s="25"/>
      <c r="H27112" s="25"/>
      <c r="I27112" s="25"/>
      <c r="J27112" s="25"/>
      <c r="K27112" s="25"/>
    </row>
    <row r="27113" customFormat="false" ht="15" hidden="false" customHeight="false" outlineLevel="0" collapsed="false">
      <c r="A27113" s="24" t="s">
        <v>427</v>
      </c>
      <c r="B27113" s="25"/>
      <c r="C27113" s="25"/>
      <c r="D27113" s="25"/>
      <c r="E27113" s="25"/>
      <c r="F27113" s="25"/>
      <c r="G27113" s="25"/>
      <c r="H27113" s="25"/>
      <c r="I27113" s="25"/>
      <c r="J27113" s="25"/>
      <c r="K27113" s="25"/>
    </row>
    <row r="27114" customFormat="false" ht="15" hidden="false" customHeight="false" outlineLevel="0" collapsed="false">
      <c r="A27114" s="3" t="s">
        <v>428</v>
      </c>
      <c r="G27114" s="22" t="n">
        <f aca="false">IF(G27111&gt;0,G27099/G27111,99)</f>
        <v>0.68278721032885</v>
      </c>
      <c r="H27114" s="22" t="n">
        <f aca="false">IF(H27111&gt;0,H27099/H27111,99)</f>
        <v>0.671583842719766</v>
      </c>
      <c r="I27114" s="22" t="n">
        <f aca="false">IF(I27111&gt;0,I27099/I27111,99)</f>
        <v>0.670542188413702</v>
      </c>
      <c r="J27114" s="22" t="n">
        <f aca="false">IF(J27111&gt;0,J27099/J27111,99)</f>
        <v>0.669500534107638</v>
      </c>
      <c r="K27114" s="22" t="n">
        <f aca="false">IF(K27111&gt;0,K27099/K27111,99)</f>
        <v>0.668458879801574</v>
      </c>
    </row>
    <row r="27115" customFormat="false" ht="15" hidden="false" customHeight="false" outlineLevel="0" collapsed="false">
      <c r="A27115" s="3" t="s">
        <v>429</v>
      </c>
      <c r="G27115" s="33" t="n">
        <f aca="false">Assumptions!$G$71</f>
        <v>0.6</v>
      </c>
      <c r="H27115" s="33" t="n">
        <f aca="false">Assumptions!$H$71</f>
        <v>0.6</v>
      </c>
      <c r="I27115" s="33" t="n">
        <f aca="false">Assumptions!$I$71</f>
        <v>0.6</v>
      </c>
      <c r="J27115" s="33" t="n">
        <f aca="false">Assumptions!$J$71</f>
        <v>0.6</v>
      </c>
      <c r="K27115" s="33" t="n">
        <f aca="false">Assumptions!$K$71</f>
        <v>0.6</v>
      </c>
    </row>
    <row r="27116" customFormat="false" ht="15" hidden="false" customHeight="false" outlineLevel="0" collapsed="false">
      <c r="A27116" s="3" t="s">
        <v>430</v>
      </c>
      <c r="G27116" s="22" t="n">
        <f aca="false">G27115-G27114</f>
        <v>-0.0827872103288497</v>
      </c>
      <c r="H27116" s="22" t="n">
        <f aca="false">H27115-H27114</f>
        <v>-0.0715838427197657</v>
      </c>
      <c r="I27116" s="22" t="n">
        <f aca="false">I27115-I27114</f>
        <v>-0.0705421884137019</v>
      </c>
      <c r="J27116" s="22" t="n">
        <f aca="false">J27115-J27114</f>
        <v>-0.0695005341076379</v>
      </c>
      <c r="K27116" s="22" t="n">
        <f aca="false">K27115-K27114</f>
        <v>-0.068458879801574</v>
      </c>
    </row>
    <row r="27117" customFormat="false" ht="15" hidden="false" customHeight="false" outlineLevel="0" collapsed="false">
      <c r="A27117" s="3" t="s">
        <v>431</v>
      </c>
      <c r="G27117" s="22" t="n">
        <f aca="false">IF(G27115=0,0,G27116/ABS(G27115))</f>
        <v>-0.137978683881416</v>
      </c>
      <c r="H27117" s="22" t="n">
        <f aca="false">IF(H27115=0,0,H27116/ABS(H27115))</f>
        <v>-0.119306404532943</v>
      </c>
      <c r="I27117" s="22" t="n">
        <f aca="false">IF(I27115=0,0,I27116/ABS(I27115))</f>
        <v>-0.117570314022836</v>
      </c>
      <c r="J27117" s="22" t="n">
        <f aca="false">IF(J27115=0,0,J27116/ABS(J27115))</f>
        <v>-0.11583422351273</v>
      </c>
      <c r="K27117" s="22" t="n">
        <f aca="false">IF(K27115=0,0,K27116/ABS(K27115))</f>
        <v>-0.114098133002623</v>
      </c>
    </row>
    <row r="27118" customFormat="false" ht="15" hidden="false" customHeight="false" outlineLevel="0" collapsed="false">
      <c r="A27118" s="3" t="s">
        <v>432</v>
      </c>
      <c r="G27118" s="21" t="n">
        <f aca="false">IF(G27116&lt;0,1,0)</f>
        <v>1</v>
      </c>
      <c r="H27118" s="21" t="n">
        <f aca="false">IF(H27116&lt;0,1,0)</f>
        <v>1</v>
      </c>
      <c r="I27118" s="21" t="n">
        <f aca="false">IF(I27116&lt;0,1,0)</f>
        <v>1</v>
      </c>
      <c r="J27118" s="21" t="n">
        <f aca="false">IF(J27116&lt;0,1,0)</f>
        <v>1</v>
      </c>
      <c r="K27118" s="21" t="n">
        <f aca="false">IF(K27116&lt;0,1,0)</f>
        <v>1</v>
      </c>
    </row>
    <row r="27119" customFormat="false" ht="15" hidden="false" customHeight="false" outlineLevel="0" collapsed="false">
      <c r="A27119" s="3" t="s">
        <v>433</v>
      </c>
      <c r="C27119" s="21" t="n">
        <f aca="false">IFERROR(INDEX($G$26868:$K$26868,MATCH(1,$G$27118:$K$27118,0)),0)</f>
        <v>2027</v>
      </c>
    </row>
    <row r="27120" customFormat="false" ht="15" hidden="false" customHeight="false" outlineLevel="0" collapsed="false">
      <c r="A27120" s="3" t="s">
        <v>434</v>
      </c>
      <c r="C27120" s="22" t="n">
        <f aca="false">MIN($G$27117:$K$27117)</f>
        <v>-0.137978683881416</v>
      </c>
    </row>
    <row r="27121" customFormat="false" ht="15" hidden="false" customHeight="false" outlineLevel="0" collapsed="false">
      <c r="A27121" s="24" t="s">
        <v>435</v>
      </c>
      <c r="B27121" s="25"/>
      <c r="C27121" s="25"/>
      <c r="D27121" s="25"/>
      <c r="E27121" s="25"/>
      <c r="F27121" s="25"/>
      <c r="G27121" s="25"/>
      <c r="H27121" s="25"/>
      <c r="I27121" s="25"/>
      <c r="J27121" s="25"/>
      <c r="K27121" s="25"/>
    </row>
    <row r="27122" customFormat="false" ht="15" hidden="false" customHeight="false" outlineLevel="0" collapsed="false">
      <c r="A27122" s="3" t="s">
        <v>428</v>
      </c>
      <c r="G27122" s="32" t="n">
        <f aca="false">IF(G26882&gt;0,G26878/G26882,99)</f>
        <v>1.21866449187317</v>
      </c>
      <c r="H27122" s="32" t="n">
        <f aca="false">IF(H26882&gt;0,H26878/H26882,99)</f>
        <v>1.15371297641981</v>
      </c>
      <c r="I27122" s="32" t="n">
        <f aca="false">IF(I26882&gt;0,I26878/I26882,99)</f>
        <v>1.17323362781477</v>
      </c>
      <c r="J27122" s="32" t="n">
        <f aca="false">IF(J26882&gt;0,J26878/J26882,99)</f>
        <v>1.20005735167262</v>
      </c>
      <c r="K27122" s="32" t="n">
        <f aca="false">IF(K26882&gt;0,K26878/K26882,99)</f>
        <v>1.22737361704613</v>
      </c>
    </row>
    <row r="27123" customFormat="false" ht="15" hidden="false" customHeight="false" outlineLevel="0" collapsed="false">
      <c r="A27123" s="3" t="s">
        <v>429</v>
      </c>
      <c r="G27123" s="34" t="n">
        <f aca="false">Assumptions!$G$72</f>
        <v>1.5</v>
      </c>
      <c r="H27123" s="34" t="n">
        <f aca="false">Assumptions!$H$72</f>
        <v>1.5</v>
      </c>
      <c r="I27123" s="34" t="n">
        <f aca="false">Assumptions!$I$72</f>
        <v>1.5</v>
      </c>
      <c r="J27123" s="34" t="n">
        <f aca="false">Assumptions!$J$72</f>
        <v>1.5</v>
      </c>
      <c r="K27123" s="34" t="n">
        <f aca="false">Assumptions!$K$72</f>
        <v>1.5</v>
      </c>
    </row>
    <row r="27124" customFormat="false" ht="15" hidden="false" customHeight="false" outlineLevel="0" collapsed="false">
      <c r="A27124" s="3" t="s">
        <v>430</v>
      </c>
      <c r="G27124" s="32" t="n">
        <f aca="false">G27122-G27123</f>
        <v>-0.281335508126831</v>
      </c>
      <c r="H27124" s="32" t="n">
        <f aca="false">H27122-H27123</f>
        <v>-0.346287023580186</v>
      </c>
      <c r="I27124" s="32" t="n">
        <f aca="false">I27122-I27123</f>
        <v>-0.326766372185232</v>
      </c>
      <c r="J27124" s="32" t="n">
        <f aca="false">J27122-J27123</f>
        <v>-0.299942648327378</v>
      </c>
      <c r="K27124" s="32" t="n">
        <f aca="false">K27122-K27123</f>
        <v>-0.272626382953872</v>
      </c>
    </row>
    <row r="27125" customFormat="false" ht="15" hidden="false" customHeight="false" outlineLevel="0" collapsed="false">
      <c r="A27125" s="3" t="s">
        <v>431</v>
      </c>
      <c r="G27125" s="22" t="n">
        <f aca="false">IF(G27123=0,0,G27124/ABS(G27123))</f>
        <v>-0.187557005417887</v>
      </c>
      <c r="H27125" s="22" t="n">
        <f aca="false">IF(H27123=0,0,H27124/ABS(H27123))</f>
        <v>-0.230858015720124</v>
      </c>
      <c r="I27125" s="22" t="n">
        <f aca="false">IF(I27123=0,0,I27124/ABS(I27123))</f>
        <v>-0.217844248123488</v>
      </c>
      <c r="J27125" s="22" t="n">
        <f aca="false">IF(J27123=0,0,J27124/ABS(J27123))</f>
        <v>-0.199961765551585</v>
      </c>
      <c r="K27125" s="22" t="n">
        <f aca="false">IF(K27123=0,0,K27124/ABS(K27123))</f>
        <v>-0.181750921969248</v>
      </c>
    </row>
    <row r="27126" customFormat="false" ht="15" hidden="false" customHeight="false" outlineLevel="0" collapsed="false">
      <c r="A27126" s="3" t="s">
        <v>432</v>
      </c>
      <c r="G27126" s="21" t="n">
        <f aca="false">IF(G27124&lt;0,1,0)</f>
        <v>1</v>
      </c>
      <c r="H27126" s="21" t="n">
        <f aca="false">IF(H27124&lt;0,1,0)</f>
        <v>1</v>
      </c>
      <c r="I27126" s="21" t="n">
        <f aca="false">IF(I27124&lt;0,1,0)</f>
        <v>1</v>
      </c>
      <c r="J27126" s="21" t="n">
        <f aca="false">IF(J27124&lt;0,1,0)</f>
        <v>1</v>
      </c>
      <c r="K27126" s="21" t="n">
        <f aca="false">IF(K27124&lt;0,1,0)</f>
        <v>1</v>
      </c>
    </row>
    <row r="27127" customFormat="false" ht="15" hidden="false" customHeight="false" outlineLevel="0" collapsed="false">
      <c r="A27127" s="3" t="s">
        <v>433</v>
      </c>
      <c r="C27127" s="21" t="n">
        <f aca="false">IFERROR(INDEX($G$26868:$K$26868,MATCH(1,$G$27126:$K$27126,0)),0)</f>
        <v>2027</v>
      </c>
    </row>
    <row r="27128" customFormat="false" ht="15" hidden="false" customHeight="false" outlineLevel="0" collapsed="false">
      <c r="A27128" s="3" t="s">
        <v>434</v>
      </c>
      <c r="C27128" s="22" t="n">
        <f aca="false">MIN($G$27125:$K$27125)</f>
        <v>-0.230858015720124</v>
      </c>
    </row>
    <row r="27129" customFormat="false" ht="15" hidden="false" customHeight="false" outlineLevel="0" collapsed="false">
      <c r="A27129" s="24" t="s">
        <v>436</v>
      </c>
      <c r="B27129" s="25"/>
      <c r="C27129" s="25"/>
      <c r="D27129" s="25"/>
      <c r="E27129" s="25"/>
      <c r="F27129" s="25"/>
      <c r="G27129" s="25"/>
      <c r="H27129" s="25"/>
      <c r="I27129" s="25"/>
      <c r="J27129" s="25"/>
      <c r="K27129" s="25"/>
    </row>
    <row r="27130" customFormat="false" ht="15" hidden="false" customHeight="false" outlineLevel="0" collapsed="false">
      <c r="A27130" s="3" t="s">
        <v>428</v>
      </c>
      <c r="G27130" s="22" t="n">
        <f aca="false">IF(G27111&gt;0,G27100/G27111,99)</f>
        <v>0.141488946046968</v>
      </c>
      <c r="H27130" s="22" t="n">
        <f aca="false">IF(H27111&gt;0,H27100/H27111,99)</f>
        <v>0.140447291740904</v>
      </c>
      <c r="I27130" s="22" t="n">
        <f aca="false">IF(I27111&gt;0,I27100/I27111,99)</f>
        <v>0.139405637434841</v>
      </c>
      <c r="J27130" s="22" t="n">
        <f aca="false">IF(J27111&gt;0,J27100/J27111,99)</f>
        <v>0.138363983128777</v>
      </c>
      <c r="K27130" s="22" t="n">
        <f aca="false">IF(K27111&gt;0,K27100/K27111,99)</f>
        <v>0.137322328822713</v>
      </c>
    </row>
    <row r="27131" customFormat="false" ht="15" hidden="false" customHeight="false" outlineLevel="0" collapsed="false">
      <c r="A27131" s="3" t="s">
        <v>429</v>
      </c>
      <c r="G27131" s="33" t="n">
        <f aca="false">Assumptions!$G$73</f>
        <v>0.4</v>
      </c>
      <c r="H27131" s="33" t="n">
        <f aca="false">Assumptions!$H$73</f>
        <v>0.4</v>
      </c>
      <c r="I27131" s="33" t="n">
        <f aca="false">Assumptions!$I$73</f>
        <v>0.4</v>
      </c>
      <c r="J27131" s="33" t="n">
        <f aca="false">Assumptions!$J$73</f>
        <v>0.4</v>
      </c>
      <c r="K27131" s="33" t="n">
        <f aca="false">Assumptions!$K$73</f>
        <v>0.4</v>
      </c>
    </row>
    <row r="27132" customFormat="false" ht="15" hidden="false" customHeight="false" outlineLevel="0" collapsed="false">
      <c r="A27132" s="3" t="s">
        <v>430</v>
      </c>
      <c r="G27132" s="22" t="n">
        <f aca="false">G27131-G27130</f>
        <v>0.258511053953032</v>
      </c>
      <c r="H27132" s="22" t="n">
        <f aca="false">H27131-H27130</f>
        <v>0.259552708259096</v>
      </c>
      <c r="I27132" s="22" t="n">
        <f aca="false">I27131-I27130</f>
        <v>0.26059436256516</v>
      </c>
      <c r="J27132" s="22" t="n">
        <f aca="false">J27131-J27130</f>
        <v>0.261636016871223</v>
      </c>
      <c r="K27132" s="22" t="n">
        <f aca="false">K27131-K27130</f>
        <v>0.262677671177287</v>
      </c>
    </row>
    <row r="27133" customFormat="false" ht="15" hidden="false" customHeight="false" outlineLevel="0" collapsed="false">
      <c r="A27133" s="3" t="s">
        <v>431</v>
      </c>
      <c r="G27133" s="22" t="n">
        <f aca="false">IF(G27131=0,0,G27132/ABS(G27131))</f>
        <v>0.646277634882579</v>
      </c>
      <c r="H27133" s="22" t="n">
        <f aca="false">IF(H27131=0,0,H27132/ABS(H27131))</f>
        <v>0.648881770647739</v>
      </c>
      <c r="I27133" s="22" t="n">
        <f aca="false">IF(I27131=0,0,I27132/ABS(I27131))</f>
        <v>0.651485906412899</v>
      </c>
      <c r="J27133" s="22" t="n">
        <f aca="false">IF(J27131=0,0,J27132/ABS(J27131))</f>
        <v>0.654090042178059</v>
      </c>
      <c r="K27133" s="22" t="n">
        <f aca="false">IF(K27131=0,0,K27132/ABS(K27131))</f>
        <v>0.656694177943218</v>
      </c>
    </row>
    <row r="27134" customFormat="false" ht="15" hidden="false" customHeight="false" outlineLevel="0" collapsed="false">
      <c r="A27134" s="3" t="s">
        <v>432</v>
      </c>
      <c r="G27134" s="21" t="n">
        <f aca="false">IF(G27132&lt;0,1,0)</f>
        <v>0</v>
      </c>
      <c r="H27134" s="21" t="n">
        <f aca="false">IF(H27132&lt;0,1,0)</f>
        <v>0</v>
      </c>
      <c r="I27134" s="21" t="n">
        <f aca="false">IF(I27132&lt;0,1,0)</f>
        <v>0</v>
      </c>
      <c r="J27134" s="21" t="n">
        <f aca="false">IF(J27132&lt;0,1,0)</f>
        <v>0</v>
      </c>
      <c r="K27134" s="21" t="n">
        <f aca="false">IF(K27132&lt;0,1,0)</f>
        <v>0</v>
      </c>
    </row>
    <row r="27135" customFormat="false" ht="15" hidden="false" customHeight="false" outlineLevel="0" collapsed="false">
      <c r="A27135" s="3" t="s">
        <v>433</v>
      </c>
      <c r="C27135" s="21" t="n">
        <f aca="false">IFERROR(INDEX($G$26868:$K$26868,MATCH(1,$G$27134:$K$27134,0)),0)</f>
        <v>0</v>
      </c>
    </row>
    <row r="27136" customFormat="false" ht="15" hidden="false" customHeight="false" outlineLevel="0" collapsed="false">
      <c r="A27136" s="3" t="s">
        <v>434</v>
      </c>
      <c r="C27136" s="22" t="n">
        <f aca="false">MIN($G$27133:$K$27133)</f>
        <v>0.646277634882579</v>
      </c>
    </row>
    <row r="27137" customFormat="false" ht="15" hidden="false" customHeight="false" outlineLevel="0" collapsed="false">
      <c r="A27137" s="24" t="s">
        <v>437</v>
      </c>
      <c r="B27137" s="25"/>
      <c r="C27137" s="25"/>
      <c r="D27137" s="25"/>
      <c r="E27137" s="25"/>
      <c r="F27137" s="25"/>
      <c r="G27137" s="25"/>
      <c r="H27137" s="25"/>
      <c r="I27137" s="25"/>
      <c r="J27137" s="25"/>
      <c r="K27137" s="25"/>
    </row>
    <row r="27138" customFormat="false" ht="15" hidden="false" customHeight="false" outlineLevel="0" collapsed="false">
      <c r="A27138" s="3" t="s">
        <v>428</v>
      </c>
      <c r="G27138" s="16" t="n">
        <f aca="false">G27108</f>
        <v>692.6613204</v>
      </c>
      <c r="H27138" s="16" t="n">
        <f aca="false">H27108</f>
        <v>574.5</v>
      </c>
      <c r="I27138" s="16" t="n">
        <f aca="false">I27108</f>
        <v>574.5</v>
      </c>
      <c r="J27138" s="16" t="n">
        <f aca="false">J27108</f>
        <v>574.5</v>
      </c>
      <c r="K27138" s="16" t="n">
        <f aca="false">K27108</f>
        <v>574.5</v>
      </c>
    </row>
    <row r="27139" customFormat="false" ht="15" hidden="false" customHeight="false" outlineLevel="0" collapsed="false">
      <c r="A27139" s="3" t="s">
        <v>429</v>
      </c>
      <c r="G27139" s="29" t="n">
        <f aca="false">Assumptions!$G$74</f>
        <v>100</v>
      </c>
      <c r="H27139" s="29" t="n">
        <f aca="false">Assumptions!$H$74</f>
        <v>100</v>
      </c>
      <c r="I27139" s="29" t="n">
        <f aca="false">Assumptions!$I$74</f>
        <v>100</v>
      </c>
      <c r="J27139" s="29" t="n">
        <f aca="false">Assumptions!$J$74</f>
        <v>100</v>
      </c>
      <c r="K27139" s="29" t="n">
        <f aca="false">Assumptions!$K$74</f>
        <v>100</v>
      </c>
    </row>
    <row r="27140" customFormat="false" ht="15" hidden="false" customHeight="false" outlineLevel="0" collapsed="false">
      <c r="A27140" s="3" t="s">
        <v>430</v>
      </c>
      <c r="G27140" s="16" t="n">
        <f aca="false">G27138-G27139</f>
        <v>592.6613204</v>
      </c>
      <c r="H27140" s="16" t="n">
        <f aca="false">H27138-H27139</f>
        <v>474.5</v>
      </c>
      <c r="I27140" s="16" t="n">
        <f aca="false">I27138-I27139</f>
        <v>474.5</v>
      </c>
      <c r="J27140" s="16" t="n">
        <f aca="false">J27138-J27139</f>
        <v>474.5</v>
      </c>
      <c r="K27140" s="16" t="n">
        <f aca="false">K27138-K27139</f>
        <v>474.5</v>
      </c>
    </row>
    <row r="27141" customFormat="false" ht="15" hidden="false" customHeight="false" outlineLevel="0" collapsed="false">
      <c r="A27141" s="3" t="s">
        <v>431</v>
      </c>
      <c r="G27141" s="22" t="n">
        <f aca="false">IF(G27139=0,0,G27140/ABS(G27139))</f>
        <v>5.926613204</v>
      </c>
      <c r="H27141" s="22" t="n">
        <f aca="false">IF(H27139=0,0,H27140/ABS(H27139))</f>
        <v>4.745</v>
      </c>
      <c r="I27141" s="22" t="n">
        <f aca="false">IF(I27139=0,0,I27140/ABS(I27139))</f>
        <v>4.745</v>
      </c>
      <c r="J27141" s="22" t="n">
        <f aca="false">IF(J27139=0,0,J27140/ABS(J27139))</f>
        <v>4.745</v>
      </c>
      <c r="K27141" s="22" t="n">
        <f aca="false">IF(K27139=0,0,K27140/ABS(K27139))</f>
        <v>4.745</v>
      </c>
    </row>
    <row r="27142" customFormat="false" ht="15" hidden="false" customHeight="false" outlineLevel="0" collapsed="false">
      <c r="A27142" s="3" t="s">
        <v>432</v>
      </c>
      <c r="G27142" s="21" t="n">
        <f aca="false">IF(G27140&lt;0,1,0)</f>
        <v>0</v>
      </c>
      <c r="H27142" s="21" t="n">
        <f aca="false">IF(H27140&lt;0,1,0)</f>
        <v>0</v>
      </c>
      <c r="I27142" s="21" t="n">
        <f aca="false">IF(I27140&lt;0,1,0)</f>
        <v>0</v>
      </c>
      <c r="J27142" s="21" t="n">
        <f aca="false">IF(J27140&lt;0,1,0)</f>
        <v>0</v>
      </c>
      <c r="K27142" s="21" t="n">
        <f aca="false">IF(K27140&lt;0,1,0)</f>
        <v>0</v>
      </c>
    </row>
    <row r="27143" customFormat="false" ht="15" hidden="false" customHeight="false" outlineLevel="0" collapsed="false">
      <c r="A27143" s="3" t="s">
        <v>433</v>
      </c>
      <c r="C27143" s="21" t="n">
        <f aca="false">IFERROR(INDEX($G$26868:$K$26868,MATCH(1,$G$27142:$K$27142,0)),0)</f>
        <v>0</v>
      </c>
    </row>
    <row r="27144" customFormat="false" ht="15" hidden="false" customHeight="false" outlineLevel="0" collapsed="false">
      <c r="A27144" s="3" t="s">
        <v>434</v>
      </c>
      <c r="C27144" s="22" t="n">
        <f aca="false">MIN($G$27141:$K$27141)</f>
        <v>4.745</v>
      </c>
    </row>
    <row r="27145" customFormat="false" ht="15" hidden="false" customHeight="false" outlineLevel="0" collapsed="false">
      <c r="A27145" s="24" t="s">
        <v>438</v>
      </c>
      <c r="B27145" s="25"/>
      <c r="C27145" s="25"/>
      <c r="D27145" s="25"/>
      <c r="E27145" s="25"/>
      <c r="F27145" s="25"/>
      <c r="G27145" s="25"/>
      <c r="H27145" s="25"/>
      <c r="I27145" s="25"/>
      <c r="J27145" s="25"/>
      <c r="K27145" s="25"/>
    </row>
    <row r="27146" customFormat="false" ht="15" hidden="false" customHeight="false" outlineLevel="0" collapsed="false">
      <c r="A27146" s="3" t="s">
        <v>428</v>
      </c>
      <c r="G27146" s="32" t="n">
        <f aca="false">IF(G26878&gt;0,G27101/G26878,99)</f>
        <v>10.6908933013893</v>
      </c>
      <c r="H27146" s="32" t="n">
        <f aca="false">IF(H26878&gt;0,H27101/H26878,99)</f>
        <v>11.7034053545864</v>
      </c>
      <c r="I27146" s="32" t="n">
        <f aca="false">IF(I26878&gt;0,I27101/I26878,99)</f>
        <v>12.0299773151157</v>
      </c>
      <c r="J27146" s="32" t="n">
        <f aca="false">IF(J26878&gt;0,J27101/J26878,99)</f>
        <v>12.0920104158114</v>
      </c>
      <c r="K27146" s="32" t="n">
        <f aca="false">IF(K26878&gt;0,K27101/K26878,99)</f>
        <v>12.1307496449373</v>
      </c>
    </row>
    <row r="27147" customFormat="false" ht="15" hidden="false" customHeight="false" outlineLevel="0" collapsed="false">
      <c r="A27147" s="3" t="s">
        <v>429</v>
      </c>
      <c r="G27147" s="34" t="n">
        <f aca="false">Assumptions!$G$75</f>
        <v>10.5</v>
      </c>
      <c r="H27147" s="34" t="n">
        <f aca="false">Assumptions!$H$75</f>
        <v>10.5</v>
      </c>
      <c r="I27147" s="34" t="n">
        <f aca="false">Assumptions!$I$75</f>
        <v>10</v>
      </c>
      <c r="J27147" s="34" t="n">
        <f aca="false">Assumptions!$J$75</f>
        <v>10</v>
      </c>
      <c r="K27147" s="34" t="n">
        <f aca="false">Assumptions!$K$75</f>
        <v>9.5</v>
      </c>
    </row>
    <row r="27148" customFormat="false" ht="15" hidden="false" customHeight="false" outlineLevel="0" collapsed="false">
      <c r="A27148" s="3" t="s">
        <v>430</v>
      </c>
      <c r="G27148" s="32" t="n">
        <f aca="false">G27147-G27146</f>
        <v>-0.190893301389256</v>
      </c>
      <c r="H27148" s="32" t="n">
        <f aca="false">H27147-H27146</f>
        <v>-1.20340535458645</v>
      </c>
      <c r="I27148" s="32" t="n">
        <f aca="false">I27147-I27146</f>
        <v>-2.02997731511569</v>
      </c>
      <c r="J27148" s="32" t="n">
        <f aca="false">J27147-J27146</f>
        <v>-2.09201041581138</v>
      </c>
      <c r="K27148" s="32" t="n">
        <f aca="false">K27147-K27146</f>
        <v>-2.63074964493729</v>
      </c>
    </row>
    <row r="27149" customFormat="false" ht="15" hidden="false" customHeight="false" outlineLevel="0" collapsed="false">
      <c r="A27149" s="3" t="s">
        <v>431</v>
      </c>
      <c r="G27149" s="22" t="n">
        <f aca="false">IF(G27147=0,0,G27148/ABS(G27147))</f>
        <v>-0.0181803144180244</v>
      </c>
      <c r="H27149" s="22" t="n">
        <f aca="false">IF(H27147=0,0,H27148/ABS(H27147))</f>
        <v>-0.114610033770138</v>
      </c>
      <c r="I27149" s="22" t="n">
        <f aca="false">IF(I27147=0,0,I27148/ABS(I27147))</f>
        <v>-0.202997731511569</v>
      </c>
      <c r="J27149" s="22" t="n">
        <f aca="false">IF(J27147=0,0,J27148/ABS(J27147))</f>
        <v>-0.209201041581138</v>
      </c>
      <c r="K27149" s="22" t="n">
        <f aca="false">IF(K27147=0,0,K27148/ABS(K27147))</f>
        <v>-0.276921015256557</v>
      </c>
    </row>
    <row r="27150" customFormat="false" ht="15" hidden="false" customHeight="false" outlineLevel="0" collapsed="false">
      <c r="A27150" s="3" t="s">
        <v>432</v>
      </c>
      <c r="G27150" s="21" t="n">
        <f aca="false">IF(G27148&lt;0,1,0)</f>
        <v>1</v>
      </c>
      <c r="H27150" s="21" t="n">
        <f aca="false">IF(H27148&lt;0,1,0)</f>
        <v>1</v>
      </c>
      <c r="I27150" s="21" t="n">
        <f aca="false">IF(I27148&lt;0,1,0)</f>
        <v>1</v>
      </c>
      <c r="J27150" s="21" t="n">
        <f aca="false">IF(J27148&lt;0,1,0)</f>
        <v>1</v>
      </c>
      <c r="K27150" s="21" t="n">
        <f aca="false">IF(K27148&lt;0,1,0)</f>
        <v>1</v>
      </c>
    </row>
    <row r="27151" customFormat="false" ht="15" hidden="false" customHeight="false" outlineLevel="0" collapsed="false">
      <c r="A27151" s="3" t="s">
        <v>433</v>
      </c>
      <c r="C27151" s="21" t="n">
        <f aca="false">IFERROR(INDEX($G$26868:$K$26868,MATCH(1,$G$27150:$K$27150,0)),0)</f>
        <v>2027</v>
      </c>
    </row>
    <row r="27152" customFormat="false" ht="15" hidden="false" customHeight="false" outlineLevel="0" collapsed="false">
      <c r="A27152" s="3" t="s">
        <v>434</v>
      </c>
      <c r="C27152" s="22" t="n">
        <f aca="false">MIN($G$27149:$K$27149)</f>
        <v>-0.276921015256557</v>
      </c>
    </row>
    <row r="27153" customFormat="false" ht="15" hidden="false" customHeight="false" outlineLevel="0" collapsed="false">
      <c r="A27153" s="3" t="s">
        <v>439</v>
      </c>
      <c r="G27153" s="21" t="n">
        <f aca="false">G27118+G27126+G27134+G27142+G27150</f>
        <v>3</v>
      </c>
      <c r="H27153" s="21" t="n">
        <f aca="false">H27118+H27126+H27134+H27142+H27150</f>
        <v>3</v>
      </c>
      <c r="I27153" s="21" t="n">
        <f aca="false">I27118+I27126+I27134+I27142+I27150</f>
        <v>3</v>
      </c>
      <c r="J27153" s="21" t="n">
        <f aca="false">J27118+J27126+J27134+J27142+J27150</f>
        <v>3</v>
      </c>
      <c r="K27153" s="21" t="n">
        <f aca="false">K27118+K27126+K27134+K27142+K27150</f>
        <v>3</v>
      </c>
    </row>
    <row r="27154" customFormat="false" ht="15" hidden="false" customHeight="false" outlineLevel="0" collapsed="false">
      <c r="A27154" s="3" t="s">
        <v>440</v>
      </c>
      <c r="C27154" s="21" t="n">
        <f aca="false">SUM($G$27153:$K$27153)</f>
        <v>15</v>
      </c>
    </row>
    <row r="27155" customFormat="false" ht="15" hidden="false" customHeight="false" outlineLevel="0" collapsed="false">
      <c r="A27155" s="3" t="s">
        <v>441</v>
      </c>
      <c r="C27155" s="22" t="n">
        <f aca="false">MIN(C27120,C27128,C27136,C27144,C27152)</f>
        <v>-0.276921015256557</v>
      </c>
    </row>
    <row r="27157" customFormat="false" ht="15" hidden="false" customHeight="false" outlineLevel="0" collapsed="false">
      <c r="A27157" s="24" t="s">
        <v>543</v>
      </c>
      <c r="B27157" s="25"/>
      <c r="C27157" s="25"/>
      <c r="D27157" s="25"/>
      <c r="E27157" s="25"/>
      <c r="F27157" s="25"/>
      <c r="G27157" s="25"/>
      <c r="H27157" s="25"/>
      <c r="I27157" s="25"/>
      <c r="J27157" s="25"/>
      <c r="K27157" s="25"/>
    </row>
    <row r="27158" customFormat="false" ht="15" hidden="false" customHeight="false" outlineLevel="0" collapsed="false">
      <c r="A27158" s="3" t="s">
        <v>544</v>
      </c>
      <c r="G27158" s="21" t="n">
        <f aca="false">IF($C$27159=1,G27095,IF(G26878=MIN($G$26878:$K$26878),1,0))</f>
        <v>0</v>
      </c>
      <c r="H27158" s="21" t="n">
        <f aca="false">IF($C$27159=1,H27095,IF(AND(H26878=MIN($G$26878:$K$26878),SUM($G$27158:G27158)=0),1,0))</f>
        <v>1</v>
      </c>
      <c r="I27158" s="21" t="n">
        <f aca="false">IF($C$27159=1,I27095,IF(AND(I26878=MIN($G$26878:$K$26878),SUM($G$27158:H27158)=0),1,0))</f>
        <v>0</v>
      </c>
      <c r="J27158" s="21" t="n">
        <f aca="false">IF($C$27159=1,J27095,IF(AND(J26878=MIN($G$26878:$K$26878),SUM($G$27158:I27158)=0),1,0))</f>
        <v>0</v>
      </c>
      <c r="K27158" s="21" t="n">
        <f aca="false">IF($C$27159=1,K27095,IF(AND(K26878=MIN($G$26878:$K$26878),SUM($G$27158:J27158)=0),1,0))</f>
        <v>0</v>
      </c>
    </row>
    <row r="27159" customFormat="false" ht="15" hidden="false" customHeight="false" outlineLevel="0" collapsed="false">
      <c r="A27159" s="3" t="s">
        <v>545</v>
      </c>
      <c r="C27159" s="21" t="n">
        <f aca="false">IF(SUM($G$27095:$K$27095)&gt;0,1,0)</f>
        <v>1</v>
      </c>
    </row>
    <row r="27160" customFormat="false" ht="15" hidden="false" customHeight="false" outlineLevel="0" collapsed="false">
      <c r="A27160" s="3" t="s">
        <v>546</v>
      </c>
      <c r="C27160" s="21" t="n">
        <f aca="false">SUMPRODUCT($G$27158:$K$27158,$G$26868:$K$26868)</f>
        <v>2028</v>
      </c>
    </row>
    <row r="27161" customFormat="false" ht="15" hidden="false" customHeight="false" outlineLevel="0" collapsed="false">
      <c r="A27161" s="3" t="s">
        <v>547</v>
      </c>
      <c r="C27161" s="16" t="n">
        <f aca="false">SUMPRODUCT($G$27158:$K$27158,$G$26878:$K$26878)</f>
        <v>220.355740893</v>
      </c>
    </row>
    <row r="27162" customFormat="false" ht="15" hidden="false" customHeight="false" outlineLevel="0" collapsed="false">
      <c r="A27162" s="3" t="s">
        <v>548</v>
      </c>
      <c r="C27162" s="16" t="n">
        <f aca="false">MAX(0,SUMPRODUCT($G$27158:$K$27158,$G$27092:$K$27092))</f>
        <v>0</v>
      </c>
    </row>
    <row r="27163" customFormat="false" ht="15" hidden="false" customHeight="false" outlineLevel="0" collapsed="false">
      <c r="A27163" s="3" t="s">
        <v>549</v>
      </c>
      <c r="C27163" s="16" t="n">
        <f aca="false">(CHOOSE($C$26861,Assumptions!$C$92,Assumptions!$C$111,Assumptions!$C$130)+$C$26865)*C27161</f>
        <v>1983.201668037</v>
      </c>
    </row>
    <row r="27164" customFormat="false" ht="15" hidden="false" customHeight="false" outlineLevel="0" collapsed="false">
      <c r="A27164" s="3" t="s">
        <v>550</v>
      </c>
      <c r="C27164" s="16" t="n">
        <f aca="false">Assumptions!$C$31*(1-CHOOSE($C$26861,Assumptions!$C$93,Assumptions!$C$112,Assumptions!$C$131))*CHOOSE($C$26861,Assumptions!$C$94,Assumptions!$C$113,Assumptions!$C$132)</f>
        <v>3264.03873166667</v>
      </c>
    </row>
    <row r="27165" customFormat="false" ht="15" hidden="false" customHeight="false" outlineLevel="0" collapsed="false">
      <c r="A27165" s="3" t="s">
        <v>551</v>
      </c>
      <c r="C27165" s="16" t="n">
        <f aca="false">MAX(C27163,C27164)+C27162</f>
        <v>3264.03873166667</v>
      </c>
    </row>
    <row r="27166" customFormat="false" ht="15" hidden="false" customHeight="false" outlineLevel="0" collapsed="false">
      <c r="A27166" s="2" t="s">
        <v>552</v>
      </c>
      <c r="C27166" s="17" t="n">
        <f aca="false">IF(ISNUMBER(Assumptions!$C$14),Assumptions!$C$14,C27165)</f>
        <v>3264.03873166667</v>
      </c>
    </row>
    <row r="27167" customFormat="false" ht="15" hidden="false" customHeight="false" outlineLevel="0" collapsed="false">
      <c r="A27167" s="3" t="s">
        <v>553</v>
      </c>
      <c r="C27167" s="16" t="n">
        <f aca="false">C27166*Assumptions!$C$15</f>
        <v>130.561549266667</v>
      </c>
    </row>
    <row r="27168" customFormat="false" ht="15" hidden="false" customHeight="false" outlineLevel="0" collapsed="false">
      <c r="A27168" s="2" t="s">
        <v>554</v>
      </c>
      <c r="C27168" s="17" t="n">
        <f aca="false">C27166-C27167</f>
        <v>3133.4771824</v>
      </c>
    </row>
    <row r="27169" customFormat="false" ht="15" hidden="false" customHeight="false" outlineLevel="0" collapsed="false">
      <c r="A27169" s="24" t="s">
        <v>555</v>
      </c>
      <c r="B27169" s="25"/>
      <c r="C27169" s="25"/>
      <c r="D27169" s="25"/>
      <c r="E27169" s="25"/>
      <c r="F27169" s="25"/>
      <c r="G27169" s="25"/>
      <c r="H27169" s="25"/>
      <c r="I27169" s="25"/>
      <c r="J27169" s="25"/>
      <c r="K27169" s="25"/>
    </row>
    <row r="27170" customFormat="false" ht="15" hidden="false" customHeight="false" outlineLevel="0" collapsed="false">
      <c r="A27170" s="3" t="s">
        <v>556</v>
      </c>
      <c r="C27170" s="16" t="n">
        <f aca="false">SUMPRODUCT($G$27158:$K$27158,$G$26915:$K$26915)*(1+SUMPRODUCT($G$27158:$K$27158,$G$26907:$K$26907)*Assumptions!$C$16/12)</f>
        <v>403.27</v>
      </c>
    </row>
    <row r="27171" customFormat="false" ht="15" hidden="false" customHeight="false" outlineLevel="0" collapsed="false">
      <c r="A27171" s="3" t="s">
        <v>557</v>
      </c>
      <c r="C27171" s="16" t="n">
        <f aca="false">SUMPRODUCT($G$27158:$K$27158,$G$26928:$K$26928)*(1+SUMPRODUCT($G$27158:$K$27158,$G$26920:$K$26920)*Assumptions!$C$16/12)</f>
        <v>91.30725</v>
      </c>
    </row>
    <row r="27172" customFormat="false" ht="15" hidden="false" customHeight="false" outlineLevel="0" collapsed="false">
      <c r="A27172" s="3" t="s">
        <v>558</v>
      </c>
      <c r="C27172" s="16" t="n">
        <f aca="false">SUMPRODUCT($G$27158:$K$27158,$G$26941:$K$26941)*(1+SUMPRODUCT($G$27158:$K$27158,$G$26933:$K$26933)*Assumptions!$C$16/12)</f>
        <v>58.3715961</v>
      </c>
    </row>
    <row r="27173" customFormat="false" ht="15" hidden="false" customHeight="false" outlineLevel="0" collapsed="false">
      <c r="A27173" s="3" t="s">
        <v>559</v>
      </c>
      <c r="C27173" s="16" t="n">
        <f aca="false">SUMPRODUCT($G$27158:$K$27158,$G$26954:$K$26954)*(1+SUMPRODUCT($G$27158:$K$27158,$G$26946:$K$26946)*Assumptions!$C$16/12)</f>
        <v>0</v>
      </c>
    </row>
    <row r="27174" customFormat="false" ht="15" hidden="false" customHeight="false" outlineLevel="0" collapsed="false">
      <c r="A27174" s="3" t="s">
        <v>560</v>
      </c>
      <c r="C27174" s="16" t="n">
        <f aca="false">SUMPRODUCT($G$27158:$K$27158,$G$26967:$K$26967)*(1+SUMPRODUCT($G$27158:$K$27158,$G$26959:$K$26959)*Assumptions!$C$16/12)</f>
        <v>415.036971140075</v>
      </c>
    </row>
    <row r="27175" customFormat="false" ht="15" hidden="false" customHeight="false" outlineLevel="0" collapsed="false">
      <c r="A27175" s="3" t="s">
        <v>561</v>
      </c>
      <c r="C27175" s="16" t="n">
        <f aca="false">SUMPRODUCT($G$27158:$K$27158,$G$26980:$K$26980)*(1+SUMPRODUCT($G$27158:$K$27158,$G$26972:$K$26972)*Assumptions!$C$16/12)</f>
        <v>357.2625</v>
      </c>
    </row>
    <row r="27176" customFormat="false" ht="15" hidden="false" customHeight="false" outlineLevel="0" collapsed="false">
      <c r="A27176" s="3" t="s">
        <v>562</v>
      </c>
      <c r="C27176" s="16" t="n">
        <f aca="false">SUMPRODUCT($G$27158:$K$27158,$G$26993:$K$26993)*(1+SUMPRODUCT($G$27158:$K$27158,$G$26985:$K$26985)*Assumptions!$C$16/12)</f>
        <v>562.203125</v>
      </c>
    </row>
    <row r="27177" customFormat="false" ht="15" hidden="false" customHeight="false" outlineLevel="0" collapsed="false">
      <c r="A27177" s="3" t="s">
        <v>563</v>
      </c>
      <c r="C27177" s="16" t="n">
        <f aca="false">SUMPRODUCT($G$27158:$K$27158,$G$27006:$K$27006)*(1+SUMPRODUCT($G$27158:$K$27158,$G$26998:$K$26998)*Assumptions!$C$16/12)</f>
        <v>353.98125</v>
      </c>
    </row>
    <row r="27178" customFormat="false" ht="15" hidden="false" customHeight="false" outlineLevel="0" collapsed="false">
      <c r="A27178" s="3" t="s">
        <v>564</v>
      </c>
      <c r="C27178" s="16" t="n">
        <f aca="false">SUMPRODUCT($G$27158:$K$27158,$G$27019:$K$27019)*(1+SUMPRODUCT($G$27158:$K$27158,$G$27011:$K$27011)*Assumptions!$C$16/12)</f>
        <v>304.59375</v>
      </c>
    </row>
    <row r="27179" customFormat="false" ht="15" hidden="false" customHeight="false" outlineLevel="0" collapsed="false">
      <c r="A27179" s="3" t="s">
        <v>565</v>
      </c>
      <c r="C27179" s="16" t="n">
        <f aca="false">SUMPRODUCT($G$27158:$K$27158,$G$27032:$K$27032)*(1+SUMPRODUCT($G$27158:$K$27158,$G$27024:$K$27024)*Assumptions!$C$16/12)</f>
        <v>80.135034</v>
      </c>
    </row>
    <row r="27180" customFormat="false" ht="15" hidden="false" customHeight="false" outlineLevel="0" collapsed="false">
      <c r="A27180" s="24" t="s">
        <v>566</v>
      </c>
      <c r="B27180" s="25"/>
      <c r="C27180" s="25"/>
      <c r="D27180" s="25"/>
      <c r="E27180" s="25"/>
      <c r="F27180" s="25"/>
      <c r="G27180" s="25"/>
      <c r="H27180" s="25"/>
      <c r="I27180" s="25"/>
      <c r="J27180" s="25"/>
      <c r="K27180" s="25"/>
    </row>
    <row r="27181" customFormat="false" ht="15" hidden="false" customHeight="false" outlineLevel="0" collapsed="false">
      <c r="A27181" s="3" t="s">
        <v>556</v>
      </c>
      <c r="C27181" s="27" t="n">
        <f aca="false">Assumptions!$M$57</f>
        <v>1</v>
      </c>
    </row>
    <row r="27182" customFormat="false" ht="15" hidden="false" customHeight="false" outlineLevel="0" collapsed="false">
      <c r="A27182" s="3" t="s">
        <v>557</v>
      </c>
      <c r="C27182" s="27" t="n">
        <f aca="false">Assumptions!$M$58</f>
        <v>1</v>
      </c>
    </row>
    <row r="27183" customFormat="false" ht="15" hidden="false" customHeight="false" outlineLevel="0" collapsed="false">
      <c r="A27183" s="3" t="s">
        <v>558</v>
      </c>
      <c r="C27183" s="27" t="n">
        <f aca="false">Assumptions!$M$59</f>
        <v>1</v>
      </c>
    </row>
    <row r="27184" customFormat="false" ht="15" hidden="false" customHeight="false" outlineLevel="0" collapsed="false">
      <c r="A27184" s="3" t="s">
        <v>559</v>
      </c>
      <c r="C27184" s="27" t="n">
        <f aca="false">Assumptions!$M$60</f>
        <v>2</v>
      </c>
    </row>
    <row r="27185" customFormat="false" ht="15" hidden="false" customHeight="false" outlineLevel="0" collapsed="false">
      <c r="A27185" s="3" t="s">
        <v>560</v>
      </c>
      <c r="C27185" s="27" t="n">
        <f aca="false">Assumptions!$M$61</f>
        <v>2</v>
      </c>
    </row>
    <row r="27186" customFormat="false" ht="15" hidden="false" customHeight="false" outlineLevel="0" collapsed="false">
      <c r="A27186" s="3" t="s">
        <v>561</v>
      </c>
      <c r="C27186" s="27" t="n">
        <f aca="false">Assumptions!$M$62</f>
        <v>2</v>
      </c>
    </row>
    <row r="27187" customFormat="false" ht="15" hidden="false" customHeight="false" outlineLevel="0" collapsed="false">
      <c r="A27187" s="3" t="s">
        <v>562</v>
      </c>
      <c r="C27187" s="27" t="n">
        <f aca="false">Assumptions!$M$63</f>
        <v>2</v>
      </c>
    </row>
    <row r="27188" customFormat="false" ht="15" hidden="false" customHeight="false" outlineLevel="0" collapsed="false">
      <c r="A27188" s="3" t="s">
        <v>563</v>
      </c>
      <c r="C27188" s="27" t="n">
        <f aca="false">Assumptions!$M$64</f>
        <v>2</v>
      </c>
    </row>
    <row r="27189" customFormat="false" ht="15" hidden="false" customHeight="false" outlineLevel="0" collapsed="false">
      <c r="A27189" s="3" t="s">
        <v>564</v>
      </c>
      <c r="C27189" s="27" t="n">
        <f aca="false">Assumptions!$M$65</f>
        <v>2</v>
      </c>
    </row>
    <row r="27190" customFormat="false" ht="15" hidden="false" customHeight="false" outlineLevel="0" collapsed="false">
      <c r="A27190" s="3" t="s">
        <v>565</v>
      </c>
      <c r="C27190" s="27" t="n">
        <f aca="false">Assumptions!$M$66</f>
        <v>3</v>
      </c>
    </row>
    <row r="27191" customFormat="false" ht="15" hidden="false" customHeight="false" outlineLevel="0" collapsed="false">
      <c r="A27191" s="24" t="s">
        <v>567</v>
      </c>
      <c r="B27191" s="25"/>
      <c r="C27191" s="25"/>
      <c r="D27191" s="25"/>
      <c r="E27191" s="25"/>
      <c r="F27191" s="25"/>
      <c r="G27191" s="25"/>
      <c r="H27191" s="25"/>
      <c r="I27191" s="25"/>
      <c r="J27191" s="25"/>
      <c r="K27191" s="25"/>
    </row>
    <row r="27192" customFormat="false" ht="15" hidden="false" customHeight="false" outlineLevel="0" collapsed="false">
      <c r="A27192" s="3" t="s">
        <v>556</v>
      </c>
      <c r="C27192" s="33" t="n">
        <f aca="false">Assumptions!$Q$57</f>
        <v>0.3</v>
      </c>
    </row>
    <row r="27193" customFormat="false" ht="15" hidden="false" customHeight="false" outlineLevel="0" collapsed="false">
      <c r="A27193" s="3" t="s">
        <v>557</v>
      </c>
      <c r="C27193" s="33" t="n">
        <f aca="false">Assumptions!$Q$58</f>
        <v>0.033</v>
      </c>
    </row>
    <row r="27194" customFormat="false" ht="15" hidden="false" customHeight="false" outlineLevel="0" collapsed="false">
      <c r="A27194" s="3" t="s">
        <v>558</v>
      </c>
      <c r="C27194" s="33" t="n">
        <f aca="false">Assumptions!$Q$59</f>
        <v>0.021</v>
      </c>
    </row>
    <row r="27195" customFormat="false" ht="15" hidden="false" customHeight="false" outlineLevel="0" collapsed="false">
      <c r="A27195" s="3" t="s">
        <v>559</v>
      </c>
      <c r="C27195" s="33" t="n">
        <f aca="false">Assumptions!$Q$60</f>
        <v>0</v>
      </c>
    </row>
    <row r="27196" customFormat="false" ht="15" hidden="false" customHeight="false" outlineLevel="0" collapsed="false">
      <c r="A27196" s="3" t="s">
        <v>560</v>
      </c>
      <c r="C27196" s="33" t="n">
        <f aca="false">Assumptions!$Q$61</f>
        <v>0</v>
      </c>
    </row>
    <row r="27197" customFormat="false" ht="15" hidden="false" customHeight="false" outlineLevel="0" collapsed="false">
      <c r="A27197" s="3" t="s">
        <v>561</v>
      </c>
      <c r="C27197" s="33" t="n">
        <f aca="false">Assumptions!$Q$62</f>
        <v>0</v>
      </c>
    </row>
    <row r="27198" customFormat="false" ht="15" hidden="false" customHeight="false" outlineLevel="0" collapsed="false">
      <c r="A27198" s="3" t="s">
        <v>562</v>
      </c>
      <c r="C27198" s="33" t="n">
        <f aca="false">Assumptions!$Q$63</f>
        <v>0</v>
      </c>
    </row>
    <row r="27199" customFormat="false" ht="15" hidden="false" customHeight="false" outlineLevel="0" collapsed="false">
      <c r="A27199" s="3" t="s">
        <v>563</v>
      </c>
      <c r="C27199" s="33" t="n">
        <f aca="false">Assumptions!$Q$64</f>
        <v>0</v>
      </c>
    </row>
    <row r="27200" customFormat="false" ht="15" hidden="false" customHeight="false" outlineLevel="0" collapsed="false">
      <c r="A27200" s="3" t="s">
        <v>564</v>
      </c>
      <c r="C27200" s="33" t="n">
        <f aca="false">Assumptions!$Q$65</f>
        <v>0</v>
      </c>
    </row>
    <row r="27201" customFormat="false" ht="15" hidden="false" customHeight="false" outlineLevel="0" collapsed="false">
      <c r="A27201" s="3" t="s">
        <v>565</v>
      </c>
      <c r="C27201" s="33" t="n">
        <f aca="false">Assumptions!$Q$66</f>
        <v>0</v>
      </c>
    </row>
    <row r="27202" customFormat="false" ht="15" hidden="false" customHeight="false" outlineLevel="0" collapsed="false">
      <c r="A27202" s="24" t="s">
        <v>568</v>
      </c>
      <c r="B27202" s="25"/>
      <c r="C27202" s="25"/>
      <c r="D27202" s="25"/>
      <c r="E27202" s="25"/>
      <c r="F27202" s="25"/>
      <c r="G27202" s="25"/>
      <c r="H27202" s="25"/>
      <c r="I27202" s="25"/>
      <c r="J27202" s="25"/>
      <c r="K27202" s="25"/>
    </row>
    <row r="27203" customFormat="false" ht="15" hidden="false" customHeight="false" outlineLevel="0" collapsed="false">
      <c r="A27203" s="3" t="s">
        <v>556</v>
      </c>
      <c r="C27203" s="16" t="n">
        <f aca="false">IF(C27192&gt;0,MIN(C27170,C27192*$C$27168),0)</f>
        <v>403.27</v>
      </c>
    </row>
    <row r="27204" customFormat="false" ht="15" hidden="false" customHeight="false" outlineLevel="0" collapsed="false">
      <c r="A27204" s="3" t="s">
        <v>557</v>
      </c>
      <c r="C27204" s="16" t="n">
        <f aca="false">IF(C27193&gt;0,MIN(C27171,C27193*$C$27168),0)</f>
        <v>91.30725</v>
      </c>
    </row>
    <row r="27205" customFormat="false" ht="15" hidden="false" customHeight="false" outlineLevel="0" collapsed="false">
      <c r="A27205" s="3" t="s">
        <v>558</v>
      </c>
      <c r="C27205" s="16" t="n">
        <f aca="false">IF(C27194&gt;0,MIN(C27172,C27194*$C$27168),0)</f>
        <v>58.3715961</v>
      </c>
    </row>
    <row r="27206" customFormat="false" ht="15" hidden="false" customHeight="false" outlineLevel="0" collapsed="false">
      <c r="A27206" s="3" t="s">
        <v>559</v>
      </c>
      <c r="C27206" s="16" t="n">
        <f aca="false">IF(C27195&gt;0,MIN(C27173,C27195*$C$27168),0)</f>
        <v>0</v>
      </c>
    </row>
    <row r="27207" customFormat="false" ht="15" hidden="false" customHeight="false" outlineLevel="0" collapsed="false">
      <c r="A27207" s="3" t="s">
        <v>560</v>
      </c>
      <c r="C27207" s="16" t="n">
        <f aca="false">IF(C27196&gt;0,MIN(C27174,C27196*$C$27168),0)</f>
        <v>0</v>
      </c>
    </row>
    <row r="27208" customFormat="false" ht="15" hidden="false" customHeight="false" outlineLevel="0" collapsed="false">
      <c r="A27208" s="3" t="s">
        <v>561</v>
      </c>
      <c r="C27208" s="16" t="n">
        <f aca="false">IF(C27197&gt;0,MIN(C27175,C27197*$C$27168),0)</f>
        <v>0</v>
      </c>
    </row>
    <row r="27209" customFormat="false" ht="15" hidden="false" customHeight="false" outlineLevel="0" collapsed="false">
      <c r="A27209" s="3" t="s">
        <v>562</v>
      </c>
      <c r="C27209" s="16" t="n">
        <f aca="false">IF(C27198&gt;0,MIN(C27176,C27198*$C$27168),0)</f>
        <v>0</v>
      </c>
    </row>
    <row r="27210" customFormat="false" ht="15" hidden="false" customHeight="false" outlineLevel="0" collapsed="false">
      <c r="A27210" s="3" t="s">
        <v>563</v>
      </c>
      <c r="C27210" s="16" t="n">
        <f aca="false">IF(C27199&gt;0,MIN(C27177,C27199*$C$27168),0)</f>
        <v>0</v>
      </c>
    </row>
    <row r="27211" customFormat="false" ht="15" hidden="false" customHeight="false" outlineLevel="0" collapsed="false">
      <c r="A27211" s="3" t="s">
        <v>564</v>
      </c>
      <c r="C27211" s="16" t="n">
        <f aca="false">IF(C27200&gt;0,MIN(C27178,C27200*$C$27168),0)</f>
        <v>0</v>
      </c>
    </row>
    <row r="27212" customFormat="false" ht="15" hidden="false" customHeight="false" outlineLevel="0" collapsed="false">
      <c r="A27212" s="3" t="s">
        <v>565</v>
      </c>
      <c r="C27212" s="16" t="n">
        <f aca="false">IF(C27201&gt;0,MIN(C27179,C27201*$C$27168),0)</f>
        <v>0</v>
      </c>
    </row>
    <row r="27213" customFormat="false" ht="15" hidden="false" customHeight="false" outlineLevel="0" collapsed="false">
      <c r="A27213" s="24" t="s">
        <v>569</v>
      </c>
      <c r="B27213" s="25"/>
      <c r="C27213" s="25"/>
      <c r="D27213" s="25"/>
      <c r="E27213" s="25"/>
      <c r="F27213" s="25"/>
      <c r="G27213" s="25"/>
      <c r="H27213" s="25"/>
      <c r="I27213" s="25"/>
      <c r="J27213" s="25"/>
      <c r="K27213" s="25"/>
    </row>
    <row r="27214" customFormat="false" ht="15" hidden="false" customHeight="false" outlineLevel="0" collapsed="false">
      <c r="A27214" s="3" t="s">
        <v>556</v>
      </c>
      <c r="C27214" s="16" t="n">
        <f aca="false">IF(C27192&gt;0,C27170-C27203,0)</f>
        <v>0</v>
      </c>
      <c r="G27214" s="21" t="n">
        <f aca="false">IF(AND(G26905=1,G26902=1),1,0)</f>
        <v>0</v>
      </c>
      <c r="H27214" s="21" t="n">
        <f aca="false">IF(G27214=1,1,IF(AND(H26905=1,H26902=1),1,0))</f>
        <v>0</v>
      </c>
      <c r="I27214" s="21" t="n">
        <f aca="false">IF(H27214=1,1,IF(AND(I26905=1,I26902=1),1,0))</f>
        <v>0</v>
      </c>
      <c r="J27214" s="21" t="n">
        <f aca="false">IF(I27214=1,1,IF(AND(J26905=1,J26902=1),1,0))</f>
        <v>0</v>
      </c>
      <c r="K27214" s="21" t="n">
        <f aca="false">IF(J27214=1,1,IF(AND(K26905=1,K26902=1),1,0))</f>
        <v>0</v>
      </c>
    </row>
    <row r="27215" customFormat="false" ht="15" hidden="false" customHeight="false" outlineLevel="0" collapsed="false">
      <c r="A27215" s="3" t="s">
        <v>557</v>
      </c>
      <c r="C27215" s="16" t="n">
        <f aca="false">IF(C27193&gt;0,C27171-C27204,0)</f>
        <v>0</v>
      </c>
      <c r="G27215" s="21" t="n">
        <f aca="false">IF(AND(G26918=1,G26902=1),1,0)</f>
        <v>0</v>
      </c>
      <c r="H27215" s="21" t="n">
        <f aca="false">IF(G27215=1,1,IF(AND(H26918=1,H26902=1),1,0))</f>
        <v>0</v>
      </c>
      <c r="I27215" s="21" t="n">
        <f aca="false">IF(H27215=1,1,IF(AND(I26918=1,I26902=1),1,0))</f>
        <v>0</v>
      </c>
      <c r="J27215" s="21" t="n">
        <f aca="false">IF(I27215=1,1,IF(AND(J26918=1,J26902=1),1,0))</f>
        <v>0</v>
      </c>
      <c r="K27215" s="21" t="n">
        <f aca="false">IF(J27215=1,1,IF(AND(K26918=1,K26902=1),1,0))</f>
        <v>0</v>
      </c>
    </row>
    <row r="27216" customFormat="false" ht="15" hidden="false" customHeight="false" outlineLevel="0" collapsed="false">
      <c r="A27216" s="3" t="s">
        <v>558</v>
      </c>
      <c r="C27216" s="16" t="n">
        <f aca="false">IF(C27194&gt;0,C27172-C27205,0)</f>
        <v>0</v>
      </c>
      <c r="G27216" s="21" t="n">
        <f aca="false">IF(AND(G26931=1,G26902=1),1,0)</f>
        <v>0</v>
      </c>
      <c r="H27216" s="21" t="n">
        <f aca="false">IF(G27216=1,1,IF(AND(H26931=1,H26902=1),1,0))</f>
        <v>0</v>
      </c>
      <c r="I27216" s="21" t="n">
        <f aca="false">IF(H27216=1,1,IF(AND(I26931=1,I26902=1),1,0))</f>
        <v>0</v>
      </c>
      <c r="J27216" s="21" t="n">
        <f aca="false">IF(I27216=1,1,IF(AND(J26931=1,J26902=1),1,0))</f>
        <v>0</v>
      </c>
      <c r="K27216" s="21" t="n">
        <f aca="false">IF(J27216=1,1,IF(AND(K26931=1,K26902=1),1,0))</f>
        <v>0</v>
      </c>
    </row>
    <row r="27217" customFormat="false" ht="15" hidden="false" customHeight="false" outlineLevel="0" collapsed="false">
      <c r="A27217" s="3" t="s">
        <v>559</v>
      </c>
      <c r="C27217" s="16" t="n">
        <f aca="false">IF(C27195&gt;0,C27173-C27206,0)</f>
        <v>0</v>
      </c>
      <c r="G27217" s="21" t="n">
        <f aca="false">IF(AND(G26944=1,G26902=1),1,0)</f>
        <v>0</v>
      </c>
      <c r="H27217" s="21" t="n">
        <f aca="false">IF(G27217=1,1,IF(AND(H26944=1,H26902=1),1,0))</f>
        <v>0</v>
      </c>
      <c r="I27217" s="21" t="n">
        <f aca="false">IF(H27217=1,1,IF(AND(I26944=1,I26902=1),1,0))</f>
        <v>0</v>
      </c>
      <c r="J27217" s="21" t="n">
        <f aca="false">IF(I27217=1,1,IF(AND(J26944=1,J26902=1),1,0))</f>
        <v>0</v>
      </c>
      <c r="K27217" s="21" t="n">
        <f aca="false">IF(J27217=1,1,IF(AND(K26944=1,K26902=1),1,0))</f>
        <v>0</v>
      </c>
    </row>
    <row r="27218" customFormat="false" ht="15" hidden="false" customHeight="false" outlineLevel="0" collapsed="false">
      <c r="A27218" s="3" t="s">
        <v>560</v>
      </c>
      <c r="C27218" s="16" t="n">
        <f aca="false">IF(C27196&gt;0,C27174-C27207,0)</f>
        <v>0</v>
      </c>
      <c r="G27218" s="21" t="n">
        <f aca="false">IF(AND(G26957=1,G26902=1),1,0)</f>
        <v>0</v>
      </c>
      <c r="H27218" s="21" t="n">
        <f aca="false">IF(G27218=1,1,IF(AND(H26957=1,H26902=1),1,0))</f>
        <v>0</v>
      </c>
      <c r="I27218" s="21" t="n">
        <f aca="false">IF(H27218=1,1,IF(AND(I26957=1,I26902=1),1,0))</f>
        <v>0</v>
      </c>
      <c r="J27218" s="21" t="n">
        <f aca="false">IF(I27218=1,1,IF(AND(J26957=1,J26902=1),1,0))</f>
        <v>0</v>
      </c>
      <c r="K27218" s="21" t="n">
        <f aca="false">IF(J27218=1,1,IF(AND(K26957=1,K26902=1),1,0))</f>
        <v>0</v>
      </c>
    </row>
    <row r="27219" customFormat="false" ht="15" hidden="false" customHeight="false" outlineLevel="0" collapsed="false">
      <c r="A27219" s="3" t="s">
        <v>561</v>
      </c>
      <c r="C27219" s="16" t="n">
        <f aca="false">IF(C27197&gt;0,C27175-C27208,0)</f>
        <v>0</v>
      </c>
      <c r="G27219" s="21" t="n">
        <f aca="false">IF(AND(G26970=1,G26902=1),1,0)</f>
        <v>0</v>
      </c>
      <c r="H27219" s="21" t="n">
        <f aca="false">IF(G27219=1,1,IF(AND(H26970=1,H26902=1),1,0))</f>
        <v>0</v>
      </c>
      <c r="I27219" s="21" t="n">
        <f aca="false">IF(H27219=1,1,IF(AND(I26970=1,I26902=1),1,0))</f>
        <v>0</v>
      </c>
      <c r="J27219" s="21" t="n">
        <f aca="false">IF(I27219=1,1,IF(AND(J26970=1,J26902=1),1,0))</f>
        <v>0</v>
      </c>
      <c r="K27219" s="21" t="n">
        <f aca="false">IF(J27219=1,1,IF(AND(K26970=1,K26902=1),1,0))</f>
        <v>0</v>
      </c>
    </row>
    <row r="27220" customFormat="false" ht="15" hidden="false" customHeight="false" outlineLevel="0" collapsed="false">
      <c r="A27220" s="3" t="s">
        <v>562</v>
      </c>
      <c r="C27220" s="16" t="n">
        <f aca="false">IF(C27198&gt;0,C27176-C27209,0)</f>
        <v>0</v>
      </c>
      <c r="G27220" s="21" t="n">
        <f aca="false">IF(AND(G26983=1,G26902=1),1,0)</f>
        <v>0</v>
      </c>
      <c r="H27220" s="21" t="n">
        <f aca="false">IF(G27220=1,1,IF(AND(H26983=1,H26902=1),1,0))</f>
        <v>0</v>
      </c>
      <c r="I27220" s="21" t="n">
        <f aca="false">IF(H27220=1,1,IF(AND(I26983=1,I26902=1),1,0))</f>
        <v>0</v>
      </c>
      <c r="J27220" s="21" t="n">
        <f aca="false">IF(I27220=1,1,IF(AND(J26983=1,J26902=1),1,0))</f>
        <v>0</v>
      </c>
      <c r="K27220" s="21" t="n">
        <f aca="false">IF(J27220=1,1,IF(AND(K26983=1,K26902=1),1,0))</f>
        <v>0</v>
      </c>
    </row>
    <row r="27221" customFormat="false" ht="15" hidden="false" customHeight="false" outlineLevel="0" collapsed="false">
      <c r="A27221" s="3" t="s">
        <v>563</v>
      </c>
      <c r="C27221" s="16" t="n">
        <f aca="false">IF(C27199&gt;0,C27177-C27210,0)</f>
        <v>0</v>
      </c>
      <c r="G27221" s="21" t="n">
        <f aca="false">IF(AND(G26996=1,G26902=1),1,0)</f>
        <v>0</v>
      </c>
      <c r="H27221" s="21" t="n">
        <f aca="false">IF(G27221=1,1,IF(AND(H26996=1,H26902=1),1,0))</f>
        <v>0</v>
      </c>
      <c r="I27221" s="21" t="n">
        <f aca="false">IF(H27221=1,1,IF(AND(I26996=1,I26902=1),1,0))</f>
        <v>0</v>
      </c>
      <c r="J27221" s="21" t="n">
        <f aca="false">IF(I27221=1,1,IF(AND(J26996=1,J26902=1),1,0))</f>
        <v>0</v>
      </c>
      <c r="K27221" s="21" t="n">
        <f aca="false">IF(J27221=1,1,IF(AND(K26996=1,K26902=1),1,0))</f>
        <v>0</v>
      </c>
    </row>
    <row r="27222" customFormat="false" ht="15" hidden="false" customHeight="false" outlineLevel="0" collapsed="false">
      <c r="A27222" s="3" t="s">
        <v>564</v>
      </c>
      <c r="C27222" s="16" t="n">
        <f aca="false">IF(C27200&gt;0,C27178-C27211,0)</f>
        <v>0</v>
      </c>
      <c r="G27222" s="21" t="n">
        <f aca="false">IF(AND(G27009=1,G26902=1),1,0)</f>
        <v>0</v>
      </c>
      <c r="H27222" s="21" t="n">
        <f aca="false">IF(G27222=1,1,IF(AND(H27009=1,H26902=1),1,0))</f>
        <v>0</v>
      </c>
      <c r="I27222" s="21" t="n">
        <f aca="false">IF(H27222=1,1,IF(AND(I27009=1,I26902=1),1,0))</f>
        <v>0</v>
      </c>
      <c r="J27222" s="21" t="n">
        <f aca="false">IF(I27222=1,1,IF(AND(J27009=1,J26902=1),1,0))</f>
        <v>0</v>
      </c>
      <c r="K27222" s="21" t="n">
        <f aca="false">IF(J27222=1,1,IF(AND(K27009=1,K26902=1),1,0))</f>
        <v>0</v>
      </c>
    </row>
    <row r="27223" customFormat="false" ht="15" hidden="false" customHeight="false" outlineLevel="0" collapsed="false">
      <c r="A27223" s="3" t="s">
        <v>565</v>
      </c>
      <c r="C27223" s="16" t="n">
        <f aca="false">IF(C27201&gt;0,C27179-C27212,0)</f>
        <v>0</v>
      </c>
      <c r="G27223" s="21" t="n">
        <f aca="false">IF(AND(G27022=1,G26902=1),1,0)</f>
        <v>0</v>
      </c>
      <c r="H27223" s="21" t="n">
        <f aca="false">IF(G27223=1,1,IF(AND(H27022=1,H26902=1),1,0))</f>
        <v>0</v>
      </c>
      <c r="I27223" s="21" t="n">
        <f aca="false">IF(H27223=1,1,IF(AND(I27022=1,I26902=1),1,0))</f>
        <v>0</v>
      </c>
      <c r="J27223" s="21" t="n">
        <f aca="false">IF(I27223=1,1,IF(AND(J27022=1,J26902=1),1,0))</f>
        <v>0</v>
      </c>
      <c r="K27223" s="21" t="n">
        <f aca="false">IF(J27223=1,1,IF(AND(K27022=1,K26902=1),1,0))</f>
        <v>0</v>
      </c>
    </row>
    <row r="27224" customFormat="false" ht="15" hidden="false" customHeight="false" outlineLevel="0" collapsed="false">
      <c r="A27224" s="24" t="s">
        <v>570</v>
      </c>
      <c r="B27224" s="25"/>
      <c r="C27224" s="25"/>
      <c r="D27224" s="25"/>
      <c r="E27224" s="25"/>
      <c r="F27224" s="25"/>
      <c r="G27224" s="25"/>
      <c r="H27224" s="25"/>
      <c r="I27224" s="25"/>
      <c r="J27224" s="25"/>
      <c r="K27224" s="25"/>
    </row>
    <row r="27225" customFormat="false" ht="15" hidden="false" customHeight="false" outlineLevel="0" collapsed="false">
      <c r="A27225" s="3" t="s">
        <v>556</v>
      </c>
      <c r="C27225" s="16" t="n">
        <f aca="false">IF(C27192&gt;0,C27214,C27170)</f>
        <v>0</v>
      </c>
    </row>
    <row r="27226" customFormat="false" ht="15" hidden="false" customHeight="false" outlineLevel="0" collapsed="false">
      <c r="A27226" s="3" t="s">
        <v>557</v>
      </c>
      <c r="C27226" s="16" t="n">
        <f aca="false">IF(C27193&gt;0,C27215,C27171)</f>
        <v>0</v>
      </c>
    </row>
    <row r="27227" customFormat="false" ht="15" hidden="false" customHeight="false" outlineLevel="0" collapsed="false">
      <c r="A27227" s="3" t="s">
        <v>558</v>
      </c>
      <c r="C27227" s="16" t="n">
        <f aca="false">IF(C27194&gt;0,C27216,C27172)</f>
        <v>0</v>
      </c>
    </row>
    <row r="27228" customFormat="false" ht="15" hidden="false" customHeight="false" outlineLevel="0" collapsed="false">
      <c r="A27228" s="3" t="s">
        <v>559</v>
      </c>
      <c r="C27228" s="16" t="n">
        <f aca="false">IF(C27195&gt;0,C27217,C27173)</f>
        <v>0</v>
      </c>
    </row>
    <row r="27229" customFormat="false" ht="15" hidden="false" customHeight="false" outlineLevel="0" collapsed="false">
      <c r="A27229" s="3" t="s">
        <v>560</v>
      </c>
      <c r="C27229" s="16" t="n">
        <f aca="false">IF(C27196&gt;0,C27218,C27174)</f>
        <v>415.036971140075</v>
      </c>
    </row>
    <row r="27230" customFormat="false" ht="15" hidden="false" customHeight="false" outlineLevel="0" collapsed="false">
      <c r="A27230" s="3" t="s">
        <v>561</v>
      </c>
      <c r="C27230" s="16" t="n">
        <f aca="false">IF(C27197&gt;0,C27219,C27175)</f>
        <v>357.2625</v>
      </c>
    </row>
    <row r="27231" customFormat="false" ht="15" hidden="false" customHeight="false" outlineLevel="0" collapsed="false">
      <c r="A27231" s="3" t="s">
        <v>562</v>
      </c>
      <c r="C27231" s="16" t="n">
        <f aca="false">IF(C27198&gt;0,C27220,C27176)</f>
        <v>562.203125</v>
      </c>
    </row>
    <row r="27232" customFormat="false" ht="15" hidden="false" customHeight="false" outlineLevel="0" collapsed="false">
      <c r="A27232" s="3" t="s">
        <v>563</v>
      </c>
      <c r="C27232" s="16" t="n">
        <f aca="false">IF(C27199&gt;0,C27221,C27177)</f>
        <v>353.98125</v>
      </c>
    </row>
    <row r="27233" customFormat="false" ht="15" hidden="false" customHeight="false" outlineLevel="0" collapsed="false">
      <c r="A27233" s="3" t="s">
        <v>564</v>
      </c>
      <c r="C27233" s="16" t="n">
        <f aca="false">IF(C27200&gt;0,C27222,C27178)</f>
        <v>304.59375</v>
      </c>
    </row>
    <row r="27234" customFormat="false" ht="15" hidden="false" customHeight="false" outlineLevel="0" collapsed="false">
      <c r="A27234" s="3" t="s">
        <v>565</v>
      </c>
      <c r="C27234" s="16" t="n">
        <f aca="false">IF(C27201&gt;0,C27223,C27179)</f>
        <v>80.135034</v>
      </c>
    </row>
    <row r="27235" customFormat="false" ht="15" hidden="false" customHeight="false" outlineLevel="0" collapsed="false">
      <c r="A27235" s="24" t="s">
        <v>571</v>
      </c>
      <c r="B27235" s="25"/>
      <c r="C27235" s="25"/>
      <c r="D27235" s="25"/>
      <c r="E27235" s="25"/>
      <c r="F27235" s="25"/>
      <c r="G27235" s="25"/>
      <c r="H27235" s="25"/>
      <c r="I27235" s="25"/>
      <c r="J27235" s="25"/>
      <c r="K27235" s="25"/>
    </row>
    <row r="27236" customFormat="false" ht="15" hidden="false" customHeight="false" outlineLevel="0" collapsed="false">
      <c r="A27236" s="3" t="s">
        <v>556</v>
      </c>
      <c r="C27236" s="21" t="n">
        <f aca="false">IF(C27192&gt;0,Assumptions!$C$17,C27181)</f>
        <v>99</v>
      </c>
    </row>
    <row r="27237" customFormat="false" ht="15" hidden="false" customHeight="false" outlineLevel="0" collapsed="false">
      <c r="A27237" s="3" t="s">
        <v>557</v>
      </c>
      <c r="C27237" s="21" t="n">
        <f aca="false">IF(C27193&gt;0,Assumptions!$C$17,C27182)</f>
        <v>99</v>
      </c>
    </row>
    <row r="27238" customFormat="false" ht="15" hidden="false" customHeight="false" outlineLevel="0" collapsed="false">
      <c r="A27238" s="3" t="s">
        <v>558</v>
      </c>
      <c r="C27238" s="21" t="n">
        <f aca="false">IF(C27194&gt;0,Assumptions!$C$17,C27183)</f>
        <v>99</v>
      </c>
    </row>
    <row r="27239" customFormat="false" ht="15" hidden="false" customHeight="false" outlineLevel="0" collapsed="false">
      <c r="A27239" s="3" t="s">
        <v>559</v>
      </c>
      <c r="C27239" s="21" t="n">
        <f aca="false">IF(C27195&gt;0,Assumptions!$C$17,C27184)</f>
        <v>2</v>
      </c>
    </row>
    <row r="27240" customFormat="false" ht="15" hidden="false" customHeight="false" outlineLevel="0" collapsed="false">
      <c r="A27240" s="3" t="s">
        <v>560</v>
      </c>
      <c r="C27240" s="21" t="n">
        <f aca="false">IF(C27196&gt;0,Assumptions!$C$17,C27185)</f>
        <v>2</v>
      </c>
    </row>
    <row r="27241" customFormat="false" ht="15" hidden="false" customHeight="false" outlineLevel="0" collapsed="false">
      <c r="A27241" s="3" t="s">
        <v>561</v>
      </c>
      <c r="C27241" s="21" t="n">
        <f aca="false">IF(C27197&gt;0,Assumptions!$C$17,C27186)</f>
        <v>2</v>
      </c>
    </row>
    <row r="27242" customFormat="false" ht="15" hidden="false" customHeight="false" outlineLevel="0" collapsed="false">
      <c r="A27242" s="3" t="s">
        <v>562</v>
      </c>
      <c r="C27242" s="21" t="n">
        <f aca="false">IF(C27198&gt;0,Assumptions!$C$17,C27187)</f>
        <v>2</v>
      </c>
    </row>
    <row r="27243" customFormat="false" ht="15" hidden="false" customHeight="false" outlineLevel="0" collapsed="false">
      <c r="A27243" s="3" t="s">
        <v>563</v>
      </c>
      <c r="C27243" s="21" t="n">
        <f aca="false">IF(C27199&gt;0,Assumptions!$C$17,C27188)</f>
        <v>2</v>
      </c>
    </row>
    <row r="27244" customFormat="false" ht="15" hidden="false" customHeight="false" outlineLevel="0" collapsed="false">
      <c r="A27244" s="3" t="s">
        <v>564</v>
      </c>
      <c r="C27244" s="21" t="n">
        <f aca="false">IF(C27200&gt;0,Assumptions!$C$17,C27189)</f>
        <v>2</v>
      </c>
    </row>
    <row r="27245" customFormat="false" ht="15" hidden="false" customHeight="false" outlineLevel="0" collapsed="false">
      <c r="A27245" s="3" t="s">
        <v>565</v>
      </c>
      <c r="C27245" s="21" t="n">
        <f aca="false">IF(C27201&gt;0,Assumptions!$C$17,C27190)</f>
        <v>3</v>
      </c>
    </row>
    <row r="27246" customFormat="false" ht="15" hidden="false" customHeight="false" outlineLevel="0" collapsed="false">
      <c r="A27246" s="24" t="s">
        <v>572</v>
      </c>
      <c r="B27246" s="25"/>
      <c r="C27246" s="25"/>
      <c r="D27246" s="25"/>
      <c r="E27246" s="25"/>
      <c r="F27246" s="25"/>
      <c r="G27246" s="25"/>
      <c r="H27246" s="25"/>
      <c r="I27246" s="25"/>
      <c r="J27246" s="25"/>
      <c r="K27246" s="25"/>
    </row>
    <row r="27247" customFormat="false" ht="15" hidden="false" customHeight="false" outlineLevel="0" collapsed="false">
      <c r="A27247" s="3" t="s">
        <v>556</v>
      </c>
      <c r="C27247" s="16" t="n">
        <f aca="false">SUMPRODUCT(($C$27236:$C$27245&lt;C27236)*$C$27225:$C$27234)</f>
        <v>2073.21263014008</v>
      </c>
    </row>
    <row r="27248" customFormat="false" ht="15" hidden="false" customHeight="false" outlineLevel="0" collapsed="false">
      <c r="A27248" s="3" t="s">
        <v>557</v>
      </c>
      <c r="C27248" s="16" t="n">
        <f aca="false">SUMPRODUCT(($C$27236:$C$27245&lt;C27237)*$C$27225:$C$27234)</f>
        <v>2073.21263014008</v>
      </c>
    </row>
    <row r="27249" customFormat="false" ht="15" hidden="false" customHeight="false" outlineLevel="0" collapsed="false">
      <c r="A27249" s="3" t="s">
        <v>558</v>
      </c>
      <c r="C27249" s="16" t="n">
        <f aca="false">SUMPRODUCT(($C$27236:$C$27245&lt;C27238)*$C$27225:$C$27234)</f>
        <v>2073.21263014008</v>
      </c>
    </row>
    <row r="27250" customFormat="false" ht="15" hidden="false" customHeight="false" outlineLevel="0" collapsed="false">
      <c r="A27250" s="3" t="s">
        <v>559</v>
      </c>
      <c r="C27250" s="16" t="n">
        <f aca="false">SUMPRODUCT(($C$27236:$C$27245&lt;C27239)*$C$27225:$C$27234)</f>
        <v>0</v>
      </c>
    </row>
    <row r="27251" customFormat="false" ht="15" hidden="false" customHeight="false" outlineLevel="0" collapsed="false">
      <c r="A27251" s="3" t="s">
        <v>560</v>
      </c>
      <c r="C27251" s="16" t="n">
        <f aca="false">SUMPRODUCT(($C$27236:$C$27245&lt;C27240)*$C$27225:$C$27234)</f>
        <v>0</v>
      </c>
    </row>
    <row r="27252" customFormat="false" ht="15" hidden="false" customHeight="false" outlineLevel="0" collapsed="false">
      <c r="A27252" s="3" t="s">
        <v>561</v>
      </c>
      <c r="C27252" s="16" t="n">
        <f aca="false">SUMPRODUCT(($C$27236:$C$27245&lt;C27241)*$C$27225:$C$27234)</f>
        <v>0</v>
      </c>
    </row>
    <row r="27253" customFormat="false" ht="15" hidden="false" customHeight="false" outlineLevel="0" collapsed="false">
      <c r="A27253" s="3" t="s">
        <v>562</v>
      </c>
      <c r="C27253" s="16" t="n">
        <f aca="false">SUMPRODUCT(($C$27236:$C$27245&lt;C27242)*$C$27225:$C$27234)</f>
        <v>0</v>
      </c>
    </row>
    <row r="27254" customFormat="false" ht="15" hidden="false" customHeight="false" outlineLevel="0" collapsed="false">
      <c r="A27254" s="3" t="s">
        <v>563</v>
      </c>
      <c r="C27254" s="16" t="n">
        <f aca="false">SUMPRODUCT(($C$27236:$C$27245&lt;C27243)*$C$27225:$C$27234)</f>
        <v>0</v>
      </c>
    </row>
    <row r="27255" customFormat="false" ht="15" hidden="false" customHeight="false" outlineLevel="0" collapsed="false">
      <c r="A27255" s="3" t="s">
        <v>564</v>
      </c>
      <c r="C27255" s="16" t="n">
        <f aca="false">SUMPRODUCT(($C$27236:$C$27245&lt;C27244)*$C$27225:$C$27234)</f>
        <v>0</v>
      </c>
    </row>
    <row r="27256" customFormat="false" ht="15" hidden="false" customHeight="false" outlineLevel="0" collapsed="false">
      <c r="A27256" s="3" t="s">
        <v>565</v>
      </c>
      <c r="C27256" s="16" t="n">
        <f aca="false">SUMPRODUCT(($C$27236:$C$27245&lt;C27245)*$C$27225:$C$27234)</f>
        <v>1993.07759614007</v>
      </c>
    </row>
    <row r="27257" customFormat="false" ht="15" hidden="false" customHeight="false" outlineLevel="0" collapsed="false">
      <c r="A27257" s="24" t="s">
        <v>573</v>
      </c>
      <c r="B27257" s="25"/>
      <c r="C27257" s="25"/>
      <c r="D27257" s="25"/>
      <c r="E27257" s="25"/>
      <c r="F27257" s="25"/>
      <c r="G27257" s="25"/>
      <c r="H27257" s="25"/>
      <c r="I27257" s="25"/>
      <c r="J27257" s="25"/>
      <c r="K27257" s="25"/>
    </row>
    <row r="27258" customFormat="false" ht="15" hidden="false" customHeight="false" outlineLevel="0" collapsed="false">
      <c r="A27258" s="3" t="s">
        <v>556</v>
      </c>
      <c r="C27258" s="16" t="n">
        <f aca="false">SUMPRODUCT(($C$27236:$C$27245=C27236)*$C$27225:$C$27234)</f>
        <v>0</v>
      </c>
    </row>
    <row r="27259" customFormat="false" ht="15" hidden="false" customHeight="false" outlineLevel="0" collapsed="false">
      <c r="A27259" s="3" t="s">
        <v>557</v>
      </c>
      <c r="C27259" s="16" t="n">
        <f aca="false">SUMPRODUCT(($C$27236:$C$27245=C27237)*$C$27225:$C$27234)</f>
        <v>0</v>
      </c>
    </row>
    <row r="27260" customFormat="false" ht="15" hidden="false" customHeight="false" outlineLevel="0" collapsed="false">
      <c r="A27260" s="3" t="s">
        <v>558</v>
      </c>
      <c r="C27260" s="16" t="n">
        <f aca="false">SUMPRODUCT(($C$27236:$C$27245=C27238)*$C$27225:$C$27234)</f>
        <v>0</v>
      </c>
    </row>
    <row r="27261" customFormat="false" ht="15" hidden="false" customHeight="false" outlineLevel="0" collapsed="false">
      <c r="A27261" s="3" t="s">
        <v>559</v>
      </c>
      <c r="C27261" s="16" t="n">
        <f aca="false">SUMPRODUCT(($C$27236:$C$27245=C27239)*$C$27225:$C$27234)</f>
        <v>1993.07759614007</v>
      </c>
    </row>
    <row r="27262" customFormat="false" ht="15" hidden="false" customHeight="false" outlineLevel="0" collapsed="false">
      <c r="A27262" s="3" t="s">
        <v>560</v>
      </c>
      <c r="C27262" s="16" t="n">
        <f aca="false">SUMPRODUCT(($C$27236:$C$27245=C27240)*$C$27225:$C$27234)</f>
        <v>1993.07759614007</v>
      </c>
    </row>
    <row r="27263" customFormat="false" ht="15" hidden="false" customHeight="false" outlineLevel="0" collapsed="false">
      <c r="A27263" s="3" t="s">
        <v>561</v>
      </c>
      <c r="C27263" s="16" t="n">
        <f aca="false">SUMPRODUCT(($C$27236:$C$27245=C27241)*$C$27225:$C$27234)</f>
        <v>1993.07759614007</v>
      </c>
    </row>
    <row r="27264" customFormat="false" ht="15" hidden="false" customHeight="false" outlineLevel="0" collapsed="false">
      <c r="A27264" s="3" t="s">
        <v>562</v>
      </c>
      <c r="C27264" s="16" t="n">
        <f aca="false">SUMPRODUCT(($C$27236:$C$27245=C27242)*$C$27225:$C$27234)</f>
        <v>1993.07759614007</v>
      </c>
    </row>
    <row r="27265" customFormat="false" ht="15" hidden="false" customHeight="false" outlineLevel="0" collapsed="false">
      <c r="A27265" s="3" t="s">
        <v>563</v>
      </c>
      <c r="C27265" s="16" t="n">
        <f aca="false">SUMPRODUCT(($C$27236:$C$27245=C27243)*$C$27225:$C$27234)</f>
        <v>1993.07759614007</v>
      </c>
    </row>
    <row r="27266" customFormat="false" ht="15" hidden="false" customHeight="false" outlineLevel="0" collapsed="false">
      <c r="A27266" s="3" t="s">
        <v>564</v>
      </c>
      <c r="C27266" s="16" t="n">
        <f aca="false">SUMPRODUCT(($C$27236:$C$27245=C27244)*$C$27225:$C$27234)</f>
        <v>1993.07759614007</v>
      </c>
    </row>
    <row r="27267" customFormat="false" ht="15" hidden="false" customHeight="false" outlineLevel="0" collapsed="false">
      <c r="A27267" s="3" t="s">
        <v>565</v>
      </c>
      <c r="C27267" s="16" t="n">
        <f aca="false">SUMPRODUCT(($C$27236:$C$27245=C27245)*$C$27225:$C$27234)</f>
        <v>80.135034</v>
      </c>
    </row>
    <row r="27268" customFormat="false" ht="15" hidden="false" customHeight="false" outlineLevel="0" collapsed="false">
      <c r="A27268" s="24" t="s">
        <v>574</v>
      </c>
      <c r="B27268" s="25"/>
      <c r="C27268" s="25"/>
      <c r="D27268" s="25"/>
      <c r="E27268" s="25"/>
      <c r="F27268" s="25"/>
      <c r="G27268" s="25"/>
      <c r="H27268" s="25"/>
      <c r="I27268" s="25"/>
      <c r="J27268" s="25"/>
      <c r="K27268" s="25"/>
    </row>
    <row r="27269" customFormat="false" ht="15" hidden="false" customHeight="false" outlineLevel="0" collapsed="false">
      <c r="A27269" s="3" t="s">
        <v>556</v>
      </c>
      <c r="C27269" s="16" t="n">
        <f aca="false">IF(C27258=0,0,C27225/C27258*MAX(0,MIN(C27258,$C$27168-SUM($C$27203:$C$27212)-C27247)))</f>
        <v>0</v>
      </c>
    </row>
    <row r="27270" customFormat="false" ht="15" hidden="false" customHeight="false" outlineLevel="0" collapsed="false">
      <c r="A27270" s="3" t="s">
        <v>557</v>
      </c>
      <c r="C27270" s="16" t="n">
        <f aca="false">IF(C27259=0,0,C27226/C27259*MAX(0,MIN(C27259,$C$27168-SUM($C$27203:$C$27212)-C27248)))</f>
        <v>0</v>
      </c>
    </row>
    <row r="27271" customFormat="false" ht="15" hidden="false" customHeight="false" outlineLevel="0" collapsed="false">
      <c r="A27271" s="3" t="s">
        <v>558</v>
      </c>
      <c r="C27271" s="16" t="n">
        <f aca="false">IF(C27260=0,0,C27227/C27260*MAX(0,MIN(C27260,$C$27168-SUM($C$27203:$C$27212)-C27249)))</f>
        <v>0</v>
      </c>
    </row>
    <row r="27272" customFormat="false" ht="15" hidden="false" customHeight="false" outlineLevel="0" collapsed="false">
      <c r="A27272" s="3" t="s">
        <v>559</v>
      </c>
      <c r="C27272" s="16" t="n">
        <f aca="false">IF(C27261=0,0,C27228/C27261*MAX(0,MIN(C27261,$C$27168-SUM($C$27203:$C$27212)-C27250)))</f>
        <v>0</v>
      </c>
    </row>
    <row r="27273" customFormat="false" ht="15" hidden="false" customHeight="false" outlineLevel="0" collapsed="false">
      <c r="A27273" s="3" t="s">
        <v>560</v>
      </c>
      <c r="C27273" s="16" t="n">
        <f aca="false">IF(C27262=0,0,C27229/C27262*MAX(0,MIN(C27262,$C$27168-SUM($C$27203:$C$27212)-C27251)))</f>
        <v>415.036971140075</v>
      </c>
    </row>
    <row r="27274" customFormat="false" ht="15" hidden="false" customHeight="false" outlineLevel="0" collapsed="false">
      <c r="A27274" s="3" t="s">
        <v>561</v>
      </c>
      <c r="C27274" s="16" t="n">
        <f aca="false">IF(C27263=0,0,C27230/C27263*MAX(0,MIN(C27263,$C$27168-SUM($C$27203:$C$27212)-C27252)))</f>
        <v>357.2625</v>
      </c>
    </row>
    <row r="27275" customFormat="false" ht="15" hidden="false" customHeight="false" outlineLevel="0" collapsed="false">
      <c r="A27275" s="3" t="s">
        <v>562</v>
      </c>
      <c r="C27275" s="16" t="n">
        <f aca="false">IF(C27264=0,0,C27231/C27264*MAX(0,MIN(C27264,$C$27168-SUM($C$27203:$C$27212)-C27253)))</f>
        <v>562.203125</v>
      </c>
    </row>
    <row r="27276" customFormat="false" ht="15" hidden="false" customHeight="false" outlineLevel="0" collapsed="false">
      <c r="A27276" s="3" t="s">
        <v>563</v>
      </c>
      <c r="C27276" s="16" t="n">
        <f aca="false">IF(C27265=0,0,C27232/C27265*MAX(0,MIN(C27265,$C$27168-SUM($C$27203:$C$27212)-C27254)))</f>
        <v>353.98125</v>
      </c>
    </row>
    <row r="27277" customFormat="false" ht="15" hidden="false" customHeight="false" outlineLevel="0" collapsed="false">
      <c r="A27277" s="3" t="s">
        <v>564</v>
      </c>
      <c r="C27277" s="16" t="n">
        <f aca="false">IF(C27266=0,0,C27233/C27266*MAX(0,MIN(C27266,$C$27168-SUM($C$27203:$C$27212)-C27255)))</f>
        <v>304.59375</v>
      </c>
    </row>
    <row r="27278" customFormat="false" ht="15" hidden="false" customHeight="false" outlineLevel="0" collapsed="false">
      <c r="A27278" s="3" t="s">
        <v>565</v>
      </c>
      <c r="C27278" s="16" t="n">
        <f aca="false">IF(C27267=0,0,C27234/C27267*MAX(0,MIN(C27267,$C$27168-SUM($C$27203:$C$27212)-C27256)))</f>
        <v>80.135034</v>
      </c>
    </row>
    <row r="27279" customFormat="false" ht="15" hidden="false" customHeight="false" outlineLevel="0" collapsed="false">
      <c r="A27279" s="24" t="s">
        <v>575</v>
      </c>
      <c r="B27279" s="25"/>
      <c r="C27279" s="25"/>
      <c r="D27279" s="25"/>
      <c r="E27279" s="25"/>
      <c r="F27279" s="25"/>
      <c r="G27279" s="25"/>
      <c r="H27279" s="25"/>
      <c r="I27279" s="25"/>
      <c r="J27279" s="25"/>
      <c r="K27279" s="25"/>
    </row>
    <row r="27280" customFormat="false" ht="15" hidden="false" customHeight="false" outlineLevel="0" collapsed="false">
      <c r="A27280" s="2" t="s">
        <v>556</v>
      </c>
      <c r="C27280" s="17" t="n">
        <f aca="false">C27203+C27269</f>
        <v>403.27</v>
      </c>
    </row>
    <row r="27281" customFormat="false" ht="15" hidden="false" customHeight="false" outlineLevel="0" collapsed="false">
      <c r="A27281" s="2" t="s">
        <v>557</v>
      </c>
      <c r="C27281" s="17" t="n">
        <f aca="false">C27204+C27270</f>
        <v>91.30725</v>
      </c>
    </row>
    <row r="27282" customFormat="false" ht="15" hidden="false" customHeight="false" outlineLevel="0" collapsed="false">
      <c r="A27282" s="2" t="s">
        <v>558</v>
      </c>
      <c r="C27282" s="17" t="n">
        <f aca="false">C27205+C27271</f>
        <v>58.3715961</v>
      </c>
    </row>
    <row r="27283" customFormat="false" ht="15" hidden="false" customHeight="false" outlineLevel="0" collapsed="false">
      <c r="A27283" s="2" t="s">
        <v>559</v>
      </c>
      <c r="C27283" s="17" t="n">
        <f aca="false">C27206+C27272</f>
        <v>0</v>
      </c>
    </row>
    <row r="27284" customFormat="false" ht="15" hidden="false" customHeight="false" outlineLevel="0" collapsed="false">
      <c r="A27284" s="2" t="s">
        <v>560</v>
      </c>
      <c r="C27284" s="17" t="n">
        <f aca="false">C27207+C27273</f>
        <v>415.036971140075</v>
      </c>
    </row>
    <row r="27285" customFormat="false" ht="15" hidden="false" customHeight="false" outlineLevel="0" collapsed="false">
      <c r="A27285" s="2" t="s">
        <v>561</v>
      </c>
      <c r="C27285" s="17" t="n">
        <f aca="false">C27208+C27274</f>
        <v>357.2625</v>
      </c>
    </row>
    <row r="27286" customFormat="false" ht="15" hidden="false" customHeight="false" outlineLevel="0" collapsed="false">
      <c r="A27286" s="2" t="s">
        <v>562</v>
      </c>
      <c r="C27286" s="17" t="n">
        <f aca="false">C27209+C27275</f>
        <v>562.203125</v>
      </c>
    </row>
    <row r="27287" customFormat="false" ht="15" hidden="false" customHeight="false" outlineLevel="0" collapsed="false">
      <c r="A27287" s="2" t="s">
        <v>563</v>
      </c>
      <c r="C27287" s="17" t="n">
        <f aca="false">C27210+C27276</f>
        <v>353.98125</v>
      </c>
    </row>
    <row r="27288" customFormat="false" ht="15" hidden="false" customHeight="false" outlineLevel="0" collapsed="false">
      <c r="A27288" s="2" t="s">
        <v>564</v>
      </c>
      <c r="C27288" s="17" t="n">
        <f aca="false">C27211+C27277</f>
        <v>304.59375</v>
      </c>
    </row>
    <row r="27289" customFormat="false" ht="15" hidden="false" customHeight="false" outlineLevel="0" collapsed="false">
      <c r="A27289" s="2" t="s">
        <v>565</v>
      </c>
      <c r="C27289" s="17" t="n">
        <f aca="false">C27212+C27278</f>
        <v>80.135034</v>
      </c>
    </row>
    <row r="27290" customFormat="false" ht="15" hidden="false" customHeight="false" outlineLevel="0" collapsed="false">
      <c r="A27290" s="24" t="s">
        <v>576</v>
      </c>
      <c r="B27290" s="25"/>
      <c r="C27290" s="25"/>
      <c r="D27290" s="25"/>
      <c r="E27290" s="25"/>
      <c r="F27290" s="25"/>
      <c r="G27290" s="25"/>
      <c r="H27290" s="25"/>
      <c r="I27290" s="25"/>
      <c r="J27290" s="25"/>
      <c r="K27290" s="25"/>
    </row>
    <row r="27291" customFormat="false" ht="15" hidden="false" customHeight="false" outlineLevel="0" collapsed="false">
      <c r="A27291" s="3" t="s">
        <v>556</v>
      </c>
      <c r="C27291" s="22" t="n">
        <f aca="false">IF(C27170=0,1,C27280/C27170)</f>
        <v>1</v>
      </c>
    </row>
    <row r="27292" customFormat="false" ht="15" hidden="false" customHeight="false" outlineLevel="0" collapsed="false">
      <c r="A27292" s="3" t="s">
        <v>557</v>
      </c>
      <c r="C27292" s="22" t="n">
        <f aca="false">IF(C27171=0,1,C27281/C27171)</f>
        <v>1</v>
      </c>
    </row>
    <row r="27293" customFormat="false" ht="15" hidden="false" customHeight="false" outlineLevel="0" collapsed="false">
      <c r="A27293" s="3" t="s">
        <v>558</v>
      </c>
      <c r="C27293" s="22" t="n">
        <f aca="false">IF(C27172=0,1,C27282/C27172)</f>
        <v>1</v>
      </c>
    </row>
    <row r="27294" customFormat="false" ht="15" hidden="false" customHeight="false" outlineLevel="0" collapsed="false">
      <c r="A27294" s="3" t="s">
        <v>559</v>
      </c>
      <c r="C27294" s="22" t="n">
        <f aca="false">IF(C27173=0,1,C27283/C27173)</f>
        <v>1</v>
      </c>
    </row>
    <row r="27295" customFormat="false" ht="15" hidden="false" customHeight="false" outlineLevel="0" collapsed="false">
      <c r="A27295" s="3" t="s">
        <v>560</v>
      </c>
      <c r="C27295" s="22" t="n">
        <f aca="false">IF(C27174=0,1,C27284/C27174)</f>
        <v>1</v>
      </c>
    </row>
    <row r="27296" customFormat="false" ht="15" hidden="false" customHeight="false" outlineLevel="0" collapsed="false">
      <c r="A27296" s="3" t="s">
        <v>561</v>
      </c>
      <c r="C27296" s="22" t="n">
        <f aca="false">IF(C27175=0,1,C27285/C27175)</f>
        <v>1</v>
      </c>
    </row>
    <row r="27297" customFormat="false" ht="15" hidden="false" customHeight="false" outlineLevel="0" collapsed="false">
      <c r="A27297" s="3" t="s">
        <v>562</v>
      </c>
      <c r="C27297" s="22" t="n">
        <f aca="false">IF(C27176=0,1,C27286/C27176)</f>
        <v>1</v>
      </c>
    </row>
    <row r="27298" customFormat="false" ht="15" hidden="false" customHeight="false" outlineLevel="0" collapsed="false">
      <c r="A27298" s="3" t="s">
        <v>563</v>
      </c>
      <c r="C27298" s="22" t="n">
        <f aca="false">IF(C27177=0,1,C27287/C27177)</f>
        <v>1</v>
      </c>
    </row>
    <row r="27299" customFormat="false" ht="15" hidden="false" customHeight="false" outlineLevel="0" collapsed="false">
      <c r="A27299" s="3" t="s">
        <v>564</v>
      </c>
      <c r="C27299" s="22" t="n">
        <f aca="false">IF(C27178=0,1,C27288/C27178)</f>
        <v>1</v>
      </c>
    </row>
    <row r="27300" customFormat="false" ht="15" hidden="false" customHeight="false" outlineLevel="0" collapsed="false">
      <c r="A27300" s="3" t="s">
        <v>565</v>
      </c>
      <c r="C27300" s="22" t="n">
        <f aca="false">IF(C27179=0,1,C27289/C27179)</f>
        <v>1</v>
      </c>
    </row>
    <row r="27301" customFormat="false" ht="15" hidden="false" customHeight="false" outlineLevel="0" collapsed="false">
      <c r="A27301" s="24" t="s">
        <v>577</v>
      </c>
      <c r="B27301" s="25"/>
      <c r="C27301" s="25"/>
      <c r="D27301" s="25"/>
      <c r="E27301" s="25"/>
      <c r="F27301" s="25"/>
      <c r="G27301" s="25"/>
      <c r="H27301" s="25"/>
      <c r="I27301" s="25"/>
      <c r="J27301" s="25"/>
      <c r="K27301" s="25"/>
    </row>
    <row r="27302" customFormat="false" ht="15" hidden="false" customHeight="false" outlineLevel="0" collapsed="false">
      <c r="A27302" s="3" t="s">
        <v>556</v>
      </c>
      <c r="C27302" s="16" t="n">
        <f aca="false">C27170-C27280</f>
        <v>0</v>
      </c>
    </row>
    <row r="27303" customFormat="false" ht="15" hidden="false" customHeight="false" outlineLevel="0" collapsed="false">
      <c r="A27303" s="3" t="s">
        <v>557</v>
      </c>
      <c r="C27303" s="16" t="n">
        <f aca="false">C27171-C27281</f>
        <v>0</v>
      </c>
    </row>
    <row r="27304" customFormat="false" ht="15" hidden="false" customHeight="false" outlineLevel="0" collapsed="false">
      <c r="A27304" s="3" t="s">
        <v>558</v>
      </c>
      <c r="C27304" s="16" t="n">
        <f aca="false">C27172-C27282</f>
        <v>0</v>
      </c>
    </row>
    <row r="27305" customFormat="false" ht="15" hidden="false" customHeight="false" outlineLevel="0" collapsed="false">
      <c r="A27305" s="3" t="s">
        <v>559</v>
      </c>
      <c r="C27305" s="16" t="n">
        <f aca="false">C27173-C27283</f>
        <v>0</v>
      </c>
    </row>
    <row r="27306" customFormat="false" ht="15" hidden="false" customHeight="false" outlineLevel="0" collapsed="false">
      <c r="A27306" s="3" t="s">
        <v>560</v>
      </c>
      <c r="C27306" s="16" t="n">
        <f aca="false">C27174-C27284</f>
        <v>0</v>
      </c>
    </row>
    <row r="27307" customFormat="false" ht="15" hidden="false" customHeight="false" outlineLevel="0" collapsed="false">
      <c r="A27307" s="3" t="s">
        <v>561</v>
      </c>
      <c r="C27307" s="16" t="n">
        <f aca="false">C27175-C27285</f>
        <v>0</v>
      </c>
    </row>
    <row r="27308" customFormat="false" ht="15" hidden="false" customHeight="false" outlineLevel="0" collapsed="false">
      <c r="A27308" s="3" t="s">
        <v>562</v>
      </c>
      <c r="C27308" s="16" t="n">
        <f aca="false">C27176-C27286</f>
        <v>0</v>
      </c>
    </row>
    <row r="27309" customFormat="false" ht="15" hidden="false" customHeight="false" outlineLevel="0" collapsed="false">
      <c r="A27309" s="3" t="s">
        <v>563</v>
      </c>
      <c r="C27309" s="16" t="n">
        <f aca="false">C27177-C27287</f>
        <v>0</v>
      </c>
    </row>
    <row r="27310" customFormat="false" ht="15" hidden="false" customHeight="false" outlineLevel="0" collapsed="false">
      <c r="A27310" s="3" t="s">
        <v>564</v>
      </c>
      <c r="C27310" s="16" t="n">
        <f aca="false">C27178-C27288</f>
        <v>0</v>
      </c>
    </row>
    <row r="27311" customFormat="false" ht="15" hidden="false" customHeight="false" outlineLevel="0" collapsed="false">
      <c r="A27311" s="3" t="s">
        <v>565</v>
      </c>
      <c r="C27311" s="16" t="n">
        <f aca="false">C27179-C27289</f>
        <v>0</v>
      </c>
    </row>
    <row r="27312" customFormat="false" ht="15" hidden="false" customHeight="false" outlineLevel="0" collapsed="false">
      <c r="A27312" s="24" t="s">
        <v>578</v>
      </c>
      <c r="B27312" s="25"/>
      <c r="C27312" s="25"/>
      <c r="D27312" s="25"/>
      <c r="E27312" s="25"/>
      <c r="F27312" s="25"/>
      <c r="G27312" s="25"/>
      <c r="H27312" s="25"/>
      <c r="I27312" s="25"/>
      <c r="J27312" s="25"/>
      <c r="K27312" s="25"/>
    </row>
    <row r="27313" customFormat="false" ht="15" hidden="false" customHeight="false" outlineLevel="0" collapsed="false">
      <c r="A27313" s="3" t="s">
        <v>556</v>
      </c>
      <c r="C27313" s="22" t="n">
        <f aca="false">IF(C27170=0,0,C27302/C27170)</f>
        <v>0</v>
      </c>
    </row>
    <row r="27314" customFormat="false" ht="15" hidden="false" customHeight="false" outlineLevel="0" collapsed="false">
      <c r="A27314" s="3" t="s">
        <v>557</v>
      </c>
      <c r="C27314" s="22" t="n">
        <f aca="false">IF(C27171=0,0,C27303/C27171)</f>
        <v>0</v>
      </c>
    </row>
    <row r="27315" customFormat="false" ht="15" hidden="false" customHeight="false" outlineLevel="0" collapsed="false">
      <c r="A27315" s="3" t="s">
        <v>558</v>
      </c>
      <c r="C27315" s="22" t="n">
        <f aca="false">IF(C27172=0,0,C27304/C27172)</f>
        <v>0</v>
      </c>
    </row>
    <row r="27316" customFormat="false" ht="15" hidden="false" customHeight="false" outlineLevel="0" collapsed="false">
      <c r="A27316" s="3" t="s">
        <v>559</v>
      </c>
      <c r="C27316" s="22" t="n">
        <f aca="false">IF(C27173=0,0,C27305/C27173)</f>
        <v>0</v>
      </c>
    </row>
    <row r="27317" customFormat="false" ht="15" hidden="false" customHeight="false" outlineLevel="0" collapsed="false">
      <c r="A27317" s="3" t="s">
        <v>560</v>
      </c>
      <c r="C27317" s="22" t="n">
        <f aca="false">IF(C27174=0,0,C27306/C27174)</f>
        <v>0</v>
      </c>
    </row>
    <row r="27318" customFormat="false" ht="15" hidden="false" customHeight="false" outlineLevel="0" collapsed="false">
      <c r="A27318" s="3" t="s">
        <v>561</v>
      </c>
      <c r="C27318" s="22" t="n">
        <f aca="false">IF(C27175=0,0,C27307/C27175)</f>
        <v>0</v>
      </c>
    </row>
    <row r="27319" customFormat="false" ht="15" hidden="false" customHeight="false" outlineLevel="0" collapsed="false">
      <c r="A27319" s="3" t="s">
        <v>562</v>
      </c>
      <c r="C27319" s="22" t="n">
        <f aca="false">IF(C27176=0,0,C27308/C27176)</f>
        <v>0</v>
      </c>
    </row>
    <row r="27320" customFormat="false" ht="15" hidden="false" customHeight="false" outlineLevel="0" collapsed="false">
      <c r="A27320" s="3" t="s">
        <v>563</v>
      </c>
      <c r="C27320" s="22" t="n">
        <f aca="false">IF(C27177=0,0,C27309/C27177)</f>
        <v>0</v>
      </c>
    </row>
    <row r="27321" customFormat="false" ht="15" hidden="false" customHeight="false" outlineLevel="0" collapsed="false">
      <c r="A27321" s="3" t="s">
        <v>564</v>
      </c>
      <c r="C27321" s="22" t="n">
        <f aca="false">IF(C27178=0,0,C27310/C27178)</f>
        <v>0</v>
      </c>
    </row>
    <row r="27322" customFormat="false" ht="15" hidden="false" customHeight="false" outlineLevel="0" collapsed="false">
      <c r="A27322" s="3" t="s">
        <v>565</v>
      </c>
      <c r="C27322" s="22" t="n">
        <f aca="false">IF(C27179=0,0,C27311/C27179)</f>
        <v>0</v>
      </c>
    </row>
    <row r="27323" customFormat="false" ht="15" hidden="false" customHeight="false" outlineLevel="0" collapsed="false">
      <c r="A27323" s="2" t="s">
        <v>579</v>
      </c>
      <c r="C27323" s="17" t="n">
        <f aca="false">MAX(0,$C$27168-SUM($C$27203:$C$27212)-SUM($C$27225:$C$27234))</f>
        <v>507.315706159925</v>
      </c>
    </row>
    <row r="27324" customFormat="false" ht="15" hidden="false" customHeight="false" outlineLevel="0" collapsed="false">
      <c r="A27324" s="3" t="s">
        <v>580</v>
      </c>
      <c r="C27324" s="16" t="n">
        <f aca="false">SUM($C$27280:$C$27289)+C27323+C27167-C27166</f>
        <v>0</v>
      </c>
    </row>
    <row r="27326" customFormat="false" ht="15" hidden="false" customHeight="false" outlineLevel="0" collapsed="false">
      <c r="A27326" s="24" t="s">
        <v>583</v>
      </c>
      <c r="B27326" s="25"/>
      <c r="C27326" s="25"/>
      <c r="D27326" s="25"/>
      <c r="E27326" s="25"/>
      <c r="F27326" s="25"/>
      <c r="G27326" s="25"/>
      <c r="H27326" s="25"/>
      <c r="I27326" s="25"/>
      <c r="J27326" s="25"/>
      <c r="K27326" s="25"/>
    </row>
    <row r="27327" customFormat="false" ht="15" hidden="false" customHeight="false" outlineLevel="0" collapsed="false">
      <c r="A27327" s="3" t="s">
        <v>584</v>
      </c>
      <c r="C27327" s="27" t="n">
        <f aca="false">Assumptions!$C$34</f>
        <v>1</v>
      </c>
    </row>
    <row r="27328" customFormat="false" ht="15" hidden="false" customHeight="false" outlineLevel="0" collapsed="false">
      <c r="A27328" s="3" t="s">
        <v>585</v>
      </c>
      <c r="C27328" s="29" t="n">
        <f aca="false">Assumptions!$C$35</f>
        <v>100</v>
      </c>
    </row>
    <row r="27329" customFormat="false" ht="15" hidden="false" customHeight="false" outlineLevel="0" collapsed="false">
      <c r="A27329" s="3" t="s">
        <v>586</v>
      </c>
      <c r="C27329" s="40" t="n">
        <f aca="false">Assumptions!$C$36</f>
        <v>98</v>
      </c>
    </row>
    <row r="27330" customFormat="false" ht="15" hidden="false" customHeight="false" outlineLevel="0" collapsed="false">
      <c r="A27330" s="3" t="s">
        <v>587</v>
      </c>
      <c r="C27330" s="16" t="n">
        <f aca="false">C27328*C27329/100*(1+Assumptions!$C$37)</f>
        <v>98.49</v>
      </c>
    </row>
    <row r="27331" customFormat="false" ht="15" hidden="false" customHeight="false" outlineLevel="0" collapsed="false">
      <c r="A27331" s="3" t="s">
        <v>588</v>
      </c>
      <c r="C27331" s="27" t="n">
        <f aca="false">Assumptions!$C$38</f>
        <v>3</v>
      </c>
    </row>
    <row r="27332" customFormat="false" ht="15" hidden="false" customHeight="false" outlineLevel="0" collapsed="false">
      <c r="A27332" s="3" t="s">
        <v>589</v>
      </c>
      <c r="C27332" s="21" t="n">
        <f aca="false">IF(C27159=1,SUMPRODUCT($G$27095:$K$27095,$G$26869:$K$26869),0)</f>
        <v>2</v>
      </c>
    </row>
    <row r="27333" customFormat="false" ht="15" hidden="false" customHeight="false" outlineLevel="0" collapsed="false">
      <c r="A27333" s="3" t="s">
        <v>590</v>
      </c>
      <c r="C27333" s="22" t="n">
        <f aca="false">IFERROR(C27328/CHOOSE(C27327,SUMPRODUCT($G$27158:$K$27158,$G$26915:$K$26915),SUMPRODUCT($G$27158:$K$27158,$G$26928:$K$26928),SUMPRODUCT($G$27158:$K$27158,$G$26941:$K$26941),SUMPRODUCT($G$27158:$K$27158,$G$26954:$K$26954),SUMPRODUCT($G$27158:$K$27158,$G$26967:$K$26967),SUMPRODUCT($G$27158:$K$27158,$G$26980:$K$26980),SUMPRODUCT($G$27158:$K$27158,$G$26993:$K$26993),SUMPRODUCT($G$27158:$K$27158,$G$27006:$K$27006),SUMPRODUCT($G$27158:$K$27158,$G$27019:$K$27019),SUMPRODUCT($G$27158:$K$27158,$G$27032:$K$27032)),0)</f>
        <v>0.255102040816327</v>
      </c>
    </row>
    <row r="27334" customFormat="false" ht="15" hidden="false" customHeight="false" outlineLevel="0" collapsed="false">
      <c r="A27334" s="3" t="s">
        <v>591</v>
      </c>
      <c r="C27334" s="16" t="n">
        <f aca="false">CHOOSE(C27327,C27280,C27281,C27282,C27283,C27284,C27285,C27286,C27287,C27288,C27289)*C27333</f>
        <v>102.875</v>
      </c>
    </row>
    <row r="27335" customFormat="false" ht="15" hidden="false" customHeight="false" outlineLevel="0" collapsed="false">
      <c r="A27335" s="3" t="s">
        <v>592</v>
      </c>
      <c r="C27335" s="22" t="n">
        <f aca="false">CHOOSE(C27327,C27291,C27292,C27293,C27294,C27295,C27296,C27297,C27298,C27299,C27300)</f>
        <v>1</v>
      </c>
    </row>
    <row r="27336" customFormat="false" ht="15" hidden="false" customHeight="false" outlineLevel="0" collapsed="false">
      <c r="A27336" s="3" t="s">
        <v>593</v>
      </c>
      <c r="C27336" s="21" t="n">
        <f aca="false">IF(C27159=1,C27332,C27331)</f>
        <v>2</v>
      </c>
    </row>
    <row r="27337" customFormat="false" ht="15" hidden="false" customHeight="false" outlineLevel="0" collapsed="false">
      <c r="A27337" s="3" t="s">
        <v>594</v>
      </c>
      <c r="C27337" s="35" t="n">
        <f aca="false">CHOOSE($C$26861,Assumptions!$C$91,Assumptions!$C$110,Assumptions!$C$129)</f>
        <v>95</v>
      </c>
    </row>
    <row r="27338" customFormat="false" ht="15" hidden="false" customHeight="false" outlineLevel="0" collapsed="false">
      <c r="A27338" s="3" t="s">
        <v>595</v>
      </c>
      <c r="C27338" s="16" t="n">
        <f aca="false">INDEX($G$26878:$K$26878,C27331)*CHOOSE($C$26861,Assumptions!$C$90,Assumptions!$C$109,Assumptions!$C$128)+MAX(0,INDEX($G$27092:$K$27092,C27331))</f>
        <v>2423.913149823</v>
      </c>
    </row>
    <row r="27339" customFormat="false" ht="15" hidden="false" customHeight="false" outlineLevel="0" collapsed="false">
      <c r="A27339" s="24" t="s">
        <v>596</v>
      </c>
      <c r="B27339" s="25"/>
      <c r="C27339" s="25"/>
      <c r="D27339" s="25"/>
      <c r="E27339" s="25"/>
      <c r="F27339" s="25"/>
      <c r="G27339" s="25"/>
      <c r="H27339" s="25"/>
      <c r="I27339" s="25"/>
      <c r="J27339" s="25"/>
      <c r="K27339" s="25"/>
    </row>
    <row r="27340" customFormat="false" ht="15" hidden="false" customHeight="false" outlineLevel="0" collapsed="false">
      <c r="A27340" s="3" t="s">
        <v>556</v>
      </c>
      <c r="C27340" s="16" t="n">
        <f aca="false">INDEX($G$26915:$K$26915,C27331)</f>
        <v>388</v>
      </c>
    </row>
    <row r="27341" customFormat="false" ht="15" hidden="false" customHeight="false" outlineLevel="0" collapsed="false">
      <c r="A27341" s="3" t="s">
        <v>557</v>
      </c>
      <c r="C27341" s="16" t="n">
        <f aca="false">INDEX($G$26928:$K$26928,C27331)</f>
        <v>90</v>
      </c>
    </row>
    <row r="27342" customFormat="false" ht="15" hidden="false" customHeight="false" outlineLevel="0" collapsed="false">
      <c r="A27342" s="3" t="s">
        <v>558</v>
      </c>
      <c r="C27342" s="16" t="n">
        <f aca="false">INDEX($G$26941:$K$26941,C27331)</f>
        <v>57.324</v>
      </c>
    </row>
    <row r="27343" customFormat="false" ht="15" hidden="false" customHeight="false" outlineLevel="0" collapsed="false">
      <c r="A27343" s="3" t="s">
        <v>559</v>
      </c>
      <c r="C27343" s="16" t="n">
        <f aca="false">INDEX($G$26954:$K$26954,C27331)</f>
        <v>0</v>
      </c>
    </row>
    <row r="27344" customFormat="false" ht="15" hidden="false" customHeight="false" outlineLevel="0" collapsed="false">
      <c r="A27344" s="3" t="s">
        <v>560</v>
      </c>
      <c r="C27344" s="16" t="n">
        <f aca="false">INDEX($G$26967:$K$26967,C27331)</f>
        <v>410.978557881</v>
      </c>
    </row>
    <row r="27345" customFormat="false" ht="15" hidden="false" customHeight="false" outlineLevel="0" collapsed="false">
      <c r="A27345" s="3" t="s">
        <v>561</v>
      </c>
      <c r="C27345" s="16" t="n">
        <f aca="false">INDEX($G$26980:$K$26980,C27331)</f>
        <v>350</v>
      </c>
    </row>
    <row r="27346" customFormat="false" ht="15" hidden="false" customHeight="false" outlineLevel="0" collapsed="false">
      <c r="A27346" s="3" t="s">
        <v>562</v>
      </c>
      <c r="C27346" s="16" t="n">
        <f aca="false">INDEX($G$26993:$K$26993,C27331)</f>
        <v>550</v>
      </c>
    </row>
    <row r="27347" customFormat="false" ht="15" hidden="false" customHeight="false" outlineLevel="0" collapsed="false">
      <c r="A27347" s="3" t="s">
        <v>563</v>
      </c>
      <c r="C27347" s="16" t="n">
        <f aca="false">INDEX($G$27006:$K$27006,C27331)</f>
        <v>350</v>
      </c>
    </row>
    <row r="27348" customFormat="false" ht="15" hidden="false" customHeight="false" outlineLevel="0" collapsed="false">
      <c r="A27348" s="3" t="s">
        <v>564</v>
      </c>
      <c r="C27348" s="16" t="n">
        <f aca="false">INDEX($G$27019:$K$27019,C27331)</f>
        <v>300</v>
      </c>
    </row>
    <row r="27349" customFormat="false" ht="15" hidden="false" customHeight="false" outlineLevel="0" collapsed="false">
      <c r="A27349" s="3" t="s">
        <v>565</v>
      </c>
      <c r="C27349" s="16" t="n">
        <f aca="false">INDEX($G$27032:$K$27032,C27331)</f>
        <v>78.61</v>
      </c>
    </row>
    <row r="27350" customFormat="false" ht="15" hidden="false" customHeight="false" outlineLevel="0" collapsed="false">
      <c r="A27350" s="24" t="s">
        <v>566</v>
      </c>
      <c r="B27350" s="25"/>
      <c r="C27350" s="25"/>
      <c r="D27350" s="25"/>
      <c r="E27350" s="25"/>
      <c r="F27350" s="25"/>
      <c r="G27350" s="25"/>
      <c r="H27350" s="25"/>
      <c r="I27350" s="25"/>
      <c r="J27350" s="25"/>
      <c r="K27350" s="25"/>
    </row>
    <row r="27351" customFormat="false" ht="15" hidden="false" customHeight="false" outlineLevel="0" collapsed="false">
      <c r="A27351" s="3" t="s">
        <v>556</v>
      </c>
      <c r="C27351" s="27" t="n">
        <f aca="false">Assumptions!$M$57</f>
        <v>1</v>
      </c>
    </row>
    <row r="27352" customFormat="false" ht="15" hidden="false" customHeight="false" outlineLevel="0" collapsed="false">
      <c r="A27352" s="3" t="s">
        <v>557</v>
      </c>
      <c r="C27352" s="27" t="n">
        <f aca="false">Assumptions!$M$58</f>
        <v>1</v>
      </c>
    </row>
    <row r="27353" customFormat="false" ht="15" hidden="false" customHeight="false" outlineLevel="0" collapsed="false">
      <c r="A27353" s="3" t="s">
        <v>558</v>
      </c>
      <c r="C27353" s="27" t="n">
        <f aca="false">Assumptions!$M$59</f>
        <v>1</v>
      </c>
    </row>
    <row r="27354" customFormat="false" ht="15" hidden="false" customHeight="false" outlineLevel="0" collapsed="false">
      <c r="A27354" s="3" t="s">
        <v>559</v>
      </c>
      <c r="C27354" s="27" t="n">
        <f aca="false">Assumptions!$M$60</f>
        <v>2</v>
      </c>
    </row>
    <row r="27355" customFormat="false" ht="15" hidden="false" customHeight="false" outlineLevel="0" collapsed="false">
      <c r="A27355" s="3" t="s">
        <v>560</v>
      </c>
      <c r="C27355" s="27" t="n">
        <f aca="false">Assumptions!$M$61</f>
        <v>2</v>
      </c>
    </row>
    <row r="27356" customFormat="false" ht="15" hidden="false" customHeight="false" outlineLevel="0" collapsed="false">
      <c r="A27356" s="3" t="s">
        <v>561</v>
      </c>
      <c r="C27356" s="27" t="n">
        <f aca="false">Assumptions!$M$62</f>
        <v>2</v>
      </c>
    </row>
    <row r="27357" customFormat="false" ht="15" hidden="false" customHeight="false" outlineLevel="0" collapsed="false">
      <c r="A27357" s="3" t="s">
        <v>562</v>
      </c>
      <c r="C27357" s="27" t="n">
        <f aca="false">Assumptions!$M$63</f>
        <v>2</v>
      </c>
    </row>
    <row r="27358" customFormat="false" ht="15" hidden="false" customHeight="false" outlineLevel="0" collapsed="false">
      <c r="A27358" s="3" t="s">
        <v>563</v>
      </c>
      <c r="C27358" s="27" t="n">
        <f aca="false">Assumptions!$M$64</f>
        <v>2</v>
      </c>
    </row>
    <row r="27359" customFormat="false" ht="15" hidden="false" customHeight="false" outlineLevel="0" collapsed="false">
      <c r="A27359" s="3" t="s">
        <v>564</v>
      </c>
      <c r="C27359" s="27" t="n">
        <f aca="false">Assumptions!$M$65</f>
        <v>2</v>
      </c>
    </row>
    <row r="27360" customFormat="false" ht="15" hidden="false" customHeight="false" outlineLevel="0" collapsed="false">
      <c r="A27360" s="3" t="s">
        <v>565</v>
      </c>
      <c r="C27360" s="27" t="n">
        <f aca="false">Assumptions!$M$66</f>
        <v>3</v>
      </c>
    </row>
    <row r="27361" customFormat="false" ht="15" hidden="false" customHeight="false" outlineLevel="0" collapsed="false">
      <c r="A27361" s="24" t="s">
        <v>567</v>
      </c>
      <c r="B27361" s="25"/>
      <c r="C27361" s="25"/>
      <c r="D27361" s="25"/>
      <c r="E27361" s="25"/>
      <c r="F27361" s="25"/>
      <c r="G27361" s="25"/>
      <c r="H27361" s="25"/>
      <c r="I27361" s="25"/>
      <c r="J27361" s="25"/>
      <c r="K27361" s="25"/>
    </row>
    <row r="27362" customFormat="false" ht="15" hidden="false" customHeight="false" outlineLevel="0" collapsed="false">
      <c r="A27362" s="3" t="s">
        <v>556</v>
      </c>
      <c r="C27362" s="33" t="n">
        <f aca="false">Assumptions!$Q$57</f>
        <v>0.3</v>
      </c>
    </row>
    <row r="27363" customFormat="false" ht="15" hidden="false" customHeight="false" outlineLevel="0" collapsed="false">
      <c r="A27363" s="3" t="s">
        <v>557</v>
      </c>
      <c r="C27363" s="33" t="n">
        <f aca="false">Assumptions!$Q$58</f>
        <v>0.033</v>
      </c>
    </row>
    <row r="27364" customFormat="false" ht="15" hidden="false" customHeight="false" outlineLevel="0" collapsed="false">
      <c r="A27364" s="3" t="s">
        <v>558</v>
      </c>
      <c r="C27364" s="33" t="n">
        <f aca="false">Assumptions!$Q$59</f>
        <v>0.021</v>
      </c>
    </row>
    <row r="27365" customFormat="false" ht="15" hidden="false" customHeight="false" outlineLevel="0" collapsed="false">
      <c r="A27365" s="3" t="s">
        <v>559</v>
      </c>
      <c r="C27365" s="33" t="n">
        <f aca="false">Assumptions!$Q$60</f>
        <v>0</v>
      </c>
    </row>
    <row r="27366" customFormat="false" ht="15" hidden="false" customHeight="false" outlineLevel="0" collapsed="false">
      <c r="A27366" s="3" t="s">
        <v>560</v>
      </c>
      <c r="C27366" s="33" t="n">
        <f aca="false">Assumptions!$Q$61</f>
        <v>0</v>
      </c>
    </row>
    <row r="27367" customFormat="false" ht="15" hidden="false" customHeight="false" outlineLevel="0" collapsed="false">
      <c r="A27367" s="3" t="s">
        <v>561</v>
      </c>
      <c r="C27367" s="33" t="n">
        <f aca="false">Assumptions!$Q$62</f>
        <v>0</v>
      </c>
    </row>
    <row r="27368" customFormat="false" ht="15" hidden="false" customHeight="false" outlineLevel="0" collapsed="false">
      <c r="A27368" s="3" t="s">
        <v>562</v>
      </c>
      <c r="C27368" s="33" t="n">
        <f aca="false">Assumptions!$Q$63</f>
        <v>0</v>
      </c>
    </row>
    <row r="27369" customFormat="false" ht="15" hidden="false" customHeight="false" outlineLevel="0" collapsed="false">
      <c r="A27369" s="3" t="s">
        <v>563</v>
      </c>
      <c r="C27369" s="33" t="n">
        <f aca="false">Assumptions!$Q$64</f>
        <v>0</v>
      </c>
    </row>
    <row r="27370" customFormat="false" ht="15" hidden="false" customHeight="false" outlineLevel="0" collapsed="false">
      <c r="A27370" s="3" t="s">
        <v>564</v>
      </c>
      <c r="C27370" s="33" t="n">
        <f aca="false">Assumptions!$Q$65</f>
        <v>0</v>
      </c>
    </row>
    <row r="27371" customFormat="false" ht="15" hidden="false" customHeight="false" outlineLevel="0" collapsed="false">
      <c r="A27371" s="3" t="s">
        <v>565</v>
      </c>
      <c r="C27371" s="33" t="n">
        <f aca="false">Assumptions!$Q$66</f>
        <v>0</v>
      </c>
    </row>
    <row r="27372" customFormat="false" ht="15" hidden="false" customHeight="false" outlineLevel="0" collapsed="false">
      <c r="A27372" s="24" t="s">
        <v>568</v>
      </c>
      <c r="B27372" s="25"/>
      <c r="C27372" s="25"/>
      <c r="D27372" s="25"/>
      <c r="E27372" s="25"/>
      <c r="F27372" s="25"/>
      <c r="G27372" s="25"/>
      <c r="H27372" s="25"/>
      <c r="I27372" s="25"/>
      <c r="J27372" s="25"/>
      <c r="K27372" s="25"/>
    </row>
    <row r="27373" customFormat="false" ht="15" hidden="false" customHeight="false" outlineLevel="0" collapsed="false">
      <c r="A27373" s="3" t="s">
        <v>556</v>
      </c>
      <c r="C27373" s="16" t="n">
        <f aca="false">IF(C27362&gt;0,MIN(C27340,C27362*$C$27338),0)</f>
        <v>388</v>
      </c>
    </row>
    <row r="27374" customFormat="false" ht="15" hidden="false" customHeight="false" outlineLevel="0" collapsed="false">
      <c r="A27374" s="3" t="s">
        <v>557</v>
      </c>
      <c r="C27374" s="16" t="n">
        <f aca="false">IF(C27363&gt;0,MIN(C27341,C27363*$C$27338),0)</f>
        <v>79.989133944159</v>
      </c>
    </row>
    <row r="27375" customFormat="false" ht="15" hidden="false" customHeight="false" outlineLevel="0" collapsed="false">
      <c r="A27375" s="3" t="s">
        <v>558</v>
      </c>
      <c r="C27375" s="16" t="n">
        <f aca="false">IF(C27364&gt;0,MIN(C27342,C27364*$C$27338),0)</f>
        <v>50.902176146283</v>
      </c>
    </row>
    <row r="27376" customFormat="false" ht="15" hidden="false" customHeight="false" outlineLevel="0" collapsed="false">
      <c r="A27376" s="3" t="s">
        <v>559</v>
      </c>
      <c r="C27376" s="16" t="n">
        <f aca="false">IF(C27365&gt;0,MIN(C27343,C27365*$C$27338),0)</f>
        <v>0</v>
      </c>
    </row>
    <row r="27377" customFormat="false" ht="15" hidden="false" customHeight="false" outlineLevel="0" collapsed="false">
      <c r="A27377" s="3" t="s">
        <v>560</v>
      </c>
      <c r="C27377" s="16" t="n">
        <f aca="false">IF(C27366&gt;0,MIN(C27344,C27366*$C$27338),0)</f>
        <v>0</v>
      </c>
    </row>
    <row r="27378" customFormat="false" ht="15" hidden="false" customHeight="false" outlineLevel="0" collapsed="false">
      <c r="A27378" s="3" t="s">
        <v>561</v>
      </c>
      <c r="C27378" s="16" t="n">
        <f aca="false">IF(C27367&gt;0,MIN(C27345,C27367*$C$27338),0)</f>
        <v>0</v>
      </c>
    </row>
    <row r="27379" customFormat="false" ht="15" hidden="false" customHeight="false" outlineLevel="0" collapsed="false">
      <c r="A27379" s="3" t="s">
        <v>562</v>
      </c>
      <c r="C27379" s="16" t="n">
        <f aca="false">IF(C27368&gt;0,MIN(C27346,C27368*$C$27338),0)</f>
        <v>0</v>
      </c>
    </row>
    <row r="27380" customFormat="false" ht="15" hidden="false" customHeight="false" outlineLevel="0" collapsed="false">
      <c r="A27380" s="3" t="s">
        <v>563</v>
      </c>
      <c r="C27380" s="16" t="n">
        <f aca="false">IF(C27369&gt;0,MIN(C27347,C27369*$C$27338),0)</f>
        <v>0</v>
      </c>
    </row>
    <row r="27381" customFormat="false" ht="15" hidden="false" customHeight="false" outlineLevel="0" collapsed="false">
      <c r="A27381" s="3" t="s">
        <v>564</v>
      </c>
      <c r="C27381" s="16" t="n">
        <f aca="false">IF(C27370&gt;0,MIN(C27348,C27370*$C$27338),0)</f>
        <v>0</v>
      </c>
    </row>
    <row r="27382" customFormat="false" ht="15" hidden="false" customHeight="false" outlineLevel="0" collapsed="false">
      <c r="A27382" s="3" t="s">
        <v>565</v>
      </c>
      <c r="C27382" s="16" t="n">
        <f aca="false">IF(C27371&gt;0,MIN(C27349,C27371*$C$27338),0)</f>
        <v>0</v>
      </c>
    </row>
    <row r="27383" customFormat="false" ht="15" hidden="false" customHeight="false" outlineLevel="0" collapsed="false">
      <c r="A27383" s="24" t="s">
        <v>569</v>
      </c>
      <c r="B27383" s="25"/>
      <c r="C27383" s="25"/>
      <c r="D27383" s="25"/>
      <c r="E27383" s="25"/>
      <c r="F27383" s="25"/>
      <c r="G27383" s="25"/>
      <c r="H27383" s="25"/>
      <c r="I27383" s="25"/>
      <c r="J27383" s="25"/>
      <c r="K27383" s="25"/>
    </row>
    <row r="27384" customFormat="false" ht="15" hidden="false" customHeight="false" outlineLevel="0" collapsed="false">
      <c r="A27384" s="3" t="s">
        <v>556</v>
      </c>
      <c r="C27384" s="16" t="n">
        <f aca="false">IF(C27362&gt;0,C27340-C27373,0)</f>
        <v>0</v>
      </c>
    </row>
    <row r="27385" customFormat="false" ht="15" hidden="false" customHeight="false" outlineLevel="0" collapsed="false">
      <c r="A27385" s="3" t="s">
        <v>557</v>
      </c>
      <c r="C27385" s="16" t="n">
        <f aca="false">IF(C27363&gt;0,C27341-C27374,0)</f>
        <v>10.010866055841</v>
      </c>
    </row>
    <row r="27386" customFormat="false" ht="15" hidden="false" customHeight="false" outlineLevel="0" collapsed="false">
      <c r="A27386" s="3" t="s">
        <v>558</v>
      </c>
      <c r="C27386" s="16" t="n">
        <f aca="false">IF(C27364&gt;0,C27342-C27375,0)</f>
        <v>6.42182385371699</v>
      </c>
    </row>
    <row r="27387" customFormat="false" ht="15" hidden="false" customHeight="false" outlineLevel="0" collapsed="false">
      <c r="A27387" s="3" t="s">
        <v>559</v>
      </c>
      <c r="C27387" s="16" t="n">
        <f aca="false">IF(C27365&gt;0,C27343-C27376,0)</f>
        <v>0</v>
      </c>
    </row>
    <row r="27388" customFormat="false" ht="15" hidden="false" customHeight="false" outlineLevel="0" collapsed="false">
      <c r="A27388" s="3" t="s">
        <v>560</v>
      </c>
      <c r="C27388" s="16" t="n">
        <f aca="false">IF(C27366&gt;0,C27344-C27377,0)</f>
        <v>0</v>
      </c>
    </row>
    <row r="27389" customFormat="false" ht="15" hidden="false" customHeight="false" outlineLevel="0" collapsed="false">
      <c r="A27389" s="3" t="s">
        <v>561</v>
      </c>
      <c r="C27389" s="16" t="n">
        <f aca="false">IF(C27367&gt;0,C27345-C27378,0)</f>
        <v>0</v>
      </c>
    </row>
    <row r="27390" customFormat="false" ht="15" hidden="false" customHeight="false" outlineLevel="0" collapsed="false">
      <c r="A27390" s="3" t="s">
        <v>562</v>
      </c>
      <c r="C27390" s="16" t="n">
        <f aca="false">IF(C27368&gt;0,C27346-C27379,0)</f>
        <v>0</v>
      </c>
    </row>
    <row r="27391" customFormat="false" ht="15" hidden="false" customHeight="false" outlineLevel="0" collapsed="false">
      <c r="A27391" s="3" t="s">
        <v>563</v>
      </c>
      <c r="C27391" s="16" t="n">
        <f aca="false">IF(C27369&gt;0,C27347-C27380,0)</f>
        <v>0</v>
      </c>
    </row>
    <row r="27392" customFormat="false" ht="15" hidden="false" customHeight="false" outlineLevel="0" collapsed="false">
      <c r="A27392" s="3" t="s">
        <v>564</v>
      </c>
      <c r="C27392" s="16" t="n">
        <f aca="false">IF(C27370&gt;0,C27348-C27381,0)</f>
        <v>0</v>
      </c>
    </row>
    <row r="27393" customFormat="false" ht="15" hidden="false" customHeight="false" outlineLevel="0" collapsed="false">
      <c r="A27393" s="3" t="s">
        <v>565</v>
      </c>
      <c r="C27393" s="16" t="n">
        <f aca="false">IF(C27371&gt;0,C27349-C27382,0)</f>
        <v>0</v>
      </c>
    </row>
    <row r="27394" customFormat="false" ht="15" hidden="false" customHeight="false" outlineLevel="0" collapsed="false">
      <c r="A27394" s="24" t="s">
        <v>570</v>
      </c>
      <c r="B27394" s="25"/>
      <c r="C27394" s="25"/>
      <c r="D27394" s="25"/>
      <c r="E27394" s="25"/>
      <c r="F27394" s="25"/>
      <c r="G27394" s="25"/>
      <c r="H27394" s="25"/>
      <c r="I27394" s="25"/>
      <c r="J27394" s="25"/>
      <c r="K27394" s="25"/>
    </row>
    <row r="27395" customFormat="false" ht="15" hidden="false" customHeight="false" outlineLevel="0" collapsed="false">
      <c r="A27395" s="3" t="s">
        <v>556</v>
      </c>
      <c r="C27395" s="16" t="n">
        <f aca="false">IF(C27362&gt;0,C27384,C27340)</f>
        <v>0</v>
      </c>
    </row>
    <row r="27396" customFormat="false" ht="15" hidden="false" customHeight="false" outlineLevel="0" collapsed="false">
      <c r="A27396" s="3" t="s">
        <v>557</v>
      </c>
      <c r="C27396" s="16" t="n">
        <f aca="false">IF(C27363&gt;0,C27385,C27341)</f>
        <v>10.010866055841</v>
      </c>
    </row>
    <row r="27397" customFormat="false" ht="15" hidden="false" customHeight="false" outlineLevel="0" collapsed="false">
      <c r="A27397" s="3" t="s">
        <v>558</v>
      </c>
      <c r="C27397" s="16" t="n">
        <f aca="false">IF(C27364&gt;0,C27386,C27342)</f>
        <v>6.42182385371699</v>
      </c>
    </row>
    <row r="27398" customFormat="false" ht="15" hidden="false" customHeight="false" outlineLevel="0" collapsed="false">
      <c r="A27398" s="3" t="s">
        <v>559</v>
      </c>
      <c r="C27398" s="16" t="n">
        <f aca="false">IF(C27365&gt;0,C27387,C27343)</f>
        <v>0</v>
      </c>
    </row>
    <row r="27399" customFormat="false" ht="15" hidden="false" customHeight="false" outlineLevel="0" collapsed="false">
      <c r="A27399" s="3" t="s">
        <v>560</v>
      </c>
      <c r="C27399" s="16" t="n">
        <f aca="false">IF(C27366&gt;0,C27388,C27344)</f>
        <v>410.978557881</v>
      </c>
    </row>
    <row r="27400" customFormat="false" ht="15" hidden="false" customHeight="false" outlineLevel="0" collapsed="false">
      <c r="A27400" s="3" t="s">
        <v>561</v>
      </c>
      <c r="C27400" s="16" t="n">
        <f aca="false">IF(C27367&gt;0,C27389,C27345)</f>
        <v>350</v>
      </c>
    </row>
    <row r="27401" customFormat="false" ht="15" hidden="false" customHeight="false" outlineLevel="0" collapsed="false">
      <c r="A27401" s="3" t="s">
        <v>562</v>
      </c>
      <c r="C27401" s="16" t="n">
        <f aca="false">IF(C27368&gt;0,C27390,C27346)</f>
        <v>550</v>
      </c>
    </row>
    <row r="27402" customFormat="false" ht="15" hidden="false" customHeight="false" outlineLevel="0" collapsed="false">
      <c r="A27402" s="3" t="s">
        <v>563</v>
      </c>
      <c r="C27402" s="16" t="n">
        <f aca="false">IF(C27369&gt;0,C27391,C27347)</f>
        <v>350</v>
      </c>
    </row>
    <row r="27403" customFormat="false" ht="15" hidden="false" customHeight="false" outlineLevel="0" collapsed="false">
      <c r="A27403" s="3" t="s">
        <v>564</v>
      </c>
      <c r="C27403" s="16" t="n">
        <f aca="false">IF(C27370&gt;0,C27392,C27348)</f>
        <v>300</v>
      </c>
    </row>
    <row r="27404" customFormat="false" ht="15" hidden="false" customHeight="false" outlineLevel="0" collapsed="false">
      <c r="A27404" s="3" t="s">
        <v>565</v>
      </c>
      <c r="C27404" s="16" t="n">
        <f aca="false">IF(C27371&gt;0,C27393,C27349)</f>
        <v>78.61</v>
      </c>
    </row>
    <row r="27405" customFormat="false" ht="15" hidden="false" customHeight="false" outlineLevel="0" collapsed="false">
      <c r="A27405" s="24" t="s">
        <v>571</v>
      </c>
      <c r="B27405" s="25"/>
      <c r="C27405" s="25"/>
      <c r="D27405" s="25"/>
      <c r="E27405" s="25"/>
      <c r="F27405" s="25"/>
      <c r="G27405" s="25"/>
      <c r="H27405" s="25"/>
      <c r="I27405" s="25"/>
      <c r="J27405" s="25"/>
      <c r="K27405" s="25"/>
    </row>
    <row r="27406" customFormat="false" ht="15" hidden="false" customHeight="false" outlineLevel="0" collapsed="false">
      <c r="A27406" s="3" t="s">
        <v>556</v>
      </c>
      <c r="C27406" s="21" t="n">
        <f aca="false">IF(C27362&gt;0,Assumptions!$C$17,C27351)</f>
        <v>99</v>
      </c>
    </row>
    <row r="27407" customFormat="false" ht="15" hidden="false" customHeight="false" outlineLevel="0" collapsed="false">
      <c r="A27407" s="3" t="s">
        <v>557</v>
      </c>
      <c r="C27407" s="21" t="n">
        <f aca="false">IF(C27363&gt;0,Assumptions!$C$17,C27352)</f>
        <v>99</v>
      </c>
    </row>
    <row r="27408" customFormat="false" ht="15" hidden="false" customHeight="false" outlineLevel="0" collapsed="false">
      <c r="A27408" s="3" t="s">
        <v>558</v>
      </c>
      <c r="C27408" s="21" t="n">
        <f aca="false">IF(C27364&gt;0,Assumptions!$C$17,C27353)</f>
        <v>99</v>
      </c>
    </row>
    <row r="27409" customFormat="false" ht="15" hidden="false" customHeight="false" outlineLevel="0" collapsed="false">
      <c r="A27409" s="3" t="s">
        <v>559</v>
      </c>
      <c r="C27409" s="21" t="n">
        <f aca="false">IF(C27365&gt;0,Assumptions!$C$17,C27354)</f>
        <v>2</v>
      </c>
    </row>
    <row r="27410" customFormat="false" ht="15" hidden="false" customHeight="false" outlineLevel="0" collapsed="false">
      <c r="A27410" s="3" t="s">
        <v>560</v>
      </c>
      <c r="C27410" s="21" t="n">
        <f aca="false">IF(C27366&gt;0,Assumptions!$C$17,C27355)</f>
        <v>2</v>
      </c>
    </row>
    <row r="27411" customFormat="false" ht="15" hidden="false" customHeight="false" outlineLevel="0" collapsed="false">
      <c r="A27411" s="3" t="s">
        <v>561</v>
      </c>
      <c r="C27411" s="21" t="n">
        <f aca="false">IF(C27367&gt;0,Assumptions!$C$17,C27356)</f>
        <v>2</v>
      </c>
    </row>
    <row r="27412" customFormat="false" ht="15" hidden="false" customHeight="false" outlineLevel="0" collapsed="false">
      <c r="A27412" s="3" t="s">
        <v>562</v>
      </c>
      <c r="C27412" s="21" t="n">
        <f aca="false">IF(C27368&gt;0,Assumptions!$C$17,C27357)</f>
        <v>2</v>
      </c>
    </row>
    <row r="27413" customFormat="false" ht="15" hidden="false" customHeight="false" outlineLevel="0" collapsed="false">
      <c r="A27413" s="3" t="s">
        <v>563</v>
      </c>
      <c r="C27413" s="21" t="n">
        <f aca="false">IF(C27369&gt;0,Assumptions!$C$17,C27358)</f>
        <v>2</v>
      </c>
    </row>
    <row r="27414" customFormat="false" ht="15" hidden="false" customHeight="false" outlineLevel="0" collapsed="false">
      <c r="A27414" s="3" t="s">
        <v>564</v>
      </c>
      <c r="C27414" s="21" t="n">
        <f aca="false">IF(C27370&gt;0,Assumptions!$C$17,C27359)</f>
        <v>2</v>
      </c>
    </row>
    <row r="27415" customFormat="false" ht="15" hidden="false" customHeight="false" outlineLevel="0" collapsed="false">
      <c r="A27415" s="3" t="s">
        <v>565</v>
      </c>
      <c r="C27415" s="21" t="n">
        <f aca="false">IF(C27371&gt;0,Assumptions!$C$17,C27360)</f>
        <v>3</v>
      </c>
    </row>
    <row r="27416" customFormat="false" ht="15" hidden="false" customHeight="false" outlineLevel="0" collapsed="false">
      <c r="A27416" s="24" t="s">
        <v>572</v>
      </c>
      <c r="B27416" s="25"/>
      <c r="C27416" s="25"/>
      <c r="D27416" s="25"/>
      <c r="E27416" s="25"/>
      <c r="F27416" s="25"/>
      <c r="G27416" s="25"/>
      <c r="H27416" s="25"/>
      <c r="I27416" s="25"/>
      <c r="J27416" s="25"/>
      <c r="K27416" s="25"/>
    </row>
    <row r="27417" customFormat="false" ht="15" hidden="false" customHeight="false" outlineLevel="0" collapsed="false">
      <c r="A27417" s="3" t="s">
        <v>556</v>
      </c>
      <c r="C27417" s="16" t="n">
        <f aca="false">SUMPRODUCT(($C$27406:$C$27415&lt;C27406)*$C$27395:$C$27404)</f>
        <v>2039.588557881</v>
      </c>
    </row>
    <row r="27418" customFormat="false" ht="15" hidden="false" customHeight="false" outlineLevel="0" collapsed="false">
      <c r="A27418" s="3" t="s">
        <v>557</v>
      </c>
      <c r="C27418" s="16" t="n">
        <f aca="false">SUMPRODUCT(($C$27406:$C$27415&lt;C27407)*$C$27395:$C$27404)</f>
        <v>2039.588557881</v>
      </c>
    </row>
    <row r="27419" customFormat="false" ht="15" hidden="false" customHeight="false" outlineLevel="0" collapsed="false">
      <c r="A27419" s="3" t="s">
        <v>558</v>
      </c>
      <c r="C27419" s="16" t="n">
        <f aca="false">SUMPRODUCT(($C$27406:$C$27415&lt;C27408)*$C$27395:$C$27404)</f>
        <v>2039.588557881</v>
      </c>
    </row>
    <row r="27420" customFormat="false" ht="15" hidden="false" customHeight="false" outlineLevel="0" collapsed="false">
      <c r="A27420" s="3" t="s">
        <v>559</v>
      </c>
      <c r="C27420" s="16" t="n">
        <f aca="false">SUMPRODUCT(($C$27406:$C$27415&lt;C27409)*$C$27395:$C$27404)</f>
        <v>0</v>
      </c>
    </row>
    <row r="27421" customFormat="false" ht="15" hidden="false" customHeight="false" outlineLevel="0" collapsed="false">
      <c r="A27421" s="3" t="s">
        <v>560</v>
      </c>
      <c r="C27421" s="16" t="n">
        <f aca="false">SUMPRODUCT(($C$27406:$C$27415&lt;C27410)*$C$27395:$C$27404)</f>
        <v>0</v>
      </c>
    </row>
    <row r="27422" customFormat="false" ht="15" hidden="false" customHeight="false" outlineLevel="0" collapsed="false">
      <c r="A27422" s="3" t="s">
        <v>561</v>
      </c>
      <c r="C27422" s="16" t="n">
        <f aca="false">SUMPRODUCT(($C$27406:$C$27415&lt;C27411)*$C$27395:$C$27404)</f>
        <v>0</v>
      </c>
    </row>
    <row r="27423" customFormat="false" ht="15" hidden="false" customHeight="false" outlineLevel="0" collapsed="false">
      <c r="A27423" s="3" t="s">
        <v>562</v>
      </c>
      <c r="C27423" s="16" t="n">
        <f aca="false">SUMPRODUCT(($C$27406:$C$27415&lt;C27412)*$C$27395:$C$27404)</f>
        <v>0</v>
      </c>
    </row>
    <row r="27424" customFormat="false" ht="15" hidden="false" customHeight="false" outlineLevel="0" collapsed="false">
      <c r="A27424" s="3" t="s">
        <v>563</v>
      </c>
      <c r="C27424" s="16" t="n">
        <f aca="false">SUMPRODUCT(($C$27406:$C$27415&lt;C27413)*$C$27395:$C$27404)</f>
        <v>0</v>
      </c>
    </row>
    <row r="27425" customFormat="false" ht="15" hidden="false" customHeight="false" outlineLevel="0" collapsed="false">
      <c r="A27425" s="3" t="s">
        <v>564</v>
      </c>
      <c r="C27425" s="16" t="n">
        <f aca="false">SUMPRODUCT(($C$27406:$C$27415&lt;C27414)*$C$27395:$C$27404)</f>
        <v>0</v>
      </c>
    </row>
    <row r="27426" customFormat="false" ht="15" hidden="false" customHeight="false" outlineLevel="0" collapsed="false">
      <c r="A27426" s="3" t="s">
        <v>565</v>
      </c>
      <c r="C27426" s="16" t="n">
        <f aca="false">SUMPRODUCT(($C$27406:$C$27415&lt;C27415)*$C$27395:$C$27404)</f>
        <v>1960.978557881</v>
      </c>
    </row>
    <row r="27427" customFormat="false" ht="15" hidden="false" customHeight="false" outlineLevel="0" collapsed="false">
      <c r="A27427" s="24" t="s">
        <v>573</v>
      </c>
      <c r="B27427" s="25"/>
      <c r="C27427" s="25"/>
      <c r="D27427" s="25"/>
      <c r="E27427" s="25"/>
      <c r="F27427" s="25"/>
      <c r="G27427" s="25"/>
      <c r="H27427" s="25"/>
      <c r="I27427" s="25"/>
      <c r="J27427" s="25"/>
      <c r="K27427" s="25"/>
    </row>
    <row r="27428" customFormat="false" ht="15" hidden="false" customHeight="false" outlineLevel="0" collapsed="false">
      <c r="A27428" s="3" t="s">
        <v>556</v>
      </c>
      <c r="C27428" s="16" t="n">
        <f aca="false">SUMPRODUCT(($C$27406:$C$27415=C27406)*$C$27395:$C$27404)</f>
        <v>16.432689909558</v>
      </c>
    </row>
    <row r="27429" customFormat="false" ht="15" hidden="false" customHeight="false" outlineLevel="0" collapsed="false">
      <c r="A27429" s="3" t="s">
        <v>557</v>
      </c>
      <c r="C27429" s="16" t="n">
        <f aca="false">SUMPRODUCT(($C$27406:$C$27415=C27407)*$C$27395:$C$27404)</f>
        <v>16.432689909558</v>
      </c>
    </row>
    <row r="27430" customFormat="false" ht="15" hidden="false" customHeight="false" outlineLevel="0" collapsed="false">
      <c r="A27430" s="3" t="s">
        <v>558</v>
      </c>
      <c r="C27430" s="16" t="n">
        <f aca="false">SUMPRODUCT(($C$27406:$C$27415=C27408)*$C$27395:$C$27404)</f>
        <v>16.432689909558</v>
      </c>
    </row>
    <row r="27431" customFormat="false" ht="15" hidden="false" customHeight="false" outlineLevel="0" collapsed="false">
      <c r="A27431" s="3" t="s">
        <v>559</v>
      </c>
      <c r="C27431" s="16" t="n">
        <f aca="false">SUMPRODUCT(($C$27406:$C$27415=C27409)*$C$27395:$C$27404)</f>
        <v>1960.978557881</v>
      </c>
    </row>
    <row r="27432" customFormat="false" ht="15" hidden="false" customHeight="false" outlineLevel="0" collapsed="false">
      <c r="A27432" s="3" t="s">
        <v>560</v>
      </c>
      <c r="C27432" s="16" t="n">
        <f aca="false">SUMPRODUCT(($C$27406:$C$27415=C27410)*$C$27395:$C$27404)</f>
        <v>1960.978557881</v>
      </c>
    </row>
    <row r="27433" customFormat="false" ht="15" hidden="false" customHeight="false" outlineLevel="0" collapsed="false">
      <c r="A27433" s="3" t="s">
        <v>561</v>
      </c>
      <c r="C27433" s="16" t="n">
        <f aca="false">SUMPRODUCT(($C$27406:$C$27415=C27411)*$C$27395:$C$27404)</f>
        <v>1960.978557881</v>
      </c>
    </row>
    <row r="27434" customFormat="false" ht="15" hidden="false" customHeight="false" outlineLevel="0" collapsed="false">
      <c r="A27434" s="3" t="s">
        <v>562</v>
      </c>
      <c r="C27434" s="16" t="n">
        <f aca="false">SUMPRODUCT(($C$27406:$C$27415=C27412)*$C$27395:$C$27404)</f>
        <v>1960.978557881</v>
      </c>
    </row>
    <row r="27435" customFormat="false" ht="15" hidden="false" customHeight="false" outlineLevel="0" collapsed="false">
      <c r="A27435" s="3" t="s">
        <v>563</v>
      </c>
      <c r="C27435" s="16" t="n">
        <f aca="false">SUMPRODUCT(($C$27406:$C$27415=C27413)*$C$27395:$C$27404)</f>
        <v>1960.978557881</v>
      </c>
    </row>
    <row r="27436" customFormat="false" ht="15" hidden="false" customHeight="false" outlineLevel="0" collapsed="false">
      <c r="A27436" s="3" t="s">
        <v>564</v>
      </c>
      <c r="C27436" s="16" t="n">
        <f aca="false">SUMPRODUCT(($C$27406:$C$27415=C27414)*$C$27395:$C$27404)</f>
        <v>1960.978557881</v>
      </c>
    </row>
    <row r="27437" customFormat="false" ht="15" hidden="false" customHeight="false" outlineLevel="0" collapsed="false">
      <c r="A27437" s="3" t="s">
        <v>565</v>
      </c>
      <c r="C27437" s="16" t="n">
        <f aca="false">SUMPRODUCT(($C$27406:$C$27415=C27415)*$C$27395:$C$27404)</f>
        <v>78.61</v>
      </c>
    </row>
    <row r="27438" customFormat="false" ht="15" hidden="false" customHeight="false" outlineLevel="0" collapsed="false">
      <c r="A27438" s="24" t="s">
        <v>574</v>
      </c>
      <c r="B27438" s="25"/>
      <c r="C27438" s="25"/>
      <c r="D27438" s="25"/>
      <c r="E27438" s="25"/>
      <c r="F27438" s="25"/>
      <c r="G27438" s="25"/>
      <c r="H27438" s="25"/>
      <c r="I27438" s="25"/>
      <c r="J27438" s="25"/>
      <c r="K27438" s="25"/>
    </row>
    <row r="27439" customFormat="false" ht="15" hidden="false" customHeight="false" outlineLevel="0" collapsed="false">
      <c r="A27439" s="3" t="s">
        <v>556</v>
      </c>
      <c r="C27439" s="16" t="n">
        <f aca="false">IF(C27428=0,0,C27395/C27428*MAX(0,MIN(C27428,$C$27338-SUM($C$27373:$C$27382)-C27417)))</f>
        <v>0</v>
      </c>
    </row>
    <row r="27440" customFormat="false" ht="15" hidden="false" customHeight="false" outlineLevel="0" collapsed="false">
      <c r="A27440" s="3" t="s">
        <v>557</v>
      </c>
      <c r="C27440" s="16" t="n">
        <f aca="false">IF(C27429=0,0,C27396/C27429*MAX(0,MIN(C27429,$C$27338-SUM($C$27373:$C$27382)-C27418)))</f>
        <v>0</v>
      </c>
    </row>
    <row r="27441" customFormat="false" ht="15" hidden="false" customHeight="false" outlineLevel="0" collapsed="false">
      <c r="A27441" s="3" t="s">
        <v>558</v>
      </c>
      <c r="C27441" s="16" t="n">
        <f aca="false">IF(C27430=0,0,C27397/C27430*MAX(0,MIN(C27430,$C$27338-SUM($C$27373:$C$27382)-C27419)))</f>
        <v>0</v>
      </c>
    </row>
    <row r="27442" customFormat="false" ht="15" hidden="false" customHeight="false" outlineLevel="0" collapsed="false">
      <c r="A27442" s="3" t="s">
        <v>559</v>
      </c>
      <c r="C27442" s="16" t="n">
        <f aca="false">IF(C27431=0,0,C27398/C27431*MAX(0,MIN(C27431,$C$27338-SUM($C$27373:$C$27382)-C27420)))</f>
        <v>0</v>
      </c>
    </row>
    <row r="27443" customFormat="false" ht="15" hidden="false" customHeight="false" outlineLevel="0" collapsed="false">
      <c r="A27443" s="3" t="s">
        <v>560</v>
      </c>
      <c r="C27443" s="16" t="n">
        <f aca="false">IF(C27432=0,0,C27399/C27432*MAX(0,MIN(C27432,$C$27338-SUM($C$27373:$C$27382)-C27421)))</f>
        <v>399.251243864242</v>
      </c>
    </row>
    <row r="27444" customFormat="false" ht="15" hidden="false" customHeight="false" outlineLevel="0" collapsed="false">
      <c r="A27444" s="3" t="s">
        <v>561</v>
      </c>
      <c r="C27444" s="16" t="n">
        <f aca="false">IF(C27433=0,0,C27400/C27433*MAX(0,MIN(C27433,$C$27338-SUM($C$27373:$C$27382)-C27422)))</f>
        <v>340.012715196072</v>
      </c>
    </row>
    <row r="27445" customFormat="false" ht="15" hidden="false" customHeight="false" outlineLevel="0" collapsed="false">
      <c r="A27445" s="3" t="s">
        <v>562</v>
      </c>
      <c r="C27445" s="16" t="n">
        <f aca="false">IF(C27434=0,0,C27401/C27434*MAX(0,MIN(C27434,$C$27338-SUM($C$27373:$C$27382)-C27423)))</f>
        <v>534.305695308112</v>
      </c>
    </row>
    <row r="27446" customFormat="false" ht="15" hidden="false" customHeight="false" outlineLevel="0" collapsed="false">
      <c r="A27446" s="3" t="s">
        <v>563</v>
      </c>
      <c r="C27446" s="16" t="n">
        <f aca="false">IF(C27435=0,0,C27402/C27435*MAX(0,MIN(C27435,$C$27338-SUM($C$27373:$C$27382)-C27424)))</f>
        <v>340.012715196072</v>
      </c>
    </row>
    <row r="27447" customFormat="false" ht="15" hidden="false" customHeight="false" outlineLevel="0" collapsed="false">
      <c r="A27447" s="3" t="s">
        <v>564</v>
      </c>
      <c r="C27447" s="16" t="n">
        <f aca="false">IF(C27436=0,0,C27403/C27436*MAX(0,MIN(C27436,$C$27338-SUM($C$27373:$C$27382)-C27425)))</f>
        <v>291.439470168061</v>
      </c>
    </row>
    <row r="27448" customFormat="false" ht="15" hidden="false" customHeight="false" outlineLevel="0" collapsed="false">
      <c r="A27448" s="3" t="s">
        <v>565</v>
      </c>
      <c r="C27448" s="16" t="n">
        <f aca="false">IF(C27437=0,0,C27404/C27437*MAX(0,MIN(C27437,$C$27338-SUM($C$27373:$C$27382)-C27426)))</f>
        <v>0</v>
      </c>
    </row>
    <row r="27449" customFormat="false" ht="15" hidden="false" customHeight="false" outlineLevel="0" collapsed="false">
      <c r="A27449" s="24" t="s">
        <v>575</v>
      </c>
      <c r="B27449" s="25"/>
      <c r="C27449" s="25"/>
      <c r="D27449" s="25"/>
      <c r="E27449" s="25"/>
      <c r="F27449" s="25"/>
      <c r="G27449" s="25"/>
      <c r="H27449" s="25"/>
      <c r="I27449" s="25"/>
      <c r="J27449" s="25"/>
      <c r="K27449" s="25"/>
    </row>
    <row r="27450" customFormat="false" ht="15" hidden="false" customHeight="false" outlineLevel="0" collapsed="false">
      <c r="A27450" s="2" t="s">
        <v>556</v>
      </c>
      <c r="C27450" s="17" t="n">
        <f aca="false">C27373+C27439</f>
        <v>388</v>
      </c>
    </row>
    <row r="27451" customFormat="false" ht="15" hidden="false" customHeight="false" outlineLevel="0" collapsed="false">
      <c r="A27451" s="2" t="s">
        <v>557</v>
      </c>
      <c r="C27451" s="17" t="n">
        <f aca="false">C27374+C27440</f>
        <v>79.989133944159</v>
      </c>
    </row>
    <row r="27452" customFormat="false" ht="15" hidden="false" customHeight="false" outlineLevel="0" collapsed="false">
      <c r="A27452" s="2" t="s">
        <v>558</v>
      </c>
      <c r="C27452" s="17" t="n">
        <f aca="false">C27375+C27441</f>
        <v>50.902176146283</v>
      </c>
    </row>
    <row r="27453" customFormat="false" ht="15" hidden="false" customHeight="false" outlineLevel="0" collapsed="false">
      <c r="A27453" s="2" t="s">
        <v>559</v>
      </c>
      <c r="C27453" s="17" t="n">
        <f aca="false">C27376+C27442</f>
        <v>0</v>
      </c>
    </row>
    <row r="27454" customFormat="false" ht="15" hidden="false" customHeight="false" outlineLevel="0" collapsed="false">
      <c r="A27454" s="2" t="s">
        <v>560</v>
      </c>
      <c r="C27454" s="17" t="n">
        <f aca="false">C27377+C27443</f>
        <v>399.251243864242</v>
      </c>
    </row>
    <row r="27455" customFormat="false" ht="15" hidden="false" customHeight="false" outlineLevel="0" collapsed="false">
      <c r="A27455" s="2" t="s">
        <v>561</v>
      </c>
      <c r="C27455" s="17" t="n">
        <f aca="false">C27378+C27444</f>
        <v>340.012715196072</v>
      </c>
    </row>
    <row r="27456" customFormat="false" ht="15" hidden="false" customHeight="false" outlineLevel="0" collapsed="false">
      <c r="A27456" s="2" t="s">
        <v>562</v>
      </c>
      <c r="C27456" s="17" t="n">
        <f aca="false">C27379+C27445</f>
        <v>534.305695308112</v>
      </c>
    </row>
    <row r="27457" customFormat="false" ht="15" hidden="false" customHeight="false" outlineLevel="0" collapsed="false">
      <c r="A27457" s="2" t="s">
        <v>563</v>
      </c>
      <c r="C27457" s="17" t="n">
        <f aca="false">C27380+C27446</f>
        <v>340.012715196072</v>
      </c>
    </row>
    <row r="27458" customFormat="false" ht="15" hidden="false" customHeight="false" outlineLevel="0" collapsed="false">
      <c r="A27458" s="2" t="s">
        <v>564</v>
      </c>
      <c r="C27458" s="17" t="n">
        <f aca="false">C27381+C27447</f>
        <v>291.439470168061</v>
      </c>
    </row>
    <row r="27459" customFormat="false" ht="15" hidden="false" customHeight="false" outlineLevel="0" collapsed="false">
      <c r="A27459" s="2" t="s">
        <v>565</v>
      </c>
      <c r="C27459" s="17" t="n">
        <f aca="false">C27382+C27448</f>
        <v>0</v>
      </c>
    </row>
    <row r="27460" customFormat="false" ht="15" hidden="false" customHeight="false" outlineLevel="0" collapsed="false">
      <c r="A27460" s="24" t="s">
        <v>576</v>
      </c>
      <c r="B27460" s="25"/>
      <c r="C27460" s="25"/>
      <c r="D27460" s="25"/>
      <c r="E27460" s="25"/>
      <c r="F27460" s="25"/>
      <c r="G27460" s="25"/>
      <c r="H27460" s="25"/>
      <c r="I27460" s="25"/>
      <c r="J27460" s="25"/>
      <c r="K27460" s="25"/>
    </row>
    <row r="27461" customFormat="false" ht="15" hidden="false" customHeight="false" outlineLevel="0" collapsed="false">
      <c r="A27461" s="3" t="s">
        <v>556</v>
      </c>
      <c r="C27461" s="22" t="n">
        <f aca="false">IF(C27340=0,1,C27450/C27340)</f>
        <v>1</v>
      </c>
    </row>
    <row r="27462" customFormat="false" ht="15" hidden="false" customHeight="false" outlineLevel="0" collapsed="false">
      <c r="A27462" s="3" t="s">
        <v>557</v>
      </c>
      <c r="C27462" s="22" t="n">
        <f aca="false">IF(C27341=0,1,C27451/C27341)</f>
        <v>0.8887681549351</v>
      </c>
    </row>
    <row r="27463" customFormat="false" ht="15" hidden="false" customHeight="false" outlineLevel="0" collapsed="false">
      <c r="A27463" s="3" t="s">
        <v>558</v>
      </c>
      <c r="C27463" s="22" t="n">
        <f aca="false">IF(C27342=0,1,C27452/C27342)</f>
        <v>0.887973207492202</v>
      </c>
    </row>
    <row r="27464" customFormat="false" ht="15" hidden="false" customHeight="false" outlineLevel="0" collapsed="false">
      <c r="A27464" s="3" t="s">
        <v>559</v>
      </c>
      <c r="C27464" s="22" t="n">
        <f aca="false">IF(C27343=0,1,C27453/C27343)</f>
        <v>1</v>
      </c>
    </row>
    <row r="27465" customFormat="false" ht="15" hidden="false" customHeight="false" outlineLevel="0" collapsed="false">
      <c r="A27465" s="3" t="s">
        <v>560</v>
      </c>
      <c r="C27465" s="22" t="n">
        <f aca="false">IF(C27344=0,1,C27454/C27344)</f>
        <v>0.971464900560204</v>
      </c>
    </row>
    <row r="27466" customFormat="false" ht="15" hidden="false" customHeight="false" outlineLevel="0" collapsed="false">
      <c r="A27466" s="3" t="s">
        <v>561</v>
      </c>
      <c r="C27466" s="22" t="n">
        <f aca="false">IF(C27345=0,1,C27455/C27345)</f>
        <v>0.971464900560204</v>
      </c>
    </row>
    <row r="27467" customFormat="false" ht="15" hidden="false" customHeight="false" outlineLevel="0" collapsed="false">
      <c r="A27467" s="3" t="s">
        <v>562</v>
      </c>
      <c r="C27467" s="22" t="n">
        <f aca="false">IF(C27346=0,1,C27456/C27346)</f>
        <v>0.971464900560204</v>
      </c>
    </row>
    <row r="27468" customFormat="false" ht="15" hidden="false" customHeight="false" outlineLevel="0" collapsed="false">
      <c r="A27468" s="3" t="s">
        <v>563</v>
      </c>
      <c r="C27468" s="22" t="n">
        <f aca="false">IF(C27347=0,1,C27457/C27347)</f>
        <v>0.971464900560204</v>
      </c>
    </row>
    <row r="27469" customFormat="false" ht="15" hidden="false" customHeight="false" outlineLevel="0" collapsed="false">
      <c r="A27469" s="3" t="s">
        <v>564</v>
      </c>
      <c r="C27469" s="22" t="n">
        <f aca="false">IF(C27348=0,1,C27458/C27348)</f>
        <v>0.971464900560204</v>
      </c>
    </row>
    <row r="27470" customFormat="false" ht="15" hidden="false" customHeight="false" outlineLevel="0" collapsed="false">
      <c r="A27470" s="3" t="s">
        <v>565</v>
      </c>
      <c r="C27470" s="22" t="n">
        <f aca="false">IF(C27349=0,1,C27459/C27349)</f>
        <v>0</v>
      </c>
    </row>
    <row r="27471" customFormat="false" ht="15" hidden="false" customHeight="false" outlineLevel="0" collapsed="false">
      <c r="A27471" s="24" t="s">
        <v>577</v>
      </c>
      <c r="B27471" s="25"/>
      <c r="C27471" s="25"/>
      <c r="D27471" s="25"/>
      <c r="E27471" s="25"/>
      <c r="F27471" s="25"/>
      <c r="G27471" s="25"/>
      <c r="H27471" s="25"/>
      <c r="I27471" s="25"/>
      <c r="J27471" s="25"/>
      <c r="K27471" s="25"/>
    </row>
    <row r="27472" customFormat="false" ht="15" hidden="false" customHeight="false" outlineLevel="0" collapsed="false">
      <c r="A27472" s="3" t="s">
        <v>556</v>
      </c>
      <c r="C27472" s="16" t="n">
        <f aca="false">C27340-C27450</f>
        <v>0</v>
      </c>
    </row>
    <row r="27473" customFormat="false" ht="15" hidden="false" customHeight="false" outlineLevel="0" collapsed="false">
      <c r="A27473" s="3" t="s">
        <v>557</v>
      </c>
      <c r="C27473" s="16" t="n">
        <f aca="false">C27341-C27451</f>
        <v>10.010866055841</v>
      </c>
    </row>
    <row r="27474" customFormat="false" ht="15" hidden="false" customHeight="false" outlineLevel="0" collapsed="false">
      <c r="A27474" s="3" t="s">
        <v>558</v>
      </c>
      <c r="C27474" s="16" t="n">
        <f aca="false">C27342-C27452</f>
        <v>6.42182385371699</v>
      </c>
    </row>
    <row r="27475" customFormat="false" ht="15" hidden="false" customHeight="false" outlineLevel="0" collapsed="false">
      <c r="A27475" s="3" t="s">
        <v>559</v>
      </c>
      <c r="C27475" s="16" t="n">
        <f aca="false">C27343-C27453</f>
        <v>0</v>
      </c>
    </row>
    <row r="27476" customFormat="false" ht="15" hidden="false" customHeight="false" outlineLevel="0" collapsed="false">
      <c r="A27476" s="3" t="s">
        <v>560</v>
      </c>
      <c r="C27476" s="16" t="n">
        <f aca="false">C27344-C27454</f>
        <v>11.7273140167582</v>
      </c>
    </row>
    <row r="27477" customFormat="false" ht="15" hidden="false" customHeight="false" outlineLevel="0" collapsed="false">
      <c r="A27477" s="3" t="s">
        <v>561</v>
      </c>
      <c r="C27477" s="16" t="n">
        <f aca="false">C27345-C27455</f>
        <v>9.9872848039285</v>
      </c>
    </row>
    <row r="27478" customFormat="false" ht="15" hidden="false" customHeight="false" outlineLevel="0" collapsed="false">
      <c r="A27478" s="3" t="s">
        <v>562</v>
      </c>
      <c r="C27478" s="16" t="n">
        <f aca="false">C27346-C27456</f>
        <v>15.6943046918876</v>
      </c>
    </row>
    <row r="27479" customFormat="false" ht="15" hidden="false" customHeight="false" outlineLevel="0" collapsed="false">
      <c r="A27479" s="3" t="s">
        <v>563</v>
      </c>
      <c r="C27479" s="16" t="n">
        <f aca="false">C27347-C27457</f>
        <v>9.9872848039285</v>
      </c>
    </row>
    <row r="27480" customFormat="false" ht="15" hidden="false" customHeight="false" outlineLevel="0" collapsed="false">
      <c r="A27480" s="3" t="s">
        <v>564</v>
      </c>
      <c r="C27480" s="16" t="n">
        <f aca="false">C27348-C27458</f>
        <v>8.56052983193871</v>
      </c>
    </row>
    <row r="27481" customFormat="false" ht="15" hidden="false" customHeight="false" outlineLevel="0" collapsed="false">
      <c r="A27481" s="3" t="s">
        <v>565</v>
      </c>
      <c r="C27481" s="16" t="n">
        <f aca="false">C27349-C27459</f>
        <v>78.61</v>
      </c>
    </row>
    <row r="27482" customFormat="false" ht="15" hidden="false" customHeight="false" outlineLevel="0" collapsed="false">
      <c r="A27482" s="24" t="s">
        <v>578</v>
      </c>
      <c r="B27482" s="25"/>
      <c r="C27482" s="25"/>
      <c r="D27482" s="25"/>
      <c r="E27482" s="25"/>
      <c r="F27482" s="25"/>
      <c r="G27482" s="25"/>
      <c r="H27482" s="25"/>
      <c r="I27482" s="25"/>
      <c r="J27482" s="25"/>
      <c r="K27482" s="25"/>
    </row>
    <row r="27483" customFormat="false" ht="15" hidden="false" customHeight="false" outlineLevel="0" collapsed="false">
      <c r="A27483" s="3" t="s">
        <v>556</v>
      </c>
      <c r="C27483" s="22" t="n">
        <f aca="false">IF(C27340=0,0,C27472/C27340)</f>
        <v>0</v>
      </c>
    </row>
    <row r="27484" customFormat="false" ht="15" hidden="false" customHeight="false" outlineLevel="0" collapsed="false">
      <c r="A27484" s="3" t="s">
        <v>557</v>
      </c>
      <c r="C27484" s="22" t="n">
        <f aca="false">IF(C27341=0,0,C27473/C27341)</f>
        <v>0.1112318450649</v>
      </c>
    </row>
    <row r="27485" customFormat="false" ht="15" hidden="false" customHeight="false" outlineLevel="0" collapsed="false">
      <c r="A27485" s="3" t="s">
        <v>558</v>
      </c>
      <c r="C27485" s="22" t="n">
        <f aca="false">IF(C27342=0,0,C27474/C27342)</f>
        <v>0.112026792507798</v>
      </c>
    </row>
    <row r="27486" customFormat="false" ht="15" hidden="false" customHeight="false" outlineLevel="0" collapsed="false">
      <c r="A27486" s="3" t="s">
        <v>559</v>
      </c>
      <c r="C27486" s="22" t="n">
        <f aca="false">IF(C27343=0,0,C27475/C27343)</f>
        <v>0</v>
      </c>
    </row>
    <row r="27487" customFormat="false" ht="15" hidden="false" customHeight="false" outlineLevel="0" collapsed="false">
      <c r="A27487" s="3" t="s">
        <v>560</v>
      </c>
      <c r="C27487" s="22" t="n">
        <f aca="false">IF(C27344=0,0,C27476/C27344)</f>
        <v>0.0285350994397957</v>
      </c>
    </row>
    <row r="27488" customFormat="false" ht="15" hidden="false" customHeight="false" outlineLevel="0" collapsed="false">
      <c r="A27488" s="3" t="s">
        <v>561</v>
      </c>
      <c r="C27488" s="22" t="n">
        <f aca="false">IF(C27345=0,0,C27477/C27345)</f>
        <v>0.0285350994397957</v>
      </c>
    </row>
    <row r="27489" customFormat="false" ht="15" hidden="false" customHeight="false" outlineLevel="0" collapsed="false">
      <c r="A27489" s="3" t="s">
        <v>562</v>
      </c>
      <c r="C27489" s="22" t="n">
        <f aca="false">IF(C27346=0,0,C27478/C27346)</f>
        <v>0.0285350994397957</v>
      </c>
    </row>
    <row r="27490" customFormat="false" ht="15" hidden="false" customHeight="false" outlineLevel="0" collapsed="false">
      <c r="A27490" s="3" t="s">
        <v>563</v>
      </c>
      <c r="C27490" s="22" t="n">
        <f aca="false">IF(C27347=0,0,C27479/C27347)</f>
        <v>0.0285350994397957</v>
      </c>
    </row>
    <row r="27491" customFormat="false" ht="15" hidden="false" customHeight="false" outlineLevel="0" collapsed="false">
      <c r="A27491" s="3" t="s">
        <v>564</v>
      </c>
      <c r="C27491" s="22" t="n">
        <f aca="false">IF(C27348=0,0,C27480/C27348)</f>
        <v>0.0285350994397957</v>
      </c>
    </row>
    <row r="27492" customFormat="false" ht="15" hidden="false" customHeight="false" outlineLevel="0" collapsed="false">
      <c r="A27492" s="3" t="s">
        <v>565</v>
      </c>
      <c r="C27492" s="22" t="n">
        <f aca="false">IF(C27349=0,0,C27481/C27349)</f>
        <v>1</v>
      </c>
    </row>
    <row r="27493" customFormat="false" ht="15" hidden="false" customHeight="false" outlineLevel="0" collapsed="false">
      <c r="A27493" s="2" t="s">
        <v>579</v>
      </c>
      <c r="C27493" s="17" t="n">
        <f aca="false">MAX(0,$C$27338-SUM($C$27373:$C$27382)-SUM($C$27395:$C$27404))</f>
        <v>0</v>
      </c>
    </row>
    <row r="27494" customFormat="false" ht="15" hidden="false" customHeight="false" outlineLevel="0" collapsed="false">
      <c r="A27494" s="3" t="s">
        <v>597</v>
      </c>
      <c r="C27494" s="35" t="n">
        <f aca="false">MIN(C27337,100*CHOOSE(C27327,C27461,C27462,C27463,C27464,C27465,C27466,C27467,C27468,C27469,C27470))</f>
        <v>95</v>
      </c>
    </row>
    <row r="27495" customFormat="false" ht="15" hidden="false" customHeight="false" outlineLevel="0" collapsed="false">
      <c r="A27495" s="3" t="s">
        <v>598</v>
      </c>
      <c r="C27495" s="21" t="n">
        <f aca="false">IF(C27159=1,C27332+Assumptions!$C$40,C27331)</f>
        <v>3</v>
      </c>
    </row>
    <row r="27496" customFormat="false" ht="15" hidden="false" customHeight="false" outlineLevel="0" collapsed="false">
      <c r="A27496" s="24" t="s">
        <v>599</v>
      </c>
      <c r="B27496" s="25"/>
      <c r="C27496" s="25"/>
      <c r="D27496" s="25"/>
      <c r="E27496" s="25"/>
      <c r="F27496" s="25"/>
      <c r="G27496" s="25"/>
      <c r="H27496" s="25"/>
      <c r="I27496" s="25"/>
      <c r="J27496" s="25"/>
      <c r="K27496" s="25"/>
    </row>
    <row r="27497" customFormat="false" ht="15" hidden="false" customHeight="false" outlineLevel="0" collapsed="false">
      <c r="A27497" s="3" t="s">
        <v>600</v>
      </c>
      <c r="C27497" s="21" t="n">
        <f aca="false">COLUMN()-COLUMN($C$1)</f>
        <v>0</v>
      </c>
      <c r="D27497" s="21" t="n">
        <f aca="false">COLUMN()-COLUMN($C$1)</f>
        <v>1</v>
      </c>
      <c r="E27497" s="21" t="n">
        <f aca="false">COLUMN()-COLUMN($C$1)</f>
        <v>2</v>
      </c>
      <c r="F27497" s="21" t="n">
        <f aca="false">COLUMN()-COLUMN($C$1)</f>
        <v>3</v>
      </c>
      <c r="G27497" s="21" t="n">
        <f aca="false">COLUMN()-COLUMN($C$1)</f>
        <v>4</v>
      </c>
      <c r="H27497" s="21" t="n">
        <f aca="false">COLUMN()-COLUMN($C$1)</f>
        <v>5</v>
      </c>
      <c r="I27497" s="21" t="n">
        <f aca="false">COLUMN()-COLUMN($C$1)</f>
        <v>6</v>
      </c>
    </row>
    <row r="27498" customFormat="false" ht="15" hidden="false" customHeight="false" outlineLevel="0" collapsed="false">
      <c r="A27498" s="3" t="s">
        <v>601</v>
      </c>
      <c r="D27498" s="31" t="n">
        <f aca="false">CHOOSE($C$27327,G26907,G26920,G26933,G26946,G26959,G26972,G26985,G26998,G27011,G27024)</f>
        <v>0.1165</v>
      </c>
      <c r="E27498" s="31" t="n">
        <f aca="false">CHOOSE($C$27327,H26907,H26920,H26933,H26946,H26959,H26972,H26985,H26998,H27011,H27024)</f>
        <v>0.115</v>
      </c>
      <c r="F27498" s="31" t="n">
        <f aca="false">CHOOSE($C$27327,I26907,I26920,I26933,I26946,I26959,I26972,I26985,I26998,I27011,I27024)</f>
        <v>0.1125</v>
      </c>
      <c r="G27498" s="31" t="n">
        <f aca="false">CHOOSE($C$27327,J26907,J26920,J26933,J26946,J26959,J26972,J26985,J26998,J27011,J27024)</f>
        <v>0.1125</v>
      </c>
      <c r="H27498" s="31" t="n">
        <f aca="false">CHOOSE($C$27327,K26907,K26920,K26933,K26946,K26959,K26972,K26985,K26998,K27011,K27024)</f>
        <v>0.1125</v>
      </c>
    </row>
    <row r="27499" customFormat="false" ht="15" hidden="false" customHeight="false" outlineLevel="0" collapsed="false">
      <c r="A27499" s="3" t="s">
        <v>602</v>
      </c>
      <c r="D27499" s="16" t="n">
        <f aca="false">IF(D27497&lt;=$C$27336,$C$27328*D27498,0)</f>
        <v>11.65</v>
      </c>
      <c r="E27499" s="16" t="n">
        <f aca="false">IF(E27497&lt;=$C$27336,$C$27328*E27498,0)</f>
        <v>11.5</v>
      </c>
      <c r="F27499" s="16" t="n">
        <f aca="false">IF(F27497&lt;=$C$27336,$C$27328*F27498,0)</f>
        <v>0</v>
      </c>
      <c r="G27499" s="16" t="n">
        <f aca="false">IF(G27497&lt;=$C$27336,$C$27328*G27498,0)</f>
        <v>0</v>
      </c>
      <c r="H27499" s="16" t="n">
        <f aca="false">IF(H27497&lt;=$C$27336,$C$27328*H27498,0)</f>
        <v>0</v>
      </c>
    </row>
    <row r="27500" customFormat="false" ht="15" hidden="false" customHeight="false" outlineLevel="0" collapsed="false">
      <c r="A27500" s="3" t="s">
        <v>603</v>
      </c>
      <c r="D27500" s="16" t="n">
        <f aca="false">IF(AND($C$27159=0,D27497=$C$27331),$C$27328*$C$27494/100,0)+IF(AND($C$27159=1,D27497=$C$27495),$C$27334,0)</f>
        <v>0</v>
      </c>
      <c r="E27500" s="16" t="n">
        <f aca="false">IF(AND($C$27159=0,E27497=$C$27331),$C$27328*$C$27494/100,0)+IF(AND($C$27159=1,E27497=$C$27495),$C$27334,0)</f>
        <v>0</v>
      </c>
      <c r="F27500" s="16" t="n">
        <f aca="false">IF(AND($C$27159=0,F27497=$C$27331),$C$27328*$C$27494/100,0)+IF(AND($C$27159=1,F27497=$C$27495),$C$27334,0)</f>
        <v>102.875</v>
      </c>
      <c r="G27500" s="16" t="n">
        <f aca="false">IF(AND($C$27159=0,G27497=$C$27331),$C$27328*$C$27494/100,0)+IF(AND($C$27159=1,G27497=$C$27495),$C$27334,0)</f>
        <v>0</v>
      </c>
      <c r="H27500" s="16" t="n">
        <f aca="false">IF(AND($C$27159=0,H27497=$C$27331),$C$27328*$C$27494/100,0)+IF(AND($C$27159=1,H27497=$C$27495),$C$27334,0)</f>
        <v>0</v>
      </c>
      <c r="I27500" s="16" t="n">
        <f aca="false">IF(AND($C$27159=0,I27497=$C$27331),$C$27328*$C$27494/100,0)+IF(AND($C$27159=1,I27497=$C$27495),$C$27334,0)</f>
        <v>0</v>
      </c>
    </row>
    <row r="27501" customFormat="false" ht="15" hidden="false" customHeight="false" outlineLevel="0" collapsed="false">
      <c r="A27501" s="2" t="s">
        <v>604</v>
      </c>
      <c r="C27501" s="17" t="n">
        <f aca="false">-$C$27330</f>
        <v>-98.49</v>
      </c>
      <c r="D27501" s="17" t="n">
        <f aca="false">D27499+D27500</f>
        <v>11.65</v>
      </c>
      <c r="E27501" s="17" t="n">
        <f aca="false">E27499+E27500</f>
        <v>11.5</v>
      </c>
      <c r="F27501" s="17" t="n">
        <f aca="false">F27499+F27500</f>
        <v>102.875</v>
      </c>
      <c r="G27501" s="17" t="n">
        <f aca="false">G27499+G27500</f>
        <v>0</v>
      </c>
      <c r="H27501" s="17" t="n">
        <f aca="false">H27499+H27500</f>
        <v>0</v>
      </c>
      <c r="I27501" s="17" t="n">
        <f aca="false">I27499+I27500</f>
        <v>0</v>
      </c>
    </row>
    <row r="27502" customFormat="false" ht="15" hidden="false" customHeight="false" outlineLevel="0" collapsed="false">
      <c r="A27502" s="3" t="s">
        <v>605</v>
      </c>
      <c r="C27502" s="16" t="n">
        <f aca="false">SUM($C$27499:$I$27499)</f>
        <v>23.15</v>
      </c>
    </row>
    <row r="27503" customFormat="false" ht="15" hidden="false" customHeight="false" outlineLevel="0" collapsed="false">
      <c r="A27503" s="3" t="s">
        <v>606</v>
      </c>
      <c r="C27503" s="16" t="n">
        <f aca="false">SUM($C$27500:$I$27500)</f>
        <v>102.875</v>
      </c>
    </row>
    <row r="27504" customFormat="false" ht="15" hidden="false" customHeight="false" outlineLevel="0" collapsed="false">
      <c r="A27504" s="3" t="s">
        <v>607</v>
      </c>
      <c r="C27504" s="16" t="n">
        <f aca="false">C27502+C27503</f>
        <v>126.025</v>
      </c>
    </row>
    <row r="27505" customFormat="false" ht="15" hidden="false" customHeight="false" outlineLevel="0" collapsed="false">
      <c r="A27505" s="3" t="s">
        <v>608</v>
      </c>
      <c r="C27505" s="16" t="n">
        <f aca="false">C27503-C27328*C27329/100</f>
        <v>4.87500000000001</v>
      </c>
    </row>
    <row r="27506" customFormat="false" ht="15" hidden="false" customHeight="false" outlineLevel="0" collapsed="false">
      <c r="A27506" s="3" t="s">
        <v>609</v>
      </c>
      <c r="C27506" s="16" t="n">
        <f aca="false">C27504-C27330</f>
        <v>27.535</v>
      </c>
    </row>
    <row r="27507" customFormat="false" ht="15" hidden="false" customHeight="false" outlineLevel="0" collapsed="false">
      <c r="A27507" s="2" t="s">
        <v>484</v>
      </c>
      <c r="C27507" s="44" t="n">
        <f aca="false">C27504/C27330</f>
        <v>1.27957153010458</v>
      </c>
    </row>
    <row r="27508" customFormat="false" ht="15" hidden="false" customHeight="false" outlineLevel="0" collapsed="false">
      <c r="A27508" s="2" t="s">
        <v>483</v>
      </c>
      <c r="C27508" s="42" t="n">
        <f aca="false">IF(C27504&lt;=0,-1,IFERROR(IRR($C$27501:$I$27501,MAX(-0.9,C27507^(1/C27495)-1)),IRR($C$27501:$I$27501,0.1)))</f>
        <v>0.0953952025548766</v>
      </c>
    </row>
    <row r="27509" customFormat="false" ht="15" hidden="false" customHeight="false" outlineLevel="0" collapsed="false">
      <c r="A27509" s="3" t="s">
        <v>610</v>
      </c>
      <c r="C27509" s="32" t="n">
        <f aca="false">MAX($G$27103:$K$27103)</f>
        <v>12.1307496449373</v>
      </c>
    </row>
    <row r="27510" customFormat="false" ht="15" hidden="false" customHeight="false" outlineLevel="0" collapsed="false">
      <c r="A27510" s="3" t="s">
        <v>611</v>
      </c>
      <c r="C27510" s="32" t="n">
        <f aca="false">MIN($G$27104:$K$27104)</f>
        <v>1.15371297641981</v>
      </c>
    </row>
    <row r="27511" customFormat="false" ht="15" hidden="false" customHeight="false" outlineLevel="0" collapsed="false">
      <c r="A27511" s="3" t="s">
        <v>612</v>
      </c>
      <c r="C27511" s="16" t="n">
        <f aca="false">SUM($G$26891:$K$26891)</f>
        <v>-344.968111072933</v>
      </c>
    </row>
    <row r="27515" customFormat="false" ht="15" hidden="false" customHeight="false" outlineLevel="0" collapsed="false">
      <c r="A27515" s="9" t="s">
        <v>1172</v>
      </c>
      <c r="B27515" s="10"/>
      <c r="C27515" s="10"/>
      <c r="D27515" s="10"/>
      <c r="E27515" s="10"/>
      <c r="F27515" s="10"/>
      <c r="G27515" s="10"/>
      <c r="H27515" s="10"/>
      <c r="I27515" s="10"/>
      <c r="J27515" s="10"/>
      <c r="K27515" s="10"/>
    </row>
    <row r="27516" customFormat="false" ht="15" hidden="false" customHeight="false" outlineLevel="0" collapsed="false">
      <c r="A27516" s="3" t="s">
        <v>1126</v>
      </c>
      <c r="C27516" s="11" t="n">
        <v>2</v>
      </c>
    </row>
    <row r="27517" customFormat="false" ht="15" hidden="false" customHeight="false" outlineLevel="0" collapsed="false">
      <c r="A27517" s="3" t="s">
        <v>1127</v>
      </c>
      <c r="C27517" s="19" t="n">
        <v>0</v>
      </c>
    </row>
    <row r="27518" customFormat="false" ht="15" hidden="false" customHeight="false" outlineLevel="0" collapsed="false">
      <c r="A27518" s="3" t="s">
        <v>1128</v>
      </c>
      <c r="C27518" s="19" t="n">
        <v>0</v>
      </c>
    </row>
    <row r="27519" customFormat="false" ht="15" hidden="false" customHeight="false" outlineLevel="0" collapsed="false">
      <c r="A27519" s="3" t="s">
        <v>1129</v>
      </c>
      <c r="C27519" s="30" t="n">
        <f aca="false">Sensitivities!$A$54</f>
        <v>0.02</v>
      </c>
    </row>
    <row r="27520" customFormat="false" ht="15" hidden="false" customHeight="false" outlineLevel="0" collapsed="false">
      <c r="A27520" s="3" t="s">
        <v>1130</v>
      </c>
      <c r="C27520" s="15" t="n">
        <v>0</v>
      </c>
    </row>
    <row r="27522" customFormat="false" ht="15" hidden="false" customHeight="false" outlineLevel="0" collapsed="false">
      <c r="A27522" s="24" t="s">
        <v>301</v>
      </c>
      <c r="B27522" s="25"/>
      <c r="C27522" s="25"/>
      <c r="D27522" s="25"/>
      <c r="E27522" s="25"/>
      <c r="F27522" s="25"/>
      <c r="G27522" s="25"/>
      <c r="H27522" s="25"/>
      <c r="I27522" s="25"/>
      <c r="J27522" s="25"/>
      <c r="K27522" s="25"/>
    </row>
    <row r="27523" customFormat="false" ht="15" hidden="false" customHeight="false" outlineLevel="0" collapsed="false">
      <c r="A27523" s="3" t="s">
        <v>302</v>
      </c>
      <c r="F27523" s="27" t="n">
        <f aca="false">Assumptions!$C$6</f>
        <v>2026</v>
      </c>
      <c r="G27523" s="21" t="n">
        <f aca="false">F27523+1</f>
        <v>2027</v>
      </c>
      <c r="H27523" s="21" t="n">
        <f aca="false">G27523+1</f>
        <v>2028</v>
      </c>
      <c r="I27523" s="21" t="n">
        <f aca="false">H27523+1</f>
        <v>2029</v>
      </c>
      <c r="J27523" s="21" t="n">
        <f aca="false">I27523+1</f>
        <v>2030</v>
      </c>
      <c r="K27523" s="21" t="n">
        <f aca="false">J27523+1</f>
        <v>2031</v>
      </c>
    </row>
    <row r="27524" customFormat="false" ht="15" hidden="false" customHeight="false" outlineLevel="0" collapsed="false">
      <c r="A27524" s="3" t="s">
        <v>303</v>
      </c>
      <c r="G27524" s="21" t="n">
        <f aca="false">G27523-Assumptions!$C$6</f>
        <v>1</v>
      </c>
      <c r="H27524" s="21" t="n">
        <f aca="false">H27523-Assumptions!$C$6</f>
        <v>2</v>
      </c>
      <c r="I27524" s="21" t="n">
        <f aca="false">I27523-Assumptions!$C$6</f>
        <v>3</v>
      </c>
      <c r="J27524" s="21" t="n">
        <f aca="false">J27523-Assumptions!$C$6</f>
        <v>4</v>
      </c>
      <c r="K27524" s="21" t="n">
        <f aca="false">K27523-Assumptions!$C$6</f>
        <v>5</v>
      </c>
    </row>
    <row r="27525" customFormat="false" ht="15" hidden="false" customHeight="false" outlineLevel="0" collapsed="false">
      <c r="A27525" s="3" t="s">
        <v>180</v>
      </c>
      <c r="G27525" s="22" t="n">
        <f aca="false">CHOOSE($C$27516,Assumptions!$G$79,Assumptions!$G$98,Assumptions!$G$117)+$C$27517</f>
        <v>-0.06</v>
      </c>
      <c r="H27525" s="22" t="n">
        <f aca="false">CHOOSE($C$27516,Assumptions!$H$79,Assumptions!$H$98,Assumptions!$H$117)+$C$27517</f>
        <v>-0.03</v>
      </c>
      <c r="I27525" s="22" t="n">
        <f aca="false">CHOOSE($C$27516,Assumptions!$I$79,Assumptions!$I$98,Assumptions!$I$117)+$C$27517</f>
        <v>0</v>
      </c>
      <c r="J27525" s="22" t="n">
        <f aca="false">CHOOSE($C$27516,Assumptions!$J$79,Assumptions!$J$98,Assumptions!$J$117)+$C$27517</f>
        <v>0.01</v>
      </c>
      <c r="K27525" s="22" t="n">
        <f aca="false">CHOOSE($C$27516,Assumptions!$K$79,Assumptions!$K$98,Assumptions!$K$117)+$C$27517</f>
        <v>0.01</v>
      </c>
    </row>
    <row r="27526" customFormat="false" ht="15" hidden="false" customHeight="false" outlineLevel="0" collapsed="false">
      <c r="A27526" s="3" t="s">
        <v>181</v>
      </c>
      <c r="G27526" s="22" t="n">
        <f aca="false">CHOOSE($C$27516,Assumptions!$G$80,Assumptions!$G$99,Assumptions!$G$118)</f>
        <v>0.573920660818678</v>
      </c>
      <c r="H27526" s="22" t="n">
        <f aca="false">CHOOSE($C$27516,Assumptions!$H$80,Assumptions!$H$99,Assumptions!$H$118)</f>
        <v>0.558920660818678</v>
      </c>
      <c r="I27526" s="22" t="n">
        <f aca="false">CHOOSE($C$27516,Assumptions!$I$80,Assumptions!$I$99,Assumptions!$I$118)</f>
        <v>0.558920660818678</v>
      </c>
      <c r="J27526" s="22" t="n">
        <f aca="false">CHOOSE($C$27516,Assumptions!$J$80,Assumptions!$J$99,Assumptions!$J$118)</f>
        <v>0.563920660818678</v>
      </c>
      <c r="K27526" s="22" t="n">
        <f aca="false">CHOOSE($C$27516,Assumptions!$K$80,Assumptions!$K$99,Assumptions!$K$118)</f>
        <v>0.568920660818678</v>
      </c>
    </row>
    <row r="27527" customFormat="false" ht="15" hidden="false" customHeight="false" outlineLevel="0" collapsed="false">
      <c r="A27527" s="3" t="s">
        <v>182</v>
      </c>
      <c r="G27527" s="22" t="n">
        <f aca="false">CHOOSE($C$27516,Assumptions!$G$81,Assumptions!$G$100,Assumptions!$G$119)+$C$27518</f>
        <v>0.5</v>
      </c>
      <c r="H27527" s="22" t="n">
        <f aca="false">CHOOSE($C$27516,Assumptions!$H$81,Assumptions!$H$100,Assumptions!$H$119)+$C$27518</f>
        <v>0.485</v>
      </c>
      <c r="I27527" s="22" t="n">
        <f aca="false">CHOOSE($C$27516,Assumptions!$I$81,Assumptions!$I$100,Assumptions!$I$119)+$C$27518</f>
        <v>0.485</v>
      </c>
      <c r="J27527" s="22" t="n">
        <f aca="false">CHOOSE($C$27516,Assumptions!$J$81,Assumptions!$J$100,Assumptions!$J$119)+$C$27518</f>
        <v>0.49</v>
      </c>
      <c r="K27527" s="22" t="n">
        <f aca="false">CHOOSE($C$27516,Assumptions!$K$81,Assumptions!$K$100,Assumptions!$K$119)+$C$27518</f>
        <v>0.495</v>
      </c>
    </row>
    <row r="27528" customFormat="false" ht="15" hidden="false" customHeight="false" outlineLevel="0" collapsed="false">
      <c r="A27528" s="24" t="s">
        <v>304</v>
      </c>
      <c r="B27528" s="25"/>
      <c r="C27528" s="25"/>
      <c r="D27528" s="25"/>
      <c r="E27528" s="25"/>
      <c r="F27528" s="25"/>
      <c r="G27528" s="25"/>
      <c r="H27528" s="25"/>
      <c r="I27528" s="25"/>
      <c r="J27528" s="25"/>
      <c r="K27528" s="25"/>
    </row>
    <row r="27529" customFormat="false" ht="15" hidden="false" customHeight="false" outlineLevel="0" collapsed="false">
      <c r="A27529" s="2" t="s">
        <v>275</v>
      </c>
      <c r="F27529" s="28" t="n">
        <f aca="false">'Historical Financials'!G25</f>
        <v>498.291</v>
      </c>
      <c r="G27529" s="17" t="n">
        <f aca="false">F27529*(1+G27525)</f>
        <v>468.39354</v>
      </c>
      <c r="H27529" s="17" t="n">
        <f aca="false">G27529*(1+H27525)</f>
        <v>454.3417338</v>
      </c>
      <c r="I27529" s="17" t="n">
        <f aca="false">H27529*(1+I27525)</f>
        <v>454.3417338</v>
      </c>
      <c r="J27529" s="17" t="n">
        <f aca="false">I27529*(1+J27525)</f>
        <v>458.885151138</v>
      </c>
      <c r="K27529" s="17" t="n">
        <f aca="false">J27529*(1+K27525)</f>
        <v>463.47400264938</v>
      </c>
    </row>
    <row r="27530" customFormat="false" ht="15" hidden="false" customHeight="false" outlineLevel="0" collapsed="false">
      <c r="A27530" s="3" t="s">
        <v>276</v>
      </c>
      <c r="G27530" s="16" t="n">
        <f aca="false">G27529*(1-G27526)</f>
        <v>199.57281</v>
      </c>
      <c r="H27530" s="16" t="n">
        <f aca="false">H27529*(1-H27526)</f>
        <v>200.400751707</v>
      </c>
      <c r="I27530" s="16" t="n">
        <f aca="false">I27529*(1-I27526)</f>
        <v>200.400751707</v>
      </c>
      <c r="J27530" s="16" t="n">
        <f aca="false">J27529*(1-J27526)</f>
        <v>200.11033346838</v>
      </c>
      <c r="K27530" s="16" t="n">
        <f aca="false">K27529*(1-K27526)</f>
        <v>199.794066789817</v>
      </c>
    </row>
    <row r="27531" customFormat="false" ht="15" hidden="false" customHeight="false" outlineLevel="0" collapsed="false">
      <c r="A27531" s="2" t="s">
        <v>277</v>
      </c>
      <c r="G27531" s="17" t="n">
        <f aca="false">G27529-G27530</f>
        <v>268.82073</v>
      </c>
      <c r="H27531" s="17" t="n">
        <f aca="false">H27529-H27530</f>
        <v>253.940982093</v>
      </c>
      <c r="I27531" s="17" t="n">
        <f aca="false">I27529-I27530</f>
        <v>253.940982093</v>
      </c>
      <c r="J27531" s="17" t="n">
        <f aca="false">J27529-J27530</f>
        <v>258.77481766962</v>
      </c>
      <c r="K27531" s="17" t="n">
        <f aca="false">K27529-K27530</f>
        <v>263.679935859563</v>
      </c>
    </row>
    <row r="27532" customFormat="false" ht="15" hidden="false" customHeight="false" outlineLevel="0" collapsed="false">
      <c r="A27532" s="3" t="s">
        <v>305</v>
      </c>
      <c r="G27532" s="16" t="n">
        <f aca="false">G27531-G27533</f>
        <v>34.62396</v>
      </c>
      <c r="H27532" s="16" t="n">
        <f aca="false">H27531-H27533</f>
        <v>33.5852412</v>
      </c>
      <c r="I27532" s="16" t="n">
        <f aca="false">I27531-I27533</f>
        <v>33.5852412</v>
      </c>
      <c r="J27532" s="16" t="n">
        <f aca="false">J27531-J27533</f>
        <v>33.921093612</v>
      </c>
      <c r="K27532" s="16" t="n">
        <f aca="false">K27531-K27533</f>
        <v>34.26030454812</v>
      </c>
    </row>
    <row r="27533" customFormat="false" ht="15" hidden="false" customHeight="false" outlineLevel="0" collapsed="false">
      <c r="A27533" s="2" t="s">
        <v>306</v>
      </c>
      <c r="G27533" s="17" t="n">
        <f aca="false">G27529*G27527</f>
        <v>234.19677</v>
      </c>
      <c r="H27533" s="17" t="n">
        <f aca="false">H27529*H27527</f>
        <v>220.355740893</v>
      </c>
      <c r="I27533" s="17" t="n">
        <f aca="false">I27529*I27527</f>
        <v>220.355740893</v>
      </c>
      <c r="J27533" s="17" t="n">
        <f aca="false">J27529*J27527</f>
        <v>224.85372405762</v>
      </c>
      <c r="K27533" s="17" t="n">
        <f aca="false">K27529*K27527</f>
        <v>229.419631311443</v>
      </c>
    </row>
    <row r="27534" customFormat="false" ht="15" hidden="false" customHeight="false" outlineLevel="0" collapsed="false">
      <c r="A27534" s="3" t="s">
        <v>307</v>
      </c>
      <c r="G27534" s="16" t="n">
        <f aca="false">G27529*'Historical Financials'!G30/'Historical Financials'!G25</f>
        <v>174.17542</v>
      </c>
      <c r="H27534" s="16" t="n">
        <f aca="false">H27529*'Historical Financials'!G30/'Historical Financials'!G25</f>
        <v>168.9501574</v>
      </c>
      <c r="I27534" s="16" t="n">
        <f aca="false">I27529*'Historical Financials'!G30/'Historical Financials'!G25</f>
        <v>168.9501574</v>
      </c>
      <c r="J27534" s="16" t="n">
        <f aca="false">J27529*'Historical Financials'!G30/'Historical Financials'!G25</f>
        <v>170.639658974</v>
      </c>
      <c r="K27534" s="16" t="n">
        <f aca="false">K27529*'Historical Financials'!G30/'Historical Financials'!G25</f>
        <v>172.34605556374</v>
      </c>
    </row>
    <row r="27535" customFormat="false" ht="15" hidden="false" customHeight="false" outlineLevel="0" collapsed="false">
      <c r="A27535" s="3" t="s">
        <v>308</v>
      </c>
      <c r="G27535" s="16" t="n">
        <f aca="false">G27529*'Historical Financials'!G31/'Historical Financials'!G25</f>
        <v>0</v>
      </c>
      <c r="H27535" s="16" t="n">
        <f aca="false">H27529*'Historical Financials'!G31/'Historical Financials'!G25</f>
        <v>0</v>
      </c>
      <c r="I27535" s="16" t="n">
        <f aca="false">I27529*'Historical Financials'!G31/'Historical Financials'!G25</f>
        <v>0</v>
      </c>
      <c r="J27535" s="16" t="n">
        <f aca="false">J27529*'Historical Financials'!G31/'Historical Financials'!G25</f>
        <v>0</v>
      </c>
      <c r="K27535" s="16" t="n">
        <f aca="false">K27529*'Historical Financials'!G31/'Historical Financials'!G25</f>
        <v>0</v>
      </c>
    </row>
    <row r="27536" customFormat="false" ht="15" hidden="false" customHeight="false" outlineLevel="0" collapsed="false">
      <c r="A27536" s="2" t="s">
        <v>309</v>
      </c>
      <c r="G27536" s="17" t="n">
        <f aca="false">G27533-G27534-G27535</f>
        <v>60.02135</v>
      </c>
      <c r="H27536" s="17" t="n">
        <f aca="false">H27533-H27534-H27535</f>
        <v>51.405583493</v>
      </c>
      <c r="I27536" s="17" t="n">
        <f aca="false">I27533-I27534-I27535</f>
        <v>51.405583493</v>
      </c>
      <c r="J27536" s="17" t="n">
        <f aca="false">J27533-J27534-J27535</f>
        <v>54.21406508362</v>
      </c>
      <c r="K27536" s="17" t="n">
        <f aca="false">K27533-K27534-K27535</f>
        <v>57.0735757477031</v>
      </c>
    </row>
    <row r="27537" customFormat="false" ht="15" hidden="false" customHeight="false" outlineLevel="0" collapsed="false">
      <c r="A27537" s="3" t="s">
        <v>310</v>
      </c>
      <c r="G27537" s="16" t="n">
        <f aca="false">G27563+G27576+G27589+G27602+G27615+G27628+G27641+G27654+G27667+G27680</f>
        <v>196.9610354</v>
      </c>
      <c r="H27537" s="16" t="n">
        <f aca="false">H27563+H27576+H27589+H27602+H27615+H27628+H27641+H27654+H27667+H27680</f>
        <v>195.7431204</v>
      </c>
      <c r="I27537" s="16" t="n">
        <f aca="false">I27563+I27576+I27589+I27602+I27615+I27628+I27641+I27654+I27667+I27680</f>
        <v>192.901770336299</v>
      </c>
      <c r="J27537" s="16" t="n">
        <f aca="false">J27563+J27576+J27589+J27602+J27615+J27628+J27641+J27654+J27667+J27680</f>
        <v>192.4117703363</v>
      </c>
      <c r="K27537" s="16" t="n">
        <f aca="false">K27563+K27576+K27589+K27602+K27615+K27628+K27641+K27654+K27667+K27680</f>
        <v>191.9217703363</v>
      </c>
    </row>
    <row r="27538" customFormat="false" ht="15" hidden="false" customHeight="false" outlineLevel="0" collapsed="false">
      <c r="A27538" s="3" t="s">
        <v>311</v>
      </c>
      <c r="G27538" s="16" t="n">
        <f aca="false">G27564+G27577+G27590+G27603+G27616+G27629+G27642+G27655+G27668+G27681</f>
        <v>0</v>
      </c>
      <c r="H27538" s="16" t="n">
        <f aca="false">H27564+H27577+H27590+H27603+H27616+H27629+H27642+H27655+H27668+H27681</f>
        <v>0</v>
      </c>
      <c r="I27538" s="16" t="n">
        <f aca="false">I27564+I27577+I27590+I27603+I27616+I27629+I27642+I27655+I27668+I27681</f>
        <v>0</v>
      </c>
      <c r="J27538" s="16" t="n">
        <f aca="false">J27564+J27577+J27590+J27603+J27616+J27629+J27642+J27655+J27668+J27681</f>
        <v>0</v>
      </c>
      <c r="K27538" s="16" t="n">
        <f aca="false">K27564+K27577+K27590+K27603+K27616+K27629+K27642+K27655+K27668+K27681</f>
        <v>0</v>
      </c>
    </row>
    <row r="27539" customFormat="false" ht="15" hidden="false" customHeight="false" outlineLevel="0" collapsed="false">
      <c r="A27539" s="3" t="s">
        <v>283</v>
      </c>
      <c r="G27539" s="16" t="n">
        <f aca="false">G27537+G27538</f>
        <v>196.9610354</v>
      </c>
      <c r="H27539" s="16" t="n">
        <f aca="false">H27537+H27538</f>
        <v>195.7431204</v>
      </c>
      <c r="I27539" s="16" t="n">
        <f aca="false">I27537+I27538</f>
        <v>192.901770336299</v>
      </c>
      <c r="J27539" s="16" t="n">
        <f aca="false">J27537+J27538</f>
        <v>192.4117703363</v>
      </c>
      <c r="K27539" s="16" t="n">
        <f aca="false">K27537+K27538</f>
        <v>191.9217703363</v>
      </c>
    </row>
    <row r="27540" customFormat="false" ht="15" hidden="false" customHeight="false" outlineLevel="0" collapsed="false">
      <c r="A27540" s="2" t="s">
        <v>284</v>
      </c>
      <c r="G27540" s="17" t="n">
        <f aca="false">G27536-G27539</f>
        <v>-136.9396854</v>
      </c>
      <c r="H27540" s="17" t="n">
        <f aca="false">H27536-H27539</f>
        <v>-144.337536907</v>
      </c>
      <c r="I27540" s="17" t="n">
        <f aca="false">I27536-I27539</f>
        <v>-141.496186843299</v>
      </c>
      <c r="J27540" s="17" t="n">
        <f aca="false">J27536-J27539</f>
        <v>-138.197705252679</v>
      </c>
      <c r="K27540" s="17" t="n">
        <f aca="false">K27536-K27539</f>
        <v>-134.848194588596</v>
      </c>
    </row>
    <row r="27541" customFormat="false" ht="15" hidden="false" customHeight="false" outlineLevel="0" collapsed="false">
      <c r="A27541" s="3" t="s">
        <v>312</v>
      </c>
      <c r="G27541" s="16" t="n">
        <f aca="false">MAX(0,G27540)*Assumptions!$C$9</f>
        <v>0</v>
      </c>
      <c r="H27541" s="16" t="n">
        <f aca="false">MAX(0,H27540)*Assumptions!$C$9</f>
        <v>0</v>
      </c>
      <c r="I27541" s="16" t="n">
        <f aca="false">MAX(0,I27540)*Assumptions!$C$9</f>
        <v>0</v>
      </c>
      <c r="J27541" s="16" t="n">
        <f aca="false">MAX(0,J27540)*Assumptions!$C$9</f>
        <v>0</v>
      </c>
      <c r="K27541" s="16" t="n">
        <f aca="false">MAX(0,K27540)*Assumptions!$C$9</f>
        <v>0</v>
      </c>
    </row>
    <row r="27542" customFormat="false" ht="15" hidden="false" customHeight="false" outlineLevel="0" collapsed="false">
      <c r="A27542" s="2" t="s">
        <v>313</v>
      </c>
      <c r="G27542" s="17" t="n">
        <f aca="false">G27540-G27541</f>
        <v>-136.9396854</v>
      </c>
      <c r="H27542" s="17" t="n">
        <f aca="false">H27540-H27541</f>
        <v>-144.337536907</v>
      </c>
      <c r="I27542" s="17" t="n">
        <f aca="false">I27540-I27541</f>
        <v>-141.496186843299</v>
      </c>
      <c r="J27542" s="17" t="n">
        <f aca="false">J27540-J27541</f>
        <v>-138.197705252679</v>
      </c>
      <c r="K27542" s="17" t="n">
        <f aca="false">K27540-K27541</f>
        <v>-134.848194588596</v>
      </c>
    </row>
    <row r="27543" customFormat="false" ht="15" hidden="false" customHeight="false" outlineLevel="0" collapsed="false">
      <c r="A27543" s="24" t="s">
        <v>314</v>
      </c>
      <c r="B27543" s="25"/>
      <c r="C27543" s="25"/>
      <c r="D27543" s="25"/>
      <c r="E27543" s="25"/>
      <c r="F27543" s="25"/>
      <c r="G27543" s="25"/>
      <c r="H27543" s="25"/>
      <c r="I27543" s="25"/>
      <c r="J27543" s="25"/>
      <c r="K27543" s="25"/>
    </row>
    <row r="27544" customFormat="false" ht="15" hidden="false" customHeight="false" outlineLevel="0" collapsed="false">
      <c r="A27544" s="3" t="s">
        <v>184</v>
      </c>
      <c r="G27544" s="16" t="n">
        <f aca="false">G27529*CHOOSE($C$27516,Assumptions!$C$83,Assumptions!$C$102,Assumptions!$C$121)</f>
        <v>84.3108372</v>
      </c>
      <c r="H27544" s="16" t="n">
        <f aca="false">H27529*CHOOSE($C$27516,Assumptions!$C$83,Assumptions!$C$102,Assumptions!$C$121)</f>
        <v>81.781512084</v>
      </c>
      <c r="I27544" s="16" t="n">
        <f aca="false">I27529*CHOOSE($C$27516,Assumptions!$C$83,Assumptions!$C$102,Assumptions!$C$121)</f>
        <v>81.781512084</v>
      </c>
      <c r="J27544" s="16" t="n">
        <f aca="false">J27529*CHOOSE($C$27516,Assumptions!$C$83,Assumptions!$C$102,Assumptions!$C$121)</f>
        <v>82.59932720484</v>
      </c>
      <c r="K27544" s="16" t="n">
        <f aca="false">K27529*CHOOSE($C$27516,Assumptions!$C$83,Assumptions!$C$102,Assumptions!$C$121)</f>
        <v>83.4253204768884</v>
      </c>
    </row>
    <row r="27545" customFormat="false" ht="15" hidden="false" customHeight="false" outlineLevel="0" collapsed="false">
      <c r="A27545" s="3" t="s">
        <v>315</v>
      </c>
      <c r="G27545" s="16" t="n">
        <f aca="false">CHOOSE($C$27516,Assumptions!$C$84,Assumptions!$C$103,Assumptions!$C$122)*(G27529-F27529)+CHOOSE($C$27516,Assumptions!$C$85,Assumptions!$C$104,Assumptions!$C$123)*G27529</f>
        <v>23.419677</v>
      </c>
      <c r="H27545" s="16" t="n">
        <f aca="false">CHOOSE($C$27516,Assumptions!$C$84,Assumptions!$C$103,Assumptions!$C$122)*(H27529-G27529)+CHOOSE($C$27516,Assumptions!$C$85,Assumptions!$C$104,Assumptions!$C$123)*H27529</f>
        <v>22.71708669</v>
      </c>
      <c r="I27545" s="16" t="n">
        <f aca="false">CHOOSE($C$27516,Assumptions!$C$84,Assumptions!$C$103,Assumptions!$C$122)*(I27529-H27529)+CHOOSE($C$27516,Assumptions!$C$85,Assumptions!$C$104,Assumptions!$C$123)*I27529</f>
        <v>22.71708669</v>
      </c>
      <c r="J27545" s="16" t="n">
        <f aca="false">CHOOSE($C$27516,Assumptions!$C$84,Assumptions!$C$103,Assumptions!$C$122)*(J27529-I27529)+CHOOSE($C$27516,Assumptions!$C$85,Assumptions!$C$104,Assumptions!$C$123)*J27529</f>
        <v>22.9442575569</v>
      </c>
      <c r="K27545" s="16" t="n">
        <f aca="false">CHOOSE($C$27516,Assumptions!$C$84,Assumptions!$C$103,Assumptions!$C$122)*(K27529-J27529)+CHOOSE($C$27516,Assumptions!$C$85,Assumptions!$C$104,Assumptions!$C$123)*K27529</f>
        <v>23.173700132469</v>
      </c>
    </row>
    <row r="27546" customFormat="false" ht="15" hidden="false" customHeight="false" outlineLevel="0" collapsed="false">
      <c r="A27546" s="2" t="s">
        <v>316</v>
      </c>
      <c r="G27546" s="17" t="n">
        <f aca="false">G27542+G27534+G27535+G27538-G27544-G27545</f>
        <v>-70.4947796</v>
      </c>
      <c r="H27546" s="17" t="n">
        <f aca="false">H27542+H27534+H27535+H27538-H27544-H27545</f>
        <v>-79.885978281</v>
      </c>
      <c r="I27546" s="17" t="n">
        <f aca="false">I27542+I27534+I27535+I27538-I27544-I27545</f>
        <v>-77.0446282172995</v>
      </c>
      <c r="J27546" s="17" t="n">
        <f aca="false">J27542+J27534+J27535+J27538-J27544-J27545</f>
        <v>-73.1016310404195</v>
      </c>
      <c r="K27546" s="17" t="n">
        <f aca="false">K27542+K27534+K27535+K27538-K27544-K27545</f>
        <v>-69.1011596342138</v>
      </c>
    </row>
    <row r="27548" customFormat="false" ht="15" hidden="false" customHeight="false" outlineLevel="0" collapsed="false">
      <c r="A27548" s="24" t="s">
        <v>318</v>
      </c>
      <c r="B27548" s="25"/>
      <c r="C27548" s="25"/>
      <c r="D27548" s="25"/>
      <c r="E27548" s="25"/>
      <c r="F27548" s="25"/>
      <c r="G27548" s="25"/>
      <c r="H27548" s="25"/>
      <c r="I27548" s="25"/>
      <c r="J27548" s="25"/>
      <c r="K27548" s="25"/>
    </row>
    <row r="27549" customFormat="false" ht="15" hidden="false" customHeight="false" outlineLevel="0" collapsed="false">
      <c r="A27549" s="3" t="s">
        <v>319</v>
      </c>
      <c r="G27549" s="30" t="n">
        <f aca="false">Assumptions!$G$53</f>
        <v>0.039</v>
      </c>
      <c r="H27549" s="30" t="n">
        <f aca="false">Assumptions!$H$53</f>
        <v>0.0375</v>
      </c>
      <c r="I27549" s="30" t="n">
        <f aca="false">Assumptions!$I$53</f>
        <v>0.035</v>
      </c>
      <c r="J27549" s="30" t="n">
        <f aca="false">Assumptions!$J$53</f>
        <v>0.035</v>
      </c>
      <c r="K27549" s="30" t="n">
        <f aca="false">Assumptions!$K$53</f>
        <v>0.035</v>
      </c>
    </row>
    <row r="27550" customFormat="false" ht="15" hidden="false" customHeight="false" outlineLevel="0" collapsed="false">
      <c r="A27550" s="3" t="s">
        <v>320</v>
      </c>
      <c r="C27550" s="31" t="n">
        <f aca="false">CHOOSE($C$27516,Assumptions!$C$86,Assumptions!$C$105,Assumptions!$C$124)+$C$27519</f>
        <v>0.035</v>
      </c>
    </row>
    <row r="27551" customFormat="false" ht="15" hidden="false" customHeight="false" outlineLevel="0" collapsed="false">
      <c r="A27551" s="3" t="s">
        <v>321</v>
      </c>
      <c r="C27551" s="31" t="n">
        <f aca="false">CHOOSE($C$27516,Assumptions!$C$87,Assumptions!$C$106,Assumptions!$C$125)</f>
        <v>0.1</v>
      </c>
    </row>
    <row r="27552" customFormat="false" ht="15" hidden="false" customHeight="false" outlineLevel="0" collapsed="false">
      <c r="A27552" s="3" t="s">
        <v>322</v>
      </c>
      <c r="C27552" s="32" t="n">
        <f aca="false">CHOOSE($C$27516,Assumptions!$C$88,Assumptions!$C$107,Assumptions!$C$126)</f>
        <v>9.5</v>
      </c>
    </row>
    <row r="27553" customFormat="false" ht="15" hidden="false" customHeight="false" outlineLevel="0" collapsed="false">
      <c r="A27553" s="3" t="s">
        <v>323</v>
      </c>
      <c r="C27553" s="32" t="n">
        <f aca="false">CHOOSE($C$27516,Assumptions!$C$89,Assumptions!$C$108,Assumptions!$C$127)</f>
        <v>1.5</v>
      </c>
    </row>
    <row r="27554" customFormat="false" ht="15" hidden="false" customHeight="false" outlineLevel="0" collapsed="false">
      <c r="A27554" s="3" t="s">
        <v>324</v>
      </c>
      <c r="G27554" s="16" t="n">
        <f aca="false">G27559+G27572+G27585+G27598+G27611+G27624+G27637+G27650+G27663+G27676</f>
        <v>2625.934</v>
      </c>
      <c r="H27554" s="16" t="n">
        <f aca="false">H27559+H27572+H27585+H27598+H27611+H27624+H27637+H27650+H27663+H27676</f>
        <v>2621.934</v>
      </c>
      <c r="I27554" s="16" t="n">
        <f aca="false">I27559+I27572+I27585+I27598+I27611+I27624+I27637+I27650+I27663+I27676</f>
        <v>2588.444757881</v>
      </c>
      <c r="J27554" s="16" t="n">
        <f aca="false">J27559+J27572+J27585+J27598+J27611+J27624+J27637+J27650+J27663+J27676</f>
        <v>2584.444757881</v>
      </c>
      <c r="K27554" s="16" t="n">
        <f aca="false">K27559+K27572+K27585+K27598+K27611+K27624+K27637+K27650+K27663+K27676</f>
        <v>2580.444757881</v>
      </c>
    </row>
    <row r="27555" customFormat="false" ht="15" hidden="false" customHeight="false" outlineLevel="0" collapsed="false">
      <c r="A27555" s="3" t="s">
        <v>325</v>
      </c>
      <c r="G27555" s="16" t="n">
        <f aca="false">F27747</f>
        <v>37.87</v>
      </c>
      <c r="H27555" s="16" t="n">
        <f aca="false">G27747</f>
        <v>113.3752204</v>
      </c>
      <c r="I27555" s="16" t="n">
        <f aca="false">H27747</f>
        <v>0</v>
      </c>
      <c r="J27555" s="16" t="n">
        <f aca="false">I27747</f>
        <v>-81.0446282172995</v>
      </c>
      <c r="K27555" s="16" t="n">
        <f aca="false">J27747</f>
        <v>-158.146259257719</v>
      </c>
    </row>
    <row r="27556" customFormat="false" ht="15" hidden="false" customHeight="false" outlineLevel="0" collapsed="false">
      <c r="A27556" s="3" t="s">
        <v>326</v>
      </c>
      <c r="G27556" s="16" t="n">
        <f aca="false">G27559*IF(G27560=1,$C$27551,IF(Assumptions!$I$57=1,MAX(G27549,Assumptions!$G$57)+Assumptions!$F$57+$C$27550,Assumptions!$E$57))+G27572*IF(G27573=1,$C$27551,IF(Assumptions!$I$58=1,MAX(G27549,Assumptions!$G$58)+Assumptions!$F$58+$C$27550,Assumptions!$E$58))+G27585*IF(G27586=1,$C$27551,IF(Assumptions!$I$59=1,MAX(G27549,Assumptions!$G$59)+Assumptions!$F$59+$C$27550,Assumptions!$E$59))+G27598*IF(G27599=1,$C$27551,IF(Assumptions!$I$60=1,MAX(G27549,Assumptions!$G$60)+Assumptions!$F$60+$C$27550,Assumptions!$E$60))+G27611*IF(G27612=1,$C$27551,IF(Assumptions!$I$61=1,MAX(G27549,Assumptions!$G$61)+Assumptions!$F$61+$C$27550,Assumptions!$E$61))+G27624*IF(G27625=1,$C$27551,IF(Assumptions!$I$62=1,MAX(G27549,Assumptions!$G$62)+Assumptions!$F$62+$C$27550,Assumptions!$E$62))+G27637*IF(G27638=1,$C$27551,IF(Assumptions!$I$63=1,MAX(G27549,Assumptions!$G$63)+Assumptions!$F$63+$C$27550,Assumptions!$E$63))+G27650*IF(G27651=1,$C$27551,IF(Assumptions!$I$64=1,MAX(G27549,Assumptions!$G$64)+Assumptions!$F$64+$C$27550,Assumptions!$E$64))+G27663*IF(G27664=1,$C$27551,IF(Assumptions!$I$65=1,MAX(G27549,Assumptions!$G$65)+Assumptions!$F$65+$C$27550,Assumptions!$E$65))+G27676*IF(G27677=1,$C$27551,IF(Assumptions!$I$66=1,MAX(G27549,Assumptions!$G$66)+Assumptions!$F$66+$C$27550,Assumptions!$E$66))</f>
        <v>196.9610354</v>
      </c>
      <c r="H27556" s="16" t="n">
        <f aca="false">H27559*IF(OR(H27560=1,G27869=1),$C$27551,IF(Assumptions!$I$57=1,MAX(H27549,Assumptions!$G$57)+Assumptions!$F$57+$C$27550,Assumptions!$E$57))+H27572*IF(OR(H27573=1,G27870=1),$C$27551,IF(Assumptions!$I$58=1,MAX(H27549,Assumptions!$G$58)+Assumptions!$F$58+$C$27550,Assumptions!$E$58))+H27585*IF(OR(H27586=1,G27871=1),$C$27551,IF(Assumptions!$I$59=1,MAX(H27549,Assumptions!$G$59)+Assumptions!$F$59+$C$27550,Assumptions!$E$59))+H27598*IF(OR(H27599=1,G27872=1),$C$27551,IF(Assumptions!$I$60=1,MAX(H27549,Assumptions!$G$60)+Assumptions!$F$60+$C$27550,Assumptions!$E$60))+H27611*IF(OR(H27612=1,G27873=1),$C$27551,IF(Assumptions!$I$61=1,MAX(H27549,Assumptions!$G$61)+Assumptions!$F$61+$C$27550,Assumptions!$E$61))+H27624*IF(OR(H27625=1,G27874=1),$C$27551,IF(Assumptions!$I$62=1,MAX(H27549,Assumptions!$G$62)+Assumptions!$F$62+$C$27550,Assumptions!$E$62))+H27637*IF(OR(H27638=1,G27875=1),$C$27551,IF(Assumptions!$I$63=1,MAX(H27549,Assumptions!$G$63)+Assumptions!$F$63+$C$27550,Assumptions!$E$63))+H27650*IF(OR(H27651=1,G27876=1),$C$27551,IF(Assumptions!$I$64=1,MAX(H27549,Assumptions!$G$64)+Assumptions!$F$64+$C$27550,Assumptions!$E$64))+H27663*IF(OR(H27664=1,G27877=1),$C$27551,IF(Assumptions!$I$65=1,MAX(H27549,Assumptions!$G$65)+Assumptions!$F$65+$C$27550,Assumptions!$E$65))+H27676*IF(OR(H27677=1,G27878=1),$C$27551,IF(Assumptions!$I$66=1,MAX(H27549,Assumptions!$G$66)+Assumptions!$F$66+$C$27550,Assumptions!$E$66))</f>
        <v>228.9181204</v>
      </c>
      <c r="I27556" s="16" t="n">
        <f aca="false">I27559*IF(OR(I27560=1,H27869=1),$C$27551,IF(Assumptions!$I$57=1,MAX(I27549,Assumptions!$G$57)+Assumptions!$F$57+$C$27550,Assumptions!$E$57))+I27572*IF(OR(I27573=1,H27870=1),$C$27551,IF(Assumptions!$I$58=1,MAX(I27549,Assumptions!$G$58)+Assumptions!$F$58+$C$27550,Assumptions!$E$58))+I27585*IF(OR(I27586=1,H27871=1),$C$27551,IF(Assumptions!$I$59=1,MAX(I27549,Assumptions!$G$59)+Assumptions!$F$59+$C$27550,Assumptions!$E$59))+I27598*IF(OR(I27599=1,H27872=1),$C$27551,IF(Assumptions!$I$60=1,MAX(I27549,Assumptions!$G$60)+Assumptions!$F$60+$C$27550,Assumptions!$E$60))+I27611*IF(OR(I27612=1,H27873=1),$C$27551,IF(Assumptions!$I$61=1,MAX(I27549,Assumptions!$G$61)+Assumptions!$F$61+$C$27550,Assumptions!$E$61))+I27624*IF(OR(I27625=1,H27874=1),$C$27551,IF(Assumptions!$I$62=1,MAX(I27549,Assumptions!$G$62)+Assumptions!$F$62+$C$27550,Assumptions!$E$62))+I27637*IF(OR(I27638=1,H27875=1),$C$27551,IF(Assumptions!$I$63=1,MAX(I27549,Assumptions!$G$63)+Assumptions!$F$63+$C$27550,Assumptions!$E$63))+I27650*IF(OR(I27651=1,H27876=1),$C$27551,IF(Assumptions!$I$64=1,MAX(I27549,Assumptions!$G$64)+Assumptions!$F$64+$C$27550,Assumptions!$E$64))+I27663*IF(OR(I27664=1,H27877=1),$C$27551,IF(Assumptions!$I$65=1,MAX(I27549,Assumptions!$G$65)+Assumptions!$F$65+$C$27550,Assumptions!$E$65))+I27676*IF(OR(I27677=1,H27878=1),$C$27551,IF(Assumptions!$I$66=1,MAX(I27549,Assumptions!$G$66)+Assumptions!$F$66+$C$27550,Assumptions!$E$66))</f>
        <v>199.089270336299</v>
      </c>
      <c r="J27556" s="16" t="n">
        <f aca="false">J27559*IF(OR(J27560=1,I27869=1),$C$27551,IF(Assumptions!$I$57=1,MAX(J27549,Assumptions!$G$57)+Assumptions!$F$57+$C$27550,Assumptions!$E$57))+J27572*IF(OR(J27573=1,I27870=1),$C$27551,IF(Assumptions!$I$58=1,MAX(J27549,Assumptions!$G$58)+Assumptions!$F$58+$C$27550,Assumptions!$E$58))+J27585*IF(OR(J27586=1,I27871=1),$C$27551,IF(Assumptions!$I$59=1,MAX(J27549,Assumptions!$G$59)+Assumptions!$F$59+$C$27550,Assumptions!$E$59))+J27598*IF(OR(J27599=1,I27872=1),$C$27551,IF(Assumptions!$I$60=1,MAX(J27549,Assumptions!$G$60)+Assumptions!$F$60+$C$27550,Assumptions!$E$60))+J27611*IF(OR(J27612=1,I27873=1),$C$27551,IF(Assumptions!$I$61=1,MAX(J27549,Assumptions!$G$61)+Assumptions!$F$61+$C$27550,Assumptions!$E$61))+J27624*IF(OR(J27625=1,I27874=1),$C$27551,IF(Assumptions!$I$62=1,MAX(J27549,Assumptions!$G$62)+Assumptions!$F$62+$C$27550,Assumptions!$E$62))+J27637*IF(OR(J27638=1,I27875=1),$C$27551,IF(Assumptions!$I$63=1,MAX(J27549,Assumptions!$G$63)+Assumptions!$F$63+$C$27550,Assumptions!$E$63))+J27650*IF(OR(J27651=1,I27876=1),$C$27551,IF(Assumptions!$I$64=1,MAX(J27549,Assumptions!$G$64)+Assumptions!$F$64+$C$27550,Assumptions!$E$64))+J27663*IF(OR(J27664=1,I27877=1),$C$27551,IF(Assumptions!$I$65=1,MAX(J27549,Assumptions!$G$65)+Assumptions!$F$65+$C$27550,Assumptions!$E$65))+J27676*IF(OR(J27677=1,I27878=1),$C$27551,IF(Assumptions!$I$66=1,MAX(J27549,Assumptions!$G$66)+Assumptions!$F$66+$C$27550,Assumptions!$E$66))</f>
        <v>211.4867703363</v>
      </c>
      <c r="K27556" s="16" t="n">
        <f aca="false">K27559*IF(OR(K27560=1,J27869=1),$C$27551,IF(Assumptions!$I$57=1,MAX(K27549,Assumptions!$G$57)+Assumptions!$F$57+$C$27550,Assumptions!$E$57))+K27572*IF(OR(K27573=1,J27870=1),$C$27551,IF(Assumptions!$I$58=1,MAX(K27549,Assumptions!$G$58)+Assumptions!$F$58+$C$27550,Assumptions!$E$58))+K27585*IF(OR(K27586=1,J27871=1),$C$27551,IF(Assumptions!$I$59=1,MAX(K27549,Assumptions!$G$59)+Assumptions!$F$59+$C$27550,Assumptions!$E$59))+K27598*IF(OR(K27599=1,J27872=1),$C$27551,IF(Assumptions!$I$60=1,MAX(K27549,Assumptions!$G$60)+Assumptions!$F$60+$C$27550,Assumptions!$E$60))+K27611*IF(OR(K27612=1,J27873=1),$C$27551,IF(Assumptions!$I$61=1,MAX(K27549,Assumptions!$G$61)+Assumptions!$F$61+$C$27550,Assumptions!$E$61))+K27624*IF(OR(K27625=1,J27874=1),$C$27551,IF(Assumptions!$I$62=1,MAX(K27549,Assumptions!$G$62)+Assumptions!$F$62+$C$27550,Assumptions!$E$62))+K27637*IF(OR(K27638=1,J27875=1),$C$27551,IF(Assumptions!$I$63=1,MAX(K27549,Assumptions!$G$63)+Assumptions!$F$63+$C$27550,Assumptions!$E$63))+K27650*IF(OR(K27651=1,J27876=1),$C$27551,IF(Assumptions!$I$64=1,MAX(K27549,Assumptions!$G$64)+Assumptions!$F$64+$C$27550,Assumptions!$E$64))+K27663*IF(OR(K27664=1,J27877=1),$C$27551,IF(Assumptions!$I$65=1,MAX(K27549,Assumptions!$G$65)+Assumptions!$F$65+$C$27550,Assumptions!$E$65))+K27676*IF(OR(K27677=1,J27878=1),$C$27551,IF(Assumptions!$I$66=1,MAX(K27549,Assumptions!$G$66)+Assumptions!$F$66+$C$27550,Assumptions!$E$66))</f>
        <v>194.9067703363</v>
      </c>
    </row>
    <row r="27557" customFormat="false" ht="15" hidden="false" customHeight="false" outlineLevel="0" collapsed="false">
      <c r="A27557" s="3" t="s">
        <v>327</v>
      </c>
      <c r="G27557" s="21" t="n">
        <f aca="false">IF(G27533&lt;=0,0,IF(AND((G27554-G27555)/G27533&lt;=$C$27552,G27533/G27556&gt;=$C$27553),1,0))</f>
        <v>0</v>
      </c>
      <c r="H27557" s="21" t="n">
        <f aca="false">IF(H27533&lt;=0,0,IF(AND((H27554-H27555)/H27533&lt;=$C$27552,H27533/H27556&gt;=$C$27553),1,0))</f>
        <v>0</v>
      </c>
      <c r="I27557" s="21" t="n">
        <f aca="false">IF(I27533&lt;=0,0,IF(AND((I27554-I27555)/I27533&lt;=$C$27552,I27533/I27556&gt;=$C$27553),1,0))</f>
        <v>0</v>
      </c>
      <c r="J27557" s="21" t="n">
        <f aca="false">IF(J27533&lt;=0,0,IF(AND((J27554-J27555)/J27533&lt;=$C$27552,J27533/J27556&gt;=$C$27553),1,0))</f>
        <v>0</v>
      </c>
      <c r="K27557" s="21" t="n">
        <f aca="false">IF(K27533&lt;=0,0,IF(AND((K27554-K27555)/K27533&lt;=$C$27552,K27533/K27556&gt;=$C$27553),1,0))</f>
        <v>0</v>
      </c>
    </row>
    <row r="27558" customFormat="false" ht="15" hidden="false" customHeight="false" outlineLevel="0" collapsed="false">
      <c r="A27558" s="24" t="s">
        <v>328</v>
      </c>
      <c r="B27558" s="25"/>
      <c r="C27558" s="25"/>
      <c r="D27558" s="25"/>
      <c r="E27558" s="25"/>
      <c r="F27558" s="25"/>
      <c r="G27558" s="25"/>
      <c r="H27558" s="25"/>
      <c r="I27558" s="25"/>
      <c r="J27558" s="25"/>
      <c r="K27558" s="25"/>
    </row>
    <row r="27559" customFormat="false" ht="15" hidden="false" customHeight="false" outlineLevel="0" collapsed="false">
      <c r="A27559" s="3" t="s">
        <v>329</v>
      </c>
      <c r="G27559" s="16" t="n">
        <f aca="false">F27570</f>
        <v>400</v>
      </c>
      <c r="H27559" s="16" t="n">
        <f aca="false">G27570</f>
        <v>396</v>
      </c>
      <c r="I27559" s="16" t="n">
        <f aca="false">H27570</f>
        <v>392</v>
      </c>
      <c r="J27559" s="16" t="n">
        <f aca="false">I27570</f>
        <v>388</v>
      </c>
      <c r="K27559" s="16" t="n">
        <f aca="false">J27570</f>
        <v>384</v>
      </c>
    </row>
    <row r="27560" customFormat="false" ht="15" hidden="false" customHeight="false" outlineLevel="0" collapsed="false">
      <c r="A27560" s="3" t="s">
        <v>330</v>
      </c>
      <c r="G27560" s="21" t="n">
        <f aca="false">IF(G27523=Assumptions!$K$57,1,0)</f>
        <v>0</v>
      </c>
      <c r="H27560" s="21" t="n">
        <f aca="false">IF(H27523=Assumptions!$K$57,1,0)</f>
        <v>0</v>
      </c>
      <c r="I27560" s="21" t="n">
        <f aca="false">IF(I27523=Assumptions!$K$57,1,0)</f>
        <v>0</v>
      </c>
      <c r="J27560" s="21" t="n">
        <f aca="false">IF(J27523=Assumptions!$K$57,1,0)</f>
        <v>0</v>
      </c>
      <c r="K27560" s="21" t="n">
        <f aca="false">IF(K27523=Assumptions!$K$57,1,0)</f>
        <v>1</v>
      </c>
    </row>
    <row r="27562" customFormat="false" ht="15" hidden="false" customHeight="false" outlineLevel="0" collapsed="false">
      <c r="A27562" s="3" t="s">
        <v>331</v>
      </c>
      <c r="G27562" s="31" t="n">
        <f aca="false">IF(Assumptions!$I$57=1,MAX(G27549,Assumptions!$G$57)+Assumptions!$F$57+$C$27550,Assumptions!$E$57)</f>
        <v>0.1265</v>
      </c>
      <c r="H27562" s="31" t="n">
        <f aca="false">IF(G27869=1,$C$27551,IF(Assumptions!$I$57=1,MAX(H27549,Assumptions!$G$57)+Assumptions!$F$57+$C$27550,Assumptions!$E$57))</f>
        <v>0.125</v>
      </c>
      <c r="I27562" s="31" t="n">
        <f aca="false">IF(H27869=1,$C$27551,IF(Assumptions!$I$57=1,MAX(I27549,Assumptions!$G$57)+Assumptions!$F$57+$C$27550,Assumptions!$E$57))</f>
        <v>0.1225</v>
      </c>
      <c r="J27562" s="31" t="n">
        <f aca="false">IF(I27869=1,$C$27551,IF(Assumptions!$I$57=1,MAX(J27549,Assumptions!$G$57)+Assumptions!$F$57+$C$27550,Assumptions!$E$57))</f>
        <v>0.1225</v>
      </c>
      <c r="K27562" s="31" t="n">
        <f aca="false">IF(J27869=1,$C$27551,IF(Assumptions!$I$57=1,MAX(K27549,Assumptions!$G$57)+Assumptions!$F$57+$C$27550,Assumptions!$E$57))</f>
        <v>0.1225</v>
      </c>
    </row>
    <row r="27563" customFormat="false" ht="15" hidden="false" customHeight="false" outlineLevel="0" collapsed="false">
      <c r="A27563" s="3" t="s">
        <v>332</v>
      </c>
      <c r="G27563" s="16" t="n">
        <f aca="false">G27559*G27562</f>
        <v>50.6</v>
      </c>
      <c r="H27563" s="16" t="n">
        <f aca="false">H27559*H27562</f>
        <v>49.5</v>
      </c>
      <c r="I27563" s="16" t="n">
        <f aca="false">I27559*I27562</f>
        <v>48.02</v>
      </c>
      <c r="J27563" s="16" t="n">
        <f aca="false">J27559*J27562</f>
        <v>47.53</v>
      </c>
      <c r="K27563" s="16" t="n">
        <f aca="false">K27559*K27562</f>
        <v>47.04</v>
      </c>
    </row>
    <row r="27564" customFormat="false" ht="15" hidden="false" customHeight="false" outlineLevel="0" collapsed="false">
      <c r="A27564" s="3" t="s">
        <v>333</v>
      </c>
      <c r="G27564" s="16" t="n">
        <f aca="false">G27559*Assumptions!$H$57</f>
        <v>0</v>
      </c>
      <c r="H27564" s="16" t="n">
        <f aca="false">H27559*Assumptions!$H$57</f>
        <v>0</v>
      </c>
      <c r="I27564" s="16" t="n">
        <f aca="false">I27559*Assumptions!$H$57</f>
        <v>0</v>
      </c>
      <c r="J27564" s="16" t="n">
        <f aca="false">J27559*Assumptions!$H$57</f>
        <v>0</v>
      </c>
      <c r="K27564" s="16" t="n">
        <f aca="false">K27559*Assumptions!$H$57</f>
        <v>0</v>
      </c>
    </row>
    <row r="27565" customFormat="false" ht="15" hidden="false" customHeight="false" outlineLevel="0" collapsed="false">
      <c r="A27565" s="3" t="s">
        <v>334</v>
      </c>
      <c r="G27565" s="16" t="n">
        <f aca="false">MIN(G27559,Assumptions!$L$57*Assumptions!$C$57)</f>
        <v>4</v>
      </c>
      <c r="H27565" s="16" t="n">
        <f aca="false">MIN(H27559,Assumptions!$L$57*Assumptions!$C$57)</f>
        <v>4</v>
      </c>
      <c r="I27565" s="16" t="n">
        <f aca="false">MIN(I27559,Assumptions!$L$57*Assumptions!$C$57)</f>
        <v>4</v>
      </c>
      <c r="J27565" s="16" t="n">
        <f aca="false">MIN(J27559,Assumptions!$L$57*Assumptions!$C$57)</f>
        <v>4</v>
      </c>
      <c r="K27565" s="16" t="n">
        <f aca="false">MIN(K27559,Assumptions!$L$57*Assumptions!$C$57)</f>
        <v>4</v>
      </c>
    </row>
    <row r="27566" customFormat="false" ht="15" hidden="false" customHeight="false" outlineLevel="0" collapsed="false">
      <c r="A27566" s="3" t="s">
        <v>335</v>
      </c>
      <c r="G27566" s="16" t="n">
        <f aca="false">IF(AND(Assumptions!$P$57=1,G27523&lt;Assumptions!$K$57),MIN(MAX(0,-G27739),MAX(0,Assumptions!$D$57-G27559)),0)</f>
        <v>0</v>
      </c>
      <c r="H27566" s="16" t="n">
        <f aca="false">IF(AND(Assumptions!$P$57=1,OR(H27523&lt;Assumptions!$K$57,G27869=1)),MIN(MAX(0,-H27739),MAX(0,Assumptions!$D$57-H27559)),0)</f>
        <v>0</v>
      </c>
      <c r="I27566" s="16" t="n">
        <f aca="false">IF(AND(Assumptions!$P$57=1,OR(I27523&lt;Assumptions!$K$57,H27869=1)),MIN(MAX(0,-I27739),MAX(0,Assumptions!$D$57-I27559)),0)</f>
        <v>0</v>
      </c>
      <c r="J27566" s="16" t="n">
        <f aca="false">IF(AND(Assumptions!$P$57=1,OR(J27523&lt;Assumptions!$K$57,I27869=1)),MIN(MAX(0,-J27739),MAX(0,Assumptions!$D$57-J27559)),0)</f>
        <v>0</v>
      </c>
      <c r="K27566" s="16" t="n">
        <f aca="false">IF(AND(Assumptions!$P$57=1,OR(K27523&lt;Assumptions!$K$57,J27869=1)),MIN(MAX(0,-K27739),MAX(0,Assumptions!$D$57-K27559)),0)</f>
        <v>0</v>
      </c>
    </row>
    <row r="27567" customFormat="false" ht="15" hidden="false" customHeight="false" outlineLevel="0" collapsed="false">
      <c r="A27567" s="3" t="s">
        <v>336</v>
      </c>
      <c r="G27567" s="16" t="n">
        <f aca="false">G27560*MIN(G27559-G27565+G27564,MAX(0,G27741-Assumptions!$C$12*G27557))</f>
        <v>0</v>
      </c>
      <c r="H27567" s="16" t="n">
        <f aca="false">H27560*MIN(H27559-H27565+H27564,MAX(0,H27741-Assumptions!$C$12*H27557))</f>
        <v>0</v>
      </c>
      <c r="I27567" s="16" t="n">
        <f aca="false">I27560*MIN(I27559-I27565+I27564,MAX(0,I27741-Assumptions!$C$12*I27557))</f>
        <v>0</v>
      </c>
      <c r="J27567" s="16" t="n">
        <f aca="false">J27560*MIN(J27559-J27565+J27564,MAX(0,J27741-Assumptions!$C$12*J27557))</f>
        <v>0</v>
      </c>
      <c r="K27567" s="16" t="n">
        <f aca="false">K27560*MIN(K27559-K27565+K27564,MAX(0,K27741-Assumptions!$C$12*K27557))</f>
        <v>0</v>
      </c>
    </row>
    <row r="27568" customFormat="false" ht="15" hidden="false" customHeight="false" outlineLevel="0" collapsed="false">
      <c r="A27568" s="3" t="s">
        <v>337</v>
      </c>
      <c r="G27568" s="16" t="n">
        <f aca="false">Assumptions!$N$57*MIN(G27559+G27566+G27564-G27565-G27567,MAX(0,G27745))</f>
        <v>0</v>
      </c>
      <c r="H27568" s="16" t="n">
        <f aca="false">Assumptions!$N$57*MIN(H27559+H27566+H27564-H27565-H27567,MAX(0,H27745))</f>
        <v>0</v>
      </c>
      <c r="I27568" s="16" t="n">
        <f aca="false">Assumptions!$N$57*MIN(I27559+I27566+I27564-I27565-I27567,MAX(0,I27745))</f>
        <v>0</v>
      </c>
      <c r="J27568" s="16" t="n">
        <f aca="false">Assumptions!$N$57*MIN(J27559+J27566+J27564-J27565-J27567,MAX(0,J27745))</f>
        <v>0</v>
      </c>
      <c r="K27568" s="16" t="n">
        <f aca="false">Assumptions!$N$57*MIN(K27559+K27566+K27564-K27565-K27567,MAX(0,K27745))</f>
        <v>0</v>
      </c>
    </row>
    <row r="27569" customFormat="false" ht="15" hidden="false" customHeight="false" outlineLevel="0" collapsed="false">
      <c r="A27569" s="3" t="s">
        <v>338</v>
      </c>
      <c r="G27569" s="16" t="n">
        <f aca="false">G27560*(1-G27557)*(G27559-G27565+G27564-G27567)</f>
        <v>0</v>
      </c>
      <c r="H27569" s="16" t="n">
        <f aca="false">H27560*(1-H27557)*(H27559-H27565+H27564-H27567)</f>
        <v>0</v>
      </c>
      <c r="I27569" s="16" t="n">
        <f aca="false">I27560*(1-I27557)*(I27559-I27565+I27564-I27567)</f>
        <v>0</v>
      </c>
      <c r="J27569" s="16" t="n">
        <f aca="false">J27560*(1-J27557)*(J27559-J27565+J27564-J27567)</f>
        <v>0</v>
      </c>
      <c r="K27569" s="16" t="n">
        <f aca="false">K27560*(1-K27557)*(K27559-K27565+K27564-K27567)</f>
        <v>380</v>
      </c>
    </row>
    <row r="27570" customFormat="false" ht="15" hidden="false" customHeight="false" outlineLevel="0" collapsed="false">
      <c r="A27570" s="2" t="s">
        <v>339</v>
      </c>
      <c r="F27570" s="28" t="n">
        <f aca="false">Assumptions!$C$57</f>
        <v>400</v>
      </c>
      <c r="G27570" s="17" t="n">
        <f aca="false">G27559+G27566+G27564-G27565-G27567-G27568</f>
        <v>396</v>
      </c>
      <c r="H27570" s="17" t="n">
        <f aca="false">H27559+H27566+H27564-H27565-H27567-H27568</f>
        <v>392</v>
      </c>
      <c r="I27570" s="17" t="n">
        <f aca="false">I27559+I27566+I27564-I27565-I27567-I27568</f>
        <v>388</v>
      </c>
      <c r="J27570" s="17" t="n">
        <f aca="false">J27559+J27566+J27564-J27565-J27567-J27568</f>
        <v>384</v>
      </c>
      <c r="K27570" s="17" t="n">
        <f aca="false">K27559+K27566+K27564-K27565-K27567-K27568</f>
        <v>380</v>
      </c>
    </row>
    <row r="27571" customFormat="false" ht="15" hidden="false" customHeight="false" outlineLevel="0" collapsed="false">
      <c r="A27571" s="24" t="s">
        <v>340</v>
      </c>
      <c r="B27571" s="25"/>
      <c r="C27571" s="25"/>
      <c r="D27571" s="25"/>
      <c r="E27571" s="25"/>
      <c r="F27571" s="25"/>
      <c r="G27571" s="25"/>
      <c r="H27571" s="25"/>
      <c r="I27571" s="25"/>
      <c r="J27571" s="25"/>
      <c r="K27571" s="25"/>
    </row>
    <row r="27572" customFormat="false" ht="15" hidden="false" customHeight="false" outlineLevel="0" collapsed="false">
      <c r="A27572" s="3" t="s">
        <v>329</v>
      </c>
      <c r="G27572" s="16" t="n">
        <f aca="false">F27583</f>
        <v>90</v>
      </c>
      <c r="H27572" s="16" t="n">
        <f aca="false">G27583</f>
        <v>90</v>
      </c>
      <c r="I27572" s="16" t="n">
        <f aca="false">H27583</f>
        <v>90</v>
      </c>
      <c r="J27572" s="16" t="n">
        <f aca="false">I27583</f>
        <v>90</v>
      </c>
      <c r="K27572" s="16" t="n">
        <f aca="false">J27583</f>
        <v>90</v>
      </c>
    </row>
    <row r="27573" customFormat="false" ht="15" hidden="false" customHeight="false" outlineLevel="0" collapsed="false">
      <c r="A27573" s="3" t="s">
        <v>330</v>
      </c>
      <c r="G27573" s="21" t="n">
        <f aca="false">IF(G27523=Assumptions!$K$58,1,0)</f>
        <v>0</v>
      </c>
      <c r="H27573" s="21" t="n">
        <f aca="false">IF(H27523=Assumptions!$K$58,1,0)</f>
        <v>0</v>
      </c>
      <c r="I27573" s="21" t="n">
        <f aca="false">IF(I27523=Assumptions!$K$58,1,0)</f>
        <v>0</v>
      </c>
      <c r="J27573" s="21" t="n">
        <f aca="false">IF(J27523=Assumptions!$K$58,1,0)</f>
        <v>0</v>
      </c>
      <c r="K27573" s="21" t="n">
        <f aca="false">IF(K27523=Assumptions!$K$58,1,0)</f>
        <v>0</v>
      </c>
    </row>
    <row r="27575" customFormat="false" ht="15" hidden="false" customHeight="false" outlineLevel="0" collapsed="false">
      <c r="A27575" s="3" t="s">
        <v>331</v>
      </c>
      <c r="G27575" s="31" t="n">
        <f aca="false">IF(Assumptions!$I$58=1,MAX(G27549,Assumptions!$G$58)+Assumptions!$F$58+$C$27550,Assumptions!$E$58)</f>
        <v>0.0581</v>
      </c>
      <c r="H27575" s="31" t="n">
        <f aca="false">IF(G27870=1,$C$27551,IF(Assumptions!$I$58=1,MAX(H27549,Assumptions!$G$58)+Assumptions!$F$58+$C$27550,Assumptions!$E$58))</f>
        <v>0.0581</v>
      </c>
      <c r="I27575" s="31" t="n">
        <f aca="false">IF(H27870=1,$C$27551,IF(Assumptions!$I$58=1,MAX(I27549,Assumptions!$G$58)+Assumptions!$F$58+$C$27550,Assumptions!$E$58))</f>
        <v>0.0581</v>
      </c>
      <c r="J27575" s="31" t="n">
        <f aca="false">IF(I27870=1,$C$27551,IF(Assumptions!$I$58=1,MAX(J27549,Assumptions!$G$58)+Assumptions!$F$58+$C$27550,Assumptions!$E$58))</f>
        <v>0.0581</v>
      </c>
      <c r="K27575" s="31" t="n">
        <f aca="false">IF(J27870=1,$C$27551,IF(Assumptions!$I$58=1,MAX(K27549,Assumptions!$G$58)+Assumptions!$F$58+$C$27550,Assumptions!$E$58))</f>
        <v>0.0581</v>
      </c>
    </row>
    <row r="27576" customFormat="false" ht="15" hidden="false" customHeight="false" outlineLevel="0" collapsed="false">
      <c r="A27576" s="3" t="s">
        <v>332</v>
      </c>
      <c r="G27576" s="16" t="n">
        <f aca="false">G27572*G27575</f>
        <v>5.229</v>
      </c>
      <c r="H27576" s="16" t="n">
        <f aca="false">H27572*H27575</f>
        <v>5.229</v>
      </c>
      <c r="I27576" s="16" t="n">
        <f aca="false">I27572*I27575</f>
        <v>5.229</v>
      </c>
      <c r="J27576" s="16" t="n">
        <f aca="false">J27572*J27575</f>
        <v>5.229</v>
      </c>
      <c r="K27576" s="16" t="n">
        <f aca="false">K27572*K27575</f>
        <v>5.229</v>
      </c>
    </row>
    <row r="27577" customFormat="false" ht="15" hidden="false" customHeight="false" outlineLevel="0" collapsed="false">
      <c r="A27577" s="3" t="s">
        <v>333</v>
      </c>
      <c r="G27577" s="16" t="n">
        <f aca="false">G27572*Assumptions!$H$58</f>
        <v>0</v>
      </c>
      <c r="H27577" s="16" t="n">
        <f aca="false">H27572*Assumptions!$H$58</f>
        <v>0</v>
      </c>
      <c r="I27577" s="16" t="n">
        <f aca="false">I27572*Assumptions!$H$58</f>
        <v>0</v>
      </c>
      <c r="J27577" s="16" t="n">
        <f aca="false">J27572*Assumptions!$H$58</f>
        <v>0</v>
      </c>
      <c r="K27577" s="16" t="n">
        <f aca="false">K27572*Assumptions!$H$58</f>
        <v>0</v>
      </c>
    </row>
    <row r="27578" customFormat="false" ht="15" hidden="false" customHeight="false" outlineLevel="0" collapsed="false">
      <c r="A27578" s="3" t="s">
        <v>334</v>
      </c>
      <c r="G27578" s="16" t="n">
        <f aca="false">MIN(G27572,Assumptions!$L$58*Assumptions!$C$58)</f>
        <v>0</v>
      </c>
      <c r="H27578" s="16" t="n">
        <f aca="false">MIN(H27572,Assumptions!$L$58*Assumptions!$C$58)</f>
        <v>0</v>
      </c>
      <c r="I27578" s="16" t="n">
        <f aca="false">MIN(I27572,Assumptions!$L$58*Assumptions!$C$58)</f>
        <v>0</v>
      </c>
      <c r="J27578" s="16" t="n">
        <f aca="false">MIN(J27572,Assumptions!$L$58*Assumptions!$C$58)</f>
        <v>0</v>
      </c>
      <c r="K27578" s="16" t="n">
        <f aca="false">MIN(K27572,Assumptions!$L$58*Assumptions!$C$58)</f>
        <v>0</v>
      </c>
    </row>
    <row r="27579" customFormat="false" ht="15" hidden="false" customHeight="false" outlineLevel="0" collapsed="false">
      <c r="A27579" s="3" t="s">
        <v>335</v>
      </c>
      <c r="G27579" s="16" t="n">
        <f aca="false">IF(AND(Assumptions!$P$58=1,G27523&lt;Assumptions!$K$58),MIN(MAX(0,-G27739),MAX(0,Assumptions!$D$58-G27572)),0)</f>
        <v>0</v>
      </c>
      <c r="H27579" s="16" t="n">
        <f aca="false">IF(AND(Assumptions!$P$58=1,OR(H27523&lt;Assumptions!$K$58,G27870=1)),MIN(MAX(0,-H27739),MAX(0,Assumptions!$D$58-H27572)),0)</f>
        <v>0</v>
      </c>
      <c r="I27579" s="16" t="n">
        <f aca="false">IF(AND(Assumptions!$P$58=1,OR(I27523&lt;Assumptions!$K$58,H27870=1)),MIN(MAX(0,-I27739),MAX(0,Assumptions!$D$58-I27572)),0)</f>
        <v>0</v>
      </c>
      <c r="J27579" s="16" t="n">
        <f aca="false">IF(AND(Assumptions!$P$58=1,OR(J27523&lt;Assumptions!$K$58,I27870=1)),MIN(MAX(0,-J27739),MAX(0,Assumptions!$D$58-J27572)),0)</f>
        <v>0</v>
      </c>
      <c r="K27579" s="16" t="n">
        <f aca="false">IF(AND(Assumptions!$P$58=1,OR(K27523&lt;Assumptions!$K$58,J27870=1)),MIN(MAX(0,-K27739),MAX(0,Assumptions!$D$58-K27572)),0)</f>
        <v>0</v>
      </c>
    </row>
    <row r="27580" customFormat="false" ht="15" hidden="false" customHeight="false" outlineLevel="0" collapsed="false">
      <c r="A27580" s="3" t="s">
        <v>336</v>
      </c>
      <c r="G27580" s="16" t="n">
        <f aca="false">G27573*MIN(G27572-G27578+G27577,MAX(0,G27741-Assumptions!$C$12*G27557-G27567))</f>
        <v>0</v>
      </c>
      <c r="H27580" s="16" t="n">
        <f aca="false">H27573*MIN(H27572-H27578+H27577,MAX(0,H27741-Assumptions!$C$12*H27557-H27567))</f>
        <v>0</v>
      </c>
      <c r="I27580" s="16" t="n">
        <f aca="false">I27573*MIN(I27572-I27578+I27577,MAX(0,I27741-Assumptions!$C$12*I27557-I27567))</f>
        <v>0</v>
      </c>
      <c r="J27580" s="16" t="n">
        <f aca="false">J27573*MIN(J27572-J27578+J27577,MAX(0,J27741-Assumptions!$C$12*J27557-J27567))</f>
        <v>0</v>
      </c>
      <c r="K27580" s="16" t="n">
        <f aca="false">K27573*MIN(K27572-K27578+K27577,MAX(0,K27741-Assumptions!$C$12*K27557-K27567))</f>
        <v>0</v>
      </c>
    </row>
    <row r="27581" customFormat="false" ht="15" hidden="false" customHeight="false" outlineLevel="0" collapsed="false">
      <c r="A27581" s="3" t="s">
        <v>337</v>
      </c>
      <c r="G27581" s="16" t="n">
        <f aca="false">Assumptions!$N$58*MIN(G27572+G27579+G27577-G27578-G27580,MAX(0,G27745-G27568))</f>
        <v>0</v>
      </c>
      <c r="H27581" s="16" t="n">
        <f aca="false">Assumptions!$N$58*MIN(H27572+H27579+H27577-H27578-H27580,MAX(0,H27745-H27568))</f>
        <v>0</v>
      </c>
      <c r="I27581" s="16" t="n">
        <f aca="false">Assumptions!$N$58*MIN(I27572+I27579+I27577-I27578-I27580,MAX(0,I27745-I27568))</f>
        <v>0</v>
      </c>
      <c r="J27581" s="16" t="n">
        <f aca="false">Assumptions!$N$58*MIN(J27572+J27579+J27577-J27578-J27580,MAX(0,J27745-J27568))</f>
        <v>0</v>
      </c>
      <c r="K27581" s="16" t="n">
        <f aca="false">Assumptions!$N$58*MIN(K27572+K27579+K27577-K27578-K27580,MAX(0,K27745-K27568))</f>
        <v>0</v>
      </c>
    </row>
    <row r="27582" customFormat="false" ht="15" hidden="false" customHeight="false" outlineLevel="0" collapsed="false">
      <c r="A27582" s="3" t="s">
        <v>338</v>
      </c>
      <c r="G27582" s="16" t="n">
        <f aca="false">G27573*(1-G27557)*(G27572-G27578+G27577-G27580)</f>
        <v>0</v>
      </c>
      <c r="H27582" s="16" t="n">
        <f aca="false">H27573*(1-H27557)*(H27572-H27578+H27577-H27580)</f>
        <v>0</v>
      </c>
      <c r="I27582" s="16" t="n">
        <f aca="false">I27573*(1-I27557)*(I27572-I27578+I27577-I27580)</f>
        <v>0</v>
      </c>
      <c r="J27582" s="16" t="n">
        <f aca="false">J27573*(1-J27557)*(J27572-J27578+J27577-J27580)</f>
        <v>0</v>
      </c>
      <c r="K27582" s="16" t="n">
        <f aca="false">K27573*(1-K27557)*(K27572-K27578+K27577-K27580)</f>
        <v>0</v>
      </c>
    </row>
    <row r="27583" customFormat="false" ht="15" hidden="false" customHeight="false" outlineLevel="0" collapsed="false">
      <c r="A27583" s="2" t="s">
        <v>339</v>
      </c>
      <c r="F27583" s="28" t="n">
        <f aca="false">Assumptions!$C$58</f>
        <v>90</v>
      </c>
      <c r="G27583" s="17" t="n">
        <f aca="false">G27572+G27579+G27577-G27578-G27580-G27581</f>
        <v>90</v>
      </c>
      <c r="H27583" s="17" t="n">
        <f aca="false">H27572+H27579+H27577-H27578-H27580-H27581</f>
        <v>90</v>
      </c>
      <c r="I27583" s="17" t="n">
        <f aca="false">I27572+I27579+I27577-I27578-I27580-I27581</f>
        <v>90</v>
      </c>
      <c r="J27583" s="17" t="n">
        <f aca="false">J27572+J27579+J27577-J27578-J27580-J27581</f>
        <v>90</v>
      </c>
      <c r="K27583" s="17" t="n">
        <f aca="false">K27572+K27579+K27577-K27578-K27580-K27581</f>
        <v>90</v>
      </c>
    </row>
    <row r="27584" customFormat="false" ht="15" hidden="false" customHeight="false" outlineLevel="0" collapsed="false">
      <c r="A27584" s="24" t="s">
        <v>341</v>
      </c>
      <c r="B27584" s="25"/>
      <c r="C27584" s="25"/>
      <c r="D27584" s="25"/>
      <c r="E27584" s="25"/>
      <c r="F27584" s="25"/>
      <c r="G27584" s="25"/>
      <c r="H27584" s="25"/>
      <c r="I27584" s="25"/>
      <c r="J27584" s="25"/>
      <c r="K27584" s="25"/>
    </row>
    <row r="27585" customFormat="false" ht="15" hidden="false" customHeight="false" outlineLevel="0" collapsed="false">
      <c r="A27585" s="3" t="s">
        <v>329</v>
      </c>
      <c r="G27585" s="16" t="n">
        <f aca="false">F27596</f>
        <v>57.324</v>
      </c>
      <c r="H27585" s="16" t="n">
        <f aca="false">G27596</f>
        <v>57.324</v>
      </c>
      <c r="I27585" s="16" t="n">
        <f aca="false">H27596</f>
        <v>57.324</v>
      </c>
      <c r="J27585" s="16" t="n">
        <f aca="false">I27596</f>
        <v>57.324</v>
      </c>
      <c r="K27585" s="16" t="n">
        <f aca="false">J27596</f>
        <v>57.324</v>
      </c>
    </row>
    <row r="27586" customFormat="false" ht="15" hidden="false" customHeight="false" outlineLevel="0" collapsed="false">
      <c r="A27586" s="3" t="s">
        <v>330</v>
      </c>
      <c r="G27586" s="21" t="n">
        <f aca="false">IF(G27523=Assumptions!$K$59,1,0)</f>
        <v>0</v>
      </c>
      <c r="H27586" s="21" t="n">
        <f aca="false">IF(H27523=Assumptions!$K$59,1,0)</f>
        <v>0</v>
      </c>
      <c r="I27586" s="21" t="n">
        <f aca="false">IF(I27523=Assumptions!$K$59,1,0)</f>
        <v>0</v>
      </c>
      <c r="J27586" s="21" t="n">
        <f aca="false">IF(J27523=Assumptions!$K$59,1,0)</f>
        <v>0</v>
      </c>
      <c r="K27586" s="21" t="n">
        <f aca="false">IF(K27523=Assumptions!$K$59,1,0)</f>
        <v>0</v>
      </c>
    </row>
    <row r="27588" customFormat="false" ht="15" hidden="false" customHeight="false" outlineLevel="0" collapsed="false">
      <c r="A27588" s="3" t="s">
        <v>331</v>
      </c>
      <c r="G27588" s="31" t="n">
        <f aca="false">IF(Assumptions!$I$59=1,MAX(G27549,Assumptions!$G$59)+Assumptions!$F$59+$C$27550,Assumptions!$E$59)</f>
        <v>0.0731</v>
      </c>
      <c r="H27588" s="31" t="n">
        <f aca="false">IF(G27871=1,$C$27551,IF(Assumptions!$I$59=1,MAX(H27549,Assumptions!$G$59)+Assumptions!$F$59+$C$27550,Assumptions!$E$59))</f>
        <v>0.0731</v>
      </c>
      <c r="I27588" s="31" t="n">
        <f aca="false">IF(H27871=1,$C$27551,IF(Assumptions!$I$59=1,MAX(I27549,Assumptions!$G$59)+Assumptions!$F$59+$C$27550,Assumptions!$E$59))</f>
        <v>0.0731</v>
      </c>
      <c r="J27588" s="31" t="n">
        <f aca="false">IF(I27871=1,$C$27551,IF(Assumptions!$I$59=1,MAX(J27549,Assumptions!$G$59)+Assumptions!$F$59+$C$27550,Assumptions!$E$59))</f>
        <v>0.0731</v>
      </c>
      <c r="K27588" s="31" t="n">
        <f aca="false">IF(J27871=1,$C$27551,IF(Assumptions!$I$59=1,MAX(K27549,Assumptions!$G$59)+Assumptions!$F$59+$C$27550,Assumptions!$E$59))</f>
        <v>0.0731</v>
      </c>
    </row>
    <row r="27589" customFormat="false" ht="15" hidden="false" customHeight="false" outlineLevel="0" collapsed="false">
      <c r="A27589" s="3" t="s">
        <v>332</v>
      </c>
      <c r="G27589" s="16" t="n">
        <f aca="false">G27585*G27588</f>
        <v>4.1903844</v>
      </c>
      <c r="H27589" s="16" t="n">
        <f aca="false">H27585*H27588</f>
        <v>4.1903844</v>
      </c>
      <c r="I27589" s="16" t="n">
        <f aca="false">I27585*I27588</f>
        <v>4.1903844</v>
      </c>
      <c r="J27589" s="16" t="n">
        <f aca="false">J27585*J27588</f>
        <v>4.1903844</v>
      </c>
      <c r="K27589" s="16" t="n">
        <f aca="false">K27585*K27588</f>
        <v>4.1903844</v>
      </c>
    </row>
    <row r="27590" customFormat="false" ht="15" hidden="false" customHeight="false" outlineLevel="0" collapsed="false">
      <c r="A27590" s="3" t="s">
        <v>333</v>
      </c>
      <c r="G27590" s="16" t="n">
        <f aca="false">G27585*Assumptions!$H$59</f>
        <v>0</v>
      </c>
      <c r="H27590" s="16" t="n">
        <f aca="false">H27585*Assumptions!$H$59</f>
        <v>0</v>
      </c>
      <c r="I27590" s="16" t="n">
        <f aca="false">I27585*Assumptions!$H$59</f>
        <v>0</v>
      </c>
      <c r="J27590" s="16" t="n">
        <f aca="false">J27585*Assumptions!$H$59</f>
        <v>0</v>
      </c>
      <c r="K27590" s="16" t="n">
        <f aca="false">K27585*Assumptions!$H$59</f>
        <v>0</v>
      </c>
    </row>
    <row r="27591" customFormat="false" ht="15" hidden="false" customHeight="false" outlineLevel="0" collapsed="false">
      <c r="A27591" s="3" t="s">
        <v>334</v>
      </c>
      <c r="G27591" s="16" t="n">
        <f aca="false">MIN(G27585,Assumptions!$L$59*Assumptions!$C$59)</f>
        <v>0</v>
      </c>
      <c r="H27591" s="16" t="n">
        <f aca="false">MIN(H27585,Assumptions!$L$59*Assumptions!$C$59)</f>
        <v>0</v>
      </c>
      <c r="I27591" s="16" t="n">
        <f aca="false">MIN(I27585,Assumptions!$L$59*Assumptions!$C$59)</f>
        <v>0</v>
      </c>
      <c r="J27591" s="16" t="n">
        <f aca="false">MIN(J27585,Assumptions!$L$59*Assumptions!$C$59)</f>
        <v>0</v>
      </c>
      <c r="K27591" s="16" t="n">
        <f aca="false">MIN(K27585,Assumptions!$L$59*Assumptions!$C$59)</f>
        <v>0</v>
      </c>
    </row>
    <row r="27592" customFormat="false" ht="15" hidden="false" customHeight="false" outlineLevel="0" collapsed="false">
      <c r="A27592" s="3" t="s">
        <v>335</v>
      </c>
      <c r="G27592" s="16" t="n">
        <f aca="false">IF(AND(Assumptions!$P$59=1,G27523&lt;Assumptions!$K$59),MIN(MAX(0,-G27739),MAX(0,Assumptions!$D$59-G27585)),0)</f>
        <v>0</v>
      </c>
      <c r="H27592" s="16" t="n">
        <f aca="false">IF(AND(Assumptions!$P$59=1,OR(H27523&lt;Assumptions!$K$59,G27871=1)),MIN(MAX(0,-H27739),MAX(0,Assumptions!$D$59-H27585)),0)</f>
        <v>0</v>
      </c>
      <c r="I27592" s="16" t="n">
        <f aca="false">IF(AND(Assumptions!$P$59=1,OR(I27523&lt;Assumptions!$K$59,H27871=1)),MIN(MAX(0,-I27739),MAX(0,Assumptions!$D$59-I27585)),0)</f>
        <v>0</v>
      </c>
      <c r="J27592" s="16" t="n">
        <f aca="false">IF(AND(Assumptions!$P$59=1,OR(J27523&lt;Assumptions!$K$59,I27871=1)),MIN(MAX(0,-J27739),MAX(0,Assumptions!$D$59-J27585)),0)</f>
        <v>0</v>
      </c>
      <c r="K27592" s="16" t="n">
        <f aca="false">IF(AND(Assumptions!$P$59=1,OR(K27523&lt;Assumptions!$K$59,J27871=1)),MIN(MAX(0,-K27739),MAX(0,Assumptions!$D$59-K27585)),0)</f>
        <v>0</v>
      </c>
    </row>
    <row r="27593" customFormat="false" ht="15" hidden="false" customHeight="false" outlineLevel="0" collapsed="false">
      <c r="A27593" s="3" t="s">
        <v>336</v>
      </c>
      <c r="G27593" s="16" t="n">
        <f aca="false">G27586*MIN(G27585-G27591+G27590,MAX(0,G27741-Assumptions!$C$12*G27557-G27567-G27580))</f>
        <v>0</v>
      </c>
      <c r="H27593" s="16" t="n">
        <f aca="false">H27586*MIN(H27585-H27591+H27590,MAX(0,H27741-Assumptions!$C$12*H27557-H27567-H27580))</f>
        <v>0</v>
      </c>
      <c r="I27593" s="16" t="n">
        <f aca="false">I27586*MIN(I27585-I27591+I27590,MAX(0,I27741-Assumptions!$C$12*I27557-I27567-I27580))</f>
        <v>0</v>
      </c>
      <c r="J27593" s="16" t="n">
        <f aca="false">J27586*MIN(J27585-J27591+J27590,MAX(0,J27741-Assumptions!$C$12*J27557-J27567-J27580))</f>
        <v>0</v>
      </c>
      <c r="K27593" s="16" t="n">
        <f aca="false">K27586*MIN(K27585-K27591+K27590,MAX(0,K27741-Assumptions!$C$12*K27557-K27567-K27580))</f>
        <v>0</v>
      </c>
    </row>
    <row r="27594" customFormat="false" ht="15" hidden="false" customHeight="false" outlineLevel="0" collapsed="false">
      <c r="A27594" s="3" t="s">
        <v>337</v>
      </c>
      <c r="G27594" s="16" t="n">
        <f aca="false">Assumptions!$N$59*MIN(G27585+G27592+G27590-G27591-G27593,MAX(0,G27745-G27568-G27581))</f>
        <v>0</v>
      </c>
      <c r="H27594" s="16" t="n">
        <f aca="false">Assumptions!$N$59*MIN(H27585+H27592+H27590-H27591-H27593,MAX(0,H27745-H27568-H27581))</f>
        <v>0</v>
      </c>
      <c r="I27594" s="16" t="n">
        <f aca="false">Assumptions!$N$59*MIN(I27585+I27592+I27590-I27591-I27593,MAX(0,I27745-I27568-I27581))</f>
        <v>0</v>
      </c>
      <c r="J27594" s="16" t="n">
        <f aca="false">Assumptions!$N$59*MIN(J27585+J27592+J27590-J27591-J27593,MAX(0,J27745-J27568-J27581))</f>
        <v>0</v>
      </c>
      <c r="K27594" s="16" t="n">
        <f aca="false">Assumptions!$N$59*MIN(K27585+K27592+K27590-K27591-K27593,MAX(0,K27745-K27568-K27581))</f>
        <v>0</v>
      </c>
    </row>
    <row r="27595" customFormat="false" ht="15" hidden="false" customHeight="false" outlineLevel="0" collapsed="false">
      <c r="A27595" s="3" t="s">
        <v>338</v>
      </c>
      <c r="G27595" s="16" t="n">
        <f aca="false">G27586*(1-G27557)*(G27585-G27591+G27590-G27593)</f>
        <v>0</v>
      </c>
      <c r="H27595" s="16" t="n">
        <f aca="false">H27586*(1-H27557)*(H27585-H27591+H27590-H27593)</f>
        <v>0</v>
      </c>
      <c r="I27595" s="16" t="n">
        <f aca="false">I27586*(1-I27557)*(I27585-I27591+I27590-I27593)</f>
        <v>0</v>
      </c>
      <c r="J27595" s="16" t="n">
        <f aca="false">J27586*(1-J27557)*(J27585-J27591+J27590-J27593)</f>
        <v>0</v>
      </c>
      <c r="K27595" s="16" t="n">
        <f aca="false">K27586*(1-K27557)*(K27585-K27591+K27590-K27593)</f>
        <v>0</v>
      </c>
    </row>
    <row r="27596" customFormat="false" ht="15" hidden="false" customHeight="false" outlineLevel="0" collapsed="false">
      <c r="A27596" s="2" t="s">
        <v>339</v>
      </c>
      <c r="F27596" s="28" t="n">
        <f aca="false">Assumptions!$C$59</f>
        <v>57.324</v>
      </c>
      <c r="G27596" s="17" t="n">
        <f aca="false">G27585+G27592+G27590-G27591-G27593-G27594</f>
        <v>57.324</v>
      </c>
      <c r="H27596" s="17" t="n">
        <f aca="false">H27585+H27592+H27590-H27591-H27593-H27594</f>
        <v>57.324</v>
      </c>
      <c r="I27596" s="17" t="n">
        <f aca="false">I27585+I27592+I27590-I27591-I27593-I27594</f>
        <v>57.324</v>
      </c>
      <c r="J27596" s="17" t="n">
        <f aca="false">J27585+J27592+J27590-J27591-J27593-J27594</f>
        <v>57.324</v>
      </c>
      <c r="K27596" s="17" t="n">
        <f aca="false">K27585+K27592+K27590-K27591-K27593-K27594</f>
        <v>57.324</v>
      </c>
    </row>
    <row r="27597" customFormat="false" ht="15" hidden="false" customHeight="false" outlineLevel="0" collapsed="false">
      <c r="A27597" s="24" t="s">
        <v>342</v>
      </c>
      <c r="B27597" s="25"/>
      <c r="C27597" s="25"/>
      <c r="D27597" s="25"/>
      <c r="E27597" s="25"/>
      <c r="F27597" s="25"/>
      <c r="G27597" s="25"/>
      <c r="H27597" s="25"/>
      <c r="I27597" s="25"/>
      <c r="J27597" s="25"/>
      <c r="K27597" s="25"/>
    </row>
    <row r="27598" customFormat="false" ht="15" hidden="false" customHeight="false" outlineLevel="0" collapsed="false">
      <c r="A27598" s="3" t="s">
        <v>329</v>
      </c>
      <c r="G27598" s="16" t="n">
        <f aca="false">F27609</f>
        <v>0</v>
      </c>
      <c r="H27598" s="16" t="n">
        <f aca="false">G27609</f>
        <v>0</v>
      </c>
      <c r="I27598" s="16" t="n">
        <f aca="false">H27609</f>
        <v>0</v>
      </c>
      <c r="J27598" s="16" t="n">
        <f aca="false">I27609</f>
        <v>0</v>
      </c>
      <c r="K27598" s="16" t="n">
        <f aca="false">J27609</f>
        <v>0</v>
      </c>
    </row>
    <row r="27599" customFormat="false" ht="15" hidden="false" customHeight="false" outlineLevel="0" collapsed="false">
      <c r="A27599" s="3" t="s">
        <v>330</v>
      </c>
      <c r="G27599" s="21" t="n">
        <f aca="false">IF(G27523=Assumptions!$K$60,1,0)</f>
        <v>1</v>
      </c>
      <c r="H27599" s="21" t="n">
        <f aca="false">IF(H27523=Assumptions!$K$60,1,0)</f>
        <v>0</v>
      </c>
      <c r="I27599" s="21" t="n">
        <f aca="false">IF(I27523=Assumptions!$K$60,1,0)</f>
        <v>0</v>
      </c>
      <c r="J27599" s="21" t="n">
        <f aca="false">IF(J27523=Assumptions!$K$60,1,0)</f>
        <v>0</v>
      </c>
      <c r="K27599" s="21" t="n">
        <f aca="false">IF(K27523=Assumptions!$K$60,1,0)</f>
        <v>0</v>
      </c>
    </row>
    <row r="27601" customFormat="false" ht="15" hidden="false" customHeight="false" outlineLevel="0" collapsed="false">
      <c r="A27601" s="3" t="s">
        <v>331</v>
      </c>
      <c r="G27601" s="31" t="n">
        <f aca="false">IF(Assumptions!$I$60=1,MAX(G27549,Assumptions!$G$60)+Assumptions!$F$60+$C$27550,Assumptions!$E$60)</f>
        <v>0.089</v>
      </c>
      <c r="H27601" s="31" t="n">
        <f aca="false">IF(G27872=1,$C$27551,IF(Assumptions!$I$60=1,MAX(H27549,Assumptions!$G$60)+Assumptions!$F$60+$C$27550,Assumptions!$E$60))</f>
        <v>0.0875</v>
      </c>
      <c r="I27601" s="31" t="n">
        <f aca="false">IF(H27872=1,$C$27551,IF(Assumptions!$I$60=1,MAX(I27549,Assumptions!$G$60)+Assumptions!$F$60+$C$27550,Assumptions!$E$60))</f>
        <v>0.085</v>
      </c>
      <c r="J27601" s="31" t="n">
        <f aca="false">IF(I27872=1,$C$27551,IF(Assumptions!$I$60=1,MAX(J27549,Assumptions!$G$60)+Assumptions!$F$60+$C$27550,Assumptions!$E$60))</f>
        <v>0.085</v>
      </c>
      <c r="K27601" s="31" t="n">
        <f aca="false">IF(J27872=1,$C$27551,IF(Assumptions!$I$60=1,MAX(K27549,Assumptions!$G$60)+Assumptions!$F$60+$C$27550,Assumptions!$E$60))</f>
        <v>0.085</v>
      </c>
    </row>
    <row r="27602" customFormat="false" ht="15" hidden="false" customHeight="false" outlineLevel="0" collapsed="false">
      <c r="A27602" s="3" t="s">
        <v>332</v>
      </c>
      <c r="G27602" s="16" t="n">
        <f aca="false">G27598*G27601</f>
        <v>0</v>
      </c>
      <c r="H27602" s="16" t="n">
        <f aca="false">H27598*H27601</f>
        <v>0</v>
      </c>
      <c r="I27602" s="16" t="n">
        <f aca="false">I27598*I27601</f>
        <v>0</v>
      </c>
      <c r="J27602" s="16" t="n">
        <f aca="false">J27598*J27601</f>
        <v>0</v>
      </c>
      <c r="K27602" s="16" t="n">
        <f aca="false">K27598*K27601</f>
        <v>0</v>
      </c>
    </row>
    <row r="27603" customFormat="false" ht="15" hidden="false" customHeight="false" outlineLevel="0" collapsed="false">
      <c r="A27603" s="3" t="s">
        <v>333</v>
      </c>
      <c r="G27603" s="16" t="n">
        <f aca="false">G27598*Assumptions!$H$60</f>
        <v>0</v>
      </c>
      <c r="H27603" s="16" t="n">
        <f aca="false">H27598*Assumptions!$H$60</f>
        <v>0</v>
      </c>
      <c r="I27603" s="16" t="n">
        <f aca="false">I27598*Assumptions!$H$60</f>
        <v>0</v>
      </c>
      <c r="J27603" s="16" t="n">
        <f aca="false">J27598*Assumptions!$H$60</f>
        <v>0</v>
      </c>
      <c r="K27603" s="16" t="n">
        <f aca="false">K27598*Assumptions!$H$60</f>
        <v>0</v>
      </c>
    </row>
    <row r="27604" customFormat="false" ht="15" hidden="false" customHeight="false" outlineLevel="0" collapsed="false">
      <c r="A27604" s="3" t="s">
        <v>334</v>
      </c>
      <c r="G27604" s="16" t="n">
        <f aca="false">MIN(G27598,Assumptions!$L$60*Assumptions!$C$60)</f>
        <v>0</v>
      </c>
      <c r="H27604" s="16" t="n">
        <f aca="false">MIN(H27598,Assumptions!$L$60*Assumptions!$C$60)</f>
        <v>0</v>
      </c>
      <c r="I27604" s="16" t="n">
        <f aca="false">MIN(I27598,Assumptions!$L$60*Assumptions!$C$60)</f>
        <v>0</v>
      </c>
      <c r="J27604" s="16" t="n">
        <f aca="false">MIN(J27598,Assumptions!$L$60*Assumptions!$C$60)</f>
        <v>0</v>
      </c>
      <c r="K27604" s="16" t="n">
        <f aca="false">MIN(K27598,Assumptions!$L$60*Assumptions!$C$60)</f>
        <v>0</v>
      </c>
    </row>
    <row r="27605" customFormat="false" ht="15" hidden="false" customHeight="false" outlineLevel="0" collapsed="false">
      <c r="A27605" s="3" t="s">
        <v>335</v>
      </c>
      <c r="G27605" s="16" t="n">
        <f aca="false">IF(AND(Assumptions!$P$60=1,G27523&lt;Assumptions!$K$60),MIN(MAX(0,-G27739),MAX(0,Assumptions!$D$60-G27598)),0)</f>
        <v>0</v>
      </c>
      <c r="H27605" s="16" t="n">
        <f aca="false">IF(AND(Assumptions!$P$60=1,OR(H27523&lt;Assumptions!$K$60,G27872=1)),MIN(MAX(0,-H27739),MAX(0,Assumptions!$D$60-H27598)),0)</f>
        <v>0</v>
      </c>
      <c r="I27605" s="16" t="n">
        <f aca="false">IF(AND(Assumptions!$P$60=1,OR(I27523&lt;Assumptions!$K$60,H27872=1)),MIN(MAX(0,-I27739),MAX(0,Assumptions!$D$60-I27598)),0)</f>
        <v>0</v>
      </c>
      <c r="J27605" s="16" t="n">
        <f aca="false">IF(AND(Assumptions!$P$60=1,OR(J27523&lt;Assumptions!$K$60,I27872=1)),MIN(MAX(0,-J27739),MAX(0,Assumptions!$D$60-J27598)),0)</f>
        <v>0</v>
      </c>
      <c r="K27605" s="16" t="n">
        <f aca="false">IF(AND(Assumptions!$P$60=1,OR(K27523&lt;Assumptions!$K$60,J27872=1)),MIN(MAX(0,-K27739),MAX(0,Assumptions!$D$60-K27598)),0)</f>
        <v>0</v>
      </c>
    </row>
    <row r="27606" customFormat="false" ht="15" hidden="false" customHeight="false" outlineLevel="0" collapsed="false">
      <c r="A27606" s="3" t="s">
        <v>336</v>
      </c>
      <c r="G27606" s="16" t="n">
        <f aca="false">G27599*MIN(G27598-G27604+G27603,MAX(0,G27741-Assumptions!$C$12*G27557-G27567-G27580-G27593))</f>
        <v>0</v>
      </c>
      <c r="H27606" s="16" t="n">
        <f aca="false">H27599*MIN(H27598-H27604+H27603,MAX(0,H27741-Assumptions!$C$12*H27557-H27567-H27580-H27593))</f>
        <v>0</v>
      </c>
      <c r="I27606" s="16" t="n">
        <f aca="false">I27599*MIN(I27598-I27604+I27603,MAX(0,I27741-Assumptions!$C$12*I27557-I27567-I27580-I27593))</f>
        <v>0</v>
      </c>
      <c r="J27606" s="16" t="n">
        <f aca="false">J27599*MIN(J27598-J27604+J27603,MAX(0,J27741-Assumptions!$C$12*J27557-J27567-J27580-J27593))</f>
        <v>0</v>
      </c>
      <c r="K27606" s="16" t="n">
        <f aca="false">K27599*MIN(K27598-K27604+K27603,MAX(0,K27741-Assumptions!$C$12*K27557-K27567-K27580-K27593))</f>
        <v>0</v>
      </c>
    </row>
    <row r="27607" customFormat="false" ht="15" hidden="false" customHeight="false" outlineLevel="0" collapsed="false">
      <c r="A27607" s="3" t="s">
        <v>337</v>
      </c>
      <c r="G27607" s="16" t="n">
        <f aca="false">Assumptions!$N$60*MIN(G27598+G27605+G27603-G27604-G27606,MAX(0,G27745-G27568-G27581-G27594))</f>
        <v>0</v>
      </c>
      <c r="H27607" s="16" t="n">
        <f aca="false">Assumptions!$N$60*MIN(H27598+H27605+H27603-H27604-H27606,MAX(0,H27745-H27568-H27581-H27594))</f>
        <v>0</v>
      </c>
      <c r="I27607" s="16" t="n">
        <f aca="false">Assumptions!$N$60*MIN(I27598+I27605+I27603-I27604-I27606,MAX(0,I27745-I27568-I27581-I27594))</f>
        <v>0</v>
      </c>
      <c r="J27607" s="16" t="n">
        <f aca="false">Assumptions!$N$60*MIN(J27598+J27605+J27603-J27604-J27606,MAX(0,J27745-J27568-J27581-J27594))</f>
        <v>0</v>
      </c>
      <c r="K27607" s="16" t="n">
        <f aca="false">Assumptions!$N$60*MIN(K27598+K27605+K27603-K27604-K27606,MAX(0,K27745-K27568-K27581-K27594))</f>
        <v>0</v>
      </c>
    </row>
    <row r="27608" customFormat="false" ht="15" hidden="false" customHeight="false" outlineLevel="0" collapsed="false">
      <c r="A27608" s="3" t="s">
        <v>338</v>
      </c>
      <c r="G27608" s="16" t="n">
        <f aca="false">G27599*(1-G27557)*(G27598-G27604+G27603-G27606)</f>
        <v>0</v>
      </c>
      <c r="H27608" s="16" t="n">
        <f aca="false">H27599*(1-H27557)*(H27598-H27604+H27603-H27606)</f>
        <v>0</v>
      </c>
      <c r="I27608" s="16" t="n">
        <f aca="false">I27599*(1-I27557)*(I27598-I27604+I27603-I27606)</f>
        <v>0</v>
      </c>
      <c r="J27608" s="16" t="n">
        <f aca="false">J27599*(1-J27557)*(J27598-J27604+J27603-J27606)</f>
        <v>0</v>
      </c>
      <c r="K27608" s="16" t="n">
        <f aca="false">K27599*(1-K27557)*(K27598-K27604+K27603-K27606)</f>
        <v>0</v>
      </c>
    </row>
    <row r="27609" customFormat="false" ht="15" hidden="false" customHeight="false" outlineLevel="0" collapsed="false">
      <c r="A27609" s="2" t="s">
        <v>339</v>
      </c>
      <c r="F27609" s="28" t="n">
        <f aca="false">Assumptions!$C$60</f>
        <v>0</v>
      </c>
      <c r="G27609" s="17" t="n">
        <f aca="false">G27598+G27605+G27603-G27604-G27606-G27607</f>
        <v>0</v>
      </c>
      <c r="H27609" s="17" t="n">
        <f aca="false">H27598+H27605+H27603-H27604-H27606-H27607</f>
        <v>0</v>
      </c>
      <c r="I27609" s="17" t="n">
        <f aca="false">I27598+I27605+I27603-I27604-I27606-I27607</f>
        <v>0</v>
      </c>
      <c r="J27609" s="17" t="n">
        <f aca="false">J27598+J27605+J27603-J27604-J27606-J27607</f>
        <v>0</v>
      </c>
      <c r="K27609" s="17" t="n">
        <f aca="false">K27598+K27605+K27603-K27604-K27606-K27607</f>
        <v>0</v>
      </c>
    </row>
    <row r="27610" customFormat="false" ht="15" hidden="false" customHeight="false" outlineLevel="0" collapsed="false">
      <c r="A27610" s="24" t="s">
        <v>343</v>
      </c>
      <c r="B27610" s="25"/>
      <c r="C27610" s="25"/>
      <c r="D27610" s="25"/>
      <c r="E27610" s="25"/>
      <c r="F27610" s="25"/>
      <c r="G27610" s="25"/>
      <c r="H27610" s="25"/>
      <c r="I27610" s="25"/>
      <c r="J27610" s="25"/>
      <c r="K27610" s="25"/>
    </row>
    <row r="27611" customFormat="false" ht="15" hidden="false" customHeight="false" outlineLevel="0" collapsed="false">
      <c r="A27611" s="3" t="s">
        <v>329</v>
      </c>
      <c r="G27611" s="16" t="n">
        <f aca="false">F27622</f>
        <v>450</v>
      </c>
      <c r="H27611" s="16" t="n">
        <f aca="false">G27622</f>
        <v>450</v>
      </c>
      <c r="I27611" s="16" t="n">
        <f aca="false">H27622</f>
        <v>420.510757881</v>
      </c>
      <c r="J27611" s="16" t="n">
        <f aca="false">I27622</f>
        <v>420.510757881</v>
      </c>
      <c r="K27611" s="16" t="n">
        <f aca="false">J27622</f>
        <v>420.510757881</v>
      </c>
    </row>
    <row r="27612" customFormat="false" ht="15" hidden="false" customHeight="false" outlineLevel="0" collapsed="false">
      <c r="A27612" s="3" t="s">
        <v>330</v>
      </c>
      <c r="G27612" s="21" t="n">
        <f aca="false">IF(G27523=Assumptions!$K$61,1,0)</f>
        <v>0</v>
      </c>
      <c r="H27612" s="21" t="n">
        <f aca="false">IF(H27523=Assumptions!$K$61,1,0)</f>
        <v>1</v>
      </c>
      <c r="I27612" s="21" t="n">
        <f aca="false">IF(I27523=Assumptions!$K$61,1,0)</f>
        <v>0</v>
      </c>
      <c r="J27612" s="21" t="n">
        <f aca="false">IF(J27523=Assumptions!$K$61,1,0)</f>
        <v>0</v>
      </c>
      <c r="K27612" s="21" t="n">
        <f aca="false">IF(K27523=Assumptions!$K$61,1,0)</f>
        <v>0</v>
      </c>
    </row>
    <row r="27614" customFormat="false" ht="15" hidden="false" customHeight="false" outlineLevel="0" collapsed="false">
      <c r="A27614" s="3" t="s">
        <v>331</v>
      </c>
      <c r="G27614" s="31" t="n">
        <f aca="false">IF(Assumptions!$I$61=1,MAX(G27549,Assumptions!$G$61)+Assumptions!$F$61+$C$27550,Assumptions!$E$61)</f>
        <v>0.0395</v>
      </c>
      <c r="H27614" s="31" t="n">
        <f aca="false">IF(G27873=1,$C$27551,IF(Assumptions!$I$61=1,MAX(H27549,Assumptions!$G$61)+Assumptions!$F$61+$C$27550,Assumptions!$E$61))</f>
        <v>0.0395</v>
      </c>
      <c r="I27614" s="31" t="n">
        <f aca="false">IF(H27873=1,$C$27551,IF(Assumptions!$I$61=1,MAX(I27549,Assumptions!$G$61)+Assumptions!$F$61+$C$27550,Assumptions!$E$61))</f>
        <v>0.0395</v>
      </c>
      <c r="J27614" s="31" t="n">
        <f aca="false">IF(I27873=1,$C$27551,IF(Assumptions!$I$61=1,MAX(J27549,Assumptions!$G$61)+Assumptions!$F$61+$C$27550,Assumptions!$E$61))</f>
        <v>0.0395</v>
      </c>
      <c r="K27614" s="31" t="n">
        <f aca="false">IF(J27873=1,$C$27551,IF(Assumptions!$I$61=1,MAX(K27549,Assumptions!$G$61)+Assumptions!$F$61+$C$27550,Assumptions!$E$61))</f>
        <v>0.0395</v>
      </c>
    </row>
    <row r="27615" customFormat="false" ht="15" hidden="false" customHeight="false" outlineLevel="0" collapsed="false">
      <c r="A27615" s="3" t="s">
        <v>332</v>
      </c>
      <c r="G27615" s="16" t="n">
        <f aca="false">G27611*G27614</f>
        <v>17.775</v>
      </c>
      <c r="H27615" s="16" t="n">
        <f aca="false">H27611*H27614</f>
        <v>17.775</v>
      </c>
      <c r="I27615" s="16" t="n">
        <f aca="false">I27611*I27614</f>
        <v>16.6101749362995</v>
      </c>
      <c r="J27615" s="16" t="n">
        <f aca="false">J27611*J27614</f>
        <v>16.6101749362995</v>
      </c>
      <c r="K27615" s="16" t="n">
        <f aca="false">K27611*K27614</f>
        <v>16.6101749362995</v>
      </c>
    </row>
    <row r="27616" customFormat="false" ht="15" hidden="false" customHeight="false" outlineLevel="0" collapsed="false">
      <c r="A27616" s="3" t="s">
        <v>333</v>
      </c>
      <c r="G27616" s="16" t="n">
        <f aca="false">G27611*Assumptions!$H$61</f>
        <v>0</v>
      </c>
      <c r="H27616" s="16" t="n">
        <f aca="false">H27611*Assumptions!$H$61</f>
        <v>0</v>
      </c>
      <c r="I27616" s="16" t="n">
        <f aca="false">I27611*Assumptions!$H$61</f>
        <v>0</v>
      </c>
      <c r="J27616" s="16" t="n">
        <f aca="false">J27611*Assumptions!$H$61</f>
        <v>0</v>
      </c>
      <c r="K27616" s="16" t="n">
        <f aca="false">K27611*Assumptions!$H$61</f>
        <v>0</v>
      </c>
    </row>
    <row r="27617" customFormat="false" ht="15" hidden="false" customHeight="false" outlineLevel="0" collapsed="false">
      <c r="A27617" s="3" t="s">
        <v>334</v>
      </c>
      <c r="G27617" s="16" t="n">
        <f aca="false">MIN(G27611,Assumptions!$L$61*Assumptions!$C$61)</f>
        <v>0</v>
      </c>
      <c r="H27617" s="16" t="n">
        <f aca="false">MIN(H27611,Assumptions!$L$61*Assumptions!$C$61)</f>
        <v>0</v>
      </c>
      <c r="I27617" s="16" t="n">
        <f aca="false">MIN(I27611,Assumptions!$L$61*Assumptions!$C$61)</f>
        <v>0</v>
      </c>
      <c r="J27617" s="16" t="n">
        <f aca="false">MIN(J27611,Assumptions!$L$61*Assumptions!$C$61)</f>
        <v>0</v>
      </c>
      <c r="K27617" s="16" t="n">
        <f aca="false">MIN(K27611,Assumptions!$L$61*Assumptions!$C$61)</f>
        <v>0</v>
      </c>
    </row>
    <row r="27618" customFormat="false" ht="15" hidden="false" customHeight="false" outlineLevel="0" collapsed="false">
      <c r="A27618" s="3" t="s">
        <v>335</v>
      </c>
      <c r="G27618" s="16" t="n">
        <f aca="false">IF(AND(Assumptions!$P$61=1,G27523&lt;Assumptions!$K$61),MIN(MAX(0,-G27739),MAX(0,Assumptions!$D$61-G27611)),0)</f>
        <v>0</v>
      </c>
      <c r="H27618" s="16" t="n">
        <f aca="false">IF(AND(Assumptions!$P$61=1,OR(H27523&lt;Assumptions!$K$61,G27873=1)),MIN(MAX(0,-H27739),MAX(0,Assumptions!$D$61-H27611)),0)</f>
        <v>0</v>
      </c>
      <c r="I27618" s="16" t="n">
        <f aca="false">IF(AND(Assumptions!$P$61=1,OR(I27523&lt;Assumptions!$K$61,H27873=1)),MIN(MAX(0,-I27739),MAX(0,Assumptions!$D$61-I27611)),0)</f>
        <v>0</v>
      </c>
      <c r="J27618" s="16" t="n">
        <f aca="false">IF(AND(Assumptions!$P$61=1,OR(J27523&lt;Assumptions!$K$61,I27873=1)),MIN(MAX(0,-J27739),MAX(0,Assumptions!$D$61-J27611)),0)</f>
        <v>0</v>
      </c>
      <c r="K27618" s="16" t="n">
        <f aca="false">IF(AND(Assumptions!$P$61=1,OR(K27523&lt;Assumptions!$K$61,J27873=1)),MIN(MAX(0,-K27739),MAX(0,Assumptions!$D$61-K27611)),0)</f>
        <v>0</v>
      </c>
    </row>
    <row r="27619" customFormat="false" ht="15" hidden="false" customHeight="false" outlineLevel="0" collapsed="false">
      <c r="A27619" s="3" t="s">
        <v>336</v>
      </c>
      <c r="G27619" s="16" t="n">
        <f aca="false">G27612*MIN(G27611-G27617+G27616,MAX(0,G27741-Assumptions!$C$12*G27557-G27567-G27580-G27593-G27606))</f>
        <v>0</v>
      </c>
      <c r="H27619" s="16" t="n">
        <f aca="false">H27612*MIN(H27611-H27617+H27616,MAX(0,H27741-Assumptions!$C$12*H27557-H27567-H27580-H27593-H27606))</f>
        <v>29.489242119</v>
      </c>
      <c r="I27619" s="16" t="n">
        <f aca="false">I27612*MIN(I27611-I27617+I27616,MAX(0,I27741-Assumptions!$C$12*I27557-I27567-I27580-I27593-I27606))</f>
        <v>0</v>
      </c>
      <c r="J27619" s="16" t="n">
        <f aca="false">J27612*MIN(J27611-J27617+J27616,MAX(0,J27741-Assumptions!$C$12*J27557-J27567-J27580-J27593-J27606))</f>
        <v>0</v>
      </c>
      <c r="K27619" s="16" t="n">
        <f aca="false">K27612*MIN(K27611-K27617+K27616,MAX(0,K27741-Assumptions!$C$12*K27557-K27567-K27580-K27593-K27606))</f>
        <v>0</v>
      </c>
    </row>
    <row r="27620" customFormat="false" ht="15" hidden="false" customHeight="false" outlineLevel="0" collapsed="false">
      <c r="A27620" s="3" t="s">
        <v>337</v>
      </c>
      <c r="G27620" s="16" t="n">
        <f aca="false">Assumptions!$N$61*MIN(G27611+G27618+G27616-G27617-G27619,MAX(0,G27745-G27568-G27581-G27594-G27607))</f>
        <v>0</v>
      </c>
      <c r="H27620" s="16" t="n">
        <f aca="false">Assumptions!$N$61*MIN(H27611+H27618+H27616-H27617-H27619,MAX(0,H27745-H27568-H27581-H27594-H27607))</f>
        <v>0</v>
      </c>
      <c r="I27620" s="16" t="n">
        <f aca="false">Assumptions!$N$61*MIN(I27611+I27618+I27616-I27617-I27619,MAX(0,I27745-I27568-I27581-I27594-I27607))</f>
        <v>0</v>
      </c>
      <c r="J27620" s="16" t="n">
        <f aca="false">Assumptions!$N$61*MIN(J27611+J27618+J27616-J27617-J27619,MAX(0,J27745-J27568-J27581-J27594-J27607))</f>
        <v>0</v>
      </c>
      <c r="K27620" s="16" t="n">
        <f aca="false">Assumptions!$N$61*MIN(K27611+K27618+K27616-K27617-K27619,MAX(0,K27745-K27568-K27581-K27594-K27607))</f>
        <v>0</v>
      </c>
    </row>
    <row r="27621" customFormat="false" ht="15" hidden="false" customHeight="false" outlineLevel="0" collapsed="false">
      <c r="A27621" s="3" t="s">
        <v>338</v>
      </c>
      <c r="G27621" s="16" t="n">
        <f aca="false">G27612*(1-G27557)*(G27611-G27617+G27616-G27619)</f>
        <v>0</v>
      </c>
      <c r="H27621" s="16" t="n">
        <f aca="false">H27612*(1-H27557)*(H27611-H27617+H27616-H27619)</f>
        <v>420.510757881</v>
      </c>
      <c r="I27621" s="16" t="n">
        <f aca="false">I27612*(1-I27557)*(I27611-I27617+I27616-I27619)</f>
        <v>0</v>
      </c>
      <c r="J27621" s="16" t="n">
        <f aca="false">J27612*(1-J27557)*(J27611-J27617+J27616-J27619)</f>
        <v>0</v>
      </c>
      <c r="K27621" s="16" t="n">
        <f aca="false">K27612*(1-K27557)*(K27611-K27617+K27616-K27619)</f>
        <v>0</v>
      </c>
    </row>
    <row r="27622" customFormat="false" ht="15" hidden="false" customHeight="false" outlineLevel="0" collapsed="false">
      <c r="A27622" s="2" t="s">
        <v>339</v>
      </c>
      <c r="F27622" s="28" t="n">
        <f aca="false">Assumptions!$C$61</f>
        <v>450</v>
      </c>
      <c r="G27622" s="17" t="n">
        <f aca="false">G27611+G27618+G27616-G27617-G27619-G27620</f>
        <v>450</v>
      </c>
      <c r="H27622" s="17" t="n">
        <f aca="false">H27611+H27618+H27616-H27617-H27619-H27620</f>
        <v>420.510757881</v>
      </c>
      <c r="I27622" s="17" t="n">
        <f aca="false">I27611+I27618+I27616-I27617-I27619-I27620</f>
        <v>420.510757881</v>
      </c>
      <c r="J27622" s="17" t="n">
        <f aca="false">J27611+J27618+J27616-J27617-J27619-J27620</f>
        <v>420.510757881</v>
      </c>
      <c r="K27622" s="17" t="n">
        <f aca="false">K27611+K27618+K27616-K27617-K27619-K27620</f>
        <v>420.510757881</v>
      </c>
    </row>
    <row r="27623" customFormat="false" ht="15" hidden="false" customHeight="false" outlineLevel="0" collapsed="false">
      <c r="A27623" s="24" t="s">
        <v>344</v>
      </c>
      <c r="B27623" s="25"/>
      <c r="C27623" s="25"/>
      <c r="D27623" s="25"/>
      <c r="E27623" s="25"/>
      <c r="F27623" s="25"/>
      <c r="G27623" s="25"/>
      <c r="H27623" s="25"/>
      <c r="I27623" s="25"/>
      <c r="J27623" s="25"/>
      <c r="K27623" s="25"/>
    </row>
    <row r="27624" customFormat="false" ht="15" hidden="false" customHeight="false" outlineLevel="0" collapsed="false">
      <c r="A27624" s="3" t="s">
        <v>329</v>
      </c>
      <c r="G27624" s="16" t="n">
        <f aca="false">F27635</f>
        <v>350</v>
      </c>
      <c r="H27624" s="16" t="n">
        <f aca="false">G27635</f>
        <v>350</v>
      </c>
      <c r="I27624" s="16" t="n">
        <f aca="false">H27635</f>
        <v>350</v>
      </c>
      <c r="J27624" s="16" t="n">
        <f aca="false">I27635</f>
        <v>350</v>
      </c>
      <c r="K27624" s="16" t="n">
        <f aca="false">J27635</f>
        <v>350</v>
      </c>
    </row>
    <row r="27625" customFormat="false" ht="15" hidden="false" customHeight="false" outlineLevel="0" collapsed="false">
      <c r="A27625" s="3" t="s">
        <v>330</v>
      </c>
      <c r="G27625" s="21" t="n">
        <f aca="false">IF(G27523=Assumptions!$K$62,1,0)</f>
        <v>0</v>
      </c>
      <c r="H27625" s="21" t="n">
        <f aca="false">IF(H27523=Assumptions!$K$62,1,0)</f>
        <v>1</v>
      </c>
      <c r="I27625" s="21" t="n">
        <f aca="false">IF(I27523=Assumptions!$K$62,1,0)</f>
        <v>0</v>
      </c>
      <c r="J27625" s="21" t="n">
        <f aca="false">IF(J27523=Assumptions!$K$62,1,0)</f>
        <v>0</v>
      </c>
      <c r="K27625" s="21" t="n">
        <f aca="false">IF(K27523=Assumptions!$K$62,1,0)</f>
        <v>0</v>
      </c>
    </row>
    <row r="27627" customFormat="false" ht="15" hidden="false" customHeight="false" outlineLevel="0" collapsed="false">
      <c r="A27627" s="3" t="s">
        <v>331</v>
      </c>
      <c r="G27627" s="31" t="n">
        <f aca="false">IF(Assumptions!$I$62=1,MAX(G27549,Assumptions!$G$62)+Assumptions!$F$62+$C$27550,Assumptions!$E$62)</f>
        <v>0.083</v>
      </c>
      <c r="H27627" s="31" t="n">
        <f aca="false">IF(G27874=1,$C$27551,IF(Assumptions!$I$62=1,MAX(H27549,Assumptions!$G$62)+Assumptions!$F$62+$C$27550,Assumptions!$E$62))</f>
        <v>0.083</v>
      </c>
      <c r="I27627" s="31" t="n">
        <f aca="false">IF(H27874=1,$C$27551,IF(Assumptions!$I$62=1,MAX(I27549,Assumptions!$G$62)+Assumptions!$F$62+$C$27550,Assumptions!$E$62))</f>
        <v>0.083</v>
      </c>
      <c r="J27627" s="31" t="n">
        <f aca="false">IF(I27874=1,$C$27551,IF(Assumptions!$I$62=1,MAX(J27549,Assumptions!$G$62)+Assumptions!$F$62+$C$27550,Assumptions!$E$62))</f>
        <v>0.083</v>
      </c>
      <c r="K27627" s="31" t="n">
        <f aca="false">IF(J27874=1,$C$27551,IF(Assumptions!$I$62=1,MAX(K27549,Assumptions!$G$62)+Assumptions!$F$62+$C$27550,Assumptions!$E$62))</f>
        <v>0.083</v>
      </c>
    </row>
    <row r="27628" customFormat="false" ht="15" hidden="false" customHeight="false" outlineLevel="0" collapsed="false">
      <c r="A27628" s="3" t="s">
        <v>332</v>
      </c>
      <c r="G27628" s="16" t="n">
        <f aca="false">G27624*G27627</f>
        <v>29.05</v>
      </c>
      <c r="H27628" s="16" t="n">
        <f aca="false">H27624*H27627</f>
        <v>29.05</v>
      </c>
      <c r="I27628" s="16" t="n">
        <f aca="false">I27624*I27627</f>
        <v>29.05</v>
      </c>
      <c r="J27628" s="16" t="n">
        <f aca="false">J27624*J27627</f>
        <v>29.05</v>
      </c>
      <c r="K27628" s="16" t="n">
        <f aca="false">K27624*K27627</f>
        <v>29.05</v>
      </c>
    </row>
    <row r="27629" customFormat="false" ht="15" hidden="false" customHeight="false" outlineLevel="0" collapsed="false">
      <c r="A27629" s="3" t="s">
        <v>333</v>
      </c>
      <c r="G27629" s="16" t="n">
        <f aca="false">G27624*Assumptions!$H$62</f>
        <v>0</v>
      </c>
      <c r="H27629" s="16" t="n">
        <f aca="false">H27624*Assumptions!$H$62</f>
        <v>0</v>
      </c>
      <c r="I27629" s="16" t="n">
        <f aca="false">I27624*Assumptions!$H$62</f>
        <v>0</v>
      </c>
      <c r="J27629" s="16" t="n">
        <f aca="false">J27624*Assumptions!$H$62</f>
        <v>0</v>
      </c>
      <c r="K27629" s="16" t="n">
        <f aca="false">K27624*Assumptions!$H$62</f>
        <v>0</v>
      </c>
    </row>
    <row r="27630" customFormat="false" ht="15" hidden="false" customHeight="false" outlineLevel="0" collapsed="false">
      <c r="A27630" s="3" t="s">
        <v>334</v>
      </c>
      <c r="G27630" s="16" t="n">
        <f aca="false">MIN(G27624,Assumptions!$L$62*Assumptions!$C$62)</f>
        <v>0</v>
      </c>
      <c r="H27630" s="16" t="n">
        <f aca="false">MIN(H27624,Assumptions!$L$62*Assumptions!$C$62)</f>
        <v>0</v>
      </c>
      <c r="I27630" s="16" t="n">
        <f aca="false">MIN(I27624,Assumptions!$L$62*Assumptions!$C$62)</f>
        <v>0</v>
      </c>
      <c r="J27630" s="16" t="n">
        <f aca="false">MIN(J27624,Assumptions!$L$62*Assumptions!$C$62)</f>
        <v>0</v>
      </c>
      <c r="K27630" s="16" t="n">
        <f aca="false">MIN(K27624,Assumptions!$L$62*Assumptions!$C$62)</f>
        <v>0</v>
      </c>
    </row>
    <row r="27631" customFormat="false" ht="15" hidden="false" customHeight="false" outlineLevel="0" collapsed="false">
      <c r="A27631" s="3" t="s">
        <v>335</v>
      </c>
      <c r="G27631" s="16" t="n">
        <f aca="false">IF(AND(Assumptions!$P$62=1,G27523&lt;Assumptions!$K$62),MIN(MAX(0,-G27739),MAX(0,Assumptions!$D$62-G27624)),0)</f>
        <v>0</v>
      </c>
      <c r="H27631" s="16" t="n">
        <f aca="false">IF(AND(Assumptions!$P$62=1,OR(H27523&lt;Assumptions!$K$62,G27874=1)),MIN(MAX(0,-H27739),MAX(0,Assumptions!$D$62-H27624)),0)</f>
        <v>0</v>
      </c>
      <c r="I27631" s="16" t="n">
        <f aca="false">IF(AND(Assumptions!$P$62=1,OR(I27523&lt;Assumptions!$K$62,H27874=1)),MIN(MAX(0,-I27739),MAX(0,Assumptions!$D$62-I27624)),0)</f>
        <v>0</v>
      </c>
      <c r="J27631" s="16" t="n">
        <f aca="false">IF(AND(Assumptions!$P$62=1,OR(J27523&lt;Assumptions!$K$62,I27874=1)),MIN(MAX(0,-J27739),MAX(0,Assumptions!$D$62-J27624)),0)</f>
        <v>0</v>
      </c>
      <c r="K27631" s="16" t="n">
        <f aca="false">IF(AND(Assumptions!$P$62=1,OR(K27523&lt;Assumptions!$K$62,J27874=1)),MIN(MAX(0,-K27739),MAX(0,Assumptions!$D$62-K27624)),0)</f>
        <v>0</v>
      </c>
    </row>
    <row r="27632" customFormat="false" ht="15" hidden="false" customHeight="false" outlineLevel="0" collapsed="false">
      <c r="A27632" s="3" t="s">
        <v>336</v>
      </c>
      <c r="G27632" s="16" t="n">
        <f aca="false">G27625*MIN(G27624-G27630+G27629,MAX(0,G27741-Assumptions!$C$12*G27557-G27567-G27580-G27593-G27606-G27619))</f>
        <v>0</v>
      </c>
      <c r="H27632" s="16" t="n">
        <f aca="false">H27625*MIN(H27624-H27630+H27629,MAX(0,H27741-Assumptions!$C$12*H27557-H27567-H27580-H27593-H27606-H27619))</f>
        <v>0</v>
      </c>
      <c r="I27632" s="16" t="n">
        <f aca="false">I27625*MIN(I27624-I27630+I27629,MAX(0,I27741-Assumptions!$C$12*I27557-I27567-I27580-I27593-I27606-I27619))</f>
        <v>0</v>
      </c>
      <c r="J27632" s="16" t="n">
        <f aca="false">J27625*MIN(J27624-J27630+J27629,MAX(0,J27741-Assumptions!$C$12*J27557-J27567-J27580-J27593-J27606-J27619))</f>
        <v>0</v>
      </c>
      <c r="K27632" s="16" t="n">
        <f aca="false">K27625*MIN(K27624-K27630+K27629,MAX(0,K27741-Assumptions!$C$12*K27557-K27567-K27580-K27593-K27606-K27619))</f>
        <v>0</v>
      </c>
    </row>
    <row r="27633" customFormat="false" ht="15" hidden="false" customHeight="false" outlineLevel="0" collapsed="false">
      <c r="A27633" s="3" t="s">
        <v>337</v>
      </c>
      <c r="G27633" s="16" t="n">
        <f aca="false">Assumptions!$N$62*MIN(G27624+G27631+G27629-G27630-G27632,MAX(0,G27745-G27568-G27581-G27594-G27607-G27620))</f>
        <v>0</v>
      </c>
      <c r="H27633" s="16" t="n">
        <f aca="false">Assumptions!$N$62*MIN(H27624+H27631+H27629-H27630-H27632,MAX(0,H27745-H27568-H27581-H27594-H27607-H27620))</f>
        <v>0</v>
      </c>
      <c r="I27633" s="16" t="n">
        <f aca="false">Assumptions!$N$62*MIN(I27624+I27631+I27629-I27630-I27632,MAX(0,I27745-I27568-I27581-I27594-I27607-I27620))</f>
        <v>0</v>
      </c>
      <c r="J27633" s="16" t="n">
        <f aca="false">Assumptions!$N$62*MIN(J27624+J27631+J27629-J27630-J27632,MAX(0,J27745-J27568-J27581-J27594-J27607-J27620))</f>
        <v>0</v>
      </c>
      <c r="K27633" s="16" t="n">
        <f aca="false">Assumptions!$N$62*MIN(K27624+K27631+K27629-K27630-K27632,MAX(0,K27745-K27568-K27581-K27594-K27607-K27620))</f>
        <v>0</v>
      </c>
    </row>
    <row r="27634" customFormat="false" ht="15" hidden="false" customHeight="false" outlineLevel="0" collapsed="false">
      <c r="A27634" s="3" t="s">
        <v>338</v>
      </c>
      <c r="G27634" s="16" t="n">
        <f aca="false">G27625*(1-G27557)*(G27624-G27630+G27629-G27632)</f>
        <v>0</v>
      </c>
      <c r="H27634" s="16" t="n">
        <f aca="false">H27625*(1-H27557)*(H27624-H27630+H27629-H27632)</f>
        <v>350</v>
      </c>
      <c r="I27634" s="16" t="n">
        <f aca="false">I27625*(1-I27557)*(I27624-I27630+I27629-I27632)</f>
        <v>0</v>
      </c>
      <c r="J27634" s="16" t="n">
        <f aca="false">J27625*(1-J27557)*(J27624-J27630+J27629-J27632)</f>
        <v>0</v>
      </c>
      <c r="K27634" s="16" t="n">
        <f aca="false">K27625*(1-K27557)*(K27624-K27630+K27629-K27632)</f>
        <v>0</v>
      </c>
    </row>
    <row r="27635" customFormat="false" ht="15" hidden="false" customHeight="false" outlineLevel="0" collapsed="false">
      <c r="A27635" s="2" t="s">
        <v>339</v>
      </c>
      <c r="F27635" s="28" t="n">
        <f aca="false">Assumptions!$C$62</f>
        <v>350</v>
      </c>
      <c r="G27635" s="17" t="n">
        <f aca="false">G27624+G27631+G27629-G27630-G27632-G27633</f>
        <v>350</v>
      </c>
      <c r="H27635" s="17" t="n">
        <f aca="false">H27624+H27631+H27629-H27630-H27632-H27633</f>
        <v>350</v>
      </c>
      <c r="I27635" s="17" t="n">
        <f aca="false">I27624+I27631+I27629-I27630-I27632-I27633</f>
        <v>350</v>
      </c>
      <c r="J27635" s="17" t="n">
        <f aca="false">J27624+J27631+J27629-J27630-J27632-J27633</f>
        <v>350</v>
      </c>
      <c r="K27635" s="17" t="n">
        <f aca="false">K27624+K27631+K27629-K27630-K27632-K27633</f>
        <v>350</v>
      </c>
    </row>
    <row r="27636" customFormat="false" ht="15" hidden="false" customHeight="false" outlineLevel="0" collapsed="false">
      <c r="A27636" s="24" t="s">
        <v>345</v>
      </c>
      <c r="B27636" s="25"/>
      <c r="C27636" s="25"/>
      <c r="D27636" s="25"/>
      <c r="E27636" s="25"/>
      <c r="F27636" s="25"/>
      <c r="G27636" s="25"/>
      <c r="H27636" s="25"/>
      <c r="I27636" s="25"/>
      <c r="J27636" s="25"/>
      <c r="K27636" s="25"/>
    </row>
    <row r="27637" customFormat="false" ht="15" hidden="false" customHeight="false" outlineLevel="0" collapsed="false">
      <c r="A27637" s="3" t="s">
        <v>329</v>
      </c>
      <c r="G27637" s="16" t="n">
        <f aca="false">F27648</f>
        <v>550</v>
      </c>
      <c r="H27637" s="16" t="n">
        <f aca="false">G27648</f>
        <v>550</v>
      </c>
      <c r="I27637" s="16" t="n">
        <f aca="false">H27648</f>
        <v>550</v>
      </c>
      <c r="J27637" s="16" t="n">
        <f aca="false">I27648</f>
        <v>550</v>
      </c>
      <c r="K27637" s="16" t="n">
        <f aca="false">J27648</f>
        <v>550</v>
      </c>
    </row>
    <row r="27638" customFormat="false" ht="15" hidden="false" customHeight="false" outlineLevel="0" collapsed="false">
      <c r="A27638" s="3" t="s">
        <v>330</v>
      </c>
      <c r="G27638" s="21" t="n">
        <f aca="false">IF(G27523=Assumptions!$K$63,1,0)</f>
        <v>0</v>
      </c>
      <c r="H27638" s="21" t="n">
        <f aca="false">IF(H27523=Assumptions!$K$63,1,0)</f>
        <v>0</v>
      </c>
      <c r="I27638" s="21" t="n">
        <f aca="false">IF(I27523=Assumptions!$K$63,1,0)</f>
        <v>1</v>
      </c>
      <c r="J27638" s="21" t="n">
        <f aca="false">IF(J27523=Assumptions!$K$63,1,0)</f>
        <v>0</v>
      </c>
      <c r="K27638" s="21" t="n">
        <f aca="false">IF(K27523=Assumptions!$K$63,1,0)</f>
        <v>0</v>
      </c>
    </row>
    <row r="27640" customFormat="false" ht="15" hidden="false" customHeight="false" outlineLevel="0" collapsed="false">
      <c r="A27640" s="3" t="s">
        <v>331</v>
      </c>
      <c r="G27640" s="31" t="n">
        <f aca="false">IF(Assumptions!$I$63=1,MAX(G27549,Assumptions!$G$63)+Assumptions!$F$63+$C$27550,Assumptions!$E$63)</f>
        <v>0.08875</v>
      </c>
      <c r="H27640" s="31" t="n">
        <f aca="false">IF(G27875=1,$C$27551,IF(Assumptions!$I$63=1,MAX(H27549,Assumptions!$G$63)+Assumptions!$F$63+$C$27550,Assumptions!$E$63))</f>
        <v>0.08875</v>
      </c>
      <c r="I27640" s="31" t="n">
        <f aca="false">IF(H27875=1,$C$27551,IF(Assumptions!$I$63=1,MAX(I27549,Assumptions!$G$63)+Assumptions!$F$63+$C$27550,Assumptions!$E$63))</f>
        <v>0.08875</v>
      </c>
      <c r="J27640" s="31" t="n">
        <f aca="false">IF(I27875=1,$C$27551,IF(Assumptions!$I$63=1,MAX(J27549,Assumptions!$G$63)+Assumptions!$F$63+$C$27550,Assumptions!$E$63))</f>
        <v>0.08875</v>
      </c>
      <c r="K27640" s="31" t="n">
        <f aca="false">IF(J27875=1,$C$27551,IF(Assumptions!$I$63=1,MAX(K27549,Assumptions!$G$63)+Assumptions!$F$63+$C$27550,Assumptions!$E$63))</f>
        <v>0.08875</v>
      </c>
    </row>
    <row r="27641" customFormat="false" ht="15" hidden="false" customHeight="false" outlineLevel="0" collapsed="false">
      <c r="A27641" s="3" t="s">
        <v>332</v>
      </c>
      <c r="G27641" s="16" t="n">
        <f aca="false">G27637*G27640</f>
        <v>48.8125</v>
      </c>
      <c r="H27641" s="16" t="n">
        <f aca="false">H27637*H27640</f>
        <v>48.8125</v>
      </c>
      <c r="I27641" s="16" t="n">
        <f aca="false">I27637*I27640</f>
        <v>48.8125</v>
      </c>
      <c r="J27641" s="16" t="n">
        <f aca="false">J27637*J27640</f>
        <v>48.8125</v>
      </c>
      <c r="K27641" s="16" t="n">
        <f aca="false">K27637*K27640</f>
        <v>48.8125</v>
      </c>
    </row>
    <row r="27642" customFormat="false" ht="15" hidden="false" customHeight="false" outlineLevel="0" collapsed="false">
      <c r="A27642" s="3" t="s">
        <v>333</v>
      </c>
      <c r="G27642" s="16" t="n">
        <f aca="false">G27637*Assumptions!$H$63</f>
        <v>0</v>
      </c>
      <c r="H27642" s="16" t="n">
        <f aca="false">H27637*Assumptions!$H$63</f>
        <v>0</v>
      </c>
      <c r="I27642" s="16" t="n">
        <f aca="false">I27637*Assumptions!$H$63</f>
        <v>0</v>
      </c>
      <c r="J27642" s="16" t="n">
        <f aca="false">J27637*Assumptions!$H$63</f>
        <v>0</v>
      </c>
      <c r="K27642" s="16" t="n">
        <f aca="false">K27637*Assumptions!$H$63</f>
        <v>0</v>
      </c>
    </row>
    <row r="27643" customFormat="false" ht="15" hidden="false" customHeight="false" outlineLevel="0" collapsed="false">
      <c r="A27643" s="3" t="s">
        <v>334</v>
      </c>
      <c r="G27643" s="16" t="n">
        <f aca="false">MIN(G27637,Assumptions!$L$63*Assumptions!$C$63)</f>
        <v>0</v>
      </c>
      <c r="H27643" s="16" t="n">
        <f aca="false">MIN(H27637,Assumptions!$L$63*Assumptions!$C$63)</f>
        <v>0</v>
      </c>
      <c r="I27643" s="16" t="n">
        <f aca="false">MIN(I27637,Assumptions!$L$63*Assumptions!$C$63)</f>
        <v>0</v>
      </c>
      <c r="J27643" s="16" t="n">
        <f aca="false">MIN(J27637,Assumptions!$L$63*Assumptions!$C$63)</f>
        <v>0</v>
      </c>
      <c r="K27643" s="16" t="n">
        <f aca="false">MIN(K27637,Assumptions!$L$63*Assumptions!$C$63)</f>
        <v>0</v>
      </c>
    </row>
    <row r="27644" customFormat="false" ht="15" hidden="false" customHeight="false" outlineLevel="0" collapsed="false">
      <c r="A27644" s="3" t="s">
        <v>335</v>
      </c>
      <c r="G27644" s="16" t="n">
        <f aca="false">IF(AND(Assumptions!$P$63=1,G27523&lt;Assumptions!$K$63),MIN(MAX(0,-G27739),MAX(0,Assumptions!$D$63-G27637)),0)</f>
        <v>0</v>
      </c>
      <c r="H27644" s="16" t="n">
        <f aca="false">IF(AND(Assumptions!$P$63=1,OR(H27523&lt;Assumptions!$K$63,G27875=1)),MIN(MAX(0,-H27739),MAX(0,Assumptions!$D$63-H27637)),0)</f>
        <v>0</v>
      </c>
      <c r="I27644" s="16" t="n">
        <f aca="false">IF(AND(Assumptions!$P$63=1,OR(I27523&lt;Assumptions!$K$63,H27875=1)),MIN(MAX(0,-I27739),MAX(0,Assumptions!$D$63-I27637)),0)</f>
        <v>0</v>
      </c>
      <c r="J27644" s="16" t="n">
        <f aca="false">IF(AND(Assumptions!$P$63=1,OR(J27523&lt;Assumptions!$K$63,I27875=1)),MIN(MAX(0,-J27739),MAX(0,Assumptions!$D$63-J27637)),0)</f>
        <v>0</v>
      </c>
      <c r="K27644" s="16" t="n">
        <f aca="false">IF(AND(Assumptions!$P$63=1,OR(K27523&lt;Assumptions!$K$63,J27875=1)),MIN(MAX(0,-K27739),MAX(0,Assumptions!$D$63-K27637)),0)</f>
        <v>0</v>
      </c>
    </row>
    <row r="27645" customFormat="false" ht="15" hidden="false" customHeight="false" outlineLevel="0" collapsed="false">
      <c r="A27645" s="3" t="s">
        <v>336</v>
      </c>
      <c r="G27645" s="16" t="n">
        <f aca="false">G27638*MIN(G27637-G27643+G27642,MAX(0,G27741-Assumptions!$C$12*G27557-G27567-G27580-G27593-G27606-G27619-G27632))</f>
        <v>0</v>
      </c>
      <c r="H27645" s="16" t="n">
        <f aca="false">H27638*MIN(H27637-H27643+H27642,MAX(0,H27741-Assumptions!$C$12*H27557-H27567-H27580-H27593-H27606-H27619-H27632))</f>
        <v>0</v>
      </c>
      <c r="I27645" s="16" t="n">
        <f aca="false">I27638*MIN(I27637-I27643+I27642,MAX(0,I27741-Assumptions!$C$12*I27557-I27567-I27580-I27593-I27606-I27619-I27632))</f>
        <v>0</v>
      </c>
      <c r="J27645" s="16" t="n">
        <f aca="false">J27638*MIN(J27637-J27643+J27642,MAX(0,J27741-Assumptions!$C$12*J27557-J27567-J27580-J27593-J27606-J27619-J27632))</f>
        <v>0</v>
      </c>
      <c r="K27645" s="16" t="n">
        <f aca="false">K27638*MIN(K27637-K27643+K27642,MAX(0,K27741-Assumptions!$C$12*K27557-K27567-K27580-K27593-K27606-K27619-K27632))</f>
        <v>0</v>
      </c>
    </row>
    <row r="27646" customFormat="false" ht="15" hidden="false" customHeight="false" outlineLevel="0" collapsed="false">
      <c r="A27646" s="3" t="s">
        <v>337</v>
      </c>
      <c r="G27646" s="16" t="n">
        <f aca="false">Assumptions!$N$63*MIN(G27637+G27644+G27642-G27643-G27645,MAX(0,G27745-G27568-G27581-G27594-G27607-G27620-G27633))</f>
        <v>0</v>
      </c>
      <c r="H27646" s="16" t="n">
        <f aca="false">Assumptions!$N$63*MIN(H27637+H27644+H27642-H27643-H27645,MAX(0,H27745-H27568-H27581-H27594-H27607-H27620-H27633))</f>
        <v>0</v>
      </c>
      <c r="I27646" s="16" t="n">
        <f aca="false">Assumptions!$N$63*MIN(I27637+I27644+I27642-I27643-I27645,MAX(0,I27745-I27568-I27581-I27594-I27607-I27620-I27633))</f>
        <v>0</v>
      </c>
      <c r="J27646" s="16" t="n">
        <f aca="false">Assumptions!$N$63*MIN(J27637+J27644+J27642-J27643-J27645,MAX(0,J27745-J27568-J27581-J27594-J27607-J27620-J27633))</f>
        <v>0</v>
      </c>
      <c r="K27646" s="16" t="n">
        <f aca="false">Assumptions!$N$63*MIN(K27637+K27644+K27642-K27643-K27645,MAX(0,K27745-K27568-K27581-K27594-K27607-K27620-K27633))</f>
        <v>0</v>
      </c>
    </row>
    <row r="27647" customFormat="false" ht="15" hidden="false" customHeight="false" outlineLevel="0" collapsed="false">
      <c r="A27647" s="3" t="s">
        <v>338</v>
      </c>
      <c r="G27647" s="16" t="n">
        <f aca="false">G27638*(1-G27557)*(G27637-G27643+G27642-G27645)</f>
        <v>0</v>
      </c>
      <c r="H27647" s="16" t="n">
        <f aca="false">H27638*(1-H27557)*(H27637-H27643+H27642-H27645)</f>
        <v>0</v>
      </c>
      <c r="I27647" s="16" t="n">
        <f aca="false">I27638*(1-I27557)*(I27637-I27643+I27642-I27645)</f>
        <v>550</v>
      </c>
      <c r="J27647" s="16" t="n">
        <f aca="false">J27638*(1-J27557)*(J27637-J27643+J27642-J27645)</f>
        <v>0</v>
      </c>
      <c r="K27647" s="16" t="n">
        <f aca="false">K27638*(1-K27557)*(K27637-K27643+K27642-K27645)</f>
        <v>0</v>
      </c>
    </row>
    <row r="27648" customFormat="false" ht="15" hidden="false" customHeight="false" outlineLevel="0" collapsed="false">
      <c r="A27648" s="2" t="s">
        <v>339</v>
      </c>
      <c r="F27648" s="28" t="n">
        <f aca="false">Assumptions!$C$63</f>
        <v>550</v>
      </c>
      <c r="G27648" s="17" t="n">
        <f aca="false">G27637+G27644+G27642-G27643-G27645-G27646</f>
        <v>550</v>
      </c>
      <c r="H27648" s="17" t="n">
        <f aca="false">H27637+H27644+H27642-H27643-H27645-H27646</f>
        <v>550</v>
      </c>
      <c r="I27648" s="17" t="n">
        <f aca="false">I27637+I27644+I27642-I27643-I27645-I27646</f>
        <v>550</v>
      </c>
      <c r="J27648" s="17" t="n">
        <f aca="false">J27637+J27644+J27642-J27643-J27645-J27646</f>
        <v>550</v>
      </c>
      <c r="K27648" s="17" t="n">
        <f aca="false">K27637+K27644+K27642-K27643-K27645-K27646</f>
        <v>550</v>
      </c>
    </row>
    <row r="27649" customFormat="false" ht="15" hidden="false" customHeight="false" outlineLevel="0" collapsed="false">
      <c r="A27649" s="24" t="s">
        <v>346</v>
      </c>
      <c r="B27649" s="25"/>
      <c r="C27649" s="25"/>
      <c r="D27649" s="25"/>
      <c r="E27649" s="25"/>
      <c r="F27649" s="25"/>
      <c r="G27649" s="25"/>
      <c r="H27649" s="25"/>
      <c r="I27649" s="25"/>
      <c r="J27649" s="25"/>
      <c r="K27649" s="25"/>
    </row>
    <row r="27650" customFormat="false" ht="15" hidden="false" customHeight="false" outlineLevel="0" collapsed="false">
      <c r="A27650" s="3" t="s">
        <v>329</v>
      </c>
      <c r="G27650" s="16" t="n">
        <f aca="false">F27661</f>
        <v>350</v>
      </c>
      <c r="H27650" s="16" t="n">
        <f aca="false">G27661</f>
        <v>350</v>
      </c>
      <c r="I27650" s="16" t="n">
        <f aca="false">H27661</f>
        <v>350</v>
      </c>
      <c r="J27650" s="16" t="n">
        <f aca="false">I27661</f>
        <v>350</v>
      </c>
      <c r="K27650" s="16" t="n">
        <f aca="false">J27661</f>
        <v>350</v>
      </c>
    </row>
    <row r="27651" customFormat="false" ht="15" hidden="false" customHeight="false" outlineLevel="0" collapsed="false">
      <c r="A27651" s="3" t="s">
        <v>330</v>
      </c>
      <c r="G27651" s="21" t="n">
        <f aca="false">IF(G27523=Assumptions!$K$64,1,0)</f>
        <v>0</v>
      </c>
      <c r="H27651" s="21" t="n">
        <f aca="false">IF(H27523=Assumptions!$K$64,1,0)</f>
        <v>0</v>
      </c>
      <c r="I27651" s="21" t="n">
        <f aca="false">IF(I27523=Assumptions!$K$64,1,0)</f>
        <v>0</v>
      </c>
      <c r="J27651" s="21" t="n">
        <f aca="false">IF(J27523=Assumptions!$K$64,1,0)</f>
        <v>1</v>
      </c>
      <c r="K27651" s="21" t="n">
        <f aca="false">IF(K27523=Assumptions!$K$64,1,0)</f>
        <v>0</v>
      </c>
    </row>
    <row r="27653" customFormat="false" ht="15" hidden="false" customHeight="false" outlineLevel="0" collapsed="false">
      <c r="A27653" s="3" t="s">
        <v>331</v>
      </c>
      <c r="G27653" s="31" t="n">
        <f aca="false">IF(Assumptions!$I$64=1,MAX(G27549,Assumptions!$G$64)+Assumptions!$F$64+$C$27550,Assumptions!$E$64)</f>
        <v>0.0455</v>
      </c>
      <c r="H27653" s="31" t="n">
        <f aca="false">IF(G27876=1,$C$27551,IF(Assumptions!$I$64=1,MAX(H27549,Assumptions!$G$64)+Assumptions!$F$64+$C$27550,Assumptions!$E$64))</f>
        <v>0.0455</v>
      </c>
      <c r="I27653" s="31" t="n">
        <f aca="false">IF(H27876=1,$C$27551,IF(Assumptions!$I$64=1,MAX(I27549,Assumptions!$G$64)+Assumptions!$F$64+$C$27550,Assumptions!$E$64))</f>
        <v>0.0455</v>
      </c>
      <c r="J27653" s="31" t="n">
        <f aca="false">IF(I27876=1,$C$27551,IF(Assumptions!$I$64=1,MAX(J27549,Assumptions!$G$64)+Assumptions!$F$64+$C$27550,Assumptions!$E$64))</f>
        <v>0.0455</v>
      </c>
      <c r="K27653" s="31" t="n">
        <f aca="false">IF(J27876=1,$C$27551,IF(Assumptions!$I$64=1,MAX(K27549,Assumptions!$G$64)+Assumptions!$F$64+$C$27550,Assumptions!$E$64))</f>
        <v>0.0455</v>
      </c>
    </row>
    <row r="27654" customFormat="false" ht="15" hidden="false" customHeight="false" outlineLevel="0" collapsed="false">
      <c r="A27654" s="3" t="s">
        <v>332</v>
      </c>
      <c r="G27654" s="16" t="n">
        <f aca="false">G27650*G27653</f>
        <v>15.925</v>
      </c>
      <c r="H27654" s="16" t="n">
        <f aca="false">H27650*H27653</f>
        <v>15.925</v>
      </c>
      <c r="I27654" s="16" t="n">
        <f aca="false">I27650*I27653</f>
        <v>15.925</v>
      </c>
      <c r="J27654" s="16" t="n">
        <f aca="false">J27650*J27653</f>
        <v>15.925</v>
      </c>
      <c r="K27654" s="16" t="n">
        <f aca="false">K27650*K27653</f>
        <v>15.925</v>
      </c>
    </row>
    <row r="27655" customFormat="false" ht="15" hidden="false" customHeight="false" outlineLevel="0" collapsed="false">
      <c r="A27655" s="3" t="s">
        <v>333</v>
      </c>
      <c r="G27655" s="16" t="n">
        <f aca="false">G27650*Assumptions!$H$64</f>
        <v>0</v>
      </c>
      <c r="H27655" s="16" t="n">
        <f aca="false">H27650*Assumptions!$H$64</f>
        <v>0</v>
      </c>
      <c r="I27655" s="16" t="n">
        <f aca="false">I27650*Assumptions!$H$64</f>
        <v>0</v>
      </c>
      <c r="J27655" s="16" t="n">
        <f aca="false">J27650*Assumptions!$H$64</f>
        <v>0</v>
      </c>
      <c r="K27655" s="16" t="n">
        <f aca="false">K27650*Assumptions!$H$64</f>
        <v>0</v>
      </c>
    </row>
    <row r="27656" customFormat="false" ht="15" hidden="false" customHeight="false" outlineLevel="0" collapsed="false">
      <c r="A27656" s="3" t="s">
        <v>334</v>
      </c>
      <c r="G27656" s="16" t="n">
        <f aca="false">MIN(G27650,Assumptions!$L$64*Assumptions!$C$64)</f>
        <v>0</v>
      </c>
      <c r="H27656" s="16" t="n">
        <f aca="false">MIN(H27650,Assumptions!$L$64*Assumptions!$C$64)</f>
        <v>0</v>
      </c>
      <c r="I27656" s="16" t="n">
        <f aca="false">MIN(I27650,Assumptions!$L$64*Assumptions!$C$64)</f>
        <v>0</v>
      </c>
      <c r="J27656" s="16" t="n">
        <f aca="false">MIN(J27650,Assumptions!$L$64*Assumptions!$C$64)</f>
        <v>0</v>
      </c>
      <c r="K27656" s="16" t="n">
        <f aca="false">MIN(K27650,Assumptions!$L$64*Assumptions!$C$64)</f>
        <v>0</v>
      </c>
    </row>
    <row r="27657" customFormat="false" ht="15" hidden="false" customHeight="false" outlineLevel="0" collapsed="false">
      <c r="A27657" s="3" t="s">
        <v>335</v>
      </c>
      <c r="G27657" s="16" t="n">
        <f aca="false">IF(AND(Assumptions!$P$64=1,G27523&lt;Assumptions!$K$64),MIN(MAX(0,-G27739),MAX(0,Assumptions!$D$64-G27650)),0)</f>
        <v>0</v>
      </c>
      <c r="H27657" s="16" t="n">
        <f aca="false">IF(AND(Assumptions!$P$64=1,OR(H27523&lt;Assumptions!$K$64,G27876=1)),MIN(MAX(0,-H27739),MAX(0,Assumptions!$D$64-H27650)),0)</f>
        <v>0</v>
      </c>
      <c r="I27657" s="16" t="n">
        <f aca="false">IF(AND(Assumptions!$P$64=1,OR(I27523&lt;Assumptions!$K$64,H27876=1)),MIN(MAX(0,-I27739),MAX(0,Assumptions!$D$64-I27650)),0)</f>
        <v>0</v>
      </c>
      <c r="J27657" s="16" t="n">
        <f aca="false">IF(AND(Assumptions!$P$64=1,OR(J27523&lt;Assumptions!$K$64,I27876=1)),MIN(MAX(0,-J27739),MAX(0,Assumptions!$D$64-J27650)),0)</f>
        <v>0</v>
      </c>
      <c r="K27657" s="16" t="n">
        <f aca="false">IF(AND(Assumptions!$P$64=1,OR(K27523&lt;Assumptions!$K$64,J27876=1)),MIN(MAX(0,-K27739),MAX(0,Assumptions!$D$64-K27650)),0)</f>
        <v>0</v>
      </c>
    </row>
    <row r="27658" customFormat="false" ht="15" hidden="false" customHeight="false" outlineLevel="0" collapsed="false">
      <c r="A27658" s="3" t="s">
        <v>336</v>
      </c>
      <c r="G27658" s="16" t="n">
        <f aca="false">G27651*MIN(G27650-G27656+G27655,MAX(0,G27741-Assumptions!$C$12*G27557-G27567-G27580-G27593-G27606-G27619-G27632-G27645))</f>
        <v>0</v>
      </c>
      <c r="H27658" s="16" t="n">
        <f aca="false">H27651*MIN(H27650-H27656+H27655,MAX(0,H27741-Assumptions!$C$12*H27557-H27567-H27580-H27593-H27606-H27619-H27632-H27645))</f>
        <v>0</v>
      </c>
      <c r="I27658" s="16" t="n">
        <f aca="false">I27651*MIN(I27650-I27656+I27655,MAX(0,I27741-Assumptions!$C$12*I27557-I27567-I27580-I27593-I27606-I27619-I27632-I27645))</f>
        <v>0</v>
      </c>
      <c r="J27658" s="16" t="n">
        <f aca="false">J27651*MIN(J27650-J27656+J27655,MAX(0,J27741-Assumptions!$C$12*J27557-J27567-J27580-J27593-J27606-J27619-J27632-J27645))</f>
        <v>0</v>
      </c>
      <c r="K27658" s="16" t="n">
        <f aca="false">K27651*MIN(K27650-K27656+K27655,MAX(0,K27741-Assumptions!$C$12*K27557-K27567-K27580-K27593-K27606-K27619-K27632-K27645))</f>
        <v>0</v>
      </c>
    </row>
    <row r="27659" customFormat="false" ht="15" hidden="false" customHeight="false" outlineLevel="0" collapsed="false">
      <c r="A27659" s="3" t="s">
        <v>337</v>
      </c>
      <c r="G27659" s="16" t="n">
        <f aca="false">Assumptions!$N$64*MIN(G27650+G27657+G27655-G27656-G27658,MAX(0,G27745-G27568-G27581-G27594-G27607-G27620-G27633-G27646))</f>
        <v>0</v>
      </c>
      <c r="H27659" s="16" t="n">
        <f aca="false">Assumptions!$N$64*MIN(H27650+H27657+H27655-H27656-H27658,MAX(0,H27745-H27568-H27581-H27594-H27607-H27620-H27633-H27646))</f>
        <v>0</v>
      </c>
      <c r="I27659" s="16" t="n">
        <f aca="false">Assumptions!$N$64*MIN(I27650+I27657+I27655-I27656-I27658,MAX(0,I27745-I27568-I27581-I27594-I27607-I27620-I27633-I27646))</f>
        <v>0</v>
      </c>
      <c r="J27659" s="16" t="n">
        <f aca="false">Assumptions!$N$64*MIN(J27650+J27657+J27655-J27656-J27658,MAX(0,J27745-J27568-J27581-J27594-J27607-J27620-J27633-J27646))</f>
        <v>0</v>
      </c>
      <c r="K27659" s="16" t="n">
        <f aca="false">Assumptions!$N$64*MIN(K27650+K27657+K27655-K27656-K27658,MAX(0,K27745-K27568-K27581-K27594-K27607-K27620-K27633-K27646))</f>
        <v>0</v>
      </c>
    </row>
    <row r="27660" customFormat="false" ht="15" hidden="false" customHeight="false" outlineLevel="0" collapsed="false">
      <c r="A27660" s="3" t="s">
        <v>338</v>
      </c>
      <c r="G27660" s="16" t="n">
        <f aca="false">G27651*(1-G27557)*(G27650-G27656+G27655-G27658)</f>
        <v>0</v>
      </c>
      <c r="H27660" s="16" t="n">
        <f aca="false">H27651*(1-H27557)*(H27650-H27656+H27655-H27658)</f>
        <v>0</v>
      </c>
      <c r="I27660" s="16" t="n">
        <f aca="false">I27651*(1-I27557)*(I27650-I27656+I27655-I27658)</f>
        <v>0</v>
      </c>
      <c r="J27660" s="16" t="n">
        <f aca="false">J27651*(1-J27557)*(J27650-J27656+J27655-J27658)</f>
        <v>350</v>
      </c>
      <c r="K27660" s="16" t="n">
        <f aca="false">K27651*(1-K27557)*(K27650-K27656+K27655-K27658)</f>
        <v>0</v>
      </c>
    </row>
    <row r="27661" customFormat="false" ht="15" hidden="false" customHeight="false" outlineLevel="0" collapsed="false">
      <c r="A27661" s="2" t="s">
        <v>339</v>
      </c>
      <c r="F27661" s="28" t="n">
        <f aca="false">Assumptions!$C$64</f>
        <v>350</v>
      </c>
      <c r="G27661" s="17" t="n">
        <f aca="false">G27650+G27657+G27655-G27656-G27658-G27659</f>
        <v>350</v>
      </c>
      <c r="H27661" s="17" t="n">
        <f aca="false">H27650+H27657+H27655-H27656-H27658-H27659</f>
        <v>350</v>
      </c>
      <c r="I27661" s="17" t="n">
        <f aca="false">I27650+I27657+I27655-I27656-I27658-I27659</f>
        <v>350</v>
      </c>
      <c r="J27661" s="17" t="n">
        <f aca="false">J27650+J27657+J27655-J27656-J27658-J27659</f>
        <v>350</v>
      </c>
      <c r="K27661" s="17" t="n">
        <f aca="false">K27650+K27657+K27655-K27656-K27658-K27659</f>
        <v>350</v>
      </c>
    </row>
    <row r="27662" customFormat="false" ht="15" hidden="false" customHeight="false" outlineLevel="0" collapsed="false">
      <c r="A27662" s="24" t="s">
        <v>347</v>
      </c>
      <c r="B27662" s="25"/>
      <c r="C27662" s="25"/>
      <c r="D27662" s="25"/>
      <c r="E27662" s="25"/>
      <c r="F27662" s="25"/>
      <c r="G27662" s="25"/>
      <c r="H27662" s="25"/>
      <c r="I27662" s="25"/>
      <c r="J27662" s="25"/>
      <c r="K27662" s="25"/>
    </row>
    <row r="27663" customFormat="false" ht="15" hidden="false" customHeight="false" outlineLevel="0" collapsed="false">
      <c r="A27663" s="3" t="s">
        <v>329</v>
      </c>
      <c r="G27663" s="16" t="n">
        <f aca="false">F27674</f>
        <v>300</v>
      </c>
      <c r="H27663" s="16" t="n">
        <f aca="false">G27674</f>
        <v>300</v>
      </c>
      <c r="I27663" s="16" t="n">
        <f aca="false">H27674</f>
        <v>300</v>
      </c>
      <c r="J27663" s="16" t="n">
        <f aca="false">I27674</f>
        <v>300</v>
      </c>
      <c r="K27663" s="16" t="n">
        <f aca="false">J27674</f>
        <v>300</v>
      </c>
    </row>
    <row r="27664" customFormat="false" ht="15" hidden="false" customHeight="false" outlineLevel="0" collapsed="false">
      <c r="A27664" s="3" t="s">
        <v>330</v>
      </c>
      <c r="G27664" s="21" t="n">
        <f aca="false">IF(G27523=Assumptions!$K$65,1,0)</f>
        <v>0</v>
      </c>
      <c r="H27664" s="21" t="n">
        <f aca="false">IF(H27523=Assumptions!$K$65,1,0)</f>
        <v>0</v>
      </c>
      <c r="I27664" s="21" t="n">
        <f aca="false">IF(I27523=Assumptions!$K$65,1,0)</f>
        <v>0</v>
      </c>
      <c r="J27664" s="21" t="n">
        <f aca="false">IF(J27523=Assumptions!$K$65,1,0)</f>
        <v>0</v>
      </c>
      <c r="K27664" s="21" t="n">
        <f aca="false">IF(K27523=Assumptions!$K$65,1,0)</f>
        <v>1</v>
      </c>
    </row>
    <row r="27666" customFormat="false" ht="15" hidden="false" customHeight="false" outlineLevel="0" collapsed="false">
      <c r="A27666" s="3" t="s">
        <v>331</v>
      </c>
      <c r="G27666" s="31" t="n">
        <f aca="false">IF(Assumptions!$I$65=1,MAX(G27549,Assumptions!$G$65)+Assumptions!$F$65+$C$27550,Assumptions!$E$65)</f>
        <v>0.06125</v>
      </c>
      <c r="H27666" s="31" t="n">
        <f aca="false">IF(G27877=1,$C$27551,IF(Assumptions!$I$65=1,MAX(H27549,Assumptions!$G$65)+Assumptions!$F$65+$C$27550,Assumptions!$E$65))</f>
        <v>0.06125</v>
      </c>
      <c r="I27666" s="31" t="n">
        <f aca="false">IF(H27877=1,$C$27551,IF(Assumptions!$I$65=1,MAX(I27549,Assumptions!$G$65)+Assumptions!$F$65+$C$27550,Assumptions!$E$65))</f>
        <v>0.06125</v>
      </c>
      <c r="J27666" s="31" t="n">
        <f aca="false">IF(I27877=1,$C$27551,IF(Assumptions!$I$65=1,MAX(J27549,Assumptions!$G$65)+Assumptions!$F$65+$C$27550,Assumptions!$E$65))</f>
        <v>0.06125</v>
      </c>
      <c r="K27666" s="31" t="n">
        <f aca="false">IF(J27877=1,$C$27551,IF(Assumptions!$I$65=1,MAX(K27549,Assumptions!$G$65)+Assumptions!$F$65+$C$27550,Assumptions!$E$65))</f>
        <v>0.06125</v>
      </c>
    </row>
    <row r="27667" customFormat="false" ht="15" hidden="false" customHeight="false" outlineLevel="0" collapsed="false">
      <c r="A27667" s="3" t="s">
        <v>332</v>
      </c>
      <c r="G27667" s="16" t="n">
        <f aca="false">G27663*G27666</f>
        <v>18.375</v>
      </c>
      <c r="H27667" s="16" t="n">
        <f aca="false">H27663*H27666</f>
        <v>18.375</v>
      </c>
      <c r="I27667" s="16" t="n">
        <f aca="false">I27663*I27666</f>
        <v>18.375</v>
      </c>
      <c r="J27667" s="16" t="n">
        <f aca="false">J27663*J27666</f>
        <v>18.375</v>
      </c>
      <c r="K27667" s="16" t="n">
        <f aca="false">K27663*K27666</f>
        <v>18.375</v>
      </c>
    </row>
    <row r="27668" customFormat="false" ht="15" hidden="false" customHeight="false" outlineLevel="0" collapsed="false">
      <c r="A27668" s="3" t="s">
        <v>333</v>
      </c>
      <c r="G27668" s="16" t="n">
        <f aca="false">G27663*Assumptions!$H$65</f>
        <v>0</v>
      </c>
      <c r="H27668" s="16" t="n">
        <f aca="false">H27663*Assumptions!$H$65</f>
        <v>0</v>
      </c>
      <c r="I27668" s="16" t="n">
        <f aca="false">I27663*Assumptions!$H$65</f>
        <v>0</v>
      </c>
      <c r="J27668" s="16" t="n">
        <f aca="false">J27663*Assumptions!$H$65</f>
        <v>0</v>
      </c>
      <c r="K27668" s="16" t="n">
        <f aca="false">K27663*Assumptions!$H$65</f>
        <v>0</v>
      </c>
    </row>
    <row r="27669" customFormat="false" ht="15" hidden="false" customHeight="false" outlineLevel="0" collapsed="false">
      <c r="A27669" s="3" t="s">
        <v>334</v>
      </c>
      <c r="G27669" s="16" t="n">
        <f aca="false">MIN(G27663,Assumptions!$L$65*Assumptions!$C$65)</f>
        <v>0</v>
      </c>
      <c r="H27669" s="16" t="n">
        <f aca="false">MIN(H27663,Assumptions!$L$65*Assumptions!$C$65)</f>
        <v>0</v>
      </c>
      <c r="I27669" s="16" t="n">
        <f aca="false">MIN(I27663,Assumptions!$L$65*Assumptions!$C$65)</f>
        <v>0</v>
      </c>
      <c r="J27669" s="16" t="n">
        <f aca="false">MIN(J27663,Assumptions!$L$65*Assumptions!$C$65)</f>
        <v>0</v>
      </c>
      <c r="K27669" s="16" t="n">
        <f aca="false">MIN(K27663,Assumptions!$L$65*Assumptions!$C$65)</f>
        <v>0</v>
      </c>
    </row>
    <row r="27670" customFormat="false" ht="15" hidden="false" customHeight="false" outlineLevel="0" collapsed="false">
      <c r="A27670" s="3" t="s">
        <v>335</v>
      </c>
      <c r="G27670" s="16" t="n">
        <f aca="false">IF(AND(Assumptions!$P$65=1,G27523&lt;Assumptions!$K$65),MIN(MAX(0,-G27739),MAX(0,Assumptions!$D$65-G27663)),0)</f>
        <v>0</v>
      </c>
      <c r="H27670" s="16" t="n">
        <f aca="false">IF(AND(Assumptions!$P$65=1,OR(H27523&lt;Assumptions!$K$65,G27877=1)),MIN(MAX(0,-H27739),MAX(0,Assumptions!$D$65-H27663)),0)</f>
        <v>0</v>
      </c>
      <c r="I27670" s="16" t="n">
        <f aca="false">IF(AND(Assumptions!$P$65=1,OR(I27523&lt;Assumptions!$K$65,H27877=1)),MIN(MAX(0,-I27739),MAX(0,Assumptions!$D$65-I27663)),0)</f>
        <v>0</v>
      </c>
      <c r="J27670" s="16" t="n">
        <f aca="false">IF(AND(Assumptions!$P$65=1,OR(J27523&lt;Assumptions!$K$65,I27877=1)),MIN(MAX(0,-J27739),MAX(0,Assumptions!$D$65-J27663)),0)</f>
        <v>0</v>
      </c>
      <c r="K27670" s="16" t="n">
        <f aca="false">IF(AND(Assumptions!$P$65=1,OR(K27523&lt;Assumptions!$K$65,J27877=1)),MIN(MAX(0,-K27739),MAX(0,Assumptions!$D$65-K27663)),0)</f>
        <v>0</v>
      </c>
    </row>
    <row r="27671" customFormat="false" ht="15" hidden="false" customHeight="false" outlineLevel="0" collapsed="false">
      <c r="A27671" s="3" t="s">
        <v>336</v>
      </c>
      <c r="G27671" s="16" t="n">
        <f aca="false">G27664*MIN(G27663-G27669+G27668,MAX(0,G27741-Assumptions!$C$12*G27557-G27567-G27580-G27593-G27606-G27619-G27632-G27645-G27658))</f>
        <v>0</v>
      </c>
      <c r="H27671" s="16" t="n">
        <f aca="false">H27664*MIN(H27663-H27669+H27668,MAX(0,H27741-Assumptions!$C$12*H27557-H27567-H27580-H27593-H27606-H27619-H27632-H27645-H27658))</f>
        <v>0</v>
      </c>
      <c r="I27671" s="16" t="n">
        <f aca="false">I27664*MIN(I27663-I27669+I27668,MAX(0,I27741-Assumptions!$C$12*I27557-I27567-I27580-I27593-I27606-I27619-I27632-I27645-I27658))</f>
        <v>0</v>
      </c>
      <c r="J27671" s="16" t="n">
        <f aca="false">J27664*MIN(J27663-J27669+J27668,MAX(0,J27741-Assumptions!$C$12*J27557-J27567-J27580-J27593-J27606-J27619-J27632-J27645-J27658))</f>
        <v>0</v>
      </c>
      <c r="K27671" s="16" t="n">
        <f aca="false">K27664*MIN(K27663-K27669+K27668,MAX(0,K27741-Assumptions!$C$12*K27557-K27567-K27580-K27593-K27606-K27619-K27632-K27645-K27658))</f>
        <v>0</v>
      </c>
    </row>
    <row r="27672" customFormat="false" ht="15" hidden="false" customHeight="false" outlineLevel="0" collapsed="false">
      <c r="A27672" s="3" t="s">
        <v>337</v>
      </c>
      <c r="G27672" s="16" t="n">
        <f aca="false">Assumptions!$N$65*MIN(G27663+G27670+G27668-G27669-G27671,MAX(0,G27745-G27568-G27581-G27594-G27607-G27620-G27633-G27646-G27659))</f>
        <v>0</v>
      </c>
      <c r="H27672" s="16" t="n">
        <f aca="false">Assumptions!$N$65*MIN(H27663+H27670+H27668-H27669-H27671,MAX(0,H27745-H27568-H27581-H27594-H27607-H27620-H27633-H27646-H27659))</f>
        <v>0</v>
      </c>
      <c r="I27672" s="16" t="n">
        <f aca="false">Assumptions!$N$65*MIN(I27663+I27670+I27668-I27669-I27671,MAX(0,I27745-I27568-I27581-I27594-I27607-I27620-I27633-I27646-I27659))</f>
        <v>0</v>
      </c>
      <c r="J27672" s="16" t="n">
        <f aca="false">Assumptions!$N$65*MIN(J27663+J27670+J27668-J27669-J27671,MAX(0,J27745-J27568-J27581-J27594-J27607-J27620-J27633-J27646-J27659))</f>
        <v>0</v>
      </c>
      <c r="K27672" s="16" t="n">
        <f aca="false">Assumptions!$N$65*MIN(K27663+K27670+K27668-K27669-K27671,MAX(0,K27745-K27568-K27581-K27594-K27607-K27620-K27633-K27646-K27659))</f>
        <v>0</v>
      </c>
    </row>
    <row r="27673" customFormat="false" ht="15" hidden="false" customHeight="false" outlineLevel="0" collapsed="false">
      <c r="A27673" s="3" t="s">
        <v>338</v>
      </c>
      <c r="G27673" s="16" t="n">
        <f aca="false">G27664*(1-G27557)*(G27663-G27669+G27668-G27671)</f>
        <v>0</v>
      </c>
      <c r="H27673" s="16" t="n">
        <f aca="false">H27664*(1-H27557)*(H27663-H27669+H27668-H27671)</f>
        <v>0</v>
      </c>
      <c r="I27673" s="16" t="n">
        <f aca="false">I27664*(1-I27557)*(I27663-I27669+I27668-I27671)</f>
        <v>0</v>
      </c>
      <c r="J27673" s="16" t="n">
        <f aca="false">J27664*(1-J27557)*(J27663-J27669+J27668-J27671)</f>
        <v>0</v>
      </c>
      <c r="K27673" s="16" t="n">
        <f aca="false">K27664*(1-K27557)*(K27663-K27669+K27668-K27671)</f>
        <v>300</v>
      </c>
    </row>
    <row r="27674" customFormat="false" ht="15" hidden="false" customHeight="false" outlineLevel="0" collapsed="false">
      <c r="A27674" s="2" t="s">
        <v>339</v>
      </c>
      <c r="F27674" s="28" t="n">
        <f aca="false">Assumptions!$C$65</f>
        <v>300</v>
      </c>
      <c r="G27674" s="17" t="n">
        <f aca="false">G27663+G27670+G27668-G27669-G27671-G27672</f>
        <v>300</v>
      </c>
      <c r="H27674" s="17" t="n">
        <f aca="false">H27663+H27670+H27668-H27669-H27671-H27672</f>
        <v>300</v>
      </c>
      <c r="I27674" s="17" t="n">
        <f aca="false">I27663+I27670+I27668-I27669-I27671-I27672</f>
        <v>300</v>
      </c>
      <c r="J27674" s="17" t="n">
        <f aca="false">J27663+J27670+J27668-J27669-J27671-J27672</f>
        <v>300</v>
      </c>
      <c r="K27674" s="17" t="n">
        <f aca="false">K27663+K27670+K27668-K27669-K27671-K27672</f>
        <v>300</v>
      </c>
    </row>
    <row r="27675" customFormat="false" ht="15" hidden="false" customHeight="false" outlineLevel="0" collapsed="false">
      <c r="A27675" s="24" t="s">
        <v>348</v>
      </c>
      <c r="B27675" s="25"/>
      <c r="C27675" s="25"/>
      <c r="D27675" s="25"/>
      <c r="E27675" s="25"/>
      <c r="F27675" s="25"/>
      <c r="G27675" s="25"/>
      <c r="H27675" s="25"/>
      <c r="I27675" s="25"/>
      <c r="J27675" s="25"/>
      <c r="K27675" s="25"/>
    </row>
    <row r="27676" customFormat="false" ht="15" hidden="false" customHeight="false" outlineLevel="0" collapsed="false">
      <c r="A27676" s="3" t="s">
        <v>329</v>
      </c>
      <c r="G27676" s="16" t="n">
        <f aca="false">F27687</f>
        <v>78.61</v>
      </c>
      <c r="H27676" s="16" t="n">
        <f aca="false">G27687</f>
        <v>78.61</v>
      </c>
      <c r="I27676" s="16" t="n">
        <f aca="false">H27687</f>
        <v>78.61</v>
      </c>
      <c r="J27676" s="16" t="n">
        <f aca="false">I27687</f>
        <v>78.61</v>
      </c>
      <c r="K27676" s="16" t="n">
        <f aca="false">J27687</f>
        <v>78.61</v>
      </c>
    </row>
    <row r="27677" customFormat="false" ht="15" hidden="false" customHeight="false" outlineLevel="0" collapsed="false">
      <c r="A27677" s="3" t="s">
        <v>330</v>
      </c>
      <c r="G27677" s="21" t="n">
        <f aca="false">IF(G27523=Assumptions!$K$66,1,0)</f>
        <v>0</v>
      </c>
      <c r="H27677" s="21" t="n">
        <f aca="false">IF(H27523=Assumptions!$K$66,1,0)</f>
        <v>0</v>
      </c>
      <c r="I27677" s="21" t="n">
        <f aca="false">IF(I27523=Assumptions!$K$66,1,0)</f>
        <v>0</v>
      </c>
      <c r="J27677" s="21" t="n">
        <f aca="false">IF(J27523=Assumptions!$K$66,1,0)</f>
        <v>0</v>
      </c>
      <c r="K27677" s="21" t="n">
        <f aca="false">IF(K27523=Assumptions!$K$66,1,0)</f>
        <v>0</v>
      </c>
    </row>
    <row r="27679" customFormat="false" ht="15" hidden="false" customHeight="false" outlineLevel="0" collapsed="false">
      <c r="A27679" s="3" t="s">
        <v>331</v>
      </c>
      <c r="G27679" s="31" t="n">
        <f aca="false">IF(Assumptions!$I$66=1,MAX(G27549,Assumptions!$G$66)+Assumptions!$F$66+$C$27550,Assumptions!$E$66)</f>
        <v>0.0891</v>
      </c>
      <c r="H27679" s="31" t="n">
        <f aca="false">IF(G27878=1,$C$27551,IF(Assumptions!$I$66=1,MAX(H27549,Assumptions!$G$66)+Assumptions!$F$66+$C$27550,Assumptions!$E$66))</f>
        <v>0.0876</v>
      </c>
      <c r="I27679" s="31" t="n">
        <f aca="false">IF(H27878=1,$C$27551,IF(Assumptions!$I$66=1,MAX(I27549,Assumptions!$G$66)+Assumptions!$F$66+$C$27550,Assumptions!$E$66))</f>
        <v>0.0851</v>
      </c>
      <c r="J27679" s="31" t="n">
        <f aca="false">IF(I27878=1,$C$27551,IF(Assumptions!$I$66=1,MAX(J27549,Assumptions!$G$66)+Assumptions!$F$66+$C$27550,Assumptions!$E$66))</f>
        <v>0.0851</v>
      </c>
      <c r="K27679" s="31" t="n">
        <f aca="false">IF(J27878=1,$C$27551,IF(Assumptions!$I$66=1,MAX(K27549,Assumptions!$G$66)+Assumptions!$F$66+$C$27550,Assumptions!$E$66))</f>
        <v>0.0851</v>
      </c>
    </row>
    <row r="27680" customFormat="false" ht="15" hidden="false" customHeight="false" outlineLevel="0" collapsed="false">
      <c r="A27680" s="3" t="s">
        <v>332</v>
      </c>
      <c r="G27680" s="16" t="n">
        <f aca="false">G27676*G27679</f>
        <v>7.004151</v>
      </c>
      <c r="H27680" s="16" t="n">
        <f aca="false">H27676*H27679</f>
        <v>6.886236</v>
      </c>
      <c r="I27680" s="16" t="n">
        <f aca="false">I27676*I27679</f>
        <v>6.689711</v>
      </c>
      <c r="J27680" s="16" t="n">
        <f aca="false">J27676*J27679</f>
        <v>6.689711</v>
      </c>
      <c r="K27680" s="16" t="n">
        <f aca="false">K27676*K27679</f>
        <v>6.689711</v>
      </c>
    </row>
    <row r="27681" customFormat="false" ht="15" hidden="false" customHeight="false" outlineLevel="0" collapsed="false">
      <c r="A27681" s="3" t="s">
        <v>333</v>
      </c>
      <c r="G27681" s="16" t="n">
        <f aca="false">G27676*Assumptions!$H$66</f>
        <v>0</v>
      </c>
      <c r="H27681" s="16" t="n">
        <f aca="false">H27676*Assumptions!$H$66</f>
        <v>0</v>
      </c>
      <c r="I27681" s="16" t="n">
        <f aca="false">I27676*Assumptions!$H$66</f>
        <v>0</v>
      </c>
      <c r="J27681" s="16" t="n">
        <f aca="false">J27676*Assumptions!$H$66</f>
        <v>0</v>
      </c>
      <c r="K27681" s="16" t="n">
        <f aca="false">K27676*Assumptions!$H$66</f>
        <v>0</v>
      </c>
    </row>
    <row r="27682" customFormat="false" ht="15" hidden="false" customHeight="false" outlineLevel="0" collapsed="false">
      <c r="A27682" s="3" t="s">
        <v>334</v>
      </c>
      <c r="G27682" s="16" t="n">
        <f aca="false">MIN(G27676,Assumptions!$L$66*Assumptions!$C$66)</f>
        <v>0</v>
      </c>
      <c r="H27682" s="16" t="n">
        <f aca="false">MIN(H27676,Assumptions!$L$66*Assumptions!$C$66)</f>
        <v>0</v>
      </c>
      <c r="I27682" s="16" t="n">
        <f aca="false">MIN(I27676,Assumptions!$L$66*Assumptions!$C$66)</f>
        <v>0</v>
      </c>
      <c r="J27682" s="16" t="n">
        <f aca="false">MIN(J27676,Assumptions!$L$66*Assumptions!$C$66)</f>
        <v>0</v>
      </c>
      <c r="K27682" s="16" t="n">
        <f aca="false">MIN(K27676,Assumptions!$L$66*Assumptions!$C$66)</f>
        <v>0</v>
      </c>
    </row>
    <row r="27683" customFormat="false" ht="15" hidden="false" customHeight="false" outlineLevel="0" collapsed="false">
      <c r="A27683" s="3" t="s">
        <v>335</v>
      </c>
      <c r="G27683" s="16" t="n">
        <f aca="false">IF(AND(Assumptions!$P$66=1,G27523&lt;Assumptions!$K$66),MIN(MAX(0,-G27739),MAX(0,Assumptions!$D$66-G27676)),0)</f>
        <v>0</v>
      </c>
      <c r="H27683" s="16" t="n">
        <f aca="false">IF(AND(Assumptions!$P$66=1,OR(H27523&lt;Assumptions!$K$66,G27878=1)),MIN(MAX(0,-H27739),MAX(0,Assumptions!$D$66-H27676)),0)</f>
        <v>0</v>
      </c>
      <c r="I27683" s="16" t="n">
        <f aca="false">IF(AND(Assumptions!$P$66=1,OR(I27523&lt;Assumptions!$K$66,H27878=1)),MIN(MAX(0,-I27739),MAX(0,Assumptions!$D$66-I27676)),0)</f>
        <v>0</v>
      </c>
      <c r="J27683" s="16" t="n">
        <f aca="false">IF(AND(Assumptions!$P$66=1,OR(J27523&lt;Assumptions!$K$66,I27878=1)),MIN(MAX(0,-J27739),MAX(0,Assumptions!$D$66-J27676)),0)</f>
        <v>0</v>
      </c>
      <c r="K27683" s="16" t="n">
        <f aca="false">IF(AND(Assumptions!$P$66=1,OR(K27523&lt;Assumptions!$K$66,J27878=1)),MIN(MAX(0,-K27739),MAX(0,Assumptions!$D$66-K27676)),0)</f>
        <v>0</v>
      </c>
    </row>
    <row r="27684" customFormat="false" ht="15" hidden="false" customHeight="false" outlineLevel="0" collapsed="false">
      <c r="A27684" s="3" t="s">
        <v>336</v>
      </c>
      <c r="G27684" s="16" t="n">
        <f aca="false">G27677*MIN(G27676-G27682+G27681,MAX(0,G27741-Assumptions!$C$12*G27557-G27567-G27580-G27593-G27606-G27619-G27632-G27645-G27658-G27671))</f>
        <v>0</v>
      </c>
      <c r="H27684" s="16" t="n">
        <f aca="false">H27677*MIN(H27676-H27682+H27681,MAX(0,H27741-Assumptions!$C$12*H27557-H27567-H27580-H27593-H27606-H27619-H27632-H27645-H27658-H27671))</f>
        <v>0</v>
      </c>
      <c r="I27684" s="16" t="n">
        <f aca="false">I27677*MIN(I27676-I27682+I27681,MAX(0,I27741-Assumptions!$C$12*I27557-I27567-I27580-I27593-I27606-I27619-I27632-I27645-I27658-I27671))</f>
        <v>0</v>
      </c>
      <c r="J27684" s="16" t="n">
        <f aca="false">J27677*MIN(J27676-J27682+J27681,MAX(0,J27741-Assumptions!$C$12*J27557-J27567-J27580-J27593-J27606-J27619-J27632-J27645-J27658-J27671))</f>
        <v>0</v>
      </c>
      <c r="K27684" s="16" t="n">
        <f aca="false">K27677*MIN(K27676-K27682+K27681,MAX(0,K27741-Assumptions!$C$12*K27557-K27567-K27580-K27593-K27606-K27619-K27632-K27645-K27658-K27671))</f>
        <v>0</v>
      </c>
    </row>
    <row r="27685" customFormat="false" ht="15" hidden="false" customHeight="false" outlineLevel="0" collapsed="false">
      <c r="A27685" s="3" t="s">
        <v>337</v>
      </c>
      <c r="G27685" s="16" t="n">
        <f aca="false">Assumptions!$N$66*MIN(G27676+G27683+G27681-G27682-G27684,MAX(0,G27745-G27568-G27581-G27594-G27607-G27620-G27633-G27646-G27659-G27672))</f>
        <v>0</v>
      </c>
      <c r="H27685" s="16" t="n">
        <f aca="false">Assumptions!$N$66*MIN(H27676+H27683+H27681-H27682-H27684,MAX(0,H27745-H27568-H27581-H27594-H27607-H27620-H27633-H27646-H27659-H27672))</f>
        <v>0</v>
      </c>
      <c r="I27685" s="16" t="n">
        <f aca="false">Assumptions!$N$66*MIN(I27676+I27683+I27681-I27682-I27684,MAX(0,I27745-I27568-I27581-I27594-I27607-I27620-I27633-I27646-I27659-I27672))</f>
        <v>0</v>
      </c>
      <c r="J27685" s="16" t="n">
        <f aca="false">Assumptions!$N$66*MIN(J27676+J27683+J27681-J27682-J27684,MAX(0,J27745-J27568-J27581-J27594-J27607-J27620-J27633-J27646-J27659-J27672))</f>
        <v>0</v>
      </c>
      <c r="K27685" s="16" t="n">
        <f aca="false">Assumptions!$N$66*MIN(K27676+K27683+K27681-K27682-K27684,MAX(0,K27745-K27568-K27581-K27594-K27607-K27620-K27633-K27646-K27659-K27672))</f>
        <v>0</v>
      </c>
    </row>
    <row r="27686" customFormat="false" ht="15" hidden="false" customHeight="false" outlineLevel="0" collapsed="false">
      <c r="A27686" s="3" t="s">
        <v>338</v>
      </c>
      <c r="G27686" s="16" t="n">
        <f aca="false">G27677*(1-G27557)*(G27676-G27682+G27681-G27684)</f>
        <v>0</v>
      </c>
      <c r="H27686" s="16" t="n">
        <f aca="false">H27677*(1-H27557)*(H27676-H27682+H27681-H27684)</f>
        <v>0</v>
      </c>
      <c r="I27686" s="16" t="n">
        <f aca="false">I27677*(1-I27557)*(I27676-I27682+I27681-I27684)</f>
        <v>0</v>
      </c>
      <c r="J27686" s="16" t="n">
        <f aca="false">J27677*(1-J27557)*(J27676-J27682+J27681-J27684)</f>
        <v>0</v>
      </c>
      <c r="K27686" s="16" t="n">
        <f aca="false">K27677*(1-K27557)*(K27676-K27682+K27681-K27684)</f>
        <v>0</v>
      </c>
    </row>
    <row r="27687" customFormat="false" ht="15" hidden="false" customHeight="false" outlineLevel="0" collapsed="false">
      <c r="A27687" s="2" t="s">
        <v>339</v>
      </c>
      <c r="F27687" s="28" t="n">
        <f aca="false">Assumptions!$C$66</f>
        <v>78.61</v>
      </c>
      <c r="G27687" s="17" t="n">
        <f aca="false">G27676+G27683+G27681-G27682-G27684-G27685</f>
        <v>78.61</v>
      </c>
      <c r="H27687" s="17" t="n">
        <f aca="false">H27676+H27683+H27681-H27682-H27684-H27685</f>
        <v>78.61</v>
      </c>
      <c r="I27687" s="17" t="n">
        <f aca="false">I27676+I27683+I27681-I27682-I27684-I27685</f>
        <v>78.61</v>
      </c>
      <c r="J27687" s="17" t="n">
        <f aca="false">J27676+J27683+J27681-J27682-J27684-J27685</f>
        <v>78.61</v>
      </c>
      <c r="K27687" s="17" t="n">
        <f aca="false">K27676+K27683+K27681-K27682-K27684-K27685</f>
        <v>78.61</v>
      </c>
    </row>
    <row r="27688" customFormat="false" ht="15" hidden="false" customHeight="false" outlineLevel="0" collapsed="false">
      <c r="A27688" s="24" t="s">
        <v>349</v>
      </c>
      <c r="B27688" s="25"/>
      <c r="C27688" s="25"/>
      <c r="D27688" s="25"/>
      <c r="E27688" s="25"/>
      <c r="F27688" s="25"/>
      <c r="G27688" s="25"/>
      <c r="H27688" s="25"/>
      <c r="I27688" s="25"/>
      <c r="J27688" s="25"/>
      <c r="K27688" s="25"/>
    </row>
    <row r="27689" customFormat="false" ht="15" hidden="false" customHeight="false" outlineLevel="0" collapsed="false">
      <c r="A27689" s="2" t="s">
        <v>350</v>
      </c>
      <c r="F27689" s="17" t="n">
        <f aca="false">F27570+F27583+F27596+F27609+F27622+F27635+F27648+F27661+F27674+F27687</f>
        <v>2625.934</v>
      </c>
      <c r="G27689" s="17" t="n">
        <f aca="false">G27570+G27583+G27596+G27609+G27622+G27635+G27648+G27661+G27674+G27687</f>
        <v>2621.934</v>
      </c>
      <c r="H27689" s="17" t="n">
        <f aca="false">H27570+H27583+H27596+H27609+H27622+H27635+H27648+H27661+H27674+H27687</f>
        <v>2588.444757881</v>
      </c>
      <c r="I27689" s="17" t="n">
        <f aca="false">I27570+I27583+I27596+I27609+I27622+I27635+I27648+I27661+I27674+I27687</f>
        <v>2584.444757881</v>
      </c>
      <c r="J27689" s="17" t="n">
        <f aca="false">J27570+J27583+J27596+J27609+J27622+J27635+J27648+J27661+J27674+J27687</f>
        <v>2580.444757881</v>
      </c>
      <c r="K27689" s="17" t="n">
        <f aca="false">K27570+K27583+K27596+K27609+K27622+K27635+K27648+K27661+K27674+K27687</f>
        <v>2576.444757881</v>
      </c>
    </row>
    <row r="27690" customFormat="false" ht="15" hidden="false" customHeight="false" outlineLevel="0" collapsed="false">
      <c r="A27690" s="3" t="s">
        <v>351</v>
      </c>
      <c r="G27690" s="16" t="n">
        <f aca="false">G27560*Assumptions!$C$57+G27573*Assumptions!$C$58+G27586*Assumptions!$C$59+G27599*Assumptions!$C$60+G27612*Assumptions!$C$61+G27625*Assumptions!$C$62+G27638*Assumptions!$C$63+G27651*Assumptions!$C$64+G27664*Assumptions!$C$65+G27677*Assumptions!$C$66</f>
        <v>0</v>
      </c>
      <c r="H27690" s="16" t="n">
        <f aca="false">H27560*Assumptions!$C$57+H27573*Assumptions!$C$58+H27586*Assumptions!$C$59+H27599*Assumptions!$C$60+H27612*Assumptions!$C$61+H27625*Assumptions!$C$62+H27638*Assumptions!$C$63+H27651*Assumptions!$C$64+H27664*Assumptions!$C$65+H27677*Assumptions!$C$66</f>
        <v>800</v>
      </c>
      <c r="I27690" s="16" t="n">
        <f aca="false">I27560*Assumptions!$C$57+I27573*Assumptions!$C$58+I27586*Assumptions!$C$59+I27599*Assumptions!$C$60+I27612*Assumptions!$C$61+I27625*Assumptions!$C$62+I27638*Assumptions!$C$63+I27651*Assumptions!$C$64+I27664*Assumptions!$C$65+I27677*Assumptions!$C$66</f>
        <v>550</v>
      </c>
      <c r="J27690" s="16" t="n">
        <f aca="false">J27560*Assumptions!$C$57+J27573*Assumptions!$C$58+J27586*Assumptions!$C$59+J27599*Assumptions!$C$60+J27612*Assumptions!$C$61+J27625*Assumptions!$C$62+J27638*Assumptions!$C$63+J27651*Assumptions!$C$64+J27664*Assumptions!$C$65+J27677*Assumptions!$C$66</f>
        <v>350</v>
      </c>
      <c r="K27690" s="16" t="n">
        <f aca="false">K27560*Assumptions!$C$57+K27573*Assumptions!$C$58+K27586*Assumptions!$C$59+K27599*Assumptions!$C$60+K27612*Assumptions!$C$61+K27625*Assumptions!$C$62+K27638*Assumptions!$C$63+K27651*Assumptions!$C$64+K27664*Assumptions!$C$65+K27677*Assumptions!$C$66</f>
        <v>700</v>
      </c>
    </row>
    <row r="27691" customFormat="false" ht="15" hidden="false" customHeight="false" outlineLevel="0" collapsed="false">
      <c r="A27691" s="24" t="s">
        <v>352</v>
      </c>
      <c r="B27691" s="25"/>
      <c r="C27691" s="25"/>
      <c r="D27691" s="25"/>
      <c r="E27691" s="25"/>
      <c r="F27691" s="25"/>
      <c r="G27691" s="25"/>
      <c r="H27691" s="25"/>
      <c r="I27691" s="25"/>
      <c r="J27691" s="25"/>
      <c r="K27691" s="25"/>
    </row>
    <row r="27692" customFormat="false" ht="15" hidden="false" customHeight="false" outlineLevel="0" collapsed="false">
      <c r="A27692" s="3" t="s">
        <v>353</v>
      </c>
      <c r="C27692" s="16" t="n">
        <f aca="false">SUMPRODUCT($G$27560:$K$27560,$G$27559:$K$27559-$G$27565:$K$27565+$G$27564:$K$27564)</f>
        <v>380</v>
      </c>
    </row>
    <row r="27693" customFormat="false" ht="15" hidden="false" customHeight="false" outlineLevel="0" collapsed="false">
      <c r="A27693" s="3" t="s">
        <v>354</v>
      </c>
      <c r="C27693" s="16" t="n">
        <f aca="false">SUMPRODUCT($G$27560:$K$27560,$G$27567:$K$27567)</f>
        <v>0</v>
      </c>
    </row>
    <row r="27694" customFormat="false" ht="15" hidden="false" customHeight="false" outlineLevel="0" collapsed="false">
      <c r="A27694" s="3" t="s">
        <v>355</v>
      </c>
      <c r="C27694" s="3" t="str">
        <f aca="false">IF(SUM($G$27560:$K$27560)=0,"n/a (beyond horizon)",IF(SUMPRODUCT($G$27560:$K$27560,$G$27557:$K$27557)&gt;0,"REFINANCING PASS","REFINANCING FAILURE"))</f>
        <v>REFINANCING FAILURE</v>
      </c>
    </row>
    <row r="27695" customFormat="false" ht="15" hidden="false" customHeight="false" outlineLevel="0" collapsed="false">
      <c r="A27695" s="3" t="s">
        <v>356</v>
      </c>
      <c r="C27695" s="3" t="str">
        <f aca="false">IF(SUM($G$27560:$K$27560)=0,"n/a",IF(C27693&gt;=C27692-0.001,"Repaid from cash",IF(SUMPRODUCT($G$27560:$K$27560,$G$27557:$K$27557)&gt;0,IF(C27693&gt;0,"Partly repaid; remainder refinanced","Refinanced"),IF(SUM($G$27569:$K$27569)&gt;0.001,IF(C27693&gt;0,"Partial repayment; PAYMENT DEFAULT","PAYMENT DEFAULT"),"Repaid from cash"))))</f>
        <v>PAYMENT DEFAULT</v>
      </c>
    </row>
    <row r="27696" customFormat="false" ht="15" hidden="false" customHeight="false" outlineLevel="0" collapsed="false">
      <c r="A27696" s="3" t="s">
        <v>357</v>
      </c>
      <c r="C27696" s="16" t="n">
        <f aca="false">SUMPRODUCT($G$27573:$K$27573,$G$27572:$K$27572-$G$27578:$K$27578+$G$27577:$K$27577)</f>
        <v>0</v>
      </c>
    </row>
    <row r="27697" customFormat="false" ht="15" hidden="false" customHeight="false" outlineLevel="0" collapsed="false">
      <c r="A27697" s="3" t="s">
        <v>358</v>
      </c>
      <c r="C27697" s="16" t="n">
        <f aca="false">SUMPRODUCT($G$27573:$K$27573,$G$27580:$K$27580)</f>
        <v>0</v>
      </c>
    </row>
    <row r="27698" customFormat="false" ht="15" hidden="false" customHeight="false" outlineLevel="0" collapsed="false">
      <c r="A27698" s="3" t="s">
        <v>359</v>
      </c>
      <c r="C27698" s="3" t="str">
        <f aca="false">IF(SUM($G$27573:$K$27573)=0,"n/a (beyond horizon)",IF(SUMPRODUCT($G$27573:$K$27573,$G$27557:$K$27557)&gt;0,"REFINANCING PASS","REFINANCING FAILURE"))</f>
        <v>n/a (beyond horizon)</v>
      </c>
    </row>
    <row r="27699" customFormat="false" ht="15" hidden="false" customHeight="false" outlineLevel="0" collapsed="false">
      <c r="A27699" s="3" t="s">
        <v>360</v>
      </c>
      <c r="C27699" s="3" t="str">
        <f aca="false">IF(SUM($G$27573:$K$27573)=0,"n/a",IF(C27697&gt;=C27696-0.001,"Repaid from cash",IF(SUMPRODUCT($G$27573:$K$27573,$G$27557:$K$27557)&gt;0,IF(C27697&gt;0,"Partly repaid; remainder refinanced","Refinanced"),IF(SUM($G$27582:$K$27582)&gt;0.001,IF(C27697&gt;0,"Partial repayment; PAYMENT DEFAULT","PAYMENT DEFAULT"),"Repaid from cash"))))</f>
        <v>n/a</v>
      </c>
    </row>
    <row r="27700" customFormat="false" ht="15" hidden="false" customHeight="false" outlineLevel="0" collapsed="false">
      <c r="A27700" s="3" t="s">
        <v>361</v>
      </c>
      <c r="C27700" s="16" t="n">
        <f aca="false">SUMPRODUCT($G$27586:$K$27586,$G$27585:$K$27585-$G$27591:$K$27591+$G$27590:$K$27590)</f>
        <v>0</v>
      </c>
    </row>
    <row r="27701" customFormat="false" ht="15" hidden="false" customHeight="false" outlineLevel="0" collapsed="false">
      <c r="A27701" s="3" t="s">
        <v>362</v>
      </c>
      <c r="C27701" s="16" t="n">
        <f aca="false">SUMPRODUCT($G$27586:$K$27586,$G$27593:$K$27593)</f>
        <v>0</v>
      </c>
    </row>
    <row r="27702" customFormat="false" ht="15" hidden="false" customHeight="false" outlineLevel="0" collapsed="false">
      <c r="A27702" s="3" t="s">
        <v>363</v>
      </c>
      <c r="C27702" s="3" t="str">
        <f aca="false">IF(SUM($G$27586:$K$27586)=0,"n/a (beyond horizon)",IF(SUMPRODUCT($G$27586:$K$27586,$G$27557:$K$27557)&gt;0,"REFINANCING PASS","REFINANCING FAILURE"))</f>
        <v>n/a (beyond horizon)</v>
      </c>
    </row>
    <row r="27703" customFormat="false" ht="15" hidden="false" customHeight="false" outlineLevel="0" collapsed="false">
      <c r="A27703" s="3" t="s">
        <v>364</v>
      </c>
      <c r="C27703" s="3" t="str">
        <f aca="false">IF(SUM($G$27586:$K$27586)=0,"n/a",IF(C27701&gt;=C27700-0.001,"Repaid from cash",IF(SUMPRODUCT($G$27586:$K$27586,$G$27557:$K$27557)&gt;0,IF(C27701&gt;0,"Partly repaid; remainder refinanced","Refinanced"),IF(SUM($G$27595:$K$27595)&gt;0.001,IF(C27701&gt;0,"Partial repayment; PAYMENT DEFAULT","PAYMENT DEFAULT"),"Repaid from cash"))))</f>
        <v>n/a</v>
      </c>
    </row>
    <row r="27704" customFormat="false" ht="15" hidden="false" customHeight="false" outlineLevel="0" collapsed="false">
      <c r="A27704" s="3" t="s">
        <v>365</v>
      </c>
      <c r="C27704" s="16" t="n">
        <f aca="false">SUMPRODUCT($G$27599:$K$27599,$G$27598:$K$27598-$G$27604:$K$27604+$G$27603:$K$27603)</f>
        <v>0</v>
      </c>
    </row>
    <row r="27705" customFormat="false" ht="15" hidden="false" customHeight="false" outlineLevel="0" collapsed="false">
      <c r="A27705" s="3" t="s">
        <v>366</v>
      </c>
      <c r="C27705" s="16" t="n">
        <f aca="false">SUMPRODUCT($G$27599:$K$27599,$G$27606:$K$27606)</f>
        <v>0</v>
      </c>
    </row>
    <row r="27706" customFormat="false" ht="15" hidden="false" customHeight="false" outlineLevel="0" collapsed="false">
      <c r="A27706" s="3" t="s">
        <v>367</v>
      </c>
      <c r="C27706" s="3" t="str">
        <f aca="false">IF(SUM($G$27599:$K$27599)=0,"n/a (beyond horizon)",IF(SUMPRODUCT($G$27599:$K$27599,$G$27557:$K$27557)&gt;0,"REFINANCING PASS","REFINANCING FAILURE"))</f>
        <v>REFINANCING FAILURE</v>
      </c>
    </row>
    <row r="27707" customFormat="false" ht="15" hidden="false" customHeight="false" outlineLevel="0" collapsed="false">
      <c r="A27707" s="3" t="s">
        <v>368</v>
      </c>
      <c r="C27707" s="3" t="str">
        <f aca="false">IF(SUM($G$27599:$K$27599)=0,"n/a",IF(C27705&gt;=C27704-0.001,"Repaid from cash",IF(SUMPRODUCT($G$27599:$K$27599,$G$27557:$K$27557)&gt;0,IF(C27705&gt;0,"Partly repaid; remainder refinanced","Refinanced"),IF(SUM($G$27608:$K$27608)&gt;0.001,IF(C27705&gt;0,"Partial repayment; PAYMENT DEFAULT","PAYMENT DEFAULT"),"Repaid from cash"))))</f>
        <v>Repaid from cash</v>
      </c>
    </row>
    <row r="27708" customFormat="false" ht="15" hidden="false" customHeight="false" outlineLevel="0" collapsed="false">
      <c r="A27708" s="3" t="s">
        <v>369</v>
      </c>
      <c r="C27708" s="16" t="n">
        <f aca="false">SUMPRODUCT($G$27612:$K$27612,$G$27611:$K$27611-$G$27617:$K$27617+$G$27616:$K$27616)</f>
        <v>450</v>
      </c>
    </row>
    <row r="27709" customFormat="false" ht="15" hidden="false" customHeight="false" outlineLevel="0" collapsed="false">
      <c r="A27709" s="3" t="s">
        <v>370</v>
      </c>
      <c r="C27709" s="16" t="n">
        <f aca="false">SUMPRODUCT($G$27612:$K$27612,$G$27619:$K$27619)</f>
        <v>29.489242119</v>
      </c>
    </row>
    <row r="27710" customFormat="false" ht="15" hidden="false" customHeight="false" outlineLevel="0" collapsed="false">
      <c r="A27710" s="3" t="s">
        <v>371</v>
      </c>
      <c r="C27710" s="3" t="str">
        <f aca="false">IF(SUM($G$27612:$K$27612)=0,"n/a (beyond horizon)",IF(SUMPRODUCT($G$27612:$K$27612,$G$27557:$K$27557)&gt;0,"REFINANCING PASS","REFINANCING FAILURE"))</f>
        <v>REFINANCING FAILURE</v>
      </c>
    </row>
    <row r="27711" customFormat="false" ht="15" hidden="false" customHeight="false" outlineLevel="0" collapsed="false">
      <c r="A27711" s="3" t="s">
        <v>372</v>
      </c>
      <c r="C27711" s="3" t="str">
        <f aca="false">IF(SUM($G$27612:$K$27612)=0,"n/a",IF(C27709&gt;=C27708-0.001,"Repaid from cash",IF(SUMPRODUCT($G$27612:$K$27612,$G$27557:$K$27557)&gt;0,IF(C27709&gt;0,"Partly repaid; remainder refinanced","Refinanced"),IF(SUM($G$27621:$K$27621)&gt;0.001,IF(C27709&gt;0,"Partial repayment; PAYMENT DEFAULT","PAYMENT DEFAULT"),"Repaid from cash"))))</f>
        <v>Partial repayment; PAYMENT DEFAULT</v>
      </c>
    </row>
    <row r="27712" customFormat="false" ht="15" hidden="false" customHeight="false" outlineLevel="0" collapsed="false">
      <c r="A27712" s="3" t="s">
        <v>373</v>
      </c>
      <c r="C27712" s="16" t="n">
        <f aca="false">SUMPRODUCT($G$27625:$K$27625,$G$27624:$K$27624-$G$27630:$K$27630+$G$27629:$K$27629)</f>
        <v>350</v>
      </c>
    </row>
    <row r="27713" customFormat="false" ht="15" hidden="false" customHeight="false" outlineLevel="0" collapsed="false">
      <c r="A27713" s="3" t="s">
        <v>374</v>
      </c>
      <c r="C27713" s="16" t="n">
        <f aca="false">SUMPRODUCT($G$27625:$K$27625,$G$27632:$K$27632)</f>
        <v>0</v>
      </c>
    </row>
    <row r="27714" customFormat="false" ht="15" hidden="false" customHeight="false" outlineLevel="0" collapsed="false">
      <c r="A27714" s="3" t="s">
        <v>375</v>
      </c>
      <c r="C27714" s="3" t="str">
        <f aca="false">IF(SUM($G$27625:$K$27625)=0,"n/a (beyond horizon)",IF(SUMPRODUCT($G$27625:$K$27625,$G$27557:$K$27557)&gt;0,"REFINANCING PASS","REFINANCING FAILURE"))</f>
        <v>REFINANCING FAILURE</v>
      </c>
    </row>
    <row r="27715" customFormat="false" ht="15" hidden="false" customHeight="false" outlineLevel="0" collapsed="false">
      <c r="A27715" s="3" t="s">
        <v>376</v>
      </c>
      <c r="C27715" s="3" t="str">
        <f aca="false">IF(SUM($G$27625:$K$27625)=0,"n/a",IF(C27713&gt;=C27712-0.001,"Repaid from cash",IF(SUMPRODUCT($G$27625:$K$27625,$G$27557:$K$27557)&gt;0,IF(C27713&gt;0,"Partly repaid; remainder refinanced","Refinanced"),IF(SUM($G$27634:$K$27634)&gt;0.001,IF(C27713&gt;0,"Partial repayment; PAYMENT DEFAULT","PAYMENT DEFAULT"),"Repaid from cash"))))</f>
        <v>PAYMENT DEFAULT</v>
      </c>
    </row>
    <row r="27716" customFormat="false" ht="15" hidden="false" customHeight="false" outlineLevel="0" collapsed="false">
      <c r="A27716" s="3" t="s">
        <v>377</v>
      </c>
      <c r="C27716" s="16" t="n">
        <f aca="false">SUMPRODUCT($G$27638:$K$27638,$G$27637:$K$27637-$G$27643:$K$27643+$G$27642:$K$27642)</f>
        <v>550</v>
      </c>
    </row>
    <row r="27717" customFormat="false" ht="15" hidden="false" customHeight="false" outlineLevel="0" collapsed="false">
      <c r="A27717" s="3" t="s">
        <v>378</v>
      </c>
      <c r="C27717" s="16" t="n">
        <f aca="false">SUMPRODUCT($G$27638:$K$27638,$G$27645:$K$27645)</f>
        <v>0</v>
      </c>
    </row>
    <row r="27718" customFormat="false" ht="15" hidden="false" customHeight="false" outlineLevel="0" collapsed="false">
      <c r="A27718" s="3" t="s">
        <v>379</v>
      </c>
      <c r="C27718" s="3" t="str">
        <f aca="false">IF(SUM($G$27638:$K$27638)=0,"n/a (beyond horizon)",IF(SUMPRODUCT($G$27638:$K$27638,$G$27557:$K$27557)&gt;0,"REFINANCING PASS","REFINANCING FAILURE"))</f>
        <v>REFINANCING FAILURE</v>
      </c>
    </row>
    <row r="27719" customFormat="false" ht="15" hidden="false" customHeight="false" outlineLevel="0" collapsed="false">
      <c r="A27719" s="3" t="s">
        <v>380</v>
      </c>
      <c r="C27719" s="3" t="str">
        <f aca="false">IF(SUM($G$27638:$K$27638)=0,"n/a",IF(C27717&gt;=C27716-0.001,"Repaid from cash",IF(SUMPRODUCT($G$27638:$K$27638,$G$27557:$K$27557)&gt;0,IF(C27717&gt;0,"Partly repaid; remainder refinanced","Refinanced"),IF(SUM($G$27647:$K$27647)&gt;0.001,IF(C27717&gt;0,"Partial repayment; PAYMENT DEFAULT","PAYMENT DEFAULT"),"Repaid from cash"))))</f>
        <v>PAYMENT DEFAULT</v>
      </c>
    </row>
    <row r="27720" customFormat="false" ht="15" hidden="false" customHeight="false" outlineLevel="0" collapsed="false">
      <c r="A27720" s="3" t="s">
        <v>381</v>
      </c>
      <c r="C27720" s="16" t="n">
        <f aca="false">SUMPRODUCT($G$27651:$K$27651,$G$27650:$K$27650-$G$27656:$K$27656+$G$27655:$K$27655)</f>
        <v>350</v>
      </c>
    </row>
    <row r="27721" customFormat="false" ht="15" hidden="false" customHeight="false" outlineLevel="0" collapsed="false">
      <c r="A27721" s="3" t="s">
        <v>382</v>
      </c>
      <c r="C27721" s="16" t="n">
        <f aca="false">SUMPRODUCT($G$27651:$K$27651,$G$27658:$K$27658)</f>
        <v>0</v>
      </c>
    </row>
    <row r="27722" customFormat="false" ht="15" hidden="false" customHeight="false" outlineLevel="0" collapsed="false">
      <c r="A27722" s="3" t="s">
        <v>383</v>
      </c>
      <c r="C27722" s="3" t="str">
        <f aca="false">IF(SUM($G$27651:$K$27651)=0,"n/a (beyond horizon)",IF(SUMPRODUCT($G$27651:$K$27651,$G$27557:$K$27557)&gt;0,"REFINANCING PASS","REFINANCING FAILURE"))</f>
        <v>REFINANCING FAILURE</v>
      </c>
    </row>
    <row r="27723" customFormat="false" ht="15" hidden="false" customHeight="false" outlineLevel="0" collapsed="false">
      <c r="A27723" s="3" t="s">
        <v>384</v>
      </c>
      <c r="C27723" s="3" t="str">
        <f aca="false">IF(SUM($G$27651:$K$27651)=0,"n/a",IF(C27721&gt;=C27720-0.001,"Repaid from cash",IF(SUMPRODUCT($G$27651:$K$27651,$G$27557:$K$27557)&gt;0,IF(C27721&gt;0,"Partly repaid; remainder refinanced","Refinanced"),IF(SUM($G$27660:$K$27660)&gt;0.001,IF(C27721&gt;0,"Partial repayment; PAYMENT DEFAULT","PAYMENT DEFAULT"),"Repaid from cash"))))</f>
        <v>PAYMENT DEFAULT</v>
      </c>
    </row>
    <row r="27724" customFormat="false" ht="15" hidden="false" customHeight="false" outlineLevel="0" collapsed="false">
      <c r="A27724" s="3" t="s">
        <v>385</v>
      </c>
      <c r="C27724" s="16" t="n">
        <f aca="false">SUMPRODUCT($G$27664:$K$27664,$G$27663:$K$27663-$G$27669:$K$27669+$G$27668:$K$27668)</f>
        <v>300</v>
      </c>
    </row>
    <row r="27725" customFormat="false" ht="15" hidden="false" customHeight="false" outlineLevel="0" collapsed="false">
      <c r="A27725" s="3" t="s">
        <v>386</v>
      </c>
      <c r="C27725" s="16" t="n">
        <f aca="false">SUMPRODUCT($G$27664:$K$27664,$G$27671:$K$27671)</f>
        <v>0</v>
      </c>
    </row>
    <row r="27726" customFormat="false" ht="15" hidden="false" customHeight="false" outlineLevel="0" collapsed="false">
      <c r="A27726" s="3" t="s">
        <v>387</v>
      </c>
      <c r="C27726" s="3" t="str">
        <f aca="false">IF(SUM($G$27664:$K$27664)=0,"n/a (beyond horizon)",IF(SUMPRODUCT($G$27664:$K$27664,$G$27557:$K$27557)&gt;0,"REFINANCING PASS","REFINANCING FAILURE"))</f>
        <v>REFINANCING FAILURE</v>
      </c>
    </row>
    <row r="27727" customFormat="false" ht="15" hidden="false" customHeight="false" outlineLevel="0" collapsed="false">
      <c r="A27727" s="3" t="s">
        <v>388</v>
      </c>
      <c r="C27727" s="3" t="str">
        <f aca="false">IF(SUM($G$27664:$K$27664)=0,"n/a",IF(C27725&gt;=C27724-0.001,"Repaid from cash",IF(SUMPRODUCT($G$27664:$K$27664,$G$27557:$K$27557)&gt;0,IF(C27725&gt;0,"Partly repaid; remainder refinanced","Refinanced"),IF(SUM($G$27673:$K$27673)&gt;0.001,IF(C27725&gt;0,"Partial repayment; PAYMENT DEFAULT","PAYMENT DEFAULT"),"Repaid from cash"))))</f>
        <v>PAYMENT DEFAULT</v>
      </c>
    </row>
    <row r="27728" customFormat="false" ht="15" hidden="false" customHeight="false" outlineLevel="0" collapsed="false">
      <c r="A27728" s="3" t="s">
        <v>389</v>
      </c>
      <c r="C27728" s="16" t="n">
        <f aca="false">SUMPRODUCT($G$27677:$K$27677,$G$27676:$K$27676-$G$27682:$K$27682+$G$27681:$K$27681)</f>
        <v>0</v>
      </c>
    </row>
    <row r="27729" customFormat="false" ht="15" hidden="false" customHeight="false" outlineLevel="0" collapsed="false">
      <c r="A27729" s="3" t="s">
        <v>390</v>
      </c>
      <c r="C27729" s="16" t="n">
        <f aca="false">SUMPRODUCT($G$27677:$K$27677,$G$27684:$K$27684)</f>
        <v>0</v>
      </c>
    </row>
    <row r="27730" customFormat="false" ht="15" hidden="false" customHeight="false" outlineLevel="0" collapsed="false">
      <c r="A27730" s="3" t="s">
        <v>391</v>
      </c>
      <c r="C27730" s="3" t="str">
        <f aca="false">IF(SUM($G$27677:$K$27677)=0,"n/a (beyond horizon)",IF(SUMPRODUCT($G$27677:$K$27677,$G$27557:$K$27557)&gt;0,"REFINANCING PASS","REFINANCING FAILURE"))</f>
        <v>n/a (beyond horizon)</v>
      </c>
    </row>
    <row r="27731" customFormat="false" ht="15" hidden="false" customHeight="false" outlineLevel="0" collapsed="false">
      <c r="A27731" s="3" t="s">
        <v>392</v>
      </c>
      <c r="C27731" s="3" t="str">
        <f aca="false">IF(SUM($G$27677:$K$27677)=0,"n/a",IF(C27729&gt;=C27728-0.001,"Repaid from cash",IF(SUMPRODUCT($G$27677:$K$27677,$G$27557:$K$27557)&gt;0,IF(C27729&gt;0,"Partly repaid; remainder refinanced","Refinanced"),IF(SUM($G$27686:$K$27686)&gt;0.001,IF(C27729&gt;0,"Partial repayment; PAYMENT DEFAULT","PAYMENT DEFAULT"),"Repaid from cash"))))</f>
        <v>n/a</v>
      </c>
    </row>
    <row r="27732" customFormat="false" ht="15" hidden="false" customHeight="false" outlineLevel="0" collapsed="false">
      <c r="A27732" s="3" t="s">
        <v>393</v>
      </c>
      <c r="C27732" s="21" t="n">
        <f aca="false">IF(C27694="REFINANCING FAILURE",1,0)+IF(C27698="REFINANCING FAILURE",1,0)+IF(C27702="REFINANCING FAILURE",1,0)+IF(C27706="REFINANCING FAILURE",1,0)+IF(C27710="REFINANCING FAILURE",1,0)+IF(C27714="REFINANCING FAILURE",1,0)+IF(C27718="REFINANCING FAILURE",1,0)+IF(C27722="REFINANCING FAILURE",1,0)+IF(C27726="REFINANCING FAILURE",1,0)+IF(C27730="REFINANCING FAILURE",1,0)</f>
        <v>7</v>
      </c>
    </row>
    <row r="27734" customFormat="false" ht="15" hidden="false" customHeight="false" outlineLevel="0" collapsed="false">
      <c r="A27734" s="24" t="s">
        <v>395</v>
      </c>
      <c r="B27734" s="25"/>
      <c r="C27734" s="25"/>
      <c r="D27734" s="25"/>
      <c r="E27734" s="25"/>
      <c r="F27734" s="25"/>
      <c r="G27734" s="25"/>
      <c r="H27734" s="25"/>
      <c r="I27734" s="25"/>
      <c r="J27734" s="25"/>
      <c r="K27734" s="25"/>
    </row>
    <row r="27735" customFormat="false" ht="15" hidden="false" customHeight="false" outlineLevel="0" collapsed="false">
      <c r="A27735" s="3" t="s">
        <v>325</v>
      </c>
      <c r="G27735" s="16" t="n">
        <f aca="false">F27747</f>
        <v>37.87</v>
      </c>
      <c r="H27735" s="16" t="n">
        <f aca="false">G27747</f>
        <v>113.3752204</v>
      </c>
      <c r="I27735" s="16" t="n">
        <f aca="false">H27747</f>
        <v>0</v>
      </c>
      <c r="J27735" s="16" t="n">
        <f aca="false">I27747</f>
        <v>-81.0446282172995</v>
      </c>
      <c r="K27735" s="16" t="n">
        <f aca="false">J27747</f>
        <v>-158.146259257719</v>
      </c>
    </row>
    <row r="27736" customFormat="false" ht="15" hidden="false" customHeight="false" outlineLevel="0" collapsed="false">
      <c r="A27736" s="3" t="s">
        <v>396</v>
      </c>
      <c r="G27736" s="16" t="n">
        <f aca="false">G27546</f>
        <v>-70.4947796</v>
      </c>
      <c r="H27736" s="16" t="n">
        <f aca="false">H27546</f>
        <v>-79.885978281</v>
      </c>
      <c r="I27736" s="16" t="n">
        <f aca="false">I27546</f>
        <v>-77.0446282172995</v>
      </c>
      <c r="J27736" s="16" t="n">
        <f aca="false">J27546</f>
        <v>-73.1016310404195</v>
      </c>
      <c r="K27736" s="16" t="n">
        <f aca="false">K27546</f>
        <v>-69.1011596342138</v>
      </c>
    </row>
    <row r="27737" customFormat="false" ht="15" hidden="false" customHeight="false" outlineLevel="0" collapsed="false">
      <c r="A27737" s="3" t="s">
        <v>397</v>
      </c>
      <c r="G27737" s="16" t="n">
        <f aca="false">CHOOSE($C$27516,Assumptions!$G$82,Assumptions!$G$101,Assumptions!$G$120)</f>
        <v>150</v>
      </c>
      <c r="H27737" s="16" t="n">
        <f aca="false">CHOOSE($C$27516,Assumptions!$H$82,Assumptions!$H$101,Assumptions!$H$120)</f>
        <v>0</v>
      </c>
      <c r="I27737" s="16" t="n">
        <f aca="false">CHOOSE($C$27516,Assumptions!$I$82,Assumptions!$I$101,Assumptions!$I$120)</f>
        <v>0</v>
      </c>
      <c r="J27737" s="16" t="n">
        <f aca="false">CHOOSE($C$27516,Assumptions!$J$82,Assumptions!$J$101,Assumptions!$J$120)</f>
        <v>0</v>
      </c>
      <c r="K27737" s="16" t="n">
        <f aca="false">CHOOSE($C$27516,Assumptions!$K$82,Assumptions!$K$101,Assumptions!$K$120)</f>
        <v>0</v>
      </c>
    </row>
    <row r="27738" customFormat="false" ht="15" hidden="false" customHeight="false" outlineLevel="0" collapsed="false">
      <c r="A27738" s="3" t="s">
        <v>398</v>
      </c>
      <c r="G27738" s="16" t="n">
        <f aca="false">G27565+G27578+G27591+G27604+G27617+G27630+G27643+G27656+G27669+G27682</f>
        <v>4</v>
      </c>
      <c r="H27738" s="16" t="n">
        <f aca="false">H27565+H27578+H27591+H27604+H27617+H27630+H27643+H27656+H27669+H27682</f>
        <v>4</v>
      </c>
      <c r="I27738" s="16" t="n">
        <f aca="false">I27565+I27578+I27591+I27604+I27617+I27630+I27643+I27656+I27669+I27682</f>
        <v>4</v>
      </c>
      <c r="J27738" s="16" t="n">
        <f aca="false">J27565+J27578+J27591+J27604+J27617+J27630+J27643+J27656+J27669+J27682</f>
        <v>4</v>
      </c>
      <c r="K27738" s="16" t="n">
        <f aca="false">K27565+K27578+K27591+K27604+K27617+K27630+K27643+K27656+K27669+K27682</f>
        <v>4</v>
      </c>
    </row>
    <row r="27739" customFormat="false" ht="15" hidden="false" customHeight="false" outlineLevel="0" collapsed="false">
      <c r="A27739" s="2" t="s">
        <v>399</v>
      </c>
      <c r="G27739" s="17" t="n">
        <f aca="false">G27735+G27736+G27737-G27738</f>
        <v>113.3752204</v>
      </c>
      <c r="H27739" s="17" t="n">
        <f aca="false">H27735+H27736+H27737-H27738</f>
        <v>29.489242119</v>
      </c>
      <c r="I27739" s="17" t="n">
        <f aca="false">I27735+I27736+I27737-I27738</f>
        <v>-81.0446282172995</v>
      </c>
      <c r="J27739" s="17" t="n">
        <f aca="false">J27735+J27736+J27737-J27738</f>
        <v>-158.146259257719</v>
      </c>
      <c r="K27739" s="17" t="n">
        <f aca="false">K27735+K27736+K27737-K27738</f>
        <v>-231.247418891933</v>
      </c>
    </row>
    <row r="27740" customFormat="false" ht="15" hidden="false" customHeight="false" outlineLevel="0" collapsed="false">
      <c r="A27740" s="3" t="s">
        <v>400</v>
      </c>
      <c r="G27740" s="16" t="n">
        <f aca="false">G27566+G27579+G27592+G27605+G27618+G27631+G27644+G27657+G27670+G27683</f>
        <v>0</v>
      </c>
      <c r="H27740" s="16" t="n">
        <f aca="false">H27566+H27579+H27592+H27605+H27618+H27631+H27644+H27657+H27670+H27683</f>
        <v>0</v>
      </c>
      <c r="I27740" s="16" t="n">
        <f aca="false">I27566+I27579+I27592+I27605+I27618+I27631+I27644+I27657+I27670+I27683</f>
        <v>0</v>
      </c>
      <c r="J27740" s="16" t="n">
        <f aca="false">J27566+J27579+J27592+J27605+J27618+J27631+J27644+J27657+J27670+J27683</f>
        <v>0</v>
      </c>
      <c r="K27740" s="16" t="n">
        <f aca="false">K27566+K27579+K27592+K27605+K27618+K27631+K27644+K27657+K27670+K27683</f>
        <v>0</v>
      </c>
    </row>
    <row r="27741" customFormat="false" ht="15" hidden="false" customHeight="false" outlineLevel="0" collapsed="false">
      <c r="A27741" s="2" t="s">
        <v>401</v>
      </c>
      <c r="G27741" s="17" t="n">
        <f aca="false">G27739+G27740</f>
        <v>113.3752204</v>
      </c>
      <c r="H27741" s="17" t="n">
        <f aca="false">H27739+H27740</f>
        <v>29.489242119</v>
      </c>
      <c r="I27741" s="17" t="n">
        <f aca="false">I27739+I27740</f>
        <v>-81.0446282172995</v>
      </c>
      <c r="J27741" s="17" t="n">
        <f aca="false">J27739+J27740</f>
        <v>-158.146259257719</v>
      </c>
      <c r="K27741" s="17" t="n">
        <f aca="false">K27739+K27740</f>
        <v>-231.247418891933</v>
      </c>
    </row>
    <row r="27742" customFormat="false" ht="15" hidden="false" customHeight="false" outlineLevel="0" collapsed="false">
      <c r="A27742" s="3" t="s">
        <v>402</v>
      </c>
      <c r="G27742" s="16" t="n">
        <f aca="false">G27567+G27580+G27593+G27606+G27619+G27632+G27645+G27658+G27671+G27684</f>
        <v>0</v>
      </c>
      <c r="H27742" s="16" t="n">
        <f aca="false">H27567+H27580+H27593+H27606+H27619+H27632+H27645+H27658+H27671+H27684</f>
        <v>29.489242119</v>
      </c>
      <c r="I27742" s="16" t="n">
        <f aca="false">I27567+I27580+I27593+I27606+I27619+I27632+I27645+I27658+I27671+I27684</f>
        <v>0</v>
      </c>
      <c r="J27742" s="16" t="n">
        <f aca="false">J27567+J27580+J27593+J27606+J27619+J27632+J27645+J27658+J27671+J27684</f>
        <v>0</v>
      </c>
      <c r="K27742" s="16" t="n">
        <f aca="false">K27567+K27580+K27593+K27606+K27619+K27632+K27645+K27658+K27671+K27684</f>
        <v>0</v>
      </c>
    </row>
    <row r="27743" customFormat="false" ht="15" hidden="false" customHeight="false" outlineLevel="0" collapsed="false">
      <c r="A27743" s="2" t="s">
        <v>403</v>
      </c>
      <c r="G27743" s="17" t="n">
        <f aca="false">G27741-G27742</f>
        <v>113.3752204</v>
      </c>
      <c r="H27743" s="17" t="n">
        <f aca="false">H27741-H27742</f>
        <v>0</v>
      </c>
      <c r="I27743" s="17" t="n">
        <f aca="false">I27741-I27742</f>
        <v>-81.0446282172995</v>
      </c>
      <c r="J27743" s="17" t="n">
        <f aca="false">J27741-J27742</f>
        <v>-158.146259257719</v>
      </c>
      <c r="K27743" s="17" t="n">
        <f aca="false">K27741-K27742</f>
        <v>-231.247418891933</v>
      </c>
    </row>
    <row r="27744" customFormat="false" ht="15" hidden="false" customHeight="false" outlineLevel="0" collapsed="false">
      <c r="A27744" s="3" t="s">
        <v>404</v>
      </c>
      <c r="G27744" s="16" t="n">
        <f aca="false">MAX(0,-G27743)</f>
        <v>0</v>
      </c>
      <c r="H27744" s="16" t="n">
        <f aca="false">MAX(0,-H27743)</f>
        <v>-0</v>
      </c>
      <c r="I27744" s="16" t="n">
        <f aca="false">MAX(0,-I27743)</f>
        <v>81.0446282172995</v>
      </c>
      <c r="J27744" s="16" t="n">
        <f aca="false">MAX(0,-J27743)</f>
        <v>158.146259257719</v>
      </c>
      <c r="K27744" s="16" t="n">
        <f aca="false">MAX(0,-K27743)</f>
        <v>231.247418891933</v>
      </c>
    </row>
    <row r="27745" customFormat="false" ht="15" hidden="false" customHeight="false" outlineLevel="0" collapsed="false">
      <c r="A27745" s="3" t="s">
        <v>405</v>
      </c>
      <c r="G27745" s="16" t="n">
        <f aca="false">MAX(0,G27743-Assumptions!$C$12)*Assumptions!$C$13</f>
        <v>0</v>
      </c>
      <c r="H27745" s="16" t="n">
        <f aca="false">MAX(0,H27743-Assumptions!$C$12)*Assumptions!$C$13</f>
        <v>0</v>
      </c>
      <c r="I27745" s="16" t="n">
        <f aca="false">MAX(0,I27743-Assumptions!$C$12)*Assumptions!$C$13</f>
        <v>0</v>
      </c>
      <c r="J27745" s="16" t="n">
        <f aca="false">MAX(0,J27743-Assumptions!$C$12)*Assumptions!$C$13</f>
        <v>0</v>
      </c>
      <c r="K27745" s="16" t="n">
        <f aca="false">MAX(0,K27743-Assumptions!$C$12)*Assumptions!$C$13</f>
        <v>0</v>
      </c>
    </row>
    <row r="27746" customFormat="false" ht="15" hidden="false" customHeight="false" outlineLevel="0" collapsed="false">
      <c r="A27746" s="3" t="s">
        <v>406</v>
      </c>
      <c r="G27746" s="16" t="n">
        <f aca="false">G27568+G27581+G27594+G27607+G27620+G27633+G27646+G27659+G27672+G27685</f>
        <v>0</v>
      </c>
      <c r="H27746" s="16" t="n">
        <f aca="false">H27568+H27581+H27594+H27607+H27620+H27633+H27646+H27659+H27672+H27685</f>
        <v>0</v>
      </c>
      <c r="I27746" s="16" t="n">
        <f aca="false">I27568+I27581+I27594+I27607+I27620+I27633+I27646+I27659+I27672+I27685</f>
        <v>0</v>
      </c>
      <c r="J27746" s="16" t="n">
        <f aca="false">J27568+J27581+J27594+J27607+J27620+J27633+J27646+J27659+J27672+J27685</f>
        <v>0</v>
      </c>
      <c r="K27746" s="16" t="n">
        <f aca="false">K27568+K27581+K27594+K27607+K27620+K27633+K27646+K27659+K27672+K27685</f>
        <v>0</v>
      </c>
    </row>
    <row r="27747" customFormat="false" ht="15" hidden="false" customHeight="false" outlineLevel="0" collapsed="false">
      <c r="A27747" s="2" t="s">
        <v>407</v>
      </c>
      <c r="F27747" s="28" t="n">
        <f aca="false">Assumptions!$C$11</f>
        <v>37.87</v>
      </c>
      <c r="G27747" s="17" t="n">
        <f aca="false">G27743-G27746</f>
        <v>113.3752204</v>
      </c>
      <c r="H27747" s="17" t="n">
        <f aca="false">H27743-H27746</f>
        <v>0</v>
      </c>
      <c r="I27747" s="17" t="n">
        <f aca="false">I27743-I27746</f>
        <v>-81.0446282172995</v>
      </c>
      <c r="J27747" s="17" t="n">
        <f aca="false">J27743-J27746</f>
        <v>-158.146259257719</v>
      </c>
      <c r="K27747" s="17" t="n">
        <f aca="false">K27743-K27746</f>
        <v>-231.247418891933</v>
      </c>
    </row>
    <row r="27748" customFormat="false" ht="15" hidden="false" customHeight="false" outlineLevel="0" collapsed="false">
      <c r="A27748" s="3" t="s">
        <v>408</v>
      </c>
      <c r="G27748" s="16" t="n">
        <f aca="false">G27569+G27582+G27595+G27608+G27621+G27634+G27647+G27660+G27673+G27686</f>
        <v>0</v>
      </c>
      <c r="H27748" s="16" t="n">
        <f aca="false">H27569+H27582+H27595+H27608+H27621+H27634+H27647+H27660+H27673+H27686</f>
        <v>770.510757881</v>
      </c>
      <c r="I27748" s="16" t="n">
        <f aca="false">I27569+I27582+I27595+I27608+I27621+I27634+I27647+I27660+I27673+I27686</f>
        <v>550</v>
      </c>
      <c r="J27748" s="16" t="n">
        <f aca="false">J27569+J27582+J27595+J27608+J27621+J27634+J27647+J27660+J27673+J27686</f>
        <v>350</v>
      </c>
      <c r="K27748" s="16" t="n">
        <f aca="false">K27569+K27582+K27595+K27608+K27621+K27634+K27647+K27660+K27673+K27686</f>
        <v>680</v>
      </c>
    </row>
    <row r="27749" customFormat="false" ht="15" hidden="false" customHeight="false" outlineLevel="0" collapsed="false">
      <c r="A27749" s="3" t="s">
        <v>409</v>
      </c>
      <c r="G27749" s="21" t="n">
        <f aca="false">IF(OR(G27744&gt;0.001,G27748&gt;0.001),1,0)</f>
        <v>0</v>
      </c>
      <c r="H27749" s="21" t="n">
        <f aca="false">IF(OR(H27744&gt;0.001,H27748&gt;0.001),1,0)</f>
        <v>1</v>
      </c>
      <c r="I27749" s="21" t="n">
        <f aca="false">IF(OR(I27744&gt;0.001,I27748&gt;0.001),1,0)</f>
        <v>1</v>
      </c>
      <c r="J27749" s="21" t="n">
        <f aca="false">IF(OR(J27744&gt;0.001,J27748&gt;0.001),1,0)</f>
        <v>1</v>
      </c>
      <c r="K27749" s="21" t="n">
        <f aca="false">IF(OR(K27744&gt;0.001,K27748&gt;0.001),1,0)</f>
        <v>1</v>
      </c>
    </row>
    <row r="27750" customFormat="false" ht="15" hidden="false" customHeight="false" outlineLevel="0" collapsed="false">
      <c r="A27750" s="3" t="s">
        <v>410</v>
      </c>
      <c r="G27750" s="21" t="n">
        <f aca="false">IF(G27749=1,1,0)</f>
        <v>0</v>
      </c>
      <c r="H27750" s="21" t="n">
        <f aca="false">IF(AND(H27749=1,SUM($G$27749:G27749)=0),1,0)</f>
        <v>1</v>
      </c>
      <c r="I27750" s="21" t="n">
        <f aca="false">IF(AND(I27749=1,SUM($G$27749:H27749)=0),1,0)</f>
        <v>0</v>
      </c>
      <c r="J27750" s="21" t="n">
        <f aca="false">IF(AND(J27749=1,SUM($G$27749:I27749)=0),1,0)</f>
        <v>0</v>
      </c>
      <c r="K27750" s="21" t="n">
        <f aca="false">IF(AND(K27749=1,SUM($G$27749:J27749)=0),1,0)</f>
        <v>0</v>
      </c>
    </row>
    <row r="27751" customFormat="false" ht="15" hidden="false" customHeight="false" outlineLevel="0" collapsed="false">
      <c r="A27751" s="3" t="s">
        <v>411</v>
      </c>
      <c r="G27751" s="16" t="n">
        <f aca="false">(G27689-F27689)-(G27740+G27538-G27738-G27742-G27746)</f>
        <v>0</v>
      </c>
      <c r="H27751" s="16" t="n">
        <f aca="false">(H27689-G27689)-(H27740+H27538-H27738-H27742-H27746)</f>
        <v>-2.1316282072803E-013</v>
      </c>
      <c r="I27751" s="16" t="n">
        <f aca="false">(I27689-H27689)-(I27740+I27538-I27738-I27742-I27746)</f>
        <v>0</v>
      </c>
      <c r="J27751" s="16" t="n">
        <f aca="false">(J27689-I27689)-(J27740+J27538-J27738-J27742-J27746)</f>
        <v>0</v>
      </c>
      <c r="K27751" s="16" t="n">
        <f aca="false">(K27689-J27689)-(K27740+K27538-K27738-K27742-K27746)</f>
        <v>0</v>
      </c>
    </row>
    <row r="27753" customFormat="false" ht="15" hidden="false" customHeight="false" outlineLevel="0" collapsed="false">
      <c r="A27753" s="24" t="s">
        <v>413</v>
      </c>
      <c r="B27753" s="25"/>
      <c r="C27753" s="25"/>
      <c r="D27753" s="25"/>
      <c r="E27753" s="25"/>
      <c r="F27753" s="25"/>
      <c r="G27753" s="25"/>
      <c r="H27753" s="25"/>
      <c r="I27753" s="25"/>
      <c r="J27753" s="25"/>
      <c r="K27753" s="25"/>
    </row>
    <row r="27754" customFormat="false" ht="15" hidden="false" customHeight="false" outlineLevel="0" collapsed="false">
      <c r="A27754" s="3" t="s">
        <v>414</v>
      </c>
      <c r="G27754" s="16" t="n">
        <f aca="false">G27689</f>
        <v>2621.934</v>
      </c>
      <c r="H27754" s="16" t="n">
        <f aca="false">H27689</f>
        <v>2588.444757881</v>
      </c>
      <c r="I27754" s="16" t="n">
        <f aca="false">I27689</f>
        <v>2584.444757881</v>
      </c>
      <c r="J27754" s="16" t="n">
        <f aca="false">J27689</f>
        <v>2580.444757881</v>
      </c>
      <c r="K27754" s="16" t="n">
        <f aca="false">K27689</f>
        <v>2576.444757881</v>
      </c>
    </row>
    <row r="27755" customFormat="false" ht="15" hidden="false" customHeight="false" outlineLevel="0" collapsed="false">
      <c r="A27755" s="3" t="s">
        <v>415</v>
      </c>
      <c r="G27755" s="16" t="n">
        <f aca="false">Assumptions!$O$57*G27570+Assumptions!$O$58*G27583+Assumptions!$O$59*G27596+Assumptions!$O$60*G27609+Assumptions!$O$61*G27622+Assumptions!$O$62*G27635+Assumptions!$O$63*G27648+Assumptions!$O$64*G27661+Assumptions!$O$65*G27674+Assumptions!$O$66*G27687</f>
        <v>543.324</v>
      </c>
      <c r="H27755" s="16" t="n">
        <f aca="false">Assumptions!$O$57*H27570+Assumptions!$O$58*H27583+Assumptions!$O$59*H27596+Assumptions!$O$60*H27609+Assumptions!$O$61*H27622+Assumptions!$O$62*H27635+Assumptions!$O$63*H27648+Assumptions!$O$64*H27661+Assumptions!$O$65*H27674+Assumptions!$O$66*H27687</f>
        <v>539.324</v>
      </c>
      <c r="I27755" s="16" t="n">
        <f aca="false">Assumptions!$O$57*I27570+Assumptions!$O$58*I27583+Assumptions!$O$59*I27596+Assumptions!$O$60*I27609+Assumptions!$O$61*I27622+Assumptions!$O$62*I27635+Assumptions!$O$63*I27648+Assumptions!$O$64*I27661+Assumptions!$O$65*I27674+Assumptions!$O$66*I27687</f>
        <v>535.324</v>
      </c>
      <c r="J27755" s="16" t="n">
        <f aca="false">Assumptions!$O$57*J27570+Assumptions!$O$58*J27583+Assumptions!$O$59*J27596+Assumptions!$O$60*J27609+Assumptions!$O$61*J27622+Assumptions!$O$62*J27635+Assumptions!$O$63*J27648+Assumptions!$O$64*J27661+Assumptions!$O$65*J27674+Assumptions!$O$66*J27687</f>
        <v>531.324</v>
      </c>
      <c r="K27755" s="16" t="n">
        <f aca="false">Assumptions!$O$57*K27570+Assumptions!$O$58*K27583+Assumptions!$O$59*K27596+Assumptions!$O$60*K27609+Assumptions!$O$61*K27622+Assumptions!$O$62*K27635+Assumptions!$O$63*K27648+Assumptions!$O$64*K27661+Assumptions!$O$65*K27674+Assumptions!$O$66*K27687</f>
        <v>527.324</v>
      </c>
    </row>
    <row r="27756" customFormat="false" ht="15" hidden="false" customHeight="false" outlineLevel="0" collapsed="false">
      <c r="A27756" s="3" t="s">
        <v>416</v>
      </c>
      <c r="G27756" s="16" t="n">
        <f aca="false">G27754-G27747</f>
        <v>2508.5587796</v>
      </c>
      <c r="H27756" s="16" t="n">
        <f aca="false">H27754-H27747</f>
        <v>2588.444757881</v>
      </c>
      <c r="I27756" s="16" t="n">
        <f aca="false">I27754-I27747</f>
        <v>2665.4893860983</v>
      </c>
      <c r="J27756" s="16" t="n">
        <f aca="false">J27754-J27747</f>
        <v>2738.59101713872</v>
      </c>
      <c r="K27756" s="16" t="n">
        <f aca="false">K27754-K27747</f>
        <v>2807.69217677293</v>
      </c>
    </row>
    <row r="27757" customFormat="false" ht="15" hidden="false" customHeight="false" outlineLevel="0" collapsed="false">
      <c r="A27757" s="3" t="s">
        <v>417</v>
      </c>
      <c r="G27757" s="32" t="n">
        <f aca="false">IF(G27533&gt;0,G27754/G27533,0)</f>
        <v>11.1954319438308</v>
      </c>
      <c r="H27757" s="32" t="n">
        <f aca="false">IF(H27533&gt;0,H27754/H27533,0)</f>
        <v>11.7466635876661</v>
      </c>
      <c r="I27757" s="32" t="n">
        <f aca="false">IF(I27533&gt;0,I27754/I27533,0)</f>
        <v>11.7285111220948</v>
      </c>
      <c r="J27757" s="32" t="n">
        <f aca="false">IF(J27533&gt;0,J27754/J27533,0)</f>
        <v>11.4761041592522</v>
      </c>
      <c r="K27757" s="32" t="n">
        <f aca="false">IF(K27533&gt;0,K27754/K27533,0)</f>
        <v>11.2302715471781</v>
      </c>
    </row>
    <row r="27758" customFormat="false" ht="15" hidden="false" customHeight="false" outlineLevel="0" collapsed="false">
      <c r="A27758" s="3" t="s">
        <v>418</v>
      </c>
      <c r="G27758" s="32" t="n">
        <f aca="false">IF(G27533&gt;0,G27756/G27533,0)</f>
        <v>10.7113295354159</v>
      </c>
      <c r="H27758" s="32" t="n">
        <f aca="false">IF(H27533&gt;0,H27756/H27533,0)</f>
        <v>11.7466635876661</v>
      </c>
      <c r="I27758" s="32" t="n">
        <f aca="false">IF(I27533&gt;0,I27756/I27533,0)</f>
        <v>12.0963010779583</v>
      </c>
      <c r="J27758" s="32" t="n">
        <f aca="false">IF(J27533&gt;0,J27756/J27533,0)</f>
        <v>12.179433667894</v>
      </c>
      <c r="K27758" s="32" t="n">
        <f aca="false">IF(K27533&gt;0,K27756/K27533,0)</f>
        <v>12.2382385531839</v>
      </c>
    </row>
    <row r="27759" customFormat="false" ht="15" hidden="false" customHeight="false" outlineLevel="0" collapsed="false">
      <c r="A27759" s="3" t="s">
        <v>419</v>
      </c>
      <c r="G27759" s="32" t="n">
        <f aca="false">IF(G27537&gt;0,G27533/G27537,0)</f>
        <v>1.1890512736409</v>
      </c>
      <c r="H27759" s="32" t="n">
        <f aca="false">IF(H27537&gt;0,H27533/H27537,0)</f>
        <v>1.12573938967921</v>
      </c>
      <c r="I27759" s="32" t="n">
        <f aca="false">IF(I27537&gt;0,I27533/I27537,0)</f>
        <v>1.1423209880803</v>
      </c>
      <c r="J27759" s="32" t="n">
        <f aca="false">IF(J27537&gt;0,J27533/J27537,0)</f>
        <v>1.1686069083228</v>
      </c>
      <c r="K27759" s="32" t="n">
        <f aca="false">IF(K27537&gt;0,K27533/K27537,0)</f>
        <v>1.19538096647106</v>
      </c>
    </row>
    <row r="27760" customFormat="false" ht="15" hidden="false" customHeight="false" outlineLevel="0" collapsed="false">
      <c r="A27760" s="3" t="s">
        <v>420</v>
      </c>
      <c r="G27760" s="32" t="n">
        <f aca="false">IF(G27537&gt;0,G27536/G27537,0)</f>
        <v>0.304737177473225</v>
      </c>
      <c r="H27760" s="32" t="n">
        <f aca="false">IF(H27537&gt;0,H27536/H27537,0)</f>
        <v>0.262617574441201</v>
      </c>
      <c r="I27760" s="32" t="n">
        <f aca="false">IF(I27537&gt;0,I27536/I27537,0)</f>
        <v>0.266485804683809</v>
      </c>
      <c r="J27760" s="32" t="n">
        <f aca="false">IF(J27537&gt;0,J27536/J27537,0)</f>
        <v>0.281760647952379</v>
      </c>
      <c r="K27760" s="32" t="n">
        <f aca="false">IF(K27537&gt;0,K27536/K27537,0)</f>
        <v>0.29737937310444</v>
      </c>
    </row>
    <row r="27761" customFormat="false" ht="15" hidden="false" customHeight="false" outlineLevel="0" collapsed="false">
      <c r="A27761" s="3" t="s">
        <v>213</v>
      </c>
      <c r="G27761" s="22" t="n">
        <f aca="false">IF(G27754&gt;0,G27546/G27754,0)</f>
        <v>-0.0268865576326483</v>
      </c>
      <c r="H27761" s="22" t="n">
        <f aca="false">IF(H27754&gt;0,H27546/H27754,0)</f>
        <v>-0.0308625393830687</v>
      </c>
      <c r="I27761" s="22" t="n">
        <f aca="false">IF(I27754&gt;0,I27546/I27754,0)</f>
        <v>-0.0298109015417566</v>
      </c>
      <c r="J27761" s="22" t="n">
        <f aca="false">IF(J27754&gt;0,J27546/J27754,0)</f>
        <v>-0.0283290819604481</v>
      </c>
      <c r="K27761" s="22" t="n">
        <f aca="false">IF(K27754&gt;0,K27546/K27754,0)</f>
        <v>-0.0268203536764538</v>
      </c>
    </row>
    <row r="27762" customFormat="false" ht="15" hidden="false" customHeight="false" outlineLevel="0" collapsed="false">
      <c r="A27762" s="3" t="s">
        <v>421</v>
      </c>
      <c r="G27762" s="32" t="n">
        <f aca="false">IF(G27537+G27738&gt;0,(G27533-G27544-G27541)/(G27537+G27738),0)</f>
        <v>0.745845743189279</v>
      </c>
      <c r="H27762" s="32" t="n">
        <f aca="false">IF(H27537+H27738&gt;0,(H27533-H27544-H27541)/(H27537+H27738),0)</f>
        <v>0.69376221084108</v>
      </c>
      <c r="I27762" s="32" t="n">
        <f aca="false">IF(I27537+I27738&gt;0,(I27533-I27544-I27541)/(I27537+I27738),0)</f>
        <v>0.703773402201115</v>
      </c>
      <c r="J27762" s="32" t="n">
        <f aca="false">IF(J27537+J27738&gt;0,(J27533-J27544-J27541)/(J27537+J27738),0)</f>
        <v>0.724266150695601</v>
      </c>
      <c r="K27762" s="32" t="n">
        <f aca="false">IF(K27537+K27738&gt;0,(K27533-K27544-K27541)/(K27537+K27738),0)</f>
        <v>0.74516635177375</v>
      </c>
    </row>
    <row r="27763" customFormat="false" ht="15" hidden="false" customHeight="false" outlineLevel="0" collapsed="false">
      <c r="A27763" s="3" t="s">
        <v>422</v>
      </c>
      <c r="G27763" s="16" t="n">
        <f aca="false">MAX(0,G27747)+Assumptions!$P$57*MAX(0,Assumptions!$D$57-G27570)+Assumptions!$P$58*MAX(0,Assumptions!$D$58-G27583)+Assumptions!$P$59*MAX(0,Assumptions!$D$59-G27596)+Assumptions!$P$60*MAX(0,Assumptions!$D$60-G27609)+Assumptions!$P$61*MAX(0,Assumptions!$D$61-G27622)+Assumptions!$P$62*MAX(0,Assumptions!$D$62-G27635)+Assumptions!$P$63*MAX(0,Assumptions!$D$63-G27648)+Assumptions!$P$64*MAX(0,Assumptions!$D$64-G27661)+Assumptions!$P$65*MAX(0,Assumptions!$D$65-G27674)+Assumptions!$P$66*MAX(0,Assumptions!$D$66-G27687)</f>
        <v>687.8752204</v>
      </c>
      <c r="H27763" s="16" t="n">
        <f aca="false">MAX(0,H27747)+Assumptions!$P$57*MAX(0,Assumptions!$D$57-H27570)+Assumptions!$P$58*MAX(0,Assumptions!$D$58-H27583)+Assumptions!$P$59*MAX(0,Assumptions!$D$59-H27596)+Assumptions!$P$60*MAX(0,Assumptions!$D$60-H27609)+Assumptions!$P$61*MAX(0,Assumptions!$D$61-H27622)+Assumptions!$P$62*MAX(0,Assumptions!$D$62-H27635)+Assumptions!$P$63*MAX(0,Assumptions!$D$63-H27648)+Assumptions!$P$64*MAX(0,Assumptions!$D$64-H27661)+Assumptions!$P$65*MAX(0,Assumptions!$D$65-H27674)+Assumptions!$P$66*MAX(0,Assumptions!$D$66-H27687)</f>
        <v>574.5</v>
      </c>
      <c r="I27763" s="16" t="n">
        <f aca="false">MAX(0,I27747)+Assumptions!$P$57*MAX(0,Assumptions!$D$57-I27570)+Assumptions!$P$58*MAX(0,Assumptions!$D$58-I27583)+Assumptions!$P$59*MAX(0,Assumptions!$D$59-I27596)+Assumptions!$P$60*MAX(0,Assumptions!$D$60-I27609)+Assumptions!$P$61*MAX(0,Assumptions!$D$61-I27622)+Assumptions!$P$62*MAX(0,Assumptions!$D$62-I27635)+Assumptions!$P$63*MAX(0,Assumptions!$D$63-I27648)+Assumptions!$P$64*MAX(0,Assumptions!$D$64-I27661)+Assumptions!$P$65*MAX(0,Assumptions!$D$65-I27674)+Assumptions!$P$66*MAX(0,Assumptions!$D$66-I27687)</f>
        <v>574.5</v>
      </c>
      <c r="J27763" s="16" t="n">
        <f aca="false">MAX(0,J27747)+Assumptions!$P$57*MAX(0,Assumptions!$D$57-J27570)+Assumptions!$P$58*MAX(0,Assumptions!$D$58-J27583)+Assumptions!$P$59*MAX(0,Assumptions!$D$59-J27596)+Assumptions!$P$60*MAX(0,Assumptions!$D$60-J27609)+Assumptions!$P$61*MAX(0,Assumptions!$D$61-J27622)+Assumptions!$P$62*MAX(0,Assumptions!$D$62-J27635)+Assumptions!$P$63*MAX(0,Assumptions!$D$63-J27648)+Assumptions!$P$64*MAX(0,Assumptions!$D$64-J27661)+Assumptions!$P$65*MAX(0,Assumptions!$D$65-J27674)+Assumptions!$P$66*MAX(0,Assumptions!$D$66-J27687)</f>
        <v>574.5</v>
      </c>
      <c r="K27763" s="16" t="n">
        <f aca="false">MAX(0,K27747)+Assumptions!$P$57*MAX(0,Assumptions!$D$57-K27570)+Assumptions!$P$58*MAX(0,Assumptions!$D$58-K27583)+Assumptions!$P$59*MAX(0,Assumptions!$D$59-K27596)+Assumptions!$P$60*MAX(0,Assumptions!$D$60-K27609)+Assumptions!$P$61*MAX(0,Assumptions!$D$61-K27622)+Assumptions!$P$62*MAX(0,Assumptions!$D$62-K27635)+Assumptions!$P$63*MAX(0,Assumptions!$D$63-K27648)+Assumptions!$P$64*MAX(0,Assumptions!$D$64-K27661)+Assumptions!$P$65*MAX(0,Assumptions!$D$65-K27674)+Assumptions!$P$66*MAX(0,Assumptions!$D$66-K27687)</f>
        <v>574.5</v>
      </c>
    </row>
    <row r="27764" customFormat="false" ht="15" hidden="false" customHeight="false" outlineLevel="0" collapsed="false">
      <c r="A27764" s="3" t="s">
        <v>423</v>
      </c>
      <c r="G27764" s="22" t="n">
        <f aca="false">IF(G27754&gt;0,G27754/(G27754+MAX(0,G27533*CHOOSE($C$27516,Assumptions!$C$90,Assumptions!$C$109,Assumptions!$C$128)-G27756)),0)</f>
        <v>0.97486347175269</v>
      </c>
      <c r="H27764" s="22" t="n">
        <f aca="false">IF(H27754&gt;0,H27754/(H27754+MAX(0,H27533*CHOOSE($C$27516,Assumptions!$C$90,Assumptions!$C$109,Assumptions!$C$128)-H27756)),0)</f>
        <v>1</v>
      </c>
      <c r="I27764" s="22" t="n">
        <f aca="false">IF(I27754&gt;0,I27754/(I27754+MAX(0,I27533*CHOOSE($C$27516,Assumptions!$C$90,Assumptions!$C$109,Assumptions!$C$128)-I27756)),0)</f>
        <v>1</v>
      </c>
      <c r="J27764" s="22" t="n">
        <f aca="false">IF(J27754&gt;0,J27754/(J27754+MAX(0,J27533*CHOOSE($C$27516,Assumptions!$C$90,Assumptions!$C$109,Assumptions!$C$128)-J27756)),0)</f>
        <v>1</v>
      </c>
      <c r="K27764" s="22" t="n">
        <f aca="false">IF(K27754&gt;0,K27754/(K27754+MAX(0,K27533*CHOOSE($C$27516,Assumptions!$C$90,Assumptions!$C$109,Assumptions!$C$128)-K27756)),0)</f>
        <v>1</v>
      </c>
    </row>
    <row r="27765" customFormat="false" ht="15" hidden="false" customHeight="false" outlineLevel="0" collapsed="false">
      <c r="A27765" s="3" t="s">
        <v>424</v>
      </c>
      <c r="G27765" s="22" t="n">
        <f aca="false">IF(G27754&gt;0,MAX(0,G27747)/G27754,0)</f>
        <v>0.0432410657171386</v>
      </c>
      <c r="H27765" s="22" t="n">
        <f aca="false">IF(H27754&gt;0,MAX(0,H27747)/H27754,0)</f>
        <v>0</v>
      </c>
      <c r="I27765" s="22" t="n">
        <f aca="false">IF(I27754&gt;0,MAX(0,I27747)/I27754,0)</f>
        <v>0</v>
      </c>
      <c r="J27765" s="22" t="n">
        <f aca="false">IF(J27754&gt;0,MAX(0,J27747)/J27754,0)</f>
        <v>0</v>
      </c>
      <c r="K27765" s="22" t="n">
        <f aca="false">IF(K27754&gt;0,MAX(0,K27747)/K27754,0)</f>
        <v>0</v>
      </c>
    </row>
    <row r="27766" customFormat="false" ht="15" hidden="false" customHeight="false" outlineLevel="0" collapsed="false">
      <c r="A27766" s="3" t="s">
        <v>425</v>
      </c>
      <c r="G27766" s="16" t="n">
        <f aca="false">Assumptions!$C$31*(1-CHOOSE($C$27516,Assumptions!$C$93,Assumptions!$C$112,Assumptions!$C$131))</f>
        <v>3840.04556666667</v>
      </c>
      <c r="H27766" s="16" t="n">
        <f aca="false">Assumptions!$C$31*(1-CHOOSE($C$27516,Assumptions!$C$93,Assumptions!$C$112,Assumptions!$C$131))</f>
        <v>3840.04556666667</v>
      </c>
      <c r="I27766" s="16" t="n">
        <f aca="false">Assumptions!$C$31*(1-CHOOSE($C$27516,Assumptions!$C$93,Assumptions!$C$112,Assumptions!$C$131))</f>
        <v>3840.04556666667</v>
      </c>
      <c r="J27766" s="16" t="n">
        <f aca="false">Assumptions!$C$31*(1-CHOOSE($C$27516,Assumptions!$C$93,Assumptions!$C$112,Assumptions!$C$131))</f>
        <v>3840.04556666667</v>
      </c>
      <c r="K27766" s="16" t="n">
        <f aca="false">Assumptions!$C$31*(1-CHOOSE($C$27516,Assumptions!$C$93,Assumptions!$C$112,Assumptions!$C$131))</f>
        <v>3840.04556666667</v>
      </c>
    </row>
    <row r="27767" customFormat="false" ht="15" hidden="false" customHeight="false" outlineLevel="0" collapsed="false">
      <c r="A27767" s="24" t="s">
        <v>426</v>
      </c>
      <c r="B27767" s="25"/>
      <c r="C27767" s="25"/>
      <c r="D27767" s="25"/>
      <c r="E27767" s="25"/>
      <c r="F27767" s="25"/>
      <c r="G27767" s="25"/>
      <c r="H27767" s="25"/>
      <c r="I27767" s="25"/>
      <c r="J27767" s="25"/>
      <c r="K27767" s="25"/>
    </row>
    <row r="27768" customFormat="false" ht="15" hidden="false" customHeight="false" outlineLevel="0" collapsed="false">
      <c r="A27768" s="24" t="s">
        <v>427</v>
      </c>
      <c r="B27768" s="25"/>
      <c r="C27768" s="25"/>
      <c r="D27768" s="25"/>
      <c r="E27768" s="25"/>
      <c r="F27768" s="25"/>
      <c r="G27768" s="25"/>
      <c r="H27768" s="25"/>
      <c r="I27768" s="25"/>
      <c r="J27768" s="25"/>
      <c r="K27768" s="25"/>
    </row>
    <row r="27769" customFormat="false" ht="15" hidden="false" customHeight="false" outlineLevel="0" collapsed="false">
      <c r="A27769" s="3" t="s">
        <v>428</v>
      </c>
      <c r="G27769" s="22" t="n">
        <f aca="false">IF(G27766&gt;0,G27754/G27766,99)</f>
        <v>0.68278721032885</v>
      </c>
      <c r="H27769" s="22" t="n">
        <f aca="false">IF(H27766&gt;0,H27754/H27766,99)</f>
        <v>0.674066157013831</v>
      </c>
      <c r="I27769" s="22" t="n">
        <f aca="false">IF(I27766&gt;0,I27754/I27766,99)</f>
        <v>0.673024502707767</v>
      </c>
      <c r="J27769" s="22" t="n">
        <f aca="false">IF(J27766&gt;0,J27754/J27766,99)</f>
        <v>0.671982848401703</v>
      </c>
      <c r="K27769" s="22" t="n">
        <f aca="false">IF(K27766&gt;0,K27754/K27766,99)</f>
        <v>0.67094119409564</v>
      </c>
    </row>
    <row r="27770" customFormat="false" ht="15" hidden="false" customHeight="false" outlineLevel="0" collapsed="false">
      <c r="A27770" s="3" t="s">
        <v>429</v>
      </c>
      <c r="G27770" s="33" t="n">
        <f aca="false">Assumptions!$G$71</f>
        <v>0.6</v>
      </c>
      <c r="H27770" s="33" t="n">
        <f aca="false">Assumptions!$H$71</f>
        <v>0.6</v>
      </c>
      <c r="I27770" s="33" t="n">
        <f aca="false">Assumptions!$I$71</f>
        <v>0.6</v>
      </c>
      <c r="J27770" s="33" t="n">
        <f aca="false">Assumptions!$J$71</f>
        <v>0.6</v>
      </c>
      <c r="K27770" s="33" t="n">
        <f aca="false">Assumptions!$K$71</f>
        <v>0.6</v>
      </c>
    </row>
    <row r="27771" customFormat="false" ht="15" hidden="false" customHeight="false" outlineLevel="0" collapsed="false">
      <c r="A27771" s="3" t="s">
        <v>430</v>
      </c>
      <c r="G27771" s="22" t="n">
        <f aca="false">G27770-G27769</f>
        <v>-0.0827872103288497</v>
      </c>
      <c r="H27771" s="22" t="n">
        <f aca="false">H27770-H27769</f>
        <v>-0.0740661570138312</v>
      </c>
      <c r="I27771" s="22" t="n">
        <f aca="false">I27770-I27769</f>
        <v>-0.0730245027077674</v>
      </c>
      <c r="J27771" s="22" t="n">
        <f aca="false">J27770-J27769</f>
        <v>-0.0719828484017034</v>
      </c>
      <c r="K27771" s="22" t="n">
        <f aca="false">K27770-K27769</f>
        <v>-0.0709411940956395</v>
      </c>
    </row>
    <row r="27772" customFormat="false" ht="15" hidden="false" customHeight="false" outlineLevel="0" collapsed="false">
      <c r="A27772" s="3" t="s">
        <v>431</v>
      </c>
      <c r="G27772" s="22" t="n">
        <f aca="false">IF(G27770=0,0,G27771/ABS(G27770))</f>
        <v>-0.137978683881416</v>
      </c>
      <c r="H27772" s="22" t="n">
        <f aca="false">IF(H27770=0,0,H27771/ABS(H27770))</f>
        <v>-0.123443595023052</v>
      </c>
      <c r="I27772" s="22" t="n">
        <f aca="false">IF(I27770=0,0,I27771/ABS(I27770))</f>
        <v>-0.121707504512946</v>
      </c>
      <c r="J27772" s="22" t="n">
        <f aca="false">IF(J27770=0,0,J27771/ABS(J27770))</f>
        <v>-0.119971414002839</v>
      </c>
      <c r="K27772" s="22" t="n">
        <f aca="false">IF(K27770=0,0,K27771/ABS(K27770))</f>
        <v>-0.118235323492732</v>
      </c>
    </row>
    <row r="27773" customFormat="false" ht="15" hidden="false" customHeight="false" outlineLevel="0" collapsed="false">
      <c r="A27773" s="3" t="s">
        <v>432</v>
      </c>
      <c r="G27773" s="21" t="n">
        <f aca="false">IF(G27771&lt;0,1,0)</f>
        <v>1</v>
      </c>
      <c r="H27773" s="21" t="n">
        <f aca="false">IF(H27771&lt;0,1,0)</f>
        <v>1</v>
      </c>
      <c r="I27773" s="21" t="n">
        <f aca="false">IF(I27771&lt;0,1,0)</f>
        <v>1</v>
      </c>
      <c r="J27773" s="21" t="n">
        <f aca="false">IF(J27771&lt;0,1,0)</f>
        <v>1</v>
      </c>
      <c r="K27773" s="21" t="n">
        <f aca="false">IF(K27771&lt;0,1,0)</f>
        <v>1</v>
      </c>
    </row>
    <row r="27774" customFormat="false" ht="15" hidden="false" customHeight="false" outlineLevel="0" collapsed="false">
      <c r="A27774" s="3" t="s">
        <v>433</v>
      </c>
      <c r="C27774" s="21" t="n">
        <f aca="false">IFERROR(INDEX($G$27523:$K$27523,MATCH(1,$G$27773:$K$27773,0)),0)</f>
        <v>2027</v>
      </c>
    </row>
    <row r="27775" customFormat="false" ht="15" hidden="false" customHeight="false" outlineLevel="0" collapsed="false">
      <c r="A27775" s="3" t="s">
        <v>434</v>
      </c>
      <c r="C27775" s="22" t="n">
        <f aca="false">MIN($G$27772:$K$27772)</f>
        <v>-0.137978683881416</v>
      </c>
    </row>
    <row r="27776" customFormat="false" ht="15" hidden="false" customHeight="false" outlineLevel="0" collapsed="false">
      <c r="A27776" s="24" t="s">
        <v>435</v>
      </c>
      <c r="B27776" s="25"/>
      <c r="C27776" s="25"/>
      <c r="D27776" s="25"/>
      <c r="E27776" s="25"/>
      <c r="F27776" s="25"/>
      <c r="G27776" s="25"/>
      <c r="H27776" s="25"/>
      <c r="I27776" s="25"/>
      <c r="J27776" s="25"/>
      <c r="K27776" s="25"/>
    </row>
    <row r="27777" customFormat="false" ht="15" hidden="false" customHeight="false" outlineLevel="0" collapsed="false">
      <c r="A27777" s="3" t="s">
        <v>428</v>
      </c>
      <c r="G27777" s="32" t="n">
        <f aca="false">IF(G27537&gt;0,G27533/G27537,99)</f>
        <v>1.1890512736409</v>
      </c>
      <c r="H27777" s="32" t="n">
        <f aca="false">IF(H27537&gt;0,H27533/H27537,99)</f>
        <v>1.12573938967921</v>
      </c>
      <c r="I27777" s="32" t="n">
        <f aca="false">IF(I27537&gt;0,I27533/I27537,99)</f>
        <v>1.1423209880803</v>
      </c>
      <c r="J27777" s="32" t="n">
        <f aca="false">IF(J27537&gt;0,J27533/J27537,99)</f>
        <v>1.1686069083228</v>
      </c>
      <c r="K27777" s="32" t="n">
        <f aca="false">IF(K27537&gt;0,K27533/K27537,99)</f>
        <v>1.19538096647106</v>
      </c>
    </row>
    <row r="27778" customFormat="false" ht="15" hidden="false" customHeight="false" outlineLevel="0" collapsed="false">
      <c r="A27778" s="3" t="s">
        <v>429</v>
      </c>
      <c r="G27778" s="34" t="n">
        <f aca="false">Assumptions!$G$72</f>
        <v>1.5</v>
      </c>
      <c r="H27778" s="34" t="n">
        <f aca="false">Assumptions!$H$72</f>
        <v>1.5</v>
      </c>
      <c r="I27778" s="34" t="n">
        <f aca="false">Assumptions!$I$72</f>
        <v>1.5</v>
      </c>
      <c r="J27778" s="34" t="n">
        <f aca="false">Assumptions!$J$72</f>
        <v>1.5</v>
      </c>
      <c r="K27778" s="34" t="n">
        <f aca="false">Assumptions!$K$72</f>
        <v>1.5</v>
      </c>
    </row>
    <row r="27779" customFormat="false" ht="15" hidden="false" customHeight="false" outlineLevel="0" collapsed="false">
      <c r="A27779" s="3" t="s">
        <v>430</v>
      </c>
      <c r="G27779" s="32" t="n">
        <f aca="false">G27777-G27778</f>
        <v>-0.310948726359102</v>
      </c>
      <c r="H27779" s="32" t="n">
        <f aca="false">H27777-H27778</f>
        <v>-0.374260610320791</v>
      </c>
      <c r="I27779" s="32" t="n">
        <f aca="false">I27777-I27778</f>
        <v>-0.357679011919704</v>
      </c>
      <c r="J27779" s="32" t="n">
        <f aca="false">J27777-J27778</f>
        <v>-0.331393091677198</v>
      </c>
      <c r="K27779" s="32" t="n">
        <f aca="false">K27777-K27778</f>
        <v>-0.304619033528937</v>
      </c>
    </row>
    <row r="27780" customFormat="false" ht="15" hidden="false" customHeight="false" outlineLevel="0" collapsed="false">
      <c r="A27780" s="3" t="s">
        <v>431</v>
      </c>
      <c r="G27780" s="22" t="n">
        <f aca="false">IF(G27778=0,0,G27779/ABS(G27778))</f>
        <v>-0.207299150906068</v>
      </c>
      <c r="H27780" s="22" t="n">
        <f aca="false">IF(H27778=0,0,H27779/ABS(H27778))</f>
        <v>-0.249507073547194</v>
      </c>
      <c r="I27780" s="22" t="n">
        <f aca="false">IF(I27778=0,0,I27779/ABS(I27778))</f>
        <v>-0.238452674613136</v>
      </c>
      <c r="J27780" s="22" t="n">
        <f aca="false">IF(J27778=0,0,J27779/ABS(J27778))</f>
        <v>-0.220928727784799</v>
      </c>
      <c r="K27780" s="22" t="n">
        <f aca="false">IF(K27778=0,0,K27779/ABS(K27778))</f>
        <v>-0.203079355685958</v>
      </c>
    </row>
    <row r="27781" customFormat="false" ht="15" hidden="false" customHeight="false" outlineLevel="0" collapsed="false">
      <c r="A27781" s="3" t="s">
        <v>432</v>
      </c>
      <c r="G27781" s="21" t="n">
        <f aca="false">IF(G27779&lt;0,1,0)</f>
        <v>1</v>
      </c>
      <c r="H27781" s="21" t="n">
        <f aca="false">IF(H27779&lt;0,1,0)</f>
        <v>1</v>
      </c>
      <c r="I27781" s="21" t="n">
        <f aca="false">IF(I27779&lt;0,1,0)</f>
        <v>1</v>
      </c>
      <c r="J27781" s="21" t="n">
        <f aca="false">IF(J27779&lt;0,1,0)</f>
        <v>1</v>
      </c>
      <c r="K27781" s="21" t="n">
        <f aca="false">IF(K27779&lt;0,1,0)</f>
        <v>1</v>
      </c>
    </row>
    <row r="27782" customFormat="false" ht="15" hidden="false" customHeight="false" outlineLevel="0" collapsed="false">
      <c r="A27782" s="3" t="s">
        <v>433</v>
      </c>
      <c r="C27782" s="21" t="n">
        <f aca="false">IFERROR(INDEX($G$27523:$K$27523,MATCH(1,$G$27781:$K$27781,0)),0)</f>
        <v>2027</v>
      </c>
    </row>
    <row r="27783" customFormat="false" ht="15" hidden="false" customHeight="false" outlineLevel="0" collapsed="false">
      <c r="A27783" s="3" t="s">
        <v>434</v>
      </c>
      <c r="C27783" s="22" t="n">
        <f aca="false">MIN($G$27780:$K$27780)</f>
        <v>-0.249507073547194</v>
      </c>
    </row>
    <row r="27784" customFormat="false" ht="15" hidden="false" customHeight="false" outlineLevel="0" collapsed="false">
      <c r="A27784" s="24" t="s">
        <v>436</v>
      </c>
      <c r="B27784" s="25"/>
      <c r="C27784" s="25"/>
      <c r="D27784" s="25"/>
      <c r="E27784" s="25"/>
      <c r="F27784" s="25"/>
      <c r="G27784" s="25"/>
      <c r="H27784" s="25"/>
      <c r="I27784" s="25"/>
      <c r="J27784" s="25"/>
      <c r="K27784" s="25"/>
    </row>
    <row r="27785" customFormat="false" ht="15" hidden="false" customHeight="false" outlineLevel="0" collapsed="false">
      <c r="A27785" s="3" t="s">
        <v>428</v>
      </c>
      <c r="G27785" s="22" t="n">
        <f aca="false">IF(G27766&gt;0,G27755/G27766,99)</f>
        <v>0.141488946046968</v>
      </c>
      <c r="H27785" s="22" t="n">
        <f aca="false">IF(H27766&gt;0,H27755/H27766,99)</f>
        <v>0.140447291740904</v>
      </c>
      <c r="I27785" s="22" t="n">
        <f aca="false">IF(I27766&gt;0,I27755/I27766,99)</f>
        <v>0.139405637434841</v>
      </c>
      <c r="J27785" s="22" t="n">
        <f aca="false">IF(J27766&gt;0,J27755/J27766,99)</f>
        <v>0.138363983128777</v>
      </c>
      <c r="K27785" s="22" t="n">
        <f aca="false">IF(K27766&gt;0,K27755/K27766,99)</f>
        <v>0.137322328822713</v>
      </c>
    </row>
    <row r="27786" customFormat="false" ht="15" hidden="false" customHeight="false" outlineLevel="0" collapsed="false">
      <c r="A27786" s="3" t="s">
        <v>429</v>
      </c>
      <c r="G27786" s="33" t="n">
        <f aca="false">Assumptions!$G$73</f>
        <v>0.4</v>
      </c>
      <c r="H27786" s="33" t="n">
        <f aca="false">Assumptions!$H$73</f>
        <v>0.4</v>
      </c>
      <c r="I27786" s="33" t="n">
        <f aca="false">Assumptions!$I$73</f>
        <v>0.4</v>
      </c>
      <c r="J27786" s="33" t="n">
        <f aca="false">Assumptions!$J$73</f>
        <v>0.4</v>
      </c>
      <c r="K27786" s="33" t="n">
        <f aca="false">Assumptions!$K$73</f>
        <v>0.4</v>
      </c>
    </row>
    <row r="27787" customFormat="false" ht="15" hidden="false" customHeight="false" outlineLevel="0" collapsed="false">
      <c r="A27787" s="3" t="s">
        <v>430</v>
      </c>
      <c r="G27787" s="22" t="n">
        <f aca="false">G27786-G27785</f>
        <v>0.258511053953032</v>
      </c>
      <c r="H27787" s="22" t="n">
        <f aca="false">H27786-H27785</f>
        <v>0.259552708259096</v>
      </c>
      <c r="I27787" s="22" t="n">
        <f aca="false">I27786-I27785</f>
        <v>0.26059436256516</v>
      </c>
      <c r="J27787" s="22" t="n">
        <f aca="false">J27786-J27785</f>
        <v>0.261636016871223</v>
      </c>
      <c r="K27787" s="22" t="n">
        <f aca="false">K27786-K27785</f>
        <v>0.262677671177287</v>
      </c>
    </row>
    <row r="27788" customFormat="false" ht="15" hidden="false" customHeight="false" outlineLevel="0" collapsed="false">
      <c r="A27788" s="3" t="s">
        <v>431</v>
      </c>
      <c r="G27788" s="22" t="n">
        <f aca="false">IF(G27786=0,0,G27787/ABS(G27786))</f>
        <v>0.646277634882579</v>
      </c>
      <c r="H27788" s="22" t="n">
        <f aca="false">IF(H27786=0,0,H27787/ABS(H27786))</f>
        <v>0.648881770647739</v>
      </c>
      <c r="I27788" s="22" t="n">
        <f aca="false">IF(I27786=0,0,I27787/ABS(I27786))</f>
        <v>0.651485906412899</v>
      </c>
      <c r="J27788" s="22" t="n">
        <f aca="false">IF(J27786=0,0,J27787/ABS(J27786))</f>
        <v>0.654090042178059</v>
      </c>
      <c r="K27788" s="22" t="n">
        <f aca="false">IF(K27786=0,0,K27787/ABS(K27786))</f>
        <v>0.656694177943218</v>
      </c>
    </row>
    <row r="27789" customFormat="false" ht="15" hidden="false" customHeight="false" outlineLevel="0" collapsed="false">
      <c r="A27789" s="3" t="s">
        <v>432</v>
      </c>
      <c r="G27789" s="21" t="n">
        <f aca="false">IF(G27787&lt;0,1,0)</f>
        <v>0</v>
      </c>
      <c r="H27789" s="21" t="n">
        <f aca="false">IF(H27787&lt;0,1,0)</f>
        <v>0</v>
      </c>
      <c r="I27789" s="21" t="n">
        <f aca="false">IF(I27787&lt;0,1,0)</f>
        <v>0</v>
      </c>
      <c r="J27789" s="21" t="n">
        <f aca="false">IF(J27787&lt;0,1,0)</f>
        <v>0</v>
      </c>
      <c r="K27789" s="21" t="n">
        <f aca="false">IF(K27787&lt;0,1,0)</f>
        <v>0</v>
      </c>
    </row>
    <row r="27790" customFormat="false" ht="15" hidden="false" customHeight="false" outlineLevel="0" collapsed="false">
      <c r="A27790" s="3" t="s">
        <v>433</v>
      </c>
      <c r="C27790" s="21" t="n">
        <f aca="false">IFERROR(INDEX($G$27523:$K$27523,MATCH(1,$G$27789:$K$27789,0)),0)</f>
        <v>0</v>
      </c>
    </row>
    <row r="27791" customFormat="false" ht="15" hidden="false" customHeight="false" outlineLevel="0" collapsed="false">
      <c r="A27791" s="3" t="s">
        <v>434</v>
      </c>
      <c r="C27791" s="22" t="n">
        <f aca="false">MIN($G$27788:$K$27788)</f>
        <v>0.646277634882579</v>
      </c>
    </row>
    <row r="27792" customFormat="false" ht="15" hidden="false" customHeight="false" outlineLevel="0" collapsed="false">
      <c r="A27792" s="24" t="s">
        <v>437</v>
      </c>
      <c r="B27792" s="25"/>
      <c r="C27792" s="25"/>
      <c r="D27792" s="25"/>
      <c r="E27792" s="25"/>
      <c r="F27792" s="25"/>
      <c r="G27792" s="25"/>
      <c r="H27792" s="25"/>
      <c r="I27792" s="25"/>
      <c r="J27792" s="25"/>
      <c r="K27792" s="25"/>
    </row>
    <row r="27793" customFormat="false" ht="15" hidden="false" customHeight="false" outlineLevel="0" collapsed="false">
      <c r="A27793" s="3" t="s">
        <v>428</v>
      </c>
      <c r="G27793" s="16" t="n">
        <f aca="false">G27763</f>
        <v>687.8752204</v>
      </c>
      <c r="H27793" s="16" t="n">
        <f aca="false">H27763</f>
        <v>574.5</v>
      </c>
      <c r="I27793" s="16" t="n">
        <f aca="false">I27763</f>
        <v>574.5</v>
      </c>
      <c r="J27793" s="16" t="n">
        <f aca="false">J27763</f>
        <v>574.5</v>
      </c>
      <c r="K27793" s="16" t="n">
        <f aca="false">K27763</f>
        <v>574.5</v>
      </c>
    </row>
    <row r="27794" customFormat="false" ht="15" hidden="false" customHeight="false" outlineLevel="0" collapsed="false">
      <c r="A27794" s="3" t="s">
        <v>429</v>
      </c>
      <c r="G27794" s="29" t="n">
        <f aca="false">Assumptions!$G$74</f>
        <v>100</v>
      </c>
      <c r="H27794" s="29" t="n">
        <f aca="false">Assumptions!$H$74</f>
        <v>100</v>
      </c>
      <c r="I27794" s="29" t="n">
        <f aca="false">Assumptions!$I$74</f>
        <v>100</v>
      </c>
      <c r="J27794" s="29" t="n">
        <f aca="false">Assumptions!$J$74</f>
        <v>100</v>
      </c>
      <c r="K27794" s="29" t="n">
        <f aca="false">Assumptions!$K$74</f>
        <v>100</v>
      </c>
    </row>
    <row r="27795" customFormat="false" ht="15" hidden="false" customHeight="false" outlineLevel="0" collapsed="false">
      <c r="A27795" s="3" t="s">
        <v>430</v>
      </c>
      <c r="G27795" s="16" t="n">
        <f aca="false">G27793-G27794</f>
        <v>587.8752204</v>
      </c>
      <c r="H27795" s="16" t="n">
        <f aca="false">H27793-H27794</f>
        <v>474.5</v>
      </c>
      <c r="I27795" s="16" t="n">
        <f aca="false">I27793-I27794</f>
        <v>474.5</v>
      </c>
      <c r="J27795" s="16" t="n">
        <f aca="false">J27793-J27794</f>
        <v>474.5</v>
      </c>
      <c r="K27795" s="16" t="n">
        <f aca="false">K27793-K27794</f>
        <v>474.5</v>
      </c>
    </row>
    <row r="27796" customFormat="false" ht="15" hidden="false" customHeight="false" outlineLevel="0" collapsed="false">
      <c r="A27796" s="3" t="s">
        <v>431</v>
      </c>
      <c r="G27796" s="22" t="n">
        <f aca="false">IF(G27794=0,0,G27795/ABS(G27794))</f>
        <v>5.878752204</v>
      </c>
      <c r="H27796" s="22" t="n">
        <f aca="false">IF(H27794=0,0,H27795/ABS(H27794))</f>
        <v>4.745</v>
      </c>
      <c r="I27796" s="22" t="n">
        <f aca="false">IF(I27794=0,0,I27795/ABS(I27794))</f>
        <v>4.745</v>
      </c>
      <c r="J27796" s="22" t="n">
        <f aca="false">IF(J27794=0,0,J27795/ABS(J27794))</f>
        <v>4.745</v>
      </c>
      <c r="K27796" s="22" t="n">
        <f aca="false">IF(K27794=0,0,K27795/ABS(K27794))</f>
        <v>4.745</v>
      </c>
    </row>
    <row r="27797" customFormat="false" ht="15" hidden="false" customHeight="false" outlineLevel="0" collapsed="false">
      <c r="A27797" s="3" t="s">
        <v>432</v>
      </c>
      <c r="G27797" s="21" t="n">
        <f aca="false">IF(G27795&lt;0,1,0)</f>
        <v>0</v>
      </c>
      <c r="H27797" s="21" t="n">
        <f aca="false">IF(H27795&lt;0,1,0)</f>
        <v>0</v>
      </c>
      <c r="I27797" s="21" t="n">
        <f aca="false">IF(I27795&lt;0,1,0)</f>
        <v>0</v>
      </c>
      <c r="J27797" s="21" t="n">
        <f aca="false">IF(J27795&lt;0,1,0)</f>
        <v>0</v>
      </c>
      <c r="K27797" s="21" t="n">
        <f aca="false">IF(K27795&lt;0,1,0)</f>
        <v>0</v>
      </c>
    </row>
    <row r="27798" customFormat="false" ht="15" hidden="false" customHeight="false" outlineLevel="0" collapsed="false">
      <c r="A27798" s="3" t="s">
        <v>433</v>
      </c>
      <c r="C27798" s="21" t="n">
        <f aca="false">IFERROR(INDEX($G$27523:$K$27523,MATCH(1,$G$27797:$K$27797,0)),0)</f>
        <v>0</v>
      </c>
    </row>
    <row r="27799" customFormat="false" ht="15" hidden="false" customHeight="false" outlineLevel="0" collapsed="false">
      <c r="A27799" s="3" t="s">
        <v>434</v>
      </c>
      <c r="C27799" s="22" t="n">
        <f aca="false">MIN($G$27796:$K$27796)</f>
        <v>4.745</v>
      </c>
    </row>
    <row r="27800" customFormat="false" ht="15" hidden="false" customHeight="false" outlineLevel="0" collapsed="false">
      <c r="A27800" s="24" t="s">
        <v>438</v>
      </c>
      <c r="B27800" s="25"/>
      <c r="C27800" s="25"/>
      <c r="D27800" s="25"/>
      <c r="E27800" s="25"/>
      <c r="F27800" s="25"/>
      <c r="G27800" s="25"/>
      <c r="H27800" s="25"/>
      <c r="I27800" s="25"/>
      <c r="J27800" s="25"/>
      <c r="K27800" s="25"/>
    </row>
    <row r="27801" customFormat="false" ht="15" hidden="false" customHeight="false" outlineLevel="0" collapsed="false">
      <c r="A27801" s="3" t="s">
        <v>428</v>
      </c>
      <c r="G27801" s="32" t="n">
        <f aca="false">IF(G27533&gt;0,G27756/G27533,99)</f>
        <v>10.7113295354159</v>
      </c>
      <c r="H27801" s="32" t="n">
        <f aca="false">IF(H27533&gt;0,H27756/H27533,99)</f>
        <v>11.7466635876661</v>
      </c>
      <c r="I27801" s="32" t="n">
        <f aca="false">IF(I27533&gt;0,I27756/I27533,99)</f>
        <v>12.0963010779583</v>
      </c>
      <c r="J27801" s="32" t="n">
        <f aca="false">IF(J27533&gt;0,J27756/J27533,99)</f>
        <v>12.179433667894</v>
      </c>
      <c r="K27801" s="32" t="n">
        <f aca="false">IF(K27533&gt;0,K27756/K27533,99)</f>
        <v>12.2382385531839</v>
      </c>
    </row>
    <row r="27802" customFormat="false" ht="15" hidden="false" customHeight="false" outlineLevel="0" collapsed="false">
      <c r="A27802" s="3" t="s">
        <v>429</v>
      </c>
      <c r="G27802" s="34" t="n">
        <f aca="false">Assumptions!$G$75</f>
        <v>10.5</v>
      </c>
      <c r="H27802" s="34" t="n">
        <f aca="false">Assumptions!$H$75</f>
        <v>10.5</v>
      </c>
      <c r="I27802" s="34" t="n">
        <f aca="false">Assumptions!$I$75</f>
        <v>10</v>
      </c>
      <c r="J27802" s="34" t="n">
        <f aca="false">Assumptions!$J$75</f>
        <v>10</v>
      </c>
      <c r="K27802" s="34" t="n">
        <f aca="false">Assumptions!$K$75</f>
        <v>9.5</v>
      </c>
    </row>
    <row r="27803" customFormat="false" ht="15" hidden="false" customHeight="false" outlineLevel="0" collapsed="false">
      <c r="A27803" s="3" t="s">
        <v>430</v>
      </c>
      <c r="G27803" s="32" t="n">
        <f aca="false">G27802-G27801</f>
        <v>-0.21132953541588</v>
      </c>
      <c r="H27803" s="32" t="n">
        <f aca="false">H27802-H27801</f>
        <v>-1.24666358766615</v>
      </c>
      <c r="I27803" s="32" t="n">
        <f aca="false">I27802-I27801</f>
        <v>-2.09630107795832</v>
      </c>
      <c r="J27803" s="32" t="n">
        <f aca="false">J27802-J27801</f>
        <v>-2.17943366789398</v>
      </c>
      <c r="K27803" s="32" t="n">
        <f aca="false">K27802-K27801</f>
        <v>-2.73823855318387</v>
      </c>
    </row>
    <row r="27804" customFormat="false" ht="15" hidden="false" customHeight="false" outlineLevel="0" collapsed="false">
      <c r="A27804" s="3" t="s">
        <v>431</v>
      </c>
      <c r="G27804" s="22" t="n">
        <f aca="false">IF(G27802=0,0,G27803/ABS(G27802))</f>
        <v>-0.02012662242056</v>
      </c>
      <c r="H27804" s="22" t="n">
        <f aca="false">IF(H27802=0,0,H27803/ABS(H27802))</f>
        <v>-0.118729865492014</v>
      </c>
      <c r="I27804" s="22" t="n">
        <f aca="false">IF(I27802=0,0,I27803/ABS(I27802))</f>
        <v>-0.209630107795832</v>
      </c>
      <c r="J27804" s="22" t="n">
        <f aca="false">IF(J27802=0,0,J27803/ABS(J27802))</f>
        <v>-0.217943366789398</v>
      </c>
      <c r="K27804" s="22" t="n">
        <f aca="false">IF(K27802=0,0,K27803/ABS(K27802))</f>
        <v>-0.28823563717725</v>
      </c>
    </row>
    <row r="27805" customFormat="false" ht="15" hidden="false" customHeight="false" outlineLevel="0" collapsed="false">
      <c r="A27805" s="3" t="s">
        <v>432</v>
      </c>
      <c r="G27805" s="21" t="n">
        <f aca="false">IF(G27803&lt;0,1,0)</f>
        <v>1</v>
      </c>
      <c r="H27805" s="21" t="n">
        <f aca="false">IF(H27803&lt;0,1,0)</f>
        <v>1</v>
      </c>
      <c r="I27805" s="21" t="n">
        <f aca="false">IF(I27803&lt;0,1,0)</f>
        <v>1</v>
      </c>
      <c r="J27805" s="21" t="n">
        <f aca="false">IF(J27803&lt;0,1,0)</f>
        <v>1</v>
      </c>
      <c r="K27805" s="21" t="n">
        <f aca="false">IF(K27803&lt;0,1,0)</f>
        <v>1</v>
      </c>
    </row>
    <row r="27806" customFormat="false" ht="15" hidden="false" customHeight="false" outlineLevel="0" collapsed="false">
      <c r="A27806" s="3" t="s">
        <v>433</v>
      </c>
      <c r="C27806" s="21" t="n">
        <f aca="false">IFERROR(INDEX($G$27523:$K$27523,MATCH(1,$G$27805:$K$27805,0)),0)</f>
        <v>2027</v>
      </c>
    </row>
    <row r="27807" customFormat="false" ht="15" hidden="false" customHeight="false" outlineLevel="0" collapsed="false">
      <c r="A27807" s="3" t="s">
        <v>434</v>
      </c>
      <c r="C27807" s="22" t="n">
        <f aca="false">MIN($G$27804:$K$27804)</f>
        <v>-0.28823563717725</v>
      </c>
    </row>
    <row r="27808" customFormat="false" ht="15" hidden="false" customHeight="false" outlineLevel="0" collapsed="false">
      <c r="A27808" s="3" t="s">
        <v>439</v>
      </c>
      <c r="G27808" s="21" t="n">
        <f aca="false">G27773+G27781+G27789+G27797+G27805</f>
        <v>3</v>
      </c>
      <c r="H27808" s="21" t="n">
        <f aca="false">H27773+H27781+H27789+H27797+H27805</f>
        <v>3</v>
      </c>
      <c r="I27808" s="21" t="n">
        <f aca="false">I27773+I27781+I27789+I27797+I27805</f>
        <v>3</v>
      </c>
      <c r="J27808" s="21" t="n">
        <f aca="false">J27773+J27781+J27789+J27797+J27805</f>
        <v>3</v>
      </c>
      <c r="K27808" s="21" t="n">
        <f aca="false">K27773+K27781+K27789+K27797+K27805</f>
        <v>3</v>
      </c>
    </row>
    <row r="27809" customFormat="false" ht="15" hidden="false" customHeight="false" outlineLevel="0" collapsed="false">
      <c r="A27809" s="3" t="s">
        <v>440</v>
      </c>
      <c r="C27809" s="21" t="n">
        <f aca="false">SUM($G$27808:$K$27808)</f>
        <v>15</v>
      </c>
    </row>
    <row r="27810" customFormat="false" ht="15" hidden="false" customHeight="false" outlineLevel="0" collapsed="false">
      <c r="A27810" s="3" t="s">
        <v>441</v>
      </c>
      <c r="C27810" s="22" t="n">
        <f aca="false">MIN(C27775,C27783,C27791,C27799,C27807)</f>
        <v>-0.28823563717725</v>
      </c>
    </row>
    <row r="27812" customFormat="false" ht="15" hidden="false" customHeight="false" outlineLevel="0" collapsed="false">
      <c r="A27812" s="24" t="s">
        <v>543</v>
      </c>
      <c r="B27812" s="25"/>
      <c r="C27812" s="25"/>
      <c r="D27812" s="25"/>
      <c r="E27812" s="25"/>
      <c r="F27812" s="25"/>
      <c r="G27812" s="25"/>
      <c r="H27812" s="25"/>
      <c r="I27812" s="25"/>
      <c r="J27812" s="25"/>
      <c r="K27812" s="25"/>
    </row>
    <row r="27813" customFormat="false" ht="15" hidden="false" customHeight="false" outlineLevel="0" collapsed="false">
      <c r="A27813" s="3" t="s">
        <v>544</v>
      </c>
      <c r="G27813" s="21" t="n">
        <f aca="false">IF($C$27814=1,G27750,IF(G27533=MIN($G$27533:$K$27533),1,0))</f>
        <v>0</v>
      </c>
      <c r="H27813" s="21" t="n">
        <f aca="false">IF($C$27814=1,H27750,IF(AND(H27533=MIN($G$27533:$K$27533),SUM($G$27813:G27813)=0),1,0))</f>
        <v>1</v>
      </c>
      <c r="I27813" s="21" t="n">
        <f aca="false">IF($C$27814=1,I27750,IF(AND(I27533=MIN($G$27533:$K$27533),SUM($G$27813:H27813)=0),1,0))</f>
        <v>0</v>
      </c>
      <c r="J27813" s="21" t="n">
        <f aca="false">IF($C$27814=1,J27750,IF(AND(J27533=MIN($G$27533:$K$27533),SUM($G$27813:I27813)=0),1,0))</f>
        <v>0</v>
      </c>
      <c r="K27813" s="21" t="n">
        <f aca="false">IF($C$27814=1,K27750,IF(AND(K27533=MIN($G$27533:$K$27533),SUM($G$27813:J27813)=0),1,0))</f>
        <v>0</v>
      </c>
    </row>
    <row r="27814" customFormat="false" ht="15" hidden="false" customHeight="false" outlineLevel="0" collapsed="false">
      <c r="A27814" s="3" t="s">
        <v>545</v>
      </c>
      <c r="C27814" s="21" t="n">
        <f aca="false">IF(SUM($G$27750:$K$27750)&gt;0,1,0)</f>
        <v>1</v>
      </c>
    </row>
    <row r="27815" customFormat="false" ht="15" hidden="false" customHeight="false" outlineLevel="0" collapsed="false">
      <c r="A27815" s="3" t="s">
        <v>546</v>
      </c>
      <c r="C27815" s="21" t="n">
        <f aca="false">SUMPRODUCT($G$27813:$K$27813,$G$27523:$K$27523)</f>
        <v>2028</v>
      </c>
    </row>
    <row r="27816" customFormat="false" ht="15" hidden="false" customHeight="false" outlineLevel="0" collapsed="false">
      <c r="A27816" s="3" t="s">
        <v>547</v>
      </c>
      <c r="C27816" s="16" t="n">
        <f aca="false">SUMPRODUCT($G$27813:$K$27813,$G$27533:$K$27533)</f>
        <v>220.355740893</v>
      </c>
    </row>
    <row r="27817" customFormat="false" ht="15" hidden="false" customHeight="false" outlineLevel="0" collapsed="false">
      <c r="A27817" s="3" t="s">
        <v>548</v>
      </c>
      <c r="C27817" s="16" t="n">
        <f aca="false">MAX(0,SUMPRODUCT($G$27813:$K$27813,$G$27747:$K$27747))</f>
        <v>0</v>
      </c>
    </row>
    <row r="27818" customFormat="false" ht="15" hidden="false" customHeight="false" outlineLevel="0" collapsed="false">
      <c r="A27818" s="3" t="s">
        <v>549</v>
      </c>
      <c r="C27818" s="16" t="n">
        <f aca="false">(CHOOSE($C$27516,Assumptions!$C$92,Assumptions!$C$111,Assumptions!$C$130)+$C$27520)*C27816</f>
        <v>1983.201668037</v>
      </c>
    </row>
    <row r="27819" customFormat="false" ht="15" hidden="false" customHeight="false" outlineLevel="0" collapsed="false">
      <c r="A27819" s="3" t="s">
        <v>550</v>
      </c>
      <c r="C27819" s="16" t="n">
        <f aca="false">Assumptions!$C$31*(1-CHOOSE($C$27516,Assumptions!$C$93,Assumptions!$C$112,Assumptions!$C$131))*CHOOSE($C$27516,Assumptions!$C$94,Assumptions!$C$113,Assumptions!$C$132)</f>
        <v>3264.03873166667</v>
      </c>
    </row>
    <row r="27820" customFormat="false" ht="15" hidden="false" customHeight="false" outlineLevel="0" collapsed="false">
      <c r="A27820" s="3" t="s">
        <v>551</v>
      </c>
      <c r="C27820" s="16" t="n">
        <f aca="false">MAX(C27818,C27819)+C27817</f>
        <v>3264.03873166667</v>
      </c>
    </row>
    <row r="27821" customFormat="false" ht="15" hidden="false" customHeight="false" outlineLevel="0" collapsed="false">
      <c r="A27821" s="2" t="s">
        <v>552</v>
      </c>
      <c r="C27821" s="17" t="n">
        <f aca="false">IF(ISNUMBER(Assumptions!$C$14),Assumptions!$C$14,C27820)</f>
        <v>3264.03873166667</v>
      </c>
    </row>
    <row r="27822" customFormat="false" ht="15" hidden="false" customHeight="false" outlineLevel="0" collapsed="false">
      <c r="A27822" s="3" t="s">
        <v>553</v>
      </c>
      <c r="C27822" s="16" t="n">
        <f aca="false">C27821*Assumptions!$C$15</f>
        <v>130.561549266667</v>
      </c>
    </row>
    <row r="27823" customFormat="false" ht="15" hidden="false" customHeight="false" outlineLevel="0" collapsed="false">
      <c r="A27823" s="2" t="s">
        <v>554</v>
      </c>
      <c r="C27823" s="17" t="n">
        <f aca="false">C27821-C27822</f>
        <v>3133.4771824</v>
      </c>
    </row>
    <row r="27824" customFormat="false" ht="15" hidden="false" customHeight="false" outlineLevel="0" collapsed="false">
      <c r="A27824" s="24" t="s">
        <v>555</v>
      </c>
      <c r="B27824" s="25"/>
      <c r="C27824" s="25"/>
      <c r="D27824" s="25"/>
      <c r="E27824" s="25"/>
      <c r="F27824" s="25"/>
      <c r="G27824" s="25"/>
      <c r="H27824" s="25"/>
      <c r="I27824" s="25"/>
      <c r="J27824" s="25"/>
      <c r="K27824" s="25"/>
    </row>
    <row r="27825" customFormat="false" ht="15" hidden="false" customHeight="false" outlineLevel="0" collapsed="false">
      <c r="A27825" s="3" t="s">
        <v>556</v>
      </c>
      <c r="C27825" s="16" t="n">
        <f aca="false">SUMPRODUCT($G$27813:$K$27813,$G$27570:$K$27570)*(1+SUMPRODUCT($G$27813:$K$27813,$G$27562:$K$27562)*Assumptions!$C$16/12)</f>
        <v>404.25</v>
      </c>
    </row>
    <row r="27826" customFormat="false" ht="15" hidden="false" customHeight="false" outlineLevel="0" collapsed="false">
      <c r="A27826" s="3" t="s">
        <v>557</v>
      </c>
      <c r="C27826" s="16" t="n">
        <f aca="false">SUMPRODUCT($G$27813:$K$27813,$G$27583:$K$27583)*(1+SUMPRODUCT($G$27813:$K$27813,$G$27575:$K$27575)*Assumptions!$C$16/12)</f>
        <v>91.30725</v>
      </c>
    </row>
    <row r="27827" customFormat="false" ht="15" hidden="false" customHeight="false" outlineLevel="0" collapsed="false">
      <c r="A27827" s="3" t="s">
        <v>558</v>
      </c>
      <c r="C27827" s="16" t="n">
        <f aca="false">SUMPRODUCT($G$27813:$K$27813,$G$27596:$K$27596)*(1+SUMPRODUCT($G$27813:$K$27813,$G$27588:$K$27588)*Assumptions!$C$16/12)</f>
        <v>58.3715961</v>
      </c>
    </row>
    <row r="27828" customFormat="false" ht="15" hidden="false" customHeight="false" outlineLevel="0" collapsed="false">
      <c r="A27828" s="3" t="s">
        <v>559</v>
      </c>
      <c r="C27828" s="16" t="n">
        <f aca="false">SUMPRODUCT($G$27813:$K$27813,$G$27609:$K$27609)*(1+SUMPRODUCT($G$27813:$K$27813,$G$27601:$K$27601)*Assumptions!$C$16/12)</f>
        <v>0</v>
      </c>
    </row>
    <row r="27829" customFormat="false" ht="15" hidden="false" customHeight="false" outlineLevel="0" collapsed="false">
      <c r="A27829" s="3" t="s">
        <v>560</v>
      </c>
      <c r="C27829" s="16" t="n">
        <f aca="false">SUMPRODUCT($G$27813:$K$27813,$G$27622:$K$27622)*(1+SUMPRODUCT($G$27813:$K$27813,$G$27614:$K$27614)*Assumptions!$C$16/12)</f>
        <v>424.663301615075</v>
      </c>
    </row>
    <row r="27830" customFormat="false" ht="15" hidden="false" customHeight="false" outlineLevel="0" collapsed="false">
      <c r="A27830" s="3" t="s">
        <v>561</v>
      </c>
      <c r="C27830" s="16" t="n">
        <f aca="false">SUMPRODUCT($G$27813:$K$27813,$G$27635:$K$27635)*(1+SUMPRODUCT($G$27813:$K$27813,$G$27627:$K$27627)*Assumptions!$C$16/12)</f>
        <v>357.2625</v>
      </c>
    </row>
    <row r="27831" customFormat="false" ht="15" hidden="false" customHeight="false" outlineLevel="0" collapsed="false">
      <c r="A27831" s="3" t="s">
        <v>562</v>
      </c>
      <c r="C27831" s="16" t="n">
        <f aca="false">SUMPRODUCT($G$27813:$K$27813,$G$27648:$K$27648)*(1+SUMPRODUCT($G$27813:$K$27813,$G$27640:$K$27640)*Assumptions!$C$16/12)</f>
        <v>562.203125</v>
      </c>
    </row>
    <row r="27832" customFormat="false" ht="15" hidden="false" customHeight="false" outlineLevel="0" collapsed="false">
      <c r="A27832" s="3" t="s">
        <v>563</v>
      </c>
      <c r="C27832" s="16" t="n">
        <f aca="false">SUMPRODUCT($G$27813:$K$27813,$G$27661:$K$27661)*(1+SUMPRODUCT($G$27813:$K$27813,$G$27653:$K$27653)*Assumptions!$C$16/12)</f>
        <v>353.98125</v>
      </c>
    </row>
    <row r="27833" customFormat="false" ht="15" hidden="false" customHeight="false" outlineLevel="0" collapsed="false">
      <c r="A27833" s="3" t="s">
        <v>564</v>
      </c>
      <c r="C27833" s="16" t="n">
        <f aca="false">SUMPRODUCT($G$27813:$K$27813,$G$27674:$K$27674)*(1+SUMPRODUCT($G$27813:$K$27813,$G$27666:$K$27666)*Assumptions!$C$16/12)</f>
        <v>304.59375</v>
      </c>
    </row>
    <row r="27834" customFormat="false" ht="15" hidden="false" customHeight="false" outlineLevel="0" collapsed="false">
      <c r="A27834" s="3" t="s">
        <v>565</v>
      </c>
      <c r="C27834" s="16" t="n">
        <f aca="false">SUMPRODUCT($G$27813:$K$27813,$G$27687:$K$27687)*(1+SUMPRODUCT($G$27813:$K$27813,$G$27679:$K$27679)*Assumptions!$C$16/12)</f>
        <v>80.331559</v>
      </c>
    </row>
    <row r="27835" customFormat="false" ht="15" hidden="false" customHeight="false" outlineLevel="0" collapsed="false">
      <c r="A27835" s="24" t="s">
        <v>566</v>
      </c>
      <c r="B27835" s="25"/>
      <c r="C27835" s="25"/>
      <c r="D27835" s="25"/>
      <c r="E27835" s="25"/>
      <c r="F27835" s="25"/>
      <c r="G27835" s="25"/>
      <c r="H27835" s="25"/>
      <c r="I27835" s="25"/>
      <c r="J27835" s="25"/>
      <c r="K27835" s="25"/>
    </row>
    <row r="27836" customFormat="false" ht="15" hidden="false" customHeight="false" outlineLevel="0" collapsed="false">
      <c r="A27836" s="3" t="s">
        <v>556</v>
      </c>
      <c r="C27836" s="27" t="n">
        <f aca="false">Assumptions!$M$57</f>
        <v>1</v>
      </c>
    </row>
    <row r="27837" customFormat="false" ht="15" hidden="false" customHeight="false" outlineLevel="0" collapsed="false">
      <c r="A27837" s="3" t="s">
        <v>557</v>
      </c>
      <c r="C27837" s="27" t="n">
        <f aca="false">Assumptions!$M$58</f>
        <v>1</v>
      </c>
    </row>
    <row r="27838" customFormat="false" ht="15" hidden="false" customHeight="false" outlineLevel="0" collapsed="false">
      <c r="A27838" s="3" t="s">
        <v>558</v>
      </c>
      <c r="C27838" s="27" t="n">
        <f aca="false">Assumptions!$M$59</f>
        <v>1</v>
      </c>
    </row>
    <row r="27839" customFormat="false" ht="15" hidden="false" customHeight="false" outlineLevel="0" collapsed="false">
      <c r="A27839" s="3" t="s">
        <v>559</v>
      </c>
      <c r="C27839" s="27" t="n">
        <f aca="false">Assumptions!$M$60</f>
        <v>2</v>
      </c>
    </row>
    <row r="27840" customFormat="false" ht="15" hidden="false" customHeight="false" outlineLevel="0" collapsed="false">
      <c r="A27840" s="3" t="s">
        <v>560</v>
      </c>
      <c r="C27840" s="27" t="n">
        <f aca="false">Assumptions!$M$61</f>
        <v>2</v>
      </c>
    </row>
    <row r="27841" customFormat="false" ht="15" hidden="false" customHeight="false" outlineLevel="0" collapsed="false">
      <c r="A27841" s="3" t="s">
        <v>561</v>
      </c>
      <c r="C27841" s="27" t="n">
        <f aca="false">Assumptions!$M$62</f>
        <v>2</v>
      </c>
    </row>
    <row r="27842" customFormat="false" ht="15" hidden="false" customHeight="false" outlineLevel="0" collapsed="false">
      <c r="A27842" s="3" t="s">
        <v>562</v>
      </c>
      <c r="C27842" s="27" t="n">
        <f aca="false">Assumptions!$M$63</f>
        <v>2</v>
      </c>
    </row>
    <row r="27843" customFormat="false" ht="15" hidden="false" customHeight="false" outlineLevel="0" collapsed="false">
      <c r="A27843" s="3" t="s">
        <v>563</v>
      </c>
      <c r="C27843" s="27" t="n">
        <f aca="false">Assumptions!$M$64</f>
        <v>2</v>
      </c>
    </row>
    <row r="27844" customFormat="false" ht="15" hidden="false" customHeight="false" outlineLevel="0" collapsed="false">
      <c r="A27844" s="3" t="s">
        <v>564</v>
      </c>
      <c r="C27844" s="27" t="n">
        <f aca="false">Assumptions!$M$65</f>
        <v>2</v>
      </c>
    </row>
    <row r="27845" customFormat="false" ht="15" hidden="false" customHeight="false" outlineLevel="0" collapsed="false">
      <c r="A27845" s="3" t="s">
        <v>565</v>
      </c>
      <c r="C27845" s="27" t="n">
        <f aca="false">Assumptions!$M$66</f>
        <v>3</v>
      </c>
    </row>
    <row r="27846" customFormat="false" ht="15" hidden="false" customHeight="false" outlineLevel="0" collapsed="false">
      <c r="A27846" s="24" t="s">
        <v>567</v>
      </c>
      <c r="B27846" s="25"/>
      <c r="C27846" s="25"/>
      <c r="D27846" s="25"/>
      <c r="E27846" s="25"/>
      <c r="F27846" s="25"/>
      <c r="G27846" s="25"/>
      <c r="H27846" s="25"/>
      <c r="I27846" s="25"/>
      <c r="J27846" s="25"/>
      <c r="K27846" s="25"/>
    </row>
    <row r="27847" customFormat="false" ht="15" hidden="false" customHeight="false" outlineLevel="0" collapsed="false">
      <c r="A27847" s="3" t="s">
        <v>556</v>
      </c>
      <c r="C27847" s="33" t="n">
        <f aca="false">Assumptions!$Q$57</f>
        <v>0.3</v>
      </c>
    </row>
    <row r="27848" customFormat="false" ht="15" hidden="false" customHeight="false" outlineLevel="0" collapsed="false">
      <c r="A27848" s="3" t="s">
        <v>557</v>
      </c>
      <c r="C27848" s="33" t="n">
        <f aca="false">Assumptions!$Q$58</f>
        <v>0.033</v>
      </c>
    </row>
    <row r="27849" customFormat="false" ht="15" hidden="false" customHeight="false" outlineLevel="0" collapsed="false">
      <c r="A27849" s="3" t="s">
        <v>558</v>
      </c>
      <c r="C27849" s="33" t="n">
        <f aca="false">Assumptions!$Q$59</f>
        <v>0.021</v>
      </c>
    </row>
    <row r="27850" customFormat="false" ht="15" hidden="false" customHeight="false" outlineLevel="0" collapsed="false">
      <c r="A27850" s="3" t="s">
        <v>559</v>
      </c>
      <c r="C27850" s="33" t="n">
        <f aca="false">Assumptions!$Q$60</f>
        <v>0</v>
      </c>
    </row>
    <row r="27851" customFormat="false" ht="15" hidden="false" customHeight="false" outlineLevel="0" collapsed="false">
      <c r="A27851" s="3" t="s">
        <v>560</v>
      </c>
      <c r="C27851" s="33" t="n">
        <f aca="false">Assumptions!$Q$61</f>
        <v>0</v>
      </c>
    </row>
    <row r="27852" customFormat="false" ht="15" hidden="false" customHeight="false" outlineLevel="0" collapsed="false">
      <c r="A27852" s="3" t="s">
        <v>561</v>
      </c>
      <c r="C27852" s="33" t="n">
        <f aca="false">Assumptions!$Q$62</f>
        <v>0</v>
      </c>
    </row>
    <row r="27853" customFormat="false" ht="15" hidden="false" customHeight="false" outlineLevel="0" collapsed="false">
      <c r="A27853" s="3" t="s">
        <v>562</v>
      </c>
      <c r="C27853" s="33" t="n">
        <f aca="false">Assumptions!$Q$63</f>
        <v>0</v>
      </c>
    </row>
    <row r="27854" customFormat="false" ht="15" hidden="false" customHeight="false" outlineLevel="0" collapsed="false">
      <c r="A27854" s="3" t="s">
        <v>563</v>
      </c>
      <c r="C27854" s="33" t="n">
        <f aca="false">Assumptions!$Q$64</f>
        <v>0</v>
      </c>
    </row>
    <row r="27855" customFormat="false" ht="15" hidden="false" customHeight="false" outlineLevel="0" collapsed="false">
      <c r="A27855" s="3" t="s">
        <v>564</v>
      </c>
      <c r="C27855" s="33" t="n">
        <f aca="false">Assumptions!$Q$65</f>
        <v>0</v>
      </c>
    </row>
    <row r="27856" customFormat="false" ht="15" hidden="false" customHeight="false" outlineLevel="0" collapsed="false">
      <c r="A27856" s="3" t="s">
        <v>565</v>
      </c>
      <c r="C27856" s="33" t="n">
        <f aca="false">Assumptions!$Q$66</f>
        <v>0</v>
      </c>
    </row>
    <row r="27857" customFormat="false" ht="15" hidden="false" customHeight="false" outlineLevel="0" collapsed="false">
      <c r="A27857" s="24" t="s">
        <v>568</v>
      </c>
      <c r="B27857" s="25"/>
      <c r="C27857" s="25"/>
      <c r="D27857" s="25"/>
      <c r="E27857" s="25"/>
      <c r="F27857" s="25"/>
      <c r="G27857" s="25"/>
      <c r="H27857" s="25"/>
      <c r="I27857" s="25"/>
      <c r="J27857" s="25"/>
      <c r="K27857" s="25"/>
    </row>
    <row r="27858" customFormat="false" ht="15" hidden="false" customHeight="false" outlineLevel="0" collapsed="false">
      <c r="A27858" s="3" t="s">
        <v>556</v>
      </c>
      <c r="C27858" s="16" t="n">
        <f aca="false">IF(C27847&gt;0,MIN(C27825,C27847*$C$27823),0)</f>
        <v>404.25</v>
      </c>
    </row>
    <row r="27859" customFormat="false" ht="15" hidden="false" customHeight="false" outlineLevel="0" collapsed="false">
      <c r="A27859" s="3" t="s">
        <v>557</v>
      </c>
      <c r="C27859" s="16" t="n">
        <f aca="false">IF(C27848&gt;0,MIN(C27826,C27848*$C$27823),0)</f>
        <v>91.30725</v>
      </c>
    </row>
    <row r="27860" customFormat="false" ht="15" hidden="false" customHeight="false" outlineLevel="0" collapsed="false">
      <c r="A27860" s="3" t="s">
        <v>558</v>
      </c>
      <c r="C27860" s="16" t="n">
        <f aca="false">IF(C27849&gt;0,MIN(C27827,C27849*$C$27823),0)</f>
        <v>58.3715961</v>
      </c>
    </row>
    <row r="27861" customFormat="false" ht="15" hidden="false" customHeight="false" outlineLevel="0" collapsed="false">
      <c r="A27861" s="3" t="s">
        <v>559</v>
      </c>
      <c r="C27861" s="16" t="n">
        <f aca="false">IF(C27850&gt;0,MIN(C27828,C27850*$C$27823),0)</f>
        <v>0</v>
      </c>
    </row>
    <row r="27862" customFormat="false" ht="15" hidden="false" customHeight="false" outlineLevel="0" collapsed="false">
      <c r="A27862" s="3" t="s">
        <v>560</v>
      </c>
      <c r="C27862" s="16" t="n">
        <f aca="false">IF(C27851&gt;0,MIN(C27829,C27851*$C$27823),0)</f>
        <v>0</v>
      </c>
    </row>
    <row r="27863" customFormat="false" ht="15" hidden="false" customHeight="false" outlineLevel="0" collapsed="false">
      <c r="A27863" s="3" t="s">
        <v>561</v>
      </c>
      <c r="C27863" s="16" t="n">
        <f aca="false">IF(C27852&gt;0,MIN(C27830,C27852*$C$27823),0)</f>
        <v>0</v>
      </c>
    </row>
    <row r="27864" customFormat="false" ht="15" hidden="false" customHeight="false" outlineLevel="0" collapsed="false">
      <c r="A27864" s="3" t="s">
        <v>562</v>
      </c>
      <c r="C27864" s="16" t="n">
        <f aca="false">IF(C27853&gt;0,MIN(C27831,C27853*$C$27823),0)</f>
        <v>0</v>
      </c>
    </row>
    <row r="27865" customFormat="false" ht="15" hidden="false" customHeight="false" outlineLevel="0" collapsed="false">
      <c r="A27865" s="3" t="s">
        <v>563</v>
      </c>
      <c r="C27865" s="16" t="n">
        <f aca="false">IF(C27854&gt;0,MIN(C27832,C27854*$C$27823),0)</f>
        <v>0</v>
      </c>
    </row>
    <row r="27866" customFormat="false" ht="15" hidden="false" customHeight="false" outlineLevel="0" collapsed="false">
      <c r="A27866" s="3" t="s">
        <v>564</v>
      </c>
      <c r="C27866" s="16" t="n">
        <f aca="false">IF(C27855&gt;0,MIN(C27833,C27855*$C$27823),0)</f>
        <v>0</v>
      </c>
    </row>
    <row r="27867" customFormat="false" ht="15" hidden="false" customHeight="false" outlineLevel="0" collapsed="false">
      <c r="A27867" s="3" t="s">
        <v>565</v>
      </c>
      <c r="C27867" s="16" t="n">
        <f aca="false">IF(C27856&gt;0,MIN(C27834,C27856*$C$27823),0)</f>
        <v>0</v>
      </c>
    </row>
    <row r="27868" customFormat="false" ht="15" hidden="false" customHeight="false" outlineLevel="0" collapsed="false">
      <c r="A27868" s="24" t="s">
        <v>569</v>
      </c>
      <c r="B27868" s="25"/>
      <c r="C27868" s="25"/>
      <c r="D27868" s="25"/>
      <c r="E27868" s="25"/>
      <c r="F27868" s="25"/>
      <c r="G27868" s="25"/>
      <c r="H27868" s="25"/>
      <c r="I27868" s="25"/>
      <c r="J27868" s="25"/>
      <c r="K27868" s="25"/>
    </row>
    <row r="27869" customFormat="false" ht="15" hidden="false" customHeight="false" outlineLevel="0" collapsed="false">
      <c r="A27869" s="3" t="s">
        <v>556</v>
      </c>
      <c r="C27869" s="16" t="n">
        <f aca="false">IF(C27847&gt;0,C27825-C27858,0)</f>
        <v>0</v>
      </c>
      <c r="G27869" s="21" t="n">
        <f aca="false">IF(AND(G27560=1,G27557=1),1,0)</f>
        <v>0</v>
      </c>
      <c r="H27869" s="21" t="n">
        <f aca="false">IF(G27869=1,1,IF(AND(H27560=1,H27557=1),1,0))</f>
        <v>0</v>
      </c>
      <c r="I27869" s="21" t="n">
        <f aca="false">IF(H27869=1,1,IF(AND(I27560=1,I27557=1),1,0))</f>
        <v>0</v>
      </c>
      <c r="J27869" s="21" t="n">
        <f aca="false">IF(I27869=1,1,IF(AND(J27560=1,J27557=1),1,0))</f>
        <v>0</v>
      </c>
      <c r="K27869" s="21" t="n">
        <f aca="false">IF(J27869=1,1,IF(AND(K27560=1,K27557=1),1,0))</f>
        <v>0</v>
      </c>
    </row>
    <row r="27870" customFormat="false" ht="15" hidden="false" customHeight="false" outlineLevel="0" collapsed="false">
      <c r="A27870" s="3" t="s">
        <v>557</v>
      </c>
      <c r="C27870" s="16" t="n">
        <f aca="false">IF(C27848&gt;0,C27826-C27859,0)</f>
        <v>0</v>
      </c>
      <c r="G27870" s="21" t="n">
        <f aca="false">IF(AND(G27573=1,G27557=1),1,0)</f>
        <v>0</v>
      </c>
      <c r="H27870" s="21" t="n">
        <f aca="false">IF(G27870=1,1,IF(AND(H27573=1,H27557=1),1,0))</f>
        <v>0</v>
      </c>
      <c r="I27870" s="21" t="n">
        <f aca="false">IF(H27870=1,1,IF(AND(I27573=1,I27557=1),1,0))</f>
        <v>0</v>
      </c>
      <c r="J27870" s="21" t="n">
        <f aca="false">IF(I27870=1,1,IF(AND(J27573=1,J27557=1),1,0))</f>
        <v>0</v>
      </c>
      <c r="K27870" s="21" t="n">
        <f aca="false">IF(J27870=1,1,IF(AND(K27573=1,K27557=1),1,0))</f>
        <v>0</v>
      </c>
    </row>
    <row r="27871" customFormat="false" ht="15" hidden="false" customHeight="false" outlineLevel="0" collapsed="false">
      <c r="A27871" s="3" t="s">
        <v>558</v>
      </c>
      <c r="C27871" s="16" t="n">
        <f aca="false">IF(C27849&gt;0,C27827-C27860,0)</f>
        <v>0</v>
      </c>
      <c r="G27871" s="21" t="n">
        <f aca="false">IF(AND(G27586=1,G27557=1),1,0)</f>
        <v>0</v>
      </c>
      <c r="H27871" s="21" t="n">
        <f aca="false">IF(G27871=1,1,IF(AND(H27586=1,H27557=1),1,0))</f>
        <v>0</v>
      </c>
      <c r="I27871" s="21" t="n">
        <f aca="false">IF(H27871=1,1,IF(AND(I27586=1,I27557=1),1,0))</f>
        <v>0</v>
      </c>
      <c r="J27871" s="21" t="n">
        <f aca="false">IF(I27871=1,1,IF(AND(J27586=1,J27557=1),1,0))</f>
        <v>0</v>
      </c>
      <c r="K27871" s="21" t="n">
        <f aca="false">IF(J27871=1,1,IF(AND(K27586=1,K27557=1),1,0))</f>
        <v>0</v>
      </c>
    </row>
    <row r="27872" customFormat="false" ht="15" hidden="false" customHeight="false" outlineLevel="0" collapsed="false">
      <c r="A27872" s="3" t="s">
        <v>559</v>
      </c>
      <c r="C27872" s="16" t="n">
        <f aca="false">IF(C27850&gt;0,C27828-C27861,0)</f>
        <v>0</v>
      </c>
      <c r="G27872" s="21" t="n">
        <f aca="false">IF(AND(G27599=1,G27557=1),1,0)</f>
        <v>0</v>
      </c>
      <c r="H27872" s="21" t="n">
        <f aca="false">IF(G27872=1,1,IF(AND(H27599=1,H27557=1),1,0))</f>
        <v>0</v>
      </c>
      <c r="I27872" s="21" t="n">
        <f aca="false">IF(H27872=1,1,IF(AND(I27599=1,I27557=1),1,0))</f>
        <v>0</v>
      </c>
      <c r="J27872" s="21" t="n">
        <f aca="false">IF(I27872=1,1,IF(AND(J27599=1,J27557=1),1,0))</f>
        <v>0</v>
      </c>
      <c r="K27872" s="21" t="n">
        <f aca="false">IF(J27872=1,1,IF(AND(K27599=1,K27557=1),1,0))</f>
        <v>0</v>
      </c>
    </row>
    <row r="27873" customFormat="false" ht="15" hidden="false" customHeight="false" outlineLevel="0" collapsed="false">
      <c r="A27873" s="3" t="s">
        <v>560</v>
      </c>
      <c r="C27873" s="16" t="n">
        <f aca="false">IF(C27851&gt;0,C27829-C27862,0)</f>
        <v>0</v>
      </c>
      <c r="G27873" s="21" t="n">
        <f aca="false">IF(AND(G27612=1,G27557=1),1,0)</f>
        <v>0</v>
      </c>
      <c r="H27873" s="21" t="n">
        <f aca="false">IF(G27873=1,1,IF(AND(H27612=1,H27557=1),1,0))</f>
        <v>0</v>
      </c>
      <c r="I27873" s="21" t="n">
        <f aca="false">IF(H27873=1,1,IF(AND(I27612=1,I27557=1),1,0))</f>
        <v>0</v>
      </c>
      <c r="J27873" s="21" t="n">
        <f aca="false">IF(I27873=1,1,IF(AND(J27612=1,J27557=1),1,0))</f>
        <v>0</v>
      </c>
      <c r="K27873" s="21" t="n">
        <f aca="false">IF(J27873=1,1,IF(AND(K27612=1,K27557=1),1,0))</f>
        <v>0</v>
      </c>
    </row>
    <row r="27874" customFormat="false" ht="15" hidden="false" customHeight="false" outlineLevel="0" collapsed="false">
      <c r="A27874" s="3" t="s">
        <v>561</v>
      </c>
      <c r="C27874" s="16" t="n">
        <f aca="false">IF(C27852&gt;0,C27830-C27863,0)</f>
        <v>0</v>
      </c>
      <c r="G27874" s="21" t="n">
        <f aca="false">IF(AND(G27625=1,G27557=1),1,0)</f>
        <v>0</v>
      </c>
      <c r="H27874" s="21" t="n">
        <f aca="false">IF(G27874=1,1,IF(AND(H27625=1,H27557=1),1,0))</f>
        <v>0</v>
      </c>
      <c r="I27874" s="21" t="n">
        <f aca="false">IF(H27874=1,1,IF(AND(I27625=1,I27557=1),1,0))</f>
        <v>0</v>
      </c>
      <c r="J27874" s="21" t="n">
        <f aca="false">IF(I27874=1,1,IF(AND(J27625=1,J27557=1),1,0))</f>
        <v>0</v>
      </c>
      <c r="K27874" s="21" t="n">
        <f aca="false">IF(J27874=1,1,IF(AND(K27625=1,K27557=1),1,0))</f>
        <v>0</v>
      </c>
    </row>
    <row r="27875" customFormat="false" ht="15" hidden="false" customHeight="false" outlineLevel="0" collapsed="false">
      <c r="A27875" s="3" t="s">
        <v>562</v>
      </c>
      <c r="C27875" s="16" t="n">
        <f aca="false">IF(C27853&gt;0,C27831-C27864,0)</f>
        <v>0</v>
      </c>
      <c r="G27875" s="21" t="n">
        <f aca="false">IF(AND(G27638=1,G27557=1),1,0)</f>
        <v>0</v>
      </c>
      <c r="H27875" s="21" t="n">
        <f aca="false">IF(G27875=1,1,IF(AND(H27638=1,H27557=1),1,0))</f>
        <v>0</v>
      </c>
      <c r="I27875" s="21" t="n">
        <f aca="false">IF(H27875=1,1,IF(AND(I27638=1,I27557=1),1,0))</f>
        <v>0</v>
      </c>
      <c r="J27875" s="21" t="n">
        <f aca="false">IF(I27875=1,1,IF(AND(J27638=1,J27557=1),1,0))</f>
        <v>0</v>
      </c>
      <c r="K27875" s="21" t="n">
        <f aca="false">IF(J27875=1,1,IF(AND(K27638=1,K27557=1),1,0))</f>
        <v>0</v>
      </c>
    </row>
    <row r="27876" customFormat="false" ht="15" hidden="false" customHeight="false" outlineLevel="0" collapsed="false">
      <c r="A27876" s="3" t="s">
        <v>563</v>
      </c>
      <c r="C27876" s="16" t="n">
        <f aca="false">IF(C27854&gt;0,C27832-C27865,0)</f>
        <v>0</v>
      </c>
      <c r="G27876" s="21" t="n">
        <f aca="false">IF(AND(G27651=1,G27557=1),1,0)</f>
        <v>0</v>
      </c>
      <c r="H27876" s="21" t="n">
        <f aca="false">IF(G27876=1,1,IF(AND(H27651=1,H27557=1),1,0))</f>
        <v>0</v>
      </c>
      <c r="I27876" s="21" t="n">
        <f aca="false">IF(H27876=1,1,IF(AND(I27651=1,I27557=1),1,0))</f>
        <v>0</v>
      </c>
      <c r="J27876" s="21" t="n">
        <f aca="false">IF(I27876=1,1,IF(AND(J27651=1,J27557=1),1,0))</f>
        <v>0</v>
      </c>
      <c r="K27876" s="21" t="n">
        <f aca="false">IF(J27876=1,1,IF(AND(K27651=1,K27557=1),1,0))</f>
        <v>0</v>
      </c>
    </row>
    <row r="27877" customFormat="false" ht="15" hidden="false" customHeight="false" outlineLevel="0" collapsed="false">
      <c r="A27877" s="3" t="s">
        <v>564</v>
      </c>
      <c r="C27877" s="16" t="n">
        <f aca="false">IF(C27855&gt;0,C27833-C27866,0)</f>
        <v>0</v>
      </c>
      <c r="G27877" s="21" t="n">
        <f aca="false">IF(AND(G27664=1,G27557=1),1,0)</f>
        <v>0</v>
      </c>
      <c r="H27877" s="21" t="n">
        <f aca="false">IF(G27877=1,1,IF(AND(H27664=1,H27557=1),1,0))</f>
        <v>0</v>
      </c>
      <c r="I27877" s="21" t="n">
        <f aca="false">IF(H27877=1,1,IF(AND(I27664=1,I27557=1),1,0))</f>
        <v>0</v>
      </c>
      <c r="J27877" s="21" t="n">
        <f aca="false">IF(I27877=1,1,IF(AND(J27664=1,J27557=1),1,0))</f>
        <v>0</v>
      </c>
      <c r="K27877" s="21" t="n">
        <f aca="false">IF(J27877=1,1,IF(AND(K27664=1,K27557=1),1,0))</f>
        <v>0</v>
      </c>
    </row>
    <row r="27878" customFormat="false" ht="15" hidden="false" customHeight="false" outlineLevel="0" collapsed="false">
      <c r="A27878" s="3" t="s">
        <v>565</v>
      </c>
      <c r="C27878" s="16" t="n">
        <f aca="false">IF(C27856&gt;0,C27834-C27867,0)</f>
        <v>0</v>
      </c>
      <c r="G27878" s="21" t="n">
        <f aca="false">IF(AND(G27677=1,G27557=1),1,0)</f>
        <v>0</v>
      </c>
      <c r="H27878" s="21" t="n">
        <f aca="false">IF(G27878=1,1,IF(AND(H27677=1,H27557=1),1,0))</f>
        <v>0</v>
      </c>
      <c r="I27878" s="21" t="n">
        <f aca="false">IF(H27878=1,1,IF(AND(I27677=1,I27557=1),1,0))</f>
        <v>0</v>
      </c>
      <c r="J27878" s="21" t="n">
        <f aca="false">IF(I27878=1,1,IF(AND(J27677=1,J27557=1),1,0))</f>
        <v>0</v>
      </c>
      <c r="K27878" s="21" t="n">
        <f aca="false">IF(J27878=1,1,IF(AND(K27677=1,K27557=1),1,0))</f>
        <v>0</v>
      </c>
    </row>
    <row r="27879" customFormat="false" ht="15" hidden="false" customHeight="false" outlineLevel="0" collapsed="false">
      <c r="A27879" s="24" t="s">
        <v>570</v>
      </c>
      <c r="B27879" s="25"/>
      <c r="C27879" s="25"/>
      <c r="D27879" s="25"/>
      <c r="E27879" s="25"/>
      <c r="F27879" s="25"/>
      <c r="G27879" s="25"/>
      <c r="H27879" s="25"/>
      <c r="I27879" s="25"/>
      <c r="J27879" s="25"/>
      <c r="K27879" s="25"/>
    </row>
    <row r="27880" customFormat="false" ht="15" hidden="false" customHeight="false" outlineLevel="0" collapsed="false">
      <c r="A27880" s="3" t="s">
        <v>556</v>
      </c>
      <c r="C27880" s="16" t="n">
        <f aca="false">IF(C27847&gt;0,C27869,C27825)</f>
        <v>0</v>
      </c>
    </row>
    <row r="27881" customFormat="false" ht="15" hidden="false" customHeight="false" outlineLevel="0" collapsed="false">
      <c r="A27881" s="3" t="s">
        <v>557</v>
      </c>
      <c r="C27881" s="16" t="n">
        <f aca="false">IF(C27848&gt;0,C27870,C27826)</f>
        <v>0</v>
      </c>
    </row>
    <row r="27882" customFormat="false" ht="15" hidden="false" customHeight="false" outlineLevel="0" collapsed="false">
      <c r="A27882" s="3" t="s">
        <v>558</v>
      </c>
      <c r="C27882" s="16" t="n">
        <f aca="false">IF(C27849&gt;0,C27871,C27827)</f>
        <v>0</v>
      </c>
    </row>
    <row r="27883" customFormat="false" ht="15" hidden="false" customHeight="false" outlineLevel="0" collapsed="false">
      <c r="A27883" s="3" t="s">
        <v>559</v>
      </c>
      <c r="C27883" s="16" t="n">
        <f aca="false">IF(C27850&gt;0,C27872,C27828)</f>
        <v>0</v>
      </c>
    </row>
    <row r="27884" customFormat="false" ht="15" hidden="false" customHeight="false" outlineLevel="0" collapsed="false">
      <c r="A27884" s="3" t="s">
        <v>560</v>
      </c>
      <c r="C27884" s="16" t="n">
        <f aca="false">IF(C27851&gt;0,C27873,C27829)</f>
        <v>424.663301615075</v>
      </c>
    </row>
    <row r="27885" customFormat="false" ht="15" hidden="false" customHeight="false" outlineLevel="0" collapsed="false">
      <c r="A27885" s="3" t="s">
        <v>561</v>
      </c>
      <c r="C27885" s="16" t="n">
        <f aca="false">IF(C27852&gt;0,C27874,C27830)</f>
        <v>357.2625</v>
      </c>
    </row>
    <row r="27886" customFormat="false" ht="15" hidden="false" customHeight="false" outlineLevel="0" collapsed="false">
      <c r="A27886" s="3" t="s">
        <v>562</v>
      </c>
      <c r="C27886" s="16" t="n">
        <f aca="false">IF(C27853&gt;0,C27875,C27831)</f>
        <v>562.203125</v>
      </c>
    </row>
    <row r="27887" customFormat="false" ht="15" hidden="false" customHeight="false" outlineLevel="0" collapsed="false">
      <c r="A27887" s="3" t="s">
        <v>563</v>
      </c>
      <c r="C27887" s="16" t="n">
        <f aca="false">IF(C27854&gt;0,C27876,C27832)</f>
        <v>353.98125</v>
      </c>
    </row>
    <row r="27888" customFormat="false" ht="15" hidden="false" customHeight="false" outlineLevel="0" collapsed="false">
      <c r="A27888" s="3" t="s">
        <v>564</v>
      </c>
      <c r="C27888" s="16" t="n">
        <f aca="false">IF(C27855&gt;0,C27877,C27833)</f>
        <v>304.59375</v>
      </c>
    </row>
    <row r="27889" customFormat="false" ht="15" hidden="false" customHeight="false" outlineLevel="0" collapsed="false">
      <c r="A27889" s="3" t="s">
        <v>565</v>
      </c>
      <c r="C27889" s="16" t="n">
        <f aca="false">IF(C27856&gt;0,C27878,C27834)</f>
        <v>80.331559</v>
      </c>
    </row>
    <row r="27890" customFormat="false" ht="15" hidden="false" customHeight="false" outlineLevel="0" collapsed="false">
      <c r="A27890" s="24" t="s">
        <v>571</v>
      </c>
      <c r="B27890" s="25"/>
      <c r="C27890" s="25"/>
      <c r="D27890" s="25"/>
      <c r="E27890" s="25"/>
      <c r="F27890" s="25"/>
      <c r="G27890" s="25"/>
      <c r="H27890" s="25"/>
      <c r="I27890" s="25"/>
      <c r="J27890" s="25"/>
      <c r="K27890" s="25"/>
    </row>
    <row r="27891" customFormat="false" ht="15" hidden="false" customHeight="false" outlineLevel="0" collapsed="false">
      <c r="A27891" s="3" t="s">
        <v>556</v>
      </c>
      <c r="C27891" s="21" t="n">
        <f aca="false">IF(C27847&gt;0,Assumptions!$C$17,C27836)</f>
        <v>99</v>
      </c>
    </row>
    <row r="27892" customFormat="false" ht="15" hidden="false" customHeight="false" outlineLevel="0" collapsed="false">
      <c r="A27892" s="3" t="s">
        <v>557</v>
      </c>
      <c r="C27892" s="21" t="n">
        <f aca="false">IF(C27848&gt;0,Assumptions!$C$17,C27837)</f>
        <v>99</v>
      </c>
    </row>
    <row r="27893" customFormat="false" ht="15" hidden="false" customHeight="false" outlineLevel="0" collapsed="false">
      <c r="A27893" s="3" t="s">
        <v>558</v>
      </c>
      <c r="C27893" s="21" t="n">
        <f aca="false">IF(C27849&gt;0,Assumptions!$C$17,C27838)</f>
        <v>99</v>
      </c>
    </row>
    <row r="27894" customFormat="false" ht="15" hidden="false" customHeight="false" outlineLevel="0" collapsed="false">
      <c r="A27894" s="3" t="s">
        <v>559</v>
      </c>
      <c r="C27894" s="21" t="n">
        <f aca="false">IF(C27850&gt;0,Assumptions!$C$17,C27839)</f>
        <v>2</v>
      </c>
    </row>
    <row r="27895" customFormat="false" ht="15" hidden="false" customHeight="false" outlineLevel="0" collapsed="false">
      <c r="A27895" s="3" t="s">
        <v>560</v>
      </c>
      <c r="C27895" s="21" t="n">
        <f aca="false">IF(C27851&gt;0,Assumptions!$C$17,C27840)</f>
        <v>2</v>
      </c>
    </row>
    <row r="27896" customFormat="false" ht="15" hidden="false" customHeight="false" outlineLevel="0" collapsed="false">
      <c r="A27896" s="3" t="s">
        <v>561</v>
      </c>
      <c r="C27896" s="21" t="n">
        <f aca="false">IF(C27852&gt;0,Assumptions!$C$17,C27841)</f>
        <v>2</v>
      </c>
    </row>
    <row r="27897" customFormat="false" ht="15" hidden="false" customHeight="false" outlineLevel="0" collapsed="false">
      <c r="A27897" s="3" t="s">
        <v>562</v>
      </c>
      <c r="C27897" s="21" t="n">
        <f aca="false">IF(C27853&gt;0,Assumptions!$C$17,C27842)</f>
        <v>2</v>
      </c>
    </row>
    <row r="27898" customFormat="false" ht="15" hidden="false" customHeight="false" outlineLevel="0" collapsed="false">
      <c r="A27898" s="3" t="s">
        <v>563</v>
      </c>
      <c r="C27898" s="21" t="n">
        <f aca="false">IF(C27854&gt;0,Assumptions!$C$17,C27843)</f>
        <v>2</v>
      </c>
    </row>
    <row r="27899" customFormat="false" ht="15" hidden="false" customHeight="false" outlineLevel="0" collapsed="false">
      <c r="A27899" s="3" t="s">
        <v>564</v>
      </c>
      <c r="C27899" s="21" t="n">
        <f aca="false">IF(C27855&gt;0,Assumptions!$C$17,C27844)</f>
        <v>2</v>
      </c>
    </row>
    <row r="27900" customFormat="false" ht="15" hidden="false" customHeight="false" outlineLevel="0" collapsed="false">
      <c r="A27900" s="3" t="s">
        <v>565</v>
      </c>
      <c r="C27900" s="21" t="n">
        <f aca="false">IF(C27856&gt;0,Assumptions!$C$17,C27845)</f>
        <v>3</v>
      </c>
    </row>
    <row r="27901" customFormat="false" ht="15" hidden="false" customHeight="false" outlineLevel="0" collapsed="false">
      <c r="A27901" s="24" t="s">
        <v>572</v>
      </c>
      <c r="B27901" s="25"/>
      <c r="C27901" s="25"/>
      <c r="D27901" s="25"/>
      <c r="E27901" s="25"/>
      <c r="F27901" s="25"/>
      <c r="G27901" s="25"/>
      <c r="H27901" s="25"/>
      <c r="I27901" s="25"/>
      <c r="J27901" s="25"/>
      <c r="K27901" s="25"/>
    </row>
    <row r="27902" customFormat="false" ht="15" hidden="false" customHeight="false" outlineLevel="0" collapsed="false">
      <c r="A27902" s="3" t="s">
        <v>556</v>
      </c>
      <c r="C27902" s="16" t="n">
        <f aca="false">SUMPRODUCT(($C$27891:$C$27900&lt;C27891)*$C$27880:$C$27889)</f>
        <v>2083.03548561508</v>
      </c>
    </row>
    <row r="27903" customFormat="false" ht="15" hidden="false" customHeight="false" outlineLevel="0" collapsed="false">
      <c r="A27903" s="3" t="s">
        <v>557</v>
      </c>
      <c r="C27903" s="16" t="n">
        <f aca="false">SUMPRODUCT(($C$27891:$C$27900&lt;C27892)*$C$27880:$C$27889)</f>
        <v>2083.03548561508</v>
      </c>
    </row>
    <row r="27904" customFormat="false" ht="15" hidden="false" customHeight="false" outlineLevel="0" collapsed="false">
      <c r="A27904" s="3" t="s">
        <v>558</v>
      </c>
      <c r="C27904" s="16" t="n">
        <f aca="false">SUMPRODUCT(($C$27891:$C$27900&lt;C27893)*$C$27880:$C$27889)</f>
        <v>2083.03548561508</v>
      </c>
    </row>
    <row r="27905" customFormat="false" ht="15" hidden="false" customHeight="false" outlineLevel="0" collapsed="false">
      <c r="A27905" s="3" t="s">
        <v>559</v>
      </c>
      <c r="C27905" s="16" t="n">
        <f aca="false">SUMPRODUCT(($C$27891:$C$27900&lt;C27894)*$C$27880:$C$27889)</f>
        <v>0</v>
      </c>
    </row>
    <row r="27906" customFormat="false" ht="15" hidden="false" customHeight="false" outlineLevel="0" collapsed="false">
      <c r="A27906" s="3" t="s">
        <v>560</v>
      </c>
      <c r="C27906" s="16" t="n">
        <f aca="false">SUMPRODUCT(($C$27891:$C$27900&lt;C27895)*$C$27880:$C$27889)</f>
        <v>0</v>
      </c>
    </row>
    <row r="27907" customFormat="false" ht="15" hidden="false" customHeight="false" outlineLevel="0" collapsed="false">
      <c r="A27907" s="3" t="s">
        <v>561</v>
      </c>
      <c r="C27907" s="16" t="n">
        <f aca="false">SUMPRODUCT(($C$27891:$C$27900&lt;C27896)*$C$27880:$C$27889)</f>
        <v>0</v>
      </c>
    </row>
    <row r="27908" customFormat="false" ht="15" hidden="false" customHeight="false" outlineLevel="0" collapsed="false">
      <c r="A27908" s="3" t="s">
        <v>562</v>
      </c>
      <c r="C27908" s="16" t="n">
        <f aca="false">SUMPRODUCT(($C$27891:$C$27900&lt;C27897)*$C$27880:$C$27889)</f>
        <v>0</v>
      </c>
    </row>
    <row r="27909" customFormat="false" ht="15" hidden="false" customHeight="false" outlineLevel="0" collapsed="false">
      <c r="A27909" s="3" t="s">
        <v>563</v>
      </c>
      <c r="C27909" s="16" t="n">
        <f aca="false">SUMPRODUCT(($C$27891:$C$27900&lt;C27898)*$C$27880:$C$27889)</f>
        <v>0</v>
      </c>
    </row>
    <row r="27910" customFormat="false" ht="15" hidden="false" customHeight="false" outlineLevel="0" collapsed="false">
      <c r="A27910" s="3" t="s">
        <v>564</v>
      </c>
      <c r="C27910" s="16" t="n">
        <f aca="false">SUMPRODUCT(($C$27891:$C$27900&lt;C27899)*$C$27880:$C$27889)</f>
        <v>0</v>
      </c>
    </row>
    <row r="27911" customFormat="false" ht="15" hidden="false" customHeight="false" outlineLevel="0" collapsed="false">
      <c r="A27911" s="3" t="s">
        <v>565</v>
      </c>
      <c r="C27911" s="16" t="n">
        <f aca="false">SUMPRODUCT(($C$27891:$C$27900&lt;C27900)*$C$27880:$C$27889)</f>
        <v>2002.70392661508</v>
      </c>
    </row>
    <row r="27912" customFormat="false" ht="15" hidden="false" customHeight="false" outlineLevel="0" collapsed="false">
      <c r="A27912" s="24" t="s">
        <v>573</v>
      </c>
      <c r="B27912" s="25"/>
      <c r="C27912" s="25"/>
      <c r="D27912" s="25"/>
      <c r="E27912" s="25"/>
      <c r="F27912" s="25"/>
      <c r="G27912" s="25"/>
      <c r="H27912" s="25"/>
      <c r="I27912" s="25"/>
      <c r="J27912" s="25"/>
      <c r="K27912" s="25"/>
    </row>
    <row r="27913" customFormat="false" ht="15" hidden="false" customHeight="false" outlineLevel="0" collapsed="false">
      <c r="A27913" s="3" t="s">
        <v>556</v>
      </c>
      <c r="C27913" s="16" t="n">
        <f aca="false">SUMPRODUCT(($C$27891:$C$27900=C27891)*$C$27880:$C$27889)</f>
        <v>0</v>
      </c>
    </row>
    <row r="27914" customFormat="false" ht="15" hidden="false" customHeight="false" outlineLevel="0" collapsed="false">
      <c r="A27914" s="3" t="s">
        <v>557</v>
      </c>
      <c r="C27914" s="16" t="n">
        <f aca="false">SUMPRODUCT(($C$27891:$C$27900=C27892)*$C$27880:$C$27889)</f>
        <v>0</v>
      </c>
    </row>
    <row r="27915" customFormat="false" ht="15" hidden="false" customHeight="false" outlineLevel="0" collapsed="false">
      <c r="A27915" s="3" t="s">
        <v>558</v>
      </c>
      <c r="C27915" s="16" t="n">
        <f aca="false">SUMPRODUCT(($C$27891:$C$27900=C27893)*$C$27880:$C$27889)</f>
        <v>0</v>
      </c>
    </row>
    <row r="27916" customFormat="false" ht="15" hidden="false" customHeight="false" outlineLevel="0" collapsed="false">
      <c r="A27916" s="3" t="s">
        <v>559</v>
      </c>
      <c r="C27916" s="16" t="n">
        <f aca="false">SUMPRODUCT(($C$27891:$C$27900=C27894)*$C$27880:$C$27889)</f>
        <v>2002.70392661508</v>
      </c>
    </row>
    <row r="27917" customFormat="false" ht="15" hidden="false" customHeight="false" outlineLevel="0" collapsed="false">
      <c r="A27917" s="3" t="s">
        <v>560</v>
      </c>
      <c r="C27917" s="16" t="n">
        <f aca="false">SUMPRODUCT(($C$27891:$C$27900=C27895)*$C$27880:$C$27889)</f>
        <v>2002.70392661508</v>
      </c>
    </row>
    <row r="27918" customFormat="false" ht="15" hidden="false" customHeight="false" outlineLevel="0" collapsed="false">
      <c r="A27918" s="3" t="s">
        <v>561</v>
      </c>
      <c r="C27918" s="16" t="n">
        <f aca="false">SUMPRODUCT(($C$27891:$C$27900=C27896)*$C$27880:$C$27889)</f>
        <v>2002.70392661508</v>
      </c>
    </row>
    <row r="27919" customFormat="false" ht="15" hidden="false" customHeight="false" outlineLevel="0" collapsed="false">
      <c r="A27919" s="3" t="s">
        <v>562</v>
      </c>
      <c r="C27919" s="16" t="n">
        <f aca="false">SUMPRODUCT(($C$27891:$C$27900=C27897)*$C$27880:$C$27889)</f>
        <v>2002.70392661508</v>
      </c>
    </row>
    <row r="27920" customFormat="false" ht="15" hidden="false" customHeight="false" outlineLevel="0" collapsed="false">
      <c r="A27920" s="3" t="s">
        <v>563</v>
      </c>
      <c r="C27920" s="16" t="n">
        <f aca="false">SUMPRODUCT(($C$27891:$C$27900=C27898)*$C$27880:$C$27889)</f>
        <v>2002.70392661508</v>
      </c>
    </row>
    <row r="27921" customFormat="false" ht="15" hidden="false" customHeight="false" outlineLevel="0" collapsed="false">
      <c r="A27921" s="3" t="s">
        <v>564</v>
      </c>
      <c r="C27921" s="16" t="n">
        <f aca="false">SUMPRODUCT(($C$27891:$C$27900=C27899)*$C$27880:$C$27889)</f>
        <v>2002.70392661508</v>
      </c>
    </row>
    <row r="27922" customFormat="false" ht="15" hidden="false" customHeight="false" outlineLevel="0" collapsed="false">
      <c r="A27922" s="3" t="s">
        <v>565</v>
      </c>
      <c r="C27922" s="16" t="n">
        <f aca="false">SUMPRODUCT(($C$27891:$C$27900=C27900)*$C$27880:$C$27889)</f>
        <v>80.331559</v>
      </c>
    </row>
    <row r="27923" customFormat="false" ht="15" hidden="false" customHeight="false" outlineLevel="0" collapsed="false">
      <c r="A27923" s="24" t="s">
        <v>574</v>
      </c>
      <c r="B27923" s="25"/>
      <c r="C27923" s="25"/>
      <c r="D27923" s="25"/>
      <c r="E27923" s="25"/>
      <c r="F27923" s="25"/>
      <c r="G27923" s="25"/>
      <c r="H27923" s="25"/>
      <c r="I27923" s="25"/>
      <c r="J27923" s="25"/>
      <c r="K27923" s="25"/>
    </row>
    <row r="27924" customFormat="false" ht="15" hidden="false" customHeight="false" outlineLevel="0" collapsed="false">
      <c r="A27924" s="3" t="s">
        <v>556</v>
      </c>
      <c r="C27924" s="16" t="n">
        <f aca="false">IF(C27913=0,0,C27880/C27913*MAX(0,MIN(C27913,$C$27823-SUM($C$27858:$C$27867)-C27902)))</f>
        <v>0</v>
      </c>
    </row>
    <row r="27925" customFormat="false" ht="15" hidden="false" customHeight="false" outlineLevel="0" collapsed="false">
      <c r="A27925" s="3" t="s">
        <v>557</v>
      </c>
      <c r="C27925" s="16" t="n">
        <f aca="false">IF(C27914=0,0,C27881/C27914*MAX(0,MIN(C27914,$C$27823-SUM($C$27858:$C$27867)-C27903)))</f>
        <v>0</v>
      </c>
    </row>
    <row r="27926" customFormat="false" ht="15" hidden="false" customHeight="false" outlineLevel="0" collapsed="false">
      <c r="A27926" s="3" t="s">
        <v>558</v>
      </c>
      <c r="C27926" s="16" t="n">
        <f aca="false">IF(C27915=0,0,C27882/C27915*MAX(0,MIN(C27915,$C$27823-SUM($C$27858:$C$27867)-C27904)))</f>
        <v>0</v>
      </c>
    </row>
    <row r="27927" customFormat="false" ht="15" hidden="false" customHeight="false" outlineLevel="0" collapsed="false">
      <c r="A27927" s="3" t="s">
        <v>559</v>
      </c>
      <c r="C27927" s="16" t="n">
        <f aca="false">IF(C27916=0,0,C27883/C27916*MAX(0,MIN(C27916,$C$27823-SUM($C$27858:$C$27867)-C27905)))</f>
        <v>0</v>
      </c>
    </row>
    <row r="27928" customFormat="false" ht="15" hidden="false" customHeight="false" outlineLevel="0" collapsed="false">
      <c r="A27928" s="3" t="s">
        <v>560</v>
      </c>
      <c r="C27928" s="16" t="n">
        <f aca="false">IF(C27917=0,0,C27884/C27917*MAX(0,MIN(C27917,$C$27823-SUM($C$27858:$C$27867)-C27906)))</f>
        <v>424.663301615075</v>
      </c>
    </row>
    <row r="27929" customFormat="false" ht="15" hidden="false" customHeight="false" outlineLevel="0" collapsed="false">
      <c r="A27929" s="3" t="s">
        <v>561</v>
      </c>
      <c r="C27929" s="16" t="n">
        <f aca="false">IF(C27918=0,0,C27885/C27918*MAX(0,MIN(C27918,$C$27823-SUM($C$27858:$C$27867)-C27907)))</f>
        <v>357.2625</v>
      </c>
    </row>
    <row r="27930" customFormat="false" ht="15" hidden="false" customHeight="false" outlineLevel="0" collapsed="false">
      <c r="A27930" s="3" t="s">
        <v>562</v>
      </c>
      <c r="C27930" s="16" t="n">
        <f aca="false">IF(C27919=0,0,C27886/C27919*MAX(0,MIN(C27919,$C$27823-SUM($C$27858:$C$27867)-C27908)))</f>
        <v>562.203125</v>
      </c>
    </row>
    <row r="27931" customFormat="false" ht="15" hidden="false" customHeight="false" outlineLevel="0" collapsed="false">
      <c r="A27931" s="3" t="s">
        <v>563</v>
      </c>
      <c r="C27931" s="16" t="n">
        <f aca="false">IF(C27920=0,0,C27887/C27920*MAX(0,MIN(C27920,$C$27823-SUM($C$27858:$C$27867)-C27909)))</f>
        <v>353.98125</v>
      </c>
    </row>
    <row r="27932" customFormat="false" ht="15" hidden="false" customHeight="false" outlineLevel="0" collapsed="false">
      <c r="A27932" s="3" t="s">
        <v>564</v>
      </c>
      <c r="C27932" s="16" t="n">
        <f aca="false">IF(C27921=0,0,C27888/C27921*MAX(0,MIN(C27921,$C$27823-SUM($C$27858:$C$27867)-C27910)))</f>
        <v>304.59375</v>
      </c>
    </row>
    <row r="27933" customFormat="false" ht="15" hidden="false" customHeight="false" outlineLevel="0" collapsed="false">
      <c r="A27933" s="3" t="s">
        <v>565</v>
      </c>
      <c r="C27933" s="16" t="n">
        <f aca="false">IF(C27922=0,0,C27889/C27922*MAX(0,MIN(C27922,$C$27823-SUM($C$27858:$C$27867)-C27911)))</f>
        <v>80.331559</v>
      </c>
    </row>
    <row r="27934" customFormat="false" ht="15" hidden="false" customHeight="false" outlineLevel="0" collapsed="false">
      <c r="A27934" s="24" t="s">
        <v>575</v>
      </c>
      <c r="B27934" s="25"/>
      <c r="C27934" s="25"/>
      <c r="D27934" s="25"/>
      <c r="E27934" s="25"/>
      <c r="F27934" s="25"/>
      <c r="G27934" s="25"/>
      <c r="H27934" s="25"/>
      <c r="I27934" s="25"/>
      <c r="J27934" s="25"/>
      <c r="K27934" s="25"/>
    </row>
    <row r="27935" customFormat="false" ht="15" hidden="false" customHeight="false" outlineLevel="0" collapsed="false">
      <c r="A27935" s="2" t="s">
        <v>556</v>
      </c>
      <c r="C27935" s="17" t="n">
        <f aca="false">C27858+C27924</f>
        <v>404.25</v>
      </c>
    </row>
    <row r="27936" customFormat="false" ht="15" hidden="false" customHeight="false" outlineLevel="0" collapsed="false">
      <c r="A27936" s="2" t="s">
        <v>557</v>
      </c>
      <c r="C27936" s="17" t="n">
        <f aca="false">C27859+C27925</f>
        <v>91.30725</v>
      </c>
    </row>
    <row r="27937" customFormat="false" ht="15" hidden="false" customHeight="false" outlineLevel="0" collapsed="false">
      <c r="A27937" s="2" t="s">
        <v>558</v>
      </c>
      <c r="C27937" s="17" t="n">
        <f aca="false">C27860+C27926</f>
        <v>58.3715961</v>
      </c>
    </row>
    <row r="27938" customFormat="false" ht="15" hidden="false" customHeight="false" outlineLevel="0" collapsed="false">
      <c r="A27938" s="2" t="s">
        <v>559</v>
      </c>
      <c r="C27938" s="17" t="n">
        <f aca="false">C27861+C27927</f>
        <v>0</v>
      </c>
    </row>
    <row r="27939" customFormat="false" ht="15" hidden="false" customHeight="false" outlineLevel="0" collapsed="false">
      <c r="A27939" s="2" t="s">
        <v>560</v>
      </c>
      <c r="C27939" s="17" t="n">
        <f aca="false">C27862+C27928</f>
        <v>424.663301615075</v>
      </c>
    </row>
    <row r="27940" customFormat="false" ht="15" hidden="false" customHeight="false" outlineLevel="0" collapsed="false">
      <c r="A27940" s="2" t="s">
        <v>561</v>
      </c>
      <c r="C27940" s="17" t="n">
        <f aca="false">C27863+C27929</f>
        <v>357.2625</v>
      </c>
    </row>
    <row r="27941" customFormat="false" ht="15" hidden="false" customHeight="false" outlineLevel="0" collapsed="false">
      <c r="A27941" s="2" t="s">
        <v>562</v>
      </c>
      <c r="C27941" s="17" t="n">
        <f aca="false">C27864+C27930</f>
        <v>562.203125</v>
      </c>
    </row>
    <row r="27942" customFormat="false" ht="15" hidden="false" customHeight="false" outlineLevel="0" collapsed="false">
      <c r="A27942" s="2" t="s">
        <v>563</v>
      </c>
      <c r="C27942" s="17" t="n">
        <f aca="false">C27865+C27931</f>
        <v>353.98125</v>
      </c>
    </row>
    <row r="27943" customFormat="false" ht="15" hidden="false" customHeight="false" outlineLevel="0" collapsed="false">
      <c r="A27943" s="2" t="s">
        <v>564</v>
      </c>
      <c r="C27943" s="17" t="n">
        <f aca="false">C27866+C27932</f>
        <v>304.59375</v>
      </c>
    </row>
    <row r="27944" customFormat="false" ht="15" hidden="false" customHeight="false" outlineLevel="0" collapsed="false">
      <c r="A27944" s="2" t="s">
        <v>565</v>
      </c>
      <c r="C27944" s="17" t="n">
        <f aca="false">C27867+C27933</f>
        <v>80.331559</v>
      </c>
    </row>
    <row r="27945" customFormat="false" ht="15" hidden="false" customHeight="false" outlineLevel="0" collapsed="false">
      <c r="A27945" s="24" t="s">
        <v>576</v>
      </c>
      <c r="B27945" s="25"/>
      <c r="C27945" s="25"/>
      <c r="D27945" s="25"/>
      <c r="E27945" s="25"/>
      <c r="F27945" s="25"/>
      <c r="G27945" s="25"/>
      <c r="H27945" s="25"/>
      <c r="I27945" s="25"/>
      <c r="J27945" s="25"/>
      <c r="K27945" s="25"/>
    </row>
    <row r="27946" customFormat="false" ht="15" hidden="false" customHeight="false" outlineLevel="0" collapsed="false">
      <c r="A27946" s="3" t="s">
        <v>556</v>
      </c>
      <c r="C27946" s="22" t="n">
        <f aca="false">IF(C27825=0,1,C27935/C27825)</f>
        <v>1</v>
      </c>
    </row>
    <row r="27947" customFormat="false" ht="15" hidden="false" customHeight="false" outlineLevel="0" collapsed="false">
      <c r="A27947" s="3" t="s">
        <v>557</v>
      </c>
      <c r="C27947" s="22" t="n">
        <f aca="false">IF(C27826=0,1,C27936/C27826)</f>
        <v>1</v>
      </c>
    </row>
    <row r="27948" customFormat="false" ht="15" hidden="false" customHeight="false" outlineLevel="0" collapsed="false">
      <c r="A27948" s="3" t="s">
        <v>558</v>
      </c>
      <c r="C27948" s="22" t="n">
        <f aca="false">IF(C27827=0,1,C27937/C27827)</f>
        <v>1</v>
      </c>
    </row>
    <row r="27949" customFormat="false" ht="15" hidden="false" customHeight="false" outlineLevel="0" collapsed="false">
      <c r="A27949" s="3" t="s">
        <v>559</v>
      </c>
      <c r="C27949" s="22" t="n">
        <f aca="false">IF(C27828=0,1,C27938/C27828)</f>
        <v>1</v>
      </c>
    </row>
    <row r="27950" customFormat="false" ht="15" hidden="false" customHeight="false" outlineLevel="0" collapsed="false">
      <c r="A27950" s="3" t="s">
        <v>560</v>
      </c>
      <c r="C27950" s="22" t="n">
        <f aca="false">IF(C27829=0,1,C27939/C27829)</f>
        <v>1</v>
      </c>
    </row>
    <row r="27951" customFormat="false" ht="15" hidden="false" customHeight="false" outlineLevel="0" collapsed="false">
      <c r="A27951" s="3" t="s">
        <v>561</v>
      </c>
      <c r="C27951" s="22" t="n">
        <f aca="false">IF(C27830=0,1,C27940/C27830)</f>
        <v>1</v>
      </c>
    </row>
    <row r="27952" customFormat="false" ht="15" hidden="false" customHeight="false" outlineLevel="0" collapsed="false">
      <c r="A27952" s="3" t="s">
        <v>562</v>
      </c>
      <c r="C27952" s="22" t="n">
        <f aca="false">IF(C27831=0,1,C27941/C27831)</f>
        <v>1</v>
      </c>
    </row>
    <row r="27953" customFormat="false" ht="15" hidden="false" customHeight="false" outlineLevel="0" collapsed="false">
      <c r="A27953" s="3" t="s">
        <v>563</v>
      </c>
      <c r="C27953" s="22" t="n">
        <f aca="false">IF(C27832=0,1,C27942/C27832)</f>
        <v>1</v>
      </c>
    </row>
    <row r="27954" customFormat="false" ht="15" hidden="false" customHeight="false" outlineLevel="0" collapsed="false">
      <c r="A27954" s="3" t="s">
        <v>564</v>
      </c>
      <c r="C27954" s="22" t="n">
        <f aca="false">IF(C27833=0,1,C27943/C27833)</f>
        <v>1</v>
      </c>
    </row>
    <row r="27955" customFormat="false" ht="15" hidden="false" customHeight="false" outlineLevel="0" collapsed="false">
      <c r="A27955" s="3" t="s">
        <v>565</v>
      </c>
      <c r="C27955" s="22" t="n">
        <f aca="false">IF(C27834=0,1,C27944/C27834)</f>
        <v>1</v>
      </c>
    </row>
    <row r="27956" customFormat="false" ht="15" hidden="false" customHeight="false" outlineLevel="0" collapsed="false">
      <c r="A27956" s="24" t="s">
        <v>577</v>
      </c>
      <c r="B27956" s="25"/>
      <c r="C27956" s="25"/>
      <c r="D27956" s="25"/>
      <c r="E27956" s="25"/>
      <c r="F27956" s="25"/>
      <c r="G27956" s="25"/>
      <c r="H27956" s="25"/>
      <c r="I27956" s="25"/>
      <c r="J27956" s="25"/>
      <c r="K27956" s="25"/>
    </row>
    <row r="27957" customFormat="false" ht="15" hidden="false" customHeight="false" outlineLevel="0" collapsed="false">
      <c r="A27957" s="3" t="s">
        <v>556</v>
      </c>
      <c r="C27957" s="16" t="n">
        <f aca="false">C27825-C27935</f>
        <v>0</v>
      </c>
    </row>
    <row r="27958" customFormat="false" ht="15" hidden="false" customHeight="false" outlineLevel="0" collapsed="false">
      <c r="A27958" s="3" t="s">
        <v>557</v>
      </c>
      <c r="C27958" s="16" t="n">
        <f aca="false">C27826-C27936</f>
        <v>0</v>
      </c>
    </row>
    <row r="27959" customFormat="false" ht="15" hidden="false" customHeight="false" outlineLevel="0" collapsed="false">
      <c r="A27959" s="3" t="s">
        <v>558</v>
      </c>
      <c r="C27959" s="16" t="n">
        <f aca="false">C27827-C27937</f>
        <v>0</v>
      </c>
    </row>
    <row r="27960" customFormat="false" ht="15" hidden="false" customHeight="false" outlineLevel="0" collapsed="false">
      <c r="A27960" s="3" t="s">
        <v>559</v>
      </c>
      <c r="C27960" s="16" t="n">
        <f aca="false">C27828-C27938</f>
        <v>0</v>
      </c>
    </row>
    <row r="27961" customFormat="false" ht="15" hidden="false" customHeight="false" outlineLevel="0" collapsed="false">
      <c r="A27961" s="3" t="s">
        <v>560</v>
      </c>
      <c r="C27961" s="16" t="n">
        <f aca="false">C27829-C27939</f>
        <v>0</v>
      </c>
    </row>
    <row r="27962" customFormat="false" ht="15" hidden="false" customHeight="false" outlineLevel="0" collapsed="false">
      <c r="A27962" s="3" t="s">
        <v>561</v>
      </c>
      <c r="C27962" s="16" t="n">
        <f aca="false">C27830-C27940</f>
        <v>0</v>
      </c>
    </row>
    <row r="27963" customFormat="false" ht="15" hidden="false" customHeight="false" outlineLevel="0" collapsed="false">
      <c r="A27963" s="3" t="s">
        <v>562</v>
      </c>
      <c r="C27963" s="16" t="n">
        <f aca="false">C27831-C27941</f>
        <v>0</v>
      </c>
    </row>
    <row r="27964" customFormat="false" ht="15" hidden="false" customHeight="false" outlineLevel="0" collapsed="false">
      <c r="A27964" s="3" t="s">
        <v>563</v>
      </c>
      <c r="C27964" s="16" t="n">
        <f aca="false">C27832-C27942</f>
        <v>0</v>
      </c>
    </row>
    <row r="27965" customFormat="false" ht="15" hidden="false" customHeight="false" outlineLevel="0" collapsed="false">
      <c r="A27965" s="3" t="s">
        <v>564</v>
      </c>
      <c r="C27965" s="16" t="n">
        <f aca="false">C27833-C27943</f>
        <v>0</v>
      </c>
    </row>
    <row r="27966" customFormat="false" ht="15" hidden="false" customHeight="false" outlineLevel="0" collapsed="false">
      <c r="A27966" s="3" t="s">
        <v>565</v>
      </c>
      <c r="C27966" s="16" t="n">
        <f aca="false">C27834-C27944</f>
        <v>0</v>
      </c>
    </row>
    <row r="27967" customFormat="false" ht="15" hidden="false" customHeight="false" outlineLevel="0" collapsed="false">
      <c r="A27967" s="24" t="s">
        <v>578</v>
      </c>
      <c r="B27967" s="25"/>
      <c r="C27967" s="25"/>
      <c r="D27967" s="25"/>
      <c r="E27967" s="25"/>
      <c r="F27967" s="25"/>
      <c r="G27967" s="25"/>
      <c r="H27967" s="25"/>
      <c r="I27967" s="25"/>
      <c r="J27967" s="25"/>
      <c r="K27967" s="25"/>
    </row>
    <row r="27968" customFormat="false" ht="15" hidden="false" customHeight="false" outlineLevel="0" collapsed="false">
      <c r="A27968" s="3" t="s">
        <v>556</v>
      </c>
      <c r="C27968" s="22" t="n">
        <f aca="false">IF(C27825=0,0,C27957/C27825)</f>
        <v>0</v>
      </c>
    </row>
    <row r="27969" customFormat="false" ht="15" hidden="false" customHeight="false" outlineLevel="0" collapsed="false">
      <c r="A27969" s="3" t="s">
        <v>557</v>
      </c>
      <c r="C27969" s="22" t="n">
        <f aca="false">IF(C27826=0,0,C27958/C27826)</f>
        <v>0</v>
      </c>
    </row>
    <row r="27970" customFormat="false" ht="15" hidden="false" customHeight="false" outlineLevel="0" collapsed="false">
      <c r="A27970" s="3" t="s">
        <v>558</v>
      </c>
      <c r="C27970" s="22" t="n">
        <f aca="false">IF(C27827=0,0,C27959/C27827)</f>
        <v>0</v>
      </c>
    </row>
    <row r="27971" customFormat="false" ht="15" hidden="false" customHeight="false" outlineLevel="0" collapsed="false">
      <c r="A27971" s="3" t="s">
        <v>559</v>
      </c>
      <c r="C27971" s="22" t="n">
        <f aca="false">IF(C27828=0,0,C27960/C27828)</f>
        <v>0</v>
      </c>
    </row>
    <row r="27972" customFormat="false" ht="15" hidden="false" customHeight="false" outlineLevel="0" collapsed="false">
      <c r="A27972" s="3" t="s">
        <v>560</v>
      </c>
      <c r="C27972" s="22" t="n">
        <f aca="false">IF(C27829=0,0,C27961/C27829)</f>
        <v>0</v>
      </c>
    </row>
    <row r="27973" customFormat="false" ht="15" hidden="false" customHeight="false" outlineLevel="0" collapsed="false">
      <c r="A27973" s="3" t="s">
        <v>561</v>
      </c>
      <c r="C27973" s="22" t="n">
        <f aca="false">IF(C27830=0,0,C27962/C27830)</f>
        <v>0</v>
      </c>
    </row>
    <row r="27974" customFormat="false" ht="15" hidden="false" customHeight="false" outlineLevel="0" collapsed="false">
      <c r="A27974" s="3" t="s">
        <v>562</v>
      </c>
      <c r="C27974" s="22" t="n">
        <f aca="false">IF(C27831=0,0,C27963/C27831)</f>
        <v>0</v>
      </c>
    </row>
    <row r="27975" customFormat="false" ht="15" hidden="false" customHeight="false" outlineLevel="0" collapsed="false">
      <c r="A27975" s="3" t="s">
        <v>563</v>
      </c>
      <c r="C27975" s="22" t="n">
        <f aca="false">IF(C27832=0,0,C27964/C27832)</f>
        <v>0</v>
      </c>
    </row>
    <row r="27976" customFormat="false" ht="15" hidden="false" customHeight="false" outlineLevel="0" collapsed="false">
      <c r="A27976" s="3" t="s">
        <v>564</v>
      </c>
      <c r="C27976" s="22" t="n">
        <f aca="false">IF(C27833=0,0,C27965/C27833)</f>
        <v>0</v>
      </c>
    </row>
    <row r="27977" customFormat="false" ht="15" hidden="false" customHeight="false" outlineLevel="0" collapsed="false">
      <c r="A27977" s="3" t="s">
        <v>565</v>
      </c>
      <c r="C27977" s="22" t="n">
        <f aca="false">IF(C27834=0,0,C27966/C27834)</f>
        <v>0</v>
      </c>
    </row>
    <row r="27978" customFormat="false" ht="15" hidden="false" customHeight="false" outlineLevel="0" collapsed="false">
      <c r="A27978" s="2" t="s">
        <v>579</v>
      </c>
      <c r="C27978" s="17" t="n">
        <f aca="false">MAX(0,$C$27823-SUM($C$27858:$C$27867)-SUM($C$27880:$C$27889))</f>
        <v>496.512850684925</v>
      </c>
    </row>
    <row r="27979" customFormat="false" ht="15" hidden="false" customHeight="false" outlineLevel="0" collapsed="false">
      <c r="A27979" s="3" t="s">
        <v>580</v>
      </c>
      <c r="C27979" s="16" t="n">
        <f aca="false">SUM($C$27935:$C$27944)+C27978+C27822-C27821</f>
        <v>0</v>
      </c>
    </row>
    <row r="27981" customFormat="false" ht="15" hidden="false" customHeight="false" outlineLevel="0" collapsed="false">
      <c r="A27981" s="24" t="s">
        <v>583</v>
      </c>
      <c r="B27981" s="25"/>
      <c r="C27981" s="25"/>
      <c r="D27981" s="25"/>
      <c r="E27981" s="25"/>
      <c r="F27981" s="25"/>
      <c r="G27981" s="25"/>
      <c r="H27981" s="25"/>
      <c r="I27981" s="25"/>
      <c r="J27981" s="25"/>
      <c r="K27981" s="25"/>
    </row>
    <row r="27982" customFormat="false" ht="15" hidden="false" customHeight="false" outlineLevel="0" collapsed="false">
      <c r="A27982" s="3" t="s">
        <v>584</v>
      </c>
      <c r="C27982" s="27" t="n">
        <f aca="false">Assumptions!$C$34</f>
        <v>1</v>
      </c>
    </row>
    <row r="27983" customFormat="false" ht="15" hidden="false" customHeight="false" outlineLevel="0" collapsed="false">
      <c r="A27983" s="3" t="s">
        <v>585</v>
      </c>
      <c r="C27983" s="29" t="n">
        <f aca="false">Assumptions!$C$35</f>
        <v>100</v>
      </c>
    </row>
    <row r="27984" customFormat="false" ht="15" hidden="false" customHeight="false" outlineLevel="0" collapsed="false">
      <c r="A27984" s="3" t="s">
        <v>586</v>
      </c>
      <c r="C27984" s="40" t="n">
        <f aca="false">Assumptions!$C$36</f>
        <v>98</v>
      </c>
    </row>
    <row r="27985" customFormat="false" ht="15" hidden="false" customHeight="false" outlineLevel="0" collapsed="false">
      <c r="A27985" s="3" t="s">
        <v>587</v>
      </c>
      <c r="C27985" s="16" t="n">
        <f aca="false">C27983*C27984/100*(1+Assumptions!$C$37)</f>
        <v>98.49</v>
      </c>
    </row>
    <row r="27986" customFormat="false" ht="15" hidden="false" customHeight="false" outlineLevel="0" collapsed="false">
      <c r="A27986" s="3" t="s">
        <v>588</v>
      </c>
      <c r="C27986" s="27" t="n">
        <f aca="false">Assumptions!$C$38</f>
        <v>3</v>
      </c>
    </row>
    <row r="27987" customFormat="false" ht="15" hidden="false" customHeight="false" outlineLevel="0" collapsed="false">
      <c r="A27987" s="3" t="s">
        <v>589</v>
      </c>
      <c r="C27987" s="21" t="n">
        <f aca="false">IF(C27814=1,SUMPRODUCT($G$27750:$K$27750,$G$27524:$K$27524),0)</f>
        <v>2</v>
      </c>
    </row>
    <row r="27988" customFormat="false" ht="15" hidden="false" customHeight="false" outlineLevel="0" collapsed="false">
      <c r="A27988" s="3" t="s">
        <v>590</v>
      </c>
      <c r="C27988" s="22" t="n">
        <f aca="false">IFERROR(C27983/CHOOSE(C27982,SUMPRODUCT($G$27813:$K$27813,$G$27570:$K$27570),SUMPRODUCT($G$27813:$K$27813,$G$27583:$K$27583),SUMPRODUCT($G$27813:$K$27813,$G$27596:$K$27596),SUMPRODUCT($G$27813:$K$27813,$G$27609:$K$27609),SUMPRODUCT($G$27813:$K$27813,$G$27622:$K$27622),SUMPRODUCT($G$27813:$K$27813,$G$27635:$K$27635),SUMPRODUCT($G$27813:$K$27813,$G$27648:$K$27648),SUMPRODUCT($G$27813:$K$27813,$G$27661:$K$27661),SUMPRODUCT($G$27813:$K$27813,$G$27674:$K$27674),SUMPRODUCT($G$27813:$K$27813,$G$27687:$K$27687)),0)</f>
        <v>0.255102040816327</v>
      </c>
    </row>
    <row r="27989" customFormat="false" ht="15" hidden="false" customHeight="false" outlineLevel="0" collapsed="false">
      <c r="A27989" s="3" t="s">
        <v>591</v>
      </c>
      <c r="C27989" s="16" t="n">
        <f aca="false">CHOOSE(C27982,C27935,C27936,C27937,C27938,C27939,C27940,C27941,C27942,C27943,C27944)*C27988</f>
        <v>103.125</v>
      </c>
    </row>
    <row r="27990" customFormat="false" ht="15" hidden="false" customHeight="false" outlineLevel="0" collapsed="false">
      <c r="A27990" s="3" t="s">
        <v>592</v>
      </c>
      <c r="C27990" s="22" t="n">
        <f aca="false">CHOOSE(C27982,C27946,C27947,C27948,C27949,C27950,C27951,C27952,C27953,C27954,C27955)</f>
        <v>1</v>
      </c>
    </row>
    <row r="27991" customFormat="false" ht="15" hidden="false" customHeight="false" outlineLevel="0" collapsed="false">
      <c r="A27991" s="3" t="s">
        <v>593</v>
      </c>
      <c r="C27991" s="21" t="n">
        <f aca="false">IF(C27814=1,C27987,C27986)</f>
        <v>2</v>
      </c>
    </row>
    <row r="27992" customFormat="false" ht="15" hidden="false" customHeight="false" outlineLevel="0" collapsed="false">
      <c r="A27992" s="3" t="s">
        <v>594</v>
      </c>
      <c r="C27992" s="35" t="n">
        <f aca="false">CHOOSE($C$27516,Assumptions!$C$91,Assumptions!$C$110,Assumptions!$C$129)</f>
        <v>95</v>
      </c>
    </row>
    <row r="27993" customFormat="false" ht="15" hidden="false" customHeight="false" outlineLevel="0" collapsed="false">
      <c r="A27993" s="3" t="s">
        <v>595</v>
      </c>
      <c r="C27993" s="16" t="n">
        <f aca="false">INDEX($G$27533:$K$27533,C27986)*CHOOSE($C$27516,Assumptions!$C$90,Assumptions!$C$109,Assumptions!$C$128)+MAX(0,INDEX($G$27747:$K$27747,C27986))</f>
        <v>2423.913149823</v>
      </c>
    </row>
    <row r="27994" customFormat="false" ht="15" hidden="false" customHeight="false" outlineLevel="0" collapsed="false">
      <c r="A27994" s="24" t="s">
        <v>596</v>
      </c>
      <c r="B27994" s="25"/>
      <c r="C27994" s="25"/>
      <c r="D27994" s="25"/>
      <c r="E27994" s="25"/>
      <c r="F27994" s="25"/>
      <c r="G27994" s="25"/>
      <c r="H27994" s="25"/>
      <c r="I27994" s="25"/>
      <c r="J27994" s="25"/>
      <c r="K27994" s="25"/>
    </row>
    <row r="27995" customFormat="false" ht="15" hidden="false" customHeight="false" outlineLevel="0" collapsed="false">
      <c r="A27995" s="3" t="s">
        <v>556</v>
      </c>
      <c r="C27995" s="16" t="n">
        <f aca="false">INDEX($G$27570:$K$27570,C27986)</f>
        <v>388</v>
      </c>
    </row>
    <row r="27996" customFormat="false" ht="15" hidden="false" customHeight="false" outlineLevel="0" collapsed="false">
      <c r="A27996" s="3" t="s">
        <v>557</v>
      </c>
      <c r="C27996" s="16" t="n">
        <f aca="false">INDEX($G$27583:$K$27583,C27986)</f>
        <v>90</v>
      </c>
    </row>
    <row r="27997" customFormat="false" ht="15" hidden="false" customHeight="false" outlineLevel="0" collapsed="false">
      <c r="A27997" s="3" t="s">
        <v>558</v>
      </c>
      <c r="C27997" s="16" t="n">
        <f aca="false">INDEX($G$27596:$K$27596,C27986)</f>
        <v>57.324</v>
      </c>
    </row>
    <row r="27998" customFormat="false" ht="15" hidden="false" customHeight="false" outlineLevel="0" collapsed="false">
      <c r="A27998" s="3" t="s">
        <v>559</v>
      </c>
      <c r="C27998" s="16" t="n">
        <f aca="false">INDEX($G$27609:$K$27609,C27986)</f>
        <v>0</v>
      </c>
    </row>
    <row r="27999" customFormat="false" ht="15" hidden="false" customHeight="false" outlineLevel="0" collapsed="false">
      <c r="A27999" s="3" t="s">
        <v>560</v>
      </c>
      <c r="C27999" s="16" t="n">
        <f aca="false">INDEX($G$27622:$K$27622,C27986)</f>
        <v>420.510757881</v>
      </c>
    </row>
    <row r="28000" customFormat="false" ht="15" hidden="false" customHeight="false" outlineLevel="0" collapsed="false">
      <c r="A28000" s="3" t="s">
        <v>561</v>
      </c>
      <c r="C28000" s="16" t="n">
        <f aca="false">INDEX($G$27635:$K$27635,C27986)</f>
        <v>350</v>
      </c>
    </row>
    <row r="28001" customFormat="false" ht="15" hidden="false" customHeight="false" outlineLevel="0" collapsed="false">
      <c r="A28001" s="3" t="s">
        <v>562</v>
      </c>
      <c r="C28001" s="16" t="n">
        <f aca="false">INDEX($G$27648:$K$27648,C27986)</f>
        <v>550</v>
      </c>
    </row>
    <row r="28002" customFormat="false" ht="15" hidden="false" customHeight="false" outlineLevel="0" collapsed="false">
      <c r="A28002" s="3" t="s">
        <v>563</v>
      </c>
      <c r="C28002" s="16" t="n">
        <f aca="false">INDEX($G$27661:$K$27661,C27986)</f>
        <v>350</v>
      </c>
    </row>
    <row r="28003" customFormat="false" ht="15" hidden="false" customHeight="false" outlineLevel="0" collapsed="false">
      <c r="A28003" s="3" t="s">
        <v>564</v>
      </c>
      <c r="C28003" s="16" t="n">
        <f aca="false">INDEX($G$27674:$K$27674,C27986)</f>
        <v>300</v>
      </c>
    </row>
    <row r="28004" customFormat="false" ht="15" hidden="false" customHeight="false" outlineLevel="0" collapsed="false">
      <c r="A28004" s="3" t="s">
        <v>565</v>
      </c>
      <c r="C28004" s="16" t="n">
        <f aca="false">INDEX($G$27687:$K$27687,C27986)</f>
        <v>78.61</v>
      </c>
    </row>
    <row r="28005" customFormat="false" ht="15" hidden="false" customHeight="false" outlineLevel="0" collapsed="false">
      <c r="A28005" s="24" t="s">
        <v>566</v>
      </c>
      <c r="B28005" s="25"/>
      <c r="C28005" s="25"/>
      <c r="D28005" s="25"/>
      <c r="E28005" s="25"/>
      <c r="F28005" s="25"/>
      <c r="G28005" s="25"/>
      <c r="H28005" s="25"/>
      <c r="I28005" s="25"/>
      <c r="J28005" s="25"/>
      <c r="K28005" s="25"/>
    </row>
    <row r="28006" customFormat="false" ht="15" hidden="false" customHeight="false" outlineLevel="0" collapsed="false">
      <c r="A28006" s="3" t="s">
        <v>556</v>
      </c>
      <c r="C28006" s="27" t="n">
        <f aca="false">Assumptions!$M$57</f>
        <v>1</v>
      </c>
    </row>
    <row r="28007" customFormat="false" ht="15" hidden="false" customHeight="false" outlineLevel="0" collapsed="false">
      <c r="A28007" s="3" t="s">
        <v>557</v>
      </c>
      <c r="C28007" s="27" t="n">
        <f aca="false">Assumptions!$M$58</f>
        <v>1</v>
      </c>
    </row>
    <row r="28008" customFormat="false" ht="15" hidden="false" customHeight="false" outlineLevel="0" collapsed="false">
      <c r="A28008" s="3" t="s">
        <v>558</v>
      </c>
      <c r="C28008" s="27" t="n">
        <f aca="false">Assumptions!$M$59</f>
        <v>1</v>
      </c>
    </row>
    <row r="28009" customFormat="false" ht="15" hidden="false" customHeight="false" outlineLevel="0" collapsed="false">
      <c r="A28009" s="3" t="s">
        <v>559</v>
      </c>
      <c r="C28009" s="27" t="n">
        <f aca="false">Assumptions!$M$60</f>
        <v>2</v>
      </c>
    </row>
    <row r="28010" customFormat="false" ht="15" hidden="false" customHeight="false" outlineLevel="0" collapsed="false">
      <c r="A28010" s="3" t="s">
        <v>560</v>
      </c>
      <c r="C28010" s="27" t="n">
        <f aca="false">Assumptions!$M$61</f>
        <v>2</v>
      </c>
    </row>
    <row r="28011" customFormat="false" ht="15" hidden="false" customHeight="false" outlineLevel="0" collapsed="false">
      <c r="A28011" s="3" t="s">
        <v>561</v>
      </c>
      <c r="C28011" s="27" t="n">
        <f aca="false">Assumptions!$M$62</f>
        <v>2</v>
      </c>
    </row>
    <row r="28012" customFormat="false" ht="15" hidden="false" customHeight="false" outlineLevel="0" collapsed="false">
      <c r="A28012" s="3" t="s">
        <v>562</v>
      </c>
      <c r="C28012" s="27" t="n">
        <f aca="false">Assumptions!$M$63</f>
        <v>2</v>
      </c>
    </row>
    <row r="28013" customFormat="false" ht="15" hidden="false" customHeight="false" outlineLevel="0" collapsed="false">
      <c r="A28013" s="3" t="s">
        <v>563</v>
      </c>
      <c r="C28013" s="27" t="n">
        <f aca="false">Assumptions!$M$64</f>
        <v>2</v>
      </c>
    </row>
    <row r="28014" customFormat="false" ht="15" hidden="false" customHeight="false" outlineLevel="0" collapsed="false">
      <c r="A28014" s="3" t="s">
        <v>564</v>
      </c>
      <c r="C28014" s="27" t="n">
        <f aca="false">Assumptions!$M$65</f>
        <v>2</v>
      </c>
    </row>
    <row r="28015" customFormat="false" ht="15" hidden="false" customHeight="false" outlineLevel="0" collapsed="false">
      <c r="A28015" s="3" t="s">
        <v>565</v>
      </c>
      <c r="C28015" s="27" t="n">
        <f aca="false">Assumptions!$M$66</f>
        <v>3</v>
      </c>
    </row>
    <row r="28016" customFormat="false" ht="15" hidden="false" customHeight="false" outlineLevel="0" collapsed="false">
      <c r="A28016" s="24" t="s">
        <v>567</v>
      </c>
      <c r="B28016" s="25"/>
      <c r="C28016" s="25"/>
      <c r="D28016" s="25"/>
      <c r="E28016" s="25"/>
      <c r="F28016" s="25"/>
      <c r="G28016" s="25"/>
      <c r="H28016" s="25"/>
      <c r="I28016" s="25"/>
      <c r="J28016" s="25"/>
      <c r="K28016" s="25"/>
    </row>
    <row r="28017" customFormat="false" ht="15" hidden="false" customHeight="false" outlineLevel="0" collapsed="false">
      <c r="A28017" s="3" t="s">
        <v>556</v>
      </c>
      <c r="C28017" s="33" t="n">
        <f aca="false">Assumptions!$Q$57</f>
        <v>0.3</v>
      </c>
    </row>
    <row r="28018" customFormat="false" ht="15" hidden="false" customHeight="false" outlineLevel="0" collapsed="false">
      <c r="A28018" s="3" t="s">
        <v>557</v>
      </c>
      <c r="C28018" s="33" t="n">
        <f aca="false">Assumptions!$Q$58</f>
        <v>0.033</v>
      </c>
    </row>
    <row r="28019" customFormat="false" ht="15" hidden="false" customHeight="false" outlineLevel="0" collapsed="false">
      <c r="A28019" s="3" t="s">
        <v>558</v>
      </c>
      <c r="C28019" s="33" t="n">
        <f aca="false">Assumptions!$Q$59</f>
        <v>0.021</v>
      </c>
    </row>
    <row r="28020" customFormat="false" ht="15" hidden="false" customHeight="false" outlineLevel="0" collapsed="false">
      <c r="A28020" s="3" t="s">
        <v>559</v>
      </c>
      <c r="C28020" s="33" t="n">
        <f aca="false">Assumptions!$Q$60</f>
        <v>0</v>
      </c>
    </row>
    <row r="28021" customFormat="false" ht="15" hidden="false" customHeight="false" outlineLevel="0" collapsed="false">
      <c r="A28021" s="3" t="s">
        <v>560</v>
      </c>
      <c r="C28021" s="33" t="n">
        <f aca="false">Assumptions!$Q$61</f>
        <v>0</v>
      </c>
    </row>
    <row r="28022" customFormat="false" ht="15" hidden="false" customHeight="false" outlineLevel="0" collapsed="false">
      <c r="A28022" s="3" t="s">
        <v>561</v>
      </c>
      <c r="C28022" s="33" t="n">
        <f aca="false">Assumptions!$Q$62</f>
        <v>0</v>
      </c>
    </row>
    <row r="28023" customFormat="false" ht="15" hidden="false" customHeight="false" outlineLevel="0" collapsed="false">
      <c r="A28023" s="3" t="s">
        <v>562</v>
      </c>
      <c r="C28023" s="33" t="n">
        <f aca="false">Assumptions!$Q$63</f>
        <v>0</v>
      </c>
    </row>
    <row r="28024" customFormat="false" ht="15" hidden="false" customHeight="false" outlineLevel="0" collapsed="false">
      <c r="A28024" s="3" t="s">
        <v>563</v>
      </c>
      <c r="C28024" s="33" t="n">
        <f aca="false">Assumptions!$Q$64</f>
        <v>0</v>
      </c>
    </row>
    <row r="28025" customFormat="false" ht="15" hidden="false" customHeight="false" outlineLevel="0" collapsed="false">
      <c r="A28025" s="3" t="s">
        <v>564</v>
      </c>
      <c r="C28025" s="33" t="n">
        <f aca="false">Assumptions!$Q$65</f>
        <v>0</v>
      </c>
    </row>
    <row r="28026" customFormat="false" ht="15" hidden="false" customHeight="false" outlineLevel="0" collapsed="false">
      <c r="A28026" s="3" t="s">
        <v>565</v>
      </c>
      <c r="C28026" s="33" t="n">
        <f aca="false">Assumptions!$Q$66</f>
        <v>0</v>
      </c>
    </row>
    <row r="28027" customFormat="false" ht="15" hidden="false" customHeight="false" outlineLevel="0" collapsed="false">
      <c r="A28027" s="24" t="s">
        <v>568</v>
      </c>
      <c r="B28027" s="25"/>
      <c r="C28027" s="25"/>
      <c r="D28027" s="25"/>
      <c r="E28027" s="25"/>
      <c r="F28027" s="25"/>
      <c r="G28027" s="25"/>
      <c r="H28027" s="25"/>
      <c r="I28027" s="25"/>
      <c r="J28027" s="25"/>
      <c r="K28027" s="25"/>
    </row>
    <row r="28028" customFormat="false" ht="15" hidden="false" customHeight="false" outlineLevel="0" collapsed="false">
      <c r="A28028" s="3" t="s">
        <v>556</v>
      </c>
      <c r="C28028" s="16" t="n">
        <f aca="false">IF(C28017&gt;0,MIN(C27995,C28017*$C$27993),0)</f>
        <v>388</v>
      </c>
    </row>
    <row r="28029" customFormat="false" ht="15" hidden="false" customHeight="false" outlineLevel="0" collapsed="false">
      <c r="A28029" s="3" t="s">
        <v>557</v>
      </c>
      <c r="C28029" s="16" t="n">
        <f aca="false">IF(C28018&gt;0,MIN(C27996,C28018*$C$27993),0)</f>
        <v>79.989133944159</v>
      </c>
    </row>
    <row r="28030" customFormat="false" ht="15" hidden="false" customHeight="false" outlineLevel="0" collapsed="false">
      <c r="A28030" s="3" t="s">
        <v>558</v>
      </c>
      <c r="C28030" s="16" t="n">
        <f aca="false">IF(C28019&gt;0,MIN(C27997,C28019*$C$27993),0)</f>
        <v>50.902176146283</v>
      </c>
    </row>
    <row r="28031" customFormat="false" ht="15" hidden="false" customHeight="false" outlineLevel="0" collapsed="false">
      <c r="A28031" s="3" t="s">
        <v>559</v>
      </c>
      <c r="C28031" s="16" t="n">
        <f aca="false">IF(C28020&gt;0,MIN(C27998,C28020*$C$27993),0)</f>
        <v>0</v>
      </c>
    </row>
    <row r="28032" customFormat="false" ht="15" hidden="false" customHeight="false" outlineLevel="0" collapsed="false">
      <c r="A28032" s="3" t="s">
        <v>560</v>
      </c>
      <c r="C28032" s="16" t="n">
        <f aca="false">IF(C28021&gt;0,MIN(C27999,C28021*$C$27993),0)</f>
        <v>0</v>
      </c>
    </row>
    <row r="28033" customFormat="false" ht="15" hidden="false" customHeight="false" outlineLevel="0" collapsed="false">
      <c r="A28033" s="3" t="s">
        <v>561</v>
      </c>
      <c r="C28033" s="16" t="n">
        <f aca="false">IF(C28022&gt;0,MIN(C28000,C28022*$C$27993),0)</f>
        <v>0</v>
      </c>
    </row>
    <row r="28034" customFormat="false" ht="15" hidden="false" customHeight="false" outlineLevel="0" collapsed="false">
      <c r="A28034" s="3" t="s">
        <v>562</v>
      </c>
      <c r="C28034" s="16" t="n">
        <f aca="false">IF(C28023&gt;0,MIN(C28001,C28023*$C$27993),0)</f>
        <v>0</v>
      </c>
    </row>
    <row r="28035" customFormat="false" ht="15" hidden="false" customHeight="false" outlineLevel="0" collapsed="false">
      <c r="A28035" s="3" t="s">
        <v>563</v>
      </c>
      <c r="C28035" s="16" t="n">
        <f aca="false">IF(C28024&gt;0,MIN(C28002,C28024*$C$27993),0)</f>
        <v>0</v>
      </c>
    </row>
    <row r="28036" customFormat="false" ht="15" hidden="false" customHeight="false" outlineLevel="0" collapsed="false">
      <c r="A28036" s="3" t="s">
        <v>564</v>
      </c>
      <c r="C28036" s="16" t="n">
        <f aca="false">IF(C28025&gt;0,MIN(C28003,C28025*$C$27993),0)</f>
        <v>0</v>
      </c>
    </row>
    <row r="28037" customFormat="false" ht="15" hidden="false" customHeight="false" outlineLevel="0" collapsed="false">
      <c r="A28037" s="3" t="s">
        <v>565</v>
      </c>
      <c r="C28037" s="16" t="n">
        <f aca="false">IF(C28026&gt;0,MIN(C28004,C28026*$C$27993),0)</f>
        <v>0</v>
      </c>
    </row>
    <row r="28038" customFormat="false" ht="15" hidden="false" customHeight="false" outlineLevel="0" collapsed="false">
      <c r="A28038" s="24" t="s">
        <v>569</v>
      </c>
      <c r="B28038" s="25"/>
      <c r="C28038" s="25"/>
      <c r="D28038" s="25"/>
      <c r="E28038" s="25"/>
      <c r="F28038" s="25"/>
      <c r="G28038" s="25"/>
      <c r="H28038" s="25"/>
      <c r="I28038" s="25"/>
      <c r="J28038" s="25"/>
      <c r="K28038" s="25"/>
    </row>
    <row r="28039" customFormat="false" ht="15" hidden="false" customHeight="false" outlineLevel="0" collapsed="false">
      <c r="A28039" s="3" t="s">
        <v>556</v>
      </c>
      <c r="C28039" s="16" t="n">
        <f aca="false">IF(C28017&gt;0,C27995-C28028,0)</f>
        <v>0</v>
      </c>
    </row>
    <row r="28040" customFormat="false" ht="15" hidden="false" customHeight="false" outlineLevel="0" collapsed="false">
      <c r="A28040" s="3" t="s">
        <v>557</v>
      </c>
      <c r="C28040" s="16" t="n">
        <f aca="false">IF(C28018&gt;0,C27996-C28029,0)</f>
        <v>10.010866055841</v>
      </c>
    </row>
    <row r="28041" customFormat="false" ht="15" hidden="false" customHeight="false" outlineLevel="0" collapsed="false">
      <c r="A28041" s="3" t="s">
        <v>558</v>
      </c>
      <c r="C28041" s="16" t="n">
        <f aca="false">IF(C28019&gt;0,C27997-C28030,0)</f>
        <v>6.42182385371699</v>
      </c>
    </row>
    <row r="28042" customFormat="false" ht="15" hidden="false" customHeight="false" outlineLevel="0" collapsed="false">
      <c r="A28042" s="3" t="s">
        <v>559</v>
      </c>
      <c r="C28042" s="16" t="n">
        <f aca="false">IF(C28020&gt;0,C27998-C28031,0)</f>
        <v>0</v>
      </c>
    </row>
    <row r="28043" customFormat="false" ht="15" hidden="false" customHeight="false" outlineLevel="0" collapsed="false">
      <c r="A28043" s="3" t="s">
        <v>560</v>
      </c>
      <c r="C28043" s="16" t="n">
        <f aca="false">IF(C28021&gt;0,C27999-C28032,0)</f>
        <v>0</v>
      </c>
    </row>
    <row r="28044" customFormat="false" ht="15" hidden="false" customHeight="false" outlineLevel="0" collapsed="false">
      <c r="A28044" s="3" t="s">
        <v>561</v>
      </c>
      <c r="C28044" s="16" t="n">
        <f aca="false">IF(C28022&gt;0,C28000-C28033,0)</f>
        <v>0</v>
      </c>
    </row>
    <row r="28045" customFormat="false" ht="15" hidden="false" customHeight="false" outlineLevel="0" collapsed="false">
      <c r="A28045" s="3" t="s">
        <v>562</v>
      </c>
      <c r="C28045" s="16" t="n">
        <f aca="false">IF(C28023&gt;0,C28001-C28034,0)</f>
        <v>0</v>
      </c>
    </row>
    <row r="28046" customFormat="false" ht="15" hidden="false" customHeight="false" outlineLevel="0" collapsed="false">
      <c r="A28046" s="3" t="s">
        <v>563</v>
      </c>
      <c r="C28046" s="16" t="n">
        <f aca="false">IF(C28024&gt;0,C28002-C28035,0)</f>
        <v>0</v>
      </c>
    </row>
    <row r="28047" customFormat="false" ht="15" hidden="false" customHeight="false" outlineLevel="0" collapsed="false">
      <c r="A28047" s="3" t="s">
        <v>564</v>
      </c>
      <c r="C28047" s="16" t="n">
        <f aca="false">IF(C28025&gt;0,C28003-C28036,0)</f>
        <v>0</v>
      </c>
    </row>
    <row r="28048" customFormat="false" ht="15" hidden="false" customHeight="false" outlineLevel="0" collapsed="false">
      <c r="A28048" s="3" t="s">
        <v>565</v>
      </c>
      <c r="C28048" s="16" t="n">
        <f aca="false">IF(C28026&gt;0,C28004-C28037,0)</f>
        <v>0</v>
      </c>
    </row>
    <row r="28049" customFormat="false" ht="15" hidden="false" customHeight="false" outlineLevel="0" collapsed="false">
      <c r="A28049" s="24" t="s">
        <v>570</v>
      </c>
      <c r="B28049" s="25"/>
      <c r="C28049" s="25"/>
      <c r="D28049" s="25"/>
      <c r="E28049" s="25"/>
      <c r="F28049" s="25"/>
      <c r="G28049" s="25"/>
      <c r="H28049" s="25"/>
      <c r="I28049" s="25"/>
      <c r="J28049" s="25"/>
      <c r="K28049" s="25"/>
    </row>
    <row r="28050" customFormat="false" ht="15" hidden="false" customHeight="false" outlineLevel="0" collapsed="false">
      <c r="A28050" s="3" t="s">
        <v>556</v>
      </c>
      <c r="C28050" s="16" t="n">
        <f aca="false">IF(C28017&gt;0,C28039,C27995)</f>
        <v>0</v>
      </c>
    </row>
    <row r="28051" customFormat="false" ht="15" hidden="false" customHeight="false" outlineLevel="0" collapsed="false">
      <c r="A28051" s="3" t="s">
        <v>557</v>
      </c>
      <c r="C28051" s="16" t="n">
        <f aca="false">IF(C28018&gt;0,C28040,C27996)</f>
        <v>10.010866055841</v>
      </c>
    </row>
    <row r="28052" customFormat="false" ht="15" hidden="false" customHeight="false" outlineLevel="0" collapsed="false">
      <c r="A28052" s="3" t="s">
        <v>558</v>
      </c>
      <c r="C28052" s="16" t="n">
        <f aca="false">IF(C28019&gt;0,C28041,C27997)</f>
        <v>6.42182385371699</v>
      </c>
    </row>
    <row r="28053" customFormat="false" ht="15" hidden="false" customHeight="false" outlineLevel="0" collapsed="false">
      <c r="A28053" s="3" t="s">
        <v>559</v>
      </c>
      <c r="C28053" s="16" t="n">
        <f aca="false">IF(C28020&gt;0,C28042,C27998)</f>
        <v>0</v>
      </c>
    </row>
    <row r="28054" customFormat="false" ht="15" hidden="false" customHeight="false" outlineLevel="0" collapsed="false">
      <c r="A28054" s="3" t="s">
        <v>560</v>
      </c>
      <c r="C28054" s="16" t="n">
        <f aca="false">IF(C28021&gt;0,C28043,C27999)</f>
        <v>420.510757881</v>
      </c>
    </row>
    <row r="28055" customFormat="false" ht="15" hidden="false" customHeight="false" outlineLevel="0" collapsed="false">
      <c r="A28055" s="3" t="s">
        <v>561</v>
      </c>
      <c r="C28055" s="16" t="n">
        <f aca="false">IF(C28022&gt;0,C28044,C28000)</f>
        <v>350</v>
      </c>
    </row>
    <row r="28056" customFormat="false" ht="15" hidden="false" customHeight="false" outlineLevel="0" collapsed="false">
      <c r="A28056" s="3" t="s">
        <v>562</v>
      </c>
      <c r="C28056" s="16" t="n">
        <f aca="false">IF(C28023&gt;0,C28045,C28001)</f>
        <v>550</v>
      </c>
    </row>
    <row r="28057" customFormat="false" ht="15" hidden="false" customHeight="false" outlineLevel="0" collapsed="false">
      <c r="A28057" s="3" t="s">
        <v>563</v>
      </c>
      <c r="C28057" s="16" t="n">
        <f aca="false">IF(C28024&gt;0,C28046,C28002)</f>
        <v>350</v>
      </c>
    </row>
    <row r="28058" customFormat="false" ht="15" hidden="false" customHeight="false" outlineLevel="0" collapsed="false">
      <c r="A28058" s="3" t="s">
        <v>564</v>
      </c>
      <c r="C28058" s="16" t="n">
        <f aca="false">IF(C28025&gt;0,C28047,C28003)</f>
        <v>300</v>
      </c>
    </row>
    <row r="28059" customFormat="false" ht="15" hidden="false" customHeight="false" outlineLevel="0" collapsed="false">
      <c r="A28059" s="3" t="s">
        <v>565</v>
      </c>
      <c r="C28059" s="16" t="n">
        <f aca="false">IF(C28026&gt;0,C28048,C28004)</f>
        <v>78.61</v>
      </c>
    </row>
    <row r="28060" customFormat="false" ht="15" hidden="false" customHeight="false" outlineLevel="0" collapsed="false">
      <c r="A28060" s="24" t="s">
        <v>571</v>
      </c>
      <c r="B28060" s="25"/>
      <c r="C28060" s="25"/>
      <c r="D28060" s="25"/>
      <c r="E28060" s="25"/>
      <c r="F28060" s="25"/>
      <c r="G28060" s="25"/>
      <c r="H28060" s="25"/>
      <c r="I28060" s="25"/>
      <c r="J28060" s="25"/>
      <c r="K28060" s="25"/>
    </row>
    <row r="28061" customFormat="false" ht="15" hidden="false" customHeight="false" outlineLevel="0" collapsed="false">
      <c r="A28061" s="3" t="s">
        <v>556</v>
      </c>
      <c r="C28061" s="21" t="n">
        <f aca="false">IF(C28017&gt;0,Assumptions!$C$17,C28006)</f>
        <v>99</v>
      </c>
    </row>
    <row r="28062" customFormat="false" ht="15" hidden="false" customHeight="false" outlineLevel="0" collapsed="false">
      <c r="A28062" s="3" t="s">
        <v>557</v>
      </c>
      <c r="C28062" s="21" t="n">
        <f aca="false">IF(C28018&gt;0,Assumptions!$C$17,C28007)</f>
        <v>99</v>
      </c>
    </row>
    <row r="28063" customFormat="false" ht="15" hidden="false" customHeight="false" outlineLevel="0" collapsed="false">
      <c r="A28063" s="3" t="s">
        <v>558</v>
      </c>
      <c r="C28063" s="21" t="n">
        <f aca="false">IF(C28019&gt;0,Assumptions!$C$17,C28008)</f>
        <v>99</v>
      </c>
    </row>
    <row r="28064" customFormat="false" ht="15" hidden="false" customHeight="false" outlineLevel="0" collapsed="false">
      <c r="A28064" s="3" t="s">
        <v>559</v>
      </c>
      <c r="C28064" s="21" t="n">
        <f aca="false">IF(C28020&gt;0,Assumptions!$C$17,C28009)</f>
        <v>2</v>
      </c>
    </row>
    <row r="28065" customFormat="false" ht="15" hidden="false" customHeight="false" outlineLevel="0" collapsed="false">
      <c r="A28065" s="3" t="s">
        <v>560</v>
      </c>
      <c r="C28065" s="21" t="n">
        <f aca="false">IF(C28021&gt;0,Assumptions!$C$17,C28010)</f>
        <v>2</v>
      </c>
    </row>
    <row r="28066" customFormat="false" ht="15" hidden="false" customHeight="false" outlineLevel="0" collapsed="false">
      <c r="A28066" s="3" t="s">
        <v>561</v>
      </c>
      <c r="C28066" s="21" t="n">
        <f aca="false">IF(C28022&gt;0,Assumptions!$C$17,C28011)</f>
        <v>2</v>
      </c>
    </row>
    <row r="28067" customFormat="false" ht="15" hidden="false" customHeight="false" outlineLevel="0" collapsed="false">
      <c r="A28067" s="3" t="s">
        <v>562</v>
      </c>
      <c r="C28067" s="21" t="n">
        <f aca="false">IF(C28023&gt;0,Assumptions!$C$17,C28012)</f>
        <v>2</v>
      </c>
    </row>
    <row r="28068" customFormat="false" ht="15" hidden="false" customHeight="false" outlineLevel="0" collapsed="false">
      <c r="A28068" s="3" t="s">
        <v>563</v>
      </c>
      <c r="C28068" s="21" t="n">
        <f aca="false">IF(C28024&gt;0,Assumptions!$C$17,C28013)</f>
        <v>2</v>
      </c>
    </row>
    <row r="28069" customFormat="false" ht="15" hidden="false" customHeight="false" outlineLevel="0" collapsed="false">
      <c r="A28069" s="3" t="s">
        <v>564</v>
      </c>
      <c r="C28069" s="21" t="n">
        <f aca="false">IF(C28025&gt;0,Assumptions!$C$17,C28014)</f>
        <v>2</v>
      </c>
    </row>
    <row r="28070" customFormat="false" ht="15" hidden="false" customHeight="false" outlineLevel="0" collapsed="false">
      <c r="A28070" s="3" t="s">
        <v>565</v>
      </c>
      <c r="C28070" s="21" t="n">
        <f aca="false">IF(C28026&gt;0,Assumptions!$C$17,C28015)</f>
        <v>3</v>
      </c>
    </row>
    <row r="28071" customFormat="false" ht="15" hidden="false" customHeight="false" outlineLevel="0" collapsed="false">
      <c r="A28071" s="24" t="s">
        <v>572</v>
      </c>
      <c r="B28071" s="25"/>
      <c r="C28071" s="25"/>
      <c r="D28071" s="25"/>
      <c r="E28071" s="25"/>
      <c r="F28071" s="25"/>
      <c r="G28071" s="25"/>
      <c r="H28071" s="25"/>
      <c r="I28071" s="25"/>
      <c r="J28071" s="25"/>
      <c r="K28071" s="25"/>
    </row>
    <row r="28072" customFormat="false" ht="15" hidden="false" customHeight="false" outlineLevel="0" collapsed="false">
      <c r="A28072" s="3" t="s">
        <v>556</v>
      </c>
      <c r="C28072" s="16" t="n">
        <f aca="false">SUMPRODUCT(($C$28061:$C$28070&lt;C28061)*$C$28050:$C$28059)</f>
        <v>2049.120757881</v>
      </c>
    </row>
    <row r="28073" customFormat="false" ht="15" hidden="false" customHeight="false" outlineLevel="0" collapsed="false">
      <c r="A28073" s="3" t="s">
        <v>557</v>
      </c>
      <c r="C28073" s="16" t="n">
        <f aca="false">SUMPRODUCT(($C$28061:$C$28070&lt;C28062)*$C$28050:$C$28059)</f>
        <v>2049.120757881</v>
      </c>
    </row>
    <row r="28074" customFormat="false" ht="15" hidden="false" customHeight="false" outlineLevel="0" collapsed="false">
      <c r="A28074" s="3" t="s">
        <v>558</v>
      </c>
      <c r="C28074" s="16" t="n">
        <f aca="false">SUMPRODUCT(($C$28061:$C$28070&lt;C28063)*$C$28050:$C$28059)</f>
        <v>2049.120757881</v>
      </c>
    </row>
    <row r="28075" customFormat="false" ht="15" hidden="false" customHeight="false" outlineLevel="0" collapsed="false">
      <c r="A28075" s="3" t="s">
        <v>559</v>
      </c>
      <c r="C28075" s="16" t="n">
        <f aca="false">SUMPRODUCT(($C$28061:$C$28070&lt;C28064)*$C$28050:$C$28059)</f>
        <v>0</v>
      </c>
    </row>
    <row r="28076" customFormat="false" ht="15" hidden="false" customHeight="false" outlineLevel="0" collapsed="false">
      <c r="A28076" s="3" t="s">
        <v>560</v>
      </c>
      <c r="C28076" s="16" t="n">
        <f aca="false">SUMPRODUCT(($C$28061:$C$28070&lt;C28065)*$C$28050:$C$28059)</f>
        <v>0</v>
      </c>
    </row>
    <row r="28077" customFormat="false" ht="15" hidden="false" customHeight="false" outlineLevel="0" collapsed="false">
      <c r="A28077" s="3" t="s">
        <v>561</v>
      </c>
      <c r="C28077" s="16" t="n">
        <f aca="false">SUMPRODUCT(($C$28061:$C$28070&lt;C28066)*$C$28050:$C$28059)</f>
        <v>0</v>
      </c>
    </row>
    <row r="28078" customFormat="false" ht="15" hidden="false" customHeight="false" outlineLevel="0" collapsed="false">
      <c r="A28078" s="3" t="s">
        <v>562</v>
      </c>
      <c r="C28078" s="16" t="n">
        <f aca="false">SUMPRODUCT(($C$28061:$C$28070&lt;C28067)*$C$28050:$C$28059)</f>
        <v>0</v>
      </c>
    </row>
    <row r="28079" customFormat="false" ht="15" hidden="false" customHeight="false" outlineLevel="0" collapsed="false">
      <c r="A28079" s="3" t="s">
        <v>563</v>
      </c>
      <c r="C28079" s="16" t="n">
        <f aca="false">SUMPRODUCT(($C$28061:$C$28070&lt;C28068)*$C$28050:$C$28059)</f>
        <v>0</v>
      </c>
    </row>
    <row r="28080" customFormat="false" ht="15" hidden="false" customHeight="false" outlineLevel="0" collapsed="false">
      <c r="A28080" s="3" t="s">
        <v>564</v>
      </c>
      <c r="C28080" s="16" t="n">
        <f aca="false">SUMPRODUCT(($C$28061:$C$28070&lt;C28069)*$C$28050:$C$28059)</f>
        <v>0</v>
      </c>
    </row>
    <row r="28081" customFormat="false" ht="15" hidden="false" customHeight="false" outlineLevel="0" collapsed="false">
      <c r="A28081" s="3" t="s">
        <v>565</v>
      </c>
      <c r="C28081" s="16" t="n">
        <f aca="false">SUMPRODUCT(($C$28061:$C$28070&lt;C28070)*$C$28050:$C$28059)</f>
        <v>1970.510757881</v>
      </c>
    </row>
    <row r="28082" customFormat="false" ht="15" hidden="false" customHeight="false" outlineLevel="0" collapsed="false">
      <c r="A28082" s="24" t="s">
        <v>573</v>
      </c>
      <c r="B28082" s="25"/>
      <c r="C28082" s="25"/>
      <c r="D28082" s="25"/>
      <c r="E28082" s="25"/>
      <c r="F28082" s="25"/>
      <c r="G28082" s="25"/>
      <c r="H28082" s="25"/>
      <c r="I28082" s="25"/>
      <c r="J28082" s="25"/>
      <c r="K28082" s="25"/>
    </row>
    <row r="28083" customFormat="false" ht="15" hidden="false" customHeight="false" outlineLevel="0" collapsed="false">
      <c r="A28083" s="3" t="s">
        <v>556</v>
      </c>
      <c r="C28083" s="16" t="n">
        <f aca="false">SUMPRODUCT(($C$28061:$C$28070=C28061)*$C$28050:$C$28059)</f>
        <v>16.432689909558</v>
      </c>
    </row>
    <row r="28084" customFormat="false" ht="15" hidden="false" customHeight="false" outlineLevel="0" collapsed="false">
      <c r="A28084" s="3" t="s">
        <v>557</v>
      </c>
      <c r="C28084" s="16" t="n">
        <f aca="false">SUMPRODUCT(($C$28061:$C$28070=C28062)*$C$28050:$C$28059)</f>
        <v>16.432689909558</v>
      </c>
    </row>
    <row r="28085" customFormat="false" ht="15" hidden="false" customHeight="false" outlineLevel="0" collapsed="false">
      <c r="A28085" s="3" t="s">
        <v>558</v>
      </c>
      <c r="C28085" s="16" t="n">
        <f aca="false">SUMPRODUCT(($C$28061:$C$28070=C28063)*$C$28050:$C$28059)</f>
        <v>16.432689909558</v>
      </c>
    </row>
    <row r="28086" customFormat="false" ht="15" hidden="false" customHeight="false" outlineLevel="0" collapsed="false">
      <c r="A28086" s="3" t="s">
        <v>559</v>
      </c>
      <c r="C28086" s="16" t="n">
        <f aca="false">SUMPRODUCT(($C$28061:$C$28070=C28064)*$C$28050:$C$28059)</f>
        <v>1970.510757881</v>
      </c>
    </row>
    <row r="28087" customFormat="false" ht="15" hidden="false" customHeight="false" outlineLevel="0" collapsed="false">
      <c r="A28087" s="3" t="s">
        <v>560</v>
      </c>
      <c r="C28087" s="16" t="n">
        <f aca="false">SUMPRODUCT(($C$28061:$C$28070=C28065)*$C$28050:$C$28059)</f>
        <v>1970.510757881</v>
      </c>
    </row>
    <row r="28088" customFormat="false" ht="15" hidden="false" customHeight="false" outlineLevel="0" collapsed="false">
      <c r="A28088" s="3" t="s">
        <v>561</v>
      </c>
      <c r="C28088" s="16" t="n">
        <f aca="false">SUMPRODUCT(($C$28061:$C$28070=C28066)*$C$28050:$C$28059)</f>
        <v>1970.510757881</v>
      </c>
    </row>
    <row r="28089" customFormat="false" ht="15" hidden="false" customHeight="false" outlineLevel="0" collapsed="false">
      <c r="A28089" s="3" t="s">
        <v>562</v>
      </c>
      <c r="C28089" s="16" t="n">
        <f aca="false">SUMPRODUCT(($C$28061:$C$28070=C28067)*$C$28050:$C$28059)</f>
        <v>1970.510757881</v>
      </c>
    </row>
    <row r="28090" customFormat="false" ht="15" hidden="false" customHeight="false" outlineLevel="0" collapsed="false">
      <c r="A28090" s="3" t="s">
        <v>563</v>
      </c>
      <c r="C28090" s="16" t="n">
        <f aca="false">SUMPRODUCT(($C$28061:$C$28070=C28068)*$C$28050:$C$28059)</f>
        <v>1970.510757881</v>
      </c>
    </row>
    <row r="28091" customFormat="false" ht="15" hidden="false" customHeight="false" outlineLevel="0" collapsed="false">
      <c r="A28091" s="3" t="s">
        <v>564</v>
      </c>
      <c r="C28091" s="16" t="n">
        <f aca="false">SUMPRODUCT(($C$28061:$C$28070=C28069)*$C$28050:$C$28059)</f>
        <v>1970.510757881</v>
      </c>
    </row>
    <row r="28092" customFormat="false" ht="15" hidden="false" customHeight="false" outlineLevel="0" collapsed="false">
      <c r="A28092" s="3" t="s">
        <v>565</v>
      </c>
      <c r="C28092" s="16" t="n">
        <f aca="false">SUMPRODUCT(($C$28061:$C$28070=C28070)*$C$28050:$C$28059)</f>
        <v>78.61</v>
      </c>
    </row>
    <row r="28093" customFormat="false" ht="15" hidden="false" customHeight="false" outlineLevel="0" collapsed="false">
      <c r="A28093" s="24" t="s">
        <v>574</v>
      </c>
      <c r="B28093" s="25"/>
      <c r="C28093" s="25"/>
      <c r="D28093" s="25"/>
      <c r="E28093" s="25"/>
      <c r="F28093" s="25"/>
      <c r="G28093" s="25"/>
      <c r="H28093" s="25"/>
      <c r="I28093" s="25"/>
      <c r="J28093" s="25"/>
      <c r="K28093" s="25"/>
    </row>
    <row r="28094" customFormat="false" ht="15" hidden="false" customHeight="false" outlineLevel="0" collapsed="false">
      <c r="A28094" s="3" t="s">
        <v>556</v>
      </c>
      <c r="C28094" s="16" t="n">
        <f aca="false">IF(C28083=0,0,C28050/C28083*MAX(0,MIN(C28083,$C$27993-SUM($C$28028:$C$28037)-C28072)))</f>
        <v>0</v>
      </c>
    </row>
    <row r="28095" customFormat="false" ht="15" hidden="false" customHeight="false" outlineLevel="0" collapsed="false">
      <c r="A28095" s="3" t="s">
        <v>557</v>
      </c>
      <c r="C28095" s="16" t="n">
        <f aca="false">IF(C28084=0,0,C28051/C28084*MAX(0,MIN(C28084,$C$27993-SUM($C$28028:$C$28037)-C28073)))</f>
        <v>0</v>
      </c>
    </row>
    <row r="28096" customFormat="false" ht="15" hidden="false" customHeight="false" outlineLevel="0" collapsed="false">
      <c r="A28096" s="3" t="s">
        <v>558</v>
      </c>
      <c r="C28096" s="16" t="n">
        <f aca="false">IF(C28085=0,0,C28052/C28085*MAX(0,MIN(C28085,$C$27993-SUM($C$28028:$C$28037)-C28074)))</f>
        <v>0</v>
      </c>
    </row>
    <row r="28097" customFormat="false" ht="15" hidden="false" customHeight="false" outlineLevel="0" collapsed="false">
      <c r="A28097" s="3" t="s">
        <v>559</v>
      </c>
      <c r="C28097" s="16" t="n">
        <f aca="false">IF(C28086=0,0,C28053/C28086*MAX(0,MIN(C28086,$C$27993-SUM($C$28028:$C$28037)-C28075)))</f>
        <v>0</v>
      </c>
    </row>
    <row r="28098" customFormat="false" ht="15" hidden="false" customHeight="false" outlineLevel="0" collapsed="false">
      <c r="A28098" s="3" t="s">
        <v>560</v>
      </c>
      <c r="C28098" s="16" t="n">
        <f aca="false">IF(C28087=0,0,C28054/C28087*MAX(0,MIN(C28087,$C$27993-SUM($C$28028:$C$28037)-C28076)))</f>
        <v>406.535297715017</v>
      </c>
    </row>
    <row r="28099" customFormat="false" ht="15" hidden="false" customHeight="false" outlineLevel="0" collapsed="false">
      <c r="A28099" s="3" t="s">
        <v>561</v>
      </c>
      <c r="C28099" s="16" t="n">
        <f aca="false">IF(C28088=0,0,C28055/C28088*MAX(0,MIN(C28088,$C$27993-SUM($C$28028:$C$28037)-C28077)))</f>
        <v>338.367928842671</v>
      </c>
    </row>
    <row r="28100" customFormat="false" ht="15" hidden="false" customHeight="false" outlineLevel="0" collapsed="false">
      <c r="A28100" s="3" t="s">
        <v>562</v>
      </c>
      <c r="C28100" s="16" t="n">
        <f aca="false">IF(C28089=0,0,C28056/C28089*MAX(0,MIN(C28089,$C$27993-SUM($C$28028:$C$28037)-C28078)))</f>
        <v>531.721031038483</v>
      </c>
    </row>
    <row r="28101" customFormat="false" ht="15" hidden="false" customHeight="false" outlineLevel="0" collapsed="false">
      <c r="A28101" s="3" t="s">
        <v>563</v>
      </c>
      <c r="C28101" s="16" t="n">
        <f aca="false">IF(C28090=0,0,C28057/C28090*MAX(0,MIN(C28090,$C$27993-SUM($C$28028:$C$28037)-C28079)))</f>
        <v>338.367928842671</v>
      </c>
    </row>
    <row r="28102" customFormat="false" ht="15" hidden="false" customHeight="false" outlineLevel="0" collapsed="false">
      <c r="A28102" s="3" t="s">
        <v>564</v>
      </c>
      <c r="C28102" s="16" t="n">
        <f aca="false">IF(C28091=0,0,C28058/C28091*MAX(0,MIN(C28091,$C$27993-SUM($C$28028:$C$28037)-C28080)))</f>
        <v>290.029653293718</v>
      </c>
    </row>
    <row r="28103" customFormat="false" ht="15" hidden="false" customHeight="false" outlineLevel="0" collapsed="false">
      <c r="A28103" s="3" t="s">
        <v>565</v>
      </c>
      <c r="C28103" s="16" t="n">
        <f aca="false">IF(C28092=0,0,C28059/C28092*MAX(0,MIN(C28092,$C$27993-SUM($C$28028:$C$28037)-C28081)))</f>
        <v>0</v>
      </c>
    </row>
    <row r="28104" customFormat="false" ht="15" hidden="false" customHeight="false" outlineLevel="0" collapsed="false">
      <c r="A28104" s="24" t="s">
        <v>575</v>
      </c>
      <c r="B28104" s="25"/>
      <c r="C28104" s="25"/>
      <c r="D28104" s="25"/>
      <c r="E28104" s="25"/>
      <c r="F28104" s="25"/>
      <c r="G28104" s="25"/>
      <c r="H28104" s="25"/>
      <c r="I28104" s="25"/>
      <c r="J28104" s="25"/>
      <c r="K28104" s="25"/>
    </row>
    <row r="28105" customFormat="false" ht="15" hidden="false" customHeight="false" outlineLevel="0" collapsed="false">
      <c r="A28105" s="2" t="s">
        <v>556</v>
      </c>
      <c r="C28105" s="17" t="n">
        <f aca="false">C28028+C28094</f>
        <v>388</v>
      </c>
    </row>
    <row r="28106" customFormat="false" ht="15" hidden="false" customHeight="false" outlineLevel="0" collapsed="false">
      <c r="A28106" s="2" t="s">
        <v>557</v>
      </c>
      <c r="C28106" s="17" t="n">
        <f aca="false">C28029+C28095</f>
        <v>79.989133944159</v>
      </c>
    </row>
    <row r="28107" customFormat="false" ht="15" hidden="false" customHeight="false" outlineLevel="0" collapsed="false">
      <c r="A28107" s="2" t="s">
        <v>558</v>
      </c>
      <c r="C28107" s="17" t="n">
        <f aca="false">C28030+C28096</f>
        <v>50.902176146283</v>
      </c>
    </row>
    <row r="28108" customFormat="false" ht="15" hidden="false" customHeight="false" outlineLevel="0" collapsed="false">
      <c r="A28108" s="2" t="s">
        <v>559</v>
      </c>
      <c r="C28108" s="17" t="n">
        <f aca="false">C28031+C28097</f>
        <v>0</v>
      </c>
    </row>
    <row r="28109" customFormat="false" ht="15" hidden="false" customHeight="false" outlineLevel="0" collapsed="false">
      <c r="A28109" s="2" t="s">
        <v>560</v>
      </c>
      <c r="C28109" s="17" t="n">
        <f aca="false">C28032+C28098</f>
        <v>406.535297715017</v>
      </c>
    </row>
    <row r="28110" customFormat="false" ht="15" hidden="false" customHeight="false" outlineLevel="0" collapsed="false">
      <c r="A28110" s="2" t="s">
        <v>561</v>
      </c>
      <c r="C28110" s="17" t="n">
        <f aca="false">C28033+C28099</f>
        <v>338.367928842671</v>
      </c>
    </row>
    <row r="28111" customFormat="false" ht="15" hidden="false" customHeight="false" outlineLevel="0" collapsed="false">
      <c r="A28111" s="2" t="s">
        <v>562</v>
      </c>
      <c r="C28111" s="17" t="n">
        <f aca="false">C28034+C28100</f>
        <v>531.721031038483</v>
      </c>
    </row>
    <row r="28112" customFormat="false" ht="15" hidden="false" customHeight="false" outlineLevel="0" collapsed="false">
      <c r="A28112" s="2" t="s">
        <v>563</v>
      </c>
      <c r="C28112" s="17" t="n">
        <f aca="false">C28035+C28101</f>
        <v>338.367928842671</v>
      </c>
    </row>
    <row r="28113" customFormat="false" ht="15" hidden="false" customHeight="false" outlineLevel="0" collapsed="false">
      <c r="A28113" s="2" t="s">
        <v>564</v>
      </c>
      <c r="C28113" s="17" t="n">
        <f aca="false">C28036+C28102</f>
        <v>290.029653293718</v>
      </c>
    </row>
    <row r="28114" customFormat="false" ht="15" hidden="false" customHeight="false" outlineLevel="0" collapsed="false">
      <c r="A28114" s="2" t="s">
        <v>565</v>
      </c>
      <c r="C28114" s="17" t="n">
        <f aca="false">C28037+C28103</f>
        <v>0</v>
      </c>
    </row>
    <row r="28115" customFormat="false" ht="15" hidden="false" customHeight="false" outlineLevel="0" collapsed="false">
      <c r="A28115" s="24" t="s">
        <v>576</v>
      </c>
      <c r="B28115" s="25"/>
      <c r="C28115" s="25"/>
      <c r="D28115" s="25"/>
      <c r="E28115" s="25"/>
      <c r="F28115" s="25"/>
      <c r="G28115" s="25"/>
      <c r="H28115" s="25"/>
      <c r="I28115" s="25"/>
      <c r="J28115" s="25"/>
      <c r="K28115" s="25"/>
    </row>
    <row r="28116" customFormat="false" ht="15" hidden="false" customHeight="false" outlineLevel="0" collapsed="false">
      <c r="A28116" s="3" t="s">
        <v>556</v>
      </c>
      <c r="C28116" s="22" t="n">
        <f aca="false">IF(C27995=0,1,C28105/C27995)</f>
        <v>1</v>
      </c>
    </row>
    <row r="28117" customFormat="false" ht="15" hidden="false" customHeight="false" outlineLevel="0" collapsed="false">
      <c r="A28117" s="3" t="s">
        <v>557</v>
      </c>
      <c r="C28117" s="22" t="n">
        <f aca="false">IF(C27996=0,1,C28106/C27996)</f>
        <v>0.8887681549351</v>
      </c>
    </row>
    <row r="28118" customFormat="false" ht="15" hidden="false" customHeight="false" outlineLevel="0" collapsed="false">
      <c r="A28118" s="3" t="s">
        <v>558</v>
      </c>
      <c r="C28118" s="22" t="n">
        <f aca="false">IF(C27997=0,1,C28107/C27997)</f>
        <v>0.887973207492202</v>
      </c>
    </row>
    <row r="28119" customFormat="false" ht="15" hidden="false" customHeight="false" outlineLevel="0" collapsed="false">
      <c r="A28119" s="3" t="s">
        <v>559</v>
      </c>
      <c r="C28119" s="22" t="n">
        <f aca="false">IF(C27998=0,1,C28108/C27998)</f>
        <v>1</v>
      </c>
    </row>
    <row r="28120" customFormat="false" ht="15" hidden="false" customHeight="false" outlineLevel="0" collapsed="false">
      <c r="A28120" s="3" t="s">
        <v>560</v>
      </c>
      <c r="C28120" s="22" t="n">
        <f aca="false">IF(C27999=0,1,C28109/C27999)</f>
        <v>0.966765510979059</v>
      </c>
    </row>
    <row r="28121" customFormat="false" ht="15" hidden="false" customHeight="false" outlineLevel="0" collapsed="false">
      <c r="A28121" s="3" t="s">
        <v>561</v>
      </c>
      <c r="C28121" s="22" t="n">
        <f aca="false">IF(C28000=0,1,C28110/C28000)</f>
        <v>0.966765510979059</v>
      </c>
    </row>
    <row r="28122" customFormat="false" ht="15" hidden="false" customHeight="false" outlineLevel="0" collapsed="false">
      <c r="A28122" s="3" t="s">
        <v>562</v>
      </c>
      <c r="C28122" s="22" t="n">
        <f aca="false">IF(C28001=0,1,C28111/C28001)</f>
        <v>0.96676551097906</v>
      </c>
    </row>
    <row r="28123" customFormat="false" ht="15" hidden="false" customHeight="false" outlineLevel="0" collapsed="false">
      <c r="A28123" s="3" t="s">
        <v>563</v>
      </c>
      <c r="C28123" s="22" t="n">
        <f aca="false">IF(C28002=0,1,C28112/C28002)</f>
        <v>0.966765510979059</v>
      </c>
    </row>
    <row r="28124" customFormat="false" ht="15" hidden="false" customHeight="false" outlineLevel="0" collapsed="false">
      <c r="A28124" s="3" t="s">
        <v>564</v>
      </c>
      <c r="C28124" s="22" t="n">
        <f aca="false">IF(C28003=0,1,C28113/C28003)</f>
        <v>0.966765510979059</v>
      </c>
    </row>
    <row r="28125" customFormat="false" ht="15" hidden="false" customHeight="false" outlineLevel="0" collapsed="false">
      <c r="A28125" s="3" t="s">
        <v>565</v>
      </c>
      <c r="C28125" s="22" t="n">
        <f aca="false">IF(C28004=0,1,C28114/C28004)</f>
        <v>0</v>
      </c>
    </row>
    <row r="28126" customFormat="false" ht="15" hidden="false" customHeight="false" outlineLevel="0" collapsed="false">
      <c r="A28126" s="24" t="s">
        <v>577</v>
      </c>
      <c r="B28126" s="25"/>
      <c r="C28126" s="25"/>
      <c r="D28126" s="25"/>
      <c r="E28126" s="25"/>
      <c r="F28126" s="25"/>
      <c r="G28126" s="25"/>
      <c r="H28126" s="25"/>
      <c r="I28126" s="25"/>
      <c r="J28126" s="25"/>
      <c r="K28126" s="25"/>
    </row>
    <row r="28127" customFormat="false" ht="15" hidden="false" customHeight="false" outlineLevel="0" collapsed="false">
      <c r="A28127" s="3" t="s">
        <v>556</v>
      </c>
      <c r="C28127" s="16" t="n">
        <f aca="false">C27995-C28105</f>
        <v>0</v>
      </c>
    </row>
    <row r="28128" customFormat="false" ht="15" hidden="false" customHeight="false" outlineLevel="0" collapsed="false">
      <c r="A28128" s="3" t="s">
        <v>557</v>
      </c>
      <c r="C28128" s="16" t="n">
        <f aca="false">C27996-C28106</f>
        <v>10.010866055841</v>
      </c>
    </row>
    <row r="28129" customFormat="false" ht="15" hidden="false" customHeight="false" outlineLevel="0" collapsed="false">
      <c r="A28129" s="3" t="s">
        <v>558</v>
      </c>
      <c r="C28129" s="16" t="n">
        <f aca="false">C27997-C28107</f>
        <v>6.42182385371699</v>
      </c>
    </row>
    <row r="28130" customFormat="false" ht="15" hidden="false" customHeight="false" outlineLevel="0" collapsed="false">
      <c r="A28130" s="3" t="s">
        <v>559</v>
      </c>
      <c r="C28130" s="16" t="n">
        <f aca="false">C27998-C28108</f>
        <v>0</v>
      </c>
    </row>
    <row r="28131" customFormat="false" ht="15" hidden="false" customHeight="false" outlineLevel="0" collapsed="false">
      <c r="A28131" s="3" t="s">
        <v>560</v>
      </c>
      <c r="C28131" s="16" t="n">
        <f aca="false">C27999-C28109</f>
        <v>13.9754601659835</v>
      </c>
    </row>
    <row r="28132" customFormat="false" ht="15" hidden="false" customHeight="false" outlineLevel="0" collapsed="false">
      <c r="A28132" s="3" t="s">
        <v>561</v>
      </c>
      <c r="C28132" s="16" t="n">
        <f aca="false">C28000-C28110</f>
        <v>11.6320711573292</v>
      </c>
    </row>
    <row r="28133" customFormat="false" ht="15" hidden="false" customHeight="false" outlineLevel="0" collapsed="false">
      <c r="A28133" s="3" t="s">
        <v>562</v>
      </c>
      <c r="C28133" s="16" t="n">
        <f aca="false">C28001-C28111</f>
        <v>18.2789689615173</v>
      </c>
    </row>
    <row r="28134" customFormat="false" ht="15" hidden="false" customHeight="false" outlineLevel="0" collapsed="false">
      <c r="A28134" s="3" t="s">
        <v>563</v>
      </c>
      <c r="C28134" s="16" t="n">
        <f aca="false">C28002-C28112</f>
        <v>11.6320711573292</v>
      </c>
    </row>
    <row r="28135" customFormat="false" ht="15" hidden="false" customHeight="false" outlineLevel="0" collapsed="false">
      <c r="A28135" s="3" t="s">
        <v>564</v>
      </c>
      <c r="C28135" s="16" t="n">
        <f aca="false">C28003-C28113</f>
        <v>9.97034670628221</v>
      </c>
    </row>
    <row r="28136" customFormat="false" ht="15" hidden="false" customHeight="false" outlineLevel="0" collapsed="false">
      <c r="A28136" s="3" t="s">
        <v>565</v>
      </c>
      <c r="C28136" s="16" t="n">
        <f aca="false">C28004-C28114</f>
        <v>78.61</v>
      </c>
    </row>
    <row r="28137" customFormat="false" ht="15" hidden="false" customHeight="false" outlineLevel="0" collapsed="false">
      <c r="A28137" s="24" t="s">
        <v>578</v>
      </c>
      <c r="B28137" s="25"/>
      <c r="C28137" s="25"/>
      <c r="D28137" s="25"/>
      <c r="E28137" s="25"/>
      <c r="F28137" s="25"/>
      <c r="G28137" s="25"/>
      <c r="H28137" s="25"/>
      <c r="I28137" s="25"/>
      <c r="J28137" s="25"/>
      <c r="K28137" s="25"/>
    </row>
    <row r="28138" customFormat="false" ht="15" hidden="false" customHeight="false" outlineLevel="0" collapsed="false">
      <c r="A28138" s="3" t="s">
        <v>556</v>
      </c>
      <c r="C28138" s="22" t="n">
        <f aca="false">IF(C27995=0,0,C28127/C27995)</f>
        <v>0</v>
      </c>
    </row>
    <row r="28139" customFormat="false" ht="15" hidden="false" customHeight="false" outlineLevel="0" collapsed="false">
      <c r="A28139" s="3" t="s">
        <v>557</v>
      </c>
      <c r="C28139" s="22" t="n">
        <f aca="false">IF(C27996=0,0,C28128/C27996)</f>
        <v>0.1112318450649</v>
      </c>
    </row>
    <row r="28140" customFormat="false" ht="15" hidden="false" customHeight="false" outlineLevel="0" collapsed="false">
      <c r="A28140" s="3" t="s">
        <v>558</v>
      </c>
      <c r="C28140" s="22" t="n">
        <f aca="false">IF(C27997=0,0,C28129/C27997)</f>
        <v>0.112026792507798</v>
      </c>
    </row>
    <row r="28141" customFormat="false" ht="15" hidden="false" customHeight="false" outlineLevel="0" collapsed="false">
      <c r="A28141" s="3" t="s">
        <v>559</v>
      </c>
      <c r="C28141" s="22" t="n">
        <f aca="false">IF(C27998=0,0,C28130/C27998)</f>
        <v>0</v>
      </c>
    </row>
    <row r="28142" customFormat="false" ht="15" hidden="false" customHeight="false" outlineLevel="0" collapsed="false">
      <c r="A28142" s="3" t="s">
        <v>560</v>
      </c>
      <c r="C28142" s="22" t="n">
        <f aca="false">IF(C27999=0,0,C28131/C27999)</f>
        <v>0.0332344890209406</v>
      </c>
    </row>
    <row r="28143" customFormat="false" ht="15" hidden="false" customHeight="false" outlineLevel="0" collapsed="false">
      <c r="A28143" s="3" t="s">
        <v>561</v>
      </c>
      <c r="C28143" s="22" t="n">
        <f aca="false">IF(C28000=0,0,C28132/C28000)</f>
        <v>0.0332344890209406</v>
      </c>
    </row>
    <row r="28144" customFormat="false" ht="15" hidden="false" customHeight="false" outlineLevel="0" collapsed="false">
      <c r="A28144" s="3" t="s">
        <v>562</v>
      </c>
      <c r="C28144" s="22" t="n">
        <f aca="false">IF(C28001=0,0,C28133/C28001)</f>
        <v>0.0332344890209406</v>
      </c>
    </row>
    <row r="28145" customFormat="false" ht="15" hidden="false" customHeight="false" outlineLevel="0" collapsed="false">
      <c r="A28145" s="3" t="s">
        <v>563</v>
      </c>
      <c r="C28145" s="22" t="n">
        <f aca="false">IF(C28002=0,0,C28134/C28002)</f>
        <v>0.0332344890209406</v>
      </c>
    </row>
    <row r="28146" customFormat="false" ht="15" hidden="false" customHeight="false" outlineLevel="0" collapsed="false">
      <c r="A28146" s="3" t="s">
        <v>564</v>
      </c>
      <c r="C28146" s="22" t="n">
        <f aca="false">IF(C28003=0,0,C28135/C28003)</f>
        <v>0.0332344890209407</v>
      </c>
    </row>
    <row r="28147" customFormat="false" ht="15" hidden="false" customHeight="false" outlineLevel="0" collapsed="false">
      <c r="A28147" s="3" t="s">
        <v>565</v>
      </c>
      <c r="C28147" s="22" t="n">
        <f aca="false">IF(C28004=0,0,C28136/C28004)</f>
        <v>1</v>
      </c>
    </row>
    <row r="28148" customFormat="false" ht="15" hidden="false" customHeight="false" outlineLevel="0" collapsed="false">
      <c r="A28148" s="2" t="s">
        <v>579</v>
      </c>
      <c r="C28148" s="17" t="n">
        <f aca="false">MAX(0,$C$27993-SUM($C$28028:$C$28037)-SUM($C$28050:$C$28059))</f>
        <v>0</v>
      </c>
    </row>
    <row r="28149" customFormat="false" ht="15" hidden="false" customHeight="false" outlineLevel="0" collapsed="false">
      <c r="A28149" s="3" t="s">
        <v>597</v>
      </c>
      <c r="C28149" s="35" t="n">
        <f aca="false">MIN(C27992,100*CHOOSE(C27982,C28116,C28117,C28118,C28119,C28120,C28121,C28122,C28123,C28124,C28125))</f>
        <v>95</v>
      </c>
    </row>
    <row r="28150" customFormat="false" ht="15" hidden="false" customHeight="false" outlineLevel="0" collapsed="false">
      <c r="A28150" s="3" t="s">
        <v>598</v>
      </c>
      <c r="C28150" s="21" t="n">
        <f aca="false">IF(C27814=1,C27987+Assumptions!$C$40,C27986)</f>
        <v>3</v>
      </c>
    </row>
    <row r="28151" customFormat="false" ht="15" hidden="false" customHeight="false" outlineLevel="0" collapsed="false">
      <c r="A28151" s="24" t="s">
        <v>599</v>
      </c>
      <c r="B28151" s="25"/>
      <c r="C28151" s="25"/>
      <c r="D28151" s="25"/>
      <c r="E28151" s="25"/>
      <c r="F28151" s="25"/>
      <c r="G28151" s="25"/>
      <c r="H28151" s="25"/>
      <c r="I28151" s="25"/>
      <c r="J28151" s="25"/>
      <c r="K28151" s="25"/>
    </row>
    <row r="28152" customFormat="false" ht="15" hidden="false" customHeight="false" outlineLevel="0" collapsed="false">
      <c r="A28152" s="3" t="s">
        <v>600</v>
      </c>
      <c r="C28152" s="21" t="n">
        <f aca="false">COLUMN()-COLUMN($C$1)</f>
        <v>0</v>
      </c>
      <c r="D28152" s="21" t="n">
        <f aca="false">COLUMN()-COLUMN($C$1)</f>
        <v>1</v>
      </c>
      <c r="E28152" s="21" t="n">
        <f aca="false">COLUMN()-COLUMN($C$1)</f>
        <v>2</v>
      </c>
      <c r="F28152" s="21" t="n">
        <f aca="false">COLUMN()-COLUMN($C$1)</f>
        <v>3</v>
      </c>
      <c r="G28152" s="21" t="n">
        <f aca="false">COLUMN()-COLUMN($C$1)</f>
        <v>4</v>
      </c>
      <c r="H28152" s="21" t="n">
        <f aca="false">COLUMN()-COLUMN($C$1)</f>
        <v>5</v>
      </c>
      <c r="I28152" s="21" t="n">
        <f aca="false">COLUMN()-COLUMN($C$1)</f>
        <v>6</v>
      </c>
    </row>
    <row r="28153" customFormat="false" ht="15" hidden="false" customHeight="false" outlineLevel="0" collapsed="false">
      <c r="A28153" s="3" t="s">
        <v>601</v>
      </c>
      <c r="D28153" s="31" t="n">
        <f aca="false">CHOOSE($C$27982,G27562,G27575,G27588,G27601,G27614,G27627,G27640,G27653,G27666,G27679)</f>
        <v>0.1265</v>
      </c>
      <c r="E28153" s="31" t="n">
        <f aca="false">CHOOSE($C$27982,H27562,H27575,H27588,H27601,H27614,H27627,H27640,H27653,H27666,H27679)</f>
        <v>0.125</v>
      </c>
      <c r="F28153" s="31" t="n">
        <f aca="false">CHOOSE($C$27982,I27562,I27575,I27588,I27601,I27614,I27627,I27640,I27653,I27666,I27679)</f>
        <v>0.1225</v>
      </c>
      <c r="G28153" s="31" t="n">
        <f aca="false">CHOOSE($C$27982,J27562,J27575,J27588,J27601,J27614,J27627,J27640,J27653,J27666,J27679)</f>
        <v>0.1225</v>
      </c>
      <c r="H28153" s="31" t="n">
        <f aca="false">CHOOSE($C$27982,K27562,K27575,K27588,K27601,K27614,K27627,K27640,K27653,K27666,K27679)</f>
        <v>0.1225</v>
      </c>
    </row>
    <row r="28154" customFormat="false" ht="15" hidden="false" customHeight="false" outlineLevel="0" collapsed="false">
      <c r="A28154" s="3" t="s">
        <v>602</v>
      </c>
      <c r="D28154" s="16" t="n">
        <f aca="false">IF(D28152&lt;=$C$27991,$C$27983*D28153,0)</f>
        <v>12.65</v>
      </c>
      <c r="E28154" s="16" t="n">
        <f aca="false">IF(E28152&lt;=$C$27991,$C$27983*E28153,0)</f>
        <v>12.5</v>
      </c>
      <c r="F28154" s="16" t="n">
        <f aca="false">IF(F28152&lt;=$C$27991,$C$27983*F28153,0)</f>
        <v>0</v>
      </c>
      <c r="G28154" s="16" t="n">
        <f aca="false">IF(G28152&lt;=$C$27991,$C$27983*G28153,0)</f>
        <v>0</v>
      </c>
      <c r="H28154" s="16" t="n">
        <f aca="false">IF(H28152&lt;=$C$27991,$C$27983*H28153,0)</f>
        <v>0</v>
      </c>
    </row>
    <row r="28155" customFormat="false" ht="15" hidden="false" customHeight="false" outlineLevel="0" collapsed="false">
      <c r="A28155" s="3" t="s">
        <v>603</v>
      </c>
      <c r="D28155" s="16" t="n">
        <f aca="false">IF(AND($C$27814=0,D28152=$C$27986),$C$27983*$C$28149/100,0)+IF(AND($C$27814=1,D28152=$C$28150),$C$27989,0)</f>
        <v>0</v>
      </c>
      <c r="E28155" s="16" t="n">
        <f aca="false">IF(AND($C$27814=0,E28152=$C$27986),$C$27983*$C$28149/100,0)+IF(AND($C$27814=1,E28152=$C$28150),$C$27989,0)</f>
        <v>0</v>
      </c>
      <c r="F28155" s="16" t="n">
        <f aca="false">IF(AND($C$27814=0,F28152=$C$27986),$C$27983*$C$28149/100,0)+IF(AND($C$27814=1,F28152=$C$28150),$C$27989,0)</f>
        <v>103.125</v>
      </c>
      <c r="G28155" s="16" t="n">
        <f aca="false">IF(AND($C$27814=0,G28152=$C$27986),$C$27983*$C$28149/100,0)+IF(AND($C$27814=1,G28152=$C$28150),$C$27989,0)</f>
        <v>0</v>
      </c>
      <c r="H28155" s="16" t="n">
        <f aca="false">IF(AND($C$27814=0,H28152=$C$27986),$C$27983*$C$28149/100,0)+IF(AND($C$27814=1,H28152=$C$28150),$C$27989,0)</f>
        <v>0</v>
      </c>
      <c r="I28155" s="16" t="n">
        <f aca="false">IF(AND($C$27814=0,I28152=$C$27986),$C$27983*$C$28149/100,0)+IF(AND($C$27814=1,I28152=$C$28150),$C$27989,0)</f>
        <v>0</v>
      </c>
    </row>
    <row r="28156" customFormat="false" ht="15" hidden="false" customHeight="false" outlineLevel="0" collapsed="false">
      <c r="A28156" s="2" t="s">
        <v>604</v>
      </c>
      <c r="C28156" s="17" t="n">
        <f aca="false">-$C$27985</f>
        <v>-98.49</v>
      </c>
      <c r="D28156" s="17" t="n">
        <f aca="false">D28154+D28155</f>
        <v>12.65</v>
      </c>
      <c r="E28156" s="17" t="n">
        <f aca="false">E28154+E28155</f>
        <v>12.5</v>
      </c>
      <c r="F28156" s="17" t="n">
        <f aca="false">F28154+F28155</f>
        <v>103.125</v>
      </c>
      <c r="G28156" s="17" t="n">
        <f aca="false">G28154+G28155</f>
        <v>0</v>
      </c>
      <c r="H28156" s="17" t="n">
        <f aca="false">H28154+H28155</f>
        <v>0</v>
      </c>
      <c r="I28156" s="17" t="n">
        <f aca="false">I28154+I28155</f>
        <v>0</v>
      </c>
    </row>
    <row r="28157" customFormat="false" ht="15" hidden="false" customHeight="false" outlineLevel="0" collapsed="false">
      <c r="A28157" s="3" t="s">
        <v>605</v>
      </c>
      <c r="C28157" s="16" t="n">
        <f aca="false">SUM($C$28154:$I$28154)</f>
        <v>25.15</v>
      </c>
    </row>
    <row r="28158" customFormat="false" ht="15" hidden="false" customHeight="false" outlineLevel="0" collapsed="false">
      <c r="A28158" s="3" t="s">
        <v>606</v>
      </c>
      <c r="C28158" s="16" t="n">
        <f aca="false">SUM($C$28155:$I$28155)</f>
        <v>103.125</v>
      </c>
    </row>
    <row r="28159" customFormat="false" ht="15" hidden="false" customHeight="false" outlineLevel="0" collapsed="false">
      <c r="A28159" s="3" t="s">
        <v>607</v>
      </c>
      <c r="C28159" s="16" t="n">
        <f aca="false">C28157+C28158</f>
        <v>128.275</v>
      </c>
    </row>
    <row r="28160" customFormat="false" ht="15" hidden="false" customHeight="false" outlineLevel="0" collapsed="false">
      <c r="A28160" s="3" t="s">
        <v>608</v>
      </c>
      <c r="C28160" s="16" t="n">
        <f aca="false">C28158-C27983*C27984/100</f>
        <v>5.125</v>
      </c>
    </row>
    <row r="28161" customFormat="false" ht="15" hidden="false" customHeight="false" outlineLevel="0" collapsed="false">
      <c r="A28161" s="3" t="s">
        <v>609</v>
      </c>
      <c r="C28161" s="16" t="n">
        <f aca="false">C28159-C27985</f>
        <v>29.785</v>
      </c>
    </row>
    <row r="28162" customFormat="false" ht="15" hidden="false" customHeight="false" outlineLevel="0" collapsed="false">
      <c r="A28162" s="2" t="s">
        <v>484</v>
      </c>
      <c r="C28162" s="44" t="n">
        <f aca="false">C28159/C27985</f>
        <v>1.30241648898365</v>
      </c>
    </row>
    <row r="28163" customFormat="false" ht="15" hidden="false" customHeight="false" outlineLevel="0" collapsed="false">
      <c r="A28163" s="2" t="s">
        <v>483</v>
      </c>
      <c r="C28163" s="42" t="n">
        <f aca="false">IF(C28159&lt;=0,-1,IFERROR(IRR($C$28156:$I$28156,MAX(-0.9,C28162^(1/C28150)-1)),IRR($C$28156:$I$28156,0.1)))</f>
        <v>0.103428978557746</v>
      </c>
    </row>
    <row r="28164" customFormat="false" ht="15" hidden="false" customHeight="false" outlineLevel="0" collapsed="false">
      <c r="A28164" s="3" t="s">
        <v>610</v>
      </c>
      <c r="C28164" s="32" t="n">
        <f aca="false">MAX($G$27758:$K$27758)</f>
        <v>12.2382385531839</v>
      </c>
    </row>
    <row r="28165" customFormat="false" ht="15" hidden="false" customHeight="false" outlineLevel="0" collapsed="false">
      <c r="A28165" s="3" t="s">
        <v>611</v>
      </c>
      <c r="C28165" s="32" t="n">
        <f aca="false">MIN($G$27759:$K$27759)</f>
        <v>1.12573938967921</v>
      </c>
    </row>
    <row r="28166" customFormat="false" ht="15" hidden="false" customHeight="false" outlineLevel="0" collapsed="false">
      <c r="A28166" s="3" t="s">
        <v>612</v>
      </c>
      <c r="C28166" s="16" t="n">
        <f aca="false">SUM($G$27546:$K$27546)</f>
        <v>-369.628176772933</v>
      </c>
    </row>
    <row r="28170" customFormat="false" ht="15" hidden="false" customHeight="false" outlineLevel="0" collapsed="false">
      <c r="A28170" s="9" t="s">
        <v>1173</v>
      </c>
      <c r="B28170" s="10"/>
      <c r="C28170" s="10"/>
      <c r="D28170" s="10"/>
      <c r="E28170" s="10"/>
      <c r="F28170" s="10"/>
      <c r="G28170" s="10"/>
      <c r="H28170" s="10"/>
      <c r="I28170" s="10"/>
      <c r="J28170" s="10"/>
      <c r="K28170" s="10"/>
    </row>
    <row r="28171" customFormat="false" ht="15" hidden="false" customHeight="false" outlineLevel="0" collapsed="false">
      <c r="A28171" s="3" t="s">
        <v>1126</v>
      </c>
      <c r="C28171" s="11" t="n">
        <v>3</v>
      </c>
    </row>
    <row r="28172" customFormat="false" ht="15" hidden="false" customHeight="false" outlineLevel="0" collapsed="false">
      <c r="A28172" s="3" t="s">
        <v>1127</v>
      </c>
      <c r="C28172" s="19" t="n">
        <v>0</v>
      </c>
    </row>
    <row r="28173" customFormat="false" ht="15" hidden="false" customHeight="false" outlineLevel="0" collapsed="false">
      <c r="A28173" s="3" t="s">
        <v>1128</v>
      </c>
      <c r="C28173" s="19" t="n">
        <v>0</v>
      </c>
    </row>
    <row r="28174" customFormat="false" ht="15" hidden="false" customHeight="false" outlineLevel="0" collapsed="false">
      <c r="A28174" s="3" t="s">
        <v>1129</v>
      </c>
      <c r="C28174" s="30" t="n">
        <f aca="false">Sensitivities!$A$50</f>
        <v>-0.01</v>
      </c>
    </row>
    <row r="28175" customFormat="false" ht="15" hidden="false" customHeight="false" outlineLevel="0" collapsed="false">
      <c r="A28175" s="3" t="s">
        <v>1130</v>
      </c>
      <c r="C28175" s="15" t="n">
        <v>0</v>
      </c>
    </row>
    <row r="28177" customFormat="false" ht="15" hidden="false" customHeight="false" outlineLevel="0" collapsed="false">
      <c r="A28177" s="24" t="s">
        <v>301</v>
      </c>
      <c r="B28177" s="25"/>
      <c r="C28177" s="25"/>
      <c r="D28177" s="25"/>
      <c r="E28177" s="25"/>
      <c r="F28177" s="25"/>
      <c r="G28177" s="25"/>
      <c r="H28177" s="25"/>
      <c r="I28177" s="25"/>
      <c r="J28177" s="25"/>
      <c r="K28177" s="25"/>
    </row>
    <row r="28178" customFormat="false" ht="15" hidden="false" customHeight="false" outlineLevel="0" collapsed="false">
      <c r="A28178" s="3" t="s">
        <v>302</v>
      </c>
      <c r="F28178" s="27" t="n">
        <f aca="false">Assumptions!$C$6</f>
        <v>2026</v>
      </c>
      <c r="G28178" s="21" t="n">
        <f aca="false">F28178+1</f>
        <v>2027</v>
      </c>
      <c r="H28178" s="21" t="n">
        <f aca="false">G28178+1</f>
        <v>2028</v>
      </c>
      <c r="I28178" s="21" t="n">
        <f aca="false">H28178+1</f>
        <v>2029</v>
      </c>
      <c r="J28178" s="21" t="n">
        <f aca="false">I28178+1</f>
        <v>2030</v>
      </c>
      <c r="K28178" s="21" t="n">
        <f aca="false">J28178+1</f>
        <v>2031</v>
      </c>
    </row>
    <row r="28179" customFormat="false" ht="15" hidden="false" customHeight="false" outlineLevel="0" collapsed="false">
      <c r="A28179" s="3" t="s">
        <v>303</v>
      </c>
      <c r="G28179" s="21" t="n">
        <f aca="false">G28178-Assumptions!$C$6</f>
        <v>1</v>
      </c>
      <c r="H28179" s="21" t="n">
        <f aca="false">H28178-Assumptions!$C$6</f>
        <v>2</v>
      </c>
      <c r="I28179" s="21" t="n">
        <f aca="false">I28178-Assumptions!$C$6</f>
        <v>3</v>
      </c>
      <c r="J28179" s="21" t="n">
        <f aca="false">J28178-Assumptions!$C$6</f>
        <v>4</v>
      </c>
      <c r="K28179" s="21" t="n">
        <f aca="false">K28178-Assumptions!$C$6</f>
        <v>5</v>
      </c>
    </row>
    <row r="28180" customFormat="false" ht="15" hidden="false" customHeight="false" outlineLevel="0" collapsed="false">
      <c r="A28180" s="3" t="s">
        <v>180</v>
      </c>
      <c r="G28180" s="22" t="n">
        <f aca="false">CHOOSE($C$28171,Assumptions!$G$79,Assumptions!$G$98,Assumptions!$G$117)+$C$28172</f>
        <v>-0.1</v>
      </c>
      <c r="H28180" s="22" t="n">
        <f aca="false">CHOOSE($C$28171,Assumptions!$H$79,Assumptions!$H$98,Assumptions!$H$117)+$C$28172</f>
        <v>-0.07</v>
      </c>
      <c r="I28180" s="22" t="n">
        <f aca="false">CHOOSE($C$28171,Assumptions!$I$79,Assumptions!$I$98,Assumptions!$I$117)+$C$28172</f>
        <v>-0.03</v>
      </c>
      <c r="J28180" s="22" t="n">
        <f aca="false">CHOOSE($C$28171,Assumptions!$J$79,Assumptions!$J$98,Assumptions!$J$117)+$C$28172</f>
        <v>0</v>
      </c>
      <c r="K28180" s="22" t="n">
        <f aca="false">CHOOSE($C$28171,Assumptions!$K$79,Assumptions!$K$98,Assumptions!$K$117)+$C$28172</f>
        <v>0.01</v>
      </c>
    </row>
    <row r="28181" customFormat="false" ht="15" hidden="false" customHeight="false" outlineLevel="0" collapsed="false">
      <c r="A28181" s="3" t="s">
        <v>181</v>
      </c>
      <c r="G28181" s="22" t="n">
        <f aca="false">CHOOSE($C$28171,Assumptions!$G$80,Assumptions!$G$99,Assumptions!$G$118)</f>
        <v>0.533920660818678</v>
      </c>
      <c r="H28181" s="22" t="n">
        <f aca="false">CHOOSE($C$28171,Assumptions!$H$80,Assumptions!$H$99,Assumptions!$H$118)</f>
        <v>0.503920660818678</v>
      </c>
      <c r="I28181" s="22" t="n">
        <f aca="false">CHOOSE($C$28171,Assumptions!$I$80,Assumptions!$I$99,Assumptions!$I$118)</f>
        <v>0.498920660818678</v>
      </c>
      <c r="J28181" s="22" t="n">
        <f aca="false">CHOOSE($C$28171,Assumptions!$J$80,Assumptions!$J$99,Assumptions!$J$118)</f>
        <v>0.503920660818678</v>
      </c>
      <c r="K28181" s="22" t="n">
        <f aca="false">CHOOSE($C$28171,Assumptions!$K$80,Assumptions!$K$99,Assumptions!$K$118)</f>
        <v>0.513920660818678</v>
      </c>
    </row>
    <row r="28182" customFormat="false" ht="15" hidden="false" customHeight="false" outlineLevel="0" collapsed="false">
      <c r="A28182" s="3" t="s">
        <v>182</v>
      </c>
      <c r="G28182" s="22" t="n">
        <f aca="false">CHOOSE($C$28171,Assumptions!$G$81,Assumptions!$G$100,Assumptions!$G$119)+$C$28173</f>
        <v>0.46</v>
      </c>
      <c r="H28182" s="22" t="n">
        <f aca="false">CHOOSE($C$28171,Assumptions!$H$81,Assumptions!$H$100,Assumptions!$H$119)+$C$28173</f>
        <v>0.43</v>
      </c>
      <c r="I28182" s="22" t="n">
        <f aca="false">CHOOSE($C$28171,Assumptions!$I$81,Assumptions!$I$100,Assumptions!$I$119)+$C$28173</f>
        <v>0.425</v>
      </c>
      <c r="J28182" s="22" t="n">
        <f aca="false">CHOOSE($C$28171,Assumptions!$J$81,Assumptions!$J$100,Assumptions!$J$119)+$C$28173</f>
        <v>0.43</v>
      </c>
      <c r="K28182" s="22" t="n">
        <f aca="false">CHOOSE($C$28171,Assumptions!$K$81,Assumptions!$K$100,Assumptions!$K$119)+$C$28173</f>
        <v>0.44</v>
      </c>
    </row>
    <row r="28183" customFormat="false" ht="15" hidden="false" customHeight="false" outlineLevel="0" collapsed="false">
      <c r="A28183" s="24" t="s">
        <v>304</v>
      </c>
      <c r="B28183" s="25"/>
      <c r="C28183" s="25"/>
      <c r="D28183" s="25"/>
      <c r="E28183" s="25"/>
      <c r="F28183" s="25"/>
      <c r="G28183" s="25"/>
      <c r="H28183" s="25"/>
      <c r="I28183" s="25"/>
      <c r="J28183" s="25"/>
      <c r="K28183" s="25"/>
    </row>
    <row r="28184" customFormat="false" ht="15" hidden="false" customHeight="false" outlineLevel="0" collapsed="false">
      <c r="A28184" s="2" t="s">
        <v>275</v>
      </c>
      <c r="F28184" s="28" t="n">
        <f aca="false">'Historical Financials'!G25</f>
        <v>498.291</v>
      </c>
      <c r="G28184" s="17" t="n">
        <f aca="false">F28184*(1+G28180)</f>
        <v>448.4619</v>
      </c>
      <c r="H28184" s="17" t="n">
        <f aca="false">G28184*(1+H28180)</f>
        <v>417.069567</v>
      </c>
      <c r="I28184" s="17" t="n">
        <f aca="false">H28184*(1+I28180)</f>
        <v>404.55747999</v>
      </c>
      <c r="J28184" s="17" t="n">
        <f aca="false">I28184*(1+J28180)</f>
        <v>404.55747999</v>
      </c>
      <c r="K28184" s="17" t="n">
        <f aca="false">J28184*(1+K28180)</f>
        <v>408.6030547899</v>
      </c>
    </row>
    <row r="28185" customFormat="false" ht="15" hidden="false" customHeight="false" outlineLevel="0" collapsed="false">
      <c r="A28185" s="3" t="s">
        <v>276</v>
      </c>
      <c r="G28185" s="16" t="n">
        <f aca="false">G28184*(1-G28181)</f>
        <v>209.018826</v>
      </c>
      <c r="H28185" s="16" t="n">
        <f aca="false">H28184*(1-H28181)</f>
        <v>206.89959519</v>
      </c>
      <c r="I28185" s="16" t="n">
        <f aca="false">I28184*(1-I28181)</f>
        <v>202.71539473425</v>
      </c>
      <c r="J28185" s="16" t="n">
        <f aca="false">J28184*(1-J28181)</f>
        <v>200.6926073343</v>
      </c>
      <c r="K28185" s="16" t="n">
        <f aca="false">K28184*(1-K28181)</f>
        <v>198.613502859744</v>
      </c>
    </row>
    <row r="28186" customFormat="false" ht="15" hidden="false" customHeight="false" outlineLevel="0" collapsed="false">
      <c r="A28186" s="2" t="s">
        <v>277</v>
      </c>
      <c r="G28186" s="17" t="n">
        <f aca="false">G28184-G28185</f>
        <v>239.443074</v>
      </c>
      <c r="H28186" s="17" t="n">
        <f aca="false">H28184-H28185</f>
        <v>210.16997181</v>
      </c>
      <c r="I28186" s="17" t="n">
        <f aca="false">I28184-I28185</f>
        <v>201.84208525575</v>
      </c>
      <c r="J28186" s="17" t="n">
        <f aca="false">J28184-J28185</f>
        <v>203.8648726557</v>
      </c>
      <c r="K28186" s="17" t="n">
        <f aca="false">K28184-K28185</f>
        <v>209.989551930156</v>
      </c>
    </row>
    <row r="28187" customFormat="false" ht="15" hidden="false" customHeight="false" outlineLevel="0" collapsed="false">
      <c r="A28187" s="3" t="s">
        <v>305</v>
      </c>
      <c r="G28187" s="16" t="n">
        <f aca="false">G28186-G28188</f>
        <v>33.1505999999999</v>
      </c>
      <c r="H28187" s="16" t="n">
        <f aca="false">H28186-H28188</f>
        <v>30.830058</v>
      </c>
      <c r="I28187" s="16" t="n">
        <f aca="false">I28186-I28188</f>
        <v>29.90515626</v>
      </c>
      <c r="J28187" s="16" t="n">
        <f aca="false">J28186-J28188</f>
        <v>29.90515626</v>
      </c>
      <c r="K28187" s="16" t="n">
        <f aca="false">K28186-K28188</f>
        <v>30.2042078226</v>
      </c>
    </row>
    <row r="28188" customFormat="false" ht="15" hidden="false" customHeight="false" outlineLevel="0" collapsed="false">
      <c r="A28188" s="2" t="s">
        <v>306</v>
      </c>
      <c r="G28188" s="17" t="n">
        <f aca="false">G28184*G28182</f>
        <v>206.292474</v>
      </c>
      <c r="H28188" s="17" t="n">
        <f aca="false">H28184*H28182</f>
        <v>179.33991381</v>
      </c>
      <c r="I28188" s="17" t="n">
        <f aca="false">I28184*I28182</f>
        <v>171.93692899575</v>
      </c>
      <c r="J28188" s="17" t="n">
        <f aca="false">J28184*J28182</f>
        <v>173.9597163957</v>
      </c>
      <c r="K28188" s="17" t="n">
        <f aca="false">K28184*K28182</f>
        <v>179.785344107556</v>
      </c>
    </row>
    <row r="28189" customFormat="false" ht="15" hidden="false" customHeight="false" outlineLevel="0" collapsed="false">
      <c r="A28189" s="3" t="s">
        <v>307</v>
      </c>
      <c r="G28189" s="16" t="n">
        <f aca="false">G28184*'Historical Financials'!G30/'Historical Financials'!G25</f>
        <v>166.7637</v>
      </c>
      <c r="H28189" s="16" t="n">
        <f aca="false">H28184*'Historical Financials'!G30/'Historical Financials'!G25</f>
        <v>155.090241</v>
      </c>
      <c r="I28189" s="16" t="n">
        <f aca="false">I28184*'Historical Financials'!G30/'Historical Financials'!G25</f>
        <v>150.43753377</v>
      </c>
      <c r="J28189" s="16" t="n">
        <f aca="false">J28184*'Historical Financials'!G30/'Historical Financials'!G25</f>
        <v>150.43753377</v>
      </c>
      <c r="K28189" s="16" t="n">
        <f aca="false">K28184*'Historical Financials'!G30/'Historical Financials'!G25</f>
        <v>151.9419091077</v>
      </c>
    </row>
    <row r="28190" customFormat="false" ht="15" hidden="false" customHeight="false" outlineLevel="0" collapsed="false">
      <c r="A28190" s="3" t="s">
        <v>308</v>
      </c>
      <c r="G28190" s="16" t="n">
        <f aca="false">G28184*'Historical Financials'!G31/'Historical Financials'!G25</f>
        <v>0</v>
      </c>
      <c r="H28190" s="16" t="n">
        <f aca="false">H28184*'Historical Financials'!G31/'Historical Financials'!G25</f>
        <v>0</v>
      </c>
      <c r="I28190" s="16" t="n">
        <f aca="false">I28184*'Historical Financials'!G31/'Historical Financials'!G25</f>
        <v>0</v>
      </c>
      <c r="J28190" s="16" t="n">
        <f aca="false">J28184*'Historical Financials'!G31/'Historical Financials'!G25</f>
        <v>0</v>
      </c>
      <c r="K28190" s="16" t="n">
        <f aca="false">K28184*'Historical Financials'!G31/'Historical Financials'!G25</f>
        <v>0</v>
      </c>
    </row>
    <row r="28191" customFormat="false" ht="15" hidden="false" customHeight="false" outlineLevel="0" collapsed="false">
      <c r="A28191" s="2" t="s">
        <v>309</v>
      </c>
      <c r="G28191" s="17" t="n">
        <f aca="false">G28188-G28189-G28190</f>
        <v>39.528774</v>
      </c>
      <c r="H28191" s="17" t="n">
        <f aca="false">H28188-H28189-H28190</f>
        <v>24.24967281</v>
      </c>
      <c r="I28191" s="17" t="n">
        <f aca="false">I28188-I28189-I28190</f>
        <v>21.49939522575</v>
      </c>
      <c r="J28191" s="17" t="n">
        <f aca="false">J28188-J28189-J28190</f>
        <v>23.5221826257</v>
      </c>
      <c r="K28191" s="17" t="n">
        <f aca="false">K28188-K28189-K28190</f>
        <v>27.843434999856</v>
      </c>
    </row>
    <row r="28192" customFormat="false" ht="15" hidden="false" customHeight="false" outlineLevel="0" collapsed="false">
      <c r="A28192" s="3" t="s">
        <v>310</v>
      </c>
      <c r="G28192" s="16" t="n">
        <f aca="false">G28218+G28231+G28244+G28257+G28270+G28283+G28296+G28309+G28322+G28335</f>
        <v>189.7818854</v>
      </c>
      <c r="H28192" s="16" t="n">
        <f aca="false">H28218+H28231+H28244+H28257+H28270+H28283+H28296+H28309+H28322+H28335</f>
        <v>188.6239704</v>
      </c>
      <c r="I28192" s="16" t="n">
        <f aca="false">I28218+I28231+I28244+I28257+I28270+I28283+I28296+I28309+I28322+I28335</f>
        <v>186.03663646865</v>
      </c>
      <c r="J28192" s="16" t="n">
        <f aca="false">J28218+J28231+J28244+J28257+J28270+J28283+J28296+J28309+J28322+J28335</f>
        <v>185.60663646865</v>
      </c>
      <c r="K28192" s="16" t="n">
        <f aca="false">K28218+K28231+K28244+K28257+K28270+K28283+K28296+K28309+K28322+K28335</f>
        <v>185.17663646865</v>
      </c>
    </row>
    <row r="28193" customFormat="false" ht="15" hidden="false" customHeight="false" outlineLevel="0" collapsed="false">
      <c r="A28193" s="3" t="s">
        <v>311</v>
      </c>
      <c r="G28193" s="16" t="n">
        <f aca="false">G28219+G28232+G28245+G28258+G28271+G28284+G28297+G28310+G28323+G28336</f>
        <v>0</v>
      </c>
      <c r="H28193" s="16" t="n">
        <f aca="false">H28219+H28232+H28245+H28258+H28271+H28284+H28297+H28310+H28323+H28336</f>
        <v>0</v>
      </c>
      <c r="I28193" s="16" t="n">
        <f aca="false">I28219+I28232+I28245+I28258+I28271+I28284+I28297+I28310+I28323+I28336</f>
        <v>0</v>
      </c>
      <c r="J28193" s="16" t="n">
        <f aca="false">J28219+J28232+J28245+J28258+J28271+J28284+J28297+J28310+J28323+J28336</f>
        <v>0</v>
      </c>
      <c r="K28193" s="16" t="n">
        <f aca="false">K28219+K28232+K28245+K28258+K28271+K28284+K28297+K28310+K28323+K28336</f>
        <v>0</v>
      </c>
    </row>
    <row r="28194" customFormat="false" ht="15" hidden="false" customHeight="false" outlineLevel="0" collapsed="false">
      <c r="A28194" s="3" t="s">
        <v>283</v>
      </c>
      <c r="G28194" s="16" t="n">
        <f aca="false">G28192+G28193</f>
        <v>189.7818854</v>
      </c>
      <c r="H28194" s="16" t="n">
        <f aca="false">H28192+H28193</f>
        <v>188.6239704</v>
      </c>
      <c r="I28194" s="16" t="n">
        <f aca="false">I28192+I28193</f>
        <v>186.03663646865</v>
      </c>
      <c r="J28194" s="16" t="n">
        <f aca="false">J28192+J28193</f>
        <v>185.60663646865</v>
      </c>
      <c r="K28194" s="16" t="n">
        <f aca="false">K28192+K28193</f>
        <v>185.17663646865</v>
      </c>
    </row>
    <row r="28195" customFormat="false" ht="15" hidden="false" customHeight="false" outlineLevel="0" collapsed="false">
      <c r="A28195" s="2" t="s">
        <v>284</v>
      </c>
      <c r="G28195" s="17" t="n">
        <f aca="false">G28191-G28194</f>
        <v>-150.2531114</v>
      </c>
      <c r="H28195" s="17" t="n">
        <f aca="false">H28191-H28194</f>
        <v>-164.37429759</v>
      </c>
      <c r="I28195" s="17" t="n">
        <f aca="false">I28191-I28194</f>
        <v>-164.5372412429</v>
      </c>
      <c r="J28195" s="17" t="n">
        <f aca="false">J28191-J28194</f>
        <v>-162.08445384295</v>
      </c>
      <c r="K28195" s="17" t="n">
        <f aca="false">K28191-K28194</f>
        <v>-157.333201468794</v>
      </c>
    </row>
    <row r="28196" customFormat="false" ht="15" hidden="false" customHeight="false" outlineLevel="0" collapsed="false">
      <c r="A28196" s="3" t="s">
        <v>312</v>
      </c>
      <c r="G28196" s="16" t="n">
        <f aca="false">MAX(0,G28195)*Assumptions!$C$9</f>
        <v>0</v>
      </c>
      <c r="H28196" s="16" t="n">
        <f aca="false">MAX(0,H28195)*Assumptions!$C$9</f>
        <v>0</v>
      </c>
      <c r="I28196" s="16" t="n">
        <f aca="false">MAX(0,I28195)*Assumptions!$C$9</f>
        <v>0</v>
      </c>
      <c r="J28196" s="16" t="n">
        <f aca="false">MAX(0,J28195)*Assumptions!$C$9</f>
        <v>0</v>
      </c>
      <c r="K28196" s="16" t="n">
        <f aca="false">MAX(0,K28195)*Assumptions!$C$9</f>
        <v>0</v>
      </c>
    </row>
    <row r="28197" customFormat="false" ht="15" hidden="false" customHeight="false" outlineLevel="0" collapsed="false">
      <c r="A28197" s="2" t="s">
        <v>313</v>
      </c>
      <c r="G28197" s="17" t="n">
        <f aca="false">G28195-G28196</f>
        <v>-150.2531114</v>
      </c>
      <c r="H28197" s="17" t="n">
        <f aca="false">H28195-H28196</f>
        <v>-164.37429759</v>
      </c>
      <c r="I28197" s="17" t="n">
        <f aca="false">I28195-I28196</f>
        <v>-164.5372412429</v>
      </c>
      <c r="J28197" s="17" t="n">
        <f aca="false">J28195-J28196</f>
        <v>-162.08445384295</v>
      </c>
      <c r="K28197" s="17" t="n">
        <f aca="false">K28195-K28196</f>
        <v>-157.333201468794</v>
      </c>
    </row>
    <row r="28198" customFormat="false" ht="15" hidden="false" customHeight="false" outlineLevel="0" collapsed="false">
      <c r="A28198" s="24" t="s">
        <v>314</v>
      </c>
      <c r="B28198" s="25"/>
      <c r="C28198" s="25"/>
      <c r="D28198" s="25"/>
      <c r="E28198" s="25"/>
      <c r="F28198" s="25"/>
      <c r="G28198" s="25"/>
      <c r="H28198" s="25"/>
      <c r="I28198" s="25"/>
      <c r="J28198" s="25"/>
      <c r="K28198" s="25"/>
    </row>
    <row r="28199" customFormat="false" ht="15" hidden="false" customHeight="false" outlineLevel="0" collapsed="false">
      <c r="A28199" s="3" t="s">
        <v>184</v>
      </c>
      <c r="G28199" s="16" t="n">
        <f aca="false">G28184*CHOOSE($C$28171,Assumptions!$C$83,Assumptions!$C$102,Assumptions!$C$121)</f>
        <v>58.300047</v>
      </c>
      <c r="H28199" s="16" t="n">
        <f aca="false">H28184*CHOOSE($C$28171,Assumptions!$C$83,Assumptions!$C$102,Assumptions!$C$121)</f>
        <v>54.21904371</v>
      </c>
      <c r="I28199" s="16" t="n">
        <f aca="false">I28184*CHOOSE($C$28171,Assumptions!$C$83,Assumptions!$C$102,Assumptions!$C$121)</f>
        <v>52.5924723987</v>
      </c>
      <c r="J28199" s="16" t="n">
        <f aca="false">J28184*CHOOSE($C$28171,Assumptions!$C$83,Assumptions!$C$102,Assumptions!$C$121)</f>
        <v>52.5924723987</v>
      </c>
      <c r="K28199" s="16" t="n">
        <f aca="false">K28184*CHOOSE($C$28171,Assumptions!$C$83,Assumptions!$C$102,Assumptions!$C$121)</f>
        <v>53.118397122687</v>
      </c>
    </row>
    <row r="28200" customFormat="false" ht="15" hidden="false" customHeight="false" outlineLevel="0" collapsed="false">
      <c r="A28200" s="3" t="s">
        <v>315</v>
      </c>
      <c r="G28200" s="16" t="n">
        <f aca="false">CHOOSE($C$28171,Assumptions!$C$84,Assumptions!$C$103,Assumptions!$C$122)*(G28184-F28184)+CHOOSE($C$28171,Assumptions!$C$85,Assumptions!$C$104,Assumptions!$C$123)*G28184</f>
        <v>0</v>
      </c>
      <c r="H28200" s="16" t="n">
        <f aca="false">CHOOSE($C$28171,Assumptions!$C$84,Assumptions!$C$103,Assumptions!$C$122)*(H28184-G28184)+CHOOSE($C$28171,Assumptions!$C$85,Assumptions!$C$104,Assumptions!$C$123)*H28184</f>
        <v>0</v>
      </c>
      <c r="I28200" s="16" t="n">
        <f aca="false">CHOOSE($C$28171,Assumptions!$C$84,Assumptions!$C$103,Assumptions!$C$122)*(I28184-H28184)+CHOOSE($C$28171,Assumptions!$C$85,Assumptions!$C$104,Assumptions!$C$123)*I28184</f>
        <v>0</v>
      </c>
      <c r="J28200" s="16" t="n">
        <f aca="false">CHOOSE($C$28171,Assumptions!$C$84,Assumptions!$C$103,Assumptions!$C$122)*(J28184-I28184)+CHOOSE($C$28171,Assumptions!$C$85,Assumptions!$C$104,Assumptions!$C$123)*J28184</f>
        <v>0</v>
      </c>
      <c r="K28200" s="16" t="n">
        <f aca="false">CHOOSE($C$28171,Assumptions!$C$84,Assumptions!$C$103,Assumptions!$C$122)*(K28184-J28184)+CHOOSE($C$28171,Assumptions!$C$85,Assumptions!$C$104,Assumptions!$C$123)*K28184</f>
        <v>0</v>
      </c>
    </row>
    <row r="28201" customFormat="false" ht="15" hidden="false" customHeight="false" outlineLevel="0" collapsed="false">
      <c r="A28201" s="2" t="s">
        <v>316</v>
      </c>
      <c r="G28201" s="17" t="n">
        <f aca="false">G28197+G28189+G28190+G28193-G28199-G28200</f>
        <v>-41.7894583999999</v>
      </c>
      <c r="H28201" s="17" t="n">
        <f aca="false">H28197+H28189+H28190+H28193-H28199-H28200</f>
        <v>-63.5031003</v>
      </c>
      <c r="I28201" s="17" t="n">
        <f aca="false">I28197+I28189+I28190+I28193-I28199-I28200</f>
        <v>-66.6921798716</v>
      </c>
      <c r="J28201" s="17" t="n">
        <f aca="false">J28197+J28189+J28190+J28193-J28199-J28200</f>
        <v>-64.23939247165</v>
      </c>
      <c r="K28201" s="17" t="n">
        <f aca="false">K28197+K28189+K28190+K28193-K28199-K28200</f>
        <v>-58.509689483781</v>
      </c>
    </row>
    <row r="28203" customFormat="false" ht="15" hidden="false" customHeight="false" outlineLevel="0" collapsed="false">
      <c r="A28203" s="24" t="s">
        <v>318</v>
      </c>
      <c r="B28203" s="25"/>
      <c r="C28203" s="25"/>
      <c r="D28203" s="25"/>
      <c r="E28203" s="25"/>
      <c r="F28203" s="25"/>
      <c r="G28203" s="25"/>
      <c r="H28203" s="25"/>
      <c r="I28203" s="25"/>
      <c r="J28203" s="25"/>
      <c r="K28203" s="25"/>
    </row>
    <row r="28204" customFormat="false" ht="15" hidden="false" customHeight="false" outlineLevel="0" collapsed="false">
      <c r="A28204" s="3" t="s">
        <v>319</v>
      </c>
      <c r="G28204" s="30" t="n">
        <f aca="false">Assumptions!$G$53</f>
        <v>0.039</v>
      </c>
      <c r="H28204" s="30" t="n">
        <f aca="false">Assumptions!$H$53</f>
        <v>0.0375</v>
      </c>
      <c r="I28204" s="30" t="n">
        <f aca="false">Assumptions!$I$53</f>
        <v>0.035</v>
      </c>
      <c r="J28204" s="30" t="n">
        <f aca="false">Assumptions!$J$53</f>
        <v>0.035</v>
      </c>
      <c r="K28204" s="30" t="n">
        <f aca="false">Assumptions!$K$53</f>
        <v>0.035</v>
      </c>
    </row>
    <row r="28205" customFormat="false" ht="15" hidden="false" customHeight="false" outlineLevel="0" collapsed="false">
      <c r="A28205" s="3" t="s">
        <v>320</v>
      </c>
      <c r="C28205" s="31" t="n">
        <f aca="false">CHOOSE($C$28171,Assumptions!$C$86,Assumptions!$C$105,Assumptions!$C$124)+$C$28174</f>
        <v>0.02</v>
      </c>
    </row>
    <row r="28206" customFormat="false" ht="15" hidden="false" customHeight="false" outlineLevel="0" collapsed="false">
      <c r="A28206" s="3" t="s">
        <v>321</v>
      </c>
      <c r="C28206" s="31" t="n">
        <f aca="false">CHOOSE($C$28171,Assumptions!$C$87,Assumptions!$C$106,Assumptions!$C$125)</f>
        <v>0.12</v>
      </c>
    </row>
    <row r="28207" customFormat="false" ht="15" hidden="false" customHeight="false" outlineLevel="0" collapsed="false">
      <c r="A28207" s="3" t="s">
        <v>322</v>
      </c>
      <c r="C28207" s="32" t="n">
        <f aca="false">CHOOSE($C$28171,Assumptions!$C$88,Assumptions!$C$107,Assumptions!$C$126)</f>
        <v>9</v>
      </c>
    </row>
    <row r="28208" customFormat="false" ht="15" hidden="false" customHeight="false" outlineLevel="0" collapsed="false">
      <c r="A28208" s="3" t="s">
        <v>323</v>
      </c>
      <c r="C28208" s="32" t="n">
        <f aca="false">CHOOSE($C$28171,Assumptions!$C$89,Assumptions!$C$108,Assumptions!$C$127)</f>
        <v>1.75</v>
      </c>
    </row>
    <row r="28209" customFormat="false" ht="15" hidden="false" customHeight="false" outlineLevel="0" collapsed="false">
      <c r="A28209" s="3" t="s">
        <v>324</v>
      </c>
      <c r="G28209" s="16" t="n">
        <f aca="false">G28214+G28227+G28240+G28253+G28266+G28279+G28292+G28305+G28318+G28331</f>
        <v>2625.934</v>
      </c>
      <c r="H28209" s="16" t="n">
        <f aca="false">H28214+H28227+H28240+H28253+H28266+H28279+H28292+H28305+H28318+H28331</f>
        <v>2621.934</v>
      </c>
      <c r="I28209" s="16" t="n">
        <f aca="false">I28214+I28227+I28240+I28253+I28266+I28279+I28292+I28305+I28318+I28331</f>
        <v>2593.3565587</v>
      </c>
      <c r="J28209" s="16" t="n">
        <f aca="false">J28214+J28227+J28240+J28253+J28266+J28279+J28292+J28305+J28318+J28331</f>
        <v>2589.3565587</v>
      </c>
      <c r="K28209" s="16" t="n">
        <f aca="false">K28214+K28227+K28240+K28253+K28266+K28279+K28292+K28305+K28318+K28331</f>
        <v>2585.3565587</v>
      </c>
    </row>
    <row r="28210" customFormat="false" ht="15" hidden="false" customHeight="false" outlineLevel="0" collapsed="false">
      <c r="A28210" s="3" t="s">
        <v>325</v>
      </c>
      <c r="G28210" s="16" t="n">
        <f aca="false">F28402</f>
        <v>37.87</v>
      </c>
      <c r="H28210" s="16" t="n">
        <f aca="false">G28402</f>
        <v>92.0805416000001</v>
      </c>
      <c r="I28210" s="16" t="n">
        <f aca="false">H28402</f>
        <v>0</v>
      </c>
      <c r="J28210" s="16" t="n">
        <f aca="false">I28402</f>
        <v>-70.6921798716</v>
      </c>
      <c r="K28210" s="16" t="n">
        <f aca="false">J28402</f>
        <v>-138.93157234325</v>
      </c>
    </row>
    <row r="28211" customFormat="false" ht="15" hidden="false" customHeight="false" outlineLevel="0" collapsed="false">
      <c r="A28211" s="3" t="s">
        <v>326</v>
      </c>
      <c r="G28211" s="16" t="n">
        <f aca="false">G28214*IF(G28215=1,$C$28206,IF(Assumptions!$I$57=1,MAX(G28204,Assumptions!$G$57)+Assumptions!$F$57+$C$28205,Assumptions!$E$57))+G28227*IF(G28228=1,$C$28206,IF(Assumptions!$I$58=1,MAX(G28204,Assumptions!$G$58)+Assumptions!$F$58+$C$28205,Assumptions!$E$58))+G28240*IF(G28241=1,$C$28206,IF(Assumptions!$I$59=1,MAX(G28204,Assumptions!$G$59)+Assumptions!$F$59+$C$28205,Assumptions!$E$59))+G28253*IF(G28254=1,$C$28206,IF(Assumptions!$I$60=1,MAX(G28204,Assumptions!$G$60)+Assumptions!$F$60+$C$28205,Assumptions!$E$60))+G28266*IF(G28267=1,$C$28206,IF(Assumptions!$I$61=1,MAX(G28204,Assumptions!$G$61)+Assumptions!$F$61+$C$28205,Assumptions!$E$61))+G28279*IF(G28280=1,$C$28206,IF(Assumptions!$I$62=1,MAX(G28204,Assumptions!$G$62)+Assumptions!$F$62+$C$28205,Assumptions!$E$62))+G28292*IF(G28293=1,$C$28206,IF(Assumptions!$I$63=1,MAX(G28204,Assumptions!$G$63)+Assumptions!$F$63+$C$28205,Assumptions!$E$63))+G28305*IF(G28306=1,$C$28206,IF(Assumptions!$I$64=1,MAX(G28204,Assumptions!$G$64)+Assumptions!$F$64+$C$28205,Assumptions!$E$64))+G28318*IF(G28319=1,$C$28206,IF(Assumptions!$I$65=1,MAX(G28204,Assumptions!$G$65)+Assumptions!$F$65+$C$28205,Assumptions!$E$65))+G28331*IF(G28332=1,$C$28206,IF(Assumptions!$I$66=1,MAX(G28204,Assumptions!$G$66)+Assumptions!$F$66+$C$28205,Assumptions!$E$66))</f>
        <v>189.7818854</v>
      </c>
      <c r="H28211" s="16" t="n">
        <f aca="false">H28214*IF(OR(H28215=1,G28524=1),$C$28206,IF(Assumptions!$I$57=1,MAX(H28204,Assumptions!$G$57)+Assumptions!$F$57+$C$28205,Assumptions!$E$57))+H28227*IF(OR(H28228=1,G28525=1),$C$28206,IF(Assumptions!$I$58=1,MAX(H28204,Assumptions!$G$58)+Assumptions!$F$58+$C$28205,Assumptions!$E$58))+H28240*IF(OR(H28241=1,G28526=1),$C$28206,IF(Assumptions!$I$59=1,MAX(H28204,Assumptions!$G$59)+Assumptions!$F$59+$C$28205,Assumptions!$E$59))+H28253*IF(OR(H28254=1,G28527=1),$C$28206,IF(Assumptions!$I$60=1,MAX(H28204,Assumptions!$G$60)+Assumptions!$F$60+$C$28205,Assumptions!$E$60))+H28266*IF(OR(H28267=1,G28528=1),$C$28206,IF(Assumptions!$I$61=1,MAX(H28204,Assumptions!$G$61)+Assumptions!$F$61+$C$28205,Assumptions!$E$61))+H28279*IF(OR(H28280=1,G28529=1),$C$28206,IF(Assumptions!$I$62=1,MAX(H28204,Assumptions!$G$62)+Assumptions!$F$62+$C$28205,Assumptions!$E$62))+H28292*IF(OR(H28293=1,G28530=1),$C$28206,IF(Assumptions!$I$63=1,MAX(H28204,Assumptions!$G$63)+Assumptions!$F$63+$C$28205,Assumptions!$E$63))+H28305*IF(OR(H28306=1,G28531=1),$C$28206,IF(Assumptions!$I$64=1,MAX(H28204,Assumptions!$G$64)+Assumptions!$F$64+$C$28205,Assumptions!$E$64))+H28318*IF(OR(H28319=1,G28532=1),$C$28206,IF(Assumptions!$I$65=1,MAX(H28204,Assumptions!$G$65)+Assumptions!$F$65+$C$28205,Assumptions!$E$65))+H28331*IF(OR(H28332=1,G28533=1),$C$28206,IF(Assumptions!$I$66=1,MAX(H28204,Assumptions!$G$66)+Assumptions!$F$66+$C$28205,Assumptions!$E$66))</f>
        <v>237.7989704</v>
      </c>
      <c r="I28211" s="16" t="n">
        <f aca="false">I28214*IF(OR(I28215=1,H28524=1),$C$28206,IF(Assumptions!$I$57=1,MAX(I28204,Assumptions!$G$57)+Assumptions!$F$57+$C$28205,Assumptions!$E$57))+I28227*IF(OR(I28228=1,H28525=1),$C$28206,IF(Assumptions!$I$58=1,MAX(I28204,Assumptions!$G$58)+Assumptions!$F$58+$C$28205,Assumptions!$E$58))+I28240*IF(OR(I28241=1,H28526=1),$C$28206,IF(Assumptions!$I$59=1,MAX(I28204,Assumptions!$G$59)+Assumptions!$F$59+$C$28205,Assumptions!$E$59))+I28253*IF(OR(I28254=1,H28527=1),$C$28206,IF(Assumptions!$I$60=1,MAX(I28204,Assumptions!$G$60)+Assumptions!$F$60+$C$28205,Assumptions!$E$60))+I28266*IF(OR(I28267=1,H28528=1),$C$28206,IF(Assumptions!$I$61=1,MAX(I28204,Assumptions!$G$61)+Assumptions!$F$61+$C$28205,Assumptions!$E$61))+I28279*IF(OR(I28280=1,H28529=1),$C$28206,IF(Assumptions!$I$62=1,MAX(I28204,Assumptions!$G$62)+Assumptions!$F$62+$C$28205,Assumptions!$E$62))+I28292*IF(OR(I28293=1,H28530=1),$C$28206,IF(Assumptions!$I$63=1,MAX(I28204,Assumptions!$G$63)+Assumptions!$F$63+$C$28205,Assumptions!$E$63))+I28305*IF(OR(I28306=1,H28531=1),$C$28206,IF(Assumptions!$I$64=1,MAX(I28204,Assumptions!$G$64)+Assumptions!$F$64+$C$28205,Assumptions!$E$64))+I28318*IF(OR(I28319=1,H28532=1),$C$28206,IF(Assumptions!$I$65=1,MAX(I28204,Assumptions!$G$65)+Assumptions!$F$65+$C$28205,Assumptions!$E$65))+I28331*IF(OR(I28332=1,H28533=1),$C$28206,IF(Assumptions!$I$66=1,MAX(I28204,Assumptions!$G$66)+Assumptions!$F$66+$C$28205,Assumptions!$E$66))</f>
        <v>203.22413646865</v>
      </c>
      <c r="J28211" s="16" t="n">
        <f aca="false">J28214*IF(OR(J28215=1,I28524=1),$C$28206,IF(Assumptions!$I$57=1,MAX(J28204,Assumptions!$G$57)+Assumptions!$F$57+$C$28205,Assumptions!$E$57))+J28227*IF(OR(J28228=1,I28525=1),$C$28206,IF(Assumptions!$I$58=1,MAX(J28204,Assumptions!$G$58)+Assumptions!$F$58+$C$28205,Assumptions!$E$58))+J28240*IF(OR(J28241=1,I28526=1),$C$28206,IF(Assumptions!$I$59=1,MAX(J28204,Assumptions!$G$59)+Assumptions!$F$59+$C$28205,Assumptions!$E$59))+J28253*IF(OR(J28254=1,I28527=1),$C$28206,IF(Assumptions!$I$60=1,MAX(J28204,Assumptions!$G$60)+Assumptions!$F$60+$C$28205,Assumptions!$E$60))+J28266*IF(OR(J28267=1,I28528=1),$C$28206,IF(Assumptions!$I$61=1,MAX(J28204,Assumptions!$G$61)+Assumptions!$F$61+$C$28205,Assumptions!$E$61))+J28279*IF(OR(J28280=1,I28529=1),$C$28206,IF(Assumptions!$I$62=1,MAX(J28204,Assumptions!$G$62)+Assumptions!$F$62+$C$28205,Assumptions!$E$62))+J28292*IF(OR(J28293=1,I28530=1),$C$28206,IF(Assumptions!$I$63=1,MAX(J28204,Assumptions!$G$63)+Assumptions!$F$63+$C$28205,Assumptions!$E$63))+J28305*IF(OR(J28306=1,I28531=1),$C$28206,IF(Assumptions!$I$64=1,MAX(J28204,Assumptions!$G$64)+Assumptions!$F$64+$C$28205,Assumptions!$E$64))+J28318*IF(OR(J28319=1,I28532=1),$C$28206,IF(Assumptions!$I$65=1,MAX(J28204,Assumptions!$G$65)+Assumptions!$F$65+$C$28205,Assumptions!$E$65))+J28331*IF(OR(J28332=1,I28533=1),$C$28206,IF(Assumptions!$I$66=1,MAX(J28204,Assumptions!$G$66)+Assumptions!$F$66+$C$28205,Assumptions!$E$66))</f>
        <v>211.68163646865</v>
      </c>
      <c r="K28211" s="16" t="n">
        <f aca="false">K28214*IF(OR(K28215=1,J28524=1),$C$28206,IF(Assumptions!$I$57=1,MAX(K28204,Assumptions!$G$57)+Assumptions!$F$57+$C$28205,Assumptions!$E$57))+K28227*IF(OR(K28228=1,J28525=1),$C$28206,IF(Assumptions!$I$58=1,MAX(K28204,Assumptions!$G$58)+Assumptions!$F$58+$C$28205,Assumptions!$E$58))+K28240*IF(OR(K28241=1,J28526=1),$C$28206,IF(Assumptions!$I$59=1,MAX(K28204,Assumptions!$G$59)+Assumptions!$F$59+$C$28205,Assumptions!$E$59))+K28253*IF(OR(K28254=1,J28527=1),$C$28206,IF(Assumptions!$I$60=1,MAX(K28204,Assumptions!$G$60)+Assumptions!$F$60+$C$28205,Assumptions!$E$60))+K28266*IF(OR(K28267=1,J28528=1),$C$28206,IF(Assumptions!$I$61=1,MAX(K28204,Assumptions!$G$61)+Assumptions!$F$61+$C$28205,Assumptions!$E$61))+K28279*IF(OR(K28280=1,J28529=1),$C$28206,IF(Assumptions!$I$62=1,MAX(K28204,Assumptions!$G$62)+Assumptions!$F$62+$C$28205,Assumptions!$E$62))+K28292*IF(OR(K28293=1,J28530=1),$C$28206,IF(Assumptions!$I$63=1,MAX(K28204,Assumptions!$G$63)+Assumptions!$F$63+$C$28205,Assumptions!$E$63))+K28305*IF(OR(K28306=1,J28531=1),$C$28206,IF(Assumptions!$I$64=1,MAX(K28204,Assumptions!$G$64)+Assumptions!$F$64+$C$28205,Assumptions!$E$64))+K28318*IF(OR(K28319=1,J28532=1),$C$28206,IF(Assumptions!$I$65=1,MAX(K28204,Assumptions!$G$65)+Assumptions!$F$65+$C$28205,Assumptions!$E$65))+K28331*IF(OR(K28332=1,J28533=1),$C$28206,IF(Assumptions!$I$66=1,MAX(K28204,Assumptions!$G$66)+Assumptions!$F$66+$C$28205,Assumptions!$E$66))</f>
        <v>207.60163646865</v>
      </c>
    </row>
    <row r="28212" customFormat="false" ht="15" hidden="false" customHeight="false" outlineLevel="0" collapsed="false">
      <c r="A28212" s="3" t="s">
        <v>327</v>
      </c>
      <c r="G28212" s="21" t="n">
        <f aca="false">IF(G28188&lt;=0,0,IF(AND((G28209-G28210)/G28188&lt;=$C$28207,G28188/G28211&gt;=$C$28208),1,0))</f>
        <v>0</v>
      </c>
      <c r="H28212" s="21" t="n">
        <f aca="false">IF(H28188&lt;=0,0,IF(AND((H28209-H28210)/H28188&lt;=$C$28207,H28188/H28211&gt;=$C$28208),1,0))</f>
        <v>0</v>
      </c>
      <c r="I28212" s="21" t="n">
        <f aca="false">IF(I28188&lt;=0,0,IF(AND((I28209-I28210)/I28188&lt;=$C$28207,I28188/I28211&gt;=$C$28208),1,0))</f>
        <v>0</v>
      </c>
      <c r="J28212" s="21" t="n">
        <f aca="false">IF(J28188&lt;=0,0,IF(AND((J28209-J28210)/J28188&lt;=$C$28207,J28188/J28211&gt;=$C$28208),1,0))</f>
        <v>0</v>
      </c>
      <c r="K28212" s="21" t="n">
        <f aca="false">IF(K28188&lt;=0,0,IF(AND((K28209-K28210)/K28188&lt;=$C$28207,K28188/K28211&gt;=$C$28208),1,0))</f>
        <v>0</v>
      </c>
    </row>
    <row r="28213" customFormat="false" ht="15" hidden="false" customHeight="false" outlineLevel="0" collapsed="false">
      <c r="A28213" s="24" t="s">
        <v>328</v>
      </c>
      <c r="B28213" s="25"/>
      <c r="C28213" s="25"/>
      <c r="D28213" s="25"/>
      <c r="E28213" s="25"/>
      <c r="F28213" s="25"/>
      <c r="G28213" s="25"/>
      <c r="H28213" s="25"/>
      <c r="I28213" s="25"/>
      <c r="J28213" s="25"/>
      <c r="K28213" s="25"/>
    </row>
    <row r="28214" customFormat="false" ht="15" hidden="false" customHeight="false" outlineLevel="0" collapsed="false">
      <c r="A28214" s="3" t="s">
        <v>329</v>
      </c>
      <c r="G28214" s="16" t="n">
        <f aca="false">F28225</f>
        <v>400</v>
      </c>
      <c r="H28214" s="16" t="n">
        <f aca="false">G28225</f>
        <v>396</v>
      </c>
      <c r="I28214" s="16" t="n">
        <f aca="false">H28225</f>
        <v>392</v>
      </c>
      <c r="J28214" s="16" t="n">
        <f aca="false">I28225</f>
        <v>388</v>
      </c>
      <c r="K28214" s="16" t="n">
        <f aca="false">J28225</f>
        <v>384</v>
      </c>
    </row>
    <row r="28215" customFormat="false" ht="15" hidden="false" customHeight="false" outlineLevel="0" collapsed="false">
      <c r="A28215" s="3" t="s">
        <v>330</v>
      </c>
      <c r="G28215" s="21" t="n">
        <f aca="false">IF(G28178=Assumptions!$K$57,1,0)</f>
        <v>0</v>
      </c>
      <c r="H28215" s="21" t="n">
        <f aca="false">IF(H28178=Assumptions!$K$57,1,0)</f>
        <v>0</v>
      </c>
      <c r="I28215" s="21" t="n">
        <f aca="false">IF(I28178=Assumptions!$K$57,1,0)</f>
        <v>0</v>
      </c>
      <c r="J28215" s="21" t="n">
        <f aca="false">IF(J28178=Assumptions!$K$57,1,0)</f>
        <v>0</v>
      </c>
      <c r="K28215" s="21" t="n">
        <f aca="false">IF(K28178=Assumptions!$K$57,1,0)</f>
        <v>1</v>
      </c>
    </row>
    <row r="28217" customFormat="false" ht="15" hidden="false" customHeight="false" outlineLevel="0" collapsed="false">
      <c r="A28217" s="3" t="s">
        <v>331</v>
      </c>
      <c r="G28217" s="31" t="n">
        <f aca="false">IF(Assumptions!$I$57=1,MAX(G28204,Assumptions!$G$57)+Assumptions!$F$57+$C$28205,Assumptions!$E$57)</f>
        <v>0.1115</v>
      </c>
      <c r="H28217" s="31" t="n">
        <f aca="false">IF(G28524=1,$C$28206,IF(Assumptions!$I$57=1,MAX(H28204,Assumptions!$G$57)+Assumptions!$F$57+$C$28205,Assumptions!$E$57))</f>
        <v>0.11</v>
      </c>
      <c r="I28217" s="31" t="n">
        <f aca="false">IF(H28524=1,$C$28206,IF(Assumptions!$I$57=1,MAX(I28204,Assumptions!$G$57)+Assumptions!$F$57+$C$28205,Assumptions!$E$57))</f>
        <v>0.1075</v>
      </c>
      <c r="J28217" s="31" t="n">
        <f aca="false">IF(I28524=1,$C$28206,IF(Assumptions!$I$57=1,MAX(J28204,Assumptions!$G$57)+Assumptions!$F$57+$C$28205,Assumptions!$E$57))</f>
        <v>0.1075</v>
      </c>
      <c r="K28217" s="31" t="n">
        <f aca="false">IF(J28524=1,$C$28206,IF(Assumptions!$I$57=1,MAX(K28204,Assumptions!$G$57)+Assumptions!$F$57+$C$28205,Assumptions!$E$57))</f>
        <v>0.1075</v>
      </c>
    </row>
    <row r="28218" customFormat="false" ht="15" hidden="false" customHeight="false" outlineLevel="0" collapsed="false">
      <c r="A28218" s="3" t="s">
        <v>332</v>
      </c>
      <c r="G28218" s="16" t="n">
        <f aca="false">G28214*G28217</f>
        <v>44.6</v>
      </c>
      <c r="H28218" s="16" t="n">
        <f aca="false">H28214*H28217</f>
        <v>43.56</v>
      </c>
      <c r="I28218" s="16" t="n">
        <f aca="false">I28214*I28217</f>
        <v>42.14</v>
      </c>
      <c r="J28218" s="16" t="n">
        <f aca="false">J28214*J28217</f>
        <v>41.71</v>
      </c>
      <c r="K28218" s="16" t="n">
        <f aca="false">K28214*K28217</f>
        <v>41.28</v>
      </c>
    </row>
    <row r="28219" customFormat="false" ht="15" hidden="false" customHeight="false" outlineLevel="0" collapsed="false">
      <c r="A28219" s="3" t="s">
        <v>333</v>
      </c>
      <c r="G28219" s="16" t="n">
        <f aca="false">G28214*Assumptions!$H$57</f>
        <v>0</v>
      </c>
      <c r="H28219" s="16" t="n">
        <f aca="false">H28214*Assumptions!$H$57</f>
        <v>0</v>
      </c>
      <c r="I28219" s="16" t="n">
        <f aca="false">I28214*Assumptions!$H$57</f>
        <v>0</v>
      </c>
      <c r="J28219" s="16" t="n">
        <f aca="false">J28214*Assumptions!$H$57</f>
        <v>0</v>
      </c>
      <c r="K28219" s="16" t="n">
        <f aca="false">K28214*Assumptions!$H$57</f>
        <v>0</v>
      </c>
    </row>
    <row r="28220" customFormat="false" ht="15" hidden="false" customHeight="false" outlineLevel="0" collapsed="false">
      <c r="A28220" s="3" t="s">
        <v>334</v>
      </c>
      <c r="G28220" s="16" t="n">
        <f aca="false">MIN(G28214,Assumptions!$L$57*Assumptions!$C$57)</f>
        <v>4</v>
      </c>
      <c r="H28220" s="16" t="n">
        <f aca="false">MIN(H28214,Assumptions!$L$57*Assumptions!$C$57)</f>
        <v>4</v>
      </c>
      <c r="I28220" s="16" t="n">
        <f aca="false">MIN(I28214,Assumptions!$L$57*Assumptions!$C$57)</f>
        <v>4</v>
      </c>
      <c r="J28220" s="16" t="n">
        <f aca="false">MIN(J28214,Assumptions!$L$57*Assumptions!$C$57)</f>
        <v>4</v>
      </c>
      <c r="K28220" s="16" t="n">
        <f aca="false">MIN(K28214,Assumptions!$L$57*Assumptions!$C$57)</f>
        <v>4</v>
      </c>
    </row>
    <row r="28221" customFormat="false" ht="15" hidden="false" customHeight="false" outlineLevel="0" collapsed="false">
      <c r="A28221" s="3" t="s">
        <v>335</v>
      </c>
      <c r="G28221" s="16" t="n">
        <f aca="false">IF(AND(Assumptions!$P$57=1,G28178&lt;Assumptions!$K$57),MIN(MAX(0,-G28394),MAX(0,Assumptions!$D$57-G28214)),0)</f>
        <v>0</v>
      </c>
      <c r="H28221" s="16" t="n">
        <f aca="false">IF(AND(Assumptions!$P$57=1,OR(H28178&lt;Assumptions!$K$57,G28524=1)),MIN(MAX(0,-H28394),MAX(0,Assumptions!$D$57-H28214)),0)</f>
        <v>0</v>
      </c>
      <c r="I28221" s="16" t="n">
        <f aca="false">IF(AND(Assumptions!$P$57=1,OR(I28178&lt;Assumptions!$K$57,H28524=1)),MIN(MAX(0,-I28394),MAX(0,Assumptions!$D$57-I28214)),0)</f>
        <v>0</v>
      </c>
      <c r="J28221" s="16" t="n">
        <f aca="false">IF(AND(Assumptions!$P$57=1,OR(J28178&lt;Assumptions!$K$57,I28524=1)),MIN(MAX(0,-J28394),MAX(0,Assumptions!$D$57-J28214)),0)</f>
        <v>0</v>
      </c>
      <c r="K28221" s="16" t="n">
        <f aca="false">IF(AND(Assumptions!$P$57=1,OR(K28178&lt;Assumptions!$K$57,J28524=1)),MIN(MAX(0,-K28394),MAX(0,Assumptions!$D$57-K28214)),0)</f>
        <v>0</v>
      </c>
    </row>
    <row r="28222" customFormat="false" ht="15" hidden="false" customHeight="false" outlineLevel="0" collapsed="false">
      <c r="A28222" s="3" t="s">
        <v>336</v>
      </c>
      <c r="G28222" s="16" t="n">
        <f aca="false">G28215*MIN(G28214-G28220+G28219,MAX(0,G28396-Assumptions!$C$12*G28212))</f>
        <v>0</v>
      </c>
      <c r="H28222" s="16" t="n">
        <f aca="false">H28215*MIN(H28214-H28220+H28219,MAX(0,H28396-Assumptions!$C$12*H28212))</f>
        <v>0</v>
      </c>
      <c r="I28222" s="16" t="n">
        <f aca="false">I28215*MIN(I28214-I28220+I28219,MAX(0,I28396-Assumptions!$C$12*I28212))</f>
        <v>0</v>
      </c>
      <c r="J28222" s="16" t="n">
        <f aca="false">J28215*MIN(J28214-J28220+J28219,MAX(0,J28396-Assumptions!$C$12*J28212))</f>
        <v>0</v>
      </c>
      <c r="K28222" s="16" t="n">
        <f aca="false">K28215*MIN(K28214-K28220+K28219,MAX(0,K28396-Assumptions!$C$12*K28212))</f>
        <v>0</v>
      </c>
    </row>
    <row r="28223" customFormat="false" ht="15" hidden="false" customHeight="false" outlineLevel="0" collapsed="false">
      <c r="A28223" s="3" t="s">
        <v>337</v>
      </c>
      <c r="G28223" s="16" t="n">
        <f aca="false">Assumptions!$N$57*MIN(G28214+G28221+G28219-G28220-G28222,MAX(0,G28400))</f>
        <v>0</v>
      </c>
      <c r="H28223" s="16" t="n">
        <f aca="false">Assumptions!$N$57*MIN(H28214+H28221+H28219-H28220-H28222,MAX(0,H28400))</f>
        <v>0</v>
      </c>
      <c r="I28223" s="16" t="n">
        <f aca="false">Assumptions!$N$57*MIN(I28214+I28221+I28219-I28220-I28222,MAX(0,I28400))</f>
        <v>0</v>
      </c>
      <c r="J28223" s="16" t="n">
        <f aca="false">Assumptions!$N$57*MIN(J28214+J28221+J28219-J28220-J28222,MAX(0,J28400))</f>
        <v>0</v>
      </c>
      <c r="K28223" s="16" t="n">
        <f aca="false">Assumptions!$N$57*MIN(K28214+K28221+K28219-K28220-K28222,MAX(0,K28400))</f>
        <v>0</v>
      </c>
    </row>
    <row r="28224" customFormat="false" ht="15" hidden="false" customHeight="false" outlineLevel="0" collapsed="false">
      <c r="A28224" s="3" t="s">
        <v>338</v>
      </c>
      <c r="G28224" s="16" t="n">
        <f aca="false">G28215*(1-G28212)*(G28214-G28220+G28219-G28222)</f>
        <v>0</v>
      </c>
      <c r="H28224" s="16" t="n">
        <f aca="false">H28215*(1-H28212)*(H28214-H28220+H28219-H28222)</f>
        <v>0</v>
      </c>
      <c r="I28224" s="16" t="n">
        <f aca="false">I28215*(1-I28212)*(I28214-I28220+I28219-I28222)</f>
        <v>0</v>
      </c>
      <c r="J28224" s="16" t="n">
        <f aca="false">J28215*(1-J28212)*(J28214-J28220+J28219-J28222)</f>
        <v>0</v>
      </c>
      <c r="K28224" s="16" t="n">
        <f aca="false">K28215*(1-K28212)*(K28214-K28220+K28219-K28222)</f>
        <v>380</v>
      </c>
    </row>
    <row r="28225" customFormat="false" ht="15" hidden="false" customHeight="false" outlineLevel="0" collapsed="false">
      <c r="A28225" s="2" t="s">
        <v>339</v>
      </c>
      <c r="F28225" s="28" t="n">
        <f aca="false">Assumptions!$C$57</f>
        <v>400</v>
      </c>
      <c r="G28225" s="17" t="n">
        <f aca="false">G28214+G28221+G28219-G28220-G28222-G28223</f>
        <v>396</v>
      </c>
      <c r="H28225" s="17" t="n">
        <f aca="false">H28214+H28221+H28219-H28220-H28222-H28223</f>
        <v>392</v>
      </c>
      <c r="I28225" s="17" t="n">
        <f aca="false">I28214+I28221+I28219-I28220-I28222-I28223</f>
        <v>388</v>
      </c>
      <c r="J28225" s="17" t="n">
        <f aca="false">J28214+J28221+J28219-J28220-J28222-J28223</f>
        <v>384</v>
      </c>
      <c r="K28225" s="17" t="n">
        <f aca="false">K28214+K28221+K28219-K28220-K28222-K28223</f>
        <v>380</v>
      </c>
    </row>
    <row r="28226" customFormat="false" ht="15" hidden="false" customHeight="false" outlineLevel="0" collapsed="false">
      <c r="A28226" s="24" t="s">
        <v>340</v>
      </c>
      <c r="B28226" s="25"/>
      <c r="C28226" s="25"/>
      <c r="D28226" s="25"/>
      <c r="E28226" s="25"/>
      <c r="F28226" s="25"/>
      <c r="G28226" s="25"/>
      <c r="H28226" s="25"/>
      <c r="I28226" s="25"/>
      <c r="J28226" s="25"/>
      <c r="K28226" s="25"/>
    </row>
    <row r="28227" customFormat="false" ht="15" hidden="false" customHeight="false" outlineLevel="0" collapsed="false">
      <c r="A28227" s="3" t="s">
        <v>329</v>
      </c>
      <c r="G28227" s="16" t="n">
        <f aca="false">F28238</f>
        <v>90</v>
      </c>
      <c r="H28227" s="16" t="n">
        <f aca="false">G28238</f>
        <v>90</v>
      </c>
      <c r="I28227" s="16" t="n">
        <f aca="false">H28238</f>
        <v>90</v>
      </c>
      <c r="J28227" s="16" t="n">
        <f aca="false">I28238</f>
        <v>90</v>
      </c>
      <c r="K28227" s="16" t="n">
        <f aca="false">J28238</f>
        <v>90</v>
      </c>
    </row>
    <row r="28228" customFormat="false" ht="15" hidden="false" customHeight="false" outlineLevel="0" collapsed="false">
      <c r="A28228" s="3" t="s">
        <v>330</v>
      </c>
      <c r="G28228" s="21" t="n">
        <f aca="false">IF(G28178=Assumptions!$K$58,1,0)</f>
        <v>0</v>
      </c>
      <c r="H28228" s="21" t="n">
        <f aca="false">IF(H28178=Assumptions!$K$58,1,0)</f>
        <v>0</v>
      </c>
      <c r="I28228" s="21" t="n">
        <f aca="false">IF(I28178=Assumptions!$K$58,1,0)</f>
        <v>0</v>
      </c>
      <c r="J28228" s="21" t="n">
        <f aca="false">IF(J28178=Assumptions!$K$58,1,0)</f>
        <v>0</v>
      </c>
      <c r="K28228" s="21" t="n">
        <f aca="false">IF(K28178=Assumptions!$K$58,1,0)</f>
        <v>0</v>
      </c>
    </row>
    <row r="28230" customFormat="false" ht="15" hidden="false" customHeight="false" outlineLevel="0" collapsed="false">
      <c r="A28230" s="3" t="s">
        <v>331</v>
      </c>
      <c r="G28230" s="31" t="n">
        <f aca="false">IF(Assumptions!$I$58=1,MAX(G28204,Assumptions!$G$58)+Assumptions!$F$58+$C$28205,Assumptions!$E$58)</f>
        <v>0.0581</v>
      </c>
      <c r="H28230" s="31" t="n">
        <f aca="false">IF(G28525=1,$C$28206,IF(Assumptions!$I$58=1,MAX(H28204,Assumptions!$G$58)+Assumptions!$F$58+$C$28205,Assumptions!$E$58))</f>
        <v>0.0581</v>
      </c>
      <c r="I28230" s="31" t="n">
        <f aca="false">IF(H28525=1,$C$28206,IF(Assumptions!$I$58=1,MAX(I28204,Assumptions!$G$58)+Assumptions!$F$58+$C$28205,Assumptions!$E$58))</f>
        <v>0.0581</v>
      </c>
      <c r="J28230" s="31" t="n">
        <f aca="false">IF(I28525=1,$C$28206,IF(Assumptions!$I$58=1,MAX(J28204,Assumptions!$G$58)+Assumptions!$F$58+$C$28205,Assumptions!$E$58))</f>
        <v>0.0581</v>
      </c>
      <c r="K28230" s="31" t="n">
        <f aca="false">IF(J28525=1,$C$28206,IF(Assumptions!$I$58=1,MAX(K28204,Assumptions!$G$58)+Assumptions!$F$58+$C$28205,Assumptions!$E$58))</f>
        <v>0.0581</v>
      </c>
    </row>
    <row r="28231" customFormat="false" ht="15" hidden="false" customHeight="false" outlineLevel="0" collapsed="false">
      <c r="A28231" s="3" t="s">
        <v>332</v>
      </c>
      <c r="G28231" s="16" t="n">
        <f aca="false">G28227*G28230</f>
        <v>5.229</v>
      </c>
      <c r="H28231" s="16" t="n">
        <f aca="false">H28227*H28230</f>
        <v>5.229</v>
      </c>
      <c r="I28231" s="16" t="n">
        <f aca="false">I28227*I28230</f>
        <v>5.229</v>
      </c>
      <c r="J28231" s="16" t="n">
        <f aca="false">J28227*J28230</f>
        <v>5.229</v>
      </c>
      <c r="K28231" s="16" t="n">
        <f aca="false">K28227*K28230</f>
        <v>5.229</v>
      </c>
    </row>
    <row r="28232" customFormat="false" ht="15" hidden="false" customHeight="false" outlineLevel="0" collapsed="false">
      <c r="A28232" s="3" t="s">
        <v>333</v>
      </c>
      <c r="G28232" s="16" t="n">
        <f aca="false">G28227*Assumptions!$H$58</f>
        <v>0</v>
      </c>
      <c r="H28232" s="16" t="n">
        <f aca="false">H28227*Assumptions!$H$58</f>
        <v>0</v>
      </c>
      <c r="I28232" s="16" t="n">
        <f aca="false">I28227*Assumptions!$H$58</f>
        <v>0</v>
      </c>
      <c r="J28232" s="16" t="n">
        <f aca="false">J28227*Assumptions!$H$58</f>
        <v>0</v>
      </c>
      <c r="K28232" s="16" t="n">
        <f aca="false">K28227*Assumptions!$H$58</f>
        <v>0</v>
      </c>
    </row>
    <row r="28233" customFormat="false" ht="15" hidden="false" customHeight="false" outlineLevel="0" collapsed="false">
      <c r="A28233" s="3" t="s">
        <v>334</v>
      </c>
      <c r="G28233" s="16" t="n">
        <f aca="false">MIN(G28227,Assumptions!$L$58*Assumptions!$C$58)</f>
        <v>0</v>
      </c>
      <c r="H28233" s="16" t="n">
        <f aca="false">MIN(H28227,Assumptions!$L$58*Assumptions!$C$58)</f>
        <v>0</v>
      </c>
      <c r="I28233" s="16" t="n">
        <f aca="false">MIN(I28227,Assumptions!$L$58*Assumptions!$C$58)</f>
        <v>0</v>
      </c>
      <c r="J28233" s="16" t="n">
        <f aca="false">MIN(J28227,Assumptions!$L$58*Assumptions!$C$58)</f>
        <v>0</v>
      </c>
      <c r="K28233" s="16" t="n">
        <f aca="false">MIN(K28227,Assumptions!$L$58*Assumptions!$C$58)</f>
        <v>0</v>
      </c>
    </row>
    <row r="28234" customFormat="false" ht="15" hidden="false" customHeight="false" outlineLevel="0" collapsed="false">
      <c r="A28234" s="3" t="s">
        <v>335</v>
      </c>
      <c r="G28234" s="16" t="n">
        <f aca="false">IF(AND(Assumptions!$P$58=1,G28178&lt;Assumptions!$K$58),MIN(MAX(0,-G28394),MAX(0,Assumptions!$D$58-G28227)),0)</f>
        <v>0</v>
      </c>
      <c r="H28234" s="16" t="n">
        <f aca="false">IF(AND(Assumptions!$P$58=1,OR(H28178&lt;Assumptions!$K$58,G28525=1)),MIN(MAX(0,-H28394),MAX(0,Assumptions!$D$58-H28227)),0)</f>
        <v>0</v>
      </c>
      <c r="I28234" s="16" t="n">
        <f aca="false">IF(AND(Assumptions!$P$58=1,OR(I28178&lt;Assumptions!$K$58,H28525=1)),MIN(MAX(0,-I28394),MAX(0,Assumptions!$D$58-I28227)),0)</f>
        <v>0</v>
      </c>
      <c r="J28234" s="16" t="n">
        <f aca="false">IF(AND(Assumptions!$P$58=1,OR(J28178&lt;Assumptions!$K$58,I28525=1)),MIN(MAX(0,-J28394),MAX(0,Assumptions!$D$58-J28227)),0)</f>
        <v>0</v>
      </c>
      <c r="K28234" s="16" t="n">
        <f aca="false">IF(AND(Assumptions!$P$58=1,OR(K28178&lt;Assumptions!$K$58,J28525=1)),MIN(MAX(0,-K28394),MAX(0,Assumptions!$D$58-K28227)),0)</f>
        <v>0</v>
      </c>
    </row>
    <row r="28235" customFormat="false" ht="15" hidden="false" customHeight="false" outlineLevel="0" collapsed="false">
      <c r="A28235" s="3" t="s">
        <v>336</v>
      </c>
      <c r="G28235" s="16" t="n">
        <f aca="false">G28228*MIN(G28227-G28233+G28232,MAX(0,G28396-Assumptions!$C$12*G28212-G28222))</f>
        <v>0</v>
      </c>
      <c r="H28235" s="16" t="n">
        <f aca="false">H28228*MIN(H28227-H28233+H28232,MAX(0,H28396-Assumptions!$C$12*H28212-H28222))</f>
        <v>0</v>
      </c>
      <c r="I28235" s="16" t="n">
        <f aca="false">I28228*MIN(I28227-I28233+I28232,MAX(0,I28396-Assumptions!$C$12*I28212-I28222))</f>
        <v>0</v>
      </c>
      <c r="J28235" s="16" t="n">
        <f aca="false">J28228*MIN(J28227-J28233+J28232,MAX(0,J28396-Assumptions!$C$12*J28212-J28222))</f>
        <v>0</v>
      </c>
      <c r="K28235" s="16" t="n">
        <f aca="false">K28228*MIN(K28227-K28233+K28232,MAX(0,K28396-Assumptions!$C$12*K28212-K28222))</f>
        <v>0</v>
      </c>
    </row>
    <row r="28236" customFormat="false" ht="15" hidden="false" customHeight="false" outlineLevel="0" collapsed="false">
      <c r="A28236" s="3" t="s">
        <v>337</v>
      </c>
      <c r="G28236" s="16" t="n">
        <f aca="false">Assumptions!$N$58*MIN(G28227+G28234+G28232-G28233-G28235,MAX(0,G28400-G28223))</f>
        <v>0</v>
      </c>
      <c r="H28236" s="16" t="n">
        <f aca="false">Assumptions!$N$58*MIN(H28227+H28234+H28232-H28233-H28235,MAX(0,H28400-H28223))</f>
        <v>0</v>
      </c>
      <c r="I28236" s="16" t="n">
        <f aca="false">Assumptions!$N$58*MIN(I28227+I28234+I28232-I28233-I28235,MAX(0,I28400-I28223))</f>
        <v>0</v>
      </c>
      <c r="J28236" s="16" t="n">
        <f aca="false">Assumptions!$N$58*MIN(J28227+J28234+J28232-J28233-J28235,MAX(0,J28400-J28223))</f>
        <v>0</v>
      </c>
      <c r="K28236" s="16" t="n">
        <f aca="false">Assumptions!$N$58*MIN(K28227+K28234+K28232-K28233-K28235,MAX(0,K28400-K28223))</f>
        <v>0</v>
      </c>
    </row>
    <row r="28237" customFormat="false" ht="15" hidden="false" customHeight="false" outlineLevel="0" collapsed="false">
      <c r="A28237" s="3" t="s">
        <v>338</v>
      </c>
      <c r="G28237" s="16" t="n">
        <f aca="false">G28228*(1-G28212)*(G28227-G28233+G28232-G28235)</f>
        <v>0</v>
      </c>
      <c r="H28237" s="16" t="n">
        <f aca="false">H28228*(1-H28212)*(H28227-H28233+H28232-H28235)</f>
        <v>0</v>
      </c>
      <c r="I28237" s="16" t="n">
        <f aca="false">I28228*(1-I28212)*(I28227-I28233+I28232-I28235)</f>
        <v>0</v>
      </c>
      <c r="J28237" s="16" t="n">
        <f aca="false">J28228*(1-J28212)*(J28227-J28233+J28232-J28235)</f>
        <v>0</v>
      </c>
      <c r="K28237" s="16" t="n">
        <f aca="false">K28228*(1-K28212)*(K28227-K28233+K28232-K28235)</f>
        <v>0</v>
      </c>
    </row>
    <row r="28238" customFormat="false" ht="15" hidden="false" customHeight="false" outlineLevel="0" collapsed="false">
      <c r="A28238" s="2" t="s">
        <v>339</v>
      </c>
      <c r="F28238" s="28" t="n">
        <f aca="false">Assumptions!$C$58</f>
        <v>90</v>
      </c>
      <c r="G28238" s="17" t="n">
        <f aca="false">G28227+G28234+G28232-G28233-G28235-G28236</f>
        <v>90</v>
      </c>
      <c r="H28238" s="17" t="n">
        <f aca="false">H28227+H28234+H28232-H28233-H28235-H28236</f>
        <v>90</v>
      </c>
      <c r="I28238" s="17" t="n">
        <f aca="false">I28227+I28234+I28232-I28233-I28235-I28236</f>
        <v>90</v>
      </c>
      <c r="J28238" s="17" t="n">
        <f aca="false">J28227+J28234+J28232-J28233-J28235-J28236</f>
        <v>90</v>
      </c>
      <c r="K28238" s="17" t="n">
        <f aca="false">K28227+K28234+K28232-K28233-K28235-K28236</f>
        <v>90</v>
      </c>
    </row>
    <row r="28239" customFormat="false" ht="15" hidden="false" customHeight="false" outlineLevel="0" collapsed="false">
      <c r="A28239" s="24" t="s">
        <v>341</v>
      </c>
      <c r="B28239" s="25"/>
      <c r="C28239" s="25"/>
      <c r="D28239" s="25"/>
      <c r="E28239" s="25"/>
      <c r="F28239" s="25"/>
      <c r="G28239" s="25"/>
      <c r="H28239" s="25"/>
      <c r="I28239" s="25"/>
      <c r="J28239" s="25"/>
      <c r="K28239" s="25"/>
    </row>
    <row r="28240" customFormat="false" ht="15" hidden="false" customHeight="false" outlineLevel="0" collapsed="false">
      <c r="A28240" s="3" t="s">
        <v>329</v>
      </c>
      <c r="G28240" s="16" t="n">
        <f aca="false">F28251</f>
        <v>57.324</v>
      </c>
      <c r="H28240" s="16" t="n">
        <f aca="false">G28251</f>
        <v>57.324</v>
      </c>
      <c r="I28240" s="16" t="n">
        <f aca="false">H28251</f>
        <v>57.324</v>
      </c>
      <c r="J28240" s="16" t="n">
        <f aca="false">I28251</f>
        <v>57.324</v>
      </c>
      <c r="K28240" s="16" t="n">
        <f aca="false">J28251</f>
        <v>57.324</v>
      </c>
    </row>
    <row r="28241" customFormat="false" ht="15" hidden="false" customHeight="false" outlineLevel="0" collapsed="false">
      <c r="A28241" s="3" t="s">
        <v>330</v>
      </c>
      <c r="G28241" s="21" t="n">
        <f aca="false">IF(G28178=Assumptions!$K$59,1,0)</f>
        <v>0</v>
      </c>
      <c r="H28241" s="21" t="n">
        <f aca="false">IF(H28178=Assumptions!$K$59,1,0)</f>
        <v>0</v>
      </c>
      <c r="I28241" s="21" t="n">
        <f aca="false">IF(I28178=Assumptions!$K$59,1,0)</f>
        <v>0</v>
      </c>
      <c r="J28241" s="21" t="n">
        <f aca="false">IF(J28178=Assumptions!$K$59,1,0)</f>
        <v>0</v>
      </c>
      <c r="K28241" s="21" t="n">
        <f aca="false">IF(K28178=Assumptions!$K$59,1,0)</f>
        <v>0</v>
      </c>
    </row>
    <row r="28243" customFormat="false" ht="15" hidden="false" customHeight="false" outlineLevel="0" collapsed="false">
      <c r="A28243" s="3" t="s">
        <v>331</v>
      </c>
      <c r="G28243" s="31" t="n">
        <f aca="false">IF(Assumptions!$I$59=1,MAX(G28204,Assumptions!$G$59)+Assumptions!$F$59+$C$28205,Assumptions!$E$59)</f>
        <v>0.0731</v>
      </c>
      <c r="H28243" s="31" t="n">
        <f aca="false">IF(G28526=1,$C$28206,IF(Assumptions!$I$59=1,MAX(H28204,Assumptions!$G$59)+Assumptions!$F$59+$C$28205,Assumptions!$E$59))</f>
        <v>0.0731</v>
      </c>
      <c r="I28243" s="31" t="n">
        <f aca="false">IF(H28526=1,$C$28206,IF(Assumptions!$I$59=1,MAX(I28204,Assumptions!$G$59)+Assumptions!$F$59+$C$28205,Assumptions!$E$59))</f>
        <v>0.0731</v>
      </c>
      <c r="J28243" s="31" t="n">
        <f aca="false">IF(I28526=1,$C$28206,IF(Assumptions!$I$59=1,MAX(J28204,Assumptions!$G$59)+Assumptions!$F$59+$C$28205,Assumptions!$E$59))</f>
        <v>0.0731</v>
      </c>
      <c r="K28243" s="31" t="n">
        <f aca="false">IF(J28526=1,$C$28206,IF(Assumptions!$I$59=1,MAX(K28204,Assumptions!$G$59)+Assumptions!$F$59+$C$28205,Assumptions!$E$59))</f>
        <v>0.0731</v>
      </c>
    </row>
    <row r="28244" customFormat="false" ht="15" hidden="false" customHeight="false" outlineLevel="0" collapsed="false">
      <c r="A28244" s="3" t="s">
        <v>332</v>
      </c>
      <c r="G28244" s="16" t="n">
        <f aca="false">G28240*G28243</f>
        <v>4.1903844</v>
      </c>
      <c r="H28244" s="16" t="n">
        <f aca="false">H28240*H28243</f>
        <v>4.1903844</v>
      </c>
      <c r="I28244" s="16" t="n">
        <f aca="false">I28240*I28243</f>
        <v>4.1903844</v>
      </c>
      <c r="J28244" s="16" t="n">
        <f aca="false">J28240*J28243</f>
        <v>4.1903844</v>
      </c>
      <c r="K28244" s="16" t="n">
        <f aca="false">K28240*K28243</f>
        <v>4.1903844</v>
      </c>
    </row>
    <row r="28245" customFormat="false" ht="15" hidden="false" customHeight="false" outlineLevel="0" collapsed="false">
      <c r="A28245" s="3" t="s">
        <v>333</v>
      </c>
      <c r="G28245" s="16" t="n">
        <f aca="false">G28240*Assumptions!$H$59</f>
        <v>0</v>
      </c>
      <c r="H28245" s="16" t="n">
        <f aca="false">H28240*Assumptions!$H$59</f>
        <v>0</v>
      </c>
      <c r="I28245" s="16" t="n">
        <f aca="false">I28240*Assumptions!$H$59</f>
        <v>0</v>
      </c>
      <c r="J28245" s="16" t="n">
        <f aca="false">J28240*Assumptions!$H$59</f>
        <v>0</v>
      </c>
      <c r="K28245" s="16" t="n">
        <f aca="false">K28240*Assumptions!$H$59</f>
        <v>0</v>
      </c>
    </row>
    <row r="28246" customFormat="false" ht="15" hidden="false" customHeight="false" outlineLevel="0" collapsed="false">
      <c r="A28246" s="3" t="s">
        <v>334</v>
      </c>
      <c r="G28246" s="16" t="n">
        <f aca="false">MIN(G28240,Assumptions!$L$59*Assumptions!$C$59)</f>
        <v>0</v>
      </c>
      <c r="H28246" s="16" t="n">
        <f aca="false">MIN(H28240,Assumptions!$L$59*Assumptions!$C$59)</f>
        <v>0</v>
      </c>
      <c r="I28246" s="16" t="n">
        <f aca="false">MIN(I28240,Assumptions!$L$59*Assumptions!$C$59)</f>
        <v>0</v>
      </c>
      <c r="J28246" s="16" t="n">
        <f aca="false">MIN(J28240,Assumptions!$L$59*Assumptions!$C$59)</f>
        <v>0</v>
      </c>
      <c r="K28246" s="16" t="n">
        <f aca="false">MIN(K28240,Assumptions!$L$59*Assumptions!$C$59)</f>
        <v>0</v>
      </c>
    </row>
    <row r="28247" customFormat="false" ht="15" hidden="false" customHeight="false" outlineLevel="0" collapsed="false">
      <c r="A28247" s="3" t="s">
        <v>335</v>
      </c>
      <c r="G28247" s="16" t="n">
        <f aca="false">IF(AND(Assumptions!$P$59=1,G28178&lt;Assumptions!$K$59),MIN(MAX(0,-G28394),MAX(0,Assumptions!$D$59-G28240)),0)</f>
        <v>0</v>
      </c>
      <c r="H28247" s="16" t="n">
        <f aca="false">IF(AND(Assumptions!$P$59=1,OR(H28178&lt;Assumptions!$K$59,G28526=1)),MIN(MAX(0,-H28394),MAX(0,Assumptions!$D$59-H28240)),0)</f>
        <v>0</v>
      </c>
      <c r="I28247" s="16" t="n">
        <f aca="false">IF(AND(Assumptions!$P$59=1,OR(I28178&lt;Assumptions!$K$59,H28526=1)),MIN(MAX(0,-I28394),MAX(0,Assumptions!$D$59-I28240)),0)</f>
        <v>0</v>
      </c>
      <c r="J28247" s="16" t="n">
        <f aca="false">IF(AND(Assumptions!$P$59=1,OR(J28178&lt;Assumptions!$K$59,I28526=1)),MIN(MAX(0,-J28394),MAX(0,Assumptions!$D$59-J28240)),0)</f>
        <v>0</v>
      </c>
      <c r="K28247" s="16" t="n">
        <f aca="false">IF(AND(Assumptions!$P$59=1,OR(K28178&lt;Assumptions!$K$59,J28526=1)),MIN(MAX(0,-K28394),MAX(0,Assumptions!$D$59-K28240)),0)</f>
        <v>0</v>
      </c>
    </row>
    <row r="28248" customFormat="false" ht="15" hidden="false" customHeight="false" outlineLevel="0" collapsed="false">
      <c r="A28248" s="3" t="s">
        <v>336</v>
      </c>
      <c r="G28248" s="16" t="n">
        <f aca="false">G28241*MIN(G28240-G28246+G28245,MAX(0,G28396-Assumptions!$C$12*G28212-G28222-G28235))</f>
        <v>0</v>
      </c>
      <c r="H28248" s="16" t="n">
        <f aca="false">H28241*MIN(H28240-H28246+H28245,MAX(0,H28396-Assumptions!$C$12*H28212-H28222-H28235))</f>
        <v>0</v>
      </c>
      <c r="I28248" s="16" t="n">
        <f aca="false">I28241*MIN(I28240-I28246+I28245,MAX(0,I28396-Assumptions!$C$12*I28212-I28222-I28235))</f>
        <v>0</v>
      </c>
      <c r="J28248" s="16" t="n">
        <f aca="false">J28241*MIN(J28240-J28246+J28245,MAX(0,J28396-Assumptions!$C$12*J28212-J28222-J28235))</f>
        <v>0</v>
      </c>
      <c r="K28248" s="16" t="n">
        <f aca="false">K28241*MIN(K28240-K28246+K28245,MAX(0,K28396-Assumptions!$C$12*K28212-K28222-K28235))</f>
        <v>0</v>
      </c>
    </row>
    <row r="28249" customFormat="false" ht="15" hidden="false" customHeight="false" outlineLevel="0" collapsed="false">
      <c r="A28249" s="3" t="s">
        <v>337</v>
      </c>
      <c r="G28249" s="16" t="n">
        <f aca="false">Assumptions!$N$59*MIN(G28240+G28247+G28245-G28246-G28248,MAX(0,G28400-G28223-G28236))</f>
        <v>0</v>
      </c>
      <c r="H28249" s="16" t="n">
        <f aca="false">Assumptions!$N$59*MIN(H28240+H28247+H28245-H28246-H28248,MAX(0,H28400-H28223-H28236))</f>
        <v>0</v>
      </c>
      <c r="I28249" s="16" t="n">
        <f aca="false">Assumptions!$N$59*MIN(I28240+I28247+I28245-I28246-I28248,MAX(0,I28400-I28223-I28236))</f>
        <v>0</v>
      </c>
      <c r="J28249" s="16" t="n">
        <f aca="false">Assumptions!$N$59*MIN(J28240+J28247+J28245-J28246-J28248,MAX(0,J28400-J28223-J28236))</f>
        <v>0</v>
      </c>
      <c r="K28249" s="16" t="n">
        <f aca="false">Assumptions!$N$59*MIN(K28240+K28247+K28245-K28246-K28248,MAX(0,K28400-K28223-K28236))</f>
        <v>0</v>
      </c>
    </row>
    <row r="28250" customFormat="false" ht="15" hidden="false" customHeight="false" outlineLevel="0" collapsed="false">
      <c r="A28250" s="3" t="s">
        <v>338</v>
      </c>
      <c r="G28250" s="16" t="n">
        <f aca="false">G28241*(1-G28212)*(G28240-G28246+G28245-G28248)</f>
        <v>0</v>
      </c>
      <c r="H28250" s="16" t="n">
        <f aca="false">H28241*(1-H28212)*(H28240-H28246+H28245-H28248)</f>
        <v>0</v>
      </c>
      <c r="I28250" s="16" t="n">
        <f aca="false">I28241*(1-I28212)*(I28240-I28246+I28245-I28248)</f>
        <v>0</v>
      </c>
      <c r="J28250" s="16" t="n">
        <f aca="false">J28241*(1-J28212)*(J28240-J28246+J28245-J28248)</f>
        <v>0</v>
      </c>
      <c r="K28250" s="16" t="n">
        <f aca="false">K28241*(1-K28212)*(K28240-K28246+K28245-K28248)</f>
        <v>0</v>
      </c>
    </row>
    <row r="28251" customFormat="false" ht="15" hidden="false" customHeight="false" outlineLevel="0" collapsed="false">
      <c r="A28251" s="2" t="s">
        <v>339</v>
      </c>
      <c r="F28251" s="28" t="n">
        <f aca="false">Assumptions!$C$59</f>
        <v>57.324</v>
      </c>
      <c r="G28251" s="17" t="n">
        <f aca="false">G28240+G28247+G28245-G28246-G28248-G28249</f>
        <v>57.324</v>
      </c>
      <c r="H28251" s="17" t="n">
        <f aca="false">H28240+H28247+H28245-H28246-H28248-H28249</f>
        <v>57.324</v>
      </c>
      <c r="I28251" s="17" t="n">
        <f aca="false">I28240+I28247+I28245-I28246-I28248-I28249</f>
        <v>57.324</v>
      </c>
      <c r="J28251" s="17" t="n">
        <f aca="false">J28240+J28247+J28245-J28246-J28248-J28249</f>
        <v>57.324</v>
      </c>
      <c r="K28251" s="17" t="n">
        <f aca="false">K28240+K28247+K28245-K28246-K28248-K28249</f>
        <v>57.324</v>
      </c>
    </row>
    <row r="28252" customFormat="false" ht="15" hidden="false" customHeight="false" outlineLevel="0" collapsed="false">
      <c r="A28252" s="24" t="s">
        <v>342</v>
      </c>
      <c r="B28252" s="25"/>
      <c r="C28252" s="25"/>
      <c r="D28252" s="25"/>
      <c r="E28252" s="25"/>
      <c r="F28252" s="25"/>
      <c r="G28252" s="25"/>
      <c r="H28252" s="25"/>
      <c r="I28252" s="25"/>
      <c r="J28252" s="25"/>
      <c r="K28252" s="25"/>
    </row>
    <row r="28253" customFormat="false" ht="15" hidden="false" customHeight="false" outlineLevel="0" collapsed="false">
      <c r="A28253" s="3" t="s">
        <v>329</v>
      </c>
      <c r="G28253" s="16" t="n">
        <f aca="false">F28264</f>
        <v>0</v>
      </c>
      <c r="H28253" s="16" t="n">
        <f aca="false">G28264</f>
        <v>0</v>
      </c>
      <c r="I28253" s="16" t="n">
        <f aca="false">H28264</f>
        <v>0</v>
      </c>
      <c r="J28253" s="16" t="n">
        <f aca="false">I28264</f>
        <v>0</v>
      </c>
      <c r="K28253" s="16" t="n">
        <f aca="false">J28264</f>
        <v>0</v>
      </c>
    </row>
    <row r="28254" customFormat="false" ht="15" hidden="false" customHeight="false" outlineLevel="0" collapsed="false">
      <c r="A28254" s="3" t="s">
        <v>330</v>
      </c>
      <c r="G28254" s="21" t="n">
        <f aca="false">IF(G28178=Assumptions!$K$60,1,0)</f>
        <v>1</v>
      </c>
      <c r="H28254" s="21" t="n">
        <f aca="false">IF(H28178=Assumptions!$K$60,1,0)</f>
        <v>0</v>
      </c>
      <c r="I28254" s="21" t="n">
        <f aca="false">IF(I28178=Assumptions!$K$60,1,0)</f>
        <v>0</v>
      </c>
      <c r="J28254" s="21" t="n">
        <f aca="false">IF(J28178=Assumptions!$K$60,1,0)</f>
        <v>0</v>
      </c>
      <c r="K28254" s="21" t="n">
        <f aca="false">IF(K28178=Assumptions!$K$60,1,0)</f>
        <v>0</v>
      </c>
    </row>
    <row r="28256" customFormat="false" ht="15" hidden="false" customHeight="false" outlineLevel="0" collapsed="false">
      <c r="A28256" s="3" t="s">
        <v>331</v>
      </c>
      <c r="G28256" s="31" t="n">
        <f aca="false">IF(Assumptions!$I$60=1,MAX(G28204,Assumptions!$G$60)+Assumptions!$F$60+$C$28205,Assumptions!$E$60)</f>
        <v>0.074</v>
      </c>
      <c r="H28256" s="31" t="n">
        <f aca="false">IF(G28527=1,$C$28206,IF(Assumptions!$I$60=1,MAX(H28204,Assumptions!$G$60)+Assumptions!$F$60+$C$28205,Assumptions!$E$60))</f>
        <v>0.0725</v>
      </c>
      <c r="I28256" s="31" t="n">
        <f aca="false">IF(H28527=1,$C$28206,IF(Assumptions!$I$60=1,MAX(I28204,Assumptions!$G$60)+Assumptions!$F$60+$C$28205,Assumptions!$E$60))</f>
        <v>0.07</v>
      </c>
      <c r="J28256" s="31" t="n">
        <f aca="false">IF(I28527=1,$C$28206,IF(Assumptions!$I$60=1,MAX(J28204,Assumptions!$G$60)+Assumptions!$F$60+$C$28205,Assumptions!$E$60))</f>
        <v>0.07</v>
      </c>
      <c r="K28256" s="31" t="n">
        <f aca="false">IF(J28527=1,$C$28206,IF(Assumptions!$I$60=1,MAX(K28204,Assumptions!$G$60)+Assumptions!$F$60+$C$28205,Assumptions!$E$60))</f>
        <v>0.07</v>
      </c>
    </row>
    <row r="28257" customFormat="false" ht="15" hidden="false" customHeight="false" outlineLevel="0" collapsed="false">
      <c r="A28257" s="3" t="s">
        <v>332</v>
      </c>
      <c r="G28257" s="16" t="n">
        <f aca="false">G28253*G28256</f>
        <v>0</v>
      </c>
      <c r="H28257" s="16" t="n">
        <f aca="false">H28253*H28256</f>
        <v>0</v>
      </c>
      <c r="I28257" s="16" t="n">
        <f aca="false">I28253*I28256</f>
        <v>0</v>
      </c>
      <c r="J28257" s="16" t="n">
        <f aca="false">J28253*J28256</f>
        <v>0</v>
      </c>
      <c r="K28257" s="16" t="n">
        <f aca="false">K28253*K28256</f>
        <v>0</v>
      </c>
    </row>
    <row r="28258" customFormat="false" ht="15" hidden="false" customHeight="false" outlineLevel="0" collapsed="false">
      <c r="A28258" s="3" t="s">
        <v>333</v>
      </c>
      <c r="G28258" s="16" t="n">
        <f aca="false">G28253*Assumptions!$H$60</f>
        <v>0</v>
      </c>
      <c r="H28258" s="16" t="n">
        <f aca="false">H28253*Assumptions!$H$60</f>
        <v>0</v>
      </c>
      <c r="I28258" s="16" t="n">
        <f aca="false">I28253*Assumptions!$H$60</f>
        <v>0</v>
      </c>
      <c r="J28258" s="16" t="n">
        <f aca="false">J28253*Assumptions!$H$60</f>
        <v>0</v>
      </c>
      <c r="K28258" s="16" t="n">
        <f aca="false">K28253*Assumptions!$H$60</f>
        <v>0</v>
      </c>
    </row>
    <row r="28259" customFormat="false" ht="15" hidden="false" customHeight="false" outlineLevel="0" collapsed="false">
      <c r="A28259" s="3" t="s">
        <v>334</v>
      </c>
      <c r="G28259" s="16" t="n">
        <f aca="false">MIN(G28253,Assumptions!$L$60*Assumptions!$C$60)</f>
        <v>0</v>
      </c>
      <c r="H28259" s="16" t="n">
        <f aca="false">MIN(H28253,Assumptions!$L$60*Assumptions!$C$60)</f>
        <v>0</v>
      </c>
      <c r="I28259" s="16" t="n">
        <f aca="false">MIN(I28253,Assumptions!$L$60*Assumptions!$C$60)</f>
        <v>0</v>
      </c>
      <c r="J28259" s="16" t="n">
        <f aca="false">MIN(J28253,Assumptions!$L$60*Assumptions!$C$60)</f>
        <v>0</v>
      </c>
      <c r="K28259" s="16" t="n">
        <f aca="false">MIN(K28253,Assumptions!$L$60*Assumptions!$C$60)</f>
        <v>0</v>
      </c>
    </row>
    <row r="28260" customFormat="false" ht="15" hidden="false" customHeight="false" outlineLevel="0" collapsed="false">
      <c r="A28260" s="3" t="s">
        <v>335</v>
      </c>
      <c r="G28260" s="16" t="n">
        <f aca="false">IF(AND(Assumptions!$P$60=1,G28178&lt;Assumptions!$K$60),MIN(MAX(0,-G28394),MAX(0,Assumptions!$D$60-G28253)),0)</f>
        <v>0</v>
      </c>
      <c r="H28260" s="16" t="n">
        <f aca="false">IF(AND(Assumptions!$P$60=1,OR(H28178&lt;Assumptions!$K$60,G28527=1)),MIN(MAX(0,-H28394),MAX(0,Assumptions!$D$60-H28253)),0)</f>
        <v>0</v>
      </c>
      <c r="I28260" s="16" t="n">
        <f aca="false">IF(AND(Assumptions!$P$60=1,OR(I28178&lt;Assumptions!$K$60,H28527=1)),MIN(MAX(0,-I28394),MAX(0,Assumptions!$D$60-I28253)),0)</f>
        <v>0</v>
      </c>
      <c r="J28260" s="16" t="n">
        <f aca="false">IF(AND(Assumptions!$P$60=1,OR(J28178&lt;Assumptions!$K$60,I28527=1)),MIN(MAX(0,-J28394),MAX(0,Assumptions!$D$60-J28253)),0)</f>
        <v>0</v>
      </c>
      <c r="K28260" s="16" t="n">
        <f aca="false">IF(AND(Assumptions!$P$60=1,OR(K28178&lt;Assumptions!$K$60,J28527=1)),MIN(MAX(0,-K28394),MAX(0,Assumptions!$D$60-K28253)),0)</f>
        <v>0</v>
      </c>
    </row>
    <row r="28261" customFormat="false" ht="15" hidden="false" customHeight="false" outlineLevel="0" collapsed="false">
      <c r="A28261" s="3" t="s">
        <v>336</v>
      </c>
      <c r="G28261" s="16" t="n">
        <f aca="false">G28254*MIN(G28253-G28259+G28258,MAX(0,G28396-Assumptions!$C$12*G28212-G28222-G28235-G28248))</f>
        <v>0</v>
      </c>
      <c r="H28261" s="16" t="n">
        <f aca="false">H28254*MIN(H28253-H28259+H28258,MAX(0,H28396-Assumptions!$C$12*H28212-H28222-H28235-H28248))</f>
        <v>0</v>
      </c>
      <c r="I28261" s="16" t="n">
        <f aca="false">I28254*MIN(I28253-I28259+I28258,MAX(0,I28396-Assumptions!$C$12*I28212-I28222-I28235-I28248))</f>
        <v>0</v>
      </c>
      <c r="J28261" s="16" t="n">
        <f aca="false">J28254*MIN(J28253-J28259+J28258,MAX(0,J28396-Assumptions!$C$12*J28212-J28222-J28235-J28248))</f>
        <v>0</v>
      </c>
      <c r="K28261" s="16" t="n">
        <f aca="false">K28254*MIN(K28253-K28259+K28258,MAX(0,K28396-Assumptions!$C$12*K28212-K28222-K28235-K28248))</f>
        <v>0</v>
      </c>
    </row>
    <row r="28262" customFormat="false" ht="15" hidden="false" customHeight="false" outlineLevel="0" collapsed="false">
      <c r="A28262" s="3" t="s">
        <v>337</v>
      </c>
      <c r="G28262" s="16" t="n">
        <f aca="false">Assumptions!$N$60*MIN(G28253+G28260+G28258-G28259-G28261,MAX(0,G28400-G28223-G28236-G28249))</f>
        <v>0</v>
      </c>
      <c r="H28262" s="16" t="n">
        <f aca="false">Assumptions!$N$60*MIN(H28253+H28260+H28258-H28259-H28261,MAX(0,H28400-H28223-H28236-H28249))</f>
        <v>0</v>
      </c>
      <c r="I28262" s="16" t="n">
        <f aca="false">Assumptions!$N$60*MIN(I28253+I28260+I28258-I28259-I28261,MAX(0,I28400-I28223-I28236-I28249))</f>
        <v>0</v>
      </c>
      <c r="J28262" s="16" t="n">
        <f aca="false">Assumptions!$N$60*MIN(J28253+J28260+J28258-J28259-J28261,MAX(0,J28400-J28223-J28236-J28249))</f>
        <v>0</v>
      </c>
      <c r="K28262" s="16" t="n">
        <f aca="false">Assumptions!$N$60*MIN(K28253+K28260+K28258-K28259-K28261,MAX(0,K28400-K28223-K28236-K28249))</f>
        <v>0</v>
      </c>
    </row>
    <row r="28263" customFormat="false" ht="15" hidden="false" customHeight="false" outlineLevel="0" collapsed="false">
      <c r="A28263" s="3" t="s">
        <v>338</v>
      </c>
      <c r="G28263" s="16" t="n">
        <f aca="false">G28254*(1-G28212)*(G28253-G28259+G28258-G28261)</f>
        <v>0</v>
      </c>
      <c r="H28263" s="16" t="n">
        <f aca="false">H28254*(1-H28212)*(H28253-H28259+H28258-H28261)</f>
        <v>0</v>
      </c>
      <c r="I28263" s="16" t="n">
        <f aca="false">I28254*(1-I28212)*(I28253-I28259+I28258-I28261)</f>
        <v>0</v>
      </c>
      <c r="J28263" s="16" t="n">
        <f aca="false">J28254*(1-J28212)*(J28253-J28259+J28258-J28261)</f>
        <v>0</v>
      </c>
      <c r="K28263" s="16" t="n">
        <f aca="false">K28254*(1-K28212)*(K28253-K28259+K28258-K28261)</f>
        <v>0</v>
      </c>
    </row>
    <row r="28264" customFormat="false" ht="15" hidden="false" customHeight="false" outlineLevel="0" collapsed="false">
      <c r="A28264" s="2" t="s">
        <v>339</v>
      </c>
      <c r="F28264" s="28" t="n">
        <f aca="false">Assumptions!$C$60</f>
        <v>0</v>
      </c>
      <c r="G28264" s="17" t="n">
        <f aca="false">G28253+G28260+G28258-G28259-G28261-G28262</f>
        <v>0</v>
      </c>
      <c r="H28264" s="17" t="n">
        <f aca="false">H28253+H28260+H28258-H28259-H28261-H28262</f>
        <v>0</v>
      </c>
      <c r="I28264" s="17" t="n">
        <f aca="false">I28253+I28260+I28258-I28259-I28261-I28262</f>
        <v>0</v>
      </c>
      <c r="J28264" s="17" t="n">
        <f aca="false">J28253+J28260+J28258-J28259-J28261-J28262</f>
        <v>0</v>
      </c>
      <c r="K28264" s="17" t="n">
        <f aca="false">K28253+K28260+K28258-K28259-K28261-K28262</f>
        <v>0</v>
      </c>
    </row>
    <row r="28265" customFormat="false" ht="15" hidden="false" customHeight="false" outlineLevel="0" collapsed="false">
      <c r="A28265" s="24" t="s">
        <v>343</v>
      </c>
      <c r="B28265" s="25"/>
      <c r="C28265" s="25"/>
      <c r="D28265" s="25"/>
      <c r="E28265" s="25"/>
      <c r="F28265" s="25"/>
      <c r="G28265" s="25"/>
      <c r="H28265" s="25"/>
      <c r="I28265" s="25"/>
      <c r="J28265" s="25"/>
      <c r="K28265" s="25"/>
    </row>
    <row r="28266" customFormat="false" ht="15" hidden="false" customHeight="false" outlineLevel="0" collapsed="false">
      <c r="A28266" s="3" t="s">
        <v>329</v>
      </c>
      <c r="G28266" s="16" t="n">
        <f aca="false">F28277</f>
        <v>450</v>
      </c>
      <c r="H28266" s="16" t="n">
        <f aca="false">G28277</f>
        <v>450</v>
      </c>
      <c r="I28266" s="16" t="n">
        <f aca="false">H28277</f>
        <v>425.4225587</v>
      </c>
      <c r="J28266" s="16" t="n">
        <f aca="false">I28277</f>
        <v>425.4225587</v>
      </c>
      <c r="K28266" s="16" t="n">
        <f aca="false">J28277</f>
        <v>425.4225587</v>
      </c>
    </row>
    <row r="28267" customFormat="false" ht="15" hidden="false" customHeight="false" outlineLevel="0" collapsed="false">
      <c r="A28267" s="3" t="s">
        <v>330</v>
      </c>
      <c r="G28267" s="21" t="n">
        <f aca="false">IF(G28178=Assumptions!$K$61,1,0)</f>
        <v>0</v>
      </c>
      <c r="H28267" s="21" t="n">
        <f aca="false">IF(H28178=Assumptions!$K$61,1,0)</f>
        <v>1</v>
      </c>
      <c r="I28267" s="21" t="n">
        <f aca="false">IF(I28178=Assumptions!$K$61,1,0)</f>
        <v>0</v>
      </c>
      <c r="J28267" s="21" t="n">
        <f aca="false">IF(J28178=Assumptions!$K$61,1,0)</f>
        <v>0</v>
      </c>
      <c r="K28267" s="21" t="n">
        <f aca="false">IF(K28178=Assumptions!$K$61,1,0)</f>
        <v>0</v>
      </c>
    </row>
    <row r="28269" customFormat="false" ht="15" hidden="false" customHeight="false" outlineLevel="0" collapsed="false">
      <c r="A28269" s="3" t="s">
        <v>331</v>
      </c>
      <c r="G28269" s="31" t="n">
        <f aca="false">IF(Assumptions!$I$61=1,MAX(G28204,Assumptions!$G$61)+Assumptions!$F$61+$C$28205,Assumptions!$E$61)</f>
        <v>0.0395</v>
      </c>
      <c r="H28269" s="31" t="n">
        <f aca="false">IF(G28528=1,$C$28206,IF(Assumptions!$I$61=1,MAX(H28204,Assumptions!$G$61)+Assumptions!$F$61+$C$28205,Assumptions!$E$61))</f>
        <v>0.0395</v>
      </c>
      <c r="I28269" s="31" t="n">
        <f aca="false">IF(H28528=1,$C$28206,IF(Assumptions!$I$61=1,MAX(I28204,Assumptions!$G$61)+Assumptions!$F$61+$C$28205,Assumptions!$E$61))</f>
        <v>0.0395</v>
      </c>
      <c r="J28269" s="31" t="n">
        <f aca="false">IF(I28528=1,$C$28206,IF(Assumptions!$I$61=1,MAX(J28204,Assumptions!$G$61)+Assumptions!$F$61+$C$28205,Assumptions!$E$61))</f>
        <v>0.0395</v>
      </c>
      <c r="K28269" s="31" t="n">
        <f aca="false">IF(J28528=1,$C$28206,IF(Assumptions!$I$61=1,MAX(K28204,Assumptions!$G$61)+Assumptions!$F$61+$C$28205,Assumptions!$E$61))</f>
        <v>0.0395</v>
      </c>
    </row>
    <row r="28270" customFormat="false" ht="15" hidden="false" customHeight="false" outlineLevel="0" collapsed="false">
      <c r="A28270" s="3" t="s">
        <v>332</v>
      </c>
      <c r="G28270" s="16" t="n">
        <f aca="false">G28266*G28269</f>
        <v>17.775</v>
      </c>
      <c r="H28270" s="16" t="n">
        <f aca="false">H28266*H28269</f>
        <v>17.775</v>
      </c>
      <c r="I28270" s="16" t="n">
        <f aca="false">I28266*I28269</f>
        <v>16.80419106865</v>
      </c>
      <c r="J28270" s="16" t="n">
        <f aca="false">J28266*J28269</f>
        <v>16.80419106865</v>
      </c>
      <c r="K28270" s="16" t="n">
        <f aca="false">K28266*K28269</f>
        <v>16.80419106865</v>
      </c>
    </row>
    <row r="28271" customFormat="false" ht="15" hidden="false" customHeight="false" outlineLevel="0" collapsed="false">
      <c r="A28271" s="3" t="s">
        <v>333</v>
      </c>
      <c r="G28271" s="16" t="n">
        <f aca="false">G28266*Assumptions!$H$61</f>
        <v>0</v>
      </c>
      <c r="H28271" s="16" t="n">
        <f aca="false">H28266*Assumptions!$H$61</f>
        <v>0</v>
      </c>
      <c r="I28271" s="16" t="n">
        <f aca="false">I28266*Assumptions!$H$61</f>
        <v>0</v>
      </c>
      <c r="J28271" s="16" t="n">
        <f aca="false">J28266*Assumptions!$H$61</f>
        <v>0</v>
      </c>
      <c r="K28271" s="16" t="n">
        <f aca="false">K28266*Assumptions!$H$61</f>
        <v>0</v>
      </c>
    </row>
    <row r="28272" customFormat="false" ht="15" hidden="false" customHeight="false" outlineLevel="0" collapsed="false">
      <c r="A28272" s="3" t="s">
        <v>334</v>
      </c>
      <c r="G28272" s="16" t="n">
        <f aca="false">MIN(G28266,Assumptions!$L$61*Assumptions!$C$61)</f>
        <v>0</v>
      </c>
      <c r="H28272" s="16" t="n">
        <f aca="false">MIN(H28266,Assumptions!$L$61*Assumptions!$C$61)</f>
        <v>0</v>
      </c>
      <c r="I28272" s="16" t="n">
        <f aca="false">MIN(I28266,Assumptions!$L$61*Assumptions!$C$61)</f>
        <v>0</v>
      </c>
      <c r="J28272" s="16" t="n">
        <f aca="false">MIN(J28266,Assumptions!$L$61*Assumptions!$C$61)</f>
        <v>0</v>
      </c>
      <c r="K28272" s="16" t="n">
        <f aca="false">MIN(K28266,Assumptions!$L$61*Assumptions!$C$61)</f>
        <v>0</v>
      </c>
    </row>
    <row r="28273" customFormat="false" ht="15" hidden="false" customHeight="false" outlineLevel="0" collapsed="false">
      <c r="A28273" s="3" t="s">
        <v>335</v>
      </c>
      <c r="G28273" s="16" t="n">
        <f aca="false">IF(AND(Assumptions!$P$61=1,G28178&lt;Assumptions!$K$61),MIN(MAX(0,-G28394),MAX(0,Assumptions!$D$61-G28266)),0)</f>
        <v>0</v>
      </c>
      <c r="H28273" s="16" t="n">
        <f aca="false">IF(AND(Assumptions!$P$61=1,OR(H28178&lt;Assumptions!$K$61,G28528=1)),MIN(MAX(0,-H28394),MAX(0,Assumptions!$D$61-H28266)),0)</f>
        <v>0</v>
      </c>
      <c r="I28273" s="16" t="n">
        <f aca="false">IF(AND(Assumptions!$P$61=1,OR(I28178&lt;Assumptions!$K$61,H28528=1)),MIN(MAX(0,-I28394),MAX(0,Assumptions!$D$61-I28266)),0)</f>
        <v>0</v>
      </c>
      <c r="J28273" s="16" t="n">
        <f aca="false">IF(AND(Assumptions!$P$61=1,OR(J28178&lt;Assumptions!$K$61,I28528=1)),MIN(MAX(0,-J28394),MAX(0,Assumptions!$D$61-J28266)),0)</f>
        <v>0</v>
      </c>
      <c r="K28273" s="16" t="n">
        <f aca="false">IF(AND(Assumptions!$P$61=1,OR(K28178&lt;Assumptions!$K$61,J28528=1)),MIN(MAX(0,-K28394),MAX(0,Assumptions!$D$61-K28266)),0)</f>
        <v>0</v>
      </c>
    </row>
    <row r="28274" customFormat="false" ht="15" hidden="false" customHeight="false" outlineLevel="0" collapsed="false">
      <c r="A28274" s="3" t="s">
        <v>336</v>
      </c>
      <c r="G28274" s="16" t="n">
        <f aca="false">G28267*MIN(G28266-G28272+G28271,MAX(0,G28396-Assumptions!$C$12*G28212-G28222-G28235-G28248-G28261))</f>
        <v>0</v>
      </c>
      <c r="H28274" s="16" t="n">
        <f aca="false">H28267*MIN(H28266-H28272+H28271,MAX(0,H28396-Assumptions!$C$12*H28212-H28222-H28235-H28248-H28261))</f>
        <v>24.5774413000001</v>
      </c>
      <c r="I28274" s="16" t="n">
        <f aca="false">I28267*MIN(I28266-I28272+I28271,MAX(0,I28396-Assumptions!$C$12*I28212-I28222-I28235-I28248-I28261))</f>
        <v>0</v>
      </c>
      <c r="J28274" s="16" t="n">
        <f aca="false">J28267*MIN(J28266-J28272+J28271,MAX(0,J28396-Assumptions!$C$12*J28212-J28222-J28235-J28248-J28261))</f>
        <v>0</v>
      </c>
      <c r="K28274" s="16" t="n">
        <f aca="false">K28267*MIN(K28266-K28272+K28271,MAX(0,K28396-Assumptions!$C$12*K28212-K28222-K28235-K28248-K28261))</f>
        <v>0</v>
      </c>
    </row>
    <row r="28275" customFormat="false" ht="15" hidden="false" customHeight="false" outlineLevel="0" collapsed="false">
      <c r="A28275" s="3" t="s">
        <v>337</v>
      </c>
      <c r="G28275" s="16" t="n">
        <f aca="false">Assumptions!$N$61*MIN(G28266+G28273+G28271-G28272-G28274,MAX(0,G28400-G28223-G28236-G28249-G28262))</f>
        <v>0</v>
      </c>
      <c r="H28275" s="16" t="n">
        <f aca="false">Assumptions!$N$61*MIN(H28266+H28273+H28271-H28272-H28274,MAX(0,H28400-H28223-H28236-H28249-H28262))</f>
        <v>0</v>
      </c>
      <c r="I28275" s="16" t="n">
        <f aca="false">Assumptions!$N$61*MIN(I28266+I28273+I28271-I28272-I28274,MAX(0,I28400-I28223-I28236-I28249-I28262))</f>
        <v>0</v>
      </c>
      <c r="J28275" s="16" t="n">
        <f aca="false">Assumptions!$N$61*MIN(J28266+J28273+J28271-J28272-J28274,MAX(0,J28400-J28223-J28236-J28249-J28262))</f>
        <v>0</v>
      </c>
      <c r="K28275" s="16" t="n">
        <f aca="false">Assumptions!$N$61*MIN(K28266+K28273+K28271-K28272-K28274,MAX(0,K28400-K28223-K28236-K28249-K28262))</f>
        <v>0</v>
      </c>
    </row>
    <row r="28276" customFormat="false" ht="15" hidden="false" customHeight="false" outlineLevel="0" collapsed="false">
      <c r="A28276" s="3" t="s">
        <v>338</v>
      </c>
      <c r="G28276" s="16" t="n">
        <f aca="false">G28267*(1-G28212)*(G28266-G28272+G28271-G28274)</f>
        <v>0</v>
      </c>
      <c r="H28276" s="16" t="n">
        <f aca="false">H28267*(1-H28212)*(H28266-H28272+H28271-H28274)</f>
        <v>425.4225587</v>
      </c>
      <c r="I28276" s="16" t="n">
        <f aca="false">I28267*(1-I28212)*(I28266-I28272+I28271-I28274)</f>
        <v>0</v>
      </c>
      <c r="J28276" s="16" t="n">
        <f aca="false">J28267*(1-J28212)*(J28266-J28272+J28271-J28274)</f>
        <v>0</v>
      </c>
      <c r="K28276" s="16" t="n">
        <f aca="false">K28267*(1-K28212)*(K28266-K28272+K28271-K28274)</f>
        <v>0</v>
      </c>
    </row>
    <row r="28277" customFormat="false" ht="15" hidden="false" customHeight="false" outlineLevel="0" collapsed="false">
      <c r="A28277" s="2" t="s">
        <v>339</v>
      </c>
      <c r="F28277" s="28" t="n">
        <f aca="false">Assumptions!$C$61</f>
        <v>450</v>
      </c>
      <c r="G28277" s="17" t="n">
        <f aca="false">G28266+G28273+G28271-G28272-G28274-G28275</f>
        <v>450</v>
      </c>
      <c r="H28277" s="17" t="n">
        <f aca="false">H28266+H28273+H28271-H28272-H28274-H28275</f>
        <v>425.4225587</v>
      </c>
      <c r="I28277" s="17" t="n">
        <f aca="false">I28266+I28273+I28271-I28272-I28274-I28275</f>
        <v>425.4225587</v>
      </c>
      <c r="J28277" s="17" t="n">
        <f aca="false">J28266+J28273+J28271-J28272-J28274-J28275</f>
        <v>425.4225587</v>
      </c>
      <c r="K28277" s="17" t="n">
        <f aca="false">K28266+K28273+K28271-K28272-K28274-K28275</f>
        <v>425.4225587</v>
      </c>
    </row>
    <row r="28278" customFormat="false" ht="15" hidden="false" customHeight="false" outlineLevel="0" collapsed="false">
      <c r="A28278" s="24" t="s">
        <v>344</v>
      </c>
      <c r="B28278" s="25"/>
      <c r="C28278" s="25"/>
      <c r="D28278" s="25"/>
      <c r="E28278" s="25"/>
      <c r="F28278" s="25"/>
      <c r="G28278" s="25"/>
      <c r="H28278" s="25"/>
      <c r="I28278" s="25"/>
      <c r="J28278" s="25"/>
      <c r="K28278" s="25"/>
    </row>
    <row r="28279" customFormat="false" ht="15" hidden="false" customHeight="false" outlineLevel="0" collapsed="false">
      <c r="A28279" s="3" t="s">
        <v>329</v>
      </c>
      <c r="G28279" s="16" t="n">
        <f aca="false">F28290</f>
        <v>350</v>
      </c>
      <c r="H28279" s="16" t="n">
        <f aca="false">G28290</f>
        <v>350</v>
      </c>
      <c r="I28279" s="16" t="n">
        <f aca="false">H28290</f>
        <v>350</v>
      </c>
      <c r="J28279" s="16" t="n">
        <f aca="false">I28290</f>
        <v>350</v>
      </c>
      <c r="K28279" s="16" t="n">
        <f aca="false">J28290</f>
        <v>350</v>
      </c>
    </row>
    <row r="28280" customFormat="false" ht="15" hidden="false" customHeight="false" outlineLevel="0" collapsed="false">
      <c r="A28280" s="3" t="s">
        <v>330</v>
      </c>
      <c r="G28280" s="21" t="n">
        <f aca="false">IF(G28178=Assumptions!$K$62,1,0)</f>
        <v>0</v>
      </c>
      <c r="H28280" s="21" t="n">
        <f aca="false">IF(H28178=Assumptions!$K$62,1,0)</f>
        <v>1</v>
      </c>
      <c r="I28280" s="21" t="n">
        <f aca="false">IF(I28178=Assumptions!$K$62,1,0)</f>
        <v>0</v>
      </c>
      <c r="J28280" s="21" t="n">
        <f aca="false">IF(J28178=Assumptions!$K$62,1,0)</f>
        <v>0</v>
      </c>
      <c r="K28280" s="21" t="n">
        <f aca="false">IF(K28178=Assumptions!$K$62,1,0)</f>
        <v>0</v>
      </c>
    </row>
    <row r="28282" customFormat="false" ht="15" hidden="false" customHeight="false" outlineLevel="0" collapsed="false">
      <c r="A28282" s="3" t="s">
        <v>331</v>
      </c>
      <c r="G28282" s="31" t="n">
        <f aca="false">IF(Assumptions!$I$62=1,MAX(G28204,Assumptions!$G$62)+Assumptions!$F$62+$C$28205,Assumptions!$E$62)</f>
        <v>0.083</v>
      </c>
      <c r="H28282" s="31" t="n">
        <f aca="false">IF(G28529=1,$C$28206,IF(Assumptions!$I$62=1,MAX(H28204,Assumptions!$G$62)+Assumptions!$F$62+$C$28205,Assumptions!$E$62))</f>
        <v>0.083</v>
      </c>
      <c r="I28282" s="31" t="n">
        <f aca="false">IF(H28529=1,$C$28206,IF(Assumptions!$I$62=1,MAX(I28204,Assumptions!$G$62)+Assumptions!$F$62+$C$28205,Assumptions!$E$62))</f>
        <v>0.083</v>
      </c>
      <c r="J28282" s="31" t="n">
        <f aca="false">IF(I28529=1,$C$28206,IF(Assumptions!$I$62=1,MAX(J28204,Assumptions!$G$62)+Assumptions!$F$62+$C$28205,Assumptions!$E$62))</f>
        <v>0.083</v>
      </c>
      <c r="K28282" s="31" t="n">
        <f aca="false">IF(J28529=1,$C$28206,IF(Assumptions!$I$62=1,MAX(K28204,Assumptions!$G$62)+Assumptions!$F$62+$C$28205,Assumptions!$E$62))</f>
        <v>0.083</v>
      </c>
    </row>
    <row r="28283" customFormat="false" ht="15" hidden="false" customHeight="false" outlineLevel="0" collapsed="false">
      <c r="A28283" s="3" t="s">
        <v>332</v>
      </c>
      <c r="G28283" s="16" t="n">
        <f aca="false">G28279*G28282</f>
        <v>29.05</v>
      </c>
      <c r="H28283" s="16" t="n">
        <f aca="false">H28279*H28282</f>
        <v>29.05</v>
      </c>
      <c r="I28283" s="16" t="n">
        <f aca="false">I28279*I28282</f>
        <v>29.05</v>
      </c>
      <c r="J28283" s="16" t="n">
        <f aca="false">J28279*J28282</f>
        <v>29.05</v>
      </c>
      <c r="K28283" s="16" t="n">
        <f aca="false">K28279*K28282</f>
        <v>29.05</v>
      </c>
    </row>
    <row r="28284" customFormat="false" ht="15" hidden="false" customHeight="false" outlineLevel="0" collapsed="false">
      <c r="A28284" s="3" t="s">
        <v>333</v>
      </c>
      <c r="G28284" s="16" t="n">
        <f aca="false">G28279*Assumptions!$H$62</f>
        <v>0</v>
      </c>
      <c r="H28284" s="16" t="n">
        <f aca="false">H28279*Assumptions!$H$62</f>
        <v>0</v>
      </c>
      <c r="I28284" s="16" t="n">
        <f aca="false">I28279*Assumptions!$H$62</f>
        <v>0</v>
      </c>
      <c r="J28284" s="16" t="n">
        <f aca="false">J28279*Assumptions!$H$62</f>
        <v>0</v>
      </c>
      <c r="K28284" s="16" t="n">
        <f aca="false">K28279*Assumptions!$H$62</f>
        <v>0</v>
      </c>
    </row>
    <row r="28285" customFormat="false" ht="15" hidden="false" customHeight="false" outlineLevel="0" collapsed="false">
      <c r="A28285" s="3" t="s">
        <v>334</v>
      </c>
      <c r="G28285" s="16" t="n">
        <f aca="false">MIN(G28279,Assumptions!$L$62*Assumptions!$C$62)</f>
        <v>0</v>
      </c>
      <c r="H28285" s="16" t="n">
        <f aca="false">MIN(H28279,Assumptions!$L$62*Assumptions!$C$62)</f>
        <v>0</v>
      </c>
      <c r="I28285" s="16" t="n">
        <f aca="false">MIN(I28279,Assumptions!$L$62*Assumptions!$C$62)</f>
        <v>0</v>
      </c>
      <c r="J28285" s="16" t="n">
        <f aca="false">MIN(J28279,Assumptions!$L$62*Assumptions!$C$62)</f>
        <v>0</v>
      </c>
      <c r="K28285" s="16" t="n">
        <f aca="false">MIN(K28279,Assumptions!$L$62*Assumptions!$C$62)</f>
        <v>0</v>
      </c>
    </row>
    <row r="28286" customFormat="false" ht="15" hidden="false" customHeight="false" outlineLevel="0" collapsed="false">
      <c r="A28286" s="3" t="s">
        <v>335</v>
      </c>
      <c r="G28286" s="16" t="n">
        <f aca="false">IF(AND(Assumptions!$P$62=1,G28178&lt;Assumptions!$K$62),MIN(MAX(0,-G28394),MAX(0,Assumptions!$D$62-G28279)),0)</f>
        <v>0</v>
      </c>
      <c r="H28286" s="16" t="n">
        <f aca="false">IF(AND(Assumptions!$P$62=1,OR(H28178&lt;Assumptions!$K$62,G28529=1)),MIN(MAX(0,-H28394),MAX(0,Assumptions!$D$62-H28279)),0)</f>
        <v>0</v>
      </c>
      <c r="I28286" s="16" t="n">
        <f aca="false">IF(AND(Assumptions!$P$62=1,OR(I28178&lt;Assumptions!$K$62,H28529=1)),MIN(MAX(0,-I28394),MAX(0,Assumptions!$D$62-I28279)),0)</f>
        <v>0</v>
      </c>
      <c r="J28286" s="16" t="n">
        <f aca="false">IF(AND(Assumptions!$P$62=1,OR(J28178&lt;Assumptions!$K$62,I28529=1)),MIN(MAX(0,-J28394),MAX(0,Assumptions!$D$62-J28279)),0)</f>
        <v>0</v>
      </c>
      <c r="K28286" s="16" t="n">
        <f aca="false">IF(AND(Assumptions!$P$62=1,OR(K28178&lt;Assumptions!$K$62,J28529=1)),MIN(MAX(0,-K28394),MAX(0,Assumptions!$D$62-K28279)),0)</f>
        <v>0</v>
      </c>
    </row>
    <row r="28287" customFormat="false" ht="15" hidden="false" customHeight="false" outlineLevel="0" collapsed="false">
      <c r="A28287" s="3" t="s">
        <v>336</v>
      </c>
      <c r="G28287" s="16" t="n">
        <f aca="false">G28280*MIN(G28279-G28285+G28284,MAX(0,G28396-Assumptions!$C$12*G28212-G28222-G28235-G28248-G28261-G28274))</f>
        <v>0</v>
      </c>
      <c r="H28287" s="16" t="n">
        <f aca="false">H28280*MIN(H28279-H28285+H28284,MAX(0,H28396-Assumptions!$C$12*H28212-H28222-H28235-H28248-H28261-H28274))</f>
        <v>0</v>
      </c>
      <c r="I28287" s="16" t="n">
        <f aca="false">I28280*MIN(I28279-I28285+I28284,MAX(0,I28396-Assumptions!$C$12*I28212-I28222-I28235-I28248-I28261-I28274))</f>
        <v>0</v>
      </c>
      <c r="J28287" s="16" t="n">
        <f aca="false">J28280*MIN(J28279-J28285+J28284,MAX(0,J28396-Assumptions!$C$12*J28212-J28222-J28235-J28248-J28261-J28274))</f>
        <v>0</v>
      </c>
      <c r="K28287" s="16" t="n">
        <f aca="false">K28280*MIN(K28279-K28285+K28284,MAX(0,K28396-Assumptions!$C$12*K28212-K28222-K28235-K28248-K28261-K28274))</f>
        <v>0</v>
      </c>
    </row>
    <row r="28288" customFormat="false" ht="15" hidden="false" customHeight="false" outlineLevel="0" collapsed="false">
      <c r="A28288" s="3" t="s">
        <v>337</v>
      </c>
      <c r="G28288" s="16" t="n">
        <f aca="false">Assumptions!$N$62*MIN(G28279+G28286+G28284-G28285-G28287,MAX(0,G28400-G28223-G28236-G28249-G28262-G28275))</f>
        <v>0</v>
      </c>
      <c r="H28288" s="16" t="n">
        <f aca="false">Assumptions!$N$62*MIN(H28279+H28286+H28284-H28285-H28287,MAX(0,H28400-H28223-H28236-H28249-H28262-H28275))</f>
        <v>0</v>
      </c>
      <c r="I28288" s="16" t="n">
        <f aca="false">Assumptions!$N$62*MIN(I28279+I28286+I28284-I28285-I28287,MAX(0,I28400-I28223-I28236-I28249-I28262-I28275))</f>
        <v>0</v>
      </c>
      <c r="J28288" s="16" t="n">
        <f aca="false">Assumptions!$N$62*MIN(J28279+J28286+J28284-J28285-J28287,MAX(0,J28400-J28223-J28236-J28249-J28262-J28275))</f>
        <v>0</v>
      </c>
      <c r="K28288" s="16" t="n">
        <f aca="false">Assumptions!$N$62*MIN(K28279+K28286+K28284-K28285-K28287,MAX(0,K28400-K28223-K28236-K28249-K28262-K28275))</f>
        <v>0</v>
      </c>
    </row>
    <row r="28289" customFormat="false" ht="15" hidden="false" customHeight="false" outlineLevel="0" collapsed="false">
      <c r="A28289" s="3" t="s">
        <v>338</v>
      </c>
      <c r="G28289" s="16" t="n">
        <f aca="false">G28280*(1-G28212)*(G28279-G28285+G28284-G28287)</f>
        <v>0</v>
      </c>
      <c r="H28289" s="16" t="n">
        <f aca="false">H28280*(1-H28212)*(H28279-H28285+H28284-H28287)</f>
        <v>350</v>
      </c>
      <c r="I28289" s="16" t="n">
        <f aca="false">I28280*(1-I28212)*(I28279-I28285+I28284-I28287)</f>
        <v>0</v>
      </c>
      <c r="J28289" s="16" t="n">
        <f aca="false">J28280*(1-J28212)*(J28279-J28285+J28284-J28287)</f>
        <v>0</v>
      </c>
      <c r="K28289" s="16" t="n">
        <f aca="false">K28280*(1-K28212)*(K28279-K28285+K28284-K28287)</f>
        <v>0</v>
      </c>
    </row>
    <row r="28290" customFormat="false" ht="15" hidden="false" customHeight="false" outlineLevel="0" collapsed="false">
      <c r="A28290" s="2" t="s">
        <v>339</v>
      </c>
      <c r="F28290" s="28" t="n">
        <f aca="false">Assumptions!$C$62</f>
        <v>350</v>
      </c>
      <c r="G28290" s="17" t="n">
        <f aca="false">G28279+G28286+G28284-G28285-G28287-G28288</f>
        <v>350</v>
      </c>
      <c r="H28290" s="17" t="n">
        <f aca="false">H28279+H28286+H28284-H28285-H28287-H28288</f>
        <v>350</v>
      </c>
      <c r="I28290" s="17" t="n">
        <f aca="false">I28279+I28286+I28284-I28285-I28287-I28288</f>
        <v>350</v>
      </c>
      <c r="J28290" s="17" t="n">
        <f aca="false">J28279+J28286+J28284-J28285-J28287-J28288</f>
        <v>350</v>
      </c>
      <c r="K28290" s="17" t="n">
        <f aca="false">K28279+K28286+K28284-K28285-K28287-K28288</f>
        <v>350</v>
      </c>
    </row>
    <row r="28291" customFormat="false" ht="15" hidden="false" customHeight="false" outlineLevel="0" collapsed="false">
      <c r="A28291" s="24" t="s">
        <v>345</v>
      </c>
      <c r="B28291" s="25"/>
      <c r="C28291" s="25"/>
      <c r="D28291" s="25"/>
      <c r="E28291" s="25"/>
      <c r="F28291" s="25"/>
      <c r="G28291" s="25"/>
      <c r="H28291" s="25"/>
      <c r="I28291" s="25"/>
      <c r="J28291" s="25"/>
      <c r="K28291" s="25"/>
    </row>
    <row r="28292" customFormat="false" ht="15" hidden="false" customHeight="false" outlineLevel="0" collapsed="false">
      <c r="A28292" s="3" t="s">
        <v>329</v>
      </c>
      <c r="G28292" s="16" t="n">
        <f aca="false">F28303</f>
        <v>550</v>
      </c>
      <c r="H28292" s="16" t="n">
        <f aca="false">G28303</f>
        <v>550</v>
      </c>
      <c r="I28292" s="16" t="n">
        <f aca="false">H28303</f>
        <v>550</v>
      </c>
      <c r="J28292" s="16" t="n">
        <f aca="false">I28303</f>
        <v>550</v>
      </c>
      <c r="K28292" s="16" t="n">
        <f aca="false">J28303</f>
        <v>550</v>
      </c>
    </row>
    <row r="28293" customFormat="false" ht="15" hidden="false" customHeight="false" outlineLevel="0" collapsed="false">
      <c r="A28293" s="3" t="s">
        <v>330</v>
      </c>
      <c r="G28293" s="21" t="n">
        <f aca="false">IF(G28178=Assumptions!$K$63,1,0)</f>
        <v>0</v>
      </c>
      <c r="H28293" s="21" t="n">
        <f aca="false">IF(H28178=Assumptions!$K$63,1,0)</f>
        <v>0</v>
      </c>
      <c r="I28293" s="21" t="n">
        <f aca="false">IF(I28178=Assumptions!$K$63,1,0)</f>
        <v>1</v>
      </c>
      <c r="J28293" s="21" t="n">
        <f aca="false">IF(J28178=Assumptions!$K$63,1,0)</f>
        <v>0</v>
      </c>
      <c r="K28293" s="21" t="n">
        <f aca="false">IF(K28178=Assumptions!$K$63,1,0)</f>
        <v>0</v>
      </c>
    </row>
    <row r="28295" customFormat="false" ht="15" hidden="false" customHeight="false" outlineLevel="0" collapsed="false">
      <c r="A28295" s="3" t="s">
        <v>331</v>
      </c>
      <c r="G28295" s="31" t="n">
        <f aca="false">IF(Assumptions!$I$63=1,MAX(G28204,Assumptions!$G$63)+Assumptions!$F$63+$C$28205,Assumptions!$E$63)</f>
        <v>0.08875</v>
      </c>
      <c r="H28295" s="31" t="n">
        <f aca="false">IF(G28530=1,$C$28206,IF(Assumptions!$I$63=1,MAX(H28204,Assumptions!$G$63)+Assumptions!$F$63+$C$28205,Assumptions!$E$63))</f>
        <v>0.08875</v>
      </c>
      <c r="I28295" s="31" t="n">
        <f aca="false">IF(H28530=1,$C$28206,IF(Assumptions!$I$63=1,MAX(I28204,Assumptions!$G$63)+Assumptions!$F$63+$C$28205,Assumptions!$E$63))</f>
        <v>0.08875</v>
      </c>
      <c r="J28295" s="31" t="n">
        <f aca="false">IF(I28530=1,$C$28206,IF(Assumptions!$I$63=1,MAX(J28204,Assumptions!$G$63)+Assumptions!$F$63+$C$28205,Assumptions!$E$63))</f>
        <v>0.08875</v>
      </c>
      <c r="K28295" s="31" t="n">
        <f aca="false">IF(J28530=1,$C$28206,IF(Assumptions!$I$63=1,MAX(K28204,Assumptions!$G$63)+Assumptions!$F$63+$C$28205,Assumptions!$E$63))</f>
        <v>0.08875</v>
      </c>
    </row>
    <row r="28296" customFormat="false" ht="15" hidden="false" customHeight="false" outlineLevel="0" collapsed="false">
      <c r="A28296" s="3" t="s">
        <v>332</v>
      </c>
      <c r="G28296" s="16" t="n">
        <f aca="false">G28292*G28295</f>
        <v>48.8125</v>
      </c>
      <c r="H28296" s="16" t="n">
        <f aca="false">H28292*H28295</f>
        <v>48.8125</v>
      </c>
      <c r="I28296" s="16" t="n">
        <f aca="false">I28292*I28295</f>
        <v>48.8125</v>
      </c>
      <c r="J28296" s="16" t="n">
        <f aca="false">J28292*J28295</f>
        <v>48.8125</v>
      </c>
      <c r="K28296" s="16" t="n">
        <f aca="false">K28292*K28295</f>
        <v>48.8125</v>
      </c>
    </row>
    <row r="28297" customFormat="false" ht="15" hidden="false" customHeight="false" outlineLevel="0" collapsed="false">
      <c r="A28297" s="3" t="s">
        <v>333</v>
      </c>
      <c r="G28297" s="16" t="n">
        <f aca="false">G28292*Assumptions!$H$63</f>
        <v>0</v>
      </c>
      <c r="H28297" s="16" t="n">
        <f aca="false">H28292*Assumptions!$H$63</f>
        <v>0</v>
      </c>
      <c r="I28297" s="16" t="n">
        <f aca="false">I28292*Assumptions!$H$63</f>
        <v>0</v>
      </c>
      <c r="J28297" s="16" t="n">
        <f aca="false">J28292*Assumptions!$H$63</f>
        <v>0</v>
      </c>
      <c r="K28297" s="16" t="n">
        <f aca="false">K28292*Assumptions!$H$63</f>
        <v>0</v>
      </c>
    </row>
    <row r="28298" customFormat="false" ht="15" hidden="false" customHeight="false" outlineLevel="0" collapsed="false">
      <c r="A28298" s="3" t="s">
        <v>334</v>
      </c>
      <c r="G28298" s="16" t="n">
        <f aca="false">MIN(G28292,Assumptions!$L$63*Assumptions!$C$63)</f>
        <v>0</v>
      </c>
      <c r="H28298" s="16" t="n">
        <f aca="false">MIN(H28292,Assumptions!$L$63*Assumptions!$C$63)</f>
        <v>0</v>
      </c>
      <c r="I28298" s="16" t="n">
        <f aca="false">MIN(I28292,Assumptions!$L$63*Assumptions!$C$63)</f>
        <v>0</v>
      </c>
      <c r="J28298" s="16" t="n">
        <f aca="false">MIN(J28292,Assumptions!$L$63*Assumptions!$C$63)</f>
        <v>0</v>
      </c>
      <c r="K28298" s="16" t="n">
        <f aca="false">MIN(K28292,Assumptions!$L$63*Assumptions!$C$63)</f>
        <v>0</v>
      </c>
    </row>
    <row r="28299" customFormat="false" ht="15" hidden="false" customHeight="false" outlineLevel="0" collapsed="false">
      <c r="A28299" s="3" t="s">
        <v>335</v>
      </c>
      <c r="G28299" s="16" t="n">
        <f aca="false">IF(AND(Assumptions!$P$63=1,G28178&lt;Assumptions!$K$63),MIN(MAX(0,-G28394),MAX(0,Assumptions!$D$63-G28292)),0)</f>
        <v>0</v>
      </c>
      <c r="H28299" s="16" t="n">
        <f aca="false">IF(AND(Assumptions!$P$63=1,OR(H28178&lt;Assumptions!$K$63,G28530=1)),MIN(MAX(0,-H28394),MAX(0,Assumptions!$D$63-H28292)),0)</f>
        <v>0</v>
      </c>
      <c r="I28299" s="16" t="n">
        <f aca="false">IF(AND(Assumptions!$P$63=1,OR(I28178&lt;Assumptions!$K$63,H28530=1)),MIN(MAX(0,-I28394),MAX(0,Assumptions!$D$63-I28292)),0)</f>
        <v>0</v>
      </c>
      <c r="J28299" s="16" t="n">
        <f aca="false">IF(AND(Assumptions!$P$63=1,OR(J28178&lt;Assumptions!$K$63,I28530=1)),MIN(MAX(0,-J28394),MAX(0,Assumptions!$D$63-J28292)),0)</f>
        <v>0</v>
      </c>
      <c r="K28299" s="16" t="n">
        <f aca="false">IF(AND(Assumptions!$P$63=1,OR(K28178&lt;Assumptions!$K$63,J28530=1)),MIN(MAX(0,-K28394),MAX(0,Assumptions!$D$63-K28292)),0)</f>
        <v>0</v>
      </c>
    </row>
    <row r="28300" customFormat="false" ht="15" hidden="false" customHeight="false" outlineLevel="0" collapsed="false">
      <c r="A28300" s="3" t="s">
        <v>336</v>
      </c>
      <c r="G28300" s="16" t="n">
        <f aca="false">G28293*MIN(G28292-G28298+G28297,MAX(0,G28396-Assumptions!$C$12*G28212-G28222-G28235-G28248-G28261-G28274-G28287))</f>
        <v>0</v>
      </c>
      <c r="H28300" s="16" t="n">
        <f aca="false">H28293*MIN(H28292-H28298+H28297,MAX(0,H28396-Assumptions!$C$12*H28212-H28222-H28235-H28248-H28261-H28274-H28287))</f>
        <v>0</v>
      </c>
      <c r="I28300" s="16" t="n">
        <f aca="false">I28293*MIN(I28292-I28298+I28297,MAX(0,I28396-Assumptions!$C$12*I28212-I28222-I28235-I28248-I28261-I28274-I28287))</f>
        <v>0</v>
      </c>
      <c r="J28300" s="16" t="n">
        <f aca="false">J28293*MIN(J28292-J28298+J28297,MAX(0,J28396-Assumptions!$C$12*J28212-J28222-J28235-J28248-J28261-J28274-J28287))</f>
        <v>0</v>
      </c>
      <c r="K28300" s="16" t="n">
        <f aca="false">K28293*MIN(K28292-K28298+K28297,MAX(0,K28396-Assumptions!$C$12*K28212-K28222-K28235-K28248-K28261-K28274-K28287))</f>
        <v>0</v>
      </c>
    </row>
    <row r="28301" customFormat="false" ht="15" hidden="false" customHeight="false" outlineLevel="0" collapsed="false">
      <c r="A28301" s="3" t="s">
        <v>337</v>
      </c>
      <c r="G28301" s="16" t="n">
        <f aca="false">Assumptions!$N$63*MIN(G28292+G28299+G28297-G28298-G28300,MAX(0,G28400-G28223-G28236-G28249-G28262-G28275-G28288))</f>
        <v>0</v>
      </c>
      <c r="H28301" s="16" t="n">
        <f aca="false">Assumptions!$N$63*MIN(H28292+H28299+H28297-H28298-H28300,MAX(0,H28400-H28223-H28236-H28249-H28262-H28275-H28288))</f>
        <v>0</v>
      </c>
      <c r="I28301" s="16" t="n">
        <f aca="false">Assumptions!$N$63*MIN(I28292+I28299+I28297-I28298-I28300,MAX(0,I28400-I28223-I28236-I28249-I28262-I28275-I28288))</f>
        <v>0</v>
      </c>
      <c r="J28301" s="16" t="n">
        <f aca="false">Assumptions!$N$63*MIN(J28292+J28299+J28297-J28298-J28300,MAX(0,J28400-J28223-J28236-J28249-J28262-J28275-J28288))</f>
        <v>0</v>
      </c>
      <c r="K28301" s="16" t="n">
        <f aca="false">Assumptions!$N$63*MIN(K28292+K28299+K28297-K28298-K28300,MAX(0,K28400-K28223-K28236-K28249-K28262-K28275-K28288))</f>
        <v>0</v>
      </c>
    </row>
    <row r="28302" customFormat="false" ht="15" hidden="false" customHeight="false" outlineLevel="0" collapsed="false">
      <c r="A28302" s="3" t="s">
        <v>338</v>
      </c>
      <c r="G28302" s="16" t="n">
        <f aca="false">G28293*(1-G28212)*(G28292-G28298+G28297-G28300)</f>
        <v>0</v>
      </c>
      <c r="H28302" s="16" t="n">
        <f aca="false">H28293*(1-H28212)*(H28292-H28298+H28297-H28300)</f>
        <v>0</v>
      </c>
      <c r="I28302" s="16" t="n">
        <f aca="false">I28293*(1-I28212)*(I28292-I28298+I28297-I28300)</f>
        <v>550</v>
      </c>
      <c r="J28302" s="16" t="n">
        <f aca="false">J28293*(1-J28212)*(J28292-J28298+J28297-J28300)</f>
        <v>0</v>
      </c>
      <c r="K28302" s="16" t="n">
        <f aca="false">K28293*(1-K28212)*(K28292-K28298+K28297-K28300)</f>
        <v>0</v>
      </c>
    </row>
    <row r="28303" customFormat="false" ht="15" hidden="false" customHeight="false" outlineLevel="0" collapsed="false">
      <c r="A28303" s="2" t="s">
        <v>339</v>
      </c>
      <c r="F28303" s="28" t="n">
        <f aca="false">Assumptions!$C$63</f>
        <v>550</v>
      </c>
      <c r="G28303" s="17" t="n">
        <f aca="false">G28292+G28299+G28297-G28298-G28300-G28301</f>
        <v>550</v>
      </c>
      <c r="H28303" s="17" t="n">
        <f aca="false">H28292+H28299+H28297-H28298-H28300-H28301</f>
        <v>550</v>
      </c>
      <c r="I28303" s="17" t="n">
        <f aca="false">I28292+I28299+I28297-I28298-I28300-I28301</f>
        <v>550</v>
      </c>
      <c r="J28303" s="17" t="n">
        <f aca="false">J28292+J28299+J28297-J28298-J28300-J28301</f>
        <v>550</v>
      </c>
      <c r="K28303" s="17" t="n">
        <f aca="false">K28292+K28299+K28297-K28298-K28300-K28301</f>
        <v>550</v>
      </c>
    </row>
    <row r="28304" customFormat="false" ht="15" hidden="false" customHeight="false" outlineLevel="0" collapsed="false">
      <c r="A28304" s="24" t="s">
        <v>346</v>
      </c>
      <c r="B28304" s="25"/>
      <c r="C28304" s="25"/>
      <c r="D28304" s="25"/>
      <c r="E28304" s="25"/>
      <c r="F28304" s="25"/>
      <c r="G28304" s="25"/>
      <c r="H28304" s="25"/>
      <c r="I28304" s="25"/>
      <c r="J28304" s="25"/>
      <c r="K28304" s="25"/>
    </row>
    <row r="28305" customFormat="false" ht="15" hidden="false" customHeight="false" outlineLevel="0" collapsed="false">
      <c r="A28305" s="3" t="s">
        <v>329</v>
      </c>
      <c r="G28305" s="16" t="n">
        <f aca="false">F28316</f>
        <v>350</v>
      </c>
      <c r="H28305" s="16" t="n">
        <f aca="false">G28316</f>
        <v>350</v>
      </c>
      <c r="I28305" s="16" t="n">
        <f aca="false">H28316</f>
        <v>350</v>
      </c>
      <c r="J28305" s="16" t="n">
        <f aca="false">I28316</f>
        <v>350</v>
      </c>
      <c r="K28305" s="16" t="n">
        <f aca="false">J28316</f>
        <v>350</v>
      </c>
    </row>
    <row r="28306" customFormat="false" ht="15" hidden="false" customHeight="false" outlineLevel="0" collapsed="false">
      <c r="A28306" s="3" t="s">
        <v>330</v>
      </c>
      <c r="G28306" s="21" t="n">
        <f aca="false">IF(G28178=Assumptions!$K$64,1,0)</f>
        <v>0</v>
      </c>
      <c r="H28306" s="21" t="n">
        <f aca="false">IF(H28178=Assumptions!$K$64,1,0)</f>
        <v>0</v>
      </c>
      <c r="I28306" s="21" t="n">
        <f aca="false">IF(I28178=Assumptions!$K$64,1,0)</f>
        <v>0</v>
      </c>
      <c r="J28306" s="21" t="n">
        <f aca="false">IF(J28178=Assumptions!$K$64,1,0)</f>
        <v>1</v>
      </c>
      <c r="K28306" s="21" t="n">
        <f aca="false">IF(K28178=Assumptions!$K$64,1,0)</f>
        <v>0</v>
      </c>
    </row>
    <row r="28308" customFormat="false" ht="15" hidden="false" customHeight="false" outlineLevel="0" collapsed="false">
      <c r="A28308" s="3" t="s">
        <v>331</v>
      </c>
      <c r="G28308" s="31" t="n">
        <f aca="false">IF(Assumptions!$I$64=1,MAX(G28204,Assumptions!$G$64)+Assumptions!$F$64+$C$28205,Assumptions!$E$64)</f>
        <v>0.0455</v>
      </c>
      <c r="H28308" s="31" t="n">
        <f aca="false">IF(G28531=1,$C$28206,IF(Assumptions!$I$64=1,MAX(H28204,Assumptions!$G$64)+Assumptions!$F$64+$C$28205,Assumptions!$E$64))</f>
        <v>0.0455</v>
      </c>
      <c r="I28308" s="31" t="n">
        <f aca="false">IF(H28531=1,$C$28206,IF(Assumptions!$I$64=1,MAX(I28204,Assumptions!$G$64)+Assumptions!$F$64+$C$28205,Assumptions!$E$64))</f>
        <v>0.0455</v>
      </c>
      <c r="J28308" s="31" t="n">
        <f aca="false">IF(I28531=1,$C$28206,IF(Assumptions!$I$64=1,MAX(J28204,Assumptions!$G$64)+Assumptions!$F$64+$C$28205,Assumptions!$E$64))</f>
        <v>0.0455</v>
      </c>
      <c r="K28308" s="31" t="n">
        <f aca="false">IF(J28531=1,$C$28206,IF(Assumptions!$I$64=1,MAX(K28204,Assumptions!$G$64)+Assumptions!$F$64+$C$28205,Assumptions!$E$64))</f>
        <v>0.0455</v>
      </c>
    </row>
    <row r="28309" customFormat="false" ht="15" hidden="false" customHeight="false" outlineLevel="0" collapsed="false">
      <c r="A28309" s="3" t="s">
        <v>332</v>
      </c>
      <c r="G28309" s="16" t="n">
        <f aca="false">G28305*G28308</f>
        <v>15.925</v>
      </c>
      <c r="H28309" s="16" t="n">
        <f aca="false">H28305*H28308</f>
        <v>15.925</v>
      </c>
      <c r="I28309" s="16" t="n">
        <f aca="false">I28305*I28308</f>
        <v>15.925</v>
      </c>
      <c r="J28309" s="16" t="n">
        <f aca="false">J28305*J28308</f>
        <v>15.925</v>
      </c>
      <c r="K28309" s="16" t="n">
        <f aca="false">K28305*K28308</f>
        <v>15.925</v>
      </c>
    </row>
    <row r="28310" customFormat="false" ht="15" hidden="false" customHeight="false" outlineLevel="0" collapsed="false">
      <c r="A28310" s="3" t="s">
        <v>333</v>
      </c>
      <c r="G28310" s="16" t="n">
        <f aca="false">G28305*Assumptions!$H$64</f>
        <v>0</v>
      </c>
      <c r="H28310" s="16" t="n">
        <f aca="false">H28305*Assumptions!$H$64</f>
        <v>0</v>
      </c>
      <c r="I28310" s="16" t="n">
        <f aca="false">I28305*Assumptions!$H$64</f>
        <v>0</v>
      </c>
      <c r="J28310" s="16" t="n">
        <f aca="false">J28305*Assumptions!$H$64</f>
        <v>0</v>
      </c>
      <c r="K28310" s="16" t="n">
        <f aca="false">K28305*Assumptions!$H$64</f>
        <v>0</v>
      </c>
    </row>
    <row r="28311" customFormat="false" ht="15" hidden="false" customHeight="false" outlineLevel="0" collapsed="false">
      <c r="A28311" s="3" t="s">
        <v>334</v>
      </c>
      <c r="G28311" s="16" t="n">
        <f aca="false">MIN(G28305,Assumptions!$L$64*Assumptions!$C$64)</f>
        <v>0</v>
      </c>
      <c r="H28311" s="16" t="n">
        <f aca="false">MIN(H28305,Assumptions!$L$64*Assumptions!$C$64)</f>
        <v>0</v>
      </c>
      <c r="I28311" s="16" t="n">
        <f aca="false">MIN(I28305,Assumptions!$L$64*Assumptions!$C$64)</f>
        <v>0</v>
      </c>
      <c r="J28311" s="16" t="n">
        <f aca="false">MIN(J28305,Assumptions!$L$64*Assumptions!$C$64)</f>
        <v>0</v>
      </c>
      <c r="K28311" s="16" t="n">
        <f aca="false">MIN(K28305,Assumptions!$L$64*Assumptions!$C$64)</f>
        <v>0</v>
      </c>
    </row>
    <row r="28312" customFormat="false" ht="15" hidden="false" customHeight="false" outlineLevel="0" collapsed="false">
      <c r="A28312" s="3" t="s">
        <v>335</v>
      </c>
      <c r="G28312" s="16" t="n">
        <f aca="false">IF(AND(Assumptions!$P$64=1,G28178&lt;Assumptions!$K$64),MIN(MAX(0,-G28394),MAX(0,Assumptions!$D$64-G28305)),0)</f>
        <v>0</v>
      </c>
      <c r="H28312" s="16" t="n">
        <f aca="false">IF(AND(Assumptions!$P$64=1,OR(H28178&lt;Assumptions!$K$64,G28531=1)),MIN(MAX(0,-H28394),MAX(0,Assumptions!$D$64-H28305)),0)</f>
        <v>0</v>
      </c>
      <c r="I28312" s="16" t="n">
        <f aca="false">IF(AND(Assumptions!$P$64=1,OR(I28178&lt;Assumptions!$K$64,H28531=1)),MIN(MAX(0,-I28394),MAX(0,Assumptions!$D$64-I28305)),0)</f>
        <v>0</v>
      </c>
      <c r="J28312" s="16" t="n">
        <f aca="false">IF(AND(Assumptions!$P$64=1,OR(J28178&lt;Assumptions!$K$64,I28531=1)),MIN(MAX(0,-J28394),MAX(0,Assumptions!$D$64-J28305)),0)</f>
        <v>0</v>
      </c>
      <c r="K28312" s="16" t="n">
        <f aca="false">IF(AND(Assumptions!$P$64=1,OR(K28178&lt;Assumptions!$K$64,J28531=1)),MIN(MAX(0,-K28394),MAX(0,Assumptions!$D$64-K28305)),0)</f>
        <v>0</v>
      </c>
    </row>
    <row r="28313" customFormat="false" ht="15" hidden="false" customHeight="false" outlineLevel="0" collapsed="false">
      <c r="A28313" s="3" t="s">
        <v>336</v>
      </c>
      <c r="G28313" s="16" t="n">
        <f aca="false">G28306*MIN(G28305-G28311+G28310,MAX(0,G28396-Assumptions!$C$12*G28212-G28222-G28235-G28248-G28261-G28274-G28287-G28300))</f>
        <v>0</v>
      </c>
      <c r="H28313" s="16" t="n">
        <f aca="false">H28306*MIN(H28305-H28311+H28310,MAX(0,H28396-Assumptions!$C$12*H28212-H28222-H28235-H28248-H28261-H28274-H28287-H28300))</f>
        <v>0</v>
      </c>
      <c r="I28313" s="16" t="n">
        <f aca="false">I28306*MIN(I28305-I28311+I28310,MAX(0,I28396-Assumptions!$C$12*I28212-I28222-I28235-I28248-I28261-I28274-I28287-I28300))</f>
        <v>0</v>
      </c>
      <c r="J28313" s="16" t="n">
        <f aca="false">J28306*MIN(J28305-J28311+J28310,MAX(0,J28396-Assumptions!$C$12*J28212-J28222-J28235-J28248-J28261-J28274-J28287-J28300))</f>
        <v>0</v>
      </c>
      <c r="K28313" s="16" t="n">
        <f aca="false">K28306*MIN(K28305-K28311+K28310,MAX(0,K28396-Assumptions!$C$12*K28212-K28222-K28235-K28248-K28261-K28274-K28287-K28300))</f>
        <v>0</v>
      </c>
    </row>
    <row r="28314" customFormat="false" ht="15" hidden="false" customHeight="false" outlineLevel="0" collapsed="false">
      <c r="A28314" s="3" t="s">
        <v>337</v>
      </c>
      <c r="G28314" s="16" t="n">
        <f aca="false">Assumptions!$N$64*MIN(G28305+G28312+G28310-G28311-G28313,MAX(0,G28400-G28223-G28236-G28249-G28262-G28275-G28288-G28301))</f>
        <v>0</v>
      </c>
      <c r="H28314" s="16" t="n">
        <f aca="false">Assumptions!$N$64*MIN(H28305+H28312+H28310-H28311-H28313,MAX(0,H28400-H28223-H28236-H28249-H28262-H28275-H28288-H28301))</f>
        <v>0</v>
      </c>
      <c r="I28314" s="16" t="n">
        <f aca="false">Assumptions!$N$64*MIN(I28305+I28312+I28310-I28311-I28313,MAX(0,I28400-I28223-I28236-I28249-I28262-I28275-I28288-I28301))</f>
        <v>0</v>
      </c>
      <c r="J28314" s="16" t="n">
        <f aca="false">Assumptions!$N$64*MIN(J28305+J28312+J28310-J28311-J28313,MAX(0,J28400-J28223-J28236-J28249-J28262-J28275-J28288-J28301))</f>
        <v>0</v>
      </c>
      <c r="K28314" s="16" t="n">
        <f aca="false">Assumptions!$N$64*MIN(K28305+K28312+K28310-K28311-K28313,MAX(0,K28400-K28223-K28236-K28249-K28262-K28275-K28288-K28301))</f>
        <v>0</v>
      </c>
    </row>
    <row r="28315" customFormat="false" ht="15" hidden="false" customHeight="false" outlineLevel="0" collapsed="false">
      <c r="A28315" s="3" t="s">
        <v>338</v>
      </c>
      <c r="G28315" s="16" t="n">
        <f aca="false">G28306*(1-G28212)*(G28305-G28311+G28310-G28313)</f>
        <v>0</v>
      </c>
      <c r="H28315" s="16" t="n">
        <f aca="false">H28306*(1-H28212)*(H28305-H28311+H28310-H28313)</f>
        <v>0</v>
      </c>
      <c r="I28315" s="16" t="n">
        <f aca="false">I28306*(1-I28212)*(I28305-I28311+I28310-I28313)</f>
        <v>0</v>
      </c>
      <c r="J28315" s="16" t="n">
        <f aca="false">J28306*(1-J28212)*(J28305-J28311+J28310-J28313)</f>
        <v>350</v>
      </c>
      <c r="K28315" s="16" t="n">
        <f aca="false">K28306*(1-K28212)*(K28305-K28311+K28310-K28313)</f>
        <v>0</v>
      </c>
    </row>
    <row r="28316" customFormat="false" ht="15" hidden="false" customHeight="false" outlineLevel="0" collapsed="false">
      <c r="A28316" s="2" t="s">
        <v>339</v>
      </c>
      <c r="F28316" s="28" t="n">
        <f aca="false">Assumptions!$C$64</f>
        <v>350</v>
      </c>
      <c r="G28316" s="17" t="n">
        <f aca="false">G28305+G28312+G28310-G28311-G28313-G28314</f>
        <v>350</v>
      </c>
      <c r="H28316" s="17" t="n">
        <f aca="false">H28305+H28312+H28310-H28311-H28313-H28314</f>
        <v>350</v>
      </c>
      <c r="I28316" s="17" t="n">
        <f aca="false">I28305+I28312+I28310-I28311-I28313-I28314</f>
        <v>350</v>
      </c>
      <c r="J28316" s="17" t="n">
        <f aca="false">J28305+J28312+J28310-J28311-J28313-J28314</f>
        <v>350</v>
      </c>
      <c r="K28316" s="17" t="n">
        <f aca="false">K28305+K28312+K28310-K28311-K28313-K28314</f>
        <v>350</v>
      </c>
    </row>
    <row r="28317" customFormat="false" ht="15" hidden="false" customHeight="false" outlineLevel="0" collapsed="false">
      <c r="A28317" s="24" t="s">
        <v>347</v>
      </c>
      <c r="B28317" s="25"/>
      <c r="C28317" s="25"/>
      <c r="D28317" s="25"/>
      <c r="E28317" s="25"/>
      <c r="F28317" s="25"/>
      <c r="G28317" s="25"/>
      <c r="H28317" s="25"/>
      <c r="I28317" s="25"/>
      <c r="J28317" s="25"/>
      <c r="K28317" s="25"/>
    </row>
    <row r="28318" customFormat="false" ht="15" hidden="false" customHeight="false" outlineLevel="0" collapsed="false">
      <c r="A28318" s="3" t="s">
        <v>329</v>
      </c>
      <c r="G28318" s="16" t="n">
        <f aca="false">F28329</f>
        <v>300</v>
      </c>
      <c r="H28318" s="16" t="n">
        <f aca="false">G28329</f>
        <v>300</v>
      </c>
      <c r="I28318" s="16" t="n">
        <f aca="false">H28329</f>
        <v>300</v>
      </c>
      <c r="J28318" s="16" t="n">
        <f aca="false">I28329</f>
        <v>300</v>
      </c>
      <c r="K28318" s="16" t="n">
        <f aca="false">J28329</f>
        <v>300</v>
      </c>
    </row>
    <row r="28319" customFormat="false" ht="15" hidden="false" customHeight="false" outlineLevel="0" collapsed="false">
      <c r="A28319" s="3" t="s">
        <v>330</v>
      </c>
      <c r="G28319" s="21" t="n">
        <f aca="false">IF(G28178=Assumptions!$K$65,1,0)</f>
        <v>0</v>
      </c>
      <c r="H28319" s="21" t="n">
        <f aca="false">IF(H28178=Assumptions!$K$65,1,0)</f>
        <v>0</v>
      </c>
      <c r="I28319" s="21" t="n">
        <f aca="false">IF(I28178=Assumptions!$K$65,1,0)</f>
        <v>0</v>
      </c>
      <c r="J28319" s="21" t="n">
        <f aca="false">IF(J28178=Assumptions!$K$65,1,0)</f>
        <v>0</v>
      </c>
      <c r="K28319" s="21" t="n">
        <f aca="false">IF(K28178=Assumptions!$K$65,1,0)</f>
        <v>1</v>
      </c>
    </row>
    <row r="28321" customFormat="false" ht="15" hidden="false" customHeight="false" outlineLevel="0" collapsed="false">
      <c r="A28321" s="3" t="s">
        <v>331</v>
      </c>
      <c r="G28321" s="31" t="n">
        <f aca="false">IF(Assumptions!$I$65=1,MAX(G28204,Assumptions!$G$65)+Assumptions!$F$65+$C$28205,Assumptions!$E$65)</f>
        <v>0.06125</v>
      </c>
      <c r="H28321" s="31" t="n">
        <f aca="false">IF(G28532=1,$C$28206,IF(Assumptions!$I$65=1,MAX(H28204,Assumptions!$G$65)+Assumptions!$F$65+$C$28205,Assumptions!$E$65))</f>
        <v>0.06125</v>
      </c>
      <c r="I28321" s="31" t="n">
        <f aca="false">IF(H28532=1,$C$28206,IF(Assumptions!$I$65=1,MAX(I28204,Assumptions!$G$65)+Assumptions!$F$65+$C$28205,Assumptions!$E$65))</f>
        <v>0.06125</v>
      </c>
      <c r="J28321" s="31" t="n">
        <f aca="false">IF(I28532=1,$C$28206,IF(Assumptions!$I$65=1,MAX(J28204,Assumptions!$G$65)+Assumptions!$F$65+$C$28205,Assumptions!$E$65))</f>
        <v>0.06125</v>
      </c>
      <c r="K28321" s="31" t="n">
        <f aca="false">IF(J28532=1,$C$28206,IF(Assumptions!$I$65=1,MAX(K28204,Assumptions!$G$65)+Assumptions!$F$65+$C$28205,Assumptions!$E$65))</f>
        <v>0.06125</v>
      </c>
    </row>
    <row r="28322" customFormat="false" ht="15" hidden="false" customHeight="false" outlineLevel="0" collapsed="false">
      <c r="A28322" s="3" t="s">
        <v>332</v>
      </c>
      <c r="G28322" s="16" t="n">
        <f aca="false">G28318*G28321</f>
        <v>18.375</v>
      </c>
      <c r="H28322" s="16" t="n">
        <f aca="false">H28318*H28321</f>
        <v>18.375</v>
      </c>
      <c r="I28322" s="16" t="n">
        <f aca="false">I28318*I28321</f>
        <v>18.375</v>
      </c>
      <c r="J28322" s="16" t="n">
        <f aca="false">J28318*J28321</f>
        <v>18.375</v>
      </c>
      <c r="K28322" s="16" t="n">
        <f aca="false">K28318*K28321</f>
        <v>18.375</v>
      </c>
    </row>
    <row r="28323" customFormat="false" ht="15" hidden="false" customHeight="false" outlineLevel="0" collapsed="false">
      <c r="A28323" s="3" t="s">
        <v>333</v>
      </c>
      <c r="G28323" s="16" t="n">
        <f aca="false">G28318*Assumptions!$H$65</f>
        <v>0</v>
      </c>
      <c r="H28323" s="16" t="n">
        <f aca="false">H28318*Assumptions!$H$65</f>
        <v>0</v>
      </c>
      <c r="I28323" s="16" t="n">
        <f aca="false">I28318*Assumptions!$H$65</f>
        <v>0</v>
      </c>
      <c r="J28323" s="16" t="n">
        <f aca="false">J28318*Assumptions!$H$65</f>
        <v>0</v>
      </c>
      <c r="K28323" s="16" t="n">
        <f aca="false">K28318*Assumptions!$H$65</f>
        <v>0</v>
      </c>
    </row>
    <row r="28324" customFormat="false" ht="15" hidden="false" customHeight="false" outlineLevel="0" collapsed="false">
      <c r="A28324" s="3" t="s">
        <v>334</v>
      </c>
      <c r="G28324" s="16" t="n">
        <f aca="false">MIN(G28318,Assumptions!$L$65*Assumptions!$C$65)</f>
        <v>0</v>
      </c>
      <c r="H28324" s="16" t="n">
        <f aca="false">MIN(H28318,Assumptions!$L$65*Assumptions!$C$65)</f>
        <v>0</v>
      </c>
      <c r="I28324" s="16" t="n">
        <f aca="false">MIN(I28318,Assumptions!$L$65*Assumptions!$C$65)</f>
        <v>0</v>
      </c>
      <c r="J28324" s="16" t="n">
        <f aca="false">MIN(J28318,Assumptions!$L$65*Assumptions!$C$65)</f>
        <v>0</v>
      </c>
      <c r="K28324" s="16" t="n">
        <f aca="false">MIN(K28318,Assumptions!$L$65*Assumptions!$C$65)</f>
        <v>0</v>
      </c>
    </row>
    <row r="28325" customFormat="false" ht="15" hidden="false" customHeight="false" outlineLevel="0" collapsed="false">
      <c r="A28325" s="3" t="s">
        <v>335</v>
      </c>
      <c r="G28325" s="16" t="n">
        <f aca="false">IF(AND(Assumptions!$P$65=1,G28178&lt;Assumptions!$K$65),MIN(MAX(0,-G28394),MAX(0,Assumptions!$D$65-G28318)),0)</f>
        <v>0</v>
      </c>
      <c r="H28325" s="16" t="n">
        <f aca="false">IF(AND(Assumptions!$P$65=1,OR(H28178&lt;Assumptions!$K$65,G28532=1)),MIN(MAX(0,-H28394),MAX(0,Assumptions!$D$65-H28318)),0)</f>
        <v>0</v>
      </c>
      <c r="I28325" s="16" t="n">
        <f aca="false">IF(AND(Assumptions!$P$65=1,OR(I28178&lt;Assumptions!$K$65,H28532=1)),MIN(MAX(0,-I28394),MAX(0,Assumptions!$D$65-I28318)),0)</f>
        <v>0</v>
      </c>
      <c r="J28325" s="16" t="n">
        <f aca="false">IF(AND(Assumptions!$P$65=1,OR(J28178&lt;Assumptions!$K$65,I28532=1)),MIN(MAX(0,-J28394),MAX(0,Assumptions!$D$65-J28318)),0)</f>
        <v>0</v>
      </c>
      <c r="K28325" s="16" t="n">
        <f aca="false">IF(AND(Assumptions!$P$65=1,OR(K28178&lt;Assumptions!$K$65,J28532=1)),MIN(MAX(0,-K28394),MAX(0,Assumptions!$D$65-K28318)),0)</f>
        <v>0</v>
      </c>
    </row>
    <row r="28326" customFormat="false" ht="15" hidden="false" customHeight="false" outlineLevel="0" collapsed="false">
      <c r="A28326" s="3" t="s">
        <v>336</v>
      </c>
      <c r="G28326" s="16" t="n">
        <f aca="false">G28319*MIN(G28318-G28324+G28323,MAX(0,G28396-Assumptions!$C$12*G28212-G28222-G28235-G28248-G28261-G28274-G28287-G28300-G28313))</f>
        <v>0</v>
      </c>
      <c r="H28326" s="16" t="n">
        <f aca="false">H28319*MIN(H28318-H28324+H28323,MAX(0,H28396-Assumptions!$C$12*H28212-H28222-H28235-H28248-H28261-H28274-H28287-H28300-H28313))</f>
        <v>0</v>
      </c>
      <c r="I28326" s="16" t="n">
        <f aca="false">I28319*MIN(I28318-I28324+I28323,MAX(0,I28396-Assumptions!$C$12*I28212-I28222-I28235-I28248-I28261-I28274-I28287-I28300-I28313))</f>
        <v>0</v>
      </c>
      <c r="J28326" s="16" t="n">
        <f aca="false">J28319*MIN(J28318-J28324+J28323,MAX(0,J28396-Assumptions!$C$12*J28212-J28222-J28235-J28248-J28261-J28274-J28287-J28300-J28313))</f>
        <v>0</v>
      </c>
      <c r="K28326" s="16" t="n">
        <f aca="false">K28319*MIN(K28318-K28324+K28323,MAX(0,K28396-Assumptions!$C$12*K28212-K28222-K28235-K28248-K28261-K28274-K28287-K28300-K28313))</f>
        <v>0</v>
      </c>
    </row>
    <row r="28327" customFormat="false" ht="15" hidden="false" customHeight="false" outlineLevel="0" collapsed="false">
      <c r="A28327" s="3" t="s">
        <v>337</v>
      </c>
      <c r="G28327" s="16" t="n">
        <f aca="false">Assumptions!$N$65*MIN(G28318+G28325+G28323-G28324-G28326,MAX(0,G28400-G28223-G28236-G28249-G28262-G28275-G28288-G28301-G28314))</f>
        <v>0</v>
      </c>
      <c r="H28327" s="16" t="n">
        <f aca="false">Assumptions!$N$65*MIN(H28318+H28325+H28323-H28324-H28326,MAX(0,H28400-H28223-H28236-H28249-H28262-H28275-H28288-H28301-H28314))</f>
        <v>0</v>
      </c>
      <c r="I28327" s="16" t="n">
        <f aca="false">Assumptions!$N$65*MIN(I28318+I28325+I28323-I28324-I28326,MAX(0,I28400-I28223-I28236-I28249-I28262-I28275-I28288-I28301-I28314))</f>
        <v>0</v>
      </c>
      <c r="J28327" s="16" t="n">
        <f aca="false">Assumptions!$N$65*MIN(J28318+J28325+J28323-J28324-J28326,MAX(0,J28400-J28223-J28236-J28249-J28262-J28275-J28288-J28301-J28314))</f>
        <v>0</v>
      </c>
      <c r="K28327" s="16" t="n">
        <f aca="false">Assumptions!$N$65*MIN(K28318+K28325+K28323-K28324-K28326,MAX(0,K28400-K28223-K28236-K28249-K28262-K28275-K28288-K28301-K28314))</f>
        <v>0</v>
      </c>
    </row>
    <row r="28328" customFormat="false" ht="15" hidden="false" customHeight="false" outlineLevel="0" collapsed="false">
      <c r="A28328" s="3" t="s">
        <v>338</v>
      </c>
      <c r="G28328" s="16" t="n">
        <f aca="false">G28319*(1-G28212)*(G28318-G28324+G28323-G28326)</f>
        <v>0</v>
      </c>
      <c r="H28328" s="16" t="n">
        <f aca="false">H28319*(1-H28212)*(H28318-H28324+H28323-H28326)</f>
        <v>0</v>
      </c>
      <c r="I28328" s="16" t="n">
        <f aca="false">I28319*(1-I28212)*(I28318-I28324+I28323-I28326)</f>
        <v>0</v>
      </c>
      <c r="J28328" s="16" t="n">
        <f aca="false">J28319*(1-J28212)*(J28318-J28324+J28323-J28326)</f>
        <v>0</v>
      </c>
      <c r="K28328" s="16" t="n">
        <f aca="false">K28319*(1-K28212)*(K28318-K28324+K28323-K28326)</f>
        <v>300</v>
      </c>
    </row>
    <row r="28329" customFormat="false" ht="15" hidden="false" customHeight="false" outlineLevel="0" collapsed="false">
      <c r="A28329" s="2" t="s">
        <v>339</v>
      </c>
      <c r="F28329" s="28" t="n">
        <f aca="false">Assumptions!$C$65</f>
        <v>300</v>
      </c>
      <c r="G28329" s="17" t="n">
        <f aca="false">G28318+G28325+G28323-G28324-G28326-G28327</f>
        <v>300</v>
      </c>
      <c r="H28329" s="17" t="n">
        <f aca="false">H28318+H28325+H28323-H28324-H28326-H28327</f>
        <v>300</v>
      </c>
      <c r="I28329" s="17" t="n">
        <f aca="false">I28318+I28325+I28323-I28324-I28326-I28327</f>
        <v>300</v>
      </c>
      <c r="J28329" s="17" t="n">
        <f aca="false">J28318+J28325+J28323-J28324-J28326-J28327</f>
        <v>300</v>
      </c>
      <c r="K28329" s="17" t="n">
        <f aca="false">K28318+K28325+K28323-K28324-K28326-K28327</f>
        <v>300</v>
      </c>
    </row>
    <row r="28330" customFormat="false" ht="15" hidden="false" customHeight="false" outlineLevel="0" collapsed="false">
      <c r="A28330" s="24" t="s">
        <v>348</v>
      </c>
      <c r="B28330" s="25"/>
      <c r="C28330" s="25"/>
      <c r="D28330" s="25"/>
      <c r="E28330" s="25"/>
      <c r="F28330" s="25"/>
      <c r="G28330" s="25"/>
      <c r="H28330" s="25"/>
      <c r="I28330" s="25"/>
      <c r="J28330" s="25"/>
      <c r="K28330" s="25"/>
    </row>
    <row r="28331" customFormat="false" ht="15" hidden="false" customHeight="false" outlineLevel="0" collapsed="false">
      <c r="A28331" s="3" t="s">
        <v>329</v>
      </c>
      <c r="G28331" s="16" t="n">
        <f aca="false">F28342</f>
        <v>78.61</v>
      </c>
      <c r="H28331" s="16" t="n">
        <f aca="false">G28342</f>
        <v>78.61</v>
      </c>
      <c r="I28331" s="16" t="n">
        <f aca="false">H28342</f>
        <v>78.61</v>
      </c>
      <c r="J28331" s="16" t="n">
        <f aca="false">I28342</f>
        <v>78.61</v>
      </c>
      <c r="K28331" s="16" t="n">
        <f aca="false">J28342</f>
        <v>78.61</v>
      </c>
    </row>
    <row r="28332" customFormat="false" ht="15" hidden="false" customHeight="false" outlineLevel="0" collapsed="false">
      <c r="A28332" s="3" t="s">
        <v>330</v>
      </c>
      <c r="G28332" s="21" t="n">
        <f aca="false">IF(G28178=Assumptions!$K$66,1,0)</f>
        <v>0</v>
      </c>
      <c r="H28332" s="21" t="n">
        <f aca="false">IF(H28178=Assumptions!$K$66,1,0)</f>
        <v>0</v>
      </c>
      <c r="I28332" s="21" t="n">
        <f aca="false">IF(I28178=Assumptions!$K$66,1,0)</f>
        <v>0</v>
      </c>
      <c r="J28332" s="21" t="n">
        <f aca="false">IF(J28178=Assumptions!$K$66,1,0)</f>
        <v>0</v>
      </c>
      <c r="K28332" s="21" t="n">
        <f aca="false">IF(K28178=Assumptions!$K$66,1,0)</f>
        <v>0</v>
      </c>
    </row>
    <row r="28334" customFormat="false" ht="15" hidden="false" customHeight="false" outlineLevel="0" collapsed="false">
      <c r="A28334" s="3" t="s">
        <v>331</v>
      </c>
      <c r="G28334" s="31" t="n">
        <f aca="false">IF(Assumptions!$I$66=1,MAX(G28204,Assumptions!$G$66)+Assumptions!$F$66+$C$28205,Assumptions!$E$66)</f>
        <v>0.0741</v>
      </c>
      <c r="H28334" s="31" t="n">
        <f aca="false">IF(G28533=1,$C$28206,IF(Assumptions!$I$66=1,MAX(H28204,Assumptions!$G$66)+Assumptions!$F$66+$C$28205,Assumptions!$E$66))</f>
        <v>0.0726</v>
      </c>
      <c r="I28334" s="31" t="n">
        <f aca="false">IF(H28533=1,$C$28206,IF(Assumptions!$I$66=1,MAX(I28204,Assumptions!$G$66)+Assumptions!$F$66+$C$28205,Assumptions!$E$66))</f>
        <v>0.0701</v>
      </c>
      <c r="J28334" s="31" t="n">
        <f aca="false">IF(I28533=1,$C$28206,IF(Assumptions!$I$66=1,MAX(J28204,Assumptions!$G$66)+Assumptions!$F$66+$C$28205,Assumptions!$E$66))</f>
        <v>0.0701</v>
      </c>
      <c r="K28334" s="31" t="n">
        <f aca="false">IF(J28533=1,$C$28206,IF(Assumptions!$I$66=1,MAX(K28204,Assumptions!$G$66)+Assumptions!$F$66+$C$28205,Assumptions!$E$66))</f>
        <v>0.0701</v>
      </c>
    </row>
    <row r="28335" customFormat="false" ht="15" hidden="false" customHeight="false" outlineLevel="0" collapsed="false">
      <c r="A28335" s="3" t="s">
        <v>332</v>
      </c>
      <c r="G28335" s="16" t="n">
        <f aca="false">G28331*G28334</f>
        <v>5.825001</v>
      </c>
      <c r="H28335" s="16" t="n">
        <f aca="false">H28331*H28334</f>
        <v>5.707086</v>
      </c>
      <c r="I28335" s="16" t="n">
        <f aca="false">I28331*I28334</f>
        <v>5.510561</v>
      </c>
      <c r="J28335" s="16" t="n">
        <f aca="false">J28331*J28334</f>
        <v>5.510561</v>
      </c>
      <c r="K28335" s="16" t="n">
        <f aca="false">K28331*K28334</f>
        <v>5.510561</v>
      </c>
    </row>
    <row r="28336" customFormat="false" ht="15" hidden="false" customHeight="false" outlineLevel="0" collapsed="false">
      <c r="A28336" s="3" t="s">
        <v>333</v>
      </c>
      <c r="G28336" s="16" t="n">
        <f aca="false">G28331*Assumptions!$H$66</f>
        <v>0</v>
      </c>
      <c r="H28336" s="16" t="n">
        <f aca="false">H28331*Assumptions!$H$66</f>
        <v>0</v>
      </c>
      <c r="I28336" s="16" t="n">
        <f aca="false">I28331*Assumptions!$H$66</f>
        <v>0</v>
      </c>
      <c r="J28336" s="16" t="n">
        <f aca="false">J28331*Assumptions!$H$66</f>
        <v>0</v>
      </c>
      <c r="K28336" s="16" t="n">
        <f aca="false">K28331*Assumptions!$H$66</f>
        <v>0</v>
      </c>
    </row>
    <row r="28337" customFormat="false" ht="15" hidden="false" customHeight="false" outlineLevel="0" collapsed="false">
      <c r="A28337" s="3" t="s">
        <v>334</v>
      </c>
      <c r="G28337" s="16" t="n">
        <f aca="false">MIN(G28331,Assumptions!$L$66*Assumptions!$C$66)</f>
        <v>0</v>
      </c>
      <c r="H28337" s="16" t="n">
        <f aca="false">MIN(H28331,Assumptions!$L$66*Assumptions!$C$66)</f>
        <v>0</v>
      </c>
      <c r="I28337" s="16" t="n">
        <f aca="false">MIN(I28331,Assumptions!$L$66*Assumptions!$C$66)</f>
        <v>0</v>
      </c>
      <c r="J28337" s="16" t="n">
        <f aca="false">MIN(J28331,Assumptions!$L$66*Assumptions!$C$66)</f>
        <v>0</v>
      </c>
      <c r="K28337" s="16" t="n">
        <f aca="false">MIN(K28331,Assumptions!$L$66*Assumptions!$C$66)</f>
        <v>0</v>
      </c>
    </row>
    <row r="28338" customFormat="false" ht="15" hidden="false" customHeight="false" outlineLevel="0" collapsed="false">
      <c r="A28338" s="3" t="s">
        <v>335</v>
      </c>
      <c r="G28338" s="16" t="n">
        <f aca="false">IF(AND(Assumptions!$P$66=1,G28178&lt;Assumptions!$K$66),MIN(MAX(0,-G28394),MAX(0,Assumptions!$D$66-G28331)),0)</f>
        <v>0</v>
      </c>
      <c r="H28338" s="16" t="n">
        <f aca="false">IF(AND(Assumptions!$P$66=1,OR(H28178&lt;Assumptions!$K$66,G28533=1)),MIN(MAX(0,-H28394),MAX(0,Assumptions!$D$66-H28331)),0)</f>
        <v>0</v>
      </c>
      <c r="I28338" s="16" t="n">
        <f aca="false">IF(AND(Assumptions!$P$66=1,OR(I28178&lt;Assumptions!$K$66,H28533=1)),MIN(MAX(0,-I28394),MAX(0,Assumptions!$D$66-I28331)),0)</f>
        <v>0</v>
      </c>
      <c r="J28338" s="16" t="n">
        <f aca="false">IF(AND(Assumptions!$P$66=1,OR(J28178&lt;Assumptions!$K$66,I28533=1)),MIN(MAX(0,-J28394),MAX(0,Assumptions!$D$66-J28331)),0)</f>
        <v>0</v>
      </c>
      <c r="K28338" s="16" t="n">
        <f aca="false">IF(AND(Assumptions!$P$66=1,OR(K28178&lt;Assumptions!$K$66,J28533=1)),MIN(MAX(0,-K28394),MAX(0,Assumptions!$D$66-K28331)),0)</f>
        <v>0</v>
      </c>
    </row>
    <row r="28339" customFormat="false" ht="15" hidden="false" customHeight="false" outlineLevel="0" collapsed="false">
      <c r="A28339" s="3" t="s">
        <v>336</v>
      </c>
      <c r="G28339" s="16" t="n">
        <f aca="false">G28332*MIN(G28331-G28337+G28336,MAX(0,G28396-Assumptions!$C$12*G28212-G28222-G28235-G28248-G28261-G28274-G28287-G28300-G28313-G28326))</f>
        <v>0</v>
      </c>
      <c r="H28339" s="16" t="n">
        <f aca="false">H28332*MIN(H28331-H28337+H28336,MAX(0,H28396-Assumptions!$C$12*H28212-H28222-H28235-H28248-H28261-H28274-H28287-H28300-H28313-H28326))</f>
        <v>0</v>
      </c>
      <c r="I28339" s="16" t="n">
        <f aca="false">I28332*MIN(I28331-I28337+I28336,MAX(0,I28396-Assumptions!$C$12*I28212-I28222-I28235-I28248-I28261-I28274-I28287-I28300-I28313-I28326))</f>
        <v>0</v>
      </c>
      <c r="J28339" s="16" t="n">
        <f aca="false">J28332*MIN(J28331-J28337+J28336,MAX(0,J28396-Assumptions!$C$12*J28212-J28222-J28235-J28248-J28261-J28274-J28287-J28300-J28313-J28326))</f>
        <v>0</v>
      </c>
      <c r="K28339" s="16" t="n">
        <f aca="false">K28332*MIN(K28331-K28337+K28336,MAX(0,K28396-Assumptions!$C$12*K28212-K28222-K28235-K28248-K28261-K28274-K28287-K28300-K28313-K28326))</f>
        <v>0</v>
      </c>
    </row>
    <row r="28340" customFormat="false" ht="15" hidden="false" customHeight="false" outlineLevel="0" collapsed="false">
      <c r="A28340" s="3" t="s">
        <v>337</v>
      </c>
      <c r="G28340" s="16" t="n">
        <f aca="false">Assumptions!$N$66*MIN(G28331+G28338+G28336-G28337-G28339,MAX(0,G28400-G28223-G28236-G28249-G28262-G28275-G28288-G28301-G28314-G28327))</f>
        <v>0</v>
      </c>
      <c r="H28340" s="16" t="n">
        <f aca="false">Assumptions!$N$66*MIN(H28331+H28338+H28336-H28337-H28339,MAX(0,H28400-H28223-H28236-H28249-H28262-H28275-H28288-H28301-H28314-H28327))</f>
        <v>0</v>
      </c>
      <c r="I28340" s="16" t="n">
        <f aca="false">Assumptions!$N$66*MIN(I28331+I28338+I28336-I28337-I28339,MAX(0,I28400-I28223-I28236-I28249-I28262-I28275-I28288-I28301-I28314-I28327))</f>
        <v>0</v>
      </c>
      <c r="J28340" s="16" t="n">
        <f aca="false">Assumptions!$N$66*MIN(J28331+J28338+J28336-J28337-J28339,MAX(0,J28400-J28223-J28236-J28249-J28262-J28275-J28288-J28301-J28314-J28327))</f>
        <v>0</v>
      </c>
      <c r="K28340" s="16" t="n">
        <f aca="false">Assumptions!$N$66*MIN(K28331+K28338+K28336-K28337-K28339,MAX(0,K28400-K28223-K28236-K28249-K28262-K28275-K28288-K28301-K28314-K28327))</f>
        <v>0</v>
      </c>
    </row>
    <row r="28341" customFormat="false" ht="15" hidden="false" customHeight="false" outlineLevel="0" collapsed="false">
      <c r="A28341" s="3" t="s">
        <v>338</v>
      </c>
      <c r="G28341" s="16" t="n">
        <f aca="false">G28332*(1-G28212)*(G28331-G28337+G28336-G28339)</f>
        <v>0</v>
      </c>
      <c r="H28341" s="16" t="n">
        <f aca="false">H28332*(1-H28212)*(H28331-H28337+H28336-H28339)</f>
        <v>0</v>
      </c>
      <c r="I28341" s="16" t="n">
        <f aca="false">I28332*(1-I28212)*(I28331-I28337+I28336-I28339)</f>
        <v>0</v>
      </c>
      <c r="J28341" s="16" t="n">
        <f aca="false">J28332*(1-J28212)*(J28331-J28337+J28336-J28339)</f>
        <v>0</v>
      </c>
      <c r="K28341" s="16" t="n">
        <f aca="false">K28332*(1-K28212)*(K28331-K28337+K28336-K28339)</f>
        <v>0</v>
      </c>
    </row>
    <row r="28342" customFormat="false" ht="15" hidden="false" customHeight="false" outlineLevel="0" collapsed="false">
      <c r="A28342" s="2" t="s">
        <v>339</v>
      </c>
      <c r="F28342" s="28" t="n">
        <f aca="false">Assumptions!$C$66</f>
        <v>78.61</v>
      </c>
      <c r="G28342" s="17" t="n">
        <f aca="false">G28331+G28338+G28336-G28337-G28339-G28340</f>
        <v>78.61</v>
      </c>
      <c r="H28342" s="17" t="n">
        <f aca="false">H28331+H28338+H28336-H28337-H28339-H28340</f>
        <v>78.61</v>
      </c>
      <c r="I28342" s="17" t="n">
        <f aca="false">I28331+I28338+I28336-I28337-I28339-I28340</f>
        <v>78.61</v>
      </c>
      <c r="J28342" s="17" t="n">
        <f aca="false">J28331+J28338+J28336-J28337-J28339-J28340</f>
        <v>78.61</v>
      </c>
      <c r="K28342" s="17" t="n">
        <f aca="false">K28331+K28338+K28336-K28337-K28339-K28340</f>
        <v>78.61</v>
      </c>
    </row>
    <row r="28343" customFormat="false" ht="15" hidden="false" customHeight="false" outlineLevel="0" collapsed="false">
      <c r="A28343" s="24" t="s">
        <v>349</v>
      </c>
      <c r="B28343" s="25"/>
      <c r="C28343" s="25"/>
      <c r="D28343" s="25"/>
      <c r="E28343" s="25"/>
      <c r="F28343" s="25"/>
      <c r="G28343" s="25"/>
      <c r="H28343" s="25"/>
      <c r="I28343" s="25"/>
      <c r="J28343" s="25"/>
      <c r="K28343" s="25"/>
    </row>
    <row r="28344" customFormat="false" ht="15" hidden="false" customHeight="false" outlineLevel="0" collapsed="false">
      <c r="A28344" s="2" t="s">
        <v>350</v>
      </c>
      <c r="F28344" s="17" t="n">
        <f aca="false">F28225+F28238+F28251+F28264+F28277+F28290+F28303+F28316+F28329+F28342</f>
        <v>2625.934</v>
      </c>
      <c r="G28344" s="17" t="n">
        <f aca="false">G28225+G28238+G28251+G28264+G28277+G28290+G28303+G28316+G28329+G28342</f>
        <v>2621.934</v>
      </c>
      <c r="H28344" s="17" t="n">
        <f aca="false">H28225+H28238+H28251+H28264+H28277+H28290+H28303+H28316+H28329+H28342</f>
        <v>2593.3565587</v>
      </c>
      <c r="I28344" s="17" t="n">
        <f aca="false">I28225+I28238+I28251+I28264+I28277+I28290+I28303+I28316+I28329+I28342</f>
        <v>2589.3565587</v>
      </c>
      <c r="J28344" s="17" t="n">
        <f aca="false">J28225+J28238+J28251+J28264+J28277+J28290+J28303+J28316+J28329+J28342</f>
        <v>2585.3565587</v>
      </c>
      <c r="K28344" s="17" t="n">
        <f aca="false">K28225+K28238+K28251+K28264+K28277+K28290+K28303+K28316+K28329+K28342</f>
        <v>2581.3565587</v>
      </c>
    </row>
    <row r="28345" customFormat="false" ht="15" hidden="false" customHeight="false" outlineLevel="0" collapsed="false">
      <c r="A28345" s="3" t="s">
        <v>351</v>
      </c>
      <c r="G28345" s="16" t="n">
        <f aca="false">G28215*Assumptions!$C$57+G28228*Assumptions!$C$58+G28241*Assumptions!$C$59+G28254*Assumptions!$C$60+G28267*Assumptions!$C$61+G28280*Assumptions!$C$62+G28293*Assumptions!$C$63+G28306*Assumptions!$C$64+G28319*Assumptions!$C$65+G28332*Assumptions!$C$66</f>
        <v>0</v>
      </c>
      <c r="H28345" s="16" t="n">
        <f aca="false">H28215*Assumptions!$C$57+H28228*Assumptions!$C$58+H28241*Assumptions!$C$59+H28254*Assumptions!$C$60+H28267*Assumptions!$C$61+H28280*Assumptions!$C$62+H28293*Assumptions!$C$63+H28306*Assumptions!$C$64+H28319*Assumptions!$C$65+H28332*Assumptions!$C$66</f>
        <v>800</v>
      </c>
      <c r="I28345" s="16" t="n">
        <f aca="false">I28215*Assumptions!$C$57+I28228*Assumptions!$C$58+I28241*Assumptions!$C$59+I28254*Assumptions!$C$60+I28267*Assumptions!$C$61+I28280*Assumptions!$C$62+I28293*Assumptions!$C$63+I28306*Assumptions!$C$64+I28319*Assumptions!$C$65+I28332*Assumptions!$C$66</f>
        <v>550</v>
      </c>
      <c r="J28345" s="16" t="n">
        <f aca="false">J28215*Assumptions!$C$57+J28228*Assumptions!$C$58+J28241*Assumptions!$C$59+J28254*Assumptions!$C$60+J28267*Assumptions!$C$61+J28280*Assumptions!$C$62+J28293*Assumptions!$C$63+J28306*Assumptions!$C$64+J28319*Assumptions!$C$65+J28332*Assumptions!$C$66</f>
        <v>350</v>
      </c>
      <c r="K28345" s="16" t="n">
        <f aca="false">K28215*Assumptions!$C$57+K28228*Assumptions!$C$58+K28241*Assumptions!$C$59+K28254*Assumptions!$C$60+K28267*Assumptions!$C$61+K28280*Assumptions!$C$62+K28293*Assumptions!$C$63+K28306*Assumptions!$C$64+K28319*Assumptions!$C$65+K28332*Assumptions!$C$66</f>
        <v>700</v>
      </c>
    </row>
    <row r="28346" customFormat="false" ht="15" hidden="false" customHeight="false" outlineLevel="0" collapsed="false">
      <c r="A28346" s="24" t="s">
        <v>352</v>
      </c>
      <c r="B28346" s="25"/>
      <c r="C28346" s="25"/>
      <c r="D28346" s="25"/>
      <c r="E28346" s="25"/>
      <c r="F28346" s="25"/>
      <c r="G28346" s="25"/>
      <c r="H28346" s="25"/>
      <c r="I28346" s="25"/>
      <c r="J28346" s="25"/>
      <c r="K28346" s="25"/>
    </row>
    <row r="28347" customFormat="false" ht="15" hidden="false" customHeight="false" outlineLevel="0" collapsed="false">
      <c r="A28347" s="3" t="s">
        <v>353</v>
      </c>
      <c r="C28347" s="16" t="n">
        <f aca="false">SUMPRODUCT($G$28215:$K$28215,$G$28214:$K$28214-$G$28220:$K$28220+$G$28219:$K$28219)</f>
        <v>380</v>
      </c>
    </row>
    <row r="28348" customFormat="false" ht="15" hidden="false" customHeight="false" outlineLevel="0" collapsed="false">
      <c r="A28348" s="3" t="s">
        <v>354</v>
      </c>
      <c r="C28348" s="16" t="n">
        <f aca="false">SUMPRODUCT($G$28215:$K$28215,$G$28222:$K$28222)</f>
        <v>0</v>
      </c>
    </row>
    <row r="28349" customFormat="false" ht="15" hidden="false" customHeight="false" outlineLevel="0" collapsed="false">
      <c r="A28349" s="3" t="s">
        <v>355</v>
      </c>
      <c r="C28349" s="3" t="str">
        <f aca="false">IF(SUM($G$28215:$K$28215)=0,"n/a (beyond horizon)",IF(SUMPRODUCT($G$28215:$K$28215,$G$28212:$K$28212)&gt;0,"REFINANCING PASS","REFINANCING FAILURE"))</f>
        <v>REFINANCING FAILURE</v>
      </c>
    </row>
    <row r="28350" customFormat="false" ht="15" hidden="false" customHeight="false" outlineLevel="0" collapsed="false">
      <c r="A28350" s="3" t="s">
        <v>356</v>
      </c>
      <c r="C28350" s="3" t="str">
        <f aca="false">IF(SUM($G$28215:$K$28215)=0,"n/a",IF(C28348&gt;=C28347-0.001,"Repaid from cash",IF(SUMPRODUCT($G$28215:$K$28215,$G$28212:$K$28212)&gt;0,IF(C28348&gt;0,"Partly repaid; remainder refinanced","Refinanced"),IF(SUM($G$28224:$K$28224)&gt;0.001,IF(C28348&gt;0,"Partial repayment; PAYMENT DEFAULT","PAYMENT DEFAULT"),"Repaid from cash"))))</f>
        <v>PAYMENT DEFAULT</v>
      </c>
    </row>
    <row r="28351" customFormat="false" ht="15" hidden="false" customHeight="false" outlineLevel="0" collapsed="false">
      <c r="A28351" s="3" t="s">
        <v>357</v>
      </c>
      <c r="C28351" s="16" t="n">
        <f aca="false">SUMPRODUCT($G$28228:$K$28228,$G$28227:$K$28227-$G$28233:$K$28233+$G$28232:$K$28232)</f>
        <v>0</v>
      </c>
    </row>
    <row r="28352" customFormat="false" ht="15" hidden="false" customHeight="false" outlineLevel="0" collapsed="false">
      <c r="A28352" s="3" t="s">
        <v>358</v>
      </c>
      <c r="C28352" s="16" t="n">
        <f aca="false">SUMPRODUCT($G$28228:$K$28228,$G$28235:$K$28235)</f>
        <v>0</v>
      </c>
    </row>
    <row r="28353" customFormat="false" ht="15" hidden="false" customHeight="false" outlineLevel="0" collapsed="false">
      <c r="A28353" s="3" t="s">
        <v>359</v>
      </c>
      <c r="C28353" s="3" t="str">
        <f aca="false">IF(SUM($G$28228:$K$28228)=0,"n/a (beyond horizon)",IF(SUMPRODUCT($G$28228:$K$28228,$G$28212:$K$28212)&gt;0,"REFINANCING PASS","REFINANCING FAILURE"))</f>
        <v>n/a (beyond horizon)</v>
      </c>
    </row>
    <row r="28354" customFormat="false" ht="15" hidden="false" customHeight="false" outlineLevel="0" collapsed="false">
      <c r="A28354" s="3" t="s">
        <v>360</v>
      </c>
      <c r="C28354" s="3" t="str">
        <f aca="false">IF(SUM($G$28228:$K$28228)=0,"n/a",IF(C28352&gt;=C28351-0.001,"Repaid from cash",IF(SUMPRODUCT($G$28228:$K$28228,$G$28212:$K$28212)&gt;0,IF(C28352&gt;0,"Partly repaid; remainder refinanced","Refinanced"),IF(SUM($G$28237:$K$28237)&gt;0.001,IF(C28352&gt;0,"Partial repayment; PAYMENT DEFAULT","PAYMENT DEFAULT"),"Repaid from cash"))))</f>
        <v>n/a</v>
      </c>
    </row>
    <row r="28355" customFormat="false" ht="15" hidden="false" customHeight="false" outlineLevel="0" collapsed="false">
      <c r="A28355" s="3" t="s">
        <v>361</v>
      </c>
      <c r="C28355" s="16" t="n">
        <f aca="false">SUMPRODUCT($G$28241:$K$28241,$G$28240:$K$28240-$G$28246:$K$28246+$G$28245:$K$28245)</f>
        <v>0</v>
      </c>
    </row>
    <row r="28356" customFormat="false" ht="15" hidden="false" customHeight="false" outlineLevel="0" collapsed="false">
      <c r="A28356" s="3" t="s">
        <v>362</v>
      </c>
      <c r="C28356" s="16" t="n">
        <f aca="false">SUMPRODUCT($G$28241:$K$28241,$G$28248:$K$28248)</f>
        <v>0</v>
      </c>
    </row>
    <row r="28357" customFormat="false" ht="15" hidden="false" customHeight="false" outlineLevel="0" collapsed="false">
      <c r="A28357" s="3" t="s">
        <v>363</v>
      </c>
      <c r="C28357" s="3" t="str">
        <f aca="false">IF(SUM($G$28241:$K$28241)=0,"n/a (beyond horizon)",IF(SUMPRODUCT($G$28241:$K$28241,$G$28212:$K$28212)&gt;0,"REFINANCING PASS","REFINANCING FAILURE"))</f>
        <v>n/a (beyond horizon)</v>
      </c>
    </row>
    <row r="28358" customFormat="false" ht="15" hidden="false" customHeight="false" outlineLevel="0" collapsed="false">
      <c r="A28358" s="3" t="s">
        <v>364</v>
      </c>
      <c r="C28358" s="3" t="str">
        <f aca="false">IF(SUM($G$28241:$K$28241)=0,"n/a",IF(C28356&gt;=C28355-0.001,"Repaid from cash",IF(SUMPRODUCT($G$28241:$K$28241,$G$28212:$K$28212)&gt;0,IF(C28356&gt;0,"Partly repaid; remainder refinanced","Refinanced"),IF(SUM($G$28250:$K$28250)&gt;0.001,IF(C28356&gt;0,"Partial repayment; PAYMENT DEFAULT","PAYMENT DEFAULT"),"Repaid from cash"))))</f>
        <v>n/a</v>
      </c>
    </row>
    <row r="28359" customFormat="false" ht="15" hidden="false" customHeight="false" outlineLevel="0" collapsed="false">
      <c r="A28359" s="3" t="s">
        <v>365</v>
      </c>
      <c r="C28359" s="16" t="n">
        <f aca="false">SUMPRODUCT($G$28254:$K$28254,$G$28253:$K$28253-$G$28259:$K$28259+$G$28258:$K$28258)</f>
        <v>0</v>
      </c>
    </row>
    <row r="28360" customFormat="false" ht="15" hidden="false" customHeight="false" outlineLevel="0" collapsed="false">
      <c r="A28360" s="3" t="s">
        <v>366</v>
      </c>
      <c r="C28360" s="16" t="n">
        <f aca="false">SUMPRODUCT($G$28254:$K$28254,$G$28261:$K$28261)</f>
        <v>0</v>
      </c>
    </row>
    <row r="28361" customFormat="false" ht="15" hidden="false" customHeight="false" outlineLevel="0" collapsed="false">
      <c r="A28361" s="3" t="s">
        <v>367</v>
      </c>
      <c r="C28361" s="3" t="str">
        <f aca="false">IF(SUM($G$28254:$K$28254)=0,"n/a (beyond horizon)",IF(SUMPRODUCT($G$28254:$K$28254,$G$28212:$K$28212)&gt;0,"REFINANCING PASS","REFINANCING FAILURE"))</f>
        <v>REFINANCING FAILURE</v>
      </c>
    </row>
    <row r="28362" customFormat="false" ht="15" hidden="false" customHeight="false" outlineLevel="0" collapsed="false">
      <c r="A28362" s="3" t="s">
        <v>368</v>
      </c>
      <c r="C28362" s="3" t="str">
        <f aca="false">IF(SUM($G$28254:$K$28254)=0,"n/a",IF(C28360&gt;=C28359-0.001,"Repaid from cash",IF(SUMPRODUCT($G$28254:$K$28254,$G$28212:$K$28212)&gt;0,IF(C28360&gt;0,"Partly repaid; remainder refinanced","Refinanced"),IF(SUM($G$28263:$K$28263)&gt;0.001,IF(C28360&gt;0,"Partial repayment; PAYMENT DEFAULT","PAYMENT DEFAULT"),"Repaid from cash"))))</f>
        <v>Repaid from cash</v>
      </c>
    </row>
    <row r="28363" customFormat="false" ht="15" hidden="false" customHeight="false" outlineLevel="0" collapsed="false">
      <c r="A28363" s="3" t="s">
        <v>369</v>
      </c>
      <c r="C28363" s="16" t="n">
        <f aca="false">SUMPRODUCT($G$28267:$K$28267,$G$28266:$K$28266-$G$28272:$K$28272+$G$28271:$K$28271)</f>
        <v>450</v>
      </c>
    </row>
    <row r="28364" customFormat="false" ht="15" hidden="false" customHeight="false" outlineLevel="0" collapsed="false">
      <c r="A28364" s="3" t="s">
        <v>370</v>
      </c>
      <c r="C28364" s="16" t="n">
        <f aca="false">SUMPRODUCT($G$28267:$K$28267,$G$28274:$K$28274)</f>
        <v>24.5774413000001</v>
      </c>
    </row>
    <row r="28365" customFormat="false" ht="15" hidden="false" customHeight="false" outlineLevel="0" collapsed="false">
      <c r="A28365" s="3" t="s">
        <v>371</v>
      </c>
      <c r="C28365" s="3" t="str">
        <f aca="false">IF(SUM($G$28267:$K$28267)=0,"n/a (beyond horizon)",IF(SUMPRODUCT($G$28267:$K$28267,$G$28212:$K$28212)&gt;0,"REFINANCING PASS","REFINANCING FAILURE"))</f>
        <v>REFINANCING FAILURE</v>
      </c>
    </row>
    <row r="28366" customFormat="false" ht="15" hidden="false" customHeight="false" outlineLevel="0" collapsed="false">
      <c r="A28366" s="3" t="s">
        <v>372</v>
      </c>
      <c r="C28366" s="3" t="str">
        <f aca="false">IF(SUM($G$28267:$K$28267)=0,"n/a",IF(C28364&gt;=C28363-0.001,"Repaid from cash",IF(SUMPRODUCT($G$28267:$K$28267,$G$28212:$K$28212)&gt;0,IF(C28364&gt;0,"Partly repaid; remainder refinanced","Refinanced"),IF(SUM($G$28276:$K$28276)&gt;0.001,IF(C28364&gt;0,"Partial repayment; PAYMENT DEFAULT","PAYMENT DEFAULT"),"Repaid from cash"))))</f>
        <v>Partial repayment; PAYMENT DEFAULT</v>
      </c>
    </row>
    <row r="28367" customFormat="false" ht="15" hidden="false" customHeight="false" outlineLevel="0" collapsed="false">
      <c r="A28367" s="3" t="s">
        <v>373</v>
      </c>
      <c r="C28367" s="16" t="n">
        <f aca="false">SUMPRODUCT($G$28280:$K$28280,$G$28279:$K$28279-$G$28285:$K$28285+$G$28284:$K$28284)</f>
        <v>350</v>
      </c>
    </row>
    <row r="28368" customFormat="false" ht="15" hidden="false" customHeight="false" outlineLevel="0" collapsed="false">
      <c r="A28368" s="3" t="s">
        <v>374</v>
      </c>
      <c r="C28368" s="16" t="n">
        <f aca="false">SUMPRODUCT($G$28280:$K$28280,$G$28287:$K$28287)</f>
        <v>0</v>
      </c>
    </row>
    <row r="28369" customFormat="false" ht="15" hidden="false" customHeight="false" outlineLevel="0" collapsed="false">
      <c r="A28369" s="3" t="s">
        <v>375</v>
      </c>
      <c r="C28369" s="3" t="str">
        <f aca="false">IF(SUM($G$28280:$K$28280)=0,"n/a (beyond horizon)",IF(SUMPRODUCT($G$28280:$K$28280,$G$28212:$K$28212)&gt;0,"REFINANCING PASS","REFINANCING FAILURE"))</f>
        <v>REFINANCING FAILURE</v>
      </c>
    </row>
    <row r="28370" customFormat="false" ht="15" hidden="false" customHeight="false" outlineLevel="0" collapsed="false">
      <c r="A28370" s="3" t="s">
        <v>376</v>
      </c>
      <c r="C28370" s="3" t="str">
        <f aca="false">IF(SUM($G$28280:$K$28280)=0,"n/a",IF(C28368&gt;=C28367-0.001,"Repaid from cash",IF(SUMPRODUCT($G$28280:$K$28280,$G$28212:$K$28212)&gt;0,IF(C28368&gt;0,"Partly repaid; remainder refinanced","Refinanced"),IF(SUM($G$28289:$K$28289)&gt;0.001,IF(C28368&gt;0,"Partial repayment; PAYMENT DEFAULT","PAYMENT DEFAULT"),"Repaid from cash"))))</f>
        <v>PAYMENT DEFAULT</v>
      </c>
    </row>
    <row r="28371" customFormat="false" ht="15" hidden="false" customHeight="false" outlineLevel="0" collapsed="false">
      <c r="A28371" s="3" t="s">
        <v>377</v>
      </c>
      <c r="C28371" s="16" t="n">
        <f aca="false">SUMPRODUCT($G$28293:$K$28293,$G$28292:$K$28292-$G$28298:$K$28298+$G$28297:$K$28297)</f>
        <v>550</v>
      </c>
    </row>
    <row r="28372" customFormat="false" ht="15" hidden="false" customHeight="false" outlineLevel="0" collapsed="false">
      <c r="A28372" s="3" t="s">
        <v>378</v>
      </c>
      <c r="C28372" s="16" t="n">
        <f aca="false">SUMPRODUCT($G$28293:$K$28293,$G$28300:$K$28300)</f>
        <v>0</v>
      </c>
    </row>
    <row r="28373" customFormat="false" ht="15" hidden="false" customHeight="false" outlineLevel="0" collapsed="false">
      <c r="A28373" s="3" t="s">
        <v>379</v>
      </c>
      <c r="C28373" s="3" t="str">
        <f aca="false">IF(SUM($G$28293:$K$28293)=0,"n/a (beyond horizon)",IF(SUMPRODUCT($G$28293:$K$28293,$G$28212:$K$28212)&gt;0,"REFINANCING PASS","REFINANCING FAILURE"))</f>
        <v>REFINANCING FAILURE</v>
      </c>
    </row>
    <row r="28374" customFormat="false" ht="15" hidden="false" customHeight="false" outlineLevel="0" collapsed="false">
      <c r="A28374" s="3" t="s">
        <v>380</v>
      </c>
      <c r="C28374" s="3" t="str">
        <f aca="false">IF(SUM($G$28293:$K$28293)=0,"n/a",IF(C28372&gt;=C28371-0.001,"Repaid from cash",IF(SUMPRODUCT($G$28293:$K$28293,$G$28212:$K$28212)&gt;0,IF(C28372&gt;0,"Partly repaid; remainder refinanced","Refinanced"),IF(SUM($G$28302:$K$28302)&gt;0.001,IF(C28372&gt;0,"Partial repayment; PAYMENT DEFAULT","PAYMENT DEFAULT"),"Repaid from cash"))))</f>
        <v>PAYMENT DEFAULT</v>
      </c>
    </row>
    <row r="28375" customFormat="false" ht="15" hidden="false" customHeight="false" outlineLevel="0" collapsed="false">
      <c r="A28375" s="3" t="s">
        <v>381</v>
      </c>
      <c r="C28375" s="16" t="n">
        <f aca="false">SUMPRODUCT($G$28306:$K$28306,$G$28305:$K$28305-$G$28311:$K$28311+$G$28310:$K$28310)</f>
        <v>350</v>
      </c>
    </row>
    <row r="28376" customFormat="false" ht="15" hidden="false" customHeight="false" outlineLevel="0" collapsed="false">
      <c r="A28376" s="3" t="s">
        <v>382</v>
      </c>
      <c r="C28376" s="16" t="n">
        <f aca="false">SUMPRODUCT($G$28306:$K$28306,$G$28313:$K$28313)</f>
        <v>0</v>
      </c>
    </row>
    <row r="28377" customFormat="false" ht="15" hidden="false" customHeight="false" outlineLevel="0" collapsed="false">
      <c r="A28377" s="3" t="s">
        <v>383</v>
      </c>
      <c r="C28377" s="3" t="str">
        <f aca="false">IF(SUM($G$28306:$K$28306)=0,"n/a (beyond horizon)",IF(SUMPRODUCT($G$28306:$K$28306,$G$28212:$K$28212)&gt;0,"REFINANCING PASS","REFINANCING FAILURE"))</f>
        <v>REFINANCING FAILURE</v>
      </c>
    </row>
    <row r="28378" customFormat="false" ht="15" hidden="false" customHeight="false" outlineLevel="0" collapsed="false">
      <c r="A28378" s="3" t="s">
        <v>384</v>
      </c>
      <c r="C28378" s="3" t="str">
        <f aca="false">IF(SUM($G$28306:$K$28306)=0,"n/a",IF(C28376&gt;=C28375-0.001,"Repaid from cash",IF(SUMPRODUCT($G$28306:$K$28306,$G$28212:$K$28212)&gt;0,IF(C28376&gt;0,"Partly repaid; remainder refinanced","Refinanced"),IF(SUM($G$28315:$K$28315)&gt;0.001,IF(C28376&gt;0,"Partial repayment; PAYMENT DEFAULT","PAYMENT DEFAULT"),"Repaid from cash"))))</f>
        <v>PAYMENT DEFAULT</v>
      </c>
    </row>
    <row r="28379" customFormat="false" ht="15" hidden="false" customHeight="false" outlineLevel="0" collapsed="false">
      <c r="A28379" s="3" t="s">
        <v>385</v>
      </c>
      <c r="C28379" s="16" t="n">
        <f aca="false">SUMPRODUCT($G$28319:$K$28319,$G$28318:$K$28318-$G$28324:$K$28324+$G$28323:$K$28323)</f>
        <v>300</v>
      </c>
    </row>
    <row r="28380" customFormat="false" ht="15" hidden="false" customHeight="false" outlineLevel="0" collapsed="false">
      <c r="A28380" s="3" t="s">
        <v>386</v>
      </c>
      <c r="C28380" s="16" t="n">
        <f aca="false">SUMPRODUCT($G$28319:$K$28319,$G$28326:$K$28326)</f>
        <v>0</v>
      </c>
    </row>
    <row r="28381" customFormat="false" ht="15" hidden="false" customHeight="false" outlineLevel="0" collapsed="false">
      <c r="A28381" s="3" t="s">
        <v>387</v>
      </c>
      <c r="C28381" s="3" t="str">
        <f aca="false">IF(SUM($G$28319:$K$28319)=0,"n/a (beyond horizon)",IF(SUMPRODUCT($G$28319:$K$28319,$G$28212:$K$28212)&gt;0,"REFINANCING PASS","REFINANCING FAILURE"))</f>
        <v>REFINANCING FAILURE</v>
      </c>
    </row>
    <row r="28382" customFormat="false" ht="15" hidden="false" customHeight="false" outlineLevel="0" collapsed="false">
      <c r="A28382" s="3" t="s">
        <v>388</v>
      </c>
      <c r="C28382" s="3" t="str">
        <f aca="false">IF(SUM($G$28319:$K$28319)=0,"n/a",IF(C28380&gt;=C28379-0.001,"Repaid from cash",IF(SUMPRODUCT($G$28319:$K$28319,$G$28212:$K$28212)&gt;0,IF(C28380&gt;0,"Partly repaid; remainder refinanced","Refinanced"),IF(SUM($G$28328:$K$28328)&gt;0.001,IF(C28380&gt;0,"Partial repayment; PAYMENT DEFAULT","PAYMENT DEFAULT"),"Repaid from cash"))))</f>
        <v>PAYMENT DEFAULT</v>
      </c>
    </row>
    <row r="28383" customFormat="false" ht="15" hidden="false" customHeight="false" outlineLevel="0" collapsed="false">
      <c r="A28383" s="3" t="s">
        <v>389</v>
      </c>
      <c r="C28383" s="16" t="n">
        <f aca="false">SUMPRODUCT($G$28332:$K$28332,$G$28331:$K$28331-$G$28337:$K$28337+$G$28336:$K$28336)</f>
        <v>0</v>
      </c>
    </row>
    <row r="28384" customFormat="false" ht="15" hidden="false" customHeight="false" outlineLevel="0" collapsed="false">
      <c r="A28384" s="3" t="s">
        <v>390</v>
      </c>
      <c r="C28384" s="16" t="n">
        <f aca="false">SUMPRODUCT($G$28332:$K$28332,$G$28339:$K$28339)</f>
        <v>0</v>
      </c>
    </row>
    <row r="28385" customFormat="false" ht="15" hidden="false" customHeight="false" outlineLevel="0" collapsed="false">
      <c r="A28385" s="3" t="s">
        <v>391</v>
      </c>
      <c r="C28385" s="3" t="str">
        <f aca="false">IF(SUM($G$28332:$K$28332)=0,"n/a (beyond horizon)",IF(SUMPRODUCT($G$28332:$K$28332,$G$28212:$K$28212)&gt;0,"REFINANCING PASS","REFINANCING FAILURE"))</f>
        <v>n/a (beyond horizon)</v>
      </c>
    </row>
    <row r="28386" customFormat="false" ht="15" hidden="false" customHeight="false" outlineLevel="0" collapsed="false">
      <c r="A28386" s="3" t="s">
        <v>392</v>
      </c>
      <c r="C28386" s="3" t="str">
        <f aca="false">IF(SUM($G$28332:$K$28332)=0,"n/a",IF(C28384&gt;=C28383-0.001,"Repaid from cash",IF(SUMPRODUCT($G$28332:$K$28332,$G$28212:$K$28212)&gt;0,IF(C28384&gt;0,"Partly repaid; remainder refinanced","Refinanced"),IF(SUM($G$28341:$K$28341)&gt;0.001,IF(C28384&gt;0,"Partial repayment; PAYMENT DEFAULT","PAYMENT DEFAULT"),"Repaid from cash"))))</f>
        <v>n/a</v>
      </c>
    </row>
    <row r="28387" customFormat="false" ht="15" hidden="false" customHeight="false" outlineLevel="0" collapsed="false">
      <c r="A28387" s="3" t="s">
        <v>393</v>
      </c>
      <c r="C28387" s="21" t="n">
        <f aca="false">IF(C28349="REFINANCING FAILURE",1,0)+IF(C28353="REFINANCING FAILURE",1,0)+IF(C28357="REFINANCING FAILURE",1,0)+IF(C28361="REFINANCING FAILURE",1,0)+IF(C28365="REFINANCING FAILURE",1,0)+IF(C28369="REFINANCING FAILURE",1,0)+IF(C28373="REFINANCING FAILURE",1,0)+IF(C28377="REFINANCING FAILURE",1,0)+IF(C28381="REFINANCING FAILURE",1,0)+IF(C28385="REFINANCING FAILURE",1,0)</f>
        <v>7</v>
      </c>
    </row>
    <row r="28389" customFormat="false" ht="15" hidden="false" customHeight="false" outlineLevel="0" collapsed="false">
      <c r="A28389" s="24" t="s">
        <v>395</v>
      </c>
      <c r="B28389" s="25"/>
      <c r="C28389" s="25"/>
      <c r="D28389" s="25"/>
      <c r="E28389" s="25"/>
      <c r="F28389" s="25"/>
      <c r="G28389" s="25"/>
      <c r="H28389" s="25"/>
      <c r="I28389" s="25"/>
      <c r="J28389" s="25"/>
      <c r="K28389" s="25"/>
    </row>
    <row r="28390" customFormat="false" ht="15" hidden="false" customHeight="false" outlineLevel="0" collapsed="false">
      <c r="A28390" s="3" t="s">
        <v>325</v>
      </c>
      <c r="G28390" s="16" t="n">
        <f aca="false">F28402</f>
        <v>37.87</v>
      </c>
      <c r="H28390" s="16" t="n">
        <f aca="false">G28402</f>
        <v>92.0805416000001</v>
      </c>
      <c r="I28390" s="16" t="n">
        <f aca="false">H28402</f>
        <v>0</v>
      </c>
      <c r="J28390" s="16" t="n">
        <f aca="false">I28402</f>
        <v>-70.6921798716</v>
      </c>
      <c r="K28390" s="16" t="n">
        <f aca="false">J28402</f>
        <v>-138.93157234325</v>
      </c>
    </row>
    <row r="28391" customFormat="false" ht="15" hidden="false" customHeight="false" outlineLevel="0" collapsed="false">
      <c r="A28391" s="3" t="s">
        <v>396</v>
      </c>
      <c r="G28391" s="16" t="n">
        <f aca="false">G28201</f>
        <v>-41.7894583999999</v>
      </c>
      <c r="H28391" s="16" t="n">
        <f aca="false">H28201</f>
        <v>-63.5031003</v>
      </c>
      <c r="I28391" s="16" t="n">
        <f aca="false">I28201</f>
        <v>-66.6921798716</v>
      </c>
      <c r="J28391" s="16" t="n">
        <f aca="false">J28201</f>
        <v>-64.23939247165</v>
      </c>
      <c r="K28391" s="16" t="n">
        <f aca="false">K28201</f>
        <v>-58.509689483781</v>
      </c>
    </row>
    <row r="28392" customFormat="false" ht="15" hidden="false" customHeight="false" outlineLevel="0" collapsed="false">
      <c r="A28392" s="3" t="s">
        <v>397</v>
      </c>
      <c r="G28392" s="16" t="n">
        <f aca="false">CHOOSE($C$28171,Assumptions!$G$82,Assumptions!$G$101,Assumptions!$G$120)</f>
        <v>100</v>
      </c>
      <c r="H28392" s="16" t="n">
        <f aca="false">CHOOSE($C$28171,Assumptions!$H$82,Assumptions!$H$101,Assumptions!$H$120)</f>
        <v>0</v>
      </c>
      <c r="I28392" s="16" t="n">
        <f aca="false">CHOOSE($C$28171,Assumptions!$I$82,Assumptions!$I$101,Assumptions!$I$120)</f>
        <v>0</v>
      </c>
      <c r="J28392" s="16" t="n">
        <f aca="false">CHOOSE($C$28171,Assumptions!$J$82,Assumptions!$J$101,Assumptions!$J$120)</f>
        <v>0</v>
      </c>
      <c r="K28392" s="16" t="n">
        <f aca="false">CHOOSE($C$28171,Assumptions!$K$82,Assumptions!$K$101,Assumptions!$K$120)</f>
        <v>0</v>
      </c>
    </row>
    <row r="28393" customFormat="false" ht="15" hidden="false" customHeight="false" outlineLevel="0" collapsed="false">
      <c r="A28393" s="3" t="s">
        <v>398</v>
      </c>
      <c r="G28393" s="16" t="n">
        <f aca="false">G28220+G28233+G28246+G28259+G28272+G28285+G28298+G28311+G28324+G28337</f>
        <v>4</v>
      </c>
      <c r="H28393" s="16" t="n">
        <f aca="false">H28220+H28233+H28246+H28259+H28272+H28285+H28298+H28311+H28324+H28337</f>
        <v>4</v>
      </c>
      <c r="I28393" s="16" t="n">
        <f aca="false">I28220+I28233+I28246+I28259+I28272+I28285+I28298+I28311+I28324+I28337</f>
        <v>4</v>
      </c>
      <c r="J28393" s="16" t="n">
        <f aca="false">J28220+J28233+J28246+J28259+J28272+J28285+J28298+J28311+J28324+J28337</f>
        <v>4</v>
      </c>
      <c r="K28393" s="16" t="n">
        <f aca="false">K28220+K28233+K28246+K28259+K28272+K28285+K28298+K28311+K28324+K28337</f>
        <v>4</v>
      </c>
    </row>
    <row r="28394" customFormat="false" ht="15" hidden="false" customHeight="false" outlineLevel="0" collapsed="false">
      <c r="A28394" s="2" t="s">
        <v>399</v>
      </c>
      <c r="G28394" s="17" t="n">
        <f aca="false">G28390+G28391+G28392-G28393</f>
        <v>92.0805416000001</v>
      </c>
      <c r="H28394" s="17" t="n">
        <f aca="false">H28390+H28391+H28392-H28393</f>
        <v>24.5774413000001</v>
      </c>
      <c r="I28394" s="17" t="n">
        <f aca="false">I28390+I28391+I28392-I28393</f>
        <v>-70.6921798716</v>
      </c>
      <c r="J28394" s="17" t="n">
        <f aca="false">J28390+J28391+J28392-J28393</f>
        <v>-138.93157234325</v>
      </c>
      <c r="K28394" s="17" t="n">
        <f aca="false">K28390+K28391+K28392-K28393</f>
        <v>-201.441261827031</v>
      </c>
    </row>
    <row r="28395" customFormat="false" ht="15" hidden="false" customHeight="false" outlineLevel="0" collapsed="false">
      <c r="A28395" s="3" t="s">
        <v>400</v>
      </c>
      <c r="G28395" s="16" t="n">
        <f aca="false">G28221+G28234+G28247+G28260+G28273+G28286+G28299+G28312+G28325+G28338</f>
        <v>0</v>
      </c>
      <c r="H28395" s="16" t="n">
        <f aca="false">H28221+H28234+H28247+H28260+H28273+H28286+H28299+H28312+H28325+H28338</f>
        <v>0</v>
      </c>
      <c r="I28395" s="16" t="n">
        <f aca="false">I28221+I28234+I28247+I28260+I28273+I28286+I28299+I28312+I28325+I28338</f>
        <v>0</v>
      </c>
      <c r="J28395" s="16" t="n">
        <f aca="false">J28221+J28234+J28247+J28260+J28273+J28286+J28299+J28312+J28325+J28338</f>
        <v>0</v>
      </c>
      <c r="K28395" s="16" t="n">
        <f aca="false">K28221+K28234+K28247+K28260+K28273+K28286+K28299+K28312+K28325+K28338</f>
        <v>0</v>
      </c>
    </row>
    <row r="28396" customFormat="false" ht="15" hidden="false" customHeight="false" outlineLevel="0" collapsed="false">
      <c r="A28396" s="2" t="s">
        <v>401</v>
      </c>
      <c r="G28396" s="17" t="n">
        <f aca="false">G28394+G28395</f>
        <v>92.0805416000001</v>
      </c>
      <c r="H28396" s="17" t="n">
        <f aca="false">H28394+H28395</f>
        <v>24.5774413000001</v>
      </c>
      <c r="I28396" s="17" t="n">
        <f aca="false">I28394+I28395</f>
        <v>-70.6921798716</v>
      </c>
      <c r="J28396" s="17" t="n">
        <f aca="false">J28394+J28395</f>
        <v>-138.93157234325</v>
      </c>
      <c r="K28396" s="17" t="n">
        <f aca="false">K28394+K28395</f>
        <v>-201.441261827031</v>
      </c>
    </row>
    <row r="28397" customFormat="false" ht="15" hidden="false" customHeight="false" outlineLevel="0" collapsed="false">
      <c r="A28397" s="3" t="s">
        <v>402</v>
      </c>
      <c r="G28397" s="16" t="n">
        <f aca="false">G28222+G28235+G28248+G28261+G28274+G28287+G28300+G28313+G28326+G28339</f>
        <v>0</v>
      </c>
      <c r="H28397" s="16" t="n">
        <f aca="false">H28222+H28235+H28248+H28261+H28274+H28287+H28300+H28313+H28326+H28339</f>
        <v>24.5774413000001</v>
      </c>
      <c r="I28397" s="16" t="n">
        <f aca="false">I28222+I28235+I28248+I28261+I28274+I28287+I28300+I28313+I28326+I28339</f>
        <v>0</v>
      </c>
      <c r="J28397" s="16" t="n">
        <f aca="false">J28222+J28235+J28248+J28261+J28274+J28287+J28300+J28313+J28326+J28339</f>
        <v>0</v>
      </c>
      <c r="K28397" s="16" t="n">
        <f aca="false">K28222+K28235+K28248+K28261+K28274+K28287+K28300+K28313+K28326+K28339</f>
        <v>0</v>
      </c>
    </row>
    <row r="28398" customFormat="false" ht="15" hidden="false" customHeight="false" outlineLevel="0" collapsed="false">
      <c r="A28398" s="2" t="s">
        <v>403</v>
      </c>
      <c r="G28398" s="17" t="n">
        <f aca="false">G28396-G28397</f>
        <v>92.0805416000001</v>
      </c>
      <c r="H28398" s="17" t="n">
        <f aca="false">H28396-H28397</f>
        <v>0</v>
      </c>
      <c r="I28398" s="17" t="n">
        <f aca="false">I28396-I28397</f>
        <v>-70.6921798716</v>
      </c>
      <c r="J28398" s="17" t="n">
        <f aca="false">J28396-J28397</f>
        <v>-138.93157234325</v>
      </c>
      <c r="K28398" s="17" t="n">
        <f aca="false">K28396-K28397</f>
        <v>-201.441261827031</v>
      </c>
    </row>
    <row r="28399" customFormat="false" ht="15" hidden="false" customHeight="false" outlineLevel="0" collapsed="false">
      <c r="A28399" s="3" t="s">
        <v>404</v>
      </c>
      <c r="G28399" s="16" t="n">
        <f aca="false">MAX(0,-G28398)</f>
        <v>0</v>
      </c>
      <c r="H28399" s="16" t="n">
        <f aca="false">MAX(0,-H28398)</f>
        <v>-0</v>
      </c>
      <c r="I28399" s="16" t="n">
        <f aca="false">MAX(0,-I28398)</f>
        <v>70.6921798716</v>
      </c>
      <c r="J28399" s="16" t="n">
        <f aca="false">MAX(0,-J28398)</f>
        <v>138.93157234325</v>
      </c>
      <c r="K28399" s="16" t="n">
        <f aca="false">MAX(0,-K28398)</f>
        <v>201.441261827031</v>
      </c>
    </row>
    <row r="28400" customFormat="false" ht="15" hidden="false" customHeight="false" outlineLevel="0" collapsed="false">
      <c r="A28400" s="3" t="s">
        <v>405</v>
      </c>
      <c r="G28400" s="16" t="n">
        <f aca="false">MAX(0,G28398-Assumptions!$C$12)*Assumptions!$C$13</f>
        <v>0</v>
      </c>
      <c r="H28400" s="16" t="n">
        <f aca="false">MAX(0,H28398-Assumptions!$C$12)*Assumptions!$C$13</f>
        <v>0</v>
      </c>
      <c r="I28400" s="16" t="n">
        <f aca="false">MAX(0,I28398-Assumptions!$C$12)*Assumptions!$C$13</f>
        <v>0</v>
      </c>
      <c r="J28400" s="16" t="n">
        <f aca="false">MAX(0,J28398-Assumptions!$C$12)*Assumptions!$C$13</f>
        <v>0</v>
      </c>
      <c r="K28400" s="16" t="n">
        <f aca="false">MAX(0,K28398-Assumptions!$C$12)*Assumptions!$C$13</f>
        <v>0</v>
      </c>
    </row>
    <row r="28401" customFormat="false" ht="15" hidden="false" customHeight="false" outlineLevel="0" collapsed="false">
      <c r="A28401" s="3" t="s">
        <v>406</v>
      </c>
      <c r="G28401" s="16" t="n">
        <f aca="false">G28223+G28236+G28249+G28262+G28275+G28288+G28301+G28314+G28327+G28340</f>
        <v>0</v>
      </c>
      <c r="H28401" s="16" t="n">
        <f aca="false">H28223+H28236+H28249+H28262+H28275+H28288+H28301+H28314+H28327+H28340</f>
        <v>0</v>
      </c>
      <c r="I28401" s="16" t="n">
        <f aca="false">I28223+I28236+I28249+I28262+I28275+I28288+I28301+I28314+I28327+I28340</f>
        <v>0</v>
      </c>
      <c r="J28401" s="16" t="n">
        <f aca="false">J28223+J28236+J28249+J28262+J28275+J28288+J28301+J28314+J28327+J28340</f>
        <v>0</v>
      </c>
      <c r="K28401" s="16" t="n">
        <f aca="false">K28223+K28236+K28249+K28262+K28275+K28288+K28301+K28314+K28327+K28340</f>
        <v>0</v>
      </c>
    </row>
    <row r="28402" customFormat="false" ht="15" hidden="false" customHeight="false" outlineLevel="0" collapsed="false">
      <c r="A28402" s="2" t="s">
        <v>407</v>
      </c>
      <c r="F28402" s="28" t="n">
        <f aca="false">Assumptions!$C$11</f>
        <v>37.87</v>
      </c>
      <c r="G28402" s="17" t="n">
        <f aca="false">G28398-G28401</f>
        <v>92.0805416000001</v>
      </c>
      <c r="H28402" s="17" t="n">
        <f aca="false">H28398-H28401</f>
        <v>0</v>
      </c>
      <c r="I28402" s="17" t="n">
        <f aca="false">I28398-I28401</f>
        <v>-70.6921798716</v>
      </c>
      <c r="J28402" s="17" t="n">
        <f aca="false">J28398-J28401</f>
        <v>-138.93157234325</v>
      </c>
      <c r="K28402" s="17" t="n">
        <f aca="false">K28398-K28401</f>
        <v>-201.441261827031</v>
      </c>
    </row>
    <row r="28403" customFormat="false" ht="15" hidden="false" customHeight="false" outlineLevel="0" collapsed="false">
      <c r="A28403" s="3" t="s">
        <v>408</v>
      </c>
      <c r="G28403" s="16" t="n">
        <f aca="false">G28224+G28237+G28250+G28263+G28276+G28289+G28302+G28315+G28328+G28341</f>
        <v>0</v>
      </c>
      <c r="H28403" s="16" t="n">
        <f aca="false">H28224+H28237+H28250+H28263+H28276+H28289+H28302+H28315+H28328+H28341</f>
        <v>775.4225587</v>
      </c>
      <c r="I28403" s="16" t="n">
        <f aca="false">I28224+I28237+I28250+I28263+I28276+I28289+I28302+I28315+I28328+I28341</f>
        <v>550</v>
      </c>
      <c r="J28403" s="16" t="n">
        <f aca="false">J28224+J28237+J28250+J28263+J28276+J28289+J28302+J28315+J28328+J28341</f>
        <v>350</v>
      </c>
      <c r="K28403" s="16" t="n">
        <f aca="false">K28224+K28237+K28250+K28263+K28276+K28289+K28302+K28315+K28328+K28341</f>
        <v>680</v>
      </c>
    </row>
    <row r="28404" customFormat="false" ht="15" hidden="false" customHeight="false" outlineLevel="0" collapsed="false">
      <c r="A28404" s="3" t="s">
        <v>409</v>
      </c>
      <c r="G28404" s="21" t="n">
        <f aca="false">IF(OR(G28399&gt;0.001,G28403&gt;0.001),1,0)</f>
        <v>0</v>
      </c>
      <c r="H28404" s="21" t="n">
        <f aca="false">IF(OR(H28399&gt;0.001,H28403&gt;0.001),1,0)</f>
        <v>1</v>
      </c>
      <c r="I28404" s="21" t="n">
        <f aca="false">IF(OR(I28399&gt;0.001,I28403&gt;0.001),1,0)</f>
        <v>1</v>
      </c>
      <c r="J28404" s="21" t="n">
        <f aca="false">IF(OR(J28399&gt;0.001,J28403&gt;0.001),1,0)</f>
        <v>1</v>
      </c>
      <c r="K28404" s="21" t="n">
        <f aca="false">IF(OR(K28399&gt;0.001,K28403&gt;0.001),1,0)</f>
        <v>1</v>
      </c>
    </row>
    <row r="28405" customFormat="false" ht="15" hidden="false" customHeight="false" outlineLevel="0" collapsed="false">
      <c r="A28405" s="3" t="s">
        <v>410</v>
      </c>
      <c r="G28405" s="21" t="n">
        <f aca="false">IF(G28404=1,1,0)</f>
        <v>0</v>
      </c>
      <c r="H28405" s="21" t="n">
        <f aca="false">IF(AND(H28404=1,SUM($G$28404:G28404)=0),1,0)</f>
        <v>1</v>
      </c>
      <c r="I28405" s="21" t="n">
        <f aca="false">IF(AND(I28404=1,SUM($G$28404:H28404)=0),1,0)</f>
        <v>0</v>
      </c>
      <c r="J28405" s="21" t="n">
        <f aca="false">IF(AND(J28404=1,SUM($G$28404:I28404)=0),1,0)</f>
        <v>0</v>
      </c>
      <c r="K28405" s="21" t="n">
        <f aca="false">IF(AND(K28404=1,SUM($G$28404:J28404)=0),1,0)</f>
        <v>0</v>
      </c>
    </row>
    <row r="28406" customFormat="false" ht="15" hidden="false" customHeight="false" outlineLevel="0" collapsed="false">
      <c r="A28406" s="3" t="s">
        <v>411</v>
      </c>
      <c r="G28406" s="16" t="n">
        <f aca="false">(G28344-F28344)-(G28395+G28193-G28393-G28397-G28401)</f>
        <v>0</v>
      </c>
      <c r="H28406" s="16" t="n">
        <f aca="false">(H28344-G28344)-(H28395+H28193-H28393-H28397-H28401)</f>
        <v>-3.12638803734444E-013</v>
      </c>
      <c r="I28406" s="16" t="n">
        <f aca="false">(I28344-H28344)-(I28395+I28193-I28393-I28397-I28401)</f>
        <v>0</v>
      </c>
      <c r="J28406" s="16" t="n">
        <f aca="false">(J28344-I28344)-(J28395+J28193-J28393-J28397-J28401)</f>
        <v>0</v>
      </c>
      <c r="K28406" s="16" t="n">
        <f aca="false">(K28344-J28344)-(K28395+K28193-K28393-K28397-K28401)</f>
        <v>0</v>
      </c>
    </row>
    <row r="28408" customFormat="false" ht="15" hidden="false" customHeight="false" outlineLevel="0" collapsed="false">
      <c r="A28408" s="24" t="s">
        <v>413</v>
      </c>
      <c r="B28408" s="25"/>
      <c r="C28408" s="25"/>
      <c r="D28408" s="25"/>
      <c r="E28408" s="25"/>
      <c r="F28408" s="25"/>
      <c r="G28408" s="25"/>
      <c r="H28408" s="25"/>
      <c r="I28408" s="25"/>
      <c r="J28408" s="25"/>
      <c r="K28408" s="25"/>
    </row>
    <row r="28409" customFormat="false" ht="15" hidden="false" customHeight="false" outlineLevel="0" collapsed="false">
      <c r="A28409" s="3" t="s">
        <v>414</v>
      </c>
      <c r="G28409" s="16" t="n">
        <f aca="false">G28344</f>
        <v>2621.934</v>
      </c>
      <c r="H28409" s="16" t="n">
        <f aca="false">H28344</f>
        <v>2593.3565587</v>
      </c>
      <c r="I28409" s="16" t="n">
        <f aca="false">I28344</f>
        <v>2589.3565587</v>
      </c>
      <c r="J28409" s="16" t="n">
        <f aca="false">J28344</f>
        <v>2585.3565587</v>
      </c>
      <c r="K28409" s="16" t="n">
        <f aca="false">K28344</f>
        <v>2581.3565587</v>
      </c>
    </row>
    <row r="28410" customFormat="false" ht="15" hidden="false" customHeight="false" outlineLevel="0" collapsed="false">
      <c r="A28410" s="3" t="s">
        <v>415</v>
      </c>
      <c r="G28410" s="16" t="n">
        <f aca="false">Assumptions!$O$57*G28225+Assumptions!$O$58*G28238+Assumptions!$O$59*G28251+Assumptions!$O$60*G28264+Assumptions!$O$61*G28277+Assumptions!$O$62*G28290+Assumptions!$O$63*G28303+Assumptions!$O$64*G28316+Assumptions!$O$65*G28329+Assumptions!$O$66*G28342</f>
        <v>543.324</v>
      </c>
      <c r="H28410" s="16" t="n">
        <f aca="false">Assumptions!$O$57*H28225+Assumptions!$O$58*H28238+Assumptions!$O$59*H28251+Assumptions!$O$60*H28264+Assumptions!$O$61*H28277+Assumptions!$O$62*H28290+Assumptions!$O$63*H28303+Assumptions!$O$64*H28316+Assumptions!$O$65*H28329+Assumptions!$O$66*H28342</f>
        <v>539.324</v>
      </c>
      <c r="I28410" s="16" t="n">
        <f aca="false">Assumptions!$O$57*I28225+Assumptions!$O$58*I28238+Assumptions!$O$59*I28251+Assumptions!$O$60*I28264+Assumptions!$O$61*I28277+Assumptions!$O$62*I28290+Assumptions!$O$63*I28303+Assumptions!$O$64*I28316+Assumptions!$O$65*I28329+Assumptions!$O$66*I28342</f>
        <v>535.324</v>
      </c>
      <c r="J28410" s="16" t="n">
        <f aca="false">Assumptions!$O$57*J28225+Assumptions!$O$58*J28238+Assumptions!$O$59*J28251+Assumptions!$O$60*J28264+Assumptions!$O$61*J28277+Assumptions!$O$62*J28290+Assumptions!$O$63*J28303+Assumptions!$O$64*J28316+Assumptions!$O$65*J28329+Assumptions!$O$66*J28342</f>
        <v>531.324</v>
      </c>
      <c r="K28410" s="16" t="n">
        <f aca="false">Assumptions!$O$57*K28225+Assumptions!$O$58*K28238+Assumptions!$O$59*K28251+Assumptions!$O$60*K28264+Assumptions!$O$61*K28277+Assumptions!$O$62*K28290+Assumptions!$O$63*K28303+Assumptions!$O$64*K28316+Assumptions!$O$65*K28329+Assumptions!$O$66*K28342</f>
        <v>527.324</v>
      </c>
    </row>
    <row r="28411" customFormat="false" ht="15" hidden="false" customHeight="false" outlineLevel="0" collapsed="false">
      <c r="A28411" s="3" t="s">
        <v>416</v>
      </c>
      <c r="G28411" s="16" t="n">
        <f aca="false">G28409-G28402</f>
        <v>2529.8534584</v>
      </c>
      <c r="H28411" s="16" t="n">
        <f aca="false">H28409-H28402</f>
        <v>2593.3565587</v>
      </c>
      <c r="I28411" s="16" t="n">
        <f aca="false">I28409-I28402</f>
        <v>2660.0487385716</v>
      </c>
      <c r="J28411" s="16" t="n">
        <f aca="false">J28409-J28402</f>
        <v>2724.28813104325</v>
      </c>
      <c r="K28411" s="16" t="n">
        <f aca="false">K28409-K28402</f>
        <v>2782.79782052703</v>
      </c>
    </row>
    <row r="28412" customFormat="false" ht="15" hidden="false" customHeight="false" outlineLevel="0" collapsed="false">
      <c r="A28412" s="3" t="s">
        <v>417</v>
      </c>
      <c r="G28412" s="32" t="n">
        <f aca="false">IF(G28188&gt;0,G28409/G28188,0)</f>
        <v>12.7097898879239</v>
      </c>
      <c r="H28412" s="32" t="n">
        <f aca="false">IF(H28188&gt;0,H28409/H28188,0)</f>
        <v>14.4605654346835</v>
      </c>
      <c r="I28412" s="32" t="n">
        <f aca="false">IF(I28188&gt;0,I28409/I28188,0)</f>
        <v>15.059920947896</v>
      </c>
      <c r="J28412" s="32" t="n">
        <f aca="false">IF(J28188&gt;0,J28409/J28188,0)</f>
        <v>14.861811758874</v>
      </c>
      <c r="K28412" s="32" t="n">
        <f aca="false">IF(K28188&gt;0,K28409/K28188,0)</f>
        <v>14.3579921462103</v>
      </c>
    </row>
    <row r="28413" customFormat="false" ht="15" hidden="false" customHeight="false" outlineLevel="0" collapsed="false">
      <c r="A28413" s="3" t="s">
        <v>418</v>
      </c>
      <c r="G28413" s="32" t="n">
        <f aca="false">IF(G28188&gt;0,G28411/G28188,0)</f>
        <v>12.2634306979129</v>
      </c>
      <c r="H28413" s="32" t="n">
        <f aca="false">IF(H28188&gt;0,H28411/H28188,0)</f>
        <v>14.4605654346835</v>
      </c>
      <c r="I28413" s="32" t="n">
        <f aca="false">IF(I28188&gt;0,I28411/I28188,0)</f>
        <v>15.4710727596941</v>
      </c>
      <c r="J28413" s="32" t="n">
        <f aca="false">IF(J28188&gt;0,J28411/J28188,0)</f>
        <v>15.6604539688166</v>
      </c>
      <c r="K28413" s="32" t="n">
        <f aca="false">IF(K28188&gt;0,K28411/K28188,0)</f>
        <v>15.4784464459029</v>
      </c>
    </row>
    <row r="28414" customFormat="false" ht="15" hidden="false" customHeight="false" outlineLevel="0" collapsed="false">
      <c r="A28414" s="3" t="s">
        <v>419</v>
      </c>
      <c r="G28414" s="32" t="n">
        <f aca="false">IF(G28192&gt;0,G28188/G28192,0)</f>
        <v>1.08699770563034</v>
      </c>
      <c r="H28414" s="32" t="n">
        <f aca="false">IF(H28192&gt;0,H28188/H28192,0)</f>
        <v>0.950780080759025</v>
      </c>
      <c r="I28414" s="32" t="n">
        <f aca="false">IF(I28192&gt;0,I28188/I28192,0)</f>
        <v>0.924210049479818</v>
      </c>
      <c r="J28414" s="32" t="n">
        <f aca="false">IF(J28192&gt;0,J28188/J28192,0)</f>
        <v>0.937249441644199</v>
      </c>
      <c r="K28414" s="32" t="n">
        <f aca="false">IF(K28192&gt;0,K28188/K28192,0)</f>
        <v>0.970885677243594</v>
      </c>
    </row>
    <row r="28415" customFormat="false" ht="15" hidden="false" customHeight="false" outlineLevel="0" collapsed="false">
      <c r="A28415" s="3" t="s">
        <v>420</v>
      </c>
      <c r="G28415" s="32" t="n">
        <f aca="false">IF(G28192&gt;0,G28191/G28192,0)</f>
        <v>0.208285284534327</v>
      </c>
      <c r="H28415" s="32" t="n">
        <f aca="false">IF(H28192&gt;0,H28191/H28192,0)</f>
        <v>0.128560928701562</v>
      </c>
      <c r="I28415" s="32" t="n">
        <f aca="false">IF(I28192&gt;0,I28191/I28192,0)</f>
        <v>0.115565383431199</v>
      </c>
      <c r="J28415" s="32" t="n">
        <f aca="false">IF(J28192&gt;0,J28191/J28192,0)</f>
        <v>0.126731366255177</v>
      </c>
      <c r="K28415" s="32" t="n">
        <f aca="false">IF(K28192&gt;0,K28191/K28192,0)</f>
        <v>0.150361490147111</v>
      </c>
    </row>
    <row r="28416" customFormat="false" ht="15" hidden="false" customHeight="false" outlineLevel="0" collapsed="false">
      <c r="A28416" s="3" t="s">
        <v>213</v>
      </c>
      <c r="G28416" s="22" t="n">
        <f aca="false">IF(G28409&gt;0,G28201/G28409,0)</f>
        <v>-0.0159384097387653</v>
      </c>
      <c r="H28416" s="22" t="n">
        <f aca="false">IF(H28409&gt;0,H28201/H28409,0)</f>
        <v>-0.0244868373718086</v>
      </c>
      <c r="I28416" s="22" t="n">
        <f aca="false">IF(I28409&gt;0,I28201/I28409,0)</f>
        <v>-0.0257562751053038</v>
      </c>
      <c r="J28416" s="22" t="n">
        <f aca="false">IF(J28409&gt;0,J28201/J28409,0)</f>
        <v>-0.0248474015143008</v>
      </c>
      <c r="K28416" s="22" t="n">
        <f aca="false">IF(K28409&gt;0,K28201/K28409,0)</f>
        <v>-0.0226662563474947</v>
      </c>
    </row>
    <row r="28417" customFormat="false" ht="15" hidden="false" customHeight="false" outlineLevel="0" collapsed="false">
      <c r="A28417" s="3" t="s">
        <v>421</v>
      </c>
      <c r="G28417" s="32" t="n">
        <f aca="false">IF(G28192+G28393&gt;0,(G28188-G28199-G28196)/(G28192+G28393),0)</f>
        <v>0.763706198309081</v>
      </c>
      <c r="H28417" s="32" t="n">
        <f aca="false">IF(H28192+H28393&gt;0,(H28188-H28199-H28196)/(H28192+H28393),0)</f>
        <v>0.649560227837563</v>
      </c>
      <c r="I28417" s="32" t="n">
        <f aca="false">IF(I28192+I28393&gt;0,(I28188-I28199-I28196)/(I28192+I28393),0)</f>
        <v>0.628007624291635</v>
      </c>
      <c r="J28417" s="32" t="n">
        <f aca="false">IF(J28192+J28393&gt;0,(J28188-J28199-J28196)/(J28192+J28393),0)</f>
        <v>0.640100189832053</v>
      </c>
      <c r="K28417" s="32" t="n">
        <f aca="false">IF(K28192+K28393&gt;0,(K28188-K28199-K28196)/(K28192+K28393),0)</f>
        <v>0.6695697172196</v>
      </c>
    </row>
    <row r="28418" customFormat="false" ht="15" hidden="false" customHeight="false" outlineLevel="0" collapsed="false">
      <c r="A28418" s="3" t="s">
        <v>422</v>
      </c>
      <c r="G28418" s="16" t="n">
        <f aca="false">MAX(0,G28402)+Assumptions!$P$57*MAX(0,Assumptions!$D$57-G28225)+Assumptions!$P$58*MAX(0,Assumptions!$D$58-G28238)+Assumptions!$P$59*MAX(0,Assumptions!$D$59-G28251)+Assumptions!$P$60*MAX(0,Assumptions!$D$60-G28264)+Assumptions!$P$61*MAX(0,Assumptions!$D$61-G28277)+Assumptions!$P$62*MAX(0,Assumptions!$D$62-G28290)+Assumptions!$P$63*MAX(0,Assumptions!$D$63-G28303)+Assumptions!$P$64*MAX(0,Assumptions!$D$64-G28316)+Assumptions!$P$65*MAX(0,Assumptions!$D$65-G28329)+Assumptions!$P$66*MAX(0,Assumptions!$D$66-G28342)</f>
        <v>666.5805416</v>
      </c>
      <c r="H28418" s="16" t="n">
        <f aca="false">MAX(0,H28402)+Assumptions!$P$57*MAX(0,Assumptions!$D$57-H28225)+Assumptions!$P$58*MAX(0,Assumptions!$D$58-H28238)+Assumptions!$P$59*MAX(0,Assumptions!$D$59-H28251)+Assumptions!$P$60*MAX(0,Assumptions!$D$60-H28264)+Assumptions!$P$61*MAX(0,Assumptions!$D$61-H28277)+Assumptions!$P$62*MAX(0,Assumptions!$D$62-H28290)+Assumptions!$P$63*MAX(0,Assumptions!$D$63-H28303)+Assumptions!$P$64*MAX(0,Assumptions!$D$64-H28316)+Assumptions!$P$65*MAX(0,Assumptions!$D$65-H28329)+Assumptions!$P$66*MAX(0,Assumptions!$D$66-H28342)</f>
        <v>574.5</v>
      </c>
      <c r="I28418" s="16" t="n">
        <f aca="false">MAX(0,I28402)+Assumptions!$P$57*MAX(0,Assumptions!$D$57-I28225)+Assumptions!$P$58*MAX(0,Assumptions!$D$58-I28238)+Assumptions!$P$59*MAX(0,Assumptions!$D$59-I28251)+Assumptions!$P$60*MAX(0,Assumptions!$D$60-I28264)+Assumptions!$P$61*MAX(0,Assumptions!$D$61-I28277)+Assumptions!$P$62*MAX(0,Assumptions!$D$62-I28290)+Assumptions!$P$63*MAX(0,Assumptions!$D$63-I28303)+Assumptions!$P$64*MAX(0,Assumptions!$D$64-I28316)+Assumptions!$P$65*MAX(0,Assumptions!$D$65-I28329)+Assumptions!$P$66*MAX(0,Assumptions!$D$66-I28342)</f>
        <v>574.5</v>
      </c>
      <c r="J28418" s="16" t="n">
        <f aca="false">MAX(0,J28402)+Assumptions!$P$57*MAX(0,Assumptions!$D$57-J28225)+Assumptions!$P$58*MAX(0,Assumptions!$D$58-J28238)+Assumptions!$P$59*MAX(0,Assumptions!$D$59-J28251)+Assumptions!$P$60*MAX(0,Assumptions!$D$60-J28264)+Assumptions!$P$61*MAX(0,Assumptions!$D$61-J28277)+Assumptions!$P$62*MAX(0,Assumptions!$D$62-J28290)+Assumptions!$P$63*MAX(0,Assumptions!$D$63-J28303)+Assumptions!$P$64*MAX(0,Assumptions!$D$64-J28316)+Assumptions!$P$65*MAX(0,Assumptions!$D$65-J28329)+Assumptions!$P$66*MAX(0,Assumptions!$D$66-J28342)</f>
        <v>574.5</v>
      </c>
      <c r="K28418" s="16" t="n">
        <f aca="false">MAX(0,K28402)+Assumptions!$P$57*MAX(0,Assumptions!$D$57-K28225)+Assumptions!$P$58*MAX(0,Assumptions!$D$58-K28238)+Assumptions!$P$59*MAX(0,Assumptions!$D$59-K28251)+Assumptions!$P$60*MAX(0,Assumptions!$D$60-K28264)+Assumptions!$P$61*MAX(0,Assumptions!$D$61-K28277)+Assumptions!$P$62*MAX(0,Assumptions!$D$62-K28290)+Assumptions!$P$63*MAX(0,Assumptions!$D$63-K28303)+Assumptions!$P$64*MAX(0,Assumptions!$D$64-K28316)+Assumptions!$P$65*MAX(0,Assumptions!$D$65-K28329)+Assumptions!$P$66*MAX(0,Assumptions!$D$66-K28342)</f>
        <v>574.5</v>
      </c>
    </row>
    <row r="28419" customFormat="false" ht="15" hidden="false" customHeight="false" outlineLevel="0" collapsed="false">
      <c r="A28419" s="3" t="s">
        <v>423</v>
      </c>
      <c r="G28419" s="22" t="n">
        <f aca="false">IF(G28409&gt;0,G28409/(G28409+MAX(0,G28188*CHOOSE($C$28171,Assumptions!$C$90,Assumptions!$C$109,Assumptions!$C$128)-G28411)),0)</f>
        <v>1</v>
      </c>
      <c r="H28419" s="22" t="n">
        <f aca="false">IF(H28409&gt;0,H28409/(H28409+MAX(0,H28188*CHOOSE($C$28171,Assumptions!$C$90,Assumptions!$C$109,Assumptions!$C$128)-H28411)),0)</f>
        <v>1</v>
      </c>
      <c r="I28419" s="22" t="n">
        <f aca="false">IF(I28409&gt;0,I28409/(I28409+MAX(0,I28188*CHOOSE($C$28171,Assumptions!$C$90,Assumptions!$C$109,Assumptions!$C$128)-I28411)),0)</f>
        <v>1</v>
      </c>
      <c r="J28419" s="22" t="n">
        <f aca="false">IF(J28409&gt;0,J28409/(J28409+MAX(0,J28188*CHOOSE($C$28171,Assumptions!$C$90,Assumptions!$C$109,Assumptions!$C$128)-J28411)),0)</f>
        <v>1</v>
      </c>
      <c r="K28419" s="22" t="n">
        <f aca="false">IF(K28409&gt;0,K28409/(K28409+MAX(0,K28188*CHOOSE($C$28171,Assumptions!$C$90,Assumptions!$C$109,Assumptions!$C$128)-K28411)),0)</f>
        <v>1</v>
      </c>
    </row>
    <row r="28420" customFormat="false" ht="15" hidden="false" customHeight="false" outlineLevel="0" collapsed="false">
      <c r="A28420" s="3" t="s">
        <v>424</v>
      </c>
      <c r="G28420" s="22" t="n">
        <f aca="false">IF(G28409&gt;0,MAX(0,G28402)/G28409,0)</f>
        <v>0.0351193209287496</v>
      </c>
      <c r="H28420" s="22" t="n">
        <f aca="false">IF(H28409&gt;0,MAX(0,H28402)/H28409,0)</f>
        <v>0</v>
      </c>
      <c r="I28420" s="22" t="n">
        <f aca="false">IF(I28409&gt;0,MAX(0,I28402)/I28409,0)</f>
        <v>0</v>
      </c>
      <c r="J28420" s="22" t="n">
        <f aca="false">IF(J28409&gt;0,MAX(0,J28402)/J28409,0)</f>
        <v>0</v>
      </c>
      <c r="K28420" s="22" t="n">
        <f aca="false">IF(K28409&gt;0,MAX(0,K28402)/K28409,0)</f>
        <v>0</v>
      </c>
    </row>
    <row r="28421" customFormat="false" ht="15" hidden="false" customHeight="false" outlineLevel="0" collapsed="false">
      <c r="A28421" s="3" t="s">
        <v>425</v>
      </c>
      <c r="G28421" s="16" t="n">
        <f aca="false">Assumptions!$C$31*(1-CHOOSE($C$28171,Assumptions!$C$93,Assumptions!$C$112,Assumptions!$C$131))</f>
        <v>3162.39046666667</v>
      </c>
      <c r="H28421" s="16" t="n">
        <f aca="false">Assumptions!$C$31*(1-CHOOSE($C$28171,Assumptions!$C$93,Assumptions!$C$112,Assumptions!$C$131))</f>
        <v>3162.39046666667</v>
      </c>
      <c r="I28421" s="16" t="n">
        <f aca="false">Assumptions!$C$31*(1-CHOOSE($C$28171,Assumptions!$C$93,Assumptions!$C$112,Assumptions!$C$131))</f>
        <v>3162.39046666667</v>
      </c>
      <c r="J28421" s="16" t="n">
        <f aca="false">Assumptions!$C$31*(1-CHOOSE($C$28171,Assumptions!$C$93,Assumptions!$C$112,Assumptions!$C$131))</f>
        <v>3162.39046666667</v>
      </c>
      <c r="K28421" s="16" t="n">
        <f aca="false">Assumptions!$C$31*(1-CHOOSE($C$28171,Assumptions!$C$93,Assumptions!$C$112,Assumptions!$C$131))</f>
        <v>3162.39046666667</v>
      </c>
    </row>
    <row r="28422" customFormat="false" ht="15" hidden="false" customHeight="false" outlineLevel="0" collapsed="false">
      <c r="A28422" s="24" t="s">
        <v>426</v>
      </c>
      <c r="B28422" s="25"/>
      <c r="C28422" s="25"/>
      <c r="D28422" s="25"/>
      <c r="E28422" s="25"/>
      <c r="F28422" s="25"/>
      <c r="G28422" s="25"/>
      <c r="H28422" s="25"/>
      <c r="I28422" s="25"/>
      <c r="J28422" s="25"/>
      <c r="K28422" s="25"/>
    </row>
    <row r="28423" customFormat="false" ht="15" hidden="false" customHeight="false" outlineLevel="0" collapsed="false">
      <c r="A28423" s="24" t="s">
        <v>427</v>
      </c>
      <c r="B28423" s="25"/>
      <c r="C28423" s="25"/>
      <c r="D28423" s="25"/>
      <c r="E28423" s="25"/>
      <c r="F28423" s="25"/>
      <c r="G28423" s="25"/>
      <c r="H28423" s="25"/>
      <c r="I28423" s="25"/>
      <c r="J28423" s="25"/>
      <c r="K28423" s="25"/>
    </row>
    <row r="28424" customFormat="false" ht="15" hidden="false" customHeight="false" outlineLevel="0" collapsed="false">
      <c r="A28424" s="3" t="s">
        <v>428</v>
      </c>
      <c r="G28424" s="22" t="n">
        <f aca="false">IF(G28421&gt;0,G28409/G28421,99)</f>
        <v>0.829098755399318</v>
      </c>
      <c r="H28424" s="22" t="n">
        <f aca="false">IF(H28421&gt;0,H28409/H28421,99)</f>
        <v>0.82006209733915</v>
      </c>
      <c r="I28424" s="22" t="n">
        <f aca="false">IF(I28421&gt;0,I28409/I28421,99)</f>
        <v>0.818797231396072</v>
      </c>
      <c r="J28424" s="22" t="n">
        <f aca="false">IF(J28421&gt;0,J28409/J28421,99)</f>
        <v>0.817532365452995</v>
      </c>
      <c r="K28424" s="22" t="n">
        <f aca="false">IF(K28421&gt;0,K28409/K28421,99)</f>
        <v>0.816267499509917</v>
      </c>
    </row>
    <row r="28425" customFormat="false" ht="15" hidden="false" customHeight="false" outlineLevel="0" collapsed="false">
      <c r="A28425" s="3" t="s">
        <v>429</v>
      </c>
      <c r="G28425" s="33" t="n">
        <f aca="false">Assumptions!$G$71</f>
        <v>0.6</v>
      </c>
      <c r="H28425" s="33" t="n">
        <f aca="false">Assumptions!$H$71</f>
        <v>0.6</v>
      </c>
      <c r="I28425" s="33" t="n">
        <f aca="false">Assumptions!$I$71</f>
        <v>0.6</v>
      </c>
      <c r="J28425" s="33" t="n">
        <f aca="false">Assumptions!$J$71</f>
        <v>0.6</v>
      </c>
      <c r="K28425" s="33" t="n">
        <f aca="false">Assumptions!$K$71</f>
        <v>0.6</v>
      </c>
    </row>
    <row r="28426" customFormat="false" ht="15" hidden="false" customHeight="false" outlineLevel="0" collapsed="false">
      <c r="A28426" s="3" t="s">
        <v>430</v>
      </c>
      <c r="G28426" s="22" t="n">
        <f aca="false">G28425-G28424</f>
        <v>-0.229098755399318</v>
      </c>
      <c r="H28426" s="22" t="n">
        <f aca="false">H28425-H28424</f>
        <v>-0.22006209733915</v>
      </c>
      <c r="I28426" s="22" t="n">
        <f aca="false">I28425-I28424</f>
        <v>-0.218797231396072</v>
      </c>
      <c r="J28426" s="22" t="n">
        <f aca="false">J28425-J28424</f>
        <v>-0.217532365452995</v>
      </c>
      <c r="K28426" s="22" t="n">
        <f aca="false">K28425-K28424</f>
        <v>-0.216267499509917</v>
      </c>
    </row>
    <row r="28427" customFormat="false" ht="15" hidden="false" customHeight="false" outlineLevel="0" collapsed="false">
      <c r="A28427" s="3" t="s">
        <v>431</v>
      </c>
      <c r="G28427" s="22" t="n">
        <f aca="false">IF(G28425=0,0,G28426/ABS(G28425))</f>
        <v>-0.381831258998863</v>
      </c>
      <c r="H28427" s="22" t="n">
        <f aca="false">IF(H28425=0,0,H28426/ABS(H28425))</f>
        <v>-0.366770162231917</v>
      </c>
      <c r="I28427" s="22" t="n">
        <f aca="false">IF(I28425=0,0,I28426/ABS(I28425))</f>
        <v>-0.364662052326787</v>
      </c>
      <c r="J28427" s="22" t="n">
        <f aca="false">IF(J28425=0,0,J28426/ABS(J28425))</f>
        <v>-0.362553942421658</v>
      </c>
      <c r="K28427" s="22" t="n">
        <f aca="false">IF(K28425=0,0,K28426/ABS(K28425))</f>
        <v>-0.360445832516529</v>
      </c>
    </row>
    <row r="28428" customFormat="false" ht="15" hidden="false" customHeight="false" outlineLevel="0" collapsed="false">
      <c r="A28428" s="3" t="s">
        <v>432</v>
      </c>
      <c r="G28428" s="21" t="n">
        <f aca="false">IF(G28426&lt;0,1,0)</f>
        <v>1</v>
      </c>
      <c r="H28428" s="21" t="n">
        <f aca="false">IF(H28426&lt;0,1,0)</f>
        <v>1</v>
      </c>
      <c r="I28428" s="21" t="n">
        <f aca="false">IF(I28426&lt;0,1,0)</f>
        <v>1</v>
      </c>
      <c r="J28428" s="21" t="n">
        <f aca="false">IF(J28426&lt;0,1,0)</f>
        <v>1</v>
      </c>
      <c r="K28428" s="21" t="n">
        <f aca="false">IF(K28426&lt;0,1,0)</f>
        <v>1</v>
      </c>
    </row>
    <row r="28429" customFormat="false" ht="15" hidden="false" customHeight="false" outlineLevel="0" collapsed="false">
      <c r="A28429" s="3" t="s">
        <v>433</v>
      </c>
      <c r="C28429" s="21" t="n">
        <f aca="false">IFERROR(INDEX($G$28178:$K$28178,MATCH(1,$G$28428:$K$28428,0)),0)</f>
        <v>2027</v>
      </c>
    </row>
    <row r="28430" customFormat="false" ht="15" hidden="false" customHeight="false" outlineLevel="0" collapsed="false">
      <c r="A28430" s="3" t="s">
        <v>434</v>
      </c>
      <c r="C28430" s="22" t="n">
        <f aca="false">MIN($G$28427:$K$28427)</f>
        <v>-0.381831258998863</v>
      </c>
    </row>
    <row r="28431" customFormat="false" ht="15" hidden="false" customHeight="false" outlineLevel="0" collapsed="false">
      <c r="A28431" s="24" t="s">
        <v>435</v>
      </c>
      <c r="B28431" s="25"/>
      <c r="C28431" s="25"/>
      <c r="D28431" s="25"/>
      <c r="E28431" s="25"/>
      <c r="F28431" s="25"/>
      <c r="G28431" s="25"/>
      <c r="H28431" s="25"/>
      <c r="I28431" s="25"/>
      <c r="J28431" s="25"/>
      <c r="K28431" s="25"/>
    </row>
    <row r="28432" customFormat="false" ht="15" hidden="false" customHeight="false" outlineLevel="0" collapsed="false">
      <c r="A28432" s="3" t="s">
        <v>428</v>
      </c>
      <c r="G28432" s="32" t="n">
        <f aca="false">IF(G28192&gt;0,G28188/G28192,99)</f>
        <v>1.08699770563034</v>
      </c>
      <c r="H28432" s="32" t="n">
        <f aca="false">IF(H28192&gt;0,H28188/H28192,99)</f>
        <v>0.950780080759025</v>
      </c>
      <c r="I28432" s="32" t="n">
        <f aca="false">IF(I28192&gt;0,I28188/I28192,99)</f>
        <v>0.924210049479818</v>
      </c>
      <c r="J28432" s="32" t="n">
        <f aca="false">IF(J28192&gt;0,J28188/J28192,99)</f>
        <v>0.937249441644199</v>
      </c>
      <c r="K28432" s="32" t="n">
        <f aca="false">IF(K28192&gt;0,K28188/K28192,99)</f>
        <v>0.970885677243594</v>
      </c>
    </row>
    <row r="28433" customFormat="false" ht="15" hidden="false" customHeight="false" outlineLevel="0" collapsed="false">
      <c r="A28433" s="3" t="s">
        <v>429</v>
      </c>
      <c r="G28433" s="34" t="n">
        <f aca="false">Assumptions!$G$72</f>
        <v>1.5</v>
      </c>
      <c r="H28433" s="34" t="n">
        <f aca="false">Assumptions!$H$72</f>
        <v>1.5</v>
      </c>
      <c r="I28433" s="34" t="n">
        <f aca="false">Assumptions!$I$72</f>
        <v>1.5</v>
      </c>
      <c r="J28433" s="34" t="n">
        <f aca="false">Assumptions!$J$72</f>
        <v>1.5</v>
      </c>
      <c r="K28433" s="34" t="n">
        <f aca="false">Assumptions!$K$72</f>
        <v>1.5</v>
      </c>
    </row>
    <row r="28434" customFormat="false" ht="15" hidden="false" customHeight="false" outlineLevel="0" collapsed="false">
      <c r="A28434" s="3" t="s">
        <v>430</v>
      </c>
      <c r="G28434" s="32" t="n">
        <f aca="false">G28432-G28433</f>
        <v>-0.41300229436966</v>
      </c>
      <c r="H28434" s="32" t="n">
        <f aca="false">H28432-H28433</f>
        <v>-0.549219919240975</v>
      </c>
      <c r="I28434" s="32" t="n">
        <f aca="false">I28432-I28433</f>
        <v>-0.575789950520182</v>
      </c>
      <c r="J28434" s="32" t="n">
        <f aca="false">J28432-J28433</f>
        <v>-0.562750558355801</v>
      </c>
      <c r="K28434" s="32" t="n">
        <f aca="false">K28432-K28433</f>
        <v>-0.529114322756406</v>
      </c>
    </row>
    <row r="28435" customFormat="false" ht="15" hidden="false" customHeight="false" outlineLevel="0" collapsed="false">
      <c r="A28435" s="3" t="s">
        <v>431</v>
      </c>
      <c r="G28435" s="22" t="n">
        <f aca="false">IF(G28433=0,0,G28434/ABS(G28433))</f>
        <v>-0.275334862913107</v>
      </c>
      <c r="H28435" s="22" t="n">
        <f aca="false">IF(H28433=0,0,H28434/ABS(H28433))</f>
        <v>-0.366146612827317</v>
      </c>
      <c r="I28435" s="22" t="n">
        <f aca="false">IF(I28433=0,0,I28434/ABS(I28433))</f>
        <v>-0.383859967013454</v>
      </c>
      <c r="J28435" s="22" t="n">
        <f aca="false">IF(J28433=0,0,J28434/ABS(J28433))</f>
        <v>-0.375167038903867</v>
      </c>
      <c r="K28435" s="22" t="n">
        <f aca="false">IF(K28433=0,0,K28434/ABS(K28433))</f>
        <v>-0.352742881837604</v>
      </c>
    </row>
    <row r="28436" customFormat="false" ht="15" hidden="false" customHeight="false" outlineLevel="0" collapsed="false">
      <c r="A28436" s="3" t="s">
        <v>432</v>
      </c>
      <c r="G28436" s="21" t="n">
        <f aca="false">IF(G28434&lt;0,1,0)</f>
        <v>1</v>
      </c>
      <c r="H28436" s="21" t="n">
        <f aca="false">IF(H28434&lt;0,1,0)</f>
        <v>1</v>
      </c>
      <c r="I28436" s="21" t="n">
        <f aca="false">IF(I28434&lt;0,1,0)</f>
        <v>1</v>
      </c>
      <c r="J28436" s="21" t="n">
        <f aca="false">IF(J28434&lt;0,1,0)</f>
        <v>1</v>
      </c>
      <c r="K28436" s="21" t="n">
        <f aca="false">IF(K28434&lt;0,1,0)</f>
        <v>1</v>
      </c>
    </row>
    <row r="28437" customFormat="false" ht="15" hidden="false" customHeight="false" outlineLevel="0" collapsed="false">
      <c r="A28437" s="3" t="s">
        <v>433</v>
      </c>
      <c r="C28437" s="21" t="n">
        <f aca="false">IFERROR(INDEX($G$28178:$K$28178,MATCH(1,$G$28436:$K$28436,0)),0)</f>
        <v>2027</v>
      </c>
    </row>
    <row r="28438" customFormat="false" ht="15" hidden="false" customHeight="false" outlineLevel="0" collapsed="false">
      <c r="A28438" s="3" t="s">
        <v>434</v>
      </c>
      <c r="C28438" s="22" t="n">
        <f aca="false">MIN($G$28435:$K$28435)</f>
        <v>-0.383859967013454</v>
      </c>
    </row>
    <row r="28439" customFormat="false" ht="15" hidden="false" customHeight="false" outlineLevel="0" collapsed="false">
      <c r="A28439" s="24" t="s">
        <v>436</v>
      </c>
      <c r="B28439" s="25"/>
      <c r="C28439" s="25"/>
      <c r="D28439" s="25"/>
      <c r="E28439" s="25"/>
      <c r="F28439" s="25"/>
      <c r="G28439" s="25"/>
      <c r="H28439" s="25"/>
      <c r="I28439" s="25"/>
      <c r="J28439" s="25"/>
      <c r="K28439" s="25"/>
    </row>
    <row r="28440" customFormat="false" ht="15" hidden="false" customHeight="false" outlineLevel="0" collapsed="false">
      <c r="A28440" s="3" t="s">
        <v>428</v>
      </c>
      <c r="G28440" s="22" t="n">
        <f aca="false">IF(G28421&gt;0,G28410/G28421,99)</f>
        <v>0.171808005914176</v>
      </c>
      <c r="H28440" s="22" t="n">
        <f aca="false">IF(H28421&gt;0,H28410/H28421,99)</f>
        <v>0.170543139971098</v>
      </c>
      <c r="I28440" s="22" t="n">
        <f aca="false">IF(I28421&gt;0,I28410/I28421,99)</f>
        <v>0.169278274028021</v>
      </c>
      <c r="J28440" s="22" t="n">
        <f aca="false">IF(J28421&gt;0,J28410/J28421,99)</f>
        <v>0.168013408084943</v>
      </c>
      <c r="K28440" s="22" t="n">
        <f aca="false">IF(K28421&gt;0,K28410/K28421,99)</f>
        <v>0.166748542141865</v>
      </c>
    </row>
    <row r="28441" customFormat="false" ht="15" hidden="false" customHeight="false" outlineLevel="0" collapsed="false">
      <c r="A28441" s="3" t="s">
        <v>429</v>
      </c>
      <c r="G28441" s="33" t="n">
        <f aca="false">Assumptions!$G$73</f>
        <v>0.4</v>
      </c>
      <c r="H28441" s="33" t="n">
        <f aca="false">Assumptions!$H$73</f>
        <v>0.4</v>
      </c>
      <c r="I28441" s="33" t="n">
        <f aca="false">Assumptions!$I$73</f>
        <v>0.4</v>
      </c>
      <c r="J28441" s="33" t="n">
        <f aca="false">Assumptions!$J$73</f>
        <v>0.4</v>
      </c>
      <c r="K28441" s="33" t="n">
        <f aca="false">Assumptions!$K$73</f>
        <v>0.4</v>
      </c>
    </row>
    <row r="28442" customFormat="false" ht="15" hidden="false" customHeight="false" outlineLevel="0" collapsed="false">
      <c r="A28442" s="3" t="s">
        <v>430</v>
      </c>
      <c r="G28442" s="22" t="n">
        <f aca="false">G28441-G28440</f>
        <v>0.228191994085824</v>
      </c>
      <c r="H28442" s="22" t="n">
        <f aca="false">H28441-H28440</f>
        <v>0.229456860028902</v>
      </c>
      <c r="I28442" s="22" t="n">
        <f aca="false">I28441-I28440</f>
        <v>0.230721725971979</v>
      </c>
      <c r="J28442" s="22" t="n">
        <f aca="false">J28441-J28440</f>
        <v>0.231986591915057</v>
      </c>
      <c r="K28442" s="22" t="n">
        <f aca="false">K28441-K28440</f>
        <v>0.233251457858135</v>
      </c>
    </row>
    <row r="28443" customFormat="false" ht="15" hidden="false" customHeight="false" outlineLevel="0" collapsed="false">
      <c r="A28443" s="3" t="s">
        <v>431</v>
      </c>
      <c r="G28443" s="22" t="n">
        <f aca="false">IF(G28441=0,0,G28442/ABS(G28441))</f>
        <v>0.57047998521456</v>
      </c>
      <c r="H28443" s="22" t="n">
        <f aca="false">IF(H28441=0,0,H28442/ABS(H28441))</f>
        <v>0.573642150072254</v>
      </c>
      <c r="I28443" s="22" t="n">
        <f aca="false">IF(I28441=0,0,I28442/ABS(I28441))</f>
        <v>0.576804314929948</v>
      </c>
      <c r="J28443" s="22" t="n">
        <f aca="false">IF(J28441=0,0,J28442/ABS(J28441))</f>
        <v>0.579966479787643</v>
      </c>
      <c r="K28443" s="22" t="n">
        <f aca="false">IF(K28441=0,0,K28442/ABS(K28441))</f>
        <v>0.583128644645337</v>
      </c>
    </row>
    <row r="28444" customFormat="false" ht="15" hidden="false" customHeight="false" outlineLevel="0" collapsed="false">
      <c r="A28444" s="3" t="s">
        <v>432</v>
      </c>
      <c r="G28444" s="21" t="n">
        <f aca="false">IF(G28442&lt;0,1,0)</f>
        <v>0</v>
      </c>
      <c r="H28444" s="21" t="n">
        <f aca="false">IF(H28442&lt;0,1,0)</f>
        <v>0</v>
      </c>
      <c r="I28444" s="21" t="n">
        <f aca="false">IF(I28442&lt;0,1,0)</f>
        <v>0</v>
      </c>
      <c r="J28444" s="21" t="n">
        <f aca="false">IF(J28442&lt;0,1,0)</f>
        <v>0</v>
      </c>
      <c r="K28444" s="21" t="n">
        <f aca="false">IF(K28442&lt;0,1,0)</f>
        <v>0</v>
      </c>
    </row>
    <row r="28445" customFormat="false" ht="15" hidden="false" customHeight="false" outlineLevel="0" collapsed="false">
      <c r="A28445" s="3" t="s">
        <v>433</v>
      </c>
      <c r="C28445" s="21" t="n">
        <f aca="false">IFERROR(INDEX($G$28178:$K$28178,MATCH(1,$G$28444:$K$28444,0)),0)</f>
        <v>0</v>
      </c>
    </row>
    <row r="28446" customFormat="false" ht="15" hidden="false" customHeight="false" outlineLevel="0" collapsed="false">
      <c r="A28446" s="3" t="s">
        <v>434</v>
      </c>
      <c r="C28446" s="22" t="n">
        <f aca="false">MIN($G$28443:$K$28443)</f>
        <v>0.57047998521456</v>
      </c>
    </row>
    <row r="28447" customFormat="false" ht="15" hidden="false" customHeight="false" outlineLevel="0" collapsed="false">
      <c r="A28447" s="24" t="s">
        <v>437</v>
      </c>
      <c r="B28447" s="25"/>
      <c r="C28447" s="25"/>
      <c r="D28447" s="25"/>
      <c r="E28447" s="25"/>
      <c r="F28447" s="25"/>
      <c r="G28447" s="25"/>
      <c r="H28447" s="25"/>
      <c r="I28447" s="25"/>
      <c r="J28447" s="25"/>
      <c r="K28447" s="25"/>
    </row>
    <row r="28448" customFormat="false" ht="15" hidden="false" customHeight="false" outlineLevel="0" collapsed="false">
      <c r="A28448" s="3" t="s">
        <v>428</v>
      </c>
      <c r="G28448" s="16" t="n">
        <f aca="false">G28418</f>
        <v>666.5805416</v>
      </c>
      <c r="H28448" s="16" t="n">
        <f aca="false">H28418</f>
        <v>574.5</v>
      </c>
      <c r="I28448" s="16" t="n">
        <f aca="false">I28418</f>
        <v>574.5</v>
      </c>
      <c r="J28448" s="16" t="n">
        <f aca="false">J28418</f>
        <v>574.5</v>
      </c>
      <c r="K28448" s="16" t="n">
        <f aca="false">K28418</f>
        <v>574.5</v>
      </c>
    </row>
    <row r="28449" customFormat="false" ht="15" hidden="false" customHeight="false" outlineLevel="0" collapsed="false">
      <c r="A28449" s="3" t="s">
        <v>429</v>
      </c>
      <c r="G28449" s="29" t="n">
        <f aca="false">Assumptions!$G$74</f>
        <v>100</v>
      </c>
      <c r="H28449" s="29" t="n">
        <f aca="false">Assumptions!$H$74</f>
        <v>100</v>
      </c>
      <c r="I28449" s="29" t="n">
        <f aca="false">Assumptions!$I$74</f>
        <v>100</v>
      </c>
      <c r="J28449" s="29" t="n">
        <f aca="false">Assumptions!$J$74</f>
        <v>100</v>
      </c>
      <c r="K28449" s="29" t="n">
        <f aca="false">Assumptions!$K$74</f>
        <v>100</v>
      </c>
    </row>
    <row r="28450" customFormat="false" ht="15" hidden="false" customHeight="false" outlineLevel="0" collapsed="false">
      <c r="A28450" s="3" t="s">
        <v>430</v>
      </c>
      <c r="G28450" s="16" t="n">
        <f aca="false">G28448-G28449</f>
        <v>566.5805416</v>
      </c>
      <c r="H28450" s="16" t="n">
        <f aca="false">H28448-H28449</f>
        <v>474.5</v>
      </c>
      <c r="I28450" s="16" t="n">
        <f aca="false">I28448-I28449</f>
        <v>474.5</v>
      </c>
      <c r="J28450" s="16" t="n">
        <f aca="false">J28448-J28449</f>
        <v>474.5</v>
      </c>
      <c r="K28450" s="16" t="n">
        <f aca="false">K28448-K28449</f>
        <v>474.5</v>
      </c>
    </row>
    <row r="28451" customFormat="false" ht="15" hidden="false" customHeight="false" outlineLevel="0" collapsed="false">
      <c r="A28451" s="3" t="s">
        <v>431</v>
      </c>
      <c r="G28451" s="22" t="n">
        <f aca="false">IF(G28449=0,0,G28450/ABS(G28449))</f>
        <v>5.665805416</v>
      </c>
      <c r="H28451" s="22" t="n">
        <f aca="false">IF(H28449=0,0,H28450/ABS(H28449))</f>
        <v>4.745</v>
      </c>
      <c r="I28451" s="22" t="n">
        <f aca="false">IF(I28449=0,0,I28450/ABS(I28449))</f>
        <v>4.745</v>
      </c>
      <c r="J28451" s="22" t="n">
        <f aca="false">IF(J28449=0,0,J28450/ABS(J28449))</f>
        <v>4.745</v>
      </c>
      <c r="K28451" s="22" t="n">
        <f aca="false">IF(K28449=0,0,K28450/ABS(K28449))</f>
        <v>4.745</v>
      </c>
    </row>
    <row r="28452" customFormat="false" ht="15" hidden="false" customHeight="false" outlineLevel="0" collapsed="false">
      <c r="A28452" s="3" t="s">
        <v>432</v>
      </c>
      <c r="G28452" s="21" t="n">
        <f aca="false">IF(G28450&lt;0,1,0)</f>
        <v>0</v>
      </c>
      <c r="H28452" s="21" t="n">
        <f aca="false">IF(H28450&lt;0,1,0)</f>
        <v>0</v>
      </c>
      <c r="I28452" s="21" t="n">
        <f aca="false">IF(I28450&lt;0,1,0)</f>
        <v>0</v>
      </c>
      <c r="J28452" s="21" t="n">
        <f aca="false">IF(J28450&lt;0,1,0)</f>
        <v>0</v>
      </c>
      <c r="K28452" s="21" t="n">
        <f aca="false">IF(K28450&lt;0,1,0)</f>
        <v>0</v>
      </c>
    </row>
    <row r="28453" customFormat="false" ht="15" hidden="false" customHeight="false" outlineLevel="0" collapsed="false">
      <c r="A28453" s="3" t="s">
        <v>433</v>
      </c>
      <c r="C28453" s="21" t="n">
        <f aca="false">IFERROR(INDEX($G$28178:$K$28178,MATCH(1,$G$28452:$K$28452,0)),0)</f>
        <v>0</v>
      </c>
    </row>
    <row r="28454" customFormat="false" ht="15" hidden="false" customHeight="false" outlineLevel="0" collapsed="false">
      <c r="A28454" s="3" t="s">
        <v>434</v>
      </c>
      <c r="C28454" s="22" t="n">
        <f aca="false">MIN($G$28451:$K$28451)</f>
        <v>4.745</v>
      </c>
    </row>
    <row r="28455" customFormat="false" ht="15" hidden="false" customHeight="false" outlineLevel="0" collapsed="false">
      <c r="A28455" s="24" t="s">
        <v>438</v>
      </c>
      <c r="B28455" s="25"/>
      <c r="C28455" s="25"/>
      <c r="D28455" s="25"/>
      <c r="E28455" s="25"/>
      <c r="F28455" s="25"/>
      <c r="G28455" s="25"/>
      <c r="H28455" s="25"/>
      <c r="I28455" s="25"/>
      <c r="J28455" s="25"/>
      <c r="K28455" s="25"/>
    </row>
    <row r="28456" customFormat="false" ht="15" hidden="false" customHeight="false" outlineLevel="0" collapsed="false">
      <c r="A28456" s="3" t="s">
        <v>428</v>
      </c>
      <c r="G28456" s="32" t="n">
        <f aca="false">IF(G28188&gt;0,G28411/G28188,99)</f>
        <v>12.2634306979129</v>
      </c>
      <c r="H28456" s="32" t="n">
        <f aca="false">IF(H28188&gt;0,H28411/H28188,99)</f>
        <v>14.4605654346835</v>
      </c>
      <c r="I28456" s="32" t="n">
        <f aca="false">IF(I28188&gt;0,I28411/I28188,99)</f>
        <v>15.4710727596941</v>
      </c>
      <c r="J28456" s="32" t="n">
        <f aca="false">IF(J28188&gt;0,J28411/J28188,99)</f>
        <v>15.6604539688166</v>
      </c>
      <c r="K28456" s="32" t="n">
        <f aca="false">IF(K28188&gt;0,K28411/K28188,99)</f>
        <v>15.4784464459029</v>
      </c>
    </row>
    <row r="28457" customFormat="false" ht="15" hidden="false" customHeight="false" outlineLevel="0" collapsed="false">
      <c r="A28457" s="3" t="s">
        <v>429</v>
      </c>
      <c r="G28457" s="34" t="n">
        <f aca="false">Assumptions!$G$75</f>
        <v>10.5</v>
      </c>
      <c r="H28457" s="34" t="n">
        <f aca="false">Assumptions!$H$75</f>
        <v>10.5</v>
      </c>
      <c r="I28457" s="34" t="n">
        <f aca="false">Assumptions!$I$75</f>
        <v>10</v>
      </c>
      <c r="J28457" s="34" t="n">
        <f aca="false">Assumptions!$J$75</f>
        <v>10</v>
      </c>
      <c r="K28457" s="34" t="n">
        <f aca="false">Assumptions!$K$75</f>
        <v>9.5</v>
      </c>
    </row>
    <row r="28458" customFormat="false" ht="15" hidden="false" customHeight="false" outlineLevel="0" collapsed="false">
      <c r="A28458" s="3" t="s">
        <v>430</v>
      </c>
      <c r="G28458" s="32" t="n">
        <f aca="false">G28457-G28456</f>
        <v>-1.7634306979129</v>
      </c>
      <c r="H28458" s="32" t="n">
        <f aca="false">H28457-H28456</f>
        <v>-3.96056543468348</v>
      </c>
      <c r="I28458" s="32" t="n">
        <f aca="false">I28457-I28456</f>
        <v>-5.47107275969406</v>
      </c>
      <c r="J28458" s="32" t="n">
        <f aca="false">J28457-J28456</f>
        <v>-5.6604539688166</v>
      </c>
      <c r="K28458" s="32" t="n">
        <f aca="false">K28457-K28456</f>
        <v>-5.9784464459029</v>
      </c>
    </row>
    <row r="28459" customFormat="false" ht="15" hidden="false" customHeight="false" outlineLevel="0" collapsed="false">
      <c r="A28459" s="3" t="s">
        <v>431</v>
      </c>
      <c r="G28459" s="22" t="n">
        <f aca="false">IF(G28457=0,0,G28458/ABS(G28457))</f>
        <v>-0.16794578075361</v>
      </c>
      <c r="H28459" s="22" t="n">
        <f aca="false">IF(H28457=0,0,H28458/ABS(H28457))</f>
        <v>-0.377196708065093</v>
      </c>
      <c r="I28459" s="22" t="n">
        <f aca="false">IF(I28457=0,0,I28458/ABS(I28457))</f>
        <v>-0.547107275969406</v>
      </c>
      <c r="J28459" s="22" t="n">
        <f aca="false">IF(J28457=0,0,J28458/ABS(J28457))</f>
        <v>-0.56604539688166</v>
      </c>
      <c r="K28459" s="22" t="n">
        <f aca="false">IF(K28457=0,0,K28458/ABS(K28457))</f>
        <v>-0.629310152200305</v>
      </c>
    </row>
    <row r="28460" customFormat="false" ht="15" hidden="false" customHeight="false" outlineLevel="0" collapsed="false">
      <c r="A28460" s="3" t="s">
        <v>432</v>
      </c>
      <c r="G28460" s="21" t="n">
        <f aca="false">IF(G28458&lt;0,1,0)</f>
        <v>1</v>
      </c>
      <c r="H28460" s="21" t="n">
        <f aca="false">IF(H28458&lt;0,1,0)</f>
        <v>1</v>
      </c>
      <c r="I28460" s="21" t="n">
        <f aca="false">IF(I28458&lt;0,1,0)</f>
        <v>1</v>
      </c>
      <c r="J28460" s="21" t="n">
        <f aca="false">IF(J28458&lt;0,1,0)</f>
        <v>1</v>
      </c>
      <c r="K28460" s="21" t="n">
        <f aca="false">IF(K28458&lt;0,1,0)</f>
        <v>1</v>
      </c>
    </row>
    <row r="28461" customFormat="false" ht="15" hidden="false" customHeight="false" outlineLevel="0" collapsed="false">
      <c r="A28461" s="3" t="s">
        <v>433</v>
      </c>
      <c r="C28461" s="21" t="n">
        <f aca="false">IFERROR(INDEX($G$28178:$K$28178,MATCH(1,$G$28460:$K$28460,0)),0)</f>
        <v>2027</v>
      </c>
    </row>
    <row r="28462" customFormat="false" ht="15" hidden="false" customHeight="false" outlineLevel="0" collapsed="false">
      <c r="A28462" s="3" t="s">
        <v>434</v>
      </c>
      <c r="C28462" s="22" t="n">
        <f aca="false">MIN($G$28459:$K$28459)</f>
        <v>-0.629310152200305</v>
      </c>
    </row>
    <row r="28463" customFormat="false" ht="15" hidden="false" customHeight="false" outlineLevel="0" collapsed="false">
      <c r="A28463" s="3" t="s">
        <v>439</v>
      </c>
      <c r="G28463" s="21" t="n">
        <f aca="false">G28428+G28436+G28444+G28452+G28460</f>
        <v>3</v>
      </c>
      <c r="H28463" s="21" t="n">
        <f aca="false">H28428+H28436+H28444+H28452+H28460</f>
        <v>3</v>
      </c>
      <c r="I28463" s="21" t="n">
        <f aca="false">I28428+I28436+I28444+I28452+I28460</f>
        <v>3</v>
      </c>
      <c r="J28463" s="21" t="n">
        <f aca="false">J28428+J28436+J28444+J28452+J28460</f>
        <v>3</v>
      </c>
      <c r="K28463" s="21" t="n">
        <f aca="false">K28428+K28436+K28444+K28452+K28460</f>
        <v>3</v>
      </c>
    </row>
    <row r="28464" customFormat="false" ht="15" hidden="false" customHeight="false" outlineLevel="0" collapsed="false">
      <c r="A28464" s="3" t="s">
        <v>440</v>
      </c>
      <c r="C28464" s="21" t="n">
        <f aca="false">SUM($G$28463:$K$28463)</f>
        <v>15</v>
      </c>
    </row>
    <row r="28465" customFormat="false" ht="15" hidden="false" customHeight="false" outlineLevel="0" collapsed="false">
      <c r="A28465" s="3" t="s">
        <v>441</v>
      </c>
      <c r="C28465" s="22" t="n">
        <f aca="false">MIN(C28430,C28438,C28446,C28454,C28462)</f>
        <v>-0.629310152200305</v>
      </c>
    </row>
    <row r="28467" customFormat="false" ht="15" hidden="false" customHeight="false" outlineLevel="0" collapsed="false">
      <c r="A28467" s="24" t="s">
        <v>543</v>
      </c>
      <c r="B28467" s="25"/>
      <c r="C28467" s="25"/>
      <c r="D28467" s="25"/>
      <c r="E28467" s="25"/>
      <c r="F28467" s="25"/>
      <c r="G28467" s="25"/>
      <c r="H28467" s="25"/>
      <c r="I28467" s="25"/>
      <c r="J28467" s="25"/>
      <c r="K28467" s="25"/>
    </row>
    <row r="28468" customFormat="false" ht="15" hidden="false" customHeight="false" outlineLevel="0" collapsed="false">
      <c r="A28468" s="3" t="s">
        <v>544</v>
      </c>
      <c r="G28468" s="21" t="n">
        <f aca="false">IF($C$28469=1,G28405,IF(G28188=MIN($G$28188:$K$28188),1,0))</f>
        <v>0</v>
      </c>
      <c r="H28468" s="21" t="n">
        <f aca="false">IF($C$28469=1,H28405,IF(AND(H28188=MIN($G$28188:$K$28188),SUM($G$28468:G28468)=0),1,0))</f>
        <v>1</v>
      </c>
      <c r="I28468" s="21" t="n">
        <f aca="false">IF($C$28469=1,I28405,IF(AND(I28188=MIN($G$28188:$K$28188),SUM($G$28468:H28468)=0),1,0))</f>
        <v>0</v>
      </c>
      <c r="J28468" s="21" t="n">
        <f aca="false">IF($C$28469=1,J28405,IF(AND(J28188=MIN($G$28188:$K$28188),SUM($G$28468:I28468)=0),1,0))</f>
        <v>0</v>
      </c>
      <c r="K28468" s="21" t="n">
        <f aca="false">IF($C$28469=1,K28405,IF(AND(K28188=MIN($G$28188:$K$28188),SUM($G$28468:J28468)=0),1,0))</f>
        <v>0</v>
      </c>
    </row>
    <row r="28469" customFormat="false" ht="15" hidden="false" customHeight="false" outlineLevel="0" collapsed="false">
      <c r="A28469" s="3" t="s">
        <v>545</v>
      </c>
      <c r="C28469" s="21" t="n">
        <f aca="false">IF(SUM($G$28405:$K$28405)&gt;0,1,0)</f>
        <v>1</v>
      </c>
    </row>
    <row r="28470" customFormat="false" ht="15" hidden="false" customHeight="false" outlineLevel="0" collapsed="false">
      <c r="A28470" s="3" t="s">
        <v>546</v>
      </c>
      <c r="C28470" s="21" t="n">
        <f aca="false">SUMPRODUCT($G$28468:$K$28468,$G$28178:$K$28178)</f>
        <v>2028</v>
      </c>
    </row>
    <row r="28471" customFormat="false" ht="15" hidden="false" customHeight="false" outlineLevel="0" collapsed="false">
      <c r="A28471" s="3" t="s">
        <v>547</v>
      </c>
      <c r="C28471" s="16" t="n">
        <f aca="false">SUMPRODUCT($G$28468:$K$28468,$G$28188:$K$28188)</f>
        <v>179.33991381</v>
      </c>
    </row>
    <row r="28472" customFormat="false" ht="15" hidden="false" customHeight="false" outlineLevel="0" collapsed="false">
      <c r="A28472" s="3" t="s">
        <v>548</v>
      </c>
      <c r="C28472" s="16" t="n">
        <f aca="false">MAX(0,SUMPRODUCT($G$28468:$K$28468,$G$28402:$K$28402))</f>
        <v>0</v>
      </c>
    </row>
    <row r="28473" customFormat="false" ht="15" hidden="false" customHeight="false" outlineLevel="0" collapsed="false">
      <c r="A28473" s="3" t="s">
        <v>549</v>
      </c>
      <c r="C28473" s="16" t="n">
        <f aca="false">(CHOOSE($C$28171,Assumptions!$C$92,Assumptions!$C$111,Assumptions!$C$130)+$C$28175)*C28471</f>
        <v>1434.71931048</v>
      </c>
    </row>
    <row r="28474" customFormat="false" ht="15" hidden="false" customHeight="false" outlineLevel="0" collapsed="false">
      <c r="A28474" s="3" t="s">
        <v>550</v>
      </c>
      <c r="C28474" s="16" t="n">
        <f aca="false">Assumptions!$C$31*(1-CHOOSE($C$28171,Assumptions!$C$93,Assumptions!$C$112,Assumptions!$C$131))*CHOOSE($C$28171,Assumptions!$C$94,Assumptions!$C$113,Assumptions!$C$132)</f>
        <v>2688.03189666667</v>
      </c>
    </row>
    <row r="28475" customFormat="false" ht="15" hidden="false" customHeight="false" outlineLevel="0" collapsed="false">
      <c r="A28475" s="3" t="s">
        <v>551</v>
      </c>
      <c r="C28475" s="16" t="n">
        <f aca="false">MAX(C28473,C28474)+C28472</f>
        <v>2688.03189666667</v>
      </c>
    </row>
    <row r="28476" customFormat="false" ht="15" hidden="false" customHeight="false" outlineLevel="0" collapsed="false">
      <c r="A28476" s="2" t="s">
        <v>552</v>
      </c>
      <c r="C28476" s="17" t="n">
        <f aca="false">IF(ISNUMBER(Assumptions!$C$14),Assumptions!$C$14,C28475)</f>
        <v>2688.03189666667</v>
      </c>
    </row>
    <row r="28477" customFormat="false" ht="15" hidden="false" customHeight="false" outlineLevel="0" collapsed="false">
      <c r="A28477" s="3" t="s">
        <v>553</v>
      </c>
      <c r="C28477" s="16" t="n">
        <f aca="false">C28476*Assumptions!$C$15</f>
        <v>107.521275866667</v>
      </c>
    </row>
    <row r="28478" customFormat="false" ht="15" hidden="false" customHeight="false" outlineLevel="0" collapsed="false">
      <c r="A28478" s="2" t="s">
        <v>554</v>
      </c>
      <c r="C28478" s="17" t="n">
        <f aca="false">C28476-C28477</f>
        <v>2580.5106208</v>
      </c>
    </row>
    <row r="28479" customFormat="false" ht="15" hidden="false" customHeight="false" outlineLevel="0" collapsed="false">
      <c r="A28479" s="24" t="s">
        <v>555</v>
      </c>
      <c r="B28479" s="25"/>
      <c r="C28479" s="25"/>
      <c r="D28479" s="25"/>
      <c r="E28479" s="25"/>
      <c r="F28479" s="25"/>
      <c r="G28479" s="25"/>
      <c r="H28479" s="25"/>
      <c r="I28479" s="25"/>
      <c r="J28479" s="25"/>
      <c r="K28479" s="25"/>
    </row>
    <row r="28480" customFormat="false" ht="15" hidden="false" customHeight="false" outlineLevel="0" collapsed="false">
      <c r="A28480" s="3" t="s">
        <v>556</v>
      </c>
      <c r="C28480" s="16" t="n">
        <f aca="false">SUMPRODUCT($G$28468:$K$28468,$G$28225:$K$28225)*(1+SUMPRODUCT($G$28468:$K$28468,$G$28217:$K$28217)*Assumptions!$C$16/12)</f>
        <v>402.78</v>
      </c>
    </row>
    <row r="28481" customFormat="false" ht="15" hidden="false" customHeight="false" outlineLevel="0" collapsed="false">
      <c r="A28481" s="3" t="s">
        <v>557</v>
      </c>
      <c r="C28481" s="16" t="n">
        <f aca="false">SUMPRODUCT($G$28468:$K$28468,$G$28238:$K$28238)*(1+SUMPRODUCT($G$28468:$K$28468,$G$28230:$K$28230)*Assumptions!$C$16/12)</f>
        <v>91.30725</v>
      </c>
    </row>
    <row r="28482" customFormat="false" ht="15" hidden="false" customHeight="false" outlineLevel="0" collapsed="false">
      <c r="A28482" s="3" t="s">
        <v>558</v>
      </c>
      <c r="C28482" s="16" t="n">
        <f aca="false">SUMPRODUCT($G$28468:$K$28468,$G$28251:$K$28251)*(1+SUMPRODUCT($G$28468:$K$28468,$G$28243:$K$28243)*Assumptions!$C$16/12)</f>
        <v>58.3715961</v>
      </c>
    </row>
    <row r="28483" customFormat="false" ht="15" hidden="false" customHeight="false" outlineLevel="0" collapsed="false">
      <c r="A28483" s="3" t="s">
        <v>559</v>
      </c>
      <c r="C28483" s="16" t="n">
        <f aca="false">SUMPRODUCT($G$28468:$K$28468,$G$28264:$K$28264)*(1+SUMPRODUCT($G$28468:$K$28468,$G$28256:$K$28256)*Assumptions!$C$16/12)</f>
        <v>0</v>
      </c>
    </row>
    <row r="28484" customFormat="false" ht="15" hidden="false" customHeight="false" outlineLevel="0" collapsed="false">
      <c r="A28484" s="3" t="s">
        <v>560</v>
      </c>
      <c r="C28484" s="16" t="n">
        <f aca="false">SUMPRODUCT($G$28468:$K$28468,$G$28277:$K$28277)*(1+SUMPRODUCT($G$28468:$K$28468,$G$28269:$K$28269)*Assumptions!$C$16/12)</f>
        <v>429.623606467163</v>
      </c>
    </row>
    <row r="28485" customFormat="false" ht="15" hidden="false" customHeight="false" outlineLevel="0" collapsed="false">
      <c r="A28485" s="3" t="s">
        <v>561</v>
      </c>
      <c r="C28485" s="16" t="n">
        <f aca="false">SUMPRODUCT($G$28468:$K$28468,$G$28290:$K$28290)*(1+SUMPRODUCT($G$28468:$K$28468,$G$28282:$K$28282)*Assumptions!$C$16/12)</f>
        <v>357.2625</v>
      </c>
    </row>
    <row r="28486" customFormat="false" ht="15" hidden="false" customHeight="false" outlineLevel="0" collapsed="false">
      <c r="A28486" s="3" t="s">
        <v>562</v>
      </c>
      <c r="C28486" s="16" t="n">
        <f aca="false">SUMPRODUCT($G$28468:$K$28468,$G$28303:$K$28303)*(1+SUMPRODUCT($G$28468:$K$28468,$G$28295:$K$28295)*Assumptions!$C$16/12)</f>
        <v>562.203125</v>
      </c>
    </row>
    <row r="28487" customFormat="false" ht="15" hidden="false" customHeight="false" outlineLevel="0" collapsed="false">
      <c r="A28487" s="3" t="s">
        <v>563</v>
      </c>
      <c r="C28487" s="16" t="n">
        <f aca="false">SUMPRODUCT($G$28468:$K$28468,$G$28316:$K$28316)*(1+SUMPRODUCT($G$28468:$K$28468,$G$28308:$K$28308)*Assumptions!$C$16/12)</f>
        <v>353.98125</v>
      </c>
    </row>
    <row r="28488" customFormat="false" ht="15" hidden="false" customHeight="false" outlineLevel="0" collapsed="false">
      <c r="A28488" s="3" t="s">
        <v>564</v>
      </c>
      <c r="C28488" s="16" t="n">
        <f aca="false">SUMPRODUCT($G$28468:$K$28468,$G$28329:$K$28329)*(1+SUMPRODUCT($G$28468:$K$28468,$G$28321:$K$28321)*Assumptions!$C$16/12)</f>
        <v>304.59375</v>
      </c>
    </row>
    <row r="28489" customFormat="false" ht="15" hidden="false" customHeight="false" outlineLevel="0" collapsed="false">
      <c r="A28489" s="3" t="s">
        <v>565</v>
      </c>
      <c r="C28489" s="16" t="n">
        <f aca="false">SUMPRODUCT($G$28468:$K$28468,$G$28342:$K$28342)*(1+SUMPRODUCT($G$28468:$K$28468,$G$28334:$K$28334)*Assumptions!$C$16/12)</f>
        <v>80.0367715</v>
      </c>
    </row>
    <row r="28490" customFormat="false" ht="15" hidden="false" customHeight="false" outlineLevel="0" collapsed="false">
      <c r="A28490" s="24" t="s">
        <v>566</v>
      </c>
      <c r="B28490" s="25"/>
      <c r="C28490" s="25"/>
      <c r="D28490" s="25"/>
      <c r="E28490" s="25"/>
      <c r="F28490" s="25"/>
      <c r="G28490" s="25"/>
      <c r="H28490" s="25"/>
      <c r="I28490" s="25"/>
      <c r="J28490" s="25"/>
      <c r="K28490" s="25"/>
    </row>
    <row r="28491" customFormat="false" ht="15" hidden="false" customHeight="false" outlineLevel="0" collapsed="false">
      <c r="A28491" s="3" t="s">
        <v>556</v>
      </c>
      <c r="C28491" s="27" t="n">
        <f aca="false">Assumptions!$M$57</f>
        <v>1</v>
      </c>
    </row>
    <row r="28492" customFormat="false" ht="15" hidden="false" customHeight="false" outlineLevel="0" collapsed="false">
      <c r="A28492" s="3" t="s">
        <v>557</v>
      </c>
      <c r="C28492" s="27" t="n">
        <f aca="false">Assumptions!$M$58</f>
        <v>1</v>
      </c>
    </row>
    <row r="28493" customFormat="false" ht="15" hidden="false" customHeight="false" outlineLevel="0" collapsed="false">
      <c r="A28493" s="3" t="s">
        <v>558</v>
      </c>
      <c r="C28493" s="27" t="n">
        <f aca="false">Assumptions!$M$59</f>
        <v>1</v>
      </c>
    </row>
    <row r="28494" customFormat="false" ht="15" hidden="false" customHeight="false" outlineLevel="0" collapsed="false">
      <c r="A28494" s="3" t="s">
        <v>559</v>
      </c>
      <c r="C28494" s="27" t="n">
        <f aca="false">Assumptions!$M$60</f>
        <v>2</v>
      </c>
    </row>
    <row r="28495" customFormat="false" ht="15" hidden="false" customHeight="false" outlineLevel="0" collapsed="false">
      <c r="A28495" s="3" t="s">
        <v>560</v>
      </c>
      <c r="C28495" s="27" t="n">
        <f aca="false">Assumptions!$M$61</f>
        <v>2</v>
      </c>
    </row>
    <row r="28496" customFormat="false" ht="15" hidden="false" customHeight="false" outlineLevel="0" collapsed="false">
      <c r="A28496" s="3" t="s">
        <v>561</v>
      </c>
      <c r="C28496" s="27" t="n">
        <f aca="false">Assumptions!$M$62</f>
        <v>2</v>
      </c>
    </row>
    <row r="28497" customFormat="false" ht="15" hidden="false" customHeight="false" outlineLevel="0" collapsed="false">
      <c r="A28497" s="3" t="s">
        <v>562</v>
      </c>
      <c r="C28497" s="27" t="n">
        <f aca="false">Assumptions!$M$63</f>
        <v>2</v>
      </c>
    </row>
    <row r="28498" customFormat="false" ht="15" hidden="false" customHeight="false" outlineLevel="0" collapsed="false">
      <c r="A28498" s="3" t="s">
        <v>563</v>
      </c>
      <c r="C28498" s="27" t="n">
        <f aca="false">Assumptions!$M$64</f>
        <v>2</v>
      </c>
    </row>
    <row r="28499" customFormat="false" ht="15" hidden="false" customHeight="false" outlineLevel="0" collapsed="false">
      <c r="A28499" s="3" t="s">
        <v>564</v>
      </c>
      <c r="C28499" s="27" t="n">
        <f aca="false">Assumptions!$M$65</f>
        <v>2</v>
      </c>
    </row>
    <row r="28500" customFormat="false" ht="15" hidden="false" customHeight="false" outlineLevel="0" collapsed="false">
      <c r="A28500" s="3" t="s">
        <v>565</v>
      </c>
      <c r="C28500" s="27" t="n">
        <f aca="false">Assumptions!$M$66</f>
        <v>3</v>
      </c>
    </row>
    <row r="28501" customFormat="false" ht="15" hidden="false" customHeight="false" outlineLevel="0" collapsed="false">
      <c r="A28501" s="24" t="s">
        <v>567</v>
      </c>
      <c r="B28501" s="25"/>
      <c r="C28501" s="25"/>
      <c r="D28501" s="25"/>
      <c r="E28501" s="25"/>
      <c r="F28501" s="25"/>
      <c r="G28501" s="25"/>
      <c r="H28501" s="25"/>
      <c r="I28501" s="25"/>
      <c r="J28501" s="25"/>
      <c r="K28501" s="25"/>
    </row>
    <row r="28502" customFormat="false" ht="15" hidden="false" customHeight="false" outlineLevel="0" collapsed="false">
      <c r="A28502" s="3" t="s">
        <v>556</v>
      </c>
      <c r="C28502" s="33" t="n">
        <f aca="false">Assumptions!$Q$57</f>
        <v>0.3</v>
      </c>
    </row>
    <row r="28503" customFormat="false" ht="15" hidden="false" customHeight="false" outlineLevel="0" collapsed="false">
      <c r="A28503" s="3" t="s">
        <v>557</v>
      </c>
      <c r="C28503" s="33" t="n">
        <f aca="false">Assumptions!$Q$58</f>
        <v>0.033</v>
      </c>
    </row>
    <row r="28504" customFormat="false" ht="15" hidden="false" customHeight="false" outlineLevel="0" collapsed="false">
      <c r="A28504" s="3" t="s">
        <v>558</v>
      </c>
      <c r="C28504" s="33" t="n">
        <f aca="false">Assumptions!$Q$59</f>
        <v>0.021</v>
      </c>
    </row>
    <row r="28505" customFormat="false" ht="15" hidden="false" customHeight="false" outlineLevel="0" collapsed="false">
      <c r="A28505" s="3" t="s">
        <v>559</v>
      </c>
      <c r="C28505" s="33" t="n">
        <f aca="false">Assumptions!$Q$60</f>
        <v>0</v>
      </c>
    </row>
    <row r="28506" customFormat="false" ht="15" hidden="false" customHeight="false" outlineLevel="0" collapsed="false">
      <c r="A28506" s="3" t="s">
        <v>560</v>
      </c>
      <c r="C28506" s="33" t="n">
        <f aca="false">Assumptions!$Q$61</f>
        <v>0</v>
      </c>
    </row>
    <row r="28507" customFormat="false" ht="15" hidden="false" customHeight="false" outlineLevel="0" collapsed="false">
      <c r="A28507" s="3" t="s">
        <v>561</v>
      </c>
      <c r="C28507" s="33" t="n">
        <f aca="false">Assumptions!$Q$62</f>
        <v>0</v>
      </c>
    </row>
    <row r="28508" customFormat="false" ht="15" hidden="false" customHeight="false" outlineLevel="0" collapsed="false">
      <c r="A28508" s="3" t="s">
        <v>562</v>
      </c>
      <c r="C28508" s="33" t="n">
        <f aca="false">Assumptions!$Q$63</f>
        <v>0</v>
      </c>
    </row>
    <row r="28509" customFormat="false" ht="15" hidden="false" customHeight="false" outlineLevel="0" collapsed="false">
      <c r="A28509" s="3" t="s">
        <v>563</v>
      </c>
      <c r="C28509" s="33" t="n">
        <f aca="false">Assumptions!$Q$64</f>
        <v>0</v>
      </c>
    </row>
    <row r="28510" customFormat="false" ht="15" hidden="false" customHeight="false" outlineLevel="0" collapsed="false">
      <c r="A28510" s="3" t="s">
        <v>564</v>
      </c>
      <c r="C28510" s="33" t="n">
        <f aca="false">Assumptions!$Q$65</f>
        <v>0</v>
      </c>
    </row>
    <row r="28511" customFormat="false" ht="15" hidden="false" customHeight="false" outlineLevel="0" collapsed="false">
      <c r="A28511" s="3" t="s">
        <v>565</v>
      </c>
      <c r="C28511" s="33" t="n">
        <f aca="false">Assumptions!$Q$66</f>
        <v>0</v>
      </c>
    </row>
    <row r="28512" customFormat="false" ht="15" hidden="false" customHeight="false" outlineLevel="0" collapsed="false">
      <c r="A28512" s="24" t="s">
        <v>568</v>
      </c>
      <c r="B28512" s="25"/>
      <c r="C28512" s="25"/>
      <c r="D28512" s="25"/>
      <c r="E28512" s="25"/>
      <c r="F28512" s="25"/>
      <c r="G28512" s="25"/>
      <c r="H28512" s="25"/>
      <c r="I28512" s="25"/>
      <c r="J28512" s="25"/>
      <c r="K28512" s="25"/>
    </row>
    <row r="28513" customFormat="false" ht="15" hidden="false" customHeight="false" outlineLevel="0" collapsed="false">
      <c r="A28513" s="3" t="s">
        <v>556</v>
      </c>
      <c r="C28513" s="16" t="n">
        <f aca="false">IF(C28502&gt;0,MIN(C28480,C28502*$C$28478),0)</f>
        <v>402.78</v>
      </c>
    </row>
    <row r="28514" customFormat="false" ht="15" hidden="false" customHeight="false" outlineLevel="0" collapsed="false">
      <c r="A28514" s="3" t="s">
        <v>557</v>
      </c>
      <c r="C28514" s="16" t="n">
        <f aca="false">IF(C28503&gt;0,MIN(C28481,C28503*$C$28478),0)</f>
        <v>85.1568504864</v>
      </c>
    </row>
    <row r="28515" customFormat="false" ht="15" hidden="false" customHeight="false" outlineLevel="0" collapsed="false">
      <c r="A28515" s="3" t="s">
        <v>558</v>
      </c>
      <c r="C28515" s="16" t="n">
        <f aca="false">IF(C28504&gt;0,MIN(C28482,C28504*$C$28478),0)</f>
        <v>54.1907230368</v>
      </c>
    </row>
    <row r="28516" customFormat="false" ht="15" hidden="false" customHeight="false" outlineLevel="0" collapsed="false">
      <c r="A28516" s="3" t="s">
        <v>559</v>
      </c>
      <c r="C28516" s="16" t="n">
        <f aca="false">IF(C28505&gt;0,MIN(C28483,C28505*$C$28478),0)</f>
        <v>0</v>
      </c>
    </row>
    <row r="28517" customFormat="false" ht="15" hidden="false" customHeight="false" outlineLevel="0" collapsed="false">
      <c r="A28517" s="3" t="s">
        <v>560</v>
      </c>
      <c r="C28517" s="16" t="n">
        <f aca="false">IF(C28506&gt;0,MIN(C28484,C28506*$C$28478),0)</f>
        <v>0</v>
      </c>
    </row>
    <row r="28518" customFormat="false" ht="15" hidden="false" customHeight="false" outlineLevel="0" collapsed="false">
      <c r="A28518" s="3" t="s">
        <v>561</v>
      </c>
      <c r="C28518" s="16" t="n">
        <f aca="false">IF(C28507&gt;0,MIN(C28485,C28507*$C$28478),0)</f>
        <v>0</v>
      </c>
    </row>
    <row r="28519" customFormat="false" ht="15" hidden="false" customHeight="false" outlineLevel="0" collapsed="false">
      <c r="A28519" s="3" t="s">
        <v>562</v>
      </c>
      <c r="C28519" s="16" t="n">
        <f aca="false">IF(C28508&gt;0,MIN(C28486,C28508*$C$28478),0)</f>
        <v>0</v>
      </c>
    </row>
    <row r="28520" customFormat="false" ht="15" hidden="false" customHeight="false" outlineLevel="0" collapsed="false">
      <c r="A28520" s="3" t="s">
        <v>563</v>
      </c>
      <c r="C28520" s="16" t="n">
        <f aca="false">IF(C28509&gt;0,MIN(C28487,C28509*$C$28478),0)</f>
        <v>0</v>
      </c>
    </row>
    <row r="28521" customFormat="false" ht="15" hidden="false" customHeight="false" outlineLevel="0" collapsed="false">
      <c r="A28521" s="3" t="s">
        <v>564</v>
      </c>
      <c r="C28521" s="16" t="n">
        <f aca="false">IF(C28510&gt;0,MIN(C28488,C28510*$C$28478),0)</f>
        <v>0</v>
      </c>
    </row>
    <row r="28522" customFormat="false" ht="15" hidden="false" customHeight="false" outlineLevel="0" collapsed="false">
      <c r="A28522" s="3" t="s">
        <v>565</v>
      </c>
      <c r="C28522" s="16" t="n">
        <f aca="false">IF(C28511&gt;0,MIN(C28489,C28511*$C$28478),0)</f>
        <v>0</v>
      </c>
    </row>
    <row r="28523" customFormat="false" ht="15" hidden="false" customHeight="false" outlineLevel="0" collapsed="false">
      <c r="A28523" s="24" t="s">
        <v>569</v>
      </c>
      <c r="B28523" s="25"/>
      <c r="C28523" s="25"/>
      <c r="D28523" s="25"/>
      <c r="E28523" s="25"/>
      <c r="F28523" s="25"/>
      <c r="G28523" s="25"/>
      <c r="H28523" s="25"/>
      <c r="I28523" s="25"/>
      <c r="J28523" s="25"/>
      <c r="K28523" s="25"/>
    </row>
    <row r="28524" customFormat="false" ht="15" hidden="false" customHeight="false" outlineLevel="0" collapsed="false">
      <c r="A28524" s="3" t="s">
        <v>556</v>
      </c>
      <c r="C28524" s="16" t="n">
        <f aca="false">IF(C28502&gt;0,C28480-C28513,0)</f>
        <v>0</v>
      </c>
      <c r="G28524" s="21" t="n">
        <f aca="false">IF(AND(G28215=1,G28212=1),1,0)</f>
        <v>0</v>
      </c>
      <c r="H28524" s="21" t="n">
        <f aca="false">IF(G28524=1,1,IF(AND(H28215=1,H28212=1),1,0))</f>
        <v>0</v>
      </c>
      <c r="I28524" s="21" t="n">
        <f aca="false">IF(H28524=1,1,IF(AND(I28215=1,I28212=1),1,0))</f>
        <v>0</v>
      </c>
      <c r="J28524" s="21" t="n">
        <f aca="false">IF(I28524=1,1,IF(AND(J28215=1,J28212=1),1,0))</f>
        <v>0</v>
      </c>
      <c r="K28524" s="21" t="n">
        <f aca="false">IF(J28524=1,1,IF(AND(K28215=1,K28212=1),1,0))</f>
        <v>0</v>
      </c>
    </row>
    <row r="28525" customFormat="false" ht="15" hidden="false" customHeight="false" outlineLevel="0" collapsed="false">
      <c r="A28525" s="3" t="s">
        <v>557</v>
      </c>
      <c r="C28525" s="16" t="n">
        <f aca="false">IF(C28503&gt;0,C28481-C28514,0)</f>
        <v>6.15039951360001</v>
      </c>
      <c r="G28525" s="21" t="n">
        <f aca="false">IF(AND(G28228=1,G28212=1),1,0)</f>
        <v>0</v>
      </c>
      <c r="H28525" s="21" t="n">
        <f aca="false">IF(G28525=1,1,IF(AND(H28228=1,H28212=1),1,0))</f>
        <v>0</v>
      </c>
      <c r="I28525" s="21" t="n">
        <f aca="false">IF(H28525=1,1,IF(AND(I28228=1,I28212=1),1,0))</f>
        <v>0</v>
      </c>
      <c r="J28525" s="21" t="n">
        <f aca="false">IF(I28525=1,1,IF(AND(J28228=1,J28212=1),1,0))</f>
        <v>0</v>
      </c>
      <c r="K28525" s="21" t="n">
        <f aca="false">IF(J28525=1,1,IF(AND(K28228=1,K28212=1),1,0))</f>
        <v>0</v>
      </c>
    </row>
    <row r="28526" customFormat="false" ht="15" hidden="false" customHeight="false" outlineLevel="0" collapsed="false">
      <c r="A28526" s="3" t="s">
        <v>558</v>
      </c>
      <c r="C28526" s="16" t="n">
        <f aca="false">IF(C28504&gt;0,C28482-C28515,0)</f>
        <v>4.1808730632</v>
      </c>
      <c r="G28526" s="21" t="n">
        <f aca="false">IF(AND(G28241=1,G28212=1),1,0)</f>
        <v>0</v>
      </c>
      <c r="H28526" s="21" t="n">
        <f aca="false">IF(G28526=1,1,IF(AND(H28241=1,H28212=1),1,0))</f>
        <v>0</v>
      </c>
      <c r="I28526" s="21" t="n">
        <f aca="false">IF(H28526=1,1,IF(AND(I28241=1,I28212=1),1,0))</f>
        <v>0</v>
      </c>
      <c r="J28526" s="21" t="n">
        <f aca="false">IF(I28526=1,1,IF(AND(J28241=1,J28212=1),1,0))</f>
        <v>0</v>
      </c>
      <c r="K28526" s="21" t="n">
        <f aca="false">IF(J28526=1,1,IF(AND(K28241=1,K28212=1),1,0))</f>
        <v>0</v>
      </c>
    </row>
    <row r="28527" customFormat="false" ht="15" hidden="false" customHeight="false" outlineLevel="0" collapsed="false">
      <c r="A28527" s="3" t="s">
        <v>559</v>
      </c>
      <c r="C28527" s="16" t="n">
        <f aca="false">IF(C28505&gt;0,C28483-C28516,0)</f>
        <v>0</v>
      </c>
      <c r="G28527" s="21" t="n">
        <f aca="false">IF(AND(G28254=1,G28212=1),1,0)</f>
        <v>0</v>
      </c>
      <c r="H28527" s="21" t="n">
        <f aca="false">IF(G28527=1,1,IF(AND(H28254=1,H28212=1),1,0))</f>
        <v>0</v>
      </c>
      <c r="I28527" s="21" t="n">
        <f aca="false">IF(H28527=1,1,IF(AND(I28254=1,I28212=1),1,0))</f>
        <v>0</v>
      </c>
      <c r="J28527" s="21" t="n">
        <f aca="false">IF(I28527=1,1,IF(AND(J28254=1,J28212=1),1,0))</f>
        <v>0</v>
      </c>
      <c r="K28527" s="21" t="n">
        <f aca="false">IF(J28527=1,1,IF(AND(K28254=1,K28212=1),1,0))</f>
        <v>0</v>
      </c>
    </row>
    <row r="28528" customFormat="false" ht="15" hidden="false" customHeight="false" outlineLevel="0" collapsed="false">
      <c r="A28528" s="3" t="s">
        <v>560</v>
      </c>
      <c r="C28528" s="16" t="n">
        <f aca="false">IF(C28506&gt;0,C28484-C28517,0)</f>
        <v>0</v>
      </c>
      <c r="G28528" s="21" t="n">
        <f aca="false">IF(AND(G28267=1,G28212=1),1,0)</f>
        <v>0</v>
      </c>
      <c r="H28528" s="21" t="n">
        <f aca="false">IF(G28528=1,1,IF(AND(H28267=1,H28212=1),1,0))</f>
        <v>0</v>
      </c>
      <c r="I28528" s="21" t="n">
        <f aca="false">IF(H28528=1,1,IF(AND(I28267=1,I28212=1),1,0))</f>
        <v>0</v>
      </c>
      <c r="J28528" s="21" t="n">
        <f aca="false">IF(I28528=1,1,IF(AND(J28267=1,J28212=1),1,0))</f>
        <v>0</v>
      </c>
      <c r="K28528" s="21" t="n">
        <f aca="false">IF(J28528=1,1,IF(AND(K28267=1,K28212=1),1,0))</f>
        <v>0</v>
      </c>
    </row>
    <row r="28529" customFormat="false" ht="15" hidden="false" customHeight="false" outlineLevel="0" collapsed="false">
      <c r="A28529" s="3" t="s">
        <v>561</v>
      </c>
      <c r="C28529" s="16" t="n">
        <f aca="false">IF(C28507&gt;0,C28485-C28518,0)</f>
        <v>0</v>
      </c>
      <c r="G28529" s="21" t="n">
        <f aca="false">IF(AND(G28280=1,G28212=1),1,0)</f>
        <v>0</v>
      </c>
      <c r="H28529" s="21" t="n">
        <f aca="false">IF(G28529=1,1,IF(AND(H28280=1,H28212=1),1,0))</f>
        <v>0</v>
      </c>
      <c r="I28529" s="21" t="n">
        <f aca="false">IF(H28529=1,1,IF(AND(I28280=1,I28212=1),1,0))</f>
        <v>0</v>
      </c>
      <c r="J28529" s="21" t="n">
        <f aca="false">IF(I28529=1,1,IF(AND(J28280=1,J28212=1),1,0))</f>
        <v>0</v>
      </c>
      <c r="K28529" s="21" t="n">
        <f aca="false">IF(J28529=1,1,IF(AND(K28280=1,K28212=1),1,0))</f>
        <v>0</v>
      </c>
    </row>
    <row r="28530" customFormat="false" ht="15" hidden="false" customHeight="false" outlineLevel="0" collapsed="false">
      <c r="A28530" s="3" t="s">
        <v>562</v>
      </c>
      <c r="C28530" s="16" t="n">
        <f aca="false">IF(C28508&gt;0,C28486-C28519,0)</f>
        <v>0</v>
      </c>
      <c r="G28530" s="21" t="n">
        <f aca="false">IF(AND(G28293=1,G28212=1),1,0)</f>
        <v>0</v>
      </c>
      <c r="H28530" s="21" t="n">
        <f aca="false">IF(G28530=1,1,IF(AND(H28293=1,H28212=1),1,0))</f>
        <v>0</v>
      </c>
      <c r="I28530" s="21" t="n">
        <f aca="false">IF(H28530=1,1,IF(AND(I28293=1,I28212=1),1,0))</f>
        <v>0</v>
      </c>
      <c r="J28530" s="21" t="n">
        <f aca="false">IF(I28530=1,1,IF(AND(J28293=1,J28212=1),1,0))</f>
        <v>0</v>
      </c>
      <c r="K28530" s="21" t="n">
        <f aca="false">IF(J28530=1,1,IF(AND(K28293=1,K28212=1),1,0))</f>
        <v>0</v>
      </c>
    </row>
    <row r="28531" customFormat="false" ht="15" hidden="false" customHeight="false" outlineLevel="0" collapsed="false">
      <c r="A28531" s="3" t="s">
        <v>563</v>
      </c>
      <c r="C28531" s="16" t="n">
        <f aca="false">IF(C28509&gt;0,C28487-C28520,0)</f>
        <v>0</v>
      </c>
      <c r="G28531" s="21" t="n">
        <f aca="false">IF(AND(G28306=1,G28212=1),1,0)</f>
        <v>0</v>
      </c>
      <c r="H28531" s="21" t="n">
        <f aca="false">IF(G28531=1,1,IF(AND(H28306=1,H28212=1),1,0))</f>
        <v>0</v>
      </c>
      <c r="I28531" s="21" t="n">
        <f aca="false">IF(H28531=1,1,IF(AND(I28306=1,I28212=1),1,0))</f>
        <v>0</v>
      </c>
      <c r="J28531" s="21" t="n">
        <f aca="false">IF(I28531=1,1,IF(AND(J28306=1,J28212=1),1,0))</f>
        <v>0</v>
      </c>
      <c r="K28531" s="21" t="n">
        <f aca="false">IF(J28531=1,1,IF(AND(K28306=1,K28212=1),1,0))</f>
        <v>0</v>
      </c>
    </row>
    <row r="28532" customFormat="false" ht="15" hidden="false" customHeight="false" outlineLevel="0" collapsed="false">
      <c r="A28532" s="3" t="s">
        <v>564</v>
      </c>
      <c r="C28532" s="16" t="n">
        <f aca="false">IF(C28510&gt;0,C28488-C28521,0)</f>
        <v>0</v>
      </c>
      <c r="G28532" s="21" t="n">
        <f aca="false">IF(AND(G28319=1,G28212=1),1,0)</f>
        <v>0</v>
      </c>
      <c r="H28532" s="21" t="n">
        <f aca="false">IF(G28532=1,1,IF(AND(H28319=1,H28212=1),1,0))</f>
        <v>0</v>
      </c>
      <c r="I28532" s="21" t="n">
        <f aca="false">IF(H28532=1,1,IF(AND(I28319=1,I28212=1),1,0))</f>
        <v>0</v>
      </c>
      <c r="J28532" s="21" t="n">
        <f aca="false">IF(I28532=1,1,IF(AND(J28319=1,J28212=1),1,0))</f>
        <v>0</v>
      </c>
      <c r="K28532" s="21" t="n">
        <f aca="false">IF(J28532=1,1,IF(AND(K28319=1,K28212=1),1,0))</f>
        <v>0</v>
      </c>
    </row>
    <row r="28533" customFormat="false" ht="15" hidden="false" customHeight="false" outlineLevel="0" collapsed="false">
      <c r="A28533" s="3" t="s">
        <v>565</v>
      </c>
      <c r="C28533" s="16" t="n">
        <f aca="false">IF(C28511&gt;0,C28489-C28522,0)</f>
        <v>0</v>
      </c>
      <c r="G28533" s="21" t="n">
        <f aca="false">IF(AND(G28332=1,G28212=1),1,0)</f>
        <v>0</v>
      </c>
      <c r="H28533" s="21" t="n">
        <f aca="false">IF(G28533=1,1,IF(AND(H28332=1,H28212=1),1,0))</f>
        <v>0</v>
      </c>
      <c r="I28533" s="21" t="n">
        <f aca="false">IF(H28533=1,1,IF(AND(I28332=1,I28212=1),1,0))</f>
        <v>0</v>
      </c>
      <c r="J28533" s="21" t="n">
        <f aca="false">IF(I28533=1,1,IF(AND(J28332=1,J28212=1),1,0))</f>
        <v>0</v>
      </c>
      <c r="K28533" s="21" t="n">
        <f aca="false">IF(J28533=1,1,IF(AND(K28332=1,K28212=1),1,0))</f>
        <v>0</v>
      </c>
    </row>
    <row r="28534" customFormat="false" ht="15" hidden="false" customHeight="false" outlineLevel="0" collapsed="false">
      <c r="A28534" s="24" t="s">
        <v>570</v>
      </c>
      <c r="B28534" s="25"/>
      <c r="C28534" s="25"/>
      <c r="D28534" s="25"/>
      <c r="E28534" s="25"/>
      <c r="F28534" s="25"/>
      <c r="G28534" s="25"/>
      <c r="H28534" s="25"/>
      <c r="I28534" s="25"/>
      <c r="J28534" s="25"/>
      <c r="K28534" s="25"/>
    </row>
    <row r="28535" customFormat="false" ht="15" hidden="false" customHeight="false" outlineLevel="0" collapsed="false">
      <c r="A28535" s="3" t="s">
        <v>556</v>
      </c>
      <c r="C28535" s="16" t="n">
        <f aca="false">IF(C28502&gt;0,C28524,C28480)</f>
        <v>0</v>
      </c>
    </row>
    <row r="28536" customFormat="false" ht="15" hidden="false" customHeight="false" outlineLevel="0" collapsed="false">
      <c r="A28536" s="3" t="s">
        <v>557</v>
      </c>
      <c r="C28536" s="16" t="n">
        <f aca="false">IF(C28503&gt;0,C28525,C28481)</f>
        <v>6.15039951360001</v>
      </c>
    </row>
    <row r="28537" customFormat="false" ht="15" hidden="false" customHeight="false" outlineLevel="0" collapsed="false">
      <c r="A28537" s="3" t="s">
        <v>558</v>
      </c>
      <c r="C28537" s="16" t="n">
        <f aca="false">IF(C28504&gt;0,C28526,C28482)</f>
        <v>4.1808730632</v>
      </c>
    </row>
    <row r="28538" customFormat="false" ht="15" hidden="false" customHeight="false" outlineLevel="0" collapsed="false">
      <c r="A28538" s="3" t="s">
        <v>559</v>
      </c>
      <c r="C28538" s="16" t="n">
        <f aca="false">IF(C28505&gt;0,C28527,C28483)</f>
        <v>0</v>
      </c>
    </row>
    <row r="28539" customFormat="false" ht="15" hidden="false" customHeight="false" outlineLevel="0" collapsed="false">
      <c r="A28539" s="3" t="s">
        <v>560</v>
      </c>
      <c r="C28539" s="16" t="n">
        <f aca="false">IF(C28506&gt;0,C28528,C28484)</f>
        <v>429.623606467163</v>
      </c>
    </row>
    <row r="28540" customFormat="false" ht="15" hidden="false" customHeight="false" outlineLevel="0" collapsed="false">
      <c r="A28540" s="3" t="s">
        <v>561</v>
      </c>
      <c r="C28540" s="16" t="n">
        <f aca="false">IF(C28507&gt;0,C28529,C28485)</f>
        <v>357.2625</v>
      </c>
    </row>
    <row r="28541" customFormat="false" ht="15" hidden="false" customHeight="false" outlineLevel="0" collapsed="false">
      <c r="A28541" s="3" t="s">
        <v>562</v>
      </c>
      <c r="C28541" s="16" t="n">
        <f aca="false">IF(C28508&gt;0,C28530,C28486)</f>
        <v>562.203125</v>
      </c>
    </row>
    <row r="28542" customFormat="false" ht="15" hidden="false" customHeight="false" outlineLevel="0" collapsed="false">
      <c r="A28542" s="3" t="s">
        <v>563</v>
      </c>
      <c r="C28542" s="16" t="n">
        <f aca="false">IF(C28509&gt;0,C28531,C28487)</f>
        <v>353.98125</v>
      </c>
    </row>
    <row r="28543" customFormat="false" ht="15" hidden="false" customHeight="false" outlineLevel="0" collapsed="false">
      <c r="A28543" s="3" t="s">
        <v>564</v>
      </c>
      <c r="C28543" s="16" t="n">
        <f aca="false">IF(C28510&gt;0,C28532,C28488)</f>
        <v>304.59375</v>
      </c>
    </row>
    <row r="28544" customFormat="false" ht="15" hidden="false" customHeight="false" outlineLevel="0" collapsed="false">
      <c r="A28544" s="3" t="s">
        <v>565</v>
      </c>
      <c r="C28544" s="16" t="n">
        <f aca="false">IF(C28511&gt;0,C28533,C28489)</f>
        <v>80.0367715</v>
      </c>
    </row>
    <row r="28545" customFormat="false" ht="15" hidden="false" customHeight="false" outlineLevel="0" collapsed="false">
      <c r="A28545" s="24" t="s">
        <v>571</v>
      </c>
      <c r="B28545" s="25"/>
      <c r="C28545" s="25"/>
      <c r="D28545" s="25"/>
      <c r="E28545" s="25"/>
      <c r="F28545" s="25"/>
      <c r="G28545" s="25"/>
      <c r="H28545" s="25"/>
      <c r="I28545" s="25"/>
      <c r="J28545" s="25"/>
      <c r="K28545" s="25"/>
    </row>
    <row r="28546" customFormat="false" ht="15" hidden="false" customHeight="false" outlineLevel="0" collapsed="false">
      <c r="A28546" s="3" t="s">
        <v>556</v>
      </c>
      <c r="C28546" s="21" t="n">
        <f aca="false">IF(C28502&gt;0,Assumptions!$C$17,C28491)</f>
        <v>99</v>
      </c>
    </row>
    <row r="28547" customFormat="false" ht="15" hidden="false" customHeight="false" outlineLevel="0" collapsed="false">
      <c r="A28547" s="3" t="s">
        <v>557</v>
      </c>
      <c r="C28547" s="21" t="n">
        <f aca="false">IF(C28503&gt;0,Assumptions!$C$17,C28492)</f>
        <v>99</v>
      </c>
    </row>
    <row r="28548" customFormat="false" ht="15" hidden="false" customHeight="false" outlineLevel="0" collapsed="false">
      <c r="A28548" s="3" t="s">
        <v>558</v>
      </c>
      <c r="C28548" s="21" t="n">
        <f aca="false">IF(C28504&gt;0,Assumptions!$C$17,C28493)</f>
        <v>99</v>
      </c>
    </row>
    <row r="28549" customFormat="false" ht="15" hidden="false" customHeight="false" outlineLevel="0" collapsed="false">
      <c r="A28549" s="3" t="s">
        <v>559</v>
      </c>
      <c r="C28549" s="21" t="n">
        <f aca="false">IF(C28505&gt;0,Assumptions!$C$17,C28494)</f>
        <v>2</v>
      </c>
    </row>
    <row r="28550" customFormat="false" ht="15" hidden="false" customHeight="false" outlineLevel="0" collapsed="false">
      <c r="A28550" s="3" t="s">
        <v>560</v>
      </c>
      <c r="C28550" s="21" t="n">
        <f aca="false">IF(C28506&gt;0,Assumptions!$C$17,C28495)</f>
        <v>2</v>
      </c>
    </row>
    <row r="28551" customFormat="false" ht="15" hidden="false" customHeight="false" outlineLevel="0" collapsed="false">
      <c r="A28551" s="3" t="s">
        <v>561</v>
      </c>
      <c r="C28551" s="21" t="n">
        <f aca="false">IF(C28507&gt;0,Assumptions!$C$17,C28496)</f>
        <v>2</v>
      </c>
    </row>
    <row r="28552" customFormat="false" ht="15" hidden="false" customHeight="false" outlineLevel="0" collapsed="false">
      <c r="A28552" s="3" t="s">
        <v>562</v>
      </c>
      <c r="C28552" s="21" t="n">
        <f aca="false">IF(C28508&gt;0,Assumptions!$C$17,C28497)</f>
        <v>2</v>
      </c>
    </row>
    <row r="28553" customFormat="false" ht="15" hidden="false" customHeight="false" outlineLevel="0" collapsed="false">
      <c r="A28553" s="3" t="s">
        <v>563</v>
      </c>
      <c r="C28553" s="21" t="n">
        <f aca="false">IF(C28509&gt;0,Assumptions!$C$17,C28498)</f>
        <v>2</v>
      </c>
    </row>
    <row r="28554" customFormat="false" ht="15" hidden="false" customHeight="false" outlineLevel="0" collapsed="false">
      <c r="A28554" s="3" t="s">
        <v>564</v>
      </c>
      <c r="C28554" s="21" t="n">
        <f aca="false">IF(C28510&gt;0,Assumptions!$C$17,C28499)</f>
        <v>2</v>
      </c>
    </row>
    <row r="28555" customFormat="false" ht="15" hidden="false" customHeight="false" outlineLevel="0" collapsed="false">
      <c r="A28555" s="3" t="s">
        <v>565</v>
      </c>
      <c r="C28555" s="21" t="n">
        <f aca="false">IF(C28511&gt;0,Assumptions!$C$17,C28500)</f>
        <v>3</v>
      </c>
    </row>
    <row r="28556" customFormat="false" ht="15" hidden="false" customHeight="false" outlineLevel="0" collapsed="false">
      <c r="A28556" s="24" t="s">
        <v>572</v>
      </c>
      <c r="B28556" s="25"/>
      <c r="C28556" s="25"/>
      <c r="D28556" s="25"/>
      <c r="E28556" s="25"/>
      <c r="F28556" s="25"/>
      <c r="G28556" s="25"/>
      <c r="H28556" s="25"/>
      <c r="I28556" s="25"/>
      <c r="J28556" s="25"/>
      <c r="K28556" s="25"/>
    </row>
    <row r="28557" customFormat="false" ht="15" hidden="false" customHeight="false" outlineLevel="0" collapsed="false">
      <c r="A28557" s="3" t="s">
        <v>556</v>
      </c>
      <c r="C28557" s="16" t="n">
        <f aca="false">SUMPRODUCT(($C$28546:$C$28555&lt;C28546)*$C$28535:$C$28544)</f>
        <v>2087.70100296716</v>
      </c>
    </row>
    <row r="28558" customFormat="false" ht="15" hidden="false" customHeight="false" outlineLevel="0" collapsed="false">
      <c r="A28558" s="3" t="s">
        <v>557</v>
      </c>
      <c r="C28558" s="16" t="n">
        <f aca="false">SUMPRODUCT(($C$28546:$C$28555&lt;C28547)*$C$28535:$C$28544)</f>
        <v>2087.70100296716</v>
      </c>
    </row>
    <row r="28559" customFormat="false" ht="15" hidden="false" customHeight="false" outlineLevel="0" collapsed="false">
      <c r="A28559" s="3" t="s">
        <v>558</v>
      </c>
      <c r="C28559" s="16" t="n">
        <f aca="false">SUMPRODUCT(($C$28546:$C$28555&lt;C28548)*$C$28535:$C$28544)</f>
        <v>2087.70100296716</v>
      </c>
    </row>
    <row r="28560" customFormat="false" ht="15" hidden="false" customHeight="false" outlineLevel="0" collapsed="false">
      <c r="A28560" s="3" t="s">
        <v>559</v>
      </c>
      <c r="C28560" s="16" t="n">
        <f aca="false">SUMPRODUCT(($C$28546:$C$28555&lt;C28549)*$C$28535:$C$28544)</f>
        <v>0</v>
      </c>
    </row>
    <row r="28561" customFormat="false" ht="15" hidden="false" customHeight="false" outlineLevel="0" collapsed="false">
      <c r="A28561" s="3" t="s">
        <v>560</v>
      </c>
      <c r="C28561" s="16" t="n">
        <f aca="false">SUMPRODUCT(($C$28546:$C$28555&lt;C28550)*$C$28535:$C$28544)</f>
        <v>0</v>
      </c>
    </row>
    <row r="28562" customFormat="false" ht="15" hidden="false" customHeight="false" outlineLevel="0" collapsed="false">
      <c r="A28562" s="3" t="s">
        <v>561</v>
      </c>
      <c r="C28562" s="16" t="n">
        <f aca="false">SUMPRODUCT(($C$28546:$C$28555&lt;C28551)*$C$28535:$C$28544)</f>
        <v>0</v>
      </c>
    </row>
    <row r="28563" customFormat="false" ht="15" hidden="false" customHeight="false" outlineLevel="0" collapsed="false">
      <c r="A28563" s="3" t="s">
        <v>562</v>
      </c>
      <c r="C28563" s="16" t="n">
        <f aca="false">SUMPRODUCT(($C$28546:$C$28555&lt;C28552)*$C$28535:$C$28544)</f>
        <v>0</v>
      </c>
    </row>
    <row r="28564" customFormat="false" ht="15" hidden="false" customHeight="false" outlineLevel="0" collapsed="false">
      <c r="A28564" s="3" t="s">
        <v>563</v>
      </c>
      <c r="C28564" s="16" t="n">
        <f aca="false">SUMPRODUCT(($C$28546:$C$28555&lt;C28553)*$C$28535:$C$28544)</f>
        <v>0</v>
      </c>
    </row>
    <row r="28565" customFormat="false" ht="15" hidden="false" customHeight="false" outlineLevel="0" collapsed="false">
      <c r="A28565" s="3" t="s">
        <v>564</v>
      </c>
      <c r="C28565" s="16" t="n">
        <f aca="false">SUMPRODUCT(($C$28546:$C$28555&lt;C28554)*$C$28535:$C$28544)</f>
        <v>0</v>
      </c>
    </row>
    <row r="28566" customFormat="false" ht="15" hidden="false" customHeight="false" outlineLevel="0" collapsed="false">
      <c r="A28566" s="3" t="s">
        <v>565</v>
      </c>
      <c r="C28566" s="16" t="n">
        <f aca="false">SUMPRODUCT(($C$28546:$C$28555&lt;C28555)*$C$28535:$C$28544)</f>
        <v>2007.66423146716</v>
      </c>
    </row>
    <row r="28567" customFormat="false" ht="15" hidden="false" customHeight="false" outlineLevel="0" collapsed="false">
      <c r="A28567" s="24" t="s">
        <v>573</v>
      </c>
      <c r="B28567" s="25"/>
      <c r="C28567" s="25"/>
      <c r="D28567" s="25"/>
      <c r="E28567" s="25"/>
      <c r="F28567" s="25"/>
      <c r="G28567" s="25"/>
      <c r="H28567" s="25"/>
      <c r="I28567" s="25"/>
      <c r="J28567" s="25"/>
      <c r="K28567" s="25"/>
    </row>
    <row r="28568" customFormat="false" ht="15" hidden="false" customHeight="false" outlineLevel="0" collapsed="false">
      <c r="A28568" s="3" t="s">
        <v>556</v>
      </c>
      <c r="C28568" s="16" t="n">
        <f aca="false">SUMPRODUCT(($C$28546:$C$28555=C28546)*$C$28535:$C$28544)</f>
        <v>10.3312725768</v>
      </c>
    </row>
    <row r="28569" customFormat="false" ht="15" hidden="false" customHeight="false" outlineLevel="0" collapsed="false">
      <c r="A28569" s="3" t="s">
        <v>557</v>
      </c>
      <c r="C28569" s="16" t="n">
        <f aca="false">SUMPRODUCT(($C$28546:$C$28555=C28547)*$C$28535:$C$28544)</f>
        <v>10.3312725768</v>
      </c>
    </row>
    <row r="28570" customFormat="false" ht="15" hidden="false" customHeight="false" outlineLevel="0" collapsed="false">
      <c r="A28570" s="3" t="s">
        <v>558</v>
      </c>
      <c r="C28570" s="16" t="n">
        <f aca="false">SUMPRODUCT(($C$28546:$C$28555=C28548)*$C$28535:$C$28544)</f>
        <v>10.3312725768</v>
      </c>
    </row>
    <row r="28571" customFormat="false" ht="15" hidden="false" customHeight="false" outlineLevel="0" collapsed="false">
      <c r="A28571" s="3" t="s">
        <v>559</v>
      </c>
      <c r="C28571" s="16" t="n">
        <f aca="false">SUMPRODUCT(($C$28546:$C$28555=C28549)*$C$28535:$C$28544)</f>
        <v>2007.66423146716</v>
      </c>
    </row>
    <row r="28572" customFormat="false" ht="15" hidden="false" customHeight="false" outlineLevel="0" collapsed="false">
      <c r="A28572" s="3" t="s">
        <v>560</v>
      </c>
      <c r="C28572" s="16" t="n">
        <f aca="false">SUMPRODUCT(($C$28546:$C$28555=C28550)*$C$28535:$C$28544)</f>
        <v>2007.66423146716</v>
      </c>
    </row>
    <row r="28573" customFormat="false" ht="15" hidden="false" customHeight="false" outlineLevel="0" collapsed="false">
      <c r="A28573" s="3" t="s">
        <v>561</v>
      </c>
      <c r="C28573" s="16" t="n">
        <f aca="false">SUMPRODUCT(($C$28546:$C$28555=C28551)*$C$28535:$C$28544)</f>
        <v>2007.66423146716</v>
      </c>
    </row>
    <row r="28574" customFormat="false" ht="15" hidden="false" customHeight="false" outlineLevel="0" collapsed="false">
      <c r="A28574" s="3" t="s">
        <v>562</v>
      </c>
      <c r="C28574" s="16" t="n">
        <f aca="false">SUMPRODUCT(($C$28546:$C$28555=C28552)*$C$28535:$C$28544)</f>
        <v>2007.66423146716</v>
      </c>
    </row>
    <row r="28575" customFormat="false" ht="15" hidden="false" customHeight="false" outlineLevel="0" collapsed="false">
      <c r="A28575" s="3" t="s">
        <v>563</v>
      </c>
      <c r="C28575" s="16" t="n">
        <f aca="false">SUMPRODUCT(($C$28546:$C$28555=C28553)*$C$28535:$C$28544)</f>
        <v>2007.66423146716</v>
      </c>
    </row>
    <row r="28576" customFormat="false" ht="15" hidden="false" customHeight="false" outlineLevel="0" collapsed="false">
      <c r="A28576" s="3" t="s">
        <v>564</v>
      </c>
      <c r="C28576" s="16" t="n">
        <f aca="false">SUMPRODUCT(($C$28546:$C$28555=C28554)*$C$28535:$C$28544)</f>
        <v>2007.66423146716</v>
      </c>
    </row>
    <row r="28577" customFormat="false" ht="15" hidden="false" customHeight="false" outlineLevel="0" collapsed="false">
      <c r="A28577" s="3" t="s">
        <v>565</v>
      </c>
      <c r="C28577" s="16" t="n">
        <f aca="false">SUMPRODUCT(($C$28546:$C$28555=C28555)*$C$28535:$C$28544)</f>
        <v>80.0367715</v>
      </c>
    </row>
    <row r="28578" customFormat="false" ht="15" hidden="false" customHeight="false" outlineLevel="0" collapsed="false">
      <c r="A28578" s="24" t="s">
        <v>574</v>
      </c>
      <c r="B28578" s="25"/>
      <c r="C28578" s="25"/>
      <c r="D28578" s="25"/>
      <c r="E28578" s="25"/>
      <c r="F28578" s="25"/>
      <c r="G28578" s="25"/>
      <c r="H28578" s="25"/>
      <c r="I28578" s="25"/>
      <c r="J28578" s="25"/>
      <c r="K28578" s="25"/>
    </row>
    <row r="28579" customFormat="false" ht="15" hidden="false" customHeight="false" outlineLevel="0" collapsed="false">
      <c r="A28579" s="3" t="s">
        <v>556</v>
      </c>
      <c r="C28579" s="16" t="n">
        <f aca="false">IF(C28568=0,0,C28535/C28568*MAX(0,MIN(C28568,$C$28478-SUM($C$28513:$C$28522)-C28557)))</f>
        <v>0</v>
      </c>
    </row>
    <row r="28580" customFormat="false" ht="15" hidden="false" customHeight="false" outlineLevel="0" collapsed="false">
      <c r="A28580" s="3" t="s">
        <v>557</v>
      </c>
      <c r="C28580" s="16" t="n">
        <f aca="false">IF(C28569=0,0,C28536/C28569*MAX(0,MIN(C28569,$C$28478-SUM($C$28513:$C$28522)-C28558)))</f>
        <v>0</v>
      </c>
    </row>
    <row r="28581" customFormat="false" ht="15" hidden="false" customHeight="false" outlineLevel="0" collapsed="false">
      <c r="A28581" s="3" t="s">
        <v>558</v>
      </c>
      <c r="C28581" s="16" t="n">
        <f aca="false">IF(C28570=0,0,C28537/C28570*MAX(0,MIN(C28570,$C$28478-SUM($C$28513:$C$28522)-C28559)))</f>
        <v>0</v>
      </c>
    </row>
    <row r="28582" customFormat="false" ht="15" hidden="false" customHeight="false" outlineLevel="0" collapsed="false">
      <c r="A28582" s="3" t="s">
        <v>559</v>
      </c>
      <c r="C28582" s="16" t="n">
        <f aca="false">IF(C28571=0,0,C28538/C28571*MAX(0,MIN(C28571,$C$28478-SUM($C$28513:$C$28522)-C28560)))</f>
        <v>0</v>
      </c>
    </row>
    <row r="28583" customFormat="false" ht="15" hidden="false" customHeight="false" outlineLevel="0" collapsed="false">
      <c r="A28583" s="3" t="s">
        <v>560</v>
      </c>
      <c r="C28583" s="16" t="n">
        <f aca="false">IF(C28572=0,0,C28539/C28572*MAX(0,MIN(C28572,$C$28478-SUM($C$28513:$C$28522)-C28561)))</f>
        <v>429.623606467163</v>
      </c>
    </row>
    <row r="28584" customFormat="false" ht="15" hidden="false" customHeight="false" outlineLevel="0" collapsed="false">
      <c r="A28584" s="3" t="s">
        <v>561</v>
      </c>
      <c r="C28584" s="16" t="n">
        <f aca="false">IF(C28573=0,0,C28540/C28573*MAX(0,MIN(C28573,$C$28478-SUM($C$28513:$C$28522)-C28562)))</f>
        <v>357.2625</v>
      </c>
    </row>
    <row r="28585" customFormat="false" ht="15" hidden="false" customHeight="false" outlineLevel="0" collapsed="false">
      <c r="A28585" s="3" t="s">
        <v>562</v>
      </c>
      <c r="C28585" s="16" t="n">
        <f aca="false">IF(C28574=0,0,C28541/C28574*MAX(0,MIN(C28574,$C$28478-SUM($C$28513:$C$28522)-C28563)))</f>
        <v>562.203125</v>
      </c>
    </row>
    <row r="28586" customFormat="false" ht="15" hidden="false" customHeight="false" outlineLevel="0" collapsed="false">
      <c r="A28586" s="3" t="s">
        <v>563</v>
      </c>
      <c r="C28586" s="16" t="n">
        <f aca="false">IF(C28575=0,0,C28542/C28575*MAX(0,MIN(C28575,$C$28478-SUM($C$28513:$C$28522)-C28564)))</f>
        <v>353.98125</v>
      </c>
    </row>
    <row r="28587" customFormat="false" ht="15" hidden="false" customHeight="false" outlineLevel="0" collapsed="false">
      <c r="A28587" s="3" t="s">
        <v>564</v>
      </c>
      <c r="C28587" s="16" t="n">
        <f aca="false">IF(C28576=0,0,C28543/C28576*MAX(0,MIN(C28576,$C$28478-SUM($C$28513:$C$28522)-C28565)))</f>
        <v>304.59375</v>
      </c>
    </row>
    <row r="28588" customFormat="false" ht="15" hidden="false" customHeight="false" outlineLevel="0" collapsed="false">
      <c r="A28588" s="3" t="s">
        <v>565</v>
      </c>
      <c r="C28588" s="16" t="n">
        <f aca="false">IF(C28577=0,0,C28544/C28577*MAX(0,MIN(C28577,$C$28478-SUM($C$28513:$C$28522)-C28566)))</f>
        <v>30.7188158096371</v>
      </c>
    </row>
    <row r="28589" customFormat="false" ht="15" hidden="false" customHeight="false" outlineLevel="0" collapsed="false">
      <c r="A28589" s="24" t="s">
        <v>575</v>
      </c>
      <c r="B28589" s="25"/>
      <c r="C28589" s="25"/>
      <c r="D28589" s="25"/>
      <c r="E28589" s="25"/>
      <c r="F28589" s="25"/>
      <c r="G28589" s="25"/>
      <c r="H28589" s="25"/>
      <c r="I28589" s="25"/>
      <c r="J28589" s="25"/>
      <c r="K28589" s="25"/>
    </row>
    <row r="28590" customFormat="false" ht="15" hidden="false" customHeight="false" outlineLevel="0" collapsed="false">
      <c r="A28590" s="2" t="s">
        <v>556</v>
      </c>
      <c r="C28590" s="17" t="n">
        <f aca="false">C28513+C28579</f>
        <v>402.78</v>
      </c>
    </row>
    <row r="28591" customFormat="false" ht="15" hidden="false" customHeight="false" outlineLevel="0" collapsed="false">
      <c r="A28591" s="2" t="s">
        <v>557</v>
      </c>
      <c r="C28591" s="17" t="n">
        <f aca="false">C28514+C28580</f>
        <v>85.1568504864</v>
      </c>
    </row>
    <row r="28592" customFormat="false" ht="15" hidden="false" customHeight="false" outlineLevel="0" collapsed="false">
      <c r="A28592" s="2" t="s">
        <v>558</v>
      </c>
      <c r="C28592" s="17" t="n">
        <f aca="false">C28515+C28581</f>
        <v>54.1907230368</v>
      </c>
    </row>
    <row r="28593" customFormat="false" ht="15" hidden="false" customHeight="false" outlineLevel="0" collapsed="false">
      <c r="A28593" s="2" t="s">
        <v>559</v>
      </c>
      <c r="C28593" s="17" t="n">
        <f aca="false">C28516+C28582</f>
        <v>0</v>
      </c>
    </row>
    <row r="28594" customFormat="false" ht="15" hidden="false" customHeight="false" outlineLevel="0" collapsed="false">
      <c r="A28594" s="2" t="s">
        <v>560</v>
      </c>
      <c r="C28594" s="17" t="n">
        <f aca="false">C28517+C28583</f>
        <v>429.623606467163</v>
      </c>
    </row>
    <row r="28595" customFormat="false" ht="15" hidden="false" customHeight="false" outlineLevel="0" collapsed="false">
      <c r="A28595" s="2" t="s">
        <v>561</v>
      </c>
      <c r="C28595" s="17" t="n">
        <f aca="false">C28518+C28584</f>
        <v>357.2625</v>
      </c>
    </row>
    <row r="28596" customFormat="false" ht="15" hidden="false" customHeight="false" outlineLevel="0" collapsed="false">
      <c r="A28596" s="2" t="s">
        <v>562</v>
      </c>
      <c r="C28596" s="17" t="n">
        <f aca="false">C28519+C28585</f>
        <v>562.203125</v>
      </c>
    </row>
    <row r="28597" customFormat="false" ht="15" hidden="false" customHeight="false" outlineLevel="0" collapsed="false">
      <c r="A28597" s="2" t="s">
        <v>563</v>
      </c>
      <c r="C28597" s="17" t="n">
        <f aca="false">C28520+C28586</f>
        <v>353.98125</v>
      </c>
    </row>
    <row r="28598" customFormat="false" ht="15" hidden="false" customHeight="false" outlineLevel="0" collapsed="false">
      <c r="A28598" s="2" t="s">
        <v>564</v>
      </c>
      <c r="C28598" s="17" t="n">
        <f aca="false">C28521+C28587</f>
        <v>304.59375</v>
      </c>
    </row>
    <row r="28599" customFormat="false" ht="15" hidden="false" customHeight="false" outlineLevel="0" collapsed="false">
      <c r="A28599" s="2" t="s">
        <v>565</v>
      </c>
      <c r="C28599" s="17" t="n">
        <f aca="false">C28522+C28588</f>
        <v>30.7188158096371</v>
      </c>
    </row>
    <row r="28600" customFormat="false" ht="15" hidden="false" customHeight="false" outlineLevel="0" collapsed="false">
      <c r="A28600" s="24" t="s">
        <v>576</v>
      </c>
      <c r="B28600" s="25"/>
      <c r="C28600" s="25"/>
      <c r="D28600" s="25"/>
      <c r="E28600" s="25"/>
      <c r="F28600" s="25"/>
      <c r="G28600" s="25"/>
      <c r="H28600" s="25"/>
      <c r="I28600" s="25"/>
      <c r="J28600" s="25"/>
      <c r="K28600" s="25"/>
    </row>
    <row r="28601" customFormat="false" ht="15" hidden="false" customHeight="false" outlineLevel="0" collapsed="false">
      <c r="A28601" s="3" t="s">
        <v>556</v>
      </c>
      <c r="C28601" s="22" t="n">
        <f aca="false">IF(C28480=0,1,C28590/C28480)</f>
        <v>1</v>
      </c>
    </row>
    <row r="28602" customFormat="false" ht="15" hidden="false" customHeight="false" outlineLevel="0" collapsed="false">
      <c r="A28602" s="3" t="s">
        <v>557</v>
      </c>
      <c r="C28602" s="22" t="n">
        <f aca="false">IF(C28481=0,1,C28591/C28481)</f>
        <v>0.932640622583639</v>
      </c>
    </row>
    <row r="28603" customFormat="false" ht="15" hidden="false" customHeight="false" outlineLevel="0" collapsed="false">
      <c r="A28603" s="3" t="s">
        <v>558</v>
      </c>
      <c r="C28603" s="22" t="n">
        <f aca="false">IF(C28482=0,1,C28592/C28482)</f>
        <v>0.928374871640695</v>
      </c>
    </row>
    <row r="28604" customFormat="false" ht="15" hidden="false" customHeight="false" outlineLevel="0" collapsed="false">
      <c r="A28604" s="3" t="s">
        <v>559</v>
      </c>
      <c r="C28604" s="22" t="n">
        <f aca="false">IF(C28483=0,1,C28593/C28483)</f>
        <v>1</v>
      </c>
    </row>
    <row r="28605" customFormat="false" ht="15" hidden="false" customHeight="false" outlineLevel="0" collapsed="false">
      <c r="A28605" s="3" t="s">
        <v>560</v>
      </c>
      <c r="C28605" s="22" t="n">
        <f aca="false">IF(C28484=0,1,C28594/C28484)</f>
        <v>1</v>
      </c>
    </row>
    <row r="28606" customFormat="false" ht="15" hidden="false" customHeight="false" outlineLevel="0" collapsed="false">
      <c r="A28606" s="3" t="s">
        <v>561</v>
      </c>
      <c r="C28606" s="22" t="n">
        <f aca="false">IF(C28485=0,1,C28595/C28485)</f>
        <v>1</v>
      </c>
    </row>
    <row r="28607" customFormat="false" ht="15" hidden="false" customHeight="false" outlineLevel="0" collapsed="false">
      <c r="A28607" s="3" t="s">
        <v>562</v>
      </c>
      <c r="C28607" s="22" t="n">
        <f aca="false">IF(C28486=0,1,C28596/C28486)</f>
        <v>1</v>
      </c>
    </row>
    <row r="28608" customFormat="false" ht="15" hidden="false" customHeight="false" outlineLevel="0" collapsed="false">
      <c r="A28608" s="3" t="s">
        <v>563</v>
      </c>
      <c r="C28608" s="22" t="n">
        <f aca="false">IF(C28487=0,1,C28597/C28487)</f>
        <v>1</v>
      </c>
    </row>
    <row r="28609" customFormat="false" ht="15" hidden="false" customHeight="false" outlineLevel="0" collapsed="false">
      <c r="A28609" s="3" t="s">
        <v>564</v>
      </c>
      <c r="C28609" s="22" t="n">
        <f aca="false">IF(C28488=0,1,C28598/C28488)</f>
        <v>1</v>
      </c>
    </row>
    <row r="28610" customFormat="false" ht="15" hidden="false" customHeight="false" outlineLevel="0" collapsed="false">
      <c r="A28610" s="3" t="s">
        <v>565</v>
      </c>
      <c r="C28610" s="22" t="n">
        <f aca="false">IF(C28489=0,1,C28599/C28489)</f>
        <v>0.383808782312479</v>
      </c>
    </row>
    <row r="28611" customFormat="false" ht="15" hidden="false" customHeight="false" outlineLevel="0" collapsed="false">
      <c r="A28611" s="24" t="s">
        <v>577</v>
      </c>
      <c r="B28611" s="25"/>
      <c r="C28611" s="25"/>
      <c r="D28611" s="25"/>
      <c r="E28611" s="25"/>
      <c r="F28611" s="25"/>
      <c r="G28611" s="25"/>
      <c r="H28611" s="25"/>
      <c r="I28611" s="25"/>
      <c r="J28611" s="25"/>
      <c r="K28611" s="25"/>
    </row>
    <row r="28612" customFormat="false" ht="15" hidden="false" customHeight="false" outlineLevel="0" collapsed="false">
      <c r="A28612" s="3" t="s">
        <v>556</v>
      </c>
      <c r="C28612" s="16" t="n">
        <f aca="false">C28480-C28590</f>
        <v>0</v>
      </c>
    </row>
    <row r="28613" customFormat="false" ht="15" hidden="false" customHeight="false" outlineLevel="0" collapsed="false">
      <c r="A28613" s="3" t="s">
        <v>557</v>
      </c>
      <c r="C28613" s="16" t="n">
        <f aca="false">C28481-C28591</f>
        <v>6.15039951360001</v>
      </c>
    </row>
    <row r="28614" customFormat="false" ht="15" hidden="false" customHeight="false" outlineLevel="0" collapsed="false">
      <c r="A28614" s="3" t="s">
        <v>558</v>
      </c>
      <c r="C28614" s="16" t="n">
        <f aca="false">C28482-C28592</f>
        <v>4.1808730632</v>
      </c>
    </row>
    <row r="28615" customFormat="false" ht="15" hidden="false" customHeight="false" outlineLevel="0" collapsed="false">
      <c r="A28615" s="3" t="s">
        <v>559</v>
      </c>
      <c r="C28615" s="16" t="n">
        <f aca="false">C28483-C28593</f>
        <v>0</v>
      </c>
    </row>
    <row r="28616" customFormat="false" ht="15" hidden="false" customHeight="false" outlineLevel="0" collapsed="false">
      <c r="A28616" s="3" t="s">
        <v>560</v>
      </c>
      <c r="C28616" s="16" t="n">
        <f aca="false">C28484-C28594</f>
        <v>0</v>
      </c>
    </row>
    <row r="28617" customFormat="false" ht="15" hidden="false" customHeight="false" outlineLevel="0" collapsed="false">
      <c r="A28617" s="3" t="s">
        <v>561</v>
      </c>
      <c r="C28617" s="16" t="n">
        <f aca="false">C28485-C28595</f>
        <v>0</v>
      </c>
    </row>
    <row r="28618" customFormat="false" ht="15" hidden="false" customHeight="false" outlineLevel="0" collapsed="false">
      <c r="A28618" s="3" t="s">
        <v>562</v>
      </c>
      <c r="C28618" s="16" t="n">
        <f aca="false">C28486-C28596</f>
        <v>0</v>
      </c>
    </row>
    <row r="28619" customFormat="false" ht="15" hidden="false" customHeight="false" outlineLevel="0" collapsed="false">
      <c r="A28619" s="3" t="s">
        <v>563</v>
      </c>
      <c r="C28619" s="16" t="n">
        <f aca="false">C28487-C28597</f>
        <v>0</v>
      </c>
    </row>
    <row r="28620" customFormat="false" ht="15" hidden="false" customHeight="false" outlineLevel="0" collapsed="false">
      <c r="A28620" s="3" t="s">
        <v>564</v>
      </c>
      <c r="C28620" s="16" t="n">
        <f aca="false">C28488-C28598</f>
        <v>0</v>
      </c>
    </row>
    <row r="28621" customFormat="false" ht="15" hidden="false" customHeight="false" outlineLevel="0" collapsed="false">
      <c r="A28621" s="3" t="s">
        <v>565</v>
      </c>
      <c r="C28621" s="16" t="n">
        <f aca="false">C28489-C28599</f>
        <v>49.3179556903629</v>
      </c>
    </row>
    <row r="28622" customFormat="false" ht="15" hidden="false" customHeight="false" outlineLevel="0" collapsed="false">
      <c r="A28622" s="24" t="s">
        <v>578</v>
      </c>
      <c r="B28622" s="25"/>
      <c r="C28622" s="25"/>
      <c r="D28622" s="25"/>
      <c r="E28622" s="25"/>
      <c r="F28622" s="25"/>
      <c r="G28622" s="25"/>
      <c r="H28622" s="25"/>
      <c r="I28622" s="25"/>
      <c r="J28622" s="25"/>
      <c r="K28622" s="25"/>
    </row>
    <row r="28623" customFormat="false" ht="15" hidden="false" customHeight="false" outlineLevel="0" collapsed="false">
      <c r="A28623" s="3" t="s">
        <v>556</v>
      </c>
      <c r="C28623" s="22" t="n">
        <f aca="false">IF(C28480=0,0,C28612/C28480)</f>
        <v>0</v>
      </c>
    </row>
    <row r="28624" customFormat="false" ht="15" hidden="false" customHeight="false" outlineLevel="0" collapsed="false">
      <c r="A28624" s="3" t="s">
        <v>557</v>
      </c>
      <c r="C28624" s="22" t="n">
        <f aca="false">IF(C28481=0,0,C28613/C28481)</f>
        <v>0.0673593774163608</v>
      </c>
    </row>
    <row r="28625" customFormat="false" ht="15" hidden="false" customHeight="false" outlineLevel="0" collapsed="false">
      <c r="A28625" s="3" t="s">
        <v>558</v>
      </c>
      <c r="C28625" s="22" t="n">
        <f aca="false">IF(C28482=0,0,C28614/C28482)</f>
        <v>0.0716251283593048</v>
      </c>
    </row>
    <row r="28626" customFormat="false" ht="15" hidden="false" customHeight="false" outlineLevel="0" collapsed="false">
      <c r="A28626" s="3" t="s">
        <v>559</v>
      </c>
      <c r="C28626" s="22" t="n">
        <f aca="false">IF(C28483=0,0,C28615/C28483)</f>
        <v>0</v>
      </c>
    </row>
    <row r="28627" customFormat="false" ht="15" hidden="false" customHeight="false" outlineLevel="0" collapsed="false">
      <c r="A28627" s="3" t="s">
        <v>560</v>
      </c>
      <c r="C28627" s="22" t="n">
        <f aca="false">IF(C28484=0,0,C28616/C28484)</f>
        <v>0</v>
      </c>
    </row>
    <row r="28628" customFormat="false" ht="15" hidden="false" customHeight="false" outlineLevel="0" collapsed="false">
      <c r="A28628" s="3" t="s">
        <v>561</v>
      </c>
      <c r="C28628" s="22" t="n">
        <f aca="false">IF(C28485=0,0,C28617/C28485)</f>
        <v>0</v>
      </c>
    </row>
    <row r="28629" customFormat="false" ht="15" hidden="false" customHeight="false" outlineLevel="0" collapsed="false">
      <c r="A28629" s="3" t="s">
        <v>562</v>
      </c>
      <c r="C28629" s="22" t="n">
        <f aca="false">IF(C28486=0,0,C28618/C28486)</f>
        <v>0</v>
      </c>
    </row>
    <row r="28630" customFormat="false" ht="15" hidden="false" customHeight="false" outlineLevel="0" collapsed="false">
      <c r="A28630" s="3" t="s">
        <v>563</v>
      </c>
      <c r="C28630" s="22" t="n">
        <f aca="false">IF(C28487=0,0,C28619/C28487)</f>
        <v>0</v>
      </c>
    </row>
    <row r="28631" customFormat="false" ht="15" hidden="false" customHeight="false" outlineLevel="0" collapsed="false">
      <c r="A28631" s="3" t="s">
        <v>564</v>
      </c>
      <c r="C28631" s="22" t="n">
        <f aca="false">IF(C28488=0,0,C28620/C28488)</f>
        <v>0</v>
      </c>
    </row>
    <row r="28632" customFormat="false" ht="15" hidden="false" customHeight="false" outlineLevel="0" collapsed="false">
      <c r="A28632" s="3" t="s">
        <v>565</v>
      </c>
      <c r="C28632" s="22" t="n">
        <f aca="false">IF(C28489=0,0,C28621/C28489)</f>
        <v>0.616191217687521</v>
      </c>
    </row>
    <row r="28633" customFormat="false" ht="15" hidden="false" customHeight="false" outlineLevel="0" collapsed="false">
      <c r="A28633" s="2" t="s">
        <v>579</v>
      </c>
      <c r="C28633" s="17" t="n">
        <f aca="false">MAX(0,$C$28478-SUM($C$28513:$C$28522)-SUM($C$28535:$C$28544))</f>
        <v>0</v>
      </c>
    </row>
    <row r="28634" customFormat="false" ht="15" hidden="false" customHeight="false" outlineLevel="0" collapsed="false">
      <c r="A28634" s="3" t="s">
        <v>580</v>
      </c>
      <c r="C28634" s="16" t="n">
        <f aca="false">SUM($C$28590:$C$28599)+C28633+C28477-C28476</f>
        <v>0</v>
      </c>
    </row>
    <row r="28636" customFormat="false" ht="15" hidden="false" customHeight="false" outlineLevel="0" collapsed="false">
      <c r="A28636" s="24" t="s">
        <v>583</v>
      </c>
      <c r="B28636" s="25"/>
      <c r="C28636" s="25"/>
      <c r="D28636" s="25"/>
      <c r="E28636" s="25"/>
      <c r="F28636" s="25"/>
      <c r="G28636" s="25"/>
      <c r="H28636" s="25"/>
      <c r="I28636" s="25"/>
      <c r="J28636" s="25"/>
      <c r="K28636" s="25"/>
    </row>
    <row r="28637" customFormat="false" ht="15" hidden="false" customHeight="false" outlineLevel="0" collapsed="false">
      <c r="A28637" s="3" t="s">
        <v>584</v>
      </c>
      <c r="C28637" s="27" t="n">
        <f aca="false">Assumptions!$C$34</f>
        <v>1</v>
      </c>
    </row>
    <row r="28638" customFormat="false" ht="15" hidden="false" customHeight="false" outlineLevel="0" collapsed="false">
      <c r="A28638" s="3" t="s">
        <v>585</v>
      </c>
      <c r="C28638" s="29" t="n">
        <f aca="false">Assumptions!$C$35</f>
        <v>100</v>
      </c>
    </row>
    <row r="28639" customFormat="false" ht="15" hidden="false" customHeight="false" outlineLevel="0" collapsed="false">
      <c r="A28639" s="3" t="s">
        <v>586</v>
      </c>
      <c r="C28639" s="40" t="n">
        <f aca="false">Assumptions!$C$36</f>
        <v>98</v>
      </c>
    </row>
    <row r="28640" customFormat="false" ht="15" hidden="false" customHeight="false" outlineLevel="0" collapsed="false">
      <c r="A28640" s="3" t="s">
        <v>587</v>
      </c>
      <c r="C28640" s="16" t="n">
        <f aca="false">C28638*C28639/100*(1+Assumptions!$C$37)</f>
        <v>98.49</v>
      </c>
    </row>
    <row r="28641" customFormat="false" ht="15" hidden="false" customHeight="false" outlineLevel="0" collapsed="false">
      <c r="A28641" s="3" t="s">
        <v>588</v>
      </c>
      <c r="C28641" s="27" t="n">
        <f aca="false">Assumptions!$C$38</f>
        <v>3</v>
      </c>
    </row>
    <row r="28642" customFormat="false" ht="15" hidden="false" customHeight="false" outlineLevel="0" collapsed="false">
      <c r="A28642" s="3" t="s">
        <v>589</v>
      </c>
      <c r="C28642" s="21" t="n">
        <f aca="false">IF(C28469=1,SUMPRODUCT($G$28405:$K$28405,$G$28179:$K$28179),0)</f>
        <v>2</v>
      </c>
    </row>
    <row r="28643" customFormat="false" ht="15" hidden="false" customHeight="false" outlineLevel="0" collapsed="false">
      <c r="A28643" s="3" t="s">
        <v>590</v>
      </c>
      <c r="C28643" s="22" t="n">
        <f aca="false">IFERROR(C28638/CHOOSE(C28637,SUMPRODUCT($G$28468:$K$28468,$G$28225:$K$28225),SUMPRODUCT($G$28468:$K$28468,$G$28238:$K$28238),SUMPRODUCT($G$28468:$K$28468,$G$28251:$K$28251),SUMPRODUCT($G$28468:$K$28468,$G$28264:$K$28264),SUMPRODUCT($G$28468:$K$28468,$G$28277:$K$28277),SUMPRODUCT($G$28468:$K$28468,$G$28290:$K$28290),SUMPRODUCT($G$28468:$K$28468,$G$28303:$K$28303),SUMPRODUCT($G$28468:$K$28468,$G$28316:$K$28316),SUMPRODUCT($G$28468:$K$28468,$G$28329:$K$28329),SUMPRODUCT($G$28468:$K$28468,$G$28342:$K$28342)),0)</f>
        <v>0.255102040816327</v>
      </c>
    </row>
    <row r="28644" customFormat="false" ht="15" hidden="false" customHeight="false" outlineLevel="0" collapsed="false">
      <c r="A28644" s="3" t="s">
        <v>591</v>
      </c>
      <c r="C28644" s="16" t="n">
        <f aca="false">CHOOSE(C28637,C28590,C28591,C28592,C28593,C28594,C28595,C28596,C28597,C28598,C28599)*C28643</f>
        <v>102.75</v>
      </c>
    </row>
    <row r="28645" customFormat="false" ht="15" hidden="false" customHeight="false" outlineLevel="0" collapsed="false">
      <c r="A28645" s="3" t="s">
        <v>592</v>
      </c>
      <c r="C28645" s="22" t="n">
        <f aca="false">CHOOSE(C28637,C28601,C28602,C28603,C28604,C28605,C28606,C28607,C28608,C28609,C28610)</f>
        <v>1</v>
      </c>
    </row>
    <row r="28646" customFormat="false" ht="15" hidden="false" customHeight="false" outlineLevel="0" collapsed="false">
      <c r="A28646" s="3" t="s">
        <v>593</v>
      </c>
      <c r="C28646" s="21" t="n">
        <f aca="false">IF(C28469=1,C28642,C28641)</f>
        <v>2</v>
      </c>
    </row>
    <row r="28647" customFormat="false" ht="15" hidden="false" customHeight="false" outlineLevel="0" collapsed="false">
      <c r="A28647" s="3" t="s">
        <v>594</v>
      </c>
      <c r="C28647" s="35" t="n">
        <f aca="false">CHOOSE($C$28171,Assumptions!$C$91,Assumptions!$C$110,Assumptions!$C$129)</f>
        <v>85</v>
      </c>
    </row>
    <row r="28648" customFormat="false" ht="15" hidden="false" customHeight="false" outlineLevel="0" collapsed="false">
      <c r="A28648" s="3" t="s">
        <v>595</v>
      </c>
      <c r="C28648" s="16" t="n">
        <f aca="false">INDEX($G$28188:$K$28188,C28641)*CHOOSE($C$28171,Assumptions!$C$90,Assumptions!$C$109,Assumptions!$C$128)+MAX(0,INDEX($G$28402:$K$28402,C28641))</f>
        <v>1633.40082545963</v>
      </c>
    </row>
    <row r="28649" customFormat="false" ht="15" hidden="false" customHeight="false" outlineLevel="0" collapsed="false">
      <c r="A28649" s="24" t="s">
        <v>596</v>
      </c>
      <c r="B28649" s="25"/>
      <c r="C28649" s="25"/>
      <c r="D28649" s="25"/>
      <c r="E28649" s="25"/>
      <c r="F28649" s="25"/>
      <c r="G28649" s="25"/>
      <c r="H28649" s="25"/>
      <c r="I28649" s="25"/>
      <c r="J28649" s="25"/>
      <c r="K28649" s="25"/>
    </row>
    <row r="28650" customFormat="false" ht="15" hidden="false" customHeight="false" outlineLevel="0" collapsed="false">
      <c r="A28650" s="3" t="s">
        <v>556</v>
      </c>
      <c r="C28650" s="16" t="n">
        <f aca="false">INDEX($G$28225:$K$28225,C28641)</f>
        <v>388</v>
      </c>
    </row>
    <row r="28651" customFormat="false" ht="15" hidden="false" customHeight="false" outlineLevel="0" collapsed="false">
      <c r="A28651" s="3" t="s">
        <v>557</v>
      </c>
      <c r="C28651" s="16" t="n">
        <f aca="false">INDEX($G$28238:$K$28238,C28641)</f>
        <v>90</v>
      </c>
    </row>
    <row r="28652" customFormat="false" ht="15" hidden="false" customHeight="false" outlineLevel="0" collapsed="false">
      <c r="A28652" s="3" t="s">
        <v>558</v>
      </c>
      <c r="C28652" s="16" t="n">
        <f aca="false">INDEX($G$28251:$K$28251,C28641)</f>
        <v>57.324</v>
      </c>
    </row>
    <row r="28653" customFormat="false" ht="15" hidden="false" customHeight="false" outlineLevel="0" collapsed="false">
      <c r="A28653" s="3" t="s">
        <v>559</v>
      </c>
      <c r="C28653" s="16" t="n">
        <f aca="false">INDEX($G$28264:$K$28264,C28641)</f>
        <v>0</v>
      </c>
    </row>
    <row r="28654" customFormat="false" ht="15" hidden="false" customHeight="false" outlineLevel="0" collapsed="false">
      <c r="A28654" s="3" t="s">
        <v>560</v>
      </c>
      <c r="C28654" s="16" t="n">
        <f aca="false">INDEX($G$28277:$K$28277,C28641)</f>
        <v>425.4225587</v>
      </c>
    </row>
    <row r="28655" customFormat="false" ht="15" hidden="false" customHeight="false" outlineLevel="0" collapsed="false">
      <c r="A28655" s="3" t="s">
        <v>561</v>
      </c>
      <c r="C28655" s="16" t="n">
        <f aca="false">INDEX($G$28290:$K$28290,C28641)</f>
        <v>350</v>
      </c>
    </row>
    <row r="28656" customFormat="false" ht="15" hidden="false" customHeight="false" outlineLevel="0" collapsed="false">
      <c r="A28656" s="3" t="s">
        <v>562</v>
      </c>
      <c r="C28656" s="16" t="n">
        <f aca="false">INDEX($G$28303:$K$28303,C28641)</f>
        <v>550</v>
      </c>
    </row>
    <row r="28657" customFormat="false" ht="15" hidden="false" customHeight="false" outlineLevel="0" collapsed="false">
      <c r="A28657" s="3" t="s">
        <v>563</v>
      </c>
      <c r="C28657" s="16" t="n">
        <f aca="false">INDEX($G$28316:$K$28316,C28641)</f>
        <v>350</v>
      </c>
    </row>
    <row r="28658" customFormat="false" ht="15" hidden="false" customHeight="false" outlineLevel="0" collapsed="false">
      <c r="A28658" s="3" t="s">
        <v>564</v>
      </c>
      <c r="C28658" s="16" t="n">
        <f aca="false">INDEX($G$28329:$K$28329,C28641)</f>
        <v>300</v>
      </c>
    </row>
    <row r="28659" customFormat="false" ht="15" hidden="false" customHeight="false" outlineLevel="0" collapsed="false">
      <c r="A28659" s="3" t="s">
        <v>565</v>
      </c>
      <c r="C28659" s="16" t="n">
        <f aca="false">INDEX($G$28342:$K$28342,C28641)</f>
        <v>78.61</v>
      </c>
    </row>
    <row r="28660" customFormat="false" ht="15" hidden="false" customHeight="false" outlineLevel="0" collapsed="false">
      <c r="A28660" s="24" t="s">
        <v>566</v>
      </c>
      <c r="B28660" s="25"/>
      <c r="C28660" s="25"/>
      <c r="D28660" s="25"/>
      <c r="E28660" s="25"/>
      <c r="F28660" s="25"/>
      <c r="G28660" s="25"/>
      <c r="H28660" s="25"/>
      <c r="I28660" s="25"/>
      <c r="J28660" s="25"/>
      <c r="K28660" s="25"/>
    </row>
    <row r="28661" customFormat="false" ht="15" hidden="false" customHeight="false" outlineLevel="0" collapsed="false">
      <c r="A28661" s="3" t="s">
        <v>556</v>
      </c>
      <c r="C28661" s="27" t="n">
        <f aca="false">Assumptions!$M$57</f>
        <v>1</v>
      </c>
    </row>
    <row r="28662" customFormat="false" ht="15" hidden="false" customHeight="false" outlineLevel="0" collapsed="false">
      <c r="A28662" s="3" t="s">
        <v>557</v>
      </c>
      <c r="C28662" s="27" t="n">
        <f aca="false">Assumptions!$M$58</f>
        <v>1</v>
      </c>
    </row>
    <row r="28663" customFormat="false" ht="15" hidden="false" customHeight="false" outlineLevel="0" collapsed="false">
      <c r="A28663" s="3" t="s">
        <v>558</v>
      </c>
      <c r="C28663" s="27" t="n">
        <f aca="false">Assumptions!$M$59</f>
        <v>1</v>
      </c>
    </row>
    <row r="28664" customFormat="false" ht="15" hidden="false" customHeight="false" outlineLevel="0" collapsed="false">
      <c r="A28664" s="3" t="s">
        <v>559</v>
      </c>
      <c r="C28664" s="27" t="n">
        <f aca="false">Assumptions!$M$60</f>
        <v>2</v>
      </c>
    </row>
    <row r="28665" customFormat="false" ht="15" hidden="false" customHeight="false" outlineLevel="0" collapsed="false">
      <c r="A28665" s="3" t="s">
        <v>560</v>
      </c>
      <c r="C28665" s="27" t="n">
        <f aca="false">Assumptions!$M$61</f>
        <v>2</v>
      </c>
    </row>
    <row r="28666" customFormat="false" ht="15" hidden="false" customHeight="false" outlineLevel="0" collapsed="false">
      <c r="A28666" s="3" t="s">
        <v>561</v>
      </c>
      <c r="C28666" s="27" t="n">
        <f aca="false">Assumptions!$M$62</f>
        <v>2</v>
      </c>
    </row>
    <row r="28667" customFormat="false" ht="15" hidden="false" customHeight="false" outlineLevel="0" collapsed="false">
      <c r="A28667" s="3" t="s">
        <v>562</v>
      </c>
      <c r="C28667" s="27" t="n">
        <f aca="false">Assumptions!$M$63</f>
        <v>2</v>
      </c>
    </row>
    <row r="28668" customFormat="false" ht="15" hidden="false" customHeight="false" outlineLevel="0" collapsed="false">
      <c r="A28668" s="3" t="s">
        <v>563</v>
      </c>
      <c r="C28668" s="27" t="n">
        <f aca="false">Assumptions!$M$64</f>
        <v>2</v>
      </c>
    </row>
    <row r="28669" customFormat="false" ht="15" hidden="false" customHeight="false" outlineLevel="0" collapsed="false">
      <c r="A28669" s="3" t="s">
        <v>564</v>
      </c>
      <c r="C28669" s="27" t="n">
        <f aca="false">Assumptions!$M$65</f>
        <v>2</v>
      </c>
    </row>
    <row r="28670" customFormat="false" ht="15" hidden="false" customHeight="false" outlineLevel="0" collapsed="false">
      <c r="A28670" s="3" t="s">
        <v>565</v>
      </c>
      <c r="C28670" s="27" t="n">
        <f aca="false">Assumptions!$M$66</f>
        <v>3</v>
      </c>
    </row>
    <row r="28671" customFormat="false" ht="15" hidden="false" customHeight="false" outlineLevel="0" collapsed="false">
      <c r="A28671" s="24" t="s">
        <v>567</v>
      </c>
      <c r="B28671" s="25"/>
      <c r="C28671" s="25"/>
      <c r="D28671" s="25"/>
      <c r="E28671" s="25"/>
      <c r="F28671" s="25"/>
      <c r="G28671" s="25"/>
      <c r="H28671" s="25"/>
      <c r="I28671" s="25"/>
      <c r="J28671" s="25"/>
      <c r="K28671" s="25"/>
    </row>
    <row r="28672" customFormat="false" ht="15" hidden="false" customHeight="false" outlineLevel="0" collapsed="false">
      <c r="A28672" s="3" t="s">
        <v>556</v>
      </c>
      <c r="C28672" s="33" t="n">
        <f aca="false">Assumptions!$Q$57</f>
        <v>0.3</v>
      </c>
    </row>
    <row r="28673" customFormat="false" ht="15" hidden="false" customHeight="false" outlineLevel="0" collapsed="false">
      <c r="A28673" s="3" t="s">
        <v>557</v>
      </c>
      <c r="C28673" s="33" t="n">
        <f aca="false">Assumptions!$Q$58</f>
        <v>0.033</v>
      </c>
    </row>
    <row r="28674" customFormat="false" ht="15" hidden="false" customHeight="false" outlineLevel="0" collapsed="false">
      <c r="A28674" s="3" t="s">
        <v>558</v>
      </c>
      <c r="C28674" s="33" t="n">
        <f aca="false">Assumptions!$Q$59</f>
        <v>0.021</v>
      </c>
    </row>
    <row r="28675" customFormat="false" ht="15" hidden="false" customHeight="false" outlineLevel="0" collapsed="false">
      <c r="A28675" s="3" t="s">
        <v>559</v>
      </c>
      <c r="C28675" s="33" t="n">
        <f aca="false">Assumptions!$Q$60</f>
        <v>0</v>
      </c>
    </row>
    <row r="28676" customFormat="false" ht="15" hidden="false" customHeight="false" outlineLevel="0" collapsed="false">
      <c r="A28676" s="3" t="s">
        <v>560</v>
      </c>
      <c r="C28676" s="33" t="n">
        <f aca="false">Assumptions!$Q$61</f>
        <v>0</v>
      </c>
    </row>
    <row r="28677" customFormat="false" ht="15" hidden="false" customHeight="false" outlineLevel="0" collapsed="false">
      <c r="A28677" s="3" t="s">
        <v>561</v>
      </c>
      <c r="C28677" s="33" t="n">
        <f aca="false">Assumptions!$Q$62</f>
        <v>0</v>
      </c>
    </row>
    <row r="28678" customFormat="false" ht="15" hidden="false" customHeight="false" outlineLevel="0" collapsed="false">
      <c r="A28678" s="3" t="s">
        <v>562</v>
      </c>
      <c r="C28678" s="33" t="n">
        <f aca="false">Assumptions!$Q$63</f>
        <v>0</v>
      </c>
    </row>
    <row r="28679" customFormat="false" ht="15" hidden="false" customHeight="false" outlineLevel="0" collapsed="false">
      <c r="A28679" s="3" t="s">
        <v>563</v>
      </c>
      <c r="C28679" s="33" t="n">
        <f aca="false">Assumptions!$Q$64</f>
        <v>0</v>
      </c>
    </row>
    <row r="28680" customFormat="false" ht="15" hidden="false" customHeight="false" outlineLevel="0" collapsed="false">
      <c r="A28680" s="3" t="s">
        <v>564</v>
      </c>
      <c r="C28680" s="33" t="n">
        <f aca="false">Assumptions!$Q$65</f>
        <v>0</v>
      </c>
    </row>
    <row r="28681" customFormat="false" ht="15" hidden="false" customHeight="false" outlineLevel="0" collapsed="false">
      <c r="A28681" s="3" t="s">
        <v>565</v>
      </c>
      <c r="C28681" s="33" t="n">
        <f aca="false">Assumptions!$Q$66</f>
        <v>0</v>
      </c>
    </row>
    <row r="28682" customFormat="false" ht="15" hidden="false" customHeight="false" outlineLevel="0" collapsed="false">
      <c r="A28682" s="24" t="s">
        <v>568</v>
      </c>
      <c r="B28682" s="25"/>
      <c r="C28682" s="25"/>
      <c r="D28682" s="25"/>
      <c r="E28682" s="25"/>
      <c r="F28682" s="25"/>
      <c r="G28682" s="25"/>
      <c r="H28682" s="25"/>
      <c r="I28682" s="25"/>
      <c r="J28682" s="25"/>
      <c r="K28682" s="25"/>
    </row>
    <row r="28683" customFormat="false" ht="15" hidden="false" customHeight="false" outlineLevel="0" collapsed="false">
      <c r="A28683" s="3" t="s">
        <v>556</v>
      </c>
      <c r="C28683" s="16" t="n">
        <f aca="false">IF(C28672&gt;0,MIN(C28650,C28672*$C$28648),0)</f>
        <v>388</v>
      </c>
    </row>
    <row r="28684" customFormat="false" ht="15" hidden="false" customHeight="false" outlineLevel="0" collapsed="false">
      <c r="A28684" s="3" t="s">
        <v>557</v>
      </c>
      <c r="C28684" s="16" t="n">
        <f aca="false">IF(C28673&gt;0,MIN(C28651,C28673*$C$28648),0)</f>
        <v>53.9022272401676</v>
      </c>
    </row>
    <row r="28685" customFormat="false" ht="15" hidden="false" customHeight="false" outlineLevel="0" collapsed="false">
      <c r="A28685" s="3" t="s">
        <v>558</v>
      </c>
      <c r="C28685" s="16" t="n">
        <f aca="false">IF(C28674&gt;0,MIN(C28652,C28674*$C$28648),0)</f>
        <v>34.3014173346521</v>
      </c>
    </row>
    <row r="28686" customFormat="false" ht="15" hidden="false" customHeight="false" outlineLevel="0" collapsed="false">
      <c r="A28686" s="3" t="s">
        <v>559</v>
      </c>
      <c r="C28686" s="16" t="n">
        <f aca="false">IF(C28675&gt;0,MIN(C28653,C28675*$C$28648),0)</f>
        <v>0</v>
      </c>
    </row>
    <row r="28687" customFormat="false" ht="15" hidden="false" customHeight="false" outlineLevel="0" collapsed="false">
      <c r="A28687" s="3" t="s">
        <v>560</v>
      </c>
      <c r="C28687" s="16" t="n">
        <f aca="false">IF(C28676&gt;0,MIN(C28654,C28676*$C$28648),0)</f>
        <v>0</v>
      </c>
    </row>
    <row r="28688" customFormat="false" ht="15" hidden="false" customHeight="false" outlineLevel="0" collapsed="false">
      <c r="A28688" s="3" t="s">
        <v>561</v>
      </c>
      <c r="C28688" s="16" t="n">
        <f aca="false">IF(C28677&gt;0,MIN(C28655,C28677*$C$28648),0)</f>
        <v>0</v>
      </c>
    </row>
    <row r="28689" customFormat="false" ht="15" hidden="false" customHeight="false" outlineLevel="0" collapsed="false">
      <c r="A28689" s="3" t="s">
        <v>562</v>
      </c>
      <c r="C28689" s="16" t="n">
        <f aca="false">IF(C28678&gt;0,MIN(C28656,C28678*$C$28648),0)</f>
        <v>0</v>
      </c>
    </row>
    <row r="28690" customFormat="false" ht="15" hidden="false" customHeight="false" outlineLevel="0" collapsed="false">
      <c r="A28690" s="3" t="s">
        <v>563</v>
      </c>
      <c r="C28690" s="16" t="n">
        <f aca="false">IF(C28679&gt;0,MIN(C28657,C28679*$C$28648),0)</f>
        <v>0</v>
      </c>
    </row>
    <row r="28691" customFormat="false" ht="15" hidden="false" customHeight="false" outlineLevel="0" collapsed="false">
      <c r="A28691" s="3" t="s">
        <v>564</v>
      </c>
      <c r="C28691" s="16" t="n">
        <f aca="false">IF(C28680&gt;0,MIN(C28658,C28680*$C$28648),0)</f>
        <v>0</v>
      </c>
    </row>
    <row r="28692" customFormat="false" ht="15" hidden="false" customHeight="false" outlineLevel="0" collapsed="false">
      <c r="A28692" s="3" t="s">
        <v>565</v>
      </c>
      <c r="C28692" s="16" t="n">
        <f aca="false">IF(C28681&gt;0,MIN(C28659,C28681*$C$28648),0)</f>
        <v>0</v>
      </c>
    </row>
    <row r="28693" customFormat="false" ht="15" hidden="false" customHeight="false" outlineLevel="0" collapsed="false">
      <c r="A28693" s="24" t="s">
        <v>569</v>
      </c>
      <c r="B28693" s="25"/>
      <c r="C28693" s="25"/>
      <c r="D28693" s="25"/>
      <c r="E28693" s="25"/>
      <c r="F28693" s="25"/>
      <c r="G28693" s="25"/>
      <c r="H28693" s="25"/>
      <c r="I28693" s="25"/>
      <c r="J28693" s="25"/>
      <c r="K28693" s="25"/>
    </row>
    <row r="28694" customFormat="false" ht="15" hidden="false" customHeight="false" outlineLevel="0" collapsed="false">
      <c r="A28694" s="3" t="s">
        <v>556</v>
      </c>
      <c r="C28694" s="16" t="n">
        <f aca="false">IF(C28672&gt;0,C28650-C28683,0)</f>
        <v>0</v>
      </c>
    </row>
    <row r="28695" customFormat="false" ht="15" hidden="false" customHeight="false" outlineLevel="0" collapsed="false">
      <c r="A28695" s="3" t="s">
        <v>557</v>
      </c>
      <c r="C28695" s="16" t="n">
        <f aca="false">IF(C28673&gt;0,C28651-C28684,0)</f>
        <v>36.0977727598324</v>
      </c>
    </row>
    <row r="28696" customFormat="false" ht="15" hidden="false" customHeight="false" outlineLevel="0" collapsed="false">
      <c r="A28696" s="3" t="s">
        <v>558</v>
      </c>
      <c r="C28696" s="16" t="n">
        <f aca="false">IF(C28674&gt;0,C28652-C28685,0)</f>
        <v>23.0225826653479</v>
      </c>
    </row>
    <row r="28697" customFormat="false" ht="15" hidden="false" customHeight="false" outlineLevel="0" collapsed="false">
      <c r="A28697" s="3" t="s">
        <v>559</v>
      </c>
      <c r="C28697" s="16" t="n">
        <f aca="false">IF(C28675&gt;0,C28653-C28686,0)</f>
        <v>0</v>
      </c>
    </row>
    <row r="28698" customFormat="false" ht="15" hidden="false" customHeight="false" outlineLevel="0" collapsed="false">
      <c r="A28698" s="3" t="s">
        <v>560</v>
      </c>
      <c r="C28698" s="16" t="n">
        <f aca="false">IF(C28676&gt;0,C28654-C28687,0)</f>
        <v>0</v>
      </c>
    </row>
    <row r="28699" customFormat="false" ht="15" hidden="false" customHeight="false" outlineLevel="0" collapsed="false">
      <c r="A28699" s="3" t="s">
        <v>561</v>
      </c>
      <c r="C28699" s="16" t="n">
        <f aca="false">IF(C28677&gt;0,C28655-C28688,0)</f>
        <v>0</v>
      </c>
    </row>
    <row r="28700" customFormat="false" ht="15" hidden="false" customHeight="false" outlineLevel="0" collapsed="false">
      <c r="A28700" s="3" t="s">
        <v>562</v>
      </c>
      <c r="C28700" s="16" t="n">
        <f aca="false">IF(C28678&gt;0,C28656-C28689,0)</f>
        <v>0</v>
      </c>
    </row>
    <row r="28701" customFormat="false" ht="15" hidden="false" customHeight="false" outlineLevel="0" collapsed="false">
      <c r="A28701" s="3" t="s">
        <v>563</v>
      </c>
      <c r="C28701" s="16" t="n">
        <f aca="false">IF(C28679&gt;0,C28657-C28690,0)</f>
        <v>0</v>
      </c>
    </row>
    <row r="28702" customFormat="false" ht="15" hidden="false" customHeight="false" outlineLevel="0" collapsed="false">
      <c r="A28702" s="3" t="s">
        <v>564</v>
      </c>
      <c r="C28702" s="16" t="n">
        <f aca="false">IF(C28680&gt;0,C28658-C28691,0)</f>
        <v>0</v>
      </c>
    </row>
    <row r="28703" customFormat="false" ht="15" hidden="false" customHeight="false" outlineLevel="0" collapsed="false">
      <c r="A28703" s="3" t="s">
        <v>565</v>
      </c>
      <c r="C28703" s="16" t="n">
        <f aca="false">IF(C28681&gt;0,C28659-C28692,0)</f>
        <v>0</v>
      </c>
    </row>
    <row r="28704" customFormat="false" ht="15" hidden="false" customHeight="false" outlineLevel="0" collapsed="false">
      <c r="A28704" s="24" t="s">
        <v>570</v>
      </c>
      <c r="B28704" s="25"/>
      <c r="C28704" s="25"/>
      <c r="D28704" s="25"/>
      <c r="E28704" s="25"/>
      <c r="F28704" s="25"/>
      <c r="G28704" s="25"/>
      <c r="H28704" s="25"/>
      <c r="I28704" s="25"/>
      <c r="J28704" s="25"/>
      <c r="K28704" s="25"/>
    </row>
    <row r="28705" customFormat="false" ht="15" hidden="false" customHeight="false" outlineLevel="0" collapsed="false">
      <c r="A28705" s="3" t="s">
        <v>556</v>
      </c>
      <c r="C28705" s="16" t="n">
        <f aca="false">IF(C28672&gt;0,C28694,C28650)</f>
        <v>0</v>
      </c>
    </row>
    <row r="28706" customFormat="false" ht="15" hidden="false" customHeight="false" outlineLevel="0" collapsed="false">
      <c r="A28706" s="3" t="s">
        <v>557</v>
      </c>
      <c r="C28706" s="16" t="n">
        <f aca="false">IF(C28673&gt;0,C28695,C28651)</f>
        <v>36.0977727598324</v>
      </c>
    </row>
    <row r="28707" customFormat="false" ht="15" hidden="false" customHeight="false" outlineLevel="0" collapsed="false">
      <c r="A28707" s="3" t="s">
        <v>558</v>
      </c>
      <c r="C28707" s="16" t="n">
        <f aca="false">IF(C28674&gt;0,C28696,C28652)</f>
        <v>23.0225826653479</v>
      </c>
    </row>
    <row r="28708" customFormat="false" ht="15" hidden="false" customHeight="false" outlineLevel="0" collapsed="false">
      <c r="A28708" s="3" t="s">
        <v>559</v>
      </c>
      <c r="C28708" s="16" t="n">
        <f aca="false">IF(C28675&gt;0,C28697,C28653)</f>
        <v>0</v>
      </c>
    </row>
    <row r="28709" customFormat="false" ht="15" hidden="false" customHeight="false" outlineLevel="0" collapsed="false">
      <c r="A28709" s="3" t="s">
        <v>560</v>
      </c>
      <c r="C28709" s="16" t="n">
        <f aca="false">IF(C28676&gt;0,C28698,C28654)</f>
        <v>425.4225587</v>
      </c>
    </row>
    <row r="28710" customFormat="false" ht="15" hidden="false" customHeight="false" outlineLevel="0" collapsed="false">
      <c r="A28710" s="3" t="s">
        <v>561</v>
      </c>
      <c r="C28710" s="16" t="n">
        <f aca="false">IF(C28677&gt;0,C28699,C28655)</f>
        <v>350</v>
      </c>
    </row>
    <row r="28711" customFormat="false" ht="15" hidden="false" customHeight="false" outlineLevel="0" collapsed="false">
      <c r="A28711" s="3" t="s">
        <v>562</v>
      </c>
      <c r="C28711" s="16" t="n">
        <f aca="false">IF(C28678&gt;0,C28700,C28656)</f>
        <v>550</v>
      </c>
    </row>
    <row r="28712" customFormat="false" ht="15" hidden="false" customHeight="false" outlineLevel="0" collapsed="false">
      <c r="A28712" s="3" t="s">
        <v>563</v>
      </c>
      <c r="C28712" s="16" t="n">
        <f aca="false">IF(C28679&gt;0,C28701,C28657)</f>
        <v>350</v>
      </c>
    </row>
    <row r="28713" customFormat="false" ht="15" hidden="false" customHeight="false" outlineLevel="0" collapsed="false">
      <c r="A28713" s="3" t="s">
        <v>564</v>
      </c>
      <c r="C28713" s="16" t="n">
        <f aca="false">IF(C28680&gt;0,C28702,C28658)</f>
        <v>300</v>
      </c>
    </row>
    <row r="28714" customFormat="false" ht="15" hidden="false" customHeight="false" outlineLevel="0" collapsed="false">
      <c r="A28714" s="3" t="s">
        <v>565</v>
      </c>
      <c r="C28714" s="16" t="n">
        <f aca="false">IF(C28681&gt;0,C28703,C28659)</f>
        <v>78.61</v>
      </c>
    </row>
    <row r="28715" customFormat="false" ht="15" hidden="false" customHeight="false" outlineLevel="0" collapsed="false">
      <c r="A28715" s="24" t="s">
        <v>571</v>
      </c>
      <c r="B28715" s="25"/>
      <c r="C28715" s="25"/>
      <c r="D28715" s="25"/>
      <c r="E28715" s="25"/>
      <c r="F28715" s="25"/>
      <c r="G28715" s="25"/>
      <c r="H28715" s="25"/>
      <c r="I28715" s="25"/>
      <c r="J28715" s="25"/>
      <c r="K28715" s="25"/>
    </row>
    <row r="28716" customFormat="false" ht="15" hidden="false" customHeight="false" outlineLevel="0" collapsed="false">
      <c r="A28716" s="3" t="s">
        <v>556</v>
      </c>
      <c r="C28716" s="21" t="n">
        <f aca="false">IF(C28672&gt;0,Assumptions!$C$17,C28661)</f>
        <v>99</v>
      </c>
    </row>
    <row r="28717" customFormat="false" ht="15" hidden="false" customHeight="false" outlineLevel="0" collapsed="false">
      <c r="A28717" s="3" t="s">
        <v>557</v>
      </c>
      <c r="C28717" s="21" t="n">
        <f aca="false">IF(C28673&gt;0,Assumptions!$C$17,C28662)</f>
        <v>99</v>
      </c>
    </row>
    <row r="28718" customFormat="false" ht="15" hidden="false" customHeight="false" outlineLevel="0" collapsed="false">
      <c r="A28718" s="3" t="s">
        <v>558</v>
      </c>
      <c r="C28718" s="21" t="n">
        <f aca="false">IF(C28674&gt;0,Assumptions!$C$17,C28663)</f>
        <v>99</v>
      </c>
    </row>
    <row r="28719" customFormat="false" ht="15" hidden="false" customHeight="false" outlineLevel="0" collapsed="false">
      <c r="A28719" s="3" t="s">
        <v>559</v>
      </c>
      <c r="C28719" s="21" t="n">
        <f aca="false">IF(C28675&gt;0,Assumptions!$C$17,C28664)</f>
        <v>2</v>
      </c>
    </row>
    <row r="28720" customFormat="false" ht="15" hidden="false" customHeight="false" outlineLevel="0" collapsed="false">
      <c r="A28720" s="3" t="s">
        <v>560</v>
      </c>
      <c r="C28720" s="21" t="n">
        <f aca="false">IF(C28676&gt;0,Assumptions!$C$17,C28665)</f>
        <v>2</v>
      </c>
    </row>
    <row r="28721" customFormat="false" ht="15" hidden="false" customHeight="false" outlineLevel="0" collapsed="false">
      <c r="A28721" s="3" t="s">
        <v>561</v>
      </c>
      <c r="C28721" s="21" t="n">
        <f aca="false">IF(C28677&gt;0,Assumptions!$C$17,C28666)</f>
        <v>2</v>
      </c>
    </row>
    <row r="28722" customFormat="false" ht="15" hidden="false" customHeight="false" outlineLevel="0" collapsed="false">
      <c r="A28722" s="3" t="s">
        <v>562</v>
      </c>
      <c r="C28722" s="21" t="n">
        <f aca="false">IF(C28678&gt;0,Assumptions!$C$17,C28667)</f>
        <v>2</v>
      </c>
    </row>
    <row r="28723" customFormat="false" ht="15" hidden="false" customHeight="false" outlineLevel="0" collapsed="false">
      <c r="A28723" s="3" t="s">
        <v>563</v>
      </c>
      <c r="C28723" s="21" t="n">
        <f aca="false">IF(C28679&gt;0,Assumptions!$C$17,C28668)</f>
        <v>2</v>
      </c>
    </row>
    <row r="28724" customFormat="false" ht="15" hidden="false" customHeight="false" outlineLevel="0" collapsed="false">
      <c r="A28724" s="3" t="s">
        <v>564</v>
      </c>
      <c r="C28724" s="21" t="n">
        <f aca="false">IF(C28680&gt;0,Assumptions!$C$17,C28669)</f>
        <v>2</v>
      </c>
    </row>
    <row r="28725" customFormat="false" ht="15" hidden="false" customHeight="false" outlineLevel="0" collapsed="false">
      <c r="A28725" s="3" t="s">
        <v>565</v>
      </c>
      <c r="C28725" s="21" t="n">
        <f aca="false">IF(C28681&gt;0,Assumptions!$C$17,C28670)</f>
        <v>3</v>
      </c>
    </row>
    <row r="28726" customFormat="false" ht="15" hidden="false" customHeight="false" outlineLevel="0" collapsed="false">
      <c r="A28726" s="24" t="s">
        <v>572</v>
      </c>
      <c r="B28726" s="25"/>
      <c r="C28726" s="25"/>
      <c r="D28726" s="25"/>
      <c r="E28726" s="25"/>
      <c r="F28726" s="25"/>
      <c r="G28726" s="25"/>
      <c r="H28726" s="25"/>
      <c r="I28726" s="25"/>
      <c r="J28726" s="25"/>
      <c r="K28726" s="25"/>
    </row>
    <row r="28727" customFormat="false" ht="15" hidden="false" customHeight="false" outlineLevel="0" collapsed="false">
      <c r="A28727" s="3" t="s">
        <v>556</v>
      </c>
      <c r="C28727" s="16" t="n">
        <f aca="false">SUMPRODUCT(($C$28716:$C$28725&lt;C28716)*$C$28705:$C$28714)</f>
        <v>2054.0325587</v>
      </c>
    </row>
    <row r="28728" customFormat="false" ht="15" hidden="false" customHeight="false" outlineLevel="0" collapsed="false">
      <c r="A28728" s="3" t="s">
        <v>557</v>
      </c>
      <c r="C28728" s="16" t="n">
        <f aca="false">SUMPRODUCT(($C$28716:$C$28725&lt;C28717)*$C$28705:$C$28714)</f>
        <v>2054.0325587</v>
      </c>
    </row>
    <row r="28729" customFormat="false" ht="15" hidden="false" customHeight="false" outlineLevel="0" collapsed="false">
      <c r="A28729" s="3" t="s">
        <v>558</v>
      </c>
      <c r="C28729" s="16" t="n">
        <f aca="false">SUMPRODUCT(($C$28716:$C$28725&lt;C28718)*$C$28705:$C$28714)</f>
        <v>2054.0325587</v>
      </c>
    </row>
    <row r="28730" customFormat="false" ht="15" hidden="false" customHeight="false" outlineLevel="0" collapsed="false">
      <c r="A28730" s="3" t="s">
        <v>559</v>
      </c>
      <c r="C28730" s="16" t="n">
        <f aca="false">SUMPRODUCT(($C$28716:$C$28725&lt;C28719)*$C$28705:$C$28714)</f>
        <v>0</v>
      </c>
    </row>
    <row r="28731" customFormat="false" ht="15" hidden="false" customHeight="false" outlineLevel="0" collapsed="false">
      <c r="A28731" s="3" t="s">
        <v>560</v>
      </c>
      <c r="C28731" s="16" t="n">
        <f aca="false">SUMPRODUCT(($C$28716:$C$28725&lt;C28720)*$C$28705:$C$28714)</f>
        <v>0</v>
      </c>
    </row>
    <row r="28732" customFormat="false" ht="15" hidden="false" customHeight="false" outlineLevel="0" collapsed="false">
      <c r="A28732" s="3" t="s">
        <v>561</v>
      </c>
      <c r="C28732" s="16" t="n">
        <f aca="false">SUMPRODUCT(($C$28716:$C$28725&lt;C28721)*$C$28705:$C$28714)</f>
        <v>0</v>
      </c>
    </row>
    <row r="28733" customFormat="false" ht="15" hidden="false" customHeight="false" outlineLevel="0" collapsed="false">
      <c r="A28733" s="3" t="s">
        <v>562</v>
      </c>
      <c r="C28733" s="16" t="n">
        <f aca="false">SUMPRODUCT(($C$28716:$C$28725&lt;C28722)*$C$28705:$C$28714)</f>
        <v>0</v>
      </c>
    </row>
    <row r="28734" customFormat="false" ht="15" hidden="false" customHeight="false" outlineLevel="0" collapsed="false">
      <c r="A28734" s="3" t="s">
        <v>563</v>
      </c>
      <c r="C28734" s="16" t="n">
        <f aca="false">SUMPRODUCT(($C$28716:$C$28725&lt;C28723)*$C$28705:$C$28714)</f>
        <v>0</v>
      </c>
    </row>
    <row r="28735" customFormat="false" ht="15" hidden="false" customHeight="false" outlineLevel="0" collapsed="false">
      <c r="A28735" s="3" t="s">
        <v>564</v>
      </c>
      <c r="C28735" s="16" t="n">
        <f aca="false">SUMPRODUCT(($C$28716:$C$28725&lt;C28724)*$C$28705:$C$28714)</f>
        <v>0</v>
      </c>
    </row>
    <row r="28736" customFormat="false" ht="15" hidden="false" customHeight="false" outlineLevel="0" collapsed="false">
      <c r="A28736" s="3" t="s">
        <v>565</v>
      </c>
      <c r="C28736" s="16" t="n">
        <f aca="false">SUMPRODUCT(($C$28716:$C$28725&lt;C28725)*$C$28705:$C$28714)</f>
        <v>1975.4225587</v>
      </c>
    </row>
    <row r="28737" customFormat="false" ht="15" hidden="false" customHeight="false" outlineLevel="0" collapsed="false">
      <c r="A28737" s="24" t="s">
        <v>573</v>
      </c>
      <c r="B28737" s="25"/>
      <c r="C28737" s="25"/>
      <c r="D28737" s="25"/>
      <c r="E28737" s="25"/>
      <c r="F28737" s="25"/>
      <c r="G28737" s="25"/>
      <c r="H28737" s="25"/>
      <c r="I28737" s="25"/>
      <c r="J28737" s="25"/>
      <c r="K28737" s="25"/>
    </row>
    <row r="28738" customFormat="false" ht="15" hidden="false" customHeight="false" outlineLevel="0" collapsed="false">
      <c r="A28738" s="3" t="s">
        <v>556</v>
      </c>
      <c r="C28738" s="16" t="n">
        <f aca="false">SUMPRODUCT(($C$28716:$C$28725=C28716)*$C$28705:$C$28714)</f>
        <v>59.1203554251802</v>
      </c>
    </row>
    <row r="28739" customFormat="false" ht="15" hidden="false" customHeight="false" outlineLevel="0" collapsed="false">
      <c r="A28739" s="3" t="s">
        <v>557</v>
      </c>
      <c r="C28739" s="16" t="n">
        <f aca="false">SUMPRODUCT(($C$28716:$C$28725=C28717)*$C$28705:$C$28714)</f>
        <v>59.1203554251802</v>
      </c>
    </row>
    <row r="28740" customFormat="false" ht="15" hidden="false" customHeight="false" outlineLevel="0" collapsed="false">
      <c r="A28740" s="3" t="s">
        <v>558</v>
      </c>
      <c r="C28740" s="16" t="n">
        <f aca="false">SUMPRODUCT(($C$28716:$C$28725=C28718)*$C$28705:$C$28714)</f>
        <v>59.1203554251802</v>
      </c>
    </row>
    <row r="28741" customFormat="false" ht="15" hidden="false" customHeight="false" outlineLevel="0" collapsed="false">
      <c r="A28741" s="3" t="s">
        <v>559</v>
      </c>
      <c r="C28741" s="16" t="n">
        <f aca="false">SUMPRODUCT(($C$28716:$C$28725=C28719)*$C$28705:$C$28714)</f>
        <v>1975.4225587</v>
      </c>
    </row>
    <row r="28742" customFormat="false" ht="15" hidden="false" customHeight="false" outlineLevel="0" collapsed="false">
      <c r="A28742" s="3" t="s">
        <v>560</v>
      </c>
      <c r="C28742" s="16" t="n">
        <f aca="false">SUMPRODUCT(($C$28716:$C$28725=C28720)*$C$28705:$C$28714)</f>
        <v>1975.4225587</v>
      </c>
    </row>
    <row r="28743" customFormat="false" ht="15" hidden="false" customHeight="false" outlineLevel="0" collapsed="false">
      <c r="A28743" s="3" t="s">
        <v>561</v>
      </c>
      <c r="C28743" s="16" t="n">
        <f aca="false">SUMPRODUCT(($C$28716:$C$28725=C28721)*$C$28705:$C$28714)</f>
        <v>1975.4225587</v>
      </c>
    </row>
    <row r="28744" customFormat="false" ht="15" hidden="false" customHeight="false" outlineLevel="0" collapsed="false">
      <c r="A28744" s="3" t="s">
        <v>562</v>
      </c>
      <c r="C28744" s="16" t="n">
        <f aca="false">SUMPRODUCT(($C$28716:$C$28725=C28722)*$C$28705:$C$28714)</f>
        <v>1975.4225587</v>
      </c>
    </row>
    <row r="28745" customFormat="false" ht="15" hidden="false" customHeight="false" outlineLevel="0" collapsed="false">
      <c r="A28745" s="3" t="s">
        <v>563</v>
      </c>
      <c r="C28745" s="16" t="n">
        <f aca="false">SUMPRODUCT(($C$28716:$C$28725=C28723)*$C$28705:$C$28714)</f>
        <v>1975.4225587</v>
      </c>
    </row>
    <row r="28746" customFormat="false" ht="15" hidden="false" customHeight="false" outlineLevel="0" collapsed="false">
      <c r="A28746" s="3" t="s">
        <v>564</v>
      </c>
      <c r="C28746" s="16" t="n">
        <f aca="false">SUMPRODUCT(($C$28716:$C$28725=C28724)*$C$28705:$C$28714)</f>
        <v>1975.4225587</v>
      </c>
    </row>
    <row r="28747" customFormat="false" ht="15" hidden="false" customHeight="false" outlineLevel="0" collapsed="false">
      <c r="A28747" s="3" t="s">
        <v>565</v>
      </c>
      <c r="C28747" s="16" t="n">
        <f aca="false">SUMPRODUCT(($C$28716:$C$28725=C28725)*$C$28705:$C$28714)</f>
        <v>78.61</v>
      </c>
    </row>
    <row r="28748" customFormat="false" ht="15" hidden="false" customHeight="false" outlineLevel="0" collapsed="false">
      <c r="A28748" s="24" t="s">
        <v>574</v>
      </c>
      <c r="B28748" s="25"/>
      <c r="C28748" s="25"/>
      <c r="D28748" s="25"/>
      <c r="E28748" s="25"/>
      <c r="F28748" s="25"/>
      <c r="G28748" s="25"/>
      <c r="H28748" s="25"/>
      <c r="I28748" s="25"/>
      <c r="J28748" s="25"/>
      <c r="K28748" s="25"/>
    </row>
    <row r="28749" customFormat="false" ht="15" hidden="false" customHeight="false" outlineLevel="0" collapsed="false">
      <c r="A28749" s="3" t="s">
        <v>556</v>
      </c>
      <c r="C28749" s="16" t="n">
        <f aca="false">IF(C28738=0,0,C28705/C28738*MAX(0,MIN(C28738,$C$28648-SUM($C$28683:$C$28692)-C28727)))</f>
        <v>0</v>
      </c>
    </row>
    <row r="28750" customFormat="false" ht="15" hidden="false" customHeight="false" outlineLevel="0" collapsed="false">
      <c r="A28750" s="3" t="s">
        <v>557</v>
      </c>
      <c r="C28750" s="16" t="n">
        <f aca="false">IF(C28739=0,0,C28706/C28739*MAX(0,MIN(C28739,$C$28648-SUM($C$28683:$C$28692)-C28728)))</f>
        <v>0</v>
      </c>
    </row>
    <row r="28751" customFormat="false" ht="15" hidden="false" customHeight="false" outlineLevel="0" collapsed="false">
      <c r="A28751" s="3" t="s">
        <v>558</v>
      </c>
      <c r="C28751" s="16" t="n">
        <f aca="false">IF(C28740=0,0,C28707/C28740*MAX(0,MIN(C28740,$C$28648-SUM($C$28683:$C$28692)-C28729)))</f>
        <v>0</v>
      </c>
    </row>
    <row r="28752" customFormat="false" ht="15" hidden="false" customHeight="false" outlineLevel="0" collapsed="false">
      <c r="A28752" s="3" t="s">
        <v>559</v>
      </c>
      <c r="C28752" s="16" t="n">
        <f aca="false">IF(C28741=0,0,C28708/C28741*MAX(0,MIN(C28741,$C$28648-SUM($C$28683:$C$28692)-C28730)))</f>
        <v>0</v>
      </c>
    </row>
    <row r="28753" customFormat="false" ht="15" hidden="false" customHeight="false" outlineLevel="0" collapsed="false">
      <c r="A28753" s="3" t="s">
        <v>560</v>
      </c>
      <c r="C28753" s="16" t="n">
        <f aca="false">IF(C28742=0,0,C28709/C28742*MAX(0,MIN(C28742,$C$28648-SUM($C$28683:$C$28692)-C28731)))</f>
        <v>249.211381860707</v>
      </c>
    </row>
    <row r="28754" customFormat="false" ht="15" hidden="false" customHeight="false" outlineLevel="0" collapsed="false">
      <c r="A28754" s="3" t="s">
        <v>561</v>
      </c>
      <c r="C28754" s="16" t="n">
        <f aca="false">IF(C28743=0,0,C28710/C28743*MAX(0,MIN(C28743,$C$28648-SUM($C$28683:$C$28692)-C28732)))</f>
        <v>205.029051392538</v>
      </c>
    </row>
    <row r="28755" customFormat="false" ht="15" hidden="false" customHeight="false" outlineLevel="0" collapsed="false">
      <c r="A28755" s="3" t="s">
        <v>562</v>
      </c>
      <c r="C28755" s="16" t="n">
        <f aca="false">IF(C28744=0,0,C28711/C28744*MAX(0,MIN(C28744,$C$28648-SUM($C$28683:$C$28692)-C28733)))</f>
        <v>322.188509331132</v>
      </c>
    </row>
    <row r="28756" customFormat="false" ht="15" hidden="false" customHeight="false" outlineLevel="0" collapsed="false">
      <c r="A28756" s="3" t="s">
        <v>563</v>
      </c>
      <c r="C28756" s="16" t="n">
        <f aca="false">IF(C28745=0,0,C28712/C28745*MAX(0,MIN(C28745,$C$28648-SUM($C$28683:$C$28692)-C28734)))</f>
        <v>205.029051392538</v>
      </c>
    </row>
    <row r="28757" customFormat="false" ht="15" hidden="false" customHeight="false" outlineLevel="0" collapsed="false">
      <c r="A28757" s="3" t="s">
        <v>564</v>
      </c>
      <c r="C28757" s="16" t="n">
        <f aca="false">IF(C28746=0,0,C28713/C28746*MAX(0,MIN(C28746,$C$28648-SUM($C$28683:$C$28692)-C28735)))</f>
        <v>175.73918690789</v>
      </c>
    </row>
    <row r="28758" customFormat="false" ht="15" hidden="false" customHeight="false" outlineLevel="0" collapsed="false">
      <c r="A28758" s="3" t="s">
        <v>565</v>
      </c>
      <c r="C28758" s="16" t="n">
        <f aca="false">IF(C28747=0,0,C28714/C28747*MAX(0,MIN(C28747,$C$28648-SUM($C$28683:$C$28692)-C28736)))</f>
        <v>0</v>
      </c>
    </row>
    <row r="28759" customFormat="false" ht="15" hidden="false" customHeight="false" outlineLevel="0" collapsed="false">
      <c r="A28759" s="24" t="s">
        <v>575</v>
      </c>
      <c r="B28759" s="25"/>
      <c r="C28759" s="25"/>
      <c r="D28759" s="25"/>
      <c r="E28759" s="25"/>
      <c r="F28759" s="25"/>
      <c r="G28759" s="25"/>
      <c r="H28759" s="25"/>
      <c r="I28759" s="25"/>
      <c r="J28759" s="25"/>
      <c r="K28759" s="25"/>
    </row>
    <row r="28760" customFormat="false" ht="15" hidden="false" customHeight="false" outlineLevel="0" collapsed="false">
      <c r="A28760" s="2" t="s">
        <v>556</v>
      </c>
      <c r="C28760" s="17" t="n">
        <f aca="false">C28683+C28749</f>
        <v>388</v>
      </c>
    </row>
    <row r="28761" customFormat="false" ht="15" hidden="false" customHeight="false" outlineLevel="0" collapsed="false">
      <c r="A28761" s="2" t="s">
        <v>557</v>
      </c>
      <c r="C28761" s="17" t="n">
        <f aca="false">C28684+C28750</f>
        <v>53.9022272401676</v>
      </c>
    </row>
    <row r="28762" customFormat="false" ht="15" hidden="false" customHeight="false" outlineLevel="0" collapsed="false">
      <c r="A28762" s="2" t="s">
        <v>558</v>
      </c>
      <c r="C28762" s="17" t="n">
        <f aca="false">C28685+C28751</f>
        <v>34.3014173346521</v>
      </c>
    </row>
    <row r="28763" customFormat="false" ht="15" hidden="false" customHeight="false" outlineLevel="0" collapsed="false">
      <c r="A28763" s="2" t="s">
        <v>559</v>
      </c>
      <c r="C28763" s="17" t="n">
        <f aca="false">C28686+C28752</f>
        <v>0</v>
      </c>
    </row>
    <row r="28764" customFormat="false" ht="15" hidden="false" customHeight="false" outlineLevel="0" collapsed="false">
      <c r="A28764" s="2" t="s">
        <v>560</v>
      </c>
      <c r="C28764" s="17" t="n">
        <f aca="false">C28687+C28753</f>
        <v>249.211381860707</v>
      </c>
    </row>
    <row r="28765" customFormat="false" ht="15" hidden="false" customHeight="false" outlineLevel="0" collapsed="false">
      <c r="A28765" s="2" t="s">
        <v>561</v>
      </c>
      <c r="C28765" s="17" t="n">
        <f aca="false">C28688+C28754</f>
        <v>205.029051392538</v>
      </c>
    </row>
    <row r="28766" customFormat="false" ht="15" hidden="false" customHeight="false" outlineLevel="0" collapsed="false">
      <c r="A28766" s="2" t="s">
        <v>562</v>
      </c>
      <c r="C28766" s="17" t="n">
        <f aca="false">C28689+C28755</f>
        <v>322.188509331132</v>
      </c>
    </row>
    <row r="28767" customFormat="false" ht="15" hidden="false" customHeight="false" outlineLevel="0" collapsed="false">
      <c r="A28767" s="2" t="s">
        <v>563</v>
      </c>
      <c r="C28767" s="17" t="n">
        <f aca="false">C28690+C28756</f>
        <v>205.029051392538</v>
      </c>
    </row>
    <row r="28768" customFormat="false" ht="15" hidden="false" customHeight="false" outlineLevel="0" collapsed="false">
      <c r="A28768" s="2" t="s">
        <v>564</v>
      </c>
      <c r="C28768" s="17" t="n">
        <f aca="false">C28691+C28757</f>
        <v>175.73918690789</v>
      </c>
    </row>
    <row r="28769" customFormat="false" ht="15" hidden="false" customHeight="false" outlineLevel="0" collapsed="false">
      <c r="A28769" s="2" t="s">
        <v>565</v>
      </c>
      <c r="C28769" s="17" t="n">
        <f aca="false">C28692+C28758</f>
        <v>0</v>
      </c>
    </row>
    <row r="28770" customFormat="false" ht="15" hidden="false" customHeight="false" outlineLevel="0" collapsed="false">
      <c r="A28770" s="24" t="s">
        <v>576</v>
      </c>
      <c r="B28770" s="25"/>
      <c r="C28770" s="25"/>
      <c r="D28770" s="25"/>
      <c r="E28770" s="25"/>
      <c r="F28770" s="25"/>
      <c r="G28770" s="25"/>
      <c r="H28770" s="25"/>
      <c r="I28770" s="25"/>
      <c r="J28770" s="25"/>
      <c r="K28770" s="25"/>
    </row>
    <row r="28771" customFormat="false" ht="15" hidden="false" customHeight="false" outlineLevel="0" collapsed="false">
      <c r="A28771" s="3" t="s">
        <v>556</v>
      </c>
      <c r="C28771" s="22" t="n">
        <f aca="false">IF(C28650=0,1,C28760/C28650)</f>
        <v>1</v>
      </c>
    </row>
    <row r="28772" customFormat="false" ht="15" hidden="false" customHeight="false" outlineLevel="0" collapsed="false">
      <c r="A28772" s="3" t="s">
        <v>557</v>
      </c>
      <c r="C28772" s="22" t="n">
        <f aca="false">IF(C28651=0,1,C28761/C28651)</f>
        <v>0.598913636001863</v>
      </c>
    </row>
    <row r="28773" customFormat="false" ht="15" hidden="false" customHeight="false" outlineLevel="0" collapsed="false">
      <c r="A28773" s="3" t="s">
        <v>558</v>
      </c>
      <c r="C28773" s="22" t="n">
        <f aca="false">IF(C28652=0,1,C28762/C28652)</f>
        <v>0.598377945269907</v>
      </c>
    </row>
    <row r="28774" customFormat="false" ht="15" hidden="false" customHeight="false" outlineLevel="0" collapsed="false">
      <c r="A28774" s="3" t="s">
        <v>559</v>
      </c>
      <c r="C28774" s="22" t="n">
        <f aca="false">IF(C28653=0,1,C28763/C28653)</f>
        <v>1</v>
      </c>
    </row>
    <row r="28775" customFormat="false" ht="15" hidden="false" customHeight="false" outlineLevel="0" collapsed="false">
      <c r="A28775" s="3" t="s">
        <v>560</v>
      </c>
      <c r="C28775" s="22" t="n">
        <f aca="false">IF(C28654=0,1,C28764/C28654)</f>
        <v>0.585797289692967</v>
      </c>
    </row>
    <row r="28776" customFormat="false" ht="15" hidden="false" customHeight="false" outlineLevel="0" collapsed="false">
      <c r="A28776" s="3" t="s">
        <v>561</v>
      </c>
      <c r="C28776" s="22" t="n">
        <f aca="false">IF(C28655=0,1,C28765/C28655)</f>
        <v>0.585797289692967</v>
      </c>
    </row>
    <row r="28777" customFormat="false" ht="15" hidden="false" customHeight="false" outlineLevel="0" collapsed="false">
      <c r="A28777" s="3" t="s">
        <v>562</v>
      </c>
      <c r="C28777" s="22" t="n">
        <f aca="false">IF(C28656=0,1,C28766/C28656)</f>
        <v>0.585797289692967</v>
      </c>
    </row>
    <row r="28778" customFormat="false" ht="15" hidden="false" customHeight="false" outlineLevel="0" collapsed="false">
      <c r="A28778" s="3" t="s">
        <v>563</v>
      </c>
      <c r="C28778" s="22" t="n">
        <f aca="false">IF(C28657=0,1,C28767/C28657)</f>
        <v>0.585797289692967</v>
      </c>
    </row>
    <row r="28779" customFormat="false" ht="15" hidden="false" customHeight="false" outlineLevel="0" collapsed="false">
      <c r="A28779" s="3" t="s">
        <v>564</v>
      </c>
      <c r="C28779" s="22" t="n">
        <f aca="false">IF(C28658=0,1,C28768/C28658)</f>
        <v>0.585797289692967</v>
      </c>
    </row>
    <row r="28780" customFormat="false" ht="15" hidden="false" customHeight="false" outlineLevel="0" collapsed="false">
      <c r="A28780" s="3" t="s">
        <v>565</v>
      </c>
      <c r="C28780" s="22" t="n">
        <f aca="false">IF(C28659=0,1,C28769/C28659)</f>
        <v>0</v>
      </c>
    </row>
    <row r="28781" customFormat="false" ht="15" hidden="false" customHeight="false" outlineLevel="0" collapsed="false">
      <c r="A28781" s="24" t="s">
        <v>577</v>
      </c>
      <c r="B28781" s="25"/>
      <c r="C28781" s="25"/>
      <c r="D28781" s="25"/>
      <c r="E28781" s="25"/>
      <c r="F28781" s="25"/>
      <c r="G28781" s="25"/>
      <c r="H28781" s="25"/>
      <c r="I28781" s="25"/>
      <c r="J28781" s="25"/>
      <c r="K28781" s="25"/>
    </row>
    <row r="28782" customFormat="false" ht="15" hidden="false" customHeight="false" outlineLevel="0" collapsed="false">
      <c r="A28782" s="3" t="s">
        <v>556</v>
      </c>
      <c r="C28782" s="16" t="n">
        <f aca="false">C28650-C28760</f>
        <v>0</v>
      </c>
    </row>
    <row r="28783" customFormat="false" ht="15" hidden="false" customHeight="false" outlineLevel="0" collapsed="false">
      <c r="A28783" s="3" t="s">
        <v>557</v>
      </c>
      <c r="C28783" s="16" t="n">
        <f aca="false">C28651-C28761</f>
        <v>36.0977727598324</v>
      </c>
    </row>
    <row r="28784" customFormat="false" ht="15" hidden="false" customHeight="false" outlineLevel="0" collapsed="false">
      <c r="A28784" s="3" t="s">
        <v>558</v>
      </c>
      <c r="C28784" s="16" t="n">
        <f aca="false">C28652-C28762</f>
        <v>23.0225826653479</v>
      </c>
    </row>
    <row r="28785" customFormat="false" ht="15" hidden="false" customHeight="false" outlineLevel="0" collapsed="false">
      <c r="A28785" s="3" t="s">
        <v>559</v>
      </c>
      <c r="C28785" s="16" t="n">
        <f aca="false">C28653-C28763</f>
        <v>0</v>
      </c>
    </row>
    <row r="28786" customFormat="false" ht="15" hidden="false" customHeight="false" outlineLevel="0" collapsed="false">
      <c r="A28786" s="3" t="s">
        <v>560</v>
      </c>
      <c r="C28786" s="16" t="n">
        <f aca="false">C28654-C28764</f>
        <v>176.211176839293</v>
      </c>
    </row>
    <row r="28787" customFormat="false" ht="15" hidden="false" customHeight="false" outlineLevel="0" collapsed="false">
      <c r="A28787" s="3" t="s">
        <v>561</v>
      </c>
      <c r="C28787" s="16" t="n">
        <f aca="false">C28655-C28765</f>
        <v>144.970948607462</v>
      </c>
    </row>
    <row r="28788" customFormat="false" ht="15" hidden="false" customHeight="false" outlineLevel="0" collapsed="false">
      <c r="A28788" s="3" t="s">
        <v>562</v>
      </c>
      <c r="C28788" s="16" t="n">
        <f aca="false">C28656-C28766</f>
        <v>227.811490668868</v>
      </c>
    </row>
    <row r="28789" customFormat="false" ht="15" hidden="false" customHeight="false" outlineLevel="0" collapsed="false">
      <c r="A28789" s="3" t="s">
        <v>563</v>
      </c>
      <c r="C28789" s="16" t="n">
        <f aca="false">C28657-C28767</f>
        <v>144.970948607462</v>
      </c>
    </row>
    <row r="28790" customFormat="false" ht="15" hidden="false" customHeight="false" outlineLevel="0" collapsed="false">
      <c r="A28790" s="3" t="s">
        <v>564</v>
      </c>
      <c r="C28790" s="16" t="n">
        <f aca="false">C28658-C28768</f>
        <v>124.26081309211</v>
      </c>
    </row>
    <row r="28791" customFormat="false" ht="15" hidden="false" customHeight="false" outlineLevel="0" collapsed="false">
      <c r="A28791" s="3" t="s">
        <v>565</v>
      </c>
      <c r="C28791" s="16" t="n">
        <f aca="false">C28659-C28769</f>
        <v>78.61</v>
      </c>
    </row>
    <row r="28792" customFormat="false" ht="15" hidden="false" customHeight="false" outlineLevel="0" collapsed="false">
      <c r="A28792" s="24" t="s">
        <v>578</v>
      </c>
      <c r="B28792" s="25"/>
      <c r="C28792" s="25"/>
      <c r="D28792" s="25"/>
      <c r="E28792" s="25"/>
      <c r="F28792" s="25"/>
      <c r="G28792" s="25"/>
      <c r="H28792" s="25"/>
      <c r="I28792" s="25"/>
      <c r="J28792" s="25"/>
      <c r="K28792" s="25"/>
    </row>
    <row r="28793" customFormat="false" ht="15" hidden="false" customHeight="false" outlineLevel="0" collapsed="false">
      <c r="A28793" s="3" t="s">
        <v>556</v>
      </c>
      <c r="C28793" s="22" t="n">
        <f aca="false">IF(C28650=0,0,C28782/C28650)</f>
        <v>0</v>
      </c>
    </row>
    <row r="28794" customFormat="false" ht="15" hidden="false" customHeight="false" outlineLevel="0" collapsed="false">
      <c r="A28794" s="3" t="s">
        <v>557</v>
      </c>
      <c r="C28794" s="22" t="n">
        <f aca="false">IF(C28651=0,0,C28783/C28651)</f>
        <v>0.401086363998137</v>
      </c>
    </row>
    <row r="28795" customFormat="false" ht="15" hidden="false" customHeight="false" outlineLevel="0" collapsed="false">
      <c r="A28795" s="3" t="s">
        <v>558</v>
      </c>
      <c r="C28795" s="22" t="n">
        <f aca="false">IF(C28652=0,0,C28784/C28652)</f>
        <v>0.401622054730093</v>
      </c>
    </row>
    <row r="28796" customFormat="false" ht="15" hidden="false" customHeight="false" outlineLevel="0" collapsed="false">
      <c r="A28796" s="3" t="s">
        <v>559</v>
      </c>
      <c r="C28796" s="22" t="n">
        <f aca="false">IF(C28653=0,0,C28785/C28653)</f>
        <v>0</v>
      </c>
    </row>
    <row r="28797" customFormat="false" ht="15" hidden="false" customHeight="false" outlineLevel="0" collapsed="false">
      <c r="A28797" s="3" t="s">
        <v>560</v>
      </c>
      <c r="C28797" s="22" t="n">
        <f aca="false">IF(C28654=0,0,C28786/C28654)</f>
        <v>0.414202710307033</v>
      </c>
    </row>
    <row r="28798" customFormat="false" ht="15" hidden="false" customHeight="false" outlineLevel="0" collapsed="false">
      <c r="A28798" s="3" t="s">
        <v>561</v>
      </c>
      <c r="C28798" s="22" t="n">
        <f aca="false">IF(C28655=0,0,C28787/C28655)</f>
        <v>0.414202710307033</v>
      </c>
    </row>
    <row r="28799" customFormat="false" ht="15" hidden="false" customHeight="false" outlineLevel="0" collapsed="false">
      <c r="A28799" s="3" t="s">
        <v>562</v>
      </c>
      <c r="C28799" s="22" t="n">
        <f aca="false">IF(C28656=0,0,C28788/C28656)</f>
        <v>0.414202710307033</v>
      </c>
    </row>
    <row r="28800" customFormat="false" ht="15" hidden="false" customHeight="false" outlineLevel="0" collapsed="false">
      <c r="A28800" s="3" t="s">
        <v>563</v>
      </c>
      <c r="C28800" s="22" t="n">
        <f aca="false">IF(C28657=0,0,C28789/C28657)</f>
        <v>0.414202710307033</v>
      </c>
    </row>
    <row r="28801" customFormat="false" ht="15" hidden="false" customHeight="false" outlineLevel="0" collapsed="false">
      <c r="A28801" s="3" t="s">
        <v>564</v>
      </c>
      <c r="C28801" s="22" t="n">
        <f aca="false">IF(C28658=0,0,C28790/C28658)</f>
        <v>0.414202710307033</v>
      </c>
    </row>
    <row r="28802" customFormat="false" ht="15" hidden="false" customHeight="false" outlineLevel="0" collapsed="false">
      <c r="A28802" s="3" t="s">
        <v>565</v>
      </c>
      <c r="C28802" s="22" t="n">
        <f aca="false">IF(C28659=0,0,C28791/C28659)</f>
        <v>1</v>
      </c>
    </row>
    <row r="28803" customFormat="false" ht="15" hidden="false" customHeight="false" outlineLevel="0" collapsed="false">
      <c r="A28803" s="2" t="s">
        <v>579</v>
      </c>
      <c r="C28803" s="17" t="n">
        <f aca="false">MAX(0,$C$28648-SUM($C$28683:$C$28692)-SUM($C$28705:$C$28714))</f>
        <v>0</v>
      </c>
    </row>
    <row r="28804" customFormat="false" ht="15" hidden="false" customHeight="false" outlineLevel="0" collapsed="false">
      <c r="A28804" s="3" t="s">
        <v>597</v>
      </c>
      <c r="C28804" s="35" t="n">
        <f aca="false">MIN(C28647,100*CHOOSE(C28637,C28771,C28772,C28773,C28774,C28775,C28776,C28777,C28778,C28779,C28780))</f>
        <v>85</v>
      </c>
    </row>
    <row r="28805" customFormat="false" ht="15" hidden="false" customHeight="false" outlineLevel="0" collapsed="false">
      <c r="A28805" s="3" t="s">
        <v>598</v>
      </c>
      <c r="C28805" s="21" t="n">
        <f aca="false">IF(C28469=1,C28642+Assumptions!$C$40,C28641)</f>
        <v>3</v>
      </c>
    </row>
    <row r="28806" customFormat="false" ht="15" hidden="false" customHeight="false" outlineLevel="0" collapsed="false">
      <c r="A28806" s="24" t="s">
        <v>599</v>
      </c>
      <c r="B28806" s="25"/>
      <c r="C28806" s="25"/>
      <c r="D28806" s="25"/>
      <c r="E28806" s="25"/>
      <c r="F28806" s="25"/>
      <c r="G28806" s="25"/>
      <c r="H28806" s="25"/>
      <c r="I28806" s="25"/>
      <c r="J28806" s="25"/>
      <c r="K28806" s="25"/>
    </row>
    <row r="28807" customFormat="false" ht="15" hidden="false" customHeight="false" outlineLevel="0" collapsed="false">
      <c r="A28807" s="3" t="s">
        <v>600</v>
      </c>
      <c r="C28807" s="21" t="n">
        <f aca="false">COLUMN()-COLUMN($C$1)</f>
        <v>0</v>
      </c>
      <c r="D28807" s="21" t="n">
        <f aca="false">COLUMN()-COLUMN($C$1)</f>
        <v>1</v>
      </c>
      <c r="E28807" s="21" t="n">
        <f aca="false">COLUMN()-COLUMN($C$1)</f>
        <v>2</v>
      </c>
      <c r="F28807" s="21" t="n">
        <f aca="false">COLUMN()-COLUMN($C$1)</f>
        <v>3</v>
      </c>
      <c r="G28807" s="21" t="n">
        <f aca="false">COLUMN()-COLUMN($C$1)</f>
        <v>4</v>
      </c>
      <c r="H28807" s="21" t="n">
        <f aca="false">COLUMN()-COLUMN($C$1)</f>
        <v>5</v>
      </c>
      <c r="I28807" s="21" t="n">
        <f aca="false">COLUMN()-COLUMN($C$1)</f>
        <v>6</v>
      </c>
    </row>
    <row r="28808" customFormat="false" ht="15" hidden="false" customHeight="false" outlineLevel="0" collapsed="false">
      <c r="A28808" s="3" t="s">
        <v>601</v>
      </c>
      <c r="D28808" s="31" t="n">
        <f aca="false">CHOOSE($C$28637,G28217,G28230,G28243,G28256,G28269,G28282,G28295,G28308,G28321,G28334)</f>
        <v>0.1115</v>
      </c>
      <c r="E28808" s="31" t="n">
        <f aca="false">CHOOSE($C$28637,H28217,H28230,H28243,H28256,H28269,H28282,H28295,H28308,H28321,H28334)</f>
        <v>0.11</v>
      </c>
      <c r="F28808" s="31" t="n">
        <f aca="false">CHOOSE($C$28637,I28217,I28230,I28243,I28256,I28269,I28282,I28295,I28308,I28321,I28334)</f>
        <v>0.1075</v>
      </c>
      <c r="G28808" s="31" t="n">
        <f aca="false">CHOOSE($C$28637,J28217,J28230,J28243,J28256,J28269,J28282,J28295,J28308,J28321,J28334)</f>
        <v>0.1075</v>
      </c>
      <c r="H28808" s="31" t="n">
        <f aca="false">CHOOSE($C$28637,K28217,K28230,K28243,K28256,K28269,K28282,K28295,K28308,K28321,K28334)</f>
        <v>0.1075</v>
      </c>
    </row>
    <row r="28809" customFormat="false" ht="15" hidden="false" customHeight="false" outlineLevel="0" collapsed="false">
      <c r="A28809" s="3" t="s">
        <v>602</v>
      </c>
      <c r="D28809" s="16" t="n">
        <f aca="false">IF(D28807&lt;=$C$28646,$C$28638*D28808,0)</f>
        <v>11.15</v>
      </c>
      <c r="E28809" s="16" t="n">
        <f aca="false">IF(E28807&lt;=$C$28646,$C$28638*E28808,0)</f>
        <v>11</v>
      </c>
      <c r="F28809" s="16" t="n">
        <f aca="false">IF(F28807&lt;=$C$28646,$C$28638*F28808,0)</f>
        <v>0</v>
      </c>
      <c r="G28809" s="16" t="n">
        <f aca="false">IF(G28807&lt;=$C$28646,$C$28638*G28808,0)</f>
        <v>0</v>
      </c>
      <c r="H28809" s="16" t="n">
        <f aca="false">IF(H28807&lt;=$C$28646,$C$28638*H28808,0)</f>
        <v>0</v>
      </c>
    </row>
    <row r="28810" customFormat="false" ht="15" hidden="false" customHeight="false" outlineLevel="0" collapsed="false">
      <c r="A28810" s="3" t="s">
        <v>603</v>
      </c>
      <c r="D28810" s="16" t="n">
        <f aca="false">IF(AND($C$28469=0,D28807=$C$28641),$C$28638*$C$28804/100,0)+IF(AND($C$28469=1,D28807=$C$28805),$C$28644,0)</f>
        <v>0</v>
      </c>
      <c r="E28810" s="16" t="n">
        <f aca="false">IF(AND($C$28469=0,E28807=$C$28641),$C$28638*$C$28804/100,0)+IF(AND($C$28469=1,E28807=$C$28805),$C$28644,0)</f>
        <v>0</v>
      </c>
      <c r="F28810" s="16" t="n">
        <f aca="false">IF(AND($C$28469=0,F28807=$C$28641),$C$28638*$C$28804/100,0)+IF(AND($C$28469=1,F28807=$C$28805),$C$28644,0)</f>
        <v>102.75</v>
      </c>
      <c r="G28810" s="16" t="n">
        <f aca="false">IF(AND($C$28469=0,G28807=$C$28641),$C$28638*$C$28804/100,0)+IF(AND($C$28469=1,G28807=$C$28805),$C$28644,0)</f>
        <v>0</v>
      </c>
      <c r="H28810" s="16" t="n">
        <f aca="false">IF(AND($C$28469=0,H28807=$C$28641),$C$28638*$C$28804/100,0)+IF(AND($C$28469=1,H28807=$C$28805),$C$28644,0)</f>
        <v>0</v>
      </c>
      <c r="I28810" s="16" t="n">
        <f aca="false">IF(AND($C$28469=0,I28807=$C$28641),$C$28638*$C$28804/100,0)+IF(AND($C$28469=1,I28807=$C$28805),$C$28644,0)</f>
        <v>0</v>
      </c>
    </row>
    <row r="28811" customFormat="false" ht="15" hidden="false" customHeight="false" outlineLevel="0" collapsed="false">
      <c r="A28811" s="2" t="s">
        <v>604</v>
      </c>
      <c r="C28811" s="17" t="n">
        <f aca="false">-$C$28640</f>
        <v>-98.49</v>
      </c>
      <c r="D28811" s="17" t="n">
        <f aca="false">D28809+D28810</f>
        <v>11.15</v>
      </c>
      <c r="E28811" s="17" t="n">
        <f aca="false">E28809+E28810</f>
        <v>11</v>
      </c>
      <c r="F28811" s="17" t="n">
        <f aca="false">F28809+F28810</f>
        <v>102.75</v>
      </c>
      <c r="G28811" s="17" t="n">
        <f aca="false">G28809+G28810</f>
        <v>0</v>
      </c>
      <c r="H28811" s="17" t="n">
        <f aca="false">H28809+H28810</f>
        <v>0</v>
      </c>
      <c r="I28811" s="17" t="n">
        <f aca="false">I28809+I28810</f>
        <v>0</v>
      </c>
    </row>
    <row r="28812" customFormat="false" ht="15" hidden="false" customHeight="false" outlineLevel="0" collapsed="false">
      <c r="A28812" s="3" t="s">
        <v>605</v>
      </c>
      <c r="C28812" s="16" t="n">
        <f aca="false">SUM($C$28809:$I$28809)</f>
        <v>22.15</v>
      </c>
    </row>
    <row r="28813" customFormat="false" ht="15" hidden="false" customHeight="false" outlineLevel="0" collapsed="false">
      <c r="A28813" s="3" t="s">
        <v>606</v>
      </c>
      <c r="C28813" s="16" t="n">
        <f aca="false">SUM($C$28810:$I$28810)</f>
        <v>102.75</v>
      </c>
    </row>
    <row r="28814" customFormat="false" ht="15" hidden="false" customHeight="false" outlineLevel="0" collapsed="false">
      <c r="A28814" s="3" t="s">
        <v>607</v>
      </c>
      <c r="C28814" s="16" t="n">
        <f aca="false">C28812+C28813</f>
        <v>124.9</v>
      </c>
    </row>
    <row r="28815" customFormat="false" ht="15" hidden="false" customHeight="false" outlineLevel="0" collapsed="false">
      <c r="A28815" s="3" t="s">
        <v>608</v>
      </c>
      <c r="C28815" s="16" t="n">
        <f aca="false">C28813-C28638*C28639/100</f>
        <v>4.75000000000001</v>
      </c>
    </row>
    <row r="28816" customFormat="false" ht="15" hidden="false" customHeight="false" outlineLevel="0" collapsed="false">
      <c r="A28816" s="3" t="s">
        <v>609</v>
      </c>
      <c r="C28816" s="16" t="n">
        <f aca="false">C28814-C28640</f>
        <v>26.41</v>
      </c>
    </row>
    <row r="28817" customFormat="false" ht="15" hidden="false" customHeight="false" outlineLevel="0" collapsed="false">
      <c r="A28817" s="2" t="s">
        <v>484</v>
      </c>
      <c r="C28817" s="44" t="n">
        <f aca="false">C28814/C28640</f>
        <v>1.26814905066504</v>
      </c>
    </row>
    <row r="28818" customFormat="false" ht="15" hidden="false" customHeight="false" outlineLevel="0" collapsed="false">
      <c r="A28818" s="2" t="s">
        <v>483</v>
      </c>
      <c r="C28818" s="42" t="n">
        <f aca="false">IF(C28814&lt;=0,-1,IFERROR(IRR($C$28811:$I$28811,MAX(-0.9,C28817^(1/C28805)-1)),IRR($C$28811:$I$28811,0.1)))</f>
        <v>0.0913913516825024</v>
      </c>
    </row>
    <row r="28819" customFormat="false" ht="15" hidden="false" customHeight="false" outlineLevel="0" collapsed="false">
      <c r="A28819" s="3" t="s">
        <v>610</v>
      </c>
      <c r="C28819" s="32" t="n">
        <f aca="false">MAX($G$28413:$K$28413)</f>
        <v>15.6604539688166</v>
      </c>
    </row>
    <row r="28820" customFormat="false" ht="15" hidden="false" customHeight="false" outlineLevel="0" collapsed="false">
      <c r="A28820" s="3" t="s">
        <v>611</v>
      </c>
      <c r="C28820" s="32" t="n">
        <f aca="false">MIN($G$28414:$K$28414)</f>
        <v>0.924210049479818</v>
      </c>
    </row>
    <row r="28821" customFormat="false" ht="15" hidden="false" customHeight="false" outlineLevel="0" collapsed="false">
      <c r="A28821" s="3" t="s">
        <v>612</v>
      </c>
      <c r="C28821" s="16" t="n">
        <f aca="false">SUM($G$28201:$K$28201)</f>
        <v>-294.733820527031</v>
      </c>
    </row>
    <row r="28825" customFormat="false" ht="15" hidden="false" customHeight="false" outlineLevel="0" collapsed="false">
      <c r="A28825" s="9" t="s">
        <v>1174</v>
      </c>
      <c r="B28825" s="10"/>
      <c r="C28825" s="10"/>
      <c r="D28825" s="10"/>
      <c r="E28825" s="10"/>
      <c r="F28825" s="10"/>
      <c r="G28825" s="10"/>
      <c r="H28825" s="10"/>
      <c r="I28825" s="10"/>
      <c r="J28825" s="10"/>
      <c r="K28825" s="10"/>
    </row>
    <row r="28826" customFormat="false" ht="15" hidden="false" customHeight="false" outlineLevel="0" collapsed="false">
      <c r="A28826" s="3" t="s">
        <v>1126</v>
      </c>
      <c r="C28826" s="11" t="n">
        <v>3</v>
      </c>
    </row>
    <row r="28827" customFormat="false" ht="15" hidden="false" customHeight="false" outlineLevel="0" collapsed="false">
      <c r="A28827" s="3" t="s">
        <v>1127</v>
      </c>
      <c r="C28827" s="19" t="n">
        <v>0</v>
      </c>
    </row>
    <row r="28828" customFormat="false" ht="15" hidden="false" customHeight="false" outlineLevel="0" collapsed="false">
      <c r="A28828" s="3" t="s">
        <v>1128</v>
      </c>
      <c r="C28828" s="19" t="n">
        <v>0</v>
      </c>
    </row>
    <row r="28829" customFormat="false" ht="15" hidden="false" customHeight="false" outlineLevel="0" collapsed="false">
      <c r="A28829" s="3" t="s">
        <v>1129</v>
      </c>
      <c r="C28829" s="30" t="n">
        <f aca="false">Sensitivities!$A$51</f>
        <v>-0.005</v>
      </c>
    </row>
    <row r="28830" customFormat="false" ht="15" hidden="false" customHeight="false" outlineLevel="0" collapsed="false">
      <c r="A28830" s="3" t="s">
        <v>1130</v>
      </c>
      <c r="C28830" s="15" t="n">
        <v>0</v>
      </c>
    </row>
    <row r="28832" customFormat="false" ht="15" hidden="false" customHeight="false" outlineLevel="0" collapsed="false">
      <c r="A28832" s="24" t="s">
        <v>301</v>
      </c>
      <c r="B28832" s="25"/>
      <c r="C28832" s="25"/>
      <c r="D28832" s="25"/>
      <c r="E28832" s="25"/>
      <c r="F28832" s="25"/>
      <c r="G28832" s="25"/>
      <c r="H28832" s="25"/>
      <c r="I28832" s="25"/>
      <c r="J28832" s="25"/>
      <c r="K28832" s="25"/>
    </row>
    <row r="28833" customFormat="false" ht="15" hidden="false" customHeight="false" outlineLevel="0" collapsed="false">
      <c r="A28833" s="3" t="s">
        <v>302</v>
      </c>
      <c r="F28833" s="27" t="n">
        <f aca="false">Assumptions!$C$6</f>
        <v>2026</v>
      </c>
      <c r="G28833" s="21" t="n">
        <f aca="false">F28833+1</f>
        <v>2027</v>
      </c>
      <c r="H28833" s="21" t="n">
        <f aca="false">G28833+1</f>
        <v>2028</v>
      </c>
      <c r="I28833" s="21" t="n">
        <f aca="false">H28833+1</f>
        <v>2029</v>
      </c>
      <c r="J28833" s="21" t="n">
        <f aca="false">I28833+1</f>
        <v>2030</v>
      </c>
      <c r="K28833" s="21" t="n">
        <f aca="false">J28833+1</f>
        <v>2031</v>
      </c>
    </row>
    <row r="28834" customFormat="false" ht="15" hidden="false" customHeight="false" outlineLevel="0" collapsed="false">
      <c r="A28834" s="3" t="s">
        <v>303</v>
      </c>
      <c r="G28834" s="21" t="n">
        <f aca="false">G28833-Assumptions!$C$6</f>
        <v>1</v>
      </c>
      <c r="H28834" s="21" t="n">
        <f aca="false">H28833-Assumptions!$C$6</f>
        <v>2</v>
      </c>
      <c r="I28834" s="21" t="n">
        <f aca="false">I28833-Assumptions!$C$6</f>
        <v>3</v>
      </c>
      <c r="J28834" s="21" t="n">
        <f aca="false">J28833-Assumptions!$C$6</f>
        <v>4</v>
      </c>
      <c r="K28834" s="21" t="n">
        <f aca="false">K28833-Assumptions!$C$6</f>
        <v>5</v>
      </c>
    </row>
    <row r="28835" customFormat="false" ht="15" hidden="false" customHeight="false" outlineLevel="0" collapsed="false">
      <c r="A28835" s="3" t="s">
        <v>180</v>
      </c>
      <c r="G28835" s="22" t="n">
        <f aca="false">CHOOSE($C$28826,Assumptions!$G$79,Assumptions!$G$98,Assumptions!$G$117)+$C$28827</f>
        <v>-0.1</v>
      </c>
      <c r="H28835" s="22" t="n">
        <f aca="false">CHOOSE($C$28826,Assumptions!$H$79,Assumptions!$H$98,Assumptions!$H$117)+$C$28827</f>
        <v>-0.07</v>
      </c>
      <c r="I28835" s="22" t="n">
        <f aca="false">CHOOSE($C$28826,Assumptions!$I$79,Assumptions!$I$98,Assumptions!$I$117)+$C$28827</f>
        <v>-0.03</v>
      </c>
      <c r="J28835" s="22" t="n">
        <f aca="false">CHOOSE($C$28826,Assumptions!$J$79,Assumptions!$J$98,Assumptions!$J$117)+$C$28827</f>
        <v>0</v>
      </c>
      <c r="K28835" s="22" t="n">
        <f aca="false">CHOOSE($C$28826,Assumptions!$K$79,Assumptions!$K$98,Assumptions!$K$117)+$C$28827</f>
        <v>0.01</v>
      </c>
    </row>
    <row r="28836" customFormat="false" ht="15" hidden="false" customHeight="false" outlineLevel="0" collapsed="false">
      <c r="A28836" s="3" t="s">
        <v>181</v>
      </c>
      <c r="G28836" s="22" t="n">
        <f aca="false">CHOOSE($C$28826,Assumptions!$G$80,Assumptions!$G$99,Assumptions!$G$118)</f>
        <v>0.533920660818678</v>
      </c>
      <c r="H28836" s="22" t="n">
        <f aca="false">CHOOSE($C$28826,Assumptions!$H$80,Assumptions!$H$99,Assumptions!$H$118)</f>
        <v>0.503920660818678</v>
      </c>
      <c r="I28836" s="22" t="n">
        <f aca="false">CHOOSE($C$28826,Assumptions!$I$80,Assumptions!$I$99,Assumptions!$I$118)</f>
        <v>0.498920660818678</v>
      </c>
      <c r="J28836" s="22" t="n">
        <f aca="false">CHOOSE($C$28826,Assumptions!$J$80,Assumptions!$J$99,Assumptions!$J$118)</f>
        <v>0.503920660818678</v>
      </c>
      <c r="K28836" s="22" t="n">
        <f aca="false">CHOOSE($C$28826,Assumptions!$K$80,Assumptions!$K$99,Assumptions!$K$118)</f>
        <v>0.513920660818678</v>
      </c>
    </row>
    <row r="28837" customFormat="false" ht="15" hidden="false" customHeight="false" outlineLevel="0" collapsed="false">
      <c r="A28837" s="3" t="s">
        <v>182</v>
      </c>
      <c r="G28837" s="22" t="n">
        <f aca="false">CHOOSE($C$28826,Assumptions!$G$81,Assumptions!$G$100,Assumptions!$G$119)+$C$28828</f>
        <v>0.46</v>
      </c>
      <c r="H28837" s="22" t="n">
        <f aca="false">CHOOSE($C$28826,Assumptions!$H$81,Assumptions!$H$100,Assumptions!$H$119)+$C$28828</f>
        <v>0.43</v>
      </c>
      <c r="I28837" s="22" t="n">
        <f aca="false">CHOOSE($C$28826,Assumptions!$I$81,Assumptions!$I$100,Assumptions!$I$119)+$C$28828</f>
        <v>0.425</v>
      </c>
      <c r="J28837" s="22" t="n">
        <f aca="false">CHOOSE($C$28826,Assumptions!$J$81,Assumptions!$J$100,Assumptions!$J$119)+$C$28828</f>
        <v>0.43</v>
      </c>
      <c r="K28837" s="22" t="n">
        <f aca="false">CHOOSE($C$28826,Assumptions!$K$81,Assumptions!$K$100,Assumptions!$K$119)+$C$28828</f>
        <v>0.44</v>
      </c>
    </row>
    <row r="28838" customFormat="false" ht="15" hidden="false" customHeight="false" outlineLevel="0" collapsed="false">
      <c r="A28838" s="24" t="s">
        <v>304</v>
      </c>
      <c r="B28838" s="25"/>
      <c r="C28838" s="25"/>
      <c r="D28838" s="25"/>
      <c r="E28838" s="25"/>
      <c r="F28838" s="25"/>
      <c r="G28838" s="25"/>
      <c r="H28838" s="25"/>
      <c r="I28838" s="25"/>
      <c r="J28838" s="25"/>
      <c r="K28838" s="25"/>
    </row>
    <row r="28839" customFormat="false" ht="15" hidden="false" customHeight="false" outlineLevel="0" collapsed="false">
      <c r="A28839" s="2" t="s">
        <v>275</v>
      </c>
      <c r="F28839" s="28" t="n">
        <f aca="false">'Historical Financials'!G25</f>
        <v>498.291</v>
      </c>
      <c r="G28839" s="17" t="n">
        <f aca="false">F28839*(1+G28835)</f>
        <v>448.4619</v>
      </c>
      <c r="H28839" s="17" t="n">
        <f aca="false">G28839*(1+H28835)</f>
        <v>417.069567</v>
      </c>
      <c r="I28839" s="17" t="n">
        <f aca="false">H28839*(1+I28835)</f>
        <v>404.55747999</v>
      </c>
      <c r="J28839" s="17" t="n">
        <f aca="false">I28839*(1+J28835)</f>
        <v>404.55747999</v>
      </c>
      <c r="K28839" s="17" t="n">
        <f aca="false">J28839*(1+K28835)</f>
        <v>408.6030547899</v>
      </c>
    </row>
    <row r="28840" customFormat="false" ht="15" hidden="false" customHeight="false" outlineLevel="0" collapsed="false">
      <c r="A28840" s="3" t="s">
        <v>276</v>
      </c>
      <c r="G28840" s="16" t="n">
        <f aca="false">G28839*(1-G28836)</f>
        <v>209.018826</v>
      </c>
      <c r="H28840" s="16" t="n">
        <f aca="false">H28839*(1-H28836)</f>
        <v>206.89959519</v>
      </c>
      <c r="I28840" s="16" t="n">
        <f aca="false">I28839*(1-I28836)</f>
        <v>202.71539473425</v>
      </c>
      <c r="J28840" s="16" t="n">
        <f aca="false">J28839*(1-J28836)</f>
        <v>200.6926073343</v>
      </c>
      <c r="K28840" s="16" t="n">
        <f aca="false">K28839*(1-K28836)</f>
        <v>198.613502859744</v>
      </c>
    </row>
    <row r="28841" customFormat="false" ht="15" hidden="false" customHeight="false" outlineLevel="0" collapsed="false">
      <c r="A28841" s="2" t="s">
        <v>277</v>
      </c>
      <c r="G28841" s="17" t="n">
        <f aca="false">G28839-G28840</f>
        <v>239.443074</v>
      </c>
      <c r="H28841" s="17" t="n">
        <f aca="false">H28839-H28840</f>
        <v>210.16997181</v>
      </c>
      <c r="I28841" s="17" t="n">
        <f aca="false">I28839-I28840</f>
        <v>201.84208525575</v>
      </c>
      <c r="J28841" s="17" t="n">
        <f aca="false">J28839-J28840</f>
        <v>203.8648726557</v>
      </c>
      <c r="K28841" s="17" t="n">
        <f aca="false">K28839-K28840</f>
        <v>209.989551930156</v>
      </c>
    </row>
    <row r="28842" customFormat="false" ht="15" hidden="false" customHeight="false" outlineLevel="0" collapsed="false">
      <c r="A28842" s="3" t="s">
        <v>305</v>
      </c>
      <c r="G28842" s="16" t="n">
        <f aca="false">G28841-G28843</f>
        <v>33.1505999999999</v>
      </c>
      <c r="H28842" s="16" t="n">
        <f aca="false">H28841-H28843</f>
        <v>30.830058</v>
      </c>
      <c r="I28842" s="16" t="n">
        <f aca="false">I28841-I28843</f>
        <v>29.90515626</v>
      </c>
      <c r="J28842" s="16" t="n">
        <f aca="false">J28841-J28843</f>
        <v>29.90515626</v>
      </c>
      <c r="K28842" s="16" t="n">
        <f aca="false">K28841-K28843</f>
        <v>30.2042078226</v>
      </c>
    </row>
    <row r="28843" customFormat="false" ht="15" hidden="false" customHeight="false" outlineLevel="0" collapsed="false">
      <c r="A28843" s="2" t="s">
        <v>306</v>
      </c>
      <c r="G28843" s="17" t="n">
        <f aca="false">G28839*G28837</f>
        <v>206.292474</v>
      </c>
      <c r="H28843" s="17" t="n">
        <f aca="false">H28839*H28837</f>
        <v>179.33991381</v>
      </c>
      <c r="I28843" s="17" t="n">
        <f aca="false">I28839*I28837</f>
        <v>171.93692899575</v>
      </c>
      <c r="J28843" s="17" t="n">
        <f aca="false">J28839*J28837</f>
        <v>173.9597163957</v>
      </c>
      <c r="K28843" s="17" t="n">
        <f aca="false">K28839*K28837</f>
        <v>179.785344107556</v>
      </c>
    </row>
    <row r="28844" customFormat="false" ht="15" hidden="false" customHeight="false" outlineLevel="0" collapsed="false">
      <c r="A28844" s="3" t="s">
        <v>307</v>
      </c>
      <c r="G28844" s="16" t="n">
        <f aca="false">G28839*'Historical Financials'!G30/'Historical Financials'!G25</f>
        <v>166.7637</v>
      </c>
      <c r="H28844" s="16" t="n">
        <f aca="false">H28839*'Historical Financials'!G30/'Historical Financials'!G25</f>
        <v>155.090241</v>
      </c>
      <c r="I28844" s="16" t="n">
        <f aca="false">I28839*'Historical Financials'!G30/'Historical Financials'!G25</f>
        <v>150.43753377</v>
      </c>
      <c r="J28844" s="16" t="n">
        <f aca="false">J28839*'Historical Financials'!G30/'Historical Financials'!G25</f>
        <v>150.43753377</v>
      </c>
      <c r="K28844" s="16" t="n">
        <f aca="false">K28839*'Historical Financials'!G30/'Historical Financials'!G25</f>
        <v>151.9419091077</v>
      </c>
    </row>
    <row r="28845" customFormat="false" ht="15" hidden="false" customHeight="false" outlineLevel="0" collapsed="false">
      <c r="A28845" s="3" t="s">
        <v>308</v>
      </c>
      <c r="G28845" s="16" t="n">
        <f aca="false">G28839*'Historical Financials'!G31/'Historical Financials'!G25</f>
        <v>0</v>
      </c>
      <c r="H28845" s="16" t="n">
        <f aca="false">H28839*'Historical Financials'!G31/'Historical Financials'!G25</f>
        <v>0</v>
      </c>
      <c r="I28845" s="16" t="n">
        <f aca="false">I28839*'Historical Financials'!G31/'Historical Financials'!G25</f>
        <v>0</v>
      </c>
      <c r="J28845" s="16" t="n">
        <f aca="false">J28839*'Historical Financials'!G31/'Historical Financials'!G25</f>
        <v>0</v>
      </c>
      <c r="K28845" s="16" t="n">
        <f aca="false">K28839*'Historical Financials'!G31/'Historical Financials'!G25</f>
        <v>0</v>
      </c>
    </row>
    <row r="28846" customFormat="false" ht="15" hidden="false" customHeight="false" outlineLevel="0" collapsed="false">
      <c r="A28846" s="2" t="s">
        <v>309</v>
      </c>
      <c r="G28846" s="17" t="n">
        <f aca="false">G28843-G28844-G28845</f>
        <v>39.528774</v>
      </c>
      <c r="H28846" s="17" t="n">
        <f aca="false">H28843-H28844-H28845</f>
        <v>24.24967281</v>
      </c>
      <c r="I28846" s="17" t="n">
        <f aca="false">I28843-I28844-I28845</f>
        <v>21.49939522575</v>
      </c>
      <c r="J28846" s="17" t="n">
        <f aca="false">J28843-J28844-J28845</f>
        <v>23.5221826257</v>
      </c>
      <c r="K28846" s="17" t="n">
        <f aca="false">K28843-K28844-K28845</f>
        <v>27.843434999856</v>
      </c>
    </row>
    <row r="28847" customFormat="false" ht="15" hidden="false" customHeight="false" outlineLevel="0" collapsed="false">
      <c r="A28847" s="3" t="s">
        <v>310</v>
      </c>
      <c r="G28847" s="16" t="n">
        <f aca="false">G28873+G28886+G28899+G28912+G28925+G28938+G28951+G28964+G28977+G28990</f>
        <v>192.1749354</v>
      </c>
      <c r="H28847" s="16" t="n">
        <f aca="false">H28873+H28886+H28899+H28912+H28925+H28938+H28951+H28964+H28977+H28990</f>
        <v>190.9970204</v>
      </c>
      <c r="I28847" s="16" t="n">
        <f aca="false">I28873+I28886+I28899+I28912+I28925+I28938+I28951+I28964+I28977+I28990</f>
        <v>188.57794741865</v>
      </c>
      <c r="J28847" s="16" t="n">
        <f aca="false">J28873+J28886+J28899+J28912+J28925+J28938+J28951+J28964+J28977+J28990</f>
        <v>188.12794741865</v>
      </c>
      <c r="K28847" s="16" t="n">
        <f aca="false">K28873+K28886+K28899+K28912+K28925+K28938+K28951+K28964+K28977+K28990</f>
        <v>187.67794741865</v>
      </c>
    </row>
    <row r="28848" customFormat="false" ht="15" hidden="false" customHeight="false" outlineLevel="0" collapsed="false">
      <c r="A28848" s="3" t="s">
        <v>311</v>
      </c>
      <c r="G28848" s="16" t="n">
        <f aca="false">G28874+G28887+G28900+G28913+G28926+G28939+G28952+G28965+G28978+G28991</f>
        <v>0</v>
      </c>
      <c r="H28848" s="16" t="n">
        <f aca="false">H28874+H28887+H28900+H28913+H28926+H28939+H28952+H28965+H28978+H28991</f>
        <v>0</v>
      </c>
      <c r="I28848" s="16" t="n">
        <f aca="false">I28874+I28887+I28900+I28913+I28926+I28939+I28952+I28965+I28978+I28991</f>
        <v>0</v>
      </c>
      <c r="J28848" s="16" t="n">
        <f aca="false">J28874+J28887+J28900+J28913+J28926+J28939+J28952+J28965+J28978+J28991</f>
        <v>0</v>
      </c>
      <c r="K28848" s="16" t="n">
        <f aca="false">K28874+K28887+K28900+K28913+K28926+K28939+K28952+K28965+K28978+K28991</f>
        <v>0</v>
      </c>
    </row>
    <row r="28849" customFormat="false" ht="15" hidden="false" customHeight="false" outlineLevel="0" collapsed="false">
      <c r="A28849" s="3" t="s">
        <v>283</v>
      </c>
      <c r="G28849" s="16" t="n">
        <f aca="false">G28847+G28848</f>
        <v>192.1749354</v>
      </c>
      <c r="H28849" s="16" t="n">
        <f aca="false">H28847+H28848</f>
        <v>190.9970204</v>
      </c>
      <c r="I28849" s="16" t="n">
        <f aca="false">I28847+I28848</f>
        <v>188.57794741865</v>
      </c>
      <c r="J28849" s="16" t="n">
        <f aca="false">J28847+J28848</f>
        <v>188.12794741865</v>
      </c>
      <c r="K28849" s="16" t="n">
        <f aca="false">K28847+K28848</f>
        <v>187.67794741865</v>
      </c>
    </row>
    <row r="28850" customFormat="false" ht="15" hidden="false" customHeight="false" outlineLevel="0" collapsed="false">
      <c r="A28850" s="2" t="s">
        <v>284</v>
      </c>
      <c r="G28850" s="17" t="n">
        <f aca="false">G28846-G28849</f>
        <v>-152.6461614</v>
      </c>
      <c r="H28850" s="17" t="n">
        <f aca="false">H28846-H28849</f>
        <v>-166.74734759</v>
      </c>
      <c r="I28850" s="17" t="n">
        <f aca="false">I28846-I28849</f>
        <v>-167.0785521929</v>
      </c>
      <c r="J28850" s="17" t="n">
        <f aca="false">J28846-J28849</f>
        <v>-164.60576479295</v>
      </c>
      <c r="K28850" s="17" t="n">
        <f aca="false">K28846-K28849</f>
        <v>-159.834512418794</v>
      </c>
    </row>
    <row r="28851" customFormat="false" ht="15" hidden="false" customHeight="false" outlineLevel="0" collapsed="false">
      <c r="A28851" s="3" t="s">
        <v>312</v>
      </c>
      <c r="G28851" s="16" t="n">
        <f aca="false">MAX(0,G28850)*Assumptions!$C$9</f>
        <v>0</v>
      </c>
      <c r="H28851" s="16" t="n">
        <f aca="false">MAX(0,H28850)*Assumptions!$C$9</f>
        <v>0</v>
      </c>
      <c r="I28851" s="16" t="n">
        <f aca="false">MAX(0,I28850)*Assumptions!$C$9</f>
        <v>0</v>
      </c>
      <c r="J28851" s="16" t="n">
        <f aca="false">MAX(0,J28850)*Assumptions!$C$9</f>
        <v>0</v>
      </c>
      <c r="K28851" s="16" t="n">
        <f aca="false">MAX(0,K28850)*Assumptions!$C$9</f>
        <v>0</v>
      </c>
    </row>
    <row r="28852" customFormat="false" ht="15" hidden="false" customHeight="false" outlineLevel="0" collapsed="false">
      <c r="A28852" s="2" t="s">
        <v>313</v>
      </c>
      <c r="G28852" s="17" t="n">
        <f aca="false">G28850-G28851</f>
        <v>-152.6461614</v>
      </c>
      <c r="H28852" s="17" t="n">
        <f aca="false">H28850-H28851</f>
        <v>-166.74734759</v>
      </c>
      <c r="I28852" s="17" t="n">
        <f aca="false">I28850-I28851</f>
        <v>-167.0785521929</v>
      </c>
      <c r="J28852" s="17" t="n">
        <f aca="false">J28850-J28851</f>
        <v>-164.60576479295</v>
      </c>
      <c r="K28852" s="17" t="n">
        <f aca="false">K28850-K28851</f>
        <v>-159.834512418794</v>
      </c>
    </row>
    <row r="28853" customFormat="false" ht="15" hidden="false" customHeight="false" outlineLevel="0" collapsed="false">
      <c r="A28853" s="24" t="s">
        <v>314</v>
      </c>
      <c r="B28853" s="25"/>
      <c r="C28853" s="25"/>
      <c r="D28853" s="25"/>
      <c r="E28853" s="25"/>
      <c r="F28853" s="25"/>
      <c r="G28853" s="25"/>
      <c r="H28853" s="25"/>
      <c r="I28853" s="25"/>
      <c r="J28853" s="25"/>
      <c r="K28853" s="25"/>
    </row>
    <row r="28854" customFormat="false" ht="15" hidden="false" customHeight="false" outlineLevel="0" collapsed="false">
      <c r="A28854" s="3" t="s">
        <v>184</v>
      </c>
      <c r="G28854" s="16" t="n">
        <f aca="false">G28839*CHOOSE($C$28826,Assumptions!$C$83,Assumptions!$C$102,Assumptions!$C$121)</f>
        <v>58.300047</v>
      </c>
      <c r="H28854" s="16" t="n">
        <f aca="false">H28839*CHOOSE($C$28826,Assumptions!$C$83,Assumptions!$C$102,Assumptions!$C$121)</f>
        <v>54.21904371</v>
      </c>
      <c r="I28854" s="16" t="n">
        <f aca="false">I28839*CHOOSE($C$28826,Assumptions!$C$83,Assumptions!$C$102,Assumptions!$C$121)</f>
        <v>52.5924723987</v>
      </c>
      <c r="J28854" s="16" t="n">
        <f aca="false">J28839*CHOOSE($C$28826,Assumptions!$C$83,Assumptions!$C$102,Assumptions!$C$121)</f>
        <v>52.5924723987</v>
      </c>
      <c r="K28854" s="16" t="n">
        <f aca="false">K28839*CHOOSE($C$28826,Assumptions!$C$83,Assumptions!$C$102,Assumptions!$C$121)</f>
        <v>53.118397122687</v>
      </c>
    </row>
    <row r="28855" customFormat="false" ht="15" hidden="false" customHeight="false" outlineLevel="0" collapsed="false">
      <c r="A28855" s="3" t="s">
        <v>315</v>
      </c>
      <c r="G28855" s="16" t="n">
        <f aca="false">CHOOSE($C$28826,Assumptions!$C$84,Assumptions!$C$103,Assumptions!$C$122)*(G28839-F28839)+CHOOSE($C$28826,Assumptions!$C$85,Assumptions!$C$104,Assumptions!$C$123)*G28839</f>
        <v>0</v>
      </c>
      <c r="H28855" s="16" t="n">
        <f aca="false">CHOOSE($C$28826,Assumptions!$C$84,Assumptions!$C$103,Assumptions!$C$122)*(H28839-G28839)+CHOOSE($C$28826,Assumptions!$C$85,Assumptions!$C$104,Assumptions!$C$123)*H28839</f>
        <v>0</v>
      </c>
      <c r="I28855" s="16" t="n">
        <f aca="false">CHOOSE($C$28826,Assumptions!$C$84,Assumptions!$C$103,Assumptions!$C$122)*(I28839-H28839)+CHOOSE($C$28826,Assumptions!$C$85,Assumptions!$C$104,Assumptions!$C$123)*I28839</f>
        <v>0</v>
      </c>
      <c r="J28855" s="16" t="n">
        <f aca="false">CHOOSE($C$28826,Assumptions!$C$84,Assumptions!$C$103,Assumptions!$C$122)*(J28839-I28839)+CHOOSE($C$28826,Assumptions!$C$85,Assumptions!$C$104,Assumptions!$C$123)*J28839</f>
        <v>0</v>
      </c>
      <c r="K28855" s="16" t="n">
        <f aca="false">CHOOSE($C$28826,Assumptions!$C$84,Assumptions!$C$103,Assumptions!$C$122)*(K28839-J28839)+CHOOSE($C$28826,Assumptions!$C$85,Assumptions!$C$104,Assumptions!$C$123)*K28839</f>
        <v>0</v>
      </c>
    </row>
    <row r="28856" customFormat="false" ht="15" hidden="false" customHeight="false" outlineLevel="0" collapsed="false">
      <c r="A28856" s="2" t="s">
        <v>316</v>
      </c>
      <c r="G28856" s="17" t="n">
        <f aca="false">G28852+G28844+G28845+G28848-G28854-G28855</f>
        <v>-44.1825083999999</v>
      </c>
      <c r="H28856" s="17" t="n">
        <f aca="false">H28852+H28844+H28845+H28848-H28854-H28855</f>
        <v>-65.8761503</v>
      </c>
      <c r="I28856" s="17" t="n">
        <f aca="false">I28852+I28844+I28845+I28848-I28854-I28855</f>
        <v>-69.2334908216</v>
      </c>
      <c r="J28856" s="17" t="n">
        <f aca="false">J28852+J28844+J28845+J28848-J28854-J28855</f>
        <v>-66.76070342165</v>
      </c>
      <c r="K28856" s="17" t="n">
        <f aca="false">K28852+K28844+K28845+K28848-K28854-K28855</f>
        <v>-61.011000433781</v>
      </c>
    </row>
    <row r="28858" customFormat="false" ht="15" hidden="false" customHeight="false" outlineLevel="0" collapsed="false">
      <c r="A28858" s="24" t="s">
        <v>318</v>
      </c>
      <c r="B28858" s="25"/>
      <c r="C28858" s="25"/>
      <c r="D28858" s="25"/>
      <c r="E28858" s="25"/>
      <c r="F28858" s="25"/>
      <c r="G28858" s="25"/>
      <c r="H28858" s="25"/>
      <c r="I28858" s="25"/>
      <c r="J28858" s="25"/>
      <c r="K28858" s="25"/>
    </row>
    <row r="28859" customFormat="false" ht="15" hidden="false" customHeight="false" outlineLevel="0" collapsed="false">
      <c r="A28859" s="3" t="s">
        <v>319</v>
      </c>
      <c r="G28859" s="30" t="n">
        <f aca="false">Assumptions!$G$53</f>
        <v>0.039</v>
      </c>
      <c r="H28859" s="30" t="n">
        <f aca="false">Assumptions!$H$53</f>
        <v>0.0375</v>
      </c>
      <c r="I28859" s="30" t="n">
        <f aca="false">Assumptions!$I$53</f>
        <v>0.035</v>
      </c>
      <c r="J28859" s="30" t="n">
        <f aca="false">Assumptions!$J$53</f>
        <v>0.035</v>
      </c>
      <c r="K28859" s="30" t="n">
        <f aca="false">Assumptions!$K$53</f>
        <v>0.035</v>
      </c>
    </row>
    <row r="28860" customFormat="false" ht="15" hidden="false" customHeight="false" outlineLevel="0" collapsed="false">
      <c r="A28860" s="3" t="s">
        <v>320</v>
      </c>
      <c r="C28860" s="31" t="n">
        <f aca="false">CHOOSE($C$28826,Assumptions!$C$86,Assumptions!$C$105,Assumptions!$C$124)+$C$28829</f>
        <v>0.025</v>
      </c>
    </row>
    <row r="28861" customFormat="false" ht="15" hidden="false" customHeight="false" outlineLevel="0" collapsed="false">
      <c r="A28861" s="3" t="s">
        <v>321</v>
      </c>
      <c r="C28861" s="31" t="n">
        <f aca="false">CHOOSE($C$28826,Assumptions!$C$87,Assumptions!$C$106,Assumptions!$C$125)</f>
        <v>0.12</v>
      </c>
    </row>
    <row r="28862" customFormat="false" ht="15" hidden="false" customHeight="false" outlineLevel="0" collapsed="false">
      <c r="A28862" s="3" t="s">
        <v>322</v>
      </c>
      <c r="C28862" s="32" t="n">
        <f aca="false">CHOOSE($C$28826,Assumptions!$C$88,Assumptions!$C$107,Assumptions!$C$126)</f>
        <v>9</v>
      </c>
    </row>
    <row r="28863" customFormat="false" ht="15" hidden="false" customHeight="false" outlineLevel="0" collapsed="false">
      <c r="A28863" s="3" t="s">
        <v>323</v>
      </c>
      <c r="C28863" s="32" t="n">
        <f aca="false">CHOOSE($C$28826,Assumptions!$C$89,Assumptions!$C$108,Assumptions!$C$127)</f>
        <v>1.75</v>
      </c>
    </row>
    <row r="28864" customFormat="false" ht="15" hidden="false" customHeight="false" outlineLevel="0" collapsed="false">
      <c r="A28864" s="3" t="s">
        <v>324</v>
      </c>
      <c r="G28864" s="16" t="n">
        <f aca="false">G28869+G28882+G28895+G28908+G28921+G28934+G28947+G28960+G28973+G28986</f>
        <v>2625.934</v>
      </c>
      <c r="H28864" s="16" t="n">
        <f aca="false">H28869+H28882+H28895+H28908+H28921+H28934+H28947+H28960+H28973+H28986</f>
        <v>2621.934</v>
      </c>
      <c r="I28864" s="16" t="n">
        <f aca="false">I28869+I28882+I28895+I28908+I28921+I28934+I28947+I28960+I28973+I28986</f>
        <v>2598.1226587</v>
      </c>
      <c r="J28864" s="16" t="n">
        <f aca="false">J28869+J28882+J28895+J28908+J28921+J28934+J28947+J28960+J28973+J28986</f>
        <v>2594.1226587</v>
      </c>
      <c r="K28864" s="16" t="n">
        <f aca="false">K28869+K28882+K28895+K28908+K28921+K28934+K28947+K28960+K28973+K28986</f>
        <v>2590.1226587</v>
      </c>
    </row>
    <row r="28865" customFormat="false" ht="15" hidden="false" customHeight="false" outlineLevel="0" collapsed="false">
      <c r="A28865" s="3" t="s">
        <v>325</v>
      </c>
      <c r="G28865" s="16" t="n">
        <f aca="false">F29057</f>
        <v>37.87</v>
      </c>
      <c r="H28865" s="16" t="n">
        <f aca="false">G29057</f>
        <v>89.6874916000001</v>
      </c>
      <c r="I28865" s="16" t="n">
        <f aca="false">H29057</f>
        <v>0</v>
      </c>
      <c r="J28865" s="16" t="n">
        <f aca="false">I29057</f>
        <v>-73.2334908216</v>
      </c>
      <c r="K28865" s="16" t="n">
        <f aca="false">J29057</f>
        <v>-143.99419424325</v>
      </c>
    </row>
    <row r="28866" customFormat="false" ht="15" hidden="false" customHeight="false" outlineLevel="0" collapsed="false">
      <c r="A28866" s="3" t="s">
        <v>326</v>
      </c>
      <c r="G28866" s="16" t="n">
        <f aca="false">G28869*IF(G28870=1,$C$28861,IF(Assumptions!$I$57=1,MAX(G28859,Assumptions!$G$57)+Assumptions!$F$57+$C$28860,Assumptions!$E$57))+G28882*IF(G28883=1,$C$28861,IF(Assumptions!$I$58=1,MAX(G28859,Assumptions!$G$58)+Assumptions!$F$58+$C$28860,Assumptions!$E$58))+G28895*IF(G28896=1,$C$28861,IF(Assumptions!$I$59=1,MAX(G28859,Assumptions!$G$59)+Assumptions!$F$59+$C$28860,Assumptions!$E$59))+G28908*IF(G28909=1,$C$28861,IF(Assumptions!$I$60=1,MAX(G28859,Assumptions!$G$60)+Assumptions!$F$60+$C$28860,Assumptions!$E$60))+G28921*IF(G28922=1,$C$28861,IF(Assumptions!$I$61=1,MAX(G28859,Assumptions!$G$61)+Assumptions!$F$61+$C$28860,Assumptions!$E$61))+G28934*IF(G28935=1,$C$28861,IF(Assumptions!$I$62=1,MAX(G28859,Assumptions!$G$62)+Assumptions!$F$62+$C$28860,Assumptions!$E$62))+G28947*IF(G28948=1,$C$28861,IF(Assumptions!$I$63=1,MAX(G28859,Assumptions!$G$63)+Assumptions!$F$63+$C$28860,Assumptions!$E$63))+G28960*IF(G28961=1,$C$28861,IF(Assumptions!$I$64=1,MAX(G28859,Assumptions!$G$64)+Assumptions!$F$64+$C$28860,Assumptions!$E$64))+G28973*IF(G28974=1,$C$28861,IF(Assumptions!$I$65=1,MAX(G28859,Assumptions!$G$65)+Assumptions!$F$65+$C$28860,Assumptions!$E$65))+G28986*IF(G28987=1,$C$28861,IF(Assumptions!$I$66=1,MAX(G28859,Assumptions!$G$66)+Assumptions!$F$66+$C$28860,Assumptions!$E$66))</f>
        <v>192.1749354</v>
      </c>
      <c r="H28866" s="16" t="n">
        <f aca="false">H28869*IF(OR(H28870=1,G29179=1),$C$28861,IF(Assumptions!$I$57=1,MAX(H28859,Assumptions!$G$57)+Assumptions!$F$57+$C$28860,Assumptions!$E$57))+H28882*IF(OR(H28883=1,G29180=1),$C$28861,IF(Assumptions!$I$58=1,MAX(H28859,Assumptions!$G$58)+Assumptions!$F$58+$C$28860,Assumptions!$E$58))+H28895*IF(OR(H28896=1,G29181=1),$C$28861,IF(Assumptions!$I$59=1,MAX(H28859,Assumptions!$G$59)+Assumptions!$F$59+$C$28860,Assumptions!$E$59))+H28908*IF(OR(H28909=1,G29182=1),$C$28861,IF(Assumptions!$I$60=1,MAX(H28859,Assumptions!$G$60)+Assumptions!$F$60+$C$28860,Assumptions!$E$60))+H28921*IF(OR(H28922=1,G29183=1),$C$28861,IF(Assumptions!$I$61=1,MAX(H28859,Assumptions!$G$61)+Assumptions!$F$61+$C$28860,Assumptions!$E$61))+H28934*IF(OR(H28935=1,G29184=1),$C$28861,IF(Assumptions!$I$62=1,MAX(H28859,Assumptions!$G$62)+Assumptions!$F$62+$C$28860,Assumptions!$E$62))+H28947*IF(OR(H28948=1,G29185=1),$C$28861,IF(Assumptions!$I$63=1,MAX(H28859,Assumptions!$G$63)+Assumptions!$F$63+$C$28860,Assumptions!$E$63))+H28960*IF(OR(H28961=1,G29186=1),$C$28861,IF(Assumptions!$I$64=1,MAX(H28859,Assumptions!$G$64)+Assumptions!$F$64+$C$28860,Assumptions!$E$64))+H28973*IF(OR(H28974=1,G29187=1),$C$28861,IF(Assumptions!$I$65=1,MAX(H28859,Assumptions!$G$65)+Assumptions!$F$65+$C$28860,Assumptions!$E$65))+H28986*IF(OR(H28987=1,G29188=1),$C$28861,IF(Assumptions!$I$66=1,MAX(H28859,Assumptions!$G$66)+Assumptions!$F$66+$C$28860,Assumptions!$E$66))</f>
        <v>240.1720204</v>
      </c>
      <c r="I28866" s="16" t="n">
        <f aca="false">I28869*IF(OR(I28870=1,H29179=1),$C$28861,IF(Assumptions!$I$57=1,MAX(I28859,Assumptions!$G$57)+Assumptions!$F$57+$C$28860,Assumptions!$E$57))+I28882*IF(OR(I28883=1,H29180=1),$C$28861,IF(Assumptions!$I$58=1,MAX(I28859,Assumptions!$G$58)+Assumptions!$F$58+$C$28860,Assumptions!$E$58))+I28895*IF(OR(I28896=1,H29181=1),$C$28861,IF(Assumptions!$I$59=1,MAX(I28859,Assumptions!$G$59)+Assumptions!$F$59+$C$28860,Assumptions!$E$59))+I28908*IF(OR(I28909=1,H29182=1),$C$28861,IF(Assumptions!$I$60=1,MAX(I28859,Assumptions!$G$60)+Assumptions!$F$60+$C$28860,Assumptions!$E$60))+I28921*IF(OR(I28922=1,H29183=1),$C$28861,IF(Assumptions!$I$61=1,MAX(I28859,Assumptions!$G$61)+Assumptions!$F$61+$C$28860,Assumptions!$E$61))+I28934*IF(OR(I28935=1,H29184=1),$C$28861,IF(Assumptions!$I$62=1,MAX(I28859,Assumptions!$G$62)+Assumptions!$F$62+$C$28860,Assumptions!$E$62))+I28947*IF(OR(I28948=1,H29185=1),$C$28861,IF(Assumptions!$I$63=1,MAX(I28859,Assumptions!$G$63)+Assumptions!$F$63+$C$28860,Assumptions!$E$63))+I28960*IF(OR(I28961=1,H29186=1),$C$28861,IF(Assumptions!$I$64=1,MAX(I28859,Assumptions!$G$64)+Assumptions!$F$64+$C$28860,Assumptions!$E$64))+I28973*IF(OR(I28974=1,H29187=1),$C$28861,IF(Assumptions!$I$65=1,MAX(I28859,Assumptions!$G$65)+Assumptions!$F$65+$C$28860,Assumptions!$E$65))+I28986*IF(OR(I28987=1,H29188=1),$C$28861,IF(Assumptions!$I$66=1,MAX(I28859,Assumptions!$G$66)+Assumptions!$F$66+$C$28860,Assumptions!$E$66))</f>
        <v>205.76544741865</v>
      </c>
      <c r="J28866" s="16" t="n">
        <f aca="false">J28869*IF(OR(J28870=1,I29179=1),$C$28861,IF(Assumptions!$I$57=1,MAX(J28859,Assumptions!$G$57)+Assumptions!$F$57+$C$28860,Assumptions!$E$57))+J28882*IF(OR(J28883=1,I29180=1),$C$28861,IF(Assumptions!$I$58=1,MAX(J28859,Assumptions!$G$58)+Assumptions!$F$58+$C$28860,Assumptions!$E$58))+J28895*IF(OR(J28896=1,I29181=1),$C$28861,IF(Assumptions!$I$59=1,MAX(J28859,Assumptions!$G$59)+Assumptions!$F$59+$C$28860,Assumptions!$E$59))+J28908*IF(OR(J28909=1,I29182=1),$C$28861,IF(Assumptions!$I$60=1,MAX(J28859,Assumptions!$G$60)+Assumptions!$F$60+$C$28860,Assumptions!$E$60))+J28921*IF(OR(J28922=1,I29183=1),$C$28861,IF(Assumptions!$I$61=1,MAX(J28859,Assumptions!$G$61)+Assumptions!$F$61+$C$28860,Assumptions!$E$61))+J28934*IF(OR(J28935=1,I29184=1),$C$28861,IF(Assumptions!$I$62=1,MAX(J28859,Assumptions!$G$62)+Assumptions!$F$62+$C$28860,Assumptions!$E$62))+J28947*IF(OR(J28948=1,I29185=1),$C$28861,IF(Assumptions!$I$63=1,MAX(J28859,Assumptions!$G$63)+Assumptions!$F$63+$C$28860,Assumptions!$E$63))+J28960*IF(OR(J28961=1,I29186=1),$C$28861,IF(Assumptions!$I$64=1,MAX(J28859,Assumptions!$G$64)+Assumptions!$F$64+$C$28860,Assumptions!$E$64))+J28973*IF(OR(J28974=1,I29187=1),$C$28861,IF(Assumptions!$I$65=1,MAX(J28859,Assumptions!$G$65)+Assumptions!$F$65+$C$28860,Assumptions!$E$65))+J28986*IF(OR(J28987=1,I29188=1),$C$28861,IF(Assumptions!$I$66=1,MAX(J28859,Assumptions!$G$66)+Assumptions!$F$66+$C$28860,Assumptions!$E$66))</f>
        <v>214.20294741865</v>
      </c>
      <c r="K28866" s="16" t="n">
        <f aca="false">K28869*IF(OR(K28870=1,J29179=1),$C$28861,IF(Assumptions!$I$57=1,MAX(K28859,Assumptions!$G$57)+Assumptions!$F$57+$C$28860,Assumptions!$E$57))+K28882*IF(OR(K28883=1,J29180=1),$C$28861,IF(Assumptions!$I$58=1,MAX(K28859,Assumptions!$G$58)+Assumptions!$F$58+$C$28860,Assumptions!$E$58))+K28895*IF(OR(K28896=1,J29181=1),$C$28861,IF(Assumptions!$I$59=1,MAX(K28859,Assumptions!$G$59)+Assumptions!$F$59+$C$28860,Assumptions!$E$59))+K28908*IF(OR(K28909=1,J29182=1),$C$28861,IF(Assumptions!$I$60=1,MAX(K28859,Assumptions!$G$60)+Assumptions!$F$60+$C$28860,Assumptions!$E$60))+K28921*IF(OR(K28922=1,J29183=1),$C$28861,IF(Assumptions!$I$61=1,MAX(K28859,Assumptions!$G$61)+Assumptions!$F$61+$C$28860,Assumptions!$E$61))+K28934*IF(OR(K28935=1,J29184=1),$C$28861,IF(Assumptions!$I$62=1,MAX(K28859,Assumptions!$G$62)+Assumptions!$F$62+$C$28860,Assumptions!$E$62))+K28947*IF(OR(K28948=1,J29185=1),$C$28861,IF(Assumptions!$I$63=1,MAX(K28859,Assumptions!$G$63)+Assumptions!$F$63+$C$28860,Assumptions!$E$63))+K28960*IF(OR(K28961=1,J29186=1),$C$28861,IF(Assumptions!$I$64=1,MAX(K28859,Assumptions!$G$64)+Assumptions!$F$64+$C$28860,Assumptions!$E$64))+K28973*IF(OR(K28974=1,J29187=1),$C$28861,IF(Assumptions!$I$65=1,MAX(K28859,Assumptions!$G$65)+Assumptions!$F$65+$C$28860,Assumptions!$E$65))+K28986*IF(OR(K28987=1,J29188=1),$C$28861,IF(Assumptions!$I$66=1,MAX(K28859,Assumptions!$G$66)+Assumptions!$F$66+$C$28860,Assumptions!$E$66))</f>
        <v>208.18294741865</v>
      </c>
    </row>
    <row r="28867" customFormat="false" ht="15" hidden="false" customHeight="false" outlineLevel="0" collapsed="false">
      <c r="A28867" s="3" t="s">
        <v>327</v>
      </c>
      <c r="G28867" s="21" t="n">
        <f aca="false">IF(G28843&lt;=0,0,IF(AND((G28864-G28865)/G28843&lt;=$C$28862,G28843/G28866&gt;=$C$28863),1,0))</f>
        <v>0</v>
      </c>
      <c r="H28867" s="21" t="n">
        <f aca="false">IF(H28843&lt;=0,0,IF(AND((H28864-H28865)/H28843&lt;=$C$28862,H28843/H28866&gt;=$C$28863),1,0))</f>
        <v>0</v>
      </c>
      <c r="I28867" s="21" t="n">
        <f aca="false">IF(I28843&lt;=0,0,IF(AND((I28864-I28865)/I28843&lt;=$C$28862,I28843/I28866&gt;=$C$28863),1,0))</f>
        <v>0</v>
      </c>
      <c r="J28867" s="21" t="n">
        <f aca="false">IF(J28843&lt;=0,0,IF(AND((J28864-J28865)/J28843&lt;=$C$28862,J28843/J28866&gt;=$C$28863),1,0))</f>
        <v>0</v>
      </c>
      <c r="K28867" s="21" t="n">
        <f aca="false">IF(K28843&lt;=0,0,IF(AND((K28864-K28865)/K28843&lt;=$C$28862,K28843/K28866&gt;=$C$28863),1,0))</f>
        <v>0</v>
      </c>
    </row>
    <row r="28868" customFormat="false" ht="15" hidden="false" customHeight="false" outlineLevel="0" collapsed="false">
      <c r="A28868" s="24" t="s">
        <v>328</v>
      </c>
      <c r="B28868" s="25"/>
      <c r="C28868" s="25"/>
      <c r="D28868" s="25"/>
      <c r="E28868" s="25"/>
      <c r="F28868" s="25"/>
      <c r="G28868" s="25"/>
      <c r="H28868" s="25"/>
      <c r="I28868" s="25"/>
      <c r="J28868" s="25"/>
      <c r="K28868" s="25"/>
    </row>
    <row r="28869" customFormat="false" ht="15" hidden="false" customHeight="false" outlineLevel="0" collapsed="false">
      <c r="A28869" s="3" t="s">
        <v>329</v>
      </c>
      <c r="G28869" s="16" t="n">
        <f aca="false">F28880</f>
        <v>400</v>
      </c>
      <c r="H28869" s="16" t="n">
        <f aca="false">G28880</f>
        <v>396</v>
      </c>
      <c r="I28869" s="16" t="n">
        <f aca="false">H28880</f>
        <v>392</v>
      </c>
      <c r="J28869" s="16" t="n">
        <f aca="false">I28880</f>
        <v>388</v>
      </c>
      <c r="K28869" s="16" t="n">
        <f aca="false">J28880</f>
        <v>384</v>
      </c>
    </row>
    <row r="28870" customFormat="false" ht="15" hidden="false" customHeight="false" outlineLevel="0" collapsed="false">
      <c r="A28870" s="3" t="s">
        <v>330</v>
      </c>
      <c r="G28870" s="21" t="n">
        <f aca="false">IF(G28833=Assumptions!$K$57,1,0)</f>
        <v>0</v>
      </c>
      <c r="H28870" s="21" t="n">
        <f aca="false">IF(H28833=Assumptions!$K$57,1,0)</f>
        <v>0</v>
      </c>
      <c r="I28870" s="21" t="n">
        <f aca="false">IF(I28833=Assumptions!$K$57,1,0)</f>
        <v>0</v>
      </c>
      <c r="J28870" s="21" t="n">
        <f aca="false">IF(J28833=Assumptions!$K$57,1,0)</f>
        <v>0</v>
      </c>
      <c r="K28870" s="21" t="n">
        <f aca="false">IF(K28833=Assumptions!$K$57,1,0)</f>
        <v>1</v>
      </c>
    </row>
    <row r="28872" customFormat="false" ht="15" hidden="false" customHeight="false" outlineLevel="0" collapsed="false">
      <c r="A28872" s="3" t="s">
        <v>331</v>
      </c>
      <c r="G28872" s="31" t="n">
        <f aca="false">IF(Assumptions!$I$57=1,MAX(G28859,Assumptions!$G$57)+Assumptions!$F$57+$C$28860,Assumptions!$E$57)</f>
        <v>0.1165</v>
      </c>
      <c r="H28872" s="31" t="n">
        <f aca="false">IF(G29179=1,$C$28861,IF(Assumptions!$I$57=1,MAX(H28859,Assumptions!$G$57)+Assumptions!$F$57+$C$28860,Assumptions!$E$57))</f>
        <v>0.115</v>
      </c>
      <c r="I28872" s="31" t="n">
        <f aca="false">IF(H29179=1,$C$28861,IF(Assumptions!$I$57=1,MAX(I28859,Assumptions!$G$57)+Assumptions!$F$57+$C$28860,Assumptions!$E$57))</f>
        <v>0.1125</v>
      </c>
      <c r="J28872" s="31" t="n">
        <f aca="false">IF(I29179=1,$C$28861,IF(Assumptions!$I$57=1,MAX(J28859,Assumptions!$G$57)+Assumptions!$F$57+$C$28860,Assumptions!$E$57))</f>
        <v>0.1125</v>
      </c>
      <c r="K28872" s="31" t="n">
        <f aca="false">IF(J29179=1,$C$28861,IF(Assumptions!$I$57=1,MAX(K28859,Assumptions!$G$57)+Assumptions!$F$57+$C$28860,Assumptions!$E$57))</f>
        <v>0.1125</v>
      </c>
    </row>
    <row r="28873" customFormat="false" ht="15" hidden="false" customHeight="false" outlineLevel="0" collapsed="false">
      <c r="A28873" s="3" t="s">
        <v>332</v>
      </c>
      <c r="G28873" s="16" t="n">
        <f aca="false">G28869*G28872</f>
        <v>46.6</v>
      </c>
      <c r="H28873" s="16" t="n">
        <f aca="false">H28869*H28872</f>
        <v>45.54</v>
      </c>
      <c r="I28873" s="16" t="n">
        <f aca="false">I28869*I28872</f>
        <v>44.1</v>
      </c>
      <c r="J28873" s="16" t="n">
        <f aca="false">J28869*J28872</f>
        <v>43.65</v>
      </c>
      <c r="K28873" s="16" t="n">
        <f aca="false">K28869*K28872</f>
        <v>43.2</v>
      </c>
    </row>
    <row r="28874" customFormat="false" ht="15" hidden="false" customHeight="false" outlineLevel="0" collapsed="false">
      <c r="A28874" s="3" t="s">
        <v>333</v>
      </c>
      <c r="G28874" s="16" t="n">
        <f aca="false">G28869*Assumptions!$H$57</f>
        <v>0</v>
      </c>
      <c r="H28874" s="16" t="n">
        <f aca="false">H28869*Assumptions!$H$57</f>
        <v>0</v>
      </c>
      <c r="I28874" s="16" t="n">
        <f aca="false">I28869*Assumptions!$H$57</f>
        <v>0</v>
      </c>
      <c r="J28874" s="16" t="n">
        <f aca="false">J28869*Assumptions!$H$57</f>
        <v>0</v>
      </c>
      <c r="K28874" s="16" t="n">
        <f aca="false">K28869*Assumptions!$H$57</f>
        <v>0</v>
      </c>
    </row>
    <row r="28875" customFormat="false" ht="15" hidden="false" customHeight="false" outlineLevel="0" collapsed="false">
      <c r="A28875" s="3" t="s">
        <v>334</v>
      </c>
      <c r="G28875" s="16" t="n">
        <f aca="false">MIN(G28869,Assumptions!$L$57*Assumptions!$C$57)</f>
        <v>4</v>
      </c>
      <c r="H28875" s="16" t="n">
        <f aca="false">MIN(H28869,Assumptions!$L$57*Assumptions!$C$57)</f>
        <v>4</v>
      </c>
      <c r="I28875" s="16" t="n">
        <f aca="false">MIN(I28869,Assumptions!$L$57*Assumptions!$C$57)</f>
        <v>4</v>
      </c>
      <c r="J28875" s="16" t="n">
        <f aca="false">MIN(J28869,Assumptions!$L$57*Assumptions!$C$57)</f>
        <v>4</v>
      </c>
      <c r="K28875" s="16" t="n">
        <f aca="false">MIN(K28869,Assumptions!$L$57*Assumptions!$C$57)</f>
        <v>4</v>
      </c>
    </row>
    <row r="28876" customFormat="false" ht="15" hidden="false" customHeight="false" outlineLevel="0" collapsed="false">
      <c r="A28876" s="3" t="s">
        <v>335</v>
      </c>
      <c r="G28876" s="16" t="n">
        <f aca="false">IF(AND(Assumptions!$P$57=1,G28833&lt;Assumptions!$K$57),MIN(MAX(0,-G29049),MAX(0,Assumptions!$D$57-G28869)),0)</f>
        <v>0</v>
      </c>
      <c r="H28876" s="16" t="n">
        <f aca="false">IF(AND(Assumptions!$P$57=1,OR(H28833&lt;Assumptions!$K$57,G29179=1)),MIN(MAX(0,-H29049),MAX(0,Assumptions!$D$57-H28869)),0)</f>
        <v>0</v>
      </c>
      <c r="I28876" s="16" t="n">
        <f aca="false">IF(AND(Assumptions!$P$57=1,OR(I28833&lt;Assumptions!$K$57,H29179=1)),MIN(MAX(0,-I29049),MAX(0,Assumptions!$D$57-I28869)),0)</f>
        <v>0</v>
      </c>
      <c r="J28876" s="16" t="n">
        <f aca="false">IF(AND(Assumptions!$P$57=1,OR(J28833&lt;Assumptions!$K$57,I29179=1)),MIN(MAX(0,-J29049),MAX(0,Assumptions!$D$57-J28869)),0)</f>
        <v>0</v>
      </c>
      <c r="K28876" s="16" t="n">
        <f aca="false">IF(AND(Assumptions!$P$57=1,OR(K28833&lt;Assumptions!$K$57,J29179=1)),MIN(MAX(0,-K29049),MAX(0,Assumptions!$D$57-K28869)),0)</f>
        <v>0</v>
      </c>
    </row>
    <row r="28877" customFormat="false" ht="15" hidden="false" customHeight="false" outlineLevel="0" collapsed="false">
      <c r="A28877" s="3" t="s">
        <v>336</v>
      </c>
      <c r="G28877" s="16" t="n">
        <f aca="false">G28870*MIN(G28869-G28875+G28874,MAX(0,G29051-Assumptions!$C$12*G28867))</f>
        <v>0</v>
      </c>
      <c r="H28877" s="16" t="n">
        <f aca="false">H28870*MIN(H28869-H28875+H28874,MAX(0,H29051-Assumptions!$C$12*H28867))</f>
        <v>0</v>
      </c>
      <c r="I28877" s="16" t="n">
        <f aca="false">I28870*MIN(I28869-I28875+I28874,MAX(0,I29051-Assumptions!$C$12*I28867))</f>
        <v>0</v>
      </c>
      <c r="J28877" s="16" t="n">
        <f aca="false">J28870*MIN(J28869-J28875+J28874,MAX(0,J29051-Assumptions!$C$12*J28867))</f>
        <v>0</v>
      </c>
      <c r="K28877" s="16" t="n">
        <f aca="false">K28870*MIN(K28869-K28875+K28874,MAX(0,K29051-Assumptions!$C$12*K28867))</f>
        <v>0</v>
      </c>
    </row>
    <row r="28878" customFormat="false" ht="15" hidden="false" customHeight="false" outlineLevel="0" collapsed="false">
      <c r="A28878" s="3" t="s">
        <v>337</v>
      </c>
      <c r="G28878" s="16" t="n">
        <f aca="false">Assumptions!$N$57*MIN(G28869+G28876+G28874-G28875-G28877,MAX(0,G29055))</f>
        <v>0</v>
      </c>
      <c r="H28878" s="16" t="n">
        <f aca="false">Assumptions!$N$57*MIN(H28869+H28876+H28874-H28875-H28877,MAX(0,H29055))</f>
        <v>0</v>
      </c>
      <c r="I28878" s="16" t="n">
        <f aca="false">Assumptions!$N$57*MIN(I28869+I28876+I28874-I28875-I28877,MAX(0,I29055))</f>
        <v>0</v>
      </c>
      <c r="J28878" s="16" t="n">
        <f aca="false">Assumptions!$N$57*MIN(J28869+J28876+J28874-J28875-J28877,MAX(0,J29055))</f>
        <v>0</v>
      </c>
      <c r="K28878" s="16" t="n">
        <f aca="false">Assumptions!$N$57*MIN(K28869+K28876+K28874-K28875-K28877,MAX(0,K29055))</f>
        <v>0</v>
      </c>
    </row>
    <row r="28879" customFormat="false" ht="15" hidden="false" customHeight="false" outlineLevel="0" collapsed="false">
      <c r="A28879" s="3" t="s">
        <v>338</v>
      </c>
      <c r="G28879" s="16" t="n">
        <f aca="false">G28870*(1-G28867)*(G28869-G28875+G28874-G28877)</f>
        <v>0</v>
      </c>
      <c r="H28879" s="16" t="n">
        <f aca="false">H28870*(1-H28867)*(H28869-H28875+H28874-H28877)</f>
        <v>0</v>
      </c>
      <c r="I28879" s="16" t="n">
        <f aca="false">I28870*(1-I28867)*(I28869-I28875+I28874-I28877)</f>
        <v>0</v>
      </c>
      <c r="J28879" s="16" t="n">
        <f aca="false">J28870*(1-J28867)*(J28869-J28875+J28874-J28877)</f>
        <v>0</v>
      </c>
      <c r="K28879" s="16" t="n">
        <f aca="false">K28870*(1-K28867)*(K28869-K28875+K28874-K28877)</f>
        <v>380</v>
      </c>
    </row>
    <row r="28880" customFormat="false" ht="15" hidden="false" customHeight="false" outlineLevel="0" collapsed="false">
      <c r="A28880" s="2" t="s">
        <v>339</v>
      </c>
      <c r="F28880" s="28" t="n">
        <f aca="false">Assumptions!$C$57</f>
        <v>400</v>
      </c>
      <c r="G28880" s="17" t="n">
        <f aca="false">G28869+G28876+G28874-G28875-G28877-G28878</f>
        <v>396</v>
      </c>
      <c r="H28880" s="17" t="n">
        <f aca="false">H28869+H28876+H28874-H28875-H28877-H28878</f>
        <v>392</v>
      </c>
      <c r="I28880" s="17" t="n">
        <f aca="false">I28869+I28876+I28874-I28875-I28877-I28878</f>
        <v>388</v>
      </c>
      <c r="J28880" s="17" t="n">
        <f aca="false">J28869+J28876+J28874-J28875-J28877-J28878</f>
        <v>384</v>
      </c>
      <c r="K28880" s="17" t="n">
        <f aca="false">K28869+K28876+K28874-K28875-K28877-K28878</f>
        <v>380</v>
      </c>
    </row>
    <row r="28881" customFormat="false" ht="15" hidden="false" customHeight="false" outlineLevel="0" collapsed="false">
      <c r="A28881" s="24" t="s">
        <v>340</v>
      </c>
      <c r="B28881" s="25"/>
      <c r="C28881" s="25"/>
      <c r="D28881" s="25"/>
      <c r="E28881" s="25"/>
      <c r="F28881" s="25"/>
      <c r="G28881" s="25"/>
      <c r="H28881" s="25"/>
      <c r="I28881" s="25"/>
      <c r="J28881" s="25"/>
      <c r="K28881" s="25"/>
    </row>
    <row r="28882" customFormat="false" ht="15" hidden="false" customHeight="false" outlineLevel="0" collapsed="false">
      <c r="A28882" s="3" t="s">
        <v>329</v>
      </c>
      <c r="G28882" s="16" t="n">
        <f aca="false">F28893</f>
        <v>90</v>
      </c>
      <c r="H28882" s="16" t="n">
        <f aca="false">G28893</f>
        <v>90</v>
      </c>
      <c r="I28882" s="16" t="n">
        <f aca="false">H28893</f>
        <v>90</v>
      </c>
      <c r="J28882" s="16" t="n">
        <f aca="false">I28893</f>
        <v>90</v>
      </c>
      <c r="K28882" s="16" t="n">
        <f aca="false">J28893</f>
        <v>90</v>
      </c>
    </row>
    <row r="28883" customFormat="false" ht="15" hidden="false" customHeight="false" outlineLevel="0" collapsed="false">
      <c r="A28883" s="3" t="s">
        <v>330</v>
      </c>
      <c r="G28883" s="21" t="n">
        <f aca="false">IF(G28833=Assumptions!$K$58,1,0)</f>
        <v>0</v>
      </c>
      <c r="H28883" s="21" t="n">
        <f aca="false">IF(H28833=Assumptions!$K$58,1,0)</f>
        <v>0</v>
      </c>
      <c r="I28883" s="21" t="n">
        <f aca="false">IF(I28833=Assumptions!$K$58,1,0)</f>
        <v>0</v>
      </c>
      <c r="J28883" s="21" t="n">
        <f aca="false">IF(J28833=Assumptions!$K$58,1,0)</f>
        <v>0</v>
      </c>
      <c r="K28883" s="21" t="n">
        <f aca="false">IF(K28833=Assumptions!$K$58,1,0)</f>
        <v>0</v>
      </c>
    </row>
    <row r="28885" customFormat="false" ht="15" hidden="false" customHeight="false" outlineLevel="0" collapsed="false">
      <c r="A28885" s="3" t="s">
        <v>331</v>
      </c>
      <c r="G28885" s="31" t="n">
        <f aca="false">IF(Assumptions!$I$58=1,MAX(G28859,Assumptions!$G$58)+Assumptions!$F$58+$C$28860,Assumptions!$E$58)</f>
        <v>0.0581</v>
      </c>
      <c r="H28885" s="31" t="n">
        <f aca="false">IF(G29180=1,$C$28861,IF(Assumptions!$I$58=1,MAX(H28859,Assumptions!$G$58)+Assumptions!$F$58+$C$28860,Assumptions!$E$58))</f>
        <v>0.0581</v>
      </c>
      <c r="I28885" s="31" t="n">
        <f aca="false">IF(H29180=1,$C$28861,IF(Assumptions!$I$58=1,MAX(I28859,Assumptions!$G$58)+Assumptions!$F$58+$C$28860,Assumptions!$E$58))</f>
        <v>0.0581</v>
      </c>
      <c r="J28885" s="31" t="n">
        <f aca="false">IF(I29180=1,$C$28861,IF(Assumptions!$I$58=1,MAX(J28859,Assumptions!$G$58)+Assumptions!$F$58+$C$28860,Assumptions!$E$58))</f>
        <v>0.0581</v>
      </c>
      <c r="K28885" s="31" t="n">
        <f aca="false">IF(J29180=1,$C$28861,IF(Assumptions!$I$58=1,MAX(K28859,Assumptions!$G$58)+Assumptions!$F$58+$C$28860,Assumptions!$E$58))</f>
        <v>0.0581</v>
      </c>
    </row>
    <row r="28886" customFormat="false" ht="15" hidden="false" customHeight="false" outlineLevel="0" collapsed="false">
      <c r="A28886" s="3" t="s">
        <v>332</v>
      </c>
      <c r="G28886" s="16" t="n">
        <f aca="false">G28882*G28885</f>
        <v>5.229</v>
      </c>
      <c r="H28886" s="16" t="n">
        <f aca="false">H28882*H28885</f>
        <v>5.229</v>
      </c>
      <c r="I28886" s="16" t="n">
        <f aca="false">I28882*I28885</f>
        <v>5.229</v>
      </c>
      <c r="J28886" s="16" t="n">
        <f aca="false">J28882*J28885</f>
        <v>5.229</v>
      </c>
      <c r="K28886" s="16" t="n">
        <f aca="false">K28882*K28885</f>
        <v>5.229</v>
      </c>
    </row>
    <row r="28887" customFormat="false" ht="15" hidden="false" customHeight="false" outlineLevel="0" collapsed="false">
      <c r="A28887" s="3" t="s">
        <v>333</v>
      </c>
      <c r="G28887" s="16" t="n">
        <f aca="false">G28882*Assumptions!$H$58</f>
        <v>0</v>
      </c>
      <c r="H28887" s="16" t="n">
        <f aca="false">H28882*Assumptions!$H$58</f>
        <v>0</v>
      </c>
      <c r="I28887" s="16" t="n">
        <f aca="false">I28882*Assumptions!$H$58</f>
        <v>0</v>
      </c>
      <c r="J28887" s="16" t="n">
        <f aca="false">J28882*Assumptions!$H$58</f>
        <v>0</v>
      </c>
      <c r="K28887" s="16" t="n">
        <f aca="false">K28882*Assumptions!$H$58</f>
        <v>0</v>
      </c>
    </row>
    <row r="28888" customFormat="false" ht="15" hidden="false" customHeight="false" outlineLevel="0" collapsed="false">
      <c r="A28888" s="3" t="s">
        <v>334</v>
      </c>
      <c r="G28888" s="16" t="n">
        <f aca="false">MIN(G28882,Assumptions!$L$58*Assumptions!$C$58)</f>
        <v>0</v>
      </c>
      <c r="H28888" s="16" t="n">
        <f aca="false">MIN(H28882,Assumptions!$L$58*Assumptions!$C$58)</f>
        <v>0</v>
      </c>
      <c r="I28888" s="16" t="n">
        <f aca="false">MIN(I28882,Assumptions!$L$58*Assumptions!$C$58)</f>
        <v>0</v>
      </c>
      <c r="J28888" s="16" t="n">
        <f aca="false">MIN(J28882,Assumptions!$L$58*Assumptions!$C$58)</f>
        <v>0</v>
      </c>
      <c r="K28888" s="16" t="n">
        <f aca="false">MIN(K28882,Assumptions!$L$58*Assumptions!$C$58)</f>
        <v>0</v>
      </c>
    </row>
    <row r="28889" customFormat="false" ht="15" hidden="false" customHeight="false" outlineLevel="0" collapsed="false">
      <c r="A28889" s="3" t="s">
        <v>335</v>
      </c>
      <c r="G28889" s="16" t="n">
        <f aca="false">IF(AND(Assumptions!$P$58=1,G28833&lt;Assumptions!$K$58),MIN(MAX(0,-G29049),MAX(0,Assumptions!$D$58-G28882)),0)</f>
        <v>0</v>
      </c>
      <c r="H28889" s="16" t="n">
        <f aca="false">IF(AND(Assumptions!$P$58=1,OR(H28833&lt;Assumptions!$K$58,G29180=1)),MIN(MAX(0,-H29049),MAX(0,Assumptions!$D$58-H28882)),0)</f>
        <v>0</v>
      </c>
      <c r="I28889" s="16" t="n">
        <f aca="false">IF(AND(Assumptions!$P$58=1,OR(I28833&lt;Assumptions!$K$58,H29180=1)),MIN(MAX(0,-I29049),MAX(0,Assumptions!$D$58-I28882)),0)</f>
        <v>0</v>
      </c>
      <c r="J28889" s="16" t="n">
        <f aca="false">IF(AND(Assumptions!$P$58=1,OR(J28833&lt;Assumptions!$K$58,I29180=1)),MIN(MAX(0,-J29049),MAX(0,Assumptions!$D$58-J28882)),0)</f>
        <v>0</v>
      </c>
      <c r="K28889" s="16" t="n">
        <f aca="false">IF(AND(Assumptions!$P$58=1,OR(K28833&lt;Assumptions!$K$58,J29180=1)),MIN(MAX(0,-K29049),MAX(0,Assumptions!$D$58-K28882)),0)</f>
        <v>0</v>
      </c>
    </row>
    <row r="28890" customFormat="false" ht="15" hidden="false" customHeight="false" outlineLevel="0" collapsed="false">
      <c r="A28890" s="3" t="s">
        <v>336</v>
      </c>
      <c r="G28890" s="16" t="n">
        <f aca="false">G28883*MIN(G28882-G28888+G28887,MAX(0,G29051-Assumptions!$C$12*G28867-G28877))</f>
        <v>0</v>
      </c>
      <c r="H28890" s="16" t="n">
        <f aca="false">H28883*MIN(H28882-H28888+H28887,MAX(0,H29051-Assumptions!$C$12*H28867-H28877))</f>
        <v>0</v>
      </c>
      <c r="I28890" s="16" t="n">
        <f aca="false">I28883*MIN(I28882-I28888+I28887,MAX(0,I29051-Assumptions!$C$12*I28867-I28877))</f>
        <v>0</v>
      </c>
      <c r="J28890" s="16" t="n">
        <f aca="false">J28883*MIN(J28882-J28888+J28887,MAX(0,J29051-Assumptions!$C$12*J28867-J28877))</f>
        <v>0</v>
      </c>
      <c r="K28890" s="16" t="n">
        <f aca="false">K28883*MIN(K28882-K28888+K28887,MAX(0,K29051-Assumptions!$C$12*K28867-K28877))</f>
        <v>0</v>
      </c>
    </row>
    <row r="28891" customFormat="false" ht="15" hidden="false" customHeight="false" outlineLevel="0" collapsed="false">
      <c r="A28891" s="3" t="s">
        <v>337</v>
      </c>
      <c r="G28891" s="16" t="n">
        <f aca="false">Assumptions!$N$58*MIN(G28882+G28889+G28887-G28888-G28890,MAX(0,G29055-G28878))</f>
        <v>0</v>
      </c>
      <c r="H28891" s="16" t="n">
        <f aca="false">Assumptions!$N$58*MIN(H28882+H28889+H28887-H28888-H28890,MAX(0,H29055-H28878))</f>
        <v>0</v>
      </c>
      <c r="I28891" s="16" t="n">
        <f aca="false">Assumptions!$N$58*MIN(I28882+I28889+I28887-I28888-I28890,MAX(0,I29055-I28878))</f>
        <v>0</v>
      </c>
      <c r="J28891" s="16" t="n">
        <f aca="false">Assumptions!$N$58*MIN(J28882+J28889+J28887-J28888-J28890,MAX(0,J29055-J28878))</f>
        <v>0</v>
      </c>
      <c r="K28891" s="16" t="n">
        <f aca="false">Assumptions!$N$58*MIN(K28882+K28889+K28887-K28888-K28890,MAX(0,K29055-K28878))</f>
        <v>0</v>
      </c>
    </row>
    <row r="28892" customFormat="false" ht="15" hidden="false" customHeight="false" outlineLevel="0" collapsed="false">
      <c r="A28892" s="3" t="s">
        <v>338</v>
      </c>
      <c r="G28892" s="16" t="n">
        <f aca="false">G28883*(1-G28867)*(G28882-G28888+G28887-G28890)</f>
        <v>0</v>
      </c>
      <c r="H28892" s="16" t="n">
        <f aca="false">H28883*(1-H28867)*(H28882-H28888+H28887-H28890)</f>
        <v>0</v>
      </c>
      <c r="I28892" s="16" t="n">
        <f aca="false">I28883*(1-I28867)*(I28882-I28888+I28887-I28890)</f>
        <v>0</v>
      </c>
      <c r="J28892" s="16" t="n">
        <f aca="false">J28883*(1-J28867)*(J28882-J28888+J28887-J28890)</f>
        <v>0</v>
      </c>
      <c r="K28892" s="16" t="n">
        <f aca="false">K28883*(1-K28867)*(K28882-K28888+K28887-K28890)</f>
        <v>0</v>
      </c>
    </row>
    <row r="28893" customFormat="false" ht="15" hidden="false" customHeight="false" outlineLevel="0" collapsed="false">
      <c r="A28893" s="2" t="s">
        <v>339</v>
      </c>
      <c r="F28893" s="28" t="n">
        <f aca="false">Assumptions!$C$58</f>
        <v>90</v>
      </c>
      <c r="G28893" s="17" t="n">
        <f aca="false">G28882+G28889+G28887-G28888-G28890-G28891</f>
        <v>90</v>
      </c>
      <c r="H28893" s="17" t="n">
        <f aca="false">H28882+H28889+H28887-H28888-H28890-H28891</f>
        <v>90</v>
      </c>
      <c r="I28893" s="17" t="n">
        <f aca="false">I28882+I28889+I28887-I28888-I28890-I28891</f>
        <v>90</v>
      </c>
      <c r="J28893" s="17" t="n">
        <f aca="false">J28882+J28889+J28887-J28888-J28890-J28891</f>
        <v>90</v>
      </c>
      <c r="K28893" s="17" t="n">
        <f aca="false">K28882+K28889+K28887-K28888-K28890-K28891</f>
        <v>90</v>
      </c>
    </row>
    <row r="28894" customFormat="false" ht="15" hidden="false" customHeight="false" outlineLevel="0" collapsed="false">
      <c r="A28894" s="24" t="s">
        <v>341</v>
      </c>
      <c r="B28894" s="25"/>
      <c r="C28894" s="25"/>
      <c r="D28894" s="25"/>
      <c r="E28894" s="25"/>
      <c r="F28894" s="25"/>
      <c r="G28894" s="25"/>
      <c r="H28894" s="25"/>
      <c r="I28894" s="25"/>
      <c r="J28894" s="25"/>
      <c r="K28894" s="25"/>
    </row>
    <row r="28895" customFormat="false" ht="15" hidden="false" customHeight="false" outlineLevel="0" collapsed="false">
      <c r="A28895" s="3" t="s">
        <v>329</v>
      </c>
      <c r="G28895" s="16" t="n">
        <f aca="false">F28906</f>
        <v>57.324</v>
      </c>
      <c r="H28895" s="16" t="n">
        <f aca="false">G28906</f>
        <v>57.324</v>
      </c>
      <c r="I28895" s="16" t="n">
        <f aca="false">H28906</f>
        <v>57.324</v>
      </c>
      <c r="J28895" s="16" t="n">
        <f aca="false">I28906</f>
        <v>57.324</v>
      </c>
      <c r="K28895" s="16" t="n">
        <f aca="false">J28906</f>
        <v>57.324</v>
      </c>
    </row>
    <row r="28896" customFormat="false" ht="15" hidden="false" customHeight="false" outlineLevel="0" collapsed="false">
      <c r="A28896" s="3" t="s">
        <v>330</v>
      </c>
      <c r="G28896" s="21" t="n">
        <f aca="false">IF(G28833=Assumptions!$K$59,1,0)</f>
        <v>0</v>
      </c>
      <c r="H28896" s="21" t="n">
        <f aca="false">IF(H28833=Assumptions!$K$59,1,0)</f>
        <v>0</v>
      </c>
      <c r="I28896" s="21" t="n">
        <f aca="false">IF(I28833=Assumptions!$K$59,1,0)</f>
        <v>0</v>
      </c>
      <c r="J28896" s="21" t="n">
        <f aca="false">IF(J28833=Assumptions!$K$59,1,0)</f>
        <v>0</v>
      </c>
      <c r="K28896" s="21" t="n">
        <f aca="false">IF(K28833=Assumptions!$K$59,1,0)</f>
        <v>0</v>
      </c>
    </row>
    <row r="28898" customFormat="false" ht="15" hidden="false" customHeight="false" outlineLevel="0" collapsed="false">
      <c r="A28898" s="3" t="s">
        <v>331</v>
      </c>
      <c r="G28898" s="31" t="n">
        <f aca="false">IF(Assumptions!$I$59=1,MAX(G28859,Assumptions!$G$59)+Assumptions!$F$59+$C$28860,Assumptions!$E$59)</f>
        <v>0.0731</v>
      </c>
      <c r="H28898" s="31" t="n">
        <f aca="false">IF(G29181=1,$C$28861,IF(Assumptions!$I$59=1,MAX(H28859,Assumptions!$G$59)+Assumptions!$F$59+$C$28860,Assumptions!$E$59))</f>
        <v>0.0731</v>
      </c>
      <c r="I28898" s="31" t="n">
        <f aca="false">IF(H29181=1,$C$28861,IF(Assumptions!$I$59=1,MAX(I28859,Assumptions!$G$59)+Assumptions!$F$59+$C$28860,Assumptions!$E$59))</f>
        <v>0.0731</v>
      </c>
      <c r="J28898" s="31" t="n">
        <f aca="false">IF(I29181=1,$C$28861,IF(Assumptions!$I$59=1,MAX(J28859,Assumptions!$G$59)+Assumptions!$F$59+$C$28860,Assumptions!$E$59))</f>
        <v>0.0731</v>
      </c>
      <c r="K28898" s="31" t="n">
        <f aca="false">IF(J29181=1,$C$28861,IF(Assumptions!$I$59=1,MAX(K28859,Assumptions!$G$59)+Assumptions!$F$59+$C$28860,Assumptions!$E$59))</f>
        <v>0.0731</v>
      </c>
    </row>
    <row r="28899" customFormat="false" ht="15" hidden="false" customHeight="false" outlineLevel="0" collapsed="false">
      <c r="A28899" s="3" t="s">
        <v>332</v>
      </c>
      <c r="G28899" s="16" t="n">
        <f aca="false">G28895*G28898</f>
        <v>4.1903844</v>
      </c>
      <c r="H28899" s="16" t="n">
        <f aca="false">H28895*H28898</f>
        <v>4.1903844</v>
      </c>
      <c r="I28899" s="16" t="n">
        <f aca="false">I28895*I28898</f>
        <v>4.1903844</v>
      </c>
      <c r="J28899" s="16" t="n">
        <f aca="false">J28895*J28898</f>
        <v>4.1903844</v>
      </c>
      <c r="K28899" s="16" t="n">
        <f aca="false">K28895*K28898</f>
        <v>4.1903844</v>
      </c>
    </row>
    <row r="28900" customFormat="false" ht="15" hidden="false" customHeight="false" outlineLevel="0" collapsed="false">
      <c r="A28900" s="3" t="s">
        <v>333</v>
      </c>
      <c r="G28900" s="16" t="n">
        <f aca="false">G28895*Assumptions!$H$59</f>
        <v>0</v>
      </c>
      <c r="H28900" s="16" t="n">
        <f aca="false">H28895*Assumptions!$H$59</f>
        <v>0</v>
      </c>
      <c r="I28900" s="16" t="n">
        <f aca="false">I28895*Assumptions!$H$59</f>
        <v>0</v>
      </c>
      <c r="J28900" s="16" t="n">
        <f aca="false">J28895*Assumptions!$H$59</f>
        <v>0</v>
      </c>
      <c r="K28900" s="16" t="n">
        <f aca="false">K28895*Assumptions!$H$59</f>
        <v>0</v>
      </c>
    </row>
    <row r="28901" customFormat="false" ht="15" hidden="false" customHeight="false" outlineLevel="0" collapsed="false">
      <c r="A28901" s="3" t="s">
        <v>334</v>
      </c>
      <c r="G28901" s="16" t="n">
        <f aca="false">MIN(G28895,Assumptions!$L$59*Assumptions!$C$59)</f>
        <v>0</v>
      </c>
      <c r="H28901" s="16" t="n">
        <f aca="false">MIN(H28895,Assumptions!$L$59*Assumptions!$C$59)</f>
        <v>0</v>
      </c>
      <c r="I28901" s="16" t="n">
        <f aca="false">MIN(I28895,Assumptions!$L$59*Assumptions!$C$59)</f>
        <v>0</v>
      </c>
      <c r="J28901" s="16" t="n">
        <f aca="false">MIN(J28895,Assumptions!$L$59*Assumptions!$C$59)</f>
        <v>0</v>
      </c>
      <c r="K28901" s="16" t="n">
        <f aca="false">MIN(K28895,Assumptions!$L$59*Assumptions!$C$59)</f>
        <v>0</v>
      </c>
    </row>
    <row r="28902" customFormat="false" ht="15" hidden="false" customHeight="false" outlineLevel="0" collapsed="false">
      <c r="A28902" s="3" t="s">
        <v>335</v>
      </c>
      <c r="G28902" s="16" t="n">
        <f aca="false">IF(AND(Assumptions!$P$59=1,G28833&lt;Assumptions!$K$59),MIN(MAX(0,-G29049),MAX(0,Assumptions!$D$59-G28895)),0)</f>
        <v>0</v>
      </c>
      <c r="H28902" s="16" t="n">
        <f aca="false">IF(AND(Assumptions!$P$59=1,OR(H28833&lt;Assumptions!$K$59,G29181=1)),MIN(MAX(0,-H29049),MAX(0,Assumptions!$D$59-H28895)),0)</f>
        <v>0</v>
      </c>
      <c r="I28902" s="16" t="n">
        <f aca="false">IF(AND(Assumptions!$P$59=1,OR(I28833&lt;Assumptions!$K$59,H29181=1)),MIN(MAX(0,-I29049),MAX(0,Assumptions!$D$59-I28895)),0)</f>
        <v>0</v>
      </c>
      <c r="J28902" s="16" t="n">
        <f aca="false">IF(AND(Assumptions!$P$59=1,OR(J28833&lt;Assumptions!$K$59,I29181=1)),MIN(MAX(0,-J29049),MAX(0,Assumptions!$D$59-J28895)),0)</f>
        <v>0</v>
      </c>
      <c r="K28902" s="16" t="n">
        <f aca="false">IF(AND(Assumptions!$P$59=1,OR(K28833&lt;Assumptions!$K$59,J29181=1)),MIN(MAX(0,-K29049),MAX(0,Assumptions!$D$59-K28895)),0)</f>
        <v>0</v>
      </c>
    </row>
    <row r="28903" customFormat="false" ht="15" hidden="false" customHeight="false" outlineLevel="0" collapsed="false">
      <c r="A28903" s="3" t="s">
        <v>336</v>
      </c>
      <c r="G28903" s="16" t="n">
        <f aca="false">G28896*MIN(G28895-G28901+G28900,MAX(0,G29051-Assumptions!$C$12*G28867-G28877-G28890))</f>
        <v>0</v>
      </c>
      <c r="H28903" s="16" t="n">
        <f aca="false">H28896*MIN(H28895-H28901+H28900,MAX(0,H29051-Assumptions!$C$12*H28867-H28877-H28890))</f>
        <v>0</v>
      </c>
      <c r="I28903" s="16" t="n">
        <f aca="false">I28896*MIN(I28895-I28901+I28900,MAX(0,I29051-Assumptions!$C$12*I28867-I28877-I28890))</f>
        <v>0</v>
      </c>
      <c r="J28903" s="16" t="n">
        <f aca="false">J28896*MIN(J28895-J28901+J28900,MAX(0,J29051-Assumptions!$C$12*J28867-J28877-J28890))</f>
        <v>0</v>
      </c>
      <c r="K28903" s="16" t="n">
        <f aca="false">K28896*MIN(K28895-K28901+K28900,MAX(0,K29051-Assumptions!$C$12*K28867-K28877-K28890))</f>
        <v>0</v>
      </c>
    </row>
    <row r="28904" customFormat="false" ht="15" hidden="false" customHeight="false" outlineLevel="0" collapsed="false">
      <c r="A28904" s="3" t="s">
        <v>337</v>
      </c>
      <c r="G28904" s="16" t="n">
        <f aca="false">Assumptions!$N$59*MIN(G28895+G28902+G28900-G28901-G28903,MAX(0,G29055-G28878-G28891))</f>
        <v>0</v>
      </c>
      <c r="H28904" s="16" t="n">
        <f aca="false">Assumptions!$N$59*MIN(H28895+H28902+H28900-H28901-H28903,MAX(0,H29055-H28878-H28891))</f>
        <v>0</v>
      </c>
      <c r="I28904" s="16" t="n">
        <f aca="false">Assumptions!$N$59*MIN(I28895+I28902+I28900-I28901-I28903,MAX(0,I29055-I28878-I28891))</f>
        <v>0</v>
      </c>
      <c r="J28904" s="16" t="n">
        <f aca="false">Assumptions!$N$59*MIN(J28895+J28902+J28900-J28901-J28903,MAX(0,J29055-J28878-J28891))</f>
        <v>0</v>
      </c>
      <c r="K28904" s="16" t="n">
        <f aca="false">Assumptions!$N$59*MIN(K28895+K28902+K28900-K28901-K28903,MAX(0,K29055-K28878-K28891))</f>
        <v>0</v>
      </c>
    </row>
    <row r="28905" customFormat="false" ht="15" hidden="false" customHeight="false" outlineLevel="0" collapsed="false">
      <c r="A28905" s="3" t="s">
        <v>338</v>
      </c>
      <c r="G28905" s="16" t="n">
        <f aca="false">G28896*(1-G28867)*(G28895-G28901+G28900-G28903)</f>
        <v>0</v>
      </c>
      <c r="H28905" s="16" t="n">
        <f aca="false">H28896*(1-H28867)*(H28895-H28901+H28900-H28903)</f>
        <v>0</v>
      </c>
      <c r="I28905" s="16" t="n">
        <f aca="false">I28896*(1-I28867)*(I28895-I28901+I28900-I28903)</f>
        <v>0</v>
      </c>
      <c r="J28905" s="16" t="n">
        <f aca="false">J28896*(1-J28867)*(J28895-J28901+J28900-J28903)</f>
        <v>0</v>
      </c>
      <c r="K28905" s="16" t="n">
        <f aca="false">K28896*(1-K28867)*(K28895-K28901+K28900-K28903)</f>
        <v>0</v>
      </c>
    </row>
    <row r="28906" customFormat="false" ht="15" hidden="false" customHeight="false" outlineLevel="0" collapsed="false">
      <c r="A28906" s="2" t="s">
        <v>339</v>
      </c>
      <c r="F28906" s="28" t="n">
        <f aca="false">Assumptions!$C$59</f>
        <v>57.324</v>
      </c>
      <c r="G28906" s="17" t="n">
        <f aca="false">G28895+G28902+G28900-G28901-G28903-G28904</f>
        <v>57.324</v>
      </c>
      <c r="H28906" s="17" t="n">
        <f aca="false">H28895+H28902+H28900-H28901-H28903-H28904</f>
        <v>57.324</v>
      </c>
      <c r="I28906" s="17" t="n">
        <f aca="false">I28895+I28902+I28900-I28901-I28903-I28904</f>
        <v>57.324</v>
      </c>
      <c r="J28906" s="17" t="n">
        <f aca="false">J28895+J28902+J28900-J28901-J28903-J28904</f>
        <v>57.324</v>
      </c>
      <c r="K28906" s="17" t="n">
        <f aca="false">K28895+K28902+K28900-K28901-K28903-K28904</f>
        <v>57.324</v>
      </c>
    </row>
    <row r="28907" customFormat="false" ht="15" hidden="false" customHeight="false" outlineLevel="0" collapsed="false">
      <c r="A28907" s="24" t="s">
        <v>342</v>
      </c>
      <c r="B28907" s="25"/>
      <c r="C28907" s="25"/>
      <c r="D28907" s="25"/>
      <c r="E28907" s="25"/>
      <c r="F28907" s="25"/>
      <c r="G28907" s="25"/>
      <c r="H28907" s="25"/>
      <c r="I28907" s="25"/>
      <c r="J28907" s="25"/>
      <c r="K28907" s="25"/>
    </row>
    <row r="28908" customFormat="false" ht="15" hidden="false" customHeight="false" outlineLevel="0" collapsed="false">
      <c r="A28908" s="3" t="s">
        <v>329</v>
      </c>
      <c r="G28908" s="16" t="n">
        <f aca="false">F28919</f>
        <v>0</v>
      </c>
      <c r="H28908" s="16" t="n">
        <f aca="false">G28919</f>
        <v>0</v>
      </c>
      <c r="I28908" s="16" t="n">
        <f aca="false">H28919</f>
        <v>0</v>
      </c>
      <c r="J28908" s="16" t="n">
        <f aca="false">I28919</f>
        <v>0</v>
      </c>
      <c r="K28908" s="16" t="n">
        <f aca="false">J28919</f>
        <v>0</v>
      </c>
    </row>
    <row r="28909" customFormat="false" ht="15" hidden="false" customHeight="false" outlineLevel="0" collapsed="false">
      <c r="A28909" s="3" t="s">
        <v>330</v>
      </c>
      <c r="G28909" s="21" t="n">
        <f aca="false">IF(G28833=Assumptions!$K$60,1,0)</f>
        <v>1</v>
      </c>
      <c r="H28909" s="21" t="n">
        <f aca="false">IF(H28833=Assumptions!$K$60,1,0)</f>
        <v>0</v>
      </c>
      <c r="I28909" s="21" t="n">
        <f aca="false">IF(I28833=Assumptions!$K$60,1,0)</f>
        <v>0</v>
      </c>
      <c r="J28909" s="21" t="n">
        <f aca="false">IF(J28833=Assumptions!$K$60,1,0)</f>
        <v>0</v>
      </c>
      <c r="K28909" s="21" t="n">
        <f aca="false">IF(K28833=Assumptions!$K$60,1,0)</f>
        <v>0</v>
      </c>
    </row>
    <row r="28911" customFormat="false" ht="15" hidden="false" customHeight="false" outlineLevel="0" collapsed="false">
      <c r="A28911" s="3" t="s">
        <v>331</v>
      </c>
      <c r="G28911" s="31" t="n">
        <f aca="false">IF(Assumptions!$I$60=1,MAX(G28859,Assumptions!$G$60)+Assumptions!$F$60+$C$28860,Assumptions!$E$60)</f>
        <v>0.079</v>
      </c>
      <c r="H28911" s="31" t="n">
        <f aca="false">IF(G29182=1,$C$28861,IF(Assumptions!$I$60=1,MAX(H28859,Assumptions!$G$60)+Assumptions!$F$60+$C$28860,Assumptions!$E$60))</f>
        <v>0.0775</v>
      </c>
      <c r="I28911" s="31" t="n">
        <f aca="false">IF(H29182=1,$C$28861,IF(Assumptions!$I$60=1,MAX(I28859,Assumptions!$G$60)+Assumptions!$F$60+$C$28860,Assumptions!$E$60))</f>
        <v>0.075</v>
      </c>
      <c r="J28911" s="31" t="n">
        <f aca="false">IF(I29182=1,$C$28861,IF(Assumptions!$I$60=1,MAX(J28859,Assumptions!$G$60)+Assumptions!$F$60+$C$28860,Assumptions!$E$60))</f>
        <v>0.075</v>
      </c>
      <c r="K28911" s="31" t="n">
        <f aca="false">IF(J29182=1,$C$28861,IF(Assumptions!$I$60=1,MAX(K28859,Assumptions!$G$60)+Assumptions!$F$60+$C$28860,Assumptions!$E$60))</f>
        <v>0.075</v>
      </c>
    </row>
    <row r="28912" customFormat="false" ht="15" hidden="false" customHeight="false" outlineLevel="0" collapsed="false">
      <c r="A28912" s="3" t="s">
        <v>332</v>
      </c>
      <c r="G28912" s="16" t="n">
        <f aca="false">G28908*G28911</f>
        <v>0</v>
      </c>
      <c r="H28912" s="16" t="n">
        <f aca="false">H28908*H28911</f>
        <v>0</v>
      </c>
      <c r="I28912" s="16" t="n">
        <f aca="false">I28908*I28911</f>
        <v>0</v>
      </c>
      <c r="J28912" s="16" t="n">
        <f aca="false">J28908*J28911</f>
        <v>0</v>
      </c>
      <c r="K28912" s="16" t="n">
        <f aca="false">K28908*K28911</f>
        <v>0</v>
      </c>
    </row>
    <row r="28913" customFormat="false" ht="15" hidden="false" customHeight="false" outlineLevel="0" collapsed="false">
      <c r="A28913" s="3" t="s">
        <v>333</v>
      </c>
      <c r="G28913" s="16" t="n">
        <f aca="false">G28908*Assumptions!$H$60</f>
        <v>0</v>
      </c>
      <c r="H28913" s="16" t="n">
        <f aca="false">H28908*Assumptions!$H$60</f>
        <v>0</v>
      </c>
      <c r="I28913" s="16" t="n">
        <f aca="false">I28908*Assumptions!$H$60</f>
        <v>0</v>
      </c>
      <c r="J28913" s="16" t="n">
        <f aca="false">J28908*Assumptions!$H$60</f>
        <v>0</v>
      </c>
      <c r="K28913" s="16" t="n">
        <f aca="false">K28908*Assumptions!$H$60</f>
        <v>0</v>
      </c>
    </row>
    <row r="28914" customFormat="false" ht="15" hidden="false" customHeight="false" outlineLevel="0" collapsed="false">
      <c r="A28914" s="3" t="s">
        <v>334</v>
      </c>
      <c r="G28914" s="16" t="n">
        <f aca="false">MIN(G28908,Assumptions!$L$60*Assumptions!$C$60)</f>
        <v>0</v>
      </c>
      <c r="H28914" s="16" t="n">
        <f aca="false">MIN(H28908,Assumptions!$L$60*Assumptions!$C$60)</f>
        <v>0</v>
      </c>
      <c r="I28914" s="16" t="n">
        <f aca="false">MIN(I28908,Assumptions!$L$60*Assumptions!$C$60)</f>
        <v>0</v>
      </c>
      <c r="J28914" s="16" t="n">
        <f aca="false">MIN(J28908,Assumptions!$L$60*Assumptions!$C$60)</f>
        <v>0</v>
      </c>
      <c r="K28914" s="16" t="n">
        <f aca="false">MIN(K28908,Assumptions!$L$60*Assumptions!$C$60)</f>
        <v>0</v>
      </c>
    </row>
    <row r="28915" customFormat="false" ht="15" hidden="false" customHeight="false" outlineLevel="0" collapsed="false">
      <c r="A28915" s="3" t="s">
        <v>335</v>
      </c>
      <c r="G28915" s="16" t="n">
        <f aca="false">IF(AND(Assumptions!$P$60=1,G28833&lt;Assumptions!$K$60),MIN(MAX(0,-G29049),MAX(0,Assumptions!$D$60-G28908)),0)</f>
        <v>0</v>
      </c>
      <c r="H28915" s="16" t="n">
        <f aca="false">IF(AND(Assumptions!$P$60=1,OR(H28833&lt;Assumptions!$K$60,G29182=1)),MIN(MAX(0,-H29049),MAX(0,Assumptions!$D$60-H28908)),0)</f>
        <v>0</v>
      </c>
      <c r="I28915" s="16" t="n">
        <f aca="false">IF(AND(Assumptions!$P$60=1,OR(I28833&lt;Assumptions!$K$60,H29182=1)),MIN(MAX(0,-I29049),MAX(0,Assumptions!$D$60-I28908)),0)</f>
        <v>0</v>
      </c>
      <c r="J28915" s="16" t="n">
        <f aca="false">IF(AND(Assumptions!$P$60=1,OR(J28833&lt;Assumptions!$K$60,I29182=1)),MIN(MAX(0,-J29049),MAX(0,Assumptions!$D$60-J28908)),0)</f>
        <v>0</v>
      </c>
      <c r="K28915" s="16" t="n">
        <f aca="false">IF(AND(Assumptions!$P$60=1,OR(K28833&lt;Assumptions!$K$60,J29182=1)),MIN(MAX(0,-K29049),MAX(0,Assumptions!$D$60-K28908)),0)</f>
        <v>0</v>
      </c>
    </row>
    <row r="28916" customFormat="false" ht="15" hidden="false" customHeight="false" outlineLevel="0" collapsed="false">
      <c r="A28916" s="3" t="s">
        <v>336</v>
      </c>
      <c r="G28916" s="16" t="n">
        <f aca="false">G28909*MIN(G28908-G28914+G28913,MAX(0,G29051-Assumptions!$C$12*G28867-G28877-G28890-G28903))</f>
        <v>0</v>
      </c>
      <c r="H28916" s="16" t="n">
        <f aca="false">H28909*MIN(H28908-H28914+H28913,MAX(0,H29051-Assumptions!$C$12*H28867-H28877-H28890-H28903))</f>
        <v>0</v>
      </c>
      <c r="I28916" s="16" t="n">
        <f aca="false">I28909*MIN(I28908-I28914+I28913,MAX(0,I29051-Assumptions!$C$12*I28867-I28877-I28890-I28903))</f>
        <v>0</v>
      </c>
      <c r="J28916" s="16" t="n">
        <f aca="false">J28909*MIN(J28908-J28914+J28913,MAX(0,J29051-Assumptions!$C$12*J28867-J28877-J28890-J28903))</f>
        <v>0</v>
      </c>
      <c r="K28916" s="16" t="n">
        <f aca="false">K28909*MIN(K28908-K28914+K28913,MAX(0,K29051-Assumptions!$C$12*K28867-K28877-K28890-K28903))</f>
        <v>0</v>
      </c>
    </row>
    <row r="28917" customFormat="false" ht="15" hidden="false" customHeight="false" outlineLevel="0" collapsed="false">
      <c r="A28917" s="3" t="s">
        <v>337</v>
      </c>
      <c r="G28917" s="16" t="n">
        <f aca="false">Assumptions!$N$60*MIN(G28908+G28915+G28913-G28914-G28916,MAX(0,G29055-G28878-G28891-G28904))</f>
        <v>0</v>
      </c>
      <c r="H28917" s="16" t="n">
        <f aca="false">Assumptions!$N$60*MIN(H28908+H28915+H28913-H28914-H28916,MAX(0,H29055-H28878-H28891-H28904))</f>
        <v>0</v>
      </c>
      <c r="I28917" s="16" t="n">
        <f aca="false">Assumptions!$N$60*MIN(I28908+I28915+I28913-I28914-I28916,MAX(0,I29055-I28878-I28891-I28904))</f>
        <v>0</v>
      </c>
      <c r="J28917" s="16" t="n">
        <f aca="false">Assumptions!$N$60*MIN(J28908+J28915+J28913-J28914-J28916,MAX(0,J29055-J28878-J28891-J28904))</f>
        <v>0</v>
      </c>
      <c r="K28917" s="16" t="n">
        <f aca="false">Assumptions!$N$60*MIN(K28908+K28915+K28913-K28914-K28916,MAX(0,K29055-K28878-K28891-K28904))</f>
        <v>0</v>
      </c>
    </row>
    <row r="28918" customFormat="false" ht="15" hidden="false" customHeight="false" outlineLevel="0" collapsed="false">
      <c r="A28918" s="3" t="s">
        <v>338</v>
      </c>
      <c r="G28918" s="16" t="n">
        <f aca="false">G28909*(1-G28867)*(G28908-G28914+G28913-G28916)</f>
        <v>0</v>
      </c>
      <c r="H28918" s="16" t="n">
        <f aca="false">H28909*(1-H28867)*(H28908-H28914+H28913-H28916)</f>
        <v>0</v>
      </c>
      <c r="I28918" s="16" t="n">
        <f aca="false">I28909*(1-I28867)*(I28908-I28914+I28913-I28916)</f>
        <v>0</v>
      </c>
      <c r="J28918" s="16" t="n">
        <f aca="false">J28909*(1-J28867)*(J28908-J28914+J28913-J28916)</f>
        <v>0</v>
      </c>
      <c r="K28918" s="16" t="n">
        <f aca="false">K28909*(1-K28867)*(K28908-K28914+K28913-K28916)</f>
        <v>0</v>
      </c>
    </row>
    <row r="28919" customFormat="false" ht="15" hidden="false" customHeight="false" outlineLevel="0" collapsed="false">
      <c r="A28919" s="2" t="s">
        <v>339</v>
      </c>
      <c r="F28919" s="28" t="n">
        <f aca="false">Assumptions!$C$60</f>
        <v>0</v>
      </c>
      <c r="G28919" s="17" t="n">
        <f aca="false">G28908+G28915+G28913-G28914-G28916-G28917</f>
        <v>0</v>
      </c>
      <c r="H28919" s="17" t="n">
        <f aca="false">H28908+H28915+H28913-H28914-H28916-H28917</f>
        <v>0</v>
      </c>
      <c r="I28919" s="17" t="n">
        <f aca="false">I28908+I28915+I28913-I28914-I28916-I28917</f>
        <v>0</v>
      </c>
      <c r="J28919" s="17" t="n">
        <f aca="false">J28908+J28915+J28913-J28914-J28916-J28917</f>
        <v>0</v>
      </c>
      <c r="K28919" s="17" t="n">
        <f aca="false">K28908+K28915+K28913-K28914-K28916-K28917</f>
        <v>0</v>
      </c>
    </row>
    <row r="28920" customFormat="false" ht="15" hidden="false" customHeight="false" outlineLevel="0" collapsed="false">
      <c r="A28920" s="24" t="s">
        <v>343</v>
      </c>
      <c r="B28920" s="25"/>
      <c r="C28920" s="25"/>
      <c r="D28920" s="25"/>
      <c r="E28920" s="25"/>
      <c r="F28920" s="25"/>
      <c r="G28920" s="25"/>
      <c r="H28920" s="25"/>
      <c r="I28920" s="25"/>
      <c r="J28920" s="25"/>
      <c r="K28920" s="25"/>
    </row>
    <row r="28921" customFormat="false" ht="15" hidden="false" customHeight="false" outlineLevel="0" collapsed="false">
      <c r="A28921" s="3" t="s">
        <v>329</v>
      </c>
      <c r="G28921" s="16" t="n">
        <f aca="false">F28932</f>
        <v>450</v>
      </c>
      <c r="H28921" s="16" t="n">
        <f aca="false">G28932</f>
        <v>450</v>
      </c>
      <c r="I28921" s="16" t="n">
        <f aca="false">H28932</f>
        <v>430.1886587</v>
      </c>
      <c r="J28921" s="16" t="n">
        <f aca="false">I28932</f>
        <v>430.1886587</v>
      </c>
      <c r="K28921" s="16" t="n">
        <f aca="false">J28932</f>
        <v>430.1886587</v>
      </c>
    </row>
    <row r="28922" customFormat="false" ht="15" hidden="false" customHeight="false" outlineLevel="0" collapsed="false">
      <c r="A28922" s="3" t="s">
        <v>330</v>
      </c>
      <c r="G28922" s="21" t="n">
        <f aca="false">IF(G28833=Assumptions!$K$61,1,0)</f>
        <v>0</v>
      </c>
      <c r="H28922" s="21" t="n">
        <f aca="false">IF(H28833=Assumptions!$K$61,1,0)</f>
        <v>1</v>
      </c>
      <c r="I28922" s="21" t="n">
        <f aca="false">IF(I28833=Assumptions!$K$61,1,0)</f>
        <v>0</v>
      </c>
      <c r="J28922" s="21" t="n">
        <f aca="false">IF(J28833=Assumptions!$K$61,1,0)</f>
        <v>0</v>
      </c>
      <c r="K28922" s="21" t="n">
        <f aca="false">IF(K28833=Assumptions!$K$61,1,0)</f>
        <v>0</v>
      </c>
    </row>
    <row r="28924" customFormat="false" ht="15" hidden="false" customHeight="false" outlineLevel="0" collapsed="false">
      <c r="A28924" s="3" t="s">
        <v>331</v>
      </c>
      <c r="G28924" s="31" t="n">
        <f aca="false">IF(Assumptions!$I$61=1,MAX(G28859,Assumptions!$G$61)+Assumptions!$F$61+$C$28860,Assumptions!$E$61)</f>
        <v>0.0395</v>
      </c>
      <c r="H28924" s="31" t="n">
        <f aca="false">IF(G29183=1,$C$28861,IF(Assumptions!$I$61=1,MAX(H28859,Assumptions!$G$61)+Assumptions!$F$61+$C$28860,Assumptions!$E$61))</f>
        <v>0.0395</v>
      </c>
      <c r="I28924" s="31" t="n">
        <f aca="false">IF(H29183=1,$C$28861,IF(Assumptions!$I$61=1,MAX(I28859,Assumptions!$G$61)+Assumptions!$F$61+$C$28860,Assumptions!$E$61))</f>
        <v>0.0395</v>
      </c>
      <c r="J28924" s="31" t="n">
        <f aca="false">IF(I29183=1,$C$28861,IF(Assumptions!$I$61=1,MAX(J28859,Assumptions!$G$61)+Assumptions!$F$61+$C$28860,Assumptions!$E$61))</f>
        <v>0.0395</v>
      </c>
      <c r="K28924" s="31" t="n">
        <f aca="false">IF(J29183=1,$C$28861,IF(Assumptions!$I$61=1,MAX(K28859,Assumptions!$G$61)+Assumptions!$F$61+$C$28860,Assumptions!$E$61))</f>
        <v>0.0395</v>
      </c>
    </row>
    <row r="28925" customFormat="false" ht="15" hidden="false" customHeight="false" outlineLevel="0" collapsed="false">
      <c r="A28925" s="3" t="s">
        <v>332</v>
      </c>
      <c r="G28925" s="16" t="n">
        <f aca="false">G28921*G28924</f>
        <v>17.775</v>
      </c>
      <c r="H28925" s="16" t="n">
        <f aca="false">H28921*H28924</f>
        <v>17.775</v>
      </c>
      <c r="I28925" s="16" t="n">
        <f aca="false">I28921*I28924</f>
        <v>16.99245201865</v>
      </c>
      <c r="J28925" s="16" t="n">
        <f aca="false">J28921*J28924</f>
        <v>16.99245201865</v>
      </c>
      <c r="K28925" s="16" t="n">
        <f aca="false">K28921*K28924</f>
        <v>16.99245201865</v>
      </c>
    </row>
    <row r="28926" customFormat="false" ht="15" hidden="false" customHeight="false" outlineLevel="0" collapsed="false">
      <c r="A28926" s="3" t="s">
        <v>333</v>
      </c>
      <c r="G28926" s="16" t="n">
        <f aca="false">G28921*Assumptions!$H$61</f>
        <v>0</v>
      </c>
      <c r="H28926" s="16" t="n">
        <f aca="false">H28921*Assumptions!$H$61</f>
        <v>0</v>
      </c>
      <c r="I28926" s="16" t="n">
        <f aca="false">I28921*Assumptions!$H$61</f>
        <v>0</v>
      </c>
      <c r="J28926" s="16" t="n">
        <f aca="false">J28921*Assumptions!$H$61</f>
        <v>0</v>
      </c>
      <c r="K28926" s="16" t="n">
        <f aca="false">K28921*Assumptions!$H$61</f>
        <v>0</v>
      </c>
    </row>
    <row r="28927" customFormat="false" ht="15" hidden="false" customHeight="false" outlineLevel="0" collapsed="false">
      <c r="A28927" s="3" t="s">
        <v>334</v>
      </c>
      <c r="G28927" s="16" t="n">
        <f aca="false">MIN(G28921,Assumptions!$L$61*Assumptions!$C$61)</f>
        <v>0</v>
      </c>
      <c r="H28927" s="16" t="n">
        <f aca="false">MIN(H28921,Assumptions!$L$61*Assumptions!$C$61)</f>
        <v>0</v>
      </c>
      <c r="I28927" s="16" t="n">
        <f aca="false">MIN(I28921,Assumptions!$L$61*Assumptions!$C$61)</f>
        <v>0</v>
      </c>
      <c r="J28927" s="16" t="n">
        <f aca="false">MIN(J28921,Assumptions!$L$61*Assumptions!$C$61)</f>
        <v>0</v>
      </c>
      <c r="K28927" s="16" t="n">
        <f aca="false">MIN(K28921,Assumptions!$L$61*Assumptions!$C$61)</f>
        <v>0</v>
      </c>
    </row>
    <row r="28928" customFormat="false" ht="15" hidden="false" customHeight="false" outlineLevel="0" collapsed="false">
      <c r="A28928" s="3" t="s">
        <v>335</v>
      </c>
      <c r="G28928" s="16" t="n">
        <f aca="false">IF(AND(Assumptions!$P$61=1,G28833&lt;Assumptions!$K$61),MIN(MAX(0,-G29049),MAX(0,Assumptions!$D$61-G28921)),0)</f>
        <v>0</v>
      </c>
      <c r="H28928" s="16" t="n">
        <f aca="false">IF(AND(Assumptions!$P$61=1,OR(H28833&lt;Assumptions!$K$61,G29183=1)),MIN(MAX(0,-H29049),MAX(0,Assumptions!$D$61-H28921)),0)</f>
        <v>0</v>
      </c>
      <c r="I28928" s="16" t="n">
        <f aca="false">IF(AND(Assumptions!$P$61=1,OR(I28833&lt;Assumptions!$K$61,H29183=1)),MIN(MAX(0,-I29049),MAX(0,Assumptions!$D$61-I28921)),0)</f>
        <v>0</v>
      </c>
      <c r="J28928" s="16" t="n">
        <f aca="false">IF(AND(Assumptions!$P$61=1,OR(J28833&lt;Assumptions!$K$61,I29183=1)),MIN(MAX(0,-J29049),MAX(0,Assumptions!$D$61-J28921)),0)</f>
        <v>0</v>
      </c>
      <c r="K28928" s="16" t="n">
        <f aca="false">IF(AND(Assumptions!$P$61=1,OR(K28833&lt;Assumptions!$K$61,J29183=1)),MIN(MAX(0,-K29049),MAX(0,Assumptions!$D$61-K28921)),0)</f>
        <v>0</v>
      </c>
    </row>
    <row r="28929" customFormat="false" ht="15" hidden="false" customHeight="false" outlineLevel="0" collapsed="false">
      <c r="A28929" s="3" t="s">
        <v>336</v>
      </c>
      <c r="G28929" s="16" t="n">
        <f aca="false">G28922*MIN(G28921-G28927+G28926,MAX(0,G29051-Assumptions!$C$12*G28867-G28877-G28890-G28903-G28916))</f>
        <v>0</v>
      </c>
      <c r="H28929" s="16" t="n">
        <f aca="false">H28922*MIN(H28921-H28927+H28926,MAX(0,H29051-Assumptions!$C$12*H28867-H28877-H28890-H28903-H28916))</f>
        <v>19.8113413000001</v>
      </c>
      <c r="I28929" s="16" t="n">
        <f aca="false">I28922*MIN(I28921-I28927+I28926,MAX(0,I29051-Assumptions!$C$12*I28867-I28877-I28890-I28903-I28916))</f>
        <v>0</v>
      </c>
      <c r="J28929" s="16" t="n">
        <f aca="false">J28922*MIN(J28921-J28927+J28926,MAX(0,J29051-Assumptions!$C$12*J28867-J28877-J28890-J28903-J28916))</f>
        <v>0</v>
      </c>
      <c r="K28929" s="16" t="n">
        <f aca="false">K28922*MIN(K28921-K28927+K28926,MAX(0,K29051-Assumptions!$C$12*K28867-K28877-K28890-K28903-K28916))</f>
        <v>0</v>
      </c>
    </row>
    <row r="28930" customFormat="false" ht="15" hidden="false" customHeight="false" outlineLevel="0" collapsed="false">
      <c r="A28930" s="3" t="s">
        <v>337</v>
      </c>
      <c r="G28930" s="16" t="n">
        <f aca="false">Assumptions!$N$61*MIN(G28921+G28928+G28926-G28927-G28929,MAX(0,G29055-G28878-G28891-G28904-G28917))</f>
        <v>0</v>
      </c>
      <c r="H28930" s="16" t="n">
        <f aca="false">Assumptions!$N$61*MIN(H28921+H28928+H28926-H28927-H28929,MAX(0,H29055-H28878-H28891-H28904-H28917))</f>
        <v>0</v>
      </c>
      <c r="I28930" s="16" t="n">
        <f aca="false">Assumptions!$N$61*MIN(I28921+I28928+I28926-I28927-I28929,MAX(0,I29055-I28878-I28891-I28904-I28917))</f>
        <v>0</v>
      </c>
      <c r="J28930" s="16" t="n">
        <f aca="false">Assumptions!$N$61*MIN(J28921+J28928+J28926-J28927-J28929,MAX(0,J29055-J28878-J28891-J28904-J28917))</f>
        <v>0</v>
      </c>
      <c r="K28930" s="16" t="n">
        <f aca="false">Assumptions!$N$61*MIN(K28921+K28928+K28926-K28927-K28929,MAX(0,K29055-K28878-K28891-K28904-K28917))</f>
        <v>0</v>
      </c>
    </row>
    <row r="28931" customFormat="false" ht="15" hidden="false" customHeight="false" outlineLevel="0" collapsed="false">
      <c r="A28931" s="3" t="s">
        <v>338</v>
      </c>
      <c r="G28931" s="16" t="n">
        <f aca="false">G28922*(1-G28867)*(G28921-G28927+G28926-G28929)</f>
        <v>0</v>
      </c>
      <c r="H28931" s="16" t="n">
        <f aca="false">H28922*(1-H28867)*(H28921-H28927+H28926-H28929)</f>
        <v>430.1886587</v>
      </c>
      <c r="I28931" s="16" t="n">
        <f aca="false">I28922*(1-I28867)*(I28921-I28927+I28926-I28929)</f>
        <v>0</v>
      </c>
      <c r="J28931" s="16" t="n">
        <f aca="false">J28922*(1-J28867)*(J28921-J28927+J28926-J28929)</f>
        <v>0</v>
      </c>
      <c r="K28931" s="16" t="n">
        <f aca="false">K28922*(1-K28867)*(K28921-K28927+K28926-K28929)</f>
        <v>0</v>
      </c>
    </row>
    <row r="28932" customFormat="false" ht="15" hidden="false" customHeight="false" outlineLevel="0" collapsed="false">
      <c r="A28932" s="2" t="s">
        <v>339</v>
      </c>
      <c r="F28932" s="28" t="n">
        <f aca="false">Assumptions!$C$61</f>
        <v>450</v>
      </c>
      <c r="G28932" s="17" t="n">
        <f aca="false">G28921+G28928+G28926-G28927-G28929-G28930</f>
        <v>450</v>
      </c>
      <c r="H28932" s="17" t="n">
        <f aca="false">H28921+H28928+H28926-H28927-H28929-H28930</f>
        <v>430.1886587</v>
      </c>
      <c r="I28932" s="17" t="n">
        <f aca="false">I28921+I28928+I28926-I28927-I28929-I28930</f>
        <v>430.1886587</v>
      </c>
      <c r="J28932" s="17" t="n">
        <f aca="false">J28921+J28928+J28926-J28927-J28929-J28930</f>
        <v>430.1886587</v>
      </c>
      <c r="K28932" s="17" t="n">
        <f aca="false">K28921+K28928+K28926-K28927-K28929-K28930</f>
        <v>430.1886587</v>
      </c>
    </row>
    <row r="28933" customFormat="false" ht="15" hidden="false" customHeight="false" outlineLevel="0" collapsed="false">
      <c r="A28933" s="24" t="s">
        <v>344</v>
      </c>
      <c r="B28933" s="25"/>
      <c r="C28933" s="25"/>
      <c r="D28933" s="25"/>
      <c r="E28933" s="25"/>
      <c r="F28933" s="25"/>
      <c r="G28933" s="25"/>
      <c r="H28933" s="25"/>
      <c r="I28933" s="25"/>
      <c r="J28933" s="25"/>
      <c r="K28933" s="25"/>
    </row>
    <row r="28934" customFormat="false" ht="15" hidden="false" customHeight="false" outlineLevel="0" collapsed="false">
      <c r="A28934" s="3" t="s">
        <v>329</v>
      </c>
      <c r="G28934" s="16" t="n">
        <f aca="false">F28945</f>
        <v>350</v>
      </c>
      <c r="H28934" s="16" t="n">
        <f aca="false">G28945</f>
        <v>350</v>
      </c>
      <c r="I28934" s="16" t="n">
        <f aca="false">H28945</f>
        <v>350</v>
      </c>
      <c r="J28934" s="16" t="n">
        <f aca="false">I28945</f>
        <v>350</v>
      </c>
      <c r="K28934" s="16" t="n">
        <f aca="false">J28945</f>
        <v>350</v>
      </c>
    </row>
    <row r="28935" customFormat="false" ht="15" hidden="false" customHeight="false" outlineLevel="0" collapsed="false">
      <c r="A28935" s="3" t="s">
        <v>330</v>
      </c>
      <c r="G28935" s="21" t="n">
        <f aca="false">IF(G28833=Assumptions!$K$62,1,0)</f>
        <v>0</v>
      </c>
      <c r="H28935" s="21" t="n">
        <f aca="false">IF(H28833=Assumptions!$K$62,1,0)</f>
        <v>1</v>
      </c>
      <c r="I28935" s="21" t="n">
        <f aca="false">IF(I28833=Assumptions!$K$62,1,0)</f>
        <v>0</v>
      </c>
      <c r="J28935" s="21" t="n">
        <f aca="false">IF(J28833=Assumptions!$K$62,1,0)</f>
        <v>0</v>
      </c>
      <c r="K28935" s="21" t="n">
        <f aca="false">IF(K28833=Assumptions!$K$62,1,0)</f>
        <v>0</v>
      </c>
    </row>
    <row r="28937" customFormat="false" ht="15" hidden="false" customHeight="false" outlineLevel="0" collapsed="false">
      <c r="A28937" s="3" t="s">
        <v>331</v>
      </c>
      <c r="G28937" s="31" t="n">
        <f aca="false">IF(Assumptions!$I$62=1,MAX(G28859,Assumptions!$G$62)+Assumptions!$F$62+$C$28860,Assumptions!$E$62)</f>
        <v>0.083</v>
      </c>
      <c r="H28937" s="31" t="n">
        <f aca="false">IF(G29184=1,$C$28861,IF(Assumptions!$I$62=1,MAX(H28859,Assumptions!$G$62)+Assumptions!$F$62+$C$28860,Assumptions!$E$62))</f>
        <v>0.083</v>
      </c>
      <c r="I28937" s="31" t="n">
        <f aca="false">IF(H29184=1,$C$28861,IF(Assumptions!$I$62=1,MAX(I28859,Assumptions!$G$62)+Assumptions!$F$62+$C$28860,Assumptions!$E$62))</f>
        <v>0.083</v>
      </c>
      <c r="J28937" s="31" t="n">
        <f aca="false">IF(I29184=1,$C$28861,IF(Assumptions!$I$62=1,MAX(J28859,Assumptions!$G$62)+Assumptions!$F$62+$C$28860,Assumptions!$E$62))</f>
        <v>0.083</v>
      </c>
      <c r="K28937" s="31" t="n">
        <f aca="false">IF(J29184=1,$C$28861,IF(Assumptions!$I$62=1,MAX(K28859,Assumptions!$G$62)+Assumptions!$F$62+$C$28860,Assumptions!$E$62))</f>
        <v>0.083</v>
      </c>
    </row>
    <row r="28938" customFormat="false" ht="15" hidden="false" customHeight="false" outlineLevel="0" collapsed="false">
      <c r="A28938" s="3" t="s">
        <v>332</v>
      </c>
      <c r="G28938" s="16" t="n">
        <f aca="false">G28934*G28937</f>
        <v>29.05</v>
      </c>
      <c r="H28938" s="16" t="n">
        <f aca="false">H28934*H28937</f>
        <v>29.05</v>
      </c>
      <c r="I28938" s="16" t="n">
        <f aca="false">I28934*I28937</f>
        <v>29.05</v>
      </c>
      <c r="J28938" s="16" t="n">
        <f aca="false">J28934*J28937</f>
        <v>29.05</v>
      </c>
      <c r="K28938" s="16" t="n">
        <f aca="false">K28934*K28937</f>
        <v>29.05</v>
      </c>
    </row>
    <row r="28939" customFormat="false" ht="15" hidden="false" customHeight="false" outlineLevel="0" collapsed="false">
      <c r="A28939" s="3" t="s">
        <v>333</v>
      </c>
      <c r="G28939" s="16" t="n">
        <f aca="false">G28934*Assumptions!$H$62</f>
        <v>0</v>
      </c>
      <c r="H28939" s="16" t="n">
        <f aca="false">H28934*Assumptions!$H$62</f>
        <v>0</v>
      </c>
      <c r="I28939" s="16" t="n">
        <f aca="false">I28934*Assumptions!$H$62</f>
        <v>0</v>
      </c>
      <c r="J28939" s="16" t="n">
        <f aca="false">J28934*Assumptions!$H$62</f>
        <v>0</v>
      </c>
      <c r="K28939" s="16" t="n">
        <f aca="false">K28934*Assumptions!$H$62</f>
        <v>0</v>
      </c>
    </row>
    <row r="28940" customFormat="false" ht="15" hidden="false" customHeight="false" outlineLevel="0" collapsed="false">
      <c r="A28940" s="3" t="s">
        <v>334</v>
      </c>
      <c r="G28940" s="16" t="n">
        <f aca="false">MIN(G28934,Assumptions!$L$62*Assumptions!$C$62)</f>
        <v>0</v>
      </c>
      <c r="H28940" s="16" t="n">
        <f aca="false">MIN(H28934,Assumptions!$L$62*Assumptions!$C$62)</f>
        <v>0</v>
      </c>
      <c r="I28940" s="16" t="n">
        <f aca="false">MIN(I28934,Assumptions!$L$62*Assumptions!$C$62)</f>
        <v>0</v>
      </c>
      <c r="J28940" s="16" t="n">
        <f aca="false">MIN(J28934,Assumptions!$L$62*Assumptions!$C$62)</f>
        <v>0</v>
      </c>
      <c r="K28940" s="16" t="n">
        <f aca="false">MIN(K28934,Assumptions!$L$62*Assumptions!$C$62)</f>
        <v>0</v>
      </c>
    </row>
    <row r="28941" customFormat="false" ht="15" hidden="false" customHeight="false" outlineLevel="0" collapsed="false">
      <c r="A28941" s="3" t="s">
        <v>335</v>
      </c>
      <c r="G28941" s="16" t="n">
        <f aca="false">IF(AND(Assumptions!$P$62=1,G28833&lt;Assumptions!$K$62),MIN(MAX(0,-G29049),MAX(0,Assumptions!$D$62-G28934)),0)</f>
        <v>0</v>
      </c>
      <c r="H28941" s="16" t="n">
        <f aca="false">IF(AND(Assumptions!$P$62=1,OR(H28833&lt;Assumptions!$K$62,G29184=1)),MIN(MAX(0,-H29049),MAX(0,Assumptions!$D$62-H28934)),0)</f>
        <v>0</v>
      </c>
      <c r="I28941" s="16" t="n">
        <f aca="false">IF(AND(Assumptions!$P$62=1,OR(I28833&lt;Assumptions!$K$62,H29184=1)),MIN(MAX(0,-I29049),MAX(0,Assumptions!$D$62-I28934)),0)</f>
        <v>0</v>
      </c>
      <c r="J28941" s="16" t="n">
        <f aca="false">IF(AND(Assumptions!$P$62=1,OR(J28833&lt;Assumptions!$K$62,I29184=1)),MIN(MAX(0,-J29049),MAX(0,Assumptions!$D$62-J28934)),0)</f>
        <v>0</v>
      </c>
      <c r="K28941" s="16" t="n">
        <f aca="false">IF(AND(Assumptions!$P$62=1,OR(K28833&lt;Assumptions!$K$62,J29184=1)),MIN(MAX(0,-K29049),MAX(0,Assumptions!$D$62-K28934)),0)</f>
        <v>0</v>
      </c>
    </row>
    <row r="28942" customFormat="false" ht="15" hidden="false" customHeight="false" outlineLevel="0" collapsed="false">
      <c r="A28942" s="3" t="s">
        <v>336</v>
      </c>
      <c r="G28942" s="16" t="n">
        <f aca="false">G28935*MIN(G28934-G28940+G28939,MAX(0,G29051-Assumptions!$C$12*G28867-G28877-G28890-G28903-G28916-G28929))</f>
        <v>0</v>
      </c>
      <c r="H28942" s="16" t="n">
        <f aca="false">H28935*MIN(H28934-H28940+H28939,MAX(0,H29051-Assumptions!$C$12*H28867-H28877-H28890-H28903-H28916-H28929))</f>
        <v>0</v>
      </c>
      <c r="I28942" s="16" t="n">
        <f aca="false">I28935*MIN(I28934-I28940+I28939,MAX(0,I29051-Assumptions!$C$12*I28867-I28877-I28890-I28903-I28916-I28929))</f>
        <v>0</v>
      </c>
      <c r="J28942" s="16" t="n">
        <f aca="false">J28935*MIN(J28934-J28940+J28939,MAX(0,J29051-Assumptions!$C$12*J28867-J28877-J28890-J28903-J28916-J28929))</f>
        <v>0</v>
      </c>
      <c r="K28942" s="16" t="n">
        <f aca="false">K28935*MIN(K28934-K28940+K28939,MAX(0,K29051-Assumptions!$C$12*K28867-K28877-K28890-K28903-K28916-K28929))</f>
        <v>0</v>
      </c>
    </row>
    <row r="28943" customFormat="false" ht="15" hidden="false" customHeight="false" outlineLevel="0" collapsed="false">
      <c r="A28943" s="3" t="s">
        <v>337</v>
      </c>
      <c r="G28943" s="16" t="n">
        <f aca="false">Assumptions!$N$62*MIN(G28934+G28941+G28939-G28940-G28942,MAX(0,G29055-G28878-G28891-G28904-G28917-G28930))</f>
        <v>0</v>
      </c>
      <c r="H28943" s="16" t="n">
        <f aca="false">Assumptions!$N$62*MIN(H28934+H28941+H28939-H28940-H28942,MAX(0,H29055-H28878-H28891-H28904-H28917-H28930))</f>
        <v>0</v>
      </c>
      <c r="I28943" s="16" t="n">
        <f aca="false">Assumptions!$N$62*MIN(I28934+I28941+I28939-I28940-I28942,MAX(0,I29055-I28878-I28891-I28904-I28917-I28930))</f>
        <v>0</v>
      </c>
      <c r="J28943" s="16" t="n">
        <f aca="false">Assumptions!$N$62*MIN(J28934+J28941+J28939-J28940-J28942,MAX(0,J29055-J28878-J28891-J28904-J28917-J28930))</f>
        <v>0</v>
      </c>
      <c r="K28943" s="16" t="n">
        <f aca="false">Assumptions!$N$62*MIN(K28934+K28941+K28939-K28940-K28942,MAX(0,K29055-K28878-K28891-K28904-K28917-K28930))</f>
        <v>0</v>
      </c>
    </row>
    <row r="28944" customFormat="false" ht="15" hidden="false" customHeight="false" outlineLevel="0" collapsed="false">
      <c r="A28944" s="3" t="s">
        <v>338</v>
      </c>
      <c r="G28944" s="16" t="n">
        <f aca="false">G28935*(1-G28867)*(G28934-G28940+G28939-G28942)</f>
        <v>0</v>
      </c>
      <c r="H28944" s="16" t="n">
        <f aca="false">H28935*(1-H28867)*(H28934-H28940+H28939-H28942)</f>
        <v>350</v>
      </c>
      <c r="I28944" s="16" t="n">
        <f aca="false">I28935*(1-I28867)*(I28934-I28940+I28939-I28942)</f>
        <v>0</v>
      </c>
      <c r="J28944" s="16" t="n">
        <f aca="false">J28935*(1-J28867)*(J28934-J28940+J28939-J28942)</f>
        <v>0</v>
      </c>
      <c r="K28944" s="16" t="n">
        <f aca="false">K28935*(1-K28867)*(K28934-K28940+K28939-K28942)</f>
        <v>0</v>
      </c>
    </row>
    <row r="28945" customFormat="false" ht="15" hidden="false" customHeight="false" outlineLevel="0" collapsed="false">
      <c r="A28945" s="2" t="s">
        <v>339</v>
      </c>
      <c r="F28945" s="28" t="n">
        <f aca="false">Assumptions!$C$62</f>
        <v>350</v>
      </c>
      <c r="G28945" s="17" t="n">
        <f aca="false">G28934+G28941+G28939-G28940-G28942-G28943</f>
        <v>350</v>
      </c>
      <c r="H28945" s="17" t="n">
        <f aca="false">H28934+H28941+H28939-H28940-H28942-H28943</f>
        <v>350</v>
      </c>
      <c r="I28945" s="17" t="n">
        <f aca="false">I28934+I28941+I28939-I28940-I28942-I28943</f>
        <v>350</v>
      </c>
      <c r="J28945" s="17" t="n">
        <f aca="false">J28934+J28941+J28939-J28940-J28942-J28943</f>
        <v>350</v>
      </c>
      <c r="K28945" s="17" t="n">
        <f aca="false">K28934+K28941+K28939-K28940-K28942-K28943</f>
        <v>350</v>
      </c>
    </row>
    <row r="28946" customFormat="false" ht="15" hidden="false" customHeight="false" outlineLevel="0" collapsed="false">
      <c r="A28946" s="24" t="s">
        <v>345</v>
      </c>
      <c r="B28946" s="25"/>
      <c r="C28946" s="25"/>
      <c r="D28946" s="25"/>
      <c r="E28946" s="25"/>
      <c r="F28946" s="25"/>
      <c r="G28946" s="25"/>
      <c r="H28946" s="25"/>
      <c r="I28946" s="25"/>
      <c r="J28946" s="25"/>
      <c r="K28946" s="25"/>
    </row>
    <row r="28947" customFormat="false" ht="15" hidden="false" customHeight="false" outlineLevel="0" collapsed="false">
      <c r="A28947" s="3" t="s">
        <v>329</v>
      </c>
      <c r="G28947" s="16" t="n">
        <f aca="false">F28958</f>
        <v>550</v>
      </c>
      <c r="H28947" s="16" t="n">
        <f aca="false">G28958</f>
        <v>550</v>
      </c>
      <c r="I28947" s="16" t="n">
        <f aca="false">H28958</f>
        <v>550</v>
      </c>
      <c r="J28947" s="16" t="n">
        <f aca="false">I28958</f>
        <v>550</v>
      </c>
      <c r="K28947" s="16" t="n">
        <f aca="false">J28958</f>
        <v>550</v>
      </c>
    </row>
    <row r="28948" customFormat="false" ht="15" hidden="false" customHeight="false" outlineLevel="0" collapsed="false">
      <c r="A28948" s="3" t="s">
        <v>330</v>
      </c>
      <c r="G28948" s="21" t="n">
        <f aca="false">IF(G28833=Assumptions!$K$63,1,0)</f>
        <v>0</v>
      </c>
      <c r="H28948" s="21" t="n">
        <f aca="false">IF(H28833=Assumptions!$K$63,1,0)</f>
        <v>0</v>
      </c>
      <c r="I28948" s="21" t="n">
        <f aca="false">IF(I28833=Assumptions!$K$63,1,0)</f>
        <v>1</v>
      </c>
      <c r="J28948" s="21" t="n">
        <f aca="false">IF(J28833=Assumptions!$K$63,1,0)</f>
        <v>0</v>
      </c>
      <c r="K28948" s="21" t="n">
        <f aca="false">IF(K28833=Assumptions!$K$63,1,0)</f>
        <v>0</v>
      </c>
    </row>
    <row r="28950" customFormat="false" ht="15" hidden="false" customHeight="false" outlineLevel="0" collapsed="false">
      <c r="A28950" s="3" t="s">
        <v>331</v>
      </c>
      <c r="G28950" s="31" t="n">
        <f aca="false">IF(Assumptions!$I$63=1,MAX(G28859,Assumptions!$G$63)+Assumptions!$F$63+$C$28860,Assumptions!$E$63)</f>
        <v>0.08875</v>
      </c>
      <c r="H28950" s="31" t="n">
        <f aca="false">IF(G29185=1,$C$28861,IF(Assumptions!$I$63=1,MAX(H28859,Assumptions!$G$63)+Assumptions!$F$63+$C$28860,Assumptions!$E$63))</f>
        <v>0.08875</v>
      </c>
      <c r="I28950" s="31" t="n">
        <f aca="false">IF(H29185=1,$C$28861,IF(Assumptions!$I$63=1,MAX(I28859,Assumptions!$G$63)+Assumptions!$F$63+$C$28860,Assumptions!$E$63))</f>
        <v>0.08875</v>
      </c>
      <c r="J28950" s="31" t="n">
        <f aca="false">IF(I29185=1,$C$28861,IF(Assumptions!$I$63=1,MAX(J28859,Assumptions!$G$63)+Assumptions!$F$63+$C$28860,Assumptions!$E$63))</f>
        <v>0.08875</v>
      </c>
      <c r="K28950" s="31" t="n">
        <f aca="false">IF(J29185=1,$C$28861,IF(Assumptions!$I$63=1,MAX(K28859,Assumptions!$G$63)+Assumptions!$F$63+$C$28860,Assumptions!$E$63))</f>
        <v>0.08875</v>
      </c>
    </row>
    <row r="28951" customFormat="false" ht="15" hidden="false" customHeight="false" outlineLevel="0" collapsed="false">
      <c r="A28951" s="3" t="s">
        <v>332</v>
      </c>
      <c r="G28951" s="16" t="n">
        <f aca="false">G28947*G28950</f>
        <v>48.8125</v>
      </c>
      <c r="H28951" s="16" t="n">
        <f aca="false">H28947*H28950</f>
        <v>48.8125</v>
      </c>
      <c r="I28951" s="16" t="n">
        <f aca="false">I28947*I28950</f>
        <v>48.8125</v>
      </c>
      <c r="J28951" s="16" t="n">
        <f aca="false">J28947*J28950</f>
        <v>48.8125</v>
      </c>
      <c r="K28951" s="16" t="n">
        <f aca="false">K28947*K28950</f>
        <v>48.8125</v>
      </c>
    </row>
    <row r="28952" customFormat="false" ht="15" hidden="false" customHeight="false" outlineLevel="0" collapsed="false">
      <c r="A28952" s="3" t="s">
        <v>333</v>
      </c>
      <c r="G28952" s="16" t="n">
        <f aca="false">G28947*Assumptions!$H$63</f>
        <v>0</v>
      </c>
      <c r="H28952" s="16" t="n">
        <f aca="false">H28947*Assumptions!$H$63</f>
        <v>0</v>
      </c>
      <c r="I28952" s="16" t="n">
        <f aca="false">I28947*Assumptions!$H$63</f>
        <v>0</v>
      </c>
      <c r="J28952" s="16" t="n">
        <f aca="false">J28947*Assumptions!$H$63</f>
        <v>0</v>
      </c>
      <c r="K28952" s="16" t="n">
        <f aca="false">K28947*Assumptions!$H$63</f>
        <v>0</v>
      </c>
    </row>
    <row r="28953" customFormat="false" ht="15" hidden="false" customHeight="false" outlineLevel="0" collapsed="false">
      <c r="A28953" s="3" t="s">
        <v>334</v>
      </c>
      <c r="G28953" s="16" t="n">
        <f aca="false">MIN(G28947,Assumptions!$L$63*Assumptions!$C$63)</f>
        <v>0</v>
      </c>
      <c r="H28953" s="16" t="n">
        <f aca="false">MIN(H28947,Assumptions!$L$63*Assumptions!$C$63)</f>
        <v>0</v>
      </c>
      <c r="I28953" s="16" t="n">
        <f aca="false">MIN(I28947,Assumptions!$L$63*Assumptions!$C$63)</f>
        <v>0</v>
      </c>
      <c r="J28953" s="16" t="n">
        <f aca="false">MIN(J28947,Assumptions!$L$63*Assumptions!$C$63)</f>
        <v>0</v>
      </c>
      <c r="K28953" s="16" t="n">
        <f aca="false">MIN(K28947,Assumptions!$L$63*Assumptions!$C$63)</f>
        <v>0</v>
      </c>
    </row>
    <row r="28954" customFormat="false" ht="15" hidden="false" customHeight="false" outlineLevel="0" collapsed="false">
      <c r="A28954" s="3" t="s">
        <v>335</v>
      </c>
      <c r="G28954" s="16" t="n">
        <f aca="false">IF(AND(Assumptions!$P$63=1,G28833&lt;Assumptions!$K$63),MIN(MAX(0,-G29049),MAX(0,Assumptions!$D$63-G28947)),0)</f>
        <v>0</v>
      </c>
      <c r="H28954" s="16" t="n">
        <f aca="false">IF(AND(Assumptions!$P$63=1,OR(H28833&lt;Assumptions!$K$63,G29185=1)),MIN(MAX(0,-H29049),MAX(0,Assumptions!$D$63-H28947)),0)</f>
        <v>0</v>
      </c>
      <c r="I28954" s="16" t="n">
        <f aca="false">IF(AND(Assumptions!$P$63=1,OR(I28833&lt;Assumptions!$K$63,H29185=1)),MIN(MAX(0,-I29049),MAX(0,Assumptions!$D$63-I28947)),0)</f>
        <v>0</v>
      </c>
      <c r="J28954" s="16" t="n">
        <f aca="false">IF(AND(Assumptions!$P$63=1,OR(J28833&lt;Assumptions!$K$63,I29185=1)),MIN(MAX(0,-J29049),MAX(0,Assumptions!$D$63-J28947)),0)</f>
        <v>0</v>
      </c>
      <c r="K28954" s="16" t="n">
        <f aca="false">IF(AND(Assumptions!$P$63=1,OR(K28833&lt;Assumptions!$K$63,J29185=1)),MIN(MAX(0,-K29049),MAX(0,Assumptions!$D$63-K28947)),0)</f>
        <v>0</v>
      </c>
    </row>
    <row r="28955" customFormat="false" ht="15" hidden="false" customHeight="false" outlineLevel="0" collapsed="false">
      <c r="A28955" s="3" t="s">
        <v>336</v>
      </c>
      <c r="G28955" s="16" t="n">
        <f aca="false">G28948*MIN(G28947-G28953+G28952,MAX(0,G29051-Assumptions!$C$12*G28867-G28877-G28890-G28903-G28916-G28929-G28942))</f>
        <v>0</v>
      </c>
      <c r="H28955" s="16" t="n">
        <f aca="false">H28948*MIN(H28947-H28953+H28952,MAX(0,H29051-Assumptions!$C$12*H28867-H28877-H28890-H28903-H28916-H28929-H28942))</f>
        <v>0</v>
      </c>
      <c r="I28955" s="16" t="n">
        <f aca="false">I28948*MIN(I28947-I28953+I28952,MAX(0,I29051-Assumptions!$C$12*I28867-I28877-I28890-I28903-I28916-I28929-I28942))</f>
        <v>0</v>
      </c>
      <c r="J28955" s="16" t="n">
        <f aca="false">J28948*MIN(J28947-J28953+J28952,MAX(0,J29051-Assumptions!$C$12*J28867-J28877-J28890-J28903-J28916-J28929-J28942))</f>
        <v>0</v>
      </c>
      <c r="K28955" s="16" t="n">
        <f aca="false">K28948*MIN(K28947-K28953+K28952,MAX(0,K29051-Assumptions!$C$12*K28867-K28877-K28890-K28903-K28916-K28929-K28942))</f>
        <v>0</v>
      </c>
    </row>
    <row r="28956" customFormat="false" ht="15" hidden="false" customHeight="false" outlineLevel="0" collapsed="false">
      <c r="A28956" s="3" t="s">
        <v>337</v>
      </c>
      <c r="G28956" s="16" t="n">
        <f aca="false">Assumptions!$N$63*MIN(G28947+G28954+G28952-G28953-G28955,MAX(0,G29055-G28878-G28891-G28904-G28917-G28930-G28943))</f>
        <v>0</v>
      </c>
      <c r="H28956" s="16" t="n">
        <f aca="false">Assumptions!$N$63*MIN(H28947+H28954+H28952-H28953-H28955,MAX(0,H29055-H28878-H28891-H28904-H28917-H28930-H28943))</f>
        <v>0</v>
      </c>
      <c r="I28956" s="16" t="n">
        <f aca="false">Assumptions!$N$63*MIN(I28947+I28954+I28952-I28953-I28955,MAX(0,I29055-I28878-I28891-I28904-I28917-I28930-I28943))</f>
        <v>0</v>
      </c>
      <c r="J28956" s="16" t="n">
        <f aca="false">Assumptions!$N$63*MIN(J28947+J28954+J28952-J28953-J28955,MAX(0,J29055-J28878-J28891-J28904-J28917-J28930-J28943))</f>
        <v>0</v>
      </c>
      <c r="K28956" s="16" t="n">
        <f aca="false">Assumptions!$N$63*MIN(K28947+K28954+K28952-K28953-K28955,MAX(0,K29055-K28878-K28891-K28904-K28917-K28930-K28943))</f>
        <v>0</v>
      </c>
    </row>
    <row r="28957" customFormat="false" ht="15" hidden="false" customHeight="false" outlineLevel="0" collapsed="false">
      <c r="A28957" s="3" t="s">
        <v>338</v>
      </c>
      <c r="G28957" s="16" t="n">
        <f aca="false">G28948*(1-G28867)*(G28947-G28953+G28952-G28955)</f>
        <v>0</v>
      </c>
      <c r="H28957" s="16" t="n">
        <f aca="false">H28948*(1-H28867)*(H28947-H28953+H28952-H28955)</f>
        <v>0</v>
      </c>
      <c r="I28957" s="16" t="n">
        <f aca="false">I28948*(1-I28867)*(I28947-I28953+I28952-I28955)</f>
        <v>550</v>
      </c>
      <c r="J28957" s="16" t="n">
        <f aca="false">J28948*(1-J28867)*(J28947-J28953+J28952-J28955)</f>
        <v>0</v>
      </c>
      <c r="K28957" s="16" t="n">
        <f aca="false">K28948*(1-K28867)*(K28947-K28953+K28952-K28955)</f>
        <v>0</v>
      </c>
    </row>
    <row r="28958" customFormat="false" ht="15" hidden="false" customHeight="false" outlineLevel="0" collapsed="false">
      <c r="A28958" s="2" t="s">
        <v>339</v>
      </c>
      <c r="F28958" s="28" t="n">
        <f aca="false">Assumptions!$C$63</f>
        <v>550</v>
      </c>
      <c r="G28958" s="17" t="n">
        <f aca="false">G28947+G28954+G28952-G28953-G28955-G28956</f>
        <v>550</v>
      </c>
      <c r="H28958" s="17" t="n">
        <f aca="false">H28947+H28954+H28952-H28953-H28955-H28956</f>
        <v>550</v>
      </c>
      <c r="I28958" s="17" t="n">
        <f aca="false">I28947+I28954+I28952-I28953-I28955-I28956</f>
        <v>550</v>
      </c>
      <c r="J28958" s="17" t="n">
        <f aca="false">J28947+J28954+J28952-J28953-J28955-J28956</f>
        <v>550</v>
      </c>
      <c r="K28958" s="17" t="n">
        <f aca="false">K28947+K28954+K28952-K28953-K28955-K28956</f>
        <v>550</v>
      </c>
    </row>
    <row r="28959" customFormat="false" ht="15" hidden="false" customHeight="false" outlineLevel="0" collapsed="false">
      <c r="A28959" s="24" t="s">
        <v>346</v>
      </c>
      <c r="B28959" s="25"/>
      <c r="C28959" s="25"/>
      <c r="D28959" s="25"/>
      <c r="E28959" s="25"/>
      <c r="F28959" s="25"/>
      <c r="G28959" s="25"/>
      <c r="H28959" s="25"/>
      <c r="I28959" s="25"/>
      <c r="J28959" s="25"/>
      <c r="K28959" s="25"/>
    </row>
    <row r="28960" customFormat="false" ht="15" hidden="false" customHeight="false" outlineLevel="0" collapsed="false">
      <c r="A28960" s="3" t="s">
        <v>329</v>
      </c>
      <c r="G28960" s="16" t="n">
        <f aca="false">F28971</f>
        <v>350</v>
      </c>
      <c r="H28960" s="16" t="n">
        <f aca="false">G28971</f>
        <v>350</v>
      </c>
      <c r="I28960" s="16" t="n">
        <f aca="false">H28971</f>
        <v>350</v>
      </c>
      <c r="J28960" s="16" t="n">
        <f aca="false">I28971</f>
        <v>350</v>
      </c>
      <c r="K28960" s="16" t="n">
        <f aca="false">J28971</f>
        <v>350</v>
      </c>
    </row>
    <row r="28961" customFormat="false" ht="15" hidden="false" customHeight="false" outlineLevel="0" collapsed="false">
      <c r="A28961" s="3" t="s">
        <v>330</v>
      </c>
      <c r="G28961" s="21" t="n">
        <f aca="false">IF(G28833=Assumptions!$K$64,1,0)</f>
        <v>0</v>
      </c>
      <c r="H28961" s="21" t="n">
        <f aca="false">IF(H28833=Assumptions!$K$64,1,0)</f>
        <v>0</v>
      </c>
      <c r="I28961" s="21" t="n">
        <f aca="false">IF(I28833=Assumptions!$K$64,1,0)</f>
        <v>0</v>
      </c>
      <c r="J28961" s="21" t="n">
        <f aca="false">IF(J28833=Assumptions!$K$64,1,0)</f>
        <v>1</v>
      </c>
      <c r="K28961" s="21" t="n">
        <f aca="false">IF(K28833=Assumptions!$K$64,1,0)</f>
        <v>0</v>
      </c>
    </row>
    <row r="28963" customFormat="false" ht="15" hidden="false" customHeight="false" outlineLevel="0" collapsed="false">
      <c r="A28963" s="3" t="s">
        <v>331</v>
      </c>
      <c r="G28963" s="31" t="n">
        <f aca="false">IF(Assumptions!$I$64=1,MAX(G28859,Assumptions!$G$64)+Assumptions!$F$64+$C$28860,Assumptions!$E$64)</f>
        <v>0.0455</v>
      </c>
      <c r="H28963" s="31" t="n">
        <f aca="false">IF(G29186=1,$C$28861,IF(Assumptions!$I$64=1,MAX(H28859,Assumptions!$G$64)+Assumptions!$F$64+$C$28860,Assumptions!$E$64))</f>
        <v>0.0455</v>
      </c>
      <c r="I28963" s="31" t="n">
        <f aca="false">IF(H29186=1,$C$28861,IF(Assumptions!$I$64=1,MAX(I28859,Assumptions!$G$64)+Assumptions!$F$64+$C$28860,Assumptions!$E$64))</f>
        <v>0.0455</v>
      </c>
      <c r="J28963" s="31" t="n">
        <f aca="false">IF(I29186=1,$C$28861,IF(Assumptions!$I$64=1,MAX(J28859,Assumptions!$G$64)+Assumptions!$F$64+$C$28860,Assumptions!$E$64))</f>
        <v>0.0455</v>
      </c>
      <c r="K28963" s="31" t="n">
        <f aca="false">IF(J29186=1,$C$28861,IF(Assumptions!$I$64=1,MAX(K28859,Assumptions!$G$64)+Assumptions!$F$64+$C$28860,Assumptions!$E$64))</f>
        <v>0.0455</v>
      </c>
    </row>
    <row r="28964" customFormat="false" ht="15" hidden="false" customHeight="false" outlineLevel="0" collapsed="false">
      <c r="A28964" s="3" t="s">
        <v>332</v>
      </c>
      <c r="G28964" s="16" t="n">
        <f aca="false">G28960*G28963</f>
        <v>15.925</v>
      </c>
      <c r="H28964" s="16" t="n">
        <f aca="false">H28960*H28963</f>
        <v>15.925</v>
      </c>
      <c r="I28964" s="16" t="n">
        <f aca="false">I28960*I28963</f>
        <v>15.925</v>
      </c>
      <c r="J28964" s="16" t="n">
        <f aca="false">J28960*J28963</f>
        <v>15.925</v>
      </c>
      <c r="K28964" s="16" t="n">
        <f aca="false">K28960*K28963</f>
        <v>15.925</v>
      </c>
    </row>
    <row r="28965" customFormat="false" ht="15" hidden="false" customHeight="false" outlineLevel="0" collapsed="false">
      <c r="A28965" s="3" t="s">
        <v>333</v>
      </c>
      <c r="G28965" s="16" t="n">
        <f aca="false">G28960*Assumptions!$H$64</f>
        <v>0</v>
      </c>
      <c r="H28965" s="16" t="n">
        <f aca="false">H28960*Assumptions!$H$64</f>
        <v>0</v>
      </c>
      <c r="I28965" s="16" t="n">
        <f aca="false">I28960*Assumptions!$H$64</f>
        <v>0</v>
      </c>
      <c r="J28965" s="16" t="n">
        <f aca="false">J28960*Assumptions!$H$64</f>
        <v>0</v>
      </c>
      <c r="K28965" s="16" t="n">
        <f aca="false">K28960*Assumptions!$H$64</f>
        <v>0</v>
      </c>
    </row>
    <row r="28966" customFormat="false" ht="15" hidden="false" customHeight="false" outlineLevel="0" collapsed="false">
      <c r="A28966" s="3" t="s">
        <v>334</v>
      </c>
      <c r="G28966" s="16" t="n">
        <f aca="false">MIN(G28960,Assumptions!$L$64*Assumptions!$C$64)</f>
        <v>0</v>
      </c>
      <c r="H28966" s="16" t="n">
        <f aca="false">MIN(H28960,Assumptions!$L$64*Assumptions!$C$64)</f>
        <v>0</v>
      </c>
      <c r="I28966" s="16" t="n">
        <f aca="false">MIN(I28960,Assumptions!$L$64*Assumptions!$C$64)</f>
        <v>0</v>
      </c>
      <c r="J28966" s="16" t="n">
        <f aca="false">MIN(J28960,Assumptions!$L$64*Assumptions!$C$64)</f>
        <v>0</v>
      </c>
      <c r="K28966" s="16" t="n">
        <f aca="false">MIN(K28960,Assumptions!$L$64*Assumptions!$C$64)</f>
        <v>0</v>
      </c>
    </row>
    <row r="28967" customFormat="false" ht="15" hidden="false" customHeight="false" outlineLevel="0" collapsed="false">
      <c r="A28967" s="3" t="s">
        <v>335</v>
      </c>
      <c r="G28967" s="16" t="n">
        <f aca="false">IF(AND(Assumptions!$P$64=1,G28833&lt;Assumptions!$K$64),MIN(MAX(0,-G29049),MAX(0,Assumptions!$D$64-G28960)),0)</f>
        <v>0</v>
      </c>
      <c r="H28967" s="16" t="n">
        <f aca="false">IF(AND(Assumptions!$P$64=1,OR(H28833&lt;Assumptions!$K$64,G29186=1)),MIN(MAX(0,-H29049),MAX(0,Assumptions!$D$64-H28960)),0)</f>
        <v>0</v>
      </c>
      <c r="I28967" s="16" t="n">
        <f aca="false">IF(AND(Assumptions!$P$64=1,OR(I28833&lt;Assumptions!$K$64,H29186=1)),MIN(MAX(0,-I29049),MAX(0,Assumptions!$D$64-I28960)),0)</f>
        <v>0</v>
      </c>
      <c r="J28967" s="16" t="n">
        <f aca="false">IF(AND(Assumptions!$P$64=1,OR(J28833&lt;Assumptions!$K$64,I29186=1)),MIN(MAX(0,-J29049),MAX(0,Assumptions!$D$64-J28960)),0)</f>
        <v>0</v>
      </c>
      <c r="K28967" s="16" t="n">
        <f aca="false">IF(AND(Assumptions!$P$64=1,OR(K28833&lt;Assumptions!$K$64,J29186=1)),MIN(MAX(0,-K29049),MAX(0,Assumptions!$D$64-K28960)),0)</f>
        <v>0</v>
      </c>
    </row>
    <row r="28968" customFormat="false" ht="15" hidden="false" customHeight="false" outlineLevel="0" collapsed="false">
      <c r="A28968" s="3" t="s">
        <v>336</v>
      </c>
      <c r="G28968" s="16" t="n">
        <f aca="false">G28961*MIN(G28960-G28966+G28965,MAX(0,G29051-Assumptions!$C$12*G28867-G28877-G28890-G28903-G28916-G28929-G28942-G28955))</f>
        <v>0</v>
      </c>
      <c r="H28968" s="16" t="n">
        <f aca="false">H28961*MIN(H28960-H28966+H28965,MAX(0,H29051-Assumptions!$C$12*H28867-H28877-H28890-H28903-H28916-H28929-H28942-H28955))</f>
        <v>0</v>
      </c>
      <c r="I28968" s="16" t="n">
        <f aca="false">I28961*MIN(I28960-I28966+I28965,MAX(0,I29051-Assumptions!$C$12*I28867-I28877-I28890-I28903-I28916-I28929-I28942-I28955))</f>
        <v>0</v>
      </c>
      <c r="J28968" s="16" t="n">
        <f aca="false">J28961*MIN(J28960-J28966+J28965,MAX(0,J29051-Assumptions!$C$12*J28867-J28877-J28890-J28903-J28916-J28929-J28942-J28955))</f>
        <v>0</v>
      </c>
      <c r="K28968" s="16" t="n">
        <f aca="false">K28961*MIN(K28960-K28966+K28965,MAX(0,K29051-Assumptions!$C$12*K28867-K28877-K28890-K28903-K28916-K28929-K28942-K28955))</f>
        <v>0</v>
      </c>
    </row>
    <row r="28969" customFormat="false" ht="15" hidden="false" customHeight="false" outlineLevel="0" collapsed="false">
      <c r="A28969" s="3" t="s">
        <v>337</v>
      </c>
      <c r="G28969" s="16" t="n">
        <f aca="false">Assumptions!$N$64*MIN(G28960+G28967+G28965-G28966-G28968,MAX(0,G29055-G28878-G28891-G28904-G28917-G28930-G28943-G28956))</f>
        <v>0</v>
      </c>
      <c r="H28969" s="16" t="n">
        <f aca="false">Assumptions!$N$64*MIN(H28960+H28967+H28965-H28966-H28968,MAX(0,H29055-H28878-H28891-H28904-H28917-H28930-H28943-H28956))</f>
        <v>0</v>
      </c>
      <c r="I28969" s="16" t="n">
        <f aca="false">Assumptions!$N$64*MIN(I28960+I28967+I28965-I28966-I28968,MAX(0,I29055-I28878-I28891-I28904-I28917-I28930-I28943-I28956))</f>
        <v>0</v>
      </c>
      <c r="J28969" s="16" t="n">
        <f aca="false">Assumptions!$N$64*MIN(J28960+J28967+J28965-J28966-J28968,MAX(0,J29055-J28878-J28891-J28904-J28917-J28930-J28943-J28956))</f>
        <v>0</v>
      </c>
      <c r="K28969" s="16" t="n">
        <f aca="false">Assumptions!$N$64*MIN(K28960+K28967+K28965-K28966-K28968,MAX(0,K29055-K28878-K28891-K28904-K28917-K28930-K28943-K28956))</f>
        <v>0</v>
      </c>
    </row>
    <row r="28970" customFormat="false" ht="15" hidden="false" customHeight="false" outlineLevel="0" collapsed="false">
      <c r="A28970" s="3" t="s">
        <v>338</v>
      </c>
      <c r="G28970" s="16" t="n">
        <f aca="false">G28961*(1-G28867)*(G28960-G28966+G28965-G28968)</f>
        <v>0</v>
      </c>
      <c r="H28970" s="16" t="n">
        <f aca="false">H28961*(1-H28867)*(H28960-H28966+H28965-H28968)</f>
        <v>0</v>
      </c>
      <c r="I28970" s="16" t="n">
        <f aca="false">I28961*(1-I28867)*(I28960-I28966+I28965-I28968)</f>
        <v>0</v>
      </c>
      <c r="J28970" s="16" t="n">
        <f aca="false">J28961*(1-J28867)*(J28960-J28966+J28965-J28968)</f>
        <v>350</v>
      </c>
      <c r="K28970" s="16" t="n">
        <f aca="false">K28961*(1-K28867)*(K28960-K28966+K28965-K28968)</f>
        <v>0</v>
      </c>
    </row>
    <row r="28971" customFormat="false" ht="15" hidden="false" customHeight="false" outlineLevel="0" collapsed="false">
      <c r="A28971" s="2" t="s">
        <v>339</v>
      </c>
      <c r="F28971" s="28" t="n">
        <f aca="false">Assumptions!$C$64</f>
        <v>350</v>
      </c>
      <c r="G28971" s="17" t="n">
        <f aca="false">G28960+G28967+G28965-G28966-G28968-G28969</f>
        <v>350</v>
      </c>
      <c r="H28971" s="17" t="n">
        <f aca="false">H28960+H28967+H28965-H28966-H28968-H28969</f>
        <v>350</v>
      </c>
      <c r="I28971" s="17" t="n">
        <f aca="false">I28960+I28967+I28965-I28966-I28968-I28969</f>
        <v>350</v>
      </c>
      <c r="J28971" s="17" t="n">
        <f aca="false">J28960+J28967+J28965-J28966-J28968-J28969</f>
        <v>350</v>
      </c>
      <c r="K28971" s="17" t="n">
        <f aca="false">K28960+K28967+K28965-K28966-K28968-K28969</f>
        <v>350</v>
      </c>
    </row>
    <row r="28972" customFormat="false" ht="15" hidden="false" customHeight="false" outlineLevel="0" collapsed="false">
      <c r="A28972" s="24" t="s">
        <v>347</v>
      </c>
      <c r="B28972" s="25"/>
      <c r="C28972" s="25"/>
      <c r="D28972" s="25"/>
      <c r="E28972" s="25"/>
      <c r="F28972" s="25"/>
      <c r="G28972" s="25"/>
      <c r="H28972" s="25"/>
      <c r="I28972" s="25"/>
      <c r="J28972" s="25"/>
      <c r="K28972" s="25"/>
    </row>
    <row r="28973" customFormat="false" ht="15" hidden="false" customHeight="false" outlineLevel="0" collapsed="false">
      <c r="A28973" s="3" t="s">
        <v>329</v>
      </c>
      <c r="G28973" s="16" t="n">
        <f aca="false">F28984</f>
        <v>300</v>
      </c>
      <c r="H28973" s="16" t="n">
        <f aca="false">G28984</f>
        <v>300</v>
      </c>
      <c r="I28973" s="16" t="n">
        <f aca="false">H28984</f>
        <v>300</v>
      </c>
      <c r="J28973" s="16" t="n">
        <f aca="false">I28984</f>
        <v>300</v>
      </c>
      <c r="K28973" s="16" t="n">
        <f aca="false">J28984</f>
        <v>300</v>
      </c>
    </row>
    <row r="28974" customFormat="false" ht="15" hidden="false" customHeight="false" outlineLevel="0" collapsed="false">
      <c r="A28974" s="3" t="s">
        <v>330</v>
      </c>
      <c r="G28974" s="21" t="n">
        <f aca="false">IF(G28833=Assumptions!$K$65,1,0)</f>
        <v>0</v>
      </c>
      <c r="H28974" s="21" t="n">
        <f aca="false">IF(H28833=Assumptions!$K$65,1,0)</f>
        <v>0</v>
      </c>
      <c r="I28974" s="21" t="n">
        <f aca="false">IF(I28833=Assumptions!$K$65,1,0)</f>
        <v>0</v>
      </c>
      <c r="J28974" s="21" t="n">
        <f aca="false">IF(J28833=Assumptions!$K$65,1,0)</f>
        <v>0</v>
      </c>
      <c r="K28974" s="21" t="n">
        <f aca="false">IF(K28833=Assumptions!$K$65,1,0)</f>
        <v>1</v>
      </c>
    </row>
    <row r="28976" customFormat="false" ht="15" hidden="false" customHeight="false" outlineLevel="0" collapsed="false">
      <c r="A28976" s="3" t="s">
        <v>331</v>
      </c>
      <c r="G28976" s="31" t="n">
        <f aca="false">IF(Assumptions!$I$65=1,MAX(G28859,Assumptions!$G$65)+Assumptions!$F$65+$C$28860,Assumptions!$E$65)</f>
        <v>0.06125</v>
      </c>
      <c r="H28976" s="31" t="n">
        <f aca="false">IF(G29187=1,$C$28861,IF(Assumptions!$I$65=1,MAX(H28859,Assumptions!$G$65)+Assumptions!$F$65+$C$28860,Assumptions!$E$65))</f>
        <v>0.06125</v>
      </c>
      <c r="I28976" s="31" t="n">
        <f aca="false">IF(H29187=1,$C$28861,IF(Assumptions!$I$65=1,MAX(I28859,Assumptions!$G$65)+Assumptions!$F$65+$C$28860,Assumptions!$E$65))</f>
        <v>0.06125</v>
      </c>
      <c r="J28976" s="31" t="n">
        <f aca="false">IF(I29187=1,$C$28861,IF(Assumptions!$I$65=1,MAX(J28859,Assumptions!$G$65)+Assumptions!$F$65+$C$28860,Assumptions!$E$65))</f>
        <v>0.06125</v>
      </c>
      <c r="K28976" s="31" t="n">
        <f aca="false">IF(J29187=1,$C$28861,IF(Assumptions!$I$65=1,MAX(K28859,Assumptions!$G$65)+Assumptions!$F$65+$C$28860,Assumptions!$E$65))</f>
        <v>0.06125</v>
      </c>
    </row>
    <row r="28977" customFormat="false" ht="15" hidden="false" customHeight="false" outlineLevel="0" collapsed="false">
      <c r="A28977" s="3" t="s">
        <v>332</v>
      </c>
      <c r="G28977" s="16" t="n">
        <f aca="false">G28973*G28976</f>
        <v>18.375</v>
      </c>
      <c r="H28977" s="16" t="n">
        <f aca="false">H28973*H28976</f>
        <v>18.375</v>
      </c>
      <c r="I28977" s="16" t="n">
        <f aca="false">I28973*I28976</f>
        <v>18.375</v>
      </c>
      <c r="J28977" s="16" t="n">
        <f aca="false">J28973*J28976</f>
        <v>18.375</v>
      </c>
      <c r="K28977" s="16" t="n">
        <f aca="false">K28973*K28976</f>
        <v>18.375</v>
      </c>
    </row>
    <row r="28978" customFormat="false" ht="15" hidden="false" customHeight="false" outlineLevel="0" collapsed="false">
      <c r="A28978" s="3" t="s">
        <v>333</v>
      </c>
      <c r="G28978" s="16" t="n">
        <f aca="false">G28973*Assumptions!$H$65</f>
        <v>0</v>
      </c>
      <c r="H28978" s="16" t="n">
        <f aca="false">H28973*Assumptions!$H$65</f>
        <v>0</v>
      </c>
      <c r="I28978" s="16" t="n">
        <f aca="false">I28973*Assumptions!$H$65</f>
        <v>0</v>
      </c>
      <c r="J28978" s="16" t="n">
        <f aca="false">J28973*Assumptions!$H$65</f>
        <v>0</v>
      </c>
      <c r="K28978" s="16" t="n">
        <f aca="false">K28973*Assumptions!$H$65</f>
        <v>0</v>
      </c>
    </row>
    <row r="28979" customFormat="false" ht="15" hidden="false" customHeight="false" outlineLevel="0" collapsed="false">
      <c r="A28979" s="3" t="s">
        <v>334</v>
      </c>
      <c r="G28979" s="16" t="n">
        <f aca="false">MIN(G28973,Assumptions!$L$65*Assumptions!$C$65)</f>
        <v>0</v>
      </c>
      <c r="H28979" s="16" t="n">
        <f aca="false">MIN(H28973,Assumptions!$L$65*Assumptions!$C$65)</f>
        <v>0</v>
      </c>
      <c r="I28979" s="16" t="n">
        <f aca="false">MIN(I28973,Assumptions!$L$65*Assumptions!$C$65)</f>
        <v>0</v>
      </c>
      <c r="J28979" s="16" t="n">
        <f aca="false">MIN(J28973,Assumptions!$L$65*Assumptions!$C$65)</f>
        <v>0</v>
      </c>
      <c r="K28979" s="16" t="n">
        <f aca="false">MIN(K28973,Assumptions!$L$65*Assumptions!$C$65)</f>
        <v>0</v>
      </c>
    </row>
    <row r="28980" customFormat="false" ht="15" hidden="false" customHeight="false" outlineLevel="0" collapsed="false">
      <c r="A28980" s="3" t="s">
        <v>335</v>
      </c>
      <c r="G28980" s="16" t="n">
        <f aca="false">IF(AND(Assumptions!$P$65=1,G28833&lt;Assumptions!$K$65),MIN(MAX(0,-G29049),MAX(0,Assumptions!$D$65-G28973)),0)</f>
        <v>0</v>
      </c>
      <c r="H28980" s="16" t="n">
        <f aca="false">IF(AND(Assumptions!$P$65=1,OR(H28833&lt;Assumptions!$K$65,G29187=1)),MIN(MAX(0,-H29049),MAX(0,Assumptions!$D$65-H28973)),0)</f>
        <v>0</v>
      </c>
      <c r="I28980" s="16" t="n">
        <f aca="false">IF(AND(Assumptions!$P$65=1,OR(I28833&lt;Assumptions!$K$65,H29187=1)),MIN(MAX(0,-I29049),MAX(0,Assumptions!$D$65-I28973)),0)</f>
        <v>0</v>
      </c>
      <c r="J28980" s="16" t="n">
        <f aca="false">IF(AND(Assumptions!$P$65=1,OR(J28833&lt;Assumptions!$K$65,I29187=1)),MIN(MAX(0,-J29049),MAX(0,Assumptions!$D$65-J28973)),0)</f>
        <v>0</v>
      </c>
      <c r="K28980" s="16" t="n">
        <f aca="false">IF(AND(Assumptions!$P$65=1,OR(K28833&lt;Assumptions!$K$65,J29187=1)),MIN(MAX(0,-K29049),MAX(0,Assumptions!$D$65-K28973)),0)</f>
        <v>0</v>
      </c>
    </row>
    <row r="28981" customFormat="false" ht="15" hidden="false" customHeight="false" outlineLevel="0" collapsed="false">
      <c r="A28981" s="3" t="s">
        <v>336</v>
      </c>
      <c r="G28981" s="16" t="n">
        <f aca="false">G28974*MIN(G28973-G28979+G28978,MAX(0,G29051-Assumptions!$C$12*G28867-G28877-G28890-G28903-G28916-G28929-G28942-G28955-G28968))</f>
        <v>0</v>
      </c>
      <c r="H28981" s="16" t="n">
        <f aca="false">H28974*MIN(H28973-H28979+H28978,MAX(0,H29051-Assumptions!$C$12*H28867-H28877-H28890-H28903-H28916-H28929-H28942-H28955-H28968))</f>
        <v>0</v>
      </c>
      <c r="I28981" s="16" t="n">
        <f aca="false">I28974*MIN(I28973-I28979+I28978,MAX(0,I29051-Assumptions!$C$12*I28867-I28877-I28890-I28903-I28916-I28929-I28942-I28955-I28968))</f>
        <v>0</v>
      </c>
      <c r="J28981" s="16" t="n">
        <f aca="false">J28974*MIN(J28973-J28979+J28978,MAX(0,J29051-Assumptions!$C$12*J28867-J28877-J28890-J28903-J28916-J28929-J28942-J28955-J28968))</f>
        <v>0</v>
      </c>
      <c r="K28981" s="16" t="n">
        <f aca="false">K28974*MIN(K28973-K28979+K28978,MAX(0,K29051-Assumptions!$C$12*K28867-K28877-K28890-K28903-K28916-K28929-K28942-K28955-K28968))</f>
        <v>0</v>
      </c>
    </row>
    <row r="28982" customFormat="false" ht="15" hidden="false" customHeight="false" outlineLevel="0" collapsed="false">
      <c r="A28982" s="3" t="s">
        <v>337</v>
      </c>
      <c r="G28982" s="16" t="n">
        <f aca="false">Assumptions!$N$65*MIN(G28973+G28980+G28978-G28979-G28981,MAX(0,G29055-G28878-G28891-G28904-G28917-G28930-G28943-G28956-G28969))</f>
        <v>0</v>
      </c>
      <c r="H28982" s="16" t="n">
        <f aca="false">Assumptions!$N$65*MIN(H28973+H28980+H28978-H28979-H28981,MAX(0,H29055-H28878-H28891-H28904-H28917-H28930-H28943-H28956-H28969))</f>
        <v>0</v>
      </c>
      <c r="I28982" s="16" t="n">
        <f aca="false">Assumptions!$N$65*MIN(I28973+I28980+I28978-I28979-I28981,MAX(0,I29055-I28878-I28891-I28904-I28917-I28930-I28943-I28956-I28969))</f>
        <v>0</v>
      </c>
      <c r="J28982" s="16" t="n">
        <f aca="false">Assumptions!$N$65*MIN(J28973+J28980+J28978-J28979-J28981,MAX(0,J29055-J28878-J28891-J28904-J28917-J28930-J28943-J28956-J28969))</f>
        <v>0</v>
      </c>
      <c r="K28982" s="16" t="n">
        <f aca="false">Assumptions!$N$65*MIN(K28973+K28980+K28978-K28979-K28981,MAX(0,K29055-K28878-K28891-K28904-K28917-K28930-K28943-K28956-K28969))</f>
        <v>0</v>
      </c>
    </row>
    <row r="28983" customFormat="false" ht="15" hidden="false" customHeight="false" outlineLevel="0" collapsed="false">
      <c r="A28983" s="3" t="s">
        <v>338</v>
      </c>
      <c r="G28983" s="16" t="n">
        <f aca="false">G28974*(1-G28867)*(G28973-G28979+G28978-G28981)</f>
        <v>0</v>
      </c>
      <c r="H28983" s="16" t="n">
        <f aca="false">H28974*(1-H28867)*(H28973-H28979+H28978-H28981)</f>
        <v>0</v>
      </c>
      <c r="I28983" s="16" t="n">
        <f aca="false">I28974*(1-I28867)*(I28973-I28979+I28978-I28981)</f>
        <v>0</v>
      </c>
      <c r="J28983" s="16" t="n">
        <f aca="false">J28974*(1-J28867)*(J28973-J28979+J28978-J28981)</f>
        <v>0</v>
      </c>
      <c r="K28983" s="16" t="n">
        <f aca="false">K28974*(1-K28867)*(K28973-K28979+K28978-K28981)</f>
        <v>300</v>
      </c>
    </row>
    <row r="28984" customFormat="false" ht="15" hidden="false" customHeight="false" outlineLevel="0" collapsed="false">
      <c r="A28984" s="2" t="s">
        <v>339</v>
      </c>
      <c r="F28984" s="28" t="n">
        <f aca="false">Assumptions!$C$65</f>
        <v>300</v>
      </c>
      <c r="G28984" s="17" t="n">
        <f aca="false">G28973+G28980+G28978-G28979-G28981-G28982</f>
        <v>300</v>
      </c>
      <c r="H28984" s="17" t="n">
        <f aca="false">H28973+H28980+H28978-H28979-H28981-H28982</f>
        <v>300</v>
      </c>
      <c r="I28984" s="17" t="n">
        <f aca="false">I28973+I28980+I28978-I28979-I28981-I28982</f>
        <v>300</v>
      </c>
      <c r="J28984" s="17" t="n">
        <f aca="false">J28973+J28980+J28978-J28979-J28981-J28982</f>
        <v>300</v>
      </c>
      <c r="K28984" s="17" t="n">
        <f aca="false">K28973+K28980+K28978-K28979-K28981-K28982</f>
        <v>300</v>
      </c>
    </row>
    <row r="28985" customFormat="false" ht="15" hidden="false" customHeight="false" outlineLevel="0" collapsed="false">
      <c r="A28985" s="24" t="s">
        <v>348</v>
      </c>
      <c r="B28985" s="25"/>
      <c r="C28985" s="25"/>
      <c r="D28985" s="25"/>
      <c r="E28985" s="25"/>
      <c r="F28985" s="25"/>
      <c r="G28985" s="25"/>
      <c r="H28985" s="25"/>
      <c r="I28985" s="25"/>
      <c r="J28985" s="25"/>
      <c r="K28985" s="25"/>
    </row>
    <row r="28986" customFormat="false" ht="15" hidden="false" customHeight="false" outlineLevel="0" collapsed="false">
      <c r="A28986" s="3" t="s">
        <v>329</v>
      </c>
      <c r="G28986" s="16" t="n">
        <f aca="false">F28997</f>
        <v>78.61</v>
      </c>
      <c r="H28986" s="16" t="n">
        <f aca="false">G28997</f>
        <v>78.61</v>
      </c>
      <c r="I28986" s="16" t="n">
        <f aca="false">H28997</f>
        <v>78.61</v>
      </c>
      <c r="J28986" s="16" t="n">
        <f aca="false">I28997</f>
        <v>78.61</v>
      </c>
      <c r="K28986" s="16" t="n">
        <f aca="false">J28997</f>
        <v>78.61</v>
      </c>
    </row>
    <row r="28987" customFormat="false" ht="15" hidden="false" customHeight="false" outlineLevel="0" collapsed="false">
      <c r="A28987" s="3" t="s">
        <v>330</v>
      </c>
      <c r="G28987" s="21" t="n">
        <f aca="false">IF(G28833=Assumptions!$K$66,1,0)</f>
        <v>0</v>
      </c>
      <c r="H28987" s="21" t="n">
        <f aca="false">IF(H28833=Assumptions!$K$66,1,0)</f>
        <v>0</v>
      </c>
      <c r="I28987" s="21" t="n">
        <f aca="false">IF(I28833=Assumptions!$K$66,1,0)</f>
        <v>0</v>
      </c>
      <c r="J28987" s="21" t="n">
        <f aca="false">IF(J28833=Assumptions!$K$66,1,0)</f>
        <v>0</v>
      </c>
      <c r="K28987" s="21" t="n">
        <f aca="false">IF(K28833=Assumptions!$K$66,1,0)</f>
        <v>0</v>
      </c>
    </row>
    <row r="28989" customFormat="false" ht="15" hidden="false" customHeight="false" outlineLevel="0" collapsed="false">
      <c r="A28989" s="3" t="s">
        <v>331</v>
      </c>
      <c r="G28989" s="31" t="n">
        <f aca="false">IF(Assumptions!$I$66=1,MAX(G28859,Assumptions!$G$66)+Assumptions!$F$66+$C$28860,Assumptions!$E$66)</f>
        <v>0.0791</v>
      </c>
      <c r="H28989" s="31" t="n">
        <f aca="false">IF(G29188=1,$C$28861,IF(Assumptions!$I$66=1,MAX(H28859,Assumptions!$G$66)+Assumptions!$F$66+$C$28860,Assumptions!$E$66))</f>
        <v>0.0776</v>
      </c>
      <c r="I28989" s="31" t="n">
        <f aca="false">IF(H29188=1,$C$28861,IF(Assumptions!$I$66=1,MAX(I28859,Assumptions!$G$66)+Assumptions!$F$66+$C$28860,Assumptions!$E$66))</f>
        <v>0.0751</v>
      </c>
      <c r="J28989" s="31" t="n">
        <f aca="false">IF(I29188=1,$C$28861,IF(Assumptions!$I$66=1,MAX(J28859,Assumptions!$G$66)+Assumptions!$F$66+$C$28860,Assumptions!$E$66))</f>
        <v>0.0751</v>
      </c>
      <c r="K28989" s="31" t="n">
        <f aca="false">IF(J29188=1,$C$28861,IF(Assumptions!$I$66=1,MAX(K28859,Assumptions!$G$66)+Assumptions!$F$66+$C$28860,Assumptions!$E$66))</f>
        <v>0.0751</v>
      </c>
    </row>
    <row r="28990" customFormat="false" ht="15" hidden="false" customHeight="false" outlineLevel="0" collapsed="false">
      <c r="A28990" s="3" t="s">
        <v>332</v>
      </c>
      <c r="G28990" s="16" t="n">
        <f aca="false">G28986*G28989</f>
        <v>6.218051</v>
      </c>
      <c r="H28990" s="16" t="n">
        <f aca="false">H28986*H28989</f>
        <v>6.100136</v>
      </c>
      <c r="I28990" s="16" t="n">
        <f aca="false">I28986*I28989</f>
        <v>5.903611</v>
      </c>
      <c r="J28990" s="16" t="n">
        <f aca="false">J28986*J28989</f>
        <v>5.903611</v>
      </c>
      <c r="K28990" s="16" t="n">
        <f aca="false">K28986*K28989</f>
        <v>5.903611</v>
      </c>
    </row>
    <row r="28991" customFormat="false" ht="15" hidden="false" customHeight="false" outlineLevel="0" collapsed="false">
      <c r="A28991" s="3" t="s">
        <v>333</v>
      </c>
      <c r="G28991" s="16" t="n">
        <f aca="false">G28986*Assumptions!$H$66</f>
        <v>0</v>
      </c>
      <c r="H28991" s="16" t="n">
        <f aca="false">H28986*Assumptions!$H$66</f>
        <v>0</v>
      </c>
      <c r="I28991" s="16" t="n">
        <f aca="false">I28986*Assumptions!$H$66</f>
        <v>0</v>
      </c>
      <c r="J28991" s="16" t="n">
        <f aca="false">J28986*Assumptions!$H$66</f>
        <v>0</v>
      </c>
      <c r="K28991" s="16" t="n">
        <f aca="false">K28986*Assumptions!$H$66</f>
        <v>0</v>
      </c>
    </row>
    <row r="28992" customFormat="false" ht="15" hidden="false" customHeight="false" outlineLevel="0" collapsed="false">
      <c r="A28992" s="3" t="s">
        <v>334</v>
      </c>
      <c r="G28992" s="16" t="n">
        <f aca="false">MIN(G28986,Assumptions!$L$66*Assumptions!$C$66)</f>
        <v>0</v>
      </c>
      <c r="H28992" s="16" t="n">
        <f aca="false">MIN(H28986,Assumptions!$L$66*Assumptions!$C$66)</f>
        <v>0</v>
      </c>
      <c r="I28992" s="16" t="n">
        <f aca="false">MIN(I28986,Assumptions!$L$66*Assumptions!$C$66)</f>
        <v>0</v>
      </c>
      <c r="J28992" s="16" t="n">
        <f aca="false">MIN(J28986,Assumptions!$L$66*Assumptions!$C$66)</f>
        <v>0</v>
      </c>
      <c r="K28992" s="16" t="n">
        <f aca="false">MIN(K28986,Assumptions!$L$66*Assumptions!$C$66)</f>
        <v>0</v>
      </c>
    </row>
    <row r="28993" customFormat="false" ht="15" hidden="false" customHeight="false" outlineLevel="0" collapsed="false">
      <c r="A28993" s="3" t="s">
        <v>335</v>
      </c>
      <c r="G28993" s="16" t="n">
        <f aca="false">IF(AND(Assumptions!$P$66=1,G28833&lt;Assumptions!$K$66),MIN(MAX(0,-G29049),MAX(0,Assumptions!$D$66-G28986)),0)</f>
        <v>0</v>
      </c>
      <c r="H28993" s="16" t="n">
        <f aca="false">IF(AND(Assumptions!$P$66=1,OR(H28833&lt;Assumptions!$K$66,G29188=1)),MIN(MAX(0,-H29049),MAX(0,Assumptions!$D$66-H28986)),0)</f>
        <v>0</v>
      </c>
      <c r="I28993" s="16" t="n">
        <f aca="false">IF(AND(Assumptions!$P$66=1,OR(I28833&lt;Assumptions!$K$66,H29188=1)),MIN(MAX(0,-I29049),MAX(0,Assumptions!$D$66-I28986)),0)</f>
        <v>0</v>
      </c>
      <c r="J28993" s="16" t="n">
        <f aca="false">IF(AND(Assumptions!$P$66=1,OR(J28833&lt;Assumptions!$K$66,I29188=1)),MIN(MAX(0,-J29049),MAX(0,Assumptions!$D$66-J28986)),0)</f>
        <v>0</v>
      </c>
      <c r="K28993" s="16" t="n">
        <f aca="false">IF(AND(Assumptions!$P$66=1,OR(K28833&lt;Assumptions!$K$66,J29188=1)),MIN(MAX(0,-K29049),MAX(0,Assumptions!$D$66-K28986)),0)</f>
        <v>0</v>
      </c>
    </row>
    <row r="28994" customFormat="false" ht="15" hidden="false" customHeight="false" outlineLevel="0" collapsed="false">
      <c r="A28994" s="3" t="s">
        <v>336</v>
      </c>
      <c r="G28994" s="16" t="n">
        <f aca="false">G28987*MIN(G28986-G28992+G28991,MAX(0,G29051-Assumptions!$C$12*G28867-G28877-G28890-G28903-G28916-G28929-G28942-G28955-G28968-G28981))</f>
        <v>0</v>
      </c>
      <c r="H28994" s="16" t="n">
        <f aca="false">H28987*MIN(H28986-H28992+H28991,MAX(0,H29051-Assumptions!$C$12*H28867-H28877-H28890-H28903-H28916-H28929-H28942-H28955-H28968-H28981))</f>
        <v>0</v>
      </c>
      <c r="I28994" s="16" t="n">
        <f aca="false">I28987*MIN(I28986-I28992+I28991,MAX(0,I29051-Assumptions!$C$12*I28867-I28877-I28890-I28903-I28916-I28929-I28942-I28955-I28968-I28981))</f>
        <v>0</v>
      </c>
      <c r="J28994" s="16" t="n">
        <f aca="false">J28987*MIN(J28986-J28992+J28991,MAX(0,J29051-Assumptions!$C$12*J28867-J28877-J28890-J28903-J28916-J28929-J28942-J28955-J28968-J28981))</f>
        <v>0</v>
      </c>
      <c r="K28994" s="16" t="n">
        <f aca="false">K28987*MIN(K28986-K28992+K28991,MAX(0,K29051-Assumptions!$C$12*K28867-K28877-K28890-K28903-K28916-K28929-K28942-K28955-K28968-K28981))</f>
        <v>0</v>
      </c>
    </row>
    <row r="28995" customFormat="false" ht="15" hidden="false" customHeight="false" outlineLevel="0" collapsed="false">
      <c r="A28995" s="3" t="s">
        <v>337</v>
      </c>
      <c r="G28995" s="16" t="n">
        <f aca="false">Assumptions!$N$66*MIN(G28986+G28993+G28991-G28992-G28994,MAX(0,G29055-G28878-G28891-G28904-G28917-G28930-G28943-G28956-G28969-G28982))</f>
        <v>0</v>
      </c>
      <c r="H28995" s="16" t="n">
        <f aca="false">Assumptions!$N$66*MIN(H28986+H28993+H28991-H28992-H28994,MAX(0,H29055-H28878-H28891-H28904-H28917-H28930-H28943-H28956-H28969-H28982))</f>
        <v>0</v>
      </c>
      <c r="I28995" s="16" t="n">
        <f aca="false">Assumptions!$N$66*MIN(I28986+I28993+I28991-I28992-I28994,MAX(0,I29055-I28878-I28891-I28904-I28917-I28930-I28943-I28956-I28969-I28982))</f>
        <v>0</v>
      </c>
      <c r="J28995" s="16" t="n">
        <f aca="false">Assumptions!$N$66*MIN(J28986+J28993+J28991-J28992-J28994,MAX(0,J29055-J28878-J28891-J28904-J28917-J28930-J28943-J28956-J28969-J28982))</f>
        <v>0</v>
      </c>
      <c r="K28995" s="16" t="n">
        <f aca="false">Assumptions!$N$66*MIN(K28986+K28993+K28991-K28992-K28994,MAX(0,K29055-K28878-K28891-K28904-K28917-K28930-K28943-K28956-K28969-K28982))</f>
        <v>0</v>
      </c>
    </row>
    <row r="28996" customFormat="false" ht="15" hidden="false" customHeight="false" outlineLevel="0" collapsed="false">
      <c r="A28996" s="3" t="s">
        <v>338</v>
      </c>
      <c r="G28996" s="16" t="n">
        <f aca="false">G28987*(1-G28867)*(G28986-G28992+G28991-G28994)</f>
        <v>0</v>
      </c>
      <c r="H28996" s="16" t="n">
        <f aca="false">H28987*(1-H28867)*(H28986-H28992+H28991-H28994)</f>
        <v>0</v>
      </c>
      <c r="I28996" s="16" t="n">
        <f aca="false">I28987*(1-I28867)*(I28986-I28992+I28991-I28994)</f>
        <v>0</v>
      </c>
      <c r="J28996" s="16" t="n">
        <f aca="false">J28987*(1-J28867)*(J28986-J28992+J28991-J28994)</f>
        <v>0</v>
      </c>
      <c r="K28996" s="16" t="n">
        <f aca="false">K28987*(1-K28867)*(K28986-K28992+K28991-K28994)</f>
        <v>0</v>
      </c>
    </row>
    <row r="28997" customFormat="false" ht="15" hidden="false" customHeight="false" outlineLevel="0" collapsed="false">
      <c r="A28997" s="2" t="s">
        <v>339</v>
      </c>
      <c r="F28997" s="28" t="n">
        <f aca="false">Assumptions!$C$66</f>
        <v>78.61</v>
      </c>
      <c r="G28997" s="17" t="n">
        <f aca="false">G28986+G28993+G28991-G28992-G28994-G28995</f>
        <v>78.61</v>
      </c>
      <c r="H28997" s="17" t="n">
        <f aca="false">H28986+H28993+H28991-H28992-H28994-H28995</f>
        <v>78.61</v>
      </c>
      <c r="I28997" s="17" t="n">
        <f aca="false">I28986+I28993+I28991-I28992-I28994-I28995</f>
        <v>78.61</v>
      </c>
      <c r="J28997" s="17" t="n">
        <f aca="false">J28986+J28993+J28991-J28992-J28994-J28995</f>
        <v>78.61</v>
      </c>
      <c r="K28997" s="17" t="n">
        <f aca="false">K28986+K28993+K28991-K28992-K28994-K28995</f>
        <v>78.61</v>
      </c>
    </row>
    <row r="28998" customFormat="false" ht="15" hidden="false" customHeight="false" outlineLevel="0" collapsed="false">
      <c r="A28998" s="24" t="s">
        <v>349</v>
      </c>
      <c r="B28998" s="25"/>
      <c r="C28998" s="25"/>
      <c r="D28998" s="25"/>
      <c r="E28998" s="25"/>
      <c r="F28998" s="25"/>
      <c r="G28998" s="25"/>
      <c r="H28998" s="25"/>
      <c r="I28998" s="25"/>
      <c r="J28998" s="25"/>
      <c r="K28998" s="25"/>
    </row>
    <row r="28999" customFormat="false" ht="15" hidden="false" customHeight="false" outlineLevel="0" collapsed="false">
      <c r="A28999" s="2" t="s">
        <v>350</v>
      </c>
      <c r="F28999" s="17" t="n">
        <f aca="false">F28880+F28893+F28906+F28919+F28932+F28945+F28958+F28971+F28984+F28997</f>
        <v>2625.934</v>
      </c>
      <c r="G28999" s="17" t="n">
        <f aca="false">G28880+G28893+G28906+G28919+G28932+G28945+G28958+G28971+G28984+G28997</f>
        <v>2621.934</v>
      </c>
      <c r="H28999" s="17" t="n">
        <f aca="false">H28880+H28893+H28906+H28919+H28932+H28945+H28958+H28971+H28984+H28997</f>
        <v>2598.1226587</v>
      </c>
      <c r="I28999" s="17" t="n">
        <f aca="false">I28880+I28893+I28906+I28919+I28932+I28945+I28958+I28971+I28984+I28997</f>
        <v>2594.1226587</v>
      </c>
      <c r="J28999" s="17" t="n">
        <f aca="false">J28880+J28893+J28906+J28919+J28932+J28945+J28958+J28971+J28984+J28997</f>
        <v>2590.1226587</v>
      </c>
      <c r="K28999" s="17" t="n">
        <f aca="false">K28880+K28893+K28906+K28919+K28932+K28945+K28958+K28971+K28984+K28997</f>
        <v>2586.1226587</v>
      </c>
    </row>
    <row r="29000" customFormat="false" ht="15" hidden="false" customHeight="false" outlineLevel="0" collapsed="false">
      <c r="A29000" s="3" t="s">
        <v>351</v>
      </c>
      <c r="G29000" s="16" t="n">
        <f aca="false">G28870*Assumptions!$C$57+G28883*Assumptions!$C$58+G28896*Assumptions!$C$59+G28909*Assumptions!$C$60+G28922*Assumptions!$C$61+G28935*Assumptions!$C$62+G28948*Assumptions!$C$63+G28961*Assumptions!$C$64+G28974*Assumptions!$C$65+G28987*Assumptions!$C$66</f>
        <v>0</v>
      </c>
      <c r="H29000" s="16" t="n">
        <f aca="false">H28870*Assumptions!$C$57+H28883*Assumptions!$C$58+H28896*Assumptions!$C$59+H28909*Assumptions!$C$60+H28922*Assumptions!$C$61+H28935*Assumptions!$C$62+H28948*Assumptions!$C$63+H28961*Assumptions!$C$64+H28974*Assumptions!$C$65+H28987*Assumptions!$C$66</f>
        <v>800</v>
      </c>
      <c r="I29000" s="16" t="n">
        <f aca="false">I28870*Assumptions!$C$57+I28883*Assumptions!$C$58+I28896*Assumptions!$C$59+I28909*Assumptions!$C$60+I28922*Assumptions!$C$61+I28935*Assumptions!$C$62+I28948*Assumptions!$C$63+I28961*Assumptions!$C$64+I28974*Assumptions!$C$65+I28987*Assumptions!$C$66</f>
        <v>550</v>
      </c>
      <c r="J29000" s="16" t="n">
        <f aca="false">J28870*Assumptions!$C$57+J28883*Assumptions!$C$58+J28896*Assumptions!$C$59+J28909*Assumptions!$C$60+J28922*Assumptions!$C$61+J28935*Assumptions!$C$62+J28948*Assumptions!$C$63+J28961*Assumptions!$C$64+J28974*Assumptions!$C$65+J28987*Assumptions!$C$66</f>
        <v>350</v>
      </c>
      <c r="K29000" s="16" t="n">
        <f aca="false">K28870*Assumptions!$C$57+K28883*Assumptions!$C$58+K28896*Assumptions!$C$59+K28909*Assumptions!$C$60+K28922*Assumptions!$C$61+K28935*Assumptions!$C$62+K28948*Assumptions!$C$63+K28961*Assumptions!$C$64+K28974*Assumptions!$C$65+K28987*Assumptions!$C$66</f>
        <v>700</v>
      </c>
    </row>
    <row r="29001" customFormat="false" ht="15" hidden="false" customHeight="false" outlineLevel="0" collapsed="false">
      <c r="A29001" s="24" t="s">
        <v>352</v>
      </c>
      <c r="B29001" s="25"/>
      <c r="C29001" s="25"/>
      <c r="D29001" s="25"/>
      <c r="E29001" s="25"/>
      <c r="F29001" s="25"/>
      <c r="G29001" s="25"/>
      <c r="H29001" s="25"/>
      <c r="I29001" s="25"/>
      <c r="J29001" s="25"/>
      <c r="K29001" s="25"/>
    </row>
    <row r="29002" customFormat="false" ht="15" hidden="false" customHeight="false" outlineLevel="0" collapsed="false">
      <c r="A29002" s="3" t="s">
        <v>353</v>
      </c>
      <c r="C29002" s="16" t="n">
        <f aca="false">SUMPRODUCT($G$28870:$K$28870,$G$28869:$K$28869-$G$28875:$K$28875+$G$28874:$K$28874)</f>
        <v>380</v>
      </c>
    </row>
    <row r="29003" customFormat="false" ht="15" hidden="false" customHeight="false" outlineLevel="0" collapsed="false">
      <c r="A29003" s="3" t="s">
        <v>354</v>
      </c>
      <c r="C29003" s="16" t="n">
        <f aca="false">SUMPRODUCT($G$28870:$K$28870,$G$28877:$K$28877)</f>
        <v>0</v>
      </c>
    </row>
    <row r="29004" customFormat="false" ht="15" hidden="false" customHeight="false" outlineLevel="0" collapsed="false">
      <c r="A29004" s="3" t="s">
        <v>355</v>
      </c>
      <c r="C29004" s="3" t="str">
        <f aca="false">IF(SUM($G$28870:$K$28870)=0,"n/a (beyond horizon)",IF(SUMPRODUCT($G$28870:$K$28870,$G$28867:$K$28867)&gt;0,"REFINANCING PASS","REFINANCING FAILURE"))</f>
        <v>REFINANCING FAILURE</v>
      </c>
    </row>
    <row r="29005" customFormat="false" ht="15" hidden="false" customHeight="false" outlineLevel="0" collapsed="false">
      <c r="A29005" s="3" t="s">
        <v>356</v>
      </c>
      <c r="C29005" s="3" t="str">
        <f aca="false">IF(SUM($G$28870:$K$28870)=0,"n/a",IF(C29003&gt;=C29002-0.001,"Repaid from cash",IF(SUMPRODUCT($G$28870:$K$28870,$G$28867:$K$28867)&gt;0,IF(C29003&gt;0,"Partly repaid; remainder refinanced","Refinanced"),IF(SUM($G$28879:$K$28879)&gt;0.001,IF(C29003&gt;0,"Partial repayment; PAYMENT DEFAULT","PAYMENT DEFAULT"),"Repaid from cash"))))</f>
        <v>PAYMENT DEFAULT</v>
      </c>
    </row>
    <row r="29006" customFormat="false" ht="15" hidden="false" customHeight="false" outlineLevel="0" collapsed="false">
      <c r="A29006" s="3" t="s">
        <v>357</v>
      </c>
      <c r="C29006" s="16" t="n">
        <f aca="false">SUMPRODUCT($G$28883:$K$28883,$G$28882:$K$28882-$G$28888:$K$28888+$G$28887:$K$28887)</f>
        <v>0</v>
      </c>
    </row>
    <row r="29007" customFormat="false" ht="15" hidden="false" customHeight="false" outlineLevel="0" collapsed="false">
      <c r="A29007" s="3" t="s">
        <v>358</v>
      </c>
      <c r="C29007" s="16" t="n">
        <f aca="false">SUMPRODUCT($G$28883:$K$28883,$G$28890:$K$28890)</f>
        <v>0</v>
      </c>
    </row>
    <row r="29008" customFormat="false" ht="15" hidden="false" customHeight="false" outlineLevel="0" collapsed="false">
      <c r="A29008" s="3" t="s">
        <v>359</v>
      </c>
      <c r="C29008" s="3" t="str">
        <f aca="false">IF(SUM($G$28883:$K$28883)=0,"n/a (beyond horizon)",IF(SUMPRODUCT($G$28883:$K$28883,$G$28867:$K$28867)&gt;0,"REFINANCING PASS","REFINANCING FAILURE"))</f>
        <v>n/a (beyond horizon)</v>
      </c>
    </row>
    <row r="29009" customFormat="false" ht="15" hidden="false" customHeight="false" outlineLevel="0" collapsed="false">
      <c r="A29009" s="3" t="s">
        <v>360</v>
      </c>
      <c r="C29009" s="3" t="str">
        <f aca="false">IF(SUM($G$28883:$K$28883)=0,"n/a",IF(C29007&gt;=C29006-0.001,"Repaid from cash",IF(SUMPRODUCT($G$28883:$K$28883,$G$28867:$K$28867)&gt;0,IF(C29007&gt;0,"Partly repaid; remainder refinanced","Refinanced"),IF(SUM($G$28892:$K$28892)&gt;0.001,IF(C29007&gt;0,"Partial repayment; PAYMENT DEFAULT","PAYMENT DEFAULT"),"Repaid from cash"))))</f>
        <v>n/a</v>
      </c>
    </row>
    <row r="29010" customFormat="false" ht="15" hidden="false" customHeight="false" outlineLevel="0" collapsed="false">
      <c r="A29010" s="3" t="s">
        <v>361</v>
      </c>
      <c r="C29010" s="16" t="n">
        <f aca="false">SUMPRODUCT($G$28896:$K$28896,$G$28895:$K$28895-$G$28901:$K$28901+$G$28900:$K$28900)</f>
        <v>0</v>
      </c>
    </row>
    <row r="29011" customFormat="false" ht="15" hidden="false" customHeight="false" outlineLevel="0" collapsed="false">
      <c r="A29011" s="3" t="s">
        <v>362</v>
      </c>
      <c r="C29011" s="16" t="n">
        <f aca="false">SUMPRODUCT($G$28896:$K$28896,$G$28903:$K$28903)</f>
        <v>0</v>
      </c>
    </row>
    <row r="29012" customFormat="false" ht="15" hidden="false" customHeight="false" outlineLevel="0" collapsed="false">
      <c r="A29012" s="3" t="s">
        <v>363</v>
      </c>
      <c r="C29012" s="3" t="str">
        <f aca="false">IF(SUM($G$28896:$K$28896)=0,"n/a (beyond horizon)",IF(SUMPRODUCT($G$28896:$K$28896,$G$28867:$K$28867)&gt;0,"REFINANCING PASS","REFINANCING FAILURE"))</f>
        <v>n/a (beyond horizon)</v>
      </c>
    </row>
    <row r="29013" customFormat="false" ht="15" hidden="false" customHeight="false" outlineLevel="0" collapsed="false">
      <c r="A29013" s="3" t="s">
        <v>364</v>
      </c>
      <c r="C29013" s="3" t="str">
        <f aca="false">IF(SUM($G$28896:$K$28896)=0,"n/a",IF(C29011&gt;=C29010-0.001,"Repaid from cash",IF(SUMPRODUCT($G$28896:$K$28896,$G$28867:$K$28867)&gt;0,IF(C29011&gt;0,"Partly repaid; remainder refinanced","Refinanced"),IF(SUM($G$28905:$K$28905)&gt;0.001,IF(C29011&gt;0,"Partial repayment; PAYMENT DEFAULT","PAYMENT DEFAULT"),"Repaid from cash"))))</f>
        <v>n/a</v>
      </c>
    </row>
    <row r="29014" customFormat="false" ht="15" hidden="false" customHeight="false" outlineLevel="0" collapsed="false">
      <c r="A29014" s="3" t="s">
        <v>365</v>
      </c>
      <c r="C29014" s="16" t="n">
        <f aca="false">SUMPRODUCT($G$28909:$K$28909,$G$28908:$K$28908-$G$28914:$K$28914+$G$28913:$K$28913)</f>
        <v>0</v>
      </c>
    </row>
    <row r="29015" customFormat="false" ht="15" hidden="false" customHeight="false" outlineLevel="0" collapsed="false">
      <c r="A29015" s="3" t="s">
        <v>366</v>
      </c>
      <c r="C29015" s="16" t="n">
        <f aca="false">SUMPRODUCT($G$28909:$K$28909,$G$28916:$K$28916)</f>
        <v>0</v>
      </c>
    </row>
    <row r="29016" customFormat="false" ht="15" hidden="false" customHeight="false" outlineLevel="0" collapsed="false">
      <c r="A29016" s="3" t="s">
        <v>367</v>
      </c>
      <c r="C29016" s="3" t="str">
        <f aca="false">IF(SUM($G$28909:$K$28909)=0,"n/a (beyond horizon)",IF(SUMPRODUCT($G$28909:$K$28909,$G$28867:$K$28867)&gt;0,"REFINANCING PASS","REFINANCING FAILURE"))</f>
        <v>REFINANCING FAILURE</v>
      </c>
    </row>
    <row r="29017" customFormat="false" ht="15" hidden="false" customHeight="false" outlineLevel="0" collapsed="false">
      <c r="A29017" s="3" t="s">
        <v>368</v>
      </c>
      <c r="C29017" s="3" t="str">
        <f aca="false">IF(SUM($G$28909:$K$28909)=0,"n/a",IF(C29015&gt;=C29014-0.001,"Repaid from cash",IF(SUMPRODUCT($G$28909:$K$28909,$G$28867:$K$28867)&gt;0,IF(C29015&gt;0,"Partly repaid; remainder refinanced","Refinanced"),IF(SUM($G$28918:$K$28918)&gt;0.001,IF(C29015&gt;0,"Partial repayment; PAYMENT DEFAULT","PAYMENT DEFAULT"),"Repaid from cash"))))</f>
        <v>Repaid from cash</v>
      </c>
    </row>
    <row r="29018" customFormat="false" ht="15" hidden="false" customHeight="false" outlineLevel="0" collapsed="false">
      <c r="A29018" s="3" t="s">
        <v>369</v>
      </c>
      <c r="C29018" s="16" t="n">
        <f aca="false">SUMPRODUCT($G$28922:$K$28922,$G$28921:$K$28921-$G$28927:$K$28927+$G$28926:$K$28926)</f>
        <v>450</v>
      </c>
    </row>
    <row r="29019" customFormat="false" ht="15" hidden="false" customHeight="false" outlineLevel="0" collapsed="false">
      <c r="A29019" s="3" t="s">
        <v>370</v>
      </c>
      <c r="C29019" s="16" t="n">
        <f aca="false">SUMPRODUCT($G$28922:$K$28922,$G$28929:$K$28929)</f>
        <v>19.8113413000001</v>
      </c>
    </row>
    <row r="29020" customFormat="false" ht="15" hidden="false" customHeight="false" outlineLevel="0" collapsed="false">
      <c r="A29020" s="3" t="s">
        <v>371</v>
      </c>
      <c r="C29020" s="3" t="str">
        <f aca="false">IF(SUM($G$28922:$K$28922)=0,"n/a (beyond horizon)",IF(SUMPRODUCT($G$28922:$K$28922,$G$28867:$K$28867)&gt;0,"REFINANCING PASS","REFINANCING FAILURE"))</f>
        <v>REFINANCING FAILURE</v>
      </c>
    </row>
    <row r="29021" customFormat="false" ht="15" hidden="false" customHeight="false" outlineLevel="0" collapsed="false">
      <c r="A29021" s="3" t="s">
        <v>372</v>
      </c>
      <c r="C29021" s="3" t="str">
        <f aca="false">IF(SUM($G$28922:$K$28922)=0,"n/a",IF(C29019&gt;=C29018-0.001,"Repaid from cash",IF(SUMPRODUCT($G$28922:$K$28922,$G$28867:$K$28867)&gt;0,IF(C29019&gt;0,"Partly repaid; remainder refinanced","Refinanced"),IF(SUM($G$28931:$K$28931)&gt;0.001,IF(C29019&gt;0,"Partial repayment; PAYMENT DEFAULT","PAYMENT DEFAULT"),"Repaid from cash"))))</f>
        <v>Partial repayment; PAYMENT DEFAULT</v>
      </c>
    </row>
    <row r="29022" customFormat="false" ht="15" hidden="false" customHeight="false" outlineLevel="0" collapsed="false">
      <c r="A29022" s="3" t="s">
        <v>373</v>
      </c>
      <c r="C29022" s="16" t="n">
        <f aca="false">SUMPRODUCT($G$28935:$K$28935,$G$28934:$K$28934-$G$28940:$K$28940+$G$28939:$K$28939)</f>
        <v>350</v>
      </c>
    </row>
    <row r="29023" customFormat="false" ht="15" hidden="false" customHeight="false" outlineLevel="0" collapsed="false">
      <c r="A29023" s="3" t="s">
        <v>374</v>
      </c>
      <c r="C29023" s="16" t="n">
        <f aca="false">SUMPRODUCT($G$28935:$K$28935,$G$28942:$K$28942)</f>
        <v>0</v>
      </c>
    </row>
    <row r="29024" customFormat="false" ht="15" hidden="false" customHeight="false" outlineLevel="0" collapsed="false">
      <c r="A29024" s="3" t="s">
        <v>375</v>
      </c>
      <c r="C29024" s="3" t="str">
        <f aca="false">IF(SUM($G$28935:$K$28935)=0,"n/a (beyond horizon)",IF(SUMPRODUCT($G$28935:$K$28935,$G$28867:$K$28867)&gt;0,"REFINANCING PASS","REFINANCING FAILURE"))</f>
        <v>REFINANCING FAILURE</v>
      </c>
    </row>
    <row r="29025" customFormat="false" ht="15" hidden="false" customHeight="false" outlineLevel="0" collapsed="false">
      <c r="A29025" s="3" t="s">
        <v>376</v>
      </c>
      <c r="C29025" s="3" t="str">
        <f aca="false">IF(SUM($G$28935:$K$28935)=0,"n/a",IF(C29023&gt;=C29022-0.001,"Repaid from cash",IF(SUMPRODUCT($G$28935:$K$28935,$G$28867:$K$28867)&gt;0,IF(C29023&gt;0,"Partly repaid; remainder refinanced","Refinanced"),IF(SUM($G$28944:$K$28944)&gt;0.001,IF(C29023&gt;0,"Partial repayment; PAYMENT DEFAULT","PAYMENT DEFAULT"),"Repaid from cash"))))</f>
        <v>PAYMENT DEFAULT</v>
      </c>
    </row>
    <row r="29026" customFormat="false" ht="15" hidden="false" customHeight="false" outlineLevel="0" collapsed="false">
      <c r="A29026" s="3" t="s">
        <v>377</v>
      </c>
      <c r="C29026" s="16" t="n">
        <f aca="false">SUMPRODUCT($G$28948:$K$28948,$G$28947:$K$28947-$G$28953:$K$28953+$G$28952:$K$28952)</f>
        <v>550</v>
      </c>
    </row>
    <row r="29027" customFormat="false" ht="15" hidden="false" customHeight="false" outlineLevel="0" collapsed="false">
      <c r="A29027" s="3" t="s">
        <v>378</v>
      </c>
      <c r="C29027" s="16" t="n">
        <f aca="false">SUMPRODUCT($G$28948:$K$28948,$G$28955:$K$28955)</f>
        <v>0</v>
      </c>
    </row>
    <row r="29028" customFormat="false" ht="15" hidden="false" customHeight="false" outlineLevel="0" collapsed="false">
      <c r="A29028" s="3" t="s">
        <v>379</v>
      </c>
      <c r="C29028" s="3" t="str">
        <f aca="false">IF(SUM($G$28948:$K$28948)=0,"n/a (beyond horizon)",IF(SUMPRODUCT($G$28948:$K$28948,$G$28867:$K$28867)&gt;0,"REFINANCING PASS","REFINANCING FAILURE"))</f>
        <v>REFINANCING FAILURE</v>
      </c>
    </row>
    <row r="29029" customFormat="false" ht="15" hidden="false" customHeight="false" outlineLevel="0" collapsed="false">
      <c r="A29029" s="3" t="s">
        <v>380</v>
      </c>
      <c r="C29029" s="3" t="str">
        <f aca="false">IF(SUM($G$28948:$K$28948)=0,"n/a",IF(C29027&gt;=C29026-0.001,"Repaid from cash",IF(SUMPRODUCT($G$28948:$K$28948,$G$28867:$K$28867)&gt;0,IF(C29027&gt;0,"Partly repaid; remainder refinanced","Refinanced"),IF(SUM($G$28957:$K$28957)&gt;0.001,IF(C29027&gt;0,"Partial repayment; PAYMENT DEFAULT","PAYMENT DEFAULT"),"Repaid from cash"))))</f>
        <v>PAYMENT DEFAULT</v>
      </c>
    </row>
    <row r="29030" customFormat="false" ht="15" hidden="false" customHeight="false" outlineLevel="0" collapsed="false">
      <c r="A29030" s="3" t="s">
        <v>381</v>
      </c>
      <c r="C29030" s="16" t="n">
        <f aca="false">SUMPRODUCT($G$28961:$K$28961,$G$28960:$K$28960-$G$28966:$K$28966+$G$28965:$K$28965)</f>
        <v>350</v>
      </c>
    </row>
    <row r="29031" customFormat="false" ht="15" hidden="false" customHeight="false" outlineLevel="0" collapsed="false">
      <c r="A29031" s="3" t="s">
        <v>382</v>
      </c>
      <c r="C29031" s="16" t="n">
        <f aca="false">SUMPRODUCT($G$28961:$K$28961,$G$28968:$K$28968)</f>
        <v>0</v>
      </c>
    </row>
    <row r="29032" customFormat="false" ht="15" hidden="false" customHeight="false" outlineLevel="0" collapsed="false">
      <c r="A29032" s="3" t="s">
        <v>383</v>
      </c>
      <c r="C29032" s="3" t="str">
        <f aca="false">IF(SUM($G$28961:$K$28961)=0,"n/a (beyond horizon)",IF(SUMPRODUCT($G$28961:$K$28961,$G$28867:$K$28867)&gt;0,"REFINANCING PASS","REFINANCING FAILURE"))</f>
        <v>REFINANCING FAILURE</v>
      </c>
    </row>
    <row r="29033" customFormat="false" ht="15" hidden="false" customHeight="false" outlineLevel="0" collapsed="false">
      <c r="A29033" s="3" t="s">
        <v>384</v>
      </c>
      <c r="C29033" s="3" t="str">
        <f aca="false">IF(SUM($G$28961:$K$28961)=0,"n/a",IF(C29031&gt;=C29030-0.001,"Repaid from cash",IF(SUMPRODUCT($G$28961:$K$28961,$G$28867:$K$28867)&gt;0,IF(C29031&gt;0,"Partly repaid; remainder refinanced","Refinanced"),IF(SUM($G$28970:$K$28970)&gt;0.001,IF(C29031&gt;0,"Partial repayment; PAYMENT DEFAULT","PAYMENT DEFAULT"),"Repaid from cash"))))</f>
        <v>PAYMENT DEFAULT</v>
      </c>
    </row>
    <row r="29034" customFormat="false" ht="15" hidden="false" customHeight="false" outlineLevel="0" collapsed="false">
      <c r="A29034" s="3" t="s">
        <v>385</v>
      </c>
      <c r="C29034" s="16" t="n">
        <f aca="false">SUMPRODUCT($G$28974:$K$28974,$G$28973:$K$28973-$G$28979:$K$28979+$G$28978:$K$28978)</f>
        <v>300</v>
      </c>
    </row>
    <row r="29035" customFormat="false" ht="15" hidden="false" customHeight="false" outlineLevel="0" collapsed="false">
      <c r="A29035" s="3" t="s">
        <v>386</v>
      </c>
      <c r="C29035" s="16" t="n">
        <f aca="false">SUMPRODUCT($G$28974:$K$28974,$G$28981:$K$28981)</f>
        <v>0</v>
      </c>
    </row>
    <row r="29036" customFormat="false" ht="15" hidden="false" customHeight="false" outlineLevel="0" collapsed="false">
      <c r="A29036" s="3" t="s">
        <v>387</v>
      </c>
      <c r="C29036" s="3" t="str">
        <f aca="false">IF(SUM($G$28974:$K$28974)=0,"n/a (beyond horizon)",IF(SUMPRODUCT($G$28974:$K$28974,$G$28867:$K$28867)&gt;0,"REFINANCING PASS","REFINANCING FAILURE"))</f>
        <v>REFINANCING FAILURE</v>
      </c>
    </row>
    <row r="29037" customFormat="false" ht="15" hidden="false" customHeight="false" outlineLevel="0" collapsed="false">
      <c r="A29037" s="3" t="s">
        <v>388</v>
      </c>
      <c r="C29037" s="3" t="str">
        <f aca="false">IF(SUM($G$28974:$K$28974)=0,"n/a",IF(C29035&gt;=C29034-0.001,"Repaid from cash",IF(SUMPRODUCT($G$28974:$K$28974,$G$28867:$K$28867)&gt;0,IF(C29035&gt;0,"Partly repaid; remainder refinanced","Refinanced"),IF(SUM($G$28983:$K$28983)&gt;0.001,IF(C29035&gt;0,"Partial repayment; PAYMENT DEFAULT","PAYMENT DEFAULT"),"Repaid from cash"))))</f>
        <v>PAYMENT DEFAULT</v>
      </c>
    </row>
    <row r="29038" customFormat="false" ht="15" hidden="false" customHeight="false" outlineLevel="0" collapsed="false">
      <c r="A29038" s="3" t="s">
        <v>389</v>
      </c>
      <c r="C29038" s="16" t="n">
        <f aca="false">SUMPRODUCT($G$28987:$K$28987,$G$28986:$K$28986-$G$28992:$K$28992+$G$28991:$K$28991)</f>
        <v>0</v>
      </c>
    </row>
    <row r="29039" customFormat="false" ht="15" hidden="false" customHeight="false" outlineLevel="0" collapsed="false">
      <c r="A29039" s="3" t="s">
        <v>390</v>
      </c>
      <c r="C29039" s="16" t="n">
        <f aca="false">SUMPRODUCT($G$28987:$K$28987,$G$28994:$K$28994)</f>
        <v>0</v>
      </c>
    </row>
    <row r="29040" customFormat="false" ht="15" hidden="false" customHeight="false" outlineLevel="0" collapsed="false">
      <c r="A29040" s="3" t="s">
        <v>391</v>
      </c>
      <c r="C29040" s="3" t="str">
        <f aca="false">IF(SUM($G$28987:$K$28987)=0,"n/a (beyond horizon)",IF(SUMPRODUCT($G$28987:$K$28987,$G$28867:$K$28867)&gt;0,"REFINANCING PASS","REFINANCING FAILURE"))</f>
        <v>n/a (beyond horizon)</v>
      </c>
    </row>
    <row r="29041" customFormat="false" ht="15" hidden="false" customHeight="false" outlineLevel="0" collapsed="false">
      <c r="A29041" s="3" t="s">
        <v>392</v>
      </c>
      <c r="C29041" s="3" t="str">
        <f aca="false">IF(SUM($G$28987:$K$28987)=0,"n/a",IF(C29039&gt;=C29038-0.001,"Repaid from cash",IF(SUMPRODUCT($G$28987:$K$28987,$G$28867:$K$28867)&gt;0,IF(C29039&gt;0,"Partly repaid; remainder refinanced","Refinanced"),IF(SUM($G$28996:$K$28996)&gt;0.001,IF(C29039&gt;0,"Partial repayment; PAYMENT DEFAULT","PAYMENT DEFAULT"),"Repaid from cash"))))</f>
        <v>n/a</v>
      </c>
    </row>
    <row r="29042" customFormat="false" ht="15" hidden="false" customHeight="false" outlineLevel="0" collapsed="false">
      <c r="A29042" s="3" t="s">
        <v>393</v>
      </c>
      <c r="C29042" s="21" t="n">
        <f aca="false">IF(C29004="REFINANCING FAILURE",1,0)+IF(C29008="REFINANCING FAILURE",1,0)+IF(C29012="REFINANCING FAILURE",1,0)+IF(C29016="REFINANCING FAILURE",1,0)+IF(C29020="REFINANCING FAILURE",1,0)+IF(C29024="REFINANCING FAILURE",1,0)+IF(C29028="REFINANCING FAILURE",1,0)+IF(C29032="REFINANCING FAILURE",1,0)+IF(C29036="REFINANCING FAILURE",1,0)+IF(C29040="REFINANCING FAILURE",1,0)</f>
        <v>7</v>
      </c>
    </row>
    <row r="29044" customFormat="false" ht="15" hidden="false" customHeight="false" outlineLevel="0" collapsed="false">
      <c r="A29044" s="24" t="s">
        <v>395</v>
      </c>
      <c r="B29044" s="25"/>
      <c r="C29044" s="25"/>
      <c r="D29044" s="25"/>
      <c r="E29044" s="25"/>
      <c r="F29044" s="25"/>
      <c r="G29044" s="25"/>
      <c r="H29044" s="25"/>
      <c r="I29044" s="25"/>
      <c r="J29044" s="25"/>
      <c r="K29044" s="25"/>
    </row>
    <row r="29045" customFormat="false" ht="15" hidden="false" customHeight="false" outlineLevel="0" collapsed="false">
      <c r="A29045" s="3" t="s">
        <v>325</v>
      </c>
      <c r="G29045" s="16" t="n">
        <f aca="false">F29057</f>
        <v>37.87</v>
      </c>
      <c r="H29045" s="16" t="n">
        <f aca="false">G29057</f>
        <v>89.6874916000001</v>
      </c>
      <c r="I29045" s="16" t="n">
        <f aca="false">H29057</f>
        <v>0</v>
      </c>
      <c r="J29045" s="16" t="n">
        <f aca="false">I29057</f>
        <v>-73.2334908216</v>
      </c>
      <c r="K29045" s="16" t="n">
        <f aca="false">J29057</f>
        <v>-143.99419424325</v>
      </c>
    </row>
    <row r="29046" customFormat="false" ht="15" hidden="false" customHeight="false" outlineLevel="0" collapsed="false">
      <c r="A29046" s="3" t="s">
        <v>396</v>
      </c>
      <c r="G29046" s="16" t="n">
        <f aca="false">G28856</f>
        <v>-44.1825083999999</v>
      </c>
      <c r="H29046" s="16" t="n">
        <f aca="false">H28856</f>
        <v>-65.8761503</v>
      </c>
      <c r="I29046" s="16" t="n">
        <f aca="false">I28856</f>
        <v>-69.2334908216</v>
      </c>
      <c r="J29046" s="16" t="n">
        <f aca="false">J28856</f>
        <v>-66.76070342165</v>
      </c>
      <c r="K29046" s="16" t="n">
        <f aca="false">K28856</f>
        <v>-61.011000433781</v>
      </c>
    </row>
    <row r="29047" customFormat="false" ht="15" hidden="false" customHeight="false" outlineLevel="0" collapsed="false">
      <c r="A29047" s="3" t="s">
        <v>397</v>
      </c>
      <c r="G29047" s="16" t="n">
        <f aca="false">CHOOSE($C$28826,Assumptions!$G$82,Assumptions!$G$101,Assumptions!$G$120)</f>
        <v>100</v>
      </c>
      <c r="H29047" s="16" t="n">
        <f aca="false">CHOOSE($C$28826,Assumptions!$H$82,Assumptions!$H$101,Assumptions!$H$120)</f>
        <v>0</v>
      </c>
      <c r="I29047" s="16" t="n">
        <f aca="false">CHOOSE($C$28826,Assumptions!$I$82,Assumptions!$I$101,Assumptions!$I$120)</f>
        <v>0</v>
      </c>
      <c r="J29047" s="16" t="n">
        <f aca="false">CHOOSE($C$28826,Assumptions!$J$82,Assumptions!$J$101,Assumptions!$J$120)</f>
        <v>0</v>
      </c>
      <c r="K29047" s="16" t="n">
        <f aca="false">CHOOSE($C$28826,Assumptions!$K$82,Assumptions!$K$101,Assumptions!$K$120)</f>
        <v>0</v>
      </c>
    </row>
    <row r="29048" customFormat="false" ht="15" hidden="false" customHeight="false" outlineLevel="0" collapsed="false">
      <c r="A29048" s="3" t="s">
        <v>398</v>
      </c>
      <c r="G29048" s="16" t="n">
        <f aca="false">G28875+G28888+G28901+G28914+G28927+G28940+G28953+G28966+G28979+G28992</f>
        <v>4</v>
      </c>
      <c r="H29048" s="16" t="n">
        <f aca="false">H28875+H28888+H28901+H28914+H28927+H28940+H28953+H28966+H28979+H28992</f>
        <v>4</v>
      </c>
      <c r="I29048" s="16" t="n">
        <f aca="false">I28875+I28888+I28901+I28914+I28927+I28940+I28953+I28966+I28979+I28992</f>
        <v>4</v>
      </c>
      <c r="J29048" s="16" t="n">
        <f aca="false">J28875+J28888+J28901+J28914+J28927+J28940+J28953+J28966+J28979+J28992</f>
        <v>4</v>
      </c>
      <c r="K29048" s="16" t="n">
        <f aca="false">K28875+K28888+K28901+K28914+K28927+K28940+K28953+K28966+K28979+K28992</f>
        <v>4</v>
      </c>
    </row>
    <row r="29049" customFormat="false" ht="15" hidden="false" customHeight="false" outlineLevel="0" collapsed="false">
      <c r="A29049" s="2" t="s">
        <v>399</v>
      </c>
      <c r="G29049" s="17" t="n">
        <f aca="false">G29045+G29046+G29047-G29048</f>
        <v>89.6874916000001</v>
      </c>
      <c r="H29049" s="17" t="n">
        <f aca="false">H29045+H29046+H29047-H29048</f>
        <v>19.8113413000001</v>
      </c>
      <c r="I29049" s="17" t="n">
        <f aca="false">I29045+I29046+I29047-I29048</f>
        <v>-73.2334908216</v>
      </c>
      <c r="J29049" s="17" t="n">
        <f aca="false">J29045+J29046+J29047-J29048</f>
        <v>-143.99419424325</v>
      </c>
      <c r="K29049" s="17" t="n">
        <f aca="false">K29045+K29046+K29047-K29048</f>
        <v>-209.005194677031</v>
      </c>
    </row>
    <row r="29050" customFormat="false" ht="15" hidden="false" customHeight="false" outlineLevel="0" collapsed="false">
      <c r="A29050" s="3" t="s">
        <v>400</v>
      </c>
      <c r="G29050" s="16" t="n">
        <f aca="false">G28876+G28889+G28902+G28915+G28928+G28941+G28954+G28967+G28980+G28993</f>
        <v>0</v>
      </c>
      <c r="H29050" s="16" t="n">
        <f aca="false">H28876+H28889+H28902+H28915+H28928+H28941+H28954+H28967+H28980+H28993</f>
        <v>0</v>
      </c>
      <c r="I29050" s="16" t="n">
        <f aca="false">I28876+I28889+I28902+I28915+I28928+I28941+I28954+I28967+I28980+I28993</f>
        <v>0</v>
      </c>
      <c r="J29050" s="16" t="n">
        <f aca="false">J28876+J28889+J28902+J28915+J28928+J28941+J28954+J28967+J28980+J28993</f>
        <v>0</v>
      </c>
      <c r="K29050" s="16" t="n">
        <f aca="false">K28876+K28889+K28902+K28915+K28928+K28941+K28954+K28967+K28980+K28993</f>
        <v>0</v>
      </c>
    </row>
    <row r="29051" customFormat="false" ht="15" hidden="false" customHeight="false" outlineLevel="0" collapsed="false">
      <c r="A29051" s="2" t="s">
        <v>401</v>
      </c>
      <c r="G29051" s="17" t="n">
        <f aca="false">G29049+G29050</f>
        <v>89.6874916000001</v>
      </c>
      <c r="H29051" s="17" t="n">
        <f aca="false">H29049+H29050</f>
        <v>19.8113413000001</v>
      </c>
      <c r="I29051" s="17" t="n">
        <f aca="false">I29049+I29050</f>
        <v>-73.2334908216</v>
      </c>
      <c r="J29051" s="17" t="n">
        <f aca="false">J29049+J29050</f>
        <v>-143.99419424325</v>
      </c>
      <c r="K29051" s="17" t="n">
        <f aca="false">K29049+K29050</f>
        <v>-209.005194677031</v>
      </c>
    </row>
    <row r="29052" customFormat="false" ht="15" hidden="false" customHeight="false" outlineLevel="0" collapsed="false">
      <c r="A29052" s="3" t="s">
        <v>402</v>
      </c>
      <c r="G29052" s="16" t="n">
        <f aca="false">G28877+G28890+G28903+G28916+G28929+G28942+G28955+G28968+G28981+G28994</f>
        <v>0</v>
      </c>
      <c r="H29052" s="16" t="n">
        <f aca="false">H28877+H28890+H28903+H28916+H28929+H28942+H28955+H28968+H28981+H28994</f>
        <v>19.8113413000001</v>
      </c>
      <c r="I29052" s="16" t="n">
        <f aca="false">I28877+I28890+I28903+I28916+I28929+I28942+I28955+I28968+I28981+I28994</f>
        <v>0</v>
      </c>
      <c r="J29052" s="16" t="n">
        <f aca="false">J28877+J28890+J28903+J28916+J28929+J28942+J28955+J28968+J28981+J28994</f>
        <v>0</v>
      </c>
      <c r="K29052" s="16" t="n">
        <f aca="false">K28877+K28890+K28903+K28916+K28929+K28942+K28955+K28968+K28981+K28994</f>
        <v>0</v>
      </c>
    </row>
    <row r="29053" customFormat="false" ht="15" hidden="false" customHeight="false" outlineLevel="0" collapsed="false">
      <c r="A29053" s="2" t="s">
        <v>403</v>
      </c>
      <c r="G29053" s="17" t="n">
        <f aca="false">G29051-G29052</f>
        <v>89.6874916000001</v>
      </c>
      <c r="H29053" s="17" t="n">
        <f aca="false">H29051-H29052</f>
        <v>0</v>
      </c>
      <c r="I29053" s="17" t="n">
        <f aca="false">I29051-I29052</f>
        <v>-73.2334908216</v>
      </c>
      <c r="J29053" s="17" t="n">
        <f aca="false">J29051-J29052</f>
        <v>-143.99419424325</v>
      </c>
      <c r="K29053" s="17" t="n">
        <f aca="false">K29051-K29052</f>
        <v>-209.005194677031</v>
      </c>
    </row>
    <row r="29054" customFormat="false" ht="15" hidden="false" customHeight="false" outlineLevel="0" collapsed="false">
      <c r="A29054" s="3" t="s">
        <v>404</v>
      </c>
      <c r="G29054" s="16" t="n">
        <f aca="false">MAX(0,-G29053)</f>
        <v>0</v>
      </c>
      <c r="H29054" s="16" t="n">
        <f aca="false">MAX(0,-H29053)</f>
        <v>-0</v>
      </c>
      <c r="I29054" s="16" t="n">
        <f aca="false">MAX(0,-I29053)</f>
        <v>73.2334908216</v>
      </c>
      <c r="J29054" s="16" t="n">
        <f aca="false">MAX(0,-J29053)</f>
        <v>143.99419424325</v>
      </c>
      <c r="K29054" s="16" t="n">
        <f aca="false">MAX(0,-K29053)</f>
        <v>209.005194677031</v>
      </c>
    </row>
    <row r="29055" customFormat="false" ht="15" hidden="false" customHeight="false" outlineLevel="0" collapsed="false">
      <c r="A29055" s="3" t="s">
        <v>405</v>
      </c>
      <c r="G29055" s="16" t="n">
        <f aca="false">MAX(0,G29053-Assumptions!$C$12)*Assumptions!$C$13</f>
        <v>0</v>
      </c>
      <c r="H29055" s="16" t="n">
        <f aca="false">MAX(0,H29053-Assumptions!$C$12)*Assumptions!$C$13</f>
        <v>0</v>
      </c>
      <c r="I29055" s="16" t="n">
        <f aca="false">MAX(0,I29053-Assumptions!$C$12)*Assumptions!$C$13</f>
        <v>0</v>
      </c>
      <c r="J29055" s="16" t="n">
        <f aca="false">MAX(0,J29053-Assumptions!$C$12)*Assumptions!$C$13</f>
        <v>0</v>
      </c>
      <c r="K29055" s="16" t="n">
        <f aca="false">MAX(0,K29053-Assumptions!$C$12)*Assumptions!$C$13</f>
        <v>0</v>
      </c>
    </row>
    <row r="29056" customFormat="false" ht="15" hidden="false" customHeight="false" outlineLevel="0" collapsed="false">
      <c r="A29056" s="3" t="s">
        <v>406</v>
      </c>
      <c r="G29056" s="16" t="n">
        <f aca="false">G28878+G28891+G28904+G28917+G28930+G28943+G28956+G28969+G28982+G28995</f>
        <v>0</v>
      </c>
      <c r="H29056" s="16" t="n">
        <f aca="false">H28878+H28891+H28904+H28917+H28930+H28943+H28956+H28969+H28982+H28995</f>
        <v>0</v>
      </c>
      <c r="I29056" s="16" t="n">
        <f aca="false">I28878+I28891+I28904+I28917+I28930+I28943+I28956+I28969+I28982+I28995</f>
        <v>0</v>
      </c>
      <c r="J29056" s="16" t="n">
        <f aca="false">J28878+J28891+J28904+J28917+J28930+J28943+J28956+J28969+J28982+J28995</f>
        <v>0</v>
      </c>
      <c r="K29056" s="16" t="n">
        <f aca="false">K28878+K28891+K28904+K28917+K28930+K28943+K28956+K28969+K28982+K28995</f>
        <v>0</v>
      </c>
    </row>
    <row r="29057" customFormat="false" ht="15" hidden="false" customHeight="false" outlineLevel="0" collapsed="false">
      <c r="A29057" s="2" t="s">
        <v>407</v>
      </c>
      <c r="F29057" s="28" t="n">
        <f aca="false">Assumptions!$C$11</f>
        <v>37.87</v>
      </c>
      <c r="G29057" s="17" t="n">
        <f aca="false">G29053-G29056</f>
        <v>89.6874916000001</v>
      </c>
      <c r="H29057" s="17" t="n">
        <f aca="false">H29053-H29056</f>
        <v>0</v>
      </c>
      <c r="I29057" s="17" t="n">
        <f aca="false">I29053-I29056</f>
        <v>-73.2334908216</v>
      </c>
      <c r="J29057" s="17" t="n">
        <f aca="false">J29053-J29056</f>
        <v>-143.99419424325</v>
      </c>
      <c r="K29057" s="17" t="n">
        <f aca="false">K29053-K29056</f>
        <v>-209.005194677031</v>
      </c>
    </row>
    <row r="29058" customFormat="false" ht="15" hidden="false" customHeight="false" outlineLevel="0" collapsed="false">
      <c r="A29058" s="3" t="s">
        <v>408</v>
      </c>
      <c r="G29058" s="16" t="n">
        <f aca="false">G28879+G28892+G28905+G28918+G28931+G28944+G28957+G28970+G28983+G28996</f>
        <v>0</v>
      </c>
      <c r="H29058" s="16" t="n">
        <f aca="false">H28879+H28892+H28905+H28918+H28931+H28944+H28957+H28970+H28983+H28996</f>
        <v>780.1886587</v>
      </c>
      <c r="I29058" s="16" t="n">
        <f aca="false">I28879+I28892+I28905+I28918+I28931+I28944+I28957+I28970+I28983+I28996</f>
        <v>550</v>
      </c>
      <c r="J29058" s="16" t="n">
        <f aca="false">J28879+J28892+J28905+J28918+J28931+J28944+J28957+J28970+J28983+J28996</f>
        <v>350</v>
      </c>
      <c r="K29058" s="16" t="n">
        <f aca="false">K28879+K28892+K28905+K28918+K28931+K28944+K28957+K28970+K28983+K28996</f>
        <v>680</v>
      </c>
    </row>
    <row r="29059" customFormat="false" ht="15" hidden="false" customHeight="false" outlineLevel="0" collapsed="false">
      <c r="A29059" s="3" t="s">
        <v>409</v>
      </c>
      <c r="G29059" s="21" t="n">
        <f aca="false">IF(OR(G29054&gt;0.001,G29058&gt;0.001),1,0)</f>
        <v>0</v>
      </c>
      <c r="H29059" s="21" t="n">
        <f aca="false">IF(OR(H29054&gt;0.001,H29058&gt;0.001),1,0)</f>
        <v>1</v>
      </c>
      <c r="I29059" s="21" t="n">
        <f aca="false">IF(OR(I29054&gt;0.001,I29058&gt;0.001),1,0)</f>
        <v>1</v>
      </c>
      <c r="J29059" s="21" t="n">
        <f aca="false">IF(OR(J29054&gt;0.001,J29058&gt;0.001),1,0)</f>
        <v>1</v>
      </c>
      <c r="K29059" s="21" t="n">
        <f aca="false">IF(OR(K29054&gt;0.001,K29058&gt;0.001),1,0)</f>
        <v>1</v>
      </c>
    </row>
    <row r="29060" customFormat="false" ht="15" hidden="false" customHeight="false" outlineLevel="0" collapsed="false">
      <c r="A29060" s="3" t="s">
        <v>410</v>
      </c>
      <c r="G29060" s="21" t="n">
        <f aca="false">IF(G29059=1,1,0)</f>
        <v>0</v>
      </c>
      <c r="H29060" s="21" t="n">
        <f aca="false">IF(AND(H29059=1,SUM($G$29059:G29059)=0),1,0)</f>
        <v>1</v>
      </c>
      <c r="I29060" s="21" t="n">
        <f aca="false">IF(AND(I29059=1,SUM($G$29059:H29059)=0),1,0)</f>
        <v>0</v>
      </c>
      <c r="J29060" s="21" t="n">
        <f aca="false">IF(AND(J29059=1,SUM($G$29059:I29059)=0),1,0)</f>
        <v>0</v>
      </c>
      <c r="K29060" s="21" t="n">
        <f aca="false">IF(AND(K29059=1,SUM($G$29059:J29059)=0),1,0)</f>
        <v>0</v>
      </c>
    </row>
    <row r="29061" customFormat="false" ht="15" hidden="false" customHeight="false" outlineLevel="0" collapsed="false">
      <c r="A29061" s="3" t="s">
        <v>411</v>
      </c>
      <c r="G29061" s="16" t="n">
        <f aca="false">(G28999-F28999)-(G29050+G28848-G29048-G29052-G29056)</f>
        <v>0</v>
      </c>
      <c r="H29061" s="16" t="n">
        <f aca="false">(H28999-G28999)-(H29050+H28848-H29048-H29052-H29056)</f>
        <v>0</v>
      </c>
      <c r="I29061" s="16" t="n">
        <f aca="false">(I28999-H28999)-(I29050+I28848-I29048-I29052-I29056)</f>
        <v>0</v>
      </c>
      <c r="J29061" s="16" t="n">
        <f aca="false">(J28999-I28999)-(J29050+J28848-J29048-J29052-J29056)</f>
        <v>0</v>
      </c>
      <c r="K29061" s="16" t="n">
        <f aca="false">(K28999-J28999)-(K29050+K28848-K29048-K29052-K29056)</f>
        <v>0</v>
      </c>
    </row>
    <row r="29063" customFormat="false" ht="15" hidden="false" customHeight="false" outlineLevel="0" collapsed="false">
      <c r="A29063" s="24" t="s">
        <v>413</v>
      </c>
      <c r="B29063" s="25"/>
      <c r="C29063" s="25"/>
      <c r="D29063" s="25"/>
      <c r="E29063" s="25"/>
      <c r="F29063" s="25"/>
      <c r="G29063" s="25"/>
      <c r="H29063" s="25"/>
      <c r="I29063" s="25"/>
      <c r="J29063" s="25"/>
      <c r="K29063" s="25"/>
    </row>
    <row r="29064" customFormat="false" ht="15" hidden="false" customHeight="false" outlineLevel="0" collapsed="false">
      <c r="A29064" s="3" t="s">
        <v>414</v>
      </c>
      <c r="G29064" s="16" t="n">
        <f aca="false">G28999</f>
        <v>2621.934</v>
      </c>
      <c r="H29064" s="16" t="n">
        <f aca="false">H28999</f>
        <v>2598.1226587</v>
      </c>
      <c r="I29064" s="16" t="n">
        <f aca="false">I28999</f>
        <v>2594.1226587</v>
      </c>
      <c r="J29064" s="16" t="n">
        <f aca="false">J28999</f>
        <v>2590.1226587</v>
      </c>
      <c r="K29064" s="16" t="n">
        <f aca="false">K28999</f>
        <v>2586.1226587</v>
      </c>
    </row>
    <row r="29065" customFormat="false" ht="15" hidden="false" customHeight="false" outlineLevel="0" collapsed="false">
      <c r="A29065" s="3" t="s">
        <v>415</v>
      </c>
      <c r="G29065" s="16" t="n">
        <f aca="false">Assumptions!$O$57*G28880+Assumptions!$O$58*G28893+Assumptions!$O$59*G28906+Assumptions!$O$60*G28919+Assumptions!$O$61*G28932+Assumptions!$O$62*G28945+Assumptions!$O$63*G28958+Assumptions!$O$64*G28971+Assumptions!$O$65*G28984+Assumptions!$O$66*G28997</f>
        <v>543.324</v>
      </c>
      <c r="H29065" s="16" t="n">
        <f aca="false">Assumptions!$O$57*H28880+Assumptions!$O$58*H28893+Assumptions!$O$59*H28906+Assumptions!$O$60*H28919+Assumptions!$O$61*H28932+Assumptions!$O$62*H28945+Assumptions!$O$63*H28958+Assumptions!$O$64*H28971+Assumptions!$O$65*H28984+Assumptions!$O$66*H28997</f>
        <v>539.324</v>
      </c>
      <c r="I29065" s="16" t="n">
        <f aca="false">Assumptions!$O$57*I28880+Assumptions!$O$58*I28893+Assumptions!$O$59*I28906+Assumptions!$O$60*I28919+Assumptions!$O$61*I28932+Assumptions!$O$62*I28945+Assumptions!$O$63*I28958+Assumptions!$O$64*I28971+Assumptions!$O$65*I28984+Assumptions!$O$66*I28997</f>
        <v>535.324</v>
      </c>
      <c r="J29065" s="16" t="n">
        <f aca="false">Assumptions!$O$57*J28880+Assumptions!$O$58*J28893+Assumptions!$O$59*J28906+Assumptions!$O$60*J28919+Assumptions!$O$61*J28932+Assumptions!$O$62*J28945+Assumptions!$O$63*J28958+Assumptions!$O$64*J28971+Assumptions!$O$65*J28984+Assumptions!$O$66*J28997</f>
        <v>531.324</v>
      </c>
      <c r="K29065" s="16" t="n">
        <f aca="false">Assumptions!$O$57*K28880+Assumptions!$O$58*K28893+Assumptions!$O$59*K28906+Assumptions!$O$60*K28919+Assumptions!$O$61*K28932+Assumptions!$O$62*K28945+Assumptions!$O$63*K28958+Assumptions!$O$64*K28971+Assumptions!$O$65*K28984+Assumptions!$O$66*K28997</f>
        <v>527.324</v>
      </c>
    </row>
    <row r="29066" customFormat="false" ht="15" hidden="false" customHeight="false" outlineLevel="0" collapsed="false">
      <c r="A29066" s="3" t="s">
        <v>416</v>
      </c>
      <c r="G29066" s="16" t="n">
        <f aca="false">G29064-G29057</f>
        <v>2532.2465084</v>
      </c>
      <c r="H29066" s="16" t="n">
        <f aca="false">H29064-H29057</f>
        <v>2598.1226587</v>
      </c>
      <c r="I29066" s="16" t="n">
        <f aca="false">I29064-I29057</f>
        <v>2667.3561495216</v>
      </c>
      <c r="J29066" s="16" t="n">
        <f aca="false">J29064-J29057</f>
        <v>2734.11685294325</v>
      </c>
      <c r="K29066" s="16" t="n">
        <f aca="false">K29064-K29057</f>
        <v>2795.12785337703</v>
      </c>
    </row>
    <row r="29067" customFormat="false" ht="15" hidden="false" customHeight="false" outlineLevel="0" collapsed="false">
      <c r="A29067" s="3" t="s">
        <v>417</v>
      </c>
      <c r="G29067" s="32" t="n">
        <f aca="false">IF(G28843&gt;0,G29064/G28843,0)</f>
        <v>12.7097898879239</v>
      </c>
      <c r="H29067" s="32" t="n">
        <f aca="false">IF(H28843&gt;0,H29064/H28843,0)</f>
        <v>14.4871412253078</v>
      </c>
      <c r="I29067" s="32" t="n">
        <f aca="false">IF(I28843&gt;0,I29064/I28843,0)</f>
        <v>15.0876409963337</v>
      </c>
      <c r="J29067" s="32" t="n">
        <f aca="false">IF(J28843&gt;0,J29064/J28843,0)</f>
        <v>14.8892094811671</v>
      </c>
      <c r="K29067" s="32" t="n">
        <f aca="false">IF(K28843&gt;0,K29064/K28843,0)</f>
        <v>14.3845020935236</v>
      </c>
    </row>
    <row r="29068" customFormat="false" ht="15" hidden="false" customHeight="false" outlineLevel="0" collapsed="false">
      <c r="A29068" s="3" t="s">
        <v>418</v>
      </c>
      <c r="G29068" s="32" t="n">
        <f aca="false">IF(G28843&gt;0,G29066/G28843,0)</f>
        <v>12.2750309756816</v>
      </c>
      <c r="H29068" s="32" t="n">
        <f aca="false">IF(H28843&gt;0,H29066/H28843,0)</f>
        <v>14.4871412253078</v>
      </c>
      <c r="I29068" s="32" t="n">
        <f aca="false">IF(I28843&gt;0,I29066/I28843,0)</f>
        <v>15.513573291678</v>
      </c>
      <c r="J29068" s="32" t="n">
        <f aca="false">IF(J28843&gt;0,J29066/J28843,0)</f>
        <v>15.7169539568807</v>
      </c>
      <c r="K29068" s="32" t="n">
        <f aca="false">IF(K28843&gt;0,K29066/K28843,0)</f>
        <v>15.5470284146457</v>
      </c>
    </row>
    <row r="29069" customFormat="false" ht="15" hidden="false" customHeight="false" outlineLevel="0" collapsed="false">
      <c r="A29069" s="3" t="s">
        <v>419</v>
      </c>
      <c r="G29069" s="32" t="n">
        <f aca="false">IF(G28847&gt;0,G28843/G28847,0)</f>
        <v>1.07346191411807</v>
      </c>
      <c r="H29069" s="32" t="n">
        <f aca="false">IF(H28847&gt;0,H28843/H28847,0)</f>
        <v>0.938967076210996</v>
      </c>
      <c r="I29069" s="32" t="n">
        <f aca="false">IF(I28847&gt;0,I28843/I28847,0)</f>
        <v>0.911755225620542</v>
      </c>
      <c r="J29069" s="32" t="n">
        <f aca="false">IF(J28847&gt;0,J28843/J28847,0)</f>
        <v>0.924688323997812</v>
      </c>
      <c r="K29069" s="32" t="n">
        <f aca="false">IF(K28847&gt;0,K28843/K28847,0)</f>
        <v>0.957946027119062</v>
      </c>
    </row>
    <row r="29070" customFormat="false" ht="15" hidden="false" customHeight="false" outlineLevel="0" collapsed="false">
      <c r="A29070" s="3" t="s">
        <v>420</v>
      </c>
      <c r="G29070" s="32" t="n">
        <f aca="false">IF(G28847&gt;0,G28846/G28847,0)</f>
        <v>0.205691621114499</v>
      </c>
      <c r="H29070" s="32" t="n">
        <f aca="false">IF(H28847&gt;0,H28846/H28847,0)</f>
        <v>0.126963618381138</v>
      </c>
      <c r="I29070" s="32" t="n">
        <f aca="false">IF(I28847&gt;0,I28846/I28847,0)</f>
        <v>0.114008003162854</v>
      </c>
      <c r="J29070" s="32" t="n">
        <f aca="false">IF(J28847&gt;0,J28846/J28847,0)</f>
        <v>0.125032898877884</v>
      </c>
      <c r="K29070" s="32" t="n">
        <f aca="false">IF(K28847&gt;0,K28846/K28847,0)</f>
        <v>0.148357520863899</v>
      </c>
    </row>
    <row r="29071" customFormat="false" ht="15" hidden="false" customHeight="false" outlineLevel="0" collapsed="false">
      <c r="A29071" s="3" t="s">
        <v>213</v>
      </c>
      <c r="G29071" s="22" t="n">
        <f aca="false">IF(G29064&gt;0,G28856/G29064,0)</f>
        <v>-0.0168511138724315</v>
      </c>
      <c r="H29071" s="22" t="n">
        <f aca="false">IF(H29064&gt;0,H28856/H29064,0)</f>
        <v>-0.0253552887810777</v>
      </c>
      <c r="I29071" s="22" t="n">
        <f aca="false">IF(I29064&gt;0,I28856/I29064,0)</f>
        <v>-0.0266885956951223</v>
      </c>
      <c r="J29071" s="22" t="n">
        <f aca="false">IF(J29064&gt;0,J28856/J29064,0)</f>
        <v>-0.0257751126949168</v>
      </c>
      <c r="K29071" s="22" t="n">
        <f aca="false">IF(K29064&gt;0,K28856/K29064,0)</f>
        <v>-0.0235916885954861</v>
      </c>
    </row>
    <row r="29072" customFormat="false" ht="15" hidden="false" customHeight="false" outlineLevel="0" collapsed="false">
      <c r="A29072" s="3" t="s">
        <v>421</v>
      </c>
      <c r="G29072" s="32" t="n">
        <f aca="false">IF(G28847+G29048&gt;0,(G28843-G28854-G28851)/(G28847+G29048),0)</f>
        <v>0.754390089122466</v>
      </c>
      <c r="H29072" s="32" t="n">
        <f aca="false">IF(H28847+H29048&gt;0,(H28843-H28854-H28851)/(H28847+H29048),0)</f>
        <v>0.641655292185172</v>
      </c>
      <c r="I29072" s="32" t="n">
        <f aca="false">IF(I28847+I29048&gt;0,(I28843-I28854-I28851)/(I28847+I29048),0)</f>
        <v>0.619720264946038</v>
      </c>
      <c r="J29072" s="32" t="n">
        <f aca="false">IF(J28847+J29048&gt;0,(J28843-J28854-J28851)/(J28847+J29048),0)</f>
        <v>0.631700102081134</v>
      </c>
      <c r="K29072" s="32" t="n">
        <f aca="false">IF(K28847+K29048&gt;0,(K28843-K28854-K28851)/(K28847+K29048),0)</f>
        <v>0.660832133746777</v>
      </c>
    </row>
    <row r="29073" customFormat="false" ht="15" hidden="false" customHeight="false" outlineLevel="0" collapsed="false">
      <c r="A29073" s="3" t="s">
        <v>422</v>
      </c>
      <c r="G29073" s="16" t="n">
        <f aca="false">MAX(0,G29057)+Assumptions!$P$57*MAX(0,Assumptions!$D$57-G28880)+Assumptions!$P$58*MAX(0,Assumptions!$D$58-G28893)+Assumptions!$P$59*MAX(0,Assumptions!$D$59-G28906)+Assumptions!$P$60*MAX(0,Assumptions!$D$60-G28919)+Assumptions!$P$61*MAX(0,Assumptions!$D$61-G28932)+Assumptions!$P$62*MAX(0,Assumptions!$D$62-G28945)+Assumptions!$P$63*MAX(0,Assumptions!$D$63-G28958)+Assumptions!$P$64*MAX(0,Assumptions!$D$64-G28971)+Assumptions!$P$65*MAX(0,Assumptions!$D$65-G28984)+Assumptions!$P$66*MAX(0,Assumptions!$D$66-G28997)</f>
        <v>664.1874916</v>
      </c>
      <c r="H29073" s="16" t="n">
        <f aca="false">MAX(0,H29057)+Assumptions!$P$57*MAX(0,Assumptions!$D$57-H28880)+Assumptions!$P$58*MAX(0,Assumptions!$D$58-H28893)+Assumptions!$P$59*MAX(0,Assumptions!$D$59-H28906)+Assumptions!$P$60*MAX(0,Assumptions!$D$60-H28919)+Assumptions!$P$61*MAX(0,Assumptions!$D$61-H28932)+Assumptions!$P$62*MAX(0,Assumptions!$D$62-H28945)+Assumptions!$P$63*MAX(0,Assumptions!$D$63-H28958)+Assumptions!$P$64*MAX(0,Assumptions!$D$64-H28971)+Assumptions!$P$65*MAX(0,Assumptions!$D$65-H28984)+Assumptions!$P$66*MAX(0,Assumptions!$D$66-H28997)</f>
        <v>574.5</v>
      </c>
      <c r="I29073" s="16" t="n">
        <f aca="false">MAX(0,I29057)+Assumptions!$P$57*MAX(0,Assumptions!$D$57-I28880)+Assumptions!$P$58*MAX(0,Assumptions!$D$58-I28893)+Assumptions!$P$59*MAX(0,Assumptions!$D$59-I28906)+Assumptions!$P$60*MAX(0,Assumptions!$D$60-I28919)+Assumptions!$P$61*MAX(0,Assumptions!$D$61-I28932)+Assumptions!$P$62*MAX(0,Assumptions!$D$62-I28945)+Assumptions!$P$63*MAX(0,Assumptions!$D$63-I28958)+Assumptions!$P$64*MAX(0,Assumptions!$D$64-I28971)+Assumptions!$P$65*MAX(0,Assumptions!$D$65-I28984)+Assumptions!$P$66*MAX(0,Assumptions!$D$66-I28997)</f>
        <v>574.5</v>
      </c>
      <c r="J29073" s="16" t="n">
        <f aca="false">MAX(0,J29057)+Assumptions!$P$57*MAX(0,Assumptions!$D$57-J28880)+Assumptions!$P$58*MAX(0,Assumptions!$D$58-J28893)+Assumptions!$P$59*MAX(0,Assumptions!$D$59-J28906)+Assumptions!$P$60*MAX(0,Assumptions!$D$60-J28919)+Assumptions!$P$61*MAX(0,Assumptions!$D$61-J28932)+Assumptions!$P$62*MAX(0,Assumptions!$D$62-J28945)+Assumptions!$P$63*MAX(0,Assumptions!$D$63-J28958)+Assumptions!$P$64*MAX(0,Assumptions!$D$64-J28971)+Assumptions!$P$65*MAX(0,Assumptions!$D$65-J28984)+Assumptions!$P$66*MAX(0,Assumptions!$D$66-J28997)</f>
        <v>574.5</v>
      </c>
      <c r="K29073" s="16" t="n">
        <f aca="false">MAX(0,K29057)+Assumptions!$P$57*MAX(0,Assumptions!$D$57-K28880)+Assumptions!$P$58*MAX(0,Assumptions!$D$58-K28893)+Assumptions!$P$59*MAX(0,Assumptions!$D$59-K28906)+Assumptions!$P$60*MAX(0,Assumptions!$D$60-K28919)+Assumptions!$P$61*MAX(0,Assumptions!$D$61-K28932)+Assumptions!$P$62*MAX(0,Assumptions!$D$62-K28945)+Assumptions!$P$63*MAX(0,Assumptions!$D$63-K28958)+Assumptions!$P$64*MAX(0,Assumptions!$D$64-K28971)+Assumptions!$P$65*MAX(0,Assumptions!$D$65-K28984)+Assumptions!$P$66*MAX(0,Assumptions!$D$66-K28997)</f>
        <v>574.5</v>
      </c>
    </row>
    <row r="29074" customFormat="false" ht="15" hidden="false" customHeight="false" outlineLevel="0" collapsed="false">
      <c r="A29074" s="3" t="s">
        <v>423</v>
      </c>
      <c r="G29074" s="22" t="n">
        <f aca="false">IF(G29064&gt;0,G29064/(G29064+MAX(0,G28843*CHOOSE($C$28826,Assumptions!$C$90,Assumptions!$C$109,Assumptions!$C$128)-G29066)),0)</f>
        <v>1</v>
      </c>
      <c r="H29074" s="22" t="n">
        <f aca="false">IF(H29064&gt;0,H29064/(H29064+MAX(0,H28843*CHOOSE($C$28826,Assumptions!$C$90,Assumptions!$C$109,Assumptions!$C$128)-H29066)),0)</f>
        <v>1</v>
      </c>
      <c r="I29074" s="22" t="n">
        <f aca="false">IF(I29064&gt;0,I29064/(I29064+MAX(0,I28843*CHOOSE($C$28826,Assumptions!$C$90,Assumptions!$C$109,Assumptions!$C$128)-I29066)),0)</f>
        <v>1</v>
      </c>
      <c r="J29074" s="22" t="n">
        <f aca="false">IF(J29064&gt;0,J29064/(J29064+MAX(0,J28843*CHOOSE($C$28826,Assumptions!$C$90,Assumptions!$C$109,Assumptions!$C$128)-J29066)),0)</f>
        <v>1</v>
      </c>
      <c r="K29074" s="22" t="n">
        <f aca="false">IF(K29064&gt;0,K29064/(K29064+MAX(0,K28843*CHOOSE($C$28826,Assumptions!$C$90,Assumptions!$C$109,Assumptions!$C$128)-K29066)),0)</f>
        <v>1</v>
      </c>
    </row>
    <row r="29075" customFormat="false" ht="15" hidden="false" customHeight="false" outlineLevel="0" collapsed="false">
      <c r="A29075" s="3" t="s">
        <v>424</v>
      </c>
      <c r="G29075" s="22" t="n">
        <f aca="false">IF(G29064&gt;0,MAX(0,G29057)/G29064,0)</f>
        <v>0.0342066167950833</v>
      </c>
      <c r="H29075" s="22" t="n">
        <f aca="false">IF(H29064&gt;0,MAX(0,H29057)/H29064,0)</f>
        <v>0</v>
      </c>
      <c r="I29075" s="22" t="n">
        <f aca="false">IF(I29064&gt;0,MAX(0,I29057)/I29064,0)</f>
        <v>0</v>
      </c>
      <c r="J29075" s="22" t="n">
        <f aca="false">IF(J29064&gt;0,MAX(0,J29057)/J29064,0)</f>
        <v>0</v>
      </c>
      <c r="K29075" s="22" t="n">
        <f aca="false">IF(K29064&gt;0,MAX(0,K29057)/K29064,0)</f>
        <v>0</v>
      </c>
    </row>
    <row r="29076" customFormat="false" ht="15" hidden="false" customHeight="false" outlineLevel="0" collapsed="false">
      <c r="A29076" s="3" t="s">
        <v>425</v>
      </c>
      <c r="G29076" s="16" t="n">
        <f aca="false">Assumptions!$C$31*(1-CHOOSE($C$28826,Assumptions!$C$93,Assumptions!$C$112,Assumptions!$C$131))</f>
        <v>3162.39046666667</v>
      </c>
      <c r="H29076" s="16" t="n">
        <f aca="false">Assumptions!$C$31*(1-CHOOSE($C$28826,Assumptions!$C$93,Assumptions!$C$112,Assumptions!$C$131))</f>
        <v>3162.39046666667</v>
      </c>
      <c r="I29076" s="16" t="n">
        <f aca="false">Assumptions!$C$31*(1-CHOOSE($C$28826,Assumptions!$C$93,Assumptions!$C$112,Assumptions!$C$131))</f>
        <v>3162.39046666667</v>
      </c>
      <c r="J29076" s="16" t="n">
        <f aca="false">Assumptions!$C$31*(1-CHOOSE($C$28826,Assumptions!$C$93,Assumptions!$C$112,Assumptions!$C$131))</f>
        <v>3162.39046666667</v>
      </c>
      <c r="K29076" s="16" t="n">
        <f aca="false">Assumptions!$C$31*(1-CHOOSE($C$28826,Assumptions!$C$93,Assumptions!$C$112,Assumptions!$C$131))</f>
        <v>3162.39046666667</v>
      </c>
    </row>
    <row r="29077" customFormat="false" ht="15" hidden="false" customHeight="false" outlineLevel="0" collapsed="false">
      <c r="A29077" s="24" t="s">
        <v>426</v>
      </c>
      <c r="B29077" s="25"/>
      <c r="C29077" s="25"/>
      <c r="D29077" s="25"/>
      <c r="E29077" s="25"/>
      <c r="F29077" s="25"/>
      <c r="G29077" s="25"/>
      <c r="H29077" s="25"/>
      <c r="I29077" s="25"/>
      <c r="J29077" s="25"/>
      <c r="K29077" s="25"/>
    </row>
    <row r="29078" customFormat="false" ht="15" hidden="false" customHeight="false" outlineLevel="0" collapsed="false">
      <c r="A29078" s="24" t="s">
        <v>427</v>
      </c>
      <c r="B29078" s="25"/>
      <c r="C29078" s="25"/>
      <c r="D29078" s="25"/>
      <c r="E29078" s="25"/>
      <c r="F29078" s="25"/>
      <c r="G29078" s="25"/>
      <c r="H29078" s="25"/>
      <c r="I29078" s="25"/>
      <c r="J29078" s="25"/>
      <c r="K29078" s="25"/>
    </row>
    <row r="29079" customFormat="false" ht="15" hidden="false" customHeight="false" outlineLevel="0" collapsed="false">
      <c r="A29079" s="3" t="s">
        <v>428</v>
      </c>
      <c r="G29079" s="22" t="n">
        <f aca="false">IF(G29076&gt;0,G29064/G29076,99)</f>
        <v>0.829098755399318</v>
      </c>
      <c r="H29079" s="22" t="n">
        <f aca="false">IF(H29076&gt;0,H29064/H29076,99)</f>
        <v>0.821569216731976</v>
      </c>
      <c r="I29079" s="22" t="n">
        <f aca="false">IF(I29076&gt;0,I29064/I29076,99)</f>
        <v>0.820304350788898</v>
      </c>
      <c r="J29079" s="22" t="n">
        <f aca="false">IF(J29076&gt;0,J29064/J29076,99)</f>
        <v>0.819039484845821</v>
      </c>
      <c r="K29079" s="22" t="n">
        <f aca="false">IF(K29076&gt;0,K29064/K29076,99)</f>
        <v>0.817774618902743</v>
      </c>
    </row>
    <row r="29080" customFormat="false" ht="15" hidden="false" customHeight="false" outlineLevel="0" collapsed="false">
      <c r="A29080" s="3" t="s">
        <v>429</v>
      </c>
      <c r="G29080" s="33" t="n">
        <f aca="false">Assumptions!$G$71</f>
        <v>0.6</v>
      </c>
      <c r="H29080" s="33" t="n">
        <f aca="false">Assumptions!$H$71</f>
        <v>0.6</v>
      </c>
      <c r="I29080" s="33" t="n">
        <f aca="false">Assumptions!$I$71</f>
        <v>0.6</v>
      </c>
      <c r="J29080" s="33" t="n">
        <f aca="false">Assumptions!$J$71</f>
        <v>0.6</v>
      </c>
      <c r="K29080" s="33" t="n">
        <f aca="false">Assumptions!$K$71</f>
        <v>0.6</v>
      </c>
    </row>
    <row r="29081" customFormat="false" ht="15" hidden="false" customHeight="false" outlineLevel="0" collapsed="false">
      <c r="A29081" s="3" t="s">
        <v>430</v>
      </c>
      <c r="G29081" s="22" t="n">
        <f aca="false">G29080-G29079</f>
        <v>-0.229098755399318</v>
      </c>
      <c r="H29081" s="22" t="n">
        <f aca="false">H29080-H29079</f>
        <v>-0.221569216731976</v>
      </c>
      <c r="I29081" s="22" t="n">
        <f aca="false">I29080-I29079</f>
        <v>-0.220304350788898</v>
      </c>
      <c r="J29081" s="22" t="n">
        <f aca="false">J29080-J29079</f>
        <v>-0.21903948484582</v>
      </c>
      <c r="K29081" s="22" t="n">
        <f aca="false">K29080-K29079</f>
        <v>-0.217774618902743</v>
      </c>
    </row>
    <row r="29082" customFormat="false" ht="15" hidden="false" customHeight="false" outlineLevel="0" collapsed="false">
      <c r="A29082" s="3" t="s">
        <v>431</v>
      </c>
      <c r="G29082" s="22" t="n">
        <f aca="false">IF(G29080=0,0,G29081/ABS(G29080))</f>
        <v>-0.381831258998863</v>
      </c>
      <c r="H29082" s="22" t="n">
        <f aca="false">IF(H29080=0,0,H29081/ABS(H29080))</f>
        <v>-0.369282027886626</v>
      </c>
      <c r="I29082" s="22" t="n">
        <f aca="false">IF(I29080=0,0,I29081/ABS(I29080))</f>
        <v>-0.367173917981497</v>
      </c>
      <c r="J29082" s="22" t="n">
        <f aca="false">IF(J29080=0,0,J29081/ABS(J29080))</f>
        <v>-0.365065808076367</v>
      </c>
      <c r="K29082" s="22" t="n">
        <f aca="false">IF(K29080=0,0,K29081/ABS(K29080))</f>
        <v>-0.362957698171238</v>
      </c>
    </row>
    <row r="29083" customFormat="false" ht="15" hidden="false" customHeight="false" outlineLevel="0" collapsed="false">
      <c r="A29083" s="3" t="s">
        <v>432</v>
      </c>
      <c r="G29083" s="21" t="n">
        <f aca="false">IF(G29081&lt;0,1,0)</f>
        <v>1</v>
      </c>
      <c r="H29083" s="21" t="n">
        <f aca="false">IF(H29081&lt;0,1,0)</f>
        <v>1</v>
      </c>
      <c r="I29083" s="21" t="n">
        <f aca="false">IF(I29081&lt;0,1,0)</f>
        <v>1</v>
      </c>
      <c r="J29083" s="21" t="n">
        <f aca="false">IF(J29081&lt;0,1,0)</f>
        <v>1</v>
      </c>
      <c r="K29083" s="21" t="n">
        <f aca="false">IF(K29081&lt;0,1,0)</f>
        <v>1</v>
      </c>
    </row>
    <row r="29084" customFormat="false" ht="15" hidden="false" customHeight="false" outlineLevel="0" collapsed="false">
      <c r="A29084" s="3" t="s">
        <v>433</v>
      </c>
      <c r="C29084" s="21" t="n">
        <f aca="false">IFERROR(INDEX($G$28833:$K$28833,MATCH(1,$G$29083:$K$29083,0)),0)</f>
        <v>2027</v>
      </c>
    </row>
    <row r="29085" customFormat="false" ht="15" hidden="false" customHeight="false" outlineLevel="0" collapsed="false">
      <c r="A29085" s="3" t="s">
        <v>434</v>
      </c>
      <c r="C29085" s="22" t="n">
        <f aca="false">MIN($G$29082:$K$29082)</f>
        <v>-0.381831258998863</v>
      </c>
    </row>
    <row r="29086" customFormat="false" ht="15" hidden="false" customHeight="false" outlineLevel="0" collapsed="false">
      <c r="A29086" s="24" t="s">
        <v>435</v>
      </c>
      <c r="B29086" s="25"/>
      <c r="C29086" s="25"/>
      <c r="D29086" s="25"/>
      <c r="E29086" s="25"/>
      <c r="F29086" s="25"/>
      <c r="G29086" s="25"/>
      <c r="H29086" s="25"/>
      <c r="I29086" s="25"/>
      <c r="J29086" s="25"/>
      <c r="K29086" s="25"/>
    </row>
    <row r="29087" customFormat="false" ht="15" hidden="false" customHeight="false" outlineLevel="0" collapsed="false">
      <c r="A29087" s="3" t="s">
        <v>428</v>
      </c>
      <c r="G29087" s="32" t="n">
        <f aca="false">IF(G28847&gt;0,G28843/G28847,99)</f>
        <v>1.07346191411807</v>
      </c>
      <c r="H29087" s="32" t="n">
        <f aca="false">IF(H28847&gt;0,H28843/H28847,99)</f>
        <v>0.938967076210996</v>
      </c>
      <c r="I29087" s="32" t="n">
        <f aca="false">IF(I28847&gt;0,I28843/I28847,99)</f>
        <v>0.911755225620542</v>
      </c>
      <c r="J29087" s="32" t="n">
        <f aca="false">IF(J28847&gt;0,J28843/J28847,99)</f>
        <v>0.924688323997812</v>
      </c>
      <c r="K29087" s="32" t="n">
        <f aca="false">IF(K28847&gt;0,K28843/K28847,99)</f>
        <v>0.957946027119062</v>
      </c>
    </row>
    <row r="29088" customFormat="false" ht="15" hidden="false" customHeight="false" outlineLevel="0" collapsed="false">
      <c r="A29088" s="3" t="s">
        <v>429</v>
      </c>
      <c r="G29088" s="34" t="n">
        <f aca="false">Assumptions!$G$72</f>
        <v>1.5</v>
      </c>
      <c r="H29088" s="34" t="n">
        <f aca="false">Assumptions!$H$72</f>
        <v>1.5</v>
      </c>
      <c r="I29088" s="34" t="n">
        <f aca="false">Assumptions!$I$72</f>
        <v>1.5</v>
      </c>
      <c r="J29088" s="34" t="n">
        <f aca="false">Assumptions!$J$72</f>
        <v>1.5</v>
      </c>
      <c r="K29088" s="34" t="n">
        <f aca="false">Assumptions!$K$72</f>
        <v>1.5</v>
      </c>
    </row>
    <row r="29089" customFormat="false" ht="15" hidden="false" customHeight="false" outlineLevel="0" collapsed="false">
      <c r="A29089" s="3" t="s">
        <v>430</v>
      </c>
      <c r="G29089" s="32" t="n">
        <f aca="false">G29087-G29088</f>
        <v>-0.426538085881932</v>
      </c>
      <c r="H29089" s="32" t="n">
        <f aca="false">H29087-H29088</f>
        <v>-0.561032923789004</v>
      </c>
      <c r="I29089" s="32" t="n">
        <f aca="false">I29087-I29088</f>
        <v>-0.588244774379458</v>
      </c>
      <c r="J29089" s="32" t="n">
        <f aca="false">J29087-J29088</f>
        <v>-0.575311676002188</v>
      </c>
      <c r="K29089" s="32" t="n">
        <f aca="false">K29087-K29088</f>
        <v>-0.542053972880938</v>
      </c>
    </row>
    <row r="29090" customFormat="false" ht="15" hidden="false" customHeight="false" outlineLevel="0" collapsed="false">
      <c r="A29090" s="3" t="s">
        <v>431</v>
      </c>
      <c r="G29090" s="22" t="n">
        <f aca="false">IF(G29088=0,0,G29089/ABS(G29088))</f>
        <v>-0.284358723921288</v>
      </c>
      <c r="H29090" s="22" t="n">
        <f aca="false">IF(H29088=0,0,H29089/ABS(H29088))</f>
        <v>-0.374021949192669</v>
      </c>
      <c r="I29090" s="22" t="n">
        <f aca="false">IF(I29088=0,0,I29089/ABS(I29088))</f>
        <v>-0.392163182919638</v>
      </c>
      <c r="J29090" s="22" t="n">
        <f aca="false">IF(J29088=0,0,J29089/ABS(J29088))</f>
        <v>-0.383541117334792</v>
      </c>
      <c r="K29090" s="22" t="n">
        <f aca="false">IF(K29088=0,0,K29089/ABS(K29088))</f>
        <v>-0.361369315253959</v>
      </c>
    </row>
    <row r="29091" customFormat="false" ht="15" hidden="false" customHeight="false" outlineLevel="0" collapsed="false">
      <c r="A29091" s="3" t="s">
        <v>432</v>
      </c>
      <c r="G29091" s="21" t="n">
        <f aca="false">IF(G29089&lt;0,1,0)</f>
        <v>1</v>
      </c>
      <c r="H29091" s="21" t="n">
        <f aca="false">IF(H29089&lt;0,1,0)</f>
        <v>1</v>
      </c>
      <c r="I29091" s="21" t="n">
        <f aca="false">IF(I29089&lt;0,1,0)</f>
        <v>1</v>
      </c>
      <c r="J29091" s="21" t="n">
        <f aca="false">IF(J29089&lt;0,1,0)</f>
        <v>1</v>
      </c>
      <c r="K29091" s="21" t="n">
        <f aca="false">IF(K29089&lt;0,1,0)</f>
        <v>1</v>
      </c>
    </row>
    <row r="29092" customFormat="false" ht="15" hidden="false" customHeight="false" outlineLevel="0" collapsed="false">
      <c r="A29092" s="3" t="s">
        <v>433</v>
      </c>
      <c r="C29092" s="21" t="n">
        <f aca="false">IFERROR(INDEX($G$28833:$K$28833,MATCH(1,$G$29091:$K$29091,0)),0)</f>
        <v>2027</v>
      </c>
    </row>
    <row r="29093" customFormat="false" ht="15" hidden="false" customHeight="false" outlineLevel="0" collapsed="false">
      <c r="A29093" s="3" t="s">
        <v>434</v>
      </c>
      <c r="C29093" s="22" t="n">
        <f aca="false">MIN($G$29090:$K$29090)</f>
        <v>-0.392163182919638</v>
      </c>
    </row>
    <row r="29094" customFormat="false" ht="15" hidden="false" customHeight="false" outlineLevel="0" collapsed="false">
      <c r="A29094" s="24" t="s">
        <v>436</v>
      </c>
      <c r="B29094" s="25"/>
      <c r="C29094" s="25"/>
      <c r="D29094" s="25"/>
      <c r="E29094" s="25"/>
      <c r="F29094" s="25"/>
      <c r="G29094" s="25"/>
      <c r="H29094" s="25"/>
      <c r="I29094" s="25"/>
      <c r="J29094" s="25"/>
      <c r="K29094" s="25"/>
    </row>
    <row r="29095" customFormat="false" ht="15" hidden="false" customHeight="false" outlineLevel="0" collapsed="false">
      <c r="A29095" s="3" t="s">
        <v>428</v>
      </c>
      <c r="G29095" s="22" t="n">
        <f aca="false">IF(G29076&gt;0,G29065/G29076,99)</f>
        <v>0.171808005914176</v>
      </c>
      <c r="H29095" s="22" t="n">
        <f aca="false">IF(H29076&gt;0,H29065/H29076,99)</f>
        <v>0.170543139971098</v>
      </c>
      <c r="I29095" s="22" t="n">
        <f aca="false">IF(I29076&gt;0,I29065/I29076,99)</f>
        <v>0.169278274028021</v>
      </c>
      <c r="J29095" s="22" t="n">
        <f aca="false">IF(J29076&gt;0,J29065/J29076,99)</f>
        <v>0.168013408084943</v>
      </c>
      <c r="K29095" s="22" t="n">
        <f aca="false">IF(K29076&gt;0,K29065/K29076,99)</f>
        <v>0.166748542141865</v>
      </c>
    </row>
    <row r="29096" customFormat="false" ht="15" hidden="false" customHeight="false" outlineLevel="0" collapsed="false">
      <c r="A29096" s="3" t="s">
        <v>429</v>
      </c>
      <c r="G29096" s="33" t="n">
        <f aca="false">Assumptions!$G$73</f>
        <v>0.4</v>
      </c>
      <c r="H29096" s="33" t="n">
        <f aca="false">Assumptions!$H$73</f>
        <v>0.4</v>
      </c>
      <c r="I29096" s="33" t="n">
        <f aca="false">Assumptions!$I$73</f>
        <v>0.4</v>
      </c>
      <c r="J29096" s="33" t="n">
        <f aca="false">Assumptions!$J$73</f>
        <v>0.4</v>
      </c>
      <c r="K29096" s="33" t="n">
        <f aca="false">Assumptions!$K$73</f>
        <v>0.4</v>
      </c>
    </row>
    <row r="29097" customFormat="false" ht="15" hidden="false" customHeight="false" outlineLevel="0" collapsed="false">
      <c r="A29097" s="3" t="s">
        <v>430</v>
      </c>
      <c r="G29097" s="22" t="n">
        <f aca="false">G29096-G29095</f>
        <v>0.228191994085824</v>
      </c>
      <c r="H29097" s="22" t="n">
        <f aca="false">H29096-H29095</f>
        <v>0.229456860028902</v>
      </c>
      <c r="I29097" s="22" t="n">
        <f aca="false">I29096-I29095</f>
        <v>0.230721725971979</v>
      </c>
      <c r="J29097" s="22" t="n">
        <f aca="false">J29096-J29095</f>
        <v>0.231986591915057</v>
      </c>
      <c r="K29097" s="22" t="n">
        <f aca="false">K29096-K29095</f>
        <v>0.233251457858135</v>
      </c>
    </row>
    <row r="29098" customFormat="false" ht="15" hidden="false" customHeight="false" outlineLevel="0" collapsed="false">
      <c r="A29098" s="3" t="s">
        <v>431</v>
      </c>
      <c r="G29098" s="22" t="n">
        <f aca="false">IF(G29096=0,0,G29097/ABS(G29096))</f>
        <v>0.57047998521456</v>
      </c>
      <c r="H29098" s="22" t="n">
        <f aca="false">IF(H29096=0,0,H29097/ABS(H29096))</f>
        <v>0.573642150072254</v>
      </c>
      <c r="I29098" s="22" t="n">
        <f aca="false">IF(I29096=0,0,I29097/ABS(I29096))</f>
        <v>0.576804314929948</v>
      </c>
      <c r="J29098" s="22" t="n">
        <f aca="false">IF(J29096=0,0,J29097/ABS(J29096))</f>
        <v>0.579966479787643</v>
      </c>
      <c r="K29098" s="22" t="n">
        <f aca="false">IF(K29096=0,0,K29097/ABS(K29096))</f>
        <v>0.583128644645337</v>
      </c>
    </row>
    <row r="29099" customFormat="false" ht="15" hidden="false" customHeight="false" outlineLevel="0" collapsed="false">
      <c r="A29099" s="3" t="s">
        <v>432</v>
      </c>
      <c r="G29099" s="21" t="n">
        <f aca="false">IF(G29097&lt;0,1,0)</f>
        <v>0</v>
      </c>
      <c r="H29099" s="21" t="n">
        <f aca="false">IF(H29097&lt;0,1,0)</f>
        <v>0</v>
      </c>
      <c r="I29099" s="21" t="n">
        <f aca="false">IF(I29097&lt;0,1,0)</f>
        <v>0</v>
      </c>
      <c r="J29099" s="21" t="n">
        <f aca="false">IF(J29097&lt;0,1,0)</f>
        <v>0</v>
      </c>
      <c r="K29099" s="21" t="n">
        <f aca="false">IF(K29097&lt;0,1,0)</f>
        <v>0</v>
      </c>
    </row>
    <row r="29100" customFormat="false" ht="15" hidden="false" customHeight="false" outlineLevel="0" collapsed="false">
      <c r="A29100" s="3" t="s">
        <v>433</v>
      </c>
      <c r="C29100" s="21" t="n">
        <f aca="false">IFERROR(INDEX($G$28833:$K$28833,MATCH(1,$G$29099:$K$29099,0)),0)</f>
        <v>0</v>
      </c>
    </row>
    <row r="29101" customFormat="false" ht="15" hidden="false" customHeight="false" outlineLevel="0" collapsed="false">
      <c r="A29101" s="3" t="s">
        <v>434</v>
      </c>
      <c r="C29101" s="22" t="n">
        <f aca="false">MIN($G$29098:$K$29098)</f>
        <v>0.57047998521456</v>
      </c>
    </row>
    <row r="29102" customFormat="false" ht="15" hidden="false" customHeight="false" outlineLevel="0" collapsed="false">
      <c r="A29102" s="24" t="s">
        <v>437</v>
      </c>
      <c r="B29102" s="25"/>
      <c r="C29102" s="25"/>
      <c r="D29102" s="25"/>
      <c r="E29102" s="25"/>
      <c r="F29102" s="25"/>
      <c r="G29102" s="25"/>
      <c r="H29102" s="25"/>
      <c r="I29102" s="25"/>
      <c r="J29102" s="25"/>
      <c r="K29102" s="25"/>
    </row>
    <row r="29103" customFormat="false" ht="15" hidden="false" customHeight="false" outlineLevel="0" collapsed="false">
      <c r="A29103" s="3" t="s">
        <v>428</v>
      </c>
      <c r="G29103" s="16" t="n">
        <f aca="false">G29073</f>
        <v>664.1874916</v>
      </c>
      <c r="H29103" s="16" t="n">
        <f aca="false">H29073</f>
        <v>574.5</v>
      </c>
      <c r="I29103" s="16" t="n">
        <f aca="false">I29073</f>
        <v>574.5</v>
      </c>
      <c r="J29103" s="16" t="n">
        <f aca="false">J29073</f>
        <v>574.5</v>
      </c>
      <c r="K29103" s="16" t="n">
        <f aca="false">K29073</f>
        <v>574.5</v>
      </c>
    </row>
    <row r="29104" customFormat="false" ht="15" hidden="false" customHeight="false" outlineLevel="0" collapsed="false">
      <c r="A29104" s="3" t="s">
        <v>429</v>
      </c>
      <c r="G29104" s="29" t="n">
        <f aca="false">Assumptions!$G$74</f>
        <v>100</v>
      </c>
      <c r="H29104" s="29" t="n">
        <f aca="false">Assumptions!$H$74</f>
        <v>100</v>
      </c>
      <c r="I29104" s="29" t="n">
        <f aca="false">Assumptions!$I$74</f>
        <v>100</v>
      </c>
      <c r="J29104" s="29" t="n">
        <f aca="false">Assumptions!$J$74</f>
        <v>100</v>
      </c>
      <c r="K29104" s="29" t="n">
        <f aca="false">Assumptions!$K$74</f>
        <v>100</v>
      </c>
    </row>
    <row r="29105" customFormat="false" ht="15" hidden="false" customHeight="false" outlineLevel="0" collapsed="false">
      <c r="A29105" s="3" t="s">
        <v>430</v>
      </c>
      <c r="G29105" s="16" t="n">
        <f aca="false">G29103-G29104</f>
        <v>564.1874916</v>
      </c>
      <c r="H29105" s="16" t="n">
        <f aca="false">H29103-H29104</f>
        <v>474.5</v>
      </c>
      <c r="I29105" s="16" t="n">
        <f aca="false">I29103-I29104</f>
        <v>474.5</v>
      </c>
      <c r="J29105" s="16" t="n">
        <f aca="false">J29103-J29104</f>
        <v>474.5</v>
      </c>
      <c r="K29105" s="16" t="n">
        <f aca="false">K29103-K29104</f>
        <v>474.5</v>
      </c>
    </row>
    <row r="29106" customFormat="false" ht="15" hidden="false" customHeight="false" outlineLevel="0" collapsed="false">
      <c r="A29106" s="3" t="s">
        <v>431</v>
      </c>
      <c r="G29106" s="22" t="n">
        <f aca="false">IF(G29104=0,0,G29105/ABS(G29104))</f>
        <v>5.641874916</v>
      </c>
      <c r="H29106" s="22" t="n">
        <f aca="false">IF(H29104=0,0,H29105/ABS(H29104))</f>
        <v>4.745</v>
      </c>
      <c r="I29106" s="22" t="n">
        <f aca="false">IF(I29104=0,0,I29105/ABS(I29104))</f>
        <v>4.745</v>
      </c>
      <c r="J29106" s="22" t="n">
        <f aca="false">IF(J29104=0,0,J29105/ABS(J29104))</f>
        <v>4.745</v>
      </c>
      <c r="K29106" s="22" t="n">
        <f aca="false">IF(K29104=0,0,K29105/ABS(K29104))</f>
        <v>4.745</v>
      </c>
    </row>
    <row r="29107" customFormat="false" ht="15" hidden="false" customHeight="false" outlineLevel="0" collapsed="false">
      <c r="A29107" s="3" t="s">
        <v>432</v>
      </c>
      <c r="G29107" s="21" t="n">
        <f aca="false">IF(G29105&lt;0,1,0)</f>
        <v>0</v>
      </c>
      <c r="H29107" s="21" t="n">
        <f aca="false">IF(H29105&lt;0,1,0)</f>
        <v>0</v>
      </c>
      <c r="I29107" s="21" t="n">
        <f aca="false">IF(I29105&lt;0,1,0)</f>
        <v>0</v>
      </c>
      <c r="J29107" s="21" t="n">
        <f aca="false">IF(J29105&lt;0,1,0)</f>
        <v>0</v>
      </c>
      <c r="K29107" s="21" t="n">
        <f aca="false">IF(K29105&lt;0,1,0)</f>
        <v>0</v>
      </c>
    </row>
    <row r="29108" customFormat="false" ht="15" hidden="false" customHeight="false" outlineLevel="0" collapsed="false">
      <c r="A29108" s="3" t="s">
        <v>433</v>
      </c>
      <c r="C29108" s="21" t="n">
        <f aca="false">IFERROR(INDEX($G$28833:$K$28833,MATCH(1,$G$29107:$K$29107,0)),0)</f>
        <v>0</v>
      </c>
    </row>
    <row r="29109" customFormat="false" ht="15" hidden="false" customHeight="false" outlineLevel="0" collapsed="false">
      <c r="A29109" s="3" t="s">
        <v>434</v>
      </c>
      <c r="C29109" s="22" t="n">
        <f aca="false">MIN($G$29106:$K$29106)</f>
        <v>4.745</v>
      </c>
    </row>
    <row r="29110" customFormat="false" ht="15" hidden="false" customHeight="false" outlineLevel="0" collapsed="false">
      <c r="A29110" s="24" t="s">
        <v>438</v>
      </c>
      <c r="B29110" s="25"/>
      <c r="C29110" s="25"/>
      <c r="D29110" s="25"/>
      <c r="E29110" s="25"/>
      <c r="F29110" s="25"/>
      <c r="G29110" s="25"/>
      <c r="H29110" s="25"/>
      <c r="I29110" s="25"/>
      <c r="J29110" s="25"/>
      <c r="K29110" s="25"/>
    </row>
    <row r="29111" customFormat="false" ht="15" hidden="false" customHeight="false" outlineLevel="0" collapsed="false">
      <c r="A29111" s="3" t="s">
        <v>428</v>
      </c>
      <c r="G29111" s="32" t="n">
        <f aca="false">IF(G28843&gt;0,G29066/G28843,99)</f>
        <v>12.2750309756816</v>
      </c>
      <c r="H29111" s="32" t="n">
        <f aca="false">IF(H28843&gt;0,H29066/H28843,99)</f>
        <v>14.4871412253078</v>
      </c>
      <c r="I29111" s="32" t="n">
        <f aca="false">IF(I28843&gt;0,I29066/I28843,99)</f>
        <v>15.513573291678</v>
      </c>
      <c r="J29111" s="32" t="n">
        <f aca="false">IF(J28843&gt;0,J29066/J28843,99)</f>
        <v>15.7169539568807</v>
      </c>
      <c r="K29111" s="32" t="n">
        <f aca="false">IF(K28843&gt;0,K29066/K28843,99)</f>
        <v>15.5470284146457</v>
      </c>
    </row>
    <row r="29112" customFormat="false" ht="15" hidden="false" customHeight="false" outlineLevel="0" collapsed="false">
      <c r="A29112" s="3" t="s">
        <v>429</v>
      </c>
      <c r="G29112" s="34" t="n">
        <f aca="false">Assumptions!$G$75</f>
        <v>10.5</v>
      </c>
      <c r="H29112" s="34" t="n">
        <f aca="false">Assumptions!$H$75</f>
        <v>10.5</v>
      </c>
      <c r="I29112" s="34" t="n">
        <f aca="false">Assumptions!$I$75</f>
        <v>10</v>
      </c>
      <c r="J29112" s="34" t="n">
        <f aca="false">Assumptions!$J$75</f>
        <v>10</v>
      </c>
      <c r="K29112" s="34" t="n">
        <f aca="false">Assumptions!$K$75</f>
        <v>9.5</v>
      </c>
    </row>
    <row r="29113" customFormat="false" ht="15" hidden="false" customHeight="false" outlineLevel="0" collapsed="false">
      <c r="A29113" s="3" t="s">
        <v>430</v>
      </c>
      <c r="G29113" s="32" t="n">
        <f aca="false">G29112-G29111</f>
        <v>-1.77503097568164</v>
      </c>
      <c r="H29113" s="32" t="n">
        <f aca="false">H29112-H29111</f>
        <v>-3.98714122530781</v>
      </c>
      <c r="I29113" s="32" t="n">
        <f aca="false">I29112-I29111</f>
        <v>-5.51357329167798</v>
      </c>
      <c r="J29113" s="32" t="n">
        <f aca="false">J29112-J29111</f>
        <v>-5.71695395688075</v>
      </c>
      <c r="K29113" s="32" t="n">
        <f aca="false">K29112-K29111</f>
        <v>-6.04702841464571</v>
      </c>
    </row>
    <row r="29114" customFormat="false" ht="15" hidden="false" customHeight="false" outlineLevel="0" collapsed="false">
      <c r="A29114" s="3" t="s">
        <v>431</v>
      </c>
      <c r="G29114" s="22" t="n">
        <f aca="false">IF(G29112=0,0,G29113/ABS(G29112))</f>
        <v>-0.169050569112537</v>
      </c>
      <c r="H29114" s="22" t="n">
        <f aca="false">IF(H29112=0,0,H29113/ABS(H29112))</f>
        <v>-0.379727735743601</v>
      </c>
      <c r="I29114" s="22" t="n">
        <f aca="false">IF(I29112=0,0,I29113/ABS(I29112))</f>
        <v>-0.551357329167798</v>
      </c>
      <c r="J29114" s="22" t="n">
        <f aca="false">IF(J29112=0,0,J29113/ABS(J29112))</f>
        <v>-0.571695395688075</v>
      </c>
      <c r="K29114" s="22" t="n">
        <f aca="false">IF(K29112=0,0,K29113/ABS(K29112))</f>
        <v>-0.636529306804812</v>
      </c>
    </row>
    <row r="29115" customFormat="false" ht="15" hidden="false" customHeight="false" outlineLevel="0" collapsed="false">
      <c r="A29115" s="3" t="s">
        <v>432</v>
      </c>
      <c r="G29115" s="21" t="n">
        <f aca="false">IF(G29113&lt;0,1,0)</f>
        <v>1</v>
      </c>
      <c r="H29115" s="21" t="n">
        <f aca="false">IF(H29113&lt;0,1,0)</f>
        <v>1</v>
      </c>
      <c r="I29115" s="21" t="n">
        <f aca="false">IF(I29113&lt;0,1,0)</f>
        <v>1</v>
      </c>
      <c r="J29115" s="21" t="n">
        <f aca="false">IF(J29113&lt;0,1,0)</f>
        <v>1</v>
      </c>
      <c r="K29115" s="21" t="n">
        <f aca="false">IF(K29113&lt;0,1,0)</f>
        <v>1</v>
      </c>
    </row>
    <row r="29116" customFormat="false" ht="15" hidden="false" customHeight="false" outlineLevel="0" collapsed="false">
      <c r="A29116" s="3" t="s">
        <v>433</v>
      </c>
      <c r="C29116" s="21" t="n">
        <f aca="false">IFERROR(INDEX($G$28833:$K$28833,MATCH(1,$G$29115:$K$29115,0)),0)</f>
        <v>2027</v>
      </c>
    </row>
    <row r="29117" customFormat="false" ht="15" hidden="false" customHeight="false" outlineLevel="0" collapsed="false">
      <c r="A29117" s="3" t="s">
        <v>434</v>
      </c>
      <c r="C29117" s="22" t="n">
        <f aca="false">MIN($G$29114:$K$29114)</f>
        <v>-0.636529306804812</v>
      </c>
    </row>
    <row r="29118" customFormat="false" ht="15" hidden="false" customHeight="false" outlineLevel="0" collapsed="false">
      <c r="A29118" s="3" t="s">
        <v>439</v>
      </c>
      <c r="G29118" s="21" t="n">
        <f aca="false">G29083+G29091+G29099+G29107+G29115</f>
        <v>3</v>
      </c>
      <c r="H29118" s="21" t="n">
        <f aca="false">H29083+H29091+H29099+H29107+H29115</f>
        <v>3</v>
      </c>
      <c r="I29118" s="21" t="n">
        <f aca="false">I29083+I29091+I29099+I29107+I29115</f>
        <v>3</v>
      </c>
      <c r="J29118" s="21" t="n">
        <f aca="false">J29083+J29091+J29099+J29107+J29115</f>
        <v>3</v>
      </c>
      <c r="K29118" s="21" t="n">
        <f aca="false">K29083+K29091+K29099+K29107+K29115</f>
        <v>3</v>
      </c>
    </row>
    <row r="29119" customFormat="false" ht="15" hidden="false" customHeight="false" outlineLevel="0" collapsed="false">
      <c r="A29119" s="3" t="s">
        <v>440</v>
      </c>
      <c r="C29119" s="21" t="n">
        <f aca="false">SUM($G$29118:$K$29118)</f>
        <v>15</v>
      </c>
    </row>
    <row r="29120" customFormat="false" ht="15" hidden="false" customHeight="false" outlineLevel="0" collapsed="false">
      <c r="A29120" s="3" t="s">
        <v>441</v>
      </c>
      <c r="C29120" s="22" t="n">
        <f aca="false">MIN(C29085,C29093,C29101,C29109,C29117)</f>
        <v>-0.636529306804812</v>
      </c>
    </row>
    <row r="29122" customFormat="false" ht="15" hidden="false" customHeight="false" outlineLevel="0" collapsed="false">
      <c r="A29122" s="24" t="s">
        <v>543</v>
      </c>
      <c r="B29122" s="25"/>
      <c r="C29122" s="25"/>
      <c r="D29122" s="25"/>
      <c r="E29122" s="25"/>
      <c r="F29122" s="25"/>
      <c r="G29122" s="25"/>
      <c r="H29122" s="25"/>
      <c r="I29122" s="25"/>
      <c r="J29122" s="25"/>
      <c r="K29122" s="25"/>
    </row>
    <row r="29123" customFormat="false" ht="15" hidden="false" customHeight="false" outlineLevel="0" collapsed="false">
      <c r="A29123" s="3" t="s">
        <v>544</v>
      </c>
      <c r="G29123" s="21" t="n">
        <f aca="false">IF($C$29124=1,G29060,IF(G28843=MIN($G$28843:$K$28843),1,0))</f>
        <v>0</v>
      </c>
      <c r="H29123" s="21" t="n">
        <f aca="false">IF($C$29124=1,H29060,IF(AND(H28843=MIN($G$28843:$K$28843),SUM($G$29123:G29123)=0),1,0))</f>
        <v>1</v>
      </c>
      <c r="I29123" s="21" t="n">
        <f aca="false">IF($C$29124=1,I29060,IF(AND(I28843=MIN($G$28843:$K$28843),SUM($G$29123:H29123)=0),1,0))</f>
        <v>0</v>
      </c>
      <c r="J29123" s="21" t="n">
        <f aca="false">IF($C$29124=1,J29060,IF(AND(J28843=MIN($G$28843:$K$28843),SUM($G$29123:I29123)=0),1,0))</f>
        <v>0</v>
      </c>
      <c r="K29123" s="21" t="n">
        <f aca="false">IF($C$29124=1,K29060,IF(AND(K28843=MIN($G$28843:$K$28843),SUM($G$29123:J29123)=0),1,0))</f>
        <v>0</v>
      </c>
    </row>
    <row r="29124" customFormat="false" ht="15" hidden="false" customHeight="false" outlineLevel="0" collapsed="false">
      <c r="A29124" s="3" t="s">
        <v>545</v>
      </c>
      <c r="C29124" s="21" t="n">
        <f aca="false">IF(SUM($G$29060:$K$29060)&gt;0,1,0)</f>
        <v>1</v>
      </c>
    </row>
    <row r="29125" customFormat="false" ht="15" hidden="false" customHeight="false" outlineLevel="0" collapsed="false">
      <c r="A29125" s="3" t="s">
        <v>546</v>
      </c>
      <c r="C29125" s="21" t="n">
        <f aca="false">SUMPRODUCT($G$29123:$K$29123,$G$28833:$K$28833)</f>
        <v>2028</v>
      </c>
    </row>
    <row r="29126" customFormat="false" ht="15" hidden="false" customHeight="false" outlineLevel="0" collapsed="false">
      <c r="A29126" s="3" t="s">
        <v>547</v>
      </c>
      <c r="C29126" s="16" t="n">
        <f aca="false">SUMPRODUCT($G$29123:$K$29123,$G$28843:$K$28843)</f>
        <v>179.33991381</v>
      </c>
    </row>
    <row r="29127" customFormat="false" ht="15" hidden="false" customHeight="false" outlineLevel="0" collapsed="false">
      <c r="A29127" s="3" t="s">
        <v>548</v>
      </c>
      <c r="C29127" s="16" t="n">
        <f aca="false">MAX(0,SUMPRODUCT($G$29123:$K$29123,$G$29057:$K$29057))</f>
        <v>0</v>
      </c>
    </row>
    <row r="29128" customFormat="false" ht="15" hidden="false" customHeight="false" outlineLevel="0" collapsed="false">
      <c r="A29128" s="3" t="s">
        <v>549</v>
      </c>
      <c r="C29128" s="16" t="n">
        <f aca="false">(CHOOSE($C$28826,Assumptions!$C$92,Assumptions!$C$111,Assumptions!$C$130)+$C$28830)*C29126</f>
        <v>1434.71931048</v>
      </c>
    </row>
    <row r="29129" customFormat="false" ht="15" hidden="false" customHeight="false" outlineLevel="0" collapsed="false">
      <c r="A29129" s="3" t="s">
        <v>550</v>
      </c>
      <c r="C29129" s="16" t="n">
        <f aca="false">Assumptions!$C$31*(1-CHOOSE($C$28826,Assumptions!$C$93,Assumptions!$C$112,Assumptions!$C$131))*CHOOSE($C$28826,Assumptions!$C$94,Assumptions!$C$113,Assumptions!$C$132)</f>
        <v>2688.03189666667</v>
      </c>
    </row>
    <row r="29130" customFormat="false" ht="15" hidden="false" customHeight="false" outlineLevel="0" collapsed="false">
      <c r="A29130" s="3" t="s">
        <v>551</v>
      </c>
      <c r="C29130" s="16" t="n">
        <f aca="false">MAX(C29128,C29129)+C29127</f>
        <v>2688.03189666667</v>
      </c>
    </row>
    <row r="29131" customFormat="false" ht="15" hidden="false" customHeight="false" outlineLevel="0" collapsed="false">
      <c r="A29131" s="2" t="s">
        <v>552</v>
      </c>
      <c r="C29131" s="17" t="n">
        <f aca="false">IF(ISNUMBER(Assumptions!$C$14),Assumptions!$C$14,C29130)</f>
        <v>2688.03189666667</v>
      </c>
    </row>
    <row r="29132" customFormat="false" ht="15" hidden="false" customHeight="false" outlineLevel="0" collapsed="false">
      <c r="A29132" s="3" t="s">
        <v>553</v>
      </c>
      <c r="C29132" s="16" t="n">
        <f aca="false">C29131*Assumptions!$C$15</f>
        <v>107.521275866667</v>
      </c>
    </row>
    <row r="29133" customFormat="false" ht="15" hidden="false" customHeight="false" outlineLevel="0" collapsed="false">
      <c r="A29133" s="2" t="s">
        <v>554</v>
      </c>
      <c r="C29133" s="17" t="n">
        <f aca="false">C29131-C29132</f>
        <v>2580.5106208</v>
      </c>
    </row>
    <row r="29134" customFormat="false" ht="15" hidden="false" customHeight="false" outlineLevel="0" collapsed="false">
      <c r="A29134" s="24" t="s">
        <v>555</v>
      </c>
      <c r="B29134" s="25"/>
      <c r="C29134" s="25"/>
      <c r="D29134" s="25"/>
      <c r="E29134" s="25"/>
      <c r="F29134" s="25"/>
      <c r="G29134" s="25"/>
      <c r="H29134" s="25"/>
      <c r="I29134" s="25"/>
      <c r="J29134" s="25"/>
      <c r="K29134" s="25"/>
    </row>
    <row r="29135" customFormat="false" ht="15" hidden="false" customHeight="false" outlineLevel="0" collapsed="false">
      <c r="A29135" s="3" t="s">
        <v>556</v>
      </c>
      <c r="C29135" s="16" t="n">
        <f aca="false">SUMPRODUCT($G$29123:$K$29123,$G$28880:$K$28880)*(1+SUMPRODUCT($G$29123:$K$29123,$G$28872:$K$28872)*Assumptions!$C$16/12)</f>
        <v>403.27</v>
      </c>
    </row>
    <row r="29136" customFormat="false" ht="15" hidden="false" customHeight="false" outlineLevel="0" collapsed="false">
      <c r="A29136" s="3" t="s">
        <v>557</v>
      </c>
      <c r="C29136" s="16" t="n">
        <f aca="false">SUMPRODUCT($G$29123:$K$29123,$G$28893:$K$28893)*(1+SUMPRODUCT($G$29123:$K$29123,$G$28885:$K$28885)*Assumptions!$C$16/12)</f>
        <v>91.30725</v>
      </c>
    </row>
    <row r="29137" customFormat="false" ht="15" hidden="false" customHeight="false" outlineLevel="0" collapsed="false">
      <c r="A29137" s="3" t="s">
        <v>558</v>
      </c>
      <c r="C29137" s="16" t="n">
        <f aca="false">SUMPRODUCT($G$29123:$K$29123,$G$28906:$K$28906)*(1+SUMPRODUCT($G$29123:$K$29123,$G$28898:$K$28898)*Assumptions!$C$16/12)</f>
        <v>58.3715961</v>
      </c>
    </row>
    <row r="29138" customFormat="false" ht="15" hidden="false" customHeight="false" outlineLevel="0" collapsed="false">
      <c r="A29138" s="3" t="s">
        <v>559</v>
      </c>
      <c r="C29138" s="16" t="n">
        <f aca="false">SUMPRODUCT($G$29123:$K$29123,$G$28919:$K$28919)*(1+SUMPRODUCT($G$29123:$K$29123,$G$28911:$K$28911)*Assumptions!$C$16/12)</f>
        <v>0</v>
      </c>
    </row>
    <row r="29139" customFormat="false" ht="15" hidden="false" customHeight="false" outlineLevel="0" collapsed="false">
      <c r="A29139" s="3" t="s">
        <v>560</v>
      </c>
      <c r="C29139" s="16" t="n">
        <f aca="false">SUMPRODUCT($G$29123:$K$29123,$G$28932:$K$28932)*(1+SUMPRODUCT($G$29123:$K$29123,$G$28924:$K$28924)*Assumptions!$C$16/12)</f>
        <v>434.436771704662</v>
      </c>
    </row>
    <row r="29140" customFormat="false" ht="15" hidden="false" customHeight="false" outlineLevel="0" collapsed="false">
      <c r="A29140" s="3" t="s">
        <v>561</v>
      </c>
      <c r="C29140" s="16" t="n">
        <f aca="false">SUMPRODUCT($G$29123:$K$29123,$G$28945:$K$28945)*(1+SUMPRODUCT($G$29123:$K$29123,$G$28937:$K$28937)*Assumptions!$C$16/12)</f>
        <v>357.2625</v>
      </c>
    </row>
    <row r="29141" customFormat="false" ht="15" hidden="false" customHeight="false" outlineLevel="0" collapsed="false">
      <c r="A29141" s="3" t="s">
        <v>562</v>
      </c>
      <c r="C29141" s="16" t="n">
        <f aca="false">SUMPRODUCT($G$29123:$K$29123,$G$28958:$K$28958)*(1+SUMPRODUCT($G$29123:$K$29123,$G$28950:$K$28950)*Assumptions!$C$16/12)</f>
        <v>562.203125</v>
      </c>
    </row>
    <row r="29142" customFormat="false" ht="15" hidden="false" customHeight="false" outlineLevel="0" collapsed="false">
      <c r="A29142" s="3" t="s">
        <v>563</v>
      </c>
      <c r="C29142" s="16" t="n">
        <f aca="false">SUMPRODUCT($G$29123:$K$29123,$G$28971:$K$28971)*(1+SUMPRODUCT($G$29123:$K$29123,$G$28963:$K$28963)*Assumptions!$C$16/12)</f>
        <v>353.98125</v>
      </c>
    </row>
    <row r="29143" customFormat="false" ht="15" hidden="false" customHeight="false" outlineLevel="0" collapsed="false">
      <c r="A29143" s="3" t="s">
        <v>564</v>
      </c>
      <c r="C29143" s="16" t="n">
        <f aca="false">SUMPRODUCT($G$29123:$K$29123,$G$28984:$K$28984)*(1+SUMPRODUCT($G$29123:$K$29123,$G$28976:$K$28976)*Assumptions!$C$16/12)</f>
        <v>304.59375</v>
      </c>
    </row>
    <row r="29144" customFormat="false" ht="15" hidden="false" customHeight="false" outlineLevel="0" collapsed="false">
      <c r="A29144" s="3" t="s">
        <v>565</v>
      </c>
      <c r="C29144" s="16" t="n">
        <f aca="false">SUMPRODUCT($G$29123:$K$29123,$G$28997:$K$28997)*(1+SUMPRODUCT($G$29123:$K$29123,$G$28989:$K$28989)*Assumptions!$C$16/12)</f>
        <v>80.135034</v>
      </c>
    </row>
    <row r="29145" customFormat="false" ht="15" hidden="false" customHeight="false" outlineLevel="0" collapsed="false">
      <c r="A29145" s="24" t="s">
        <v>566</v>
      </c>
      <c r="B29145" s="25"/>
      <c r="C29145" s="25"/>
      <c r="D29145" s="25"/>
      <c r="E29145" s="25"/>
      <c r="F29145" s="25"/>
      <c r="G29145" s="25"/>
      <c r="H29145" s="25"/>
      <c r="I29145" s="25"/>
      <c r="J29145" s="25"/>
      <c r="K29145" s="25"/>
    </row>
    <row r="29146" customFormat="false" ht="15" hidden="false" customHeight="false" outlineLevel="0" collapsed="false">
      <c r="A29146" s="3" t="s">
        <v>556</v>
      </c>
      <c r="C29146" s="27" t="n">
        <f aca="false">Assumptions!$M$57</f>
        <v>1</v>
      </c>
    </row>
    <row r="29147" customFormat="false" ht="15" hidden="false" customHeight="false" outlineLevel="0" collapsed="false">
      <c r="A29147" s="3" t="s">
        <v>557</v>
      </c>
      <c r="C29147" s="27" t="n">
        <f aca="false">Assumptions!$M$58</f>
        <v>1</v>
      </c>
    </row>
    <row r="29148" customFormat="false" ht="15" hidden="false" customHeight="false" outlineLevel="0" collapsed="false">
      <c r="A29148" s="3" t="s">
        <v>558</v>
      </c>
      <c r="C29148" s="27" t="n">
        <f aca="false">Assumptions!$M$59</f>
        <v>1</v>
      </c>
    </row>
    <row r="29149" customFormat="false" ht="15" hidden="false" customHeight="false" outlineLevel="0" collapsed="false">
      <c r="A29149" s="3" t="s">
        <v>559</v>
      </c>
      <c r="C29149" s="27" t="n">
        <f aca="false">Assumptions!$M$60</f>
        <v>2</v>
      </c>
    </row>
    <row r="29150" customFormat="false" ht="15" hidden="false" customHeight="false" outlineLevel="0" collapsed="false">
      <c r="A29150" s="3" t="s">
        <v>560</v>
      </c>
      <c r="C29150" s="27" t="n">
        <f aca="false">Assumptions!$M$61</f>
        <v>2</v>
      </c>
    </row>
    <row r="29151" customFormat="false" ht="15" hidden="false" customHeight="false" outlineLevel="0" collapsed="false">
      <c r="A29151" s="3" t="s">
        <v>561</v>
      </c>
      <c r="C29151" s="27" t="n">
        <f aca="false">Assumptions!$M$62</f>
        <v>2</v>
      </c>
    </row>
    <row r="29152" customFormat="false" ht="15" hidden="false" customHeight="false" outlineLevel="0" collapsed="false">
      <c r="A29152" s="3" t="s">
        <v>562</v>
      </c>
      <c r="C29152" s="27" t="n">
        <f aca="false">Assumptions!$M$63</f>
        <v>2</v>
      </c>
    </row>
    <row r="29153" customFormat="false" ht="15" hidden="false" customHeight="false" outlineLevel="0" collapsed="false">
      <c r="A29153" s="3" t="s">
        <v>563</v>
      </c>
      <c r="C29153" s="27" t="n">
        <f aca="false">Assumptions!$M$64</f>
        <v>2</v>
      </c>
    </row>
    <row r="29154" customFormat="false" ht="15" hidden="false" customHeight="false" outlineLevel="0" collapsed="false">
      <c r="A29154" s="3" t="s">
        <v>564</v>
      </c>
      <c r="C29154" s="27" t="n">
        <f aca="false">Assumptions!$M$65</f>
        <v>2</v>
      </c>
    </row>
    <row r="29155" customFormat="false" ht="15" hidden="false" customHeight="false" outlineLevel="0" collapsed="false">
      <c r="A29155" s="3" t="s">
        <v>565</v>
      </c>
      <c r="C29155" s="27" t="n">
        <f aca="false">Assumptions!$M$66</f>
        <v>3</v>
      </c>
    </row>
    <row r="29156" customFormat="false" ht="15" hidden="false" customHeight="false" outlineLevel="0" collapsed="false">
      <c r="A29156" s="24" t="s">
        <v>567</v>
      </c>
      <c r="B29156" s="25"/>
      <c r="C29156" s="25"/>
      <c r="D29156" s="25"/>
      <c r="E29156" s="25"/>
      <c r="F29156" s="25"/>
      <c r="G29156" s="25"/>
      <c r="H29156" s="25"/>
      <c r="I29156" s="25"/>
      <c r="J29156" s="25"/>
      <c r="K29156" s="25"/>
    </row>
    <row r="29157" customFormat="false" ht="15" hidden="false" customHeight="false" outlineLevel="0" collapsed="false">
      <c r="A29157" s="3" t="s">
        <v>556</v>
      </c>
      <c r="C29157" s="33" t="n">
        <f aca="false">Assumptions!$Q$57</f>
        <v>0.3</v>
      </c>
    </row>
    <row r="29158" customFormat="false" ht="15" hidden="false" customHeight="false" outlineLevel="0" collapsed="false">
      <c r="A29158" s="3" t="s">
        <v>557</v>
      </c>
      <c r="C29158" s="33" t="n">
        <f aca="false">Assumptions!$Q$58</f>
        <v>0.033</v>
      </c>
    </row>
    <row r="29159" customFormat="false" ht="15" hidden="false" customHeight="false" outlineLevel="0" collapsed="false">
      <c r="A29159" s="3" t="s">
        <v>558</v>
      </c>
      <c r="C29159" s="33" t="n">
        <f aca="false">Assumptions!$Q$59</f>
        <v>0.021</v>
      </c>
    </row>
    <row r="29160" customFormat="false" ht="15" hidden="false" customHeight="false" outlineLevel="0" collapsed="false">
      <c r="A29160" s="3" t="s">
        <v>559</v>
      </c>
      <c r="C29160" s="33" t="n">
        <f aca="false">Assumptions!$Q$60</f>
        <v>0</v>
      </c>
    </row>
    <row r="29161" customFormat="false" ht="15" hidden="false" customHeight="false" outlineLevel="0" collapsed="false">
      <c r="A29161" s="3" t="s">
        <v>560</v>
      </c>
      <c r="C29161" s="33" t="n">
        <f aca="false">Assumptions!$Q$61</f>
        <v>0</v>
      </c>
    </row>
    <row r="29162" customFormat="false" ht="15" hidden="false" customHeight="false" outlineLevel="0" collapsed="false">
      <c r="A29162" s="3" t="s">
        <v>561</v>
      </c>
      <c r="C29162" s="33" t="n">
        <f aca="false">Assumptions!$Q$62</f>
        <v>0</v>
      </c>
    </row>
    <row r="29163" customFormat="false" ht="15" hidden="false" customHeight="false" outlineLevel="0" collapsed="false">
      <c r="A29163" s="3" t="s">
        <v>562</v>
      </c>
      <c r="C29163" s="33" t="n">
        <f aca="false">Assumptions!$Q$63</f>
        <v>0</v>
      </c>
    </row>
    <row r="29164" customFormat="false" ht="15" hidden="false" customHeight="false" outlineLevel="0" collapsed="false">
      <c r="A29164" s="3" t="s">
        <v>563</v>
      </c>
      <c r="C29164" s="33" t="n">
        <f aca="false">Assumptions!$Q$64</f>
        <v>0</v>
      </c>
    </row>
    <row r="29165" customFormat="false" ht="15" hidden="false" customHeight="false" outlineLevel="0" collapsed="false">
      <c r="A29165" s="3" t="s">
        <v>564</v>
      </c>
      <c r="C29165" s="33" t="n">
        <f aca="false">Assumptions!$Q$65</f>
        <v>0</v>
      </c>
    </row>
    <row r="29166" customFormat="false" ht="15" hidden="false" customHeight="false" outlineLevel="0" collapsed="false">
      <c r="A29166" s="3" t="s">
        <v>565</v>
      </c>
      <c r="C29166" s="33" t="n">
        <f aca="false">Assumptions!$Q$66</f>
        <v>0</v>
      </c>
    </row>
    <row r="29167" customFormat="false" ht="15" hidden="false" customHeight="false" outlineLevel="0" collapsed="false">
      <c r="A29167" s="24" t="s">
        <v>568</v>
      </c>
      <c r="B29167" s="25"/>
      <c r="C29167" s="25"/>
      <c r="D29167" s="25"/>
      <c r="E29167" s="25"/>
      <c r="F29167" s="25"/>
      <c r="G29167" s="25"/>
      <c r="H29167" s="25"/>
      <c r="I29167" s="25"/>
      <c r="J29167" s="25"/>
      <c r="K29167" s="25"/>
    </row>
    <row r="29168" customFormat="false" ht="15" hidden="false" customHeight="false" outlineLevel="0" collapsed="false">
      <c r="A29168" s="3" t="s">
        <v>556</v>
      </c>
      <c r="C29168" s="16" t="n">
        <f aca="false">IF(C29157&gt;0,MIN(C29135,C29157*$C$29133),0)</f>
        <v>403.27</v>
      </c>
    </row>
    <row r="29169" customFormat="false" ht="15" hidden="false" customHeight="false" outlineLevel="0" collapsed="false">
      <c r="A29169" s="3" t="s">
        <v>557</v>
      </c>
      <c r="C29169" s="16" t="n">
        <f aca="false">IF(C29158&gt;0,MIN(C29136,C29158*$C$29133),0)</f>
        <v>85.1568504864</v>
      </c>
    </row>
    <row r="29170" customFormat="false" ht="15" hidden="false" customHeight="false" outlineLevel="0" collapsed="false">
      <c r="A29170" s="3" t="s">
        <v>558</v>
      </c>
      <c r="C29170" s="16" t="n">
        <f aca="false">IF(C29159&gt;0,MIN(C29137,C29159*$C$29133),0)</f>
        <v>54.1907230368</v>
      </c>
    </row>
    <row r="29171" customFormat="false" ht="15" hidden="false" customHeight="false" outlineLevel="0" collapsed="false">
      <c r="A29171" s="3" t="s">
        <v>559</v>
      </c>
      <c r="C29171" s="16" t="n">
        <f aca="false">IF(C29160&gt;0,MIN(C29138,C29160*$C$29133),0)</f>
        <v>0</v>
      </c>
    </row>
    <row r="29172" customFormat="false" ht="15" hidden="false" customHeight="false" outlineLevel="0" collapsed="false">
      <c r="A29172" s="3" t="s">
        <v>560</v>
      </c>
      <c r="C29172" s="16" t="n">
        <f aca="false">IF(C29161&gt;0,MIN(C29139,C29161*$C$29133),0)</f>
        <v>0</v>
      </c>
    </row>
    <row r="29173" customFormat="false" ht="15" hidden="false" customHeight="false" outlineLevel="0" collapsed="false">
      <c r="A29173" s="3" t="s">
        <v>561</v>
      </c>
      <c r="C29173" s="16" t="n">
        <f aca="false">IF(C29162&gt;0,MIN(C29140,C29162*$C$29133),0)</f>
        <v>0</v>
      </c>
    </row>
    <row r="29174" customFormat="false" ht="15" hidden="false" customHeight="false" outlineLevel="0" collapsed="false">
      <c r="A29174" s="3" t="s">
        <v>562</v>
      </c>
      <c r="C29174" s="16" t="n">
        <f aca="false">IF(C29163&gt;0,MIN(C29141,C29163*$C$29133),0)</f>
        <v>0</v>
      </c>
    </row>
    <row r="29175" customFormat="false" ht="15" hidden="false" customHeight="false" outlineLevel="0" collapsed="false">
      <c r="A29175" s="3" t="s">
        <v>563</v>
      </c>
      <c r="C29175" s="16" t="n">
        <f aca="false">IF(C29164&gt;0,MIN(C29142,C29164*$C$29133),0)</f>
        <v>0</v>
      </c>
    </row>
    <row r="29176" customFormat="false" ht="15" hidden="false" customHeight="false" outlineLevel="0" collapsed="false">
      <c r="A29176" s="3" t="s">
        <v>564</v>
      </c>
      <c r="C29176" s="16" t="n">
        <f aca="false">IF(C29165&gt;0,MIN(C29143,C29165*$C$29133),0)</f>
        <v>0</v>
      </c>
    </row>
    <row r="29177" customFormat="false" ht="15" hidden="false" customHeight="false" outlineLevel="0" collapsed="false">
      <c r="A29177" s="3" t="s">
        <v>565</v>
      </c>
      <c r="C29177" s="16" t="n">
        <f aca="false">IF(C29166&gt;0,MIN(C29144,C29166*$C$29133),0)</f>
        <v>0</v>
      </c>
    </row>
    <row r="29178" customFormat="false" ht="15" hidden="false" customHeight="false" outlineLevel="0" collapsed="false">
      <c r="A29178" s="24" t="s">
        <v>569</v>
      </c>
      <c r="B29178" s="25"/>
      <c r="C29178" s="25"/>
      <c r="D29178" s="25"/>
      <c r="E29178" s="25"/>
      <c r="F29178" s="25"/>
      <c r="G29178" s="25"/>
      <c r="H29178" s="25"/>
      <c r="I29178" s="25"/>
      <c r="J29178" s="25"/>
      <c r="K29178" s="25"/>
    </row>
    <row r="29179" customFormat="false" ht="15" hidden="false" customHeight="false" outlineLevel="0" collapsed="false">
      <c r="A29179" s="3" t="s">
        <v>556</v>
      </c>
      <c r="C29179" s="16" t="n">
        <f aca="false">IF(C29157&gt;0,C29135-C29168,0)</f>
        <v>0</v>
      </c>
      <c r="G29179" s="21" t="n">
        <f aca="false">IF(AND(G28870=1,G28867=1),1,0)</f>
        <v>0</v>
      </c>
      <c r="H29179" s="21" t="n">
        <f aca="false">IF(G29179=1,1,IF(AND(H28870=1,H28867=1),1,0))</f>
        <v>0</v>
      </c>
      <c r="I29179" s="21" t="n">
        <f aca="false">IF(H29179=1,1,IF(AND(I28870=1,I28867=1),1,0))</f>
        <v>0</v>
      </c>
      <c r="J29179" s="21" t="n">
        <f aca="false">IF(I29179=1,1,IF(AND(J28870=1,J28867=1),1,0))</f>
        <v>0</v>
      </c>
      <c r="K29179" s="21" t="n">
        <f aca="false">IF(J29179=1,1,IF(AND(K28870=1,K28867=1),1,0))</f>
        <v>0</v>
      </c>
    </row>
    <row r="29180" customFormat="false" ht="15" hidden="false" customHeight="false" outlineLevel="0" collapsed="false">
      <c r="A29180" s="3" t="s">
        <v>557</v>
      </c>
      <c r="C29180" s="16" t="n">
        <f aca="false">IF(C29158&gt;0,C29136-C29169,0)</f>
        <v>6.15039951360001</v>
      </c>
      <c r="G29180" s="21" t="n">
        <f aca="false">IF(AND(G28883=1,G28867=1),1,0)</f>
        <v>0</v>
      </c>
      <c r="H29180" s="21" t="n">
        <f aca="false">IF(G29180=1,1,IF(AND(H28883=1,H28867=1),1,0))</f>
        <v>0</v>
      </c>
      <c r="I29180" s="21" t="n">
        <f aca="false">IF(H29180=1,1,IF(AND(I28883=1,I28867=1),1,0))</f>
        <v>0</v>
      </c>
      <c r="J29180" s="21" t="n">
        <f aca="false">IF(I29180=1,1,IF(AND(J28883=1,J28867=1),1,0))</f>
        <v>0</v>
      </c>
      <c r="K29180" s="21" t="n">
        <f aca="false">IF(J29180=1,1,IF(AND(K28883=1,K28867=1),1,0))</f>
        <v>0</v>
      </c>
    </row>
    <row r="29181" customFormat="false" ht="15" hidden="false" customHeight="false" outlineLevel="0" collapsed="false">
      <c r="A29181" s="3" t="s">
        <v>558</v>
      </c>
      <c r="C29181" s="16" t="n">
        <f aca="false">IF(C29159&gt;0,C29137-C29170,0)</f>
        <v>4.1808730632</v>
      </c>
      <c r="G29181" s="21" t="n">
        <f aca="false">IF(AND(G28896=1,G28867=1),1,0)</f>
        <v>0</v>
      </c>
      <c r="H29181" s="21" t="n">
        <f aca="false">IF(G29181=1,1,IF(AND(H28896=1,H28867=1),1,0))</f>
        <v>0</v>
      </c>
      <c r="I29181" s="21" t="n">
        <f aca="false">IF(H29181=1,1,IF(AND(I28896=1,I28867=1),1,0))</f>
        <v>0</v>
      </c>
      <c r="J29181" s="21" t="n">
        <f aca="false">IF(I29181=1,1,IF(AND(J28896=1,J28867=1),1,0))</f>
        <v>0</v>
      </c>
      <c r="K29181" s="21" t="n">
        <f aca="false">IF(J29181=1,1,IF(AND(K28896=1,K28867=1),1,0))</f>
        <v>0</v>
      </c>
    </row>
    <row r="29182" customFormat="false" ht="15" hidden="false" customHeight="false" outlineLevel="0" collapsed="false">
      <c r="A29182" s="3" t="s">
        <v>559</v>
      </c>
      <c r="C29182" s="16" t="n">
        <f aca="false">IF(C29160&gt;0,C29138-C29171,0)</f>
        <v>0</v>
      </c>
      <c r="G29182" s="21" t="n">
        <f aca="false">IF(AND(G28909=1,G28867=1),1,0)</f>
        <v>0</v>
      </c>
      <c r="H29182" s="21" t="n">
        <f aca="false">IF(G29182=1,1,IF(AND(H28909=1,H28867=1),1,0))</f>
        <v>0</v>
      </c>
      <c r="I29182" s="21" t="n">
        <f aca="false">IF(H29182=1,1,IF(AND(I28909=1,I28867=1),1,0))</f>
        <v>0</v>
      </c>
      <c r="J29182" s="21" t="n">
        <f aca="false">IF(I29182=1,1,IF(AND(J28909=1,J28867=1),1,0))</f>
        <v>0</v>
      </c>
      <c r="K29182" s="21" t="n">
        <f aca="false">IF(J29182=1,1,IF(AND(K28909=1,K28867=1),1,0))</f>
        <v>0</v>
      </c>
    </row>
    <row r="29183" customFormat="false" ht="15" hidden="false" customHeight="false" outlineLevel="0" collapsed="false">
      <c r="A29183" s="3" t="s">
        <v>560</v>
      </c>
      <c r="C29183" s="16" t="n">
        <f aca="false">IF(C29161&gt;0,C29139-C29172,0)</f>
        <v>0</v>
      </c>
      <c r="G29183" s="21" t="n">
        <f aca="false">IF(AND(G28922=1,G28867=1),1,0)</f>
        <v>0</v>
      </c>
      <c r="H29183" s="21" t="n">
        <f aca="false">IF(G29183=1,1,IF(AND(H28922=1,H28867=1),1,0))</f>
        <v>0</v>
      </c>
      <c r="I29183" s="21" t="n">
        <f aca="false">IF(H29183=1,1,IF(AND(I28922=1,I28867=1),1,0))</f>
        <v>0</v>
      </c>
      <c r="J29183" s="21" t="n">
        <f aca="false">IF(I29183=1,1,IF(AND(J28922=1,J28867=1),1,0))</f>
        <v>0</v>
      </c>
      <c r="K29183" s="21" t="n">
        <f aca="false">IF(J29183=1,1,IF(AND(K28922=1,K28867=1),1,0))</f>
        <v>0</v>
      </c>
    </row>
    <row r="29184" customFormat="false" ht="15" hidden="false" customHeight="false" outlineLevel="0" collapsed="false">
      <c r="A29184" s="3" t="s">
        <v>561</v>
      </c>
      <c r="C29184" s="16" t="n">
        <f aca="false">IF(C29162&gt;0,C29140-C29173,0)</f>
        <v>0</v>
      </c>
      <c r="G29184" s="21" t="n">
        <f aca="false">IF(AND(G28935=1,G28867=1),1,0)</f>
        <v>0</v>
      </c>
      <c r="H29184" s="21" t="n">
        <f aca="false">IF(G29184=1,1,IF(AND(H28935=1,H28867=1),1,0))</f>
        <v>0</v>
      </c>
      <c r="I29184" s="21" t="n">
        <f aca="false">IF(H29184=1,1,IF(AND(I28935=1,I28867=1),1,0))</f>
        <v>0</v>
      </c>
      <c r="J29184" s="21" t="n">
        <f aca="false">IF(I29184=1,1,IF(AND(J28935=1,J28867=1),1,0))</f>
        <v>0</v>
      </c>
      <c r="K29184" s="21" t="n">
        <f aca="false">IF(J29184=1,1,IF(AND(K28935=1,K28867=1),1,0))</f>
        <v>0</v>
      </c>
    </row>
    <row r="29185" customFormat="false" ht="15" hidden="false" customHeight="false" outlineLevel="0" collapsed="false">
      <c r="A29185" s="3" t="s">
        <v>562</v>
      </c>
      <c r="C29185" s="16" t="n">
        <f aca="false">IF(C29163&gt;0,C29141-C29174,0)</f>
        <v>0</v>
      </c>
      <c r="G29185" s="21" t="n">
        <f aca="false">IF(AND(G28948=1,G28867=1),1,0)</f>
        <v>0</v>
      </c>
      <c r="H29185" s="21" t="n">
        <f aca="false">IF(G29185=1,1,IF(AND(H28948=1,H28867=1),1,0))</f>
        <v>0</v>
      </c>
      <c r="I29185" s="21" t="n">
        <f aca="false">IF(H29185=1,1,IF(AND(I28948=1,I28867=1),1,0))</f>
        <v>0</v>
      </c>
      <c r="J29185" s="21" t="n">
        <f aca="false">IF(I29185=1,1,IF(AND(J28948=1,J28867=1),1,0))</f>
        <v>0</v>
      </c>
      <c r="K29185" s="21" t="n">
        <f aca="false">IF(J29185=1,1,IF(AND(K28948=1,K28867=1),1,0))</f>
        <v>0</v>
      </c>
    </row>
    <row r="29186" customFormat="false" ht="15" hidden="false" customHeight="false" outlineLevel="0" collapsed="false">
      <c r="A29186" s="3" t="s">
        <v>563</v>
      </c>
      <c r="C29186" s="16" t="n">
        <f aca="false">IF(C29164&gt;0,C29142-C29175,0)</f>
        <v>0</v>
      </c>
      <c r="G29186" s="21" t="n">
        <f aca="false">IF(AND(G28961=1,G28867=1),1,0)</f>
        <v>0</v>
      </c>
      <c r="H29186" s="21" t="n">
        <f aca="false">IF(G29186=1,1,IF(AND(H28961=1,H28867=1),1,0))</f>
        <v>0</v>
      </c>
      <c r="I29186" s="21" t="n">
        <f aca="false">IF(H29186=1,1,IF(AND(I28961=1,I28867=1),1,0))</f>
        <v>0</v>
      </c>
      <c r="J29186" s="21" t="n">
        <f aca="false">IF(I29186=1,1,IF(AND(J28961=1,J28867=1),1,0))</f>
        <v>0</v>
      </c>
      <c r="K29186" s="21" t="n">
        <f aca="false">IF(J29186=1,1,IF(AND(K28961=1,K28867=1),1,0))</f>
        <v>0</v>
      </c>
    </row>
    <row r="29187" customFormat="false" ht="15" hidden="false" customHeight="false" outlineLevel="0" collapsed="false">
      <c r="A29187" s="3" t="s">
        <v>564</v>
      </c>
      <c r="C29187" s="16" t="n">
        <f aca="false">IF(C29165&gt;0,C29143-C29176,0)</f>
        <v>0</v>
      </c>
      <c r="G29187" s="21" t="n">
        <f aca="false">IF(AND(G28974=1,G28867=1),1,0)</f>
        <v>0</v>
      </c>
      <c r="H29187" s="21" t="n">
        <f aca="false">IF(G29187=1,1,IF(AND(H28974=1,H28867=1),1,0))</f>
        <v>0</v>
      </c>
      <c r="I29187" s="21" t="n">
        <f aca="false">IF(H29187=1,1,IF(AND(I28974=1,I28867=1),1,0))</f>
        <v>0</v>
      </c>
      <c r="J29187" s="21" t="n">
        <f aca="false">IF(I29187=1,1,IF(AND(J28974=1,J28867=1),1,0))</f>
        <v>0</v>
      </c>
      <c r="K29187" s="21" t="n">
        <f aca="false">IF(J29187=1,1,IF(AND(K28974=1,K28867=1),1,0))</f>
        <v>0</v>
      </c>
    </row>
    <row r="29188" customFormat="false" ht="15" hidden="false" customHeight="false" outlineLevel="0" collapsed="false">
      <c r="A29188" s="3" t="s">
        <v>565</v>
      </c>
      <c r="C29188" s="16" t="n">
        <f aca="false">IF(C29166&gt;0,C29144-C29177,0)</f>
        <v>0</v>
      </c>
      <c r="G29188" s="21" t="n">
        <f aca="false">IF(AND(G28987=1,G28867=1),1,0)</f>
        <v>0</v>
      </c>
      <c r="H29188" s="21" t="n">
        <f aca="false">IF(G29188=1,1,IF(AND(H28987=1,H28867=1),1,0))</f>
        <v>0</v>
      </c>
      <c r="I29188" s="21" t="n">
        <f aca="false">IF(H29188=1,1,IF(AND(I28987=1,I28867=1),1,0))</f>
        <v>0</v>
      </c>
      <c r="J29188" s="21" t="n">
        <f aca="false">IF(I29188=1,1,IF(AND(J28987=1,J28867=1),1,0))</f>
        <v>0</v>
      </c>
      <c r="K29188" s="21" t="n">
        <f aca="false">IF(J29188=1,1,IF(AND(K28987=1,K28867=1),1,0))</f>
        <v>0</v>
      </c>
    </row>
    <row r="29189" customFormat="false" ht="15" hidden="false" customHeight="false" outlineLevel="0" collapsed="false">
      <c r="A29189" s="24" t="s">
        <v>570</v>
      </c>
      <c r="B29189" s="25"/>
      <c r="C29189" s="25"/>
      <c r="D29189" s="25"/>
      <c r="E29189" s="25"/>
      <c r="F29189" s="25"/>
      <c r="G29189" s="25"/>
      <c r="H29189" s="25"/>
      <c r="I29189" s="25"/>
      <c r="J29189" s="25"/>
      <c r="K29189" s="25"/>
    </row>
    <row r="29190" customFormat="false" ht="15" hidden="false" customHeight="false" outlineLevel="0" collapsed="false">
      <c r="A29190" s="3" t="s">
        <v>556</v>
      </c>
      <c r="C29190" s="16" t="n">
        <f aca="false">IF(C29157&gt;0,C29179,C29135)</f>
        <v>0</v>
      </c>
    </row>
    <row r="29191" customFormat="false" ht="15" hidden="false" customHeight="false" outlineLevel="0" collapsed="false">
      <c r="A29191" s="3" t="s">
        <v>557</v>
      </c>
      <c r="C29191" s="16" t="n">
        <f aca="false">IF(C29158&gt;0,C29180,C29136)</f>
        <v>6.15039951360001</v>
      </c>
    </row>
    <row r="29192" customFormat="false" ht="15" hidden="false" customHeight="false" outlineLevel="0" collapsed="false">
      <c r="A29192" s="3" t="s">
        <v>558</v>
      </c>
      <c r="C29192" s="16" t="n">
        <f aca="false">IF(C29159&gt;0,C29181,C29137)</f>
        <v>4.1808730632</v>
      </c>
    </row>
    <row r="29193" customFormat="false" ht="15" hidden="false" customHeight="false" outlineLevel="0" collapsed="false">
      <c r="A29193" s="3" t="s">
        <v>559</v>
      </c>
      <c r="C29193" s="16" t="n">
        <f aca="false">IF(C29160&gt;0,C29182,C29138)</f>
        <v>0</v>
      </c>
    </row>
    <row r="29194" customFormat="false" ht="15" hidden="false" customHeight="false" outlineLevel="0" collapsed="false">
      <c r="A29194" s="3" t="s">
        <v>560</v>
      </c>
      <c r="C29194" s="16" t="n">
        <f aca="false">IF(C29161&gt;0,C29183,C29139)</f>
        <v>434.436771704662</v>
      </c>
    </row>
    <row r="29195" customFormat="false" ht="15" hidden="false" customHeight="false" outlineLevel="0" collapsed="false">
      <c r="A29195" s="3" t="s">
        <v>561</v>
      </c>
      <c r="C29195" s="16" t="n">
        <f aca="false">IF(C29162&gt;0,C29184,C29140)</f>
        <v>357.2625</v>
      </c>
    </row>
    <row r="29196" customFormat="false" ht="15" hidden="false" customHeight="false" outlineLevel="0" collapsed="false">
      <c r="A29196" s="3" t="s">
        <v>562</v>
      </c>
      <c r="C29196" s="16" t="n">
        <f aca="false">IF(C29163&gt;0,C29185,C29141)</f>
        <v>562.203125</v>
      </c>
    </row>
    <row r="29197" customFormat="false" ht="15" hidden="false" customHeight="false" outlineLevel="0" collapsed="false">
      <c r="A29197" s="3" t="s">
        <v>563</v>
      </c>
      <c r="C29197" s="16" t="n">
        <f aca="false">IF(C29164&gt;0,C29186,C29142)</f>
        <v>353.98125</v>
      </c>
    </row>
    <row r="29198" customFormat="false" ht="15" hidden="false" customHeight="false" outlineLevel="0" collapsed="false">
      <c r="A29198" s="3" t="s">
        <v>564</v>
      </c>
      <c r="C29198" s="16" t="n">
        <f aca="false">IF(C29165&gt;0,C29187,C29143)</f>
        <v>304.59375</v>
      </c>
    </row>
    <row r="29199" customFormat="false" ht="15" hidden="false" customHeight="false" outlineLevel="0" collapsed="false">
      <c r="A29199" s="3" t="s">
        <v>565</v>
      </c>
      <c r="C29199" s="16" t="n">
        <f aca="false">IF(C29166&gt;0,C29188,C29144)</f>
        <v>80.135034</v>
      </c>
    </row>
    <row r="29200" customFormat="false" ht="15" hidden="false" customHeight="false" outlineLevel="0" collapsed="false">
      <c r="A29200" s="24" t="s">
        <v>571</v>
      </c>
      <c r="B29200" s="25"/>
      <c r="C29200" s="25"/>
      <c r="D29200" s="25"/>
      <c r="E29200" s="25"/>
      <c r="F29200" s="25"/>
      <c r="G29200" s="25"/>
      <c r="H29200" s="25"/>
      <c r="I29200" s="25"/>
      <c r="J29200" s="25"/>
      <c r="K29200" s="25"/>
    </row>
    <row r="29201" customFormat="false" ht="15" hidden="false" customHeight="false" outlineLevel="0" collapsed="false">
      <c r="A29201" s="3" t="s">
        <v>556</v>
      </c>
      <c r="C29201" s="21" t="n">
        <f aca="false">IF(C29157&gt;0,Assumptions!$C$17,C29146)</f>
        <v>99</v>
      </c>
    </row>
    <row r="29202" customFormat="false" ht="15" hidden="false" customHeight="false" outlineLevel="0" collapsed="false">
      <c r="A29202" s="3" t="s">
        <v>557</v>
      </c>
      <c r="C29202" s="21" t="n">
        <f aca="false">IF(C29158&gt;0,Assumptions!$C$17,C29147)</f>
        <v>99</v>
      </c>
    </row>
    <row r="29203" customFormat="false" ht="15" hidden="false" customHeight="false" outlineLevel="0" collapsed="false">
      <c r="A29203" s="3" t="s">
        <v>558</v>
      </c>
      <c r="C29203" s="21" t="n">
        <f aca="false">IF(C29159&gt;0,Assumptions!$C$17,C29148)</f>
        <v>99</v>
      </c>
    </row>
    <row r="29204" customFormat="false" ht="15" hidden="false" customHeight="false" outlineLevel="0" collapsed="false">
      <c r="A29204" s="3" t="s">
        <v>559</v>
      </c>
      <c r="C29204" s="21" t="n">
        <f aca="false">IF(C29160&gt;0,Assumptions!$C$17,C29149)</f>
        <v>2</v>
      </c>
    </row>
    <row r="29205" customFormat="false" ht="15" hidden="false" customHeight="false" outlineLevel="0" collapsed="false">
      <c r="A29205" s="3" t="s">
        <v>560</v>
      </c>
      <c r="C29205" s="21" t="n">
        <f aca="false">IF(C29161&gt;0,Assumptions!$C$17,C29150)</f>
        <v>2</v>
      </c>
    </row>
    <row r="29206" customFormat="false" ht="15" hidden="false" customHeight="false" outlineLevel="0" collapsed="false">
      <c r="A29206" s="3" t="s">
        <v>561</v>
      </c>
      <c r="C29206" s="21" t="n">
        <f aca="false">IF(C29162&gt;0,Assumptions!$C$17,C29151)</f>
        <v>2</v>
      </c>
    </row>
    <row r="29207" customFormat="false" ht="15" hidden="false" customHeight="false" outlineLevel="0" collapsed="false">
      <c r="A29207" s="3" t="s">
        <v>562</v>
      </c>
      <c r="C29207" s="21" t="n">
        <f aca="false">IF(C29163&gt;0,Assumptions!$C$17,C29152)</f>
        <v>2</v>
      </c>
    </row>
    <row r="29208" customFormat="false" ht="15" hidden="false" customHeight="false" outlineLevel="0" collapsed="false">
      <c r="A29208" s="3" t="s">
        <v>563</v>
      </c>
      <c r="C29208" s="21" t="n">
        <f aca="false">IF(C29164&gt;0,Assumptions!$C$17,C29153)</f>
        <v>2</v>
      </c>
    </row>
    <row r="29209" customFormat="false" ht="15" hidden="false" customHeight="false" outlineLevel="0" collapsed="false">
      <c r="A29209" s="3" t="s">
        <v>564</v>
      </c>
      <c r="C29209" s="21" t="n">
        <f aca="false">IF(C29165&gt;0,Assumptions!$C$17,C29154)</f>
        <v>2</v>
      </c>
    </row>
    <row r="29210" customFormat="false" ht="15" hidden="false" customHeight="false" outlineLevel="0" collapsed="false">
      <c r="A29210" s="3" t="s">
        <v>565</v>
      </c>
      <c r="C29210" s="21" t="n">
        <f aca="false">IF(C29166&gt;0,Assumptions!$C$17,C29155)</f>
        <v>3</v>
      </c>
    </row>
    <row r="29211" customFormat="false" ht="15" hidden="false" customHeight="false" outlineLevel="0" collapsed="false">
      <c r="A29211" s="24" t="s">
        <v>572</v>
      </c>
      <c r="B29211" s="25"/>
      <c r="C29211" s="25"/>
      <c r="D29211" s="25"/>
      <c r="E29211" s="25"/>
      <c r="F29211" s="25"/>
      <c r="G29211" s="25"/>
      <c r="H29211" s="25"/>
      <c r="I29211" s="25"/>
      <c r="J29211" s="25"/>
      <c r="K29211" s="25"/>
    </row>
    <row r="29212" customFormat="false" ht="15" hidden="false" customHeight="false" outlineLevel="0" collapsed="false">
      <c r="A29212" s="3" t="s">
        <v>556</v>
      </c>
      <c r="C29212" s="16" t="n">
        <f aca="false">SUMPRODUCT(($C$29201:$C$29210&lt;C29201)*$C$29190:$C$29199)</f>
        <v>2092.61243070466</v>
      </c>
    </row>
    <row r="29213" customFormat="false" ht="15" hidden="false" customHeight="false" outlineLevel="0" collapsed="false">
      <c r="A29213" s="3" t="s">
        <v>557</v>
      </c>
      <c r="C29213" s="16" t="n">
        <f aca="false">SUMPRODUCT(($C$29201:$C$29210&lt;C29202)*$C$29190:$C$29199)</f>
        <v>2092.61243070466</v>
      </c>
    </row>
    <row r="29214" customFormat="false" ht="15" hidden="false" customHeight="false" outlineLevel="0" collapsed="false">
      <c r="A29214" s="3" t="s">
        <v>558</v>
      </c>
      <c r="C29214" s="16" t="n">
        <f aca="false">SUMPRODUCT(($C$29201:$C$29210&lt;C29203)*$C$29190:$C$29199)</f>
        <v>2092.61243070466</v>
      </c>
    </row>
    <row r="29215" customFormat="false" ht="15" hidden="false" customHeight="false" outlineLevel="0" collapsed="false">
      <c r="A29215" s="3" t="s">
        <v>559</v>
      </c>
      <c r="C29215" s="16" t="n">
        <f aca="false">SUMPRODUCT(($C$29201:$C$29210&lt;C29204)*$C$29190:$C$29199)</f>
        <v>0</v>
      </c>
    </row>
    <row r="29216" customFormat="false" ht="15" hidden="false" customHeight="false" outlineLevel="0" collapsed="false">
      <c r="A29216" s="3" t="s">
        <v>560</v>
      </c>
      <c r="C29216" s="16" t="n">
        <f aca="false">SUMPRODUCT(($C$29201:$C$29210&lt;C29205)*$C$29190:$C$29199)</f>
        <v>0</v>
      </c>
    </row>
    <row r="29217" customFormat="false" ht="15" hidden="false" customHeight="false" outlineLevel="0" collapsed="false">
      <c r="A29217" s="3" t="s">
        <v>561</v>
      </c>
      <c r="C29217" s="16" t="n">
        <f aca="false">SUMPRODUCT(($C$29201:$C$29210&lt;C29206)*$C$29190:$C$29199)</f>
        <v>0</v>
      </c>
    </row>
    <row r="29218" customFormat="false" ht="15" hidden="false" customHeight="false" outlineLevel="0" collapsed="false">
      <c r="A29218" s="3" t="s">
        <v>562</v>
      </c>
      <c r="C29218" s="16" t="n">
        <f aca="false">SUMPRODUCT(($C$29201:$C$29210&lt;C29207)*$C$29190:$C$29199)</f>
        <v>0</v>
      </c>
    </row>
    <row r="29219" customFormat="false" ht="15" hidden="false" customHeight="false" outlineLevel="0" collapsed="false">
      <c r="A29219" s="3" t="s">
        <v>563</v>
      </c>
      <c r="C29219" s="16" t="n">
        <f aca="false">SUMPRODUCT(($C$29201:$C$29210&lt;C29208)*$C$29190:$C$29199)</f>
        <v>0</v>
      </c>
    </row>
    <row r="29220" customFormat="false" ht="15" hidden="false" customHeight="false" outlineLevel="0" collapsed="false">
      <c r="A29220" s="3" t="s">
        <v>564</v>
      </c>
      <c r="C29220" s="16" t="n">
        <f aca="false">SUMPRODUCT(($C$29201:$C$29210&lt;C29209)*$C$29190:$C$29199)</f>
        <v>0</v>
      </c>
    </row>
    <row r="29221" customFormat="false" ht="15" hidden="false" customHeight="false" outlineLevel="0" collapsed="false">
      <c r="A29221" s="3" t="s">
        <v>565</v>
      </c>
      <c r="C29221" s="16" t="n">
        <f aca="false">SUMPRODUCT(($C$29201:$C$29210&lt;C29210)*$C$29190:$C$29199)</f>
        <v>2012.47739670466</v>
      </c>
    </row>
    <row r="29222" customFormat="false" ht="15" hidden="false" customHeight="false" outlineLevel="0" collapsed="false">
      <c r="A29222" s="24" t="s">
        <v>573</v>
      </c>
      <c r="B29222" s="25"/>
      <c r="C29222" s="25"/>
      <c r="D29222" s="25"/>
      <c r="E29222" s="25"/>
      <c r="F29222" s="25"/>
      <c r="G29222" s="25"/>
      <c r="H29222" s="25"/>
      <c r="I29222" s="25"/>
      <c r="J29222" s="25"/>
      <c r="K29222" s="25"/>
    </row>
    <row r="29223" customFormat="false" ht="15" hidden="false" customHeight="false" outlineLevel="0" collapsed="false">
      <c r="A29223" s="3" t="s">
        <v>556</v>
      </c>
      <c r="C29223" s="16" t="n">
        <f aca="false">SUMPRODUCT(($C$29201:$C$29210=C29201)*$C$29190:$C$29199)</f>
        <v>10.3312725768</v>
      </c>
    </row>
    <row r="29224" customFormat="false" ht="15" hidden="false" customHeight="false" outlineLevel="0" collapsed="false">
      <c r="A29224" s="3" t="s">
        <v>557</v>
      </c>
      <c r="C29224" s="16" t="n">
        <f aca="false">SUMPRODUCT(($C$29201:$C$29210=C29202)*$C$29190:$C$29199)</f>
        <v>10.3312725768</v>
      </c>
    </row>
    <row r="29225" customFormat="false" ht="15" hidden="false" customHeight="false" outlineLevel="0" collapsed="false">
      <c r="A29225" s="3" t="s">
        <v>558</v>
      </c>
      <c r="C29225" s="16" t="n">
        <f aca="false">SUMPRODUCT(($C$29201:$C$29210=C29203)*$C$29190:$C$29199)</f>
        <v>10.3312725768</v>
      </c>
    </row>
    <row r="29226" customFormat="false" ht="15" hidden="false" customHeight="false" outlineLevel="0" collapsed="false">
      <c r="A29226" s="3" t="s">
        <v>559</v>
      </c>
      <c r="C29226" s="16" t="n">
        <f aca="false">SUMPRODUCT(($C$29201:$C$29210=C29204)*$C$29190:$C$29199)</f>
        <v>2012.47739670466</v>
      </c>
    </row>
    <row r="29227" customFormat="false" ht="15" hidden="false" customHeight="false" outlineLevel="0" collapsed="false">
      <c r="A29227" s="3" t="s">
        <v>560</v>
      </c>
      <c r="C29227" s="16" t="n">
        <f aca="false">SUMPRODUCT(($C$29201:$C$29210=C29205)*$C$29190:$C$29199)</f>
        <v>2012.47739670466</v>
      </c>
    </row>
    <row r="29228" customFormat="false" ht="15" hidden="false" customHeight="false" outlineLevel="0" collapsed="false">
      <c r="A29228" s="3" t="s">
        <v>561</v>
      </c>
      <c r="C29228" s="16" t="n">
        <f aca="false">SUMPRODUCT(($C$29201:$C$29210=C29206)*$C$29190:$C$29199)</f>
        <v>2012.47739670466</v>
      </c>
    </row>
    <row r="29229" customFormat="false" ht="15" hidden="false" customHeight="false" outlineLevel="0" collapsed="false">
      <c r="A29229" s="3" t="s">
        <v>562</v>
      </c>
      <c r="C29229" s="16" t="n">
        <f aca="false">SUMPRODUCT(($C$29201:$C$29210=C29207)*$C$29190:$C$29199)</f>
        <v>2012.47739670466</v>
      </c>
    </row>
    <row r="29230" customFormat="false" ht="15" hidden="false" customHeight="false" outlineLevel="0" collapsed="false">
      <c r="A29230" s="3" t="s">
        <v>563</v>
      </c>
      <c r="C29230" s="16" t="n">
        <f aca="false">SUMPRODUCT(($C$29201:$C$29210=C29208)*$C$29190:$C$29199)</f>
        <v>2012.47739670466</v>
      </c>
    </row>
    <row r="29231" customFormat="false" ht="15" hidden="false" customHeight="false" outlineLevel="0" collapsed="false">
      <c r="A29231" s="3" t="s">
        <v>564</v>
      </c>
      <c r="C29231" s="16" t="n">
        <f aca="false">SUMPRODUCT(($C$29201:$C$29210=C29209)*$C$29190:$C$29199)</f>
        <v>2012.47739670466</v>
      </c>
    </row>
    <row r="29232" customFormat="false" ht="15" hidden="false" customHeight="false" outlineLevel="0" collapsed="false">
      <c r="A29232" s="3" t="s">
        <v>565</v>
      </c>
      <c r="C29232" s="16" t="n">
        <f aca="false">SUMPRODUCT(($C$29201:$C$29210=C29210)*$C$29190:$C$29199)</f>
        <v>80.135034</v>
      </c>
    </row>
    <row r="29233" customFormat="false" ht="15" hidden="false" customHeight="false" outlineLevel="0" collapsed="false">
      <c r="A29233" s="24" t="s">
        <v>574</v>
      </c>
      <c r="B29233" s="25"/>
      <c r="C29233" s="25"/>
      <c r="D29233" s="25"/>
      <c r="E29233" s="25"/>
      <c r="F29233" s="25"/>
      <c r="G29233" s="25"/>
      <c r="H29233" s="25"/>
      <c r="I29233" s="25"/>
      <c r="J29233" s="25"/>
      <c r="K29233" s="25"/>
    </row>
    <row r="29234" customFormat="false" ht="15" hidden="false" customHeight="false" outlineLevel="0" collapsed="false">
      <c r="A29234" s="3" t="s">
        <v>556</v>
      </c>
      <c r="C29234" s="16" t="n">
        <f aca="false">IF(C29223=0,0,C29190/C29223*MAX(0,MIN(C29223,$C$29133-SUM($C$29168:$C$29177)-C29212)))</f>
        <v>0</v>
      </c>
    </row>
    <row r="29235" customFormat="false" ht="15" hidden="false" customHeight="false" outlineLevel="0" collapsed="false">
      <c r="A29235" s="3" t="s">
        <v>557</v>
      </c>
      <c r="C29235" s="16" t="n">
        <f aca="false">IF(C29224=0,0,C29191/C29224*MAX(0,MIN(C29224,$C$29133-SUM($C$29168:$C$29177)-C29213)))</f>
        <v>0</v>
      </c>
    </row>
    <row r="29236" customFormat="false" ht="15" hidden="false" customHeight="false" outlineLevel="0" collapsed="false">
      <c r="A29236" s="3" t="s">
        <v>558</v>
      </c>
      <c r="C29236" s="16" t="n">
        <f aca="false">IF(C29225=0,0,C29192/C29225*MAX(0,MIN(C29225,$C$29133-SUM($C$29168:$C$29177)-C29214)))</f>
        <v>0</v>
      </c>
    </row>
    <row r="29237" customFormat="false" ht="15" hidden="false" customHeight="false" outlineLevel="0" collapsed="false">
      <c r="A29237" s="3" t="s">
        <v>559</v>
      </c>
      <c r="C29237" s="16" t="n">
        <f aca="false">IF(C29226=0,0,C29193/C29226*MAX(0,MIN(C29226,$C$29133-SUM($C$29168:$C$29177)-C29215)))</f>
        <v>0</v>
      </c>
    </row>
    <row r="29238" customFormat="false" ht="15" hidden="false" customHeight="false" outlineLevel="0" collapsed="false">
      <c r="A29238" s="3" t="s">
        <v>560</v>
      </c>
      <c r="C29238" s="16" t="n">
        <f aca="false">IF(C29227=0,0,C29194/C29227*MAX(0,MIN(C29227,$C$29133-SUM($C$29168:$C$29177)-C29216)))</f>
        <v>434.436771704662</v>
      </c>
    </row>
    <row r="29239" customFormat="false" ht="15" hidden="false" customHeight="false" outlineLevel="0" collapsed="false">
      <c r="A29239" s="3" t="s">
        <v>561</v>
      </c>
      <c r="C29239" s="16" t="n">
        <f aca="false">IF(C29228=0,0,C29195/C29228*MAX(0,MIN(C29228,$C$29133-SUM($C$29168:$C$29177)-C29217)))</f>
        <v>357.2625</v>
      </c>
    </row>
    <row r="29240" customFormat="false" ht="15" hidden="false" customHeight="false" outlineLevel="0" collapsed="false">
      <c r="A29240" s="3" t="s">
        <v>562</v>
      </c>
      <c r="C29240" s="16" t="n">
        <f aca="false">IF(C29229=0,0,C29196/C29229*MAX(0,MIN(C29229,$C$29133-SUM($C$29168:$C$29177)-C29218)))</f>
        <v>562.203125</v>
      </c>
    </row>
    <row r="29241" customFormat="false" ht="15" hidden="false" customHeight="false" outlineLevel="0" collapsed="false">
      <c r="A29241" s="3" t="s">
        <v>563</v>
      </c>
      <c r="C29241" s="16" t="n">
        <f aca="false">IF(C29230=0,0,C29197/C29230*MAX(0,MIN(C29230,$C$29133-SUM($C$29168:$C$29177)-C29219)))</f>
        <v>353.98125</v>
      </c>
    </row>
    <row r="29242" customFormat="false" ht="15" hidden="false" customHeight="false" outlineLevel="0" collapsed="false">
      <c r="A29242" s="3" t="s">
        <v>564</v>
      </c>
      <c r="C29242" s="16" t="n">
        <f aca="false">IF(C29231=0,0,C29198/C29231*MAX(0,MIN(C29231,$C$29133-SUM($C$29168:$C$29177)-C29220)))</f>
        <v>304.59375</v>
      </c>
    </row>
    <row r="29243" customFormat="false" ht="15" hidden="false" customHeight="false" outlineLevel="0" collapsed="false">
      <c r="A29243" s="3" t="s">
        <v>565</v>
      </c>
      <c r="C29243" s="16" t="n">
        <f aca="false">IF(C29232=0,0,C29199/C29232*MAX(0,MIN(C29232,$C$29133-SUM($C$29168:$C$29177)-C29221)))</f>
        <v>25.4156505721373</v>
      </c>
    </row>
    <row r="29244" customFormat="false" ht="15" hidden="false" customHeight="false" outlineLevel="0" collapsed="false">
      <c r="A29244" s="24" t="s">
        <v>575</v>
      </c>
      <c r="B29244" s="25"/>
      <c r="C29244" s="25"/>
      <c r="D29244" s="25"/>
      <c r="E29244" s="25"/>
      <c r="F29244" s="25"/>
      <c r="G29244" s="25"/>
      <c r="H29244" s="25"/>
      <c r="I29244" s="25"/>
      <c r="J29244" s="25"/>
      <c r="K29244" s="25"/>
    </row>
    <row r="29245" customFormat="false" ht="15" hidden="false" customHeight="false" outlineLevel="0" collapsed="false">
      <c r="A29245" s="2" t="s">
        <v>556</v>
      </c>
      <c r="C29245" s="17" t="n">
        <f aca="false">C29168+C29234</f>
        <v>403.27</v>
      </c>
    </row>
    <row r="29246" customFormat="false" ht="15" hidden="false" customHeight="false" outlineLevel="0" collapsed="false">
      <c r="A29246" s="2" t="s">
        <v>557</v>
      </c>
      <c r="C29246" s="17" t="n">
        <f aca="false">C29169+C29235</f>
        <v>85.1568504864</v>
      </c>
    </row>
    <row r="29247" customFormat="false" ht="15" hidden="false" customHeight="false" outlineLevel="0" collapsed="false">
      <c r="A29247" s="2" t="s">
        <v>558</v>
      </c>
      <c r="C29247" s="17" t="n">
        <f aca="false">C29170+C29236</f>
        <v>54.1907230368</v>
      </c>
    </row>
    <row r="29248" customFormat="false" ht="15" hidden="false" customHeight="false" outlineLevel="0" collapsed="false">
      <c r="A29248" s="2" t="s">
        <v>559</v>
      </c>
      <c r="C29248" s="17" t="n">
        <f aca="false">C29171+C29237</f>
        <v>0</v>
      </c>
    </row>
    <row r="29249" customFormat="false" ht="15" hidden="false" customHeight="false" outlineLevel="0" collapsed="false">
      <c r="A29249" s="2" t="s">
        <v>560</v>
      </c>
      <c r="C29249" s="17" t="n">
        <f aca="false">C29172+C29238</f>
        <v>434.436771704662</v>
      </c>
    </row>
    <row r="29250" customFormat="false" ht="15" hidden="false" customHeight="false" outlineLevel="0" collapsed="false">
      <c r="A29250" s="2" t="s">
        <v>561</v>
      </c>
      <c r="C29250" s="17" t="n">
        <f aca="false">C29173+C29239</f>
        <v>357.2625</v>
      </c>
    </row>
    <row r="29251" customFormat="false" ht="15" hidden="false" customHeight="false" outlineLevel="0" collapsed="false">
      <c r="A29251" s="2" t="s">
        <v>562</v>
      </c>
      <c r="C29251" s="17" t="n">
        <f aca="false">C29174+C29240</f>
        <v>562.203125</v>
      </c>
    </row>
    <row r="29252" customFormat="false" ht="15" hidden="false" customHeight="false" outlineLevel="0" collapsed="false">
      <c r="A29252" s="2" t="s">
        <v>563</v>
      </c>
      <c r="C29252" s="17" t="n">
        <f aca="false">C29175+C29241</f>
        <v>353.98125</v>
      </c>
    </row>
    <row r="29253" customFormat="false" ht="15" hidden="false" customHeight="false" outlineLevel="0" collapsed="false">
      <c r="A29253" s="2" t="s">
        <v>564</v>
      </c>
      <c r="C29253" s="17" t="n">
        <f aca="false">C29176+C29242</f>
        <v>304.59375</v>
      </c>
    </row>
    <row r="29254" customFormat="false" ht="15" hidden="false" customHeight="false" outlineLevel="0" collapsed="false">
      <c r="A29254" s="2" t="s">
        <v>565</v>
      </c>
      <c r="C29254" s="17" t="n">
        <f aca="false">C29177+C29243</f>
        <v>25.4156505721373</v>
      </c>
    </row>
    <row r="29255" customFormat="false" ht="15" hidden="false" customHeight="false" outlineLevel="0" collapsed="false">
      <c r="A29255" s="24" t="s">
        <v>576</v>
      </c>
      <c r="B29255" s="25"/>
      <c r="C29255" s="25"/>
      <c r="D29255" s="25"/>
      <c r="E29255" s="25"/>
      <c r="F29255" s="25"/>
      <c r="G29255" s="25"/>
      <c r="H29255" s="25"/>
      <c r="I29255" s="25"/>
      <c r="J29255" s="25"/>
      <c r="K29255" s="25"/>
    </row>
    <row r="29256" customFormat="false" ht="15" hidden="false" customHeight="false" outlineLevel="0" collapsed="false">
      <c r="A29256" s="3" t="s">
        <v>556</v>
      </c>
      <c r="C29256" s="22" t="n">
        <f aca="false">IF(C29135=0,1,C29245/C29135)</f>
        <v>1</v>
      </c>
    </row>
    <row r="29257" customFormat="false" ht="15" hidden="false" customHeight="false" outlineLevel="0" collapsed="false">
      <c r="A29257" s="3" t="s">
        <v>557</v>
      </c>
      <c r="C29257" s="22" t="n">
        <f aca="false">IF(C29136=0,1,C29246/C29136)</f>
        <v>0.932640622583639</v>
      </c>
    </row>
    <row r="29258" customFormat="false" ht="15" hidden="false" customHeight="false" outlineLevel="0" collapsed="false">
      <c r="A29258" s="3" t="s">
        <v>558</v>
      </c>
      <c r="C29258" s="22" t="n">
        <f aca="false">IF(C29137=0,1,C29247/C29137)</f>
        <v>0.928374871640695</v>
      </c>
    </row>
    <row r="29259" customFormat="false" ht="15" hidden="false" customHeight="false" outlineLevel="0" collapsed="false">
      <c r="A29259" s="3" t="s">
        <v>559</v>
      </c>
      <c r="C29259" s="22" t="n">
        <f aca="false">IF(C29138=0,1,C29248/C29138)</f>
        <v>1</v>
      </c>
    </row>
    <row r="29260" customFormat="false" ht="15" hidden="false" customHeight="false" outlineLevel="0" collapsed="false">
      <c r="A29260" s="3" t="s">
        <v>560</v>
      </c>
      <c r="C29260" s="22" t="n">
        <f aca="false">IF(C29139=0,1,C29249/C29139)</f>
        <v>1</v>
      </c>
    </row>
    <row r="29261" customFormat="false" ht="15" hidden="false" customHeight="false" outlineLevel="0" collapsed="false">
      <c r="A29261" s="3" t="s">
        <v>561</v>
      </c>
      <c r="C29261" s="22" t="n">
        <f aca="false">IF(C29140=0,1,C29250/C29140)</f>
        <v>1</v>
      </c>
    </row>
    <row r="29262" customFormat="false" ht="15" hidden="false" customHeight="false" outlineLevel="0" collapsed="false">
      <c r="A29262" s="3" t="s">
        <v>562</v>
      </c>
      <c r="C29262" s="22" t="n">
        <f aca="false">IF(C29141=0,1,C29251/C29141)</f>
        <v>1</v>
      </c>
    </row>
    <row r="29263" customFormat="false" ht="15" hidden="false" customHeight="false" outlineLevel="0" collapsed="false">
      <c r="A29263" s="3" t="s">
        <v>563</v>
      </c>
      <c r="C29263" s="22" t="n">
        <f aca="false">IF(C29142=0,1,C29252/C29142)</f>
        <v>1</v>
      </c>
    </row>
    <row r="29264" customFormat="false" ht="15" hidden="false" customHeight="false" outlineLevel="0" collapsed="false">
      <c r="A29264" s="3" t="s">
        <v>564</v>
      </c>
      <c r="C29264" s="22" t="n">
        <f aca="false">IF(C29143=0,1,C29253/C29143)</f>
        <v>1</v>
      </c>
    </row>
    <row r="29265" customFormat="false" ht="15" hidden="false" customHeight="false" outlineLevel="0" collapsed="false">
      <c r="A29265" s="3" t="s">
        <v>565</v>
      </c>
      <c r="C29265" s="22" t="n">
        <f aca="false">IF(C29144=0,1,C29254/C29144)</f>
        <v>0.317160289370281</v>
      </c>
    </row>
    <row r="29266" customFormat="false" ht="15" hidden="false" customHeight="false" outlineLevel="0" collapsed="false">
      <c r="A29266" s="24" t="s">
        <v>577</v>
      </c>
      <c r="B29266" s="25"/>
      <c r="C29266" s="25"/>
      <c r="D29266" s="25"/>
      <c r="E29266" s="25"/>
      <c r="F29266" s="25"/>
      <c r="G29266" s="25"/>
      <c r="H29266" s="25"/>
      <c r="I29266" s="25"/>
      <c r="J29266" s="25"/>
      <c r="K29266" s="25"/>
    </row>
    <row r="29267" customFormat="false" ht="15" hidden="false" customHeight="false" outlineLevel="0" collapsed="false">
      <c r="A29267" s="3" t="s">
        <v>556</v>
      </c>
      <c r="C29267" s="16" t="n">
        <f aca="false">C29135-C29245</f>
        <v>0</v>
      </c>
    </row>
    <row r="29268" customFormat="false" ht="15" hidden="false" customHeight="false" outlineLevel="0" collapsed="false">
      <c r="A29268" s="3" t="s">
        <v>557</v>
      </c>
      <c r="C29268" s="16" t="n">
        <f aca="false">C29136-C29246</f>
        <v>6.15039951360001</v>
      </c>
    </row>
    <row r="29269" customFormat="false" ht="15" hidden="false" customHeight="false" outlineLevel="0" collapsed="false">
      <c r="A29269" s="3" t="s">
        <v>558</v>
      </c>
      <c r="C29269" s="16" t="n">
        <f aca="false">C29137-C29247</f>
        <v>4.1808730632</v>
      </c>
    </row>
    <row r="29270" customFormat="false" ht="15" hidden="false" customHeight="false" outlineLevel="0" collapsed="false">
      <c r="A29270" s="3" t="s">
        <v>559</v>
      </c>
      <c r="C29270" s="16" t="n">
        <f aca="false">C29138-C29248</f>
        <v>0</v>
      </c>
    </row>
    <row r="29271" customFormat="false" ht="15" hidden="false" customHeight="false" outlineLevel="0" collapsed="false">
      <c r="A29271" s="3" t="s">
        <v>560</v>
      </c>
      <c r="C29271" s="16" t="n">
        <f aca="false">C29139-C29249</f>
        <v>0</v>
      </c>
    </row>
    <row r="29272" customFormat="false" ht="15" hidden="false" customHeight="false" outlineLevel="0" collapsed="false">
      <c r="A29272" s="3" t="s">
        <v>561</v>
      </c>
      <c r="C29272" s="16" t="n">
        <f aca="false">C29140-C29250</f>
        <v>0</v>
      </c>
    </row>
    <row r="29273" customFormat="false" ht="15" hidden="false" customHeight="false" outlineLevel="0" collapsed="false">
      <c r="A29273" s="3" t="s">
        <v>562</v>
      </c>
      <c r="C29273" s="16" t="n">
        <f aca="false">C29141-C29251</f>
        <v>0</v>
      </c>
    </row>
    <row r="29274" customFormat="false" ht="15" hidden="false" customHeight="false" outlineLevel="0" collapsed="false">
      <c r="A29274" s="3" t="s">
        <v>563</v>
      </c>
      <c r="C29274" s="16" t="n">
        <f aca="false">C29142-C29252</f>
        <v>0</v>
      </c>
    </row>
    <row r="29275" customFormat="false" ht="15" hidden="false" customHeight="false" outlineLevel="0" collapsed="false">
      <c r="A29275" s="3" t="s">
        <v>564</v>
      </c>
      <c r="C29275" s="16" t="n">
        <f aca="false">C29143-C29253</f>
        <v>0</v>
      </c>
    </row>
    <row r="29276" customFormat="false" ht="15" hidden="false" customHeight="false" outlineLevel="0" collapsed="false">
      <c r="A29276" s="3" t="s">
        <v>565</v>
      </c>
      <c r="C29276" s="16" t="n">
        <f aca="false">C29144-C29254</f>
        <v>54.7193834278627</v>
      </c>
    </row>
    <row r="29277" customFormat="false" ht="15" hidden="false" customHeight="false" outlineLevel="0" collapsed="false">
      <c r="A29277" s="24" t="s">
        <v>578</v>
      </c>
      <c r="B29277" s="25"/>
      <c r="C29277" s="25"/>
      <c r="D29277" s="25"/>
      <c r="E29277" s="25"/>
      <c r="F29277" s="25"/>
      <c r="G29277" s="25"/>
      <c r="H29277" s="25"/>
      <c r="I29277" s="25"/>
      <c r="J29277" s="25"/>
      <c r="K29277" s="25"/>
    </row>
    <row r="29278" customFormat="false" ht="15" hidden="false" customHeight="false" outlineLevel="0" collapsed="false">
      <c r="A29278" s="3" t="s">
        <v>556</v>
      </c>
      <c r="C29278" s="22" t="n">
        <f aca="false">IF(C29135=0,0,C29267/C29135)</f>
        <v>0</v>
      </c>
    </row>
    <row r="29279" customFormat="false" ht="15" hidden="false" customHeight="false" outlineLevel="0" collapsed="false">
      <c r="A29279" s="3" t="s">
        <v>557</v>
      </c>
      <c r="C29279" s="22" t="n">
        <f aca="false">IF(C29136=0,0,C29268/C29136)</f>
        <v>0.0673593774163608</v>
      </c>
    </row>
    <row r="29280" customFormat="false" ht="15" hidden="false" customHeight="false" outlineLevel="0" collapsed="false">
      <c r="A29280" s="3" t="s">
        <v>558</v>
      </c>
      <c r="C29280" s="22" t="n">
        <f aca="false">IF(C29137=0,0,C29269/C29137)</f>
        <v>0.0716251283593048</v>
      </c>
    </row>
    <row r="29281" customFormat="false" ht="15" hidden="false" customHeight="false" outlineLevel="0" collapsed="false">
      <c r="A29281" s="3" t="s">
        <v>559</v>
      </c>
      <c r="C29281" s="22" t="n">
        <f aca="false">IF(C29138=0,0,C29270/C29138)</f>
        <v>0</v>
      </c>
    </row>
    <row r="29282" customFormat="false" ht="15" hidden="false" customHeight="false" outlineLevel="0" collapsed="false">
      <c r="A29282" s="3" t="s">
        <v>560</v>
      </c>
      <c r="C29282" s="22" t="n">
        <f aca="false">IF(C29139=0,0,C29271/C29139)</f>
        <v>0</v>
      </c>
    </row>
    <row r="29283" customFormat="false" ht="15" hidden="false" customHeight="false" outlineLevel="0" collapsed="false">
      <c r="A29283" s="3" t="s">
        <v>561</v>
      </c>
      <c r="C29283" s="22" t="n">
        <f aca="false">IF(C29140=0,0,C29272/C29140)</f>
        <v>0</v>
      </c>
    </row>
    <row r="29284" customFormat="false" ht="15" hidden="false" customHeight="false" outlineLevel="0" collapsed="false">
      <c r="A29284" s="3" t="s">
        <v>562</v>
      </c>
      <c r="C29284" s="22" t="n">
        <f aca="false">IF(C29141=0,0,C29273/C29141)</f>
        <v>0</v>
      </c>
    </row>
    <row r="29285" customFormat="false" ht="15" hidden="false" customHeight="false" outlineLevel="0" collapsed="false">
      <c r="A29285" s="3" t="s">
        <v>563</v>
      </c>
      <c r="C29285" s="22" t="n">
        <f aca="false">IF(C29142=0,0,C29274/C29142)</f>
        <v>0</v>
      </c>
    </row>
    <row r="29286" customFormat="false" ht="15" hidden="false" customHeight="false" outlineLevel="0" collapsed="false">
      <c r="A29286" s="3" t="s">
        <v>564</v>
      </c>
      <c r="C29286" s="22" t="n">
        <f aca="false">IF(C29143=0,0,C29275/C29143)</f>
        <v>0</v>
      </c>
    </row>
    <row r="29287" customFormat="false" ht="15" hidden="false" customHeight="false" outlineLevel="0" collapsed="false">
      <c r="A29287" s="3" t="s">
        <v>565</v>
      </c>
      <c r="C29287" s="22" t="n">
        <f aca="false">IF(C29144=0,0,C29276/C29144)</f>
        <v>0.682839710629719</v>
      </c>
    </row>
    <row r="29288" customFormat="false" ht="15" hidden="false" customHeight="false" outlineLevel="0" collapsed="false">
      <c r="A29288" s="2" t="s">
        <v>579</v>
      </c>
      <c r="C29288" s="17" t="n">
        <f aca="false">MAX(0,$C$29133-SUM($C$29168:$C$29177)-SUM($C$29190:$C$29199))</f>
        <v>0</v>
      </c>
    </row>
    <row r="29289" customFormat="false" ht="15" hidden="false" customHeight="false" outlineLevel="0" collapsed="false">
      <c r="A29289" s="3" t="s">
        <v>580</v>
      </c>
      <c r="C29289" s="16" t="n">
        <f aca="false">SUM($C$29245:$C$29254)+C29288+C29132-C29131</f>
        <v>0</v>
      </c>
    </row>
    <row r="29291" customFormat="false" ht="15" hidden="false" customHeight="false" outlineLevel="0" collapsed="false">
      <c r="A29291" s="24" t="s">
        <v>583</v>
      </c>
      <c r="B29291" s="25"/>
      <c r="C29291" s="25"/>
      <c r="D29291" s="25"/>
      <c r="E29291" s="25"/>
      <c r="F29291" s="25"/>
      <c r="G29291" s="25"/>
      <c r="H29291" s="25"/>
      <c r="I29291" s="25"/>
      <c r="J29291" s="25"/>
      <c r="K29291" s="25"/>
    </row>
    <row r="29292" customFormat="false" ht="15" hidden="false" customHeight="false" outlineLevel="0" collapsed="false">
      <c r="A29292" s="3" t="s">
        <v>584</v>
      </c>
      <c r="C29292" s="27" t="n">
        <f aca="false">Assumptions!$C$34</f>
        <v>1</v>
      </c>
    </row>
    <row r="29293" customFormat="false" ht="15" hidden="false" customHeight="false" outlineLevel="0" collapsed="false">
      <c r="A29293" s="3" t="s">
        <v>585</v>
      </c>
      <c r="C29293" s="29" t="n">
        <f aca="false">Assumptions!$C$35</f>
        <v>100</v>
      </c>
    </row>
    <row r="29294" customFormat="false" ht="15" hidden="false" customHeight="false" outlineLevel="0" collapsed="false">
      <c r="A29294" s="3" t="s">
        <v>586</v>
      </c>
      <c r="C29294" s="40" t="n">
        <f aca="false">Assumptions!$C$36</f>
        <v>98</v>
      </c>
    </row>
    <row r="29295" customFormat="false" ht="15" hidden="false" customHeight="false" outlineLevel="0" collapsed="false">
      <c r="A29295" s="3" t="s">
        <v>587</v>
      </c>
      <c r="C29295" s="16" t="n">
        <f aca="false">C29293*C29294/100*(1+Assumptions!$C$37)</f>
        <v>98.49</v>
      </c>
    </row>
    <row r="29296" customFormat="false" ht="15" hidden="false" customHeight="false" outlineLevel="0" collapsed="false">
      <c r="A29296" s="3" t="s">
        <v>588</v>
      </c>
      <c r="C29296" s="27" t="n">
        <f aca="false">Assumptions!$C$38</f>
        <v>3</v>
      </c>
    </row>
    <row r="29297" customFormat="false" ht="15" hidden="false" customHeight="false" outlineLevel="0" collapsed="false">
      <c r="A29297" s="3" t="s">
        <v>589</v>
      </c>
      <c r="C29297" s="21" t="n">
        <f aca="false">IF(C29124=1,SUMPRODUCT($G$29060:$K$29060,$G$28834:$K$28834),0)</f>
        <v>2</v>
      </c>
    </row>
    <row r="29298" customFormat="false" ht="15" hidden="false" customHeight="false" outlineLevel="0" collapsed="false">
      <c r="A29298" s="3" t="s">
        <v>590</v>
      </c>
      <c r="C29298" s="22" t="n">
        <f aca="false">IFERROR(C29293/CHOOSE(C29292,SUMPRODUCT($G$29123:$K$29123,$G$28880:$K$28880),SUMPRODUCT($G$29123:$K$29123,$G$28893:$K$28893),SUMPRODUCT($G$29123:$K$29123,$G$28906:$K$28906),SUMPRODUCT($G$29123:$K$29123,$G$28919:$K$28919),SUMPRODUCT($G$29123:$K$29123,$G$28932:$K$28932),SUMPRODUCT($G$29123:$K$29123,$G$28945:$K$28945),SUMPRODUCT($G$29123:$K$29123,$G$28958:$K$28958),SUMPRODUCT($G$29123:$K$29123,$G$28971:$K$28971),SUMPRODUCT($G$29123:$K$29123,$G$28984:$K$28984),SUMPRODUCT($G$29123:$K$29123,$G$28997:$K$28997)),0)</f>
        <v>0.255102040816327</v>
      </c>
    </row>
    <row r="29299" customFormat="false" ht="15" hidden="false" customHeight="false" outlineLevel="0" collapsed="false">
      <c r="A29299" s="3" t="s">
        <v>591</v>
      </c>
      <c r="C29299" s="16" t="n">
        <f aca="false">CHOOSE(C29292,C29245,C29246,C29247,C29248,C29249,C29250,C29251,C29252,C29253,C29254)*C29298</f>
        <v>102.875</v>
      </c>
    </row>
    <row r="29300" customFormat="false" ht="15" hidden="false" customHeight="false" outlineLevel="0" collapsed="false">
      <c r="A29300" s="3" t="s">
        <v>592</v>
      </c>
      <c r="C29300" s="22" t="n">
        <f aca="false">CHOOSE(C29292,C29256,C29257,C29258,C29259,C29260,C29261,C29262,C29263,C29264,C29265)</f>
        <v>1</v>
      </c>
    </row>
    <row r="29301" customFormat="false" ht="15" hidden="false" customHeight="false" outlineLevel="0" collapsed="false">
      <c r="A29301" s="3" t="s">
        <v>593</v>
      </c>
      <c r="C29301" s="21" t="n">
        <f aca="false">IF(C29124=1,C29297,C29296)</f>
        <v>2</v>
      </c>
    </row>
    <row r="29302" customFormat="false" ht="15" hidden="false" customHeight="false" outlineLevel="0" collapsed="false">
      <c r="A29302" s="3" t="s">
        <v>594</v>
      </c>
      <c r="C29302" s="35" t="n">
        <f aca="false">CHOOSE($C$28826,Assumptions!$C$91,Assumptions!$C$110,Assumptions!$C$129)</f>
        <v>85</v>
      </c>
    </row>
    <row r="29303" customFormat="false" ht="15" hidden="false" customHeight="false" outlineLevel="0" collapsed="false">
      <c r="A29303" s="3" t="s">
        <v>595</v>
      </c>
      <c r="C29303" s="16" t="n">
        <f aca="false">INDEX($G$28843:$K$28843,C29296)*CHOOSE($C$28826,Assumptions!$C$90,Assumptions!$C$109,Assumptions!$C$128)+MAX(0,INDEX($G$29057:$K$29057,C29296))</f>
        <v>1633.40082545963</v>
      </c>
    </row>
    <row r="29304" customFormat="false" ht="15" hidden="false" customHeight="false" outlineLevel="0" collapsed="false">
      <c r="A29304" s="24" t="s">
        <v>596</v>
      </c>
      <c r="B29304" s="25"/>
      <c r="C29304" s="25"/>
      <c r="D29304" s="25"/>
      <c r="E29304" s="25"/>
      <c r="F29304" s="25"/>
      <c r="G29304" s="25"/>
      <c r="H29304" s="25"/>
      <c r="I29304" s="25"/>
      <c r="J29304" s="25"/>
      <c r="K29304" s="25"/>
    </row>
    <row r="29305" customFormat="false" ht="15" hidden="false" customHeight="false" outlineLevel="0" collapsed="false">
      <c r="A29305" s="3" t="s">
        <v>556</v>
      </c>
      <c r="C29305" s="16" t="n">
        <f aca="false">INDEX($G$28880:$K$28880,C29296)</f>
        <v>388</v>
      </c>
    </row>
    <row r="29306" customFormat="false" ht="15" hidden="false" customHeight="false" outlineLevel="0" collapsed="false">
      <c r="A29306" s="3" t="s">
        <v>557</v>
      </c>
      <c r="C29306" s="16" t="n">
        <f aca="false">INDEX($G$28893:$K$28893,C29296)</f>
        <v>90</v>
      </c>
    </row>
    <row r="29307" customFormat="false" ht="15" hidden="false" customHeight="false" outlineLevel="0" collapsed="false">
      <c r="A29307" s="3" t="s">
        <v>558</v>
      </c>
      <c r="C29307" s="16" t="n">
        <f aca="false">INDEX($G$28906:$K$28906,C29296)</f>
        <v>57.324</v>
      </c>
    </row>
    <row r="29308" customFormat="false" ht="15" hidden="false" customHeight="false" outlineLevel="0" collapsed="false">
      <c r="A29308" s="3" t="s">
        <v>559</v>
      </c>
      <c r="C29308" s="16" t="n">
        <f aca="false">INDEX($G$28919:$K$28919,C29296)</f>
        <v>0</v>
      </c>
    </row>
    <row r="29309" customFormat="false" ht="15" hidden="false" customHeight="false" outlineLevel="0" collapsed="false">
      <c r="A29309" s="3" t="s">
        <v>560</v>
      </c>
      <c r="C29309" s="16" t="n">
        <f aca="false">INDEX($G$28932:$K$28932,C29296)</f>
        <v>430.1886587</v>
      </c>
    </row>
    <row r="29310" customFormat="false" ht="15" hidden="false" customHeight="false" outlineLevel="0" collapsed="false">
      <c r="A29310" s="3" t="s">
        <v>561</v>
      </c>
      <c r="C29310" s="16" t="n">
        <f aca="false">INDEX($G$28945:$K$28945,C29296)</f>
        <v>350</v>
      </c>
    </row>
    <row r="29311" customFormat="false" ht="15" hidden="false" customHeight="false" outlineLevel="0" collapsed="false">
      <c r="A29311" s="3" t="s">
        <v>562</v>
      </c>
      <c r="C29311" s="16" t="n">
        <f aca="false">INDEX($G$28958:$K$28958,C29296)</f>
        <v>550</v>
      </c>
    </row>
    <row r="29312" customFormat="false" ht="15" hidden="false" customHeight="false" outlineLevel="0" collapsed="false">
      <c r="A29312" s="3" t="s">
        <v>563</v>
      </c>
      <c r="C29312" s="16" t="n">
        <f aca="false">INDEX($G$28971:$K$28971,C29296)</f>
        <v>350</v>
      </c>
    </row>
    <row r="29313" customFormat="false" ht="15" hidden="false" customHeight="false" outlineLevel="0" collapsed="false">
      <c r="A29313" s="3" t="s">
        <v>564</v>
      </c>
      <c r="C29313" s="16" t="n">
        <f aca="false">INDEX($G$28984:$K$28984,C29296)</f>
        <v>300</v>
      </c>
    </row>
    <row r="29314" customFormat="false" ht="15" hidden="false" customHeight="false" outlineLevel="0" collapsed="false">
      <c r="A29314" s="3" t="s">
        <v>565</v>
      </c>
      <c r="C29314" s="16" t="n">
        <f aca="false">INDEX($G$28997:$K$28997,C29296)</f>
        <v>78.61</v>
      </c>
    </row>
    <row r="29315" customFormat="false" ht="15" hidden="false" customHeight="false" outlineLevel="0" collapsed="false">
      <c r="A29315" s="24" t="s">
        <v>566</v>
      </c>
      <c r="B29315" s="25"/>
      <c r="C29315" s="25"/>
      <c r="D29315" s="25"/>
      <c r="E29315" s="25"/>
      <c r="F29315" s="25"/>
      <c r="G29315" s="25"/>
      <c r="H29315" s="25"/>
      <c r="I29315" s="25"/>
      <c r="J29315" s="25"/>
      <c r="K29315" s="25"/>
    </row>
    <row r="29316" customFormat="false" ht="15" hidden="false" customHeight="false" outlineLevel="0" collapsed="false">
      <c r="A29316" s="3" t="s">
        <v>556</v>
      </c>
      <c r="C29316" s="27" t="n">
        <f aca="false">Assumptions!$M$57</f>
        <v>1</v>
      </c>
    </row>
    <row r="29317" customFormat="false" ht="15" hidden="false" customHeight="false" outlineLevel="0" collapsed="false">
      <c r="A29317" s="3" t="s">
        <v>557</v>
      </c>
      <c r="C29317" s="27" t="n">
        <f aca="false">Assumptions!$M$58</f>
        <v>1</v>
      </c>
    </row>
    <row r="29318" customFormat="false" ht="15" hidden="false" customHeight="false" outlineLevel="0" collapsed="false">
      <c r="A29318" s="3" t="s">
        <v>558</v>
      </c>
      <c r="C29318" s="27" t="n">
        <f aca="false">Assumptions!$M$59</f>
        <v>1</v>
      </c>
    </row>
    <row r="29319" customFormat="false" ht="15" hidden="false" customHeight="false" outlineLevel="0" collapsed="false">
      <c r="A29319" s="3" t="s">
        <v>559</v>
      </c>
      <c r="C29319" s="27" t="n">
        <f aca="false">Assumptions!$M$60</f>
        <v>2</v>
      </c>
    </row>
    <row r="29320" customFormat="false" ht="15" hidden="false" customHeight="false" outlineLevel="0" collapsed="false">
      <c r="A29320" s="3" t="s">
        <v>560</v>
      </c>
      <c r="C29320" s="27" t="n">
        <f aca="false">Assumptions!$M$61</f>
        <v>2</v>
      </c>
    </row>
    <row r="29321" customFormat="false" ht="15" hidden="false" customHeight="false" outlineLevel="0" collapsed="false">
      <c r="A29321" s="3" t="s">
        <v>561</v>
      </c>
      <c r="C29321" s="27" t="n">
        <f aca="false">Assumptions!$M$62</f>
        <v>2</v>
      </c>
    </row>
    <row r="29322" customFormat="false" ht="15" hidden="false" customHeight="false" outlineLevel="0" collapsed="false">
      <c r="A29322" s="3" t="s">
        <v>562</v>
      </c>
      <c r="C29322" s="27" t="n">
        <f aca="false">Assumptions!$M$63</f>
        <v>2</v>
      </c>
    </row>
    <row r="29323" customFormat="false" ht="15" hidden="false" customHeight="false" outlineLevel="0" collapsed="false">
      <c r="A29323" s="3" t="s">
        <v>563</v>
      </c>
      <c r="C29323" s="27" t="n">
        <f aca="false">Assumptions!$M$64</f>
        <v>2</v>
      </c>
    </row>
    <row r="29324" customFormat="false" ht="15" hidden="false" customHeight="false" outlineLevel="0" collapsed="false">
      <c r="A29324" s="3" t="s">
        <v>564</v>
      </c>
      <c r="C29324" s="27" t="n">
        <f aca="false">Assumptions!$M$65</f>
        <v>2</v>
      </c>
    </row>
    <row r="29325" customFormat="false" ht="15" hidden="false" customHeight="false" outlineLevel="0" collapsed="false">
      <c r="A29325" s="3" t="s">
        <v>565</v>
      </c>
      <c r="C29325" s="27" t="n">
        <f aca="false">Assumptions!$M$66</f>
        <v>3</v>
      </c>
    </row>
    <row r="29326" customFormat="false" ht="15" hidden="false" customHeight="false" outlineLevel="0" collapsed="false">
      <c r="A29326" s="24" t="s">
        <v>567</v>
      </c>
      <c r="B29326" s="25"/>
      <c r="C29326" s="25"/>
      <c r="D29326" s="25"/>
      <c r="E29326" s="25"/>
      <c r="F29326" s="25"/>
      <c r="G29326" s="25"/>
      <c r="H29326" s="25"/>
      <c r="I29326" s="25"/>
      <c r="J29326" s="25"/>
      <c r="K29326" s="25"/>
    </row>
    <row r="29327" customFormat="false" ht="15" hidden="false" customHeight="false" outlineLevel="0" collapsed="false">
      <c r="A29327" s="3" t="s">
        <v>556</v>
      </c>
      <c r="C29327" s="33" t="n">
        <f aca="false">Assumptions!$Q$57</f>
        <v>0.3</v>
      </c>
    </row>
    <row r="29328" customFormat="false" ht="15" hidden="false" customHeight="false" outlineLevel="0" collapsed="false">
      <c r="A29328" s="3" t="s">
        <v>557</v>
      </c>
      <c r="C29328" s="33" t="n">
        <f aca="false">Assumptions!$Q$58</f>
        <v>0.033</v>
      </c>
    </row>
    <row r="29329" customFormat="false" ht="15" hidden="false" customHeight="false" outlineLevel="0" collapsed="false">
      <c r="A29329" s="3" t="s">
        <v>558</v>
      </c>
      <c r="C29329" s="33" t="n">
        <f aca="false">Assumptions!$Q$59</f>
        <v>0.021</v>
      </c>
    </row>
    <row r="29330" customFormat="false" ht="15" hidden="false" customHeight="false" outlineLevel="0" collapsed="false">
      <c r="A29330" s="3" t="s">
        <v>559</v>
      </c>
      <c r="C29330" s="33" t="n">
        <f aca="false">Assumptions!$Q$60</f>
        <v>0</v>
      </c>
    </row>
    <row r="29331" customFormat="false" ht="15" hidden="false" customHeight="false" outlineLevel="0" collapsed="false">
      <c r="A29331" s="3" t="s">
        <v>560</v>
      </c>
      <c r="C29331" s="33" t="n">
        <f aca="false">Assumptions!$Q$61</f>
        <v>0</v>
      </c>
    </row>
    <row r="29332" customFormat="false" ht="15" hidden="false" customHeight="false" outlineLevel="0" collapsed="false">
      <c r="A29332" s="3" t="s">
        <v>561</v>
      </c>
      <c r="C29332" s="33" t="n">
        <f aca="false">Assumptions!$Q$62</f>
        <v>0</v>
      </c>
    </row>
    <row r="29333" customFormat="false" ht="15" hidden="false" customHeight="false" outlineLevel="0" collapsed="false">
      <c r="A29333" s="3" t="s">
        <v>562</v>
      </c>
      <c r="C29333" s="33" t="n">
        <f aca="false">Assumptions!$Q$63</f>
        <v>0</v>
      </c>
    </row>
    <row r="29334" customFormat="false" ht="15" hidden="false" customHeight="false" outlineLevel="0" collapsed="false">
      <c r="A29334" s="3" t="s">
        <v>563</v>
      </c>
      <c r="C29334" s="33" t="n">
        <f aca="false">Assumptions!$Q$64</f>
        <v>0</v>
      </c>
    </row>
    <row r="29335" customFormat="false" ht="15" hidden="false" customHeight="false" outlineLevel="0" collapsed="false">
      <c r="A29335" s="3" t="s">
        <v>564</v>
      </c>
      <c r="C29335" s="33" t="n">
        <f aca="false">Assumptions!$Q$65</f>
        <v>0</v>
      </c>
    </row>
    <row r="29336" customFormat="false" ht="15" hidden="false" customHeight="false" outlineLevel="0" collapsed="false">
      <c r="A29336" s="3" t="s">
        <v>565</v>
      </c>
      <c r="C29336" s="33" t="n">
        <f aca="false">Assumptions!$Q$66</f>
        <v>0</v>
      </c>
    </row>
    <row r="29337" customFormat="false" ht="15" hidden="false" customHeight="false" outlineLevel="0" collapsed="false">
      <c r="A29337" s="24" t="s">
        <v>568</v>
      </c>
      <c r="B29337" s="25"/>
      <c r="C29337" s="25"/>
      <c r="D29337" s="25"/>
      <c r="E29337" s="25"/>
      <c r="F29337" s="25"/>
      <c r="G29337" s="25"/>
      <c r="H29337" s="25"/>
      <c r="I29337" s="25"/>
      <c r="J29337" s="25"/>
      <c r="K29337" s="25"/>
    </row>
    <row r="29338" customFormat="false" ht="15" hidden="false" customHeight="false" outlineLevel="0" collapsed="false">
      <c r="A29338" s="3" t="s">
        <v>556</v>
      </c>
      <c r="C29338" s="16" t="n">
        <f aca="false">IF(C29327&gt;0,MIN(C29305,C29327*$C$29303),0)</f>
        <v>388</v>
      </c>
    </row>
    <row r="29339" customFormat="false" ht="15" hidden="false" customHeight="false" outlineLevel="0" collapsed="false">
      <c r="A29339" s="3" t="s">
        <v>557</v>
      </c>
      <c r="C29339" s="16" t="n">
        <f aca="false">IF(C29328&gt;0,MIN(C29306,C29328*$C$29303),0)</f>
        <v>53.9022272401676</v>
      </c>
    </row>
    <row r="29340" customFormat="false" ht="15" hidden="false" customHeight="false" outlineLevel="0" collapsed="false">
      <c r="A29340" s="3" t="s">
        <v>558</v>
      </c>
      <c r="C29340" s="16" t="n">
        <f aca="false">IF(C29329&gt;0,MIN(C29307,C29329*$C$29303),0)</f>
        <v>34.3014173346521</v>
      </c>
    </row>
    <row r="29341" customFormat="false" ht="15" hidden="false" customHeight="false" outlineLevel="0" collapsed="false">
      <c r="A29341" s="3" t="s">
        <v>559</v>
      </c>
      <c r="C29341" s="16" t="n">
        <f aca="false">IF(C29330&gt;0,MIN(C29308,C29330*$C$29303),0)</f>
        <v>0</v>
      </c>
    </row>
    <row r="29342" customFormat="false" ht="15" hidden="false" customHeight="false" outlineLevel="0" collapsed="false">
      <c r="A29342" s="3" t="s">
        <v>560</v>
      </c>
      <c r="C29342" s="16" t="n">
        <f aca="false">IF(C29331&gt;0,MIN(C29309,C29331*$C$29303),0)</f>
        <v>0</v>
      </c>
    </row>
    <row r="29343" customFormat="false" ht="15" hidden="false" customHeight="false" outlineLevel="0" collapsed="false">
      <c r="A29343" s="3" t="s">
        <v>561</v>
      </c>
      <c r="C29343" s="16" t="n">
        <f aca="false">IF(C29332&gt;0,MIN(C29310,C29332*$C$29303),0)</f>
        <v>0</v>
      </c>
    </row>
    <row r="29344" customFormat="false" ht="15" hidden="false" customHeight="false" outlineLevel="0" collapsed="false">
      <c r="A29344" s="3" t="s">
        <v>562</v>
      </c>
      <c r="C29344" s="16" t="n">
        <f aca="false">IF(C29333&gt;0,MIN(C29311,C29333*$C$29303),0)</f>
        <v>0</v>
      </c>
    </row>
    <row r="29345" customFormat="false" ht="15" hidden="false" customHeight="false" outlineLevel="0" collapsed="false">
      <c r="A29345" s="3" t="s">
        <v>563</v>
      </c>
      <c r="C29345" s="16" t="n">
        <f aca="false">IF(C29334&gt;0,MIN(C29312,C29334*$C$29303),0)</f>
        <v>0</v>
      </c>
    </row>
    <row r="29346" customFormat="false" ht="15" hidden="false" customHeight="false" outlineLevel="0" collapsed="false">
      <c r="A29346" s="3" t="s">
        <v>564</v>
      </c>
      <c r="C29346" s="16" t="n">
        <f aca="false">IF(C29335&gt;0,MIN(C29313,C29335*$C$29303),0)</f>
        <v>0</v>
      </c>
    </row>
    <row r="29347" customFormat="false" ht="15" hidden="false" customHeight="false" outlineLevel="0" collapsed="false">
      <c r="A29347" s="3" t="s">
        <v>565</v>
      </c>
      <c r="C29347" s="16" t="n">
        <f aca="false">IF(C29336&gt;0,MIN(C29314,C29336*$C$29303),0)</f>
        <v>0</v>
      </c>
    </row>
    <row r="29348" customFormat="false" ht="15" hidden="false" customHeight="false" outlineLevel="0" collapsed="false">
      <c r="A29348" s="24" t="s">
        <v>569</v>
      </c>
      <c r="B29348" s="25"/>
      <c r="C29348" s="25"/>
      <c r="D29348" s="25"/>
      <c r="E29348" s="25"/>
      <c r="F29348" s="25"/>
      <c r="G29348" s="25"/>
      <c r="H29348" s="25"/>
      <c r="I29348" s="25"/>
      <c r="J29348" s="25"/>
      <c r="K29348" s="25"/>
    </row>
    <row r="29349" customFormat="false" ht="15" hidden="false" customHeight="false" outlineLevel="0" collapsed="false">
      <c r="A29349" s="3" t="s">
        <v>556</v>
      </c>
      <c r="C29349" s="16" t="n">
        <f aca="false">IF(C29327&gt;0,C29305-C29338,0)</f>
        <v>0</v>
      </c>
    </row>
    <row r="29350" customFormat="false" ht="15" hidden="false" customHeight="false" outlineLevel="0" collapsed="false">
      <c r="A29350" s="3" t="s">
        <v>557</v>
      </c>
      <c r="C29350" s="16" t="n">
        <f aca="false">IF(C29328&gt;0,C29306-C29339,0)</f>
        <v>36.0977727598324</v>
      </c>
    </row>
    <row r="29351" customFormat="false" ht="15" hidden="false" customHeight="false" outlineLevel="0" collapsed="false">
      <c r="A29351" s="3" t="s">
        <v>558</v>
      </c>
      <c r="C29351" s="16" t="n">
        <f aca="false">IF(C29329&gt;0,C29307-C29340,0)</f>
        <v>23.0225826653479</v>
      </c>
    </row>
    <row r="29352" customFormat="false" ht="15" hidden="false" customHeight="false" outlineLevel="0" collapsed="false">
      <c r="A29352" s="3" t="s">
        <v>559</v>
      </c>
      <c r="C29352" s="16" t="n">
        <f aca="false">IF(C29330&gt;0,C29308-C29341,0)</f>
        <v>0</v>
      </c>
    </row>
    <row r="29353" customFormat="false" ht="15" hidden="false" customHeight="false" outlineLevel="0" collapsed="false">
      <c r="A29353" s="3" t="s">
        <v>560</v>
      </c>
      <c r="C29353" s="16" t="n">
        <f aca="false">IF(C29331&gt;0,C29309-C29342,0)</f>
        <v>0</v>
      </c>
    </row>
    <row r="29354" customFormat="false" ht="15" hidden="false" customHeight="false" outlineLevel="0" collapsed="false">
      <c r="A29354" s="3" t="s">
        <v>561</v>
      </c>
      <c r="C29354" s="16" t="n">
        <f aca="false">IF(C29332&gt;0,C29310-C29343,0)</f>
        <v>0</v>
      </c>
    </row>
    <row r="29355" customFormat="false" ht="15" hidden="false" customHeight="false" outlineLevel="0" collapsed="false">
      <c r="A29355" s="3" t="s">
        <v>562</v>
      </c>
      <c r="C29355" s="16" t="n">
        <f aca="false">IF(C29333&gt;0,C29311-C29344,0)</f>
        <v>0</v>
      </c>
    </row>
    <row r="29356" customFormat="false" ht="15" hidden="false" customHeight="false" outlineLevel="0" collapsed="false">
      <c r="A29356" s="3" t="s">
        <v>563</v>
      </c>
      <c r="C29356" s="16" t="n">
        <f aca="false">IF(C29334&gt;0,C29312-C29345,0)</f>
        <v>0</v>
      </c>
    </row>
    <row r="29357" customFormat="false" ht="15" hidden="false" customHeight="false" outlineLevel="0" collapsed="false">
      <c r="A29357" s="3" t="s">
        <v>564</v>
      </c>
      <c r="C29357" s="16" t="n">
        <f aca="false">IF(C29335&gt;0,C29313-C29346,0)</f>
        <v>0</v>
      </c>
    </row>
    <row r="29358" customFormat="false" ht="15" hidden="false" customHeight="false" outlineLevel="0" collapsed="false">
      <c r="A29358" s="3" t="s">
        <v>565</v>
      </c>
      <c r="C29358" s="16" t="n">
        <f aca="false">IF(C29336&gt;0,C29314-C29347,0)</f>
        <v>0</v>
      </c>
    </row>
    <row r="29359" customFormat="false" ht="15" hidden="false" customHeight="false" outlineLevel="0" collapsed="false">
      <c r="A29359" s="24" t="s">
        <v>570</v>
      </c>
      <c r="B29359" s="25"/>
      <c r="C29359" s="25"/>
      <c r="D29359" s="25"/>
      <c r="E29359" s="25"/>
      <c r="F29359" s="25"/>
      <c r="G29359" s="25"/>
      <c r="H29359" s="25"/>
      <c r="I29359" s="25"/>
      <c r="J29359" s="25"/>
      <c r="K29359" s="25"/>
    </row>
    <row r="29360" customFormat="false" ht="15" hidden="false" customHeight="false" outlineLevel="0" collapsed="false">
      <c r="A29360" s="3" t="s">
        <v>556</v>
      </c>
      <c r="C29360" s="16" t="n">
        <f aca="false">IF(C29327&gt;0,C29349,C29305)</f>
        <v>0</v>
      </c>
    </row>
    <row r="29361" customFormat="false" ht="15" hidden="false" customHeight="false" outlineLevel="0" collapsed="false">
      <c r="A29361" s="3" t="s">
        <v>557</v>
      </c>
      <c r="C29361" s="16" t="n">
        <f aca="false">IF(C29328&gt;0,C29350,C29306)</f>
        <v>36.0977727598324</v>
      </c>
    </row>
    <row r="29362" customFormat="false" ht="15" hidden="false" customHeight="false" outlineLevel="0" collapsed="false">
      <c r="A29362" s="3" t="s">
        <v>558</v>
      </c>
      <c r="C29362" s="16" t="n">
        <f aca="false">IF(C29329&gt;0,C29351,C29307)</f>
        <v>23.0225826653479</v>
      </c>
    </row>
    <row r="29363" customFormat="false" ht="15" hidden="false" customHeight="false" outlineLevel="0" collapsed="false">
      <c r="A29363" s="3" t="s">
        <v>559</v>
      </c>
      <c r="C29363" s="16" t="n">
        <f aca="false">IF(C29330&gt;0,C29352,C29308)</f>
        <v>0</v>
      </c>
    </row>
    <row r="29364" customFormat="false" ht="15" hidden="false" customHeight="false" outlineLevel="0" collapsed="false">
      <c r="A29364" s="3" t="s">
        <v>560</v>
      </c>
      <c r="C29364" s="16" t="n">
        <f aca="false">IF(C29331&gt;0,C29353,C29309)</f>
        <v>430.1886587</v>
      </c>
    </row>
    <row r="29365" customFormat="false" ht="15" hidden="false" customHeight="false" outlineLevel="0" collapsed="false">
      <c r="A29365" s="3" t="s">
        <v>561</v>
      </c>
      <c r="C29365" s="16" t="n">
        <f aca="false">IF(C29332&gt;0,C29354,C29310)</f>
        <v>350</v>
      </c>
    </row>
    <row r="29366" customFormat="false" ht="15" hidden="false" customHeight="false" outlineLevel="0" collapsed="false">
      <c r="A29366" s="3" t="s">
        <v>562</v>
      </c>
      <c r="C29366" s="16" t="n">
        <f aca="false">IF(C29333&gt;0,C29355,C29311)</f>
        <v>550</v>
      </c>
    </row>
    <row r="29367" customFormat="false" ht="15" hidden="false" customHeight="false" outlineLevel="0" collapsed="false">
      <c r="A29367" s="3" t="s">
        <v>563</v>
      </c>
      <c r="C29367" s="16" t="n">
        <f aca="false">IF(C29334&gt;0,C29356,C29312)</f>
        <v>350</v>
      </c>
    </row>
    <row r="29368" customFormat="false" ht="15" hidden="false" customHeight="false" outlineLevel="0" collapsed="false">
      <c r="A29368" s="3" t="s">
        <v>564</v>
      </c>
      <c r="C29368" s="16" t="n">
        <f aca="false">IF(C29335&gt;0,C29357,C29313)</f>
        <v>300</v>
      </c>
    </row>
    <row r="29369" customFormat="false" ht="15" hidden="false" customHeight="false" outlineLevel="0" collapsed="false">
      <c r="A29369" s="3" t="s">
        <v>565</v>
      </c>
      <c r="C29369" s="16" t="n">
        <f aca="false">IF(C29336&gt;0,C29358,C29314)</f>
        <v>78.61</v>
      </c>
    </row>
    <row r="29370" customFormat="false" ht="15" hidden="false" customHeight="false" outlineLevel="0" collapsed="false">
      <c r="A29370" s="24" t="s">
        <v>571</v>
      </c>
      <c r="B29370" s="25"/>
      <c r="C29370" s="25"/>
      <c r="D29370" s="25"/>
      <c r="E29370" s="25"/>
      <c r="F29370" s="25"/>
      <c r="G29370" s="25"/>
      <c r="H29370" s="25"/>
      <c r="I29370" s="25"/>
      <c r="J29370" s="25"/>
      <c r="K29370" s="25"/>
    </row>
    <row r="29371" customFormat="false" ht="15" hidden="false" customHeight="false" outlineLevel="0" collapsed="false">
      <c r="A29371" s="3" t="s">
        <v>556</v>
      </c>
      <c r="C29371" s="21" t="n">
        <f aca="false">IF(C29327&gt;0,Assumptions!$C$17,C29316)</f>
        <v>99</v>
      </c>
    </row>
    <row r="29372" customFormat="false" ht="15" hidden="false" customHeight="false" outlineLevel="0" collapsed="false">
      <c r="A29372" s="3" t="s">
        <v>557</v>
      </c>
      <c r="C29372" s="21" t="n">
        <f aca="false">IF(C29328&gt;0,Assumptions!$C$17,C29317)</f>
        <v>99</v>
      </c>
    </row>
    <row r="29373" customFormat="false" ht="15" hidden="false" customHeight="false" outlineLevel="0" collapsed="false">
      <c r="A29373" s="3" t="s">
        <v>558</v>
      </c>
      <c r="C29373" s="21" t="n">
        <f aca="false">IF(C29329&gt;0,Assumptions!$C$17,C29318)</f>
        <v>99</v>
      </c>
    </row>
    <row r="29374" customFormat="false" ht="15" hidden="false" customHeight="false" outlineLevel="0" collapsed="false">
      <c r="A29374" s="3" t="s">
        <v>559</v>
      </c>
      <c r="C29374" s="21" t="n">
        <f aca="false">IF(C29330&gt;0,Assumptions!$C$17,C29319)</f>
        <v>2</v>
      </c>
    </row>
    <row r="29375" customFormat="false" ht="15" hidden="false" customHeight="false" outlineLevel="0" collapsed="false">
      <c r="A29375" s="3" t="s">
        <v>560</v>
      </c>
      <c r="C29375" s="21" t="n">
        <f aca="false">IF(C29331&gt;0,Assumptions!$C$17,C29320)</f>
        <v>2</v>
      </c>
    </row>
    <row r="29376" customFormat="false" ht="15" hidden="false" customHeight="false" outlineLevel="0" collapsed="false">
      <c r="A29376" s="3" t="s">
        <v>561</v>
      </c>
      <c r="C29376" s="21" t="n">
        <f aca="false">IF(C29332&gt;0,Assumptions!$C$17,C29321)</f>
        <v>2</v>
      </c>
    </row>
    <row r="29377" customFormat="false" ht="15" hidden="false" customHeight="false" outlineLevel="0" collapsed="false">
      <c r="A29377" s="3" t="s">
        <v>562</v>
      </c>
      <c r="C29377" s="21" t="n">
        <f aca="false">IF(C29333&gt;0,Assumptions!$C$17,C29322)</f>
        <v>2</v>
      </c>
    </row>
    <row r="29378" customFormat="false" ht="15" hidden="false" customHeight="false" outlineLevel="0" collapsed="false">
      <c r="A29378" s="3" t="s">
        <v>563</v>
      </c>
      <c r="C29378" s="21" t="n">
        <f aca="false">IF(C29334&gt;0,Assumptions!$C$17,C29323)</f>
        <v>2</v>
      </c>
    </row>
    <row r="29379" customFormat="false" ht="15" hidden="false" customHeight="false" outlineLevel="0" collapsed="false">
      <c r="A29379" s="3" t="s">
        <v>564</v>
      </c>
      <c r="C29379" s="21" t="n">
        <f aca="false">IF(C29335&gt;0,Assumptions!$C$17,C29324)</f>
        <v>2</v>
      </c>
    </row>
    <row r="29380" customFormat="false" ht="15" hidden="false" customHeight="false" outlineLevel="0" collapsed="false">
      <c r="A29380" s="3" t="s">
        <v>565</v>
      </c>
      <c r="C29380" s="21" t="n">
        <f aca="false">IF(C29336&gt;0,Assumptions!$C$17,C29325)</f>
        <v>3</v>
      </c>
    </row>
    <row r="29381" customFormat="false" ht="15" hidden="false" customHeight="false" outlineLevel="0" collapsed="false">
      <c r="A29381" s="24" t="s">
        <v>572</v>
      </c>
      <c r="B29381" s="25"/>
      <c r="C29381" s="25"/>
      <c r="D29381" s="25"/>
      <c r="E29381" s="25"/>
      <c r="F29381" s="25"/>
      <c r="G29381" s="25"/>
      <c r="H29381" s="25"/>
      <c r="I29381" s="25"/>
      <c r="J29381" s="25"/>
      <c r="K29381" s="25"/>
    </row>
    <row r="29382" customFormat="false" ht="15" hidden="false" customHeight="false" outlineLevel="0" collapsed="false">
      <c r="A29382" s="3" t="s">
        <v>556</v>
      </c>
      <c r="C29382" s="16" t="n">
        <f aca="false">SUMPRODUCT(($C$29371:$C$29380&lt;C29371)*$C$29360:$C$29369)</f>
        <v>2058.7986587</v>
      </c>
    </row>
    <row r="29383" customFormat="false" ht="15" hidden="false" customHeight="false" outlineLevel="0" collapsed="false">
      <c r="A29383" s="3" t="s">
        <v>557</v>
      </c>
      <c r="C29383" s="16" t="n">
        <f aca="false">SUMPRODUCT(($C$29371:$C$29380&lt;C29372)*$C$29360:$C$29369)</f>
        <v>2058.7986587</v>
      </c>
    </row>
    <row r="29384" customFormat="false" ht="15" hidden="false" customHeight="false" outlineLevel="0" collapsed="false">
      <c r="A29384" s="3" t="s">
        <v>558</v>
      </c>
      <c r="C29384" s="16" t="n">
        <f aca="false">SUMPRODUCT(($C$29371:$C$29380&lt;C29373)*$C$29360:$C$29369)</f>
        <v>2058.7986587</v>
      </c>
    </row>
    <row r="29385" customFormat="false" ht="15" hidden="false" customHeight="false" outlineLevel="0" collapsed="false">
      <c r="A29385" s="3" t="s">
        <v>559</v>
      </c>
      <c r="C29385" s="16" t="n">
        <f aca="false">SUMPRODUCT(($C$29371:$C$29380&lt;C29374)*$C$29360:$C$29369)</f>
        <v>0</v>
      </c>
    </row>
    <row r="29386" customFormat="false" ht="15" hidden="false" customHeight="false" outlineLevel="0" collapsed="false">
      <c r="A29386" s="3" t="s">
        <v>560</v>
      </c>
      <c r="C29386" s="16" t="n">
        <f aca="false">SUMPRODUCT(($C$29371:$C$29380&lt;C29375)*$C$29360:$C$29369)</f>
        <v>0</v>
      </c>
    </row>
    <row r="29387" customFormat="false" ht="15" hidden="false" customHeight="false" outlineLevel="0" collapsed="false">
      <c r="A29387" s="3" t="s">
        <v>561</v>
      </c>
      <c r="C29387" s="16" t="n">
        <f aca="false">SUMPRODUCT(($C$29371:$C$29380&lt;C29376)*$C$29360:$C$29369)</f>
        <v>0</v>
      </c>
    </row>
    <row r="29388" customFormat="false" ht="15" hidden="false" customHeight="false" outlineLevel="0" collapsed="false">
      <c r="A29388" s="3" t="s">
        <v>562</v>
      </c>
      <c r="C29388" s="16" t="n">
        <f aca="false">SUMPRODUCT(($C$29371:$C$29380&lt;C29377)*$C$29360:$C$29369)</f>
        <v>0</v>
      </c>
    </row>
    <row r="29389" customFormat="false" ht="15" hidden="false" customHeight="false" outlineLevel="0" collapsed="false">
      <c r="A29389" s="3" t="s">
        <v>563</v>
      </c>
      <c r="C29389" s="16" t="n">
        <f aca="false">SUMPRODUCT(($C$29371:$C$29380&lt;C29378)*$C$29360:$C$29369)</f>
        <v>0</v>
      </c>
    </row>
    <row r="29390" customFormat="false" ht="15" hidden="false" customHeight="false" outlineLevel="0" collapsed="false">
      <c r="A29390" s="3" t="s">
        <v>564</v>
      </c>
      <c r="C29390" s="16" t="n">
        <f aca="false">SUMPRODUCT(($C$29371:$C$29380&lt;C29379)*$C$29360:$C$29369)</f>
        <v>0</v>
      </c>
    </row>
    <row r="29391" customFormat="false" ht="15" hidden="false" customHeight="false" outlineLevel="0" collapsed="false">
      <c r="A29391" s="3" t="s">
        <v>565</v>
      </c>
      <c r="C29391" s="16" t="n">
        <f aca="false">SUMPRODUCT(($C$29371:$C$29380&lt;C29380)*$C$29360:$C$29369)</f>
        <v>1980.1886587</v>
      </c>
    </row>
    <row r="29392" customFormat="false" ht="15" hidden="false" customHeight="false" outlineLevel="0" collapsed="false">
      <c r="A29392" s="24" t="s">
        <v>573</v>
      </c>
      <c r="B29392" s="25"/>
      <c r="C29392" s="25"/>
      <c r="D29392" s="25"/>
      <c r="E29392" s="25"/>
      <c r="F29392" s="25"/>
      <c r="G29392" s="25"/>
      <c r="H29392" s="25"/>
      <c r="I29392" s="25"/>
      <c r="J29392" s="25"/>
      <c r="K29392" s="25"/>
    </row>
    <row r="29393" customFormat="false" ht="15" hidden="false" customHeight="false" outlineLevel="0" collapsed="false">
      <c r="A29393" s="3" t="s">
        <v>556</v>
      </c>
      <c r="C29393" s="16" t="n">
        <f aca="false">SUMPRODUCT(($C$29371:$C$29380=C29371)*$C$29360:$C$29369)</f>
        <v>59.1203554251802</v>
      </c>
    </row>
    <row r="29394" customFormat="false" ht="15" hidden="false" customHeight="false" outlineLevel="0" collapsed="false">
      <c r="A29394" s="3" t="s">
        <v>557</v>
      </c>
      <c r="C29394" s="16" t="n">
        <f aca="false">SUMPRODUCT(($C$29371:$C$29380=C29372)*$C$29360:$C$29369)</f>
        <v>59.1203554251802</v>
      </c>
    </row>
    <row r="29395" customFormat="false" ht="15" hidden="false" customHeight="false" outlineLevel="0" collapsed="false">
      <c r="A29395" s="3" t="s">
        <v>558</v>
      </c>
      <c r="C29395" s="16" t="n">
        <f aca="false">SUMPRODUCT(($C$29371:$C$29380=C29373)*$C$29360:$C$29369)</f>
        <v>59.1203554251802</v>
      </c>
    </row>
    <row r="29396" customFormat="false" ht="15" hidden="false" customHeight="false" outlineLevel="0" collapsed="false">
      <c r="A29396" s="3" t="s">
        <v>559</v>
      </c>
      <c r="C29396" s="16" t="n">
        <f aca="false">SUMPRODUCT(($C$29371:$C$29380=C29374)*$C$29360:$C$29369)</f>
        <v>1980.1886587</v>
      </c>
    </row>
    <row r="29397" customFormat="false" ht="15" hidden="false" customHeight="false" outlineLevel="0" collapsed="false">
      <c r="A29397" s="3" t="s">
        <v>560</v>
      </c>
      <c r="C29397" s="16" t="n">
        <f aca="false">SUMPRODUCT(($C$29371:$C$29380=C29375)*$C$29360:$C$29369)</f>
        <v>1980.1886587</v>
      </c>
    </row>
    <row r="29398" customFormat="false" ht="15" hidden="false" customHeight="false" outlineLevel="0" collapsed="false">
      <c r="A29398" s="3" t="s">
        <v>561</v>
      </c>
      <c r="C29398" s="16" t="n">
        <f aca="false">SUMPRODUCT(($C$29371:$C$29380=C29376)*$C$29360:$C$29369)</f>
        <v>1980.1886587</v>
      </c>
    </row>
    <row r="29399" customFormat="false" ht="15" hidden="false" customHeight="false" outlineLevel="0" collapsed="false">
      <c r="A29399" s="3" t="s">
        <v>562</v>
      </c>
      <c r="C29399" s="16" t="n">
        <f aca="false">SUMPRODUCT(($C$29371:$C$29380=C29377)*$C$29360:$C$29369)</f>
        <v>1980.1886587</v>
      </c>
    </row>
    <row r="29400" customFormat="false" ht="15" hidden="false" customHeight="false" outlineLevel="0" collapsed="false">
      <c r="A29400" s="3" t="s">
        <v>563</v>
      </c>
      <c r="C29400" s="16" t="n">
        <f aca="false">SUMPRODUCT(($C$29371:$C$29380=C29378)*$C$29360:$C$29369)</f>
        <v>1980.1886587</v>
      </c>
    </row>
    <row r="29401" customFormat="false" ht="15" hidden="false" customHeight="false" outlineLevel="0" collapsed="false">
      <c r="A29401" s="3" t="s">
        <v>564</v>
      </c>
      <c r="C29401" s="16" t="n">
        <f aca="false">SUMPRODUCT(($C$29371:$C$29380=C29379)*$C$29360:$C$29369)</f>
        <v>1980.1886587</v>
      </c>
    </row>
    <row r="29402" customFormat="false" ht="15" hidden="false" customHeight="false" outlineLevel="0" collapsed="false">
      <c r="A29402" s="3" t="s">
        <v>565</v>
      </c>
      <c r="C29402" s="16" t="n">
        <f aca="false">SUMPRODUCT(($C$29371:$C$29380=C29380)*$C$29360:$C$29369)</f>
        <v>78.61</v>
      </c>
    </row>
    <row r="29403" customFormat="false" ht="15" hidden="false" customHeight="false" outlineLevel="0" collapsed="false">
      <c r="A29403" s="24" t="s">
        <v>574</v>
      </c>
      <c r="B29403" s="25"/>
      <c r="C29403" s="25"/>
      <c r="D29403" s="25"/>
      <c r="E29403" s="25"/>
      <c r="F29403" s="25"/>
      <c r="G29403" s="25"/>
      <c r="H29403" s="25"/>
      <c r="I29403" s="25"/>
      <c r="J29403" s="25"/>
      <c r="K29403" s="25"/>
    </row>
    <row r="29404" customFormat="false" ht="15" hidden="false" customHeight="false" outlineLevel="0" collapsed="false">
      <c r="A29404" s="3" t="s">
        <v>556</v>
      </c>
      <c r="C29404" s="16" t="n">
        <f aca="false">IF(C29393=0,0,C29360/C29393*MAX(0,MIN(C29393,$C$29303-SUM($C$29338:$C$29347)-C29382)))</f>
        <v>0</v>
      </c>
    </row>
    <row r="29405" customFormat="false" ht="15" hidden="false" customHeight="false" outlineLevel="0" collapsed="false">
      <c r="A29405" s="3" t="s">
        <v>557</v>
      </c>
      <c r="C29405" s="16" t="n">
        <f aca="false">IF(C29394=0,0,C29361/C29394*MAX(0,MIN(C29394,$C$29303-SUM($C$29338:$C$29347)-C29383)))</f>
        <v>0</v>
      </c>
    </row>
    <row r="29406" customFormat="false" ht="15" hidden="false" customHeight="false" outlineLevel="0" collapsed="false">
      <c r="A29406" s="3" t="s">
        <v>558</v>
      </c>
      <c r="C29406" s="16" t="n">
        <f aca="false">IF(C29395=0,0,C29362/C29395*MAX(0,MIN(C29395,$C$29303-SUM($C$29338:$C$29347)-C29384)))</f>
        <v>0</v>
      </c>
    </row>
    <row r="29407" customFormat="false" ht="15" hidden="false" customHeight="false" outlineLevel="0" collapsed="false">
      <c r="A29407" s="3" t="s">
        <v>559</v>
      </c>
      <c r="C29407" s="16" t="n">
        <f aca="false">IF(C29396=0,0,C29363/C29396*MAX(0,MIN(C29396,$C$29303-SUM($C$29338:$C$29347)-C29385)))</f>
        <v>0</v>
      </c>
    </row>
    <row r="29408" customFormat="false" ht="15" hidden="false" customHeight="false" outlineLevel="0" collapsed="false">
      <c r="A29408" s="3" t="s">
        <v>560</v>
      </c>
      <c r="C29408" s="16" t="n">
        <f aca="false">IF(C29397=0,0,C29364/C29397*MAX(0,MIN(C29397,$C$29303-SUM($C$29338:$C$29347)-C29386)))</f>
        <v>251.396805505932</v>
      </c>
    </row>
    <row r="29409" customFormat="false" ht="15" hidden="false" customHeight="false" outlineLevel="0" collapsed="false">
      <c r="A29409" s="3" t="s">
        <v>561</v>
      </c>
      <c r="C29409" s="16" t="n">
        <f aca="false">IF(C29398=0,0,C29365/C29398*MAX(0,MIN(C29398,$C$29303-SUM($C$29338:$C$29347)-C29387)))</f>
        <v>204.535568633939</v>
      </c>
    </row>
    <row r="29410" customFormat="false" ht="15" hidden="false" customHeight="false" outlineLevel="0" collapsed="false">
      <c r="A29410" s="3" t="s">
        <v>562</v>
      </c>
      <c r="C29410" s="16" t="n">
        <f aca="false">IF(C29399=0,0,C29366/C29399*MAX(0,MIN(C29399,$C$29303-SUM($C$29338:$C$29347)-C29388)))</f>
        <v>321.413036424762</v>
      </c>
    </row>
    <row r="29411" customFormat="false" ht="15" hidden="false" customHeight="false" outlineLevel="0" collapsed="false">
      <c r="A29411" s="3" t="s">
        <v>563</v>
      </c>
      <c r="C29411" s="16" t="n">
        <f aca="false">IF(C29400=0,0,C29367/C29400*MAX(0,MIN(C29400,$C$29303-SUM($C$29338:$C$29347)-C29389)))</f>
        <v>204.535568633939</v>
      </c>
    </row>
    <row r="29412" customFormat="false" ht="15" hidden="false" customHeight="false" outlineLevel="0" collapsed="false">
      <c r="A29412" s="3" t="s">
        <v>564</v>
      </c>
      <c r="C29412" s="16" t="n">
        <f aca="false">IF(C29401=0,0,C29368/C29401*MAX(0,MIN(C29401,$C$29303-SUM($C$29338:$C$29347)-C29390)))</f>
        <v>175.316201686234</v>
      </c>
    </row>
    <row r="29413" customFormat="false" ht="15" hidden="false" customHeight="false" outlineLevel="0" collapsed="false">
      <c r="A29413" s="3" t="s">
        <v>565</v>
      </c>
      <c r="C29413" s="16" t="n">
        <f aca="false">IF(C29402=0,0,C29369/C29402*MAX(0,MIN(C29402,$C$29303-SUM($C$29338:$C$29347)-C29391)))</f>
        <v>0</v>
      </c>
    </row>
    <row r="29414" customFormat="false" ht="15" hidden="false" customHeight="false" outlineLevel="0" collapsed="false">
      <c r="A29414" s="24" t="s">
        <v>575</v>
      </c>
      <c r="B29414" s="25"/>
      <c r="C29414" s="25"/>
      <c r="D29414" s="25"/>
      <c r="E29414" s="25"/>
      <c r="F29414" s="25"/>
      <c r="G29414" s="25"/>
      <c r="H29414" s="25"/>
      <c r="I29414" s="25"/>
      <c r="J29414" s="25"/>
      <c r="K29414" s="25"/>
    </row>
    <row r="29415" customFormat="false" ht="15" hidden="false" customHeight="false" outlineLevel="0" collapsed="false">
      <c r="A29415" s="2" t="s">
        <v>556</v>
      </c>
      <c r="C29415" s="17" t="n">
        <f aca="false">C29338+C29404</f>
        <v>388</v>
      </c>
    </row>
    <row r="29416" customFormat="false" ht="15" hidden="false" customHeight="false" outlineLevel="0" collapsed="false">
      <c r="A29416" s="2" t="s">
        <v>557</v>
      </c>
      <c r="C29416" s="17" t="n">
        <f aca="false">C29339+C29405</f>
        <v>53.9022272401676</v>
      </c>
    </row>
    <row r="29417" customFormat="false" ht="15" hidden="false" customHeight="false" outlineLevel="0" collapsed="false">
      <c r="A29417" s="2" t="s">
        <v>558</v>
      </c>
      <c r="C29417" s="17" t="n">
        <f aca="false">C29340+C29406</f>
        <v>34.3014173346521</v>
      </c>
    </row>
    <row r="29418" customFormat="false" ht="15" hidden="false" customHeight="false" outlineLevel="0" collapsed="false">
      <c r="A29418" s="2" t="s">
        <v>559</v>
      </c>
      <c r="C29418" s="17" t="n">
        <f aca="false">C29341+C29407</f>
        <v>0</v>
      </c>
    </row>
    <row r="29419" customFormat="false" ht="15" hidden="false" customHeight="false" outlineLevel="0" collapsed="false">
      <c r="A29419" s="2" t="s">
        <v>560</v>
      </c>
      <c r="C29419" s="17" t="n">
        <f aca="false">C29342+C29408</f>
        <v>251.396805505932</v>
      </c>
    </row>
    <row r="29420" customFormat="false" ht="15" hidden="false" customHeight="false" outlineLevel="0" collapsed="false">
      <c r="A29420" s="2" t="s">
        <v>561</v>
      </c>
      <c r="C29420" s="17" t="n">
        <f aca="false">C29343+C29409</f>
        <v>204.535568633939</v>
      </c>
    </row>
    <row r="29421" customFormat="false" ht="15" hidden="false" customHeight="false" outlineLevel="0" collapsed="false">
      <c r="A29421" s="2" t="s">
        <v>562</v>
      </c>
      <c r="C29421" s="17" t="n">
        <f aca="false">C29344+C29410</f>
        <v>321.413036424762</v>
      </c>
    </row>
    <row r="29422" customFormat="false" ht="15" hidden="false" customHeight="false" outlineLevel="0" collapsed="false">
      <c r="A29422" s="2" t="s">
        <v>563</v>
      </c>
      <c r="C29422" s="17" t="n">
        <f aca="false">C29345+C29411</f>
        <v>204.535568633939</v>
      </c>
    </row>
    <row r="29423" customFormat="false" ht="15" hidden="false" customHeight="false" outlineLevel="0" collapsed="false">
      <c r="A29423" s="2" t="s">
        <v>564</v>
      </c>
      <c r="C29423" s="17" t="n">
        <f aca="false">C29346+C29412</f>
        <v>175.316201686234</v>
      </c>
    </row>
    <row r="29424" customFormat="false" ht="15" hidden="false" customHeight="false" outlineLevel="0" collapsed="false">
      <c r="A29424" s="2" t="s">
        <v>565</v>
      </c>
      <c r="C29424" s="17" t="n">
        <f aca="false">C29347+C29413</f>
        <v>0</v>
      </c>
    </row>
    <row r="29425" customFormat="false" ht="15" hidden="false" customHeight="false" outlineLevel="0" collapsed="false">
      <c r="A29425" s="24" t="s">
        <v>576</v>
      </c>
      <c r="B29425" s="25"/>
      <c r="C29425" s="25"/>
      <c r="D29425" s="25"/>
      <c r="E29425" s="25"/>
      <c r="F29425" s="25"/>
      <c r="G29425" s="25"/>
      <c r="H29425" s="25"/>
      <c r="I29425" s="25"/>
      <c r="J29425" s="25"/>
      <c r="K29425" s="25"/>
    </row>
    <row r="29426" customFormat="false" ht="15" hidden="false" customHeight="false" outlineLevel="0" collapsed="false">
      <c r="A29426" s="3" t="s">
        <v>556</v>
      </c>
      <c r="C29426" s="22" t="n">
        <f aca="false">IF(C29305=0,1,C29415/C29305)</f>
        <v>1</v>
      </c>
    </row>
    <row r="29427" customFormat="false" ht="15" hidden="false" customHeight="false" outlineLevel="0" collapsed="false">
      <c r="A29427" s="3" t="s">
        <v>557</v>
      </c>
      <c r="C29427" s="22" t="n">
        <f aca="false">IF(C29306=0,1,C29416/C29306)</f>
        <v>0.598913636001863</v>
      </c>
    </row>
    <row r="29428" customFormat="false" ht="15" hidden="false" customHeight="false" outlineLevel="0" collapsed="false">
      <c r="A29428" s="3" t="s">
        <v>558</v>
      </c>
      <c r="C29428" s="22" t="n">
        <f aca="false">IF(C29307=0,1,C29417/C29307)</f>
        <v>0.598377945269907</v>
      </c>
    </row>
    <row r="29429" customFormat="false" ht="15" hidden="false" customHeight="false" outlineLevel="0" collapsed="false">
      <c r="A29429" s="3" t="s">
        <v>559</v>
      </c>
      <c r="C29429" s="22" t="n">
        <f aca="false">IF(C29308=0,1,C29418/C29308)</f>
        <v>1</v>
      </c>
    </row>
    <row r="29430" customFormat="false" ht="15" hidden="false" customHeight="false" outlineLevel="0" collapsed="false">
      <c r="A29430" s="3" t="s">
        <v>560</v>
      </c>
      <c r="C29430" s="22" t="n">
        <f aca="false">IF(C29309=0,1,C29419/C29309)</f>
        <v>0.584387338954112</v>
      </c>
    </row>
    <row r="29431" customFormat="false" ht="15" hidden="false" customHeight="false" outlineLevel="0" collapsed="false">
      <c r="A29431" s="3" t="s">
        <v>561</v>
      </c>
      <c r="C29431" s="22" t="n">
        <f aca="false">IF(C29310=0,1,C29420/C29310)</f>
        <v>0.584387338954112</v>
      </c>
    </row>
    <row r="29432" customFormat="false" ht="15" hidden="false" customHeight="false" outlineLevel="0" collapsed="false">
      <c r="A29432" s="3" t="s">
        <v>562</v>
      </c>
      <c r="C29432" s="22" t="n">
        <f aca="false">IF(C29311=0,1,C29421/C29311)</f>
        <v>0.584387338954112</v>
      </c>
    </row>
    <row r="29433" customFormat="false" ht="15" hidden="false" customHeight="false" outlineLevel="0" collapsed="false">
      <c r="A29433" s="3" t="s">
        <v>563</v>
      </c>
      <c r="C29433" s="22" t="n">
        <f aca="false">IF(C29312=0,1,C29422/C29312)</f>
        <v>0.584387338954112</v>
      </c>
    </row>
    <row r="29434" customFormat="false" ht="15" hidden="false" customHeight="false" outlineLevel="0" collapsed="false">
      <c r="A29434" s="3" t="s">
        <v>564</v>
      </c>
      <c r="C29434" s="22" t="n">
        <f aca="false">IF(C29313=0,1,C29423/C29313)</f>
        <v>0.584387338954112</v>
      </c>
    </row>
    <row r="29435" customFormat="false" ht="15" hidden="false" customHeight="false" outlineLevel="0" collapsed="false">
      <c r="A29435" s="3" t="s">
        <v>565</v>
      </c>
      <c r="C29435" s="22" t="n">
        <f aca="false">IF(C29314=0,1,C29424/C29314)</f>
        <v>0</v>
      </c>
    </row>
    <row r="29436" customFormat="false" ht="15" hidden="false" customHeight="false" outlineLevel="0" collapsed="false">
      <c r="A29436" s="24" t="s">
        <v>577</v>
      </c>
      <c r="B29436" s="25"/>
      <c r="C29436" s="25"/>
      <c r="D29436" s="25"/>
      <c r="E29436" s="25"/>
      <c r="F29436" s="25"/>
      <c r="G29436" s="25"/>
      <c r="H29436" s="25"/>
      <c r="I29436" s="25"/>
      <c r="J29436" s="25"/>
      <c r="K29436" s="25"/>
    </row>
    <row r="29437" customFormat="false" ht="15" hidden="false" customHeight="false" outlineLevel="0" collapsed="false">
      <c r="A29437" s="3" t="s">
        <v>556</v>
      </c>
      <c r="C29437" s="16" t="n">
        <f aca="false">C29305-C29415</f>
        <v>0</v>
      </c>
    </row>
    <row r="29438" customFormat="false" ht="15" hidden="false" customHeight="false" outlineLevel="0" collapsed="false">
      <c r="A29438" s="3" t="s">
        <v>557</v>
      </c>
      <c r="C29438" s="16" t="n">
        <f aca="false">C29306-C29416</f>
        <v>36.0977727598324</v>
      </c>
    </row>
    <row r="29439" customFormat="false" ht="15" hidden="false" customHeight="false" outlineLevel="0" collapsed="false">
      <c r="A29439" s="3" t="s">
        <v>558</v>
      </c>
      <c r="C29439" s="16" t="n">
        <f aca="false">C29307-C29417</f>
        <v>23.0225826653479</v>
      </c>
    </row>
    <row r="29440" customFormat="false" ht="15" hidden="false" customHeight="false" outlineLevel="0" collapsed="false">
      <c r="A29440" s="3" t="s">
        <v>559</v>
      </c>
      <c r="C29440" s="16" t="n">
        <f aca="false">C29308-C29418</f>
        <v>0</v>
      </c>
    </row>
    <row r="29441" customFormat="false" ht="15" hidden="false" customHeight="false" outlineLevel="0" collapsed="false">
      <c r="A29441" s="3" t="s">
        <v>560</v>
      </c>
      <c r="C29441" s="16" t="n">
        <f aca="false">C29309-C29419</f>
        <v>178.791853194068</v>
      </c>
    </row>
    <row r="29442" customFormat="false" ht="15" hidden="false" customHeight="false" outlineLevel="0" collapsed="false">
      <c r="A29442" s="3" t="s">
        <v>561</v>
      </c>
      <c r="C29442" s="16" t="n">
        <f aca="false">C29310-C29420</f>
        <v>145.464431366061</v>
      </c>
    </row>
    <row r="29443" customFormat="false" ht="15" hidden="false" customHeight="false" outlineLevel="0" collapsed="false">
      <c r="A29443" s="3" t="s">
        <v>562</v>
      </c>
      <c r="C29443" s="16" t="n">
        <f aca="false">C29311-C29421</f>
        <v>228.586963575238</v>
      </c>
    </row>
    <row r="29444" customFormat="false" ht="15" hidden="false" customHeight="false" outlineLevel="0" collapsed="false">
      <c r="A29444" s="3" t="s">
        <v>563</v>
      </c>
      <c r="C29444" s="16" t="n">
        <f aca="false">C29312-C29422</f>
        <v>145.464431366061</v>
      </c>
    </row>
    <row r="29445" customFormat="false" ht="15" hidden="false" customHeight="false" outlineLevel="0" collapsed="false">
      <c r="A29445" s="3" t="s">
        <v>564</v>
      </c>
      <c r="C29445" s="16" t="n">
        <f aca="false">C29313-C29423</f>
        <v>124.683798313766</v>
      </c>
    </row>
    <row r="29446" customFormat="false" ht="15" hidden="false" customHeight="false" outlineLevel="0" collapsed="false">
      <c r="A29446" s="3" t="s">
        <v>565</v>
      </c>
      <c r="C29446" s="16" t="n">
        <f aca="false">C29314-C29424</f>
        <v>78.61</v>
      </c>
    </row>
    <row r="29447" customFormat="false" ht="15" hidden="false" customHeight="false" outlineLevel="0" collapsed="false">
      <c r="A29447" s="24" t="s">
        <v>578</v>
      </c>
      <c r="B29447" s="25"/>
      <c r="C29447" s="25"/>
      <c r="D29447" s="25"/>
      <c r="E29447" s="25"/>
      <c r="F29447" s="25"/>
      <c r="G29447" s="25"/>
      <c r="H29447" s="25"/>
      <c r="I29447" s="25"/>
      <c r="J29447" s="25"/>
      <c r="K29447" s="25"/>
    </row>
    <row r="29448" customFormat="false" ht="15" hidden="false" customHeight="false" outlineLevel="0" collapsed="false">
      <c r="A29448" s="3" t="s">
        <v>556</v>
      </c>
      <c r="C29448" s="22" t="n">
        <f aca="false">IF(C29305=0,0,C29437/C29305)</f>
        <v>0</v>
      </c>
    </row>
    <row r="29449" customFormat="false" ht="15" hidden="false" customHeight="false" outlineLevel="0" collapsed="false">
      <c r="A29449" s="3" t="s">
        <v>557</v>
      </c>
      <c r="C29449" s="22" t="n">
        <f aca="false">IF(C29306=0,0,C29438/C29306)</f>
        <v>0.401086363998137</v>
      </c>
    </row>
    <row r="29450" customFormat="false" ht="15" hidden="false" customHeight="false" outlineLevel="0" collapsed="false">
      <c r="A29450" s="3" t="s">
        <v>558</v>
      </c>
      <c r="C29450" s="22" t="n">
        <f aca="false">IF(C29307=0,0,C29439/C29307)</f>
        <v>0.401622054730093</v>
      </c>
    </row>
    <row r="29451" customFormat="false" ht="15" hidden="false" customHeight="false" outlineLevel="0" collapsed="false">
      <c r="A29451" s="3" t="s">
        <v>559</v>
      </c>
      <c r="C29451" s="22" t="n">
        <f aca="false">IF(C29308=0,0,C29440/C29308)</f>
        <v>0</v>
      </c>
    </row>
    <row r="29452" customFormat="false" ht="15" hidden="false" customHeight="false" outlineLevel="0" collapsed="false">
      <c r="A29452" s="3" t="s">
        <v>560</v>
      </c>
      <c r="C29452" s="22" t="n">
        <f aca="false">IF(C29309=0,0,C29441/C29309)</f>
        <v>0.415612661045888</v>
      </c>
    </row>
    <row r="29453" customFormat="false" ht="15" hidden="false" customHeight="false" outlineLevel="0" collapsed="false">
      <c r="A29453" s="3" t="s">
        <v>561</v>
      </c>
      <c r="C29453" s="22" t="n">
        <f aca="false">IF(C29310=0,0,C29442/C29310)</f>
        <v>0.415612661045888</v>
      </c>
    </row>
    <row r="29454" customFormat="false" ht="15" hidden="false" customHeight="false" outlineLevel="0" collapsed="false">
      <c r="A29454" s="3" t="s">
        <v>562</v>
      </c>
      <c r="C29454" s="22" t="n">
        <f aca="false">IF(C29311=0,0,C29443/C29311)</f>
        <v>0.415612661045888</v>
      </c>
    </row>
    <row r="29455" customFormat="false" ht="15" hidden="false" customHeight="false" outlineLevel="0" collapsed="false">
      <c r="A29455" s="3" t="s">
        <v>563</v>
      </c>
      <c r="C29455" s="22" t="n">
        <f aca="false">IF(C29312=0,0,C29444/C29312)</f>
        <v>0.415612661045888</v>
      </c>
    </row>
    <row r="29456" customFormat="false" ht="15" hidden="false" customHeight="false" outlineLevel="0" collapsed="false">
      <c r="A29456" s="3" t="s">
        <v>564</v>
      </c>
      <c r="C29456" s="22" t="n">
        <f aca="false">IF(C29313=0,0,C29445/C29313)</f>
        <v>0.415612661045888</v>
      </c>
    </row>
    <row r="29457" customFormat="false" ht="15" hidden="false" customHeight="false" outlineLevel="0" collapsed="false">
      <c r="A29457" s="3" t="s">
        <v>565</v>
      </c>
      <c r="C29457" s="22" t="n">
        <f aca="false">IF(C29314=0,0,C29446/C29314)</f>
        <v>1</v>
      </c>
    </row>
    <row r="29458" customFormat="false" ht="15" hidden="false" customHeight="false" outlineLevel="0" collapsed="false">
      <c r="A29458" s="2" t="s">
        <v>579</v>
      </c>
      <c r="C29458" s="17" t="n">
        <f aca="false">MAX(0,$C$29303-SUM($C$29338:$C$29347)-SUM($C$29360:$C$29369))</f>
        <v>0</v>
      </c>
    </row>
    <row r="29459" customFormat="false" ht="15" hidden="false" customHeight="false" outlineLevel="0" collapsed="false">
      <c r="A29459" s="3" t="s">
        <v>597</v>
      </c>
      <c r="C29459" s="35" t="n">
        <f aca="false">MIN(C29302,100*CHOOSE(C29292,C29426,C29427,C29428,C29429,C29430,C29431,C29432,C29433,C29434,C29435))</f>
        <v>85</v>
      </c>
    </row>
    <row r="29460" customFormat="false" ht="15" hidden="false" customHeight="false" outlineLevel="0" collapsed="false">
      <c r="A29460" s="3" t="s">
        <v>598</v>
      </c>
      <c r="C29460" s="21" t="n">
        <f aca="false">IF(C29124=1,C29297+Assumptions!$C$40,C29296)</f>
        <v>3</v>
      </c>
    </row>
    <row r="29461" customFormat="false" ht="15" hidden="false" customHeight="false" outlineLevel="0" collapsed="false">
      <c r="A29461" s="24" t="s">
        <v>599</v>
      </c>
      <c r="B29461" s="25"/>
      <c r="C29461" s="25"/>
      <c r="D29461" s="25"/>
      <c r="E29461" s="25"/>
      <c r="F29461" s="25"/>
      <c r="G29461" s="25"/>
      <c r="H29461" s="25"/>
      <c r="I29461" s="25"/>
      <c r="J29461" s="25"/>
      <c r="K29461" s="25"/>
    </row>
    <row r="29462" customFormat="false" ht="15" hidden="false" customHeight="false" outlineLevel="0" collapsed="false">
      <c r="A29462" s="3" t="s">
        <v>600</v>
      </c>
      <c r="C29462" s="21" t="n">
        <f aca="false">COLUMN()-COLUMN($C$1)</f>
        <v>0</v>
      </c>
      <c r="D29462" s="21" t="n">
        <f aca="false">COLUMN()-COLUMN($C$1)</f>
        <v>1</v>
      </c>
      <c r="E29462" s="21" t="n">
        <f aca="false">COLUMN()-COLUMN($C$1)</f>
        <v>2</v>
      </c>
      <c r="F29462" s="21" t="n">
        <f aca="false">COLUMN()-COLUMN($C$1)</f>
        <v>3</v>
      </c>
      <c r="G29462" s="21" t="n">
        <f aca="false">COLUMN()-COLUMN($C$1)</f>
        <v>4</v>
      </c>
      <c r="H29462" s="21" t="n">
        <f aca="false">COLUMN()-COLUMN($C$1)</f>
        <v>5</v>
      </c>
      <c r="I29462" s="21" t="n">
        <f aca="false">COLUMN()-COLUMN($C$1)</f>
        <v>6</v>
      </c>
    </row>
    <row r="29463" customFormat="false" ht="15" hidden="false" customHeight="false" outlineLevel="0" collapsed="false">
      <c r="A29463" s="3" t="s">
        <v>601</v>
      </c>
      <c r="D29463" s="31" t="n">
        <f aca="false">CHOOSE($C$29292,G28872,G28885,G28898,G28911,G28924,G28937,G28950,G28963,G28976,G28989)</f>
        <v>0.1165</v>
      </c>
      <c r="E29463" s="31" t="n">
        <f aca="false">CHOOSE($C$29292,H28872,H28885,H28898,H28911,H28924,H28937,H28950,H28963,H28976,H28989)</f>
        <v>0.115</v>
      </c>
      <c r="F29463" s="31" t="n">
        <f aca="false">CHOOSE($C$29292,I28872,I28885,I28898,I28911,I28924,I28937,I28950,I28963,I28976,I28989)</f>
        <v>0.1125</v>
      </c>
      <c r="G29463" s="31" t="n">
        <f aca="false">CHOOSE($C$29292,J28872,J28885,J28898,J28911,J28924,J28937,J28950,J28963,J28976,J28989)</f>
        <v>0.1125</v>
      </c>
      <c r="H29463" s="31" t="n">
        <f aca="false">CHOOSE($C$29292,K28872,K28885,K28898,K28911,K28924,K28937,K28950,K28963,K28976,K28989)</f>
        <v>0.1125</v>
      </c>
    </row>
    <row r="29464" customFormat="false" ht="15" hidden="false" customHeight="false" outlineLevel="0" collapsed="false">
      <c r="A29464" s="3" t="s">
        <v>602</v>
      </c>
      <c r="D29464" s="16" t="n">
        <f aca="false">IF(D29462&lt;=$C$29301,$C$29293*D29463,0)</f>
        <v>11.65</v>
      </c>
      <c r="E29464" s="16" t="n">
        <f aca="false">IF(E29462&lt;=$C$29301,$C$29293*E29463,0)</f>
        <v>11.5</v>
      </c>
      <c r="F29464" s="16" t="n">
        <f aca="false">IF(F29462&lt;=$C$29301,$C$29293*F29463,0)</f>
        <v>0</v>
      </c>
      <c r="G29464" s="16" t="n">
        <f aca="false">IF(G29462&lt;=$C$29301,$C$29293*G29463,0)</f>
        <v>0</v>
      </c>
      <c r="H29464" s="16" t="n">
        <f aca="false">IF(H29462&lt;=$C$29301,$C$29293*H29463,0)</f>
        <v>0</v>
      </c>
    </row>
    <row r="29465" customFormat="false" ht="15" hidden="false" customHeight="false" outlineLevel="0" collapsed="false">
      <c r="A29465" s="3" t="s">
        <v>603</v>
      </c>
      <c r="D29465" s="16" t="n">
        <f aca="false">IF(AND($C$29124=0,D29462=$C$29296),$C$29293*$C$29459/100,0)+IF(AND($C$29124=1,D29462=$C$29460),$C$29299,0)</f>
        <v>0</v>
      </c>
      <c r="E29465" s="16" t="n">
        <f aca="false">IF(AND($C$29124=0,E29462=$C$29296),$C$29293*$C$29459/100,0)+IF(AND($C$29124=1,E29462=$C$29460),$C$29299,0)</f>
        <v>0</v>
      </c>
      <c r="F29465" s="16" t="n">
        <f aca="false">IF(AND($C$29124=0,F29462=$C$29296),$C$29293*$C$29459/100,0)+IF(AND($C$29124=1,F29462=$C$29460),$C$29299,0)</f>
        <v>102.875</v>
      </c>
      <c r="G29465" s="16" t="n">
        <f aca="false">IF(AND($C$29124=0,G29462=$C$29296),$C$29293*$C$29459/100,0)+IF(AND($C$29124=1,G29462=$C$29460),$C$29299,0)</f>
        <v>0</v>
      </c>
      <c r="H29465" s="16" t="n">
        <f aca="false">IF(AND($C$29124=0,H29462=$C$29296),$C$29293*$C$29459/100,0)+IF(AND($C$29124=1,H29462=$C$29460),$C$29299,0)</f>
        <v>0</v>
      </c>
      <c r="I29465" s="16" t="n">
        <f aca="false">IF(AND($C$29124=0,I29462=$C$29296),$C$29293*$C$29459/100,0)+IF(AND($C$29124=1,I29462=$C$29460),$C$29299,0)</f>
        <v>0</v>
      </c>
    </row>
    <row r="29466" customFormat="false" ht="15" hidden="false" customHeight="false" outlineLevel="0" collapsed="false">
      <c r="A29466" s="2" t="s">
        <v>604</v>
      </c>
      <c r="C29466" s="17" t="n">
        <f aca="false">-$C$29295</f>
        <v>-98.49</v>
      </c>
      <c r="D29466" s="17" t="n">
        <f aca="false">D29464+D29465</f>
        <v>11.65</v>
      </c>
      <c r="E29466" s="17" t="n">
        <f aca="false">E29464+E29465</f>
        <v>11.5</v>
      </c>
      <c r="F29466" s="17" t="n">
        <f aca="false">F29464+F29465</f>
        <v>102.875</v>
      </c>
      <c r="G29466" s="17" t="n">
        <f aca="false">G29464+G29465</f>
        <v>0</v>
      </c>
      <c r="H29466" s="17" t="n">
        <f aca="false">H29464+H29465</f>
        <v>0</v>
      </c>
      <c r="I29466" s="17" t="n">
        <f aca="false">I29464+I29465</f>
        <v>0</v>
      </c>
    </row>
    <row r="29467" customFormat="false" ht="15" hidden="false" customHeight="false" outlineLevel="0" collapsed="false">
      <c r="A29467" s="3" t="s">
        <v>605</v>
      </c>
      <c r="C29467" s="16" t="n">
        <f aca="false">SUM($C$29464:$I$29464)</f>
        <v>23.15</v>
      </c>
    </row>
    <row r="29468" customFormat="false" ht="15" hidden="false" customHeight="false" outlineLevel="0" collapsed="false">
      <c r="A29468" s="3" t="s">
        <v>606</v>
      </c>
      <c r="C29468" s="16" t="n">
        <f aca="false">SUM($C$29465:$I$29465)</f>
        <v>102.875</v>
      </c>
    </row>
    <row r="29469" customFormat="false" ht="15" hidden="false" customHeight="false" outlineLevel="0" collapsed="false">
      <c r="A29469" s="3" t="s">
        <v>607</v>
      </c>
      <c r="C29469" s="16" t="n">
        <f aca="false">C29467+C29468</f>
        <v>126.025</v>
      </c>
    </row>
    <row r="29470" customFormat="false" ht="15" hidden="false" customHeight="false" outlineLevel="0" collapsed="false">
      <c r="A29470" s="3" t="s">
        <v>608</v>
      </c>
      <c r="C29470" s="16" t="n">
        <f aca="false">C29468-C29293*C29294/100</f>
        <v>4.87500000000001</v>
      </c>
    </row>
    <row r="29471" customFormat="false" ht="15" hidden="false" customHeight="false" outlineLevel="0" collapsed="false">
      <c r="A29471" s="3" t="s">
        <v>609</v>
      </c>
      <c r="C29471" s="16" t="n">
        <f aca="false">C29469-C29295</f>
        <v>27.535</v>
      </c>
    </row>
    <row r="29472" customFormat="false" ht="15" hidden="false" customHeight="false" outlineLevel="0" collapsed="false">
      <c r="A29472" s="2" t="s">
        <v>484</v>
      </c>
      <c r="C29472" s="44" t="n">
        <f aca="false">C29469/C29295</f>
        <v>1.27957153010458</v>
      </c>
    </row>
    <row r="29473" customFormat="false" ht="15" hidden="false" customHeight="false" outlineLevel="0" collapsed="false">
      <c r="A29473" s="2" t="s">
        <v>483</v>
      </c>
      <c r="C29473" s="42" t="n">
        <f aca="false">IF(C29469&lt;=0,-1,IFERROR(IRR($C$29466:$I$29466,MAX(-0.9,C29472^(1/C29460)-1)),IRR($C$29466:$I$29466,0.1)))</f>
        <v>0.0953952025548766</v>
      </c>
    </row>
    <row r="29474" customFormat="false" ht="15" hidden="false" customHeight="false" outlineLevel="0" collapsed="false">
      <c r="A29474" s="3" t="s">
        <v>610</v>
      </c>
      <c r="C29474" s="32" t="n">
        <f aca="false">MAX($G$29068:$K$29068)</f>
        <v>15.7169539568807</v>
      </c>
    </row>
    <row r="29475" customFormat="false" ht="15" hidden="false" customHeight="false" outlineLevel="0" collapsed="false">
      <c r="A29475" s="3" t="s">
        <v>611</v>
      </c>
      <c r="C29475" s="32" t="n">
        <f aca="false">MIN($G$29069:$K$29069)</f>
        <v>0.911755225620542</v>
      </c>
    </row>
    <row r="29476" customFormat="false" ht="15" hidden="false" customHeight="false" outlineLevel="0" collapsed="false">
      <c r="A29476" s="3" t="s">
        <v>612</v>
      </c>
      <c r="C29476" s="16" t="n">
        <f aca="false">SUM($G$28856:$K$28856)</f>
        <v>-307.063853377031</v>
      </c>
    </row>
    <row r="29480" customFormat="false" ht="15" hidden="false" customHeight="false" outlineLevel="0" collapsed="false">
      <c r="A29480" s="9" t="s">
        <v>1175</v>
      </c>
      <c r="B29480" s="10"/>
      <c r="C29480" s="10"/>
      <c r="D29480" s="10"/>
      <c r="E29480" s="10"/>
      <c r="F29480" s="10"/>
      <c r="G29480" s="10"/>
      <c r="H29480" s="10"/>
      <c r="I29480" s="10"/>
      <c r="J29480" s="10"/>
      <c r="K29480" s="10"/>
    </row>
    <row r="29481" customFormat="false" ht="15" hidden="false" customHeight="false" outlineLevel="0" collapsed="false">
      <c r="A29481" s="3" t="s">
        <v>1126</v>
      </c>
      <c r="C29481" s="11" t="n">
        <v>3</v>
      </c>
    </row>
    <row r="29482" customFormat="false" ht="15" hidden="false" customHeight="false" outlineLevel="0" collapsed="false">
      <c r="A29482" s="3" t="s">
        <v>1127</v>
      </c>
      <c r="C29482" s="19" t="n">
        <v>0</v>
      </c>
    </row>
    <row r="29483" customFormat="false" ht="15" hidden="false" customHeight="false" outlineLevel="0" collapsed="false">
      <c r="A29483" s="3" t="s">
        <v>1128</v>
      </c>
      <c r="C29483" s="19" t="n">
        <v>0</v>
      </c>
    </row>
    <row r="29484" customFormat="false" ht="15" hidden="false" customHeight="false" outlineLevel="0" collapsed="false">
      <c r="A29484" s="3" t="s">
        <v>1129</v>
      </c>
      <c r="C29484" s="30" t="n">
        <f aca="false">Sensitivities!$A$52</f>
        <v>0</v>
      </c>
    </row>
    <row r="29485" customFormat="false" ht="15" hidden="false" customHeight="false" outlineLevel="0" collapsed="false">
      <c r="A29485" s="3" t="s">
        <v>1130</v>
      </c>
      <c r="C29485" s="15" t="n">
        <v>0</v>
      </c>
    </row>
    <row r="29487" customFormat="false" ht="15" hidden="false" customHeight="false" outlineLevel="0" collapsed="false">
      <c r="A29487" s="24" t="s">
        <v>301</v>
      </c>
      <c r="B29487" s="25"/>
      <c r="C29487" s="25"/>
      <c r="D29487" s="25"/>
      <c r="E29487" s="25"/>
      <c r="F29487" s="25"/>
      <c r="G29487" s="25"/>
      <c r="H29487" s="25"/>
      <c r="I29487" s="25"/>
      <c r="J29487" s="25"/>
      <c r="K29487" s="25"/>
    </row>
    <row r="29488" customFormat="false" ht="15" hidden="false" customHeight="false" outlineLevel="0" collapsed="false">
      <c r="A29488" s="3" t="s">
        <v>302</v>
      </c>
      <c r="F29488" s="27" t="n">
        <f aca="false">Assumptions!$C$6</f>
        <v>2026</v>
      </c>
      <c r="G29488" s="21" t="n">
        <f aca="false">F29488+1</f>
        <v>2027</v>
      </c>
      <c r="H29488" s="21" t="n">
        <f aca="false">G29488+1</f>
        <v>2028</v>
      </c>
      <c r="I29488" s="21" t="n">
        <f aca="false">H29488+1</f>
        <v>2029</v>
      </c>
      <c r="J29488" s="21" t="n">
        <f aca="false">I29488+1</f>
        <v>2030</v>
      </c>
      <c r="K29488" s="21" t="n">
        <f aca="false">J29488+1</f>
        <v>2031</v>
      </c>
    </row>
    <row r="29489" customFormat="false" ht="15" hidden="false" customHeight="false" outlineLevel="0" collapsed="false">
      <c r="A29489" s="3" t="s">
        <v>303</v>
      </c>
      <c r="G29489" s="21" t="n">
        <f aca="false">G29488-Assumptions!$C$6</f>
        <v>1</v>
      </c>
      <c r="H29489" s="21" t="n">
        <f aca="false">H29488-Assumptions!$C$6</f>
        <v>2</v>
      </c>
      <c r="I29489" s="21" t="n">
        <f aca="false">I29488-Assumptions!$C$6</f>
        <v>3</v>
      </c>
      <c r="J29489" s="21" t="n">
        <f aca="false">J29488-Assumptions!$C$6</f>
        <v>4</v>
      </c>
      <c r="K29489" s="21" t="n">
        <f aca="false">K29488-Assumptions!$C$6</f>
        <v>5</v>
      </c>
    </row>
    <row r="29490" customFormat="false" ht="15" hidden="false" customHeight="false" outlineLevel="0" collapsed="false">
      <c r="A29490" s="3" t="s">
        <v>180</v>
      </c>
      <c r="G29490" s="22" t="n">
        <f aca="false">CHOOSE($C$29481,Assumptions!$G$79,Assumptions!$G$98,Assumptions!$G$117)+$C$29482</f>
        <v>-0.1</v>
      </c>
      <c r="H29490" s="22" t="n">
        <f aca="false">CHOOSE($C$29481,Assumptions!$H$79,Assumptions!$H$98,Assumptions!$H$117)+$C$29482</f>
        <v>-0.07</v>
      </c>
      <c r="I29490" s="22" t="n">
        <f aca="false">CHOOSE($C$29481,Assumptions!$I$79,Assumptions!$I$98,Assumptions!$I$117)+$C$29482</f>
        <v>-0.03</v>
      </c>
      <c r="J29490" s="22" t="n">
        <f aca="false">CHOOSE($C$29481,Assumptions!$J$79,Assumptions!$J$98,Assumptions!$J$117)+$C$29482</f>
        <v>0</v>
      </c>
      <c r="K29490" s="22" t="n">
        <f aca="false">CHOOSE($C$29481,Assumptions!$K$79,Assumptions!$K$98,Assumptions!$K$117)+$C$29482</f>
        <v>0.01</v>
      </c>
    </row>
    <row r="29491" customFormat="false" ht="15" hidden="false" customHeight="false" outlineLevel="0" collapsed="false">
      <c r="A29491" s="3" t="s">
        <v>181</v>
      </c>
      <c r="G29491" s="22" t="n">
        <f aca="false">CHOOSE($C$29481,Assumptions!$G$80,Assumptions!$G$99,Assumptions!$G$118)</f>
        <v>0.533920660818678</v>
      </c>
      <c r="H29491" s="22" t="n">
        <f aca="false">CHOOSE($C$29481,Assumptions!$H$80,Assumptions!$H$99,Assumptions!$H$118)</f>
        <v>0.503920660818678</v>
      </c>
      <c r="I29491" s="22" t="n">
        <f aca="false">CHOOSE($C$29481,Assumptions!$I$80,Assumptions!$I$99,Assumptions!$I$118)</f>
        <v>0.498920660818678</v>
      </c>
      <c r="J29491" s="22" t="n">
        <f aca="false">CHOOSE($C$29481,Assumptions!$J$80,Assumptions!$J$99,Assumptions!$J$118)</f>
        <v>0.503920660818678</v>
      </c>
      <c r="K29491" s="22" t="n">
        <f aca="false">CHOOSE($C$29481,Assumptions!$K$80,Assumptions!$K$99,Assumptions!$K$118)</f>
        <v>0.513920660818678</v>
      </c>
    </row>
    <row r="29492" customFormat="false" ht="15" hidden="false" customHeight="false" outlineLevel="0" collapsed="false">
      <c r="A29492" s="3" t="s">
        <v>182</v>
      </c>
      <c r="G29492" s="22" t="n">
        <f aca="false">CHOOSE($C$29481,Assumptions!$G$81,Assumptions!$G$100,Assumptions!$G$119)+$C$29483</f>
        <v>0.46</v>
      </c>
      <c r="H29492" s="22" t="n">
        <f aca="false">CHOOSE($C$29481,Assumptions!$H$81,Assumptions!$H$100,Assumptions!$H$119)+$C$29483</f>
        <v>0.43</v>
      </c>
      <c r="I29492" s="22" t="n">
        <f aca="false">CHOOSE($C$29481,Assumptions!$I$81,Assumptions!$I$100,Assumptions!$I$119)+$C$29483</f>
        <v>0.425</v>
      </c>
      <c r="J29492" s="22" t="n">
        <f aca="false">CHOOSE($C$29481,Assumptions!$J$81,Assumptions!$J$100,Assumptions!$J$119)+$C$29483</f>
        <v>0.43</v>
      </c>
      <c r="K29492" s="22" t="n">
        <f aca="false">CHOOSE($C$29481,Assumptions!$K$81,Assumptions!$K$100,Assumptions!$K$119)+$C$29483</f>
        <v>0.44</v>
      </c>
    </row>
    <row r="29493" customFormat="false" ht="15" hidden="false" customHeight="false" outlineLevel="0" collapsed="false">
      <c r="A29493" s="24" t="s">
        <v>304</v>
      </c>
      <c r="B29493" s="25"/>
      <c r="C29493" s="25"/>
      <c r="D29493" s="25"/>
      <c r="E29493" s="25"/>
      <c r="F29493" s="25"/>
      <c r="G29493" s="25"/>
      <c r="H29493" s="25"/>
      <c r="I29493" s="25"/>
      <c r="J29493" s="25"/>
      <c r="K29493" s="25"/>
    </row>
    <row r="29494" customFormat="false" ht="15" hidden="false" customHeight="false" outlineLevel="0" collapsed="false">
      <c r="A29494" s="2" t="s">
        <v>275</v>
      </c>
      <c r="F29494" s="28" t="n">
        <f aca="false">'Historical Financials'!G25</f>
        <v>498.291</v>
      </c>
      <c r="G29494" s="17" t="n">
        <f aca="false">F29494*(1+G29490)</f>
        <v>448.4619</v>
      </c>
      <c r="H29494" s="17" t="n">
        <f aca="false">G29494*(1+H29490)</f>
        <v>417.069567</v>
      </c>
      <c r="I29494" s="17" t="n">
        <f aca="false">H29494*(1+I29490)</f>
        <v>404.55747999</v>
      </c>
      <c r="J29494" s="17" t="n">
        <f aca="false">I29494*(1+J29490)</f>
        <v>404.55747999</v>
      </c>
      <c r="K29494" s="17" t="n">
        <f aca="false">J29494*(1+K29490)</f>
        <v>408.6030547899</v>
      </c>
    </row>
    <row r="29495" customFormat="false" ht="15" hidden="false" customHeight="false" outlineLevel="0" collapsed="false">
      <c r="A29495" s="3" t="s">
        <v>276</v>
      </c>
      <c r="G29495" s="16" t="n">
        <f aca="false">G29494*(1-G29491)</f>
        <v>209.018826</v>
      </c>
      <c r="H29495" s="16" t="n">
        <f aca="false">H29494*(1-H29491)</f>
        <v>206.89959519</v>
      </c>
      <c r="I29495" s="16" t="n">
        <f aca="false">I29494*(1-I29491)</f>
        <v>202.71539473425</v>
      </c>
      <c r="J29495" s="16" t="n">
        <f aca="false">J29494*(1-J29491)</f>
        <v>200.6926073343</v>
      </c>
      <c r="K29495" s="16" t="n">
        <f aca="false">K29494*(1-K29491)</f>
        <v>198.613502859744</v>
      </c>
    </row>
    <row r="29496" customFormat="false" ht="15" hidden="false" customHeight="false" outlineLevel="0" collapsed="false">
      <c r="A29496" s="2" t="s">
        <v>277</v>
      </c>
      <c r="G29496" s="17" t="n">
        <f aca="false">G29494-G29495</f>
        <v>239.443074</v>
      </c>
      <c r="H29496" s="17" t="n">
        <f aca="false">H29494-H29495</f>
        <v>210.16997181</v>
      </c>
      <c r="I29496" s="17" t="n">
        <f aca="false">I29494-I29495</f>
        <v>201.84208525575</v>
      </c>
      <c r="J29496" s="17" t="n">
        <f aca="false">J29494-J29495</f>
        <v>203.8648726557</v>
      </c>
      <c r="K29496" s="17" t="n">
        <f aca="false">K29494-K29495</f>
        <v>209.989551930156</v>
      </c>
    </row>
    <row r="29497" customFormat="false" ht="15" hidden="false" customHeight="false" outlineLevel="0" collapsed="false">
      <c r="A29497" s="3" t="s">
        <v>305</v>
      </c>
      <c r="G29497" s="16" t="n">
        <f aca="false">G29496-G29498</f>
        <v>33.1505999999999</v>
      </c>
      <c r="H29497" s="16" t="n">
        <f aca="false">H29496-H29498</f>
        <v>30.830058</v>
      </c>
      <c r="I29497" s="16" t="n">
        <f aca="false">I29496-I29498</f>
        <v>29.90515626</v>
      </c>
      <c r="J29497" s="16" t="n">
        <f aca="false">J29496-J29498</f>
        <v>29.90515626</v>
      </c>
      <c r="K29497" s="16" t="n">
        <f aca="false">K29496-K29498</f>
        <v>30.2042078226</v>
      </c>
    </row>
    <row r="29498" customFormat="false" ht="15" hidden="false" customHeight="false" outlineLevel="0" collapsed="false">
      <c r="A29498" s="2" t="s">
        <v>306</v>
      </c>
      <c r="G29498" s="17" t="n">
        <f aca="false">G29494*G29492</f>
        <v>206.292474</v>
      </c>
      <c r="H29498" s="17" t="n">
        <f aca="false">H29494*H29492</f>
        <v>179.33991381</v>
      </c>
      <c r="I29498" s="17" t="n">
        <f aca="false">I29494*I29492</f>
        <v>171.93692899575</v>
      </c>
      <c r="J29498" s="17" t="n">
        <f aca="false">J29494*J29492</f>
        <v>173.9597163957</v>
      </c>
      <c r="K29498" s="17" t="n">
        <f aca="false">K29494*K29492</f>
        <v>179.785344107556</v>
      </c>
    </row>
    <row r="29499" customFormat="false" ht="15" hidden="false" customHeight="false" outlineLevel="0" collapsed="false">
      <c r="A29499" s="3" t="s">
        <v>307</v>
      </c>
      <c r="G29499" s="16" t="n">
        <f aca="false">G29494*'Historical Financials'!G30/'Historical Financials'!G25</f>
        <v>166.7637</v>
      </c>
      <c r="H29499" s="16" t="n">
        <f aca="false">H29494*'Historical Financials'!G30/'Historical Financials'!G25</f>
        <v>155.090241</v>
      </c>
      <c r="I29499" s="16" t="n">
        <f aca="false">I29494*'Historical Financials'!G30/'Historical Financials'!G25</f>
        <v>150.43753377</v>
      </c>
      <c r="J29499" s="16" t="n">
        <f aca="false">J29494*'Historical Financials'!G30/'Historical Financials'!G25</f>
        <v>150.43753377</v>
      </c>
      <c r="K29499" s="16" t="n">
        <f aca="false">K29494*'Historical Financials'!G30/'Historical Financials'!G25</f>
        <v>151.9419091077</v>
      </c>
    </row>
    <row r="29500" customFormat="false" ht="15" hidden="false" customHeight="false" outlineLevel="0" collapsed="false">
      <c r="A29500" s="3" t="s">
        <v>308</v>
      </c>
      <c r="G29500" s="16" t="n">
        <f aca="false">G29494*'Historical Financials'!G31/'Historical Financials'!G25</f>
        <v>0</v>
      </c>
      <c r="H29500" s="16" t="n">
        <f aca="false">H29494*'Historical Financials'!G31/'Historical Financials'!G25</f>
        <v>0</v>
      </c>
      <c r="I29500" s="16" t="n">
        <f aca="false">I29494*'Historical Financials'!G31/'Historical Financials'!G25</f>
        <v>0</v>
      </c>
      <c r="J29500" s="16" t="n">
        <f aca="false">J29494*'Historical Financials'!G31/'Historical Financials'!G25</f>
        <v>0</v>
      </c>
      <c r="K29500" s="16" t="n">
        <f aca="false">K29494*'Historical Financials'!G31/'Historical Financials'!G25</f>
        <v>0</v>
      </c>
    </row>
    <row r="29501" customFormat="false" ht="15" hidden="false" customHeight="false" outlineLevel="0" collapsed="false">
      <c r="A29501" s="2" t="s">
        <v>309</v>
      </c>
      <c r="G29501" s="17" t="n">
        <f aca="false">G29498-G29499-G29500</f>
        <v>39.528774</v>
      </c>
      <c r="H29501" s="17" t="n">
        <f aca="false">H29498-H29499-H29500</f>
        <v>24.24967281</v>
      </c>
      <c r="I29501" s="17" t="n">
        <f aca="false">I29498-I29499-I29500</f>
        <v>21.49939522575</v>
      </c>
      <c r="J29501" s="17" t="n">
        <f aca="false">J29498-J29499-J29500</f>
        <v>23.5221826257</v>
      </c>
      <c r="K29501" s="17" t="n">
        <f aca="false">K29498-K29499-K29500</f>
        <v>27.843434999856</v>
      </c>
    </row>
    <row r="29502" customFormat="false" ht="15" hidden="false" customHeight="false" outlineLevel="0" collapsed="false">
      <c r="A29502" s="3" t="s">
        <v>310</v>
      </c>
      <c r="G29502" s="16" t="n">
        <f aca="false">G29528+G29541+G29554+G29567+G29580+G29593+G29606+G29619+G29632+G29645</f>
        <v>194.5679854</v>
      </c>
      <c r="H29502" s="16" t="n">
        <f aca="false">H29528+H29541+H29554+H29567+H29580+H29593+H29606+H29619+H29632+H29645</f>
        <v>193.3700704</v>
      </c>
      <c r="I29502" s="16" t="n">
        <f aca="false">I29528+I29541+I29554+I29567+I29580+I29593+I29606+I29619+I29632+I29645</f>
        <v>191.11925836865</v>
      </c>
      <c r="J29502" s="16" t="n">
        <f aca="false">J29528+J29541+J29554+J29567+J29580+J29593+J29606+J29619+J29632+J29645</f>
        <v>190.64925836865</v>
      </c>
      <c r="K29502" s="16" t="n">
        <f aca="false">K29528+K29541+K29554+K29567+K29580+K29593+K29606+K29619+K29632+K29645</f>
        <v>190.17925836865</v>
      </c>
    </row>
    <row r="29503" customFormat="false" ht="15" hidden="false" customHeight="false" outlineLevel="0" collapsed="false">
      <c r="A29503" s="3" t="s">
        <v>311</v>
      </c>
      <c r="G29503" s="16" t="n">
        <f aca="false">G29529+G29542+G29555+G29568+G29581+G29594+G29607+G29620+G29633+G29646</f>
        <v>0</v>
      </c>
      <c r="H29503" s="16" t="n">
        <f aca="false">H29529+H29542+H29555+H29568+H29581+H29594+H29607+H29620+H29633+H29646</f>
        <v>0</v>
      </c>
      <c r="I29503" s="16" t="n">
        <f aca="false">I29529+I29542+I29555+I29568+I29581+I29594+I29607+I29620+I29633+I29646</f>
        <v>0</v>
      </c>
      <c r="J29503" s="16" t="n">
        <f aca="false">J29529+J29542+J29555+J29568+J29581+J29594+J29607+J29620+J29633+J29646</f>
        <v>0</v>
      </c>
      <c r="K29503" s="16" t="n">
        <f aca="false">K29529+K29542+K29555+K29568+K29581+K29594+K29607+K29620+K29633+K29646</f>
        <v>0</v>
      </c>
    </row>
    <row r="29504" customFormat="false" ht="15" hidden="false" customHeight="false" outlineLevel="0" collapsed="false">
      <c r="A29504" s="3" t="s">
        <v>283</v>
      </c>
      <c r="G29504" s="16" t="n">
        <f aca="false">G29502+G29503</f>
        <v>194.5679854</v>
      </c>
      <c r="H29504" s="16" t="n">
        <f aca="false">H29502+H29503</f>
        <v>193.3700704</v>
      </c>
      <c r="I29504" s="16" t="n">
        <f aca="false">I29502+I29503</f>
        <v>191.11925836865</v>
      </c>
      <c r="J29504" s="16" t="n">
        <f aca="false">J29502+J29503</f>
        <v>190.64925836865</v>
      </c>
      <c r="K29504" s="16" t="n">
        <f aca="false">K29502+K29503</f>
        <v>190.17925836865</v>
      </c>
    </row>
    <row r="29505" customFormat="false" ht="15" hidden="false" customHeight="false" outlineLevel="0" collapsed="false">
      <c r="A29505" s="2" t="s">
        <v>284</v>
      </c>
      <c r="G29505" s="17" t="n">
        <f aca="false">G29501-G29504</f>
        <v>-155.0392114</v>
      </c>
      <c r="H29505" s="17" t="n">
        <f aca="false">H29501-H29504</f>
        <v>-169.12039759</v>
      </c>
      <c r="I29505" s="17" t="n">
        <f aca="false">I29501-I29504</f>
        <v>-169.6198631429</v>
      </c>
      <c r="J29505" s="17" t="n">
        <f aca="false">J29501-J29504</f>
        <v>-167.12707574295</v>
      </c>
      <c r="K29505" s="17" t="n">
        <f aca="false">K29501-K29504</f>
        <v>-162.335823368794</v>
      </c>
    </row>
    <row r="29506" customFormat="false" ht="15" hidden="false" customHeight="false" outlineLevel="0" collapsed="false">
      <c r="A29506" s="3" t="s">
        <v>312</v>
      </c>
      <c r="G29506" s="16" t="n">
        <f aca="false">MAX(0,G29505)*Assumptions!$C$9</f>
        <v>0</v>
      </c>
      <c r="H29506" s="16" t="n">
        <f aca="false">MAX(0,H29505)*Assumptions!$C$9</f>
        <v>0</v>
      </c>
      <c r="I29506" s="16" t="n">
        <f aca="false">MAX(0,I29505)*Assumptions!$C$9</f>
        <v>0</v>
      </c>
      <c r="J29506" s="16" t="n">
        <f aca="false">MAX(0,J29505)*Assumptions!$C$9</f>
        <v>0</v>
      </c>
      <c r="K29506" s="16" t="n">
        <f aca="false">MAX(0,K29505)*Assumptions!$C$9</f>
        <v>0</v>
      </c>
    </row>
    <row r="29507" customFormat="false" ht="15" hidden="false" customHeight="false" outlineLevel="0" collapsed="false">
      <c r="A29507" s="2" t="s">
        <v>313</v>
      </c>
      <c r="G29507" s="17" t="n">
        <f aca="false">G29505-G29506</f>
        <v>-155.0392114</v>
      </c>
      <c r="H29507" s="17" t="n">
        <f aca="false">H29505-H29506</f>
        <v>-169.12039759</v>
      </c>
      <c r="I29507" s="17" t="n">
        <f aca="false">I29505-I29506</f>
        <v>-169.6198631429</v>
      </c>
      <c r="J29507" s="17" t="n">
        <f aca="false">J29505-J29506</f>
        <v>-167.12707574295</v>
      </c>
      <c r="K29507" s="17" t="n">
        <f aca="false">K29505-K29506</f>
        <v>-162.335823368794</v>
      </c>
    </row>
    <row r="29508" customFormat="false" ht="15" hidden="false" customHeight="false" outlineLevel="0" collapsed="false">
      <c r="A29508" s="24" t="s">
        <v>314</v>
      </c>
      <c r="B29508" s="25"/>
      <c r="C29508" s="25"/>
      <c r="D29508" s="25"/>
      <c r="E29508" s="25"/>
      <c r="F29508" s="25"/>
      <c r="G29508" s="25"/>
      <c r="H29508" s="25"/>
      <c r="I29508" s="25"/>
      <c r="J29508" s="25"/>
      <c r="K29508" s="25"/>
    </row>
    <row r="29509" customFormat="false" ht="15" hidden="false" customHeight="false" outlineLevel="0" collapsed="false">
      <c r="A29509" s="3" t="s">
        <v>184</v>
      </c>
      <c r="G29509" s="16" t="n">
        <f aca="false">G29494*CHOOSE($C$29481,Assumptions!$C$83,Assumptions!$C$102,Assumptions!$C$121)</f>
        <v>58.300047</v>
      </c>
      <c r="H29509" s="16" t="n">
        <f aca="false">H29494*CHOOSE($C$29481,Assumptions!$C$83,Assumptions!$C$102,Assumptions!$C$121)</f>
        <v>54.21904371</v>
      </c>
      <c r="I29509" s="16" t="n">
        <f aca="false">I29494*CHOOSE($C$29481,Assumptions!$C$83,Assumptions!$C$102,Assumptions!$C$121)</f>
        <v>52.5924723987</v>
      </c>
      <c r="J29509" s="16" t="n">
        <f aca="false">J29494*CHOOSE($C$29481,Assumptions!$C$83,Assumptions!$C$102,Assumptions!$C$121)</f>
        <v>52.5924723987</v>
      </c>
      <c r="K29509" s="16" t="n">
        <f aca="false">K29494*CHOOSE($C$29481,Assumptions!$C$83,Assumptions!$C$102,Assumptions!$C$121)</f>
        <v>53.118397122687</v>
      </c>
    </row>
    <row r="29510" customFormat="false" ht="15" hidden="false" customHeight="false" outlineLevel="0" collapsed="false">
      <c r="A29510" s="3" t="s">
        <v>315</v>
      </c>
      <c r="G29510" s="16" t="n">
        <f aca="false">CHOOSE($C$29481,Assumptions!$C$84,Assumptions!$C$103,Assumptions!$C$122)*(G29494-F29494)+CHOOSE($C$29481,Assumptions!$C$85,Assumptions!$C$104,Assumptions!$C$123)*G29494</f>
        <v>0</v>
      </c>
      <c r="H29510" s="16" t="n">
        <f aca="false">CHOOSE($C$29481,Assumptions!$C$84,Assumptions!$C$103,Assumptions!$C$122)*(H29494-G29494)+CHOOSE($C$29481,Assumptions!$C$85,Assumptions!$C$104,Assumptions!$C$123)*H29494</f>
        <v>0</v>
      </c>
      <c r="I29510" s="16" t="n">
        <f aca="false">CHOOSE($C$29481,Assumptions!$C$84,Assumptions!$C$103,Assumptions!$C$122)*(I29494-H29494)+CHOOSE($C$29481,Assumptions!$C$85,Assumptions!$C$104,Assumptions!$C$123)*I29494</f>
        <v>0</v>
      </c>
      <c r="J29510" s="16" t="n">
        <f aca="false">CHOOSE($C$29481,Assumptions!$C$84,Assumptions!$C$103,Assumptions!$C$122)*(J29494-I29494)+CHOOSE($C$29481,Assumptions!$C$85,Assumptions!$C$104,Assumptions!$C$123)*J29494</f>
        <v>0</v>
      </c>
      <c r="K29510" s="16" t="n">
        <f aca="false">CHOOSE($C$29481,Assumptions!$C$84,Assumptions!$C$103,Assumptions!$C$122)*(K29494-J29494)+CHOOSE($C$29481,Assumptions!$C$85,Assumptions!$C$104,Assumptions!$C$123)*K29494</f>
        <v>0</v>
      </c>
    </row>
    <row r="29511" customFormat="false" ht="15" hidden="false" customHeight="false" outlineLevel="0" collapsed="false">
      <c r="A29511" s="2" t="s">
        <v>316</v>
      </c>
      <c r="G29511" s="17" t="n">
        <f aca="false">G29507+G29499+G29500+G29503-G29509-G29510</f>
        <v>-46.5755584</v>
      </c>
      <c r="H29511" s="17" t="n">
        <f aca="false">H29507+H29499+H29500+H29503-H29509-H29510</f>
        <v>-68.2492003</v>
      </c>
      <c r="I29511" s="17" t="n">
        <f aca="false">I29507+I29499+I29500+I29503-I29509-I29510</f>
        <v>-71.7748017716</v>
      </c>
      <c r="J29511" s="17" t="n">
        <f aca="false">J29507+J29499+J29500+J29503-J29509-J29510</f>
        <v>-69.28201437165</v>
      </c>
      <c r="K29511" s="17" t="n">
        <f aca="false">K29507+K29499+K29500+K29503-K29509-K29510</f>
        <v>-63.512311383781</v>
      </c>
    </row>
    <row r="29513" customFormat="false" ht="15" hidden="false" customHeight="false" outlineLevel="0" collapsed="false">
      <c r="A29513" s="24" t="s">
        <v>318</v>
      </c>
      <c r="B29513" s="25"/>
      <c r="C29513" s="25"/>
      <c r="D29513" s="25"/>
      <c r="E29513" s="25"/>
      <c r="F29513" s="25"/>
      <c r="G29513" s="25"/>
      <c r="H29513" s="25"/>
      <c r="I29513" s="25"/>
      <c r="J29513" s="25"/>
      <c r="K29513" s="25"/>
    </row>
    <row r="29514" customFormat="false" ht="15" hidden="false" customHeight="false" outlineLevel="0" collapsed="false">
      <c r="A29514" s="3" t="s">
        <v>319</v>
      </c>
      <c r="G29514" s="30" t="n">
        <f aca="false">Assumptions!$G$53</f>
        <v>0.039</v>
      </c>
      <c r="H29514" s="30" t="n">
        <f aca="false">Assumptions!$H$53</f>
        <v>0.0375</v>
      </c>
      <c r="I29514" s="30" t="n">
        <f aca="false">Assumptions!$I$53</f>
        <v>0.035</v>
      </c>
      <c r="J29514" s="30" t="n">
        <f aca="false">Assumptions!$J$53</f>
        <v>0.035</v>
      </c>
      <c r="K29514" s="30" t="n">
        <f aca="false">Assumptions!$K$53</f>
        <v>0.035</v>
      </c>
    </row>
    <row r="29515" customFormat="false" ht="15" hidden="false" customHeight="false" outlineLevel="0" collapsed="false">
      <c r="A29515" s="3" t="s">
        <v>320</v>
      </c>
      <c r="C29515" s="31" t="n">
        <f aca="false">CHOOSE($C$29481,Assumptions!$C$86,Assumptions!$C$105,Assumptions!$C$124)+$C$29484</f>
        <v>0.03</v>
      </c>
    </row>
    <row r="29516" customFormat="false" ht="15" hidden="false" customHeight="false" outlineLevel="0" collapsed="false">
      <c r="A29516" s="3" t="s">
        <v>321</v>
      </c>
      <c r="C29516" s="31" t="n">
        <f aca="false">CHOOSE($C$29481,Assumptions!$C$87,Assumptions!$C$106,Assumptions!$C$125)</f>
        <v>0.12</v>
      </c>
    </row>
    <row r="29517" customFormat="false" ht="15" hidden="false" customHeight="false" outlineLevel="0" collapsed="false">
      <c r="A29517" s="3" t="s">
        <v>322</v>
      </c>
      <c r="C29517" s="32" t="n">
        <f aca="false">CHOOSE($C$29481,Assumptions!$C$88,Assumptions!$C$107,Assumptions!$C$126)</f>
        <v>9</v>
      </c>
    </row>
    <row r="29518" customFormat="false" ht="15" hidden="false" customHeight="false" outlineLevel="0" collapsed="false">
      <c r="A29518" s="3" t="s">
        <v>323</v>
      </c>
      <c r="C29518" s="32" t="n">
        <f aca="false">CHOOSE($C$29481,Assumptions!$C$89,Assumptions!$C$108,Assumptions!$C$127)</f>
        <v>1.75</v>
      </c>
    </row>
    <row r="29519" customFormat="false" ht="15" hidden="false" customHeight="false" outlineLevel="0" collapsed="false">
      <c r="A29519" s="3" t="s">
        <v>324</v>
      </c>
      <c r="G29519" s="16" t="n">
        <f aca="false">G29524+G29537+G29550+G29563+G29576+G29589+G29602+G29615+G29628+G29641</f>
        <v>2625.934</v>
      </c>
      <c r="H29519" s="16" t="n">
        <f aca="false">H29524+H29537+H29550+H29563+H29576+H29589+H29602+H29615+H29628+H29641</f>
        <v>2621.934</v>
      </c>
      <c r="I29519" s="16" t="n">
        <f aca="false">I29524+I29537+I29550+I29563+I29576+I29589+I29602+I29615+I29628+I29641</f>
        <v>2602.8887587</v>
      </c>
      <c r="J29519" s="16" t="n">
        <f aca="false">J29524+J29537+J29550+J29563+J29576+J29589+J29602+J29615+J29628+J29641</f>
        <v>2598.8887587</v>
      </c>
      <c r="K29519" s="16" t="n">
        <f aca="false">K29524+K29537+K29550+K29563+K29576+K29589+K29602+K29615+K29628+K29641</f>
        <v>2594.8887587</v>
      </c>
    </row>
    <row r="29520" customFormat="false" ht="15" hidden="false" customHeight="false" outlineLevel="0" collapsed="false">
      <c r="A29520" s="3" t="s">
        <v>325</v>
      </c>
      <c r="G29520" s="16" t="n">
        <f aca="false">F29712</f>
        <v>37.87</v>
      </c>
      <c r="H29520" s="16" t="n">
        <f aca="false">G29712</f>
        <v>87.2944416</v>
      </c>
      <c r="I29520" s="16" t="n">
        <f aca="false">H29712</f>
        <v>0</v>
      </c>
      <c r="J29520" s="16" t="n">
        <f aca="false">I29712</f>
        <v>-75.7748017716</v>
      </c>
      <c r="K29520" s="16" t="n">
        <f aca="false">J29712</f>
        <v>-149.05681614325</v>
      </c>
    </row>
    <row r="29521" customFormat="false" ht="15" hidden="false" customHeight="false" outlineLevel="0" collapsed="false">
      <c r="A29521" s="3" t="s">
        <v>326</v>
      </c>
      <c r="G29521" s="16" t="n">
        <f aca="false">G29524*IF(G29525=1,$C$29516,IF(Assumptions!$I$57=1,MAX(G29514,Assumptions!$G$57)+Assumptions!$F$57+$C$29515,Assumptions!$E$57))+G29537*IF(G29538=1,$C$29516,IF(Assumptions!$I$58=1,MAX(G29514,Assumptions!$G$58)+Assumptions!$F$58+$C$29515,Assumptions!$E$58))+G29550*IF(G29551=1,$C$29516,IF(Assumptions!$I$59=1,MAX(G29514,Assumptions!$G$59)+Assumptions!$F$59+$C$29515,Assumptions!$E$59))+G29563*IF(G29564=1,$C$29516,IF(Assumptions!$I$60=1,MAX(G29514,Assumptions!$G$60)+Assumptions!$F$60+$C$29515,Assumptions!$E$60))+G29576*IF(G29577=1,$C$29516,IF(Assumptions!$I$61=1,MAX(G29514,Assumptions!$G$61)+Assumptions!$F$61+$C$29515,Assumptions!$E$61))+G29589*IF(G29590=1,$C$29516,IF(Assumptions!$I$62=1,MAX(G29514,Assumptions!$G$62)+Assumptions!$F$62+$C$29515,Assumptions!$E$62))+G29602*IF(G29603=1,$C$29516,IF(Assumptions!$I$63=1,MAX(G29514,Assumptions!$G$63)+Assumptions!$F$63+$C$29515,Assumptions!$E$63))+G29615*IF(G29616=1,$C$29516,IF(Assumptions!$I$64=1,MAX(G29514,Assumptions!$G$64)+Assumptions!$F$64+$C$29515,Assumptions!$E$64))+G29628*IF(G29629=1,$C$29516,IF(Assumptions!$I$65=1,MAX(G29514,Assumptions!$G$65)+Assumptions!$F$65+$C$29515,Assumptions!$E$65))+G29641*IF(G29642=1,$C$29516,IF(Assumptions!$I$66=1,MAX(G29514,Assumptions!$G$66)+Assumptions!$F$66+$C$29515,Assumptions!$E$66))</f>
        <v>194.5679854</v>
      </c>
      <c r="H29521" s="16" t="n">
        <f aca="false">H29524*IF(OR(H29525=1,G29834=1),$C$29516,IF(Assumptions!$I$57=1,MAX(H29514,Assumptions!$G$57)+Assumptions!$F$57+$C$29515,Assumptions!$E$57))+H29537*IF(OR(H29538=1,G29835=1),$C$29516,IF(Assumptions!$I$58=1,MAX(H29514,Assumptions!$G$58)+Assumptions!$F$58+$C$29515,Assumptions!$E$58))+H29550*IF(OR(H29551=1,G29836=1),$C$29516,IF(Assumptions!$I$59=1,MAX(H29514,Assumptions!$G$59)+Assumptions!$F$59+$C$29515,Assumptions!$E$59))+H29563*IF(OR(H29564=1,G29837=1),$C$29516,IF(Assumptions!$I$60=1,MAX(H29514,Assumptions!$G$60)+Assumptions!$F$60+$C$29515,Assumptions!$E$60))+H29576*IF(OR(H29577=1,G29838=1),$C$29516,IF(Assumptions!$I$61=1,MAX(H29514,Assumptions!$G$61)+Assumptions!$F$61+$C$29515,Assumptions!$E$61))+H29589*IF(OR(H29590=1,G29839=1),$C$29516,IF(Assumptions!$I$62=1,MAX(H29514,Assumptions!$G$62)+Assumptions!$F$62+$C$29515,Assumptions!$E$62))+H29602*IF(OR(H29603=1,G29840=1),$C$29516,IF(Assumptions!$I$63=1,MAX(H29514,Assumptions!$G$63)+Assumptions!$F$63+$C$29515,Assumptions!$E$63))+H29615*IF(OR(H29616=1,G29841=1),$C$29516,IF(Assumptions!$I$64=1,MAX(H29514,Assumptions!$G$64)+Assumptions!$F$64+$C$29515,Assumptions!$E$64))+H29628*IF(OR(H29629=1,G29842=1),$C$29516,IF(Assumptions!$I$65=1,MAX(H29514,Assumptions!$G$65)+Assumptions!$F$65+$C$29515,Assumptions!$E$65))+H29641*IF(OR(H29642=1,G29843=1),$C$29516,IF(Assumptions!$I$66=1,MAX(H29514,Assumptions!$G$66)+Assumptions!$F$66+$C$29515,Assumptions!$E$66))</f>
        <v>242.5450704</v>
      </c>
      <c r="I29521" s="16" t="n">
        <f aca="false">I29524*IF(OR(I29525=1,H29834=1),$C$29516,IF(Assumptions!$I$57=1,MAX(I29514,Assumptions!$G$57)+Assumptions!$F$57+$C$29515,Assumptions!$E$57))+I29537*IF(OR(I29538=1,H29835=1),$C$29516,IF(Assumptions!$I$58=1,MAX(I29514,Assumptions!$G$58)+Assumptions!$F$58+$C$29515,Assumptions!$E$58))+I29550*IF(OR(I29551=1,H29836=1),$C$29516,IF(Assumptions!$I$59=1,MAX(I29514,Assumptions!$G$59)+Assumptions!$F$59+$C$29515,Assumptions!$E$59))+I29563*IF(OR(I29564=1,H29837=1),$C$29516,IF(Assumptions!$I$60=1,MAX(I29514,Assumptions!$G$60)+Assumptions!$F$60+$C$29515,Assumptions!$E$60))+I29576*IF(OR(I29577=1,H29838=1),$C$29516,IF(Assumptions!$I$61=1,MAX(I29514,Assumptions!$G$61)+Assumptions!$F$61+$C$29515,Assumptions!$E$61))+I29589*IF(OR(I29590=1,H29839=1),$C$29516,IF(Assumptions!$I$62=1,MAX(I29514,Assumptions!$G$62)+Assumptions!$F$62+$C$29515,Assumptions!$E$62))+I29602*IF(OR(I29603=1,H29840=1),$C$29516,IF(Assumptions!$I$63=1,MAX(I29514,Assumptions!$G$63)+Assumptions!$F$63+$C$29515,Assumptions!$E$63))+I29615*IF(OR(I29616=1,H29841=1),$C$29516,IF(Assumptions!$I$64=1,MAX(I29514,Assumptions!$G$64)+Assumptions!$F$64+$C$29515,Assumptions!$E$64))+I29628*IF(OR(I29629=1,H29842=1),$C$29516,IF(Assumptions!$I$65=1,MAX(I29514,Assumptions!$G$65)+Assumptions!$F$65+$C$29515,Assumptions!$E$65))+I29641*IF(OR(I29642=1,H29843=1),$C$29516,IF(Assumptions!$I$66=1,MAX(I29514,Assumptions!$G$66)+Assumptions!$F$66+$C$29515,Assumptions!$E$66))</f>
        <v>208.30675836865</v>
      </c>
      <c r="J29521" s="16" t="n">
        <f aca="false">J29524*IF(OR(J29525=1,I29834=1),$C$29516,IF(Assumptions!$I$57=1,MAX(J29514,Assumptions!$G$57)+Assumptions!$F$57+$C$29515,Assumptions!$E$57))+J29537*IF(OR(J29538=1,I29835=1),$C$29516,IF(Assumptions!$I$58=1,MAX(J29514,Assumptions!$G$58)+Assumptions!$F$58+$C$29515,Assumptions!$E$58))+J29550*IF(OR(J29551=1,I29836=1),$C$29516,IF(Assumptions!$I$59=1,MAX(J29514,Assumptions!$G$59)+Assumptions!$F$59+$C$29515,Assumptions!$E$59))+J29563*IF(OR(J29564=1,I29837=1),$C$29516,IF(Assumptions!$I$60=1,MAX(J29514,Assumptions!$G$60)+Assumptions!$F$60+$C$29515,Assumptions!$E$60))+J29576*IF(OR(J29577=1,I29838=1),$C$29516,IF(Assumptions!$I$61=1,MAX(J29514,Assumptions!$G$61)+Assumptions!$F$61+$C$29515,Assumptions!$E$61))+J29589*IF(OR(J29590=1,I29839=1),$C$29516,IF(Assumptions!$I$62=1,MAX(J29514,Assumptions!$G$62)+Assumptions!$F$62+$C$29515,Assumptions!$E$62))+J29602*IF(OR(J29603=1,I29840=1),$C$29516,IF(Assumptions!$I$63=1,MAX(J29514,Assumptions!$G$63)+Assumptions!$F$63+$C$29515,Assumptions!$E$63))+J29615*IF(OR(J29616=1,I29841=1),$C$29516,IF(Assumptions!$I$64=1,MAX(J29514,Assumptions!$G$64)+Assumptions!$F$64+$C$29515,Assumptions!$E$64))+J29628*IF(OR(J29629=1,I29842=1),$C$29516,IF(Assumptions!$I$65=1,MAX(J29514,Assumptions!$G$65)+Assumptions!$F$65+$C$29515,Assumptions!$E$65))+J29641*IF(OR(J29642=1,I29843=1),$C$29516,IF(Assumptions!$I$66=1,MAX(J29514,Assumptions!$G$66)+Assumptions!$F$66+$C$29515,Assumptions!$E$66))</f>
        <v>216.72425836865</v>
      </c>
      <c r="K29521" s="16" t="n">
        <f aca="false">K29524*IF(OR(K29525=1,J29834=1),$C$29516,IF(Assumptions!$I$57=1,MAX(K29514,Assumptions!$G$57)+Assumptions!$F$57+$C$29515,Assumptions!$E$57))+K29537*IF(OR(K29538=1,J29835=1),$C$29516,IF(Assumptions!$I$58=1,MAX(K29514,Assumptions!$G$58)+Assumptions!$F$58+$C$29515,Assumptions!$E$58))+K29550*IF(OR(K29551=1,J29836=1),$C$29516,IF(Assumptions!$I$59=1,MAX(K29514,Assumptions!$G$59)+Assumptions!$F$59+$C$29515,Assumptions!$E$59))+K29563*IF(OR(K29564=1,J29837=1),$C$29516,IF(Assumptions!$I$60=1,MAX(K29514,Assumptions!$G$60)+Assumptions!$F$60+$C$29515,Assumptions!$E$60))+K29576*IF(OR(K29577=1,J29838=1),$C$29516,IF(Assumptions!$I$61=1,MAX(K29514,Assumptions!$G$61)+Assumptions!$F$61+$C$29515,Assumptions!$E$61))+K29589*IF(OR(K29590=1,J29839=1),$C$29516,IF(Assumptions!$I$62=1,MAX(K29514,Assumptions!$G$62)+Assumptions!$F$62+$C$29515,Assumptions!$E$62))+K29602*IF(OR(K29603=1,J29840=1),$C$29516,IF(Assumptions!$I$63=1,MAX(K29514,Assumptions!$G$63)+Assumptions!$F$63+$C$29515,Assumptions!$E$63))+K29615*IF(OR(K29616=1,J29841=1),$C$29516,IF(Assumptions!$I$64=1,MAX(K29514,Assumptions!$G$64)+Assumptions!$F$64+$C$29515,Assumptions!$E$64))+K29628*IF(OR(K29629=1,J29842=1),$C$29516,IF(Assumptions!$I$65=1,MAX(K29514,Assumptions!$G$65)+Assumptions!$F$65+$C$29515,Assumptions!$E$65))+K29641*IF(OR(K29642=1,J29843=1),$C$29516,IF(Assumptions!$I$66=1,MAX(K29514,Assumptions!$G$66)+Assumptions!$F$66+$C$29515,Assumptions!$E$66))</f>
        <v>208.76425836865</v>
      </c>
    </row>
    <row r="29522" customFormat="false" ht="15" hidden="false" customHeight="false" outlineLevel="0" collapsed="false">
      <c r="A29522" s="3" t="s">
        <v>327</v>
      </c>
      <c r="G29522" s="21" t="n">
        <f aca="false">IF(G29498&lt;=0,0,IF(AND((G29519-G29520)/G29498&lt;=$C$29517,G29498/G29521&gt;=$C$29518),1,0))</f>
        <v>0</v>
      </c>
      <c r="H29522" s="21" t="n">
        <f aca="false">IF(H29498&lt;=0,0,IF(AND((H29519-H29520)/H29498&lt;=$C$29517,H29498/H29521&gt;=$C$29518),1,0))</f>
        <v>0</v>
      </c>
      <c r="I29522" s="21" t="n">
        <f aca="false">IF(I29498&lt;=0,0,IF(AND((I29519-I29520)/I29498&lt;=$C$29517,I29498/I29521&gt;=$C$29518),1,0))</f>
        <v>0</v>
      </c>
      <c r="J29522" s="21" t="n">
        <f aca="false">IF(J29498&lt;=0,0,IF(AND((J29519-J29520)/J29498&lt;=$C$29517,J29498/J29521&gt;=$C$29518),1,0))</f>
        <v>0</v>
      </c>
      <c r="K29522" s="21" t="n">
        <f aca="false">IF(K29498&lt;=0,0,IF(AND((K29519-K29520)/K29498&lt;=$C$29517,K29498/K29521&gt;=$C$29518),1,0))</f>
        <v>0</v>
      </c>
    </row>
    <row r="29523" customFormat="false" ht="15" hidden="false" customHeight="false" outlineLevel="0" collapsed="false">
      <c r="A29523" s="24" t="s">
        <v>328</v>
      </c>
      <c r="B29523" s="25"/>
      <c r="C29523" s="25"/>
      <c r="D29523" s="25"/>
      <c r="E29523" s="25"/>
      <c r="F29523" s="25"/>
      <c r="G29523" s="25"/>
      <c r="H29523" s="25"/>
      <c r="I29523" s="25"/>
      <c r="J29523" s="25"/>
      <c r="K29523" s="25"/>
    </row>
    <row r="29524" customFormat="false" ht="15" hidden="false" customHeight="false" outlineLevel="0" collapsed="false">
      <c r="A29524" s="3" t="s">
        <v>329</v>
      </c>
      <c r="G29524" s="16" t="n">
        <f aca="false">F29535</f>
        <v>400</v>
      </c>
      <c r="H29524" s="16" t="n">
        <f aca="false">G29535</f>
        <v>396</v>
      </c>
      <c r="I29524" s="16" t="n">
        <f aca="false">H29535</f>
        <v>392</v>
      </c>
      <c r="J29524" s="16" t="n">
        <f aca="false">I29535</f>
        <v>388</v>
      </c>
      <c r="K29524" s="16" t="n">
        <f aca="false">J29535</f>
        <v>384</v>
      </c>
    </row>
    <row r="29525" customFormat="false" ht="15" hidden="false" customHeight="false" outlineLevel="0" collapsed="false">
      <c r="A29525" s="3" t="s">
        <v>330</v>
      </c>
      <c r="G29525" s="21" t="n">
        <f aca="false">IF(G29488=Assumptions!$K$57,1,0)</f>
        <v>0</v>
      </c>
      <c r="H29525" s="21" t="n">
        <f aca="false">IF(H29488=Assumptions!$K$57,1,0)</f>
        <v>0</v>
      </c>
      <c r="I29525" s="21" t="n">
        <f aca="false">IF(I29488=Assumptions!$K$57,1,0)</f>
        <v>0</v>
      </c>
      <c r="J29525" s="21" t="n">
        <f aca="false">IF(J29488=Assumptions!$K$57,1,0)</f>
        <v>0</v>
      </c>
      <c r="K29525" s="21" t="n">
        <f aca="false">IF(K29488=Assumptions!$K$57,1,0)</f>
        <v>1</v>
      </c>
    </row>
    <row r="29527" customFormat="false" ht="15" hidden="false" customHeight="false" outlineLevel="0" collapsed="false">
      <c r="A29527" s="3" t="s">
        <v>331</v>
      </c>
      <c r="G29527" s="31" t="n">
        <f aca="false">IF(Assumptions!$I$57=1,MAX(G29514,Assumptions!$G$57)+Assumptions!$F$57+$C$29515,Assumptions!$E$57)</f>
        <v>0.1215</v>
      </c>
      <c r="H29527" s="31" t="n">
        <f aca="false">IF(G29834=1,$C$29516,IF(Assumptions!$I$57=1,MAX(H29514,Assumptions!$G$57)+Assumptions!$F$57+$C$29515,Assumptions!$E$57))</f>
        <v>0.12</v>
      </c>
      <c r="I29527" s="31" t="n">
        <f aca="false">IF(H29834=1,$C$29516,IF(Assumptions!$I$57=1,MAX(I29514,Assumptions!$G$57)+Assumptions!$F$57+$C$29515,Assumptions!$E$57))</f>
        <v>0.1175</v>
      </c>
      <c r="J29527" s="31" t="n">
        <f aca="false">IF(I29834=1,$C$29516,IF(Assumptions!$I$57=1,MAX(J29514,Assumptions!$G$57)+Assumptions!$F$57+$C$29515,Assumptions!$E$57))</f>
        <v>0.1175</v>
      </c>
      <c r="K29527" s="31" t="n">
        <f aca="false">IF(J29834=1,$C$29516,IF(Assumptions!$I$57=1,MAX(K29514,Assumptions!$G$57)+Assumptions!$F$57+$C$29515,Assumptions!$E$57))</f>
        <v>0.1175</v>
      </c>
    </row>
    <row r="29528" customFormat="false" ht="15" hidden="false" customHeight="false" outlineLevel="0" collapsed="false">
      <c r="A29528" s="3" t="s">
        <v>332</v>
      </c>
      <c r="G29528" s="16" t="n">
        <f aca="false">G29524*G29527</f>
        <v>48.6</v>
      </c>
      <c r="H29528" s="16" t="n">
        <f aca="false">H29524*H29527</f>
        <v>47.52</v>
      </c>
      <c r="I29528" s="16" t="n">
        <f aca="false">I29524*I29527</f>
        <v>46.06</v>
      </c>
      <c r="J29528" s="16" t="n">
        <f aca="false">J29524*J29527</f>
        <v>45.59</v>
      </c>
      <c r="K29528" s="16" t="n">
        <f aca="false">K29524*K29527</f>
        <v>45.12</v>
      </c>
    </row>
    <row r="29529" customFormat="false" ht="15" hidden="false" customHeight="false" outlineLevel="0" collapsed="false">
      <c r="A29529" s="3" t="s">
        <v>333</v>
      </c>
      <c r="G29529" s="16" t="n">
        <f aca="false">G29524*Assumptions!$H$57</f>
        <v>0</v>
      </c>
      <c r="H29529" s="16" t="n">
        <f aca="false">H29524*Assumptions!$H$57</f>
        <v>0</v>
      </c>
      <c r="I29529" s="16" t="n">
        <f aca="false">I29524*Assumptions!$H$57</f>
        <v>0</v>
      </c>
      <c r="J29529" s="16" t="n">
        <f aca="false">J29524*Assumptions!$H$57</f>
        <v>0</v>
      </c>
      <c r="K29529" s="16" t="n">
        <f aca="false">K29524*Assumptions!$H$57</f>
        <v>0</v>
      </c>
    </row>
    <row r="29530" customFormat="false" ht="15" hidden="false" customHeight="false" outlineLevel="0" collapsed="false">
      <c r="A29530" s="3" t="s">
        <v>334</v>
      </c>
      <c r="G29530" s="16" t="n">
        <f aca="false">MIN(G29524,Assumptions!$L$57*Assumptions!$C$57)</f>
        <v>4</v>
      </c>
      <c r="H29530" s="16" t="n">
        <f aca="false">MIN(H29524,Assumptions!$L$57*Assumptions!$C$57)</f>
        <v>4</v>
      </c>
      <c r="I29530" s="16" t="n">
        <f aca="false">MIN(I29524,Assumptions!$L$57*Assumptions!$C$57)</f>
        <v>4</v>
      </c>
      <c r="J29530" s="16" t="n">
        <f aca="false">MIN(J29524,Assumptions!$L$57*Assumptions!$C$57)</f>
        <v>4</v>
      </c>
      <c r="K29530" s="16" t="n">
        <f aca="false">MIN(K29524,Assumptions!$L$57*Assumptions!$C$57)</f>
        <v>4</v>
      </c>
    </row>
    <row r="29531" customFormat="false" ht="15" hidden="false" customHeight="false" outlineLevel="0" collapsed="false">
      <c r="A29531" s="3" t="s">
        <v>335</v>
      </c>
      <c r="G29531" s="16" t="n">
        <f aca="false">IF(AND(Assumptions!$P$57=1,G29488&lt;Assumptions!$K$57),MIN(MAX(0,-G29704),MAX(0,Assumptions!$D$57-G29524)),0)</f>
        <v>0</v>
      </c>
      <c r="H29531" s="16" t="n">
        <f aca="false">IF(AND(Assumptions!$P$57=1,OR(H29488&lt;Assumptions!$K$57,G29834=1)),MIN(MAX(0,-H29704),MAX(0,Assumptions!$D$57-H29524)),0)</f>
        <v>0</v>
      </c>
      <c r="I29531" s="16" t="n">
        <f aca="false">IF(AND(Assumptions!$P$57=1,OR(I29488&lt;Assumptions!$K$57,H29834=1)),MIN(MAX(0,-I29704),MAX(0,Assumptions!$D$57-I29524)),0)</f>
        <v>0</v>
      </c>
      <c r="J29531" s="16" t="n">
        <f aca="false">IF(AND(Assumptions!$P$57=1,OR(J29488&lt;Assumptions!$K$57,I29834=1)),MIN(MAX(0,-J29704),MAX(0,Assumptions!$D$57-J29524)),0)</f>
        <v>0</v>
      </c>
      <c r="K29531" s="16" t="n">
        <f aca="false">IF(AND(Assumptions!$P$57=1,OR(K29488&lt;Assumptions!$K$57,J29834=1)),MIN(MAX(0,-K29704),MAX(0,Assumptions!$D$57-K29524)),0)</f>
        <v>0</v>
      </c>
    </row>
    <row r="29532" customFormat="false" ht="15" hidden="false" customHeight="false" outlineLevel="0" collapsed="false">
      <c r="A29532" s="3" t="s">
        <v>336</v>
      </c>
      <c r="G29532" s="16" t="n">
        <f aca="false">G29525*MIN(G29524-G29530+G29529,MAX(0,G29706-Assumptions!$C$12*G29522))</f>
        <v>0</v>
      </c>
      <c r="H29532" s="16" t="n">
        <f aca="false">H29525*MIN(H29524-H29530+H29529,MAX(0,H29706-Assumptions!$C$12*H29522))</f>
        <v>0</v>
      </c>
      <c r="I29532" s="16" t="n">
        <f aca="false">I29525*MIN(I29524-I29530+I29529,MAX(0,I29706-Assumptions!$C$12*I29522))</f>
        <v>0</v>
      </c>
      <c r="J29532" s="16" t="n">
        <f aca="false">J29525*MIN(J29524-J29530+J29529,MAX(0,J29706-Assumptions!$C$12*J29522))</f>
        <v>0</v>
      </c>
      <c r="K29532" s="16" t="n">
        <f aca="false">K29525*MIN(K29524-K29530+K29529,MAX(0,K29706-Assumptions!$C$12*K29522))</f>
        <v>0</v>
      </c>
    </row>
    <row r="29533" customFormat="false" ht="15" hidden="false" customHeight="false" outlineLevel="0" collapsed="false">
      <c r="A29533" s="3" t="s">
        <v>337</v>
      </c>
      <c r="G29533" s="16" t="n">
        <f aca="false">Assumptions!$N$57*MIN(G29524+G29531+G29529-G29530-G29532,MAX(0,G29710))</f>
        <v>0</v>
      </c>
      <c r="H29533" s="16" t="n">
        <f aca="false">Assumptions!$N$57*MIN(H29524+H29531+H29529-H29530-H29532,MAX(0,H29710))</f>
        <v>0</v>
      </c>
      <c r="I29533" s="16" t="n">
        <f aca="false">Assumptions!$N$57*MIN(I29524+I29531+I29529-I29530-I29532,MAX(0,I29710))</f>
        <v>0</v>
      </c>
      <c r="J29533" s="16" t="n">
        <f aca="false">Assumptions!$N$57*MIN(J29524+J29531+J29529-J29530-J29532,MAX(0,J29710))</f>
        <v>0</v>
      </c>
      <c r="K29533" s="16" t="n">
        <f aca="false">Assumptions!$N$57*MIN(K29524+K29531+K29529-K29530-K29532,MAX(0,K29710))</f>
        <v>0</v>
      </c>
    </row>
    <row r="29534" customFormat="false" ht="15" hidden="false" customHeight="false" outlineLevel="0" collapsed="false">
      <c r="A29534" s="3" t="s">
        <v>338</v>
      </c>
      <c r="G29534" s="16" t="n">
        <f aca="false">G29525*(1-G29522)*(G29524-G29530+G29529-G29532)</f>
        <v>0</v>
      </c>
      <c r="H29534" s="16" t="n">
        <f aca="false">H29525*(1-H29522)*(H29524-H29530+H29529-H29532)</f>
        <v>0</v>
      </c>
      <c r="I29534" s="16" t="n">
        <f aca="false">I29525*(1-I29522)*(I29524-I29530+I29529-I29532)</f>
        <v>0</v>
      </c>
      <c r="J29534" s="16" t="n">
        <f aca="false">J29525*(1-J29522)*(J29524-J29530+J29529-J29532)</f>
        <v>0</v>
      </c>
      <c r="K29534" s="16" t="n">
        <f aca="false">K29525*(1-K29522)*(K29524-K29530+K29529-K29532)</f>
        <v>380</v>
      </c>
    </row>
    <row r="29535" customFormat="false" ht="15" hidden="false" customHeight="false" outlineLevel="0" collapsed="false">
      <c r="A29535" s="2" t="s">
        <v>339</v>
      </c>
      <c r="F29535" s="28" t="n">
        <f aca="false">Assumptions!$C$57</f>
        <v>400</v>
      </c>
      <c r="G29535" s="17" t="n">
        <f aca="false">G29524+G29531+G29529-G29530-G29532-G29533</f>
        <v>396</v>
      </c>
      <c r="H29535" s="17" t="n">
        <f aca="false">H29524+H29531+H29529-H29530-H29532-H29533</f>
        <v>392</v>
      </c>
      <c r="I29535" s="17" t="n">
        <f aca="false">I29524+I29531+I29529-I29530-I29532-I29533</f>
        <v>388</v>
      </c>
      <c r="J29535" s="17" t="n">
        <f aca="false">J29524+J29531+J29529-J29530-J29532-J29533</f>
        <v>384</v>
      </c>
      <c r="K29535" s="17" t="n">
        <f aca="false">K29524+K29531+K29529-K29530-K29532-K29533</f>
        <v>380</v>
      </c>
    </row>
    <row r="29536" customFormat="false" ht="15" hidden="false" customHeight="false" outlineLevel="0" collapsed="false">
      <c r="A29536" s="24" t="s">
        <v>340</v>
      </c>
      <c r="B29536" s="25"/>
      <c r="C29536" s="25"/>
      <c r="D29536" s="25"/>
      <c r="E29536" s="25"/>
      <c r="F29536" s="25"/>
      <c r="G29536" s="25"/>
      <c r="H29536" s="25"/>
      <c r="I29536" s="25"/>
      <c r="J29536" s="25"/>
      <c r="K29536" s="25"/>
    </row>
    <row r="29537" customFormat="false" ht="15" hidden="false" customHeight="false" outlineLevel="0" collapsed="false">
      <c r="A29537" s="3" t="s">
        <v>329</v>
      </c>
      <c r="G29537" s="16" t="n">
        <f aca="false">F29548</f>
        <v>90</v>
      </c>
      <c r="H29537" s="16" t="n">
        <f aca="false">G29548</f>
        <v>90</v>
      </c>
      <c r="I29537" s="16" t="n">
        <f aca="false">H29548</f>
        <v>90</v>
      </c>
      <c r="J29537" s="16" t="n">
        <f aca="false">I29548</f>
        <v>90</v>
      </c>
      <c r="K29537" s="16" t="n">
        <f aca="false">J29548</f>
        <v>90</v>
      </c>
    </row>
    <row r="29538" customFormat="false" ht="15" hidden="false" customHeight="false" outlineLevel="0" collapsed="false">
      <c r="A29538" s="3" t="s">
        <v>330</v>
      </c>
      <c r="G29538" s="21" t="n">
        <f aca="false">IF(G29488=Assumptions!$K$58,1,0)</f>
        <v>0</v>
      </c>
      <c r="H29538" s="21" t="n">
        <f aca="false">IF(H29488=Assumptions!$K$58,1,0)</f>
        <v>0</v>
      </c>
      <c r="I29538" s="21" t="n">
        <f aca="false">IF(I29488=Assumptions!$K$58,1,0)</f>
        <v>0</v>
      </c>
      <c r="J29538" s="21" t="n">
        <f aca="false">IF(J29488=Assumptions!$K$58,1,0)</f>
        <v>0</v>
      </c>
      <c r="K29538" s="21" t="n">
        <f aca="false">IF(K29488=Assumptions!$K$58,1,0)</f>
        <v>0</v>
      </c>
    </row>
    <row r="29540" customFormat="false" ht="15" hidden="false" customHeight="false" outlineLevel="0" collapsed="false">
      <c r="A29540" s="3" t="s">
        <v>331</v>
      </c>
      <c r="G29540" s="31" t="n">
        <f aca="false">IF(Assumptions!$I$58=1,MAX(G29514,Assumptions!$G$58)+Assumptions!$F$58+$C$29515,Assumptions!$E$58)</f>
        <v>0.0581</v>
      </c>
      <c r="H29540" s="31" t="n">
        <f aca="false">IF(G29835=1,$C$29516,IF(Assumptions!$I$58=1,MAX(H29514,Assumptions!$G$58)+Assumptions!$F$58+$C$29515,Assumptions!$E$58))</f>
        <v>0.0581</v>
      </c>
      <c r="I29540" s="31" t="n">
        <f aca="false">IF(H29835=1,$C$29516,IF(Assumptions!$I$58=1,MAX(I29514,Assumptions!$G$58)+Assumptions!$F$58+$C$29515,Assumptions!$E$58))</f>
        <v>0.0581</v>
      </c>
      <c r="J29540" s="31" t="n">
        <f aca="false">IF(I29835=1,$C$29516,IF(Assumptions!$I$58=1,MAX(J29514,Assumptions!$G$58)+Assumptions!$F$58+$C$29515,Assumptions!$E$58))</f>
        <v>0.0581</v>
      </c>
      <c r="K29540" s="31" t="n">
        <f aca="false">IF(J29835=1,$C$29516,IF(Assumptions!$I$58=1,MAX(K29514,Assumptions!$G$58)+Assumptions!$F$58+$C$29515,Assumptions!$E$58))</f>
        <v>0.0581</v>
      </c>
    </row>
    <row r="29541" customFormat="false" ht="15" hidden="false" customHeight="false" outlineLevel="0" collapsed="false">
      <c r="A29541" s="3" t="s">
        <v>332</v>
      </c>
      <c r="G29541" s="16" t="n">
        <f aca="false">G29537*G29540</f>
        <v>5.229</v>
      </c>
      <c r="H29541" s="16" t="n">
        <f aca="false">H29537*H29540</f>
        <v>5.229</v>
      </c>
      <c r="I29541" s="16" t="n">
        <f aca="false">I29537*I29540</f>
        <v>5.229</v>
      </c>
      <c r="J29541" s="16" t="n">
        <f aca="false">J29537*J29540</f>
        <v>5.229</v>
      </c>
      <c r="K29541" s="16" t="n">
        <f aca="false">K29537*K29540</f>
        <v>5.229</v>
      </c>
    </row>
    <row r="29542" customFormat="false" ht="15" hidden="false" customHeight="false" outlineLevel="0" collapsed="false">
      <c r="A29542" s="3" t="s">
        <v>333</v>
      </c>
      <c r="G29542" s="16" t="n">
        <f aca="false">G29537*Assumptions!$H$58</f>
        <v>0</v>
      </c>
      <c r="H29542" s="16" t="n">
        <f aca="false">H29537*Assumptions!$H$58</f>
        <v>0</v>
      </c>
      <c r="I29542" s="16" t="n">
        <f aca="false">I29537*Assumptions!$H$58</f>
        <v>0</v>
      </c>
      <c r="J29542" s="16" t="n">
        <f aca="false">J29537*Assumptions!$H$58</f>
        <v>0</v>
      </c>
      <c r="K29542" s="16" t="n">
        <f aca="false">K29537*Assumptions!$H$58</f>
        <v>0</v>
      </c>
    </row>
    <row r="29543" customFormat="false" ht="15" hidden="false" customHeight="false" outlineLevel="0" collapsed="false">
      <c r="A29543" s="3" t="s">
        <v>334</v>
      </c>
      <c r="G29543" s="16" t="n">
        <f aca="false">MIN(G29537,Assumptions!$L$58*Assumptions!$C$58)</f>
        <v>0</v>
      </c>
      <c r="H29543" s="16" t="n">
        <f aca="false">MIN(H29537,Assumptions!$L$58*Assumptions!$C$58)</f>
        <v>0</v>
      </c>
      <c r="I29543" s="16" t="n">
        <f aca="false">MIN(I29537,Assumptions!$L$58*Assumptions!$C$58)</f>
        <v>0</v>
      </c>
      <c r="J29543" s="16" t="n">
        <f aca="false">MIN(J29537,Assumptions!$L$58*Assumptions!$C$58)</f>
        <v>0</v>
      </c>
      <c r="K29543" s="16" t="n">
        <f aca="false">MIN(K29537,Assumptions!$L$58*Assumptions!$C$58)</f>
        <v>0</v>
      </c>
    </row>
    <row r="29544" customFormat="false" ht="15" hidden="false" customHeight="false" outlineLevel="0" collapsed="false">
      <c r="A29544" s="3" t="s">
        <v>335</v>
      </c>
      <c r="G29544" s="16" t="n">
        <f aca="false">IF(AND(Assumptions!$P$58=1,G29488&lt;Assumptions!$K$58),MIN(MAX(0,-G29704),MAX(0,Assumptions!$D$58-G29537)),0)</f>
        <v>0</v>
      </c>
      <c r="H29544" s="16" t="n">
        <f aca="false">IF(AND(Assumptions!$P$58=1,OR(H29488&lt;Assumptions!$K$58,G29835=1)),MIN(MAX(0,-H29704),MAX(0,Assumptions!$D$58-H29537)),0)</f>
        <v>0</v>
      </c>
      <c r="I29544" s="16" t="n">
        <f aca="false">IF(AND(Assumptions!$P$58=1,OR(I29488&lt;Assumptions!$K$58,H29835=1)),MIN(MAX(0,-I29704),MAX(0,Assumptions!$D$58-I29537)),0)</f>
        <v>0</v>
      </c>
      <c r="J29544" s="16" t="n">
        <f aca="false">IF(AND(Assumptions!$P$58=1,OR(J29488&lt;Assumptions!$K$58,I29835=1)),MIN(MAX(0,-J29704),MAX(0,Assumptions!$D$58-J29537)),0)</f>
        <v>0</v>
      </c>
      <c r="K29544" s="16" t="n">
        <f aca="false">IF(AND(Assumptions!$P$58=1,OR(K29488&lt;Assumptions!$K$58,J29835=1)),MIN(MAX(0,-K29704),MAX(0,Assumptions!$D$58-K29537)),0)</f>
        <v>0</v>
      </c>
    </row>
    <row r="29545" customFormat="false" ht="15" hidden="false" customHeight="false" outlineLevel="0" collapsed="false">
      <c r="A29545" s="3" t="s">
        <v>336</v>
      </c>
      <c r="G29545" s="16" t="n">
        <f aca="false">G29538*MIN(G29537-G29543+G29542,MAX(0,G29706-Assumptions!$C$12*G29522-G29532))</f>
        <v>0</v>
      </c>
      <c r="H29545" s="16" t="n">
        <f aca="false">H29538*MIN(H29537-H29543+H29542,MAX(0,H29706-Assumptions!$C$12*H29522-H29532))</f>
        <v>0</v>
      </c>
      <c r="I29545" s="16" t="n">
        <f aca="false">I29538*MIN(I29537-I29543+I29542,MAX(0,I29706-Assumptions!$C$12*I29522-I29532))</f>
        <v>0</v>
      </c>
      <c r="J29545" s="16" t="n">
        <f aca="false">J29538*MIN(J29537-J29543+J29542,MAX(0,J29706-Assumptions!$C$12*J29522-J29532))</f>
        <v>0</v>
      </c>
      <c r="K29545" s="16" t="n">
        <f aca="false">K29538*MIN(K29537-K29543+K29542,MAX(0,K29706-Assumptions!$C$12*K29522-K29532))</f>
        <v>0</v>
      </c>
    </row>
    <row r="29546" customFormat="false" ht="15" hidden="false" customHeight="false" outlineLevel="0" collapsed="false">
      <c r="A29546" s="3" t="s">
        <v>337</v>
      </c>
      <c r="G29546" s="16" t="n">
        <f aca="false">Assumptions!$N$58*MIN(G29537+G29544+G29542-G29543-G29545,MAX(0,G29710-G29533))</f>
        <v>0</v>
      </c>
      <c r="H29546" s="16" t="n">
        <f aca="false">Assumptions!$N$58*MIN(H29537+H29544+H29542-H29543-H29545,MAX(0,H29710-H29533))</f>
        <v>0</v>
      </c>
      <c r="I29546" s="16" t="n">
        <f aca="false">Assumptions!$N$58*MIN(I29537+I29544+I29542-I29543-I29545,MAX(0,I29710-I29533))</f>
        <v>0</v>
      </c>
      <c r="J29546" s="16" t="n">
        <f aca="false">Assumptions!$N$58*MIN(J29537+J29544+J29542-J29543-J29545,MAX(0,J29710-J29533))</f>
        <v>0</v>
      </c>
      <c r="K29546" s="16" t="n">
        <f aca="false">Assumptions!$N$58*MIN(K29537+K29544+K29542-K29543-K29545,MAX(0,K29710-K29533))</f>
        <v>0</v>
      </c>
    </row>
    <row r="29547" customFormat="false" ht="15" hidden="false" customHeight="false" outlineLevel="0" collapsed="false">
      <c r="A29547" s="3" t="s">
        <v>338</v>
      </c>
      <c r="G29547" s="16" t="n">
        <f aca="false">G29538*(1-G29522)*(G29537-G29543+G29542-G29545)</f>
        <v>0</v>
      </c>
      <c r="H29547" s="16" t="n">
        <f aca="false">H29538*(1-H29522)*(H29537-H29543+H29542-H29545)</f>
        <v>0</v>
      </c>
      <c r="I29547" s="16" t="n">
        <f aca="false">I29538*(1-I29522)*(I29537-I29543+I29542-I29545)</f>
        <v>0</v>
      </c>
      <c r="J29547" s="16" t="n">
        <f aca="false">J29538*(1-J29522)*(J29537-J29543+J29542-J29545)</f>
        <v>0</v>
      </c>
      <c r="K29547" s="16" t="n">
        <f aca="false">K29538*(1-K29522)*(K29537-K29543+K29542-K29545)</f>
        <v>0</v>
      </c>
    </row>
    <row r="29548" customFormat="false" ht="15" hidden="false" customHeight="false" outlineLevel="0" collapsed="false">
      <c r="A29548" s="2" t="s">
        <v>339</v>
      </c>
      <c r="F29548" s="28" t="n">
        <f aca="false">Assumptions!$C$58</f>
        <v>90</v>
      </c>
      <c r="G29548" s="17" t="n">
        <f aca="false">G29537+G29544+G29542-G29543-G29545-G29546</f>
        <v>90</v>
      </c>
      <c r="H29548" s="17" t="n">
        <f aca="false">H29537+H29544+H29542-H29543-H29545-H29546</f>
        <v>90</v>
      </c>
      <c r="I29548" s="17" t="n">
        <f aca="false">I29537+I29544+I29542-I29543-I29545-I29546</f>
        <v>90</v>
      </c>
      <c r="J29548" s="17" t="n">
        <f aca="false">J29537+J29544+J29542-J29543-J29545-J29546</f>
        <v>90</v>
      </c>
      <c r="K29548" s="17" t="n">
        <f aca="false">K29537+K29544+K29542-K29543-K29545-K29546</f>
        <v>90</v>
      </c>
    </row>
    <row r="29549" customFormat="false" ht="15" hidden="false" customHeight="false" outlineLevel="0" collapsed="false">
      <c r="A29549" s="24" t="s">
        <v>341</v>
      </c>
      <c r="B29549" s="25"/>
      <c r="C29549" s="25"/>
      <c r="D29549" s="25"/>
      <c r="E29549" s="25"/>
      <c r="F29549" s="25"/>
      <c r="G29549" s="25"/>
      <c r="H29549" s="25"/>
      <c r="I29549" s="25"/>
      <c r="J29549" s="25"/>
      <c r="K29549" s="25"/>
    </row>
    <row r="29550" customFormat="false" ht="15" hidden="false" customHeight="false" outlineLevel="0" collapsed="false">
      <c r="A29550" s="3" t="s">
        <v>329</v>
      </c>
      <c r="G29550" s="16" t="n">
        <f aca="false">F29561</f>
        <v>57.324</v>
      </c>
      <c r="H29550" s="16" t="n">
        <f aca="false">G29561</f>
        <v>57.324</v>
      </c>
      <c r="I29550" s="16" t="n">
        <f aca="false">H29561</f>
        <v>57.324</v>
      </c>
      <c r="J29550" s="16" t="n">
        <f aca="false">I29561</f>
        <v>57.324</v>
      </c>
      <c r="K29550" s="16" t="n">
        <f aca="false">J29561</f>
        <v>57.324</v>
      </c>
    </row>
    <row r="29551" customFormat="false" ht="15" hidden="false" customHeight="false" outlineLevel="0" collapsed="false">
      <c r="A29551" s="3" t="s">
        <v>330</v>
      </c>
      <c r="G29551" s="21" t="n">
        <f aca="false">IF(G29488=Assumptions!$K$59,1,0)</f>
        <v>0</v>
      </c>
      <c r="H29551" s="21" t="n">
        <f aca="false">IF(H29488=Assumptions!$K$59,1,0)</f>
        <v>0</v>
      </c>
      <c r="I29551" s="21" t="n">
        <f aca="false">IF(I29488=Assumptions!$K$59,1,0)</f>
        <v>0</v>
      </c>
      <c r="J29551" s="21" t="n">
        <f aca="false">IF(J29488=Assumptions!$K$59,1,0)</f>
        <v>0</v>
      </c>
      <c r="K29551" s="21" t="n">
        <f aca="false">IF(K29488=Assumptions!$K$59,1,0)</f>
        <v>0</v>
      </c>
    </row>
    <row r="29553" customFormat="false" ht="15" hidden="false" customHeight="false" outlineLevel="0" collapsed="false">
      <c r="A29553" s="3" t="s">
        <v>331</v>
      </c>
      <c r="G29553" s="31" t="n">
        <f aca="false">IF(Assumptions!$I$59=1,MAX(G29514,Assumptions!$G$59)+Assumptions!$F$59+$C$29515,Assumptions!$E$59)</f>
        <v>0.0731</v>
      </c>
      <c r="H29553" s="31" t="n">
        <f aca="false">IF(G29836=1,$C$29516,IF(Assumptions!$I$59=1,MAX(H29514,Assumptions!$G$59)+Assumptions!$F$59+$C$29515,Assumptions!$E$59))</f>
        <v>0.0731</v>
      </c>
      <c r="I29553" s="31" t="n">
        <f aca="false">IF(H29836=1,$C$29516,IF(Assumptions!$I$59=1,MAX(I29514,Assumptions!$G$59)+Assumptions!$F$59+$C$29515,Assumptions!$E$59))</f>
        <v>0.0731</v>
      </c>
      <c r="J29553" s="31" t="n">
        <f aca="false">IF(I29836=1,$C$29516,IF(Assumptions!$I$59=1,MAX(J29514,Assumptions!$G$59)+Assumptions!$F$59+$C$29515,Assumptions!$E$59))</f>
        <v>0.0731</v>
      </c>
      <c r="K29553" s="31" t="n">
        <f aca="false">IF(J29836=1,$C$29516,IF(Assumptions!$I$59=1,MAX(K29514,Assumptions!$G$59)+Assumptions!$F$59+$C$29515,Assumptions!$E$59))</f>
        <v>0.0731</v>
      </c>
    </row>
    <row r="29554" customFormat="false" ht="15" hidden="false" customHeight="false" outlineLevel="0" collapsed="false">
      <c r="A29554" s="3" t="s">
        <v>332</v>
      </c>
      <c r="G29554" s="16" t="n">
        <f aca="false">G29550*G29553</f>
        <v>4.1903844</v>
      </c>
      <c r="H29554" s="16" t="n">
        <f aca="false">H29550*H29553</f>
        <v>4.1903844</v>
      </c>
      <c r="I29554" s="16" t="n">
        <f aca="false">I29550*I29553</f>
        <v>4.1903844</v>
      </c>
      <c r="J29554" s="16" t="n">
        <f aca="false">J29550*J29553</f>
        <v>4.1903844</v>
      </c>
      <c r="K29554" s="16" t="n">
        <f aca="false">K29550*K29553</f>
        <v>4.1903844</v>
      </c>
    </row>
    <row r="29555" customFormat="false" ht="15" hidden="false" customHeight="false" outlineLevel="0" collapsed="false">
      <c r="A29555" s="3" t="s">
        <v>333</v>
      </c>
      <c r="G29555" s="16" t="n">
        <f aca="false">G29550*Assumptions!$H$59</f>
        <v>0</v>
      </c>
      <c r="H29555" s="16" t="n">
        <f aca="false">H29550*Assumptions!$H$59</f>
        <v>0</v>
      </c>
      <c r="I29555" s="16" t="n">
        <f aca="false">I29550*Assumptions!$H$59</f>
        <v>0</v>
      </c>
      <c r="J29555" s="16" t="n">
        <f aca="false">J29550*Assumptions!$H$59</f>
        <v>0</v>
      </c>
      <c r="K29555" s="16" t="n">
        <f aca="false">K29550*Assumptions!$H$59</f>
        <v>0</v>
      </c>
    </row>
    <row r="29556" customFormat="false" ht="15" hidden="false" customHeight="false" outlineLevel="0" collapsed="false">
      <c r="A29556" s="3" t="s">
        <v>334</v>
      </c>
      <c r="G29556" s="16" t="n">
        <f aca="false">MIN(G29550,Assumptions!$L$59*Assumptions!$C$59)</f>
        <v>0</v>
      </c>
      <c r="H29556" s="16" t="n">
        <f aca="false">MIN(H29550,Assumptions!$L$59*Assumptions!$C$59)</f>
        <v>0</v>
      </c>
      <c r="I29556" s="16" t="n">
        <f aca="false">MIN(I29550,Assumptions!$L$59*Assumptions!$C$59)</f>
        <v>0</v>
      </c>
      <c r="J29556" s="16" t="n">
        <f aca="false">MIN(J29550,Assumptions!$L$59*Assumptions!$C$59)</f>
        <v>0</v>
      </c>
      <c r="K29556" s="16" t="n">
        <f aca="false">MIN(K29550,Assumptions!$L$59*Assumptions!$C$59)</f>
        <v>0</v>
      </c>
    </row>
    <row r="29557" customFormat="false" ht="15" hidden="false" customHeight="false" outlineLevel="0" collapsed="false">
      <c r="A29557" s="3" t="s">
        <v>335</v>
      </c>
      <c r="G29557" s="16" t="n">
        <f aca="false">IF(AND(Assumptions!$P$59=1,G29488&lt;Assumptions!$K$59),MIN(MAX(0,-G29704),MAX(0,Assumptions!$D$59-G29550)),0)</f>
        <v>0</v>
      </c>
      <c r="H29557" s="16" t="n">
        <f aca="false">IF(AND(Assumptions!$P$59=1,OR(H29488&lt;Assumptions!$K$59,G29836=1)),MIN(MAX(0,-H29704),MAX(0,Assumptions!$D$59-H29550)),0)</f>
        <v>0</v>
      </c>
      <c r="I29557" s="16" t="n">
        <f aca="false">IF(AND(Assumptions!$P$59=1,OR(I29488&lt;Assumptions!$K$59,H29836=1)),MIN(MAX(0,-I29704),MAX(0,Assumptions!$D$59-I29550)),0)</f>
        <v>0</v>
      </c>
      <c r="J29557" s="16" t="n">
        <f aca="false">IF(AND(Assumptions!$P$59=1,OR(J29488&lt;Assumptions!$K$59,I29836=1)),MIN(MAX(0,-J29704),MAX(0,Assumptions!$D$59-J29550)),0)</f>
        <v>0</v>
      </c>
      <c r="K29557" s="16" t="n">
        <f aca="false">IF(AND(Assumptions!$P$59=1,OR(K29488&lt;Assumptions!$K$59,J29836=1)),MIN(MAX(0,-K29704),MAX(0,Assumptions!$D$59-K29550)),0)</f>
        <v>0</v>
      </c>
    </row>
    <row r="29558" customFormat="false" ht="15" hidden="false" customHeight="false" outlineLevel="0" collapsed="false">
      <c r="A29558" s="3" t="s">
        <v>336</v>
      </c>
      <c r="G29558" s="16" t="n">
        <f aca="false">G29551*MIN(G29550-G29556+G29555,MAX(0,G29706-Assumptions!$C$12*G29522-G29532-G29545))</f>
        <v>0</v>
      </c>
      <c r="H29558" s="16" t="n">
        <f aca="false">H29551*MIN(H29550-H29556+H29555,MAX(0,H29706-Assumptions!$C$12*H29522-H29532-H29545))</f>
        <v>0</v>
      </c>
      <c r="I29558" s="16" t="n">
        <f aca="false">I29551*MIN(I29550-I29556+I29555,MAX(0,I29706-Assumptions!$C$12*I29522-I29532-I29545))</f>
        <v>0</v>
      </c>
      <c r="J29558" s="16" t="n">
        <f aca="false">J29551*MIN(J29550-J29556+J29555,MAX(0,J29706-Assumptions!$C$12*J29522-J29532-J29545))</f>
        <v>0</v>
      </c>
      <c r="K29558" s="16" t="n">
        <f aca="false">K29551*MIN(K29550-K29556+K29555,MAX(0,K29706-Assumptions!$C$12*K29522-K29532-K29545))</f>
        <v>0</v>
      </c>
    </row>
    <row r="29559" customFormat="false" ht="15" hidden="false" customHeight="false" outlineLevel="0" collapsed="false">
      <c r="A29559" s="3" t="s">
        <v>337</v>
      </c>
      <c r="G29559" s="16" t="n">
        <f aca="false">Assumptions!$N$59*MIN(G29550+G29557+G29555-G29556-G29558,MAX(0,G29710-G29533-G29546))</f>
        <v>0</v>
      </c>
      <c r="H29559" s="16" t="n">
        <f aca="false">Assumptions!$N$59*MIN(H29550+H29557+H29555-H29556-H29558,MAX(0,H29710-H29533-H29546))</f>
        <v>0</v>
      </c>
      <c r="I29559" s="16" t="n">
        <f aca="false">Assumptions!$N$59*MIN(I29550+I29557+I29555-I29556-I29558,MAX(0,I29710-I29533-I29546))</f>
        <v>0</v>
      </c>
      <c r="J29559" s="16" t="n">
        <f aca="false">Assumptions!$N$59*MIN(J29550+J29557+J29555-J29556-J29558,MAX(0,J29710-J29533-J29546))</f>
        <v>0</v>
      </c>
      <c r="K29559" s="16" t="n">
        <f aca="false">Assumptions!$N$59*MIN(K29550+K29557+K29555-K29556-K29558,MAX(0,K29710-K29533-K29546))</f>
        <v>0</v>
      </c>
    </row>
    <row r="29560" customFormat="false" ht="15" hidden="false" customHeight="false" outlineLevel="0" collapsed="false">
      <c r="A29560" s="3" t="s">
        <v>338</v>
      </c>
      <c r="G29560" s="16" t="n">
        <f aca="false">G29551*(1-G29522)*(G29550-G29556+G29555-G29558)</f>
        <v>0</v>
      </c>
      <c r="H29560" s="16" t="n">
        <f aca="false">H29551*(1-H29522)*(H29550-H29556+H29555-H29558)</f>
        <v>0</v>
      </c>
      <c r="I29560" s="16" t="n">
        <f aca="false">I29551*(1-I29522)*(I29550-I29556+I29555-I29558)</f>
        <v>0</v>
      </c>
      <c r="J29560" s="16" t="n">
        <f aca="false">J29551*(1-J29522)*(J29550-J29556+J29555-J29558)</f>
        <v>0</v>
      </c>
      <c r="K29560" s="16" t="n">
        <f aca="false">K29551*(1-K29522)*(K29550-K29556+K29555-K29558)</f>
        <v>0</v>
      </c>
    </row>
    <row r="29561" customFormat="false" ht="15" hidden="false" customHeight="false" outlineLevel="0" collapsed="false">
      <c r="A29561" s="2" t="s">
        <v>339</v>
      </c>
      <c r="F29561" s="28" t="n">
        <f aca="false">Assumptions!$C$59</f>
        <v>57.324</v>
      </c>
      <c r="G29561" s="17" t="n">
        <f aca="false">G29550+G29557+G29555-G29556-G29558-G29559</f>
        <v>57.324</v>
      </c>
      <c r="H29561" s="17" t="n">
        <f aca="false">H29550+H29557+H29555-H29556-H29558-H29559</f>
        <v>57.324</v>
      </c>
      <c r="I29561" s="17" t="n">
        <f aca="false">I29550+I29557+I29555-I29556-I29558-I29559</f>
        <v>57.324</v>
      </c>
      <c r="J29561" s="17" t="n">
        <f aca="false">J29550+J29557+J29555-J29556-J29558-J29559</f>
        <v>57.324</v>
      </c>
      <c r="K29561" s="17" t="n">
        <f aca="false">K29550+K29557+K29555-K29556-K29558-K29559</f>
        <v>57.324</v>
      </c>
    </row>
    <row r="29562" customFormat="false" ht="15" hidden="false" customHeight="false" outlineLevel="0" collapsed="false">
      <c r="A29562" s="24" t="s">
        <v>342</v>
      </c>
      <c r="B29562" s="25"/>
      <c r="C29562" s="25"/>
      <c r="D29562" s="25"/>
      <c r="E29562" s="25"/>
      <c r="F29562" s="25"/>
      <c r="G29562" s="25"/>
      <c r="H29562" s="25"/>
      <c r="I29562" s="25"/>
      <c r="J29562" s="25"/>
      <c r="K29562" s="25"/>
    </row>
    <row r="29563" customFormat="false" ht="15" hidden="false" customHeight="false" outlineLevel="0" collapsed="false">
      <c r="A29563" s="3" t="s">
        <v>329</v>
      </c>
      <c r="G29563" s="16" t="n">
        <f aca="false">F29574</f>
        <v>0</v>
      </c>
      <c r="H29563" s="16" t="n">
        <f aca="false">G29574</f>
        <v>0</v>
      </c>
      <c r="I29563" s="16" t="n">
        <f aca="false">H29574</f>
        <v>0</v>
      </c>
      <c r="J29563" s="16" t="n">
        <f aca="false">I29574</f>
        <v>0</v>
      </c>
      <c r="K29563" s="16" t="n">
        <f aca="false">J29574</f>
        <v>0</v>
      </c>
    </row>
    <row r="29564" customFormat="false" ht="15" hidden="false" customHeight="false" outlineLevel="0" collapsed="false">
      <c r="A29564" s="3" t="s">
        <v>330</v>
      </c>
      <c r="G29564" s="21" t="n">
        <f aca="false">IF(G29488=Assumptions!$K$60,1,0)</f>
        <v>1</v>
      </c>
      <c r="H29564" s="21" t="n">
        <f aca="false">IF(H29488=Assumptions!$K$60,1,0)</f>
        <v>0</v>
      </c>
      <c r="I29564" s="21" t="n">
        <f aca="false">IF(I29488=Assumptions!$K$60,1,0)</f>
        <v>0</v>
      </c>
      <c r="J29564" s="21" t="n">
        <f aca="false">IF(J29488=Assumptions!$K$60,1,0)</f>
        <v>0</v>
      </c>
      <c r="K29564" s="21" t="n">
        <f aca="false">IF(K29488=Assumptions!$K$60,1,0)</f>
        <v>0</v>
      </c>
    </row>
    <row r="29566" customFormat="false" ht="15" hidden="false" customHeight="false" outlineLevel="0" collapsed="false">
      <c r="A29566" s="3" t="s">
        <v>331</v>
      </c>
      <c r="G29566" s="31" t="n">
        <f aca="false">IF(Assumptions!$I$60=1,MAX(G29514,Assumptions!$G$60)+Assumptions!$F$60+$C$29515,Assumptions!$E$60)</f>
        <v>0.084</v>
      </c>
      <c r="H29566" s="31" t="n">
        <f aca="false">IF(G29837=1,$C$29516,IF(Assumptions!$I$60=1,MAX(H29514,Assumptions!$G$60)+Assumptions!$F$60+$C$29515,Assumptions!$E$60))</f>
        <v>0.0825</v>
      </c>
      <c r="I29566" s="31" t="n">
        <f aca="false">IF(H29837=1,$C$29516,IF(Assumptions!$I$60=1,MAX(I29514,Assumptions!$G$60)+Assumptions!$F$60+$C$29515,Assumptions!$E$60))</f>
        <v>0.08</v>
      </c>
      <c r="J29566" s="31" t="n">
        <f aca="false">IF(I29837=1,$C$29516,IF(Assumptions!$I$60=1,MAX(J29514,Assumptions!$G$60)+Assumptions!$F$60+$C$29515,Assumptions!$E$60))</f>
        <v>0.08</v>
      </c>
      <c r="K29566" s="31" t="n">
        <f aca="false">IF(J29837=1,$C$29516,IF(Assumptions!$I$60=1,MAX(K29514,Assumptions!$G$60)+Assumptions!$F$60+$C$29515,Assumptions!$E$60))</f>
        <v>0.08</v>
      </c>
    </row>
    <row r="29567" customFormat="false" ht="15" hidden="false" customHeight="false" outlineLevel="0" collapsed="false">
      <c r="A29567" s="3" t="s">
        <v>332</v>
      </c>
      <c r="G29567" s="16" t="n">
        <f aca="false">G29563*G29566</f>
        <v>0</v>
      </c>
      <c r="H29567" s="16" t="n">
        <f aca="false">H29563*H29566</f>
        <v>0</v>
      </c>
      <c r="I29567" s="16" t="n">
        <f aca="false">I29563*I29566</f>
        <v>0</v>
      </c>
      <c r="J29567" s="16" t="n">
        <f aca="false">J29563*J29566</f>
        <v>0</v>
      </c>
      <c r="K29567" s="16" t="n">
        <f aca="false">K29563*K29566</f>
        <v>0</v>
      </c>
    </row>
    <row r="29568" customFormat="false" ht="15" hidden="false" customHeight="false" outlineLevel="0" collapsed="false">
      <c r="A29568" s="3" t="s">
        <v>333</v>
      </c>
      <c r="G29568" s="16" t="n">
        <f aca="false">G29563*Assumptions!$H$60</f>
        <v>0</v>
      </c>
      <c r="H29568" s="16" t="n">
        <f aca="false">H29563*Assumptions!$H$60</f>
        <v>0</v>
      </c>
      <c r="I29568" s="16" t="n">
        <f aca="false">I29563*Assumptions!$H$60</f>
        <v>0</v>
      </c>
      <c r="J29568" s="16" t="n">
        <f aca="false">J29563*Assumptions!$H$60</f>
        <v>0</v>
      </c>
      <c r="K29568" s="16" t="n">
        <f aca="false">K29563*Assumptions!$H$60</f>
        <v>0</v>
      </c>
    </row>
    <row r="29569" customFormat="false" ht="15" hidden="false" customHeight="false" outlineLevel="0" collapsed="false">
      <c r="A29569" s="3" t="s">
        <v>334</v>
      </c>
      <c r="G29569" s="16" t="n">
        <f aca="false">MIN(G29563,Assumptions!$L$60*Assumptions!$C$60)</f>
        <v>0</v>
      </c>
      <c r="H29569" s="16" t="n">
        <f aca="false">MIN(H29563,Assumptions!$L$60*Assumptions!$C$60)</f>
        <v>0</v>
      </c>
      <c r="I29569" s="16" t="n">
        <f aca="false">MIN(I29563,Assumptions!$L$60*Assumptions!$C$60)</f>
        <v>0</v>
      </c>
      <c r="J29569" s="16" t="n">
        <f aca="false">MIN(J29563,Assumptions!$L$60*Assumptions!$C$60)</f>
        <v>0</v>
      </c>
      <c r="K29569" s="16" t="n">
        <f aca="false">MIN(K29563,Assumptions!$L$60*Assumptions!$C$60)</f>
        <v>0</v>
      </c>
    </row>
    <row r="29570" customFormat="false" ht="15" hidden="false" customHeight="false" outlineLevel="0" collapsed="false">
      <c r="A29570" s="3" t="s">
        <v>335</v>
      </c>
      <c r="G29570" s="16" t="n">
        <f aca="false">IF(AND(Assumptions!$P$60=1,G29488&lt;Assumptions!$K$60),MIN(MAX(0,-G29704),MAX(0,Assumptions!$D$60-G29563)),0)</f>
        <v>0</v>
      </c>
      <c r="H29570" s="16" t="n">
        <f aca="false">IF(AND(Assumptions!$P$60=1,OR(H29488&lt;Assumptions!$K$60,G29837=1)),MIN(MAX(0,-H29704),MAX(0,Assumptions!$D$60-H29563)),0)</f>
        <v>0</v>
      </c>
      <c r="I29570" s="16" t="n">
        <f aca="false">IF(AND(Assumptions!$P$60=1,OR(I29488&lt;Assumptions!$K$60,H29837=1)),MIN(MAX(0,-I29704),MAX(0,Assumptions!$D$60-I29563)),0)</f>
        <v>0</v>
      </c>
      <c r="J29570" s="16" t="n">
        <f aca="false">IF(AND(Assumptions!$P$60=1,OR(J29488&lt;Assumptions!$K$60,I29837=1)),MIN(MAX(0,-J29704),MAX(0,Assumptions!$D$60-J29563)),0)</f>
        <v>0</v>
      </c>
      <c r="K29570" s="16" t="n">
        <f aca="false">IF(AND(Assumptions!$P$60=1,OR(K29488&lt;Assumptions!$K$60,J29837=1)),MIN(MAX(0,-K29704),MAX(0,Assumptions!$D$60-K29563)),0)</f>
        <v>0</v>
      </c>
    </row>
    <row r="29571" customFormat="false" ht="15" hidden="false" customHeight="false" outlineLevel="0" collapsed="false">
      <c r="A29571" s="3" t="s">
        <v>336</v>
      </c>
      <c r="G29571" s="16" t="n">
        <f aca="false">G29564*MIN(G29563-G29569+G29568,MAX(0,G29706-Assumptions!$C$12*G29522-G29532-G29545-G29558))</f>
        <v>0</v>
      </c>
      <c r="H29571" s="16" t="n">
        <f aca="false">H29564*MIN(H29563-H29569+H29568,MAX(0,H29706-Assumptions!$C$12*H29522-H29532-H29545-H29558))</f>
        <v>0</v>
      </c>
      <c r="I29571" s="16" t="n">
        <f aca="false">I29564*MIN(I29563-I29569+I29568,MAX(0,I29706-Assumptions!$C$12*I29522-I29532-I29545-I29558))</f>
        <v>0</v>
      </c>
      <c r="J29571" s="16" t="n">
        <f aca="false">J29564*MIN(J29563-J29569+J29568,MAX(0,J29706-Assumptions!$C$12*J29522-J29532-J29545-J29558))</f>
        <v>0</v>
      </c>
      <c r="K29571" s="16" t="n">
        <f aca="false">K29564*MIN(K29563-K29569+K29568,MAX(0,K29706-Assumptions!$C$12*K29522-K29532-K29545-K29558))</f>
        <v>0</v>
      </c>
    </row>
    <row r="29572" customFormat="false" ht="15" hidden="false" customHeight="false" outlineLevel="0" collapsed="false">
      <c r="A29572" s="3" t="s">
        <v>337</v>
      </c>
      <c r="G29572" s="16" t="n">
        <f aca="false">Assumptions!$N$60*MIN(G29563+G29570+G29568-G29569-G29571,MAX(0,G29710-G29533-G29546-G29559))</f>
        <v>0</v>
      </c>
      <c r="H29572" s="16" t="n">
        <f aca="false">Assumptions!$N$60*MIN(H29563+H29570+H29568-H29569-H29571,MAX(0,H29710-H29533-H29546-H29559))</f>
        <v>0</v>
      </c>
      <c r="I29572" s="16" t="n">
        <f aca="false">Assumptions!$N$60*MIN(I29563+I29570+I29568-I29569-I29571,MAX(0,I29710-I29533-I29546-I29559))</f>
        <v>0</v>
      </c>
      <c r="J29572" s="16" t="n">
        <f aca="false">Assumptions!$N$60*MIN(J29563+J29570+J29568-J29569-J29571,MAX(0,J29710-J29533-J29546-J29559))</f>
        <v>0</v>
      </c>
      <c r="K29572" s="16" t="n">
        <f aca="false">Assumptions!$N$60*MIN(K29563+K29570+K29568-K29569-K29571,MAX(0,K29710-K29533-K29546-K29559))</f>
        <v>0</v>
      </c>
    </row>
    <row r="29573" customFormat="false" ht="15" hidden="false" customHeight="false" outlineLevel="0" collapsed="false">
      <c r="A29573" s="3" t="s">
        <v>338</v>
      </c>
      <c r="G29573" s="16" t="n">
        <f aca="false">G29564*(1-G29522)*(G29563-G29569+G29568-G29571)</f>
        <v>0</v>
      </c>
      <c r="H29573" s="16" t="n">
        <f aca="false">H29564*(1-H29522)*(H29563-H29569+H29568-H29571)</f>
        <v>0</v>
      </c>
      <c r="I29573" s="16" t="n">
        <f aca="false">I29564*(1-I29522)*(I29563-I29569+I29568-I29571)</f>
        <v>0</v>
      </c>
      <c r="J29573" s="16" t="n">
        <f aca="false">J29564*(1-J29522)*(J29563-J29569+J29568-J29571)</f>
        <v>0</v>
      </c>
      <c r="K29573" s="16" t="n">
        <f aca="false">K29564*(1-K29522)*(K29563-K29569+K29568-K29571)</f>
        <v>0</v>
      </c>
    </row>
    <row r="29574" customFormat="false" ht="15" hidden="false" customHeight="false" outlineLevel="0" collapsed="false">
      <c r="A29574" s="2" t="s">
        <v>339</v>
      </c>
      <c r="F29574" s="28" t="n">
        <f aca="false">Assumptions!$C$60</f>
        <v>0</v>
      </c>
      <c r="G29574" s="17" t="n">
        <f aca="false">G29563+G29570+G29568-G29569-G29571-G29572</f>
        <v>0</v>
      </c>
      <c r="H29574" s="17" t="n">
        <f aca="false">H29563+H29570+H29568-H29569-H29571-H29572</f>
        <v>0</v>
      </c>
      <c r="I29574" s="17" t="n">
        <f aca="false">I29563+I29570+I29568-I29569-I29571-I29572</f>
        <v>0</v>
      </c>
      <c r="J29574" s="17" t="n">
        <f aca="false">J29563+J29570+J29568-J29569-J29571-J29572</f>
        <v>0</v>
      </c>
      <c r="K29574" s="17" t="n">
        <f aca="false">K29563+K29570+K29568-K29569-K29571-K29572</f>
        <v>0</v>
      </c>
    </row>
    <row r="29575" customFormat="false" ht="15" hidden="false" customHeight="false" outlineLevel="0" collapsed="false">
      <c r="A29575" s="24" t="s">
        <v>343</v>
      </c>
      <c r="B29575" s="25"/>
      <c r="C29575" s="25"/>
      <c r="D29575" s="25"/>
      <c r="E29575" s="25"/>
      <c r="F29575" s="25"/>
      <c r="G29575" s="25"/>
      <c r="H29575" s="25"/>
      <c r="I29575" s="25"/>
      <c r="J29575" s="25"/>
      <c r="K29575" s="25"/>
    </row>
    <row r="29576" customFormat="false" ht="15" hidden="false" customHeight="false" outlineLevel="0" collapsed="false">
      <c r="A29576" s="3" t="s">
        <v>329</v>
      </c>
      <c r="G29576" s="16" t="n">
        <f aca="false">F29587</f>
        <v>450</v>
      </c>
      <c r="H29576" s="16" t="n">
        <f aca="false">G29587</f>
        <v>450</v>
      </c>
      <c r="I29576" s="16" t="n">
        <f aca="false">H29587</f>
        <v>434.9547587</v>
      </c>
      <c r="J29576" s="16" t="n">
        <f aca="false">I29587</f>
        <v>434.9547587</v>
      </c>
      <c r="K29576" s="16" t="n">
        <f aca="false">J29587</f>
        <v>434.9547587</v>
      </c>
    </row>
    <row r="29577" customFormat="false" ht="15" hidden="false" customHeight="false" outlineLevel="0" collapsed="false">
      <c r="A29577" s="3" t="s">
        <v>330</v>
      </c>
      <c r="G29577" s="21" t="n">
        <f aca="false">IF(G29488=Assumptions!$K$61,1,0)</f>
        <v>0</v>
      </c>
      <c r="H29577" s="21" t="n">
        <f aca="false">IF(H29488=Assumptions!$K$61,1,0)</f>
        <v>1</v>
      </c>
      <c r="I29577" s="21" t="n">
        <f aca="false">IF(I29488=Assumptions!$K$61,1,0)</f>
        <v>0</v>
      </c>
      <c r="J29577" s="21" t="n">
        <f aca="false">IF(J29488=Assumptions!$K$61,1,0)</f>
        <v>0</v>
      </c>
      <c r="K29577" s="21" t="n">
        <f aca="false">IF(K29488=Assumptions!$K$61,1,0)</f>
        <v>0</v>
      </c>
    </row>
    <row r="29579" customFormat="false" ht="15" hidden="false" customHeight="false" outlineLevel="0" collapsed="false">
      <c r="A29579" s="3" t="s">
        <v>331</v>
      </c>
      <c r="G29579" s="31" t="n">
        <f aca="false">IF(Assumptions!$I$61=1,MAX(G29514,Assumptions!$G$61)+Assumptions!$F$61+$C$29515,Assumptions!$E$61)</f>
        <v>0.0395</v>
      </c>
      <c r="H29579" s="31" t="n">
        <f aca="false">IF(G29838=1,$C$29516,IF(Assumptions!$I$61=1,MAX(H29514,Assumptions!$G$61)+Assumptions!$F$61+$C$29515,Assumptions!$E$61))</f>
        <v>0.0395</v>
      </c>
      <c r="I29579" s="31" t="n">
        <f aca="false">IF(H29838=1,$C$29516,IF(Assumptions!$I$61=1,MAX(I29514,Assumptions!$G$61)+Assumptions!$F$61+$C$29515,Assumptions!$E$61))</f>
        <v>0.0395</v>
      </c>
      <c r="J29579" s="31" t="n">
        <f aca="false">IF(I29838=1,$C$29516,IF(Assumptions!$I$61=1,MAX(J29514,Assumptions!$G$61)+Assumptions!$F$61+$C$29515,Assumptions!$E$61))</f>
        <v>0.0395</v>
      </c>
      <c r="K29579" s="31" t="n">
        <f aca="false">IF(J29838=1,$C$29516,IF(Assumptions!$I$61=1,MAX(K29514,Assumptions!$G$61)+Assumptions!$F$61+$C$29515,Assumptions!$E$61))</f>
        <v>0.0395</v>
      </c>
    </row>
    <row r="29580" customFormat="false" ht="15" hidden="false" customHeight="false" outlineLevel="0" collapsed="false">
      <c r="A29580" s="3" t="s">
        <v>332</v>
      </c>
      <c r="G29580" s="16" t="n">
        <f aca="false">G29576*G29579</f>
        <v>17.775</v>
      </c>
      <c r="H29580" s="16" t="n">
        <f aca="false">H29576*H29579</f>
        <v>17.775</v>
      </c>
      <c r="I29580" s="16" t="n">
        <f aca="false">I29576*I29579</f>
        <v>17.18071296865</v>
      </c>
      <c r="J29580" s="16" t="n">
        <f aca="false">J29576*J29579</f>
        <v>17.18071296865</v>
      </c>
      <c r="K29580" s="16" t="n">
        <f aca="false">K29576*K29579</f>
        <v>17.18071296865</v>
      </c>
    </row>
    <row r="29581" customFormat="false" ht="15" hidden="false" customHeight="false" outlineLevel="0" collapsed="false">
      <c r="A29581" s="3" t="s">
        <v>333</v>
      </c>
      <c r="G29581" s="16" t="n">
        <f aca="false">G29576*Assumptions!$H$61</f>
        <v>0</v>
      </c>
      <c r="H29581" s="16" t="n">
        <f aca="false">H29576*Assumptions!$H$61</f>
        <v>0</v>
      </c>
      <c r="I29581" s="16" t="n">
        <f aca="false">I29576*Assumptions!$H$61</f>
        <v>0</v>
      </c>
      <c r="J29581" s="16" t="n">
        <f aca="false">J29576*Assumptions!$H$61</f>
        <v>0</v>
      </c>
      <c r="K29581" s="16" t="n">
        <f aca="false">K29576*Assumptions!$H$61</f>
        <v>0</v>
      </c>
    </row>
    <row r="29582" customFormat="false" ht="15" hidden="false" customHeight="false" outlineLevel="0" collapsed="false">
      <c r="A29582" s="3" t="s">
        <v>334</v>
      </c>
      <c r="G29582" s="16" t="n">
        <f aca="false">MIN(G29576,Assumptions!$L$61*Assumptions!$C$61)</f>
        <v>0</v>
      </c>
      <c r="H29582" s="16" t="n">
        <f aca="false">MIN(H29576,Assumptions!$L$61*Assumptions!$C$61)</f>
        <v>0</v>
      </c>
      <c r="I29582" s="16" t="n">
        <f aca="false">MIN(I29576,Assumptions!$L$61*Assumptions!$C$61)</f>
        <v>0</v>
      </c>
      <c r="J29582" s="16" t="n">
        <f aca="false">MIN(J29576,Assumptions!$L$61*Assumptions!$C$61)</f>
        <v>0</v>
      </c>
      <c r="K29582" s="16" t="n">
        <f aca="false">MIN(K29576,Assumptions!$L$61*Assumptions!$C$61)</f>
        <v>0</v>
      </c>
    </row>
    <row r="29583" customFormat="false" ht="15" hidden="false" customHeight="false" outlineLevel="0" collapsed="false">
      <c r="A29583" s="3" t="s">
        <v>335</v>
      </c>
      <c r="G29583" s="16" t="n">
        <f aca="false">IF(AND(Assumptions!$P$61=1,G29488&lt;Assumptions!$K$61),MIN(MAX(0,-G29704),MAX(0,Assumptions!$D$61-G29576)),0)</f>
        <v>0</v>
      </c>
      <c r="H29583" s="16" t="n">
        <f aca="false">IF(AND(Assumptions!$P$61=1,OR(H29488&lt;Assumptions!$K$61,G29838=1)),MIN(MAX(0,-H29704),MAX(0,Assumptions!$D$61-H29576)),0)</f>
        <v>0</v>
      </c>
      <c r="I29583" s="16" t="n">
        <f aca="false">IF(AND(Assumptions!$P$61=1,OR(I29488&lt;Assumptions!$K$61,H29838=1)),MIN(MAX(0,-I29704),MAX(0,Assumptions!$D$61-I29576)),0)</f>
        <v>0</v>
      </c>
      <c r="J29583" s="16" t="n">
        <f aca="false">IF(AND(Assumptions!$P$61=1,OR(J29488&lt;Assumptions!$K$61,I29838=1)),MIN(MAX(0,-J29704),MAX(0,Assumptions!$D$61-J29576)),0)</f>
        <v>0</v>
      </c>
      <c r="K29583" s="16" t="n">
        <f aca="false">IF(AND(Assumptions!$P$61=1,OR(K29488&lt;Assumptions!$K$61,J29838=1)),MIN(MAX(0,-K29704),MAX(0,Assumptions!$D$61-K29576)),0)</f>
        <v>0</v>
      </c>
    </row>
    <row r="29584" customFormat="false" ht="15" hidden="false" customHeight="false" outlineLevel="0" collapsed="false">
      <c r="A29584" s="3" t="s">
        <v>336</v>
      </c>
      <c r="G29584" s="16" t="n">
        <f aca="false">G29577*MIN(G29576-G29582+G29581,MAX(0,G29706-Assumptions!$C$12*G29522-G29532-G29545-G29558-G29571))</f>
        <v>0</v>
      </c>
      <c r="H29584" s="16" t="n">
        <f aca="false">H29577*MIN(H29576-H29582+H29581,MAX(0,H29706-Assumptions!$C$12*H29522-H29532-H29545-H29558-H29571))</f>
        <v>15.0452413</v>
      </c>
      <c r="I29584" s="16" t="n">
        <f aca="false">I29577*MIN(I29576-I29582+I29581,MAX(0,I29706-Assumptions!$C$12*I29522-I29532-I29545-I29558-I29571))</f>
        <v>0</v>
      </c>
      <c r="J29584" s="16" t="n">
        <f aca="false">J29577*MIN(J29576-J29582+J29581,MAX(0,J29706-Assumptions!$C$12*J29522-J29532-J29545-J29558-J29571))</f>
        <v>0</v>
      </c>
      <c r="K29584" s="16" t="n">
        <f aca="false">K29577*MIN(K29576-K29582+K29581,MAX(0,K29706-Assumptions!$C$12*K29522-K29532-K29545-K29558-K29571))</f>
        <v>0</v>
      </c>
    </row>
    <row r="29585" customFormat="false" ht="15" hidden="false" customHeight="false" outlineLevel="0" collapsed="false">
      <c r="A29585" s="3" t="s">
        <v>337</v>
      </c>
      <c r="G29585" s="16" t="n">
        <f aca="false">Assumptions!$N$61*MIN(G29576+G29583+G29581-G29582-G29584,MAX(0,G29710-G29533-G29546-G29559-G29572))</f>
        <v>0</v>
      </c>
      <c r="H29585" s="16" t="n">
        <f aca="false">Assumptions!$N$61*MIN(H29576+H29583+H29581-H29582-H29584,MAX(0,H29710-H29533-H29546-H29559-H29572))</f>
        <v>0</v>
      </c>
      <c r="I29585" s="16" t="n">
        <f aca="false">Assumptions!$N$61*MIN(I29576+I29583+I29581-I29582-I29584,MAX(0,I29710-I29533-I29546-I29559-I29572))</f>
        <v>0</v>
      </c>
      <c r="J29585" s="16" t="n">
        <f aca="false">Assumptions!$N$61*MIN(J29576+J29583+J29581-J29582-J29584,MAX(0,J29710-J29533-J29546-J29559-J29572))</f>
        <v>0</v>
      </c>
      <c r="K29585" s="16" t="n">
        <f aca="false">Assumptions!$N$61*MIN(K29576+K29583+K29581-K29582-K29584,MAX(0,K29710-K29533-K29546-K29559-K29572))</f>
        <v>0</v>
      </c>
    </row>
    <row r="29586" customFormat="false" ht="15" hidden="false" customHeight="false" outlineLevel="0" collapsed="false">
      <c r="A29586" s="3" t="s">
        <v>338</v>
      </c>
      <c r="G29586" s="16" t="n">
        <f aca="false">G29577*(1-G29522)*(G29576-G29582+G29581-G29584)</f>
        <v>0</v>
      </c>
      <c r="H29586" s="16" t="n">
        <f aca="false">H29577*(1-H29522)*(H29576-H29582+H29581-H29584)</f>
        <v>434.9547587</v>
      </c>
      <c r="I29586" s="16" t="n">
        <f aca="false">I29577*(1-I29522)*(I29576-I29582+I29581-I29584)</f>
        <v>0</v>
      </c>
      <c r="J29586" s="16" t="n">
        <f aca="false">J29577*(1-J29522)*(J29576-J29582+J29581-J29584)</f>
        <v>0</v>
      </c>
      <c r="K29586" s="16" t="n">
        <f aca="false">K29577*(1-K29522)*(K29576-K29582+K29581-K29584)</f>
        <v>0</v>
      </c>
    </row>
    <row r="29587" customFormat="false" ht="15" hidden="false" customHeight="false" outlineLevel="0" collapsed="false">
      <c r="A29587" s="2" t="s">
        <v>339</v>
      </c>
      <c r="F29587" s="28" t="n">
        <f aca="false">Assumptions!$C$61</f>
        <v>450</v>
      </c>
      <c r="G29587" s="17" t="n">
        <f aca="false">G29576+G29583+G29581-G29582-G29584-G29585</f>
        <v>450</v>
      </c>
      <c r="H29587" s="17" t="n">
        <f aca="false">H29576+H29583+H29581-H29582-H29584-H29585</f>
        <v>434.9547587</v>
      </c>
      <c r="I29587" s="17" t="n">
        <f aca="false">I29576+I29583+I29581-I29582-I29584-I29585</f>
        <v>434.9547587</v>
      </c>
      <c r="J29587" s="17" t="n">
        <f aca="false">J29576+J29583+J29581-J29582-J29584-J29585</f>
        <v>434.9547587</v>
      </c>
      <c r="K29587" s="17" t="n">
        <f aca="false">K29576+K29583+K29581-K29582-K29584-K29585</f>
        <v>434.9547587</v>
      </c>
    </row>
    <row r="29588" customFormat="false" ht="15" hidden="false" customHeight="false" outlineLevel="0" collapsed="false">
      <c r="A29588" s="24" t="s">
        <v>344</v>
      </c>
      <c r="B29588" s="25"/>
      <c r="C29588" s="25"/>
      <c r="D29588" s="25"/>
      <c r="E29588" s="25"/>
      <c r="F29588" s="25"/>
      <c r="G29588" s="25"/>
      <c r="H29588" s="25"/>
      <c r="I29588" s="25"/>
      <c r="J29588" s="25"/>
      <c r="K29588" s="25"/>
    </row>
    <row r="29589" customFormat="false" ht="15" hidden="false" customHeight="false" outlineLevel="0" collapsed="false">
      <c r="A29589" s="3" t="s">
        <v>329</v>
      </c>
      <c r="G29589" s="16" t="n">
        <f aca="false">F29600</f>
        <v>350</v>
      </c>
      <c r="H29589" s="16" t="n">
        <f aca="false">G29600</f>
        <v>350</v>
      </c>
      <c r="I29589" s="16" t="n">
        <f aca="false">H29600</f>
        <v>350</v>
      </c>
      <c r="J29589" s="16" t="n">
        <f aca="false">I29600</f>
        <v>350</v>
      </c>
      <c r="K29589" s="16" t="n">
        <f aca="false">J29600</f>
        <v>350</v>
      </c>
    </row>
    <row r="29590" customFormat="false" ht="15" hidden="false" customHeight="false" outlineLevel="0" collapsed="false">
      <c r="A29590" s="3" t="s">
        <v>330</v>
      </c>
      <c r="G29590" s="21" t="n">
        <f aca="false">IF(G29488=Assumptions!$K$62,1,0)</f>
        <v>0</v>
      </c>
      <c r="H29590" s="21" t="n">
        <f aca="false">IF(H29488=Assumptions!$K$62,1,0)</f>
        <v>1</v>
      </c>
      <c r="I29590" s="21" t="n">
        <f aca="false">IF(I29488=Assumptions!$K$62,1,0)</f>
        <v>0</v>
      </c>
      <c r="J29590" s="21" t="n">
        <f aca="false">IF(J29488=Assumptions!$K$62,1,0)</f>
        <v>0</v>
      </c>
      <c r="K29590" s="21" t="n">
        <f aca="false">IF(K29488=Assumptions!$K$62,1,0)</f>
        <v>0</v>
      </c>
    </row>
    <row r="29592" customFormat="false" ht="15" hidden="false" customHeight="false" outlineLevel="0" collapsed="false">
      <c r="A29592" s="3" t="s">
        <v>331</v>
      </c>
      <c r="G29592" s="31" t="n">
        <f aca="false">IF(Assumptions!$I$62=1,MAX(G29514,Assumptions!$G$62)+Assumptions!$F$62+$C$29515,Assumptions!$E$62)</f>
        <v>0.083</v>
      </c>
      <c r="H29592" s="31" t="n">
        <f aca="false">IF(G29839=1,$C$29516,IF(Assumptions!$I$62=1,MAX(H29514,Assumptions!$G$62)+Assumptions!$F$62+$C$29515,Assumptions!$E$62))</f>
        <v>0.083</v>
      </c>
      <c r="I29592" s="31" t="n">
        <f aca="false">IF(H29839=1,$C$29516,IF(Assumptions!$I$62=1,MAX(I29514,Assumptions!$G$62)+Assumptions!$F$62+$C$29515,Assumptions!$E$62))</f>
        <v>0.083</v>
      </c>
      <c r="J29592" s="31" t="n">
        <f aca="false">IF(I29839=1,$C$29516,IF(Assumptions!$I$62=1,MAX(J29514,Assumptions!$G$62)+Assumptions!$F$62+$C$29515,Assumptions!$E$62))</f>
        <v>0.083</v>
      </c>
      <c r="K29592" s="31" t="n">
        <f aca="false">IF(J29839=1,$C$29516,IF(Assumptions!$I$62=1,MAX(K29514,Assumptions!$G$62)+Assumptions!$F$62+$C$29515,Assumptions!$E$62))</f>
        <v>0.083</v>
      </c>
    </row>
    <row r="29593" customFormat="false" ht="15" hidden="false" customHeight="false" outlineLevel="0" collapsed="false">
      <c r="A29593" s="3" t="s">
        <v>332</v>
      </c>
      <c r="G29593" s="16" t="n">
        <f aca="false">G29589*G29592</f>
        <v>29.05</v>
      </c>
      <c r="H29593" s="16" t="n">
        <f aca="false">H29589*H29592</f>
        <v>29.05</v>
      </c>
      <c r="I29593" s="16" t="n">
        <f aca="false">I29589*I29592</f>
        <v>29.05</v>
      </c>
      <c r="J29593" s="16" t="n">
        <f aca="false">J29589*J29592</f>
        <v>29.05</v>
      </c>
      <c r="K29593" s="16" t="n">
        <f aca="false">K29589*K29592</f>
        <v>29.05</v>
      </c>
    </row>
    <row r="29594" customFormat="false" ht="15" hidden="false" customHeight="false" outlineLevel="0" collapsed="false">
      <c r="A29594" s="3" t="s">
        <v>333</v>
      </c>
      <c r="G29594" s="16" t="n">
        <f aca="false">G29589*Assumptions!$H$62</f>
        <v>0</v>
      </c>
      <c r="H29594" s="16" t="n">
        <f aca="false">H29589*Assumptions!$H$62</f>
        <v>0</v>
      </c>
      <c r="I29594" s="16" t="n">
        <f aca="false">I29589*Assumptions!$H$62</f>
        <v>0</v>
      </c>
      <c r="J29594" s="16" t="n">
        <f aca="false">J29589*Assumptions!$H$62</f>
        <v>0</v>
      </c>
      <c r="K29594" s="16" t="n">
        <f aca="false">K29589*Assumptions!$H$62</f>
        <v>0</v>
      </c>
    </row>
    <row r="29595" customFormat="false" ht="15" hidden="false" customHeight="false" outlineLevel="0" collapsed="false">
      <c r="A29595" s="3" t="s">
        <v>334</v>
      </c>
      <c r="G29595" s="16" t="n">
        <f aca="false">MIN(G29589,Assumptions!$L$62*Assumptions!$C$62)</f>
        <v>0</v>
      </c>
      <c r="H29595" s="16" t="n">
        <f aca="false">MIN(H29589,Assumptions!$L$62*Assumptions!$C$62)</f>
        <v>0</v>
      </c>
      <c r="I29595" s="16" t="n">
        <f aca="false">MIN(I29589,Assumptions!$L$62*Assumptions!$C$62)</f>
        <v>0</v>
      </c>
      <c r="J29595" s="16" t="n">
        <f aca="false">MIN(J29589,Assumptions!$L$62*Assumptions!$C$62)</f>
        <v>0</v>
      </c>
      <c r="K29595" s="16" t="n">
        <f aca="false">MIN(K29589,Assumptions!$L$62*Assumptions!$C$62)</f>
        <v>0</v>
      </c>
    </row>
    <row r="29596" customFormat="false" ht="15" hidden="false" customHeight="false" outlineLevel="0" collapsed="false">
      <c r="A29596" s="3" t="s">
        <v>335</v>
      </c>
      <c r="G29596" s="16" t="n">
        <f aca="false">IF(AND(Assumptions!$P$62=1,G29488&lt;Assumptions!$K$62),MIN(MAX(0,-G29704),MAX(0,Assumptions!$D$62-G29589)),0)</f>
        <v>0</v>
      </c>
      <c r="H29596" s="16" t="n">
        <f aca="false">IF(AND(Assumptions!$P$62=1,OR(H29488&lt;Assumptions!$K$62,G29839=1)),MIN(MAX(0,-H29704),MAX(0,Assumptions!$D$62-H29589)),0)</f>
        <v>0</v>
      </c>
      <c r="I29596" s="16" t="n">
        <f aca="false">IF(AND(Assumptions!$P$62=1,OR(I29488&lt;Assumptions!$K$62,H29839=1)),MIN(MAX(0,-I29704),MAX(0,Assumptions!$D$62-I29589)),0)</f>
        <v>0</v>
      </c>
      <c r="J29596" s="16" t="n">
        <f aca="false">IF(AND(Assumptions!$P$62=1,OR(J29488&lt;Assumptions!$K$62,I29839=1)),MIN(MAX(0,-J29704),MAX(0,Assumptions!$D$62-J29589)),0)</f>
        <v>0</v>
      </c>
      <c r="K29596" s="16" t="n">
        <f aca="false">IF(AND(Assumptions!$P$62=1,OR(K29488&lt;Assumptions!$K$62,J29839=1)),MIN(MAX(0,-K29704),MAX(0,Assumptions!$D$62-K29589)),0)</f>
        <v>0</v>
      </c>
    </row>
    <row r="29597" customFormat="false" ht="15" hidden="false" customHeight="false" outlineLevel="0" collapsed="false">
      <c r="A29597" s="3" t="s">
        <v>336</v>
      </c>
      <c r="G29597" s="16" t="n">
        <f aca="false">G29590*MIN(G29589-G29595+G29594,MAX(0,G29706-Assumptions!$C$12*G29522-G29532-G29545-G29558-G29571-G29584))</f>
        <v>0</v>
      </c>
      <c r="H29597" s="16" t="n">
        <f aca="false">H29590*MIN(H29589-H29595+H29594,MAX(0,H29706-Assumptions!$C$12*H29522-H29532-H29545-H29558-H29571-H29584))</f>
        <v>0</v>
      </c>
      <c r="I29597" s="16" t="n">
        <f aca="false">I29590*MIN(I29589-I29595+I29594,MAX(0,I29706-Assumptions!$C$12*I29522-I29532-I29545-I29558-I29571-I29584))</f>
        <v>0</v>
      </c>
      <c r="J29597" s="16" t="n">
        <f aca="false">J29590*MIN(J29589-J29595+J29594,MAX(0,J29706-Assumptions!$C$12*J29522-J29532-J29545-J29558-J29571-J29584))</f>
        <v>0</v>
      </c>
      <c r="K29597" s="16" t="n">
        <f aca="false">K29590*MIN(K29589-K29595+K29594,MAX(0,K29706-Assumptions!$C$12*K29522-K29532-K29545-K29558-K29571-K29584))</f>
        <v>0</v>
      </c>
    </row>
    <row r="29598" customFormat="false" ht="15" hidden="false" customHeight="false" outlineLevel="0" collapsed="false">
      <c r="A29598" s="3" t="s">
        <v>337</v>
      </c>
      <c r="G29598" s="16" t="n">
        <f aca="false">Assumptions!$N$62*MIN(G29589+G29596+G29594-G29595-G29597,MAX(0,G29710-G29533-G29546-G29559-G29572-G29585))</f>
        <v>0</v>
      </c>
      <c r="H29598" s="16" t="n">
        <f aca="false">Assumptions!$N$62*MIN(H29589+H29596+H29594-H29595-H29597,MAX(0,H29710-H29533-H29546-H29559-H29572-H29585))</f>
        <v>0</v>
      </c>
      <c r="I29598" s="16" t="n">
        <f aca="false">Assumptions!$N$62*MIN(I29589+I29596+I29594-I29595-I29597,MAX(0,I29710-I29533-I29546-I29559-I29572-I29585))</f>
        <v>0</v>
      </c>
      <c r="J29598" s="16" t="n">
        <f aca="false">Assumptions!$N$62*MIN(J29589+J29596+J29594-J29595-J29597,MAX(0,J29710-J29533-J29546-J29559-J29572-J29585))</f>
        <v>0</v>
      </c>
      <c r="K29598" s="16" t="n">
        <f aca="false">Assumptions!$N$62*MIN(K29589+K29596+K29594-K29595-K29597,MAX(0,K29710-K29533-K29546-K29559-K29572-K29585))</f>
        <v>0</v>
      </c>
    </row>
    <row r="29599" customFormat="false" ht="15" hidden="false" customHeight="false" outlineLevel="0" collapsed="false">
      <c r="A29599" s="3" t="s">
        <v>338</v>
      </c>
      <c r="G29599" s="16" t="n">
        <f aca="false">G29590*(1-G29522)*(G29589-G29595+G29594-G29597)</f>
        <v>0</v>
      </c>
      <c r="H29599" s="16" t="n">
        <f aca="false">H29590*(1-H29522)*(H29589-H29595+H29594-H29597)</f>
        <v>350</v>
      </c>
      <c r="I29599" s="16" t="n">
        <f aca="false">I29590*(1-I29522)*(I29589-I29595+I29594-I29597)</f>
        <v>0</v>
      </c>
      <c r="J29599" s="16" t="n">
        <f aca="false">J29590*(1-J29522)*(J29589-J29595+J29594-J29597)</f>
        <v>0</v>
      </c>
      <c r="K29599" s="16" t="n">
        <f aca="false">K29590*(1-K29522)*(K29589-K29595+K29594-K29597)</f>
        <v>0</v>
      </c>
    </row>
    <row r="29600" customFormat="false" ht="15" hidden="false" customHeight="false" outlineLevel="0" collapsed="false">
      <c r="A29600" s="2" t="s">
        <v>339</v>
      </c>
      <c r="F29600" s="28" t="n">
        <f aca="false">Assumptions!$C$62</f>
        <v>350</v>
      </c>
      <c r="G29600" s="17" t="n">
        <f aca="false">G29589+G29596+G29594-G29595-G29597-G29598</f>
        <v>350</v>
      </c>
      <c r="H29600" s="17" t="n">
        <f aca="false">H29589+H29596+H29594-H29595-H29597-H29598</f>
        <v>350</v>
      </c>
      <c r="I29600" s="17" t="n">
        <f aca="false">I29589+I29596+I29594-I29595-I29597-I29598</f>
        <v>350</v>
      </c>
      <c r="J29600" s="17" t="n">
        <f aca="false">J29589+J29596+J29594-J29595-J29597-J29598</f>
        <v>350</v>
      </c>
      <c r="K29600" s="17" t="n">
        <f aca="false">K29589+K29596+K29594-K29595-K29597-K29598</f>
        <v>350</v>
      </c>
    </row>
    <row r="29601" customFormat="false" ht="15" hidden="false" customHeight="false" outlineLevel="0" collapsed="false">
      <c r="A29601" s="24" t="s">
        <v>345</v>
      </c>
      <c r="B29601" s="25"/>
      <c r="C29601" s="25"/>
      <c r="D29601" s="25"/>
      <c r="E29601" s="25"/>
      <c r="F29601" s="25"/>
      <c r="G29601" s="25"/>
      <c r="H29601" s="25"/>
      <c r="I29601" s="25"/>
      <c r="J29601" s="25"/>
      <c r="K29601" s="25"/>
    </row>
    <row r="29602" customFormat="false" ht="15" hidden="false" customHeight="false" outlineLevel="0" collapsed="false">
      <c r="A29602" s="3" t="s">
        <v>329</v>
      </c>
      <c r="G29602" s="16" t="n">
        <f aca="false">F29613</f>
        <v>550</v>
      </c>
      <c r="H29602" s="16" t="n">
        <f aca="false">G29613</f>
        <v>550</v>
      </c>
      <c r="I29602" s="16" t="n">
        <f aca="false">H29613</f>
        <v>550</v>
      </c>
      <c r="J29602" s="16" t="n">
        <f aca="false">I29613</f>
        <v>550</v>
      </c>
      <c r="K29602" s="16" t="n">
        <f aca="false">J29613</f>
        <v>550</v>
      </c>
    </row>
    <row r="29603" customFormat="false" ht="15" hidden="false" customHeight="false" outlineLevel="0" collapsed="false">
      <c r="A29603" s="3" t="s">
        <v>330</v>
      </c>
      <c r="G29603" s="21" t="n">
        <f aca="false">IF(G29488=Assumptions!$K$63,1,0)</f>
        <v>0</v>
      </c>
      <c r="H29603" s="21" t="n">
        <f aca="false">IF(H29488=Assumptions!$K$63,1,0)</f>
        <v>0</v>
      </c>
      <c r="I29603" s="21" t="n">
        <f aca="false">IF(I29488=Assumptions!$K$63,1,0)</f>
        <v>1</v>
      </c>
      <c r="J29603" s="21" t="n">
        <f aca="false">IF(J29488=Assumptions!$K$63,1,0)</f>
        <v>0</v>
      </c>
      <c r="K29603" s="21" t="n">
        <f aca="false">IF(K29488=Assumptions!$K$63,1,0)</f>
        <v>0</v>
      </c>
    </row>
    <row r="29605" customFormat="false" ht="15" hidden="false" customHeight="false" outlineLevel="0" collapsed="false">
      <c r="A29605" s="3" t="s">
        <v>331</v>
      </c>
      <c r="G29605" s="31" t="n">
        <f aca="false">IF(Assumptions!$I$63=1,MAX(G29514,Assumptions!$G$63)+Assumptions!$F$63+$C$29515,Assumptions!$E$63)</f>
        <v>0.08875</v>
      </c>
      <c r="H29605" s="31" t="n">
        <f aca="false">IF(G29840=1,$C$29516,IF(Assumptions!$I$63=1,MAX(H29514,Assumptions!$G$63)+Assumptions!$F$63+$C$29515,Assumptions!$E$63))</f>
        <v>0.08875</v>
      </c>
      <c r="I29605" s="31" t="n">
        <f aca="false">IF(H29840=1,$C$29516,IF(Assumptions!$I$63=1,MAX(I29514,Assumptions!$G$63)+Assumptions!$F$63+$C$29515,Assumptions!$E$63))</f>
        <v>0.08875</v>
      </c>
      <c r="J29605" s="31" t="n">
        <f aca="false">IF(I29840=1,$C$29516,IF(Assumptions!$I$63=1,MAX(J29514,Assumptions!$G$63)+Assumptions!$F$63+$C$29515,Assumptions!$E$63))</f>
        <v>0.08875</v>
      </c>
      <c r="K29605" s="31" t="n">
        <f aca="false">IF(J29840=1,$C$29516,IF(Assumptions!$I$63=1,MAX(K29514,Assumptions!$G$63)+Assumptions!$F$63+$C$29515,Assumptions!$E$63))</f>
        <v>0.08875</v>
      </c>
    </row>
    <row r="29606" customFormat="false" ht="15" hidden="false" customHeight="false" outlineLevel="0" collapsed="false">
      <c r="A29606" s="3" t="s">
        <v>332</v>
      </c>
      <c r="G29606" s="16" t="n">
        <f aca="false">G29602*G29605</f>
        <v>48.8125</v>
      </c>
      <c r="H29606" s="16" t="n">
        <f aca="false">H29602*H29605</f>
        <v>48.8125</v>
      </c>
      <c r="I29606" s="16" t="n">
        <f aca="false">I29602*I29605</f>
        <v>48.8125</v>
      </c>
      <c r="J29606" s="16" t="n">
        <f aca="false">J29602*J29605</f>
        <v>48.8125</v>
      </c>
      <c r="K29606" s="16" t="n">
        <f aca="false">K29602*K29605</f>
        <v>48.8125</v>
      </c>
    </row>
    <row r="29607" customFormat="false" ht="15" hidden="false" customHeight="false" outlineLevel="0" collapsed="false">
      <c r="A29607" s="3" t="s">
        <v>333</v>
      </c>
      <c r="G29607" s="16" t="n">
        <f aca="false">G29602*Assumptions!$H$63</f>
        <v>0</v>
      </c>
      <c r="H29607" s="16" t="n">
        <f aca="false">H29602*Assumptions!$H$63</f>
        <v>0</v>
      </c>
      <c r="I29607" s="16" t="n">
        <f aca="false">I29602*Assumptions!$H$63</f>
        <v>0</v>
      </c>
      <c r="J29607" s="16" t="n">
        <f aca="false">J29602*Assumptions!$H$63</f>
        <v>0</v>
      </c>
      <c r="K29607" s="16" t="n">
        <f aca="false">K29602*Assumptions!$H$63</f>
        <v>0</v>
      </c>
    </row>
    <row r="29608" customFormat="false" ht="15" hidden="false" customHeight="false" outlineLevel="0" collapsed="false">
      <c r="A29608" s="3" t="s">
        <v>334</v>
      </c>
      <c r="G29608" s="16" t="n">
        <f aca="false">MIN(G29602,Assumptions!$L$63*Assumptions!$C$63)</f>
        <v>0</v>
      </c>
      <c r="H29608" s="16" t="n">
        <f aca="false">MIN(H29602,Assumptions!$L$63*Assumptions!$C$63)</f>
        <v>0</v>
      </c>
      <c r="I29608" s="16" t="n">
        <f aca="false">MIN(I29602,Assumptions!$L$63*Assumptions!$C$63)</f>
        <v>0</v>
      </c>
      <c r="J29608" s="16" t="n">
        <f aca="false">MIN(J29602,Assumptions!$L$63*Assumptions!$C$63)</f>
        <v>0</v>
      </c>
      <c r="K29608" s="16" t="n">
        <f aca="false">MIN(K29602,Assumptions!$L$63*Assumptions!$C$63)</f>
        <v>0</v>
      </c>
    </row>
    <row r="29609" customFormat="false" ht="15" hidden="false" customHeight="false" outlineLevel="0" collapsed="false">
      <c r="A29609" s="3" t="s">
        <v>335</v>
      </c>
      <c r="G29609" s="16" t="n">
        <f aca="false">IF(AND(Assumptions!$P$63=1,G29488&lt;Assumptions!$K$63),MIN(MAX(0,-G29704),MAX(0,Assumptions!$D$63-G29602)),0)</f>
        <v>0</v>
      </c>
      <c r="H29609" s="16" t="n">
        <f aca="false">IF(AND(Assumptions!$P$63=1,OR(H29488&lt;Assumptions!$K$63,G29840=1)),MIN(MAX(0,-H29704),MAX(0,Assumptions!$D$63-H29602)),0)</f>
        <v>0</v>
      </c>
      <c r="I29609" s="16" t="n">
        <f aca="false">IF(AND(Assumptions!$P$63=1,OR(I29488&lt;Assumptions!$K$63,H29840=1)),MIN(MAX(0,-I29704),MAX(0,Assumptions!$D$63-I29602)),0)</f>
        <v>0</v>
      </c>
      <c r="J29609" s="16" t="n">
        <f aca="false">IF(AND(Assumptions!$P$63=1,OR(J29488&lt;Assumptions!$K$63,I29840=1)),MIN(MAX(0,-J29704),MAX(0,Assumptions!$D$63-J29602)),0)</f>
        <v>0</v>
      </c>
      <c r="K29609" s="16" t="n">
        <f aca="false">IF(AND(Assumptions!$P$63=1,OR(K29488&lt;Assumptions!$K$63,J29840=1)),MIN(MAX(0,-K29704),MAX(0,Assumptions!$D$63-K29602)),0)</f>
        <v>0</v>
      </c>
    </row>
    <row r="29610" customFormat="false" ht="15" hidden="false" customHeight="false" outlineLevel="0" collapsed="false">
      <c r="A29610" s="3" t="s">
        <v>336</v>
      </c>
      <c r="G29610" s="16" t="n">
        <f aca="false">G29603*MIN(G29602-G29608+G29607,MAX(0,G29706-Assumptions!$C$12*G29522-G29532-G29545-G29558-G29571-G29584-G29597))</f>
        <v>0</v>
      </c>
      <c r="H29610" s="16" t="n">
        <f aca="false">H29603*MIN(H29602-H29608+H29607,MAX(0,H29706-Assumptions!$C$12*H29522-H29532-H29545-H29558-H29571-H29584-H29597))</f>
        <v>0</v>
      </c>
      <c r="I29610" s="16" t="n">
        <f aca="false">I29603*MIN(I29602-I29608+I29607,MAX(0,I29706-Assumptions!$C$12*I29522-I29532-I29545-I29558-I29571-I29584-I29597))</f>
        <v>0</v>
      </c>
      <c r="J29610" s="16" t="n">
        <f aca="false">J29603*MIN(J29602-J29608+J29607,MAX(0,J29706-Assumptions!$C$12*J29522-J29532-J29545-J29558-J29571-J29584-J29597))</f>
        <v>0</v>
      </c>
      <c r="K29610" s="16" t="n">
        <f aca="false">K29603*MIN(K29602-K29608+K29607,MAX(0,K29706-Assumptions!$C$12*K29522-K29532-K29545-K29558-K29571-K29584-K29597))</f>
        <v>0</v>
      </c>
    </row>
    <row r="29611" customFormat="false" ht="15" hidden="false" customHeight="false" outlineLevel="0" collapsed="false">
      <c r="A29611" s="3" t="s">
        <v>337</v>
      </c>
      <c r="G29611" s="16" t="n">
        <f aca="false">Assumptions!$N$63*MIN(G29602+G29609+G29607-G29608-G29610,MAX(0,G29710-G29533-G29546-G29559-G29572-G29585-G29598))</f>
        <v>0</v>
      </c>
      <c r="H29611" s="16" t="n">
        <f aca="false">Assumptions!$N$63*MIN(H29602+H29609+H29607-H29608-H29610,MAX(0,H29710-H29533-H29546-H29559-H29572-H29585-H29598))</f>
        <v>0</v>
      </c>
      <c r="I29611" s="16" t="n">
        <f aca="false">Assumptions!$N$63*MIN(I29602+I29609+I29607-I29608-I29610,MAX(0,I29710-I29533-I29546-I29559-I29572-I29585-I29598))</f>
        <v>0</v>
      </c>
      <c r="J29611" s="16" t="n">
        <f aca="false">Assumptions!$N$63*MIN(J29602+J29609+J29607-J29608-J29610,MAX(0,J29710-J29533-J29546-J29559-J29572-J29585-J29598))</f>
        <v>0</v>
      </c>
      <c r="K29611" s="16" t="n">
        <f aca="false">Assumptions!$N$63*MIN(K29602+K29609+K29607-K29608-K29610,MAX(0,K29710-K29533-K29546-K29559-K29572-K29585-K29598))</f>
        <v>0</v>
      </c>
    </row>
    <row r="29612" customFormat="false" ht="15" hidden="false" customHeight="false" outlineLevel="0" collapsed="false">
      <c r="A29612" s="3" t="s">
        <v>338</v>
      </c>
      <c r="G29612" s="16" t="n">
        <f aca="false">G29603*(1-G29522)*(G29602-G29608+G29607-G29610)</f>
        <v>0</v>
      </c>
      <c r="H29612" s="16" t="n">
        <f aca="false">H29603*(1-H29522)*(H29602-H29608+H29607-H29610)</f>
        <v>0</v>
      </c>
      <c r="I29612" s="16" t="n">
        <f aca="false">I29603*(1-I29522)*(I29602-I29608+I29607-I29610)</f>
        <v>550</v>
      </c>
      <c r="J29612" s="16" t="n">
        <f aca="false">J29603*(1-J29522)*(J29602-J29608+J29607-J29610)</f>
        <v>0</v>
      </c>
      <c r="K29612" s="16" t="n">
        <f aca="false">K29603*(1-K29522)*(K29602-K29608+K29607-K29610)</f>
        <v>0</v>
      </c>
    </row>
    <row r="29613" customFormat="false" ht="15" hidden="false" customHeight="false" outlineLevel="0" collapsed="false">
      <c r="A29613" s="2" t="s">
        <v>339</v>
      </c>
      <c r="F29613" s="28" t="n">
        <f aca="false">Assumptions!$C$63</f>
        <v>550</v>
      </c>
      <c r="G29613" s="17" t="n">
        <f aca="false">G29602+G29609+G29607-G29608-G29610-G29611</f>
        <v>550</v>
      </c>
      <c r="H29613" s="17" t="n">
        <f aca="false">H29602+H29609+H29607-H29608-H29610-H29611</f>
        <v>550</v>
      </c>
      <c r="I29613" s="17" t="n">
        <f aca="false">I29602+I29609+I29607-I29608-I29610-I29611</f>
        <v>550</v>
      </c>
      <c r="J29613" s="17" t="n">
        <f aca="false">J29602+J29609+J29607-J29608-J29610-J29611</f>
        <v>550</v>
      </c>
      <c r="K29613" s="17" t="n">
        <f aca="false">K29602+K29609+K29607-K29608-K29610-K29611</f>
        <v>550</v>
      </c>
    </row>
    <row r="29614" customFormat="false" ht="15" hidden="false" customHeight="false" outlineLevel="0" collapsed="false">
      <c r="A29614" s="24" t="s">
        <v>346</v>
      </c>
      <c r="B29614" s="25"/>
      <c r="C29614" s="25"/>
      <c r="D29614" s="25"/>
      <c r="E29614" s="25"/>
      <c r="F29614" s="25"/>
      <c r="G29614" s="25"/>
      <c r="H29614" s="25"/>
      <c r="I29614" s="25"/>
      <c r="J29614" s="25"/>
      <c r="K29614" s="25"/>
    </row>
    <row r="29615" customFormat="false" ht="15" hidden="false" customHeight="false" outlineLevel="0" collapsed="false">
      <c r="A29615" s="3" t="s">
        <v>329</v>
      </c>
      <c r="G29615" s="16" t="n">
        <f aca="false">F29626</f>
        <v>350</v>
      </c>
      <c r="H29615" s="16" t="n">
        <f aca="false">G29626</f>
        <v>350</v>
      </c>
      <c r="I29615" s="16" t="n">
        <f aca="false">H29626</f>
        <v>350</v>
      </c>
      <c r="J29615" s="16" t="n">
        <f aca="false">I29626</f>
        <v>350</v>
      </c>
      <c r="K29615" s="16" t="n">
        <f aca="false">J29626</f>
        <v>350</v>
      </c>
    </row>
    <row r="29616" customFormat="false" ht="15" hidden="false" customHeight="false" outlineLevel="0" collapsed="false">
      <c r="A29616" s="3" t="s">
        <v>330</v>
      </c>
      <c r="G29616" s="21" t="n">
        <f aca="false">IF(G29488=Assumptions!$K$64,1,0)</f>
        <v>0</v>
      </c>
      <c r="H29616" s="21" t="n">
        <f aca="false">IF(H29488=Assumptions!$K$64,1,0)</f>
        <v>0</v>
      </c>
      <c r="I29616" s="21" t="n">
        <f aca="false">IF(I29488=Assumptions!$K$64,1,0)</f>
        <v>0</v>
      </c>
      <c r="J29616" s="21" t="n">
        <f aca="false">IF(J29488=Assumptions!$K$64,1,0)</f>
        <v>1</v>
      </c>
      <c r="K29616" s="21" t="n">
        <f aca="false">IF(K29488=Assumptions!$K$64,1,0)</f>
        <v>0</v>
      </c>
    </row>
    <row r="29618" customFormat="false" ht="15" hidden="false" customHeight="false" outlineLevel="0" collapsed="false">
      <c r="A29618" s="3" t="s">
        <v>331</v>
      </c>
      <c r="G29618" s="31" t="n">
        <f aca="false">IF(Assumptions!$I$64=1,MAX(G29514,Assumptions!$G$64)+Assumptions!$F$64+$C$29515,Assumptions!$E$64)</f>
        <v>0.0455</v>
      </c>
      <c r="H29618" s="31" t="n">
        <f aca="false">IF(G29841=1,$C$29516,IF(Assumptions!$I$64=1,MAX(H29514,Assumptions!$G$64)+Assumptions!$F$64+$C$29515,Assumptions!$E$64))</f>
        <v>0.0455</v>
      </c>
      <c r="I29618" s="31" t="n">
        <f aca="false">IF(H29841=1,$C$29516,IF(Assumptions!$I$64=1,MAX(I29514,Assumptions!$G$64)+Assumptions!$F$64+$C$29515,Assumptions!$E$64))</f>
        <v>0.0455</v>
      </c>
      <c r="J29618" s="31" t="n">
        <f aca="false">IF(I29841=1,$C$29516,IF(Assumptions!$I$64=1,MAX(J29514,Assumptions!$G$64)+Assumptions!$F$64+$C$29515,Assumptions!$E$64))</f>
        <v>0.0455</v>
      </c>
      <c r="K29618" s="31" t="n">
        <f aca="false">IF(J29841=1,$C$29516,IF(Assumptions!$I$64=1,MAX(K29514,Assumptions!$G$64)+Assumptions!$F$64+$C$29515,Assumptions!$E$64))</f>
        <v>0.0455</v>
      </c>
    </row>
    <row r="29619" customFormat="false" ht="15" hidden="false" customHeight="false" outlineLevel="0" collapsed="false">
      <c r="A29619" s="3" t="s">
        <v>332</v>
      </c>
      <c r="G29619" s="16" t="n">
        <f aca="false">G29615*G29618</f>
        <v>15.925</v>
      </c>
      <c r="H29619" s="16" t="n">
        <f aca="false">H29615*H29618</f>
        <v>15.925</v>
      </c>
      <c r="I29619" s="16" t="n">
        <f aca="false">I29615*I29618</f>
        <v>15.925</v>
      </c>
      <c r="J29619" s="16" t="n">
        <f aca="false">J29615*J29618</f>
        <v>15.925</v>
      </c>
      <c r="K29619" s="16" t="n">
        <f aca="false">K29615*K29618</f>
        <v>15.925</v>
      </c>
    </row>
    <row r="29620" customFormat="false" ht="15" hidden="false" customHeight="false" outlineLevel="0" collapsed="false">
      <c r="A29620" s="3" t="s">
        <v>333</v>
      </c>
      <c r="G29620" s="16" t="n">
        <f aca="false">G29615*Assumptions!$H$64</f>
        <v>0</v>
      </c>
      <c r="H29620" s="16" t="n">
        <f aca="false">H29615*Assumptions!$H$64</f>
        <v>0</v>
      </c>
      <c r="I29620" s="16" t="n">
        <f aca="false">I29615*Assumptions!$H$64</f>
        <v>0</v>
      </c>
      <c r="J29620" s="16" t="n">
        <f aca="false">J29615*Assumptions!$H$64</f>
        <v>0</v>
      </c>
      <c r="K29620" s="16" t="n">
        <f aca="false">K29615*Assumptions!$H$64</f>
        <v>0</v>
      </c>
    </row>
    <row r="29621" customFormat="false" ht="15" hidden="false" customHeight="false" outlineLevel="0" collapsed="false">
      <c r="A29621" s="3" t="s">
        <v>334</v>
      </c>
      <c r="G29621" s="16" t="n">
        <f aca="false">MIN(G29615,Assumptions!$L$64*Assumptions!$C$64)</f>
        <v>0</v>
      </c>
      <c r="H29621" s="16" t="n">
        <f aca="false">MIN(H29615,Assumptions!$L$64*Assumptions!$C$64)</f>
        <v>0</v>
      </c>
      <c r="I29621" s="16" t="n">
        <f aca="false">MIN(I29615,Assumptions!$L$64*Assumptions!$C$64)</f>
        <v>0</v>
      </c>
      <c r="J29621" s="16" t="n">
        <f aca="false">MIN(J29615,Assumptions!$L$64*Assumptions!$C$64)</f>
        <v>0</v>
      </c>
      <c r="K29621" s="16" t="n">
        <f aca="false">MIN(K29615,Assumptions!$L$64*Assumptions!$C$64)</f>
        <v>0</v>
      </c>
    </row>
    <row r="29622" customFormat="false" ht="15" hidden="false" customHeight="false" outlineLevel="0" collapsed="false">
      <c r="A29622" s="3" t="s">
        <v>335</v>
      </c>
      <c r="G29622" s="16" t="n">
        <f aca="false">IF(AND(Assumptions!$P$64=1,G29488&lt;Assumptions!$K$64),MIN(MAX(0,-G29704),MAX(0,Assumptions!$D$64-G29615)),0)</f>
        <v>0</v>
      </c>
      <c r="H29622" s="16" t="n">
        <f aca="false">IF(AND(Assumptions!$P$64=1,OR(H29488&lt;Assumptions!$K$64,G29841=1)),MIN(MAX(0,-H29704),MAX(0,Assumptions!$D$64-H29615)),0)</f>
        <v>0</v>
      </c>
      <c r="I29622" s="16" t="n">
        <f aca="false">IF(AND(Assumptions!$P$64=1,OR(I29488&lt;Assumptions!$K$64,H29841=1)),MIN(MAX(0,-I29704),MAX(0,Assumptions!$D$64-I29615)),0)</f>
        <v>0</v>
      </c>
      <c r="J29622" s="16" t="n">
        <f aca="false">IF(AND(Assumptions!$P$64=1,OR(J29488&lt;Assumptions!$K$64,I29841=1)),MIN(MAX(0,-J29704),MAX(0,Assumptions!$D$64-J29615)),0)</f>
        <v>0</v>
      </c>
      <c r="K29622" s="16" t="n">
        <f aca="false">IF(AND(Assumptions!$P$64=1,OR(K29488&lt;Assumptions!$K$64,J29841=1)),MIN(MAX(0,-K29704),MAX(0,Assumptions!$D$64-K29615)),0)</f>
        <v>0</v>
      </c>
    </row>
    <row r="29623" customFormat="false" ht="15" hidden="false" customHeight="false" outlineLevel="0" collapsed="false">
      <c r="A29623" s="3" t="s">
        <v>336</v>
      </c>
      <c r="G29623" s="16" t="n">
        <f aca="false">G29616*MIN(G29615-G29621+G29620,MAX(0,G29706-Assumptions!$C$12*G29522-G29532-G29545-G29558-G29571-G29584-G29597-G29610))</f>
        <v>0</v>
      </c>
      <c r="H29623" s="16" t="n">
        <f aca="false">H29616*MIN(H29615-H29621+H29620,MAX(0,H29706-Assumptions!$C$12*H29522-H29532-H29545-H29558-H29571-H29584-H29597-H29610))</f>
        <v>0</v>
      </c>
      <c r="I29623" s="16" t="n">
        <f aca="false">I29616*MIN(I29615-I29621+I29620,MAX(0,I29706-Assumptions!$C$12*I29522-I29532-I29545-I29558-I29571-I29584-I29597-I29610))</f>
        <v>0</v>
      </c>
      <c r="J29623" s="16" t="n">
        <f aca="false">J29616*MIN(J29615-J29621+J29620,MAX(0,J29706-Assumptions!$C$12*J29522-J29532-J29545-J29558-J29571-J29584-J29597-J29610))</f>
        <v>0</v>
      </c>
      <c r="K29623" s="16" t="n">
        <f aca="false">K29616*MIN(K29615-K29621+K29620,MAX(0,K29706-Assumptions!$C$12*K29522-K29532-K29545-K29558-K29571-K29584-K29597-K29610))</f>
        <v>0</v>
      </c>
    </row>
    <row r="29624" customFormat="false" ht="15" hidden="false" customHeight="false" outlineLevel="0" collapsed="false">
      <c r="A29624" s="3" t="s">
        <v>337</v>
      </c>
      <c r="G29624" s="16" t="n">
        <f aca="false">Assumptions!$N$64*MIN(G29615+G29622+G29620-G29621-G29623,MAX(0,G29710-G29533-G29546-G29559-G29572-G29585-G29598-G29611))</f>
        <v>0</v>
      </c>
      <c r="H29624" s="16" t="n">
        <f aca="false">Assumptions!$N$64*MIN(H29615+H29622+H29620-H29621-H29623,MAX(0,H29710-H29533-H29546-H29559-H29572-H29585-H29598-H29611))</f>
        <v>0</v>
      </c>
      <c r="I29624" s="16" t="n">
        <f aca="false">Assumptions!$N$64*MIN(I29615+I29622+I29620-I29621-I29623,MAX(0,I29710-I29533-I29546-I29559-I29572-I29585-I29598-I29611))</f>
        <v>0</v>
      </c>
      <c r="J29624" s="16" t="n">
        <f aca="false">Assumptions!$N$64*MIN(J29615+J29622+J29620-J29621-J29623,MAX(0,J29710-J29533-J29546-J29559-J29572-J29585-J29598-J29611))</f>
        <v>0</v>
      </c>
      <c r="K29624" s="16" t="n">
        <f aca="false">Assumptions!$N$64*MIN(K29615+K29622+K29620-K29621-K29623,MAX(0,K29710-K29533-K29546-K29559-K29572-K29585-K29598-K29611))</f>
        <v>0</v>
      </c>
    </row>
    <row r="29625" customFormat="false" ht="15" hidden="false" customHeight="false" outlineLevel="0" collapsed="false">
      <c r="A29625" s="3" t="s">
        <v>338</v>
      </c>
      <c r="G29625" s="16" t="n">
        <f aca="false">G29616*(1-G29522)*(G29615-G29621+G29620-G29623)</f>
        <v>0</v>
      </c>
      <c r="H29625" s="16" t="n">
        <f aca="false">H29616*(1-H29522)*(H29615-H29621+H29620-H29623)</f>
        <v>0</v>
      </c>
      <c r="I29625" s="16" t="n">
        <f aca="false">I29616*(1-I29522)*(I29615-I29621+I29620-I29623)</f>
        <v>0</v>
      </c>
      <c r="J29625" s="16" t="n">
        <f aca="false">J29616*(1-J29522)*(J29615-J29621+J29620-J29623)</f>
        <v>350</v>
      </c>
      <c r="K29625" s="16" t="n">
        <f aca="false">K29616*(1-K29522)*(K29615-K29621+K29620-K29623)</f>
        <v>0</v>
      </c>
    </row>
    <row r="29626" customFormat="false" ht="15" hidden="false" customHeight="false" outlineLevel="0" collapsed="false">
      <c r="A29626" s="2" t="s">
        <v>339</v>
      </c>
      <c r="F29626" s="28" t="n">
        <f aca="false">Assumptions!$C$64</f>
        <v>350</v>
      </c>
      <c r="G29626" s="17" t="n">
        <f aca="false">G29615+G29622+G29620-G29621-G29623-G29624</f>
        <v>350</v>
      </c>
      <c r="H29626" s="17" t="n">
        <f aca="false">H29615+H29622+H29620-H29621-H29623-H29624</f>
        <v>350</v>
      </c>
      <c r="I29626" s="17" t="n">
        <f aca="false">I29615+I29622+I29620-I29621-I29623-I29624</f>
        <v>350</v>
      </c>
      <c r="J29626" s="17" t="n">
        <f aca="false">J29615+J29622+J29620-J29621-J29623-J29624</f>
        <v>350</v>
      </c>
      <c r="K29626" s="17" t="n">
        <f aca="false">K29615+K29622+K29620-K29621-K29623-K29624</f>
        <v>350</v>
      </c>
    </row>
    <row r="29627" customFormat="false" ht="15" hidden="false" customHeight="false" outlineLevel="0" collapsed="false">
      <c r="A29627" s="24" t="s">
        <v>347</v>
      </c>
      <c r="B29627" s="25"/>
      <c r="C29627" s="25"/>
      <c r="D29627" s="25"/>
      <c r="E29627" s="25"/>
      <c r="F29627" s="25"/>
      <c r="G29627" s="25"/>
      <c r="H29627" s="25"/>
      <c r="I29627" s="25"/>
      <c r="J29627" s="25"/>
      <c r="K29627" s="25"/>
    </row>
    <row r="29628" customFormat="false" ht="15" hidden="false" customHeight="false" outlineLevel="0" collapsed="false">
      <c r="A29628" s="3" t="s">
        <v>329</v>
      </c>
      <c r="G29628" s="16" t="n">
        <f aca="false">F29639</f>
        <v>300</v>
      </c>
      <c r="H29628" s="16" t="n">
        <f aca="false">G29639</f>
        <v>300</v>
      </c>
      <c r="I29628" s="16" t="n">
        <f aca="false">H29639</f>
        <v>300</v>
      </c>
      <c r="J29628" s="16" t="n">
        <f aca="false">I29639</f>
        <v>300</v>
      </c>
      <c r="K29628" s="16" t="n">
        <f aca="false">J29639</f>
        <v>300</v>
      </c>
    </row>
    <row r="29629" customFormat="false" ht="15" hidden="false" customHeight="false" outlineLevel="0" collapsed="false">
      <c r="A29629" s="3" t="s">
        <v>330</v>
      </c>
      <c r="G29629" s="21" t="n">
        <f aca="false">IF(G29488=Assumptions!$K$65,1,0)</f>
        <v>0</v>
      </c>
      <c r="H29629" s="21" t="n">
        <f aca="false">IF(H29488=Assumptions!$K$65,1,0)</f>
        <v>0</v>
      </c>
      <c r="I29629" s="21" t="n">
        <f aca="false">IF(I29488=Assumptions!$K$65,1,0)</f>
        <v>0</v>
      </c>
      <c r="J29629" s="21" t="n">
        <f aca="false">IF(J29488=Assumptions!$K$65,1,0)</f>
        <v>0</v>
      </c>
      <c r="K29629" s="21" t="n">
        <f aca="false">IF(K29488=Assumptions!$K$65,1,0)</f>
        <v>1</v>
      </c>
    </row>
    <row r="29631" customFormat="false" ht="15" hidden="false" customHeight="false" outlineLevel="0" collapsed="false">
      <c r="A29631" s="3" t="s">
        <v>331</v>
      </c>
      <c r="G29631" s="31" t="n">
        <f aca="false">IF(Assumptions!$I$65=1,MAX(G29514,Assumptions!$G$65)+Assumptions!$F$65+$C$29515,Assumptions!$E$65)</f>
        <v>0.06125</v>
      </c>
      <c r="H29631" s="31" t="n">
        <f aca="false">IF(G29842=1,$C$29516,IF(Assumptions!$I$65=1,MAX(H29514,Assumptions!$G$65)+Assumptions!$F$65+$C$29515,Assumptions!$E$65))</f>
        <v>0.06125</v>
      </c>
      <c r="I29631" s="31" t="n">
        <f aca="false">IF(H29842=1,$C$29516,IF(Assumptions!$I$65=1,MAX(I29514,Assumptions!$G$65)+Assumptions!$F$65+$C$29515,Assumptions!$E$65))</f>
        <v>0.06125</v>
      </c>
      <c r="J29631" s="31" t="n">
        <f aca="false">IF(I29842=1,$C$29516,IF(Assumptions!$I$65=1,MAX(J29514,Assumptions!$G$65)+Assumptions!$F$65+$C$29515,Assumptions!$E$65))</f>
        <v>0.06125</v>
      </c>
      <c r="K29631" s="31" t="n">
        <f aca="false">IF(J29842=1,$C$29516,IF(Assumptions!$I$65=1,MAX(K29514,Assumptions!$G$65)+Assumptions!$F$65+$C$29515,Assumptions!$E$65))</f>
        <v>0.06125</v>
      </c>
    </row>
    <row r="29632" customFormat="false" ht="15" hidden="false" customHeight="false" outlineLevel="0" collapsed="false">
      <c r="A29632" s="3" t="s">
        <v>332</v>
      </c>
      <c r="G29632" s="16" t="n">
        <f aca="false">G29628*G29631</f>
        <v>18.375</v>
      </c>
      <c r="H29632" s="16" t="n">
        <f aca="false">H29628*H29631</f>
        <v>18.375</v>
      </c>
      <c r="I29632" s="16" t="n">
        <f aca="false">I29628*I29631</f>
        <v>18.375</v>
      </c>
      <c r="J29632" s="16" t="n">
        <f aca="false">J29628*J29631</f>
        <v>18.375</v>
      </c>
      <c r="K29632" s="16" t="n">
        <f aca="false">K29628*K29631</f>
        <v>18.375</v>
      </c>
    </row>
    <row r="29633" customFormat="false" ht="15" hidden="false" customHeight="false" outlineLevel="0" collapsed="false">
      <c r="A29633" s="3" t="s">
        <v>333</v>
      </c>
      <c r="G29633" s="16" t="n">
        <f aca="false">G29628*Assumptions!$H$65</f>
        <v>0</v>
      </c>
      <c r="H29633" s="16" t="n">
        <f aca="false">H29628*Assumptions!$H$65</f>
        <v>0</v>
      </c>
      <c r="I29633" s="16" t="n">
        <f aca="false">I29628*Assumptions!$H$65</f>
        <v>0</v>
      </c>
      <c r="J29633" s="16" t="n">
        <f aca="false">J29628*Assumptions!$H$65</f>
        <v>0</v>
      </c>
      <c r="K29633" s="16" t="n">
        <f aca="false">K29628*Assumptions!$H$65</f>
        <v>0</v>
      </c>
    </row>
    <row r="29634" customFormat="false" ht="15" hidden="false" customHeight="false" outlineLevel="0" collapsed="false">
      <c r="A29634" s="3" t="s">
        <v>334</v>
      </c>
      <c r="G29634" s="16" t="n">
        <f aca="false">MIN(G29628,Assumptions!$L$65*Assumptions!$C$65)</f>
        <v>0</v>
      </c>
      <c r="H29634" s="16" t="n">
        <f aca="false">MIN(H29628,Assumptions!$L$65*Assumptions!$C$65)</f>
        <v>0</v>
      </c>
      <c r="I29634" s="16" t="n">
        <f aca="false">MIN(I29628,Assumptions!$L$65*Assumptions!$C$65)</f>
        <v>0</v>
      </c>
      <c r="J29634" s="16" t="n">
        <f aca="false">MIN(J29628,Assumptions!$L$65*Assumptions!$C$65)</f>
        <v>0</v>
      </c>
      <c r="K29634" s="16" t="n">
        <f aca="false">MIN(K29628,Assumptions!$L$65*Assumptions!$C$65)</f>
        <v>0</v>
      </c>
    </row>
    <row r="29635" customFormat="false" ht="15" hidden="false" customHeight="false" outlineLevel="0" collapsed="false">
      <c r="A29635" s="3" t="s">
        <v>335</v>
      </c>
      <c r="G29635" s="16" t="n">
        <f aca="false">IF(AND(Assumptions!$P$65=1,G29488&lt;Assumptions!$K$65),MIN(MAX(0,-G29704),MAX(0,Assumptions!$D$65-G29628)),0)</f>
        <v>0</v>
      </c>
      <c r="H29635" s="16" t="n">
        <f aca="false">IF(AND(Assumptions!$P$65=1,OR(H29488&lt;Assumptions!$K$65,G29842=1)),MIN(MAX(0,-H29704),MAX(0,Assumptions!$D$65-H29628)),0)</f>
        <v>0</v>
      </c>
      <c r="I29635" s="16" t="n">
        <f aca="false">IF(AND(Assumptions!$P$65=1,OR(I29488&lt;Assumptions!$K$65,H29842=1)),MIN(MAX(0,-I29704),MAX(0,Assumptions!$D$65-I29628)),0)</f>
        <v>0</v>
      </c>
      <c r="J29635" s="16" t="n">
        <f aca="false">IF(AND(Assumptions!$P$65=1,OR(J29488&lt;Assumptions!$K$65,I29842=1)),MIN(MAX(0,-J29704),MAX(0,Assumptions!$D$65-J29628)),0)</f>
        <v>0</v>
      </c>
      <c r="K29635" s="16" t="n">
        <f aca="false">IF(AND(Assumptions!$P$65=1,OR(K29488&lt;Assumptions!$K$65,J29842=1)),MIN(MAX(0,-K29704),MAX(0,Assumptions!$D$65-K29628)),0)</f>
        <v>0</v>
      </c>
    </row>
    <row r="29636" customFormat="false" ht="15" hidden="false" customHeight="false" outlineLevel="0" collapsed="false">
      <c r="A29636" s="3" t="s">
        <v>336</v>
      </c>
      <c r="G29636" s="16" t="n">
        <f aca="false">G29629*MIN(G29628-G29634+G29633,MAX(0,G29706-Assumptions!$C$12*G29522-G29532-G29545-G29558-G29571-G29584-G29597-G29610-G29623))</f>
        <v>0</v>
      </c>
      <c r="H29636" s="16" t="n">
        <f aca="false">H29629*MIN(H29628-H29634+H29633,MAX(0,H29706-Assumptions!$C$12*H29522-H29532-H29545-H29558-H29571-H29584-H29597-H29610-H29623))</f>
        <v>0</v>
      </c>
      <c r="I29636" s="16" t="n">
        <f aca="false">I29629*MIN(I29628-I29634+I29633,MAX(0,I29706-Assumptions!$C$12*I29522-I29532-I29545-I29558-I29571-I29584-I29597-I29610-I29623))</f>
        <v>0</v>
      </c>
      <c r="J29636" s="16" t="n">
        <f aca="false">J29629*MIN(J29628-J29634+J29633,MAX(0,J29706-Assumptions!$C$12*J29522-J29532-J29545-J29558-J29571-J29584-J29597-J29610-J29623))</f>
        <v>0</v>
      </c>
      <c r="K29636" s="16" t="n">
        <f aca="false">K29629*MIN(K29628-K29634+K29633,MAX(0,K29706-Assumptions!$C$12*K29522-K29532-K29545-K29558-K29571-K29584-K29597-K29610-K29623))</f>
        <v>0</v>
      </c>
    </row>
    <row r="29637" customFormat="false" ht="15" hidden="false" customHeight="false" outlineLevel="0" collapsed="false">
      <c r="A29637" s="3" t="s">
        <v>337</v>
      </c>
      <c r="G29637" s="16" t="n">
        <f aca="false">Assumptions!$N$65*MIN(G29628+G29635+G29633-G29634-G29636,MAX(0,G29710-G29533-G29546-G29559-G29572-G29585-G29598-G29611-G29624))</f>
        <v>0</v>
      </c>
      <c r="H29637" s="16" t="n">
        <f aca="false">Assumptions!$N$65*MIN(H29628+H29635+H29633-H29634-H29636,MAX(0,H29710-H29533-H29546-H29559-H29572-H29585-H29598-H29611-H29624))</f>
        <v>0</v>
      </c>
      <c r="I29637" s="16" t="n">
        <f aca="false">Assumptions!$N$65*MIN(I29628+I29635+I29633-I29634-I29636,MAX(0,I29710-I29533-I29546-I29559-I29572-I29585-I29598-I29611-I29624))</f>
        <v>0</v>
      </c>
      <c r="J29637" s="16" t="n">
        <f aca="false">Assumptions!$N$65*MIN(J29628+J29635+J29633-J29634-J29636,MAX(0,J29710-J29533-J29546-J29559-J29572-J29585-J29598-J29611-J29624))</f>
        <v>0</v>
      </c>
      <c r="K29637" s="16" t="n">
        <f aca="false">Assumptions!$N$65*MIN(K29628+K29635+K29633-K29634-K29636,MAX(0,K29710-K29533-K29546-K29559-K29572-K29585-K29598-K29611-K29624))</f>
        <v>0</v>
      </c>
    </row>
    <row r="29638" customFormat="false" ht="15" hidden="false" customHeight="false" outlineLevel="0" collapsed="false">
      <c r="A29638" s="3" t="s">
        <v>338</v>
      </c>
      <c r="G29638" s="16" t="n">
        <f aca="false">G29629*(1-G29522)*(G29628-G29634+G29633-G29636)</f>
        <v>0</v>
      </c>
      <c r="H29638" s="16" t="n">
        <f aca="false">H29629*(1-H29522)*(H29628-H29634+H29633-H29636)</f>
        <v>0</v>
      </c>
      <c r="I29638" s="16" t="n">
        <f aca="false">I29629*(1-I29522)*(I29628-I29634+I29633-I29636)</f>
        <v>0</v>
      </c>
      <c r="J29638" s="16" t="n">
        <f aca="false">J29629*(1-J29522)*(J29628-J29634+J29633-J29636)</f>
        <v>0</v>
      </c>
      <c r="K29638" s="16" t="n">
        <f aca="false">K29629*(1-K29522)*(K29628-K29634+K29633-K29636)</f>
        <v>300</v>
      </c>
    </row>
    <row r="29639" customFormat="false" ht="15" hidden="false" customHeight="false" outlineLevel="0" collapsed="false">
      <c r="A29639" s="2" t="s">
        <v>339</v>
      </c>
      <c r="F29639" s="28" t="n">
        <f aca="false">Assumptions!$C$65</f>
        <v>300</v>
      </c>
      <c r="G29639" s="17" t="n">
        <f aca="false">G29628+G29635+G29633-G29634-G29636-G29637</f>
        <v>300</v>
      </c>
      <c r="H29639" s="17" t="n">
        <f aca="false">H29628+H29635+H29633-H29634-H29636-H29637</f>
        <v>300</v>
      </c>
      <c r="I29639" s="17" t="n">
        <f aca="false">I29628+I29635+I29633-I29634-I29636-I29637</f>
        <v>300</v>
      </c>
      <c r="J29639" s="17" t="n">
        <f aca="false">J29628+J29635+J29633-J29634-J29636-J29637</f>
        <v>300</v>
      </c>
      <c r="K29639" s="17" t="n">
        <f aca="false">K29628+K29635+K29633-K29634-K29636-K29637</f>
        <v>300</v>
      </c>
    </row>
    <row r="29640" customFormat="false" ht="15" hidden="false" customHeight="false" outlineLevel="0" collapsed="false">
      <c r="A29640" s="24" t="s">
        <v>348</v>
      </c>
      <c r="B29640" s="25"/>
      <c r="C29640" s="25"/>
      <c r="D29640" s="25"/>
      <c r="E29640" s="25"/>
      <c r="F29640" s="25"/>
      <c r="G29640" s="25"/>
      <c r="H29640" s="25"/>
      <c r="I29640" s="25"/>
      <c r="J29640" s="25"/>
      <c r="K29640" s="25"/>
    </row>
    <row r="29641" customFormat="false" ht="15" hidden="false" customHeight="false" outlineLevel="0" collapsed="false">
      <c r="A29641" s="3" t="s">
        <v>329</v>
      </c>
      <c r="G29641" s="16" t="n">
        <f aca="false">F29652</f>
        <v>78.61</v>
      </c>
      <c r="H29641" s="16" t="n">
        <f aca="false">G29652</f>
        <v>78.61</v>
      </c>
      <c r="I29641" s="16" t="n">
        <f aca="false">H29652</f>
        <v>78.61</v>
      </c>
      <c r="J29641" s="16" t="n">
        <f aca="false">I29652</f>
        <v>78.61</v>
      </c>
      <c r="K29641" s="16" t="n">
        <f aca="false">J29652</f>
        <v>78.61</v>
      </c>
    </row>
    <row r="29642" customFormat="false" ht="15" hidden="false" customHeight="false" outlineLevel="0" collapsed="false">
      <c r="A29642" s="3" t="s">
        <v>330</v>
      </c>
      <c r="G29642" s="21" t="n">
        <f aca="false">IF(G29488=Assumptions!$K$66,1,0)</f>
        <v>0</v>
      </c>
      <c r="H29642" s="21" t="n">
        <f aca="false">IF(H29488=Assumptions!$K$66,1,0)</f>
        <v>0</v>
      </c>
      <c r="I29642" s="21" t="n">
        <f aca="false">IF(I29488=Assumptions!$K$66,1,0)</f>
        <v>0</v>
      </c>
      <c r="J29642" s="21" t="n">
        <f aca="false">IF(J29488=Assumptions!$K$66,1,0)</f>
        <v>0</v>
      </c>
      <c r="K29642" s="21" t="n">
        <f aca="false">IF(K29488=Assumptions!$K$66,1,0)</f>
        <v>0</v>
      </c>
    </row>
    <row r="29644" customFormat="false" ht="15" hidden="false" customHeight="false" outlineLevel="0" collapsed="false">
      <c r="A29644" s="3" t="s">
        <v>331</v>
      </c>
      <c r="G29644" s="31" t="n">
        <f aca="false">IF(Assumptions!$I$66=1,MAX(G29514,Assumptions!$G$66)+Assumptions!$F$66+$C$29515,Assumptions!$E$66)</f>
        <v>0.0841</v>
      </c>
      <c r="H29644" s="31" t="n">
        <f aca="false">IF(G29843=1,$C$29516,IF(Assumptions!$I$66=1,MAX(H29514,Assumptions!$G$66)+Assumptions!$F$66+$C$29515,Assumptions!$E$66))</f>
        <v>0.0826</v>
      </c>
      <c r="I29644" s="31" t="n">
        <f aca="false">IF(H29843=1,$C$29516,IF(Assumptions!$I$66=1,MAX(I29514,Assumptions!$G$66)+Assumptions!$F$66+$C$29515,Assumptions!$E$66))</f>
        <v>0.0801</v>
      </c>
      <c r="J29644" s="31" t="n">
        <f aca="false">IF(I29843=1,$C$29516,IF(Assumptions!$I$66=1,MAX(J29514,Assumptions!$G$66)+Assumptions!$F$66+$C$29515,Assumptions!$E$66))</f>
        <v>0.0801</v>
      </c>
      <c r="K29644" s="31" t="n">
        <f aca="false">IF(J29843=1,$C$29516,IF(Assumptions!$I$66=1,MAX(K29514,Assumptions!$G$66)+Assumptions!$F$66+$C$29515,Assumptions!$E$66))</f>
        <v>0.0801</v>
      </c>
    </row>
    <row r="29645" customFormat="false" ht="15" hidden="false" customHeight="false" outlineLevel="0" collapsed="false">
      <c r="A29645" s="3" t="s">
        <v>332</v>
      </c>
      <c r="G29645" s="16" t="n">
        <f aca="false">G29641*G29644</f>
        <v>6.611101</v>
      </c>
      <c r="H29645" s="16" t="n">
        <f aca="false">H29641*H29644</f>
        <v>6.493186</v>
      </c>
      <c r="I29645" s="16" t="n">
        <f aca="false">I29641*I29644</f>
        <v>6.296661</v>
      </c>
      <c r="J29645" s="16" t="n">
        <f aca="false">J29641*J29644</f>
        <v>6.296661</v>
      </c>
      <c r="K29645" s="16" t="n">
        <f aca="false">K29641*K29644</f>
        <v>6.296661</v>
      </c>
    </row>
    <row r="29646" customFormat="false" ht="15" hidden="false" customHeight="false" outlineLevel="0" collapsed="false">
      <c r="A29646" s="3" t="s">
        <v>333</v>
      </c>
      <c r="G29646" s="16" t="n">
        <f aca="false">G29641*Assumptions!$H$66</f>
        <v>0</v>
      </c>
      <c r="H29646" s="16" t="n">
        <f aca="false">H29641*Assumptions!$H$66</f>
        <v>0</v>
      </c>
      <c r="I29646" s="16" t="n">
        <f aca="false">I29641*Assumptions!$H$66</f>
        <v>0</v>
      </c>
      <c r="J29646" s="16" t="n">
        <f aca="false">J29641*Assumptions!$H$66</f>
        <v>0</v>
      </c>
      <c r="K29646" s="16" t="n">
        <f aca="false">K29641*Assumptions!$H$66</f>
        <v>0</v>
      </c>
    </row>
    <row r="29647" customFormat="false" ht="15" hidden="false" customHeight="false" outlineLevel="0" collapsed="false">
      <c r="A29647" s="3" t="s">
        <v>334</v>
      </c>
      <c r="G29647" s="16" t="n">
        <f aca="false">MIN(G29641,Assumptions!$L$66*Assumptions!$C$66)</f>
        <v>0</v>
      </c>
      <c r="H29647" s="16" t="n">
        <f aca="false">MIN(H29641,Assumptions!$L$66*Assumptions!$C$66)</f>
        <v>0</v>
      </c>
      <c r="I29647" s="16" t="n">
        <f aca="false">MIN(I29641,Assumptions!$L$66*Assumptions!$C$66)</f>
        <v>0</v>
      </c>
      <c r="J29647" s="16" t="n">
        <f aca="false">MIN(J29641,Assumptions!$L$66*Assumptions!$C$66)</f>
        <v>0</v>
      </c>
      <c r="K29647" s="16" t="n">
        <f aca="false">MIN(K29641,Assumptions!$L$66*Assumptions!$C$66)</f>
        <v>0</v>
      </c>
    </row>
    <row r="29648" customFormat="false" ht="15" hidden="false" customHeight="false" outlineLevel="0" collapsed="false">
      <c r="A29648" s="3" t="s">
        <v>335</v>
      </c>
      <c r="G29648" s="16" t="n">
        <f aca="false">IF(AND(Assumptions!$P$66=1,G29488&lt;Assumptions!$K$66),MIN(MAX(0,-G29704),MAX(0,Assumptions!$D$66-G29641)),0)</f>
        <v>0</v>
      </c>
      <c r="H29648" s="16" t="n">
        <f aca="false">IF(AND(Assumptions!$P$66=1,OR(H29488&lt;Assumptions!$K$66,G29843=1)),MIN(MAX(0,-H29704),MAX(0,Assumptions!$D$66-H29641)),0)</f>
        <v>0</v>
      </c>
      <c r="I29648" s="16" t="n">
        <f aca="false">IF(AND(Assumptions!$P$66=1,OR(I29488&lt;Assumptions!$K$66,H29843=1)),MIN(MAX(0,-I29704),MAX(0,Assumptions!$D$66-I29641)),0)</f>
        <v>0</v>
      </c>
      <c r="J29648" s="16" t="n">
        <f aca="false">IF(AND(Assumptions!$P$66=1,OR(J29488&lt;Assumptions!$K$66,I29843=1)),MIN(MAX(0,-J29704),MAX(0,Assumptions!$D$66-J29641)),0)</f>
        <v>0</v>
      </c>
      <c r="K29648" s="16" t="n">
        <f aca="false">IF(AND(Assumptions!$P$66=1,OR(K29488&lt;Assumptions!$K$66,J29843=1)),MIN(MAX(0,-K29704),MAX(0,Assumptions!$D$66-K29641)),0)</f>
        <v>0</v>
      </c>
    </row>
    <row r="29649" customFormat="false" ht="15" hidden="false" customHeight="false" outlineLevel="0" collapsed="false">
      <c r="A29649" s="3" t="s">
        <v>336</v>
      </c>
      <c r="G29649" s="16" t="n">
        <f aca="false">G29642*MIN(G29641-G29647+G29646,MAX(0,G29706-Assumptions!$C$12*G29522-G29532-G29545-G29558-G29571-G29584-G29597-G29610-G29623-G29636))</f>
        <v>0</v>
      </c>
      <c r="H29649" s="16" t="n">
        <f aca="false">H29642*MIN(H29641-H29647+H29646,MAX(0,H29706-Assumptions!$C$12*H29522-H29532-H29545-H29558-H29571-H29584-H29597-H29610-H29623-H29636))</f>
        <v>0</v>
      </c>
      <c r="I29649" s="16" t="n">
        <f aca="false">I29642*MIN(I29641-I29647+I29646,MAX(0,I29706-Assumptions!$C$12*I29522-I29532-I29545-I29558-I29571-I29584-I29597-I29610-I29623-I29636))</f>
        <v>0</v>
      </c>
      <c r="J29649" s="16" t="n">
        <f aca="false">J29642*MIN(J29641-J29647+J29646,MAX(0,J29706-Assumptions!$C$12*J29522-J29532-J29545-J29558-J29571-J29584-J29597-J29610-J29623-J29636))</f>
        <v>0</v>
      </c>
      <c r="K29649" s="16" t="n">
        <f aca="false">K29642*MIN(K29641-K29647+K29646,MAX(0,K29706-Assumptions!$C$12*K29522-K29532-K29545-K29558-K29571-K29584-K29597-K29610-K29623-K29636))</f>
        <v>0</v>
      </c>
    </row>
    <row r="29650" customFormat="false" ht="15" hidden="false" customHeight="false" outlineLevel="0" collapsed="false">
      <c r="A29650" s="3" t="s">
        <v>337</v>
      </c>
      <c r="G29650" s="16" t="n">
        <f aca="false">Assumptions!$N$66*MIN(G29641+G29648+G29646-G29647-G29649,MAX(0,G29710-G29533-G29546-G29559-G29572-G29585-G29598-G29611-G29624-G29637))</f>
        <v>0</v>
      </c>
      <c r="H29650" s="16" t="n">
        <f aca="false">Assumptions!$N$66*MIN(H29641+H29648+H29646-H29647-H29649,MAX(0,H29710-H29533-H29546-H29559-H29572-H29585-H29598-H29611-H29624-H29637))</f>
        <v>0</v>
      </c>
      <c r="I29650" s="16" t="n">
        <f aca="false">Assumptions!$N$66*MIN(I29641+I29648+I29646-I29647-I29649,MAX(0,I29710-I29533-I29546-I29559-I29572-I29585-I29598-I29611-I29624-I29637))</f>
        <v>0</v>
      </c>
      <c r="J29650" s="16" t="n">
        <f aca="false">Assumptions!$N$66*MIN(J29641+J29648+J29646-J29647-J29649,MAX(0,J29710-J29533-J29546-J29559-J29572-J29585-J29598-J29611-J29624-J29637))</f>
        <v>0</v>
      </c>
      <c r="K29650" s="16" t="n">
        <f aca="false">Assumptions!$N$66*MIN(K29641+K29648+K29646-K29647-K29649,MAX(0,K29710-K29533-K29546-K29559-K29572-K29585-K29598-K29611-K29624-K29637))</f>
        <v>0</v>
      </c>
    </row>
    <row r="29651" customFormat="false" ht="15" hidden="false" customHeight="false" outlineLevel="0" collapsed="false">
      <c r="A29651" s="3" t="s">
        <v>338</v>
      </c>
      <c r="G29651" s="16" t="n">
        <f aca="false">G29642*(1-G29522)*(G29641-G29647+G29646-G29649)</f>
        <v>0</v>
      </c>
      <c r="H29651" s="16" t="n">
        <f aca="false">H29642*(1-H29522)*(H29641-H29647+H29646-H29649)</f>
        <v>0</v>
      </c>
      <c r="I29651" s="16" t="n">
        <f aca="false">I29642*(1-I29522)*(I29641-I29647+I29646-I29649)</f>
        <v>0</v>
      </c>
      <c r="J29651" s="16" t="n">
        <f aca="false">J29642*(1-J29522)*(J29641-J29647+J29646-J29649)</f>
        <v>0</v>
      </c>
      <c r="K29651" s="16" t="n">
        <f aca="false">K29642*(1-K29522)*(K29641-K29647+K29646-K29649)</f>
        <v>0</v>
      </c>
    </row>
    <row r="29652" customFormat="false" ht="15" hidden="false" customHeight="false" outlineLevel="0" collapsed="false">
      <c r="A29652" s="2" t="s">
        <v>339</v>
      </c>
      <c r="F29652" s="28" t="n">
        <f aca="false">Assumptions!$C$66</f>
        <v>78.61</v>
      </c>
      <c r="G29652" s="17" t="n">
        <f aca="false">G29641+G29648+G29646-G29647-G29649-G29650</f>
        <v>78.61</v>
      </c>
      <c r="H29652" s="17" t="n">
        <f aca="false">H29641+H29648+H29646-H29647-H29649-H29650</f>
        <v>78.61</v>
      </c>
      <c r="I29652" s="17" t="n">
        <f aca="false">I29641+I29648+I29646-I29647-I29649-I29650</f>
        <v>78.61</v>
      </c>
      <c r="J29652" s="17" t="n">
        <f aca="false">J29641+J29648+J29646-J29647-J29649-J29650</f>
        <v>78.61</v>
      </c>
      <c r="K29652" s="17" t="n">
        <f aca="false">K29641+K29648+K29646-K29647-K29649-K29650</f>
        <v>78.61</v>
      </c>
    </row>
    <row r="29653" customFormat="false" ht="15" hidden="false" customHeight="false" outlineLevel="0" collapsed="false">
      <c r="A29653" s="24" t="s">
        <v>349</v>
      </c>
      <c r="B29653" s="25"/>
      <c r="C29653" s="25"/>
      <c r="D29653" s="25"/>
      <c r="E29653" s="25"/>
      <c r="F29653" s="25"/>
      <c r="G29653" s="25"/>
      <c r="H29653" s="25"/>
      <c r="I29653" s="25"/>
      <c r="J29653" s="25"/>
      <c r="K29653" s="25"/>
    </row>
    <row r="29654" customFormat="false" ht="15" hidden="false" customHeight="false" outlineLevel="0" collapsed="false">
      <c r="A29654" s="2" t="s">
        <v>350</v>
      </c>
      <c r="F29654" s="17" t="n">
        <f aca="false">F29535+F29548+F29561+F29574+F29587+F29600+F29613+F29626+F29639+F29652</f>
        <v>2625.934</v>
      </c>
      <c r="G29654" s="17" t="n">
        <f aca="false">G29535+G29548+G29561+G29574+G29587+G29600+G29613+G29626+G29639+G29652</f>
        <v>2621.934</v>
      </c>
      <c r="H29654" s="17" t="n">
        <f aca="false">H29535+H29548+H29561+H29574+H29587+H29600+H29613+H29626+H29639+H29652</f>
        <v>2602.8887587</v>
      </c>
      <c r="I29654" s="17" t="n">
        <f aca="false">I29535+I29548+I29561+I29574+I29587+I29600+I29613+I29626+I29639+I29652</f>
        <v>2598.8887587</v>
      </c>
      <c r="J29654" s="17" t="n">
        <f aca="false">J29535+J29548+J29561+J29574+J29587+J29600+J29613+J29626+J29639+J29652</f>
        <v>2594.8887587</v>
      </c>
      <c r="K29654" s="17" t="n">
        <f aca="false">K29535+K29548+K29561+K29574+K29587+K29600+K29613+K29626+K29639+K29652</f>
        <v>2590.8887587</v>
      </c>
    </row>
    <row r="29655" customFormat="false" ht="15" hidden="false" customHeight="false" outlineLevel="0" collapsed="false">
      <c r="A29655" s="3" t="s">
        <v>351</v>
      </c>
      <c r="G29655" s="16" t="n">
        <f aca="false">G29525*Assumptions!$C$57+G29538*Assumptions!$C$58+G29551*Assumptions!$C$59+G29564*Assumptions!$C$60+G29577*Assumptions!$C$61+G29590*Assumptions!$C$62+G29603*Assumptions!$C$63+G29616*Assumptions!$C$64+G29629*Assumptions!$C$65+G29642*Assumptions!$C$66</f>
        <v>0</v>
      </c>
      <c r="H29655" s="16" t="n">
        <f aca="false">H29525*Assumptions!$C$57+H29538*Assumptions!$C$58+H29551*Assumptions!$C$59+H29564*Assumptions!$C$60+H29577*Assumptions!$C$61+H29590*Assumptions!$C$62+H29603*Assumptions!$C$63+H29616*Assumptions!$C$64+H29629*Assumptions!$C$65+H29642*Assumptions!$C$66</f>
        <v>800</v>
      </c>
      <c r="I29655" s="16" t="n">
        <f aca="false">I29525*Assumptions!$C$57+I29538*Assumptions!$C$58+I29551*Assumptions!$C$59+I29564*Assumptions!$C$60+I29577*Assumptions!$C$61+I29590*Assumptions!$C$62+I29603*Assumptions!$C$63+I29616*Assumptions!$C$64+I29629*Assumptions!$C$65+I29642*Assumptions!$C$66</f>
        <v>550</v>
      </c>
      <c r="J29655" s="16" t="n">
        <f aca="false">J29525*Assumptions!$C$57+J29538*Assumptions!$C$58+J29551*Assumptions!$C$59+J29564*Assumptions!$C$60+J29577*Assumptions!$C$61+J29590*Assumptions!$C$62+J29603*Assumptions!$C$63+J29616*Assumptions!$C$64+J29629*Assumptions!$C$65+J29642*Assumptions!$C$66</f>
        <v>350</v>
      </c>
      <c r="K29655" s="16" t="n">
        <f aca="false">K29525*Assumptions!$C$57+K29538*Assumptions!$C$58+K29551*Assumptions!$C$59+K29564*Assumptions!$C$60+K29577*Assumptions!$C$61+K29590*Assumptions!$C$62+K29603*Assumptions!$C$63+K29616*Assumptions!$C$64+K29629*Assumptions!$C$65+K29642*Assumptions!$C$66</f>
        <v>700</v>
      </c>
    </row>
    <row r="29656" customFormat="false" ht="15" hidden="false" customHeight="false" outlineLevel="0" collapsed="false">
      <c r="A29656" s="24" t="s">
        <v>352</v>
      </c>
      <c r="B29656" s="25"/>
      <c r="C29656" s="25"/>
      <c r="D29656" s="25"/>
      <c r="E29656" s="25"/>
      <c r="F29656" s="25"/>
      <c r="G29656" s="25"/>
      <c r="H29656" s="25"/>
      <c r="I29656" s="25"/>
      <c r="J29656" s="25"/>
      <c r="K29656" s="25"/>
    </row>
    <row r="29657" customFormat="false" ht="15" hidden="false" customHeight="false" outlineLevel="0" collapsed="false">
      <c r="A29657" s="3" t="s">
        <v>353</v>
      </c>
      <c r="C29657" s="16" t="n">
        <f aca="false">SUMPRODUCT($G$29525:$K$29525,$G$29524:$K$29524-$G$29530:$K$29530+$G$29529:$K$29529)</f>
        <v>380</v>
      </c>
    </row>
    <row r="29658" customFormat="false" ht="15" hidden="false" customHeight="false" outlineLevel="0" collapsed="false">
      <c r="A29658" s="3" t="s">
        <v>354</v>
      </c>
      <c r="C29658" s="16" t="n">
        <f aca="false">SUMPRODUCT($G$29525:$K$29525,$G$29532:$K$29532)</f>
        <v>0</v>
      </c>
    </row>
    <row r="29659" customFormat="false" ht="15" hidden="false" customHeight="false" outlineLevel="0" collapsed="false">
      <c r="A29659" s="3" t="s">
        <v>355</v>
      </c>
      <c r="C29659" s="3" t="str">
        <f aca="false">IF(SUM($G$29525:$K$29525)=0,"n/a (beyond horizon)",IF(SUMPRODUCT($G$29525:$K$29525,$G$29522:$K$29522)&gt;0,"REFINANCING PASS","REFINANCING FAILURE"))</f>
        <v>REFINANCING FAILURE</v>
      </c>
    </row>
    <row r="29660" customFormat="false" ht="15" hidden="false" customHeight="false" outlineLevel="0" collapsed="false">
      <c r="A29660" s="3" t="s">
        <v>356</v>
      </c>
      <c r="C29660" s="3" t="str">
        <f aca="false">IF(SUM($G$29525:$K$29525)=0,"n/a",IF(C29658&gt;=C29657-0.001,"Repaid from cash",IF(SUMPRODUCT($G$29525:$K$29525,$G$29522:$K$29522)&gt;0,IF(C29658&gt;0,"Partly repaid; remainder refinanced","Refinanced"),IF(SUM($G$29534:$K$29534)&gt;0.001,IF(C29658&gt;0,"Partial repayment; PAYMENT DEFAULT","PAYMENT DEFAULT"),"Repaid from cash"))))</f>
        <v>PAYMENT DEFAULT</v>
      </c>
    </row>
    <row r="29661" customFormat="false" ht="15" hidden="false" customHeight="false" outlineLevel="0" collapsed="false">
      <c r="A29661" s="3" t="s">
        <v>357</v>
      </c>
      <c r="C29661" s="16" t="n">
        <f aca="false">SUMPRODUCT($G$29538:$K$29538,$G$29537:$K$29537-$G$29543:$K$29543+$G$29542:$K$29542)</f>
        <v>0</v>
      </c>
    </row>
    <row r="29662" customFormat="false" ht="15" hidden="false" customHeight="false" outlineLevel="0" collapsed="false">
      <c r="A29662" s="3" t="s">
        <v>358</v>
      </c>
      <c r="C29662" s="16" t="n">
        <f aca="false">SUMPRODUCT($G$29538:$K$29538,$G$29545:$K$29545)</f>
        <v>0</v>
      </c>
    </row>
    <row r="29663" customFormat="false" ht="15" hidden="false" customHeight="false" outlineLevel="0" collapsed="false">
      <c r="A29663" s="3" t="s">
        <v>359</v>
      </c>
      <c r="C29663" s="3" t="str">
        <f aca="false">IF(SUM($G$29538:$K$29538)=0,"n/a (beyond horizon)",IF(SUMPRODUCT($G$29538:$K$29538,$G$29522:$K$29522)&gt;0,"REFINANCING PASS","REFINANCING FAILURE"))</f>
        <v>n/a (beyond horizon)</v>
      </c>
    </row>
    <row r="29664" customFormat="false" ht="15" hidden="false" customHeight="false" outlineLevel="0" collapsed="false">
      <c r="A29664" s="3" t="s">
        <v>360</v>
      </c>
      <c r="C29664" s="3" t="str">
        <f aca="false">IF(SUM($G$29538:$K$29538)=0,"n/a",IF(C29662&gt;=C29661-0.001,"Repaid from cash",IF(SUMPRODUCT($G$29538:$K$29538,$G$29522:$K$29522)&gt;0,IF(C29662&gt;0,"Partly repaid; remainder refinanced","Refinanced"),IF(SUM($G$29547:$K$29547)&gt;0.001,IF(C29662&gt;0,"Partial repayment; PAYMENT DEFAULT","PAYMENT DEFAULT"),"Repaid from cash"))))</f>
        <v>n/a</v>
      </c>
    </row>
    <row r="29665" customFormat="false" ht="15" hidden="false" customHeight="false" outlineLevel="0" collapsed="false">
      <c r="A29665" s="3" t="s">
        <v>361</v>
      </c>
      <c r="C29665" s="16" t="n">
        <f aca="false">SUMPRODUCT($G$29551:$K$29551,$G$29550:$K$29550-$G$29556:$K$29556+$G$29555:$K$29555)</f>
        <v>0</v>
      </c>
    </row>
    <row r="29666" customFormat="false" ht="15" hidden="false" customHeight="false" outlineLevel="0" collapsed="false">
      <c r="A29666" s="3" t="s">
        <v>362</v>
      </c>
      <c r="C29666" s="16" t="n">
        <f aca="false">SUMPRODUCT($G$29551:$K$29551,$G$29558:$K$29558)</f>
        <v>0</v>
      </c>
    </row>
    <row r="29667" customFormat="false" ht="15" hidden="false" customHeight="false" outlineLevel="0" collapsed="false">
      <c r="A29667" s="3" t="s">
        <v>363</v>
      </c>
      <c r="C29667" s="3" t="str">
        <f aca="false">IF(SUM($G$29551:$K$29551)=0,"n/a (beyond horizon)",IF(SUMPRODUCT($G$29551:$K$29551,$G$29522:$K$29522)&gt;0,"REFINANCING PASS","REFINANCING FAILURE"))</f>
        <v>n/a (beyond horizon)</v>
      </c>
    </row>
    <row r="29668" customFormat="false" ht="15" hidden="false" customHeight="false" outlineLevel="0" collapsed="false">
      <c r="A29668" s="3" t="s">
        <v>364</v>
      </c>
      <c r="C29668" s="3" t="str">
        <f aca="false">IF(SUM($G$29551:$K$29551)=0,"n/a",IF(C29666&gt;=C29665-0.001,"Repaid from cash",IF(SUMPRODUCT($G$29551:$K$29551,$G$29522:$K$29522)&gt;0,IF(C29666&gt;0,"Partly repaid; remainder refinanced","Refinanced"),IF(SUM($G$29560:$K$29560)&gt;0.001,IF(C29666&gt;0,"Partial repayment; PAYMENT DEFAULT","PAYMENT DEFAULT"),"Repaid from cash"))))</f>
        <v>n/a</v>
      </c>
    </row>
    <row r="29669" customFormat="false" ht="15" hidden="false" customHeight="false" outlineLevel="0" collapsed="false">
      <c r="A29669" s="3" t="s">
        <v>365</v>
      </c>
      <c r="C29669" s="16" t="n">
        <f aca="false">SUMPRODUCT($G$29564:$K$29564,$G$29563:$K$29563-$G$29569:$K$29569+$G$29568:$K$29568)</f>
        <v>0</v>
      </c>
    </row>
    <row r="29670" customFormat="false" ht="15" hidden="false" customHeight="false" outlineLevel="0" collapsed="false">
      <c r="A29670" s="3" t="s">
        <v>366</v>
      </c>
      <c r="C29670" s="16" t="n">
        <f aca="false">SUMPRODUCT($G$29564:$K$29564,$G$29571:$K$29571)</f>
        <v>0</v>
      </c>
    </row>
    <row r="29671" customFormat="false" ht="15" hidden="false" customHeight="false" outlineLevel="0" collapsed="false">
      <c r="A29671" s="3" t="s">
        <v>367</v>
      </c>
      <c r="C29671" s="3" t="str">
        <f aca="false">IF(SUM($G$29564:$K$29564)=0,"n/a (beyond horizon)",IF(SUMPRODUCT($G$29564:$K$29564,$G$29522:$K$29522)&gt;0,"REFINANCING PASS","REFINANCING FAILURE"))</f>
        <v>REFINANCING FAILURE</v>
      </c>
    </row>
    <row r="29672" customFormat="false" ht="15" hidden="false" customHeight="false" outlineLevel="0" collapsed="false">
      <c r="A29672" s="3" t="s">
        <v>368</v>
      </c>
      <c r="C29672" s="3" t="str">
        <f aca="false">IF(SUM($G$29564:$K$29564)=0,"n/a",IF(C29670&gt;=C29669-0.001,"Repaid from cash",IF(SUMPRODUCT($G$29564:$K$29564,$G$29522:$K$29522)&gt;0,IF(C29670&gt;0,"Partly repaid; remainder refinanced","Refinanced"),IF(SUM($G$29573:$K$29573)&gt;0.001,IF(C29670&gt;0,"Partial repayment; PAYMENT DEFAULT","PAYMENT DEFAULT"),"Repaid from cash"))))</f>
        <v>Repaid from cash</v>
      </c>
    </row>
    <row r="29673" customFormat="false" ht="15" hidden="false" customHeight="false" outlineLevel="0" collapsed="false">
      <c r="A29673" s="3" t="s">
        <v>369</v>
      </c>
      <c r="C29673" s="16" t="n">
        <f aca="false">SUMPRODUCT($G$29577:$K$29577,$G$29576:$K$29576-$G$29582:$K$29582+$G$29581:$K$29581)</f>
        <v>450</v>
      </c>
    </row>
    <row r="29674" customFormat="false" ht="15" hidden="false" customHeight="false" outlineLevel="0" collapsed="false">
      <c r="A29674" s="3" t="s">
        <v>370</v>
      </c>
      <c r="C29674" s="16" t="n">
        <f aca="false">SUMPRODUCT($G$29577:$K$29577,$G$29584:$K$29584)</f>
        <v>15.0452413</v>
      </c>
    </row>
    <row r="29675" customFormat="false" ht="15" hidden="false" customHeight="false" outlineLevel="0" collapsed="false">
      <c r="A29675" s="3" t="s">
        <v>371</v>
      </c>
      <c r="C29675" s="3" t="str">
        <f aca="false">IF(SUM($G$29577:$K$29577)=0,"n/a (beyond horizon)",IF(SUMPRODUCT($G$29577:$K$29577,$G$29522:$K$29522)&gt;0,"REFINANCING PASS","REFINANCING FAILURE"))</f>
        <v>REFINANCING FAILURE</v>
      </c>
    </row>
    <row r="29676" customFormat="false" ht="15" hidden="false" customHeight="false" outlineLevel="0" collapsed="false">
      <c r="A29676" s="3" t="s">
        <v>372</v>
      </c>
      <c r="C29676" s="3" t="str">
        <f aca="false">IF(SUM($G$29577:$K$29577)=0,"n/a",IF(C29674&gt;=C29673-0.001,"Repaid from cash",IF(SUMPRODUCT($G$29577:$K$29577,$G$29522:$K$29522)&gt;0,IF(C29674&gt;0,"Partly repaid; remainder refinanced","Refinanced"),IF(SUM($G$29586:$K$29586)&gt;0.001,IF(C29674&gt;0,"Partial repayment; PAYMENT DEFAULT","PAYMENT DEFAULT"),"Repaid from cash"))))</f>
        <v>Partial repayment; PAYMENT DEFAULT</v>
      </c>
    </row>
    <row r="29677" customFormat="false" ht="15" hidden="false" customHeight="false" outlineLevel="0" collapsed="false">
      <c r="A29677" s="3" t="s">
        <v>373</v>
      </c>
      <c r="C29677" s="16" t="n">
        <f aca="false">SUMPRODUCT($G$29590:$K$29590,$G$29589:$K$29589-$G$29595:$K$29595+$G$29594:$K$29594)</f>
        <v>350</v>
      </c>
    </row>
    <row r="29678" customFormat="false" ht="15" hidden="false" customHeight="false" outlineLevel="0" collapsed="false">
      <c r="A29678" s="3" t="s">
        <v>374</v>
      </c>
      <c r="C29678" s="16" t="n">
        <f aca="false">SUMPRODUCT($G$29590:$K$29590,$G$29597:$K$29597)</f>
        <v>0</v>
      </c>
    </row>
    <row r="29679" customFormat="false" ht="15" hidden="false" customHeight="false" outlineLevel="0" collapsed="false">
      <c r="A29679" s="3" t="s">
        <v>375</v>
      </c>
      <c r="C29679" s="3" t="str">
        <f aca="false">IF(SUM($G$29590:$K$29590)=0,"n/a (beyond horizon)",IF(SUMPRODUCT($G$29590:$K$29590,$G$29522:$K$29522)&gt;0,"REFINANCING PASS","REFINANCING FAILURE"))</f>
        <v>REFINANCING FAILURE</v>
      </c>
    </row>
    <row r="29680" customFormat="false" ht="15" hidden="false" customHeight="false" outlineLevel="0" collapsed="false">
      <c r="A29680" s="3" t="s">
        <v>376</v>
      </c>
      <c r="C29680" s="3" t="str">
        <f aca="false">IF(SUM($G$29590:$K$29590)=0,"n/a",IF(C29678&gt;=C29677-0.001,"Repaid from cash",IF(SUMPRODUCT($G$29590:$K$29590,$G$29522:$K$29522)&gt;0,IF(C29678&gt;0,"Partly repaid; remainder refinanced","Refinanced"),IF(SUM($G$29599:$K$29599)&gt;0.001,IF(C29678&gt;0,"Partial repayment; PAYMENT DEFAULT","PAYMENT DEFAULT"),"Repaid from cash"))))</f>
        <v>PAYMENT DEFAULT</v>
      </c>
    </row>
    <row r="29681" customFormat="false" ht="15" hidden="false" customHeight="false" outlineLevel="0" collapsed="false">
      <c r="A29681" s="3" t="s">
        <v>377</v>
      </c>
      <c r="C29681" s="16" t="n">
        <f aca="false">SUMPRODUCT($G$29603:$K$29603,$G$29602:$K$29602-$G$29608:$K$29608+$G$29607:$K$29607)</f>
        <v>550</v>
      </c>
    </row>
    <row r="29682" customFormat="false" ht="15" hidden="false" customHeight="false" outlineLevel="0" collapsed="false">
      <c r="A29682" s="3" t="s">
        <v>378</v>
      </c>
      <c r="C29682" s="16" t="n">
        <f aca="false">SUMPRODUCT($G$29603:$K$29603,$G$29610:$K$29610)</f>
        <v>0</v>
      </c>
    </row>
    <row r="29683" customFormat="false" ht="15" hidden="false" customHeight="false" outlineLevel="0" collapsed="false">
      <c r="A29683" s="3" t="s">
        <v>379</v>
      </c>
      <c r="C29683" s="3" t="str">
        <f aca="false">IF(SUM($G$29603:$K$29603)=0,"n/a (beyond horizon)",IF(SUMPRODUCT($G$29603:$K$29603,$G$29522:$K$29522)&gt;0,"REFINANCING PASS","REFINANCING FAILURE"))</f>
        <v>REFINANCING FAILURE</v>
      </c>
    </row>
    <row r="29684" customFormat="false" ht="15" hidden="false" customHeight="false" outlineLevel="0" collapsed="false">
      <c r="A29684" s="3" t="s">
        <v>380</v>
      </c>
      <c r="C29684" s="3" t="str">
        <f aca="false">IF(SUM($G$29603:$K$29603)=0,"n/a",IF(C29682&gt;=C29681-0.001,"Repaid from cash",IF(SUMPRODUCT($G$29603:$K$29603,$G$29522:$K$29522)&gt;0,IF(C29682&gt;0,"Partly repaid; remainder refinanced","Refinanced"),IF(SUM($G$29612:$K$29612)&gt;0.001,IF(C29682&gt;0,"Partial repayment; PAYMENT DEFAULT","PAYMENT DEFAULT"),"Repaid from cash"))))</f>
        <v>PAYMENT DEFAULT</v>
      </c>
    </row>
    <row r="29685" customFormat="false" ht="15" hidden="false" customHeight="false" outlineLevel="0" collapsed="false">
      <c r="A29685" s="3" t="s">
        <v>381</v>
      </c>
      <c r="C29685" s="16" t="n">
        <f aca="false">SUMPRODUCT($G$29616:$K$29616,$G$29615:$K$29615-$G$29621:$K$29621+$G$29620:$K$29620)</f>
        <v>350</v>
      </c>
    </row>
    <row r="29686" customFormat="false" ht="15" hidden="false" customHeight="false" outlineLevel="0" collapsed="false">
      <c r="A29686" s="3" t="s">
        <v>382</v>
      </c>
      <c r="C29686" s="16" t="n">
        <f aca="false">SUMPRODUCT($G$29616:$K$29616,$G$29623:$K$29623)</f>
        <v>0</v>
      </c>
    </row>
    <row r="29687" customFormat="false" ht="15" hidden="false" customHeight="false" outlineLevel="0" collapsed="false">
      <c r="A29687" s="3" t="s">
        <v>383</v>
      </c>
      <c r="C29687" s="3" t="str">
        <f aca="false">IF(SUM($G$29616:$K$29616)=0,"n/a (beyond horizon)",IF(SUMPRODUCT($G$29616:$K$29616,$G$29522:$K$29522)&gt;0,"REFINANCING PASS","REFINANCING FAILURE"))</f>
        <v>REFINANCING FAILURE</v>
      </c>
    </row>
    <row r="29688" customFormat="false" ht="15" hidden="false" customHeight="false" outlineLevel="0" collapsed="false">
      <c r="A29688" s="3" t="s">
        <v>384</v>
      </c>
      <c r="C29688" s="3" t="str">
        <f aca="false">IF(SUM($G$29616:$K$29616)=0,"n/a",IF(C29686&gt;=C29685-0.001,"Repaid from cash",IF(SUMPRODUCT($G$29616:$K$29616,$G$29522:$K$29522)&gt;0,IF(C29686&gt;0,"Partly repaid; remainder refinanced","Refinanced"),IF(SUM($G$29625:$K$29625)&gt;0.001,IF(C29686&gt;0,"Partial repayment; PAYMENT DEFAULT","PAYMENT DEFAULT"),"Repaid from cash"))))</f>
        <v>PAYMENT DEFAULT</v>
      </c>
    </row>
    <row r="29689" customFormat="false" ht="15" hidden="false" customHeight="false" outlineLevel="0" collapsed="false">
      <c r="A29689" s="3" t="s">
        <v>385</v>
      </c>
      <c r="C29689" s="16" t="n">
        <f aca="false">SUMPRODUCT($G$29629:$K$29629,$G$29628:$K$29628-$G$29634:$K$29634+$G$29633:$K$29633)</f>
        <v>300</v>
      </c>
    </row>
    <row r="29690" customFormat="false" ht="15" hidden="false" customHeight="false" outlineLevel="0" collapsed="false">
      <c r="A29690" s="3" t="s">
        <v>386</v>
      </c>
      <c r="C29690" s="16" t="n">
        <f aca="false">SUMPRODUCT($G$29629:$K$29629,$G$29636:$K$29636)</f>
        <v>0</v>
      </c>
    </row>
    <row r="29691" customFormat="false" ht="15" hidden="false" customHeight="false" outlineLevel="0" collapsed="false">
      <c r="A29691" s="3" t="s">
        <v>387</v>
      </c>
      <c r="C29691" s="3" t="str">
        <f aca="false">IF(SUM($G$29629:$K$29629)=0,"n/a (beyond horizon)",IF(SUMPRODUCT($G$29629:$K$29629,$G$29522:$K$29522)&gt;0,"REFINANCING PASS","REFINANCING FAILURE"))</f>
        <v>REFINANCING FAILURE</v>
      </c>
    </row>
    <row r="29692" customFormat="false" ht="15" hidden="false" customHeight="false" outlineLevel="0" collapsed="false">
      <c r="A29692" s="3" t="s">
        <v>388</v>
      </c>
      <c r="C29692" s="3" t="str">
        <f aca="false">IF(SUM($G$29629:$K$29629)=0,"n/a",IF(C29690&gt;=C29689-0.001,"Repaid from cash",IF(SUMPRODUCT($G$29629:$K$29629,$G$29522:$K$29522)&gt;0,IF(C29690&gt;0,"Partly repaid; remainder refinanced","Refinanced"),IF(SUM($G$29638:$K$29638)&gt;0.001,IF(C29690&gt;0,"Partial repayment; PAYMENT DEFAULT","PAYMENT DEFAULT"),"Repaid from cash"))))</f>
        <v>PAYMENT DEFAULT</v>
      </c>
    </row>
    <row r="29693" customFormat="false" ht="15" hidden="false" customHeight="false" outlineLevel="0" collapsed="false">
      <c r="A29693" s="3" t="s">
        <v>389</v>
      </c>
      <c r="C29693" s="16" t="n">
        <f aca="false">SUMPRODUCT($G$29642:$K$29642,$G$29641:$K$29641-$G$29647:$K$29647+$G$29646:$K$29646)</f>
        <v>0</v>
      </c>
    </row>
    <row r="29694" customFormat="false" ht="15" hidden="false" customHeight="false" outlineLevel="0" collapsed="false">
      <c r="A29694" s="3" t="s">
        <v>390</v>
      </c>
      <c r="C29694" s="16" t="n">
        <f aca="false">SUMPRODUCT($G$29642:$K$29642,$G$29649:$K$29649)</f>
        <v>0</v>
      </c>
    </row>
    <row r="29695" customFormat="false" ht="15" hidden="false" customHeight="false" outlineLevel="0" collapsed="false">
      <c r="A29695" s="3" t="s">
        <v>391</v>
      </c>
      <c r="C29695" s="3" t="str">
        <f aca="false">IF(SUM($G$29642:$K$29642)=0,"n/a (beyond horizon)",IF(SUMPRODUCT($G$29642:$K$29642,$G$29522:$K$29522)&gt;0,"REFINANCING PASS","REFINANCING FAILURE"))</f>
        <v>n/a (beyond horizon)</v>
      </c>
    </row>
    <row r="29696" customFormat="false" ht="15" hidden="false" customHeight="false" outlineLevel="0" collapsed="false">
      <c r="A29696" s="3" t="s">
        <v>392</v>
      </c>
      <c r="C29696" s="3" t="str">
        <f aca="false">IF(SUM($G$29642:$K$29642)=0,"n/a",IF(C29694&gt;=C29693-0.001,"Repaid from cash",IF(SUMPRODUCT($G$29642:$K$29642,$G$29522:$K$29522)&gt;0,IF(C29694&gt;0,"Partly repaid; remainder refinanced","Refinanced"),IF(SUM($G$29651:$K$29651)&gt;0.001,IF(C29694&gt;0,"Partial repayment; PAYMENT DEFAULT","PAYMENT DEFAULT"),"Repaid from cash"))))</f>
        <v>n/a</v>
      </c>
    </row>
    <row r="29697" customFormat="false" ht="15" hidden="false" customHeight="false" outlineLevel="0" collapsed="false">
      <c r="A29697" s="3" t="s">
        <v>393</v>
      </c>
      <c r="C29697" s="21" t="n">
        <f aca="false">IF(C29659="REFINANCING FAILURE",1,0)+IF(C29663="REFINANCING FAILURE",1,0)+IF(C29667="REFINANCING FAILURE",1,0)+IF(C29671="REFINANCING FAILURE",1,0)+IF(C29675="REFINANCING FAILURE",1,0)+IF(C29679="REFINANCING FAILURE",1,0)+IF(C29683="REFINANCING FAILURE",1,0)+IF(C29687="REFINANCING FAILURE",1,0)+IF(C29691="REFINANCING FAILURE",1,0)+IF(C29695="REFINANCING FAILURE",1,0)</f>
        <v>7</v>
      </c>
    </row>
    <row r="29699" customFormat="false" ht="15" hidden="false" customHeight="false" outlineLevel="0" collapsed="false">
      <c r="A29699" s="24" t="s">
        <v>395</v>
      </c>
      <c r="B29699" s="25"/>
      <c r="C29699" s="25"/>
      <c r="D29699" s="25"/>
      <c r="E29699" s="25"/>
      <c r="F29699" s="25"/>
      <c r="G29699" s="25"/>
      <c r="H29699" s="25"/>
      <c r="I29699" s="25"/>
      <c r="J29699" s="25"/>
      <c r="K29699" s="25"/>
    </row>
    <row r="29700" customFormat="false" ht="15" hidden="false" customHeight="false" outlineLevel="0" collapsed="false">
      <c r="A29700" s="3" t="s">
        <v>325</v>
      </c>
      <c r="G29700" s="16" t="n">
        <f aca="false">F29712</f>
        <v>37.87</v>
      </c>
      <c r="H29700" s="16" t="n">
        <f aca="false">G29712</f>
        <v>87.2944416</v>
      </c>
      <c r="I29700" s="16" t="n">
        <f aca="false">H29712</f>
        <v>0</v>
      </c>
      <c r="J29700" s="16" t="n">
        <f aca="false">I29712</f>
        <v>-75.7748017716</v>
      </c>
      <c r="K29700" s="16" t="n">
        <f aca="false">J29712</f>
        <v>-149.05681614325</v>
      </c>
    </row>
    <row r="29701" customFormat="false" ht="15" hidden="false" customHeight="false" outlineLevel="0" collapsed="false">
      <c r="A29701" s="3" t="s">
        <v>396</v>
      </c>
      <c r="G29701" s="16" t="n">
        <f aca="false">G29511</f>
        <v>-46.5755584</v>
      </c>
      <c r="H29701" s="16" t="n">
        <f aca="false">H29511</f>
        <v>-68.2492003</v>
      </c>
      <c r="I29701" s="16" t="n">
        <f aca="false">I29511</f>
        <v>-71.7748017716</v>
      </c>
      <c r="J29701" s="16" t="n">
        <f aca="false">J29511</f>
        <v>-69.28201437165</v>
      </c>
      <c r="K29701" s="16" t="n">
        <f aca="false">K29511</f>
        <v>-63.512311383781</v>
      </c>
    </row>
    <row r="29702" customFormat="false" ht="15" hidden="false" customHeight="false" outlineLevel="0" collapsed="false">
      <c r="A29702" s="3" t="s">
        <v>397</v>
      </c>
      <c r="G29702" s="16" t="n">
        <f aca="false">CHOOSE($C$29481,Assumptions!$G$82,Assumptions!$G$101,Assumptions!$G$120)</f>
        <v>100</v>
      </c>
      <c r="H29702" s="16" t="n">
        <f aca="false">CHOOSE($C$29481,Assumptions!$H$82,Assumptions!$H$101,Assumptions!$H$120)</f>
        <v>0</v>
      </c>
      <c r="I29702" s="16" t="n">
        <f aca="false">CHOOSE($C$29481,Assumptions!$I$82,Assumptions!$I$101,Assumptions!$I$120)</f>
        <v>0</v>
      </c>
      <c r="J29702" s="16" t="n">
        <f aca="false">CHOOSE($C$29481,Assumptions!$J$82,Assumptions!$J$101,Assumptions!$J$120)</f>
        <v>0</v>
      </c>
      <c r="K29702" s="16" t="n">
        <f aca="false">CHOOSE($C$29481,Assumptions!$K$82,Assumptions!$K$101,Assumptions!$K$120)</f>
        <v>0</v>
      </c>
    </row>
    <row r="29703" customFormat="false" ht="15" hidden="false" customHeight="false" outlineLevel="0" collapsed="false">
      <c r="A29703" s="3" t="s">
        <v>398</v>
      </c>
      <c r="G29703" s="16" t="n">
        <f aca="false">G29530+G29543+G29556+G29569+G29582+G29595+G29608+G29621+G29634+G29647</f>
        <v>4</v>
      </c>
      <c r="H29703" s="16" t="n">
        <f aca="false">H29530+H29543+H29556+H29569+H29582+H29595+H29608+H29621+H29634+H29647</f>
        <v>4</v>
      </c>
      <c r="I29703" s="16" t="n">
        <f aca="false">I29530+I29543+I29556+I29569+I29582+I29595+I29608+I29621+I29634+I29647</f>
        <v>4</v>
      </c>
      <c r="J29703" s="16" t="n">
        <f aca="false">J29530+J29543+J29556+J29569+J29582+J29595+J29608+J29621+J29634+J29647</f>
        <v>4</v>
      </c>
      <c r="K29703" s="16" t="n">
        <f aca="false">K29530+K29543+K29556+K29569+K29582+K29595+K29608+K29621+K29634+K29647</f>
        <v>4</v>
      </c>
    </row>
    <row r="29704" customFormat="false" ht="15" hidden="false" customHeight="false" outlineLevel="0" collapsed="false">
      <c r="A29704" s="2" t="s">
        <v>399</v>
      </c>
      <c r="G29704" s="17" t="n">
        <f aca="false">G29700+G29701+G29702-G29703</f>
        <v>87.2944416</v>
      </c>
      <c r="H29704" s="17" t="n">
        <f aca="false">H29700+H29701+H29702-H29703</f>
        <v>15.0452413</v>
      </c>
      <c r="I29704" s="17" t="n">
        <f aca="false">I29700+I29701+I29702-I29703</f>
        <v>-75.7748017716</v>
      </c>
      <c r="J29704" s="17" t="n">
        <f aca="false">J29700+J29701+J29702-J29703</f>
        <v>-149.05681614325</v>
      </c>
      <c r="K29704" s="17" t="n">
        <f aca="false">K29700+K29701+K29702-K29703</f>
        <v>-216.569127527031</v>
      </c>
    </row>
    <row r="29705" customFormat="false" ht="15" hidden="false" customHeight="false" outlineLevel="0" collapsed="false">
      <c r="A29705" s="3" t="s">
        <v>400</v>
      </c>
      <c r="G29705" s="16" t="n">
        <f aca="false">G29531+G29544+G29557+G29570+G29583+G29596+G29609+G29622+G29635+G29648</f>
        <v>0</v>
      </c>
      <c r="H29705" s="16" t="n">
        <f aca="false">H29531+H29544+H29557+H29570+H29583+H29596+H29609+H29622+H29635+H29648</f>
        <v>0</v>
      </c>
      <c r="I29705" s="16" t="n">
        <f aca="false">I29531+I29544+I29557+I29570+I29583+I29596+I29609+I29622+I29635+I29648</f>
        <v>0</v>
      </c>
      <c r="J29705" s="16" t="n">
        <f aca="false">J29531+J29544+J29557+J29570+J29583+J29596+J29609+J29622+J29635+J29648</f>
        <v>0</v>
      </c>
      <c r="K29705" s="16" t="n">
        <f aca="false">K29531+K29544+K29557+K29570+K29583+K29596+K29609+K29622+K29635+K29648</f>
        <v>0</v>
      </c>
    </row>
    <row r="29706" customFormat="false" ht="15" hidden="false" customHeight="false" outlineLevel="0" collapsed="false">
      <c r="A29706" s="2" t="s">
        <v>401</v>
      </c>
      <c r="G29706" s="17" t="n">
        <f aca="false">G29704+G29705</f>
        <v>87.2944416</v>
      </c>
      <c r="H29706" s="17" t="n">
        <f aca="false">H29704+H29705</f>
        <v>15.0452413</v>
      </c>
      <c r="I29706" s="17" t="n">
        <f aca="false">I29704+I29705</f>
        <v>-75.7748017716</v>
      </c>
      <c r="J29706" s="17" t="n">
        <f aca="false">J29704+J29705</f>
        <v>-149.05681614325</v>
      </c>
      <c r="K29706" s="17" t="n">
        <f aca="false">K29704+K29705</f>
        <v>-216.569127527031</v>
      </c>
    </row>
    <row r="29707" customFormat="false" ht="15" hidden="false" customHeight="false" outlineLevel="0" collapsed="false">
      <c r="A29707" s="3" t="s">
        <v>402</v>
      </c>
      <c r="G29707" s="16" t="n">
        <f aca="false">G29532+G29545+G29558+G29571+G29584+G29597+G29610+G29623+G29636+G29649</f>
        <v>0</v>
      </c>
      <c r="H29707" s="16" t="n">
        <f aca="false">H29532+H29545+H29558+H29571+H29584+H29597+H29610+H29623+H29636+H29649</f>
        <v>15.0452413</v>
      </c>
      <c r="I29707" s="16" t="n">
        <f aca="false">I29532+I29545+I29558+I29571+I29584+I29597+I29610+I29623+I29636+I29649</f>
        <v>0</v>
      </c>
      <c r="J29707" s="16" t="n">
        <f aca="false">J29532+J29545+J29558+J29571+J29584+J29597+J29610+J29623+J29636+J29649</f>
        <v>0</v>
      </c>
      <c r="K29707" s="16" t="n">
        <f aca="false">K29532+K29545+K29558+K29571+K29584+K29597+K29610+K29623+K29636+K29649</f>
        <v>0</v>
      </c>
    </row>
    <row r="29708" customFormat="false" ht="15" hidden="false" customHeight="false" outlineLevel="0" collapsed="false">
      <c r="A29708" s="2" t="s">
        <v>403</v>
      </c>
      <c r="G29708" s="17" t="n">
        <f aca="false">G29706-G29707</f>
        <v>87.2944416</v>
      </c>
      <c r="H29708" s="17" t="n">
        <f aca="false">H29706-H29707</f>
        <v>0</v>
      </c>
      <c r="I29708" s="17" t="n">
        <f aca="false">I29706-I29707</f>
        <v>-75.7748017716</v>
      </c>
      <c r="J29708" s="17" t="n">
        <f aca="false">J29706-J29707</f>
        <v>-149.05681614325</v>
      </c>
      <c r="K29708" s="17" t="n">
        <f aca="false">K29706-K29707</f>
        <v>-216.569127527031</v>
      </c>
    </row>
    <row r="29709" customFormat="false" ht="15" hidden="false" customHeight="false" outlineLevel="0" collapsed="false">
      <c r="A29709" s="3" t="s">
        <v>404</v>
      </c>
      <c r="G29709" s="16" t="n">
        <f aca="false">MAX(0,-G29708)</f>
        <v>0</v>
      </c>
      <c r="H29709" s="16" t="n">
        <f aca="false">MAX(0,-H29708)</f>
        <v>-0</v>
      </c>
      <c r="I29709" s="16" t="n">
        <f aca="false">MAX(0,-I29708)</f>
        <v>75.7748017716</v>
      </c>
      <c r="J29709" s="16" t="n">
        <f aca="false">MAX(0,-J29708)</f>
        <v>149.05681614325</v>
      </c>
      <c r="K29709" s="16" t="n">
        <f aca="false">MAX(0,-K29708)</f>
        <v>216.569127527031</v>
      </c>
    </row>
    <row r="29710" customFormat="false" ht="15" hidden="false" customHeight="false" outlineLevel="0" collapsed="false">
      <c r="A29710" s="3" t="s">
        <v>405</v>
      </c>
      <c r="G29710" s="16" t="n">
        <f aca="false">MAX(0,G29708-Assumptions!$C$12)*Assumptions!$C$13</f>
        <v>0</v>
      </c>
      <c r="H29710" s="16" t="n">
        <f aca="false">MAX(0,H29708-Assumptions!$C$12)*Assumptions!$C$13</f>
        <v>0</v>
      </c>
      <c r="I29710" s="16" t="n">
        <f aca="false">MAX(0,I29708-Assumptions!$C$12)*Assumptions!$C$13</f>
        <v>0</v>
      </c>
      <c r="J29710" s="16" t="n">
        <f aca="false">MAX(0,J29708-Assumptions!$C$12)*Assumptions!$C$13</f>
        <v>0</v>
      </c>
      <c r="K29710" s="16" t="n">
        <f aca="false">MAX(0,K29708-Assumptions!$C$12)*Assumptions!$C$13</f>
        <v>0</v>
      </c>
    </row>
    <row r="29711" customFormat="false" ht="15" hidden="false" customHeight="false" outlineLevel="0" collapsed="false">
      <c r="A29711" s="3" t="s">
        <v>406</v>
      </c>
      <c r="G29711" s="16" t="n">
        <f aca="false">G29533+G29546+G29559+G29572+G29585+G29598+G29611+G29624+G29637+G29650</f>
        <v>0</v>
      </c>
      <c r="H29711" s="16" t="n">
        <f aca="false">H29533+H29546+H29559+H29572+H29585+H29598+H29611+H29624+H29637+H29650</f>
        <v>0</v>
      </c>
      <c r="I29711" s="16" t="n">
        <f aca="false">I29533+I29546+I29559+I29572+I29585+I29598+I29611+I29624+I29637+I29650</f>
        <v>0</v>
      </c>
      <c r="J29711" s="16" t="n">
        <f aca="false">J29533+J29546+J29559+J29572+J29585+J29598+J29611+J29624+J29637+J29650</f>
        <v>0</v>
      </c>
      <c r="K29711" s="16" t="n">
        <f aca="false">K29533+K29546+K29559+K29572+K29585+K29598+K29611+K29624+K29637+K29650</f>
        <v>0</v>
      </c>
    </row>
    <row r="29712" customFormat="false" ht="15" hidden="false" customHeight="false" outlineLevel="0" collapsed="false">
      <c r="A29712" s="2" t="s">
        <v>407</v>
      </c>
      <c r="F29712" s="28" t="n">
        <f aca="false">Assumptions!$C$11</f>
        <v>37.87</v>
      </c>
      <c r="G29712" s="17" t="n">
        <f aca="false">G29708-G29711</f>
        <v>87.2944416</v>
      </c>
      <c r="H29712" s="17" t="n">
        <f aca="false">H29708-H29711</f>
        <v>0</v>
      </c>
      <c r="I29712" s="17" t="n">
        <f aca="false">I29708-I29711</f>
        <v>-75.7748017716</v>
      </c>
      <c r="J29712" s="17" t="n">
        <f aca="false">J29708-J29711</f>
        <v>-149.05681614325</v>
      </c>
      <c r="K29712" s="17" t="n">
        <f aca="false">K29708-K29711</f>
        <v>-216.569127527031</v>
      </c>
    </row>
    <row r="29713" customFormat="false" ht="15" hidden="false" customHeight="false" outlineLevel="0" collapsed="false">
      <c r="A29713" s="3" t="s">
        <v>408</v>
      </c>
      <c r="G29713" s="16" t="n">
        <f aca="false">G29534+G29547+G29560+G29573+G29586+G29599+G29612+G29625+G29638+G29651</f>
        <v>0</v>
      </c>
      <c r="H29713" s="16" t="n">
        <f aca="false">H29534+H29547+H29560+H29573+H29586+H29599+H29612+H29625+H29638+H29651</f>
        <v>784.9547587</v>
      </c>
      <c r="I29713" s="16" t="n">
        <f aca="false">I29534+I29547+I29560+I29573+I29586+I29599+I29612+I29625+I29638+I29651</f>
        <v>550</v>
      </c>
      <c r="J29713" s="16" t="n">
        <f aca="false">J29534+J29547+J29560+J29573+J29586+J29599+J29612+J29625+J29638+J29651</f>
        <v>350</v>
      </c>
      <c r="K29713" s="16" t="n">
        <f aca="false">K29534+K29547+K29560+K29573+K29586+K29599+K29612+K29625+K29638+K29651</f>
        <v>680</v>
      </c>
    </row>
    <row r="29714" customFormat="false" ht="15" hidden="false" customHeight="false" outlineLevel="0" collapsed="false">
      <c r="A29714" s="3" t="s">
        <v>409</v>
      </c>
      <c r="G29714" s="21" t="n">
        <f aca="false">IF(OR(G29709&gt;0.001,G29713&gt;0.001),1,0)</f>
        <v>0</v>
      </c>
      <c r="H29714" s="21" t="n">
        <f aca="false">IF(OR(H29709&gt;0.001,H29713&gt;0.001),1,0)</f>
        <v>1</v>
      </c>
      <c r="I29714" s="21" t="n">
        <f aca="false">IF(OR(I29709&gt;0.001,I29713&gt;0.001),1,0)</f>
        <v>1</v>
      </c>
      <c r="J29714" s="21" t="n">
        <f aca="false">IF(OR(J29709&gt;0.001,J29713&gt;0.001),1,0)</f>
        <v>1</v>
      </c>
      <c r="K29714" s="21" t="n">
        <f aca="false">IF(OR(K29709&gt;0.001,K29713&gt;0.001),1,0)</f>
        <v>1</v>
      </c>
    </row>
    <row r="29715" customFormat="false" ht="15" hidden="false" customHeight="false" outlineLevel="0" collapsed="false">
      <c r="A29715" s="3" t="s">
        <v>410</v>
      </c>
      <c r="G29715" s="21" t="n">
        <f aca="false">IF(G29714=1,1,0)</f>
        <v>0</v>
      </c>
      <c r="H29715" s="21" t="n">
        <f aca="false">IF(AND(H29714=1,SUM($G$29714:G29714)=0),1,0)</f>
        <v>1</v>
      </c>
      <c r="I29715" s="21" t="n">
        <f aca="false">IF(AND(I29714=1,SUM($G$29714:H29714)=0),1,0)</f>
        <v>0</v>
      </c>
      <c r="J29715" s="21" t="n">
        <f aca="false">IF(AND(J29714=1,SUM($G$29714:I29714)=0),1,0)</f>
        <v>0</v>
      </c>
      <c r="K29715" s="21" t="n">
        <f aca="false">IF(AND(K29714=1,SUM($G$29714:J29714)=0),1,0)</f>
        <v>0</v>
      </c>
    </row>
    <row r="29716" customFormat="false" ht="15" hidden="false" customHeight="false" outlineLevel="0" collapsed="false">
      <c r="A29716" s="3" t="s">
        <v>411</v>
      </c>
      <c r="G29716" s="16" t="n">
        <f aca="false">(G29654-F29654)-(G29705+G29503-G29703-G29707-G29711)</f>
        <v>0</v>
      </c>
      <c r="H29716" s="16" t="n">
        <f aca="false">(H29654-G29654)-(H29705+H29503-H29703-H29707-H29711)</f>
        <v>-2.27373675443232E-013</v>
      </c>
      <c r="I29716" s="16" t="n">
        <f aca="false">(I29654-H29654)-(I29705+I29503-I29703-I29707-I29711)</f>
        <v>0</v>
      </c>
      <c r="J29716" s="16" t="n">
        <f aca="false">(J29654-I29654)-(J29705+J29503-J29703-J29707-J29711)</f>
        <v>0</v>
      </c>
      <c r="K29716" s="16" t="n">
        <f aca="false">(K29654-J29654)-(K29705+K29503-K29703-K29707-K29711)</f>
        <v>0</v>
      </c>
    </row>
    <row r="29718" customFormat="false" ht="15" hidden="false" customHeight="false" outlineLevel="0" collapsed="false">
      <c r="A29718" s="24" t="s">
        <v>413</v>
      </c>
      <c r="B29718" s="25"/>
      <c r="C29718" s="25"/>
      <c r="D29718" s="25"/>
      <c r="E29718" s="25"/>
      <c r="F29718" s="25"/>
      <c r="G29718" s="25"/>
      <c r="H29718" s="25"/>
      <c r="I29718" s="25"/>
      <c r="J29718" s="25"/>
      <c r="K29718" s="25"/>
    </row>
    <row r="29719" customFormat="false" ht="15" hidden="false" customHeight="false" outlineLevel="0" collapsed="false">
      <c r="A29719" s="3" t="s">
        <v>414</v>
      </c>
      <c r="G29719" s="16" t="n">
        <f aca="false">G29654</f>
        <v>2621.934</v>
      </c>
      <c r="H29719" s="16" t="n">
        <f aca="false">H29654</f>
        <v>2602.8887587</v>
      </c>
      <c r="I29719" s="16" t="n">
        <f aca="false">I29654</f>
        <v>2598.8887587</v>
      </c>
      <c r="J29719" s="16" t="n">
        <f aca="false">J29654</f>
        <v>2594.8887587</v>
      </c>
      <c r="K29719" s="16" t="n">
        <f aca="false">K29654</f>
        <v>2590.8887587</v>
      </c>
    </row>
    <row r="29720" customFormat="false" ht="15" hidden="false" customHeight="false" outlineLevel="0" collapsed="false">
      <c r="A29720" s="3" t="s">
        <v>415</v>
      </c>
      <c r="G29720" s="16" t="n">
        <f aca="false">Assumptions!$O$57*G29535+Assumptions!$O$58*G29548+Assumptions!$O$59*G29561+Assumptions!$O$60*G29574+Assumptions!$O$61*G29587+Assumptions!$O$62*G29600+Assumptions!$O$63*G29613+Assumptions!$O$64*G29626+Assumptions!$O$65*G29639+Assumptions!$O$66*G29652</f>
        <v>543.324</v>
      </c>
      <c r="H29720" s="16" t="n">
        <f aca="false">Assumptions!$O$57*H29535+Assumptions!$O$58*H29548+Assumptions!$O$59*H29561+Assumptions!$O$60*H29574+Assumptions!$O$61*H29587+Assumptions!$O$62*H29600+Assumptions!$O$63*H29613+Assumptions!$O$64*H29626+Assumptions!$O$65*H29639+Assumptions!$O$66*H29652</f>
        <v>539.324</v>
      </c>
      <c r="I29720" s="16" t="n">
        <f aca="false">Assumptions!$O$57*I29535+Assumptions!$O$58*I29548+Assumptions!$O$59*I29561+Assumptions!$O$60*I29574+Assumptions!$O$61*I29587+Assumptions!$O$62*I29600+Assumptions!$O$63*I29613+Assumptions!$O$64*I29626+Assumptions!$O$65*I29639+Assumptions!$O$66*I29652</f>
        <v>535.324</v>
      </c>
      <c r="J29720" s="16" t="n">
        <f aca="false">Assumptions!$O$57*J29535+Assumptions!$O$58*J29548+Assumptions!$O$59*J29561+Assumptions!$O$60*J29574+Assumptions!$O$61*J29587+Assumptions!$O$62*J29600+Assumptions!$O$63*J29613+Assumptions!$O$64*J29626+Assumptions!$O$65*J29639+Assumptions!$O$66*J29652</f>
        <v>531.324</v>
      </c>
      <c r="K29720" s="16" t="n">
        <f aca="false">Assumptions!$O$57*K29535+Assumptions!$O$58*K29548+Assumptions!$O$59*K29561+Assumptions!$O$60*K29574+Assumptions!$O$61*K29587+Assumptions!$O$62*K29600+Assumptions!$O$63*K29613+Assumptions!$O$64*K29626+Assumptions!$O$65*K29639+Assumptions!$O$66*K29652</f>
        <v>527.324</v>
      </c>
    </row>
    <row r="29721" customFormat="false" ht="15" hidden="false" customHeight="false" outlineLevel="0" collapsed="false">
      <c r="A29721" s="3" t="s">
        <v>416</v>
      </c>
      <c r="G29721" s="16" t="n">
        <f aca="false">G29719-G29712</f>
        <v>2534.6395584</v>
      </c>
      <c r="H29721" s="16" t="n">
        <f aca="false">H29719-H29712</f>
        <v>2602.8887587</v>
      </c>
      <c r="I29721" s="16" t="n">
        <f aca="false">I29719-I29712</f>
        <v>2674.6635604716</v>
      </c>
      <c r="J29721" s="16" t="n">
        <f aca="false">J29719-J29712</f>
        <v>2743.94557484325</v>
      </c>
      <c r="K29721" s="16" t="n">
        <f aca="false">K29719-K29712</f>
        <v>2807.45788622703</v>
      </c>
    </row>
    <row r="29722" customFormat="false" ht="15" hidden="false" customHeight="false" outlineLevel="0" collapsed="false">
      <c r="A29722" s="3" t="s">
        <v>417</v>
      </c>
      <c r="G29722" s="32" t="n">
        <f aca="false">IF(G29498&gt;0,G29719/G29498,0)</f>
        <v>12.7097898879239</v>
      </c>
      <c r="H29722" s="32" t="n">
        <f aca="false">IF(H29498&gt;0,H29719/H29498,0)</f>
        <v>14.5137170159321</v>
      </c>
      <c r="I29722" s="32" t="n">
        <f aca="false">IF(I29498&gt;0,I29719/I29498,0)</f>
        <v>15.1153610447715</v>
      </c>
      <c r="J29722" s="32" t="n">
        <f aca="false">IF(J29498&gt;0,J29719/J29498,0)</f>
        <v>14.9166072034602</v>
      </c>
      <c r="K29722" s="32" t="n">
        <f aca="false">IF(K29498&gt;0,K29719/K29498,0)</f>
        <v>14.4110120408369</v>
      </c>
    </row>
    <row r="29723" customFormat="false" ht="15" hidden="false" customHeight="false" outlineLevel="0" collapsed="false">
      <c r="A29723" s="3" t="s">
        <v>418</v>
      </c>
      <c r="G29723" s="32" t="n">
        <f aca="false">IF(G29498&gt;0,G29721/G29498,0)</f>
        <v>12.2866312534504</v>
      </c>
      <c r="H29723" s="32" t="n">
        <f aca="false">IF(H29498&gt;0,H29721/H29498,0)</f>
        <v>14.5137170159321</v>
      </c>
      <c r="I29723" s="32" t="n">
        <f aca="false">IF(I29498&gt;0,I29721/I29498,0)</f>
        <v>15.5560738236619</v>
      </c>
      <c r="J29723" s="32" t="n">
        <f aca="false">IF(J29498&gt;0,J29721/J29498,0)</f>
        <v>15.7734539449449</v>
      </c>
      <c r="K29723" s="32" t="n">
        <f aca="false">IF(K29498&gt;0,K29721/K29498,0)</f>
        <v>15.6156103833885</v>
      </c>
    </row>
    <row r="29724" customFormat="false" ht="15" hidden="false" customHeight="false" outlineLevel="0" collapsed="false">
      <c r="A29724" s="3" t="s">
        <v>419</v>
      </c>
      <c r="G29724" s="32" t="n">
        <f aca="false">IF(G29502&gt;0,G29498/G29502,0)</f>
        <v>1.06025908412371</v>
      </c>
      <c r="H29724" s="32" t="n">
        <f aca="false">IF(H29502&gt;0,H29498/H29502,0)</f>
        <v>0.927444011573365</v>
      </c>
      <c r="I29724" s="32" t="n">
        <f aca="false">IF(I29502&gt;0,I29498/I29502,0)</f>
        <v>0.899631625108658</v>
      </c>
      <c r="J29724" s="32" t="n">
        <f aca="false">IF(J29502&gt;0,J29498/J29502,0)</f>
        <v>0.912459444554051</v>
      </c>
      <c r="K29724" s="32" t="n">
        <f aca="false">IF(K29502&gt;0,K29498/K29502,0)</f>
        <v>0.945346751531936</v>
      </c>
    </row>
    <row r="29725" customFormat="false" ht="15" hidden="false" customHeight="false" outlineLevel="0" collapsed="false">
      <c r="A29725" s="3" t="s">
        <v>420</v>
      </c>
      <c r="G29725" s="32" t="n">
        <f aca="false">IF(G29502&gt;0,G29501/G29502,0)</f>
        <v>0.20316175818306</v>
      </c>
      <c r="H29725" s="32" t="n">
        <f aca="false">IF(H29502&gt;0,H29501/H29502,0)</f>
        <v>0.125405512651662</v>
      </c>
      <c r="I29725" s="32" t="n">
        <f aca="false">IF(I29502&gt;0,I29501/I29502,0)</f>
        <v>0.112492039835566</v>
      </c>
      <c r="J29725" s="32" t="n">
        <f aca="false">IF(J29502&gt;0,J29501/J29502,0)</f>
        <v>0.123379355508513</v>
      </c>
      <c r="K29725" s="32" t="n">
        <f aca="false">IF(K29502&gt;0,K29501/K29502,0)</f>
        <v>0.146406265534401</v>
      </c>
    </row>
    <row r="29726" customFormat="false" ht="15" hidden="false" customHeight="false" outlineLevel="0" collapsed="false">
      <c r="A29726" s="3" t="s">
        <v>213</v>
      </c>
      <c r="G29726" s="22" t="n">
        <f aca="false">IF(G29719&gt;0,G29511/G29719,0)</f>
        <v>-0.0177638180060978</v>
      </c>
      <c r="H29726" s="22" t="n">
        <f aca="false">IF(H29719&gt;0,H29511/H29719,0)</f>
        <v>-0.0262205597806979</v>
      </c>
      <c r="I29726" s="22" t="n">
        <f aca="false">IF(I29719&gt;0,I29511/I29719,0)</f>
        <v>-0.0276174967209842</v>
      </c>
      <c r="J29726" s="22" t="n">
        <f aca="false">IF(J29719&gt;0,J29511/J29719,0)</f>
        <v>-0.0266994159727908</v>
      </c>
      <c r="K29726" s="22" t="n">
        <f aca="false">IF(K29719&gt;0,K29511/K29719,0)</f>
        <v>-0.0245137160638455</v>
      </c>
    </row>
    <row r="29727" customFormat="false" ht="15" hidden="false" customHeight="false" outlineLevel="0" collapsed="false">
      <c r="A29727" s="3" t="s">
        <v>421</v>
      </c>
      <c r="G29727" s="32" t="n">
        <f aca="false">IF(G29502+G29703&gt;0,(G29498-G29509-G29506)/(G29502+G29703),0)</f>
        <v>0.745298526859104</v>
      </c>
      <c r="H29727" s="32" t="n">
        <f aca="false">IF(H29502+H29703&gt;0,(H29498-H29509-H29506)/(H29502+H29703),0)</f>
        <v>0.633940444194116</v>
      </c>
      <c r="I29727" s="32" t="n">
        <f aca="false">IF(I29502+I29703&gt;0,(I29498-I29509-I29506)/(I29502+I29703),0)</f>
        <v>0.611648781339491</v>
      </c>
      <c r="J29727" s="32" t="n">
        <f aca="false">IF(J29502+J29703&gt;0,(J29498-J29509-J29506)/(J29502+J29703),0)</f>
        <v>0.623517628652559</v>
      </c>
      <c r="K29727" s="32" t="n">
        <f aca="false">IF(K29502+K29703&gt;0,(K29498-K29509-K29506)/(K29502+K29703),0)</f>
        <v>0.652319655812009</v>
      </c>
    </row>
    <row r="29728" customFormat="false" ht="15" hidden="false" customHeight="false" outlineLevel="0" collapsed="false">
      <c r="A29728" s="3" t="s">
        <v>422</v>
      </c>
      <c r="G29728" s="16" t="n">
        <f aca="false">MAX(0,G29712)+Assumptions!$P$57*MAX(0,Assumptions!$D$57-G29535)+Assumptions!$P$58*MAX(0,Assumptions!$D$58-G29548)+Assumptions!$P$59*MAX(0,Assumptions!$D$59-G29561)+Assumptions!$P$60*MAX(0,Assumptions!$D$60-G29574)+Assumptions!$P$61*MAX(0,Assumptions!$D$61-G29587)+Assumptions!$P$62*MAX(0,Assumptions!$D$62-G29600)+Assumptions!$P$63*MAX(0,Assumptions!$D$63-G29613)+Assumptions!$P$64*MAX(0,Assumptions!$D$64-G29626)+Assumptions!$P$65*MAX(0,Assumptions!$D$65-G29639)+Assumptions!$P$66*MAX(0,Assumptions!$D$66-G29652)</f>
        <v>661.7944416</v>
      </c>
      <c r="H29728" s="16" t="n">
        <f aca="false">MAX(0,H29712)+Assumptions!$P$57*MAX(0,Assumptions!$D$57-H29535)+Assumptions!$P$58*MAX(0,Assumptions!$D$58-H29548)+Assumptions!$P$59*MAX(0,Assumptions!$D$59-H29561)+Assumptions!$P$60*MAX(0,Assumptions!$D$60-H29574)+Assumptions!$P$61*MAX(0,Assumptions!$D$61-H29587)+Assumptions!$P$62*MAX(0,Assumptions!$D$62-H29600)+Assumptions!$P$63*MAX(0,Assumptions!$D$63-H29613)+Assumptions!$P$64*MAX(0,Assumptions!$D$64-H29626)+Assumptions!$P$65*MAX(0,Assumptions!$D$65-H29639)+Assumptions!$P$66*MAX(0,Assumptions!$D$66-H29652)</f>
        <v>574.5</v>
      </c>
      <c r="I29728" s="16" t="n">
        <f aca="false">MAX(0,I29712)+Assumptions!$P$57*MAX(0,Assumptions!$D$57-I29535)+Assumptions!$P$58*MAX(0,Assumptions!$D$58-I29548)+Assumptions!$P$59*MAX(0,Assumptions!$D$59-I29561)+Assumptions!$P$60*MAX(0,Assumptions!$D$60-I29574)+Assumptions!$P$61*MAX(0,Assumptions!$D$61-I29587)+Assumptions!$P$62*MAX(0,Assumptions!$D$62-I29600)+Assumptions!$P$63*MAX(0,Assumptions!$D$63-I29613)+Assumptions!$P$64*MAX(0,Assumptions!$D$64-I29626)+Assumptions!$P$65*MAX(0,Assumptions!$D$65-I29639)+Assumptions!$P$66*MAX(0,Assumptions!$D$66-I29652)</f>
        <v>574.5</v>
      </c>
      <c r="J29728" s="16" t="n">
        <f aca="false">MAX(0,J29712)+Assumptions!$P$57*MAX(0,Assumptions!$D$57-J29535)+Assumptions!$P$58*MAX(0,Assumptions!$D$58-J29548)+Assumptions!$P$59*MAX(0,Assumptions!$D$59-J29561)+Assumptions!$P$60*MAX(0,Assumptions!$D$60-J29574)+Assumptions!$P$61*MAX(0,Assumptions!$D$61-J29587)+Assumptions!$P$62*MAX(0,Assumptions!$D$62-J29600)+Assumptions!$P$63*MAX(0,Assumptions!$D$63-J29613)+Assumptions!$P$64*MAX(0,Assumptions!$D$64-J29626)+Assumptions!$P$65*MAX(0,Assumptions!$D$65-J29639)+Assumptions!$P$66*MAX(0,Assumptions!$D$66-J29652)</f>
        <v>574.5</v>
      </c>
      <c r="K29728" s="16" t="n">
        <f aca="false">MAX(0,K29712)+Assumptions!$P$57*MAX(0,Assumptions!$D$57-K29535)+Assumptions!$P$58*MAX(0,Assumptions!$D$58-K29548)+Assumptions!$P$59*MAX(0,Assumptions!$D$59-K29561)+Assumptions!$P$60*MAX(0,Assumptions!$D$60-K29574)+Assumptions!$P$61*MAX(0,Assumptions!$D$61-K29587)+Assumptions!$P$62*MAX(0,Assumptions!$D$62-K29600)+Assumptions!$P$63*MAX(0,Assumptions!$D$63-K29613)+Assumptions!$P$64*MAX(0,Assumptions!$D$64-K29626)+Assumptions!$P$65*MAX(0,Assumptions!$D$65-K29639)+Assumptions!$P$66*MAX(0,Assumptions!$D$66-K29652)</f>
        <v>574.5</v>
      </c>
    </row>
    <row r="29729" customFormat="false" ht="15" hidden="false" customHeight="false" outlineLevel="0" collapsed="false">
      <c r="A29729" s="3" t="s">
        <v>423</v>
      </c>
      <c r="G29729" s="22" t="n">
        <f aca="false">IF(G29719&gt;0,G29719/(G29719+MAX(0,G29498*CHOOSE($C$29481,Assumptions!$C$90,Assumptions!$C$109,Assumptions!$C$128)-G29721)),0)</f>
        <v>1</v>
      </c>
      <c r="H29729" s="22" t="n">
        <f aca="false">IF(H29719&gt;0,H29719/(H29719+MAX(0,H29498*CHOOSE($C$29481,Assumptions!$C$90,Assumptions!$C$109,Assumptions!$C$128)-H29721)),0)</f>
        <v>1</v>
      </c>
      <c r="I29729" s="22" t="n">
        <f aca="false">IF(I29719&gt;0,I29719/(I29719+MAX(0,I29498*CHOOSE($C$29481,Assumptions!$C$90,Assumptions!$C$109,Assumptions!$C$128)-I29721)),0)</f>
        <v>1</v>
      </c>
      <c r="J29729" s="22" t="n">
        <f aca="false">IF(J29719&gt;0,J29719/(J29719+MAX(0,J29498*CHOOSE($C$29481,Assumptions!$C$90,Assumptions!$C$109,Assumptions!$C$128)-J29721)),0)</f>
        <v>1</v>
      </c>
      <c r="K29729" s="22" t="n">
        <f aca="false">IF(K29719&gt;0,K29719/(K29719+MAX(0,K29498*CHOOSE($C$29481,Assumptions!$C$90,Assumptions!$C$109,Assumptions!$C$128)-K29721)),0)</f>
        <v>1</v>
      </c>
    </row>
    <row r="29730" customFormat="false" ht="15" hidden="false" customHeight="false" outlineLevel="0" collapsed="false">
      <c r="A29730" s="3" t="s">
        <v>424</v>
      </c>
      <c r="G29730" s="22" t="n">
        <f aca="false">IF(G29719&gt;0,MAX(0,G29712)/G29719,0)</f>
        <v>0.0332939126614171</v>
      </c>
      <c r="H29730" s="22" t="n">
        <f aca="false">IF(H29719&gt;0,MAX(0,H29712)/H29719,0)</f>
        <v>0</v>
      </c>
      <c r="I29730" s="22" t="n">
        <f aca="false">IF(I29719&gt;0,MAX(0,I29712)/I29719,0)</f>
        <v>0</v>
      </c>
      <c r="J29730" s="22" t="n">
        <f aca="false">IF(J29719&gt;0,MAX(0,J29712)/J29719,0)</f>
        <v>0</v>
      </c>
      <c r="K29730" s="22" t="n">
        <f aca="false">IF(K29719&gt;0,MAX(0,K29712)/K29719,0)</f>
        <v>0</v>
      </c>
    </row>
    <row r="29731" customFormat="false" ht="15" hidden="false" customHeight="false" outlineLevel="0" collapsed="false">
      <c r="A29731" s="3" t="s">
        <v>425</v>
      </c>
      <c r="G29731" s="16" t="n">
        <f aca="false">Assumptions!$C$31*(1-CHOOSE($C$29481,Assumptions!$C$93,Assumptions!$C$112,Assumptions!$C$131))</f>
        <v>3162.39046666667</v>
      </c>
      <c r="H29731" s="16" t="n">
        <f aca="false">Assumptions!$C$31*(1-CHOOSE($C$29481,Assumptions!$C$93,Assumptions!$C$112,Assumptions!$C$131))</f>
        <v>3162.39046666667</v>
      </c>
      <c r="I29731" s="16" t="n">
        <f aca="false">Assumptions!$C$31*(1-CHOOSE($C$29481,Assumptions!$C$93,Assumptions!$C$112,Assumptions!$C$131))</f>
        <v>3162.39046666667</v>
      </c>
      <c r="J29731" s="16" t="n">
        <f aca="false">Assumptions!$C$31*(1-CHOOSE($C$29481,Assumptions!$C$93,Assumptions!$C$112,Assumptions!$C$131))</f>
        <v>3162.39046666667</v>
      </c>
      <c r="K29731" s="16" t="n">
        <f aca="false">Assumptions!$C$31*(1-CHOOSE($C$29481,Assumptions!$C$93,Assumptions!$C$112,Assumptions!$C$131))</f>
        <v>3162.39046666667</v>
      </c>
    </row>
    <row r="29732" customFormat="false" ht="15" hidden="false" customHeight="false" outlineLevel="0" collapsed="false">
      <c r="A29732" s="24" t="s">
        <v>426</v>
      </c>
      <c r="B29732" s="25"/>
      <c r="C29732" s="25"/>
      <c r="D29732" s="25"/>
      <c r="E29732" s="25"/>
      <c r="F29732" s="25"/>
      <c r="G29732" s="25"/>
      <c r="H29732" s="25"/>
      <c r="I29732" s="25"/>
      <c r="J29732" s="25"/>
      <c r="K29732" s="25"/>
    </row>
    <row r="29733" customFormat="false" ht="15" hidden="false" customHeight="false" outlineLevel="0" collapsed="false">
      <c r="A29733" s="24" t="s">
        <v>427</v>
      </c>
      <c r="B29733" s="25"/>
      <c r="C29733" s="25"/>
      <c r="D29733" s="25"/>
      <c r="E29733" s="25"/>
      <c r="F29733" s="25"/>
      <c r="G29733" s="25"/>
      <c r="H29733" s="25"/>
      <c r="I29733" s="25"/>
      <c r="J29733" s="25"/>
      <c r="K29733" s="25"/>
    </row>
    <row r="29734" customFormat="false" ht="15" hidden="false" customHeight="false" outlineLevel="0" collapsed="false">
      <c r="A29734" s="3" t="s">
        <v>428</v>
      </c>
      <c r="G29734" s="22" t="n">
        <f aca="false">IF(G29731&gt;0,G29719/G29731,99)</f>
        <v>0.829098755399318</v>
      </c>
      <c r="H29734" s="22" t="n">
        <f aca="false">IF(H29731&gt;0,H29719/H29731,99)</f>
        <v>0.823076336124801</v>
      </c>
      <c r="I29734" s="22" t="n">
        <f aca="false">IF(I29731&gt;0,I29719/I29731,99)</f>
        <v>0.821811470181724</v>
      </c>
      <c r="J29734" s="22" t="n">
        <f aca="false">IF(J29731&gt;0,J29719/J29731,99)</f>
        <v>0.820546604238646</v>
      </c>
      <c r="K29734" s="22" t="n">
        <f aca="false">IF(K29731&gt;0,K29719/K29731,99)</f>
        <v>0.819281738295568</v>
      </c>
    </row>
    <row r="29735" customFormat="false" ht="15" hidden="false" customHeight="false" outlineLevel="0" collapsed="false">
      <c r="A29735" s="3" t="s">
        <v>429</v>
      </c>
      <c r="G29735" s="33" t="n">
        <f aca="false">Assumptions!$G$71</f>
        <v>0.6</v>
      </c>
      <c r="H29735" s="33" t="n">
        <f aca="false">Assumptions!$H$71</f>
        <v>0.6</v>
      </c>
      <c r="I29735" s="33" t="n">
        <f aca="false">Assumptions!$I$71</f>
        <v>0.6</v>
      </c>
      <c r="J29735" s="33" t="n">
        <f aca="false">Assumptions!$J$71</f>
        <v>0.6</v>
      </c>
      <c r="K29735" s="33" t="n">
        <f aca="false">Assumptions!$K$71</f>
        <v>0.6</v>
      </c>
    </row>
    <row r="29736" customFormat="false" ht="15" hidden="false" customHeight="false" outlineLevel="0" collapsed="false">
      <c r="A29736" s="3" t="s">
        <v>430</v>
      </c>
      <c r="G29736" s="22" t="n">
        <f aca="false">G29735-G29734</f>
        <v>-0.229098755399318</v>
      </c>
      <c r="H29736" s="22" t="n">
        <f aca="false">H29735-H29734</f>
        <v>-0.223076336124801</v>
      </c>
      <c r="I29736" s="22" t="n">
        <f aca="false">I29735-I29734</f>
        <v>-0.221811470181724</v>
      </c>
      <c r="J29736" s="22" t="n">
        <f aca="false">J29735-J29734</f>
        <v>-0.220546604238646</v>
      </c>
      <c r="K29736" s="22" t="n">
        <f aca="false">K29735-K29734</f>
        <v>-0.219281738295568</v>
      </c>
    </row>
    <row r="29737" customFormat="false" ht="15" hidden="false" customHeight="false" outlineLevel="0" collapsed="false">
      <c r="A29737" s="3" t="s">
        <v>431</v>
      </c>
      <c r="G29737" s="22" t="n">
        <f aca="false">IF(G29735=0,0,G29736/ABS(G29735))</f>
        <v>-0.381831258998863</v>
      </c>
      <c r="H29737" s="22" t="n">
        <f aca="false">IF(H29735=0,0,H29736/ABS(H29735))</f>
        <v>-0.371793893541335</v>
      </c>
      <c r="I29737" s="22" t="n">
        <f aca="false">IF(I29735=0,0,I29736/ABS(I29735))</f>
        <v>-0.369685783636206</v>
      </c>
      <c r="J29737" s="22" t="n">
        <f aca="false">IF(J29735=0,0,J29736/ABS(J29735))</f>
        <v>-0.367577673731077</v>
      </c>
      <c r="K29737" s="22" t="n">
        <f aca="false">IF(K29735=0,0,K29736/ABS(K29735))</f>
        <v>-0.365469563825947</v>
      </c>
    </row>
    <row r="29738" customFormat="false" ht="15" hidden="false" customHeight="false" outlineLevel="0" collapsed="false">
      <c r="A29738" s="3" t="s">
        <v>432</v>
      </c>
      <c r="G29738" s="21" t="n">
        <f aca="false">IF(G29736&lt;0,1,0)</f>
        <v>1</v>
      </c>
      <c r="H29738" s="21" t="n">
        <f aca="false">IF(H29736&lt;0,1,0)</f>
        <v>1</v>
      </c>
      <c r="I29738" s="21" t="n">
        <f aca="false">IF(I29736&lt;0,1,0)</f>
        <v>1</v>
      </c>
      <c r="J29738" s="21" t="n">
        <f aca="false">IF(J29736&lt;0,1,0)</f>
        <v>1</v>
      </c>
      <c r="K29738" s="21" t="n">
        <f aca="false">IF(K29736&lt;0,1,0)</f>
        <v>1</v>
      </c>
    </row>
    <row r="29739" customFormat="false" ht="15" hidden="false" customHeight="false" outlineLevel="0" collapsed="false">
      <c r="A29739" s="3" t="s">
        <v>433</v>
      </c>
      <c r="C29739" s="21" t="n">
        <f aca="false">IFERROR(INDEX($G$29488:$K$29488,MATCH(1,$G$29738:$K$29738,0)),0)</f>
        <v>2027</v>
      </c>
    </row>
    <row r="29740" customFormat="false" ht="15" hidden="false" customHeight="false" outlineLevel="0" collapsed="false">
      <c r="A29740" s="3" t="s">
        <v>434</v>
      </c>
      <c r="C29740" s="22" t="n">
        <f aca="false">MIN($G$29737:$K$29737)</f>
        <v>-0.381831258998863</v>
      </c>
    </row>
    <row r="29741" customFormat="false" ht="15" hidden="false" customHeight="false" outlineLevel="0" collapsed="false">
      <c r="A29741" s="24" t="s">
        <v>435</v>
      </c>
      <c r="B29741" s="25"/>
      <c r="C29741" s="25"/>
      <c r="D29741" s="25"/>
      <c r="E29741" s="25"/>
      <c r="F29741" s="25"/>
      <c r="G29741" s="25"/>
      <c r="H29741" s="25"/>
      <c r="I29741" s="25"/>
      <c r="J29741" s="25"/>
      <c r="K29741" s="25"/>
    </row>
    <row r="29742" customFormat="false" ht="15" hidden="false" customHeight="false" outlineLevel="0" collapsed="false">
      <c r="A29742" s="3" t="s">
        <v>428</v>
      </c>
      <c r="G29742" s="32" t="n">
        <f aca="false">IF(G29502&gt;0,G29498/G29502,99)</f>
        <v>1.06025908412371</v>
      </c>
      <c r="H29742" s="32" t="n">
        <f aca="false">IF(H29502&gt;0,H29498/H29502,99)</f>
        <v>0.927444011573365</v>
      </c>
      <c r="I29742" s="32" t="n">
        <f aca="false">IF(I29502&gt;0,I29498/I29502,99)</f>
        <v>0.899631625108658</v>
      </c>
      <c r="J29742" s="32" t="n">
        <f aca="false">IF(J29502&gt;0,J29498/J29502,99)</f>
        <v>0.912459444554051</v>
      </c>
      <c r="K29742" s="32" t="n">
        <f aca="false">IF(K29502&gt;0,K29498/K29502,99)</f>
        <v>0.945346751531936</v>
      </c>
    </row>
    <row r="29743" customFormat="false" ht="15" hidden="false" customHeight="false" outlineLevel="0" collapsed="false">
      <c r="A29743" s="3" t="s">
        <v>429</v>
      </c>
      <c r="G29743" s="34" t="n">
        <f aca="false">Assumptions!$G$72</f>
        <v>1.5</v>
      </c>
      <c r="H29743" s="34" t="n">
        <f aca="false">Assumptions!$H$72</f>
        <v>1.5</v>
      </c>
      <c r="I29743" s="34" t="n">
        <f aca="false">Assumptions!$I$72</f>
        <v>1.5</v>
      </c>
      <c r="J29743" s="34" t="n">
        <f aca="false">Assumptions!$J$72</f>
        <v>1.5</v>
      </c>
      <c r="K29743" s="34" t="n">
        <f aca="false">Assumptions!$K$72</f>
        <v>1.5</v>
      </c>
    </row>
    <row r="29744" customFormat="false" ht="15" hidden="false" customHeight="false" outlineLevel="0" collapsed="false">
      <c r="A29744" s="3" t="s">
        <v>430</v>
      </c>
      <c r="G29744" s="32" t="n">
        <f aca="false">G29742-G29743</f>
        <v>-0.439740915876287</v>
      </c>
      <c r="H29744" s="32" t="n">
        <f aca="false">H29742-H29743</f>
        <v>-0.572555988426635</v>
      </c>
      <c r="I29744" s="32" t="n">
        <f aca="false">I29742-I29743</f>
        <v>-0.600368374891342</v>
      </c>
      <c r="J29744" s="32" t="n">
        <f aca="false">J29742-J29743</f>
        <v>-0.58754055544595</v>
      </c>
      <c r="K29744" s="32" t="n">
        <f aca="false">K29742-K29743</f>
        <v>-0.554653248468064</v>
      </c>
    </row>
    <row r="29745" customFormat="false" ht="15" hidden="false" customHeight="false" outlineLevel="0" collapsed="false">
      <c r="A29745" s="3" t="s">
        <v>431</v>
      </c>
      <c r="G29745" s="22" t="n">
        <f aca="false">IF(G29743=0,0,G29744/ABS(G29743))</f>
        <v>-0.293160610584191</v>
      </c>
      <c r="H29745" s="22" t="n">
        <f aca="false">IF(H29743=0,0,H29744/ABS(H29743))</f>
        <v>-0.381703992284423</v>
      </c>
      <c r="I29745" s="22" t="n">
        <f aca="false">IF(I29743=0,0,I29744/ABS(I29743))</f>
        <v>-0.400245583260895</v>
      </c>
      <c r="J29745" s="22" t="n">
        <f aca="false">IF(J29743=0,0,J29744/ABS(J29743))</f>
        <v>-0.391693703630633</v>
      </c>
      <c r="K29745" s="22" t="n">
        <f aca="false">IF(K29743=0,0,K29744/ABS(K29743))</f>
        <v>-0.369768832312043</v>
      </c>
    </row>
    <row r="29746" customFormat="false" ht="15" hidden="false" customHeight="false" outlineLevel="0" collapsed="false">
      <c r="A29746" s="3" t="s">
        <v>432</v>
      </c>
      <c r="G29746" s="21" t="n">
        <f aca="false">IF(G29744&lt;0,1,0)</f>
        <v>1</v>
      </c>
      <c r="H29746" s="21" t="n">
        <f aca="false">IF(H29744&lt;0,1,0)</f>
        <v>1</v>
      </c>
      <c r="I29746" s="21" t="n">
        <f aca="false">IF(I29744&lt;0,1,0)</f>
        <v>1</v>
      </c>
      <c r="J29746" s="21" t="n">
        <f aca="false">IF(J29744&lt;0,1,0)</f>
        <v>1</v>
      </c>
      <c r="K29746" s="21" t="n">
        <f aca="false">IF(K29744&lt;0,1,0)</f>
        <v>1</v>
      </c>
    </row>
    <row r="29747" customFormat="false" ht="15" hidden="false" customHeight="false" outlineLevel="0" collapsed="false">
      <c r="A29747" s="3" t="s">
        <v>433</v>
      </c>
      <c r="C29747" s="21" t="n">
        <f aca="false">IFERROR(INDEX($G$29488:$K$29488,MATCH(1,$G$29746:$K$29746,0)),0)</f>
        <v>2027</v>
      </c>
    </row>
    <row r="29748" customFormat="false" ht="15" hidden="false" customHeight="false" outlineLevel="0" collapsed="false">
      <c r="A29748" s="3" t="s">
        <v>434</v>
      </c>
      <c r="C29748" s="22" t="n">
        <f aca="false">MIN($G$29745:$K$29745)</f>
        <v>-0.400245583260895</v>
      </c>
    </row>
    <row r="29749" customFormat="false" ht="15" hidden="false" customHeight="false" outlineLevel="0" collapsed="false">
      <c r="A29749" s="24" t="s">
        <v>436</v>
      </c>
      <c r="B29749" s="25"/>
      <c r="C29749" s="25"/>
      <c r="D29749" s="25"/>
      <c r="E29749" s="25"/>
      <c r="F29749" s="25"/>
      <c r="G29749" s="25"/>
      <c r="H29749" s="25"/>
      <c r="I29749" s="25"/>
      <c r="J29749" s="25"/>
      <c r="K29749" s="25"/>
    </row>
    <row r="29750" customFormat="false" ht="15" hidden="false" customHeight="false" outlineLevel="0" collapsed="false">
      <c r="A29750" s="3" t="s">
        <v>428</v>
      </c>
      <c r="G29750" s="22" t="n">
        <f aca="false">IF(G29731&gt;0,G29720/G29731,99)</f>
        <v>0.171808005914176</v>
      </c>
      <c r="H29750" s="22" t="n">
        <f aca="false">IF(H29731&gt;0,H29720/H29731,99)</f>
        <v>0.170543139971098</v>
      </c>
      <c r="I29750" s="22" t="n">
        <f aca="false">IF(I29731&gt;0,I29720/I29731,99)</f>
        <v>0.169278274028021</v>
      </c>
      <c r="J29750" s="22" t="n">
        <f aca="false">IF(J29731&gt;0,J29720/J29731,99)</f>
        <v>0.168013408084943</v>
      </c>
      <c r="K29750" s="22" t="n">
        <f aca="false">IF(K29731&gt;0,K29720/K29731,99)</f>
        <v>0.166748542141865</v>
      </c>
    </row>
    <row r="29751" customFormat="false" ht="15" hidden="false" customHeight="false" outlineLevel="0" collapsed="false">
      <c r="A29751" s="3" t="s">
        <v>429</v>
      </c>
      <c r="G29751" s="33" t="n">
        <f aca="false">Assumptions!$G$73</f>
        <v>0.4</v>
      </c>
      <c r="H29751" s="33" t="n">
        <f aca="false">Assumptions!$H$73</f>
        <v>0.4</v>
      </c>
      <c r="I29751" s="33" t="n">
        <f aca="false">Assumptions!$I$73</f>
        <v>0.4</v>
      </c>
      <c r="J29751" s="33" t="n">
        <f aca="false">Assumptions!$J$73</f>
        <v>0.4</v>
      </c>
      <c r="K29751" s="33" t="n">
        <f aca="false">Assumptions!$K$73</f>
        <v>0.4</v>
      </c>
    </row>
    <row r="29752" customFormat="false" ht="15" hidden="false" customHeight="false" outlineLevel="0" collapsed="false">
      <c r="A29752" s="3" t="s">
        <v>430</v>
      </c>
      <c r="G29752" s="22" t="n">
        <f aca="false">G29751-G29750</f>
        <v>0.228191994085824</v>
      </c>
      <c r="H29752" s="22" t="n">
        <f aca="false">H29751-H29750</f>
        <v>0.229456860028902</v>
      </c>
      <c r="I29752" s="22" t="n">
        <f aca="false">I29751-I29750</f>
        <v>0.230721725971979</v>
      </c>
      <c r="J29752" s="22" t="n">
        <f aca="false">J29751-J29750</f>
        <v>0.231986591915057</v>
      </c>
      <c r="K29752" s="22" t="n">
        <f aca="false">K29751-K29750</f>
        <v>0.233251457858135</v>
      </c>
    </row>
    <row r="29753" customFormat="false" ht="15" hidden="false" customHeight="false" outlineLevel="0" collapsed="false">
      <c r="A29753" s="3" t="s">
        <v>431</v>
      </c>
      <c r="G29753" s="22" t="n">
        <f aca="false">IF(G29751=0,0,G29752/ABS(G29751))</f>
        <v>0.57047998521456</v>
      </c>
      <c r="H29753" s="22" t="n">
        <f aca="false">IF(H29751=0,0,H29752/ABS(H29751))</f>
        <v>0.573642150072254</v>
      </c>
      <c r="I29753" s="22" t="n">
        <f aca="false">IF(I29751=0,0,I29752/ABS(I29751))</f>
        <v>0.576804314929948</v>
      </c>
      <c r="J29753" s="22" t="n">
        <f aca="false">IF(J29751=0,0,J29752/ABS(J29751))</f>
        <v>0.579966479787643</v>
      </c>
      <c r="K29753" s="22" t="n">
        <f aca="false">IF(K29751=0,0,K29752/ABS(K29751))</f>
        <v>0.583128644645337</v>
      </c>
    </row>
    <row r="29754" customFormat="false" ht="15" hidden="false" customHeight="false" outlineLevel="0" collapsed="false">
      <c r="A29754" s="3" t="s">
        <v>432</v>
      </c>
      <c r="G29754" s="21" t="n">
        <f aca="false">IF(G29752&lt;0,1,0)</f>
        <v>0</v>
      </c>
      <c r="H29754" s="21" t="n">
        <f aca="false">IF(H29752&lt;0,1,0)</f>
        <v>0</v>
      </c>
      <c r="I29754" s="21" t="n">
        <f aca="false">IF(I29752&lt;0,1,0)</f>
        <v>0</v>
      </c>
      <c r="J29754" s="21" t="n">
        <f aca="false">IF(J29752&lt;0,1,0)</f>
        <v>0</v>
      </c>
      <c r="K29754" s="21" t="n">
        <f aca="false">IF(K29752&lt;0,1,0)</f>
        <v>0</v>
      </c>
    </row>
    <row r="29755" customFormat="false" ht="15" hidden="false" customHeight="false" outlineLevel="0" collapsed="false">
      <c r="A29755" s="3" t="s">
        <v>433</v>
      </c>
      <c r="C29755" s="21" t="n">
        <f aca="false">IFERROR(INDEX($G$29488:$K$29488,MATCH(1,$G$29754:$K$29754,0)),0)</f>
        <v>0</v>
      </c>
    </row>
    <row r="29756" customFormat="false" ht="15" hidden="false" customHeight="false" outlineLevel="0" collapsed="false">
      <c r="A29756" s="3" t="s">
        <v>434</v>
      </c>
      <c r="C29756" s="22" t="n">
        <f aca="false">MIN($G$29753:$K$29753)</f>
        <v>0.57047998521456</v>
      </c>
    </row>
    <row r="29757" customFormat="false" ht="15" hidden="false" customHeight="false" outlineLevel="0" collapsed="false">
      <c r="A29757" s="24" t="s">
        <v>437</v>
      </c>
      <c r="B29757" s="25"/>
      <c r="C29757" s="25"/>
      <c r="D29757" s="25"/>
      <c r="E29757" s="25"/>
      <c r="F29757" s="25"/>
      <c r="G29757" s="25"/>
      <c r="H29757" s="25"/>
      <c r="I29757" s="25"/>
      <c r="J29757" s="25"/>
      <c r="K29757" s="25"/>
    </row>
    <row r="29758" customFormat="false" ht="15" hidden="false" customHeight="false" outlineLevel="0" collapsed="false">
      <c r="A29758" s="3" t="s">
        <v>428</v>
      </c>
      <c r="G29758" s="16" t="n">
        <f aca="false">G29728</f>
        <v>661.7944416</v>
      </c>
      <c r="H29758" s="16" t="n">
        <f aca="false">H29728</f>
        <v>574.5</v>
      </c>
      <c r="I29758" s="16" t="n">
        <f aca="false">I29728</f>
        <v>574.5</v>
      </c>
      <c r="J29758" s="16" t="n">
        <f aca="false">J29728</f>
        <v>574.5</v>
      </c>
      <c r="K29758" s="16" t="n">
        <f aca="false">K29728</f>
        <v>574.5</v>
      </c>
    </row>
    <row r="29759" customFormat="false" ht="15" hidden="false" customHeight="false" outlineLevel="0" collapsed="false">
      <c r="A29759" s="3" t="s">
        <v>429</v>
      </c>
      <c r="G29759" s="29" t="n">
        <f aca="false">Assumptions!$G$74</f>
        <v>100</v>
      </c>
      <c r="H29759" s="29" t="n">
        <f aca="false">Assumptions!$H$74</f>
        <v>100</v>
      </c>
      <c r="I29759" s="29" t="n">
        <f aca="false">Assumptions!$I$74</f>
        <v>100</v>
      </c>
      <c r="J29759" s="29" t="n">
        <f aca="false">Assumptions!$J$74</f>
        <v>100</v>
      </c>
      <c r="K29759" s="29" t="n">
        <f aca="false">Assumptions!$K$74</f>
        <v>100</v>
      </c>
    </row>
    <row r="29760" customFormat="false" ht="15" hidden="false" customHeight="false" outlineLevel="0" collapsed="false">
      <c r="A29760" s="3" t="s">
        <v>430</v>
      </c>
      <c r="G29760" s="16" t="n">
        <f aca="false">G29758-G29759</f>
        <v>561.7944416</v>
      </c>
      <c r="H29760" s="16" t="n">
        <f aca="false">H29758-H29759</f>
        <v>474.5</v>
      </c>
      <c r="I29760" s="16" t="n">
        <f aca="false">I29758-I29759</f>
        <v>474.5</v>
      </c>
      <c r="J29760" s="16" t="n">
        <f aca="false">J29758-J29759</f>
        <v>474.5</v>
      </c>
      <c r="K29760" s="16" t="n">
        <f aca="false">K29758-K29759</f>
        <v>474.5</v>
      </c>
    </row>
    <row r="29761" customFormat="false" ht="15" hidden="false" customHeight="false" outlineLevel="0" collapsed="false">
      <c r="A29761" s="3" t="s">
        <v>431</v>
      </c>
      <c r="G29761" s="22" t="n">
        <f aca="false">IF(G29759=0,0,G29760/ABS(G29759))</f>
        <v>5.617944416</v>
      </c>
      <c r="H29761" s="22" t="n">
        <f aca="false">IF(H29759=0,0,H29760/ABS(H29759))</f>
        <v>4.745</v>
      </c>
      <c r="I29761" s="22" t="n">
        <f aca="false">IF(I29759=0,0,I29760/ABS(I29759))</f>
        <v>4.745</v>
      </c>
      <c r="J29761" s="22" t="n">
        <f aca="false">IF(J29759=0,0,J29760/ABS(J29759))</f>
        <v>4.745</v>
      </c>
      <c r="K29761" s="22" t="n">
        <f aca="false">IF(K29759=0,0,K29760/ABS(K29759))</f>
        <v>4.745</v>
      </c>
    </row>
    <row r="29762" customFormat="false" ht="15" hidden="false" customHeight="false" outlineLevel="0" collapsed="false">
      <c r="A29762" s="3" t="s">
        <v>432</v>
      </c>
      <c r="G29762" s="21" t="n">
        <f aca="false">IF(G29760&lt;0,1,0)</f>
        <v>0</v>
      </c>
      <c r="H29762" s="21" t="n">
        <f aca="false">IF(H29760&lt;0,1,0)</f>
        <v>0</v>
      </c>
      <c r="I29762" s="21" t="n">
        <f aca="false">IF(I29760&lt;0,1,0)</f>
        <v>0</v>
      </c>
      <c r="J29762" s="21" t="n">
        <f aca="false">IF(J29760&lt;0,1,0)</f>
        <v>0</v>
      </c>
      <c r="K29762" s="21" t="n">
        <f aca="false">IF(K29760&lt;0,1,0)</f>
        <v>0</v>
      </c>
    </row>
    <row r="29763" customFormat="false" ht="15" hidden="false" customHeight="false" outlineLevel="0" collapsed="false">
      <c r="A29763" s="3" t="s">
        <v>433</v>
      </c>
      <c r="C29763" s="21" t="n">
        <f aca="false">IFERROR(INDEX($G$29488:$K$29488,MATCH(1,$G$29762:$K$29762,0)),0)</f>
        <v>0</v>
      </c>
    </row>
    <row r="29764" customFormat="false" ht="15" hidden="false" customHeight="false" outlineLevel="0" collapsed="false">
      <c r="A29764" s="3" t="s">
        <v>434</v>
      </c>
      <c r="C29764" s="22" t="n">
        <f aca="false">MIN($G$29761:$K$29761)</f>
        <v>4.745</v>
      </c>
    </row>
    <row r="29765" customFormat="false" ht="15" hidden="false" customHeight="false" outlineLevel="0" collapsed="false">
      <c r="A29765" s="24" t="s">
        <v>438</v>
      </c>
      <c r="B29765" s="25"/>
      <c r="C29765" s="25"/>
      <c r="D29765" s="25"/>
      <c r="E29765" s="25"/>
      <c r="F29765" s="25"/>
      <c r="G29765" s="25"/>
      <c r="H29765" s="25"/>
      <c r="I29765" s="25"/>
      <c r="J29765" s="25"/>
      <c r="K29765" s="25"/>
    </row>
    <row r="29766" customFormat="false" ht="15" hidden="false" customHeight="false" outlineLevel="0" collapsed="false">
      <c r="A29766" s="3" t="s">
        <v>428</v>
      </c>
      <c r="G29766" s="32" t="n">
        <f aca="false">IF(G29498&gt;0,G29721/G29498,99)</f>
        <v>12.2866312534504</v>
      </c>
      <c r="H29766" s="32" t="n">
        <f aca="false">IF(H29498&gt;0,H29721/H29498,99)</f>
        <v>14.5137170159321</v>
      </c>
      <c r="I29766" s="32" t="n">
        <f aca="false">IF(I29498&gt;0,I29721/I29498,99)</f>
        <v>15.5560738236619</v>
      </c>
      <c r="J29766" s="32" t="n">
        <f aca="false">IF(J29498&gt;0,J29721/J29498,99)</f>
        <v>15.7734539449449</v>
      </c>
      <c r="K29766" s="32" t="n">
        <f aca="false">IF(K29498&gt;0,K29721/K29498,99)</f>
        <v>15.6156103833885</v>
      </c>
    </row>
    <row r="29767" customFormat="false" ht="15" hidden="false" customHeight="false" outlineLevel="0" collapsed="false">
      <c r="A29767" s="3" t="s">
        <v>429</v>
      </c>
      <c r="G29767" s="34" t="n">
        <f aca="false">Assumptions!$G$75</f>
        <v>10.5</v>
      </c>
      <c r="H29767" s="34" t="n">
        <f aca="false">Assumptions!$H$75</f>
        <v>10.5</v>
      </c>
      <c r="I29767" s="34" t="n">
        <f aca="false">Assumptions!$I$75</f>
        <v>10</v>
      </c>
      <c r="J29767" s="34" t="n">
        <f aca="false">Assumptions!$J$75</f>
        <v>10</v>
      </c>
      <c r="K29767" s="34" t="n">
        <f aca="false">Assumptions!$K$75</f>
        <v>9.5</v>
      </c>
    </row>
    <row r="29768" customFormat="false" ht="15" hidden="false" customHeight="false" outlineLevel="0" collapsed="false">
      <c r="A29768" s="3" t="s">
        <v>430</v>
      </c>
      <c r="G29768" s="32" t="n">
        <f aca="false">G29767-G29766</f>
        <v>-1.78663125345038</v>
      </c>
      <c r="H29768" s="32" t="n">
        <f aca="false">H29767-H29766</f>
        <v>-4.01371701593214</v>
      </c>
      <c r="I29768" s="32" t="n">
        <f aca="false">I29767-I29766</f>
        <v>-5.55607382366189</v>
      </c>
      <c r="J29768" s="32" t="n">
        <f aca="false">J29767-J29766</f>
        <v>-5.7734539449449</v>
      </c>
      <c r="K29768" s="32" t="n">
        <f aca="false">K29767-K29766</f>
        <v>-6.11561038338853</v>
      </c>
    </row>
    <row r="29769" customFormat="false" ht="15" hidden="false" customHeight="false" outlineLevel="0" collapsed="false">
      <c r="A29769" s="3" t="s">
        <v>431</v>
      </c>
      <c r="G29769" s="22" t="n">
        <f aca="false">IF(G29767=0,0,G29768/ABS(G29767))</f>
        <v>-0.170155357471464</v>
      </c>
      <c r="H29769" s="22" t="n">
        <f aca="false">IF(H29767=0,0,H29768/ABS(H29767))</f>
        <v>-0.382258763422108</v>
      </c>
      <c r="I29769" s="22" t="n">
        <f aca="false">IF(I29767=0,0,I29768/ABS(I29767))</f>
        <v>-0.555607382366189</v>
      </c>
      <c r="J29769" s="22" t="n">
        <f aca="false">IF(J29767=0,0,J29768/ABS(J29767))</f>
        <v>-0.57734539449449</v>
      </c>
      <c r="K29769" s="22" t="n">
        <f aca="false">IF(K29767=0,0,K29768/ABS(K29767))</f>
        <v>-0.643748461409318</v>
      </c>
    </row>
    <row r="29770" customFormat="false" ht="15" hidden="false" customHeight="false" outlineLevel="0" collapsed="false">
      <c r="A29770" s="3" t="s">
        <v>432</v>
      </c>
      <c r="G29770" s="21" t="n">
        <f aca="false">IF(G29768&lt;0,1,0)</f>
        <v>1</v>
      </c>
      <c r="H29770" s="21" t="n">
        <f aca="false">IF(H29768&lt;0,1,0)</f>
        <v>1</v>
      </c>
      <c r="I29770" s="21" t="n">
        <f aca="false">IF(I29768&lt;0,1,0)</f>
        <v>1</v>
      </c>
      <c r="J29770" s="21" t="n">
        <f aca="false">IF(J29768&lt;0,1,0)</f>
        <v>1</v>
      </c>
      <c r="K29770" s="21" t="n">
        <f aca="false">IF(K29768&lt;0,1,0)</f>
        <v>1</v>
      </c>
    </row>
    <row r="29771" customFormat="false" ht="15" hidden="false" customHeight="false" outlineLevel="0" collapsed="false">
      <c r="A29771" s="3" t="s">
        <v>433</v>
      </c>
      <c r="C29771" s="21" t="n">
        <f aca="false">IFERROR(INDEX($G$29488:$K$29488,MATCH(1,$G$29770:$K$29770,0)),0)</f>
        <v>2027</v>
      </c>
    </row>
    <row r="29772" customFormat="false" ht="15" hidden="false" customHeight="false" outlineLevel="0" collapsed="false">
      <c r="A29772" s="3" t="s">
        <v>434</v>
      </c>
      <c r="C29772" s="22" t="n">
        <f aca="false">MIN($G$29769:$K$29769)</f>
        <v>-0.643748461409318</v>
      </c>
    </row>
    <row r="29773" customFormat="false" ht="15" hidden="false" customHeight="false" outlineLevel="0" collapsed="false">
      <c r="A29773" s="3" t="s">
        <v>439</v>
      </c>
      <c r="G29773" s="21" t="n">
        <f aca="false">G29738+G29746+G29754+G29762+G29770</f>
        <v>3</v>
      </c>
      <c r="H29773" s="21" t="n">
        <f aca="false">H29738+H29746+H29754+H29762+H29770</f>
        <v>3</v>
      </c>
      <c r="I29773" s="21" t="n">
        <f aca="false">I29738+I29746+I29754+I29762+I29770</f>
        <v>3</v>
      </c>
      <c r="J29773" s="21" t="n">
        <f aca="false">J29738+J29746+J29754+J29762+J29770</f>
        <v>3</v>
      </c>
      <c r="K29773" s="21" t="n">
        <f aca="false">K29738+K29746+K29754+K29762+K29770</f>
        <v>3</v>
      </c>
    </row>
    <row r="29774" customFormat="false" ht="15" hidden="false" customHeight="false" outlineLevel="0" collapsed="false">
      <c r="A29774" s="3" t="s">
        <v>440</v>
      </c>
      <c r="C29774" s="21" t="n">
        <f aca="false">SUM($G$29773:$K$29773)</f>
        <v>15</v>
      </c>
    </row>
    <row r="29775" customFormat="false" ht="15" hidden="false" customHeight="false" outlineLevel="0" collapsed="false">
      <c r="A29775" s="3" t="s">
        <v>441</v>
      </c>
      <c r="C29775" s="22" t="n">
        <f aca="false">MIN(C29740,C29748,C29756,C29764,C29772)</f>
        <v>-0.643748461409318</v>
      </c>
    </row>
    <row r="29777" customFormat="false" ht="15" hidden="false" customHeight="false" outlineLevel="0" collapsed="false">
      <c r="A29777" s="24" t="s">
        <v>543</v>
      </c>
      <c r="B29777" s="25"/>
      <c r="C29777" s="25"/>
      <c r="D29777" s="25"/>
      <c r="E29777" s="25"/>
      <c r="F29777" s="25"/>
      <c r="G29777" s="25"/>
      <c r="H29777" s="25"/>
      <c r="I29777" s="25"/>
      <c r="J29777" s="25"/>
      <c r="K29777" s="25"/>
    </row>
    <row r="29778" customFormat="false" ht="15" hidden="false" customHeight="false" outlineLevel="0" collapsed="false">
      <c r="A29778" s="3" t="s">
        <v>544</v>
      </c>
      <c r="G29778" s="21" t="n">
        <f aca="false">IF($C$29779=1,G29715,IF(G29498=MIN($G$29498:$K$29498),1,0))</f>
        <v>0</v>
      </c>
      <c r="H29778" s="21" t="n">
        <f aca="false">IF($C$29779=1,H29715,IF(AND(H29498=MIN($G$29498:$K$29498),SUM($G$29778:G29778)=0),1,0))</f>
        <v>1</v>
      </c>
      <c r="I29778" s="21" t="n">
        <f aca="false">IF($C$29779=1,I29715,IF(AND(I29498=MIN($G$29498:$K$29498),SUM($G$29778:H29778)=0),1,0))</f>
        <v>0</v>
      </c>
      <c r="J29778" s="21" t="n">
        <f aca="false">IF($C$29779=1,J29715,IF(AND(J29498=MIN($G$29498:$K$29498),SUM($G$29778:I29778)=0),1,0))</f>
        <v>0</v>
      </c>
      <c r="K29778" s="21" t="n">
        <f aca="false">IF($C$29779=1,K29715,IF(AND(K29498=MIN($G$29498:$K$29498),SUM($G$29778:J29778)=0),1,0))</f>
        <v>0</v>
      </c>
    </row>
    <row r="29779" customFormat="false" ht="15" hidden="false" customHeight="false" outlineLevel="0" collapsed="false">
      <c r="A29779" s="3" t="s">
        <v>545</v>
      </c>
      <c r="C29779" s="21" t="n">
        <f aca="false">IF(SUM($G$29715:$K$29715)&gt;0,1,0)</f>
        <v>1</v>
      </c>
    </row>
    <row r="29780" customFormat="false" ht="15" hidden="false" customHeight="false" outlineLevel="0" collapsed="false">
      <c r="A29780" s="3" t="s">
        <v>546</v>
      </c>
      <c r="C29780" s="21" t="n">
        <f aca="false">SUMPRODUCT($G$29778:$K$29778,$G$29488:$K$29488)</f>
        <v>2028</v>
      </c>
    </row>
    <row r="29781" customFormat="false" ht="15" hidden="false" customHeight="false" outlineLevel="0" collapsed="false">
      <c r="A29781" s="3" t="s">
        <v>547</v>
      </c>
      <c r="C29781" s="16" t="n">
        <f aca="false">SUMPRODUCT($G$29778:$K$29778,$G$29498:$K$29498)</f>
        <v>179.33991381</v>
      </c>
    </row>
    <row r="29782" customFormat="false" ht="15" hidden="false" customHeight="false" outlineLevel="0" collapsed="false">
      <c r="A29782" s="3" t="s">
        <v>548</v>
      </c>
      <c r="C29782" s="16" t="n">
        <f aca="false">MAX(0,SUMPRODUCT($G$29778:$K$29778,$G$29712:$K$29712))</f>
        <v>0</v>
      </c>
    </row>
    <row r="29783" customFormat="false" ht="15" hidden="false" customHeight="false" outlineLevel="0" collapsed="false">
      <c r="A29783" s="3" t="s">
        <v>549</v>
      </c>
      <c r="C29783" s="16" t="n">
        <f aca="false">(CHOOSE($C$29481,Assumptions!$C$92,Assumptions!$C$111,Assumptions!$C$130)+$C$29485)*C29781</f>
        <v>1434.71931048</v>
      </c>
    </row>
    <row r="29784" customFormat="false" ht="15" hidden="false" customHeight="false" outlineLevel="0" collapsed="false">
      <c r="A29784" s="3" t="s">
        <v>550</v>
      </c>
      <c r="C29784" s="16" t="n">
        <f aca="false">Assumptions!$C$31*(1-CHOOSE($C$29481,Assumptions!$C$93,Assumptions!$C$112,Assumptions!$C$131))*CHOOSE($C$29481,Assumptions!$C$94,Assumptions!$C$113,Assumptions!$C$132)</f>
        <v>2688.03189666667</v>
      </c>
    </row>
    <row r="29785" customFormat="false" ht="15" hidden="false" customHeight="false" outlineLevel="0" collapsed="false">
      <c r="A29785" s="3" t="s">
        <v>551</v>
      </c>
      <c r="C29785" s="16" t="n">
        <f aca="false">MAX(C29783,C29784)+C29782</f>
        <v>2688.03189666667</v>
      </c>
    </row>
    <row r="29786" customFormat="false" ht="15" hidden="false" customHeight="false" outlineLevel="0" collapsed="false">
      <c r="A29786" s="2" t="s">
        <v>552</v>
      </c>
      <c r="C29786" s="17" t="n">
        <f aca="false">IF(ISNUMBER(Assumptions!$C$14),Assumptions!$C$14,C29785)</f>
        <v>2688.03189666667</v>
      </c>
    </row>
    <row r="29787" customFormat="false" ht="15" hidden="false" customHeight="false" outlineLevel="0" collapsed="false">
      <c r="A29787" s="3" t="s">
        <v>553</v>
      </c>
      <c r="C29787" s="16" t="n">
        <f aca="false">C29786*Assumptions!$C$15</f>
        <v>107.521275866667</v>
      </c>
    </row>
    <row r="29788" customFormat="false" ht="15" hidden="false" customHeight="false" outlineLevel="0" collapsed="false">
      <c r="A29788" s="2" t="s">
        <v>554</v>
      </c>
      <c r="C29788" s="17" t="n">
        <f aca="false">C29786-C29787</f>
        <v>2580.5106208</v>
      </c>
    </row>
    <row r="29789" customFormat="false" ht="15" hidden="false" customHeight="false" outlineLevel="0" collapsed="false">
      <c r="A29789" s="24" t="s">
        <v>555</v>
      </c>
      <c r="B29789" s="25"/>
      <c r="C29789" s="25"/>
      <c r="D29789" s="25"/>
      <c r="E29789" s="25"/>
      <c r="F29789" s="25"/>
      <c r="G29789" s="25"/>
      <c r="H29789" s="25"/>
      <c r="I29789" s="25"/>
      <c r="J29789" s="25"/>
      <c r="K29789" s="25"/>
    </row>
    <row r="29790" customFormat="false" ht="15" hidden="false" customHeight="false" outlineLevel="0" collapsed="false">
      <c r="A29790" s="3" t="s">
        <v>556</v>
      </c>
      <c r="C29790" s="16" t="n">
        <f aca="false">SUMPRODUCT($G$29778:$K$29778,$G$29535:$K$29535)*(1+SUMPRODUCT($G$29778:$K$29778,$G$29527:$K$29527)*Assumptions!$C$16/12)</f>
        <v>403.76</v>
      </c>
    </row>
    <row r="29791" customFormat="false" ht="15" hidden="false" customHeight="false" outlineLevel="0" collapsed="false">
      <c r="A29791" s="3" t="s">
        <v>557</v>
      </c>
      <c r="C29791" s="16" t="n">
        <f aca="false">SUMPRODUCT($G$29778:$K$29778,$G$29548:$K$29548)*(1+SUMPRODUCT($G$29778:$K$29778,$G$29540:$K$29540)*Assumptions!$C$16/12)</f>
        <v>91.30725</v>
      </c>
    </row>
    <row r="29792" customFormat="false" ht="15" hidden="false" customHeight="false" outlineLevel="0" collapsed="false">
      <c r="A29792" s="3" t="s">
        <v>558</v>
      </c>
      <c r="C29792" s="16" t="n">
        <f aca="false">SUMPRODUCT($G$29778:$K$29778,$G$29561:$K$29561)*(1+SUMPRODUCT($G$29778:$K$29778,$G$29553:$K$29553)*Assumptions!$C$16/12)</f>
        <v>58.3715961</v>
      </c>
    </row>
    <row r="29793" customFormat="false" ht="15" hidden="false" customHeight="false" outlineLevel="0" collapsed="false">
      <c r="A29793" s="3" t="s">
        <v>559</v>
      </c>
      <c r="C29793" s="16" t="n">
        <f aca="false">SUMPRODUCT($G$29778:$K$29778,$G$29574:$K$29574)*(1+SUMPRODUCT($G$29778:$K$29778,$G$29566:$K$29566)*Assumptions!$C$16/12)</f>
        <v>0</v>
      </c>
    </row>
    <row r="29794" customFormat="false" ht="15" hidden="false" customHeight="false" outlineLevel="0" collapsed="false">
      <c r="A29794" s="3" t="s">
        <v>560</v>
      </c>
      <c r="C29794" s="16" t="n">
        <f aca="false">SUMPRODUCT($G$29778:$K$29778,$G$29587:$K$29587)*(1+SUMPRODUCT($G$29778:$K$29778,$G$29579:$K$29579)*Assumptions!$C$16/12)</f>
        <v>439.249936942163</v>
      </c>
    </row>
    <row r="29795" customFormat="false" ht="15" hidden="false" customHeight="false" outlineLevel="0" collapsed="false">
      <c r="A29795" s="3" t="s">
        <v>561</v>
      </c>
      <c r="C29795" s="16" t="n">
        <f aca="false">SUMPRODUCT($G$29778:$K$29778,$G$29600:$K$29600)*(1+SUMPRODUCT($G$29778:$K$29778,$G$29592:$K$29592)*Assumptions!$C$16/12)</f>
        <v>357.2625</v>
      </c>
    </row>
    <row r="29796" customFormat="false" ht="15" hidden="false" customHeight="false" outlineLevel="0" collapsed="false">
      <c r="A29796" s="3" t="s">
        <v>562</v>
      </c>
      <c r="C29796" s="16" t="n">
        <f aca="false">SUMPRODUCT($G$29778:$K$29778,$G$29613:$K$29613)*(1+SUMPRODUCT($G$29778:$K$29778,$G$29605:$K$29605)*Assumptions!$C$16/12)</f>
        <v>562.203125</v>
      </c>
    </row>
    <row r="29797" customFormat="false" ht="15" hidden="false" customHeight="false" outlineLevel="0" collapsed="false">
      <c r="A29797" s="3" t="s">
        <v>563</v>
      </c>
      <c r="C29797" s="16" t="n">
        <f aca="false">SUMPRODUCT($G$29778:$K$29778,$G$29626:$K$29626)*(1+SUMPRODUCT($G$29778:$K$29778,$G$29618:$K$29618)*Assumptions!$C$16/12)</f>
        <v>353.98125</v>
      </c>
    </row>
    <row r="29798" customFormat="false" ht="15" hidden="false" customHeight="false" outlineLevel="0" collapsed="false">
      <c r="A29798" s="3" t="s">
        <v>564</v>
      </c>
      <c r="C29798" s="16" t="n">
        <f aca="false">SUMPRODUCT($G$29778:$K$29778,$G$29639:$K$29639)*(1+SUMPRODUCT($G$29778:$K$29778,$G$29631:$K$29631)*Assumptions!$C$16/12)</f>
        <v>304.59375</v>
      </c>
    </row>
    <row r="29799" customFormat="false" ht="15" hidden="false" customHeight="false" outlineLevel="0" collapsed="false">
      <c r="A29799" s="3" t="s">
        <v>565</v>
      </c>
      <c r="C29799" s="16" t="n">
        <f aca="false">SUMPRODUCT($G$29778:$K$29778,$G$29652:$K$29652)*(1+SUMPRODUCT($G$29778:$K$29778,$G$29644:$K$29644)*Assumptions!$C$16/12)</f>
        <v>80.2332965</v>
      </c>
    </row>
    <row r="29800" customFormat="false" ht="15" hidden="false" customHeight="false" outlineLevel="0" collapsed="false">
      <c r="A29800" s="24" t="s">
        <v>566</v>
      </c>
      <c r="B29800" s="25"/>
      <c r="C29800" s="25"/>
      <c r="D29800" s="25"/>
      <c r="E29800" s="25"/>
      <c r="F29800" s="25"/>
      <c r="G29800" s="25"/>
      <c r="H29800" s="25"/>
      <c r="I29800" s="25"/>
      <c r="J29800" s="25"/>
      <c r="K29800" s="25"/>
    </row>
    <row r="29801" customFormat="false" ht="15" hidden="false" customHeight="false" outlineLevel="0" collapsed="false">
      <c r="A29801" s="3" t="s">
        <v>556</v>
      </c>
      <c r="C29801" s="27" t="n">
        <f aca="false">Assumptions!$M$57</f>
        <v>1</v>
      </c>
    </row>
    <row r="29802" customFormat="false" ht="15" hidden="false" customHeight="false" outlineLevel="0" collapsed="false">
      <c r="A29802" s="3" t="s">
        <v>557</v>
      </c>
      <c r="C29802" s="27" t="n">
        <f aca="false">Assumptions!$M$58</f>
        <v>1</v>
      </c>
    </row>
    <row r="29803" customFormat="false" ht="15" hidden="false" customHeight="false" outlineLevel="0" collapsed="false">
      <c r="A29803" s="3" t="s">
        <v>558</v>
      </c>
      <c r="C29803" s="27" t="n">
        <f aca="false">Assumptions!$M$59</f>
        <v>1</v>
      </c>
    </row>
    <row r="29804" customFormat="false" ht="15" hidden="false" customHeight="false" outlineLevel="0" collapsed="false">
      <c r="A29804" s="3" t="s">
        <v>559</v>
      </c>
      <c r="C29804" s="27" t="n">
        <f aca="false">Assumptions!$M$60</f>
        <v>2</v>
      </c>
    </row>
    <row r="29805" customFormat="false" ht="15" hidden="false" customHeight="false" outlineLevel="0" collapsed="false">
      <c r="A29805" s="3" t="s">
        <v>560</v>
      </c>
      <c r="C29805" s="27" t="n">
        <f aca="false">Assumptions!$M$61</f>
        <v>2</v>
      </c>
    </row>
    <row r="29806" customFormat="false" ht="15" hidden="false" customHeight="false" outlineLevel="0" collapsed="false">
      <c r="A29806" s="3" t="s">
        <v>561</v>
      </c>
      <c r="C29806" s="27" t="n">
        <f aca="false">Assumptions!$M$62</f>
        <v>2</v>
      </c>
    </row>
    <row r="29807" customFormat="false" ht="15" hidden="false" customHeight="false" outlineLevel="0" collapsed="false">
      <c r="A29807" s="3" t="s">
        <v>562</v>
      </c>
      <c r="C29807" s="27" t="n">
        <f aca="false">Assumptions!$M$63</f>
        <v>2</v>
      </c>
    </row>
    <row r="29808" customFormat="false" ht="15" hidden="false" customHeight="false" outlineLevel="0" collapsed="false">
      <c r="A29808" s="3" t="s">
        <v>563</v>
      </c>
      <c r="C29808" s="27" t="n">
        <f aca="false">Assumptions!$M$64</f>
        <v>2</v>
      </c>
    </row>
    <row r="29809" customFormat="false" ht="15" hidden="false" customHeight="false" outlineLevel="0" collapsed="false">
      <c r="A29809" s="3" t="s">
        <v>564</v>
      </c>
      <c r="C29809" s="27" t="n">
        <f aca="false">Assumptions!$M$65</f>
        <v>2</v>
      </c>
    </row>
    <row r="29810" customFormat="false" ht="15" hidden="false" customHeight="false" outlineLevel="0" collapsed="false">
      <c r="A29810" s="3" t="s">
        <v>565</v>
      </c>
      <c r="C29810" s="27" t="n">
        <f aca="false">Assumptions!$M$66</f>
        <v>3</v>
      </c>
    </row>
    <row r="29811" customFormat="false" ht="15" hidden="false" customHeight="false" outlineLevel="0" collapsed="false">
      <c r="A29811" s="24" t="s">
        <v>567</v>
      </c>
      <c r="B29811" s="25"/>
      <c r="C29811" s="25"/>
      <c r="D29811" s="25"/>
      <c r="E29811" s="25"/>
      <c r="F29811" s="25"/>
      <c r="G29811" s="25"/>
      <c r="H29811" s="25"/>
      <c r="I29811" s="25"/>
      <c r="J29811" s="25"/>
      <c r="K29811" s="25"/>
    </row>
    <row r="29812" customFormat="false" ht="15" hidden="false" customHeight="false" outlineLevel="0" collapsed="false">
      <c r="A29812" s="3" t="s">
        <v>556</v>
      </c>
      <c r="C29812" s="33" t="n">
        <f aca="false">Assumptions!$Q$57</f>
        <v>0.3</v>
      </c>
    </row>
    <row r="29813" customFormat="false" ht="15" hidden="false" customHeight="false" outlineLevel="0" collapsed="false">
      <c r="A29813" s="3" t="s">
        <v>557</v>
      </c>
      <c r="C29813" s="33" t="n">
        <f aca="false">Assumptions!$Q$58</f>
        <v>0.033</v>
      </c>
    </row>
    <row r="29814" customFormat="false" ht="15" hidden="false" customHeight="false" outlineLevel="0" collapsed="false">
      <c r="A29814" s="3" t="s">
        <v>558</v>
      </c>
      <c r="C29814" s="33" t="n">
        <f aca="false">Assumptions!$Q$59</f>
        <v>0.021</v>
      </c>
    </row>
    <row r="29815" customFormat="false" ht="15" hidden="false" customHeight="false" outlineLevel="0" collapsed="false">
      <c r="A29815" s="3" t="s">
        <v>559</v>
      </c>
      <c r="C29815" s="33" t="n">
        <f aca="false">Assumptions!$Q$60</f>
        <v>0</v>
      </c>
    </row>
    <row r="29816" customFormat="false" ht="15" hidden="false" customHeight="false" outlineLevel="0" collapsed="false">
      <c r="A29816" s="3" t="s">
        <v>560</v>
      </c>
      <c r="C29816" s="33" t="n">
        <f aca="false">Assumptions!$Q$61</f>
        <v>0</v>
      </c>
    </row>
    <row r="29817" customFormat="false" ht="15" hidden="false" customHeight="false" outlineLevel="0" collapsed="false">
      <c r="A29817" s="3" t="s">
        <v>561</v>
      </c>
      <c r="C29817" s="33" t="n">
        <f aca="false">Assumptions!$Q$62</f>
        <v>0</v>
      </c>
    </row>
    <row r="29818" customFormat="false" ht="15" hidden="false" customHeight="false" outlineLevel="0" collapsed="false">
      <c r="A29818" s="3" t="s">
        <v>562</v>
      </c>
      <c r="C29818" s="33" t="n">
        <f aca="false">Assumptions!$Q$63</f>
        <v>0</v>
      </c>
    </row>
    <row r="29819" customFormat="false" ht="15" hidden="false" customHeight="false" outlineLevel="0" collapsed="false">
      <c r="A29819" s="3" t="s">
        <v>563</v>
      </c>
      <c r="C29819" s="33" t="n">
        <f aca="false">Assumptions!$Q$64</f>
        <v>0</v>
      </c>
    </row>
    <row r="29820" customFormat="false" ht="15" hidden="false" customHeight="false" outlineLevel="0" collapsed="false">
      <c r="A29820" s="3" t="s">
        <v>564</v>
      </c>
      <c r="C29820" s="33" t="n">
        <f aca="false">Assumptions!$Q$65</f>
        <v>0</v>
      </c>
    </row>
    <row r="29821" customFormat="false" ht="15" hidden="false" customHeight="false" outlineLevel="0" collapsed="false">
      <c r="A29821" s="3" t="s">
        <v>565</v>
      </c>
      <c r="C29821" s="33" t="n">
        <f aca="false">Assumptions!$Q$66</f>
        <v>0</v>
      </c>
    </row>
    <row r="29822" customFormat="false" ht="15" hidden="false" customHeight="false" outlineLevel="0" collapsed="false">
      <c r="A29822" s="24" t="s">
        <v>568</v>
      </c>
      <c r="B29822" s="25"/>
      <c r="C29822" s="25"/>
      <c r="D29822" s="25"/>
      <c r="E29822" s="25"/>
      <c r="F29822" s="25"/>
      <c r="G29822" s="25"/>
      <c r="H29822" s="25"/>
      <c r="I29822" s="25"/>
      <c r="J29822" s="25"/>
      <c r="K29822" s="25"/>
    </row>
    <row r="29823" customFormat="false" ht="15" hidden="false" customHeight="false" outlineLevel="0" collapsed="false">
      <c r="A29823" s="3" t="s">
        <v>556</v>
      </c>
      <c r="C29823" s="16" t="n">
        <f aca="false">IF(C29812&gt;0,MIN(C29790,C29812*$C$29788),0)</f>
        <v>403.76</v>
      </c>
    </row>
    <row r="29824" customFormat="false" ht="15" hidden="false" customHeight="false" outlineLevel="0" collapsed="false">
      <c r="A29824" s="3" t="s">
        <v>557</v>
      </c>
      <c r="C29824" s="16" t="n">
        <f aca="false">IF(C29813&gt;0,MIN(C29791,C29813*$C$29788),0)</f>
        <v>85.1568504864</v>
      </c>
    </row>
    <row r="29825" customFormat="false" ht="15" hidden="false" customHeight="false" outlineLevel="0" collapsed="false">
      <c r="A29825" s="3" t="s">
        <v>558</v>
      </c>
      <c r="C29825" s="16" t="n">
        <f aca="false">IF(C29814&gt;0,MIN(C29792,C29814*$C$29788),0)</f>
        <v>54.1907230368</v>
      </c>
    </row>
    <row r="29826" customFormat="false" ht="15" hidden="false" customHeight="false" outlineLevel="0" collapsed="false">
      <c r="A29826" s="3" t="s">
        <v>559</v>
      </c>
      <c r="C29826" s="16" t="n">
        <f aca="false">IF(C29815&gt;0,MIN(C29793,C29815*$C$29788),0)</f>
        <v>0</v>
      </c>
    </row>
    <row r="29827" customFormat="false" ht="15" hidden="false" customHeight="false" outlineLevel="0" collapsed="false">
      <c r="A29827" s="3" t="s">
        <v>560</v>
      </c>
      <c r="C29827" s="16" t="n">
        <f aca="false">IF(C29816&gt;0,MIN(C29794,C29816*$C$29788),0)</f>
        <v>0</v>
      </c>
    </row>
    <row r="29828" customFormat="false" ht="15" hidden="false" customHeight="false" outlineLevel="0" collapsed="false">
      <c r="A29828" s="3" t="s">
        <v>561</v>
      </c>
      <c r="C29828" s="16" t="n">
        <f aca="false">IF(C29817&gt;0,MIN(C29795,C29817*$C$29788),0)</f>
        <v>0</v>
      </c>
    </row>
    <row r="29829" customFormat="false" ht="15" hidden="false" customHeight="false" outlineLevel="0" collapsed="false">
      <c r="A29829" s="3" t="s">
        <v>562</v>
      </c>
      <c r="C29829" s="16" t="n">
        <f aca="false">IF(C29818&gt;0,MIN(C29796,C29818*$C$29788),0)</f>
        <v>0</v>
      </c>
    </row>
    <row r="29830" customFormat="false" ht="15" hidden="false" customHeight="false" outlineLevel="0" collapsed="false">
      <c r="A29830" s="3" t="s">
        <v>563</v>
      </c>
      <c r="C29830" s="16" t="n">
        <f aca="false">IF(C29819&gt;0,MIN(C29797,C29819*$C$29788),0)</f>
        <v>0</v>
      </c>
    </row>
    <row r="29831" customFormat="false" ht="15" hidden="false" customHeight="false" outlineLevel="0" collapsed="false">
      <c r="A29831" s="3" t="s">
        <v>564</v>
      </c>
      <c r="C29831" s="16" t="n">
        <f aca="false">IF(C29820&gt;0,MIN(C29798,C29820*$C$29788),0)</f>
        <v>0</v>
      </c>
    </row>
    <row r="29832" customFormat="false" ht="15" hidden="false" customHeight="false" outlineLevel="0" collapsed="false">
      <c r="A29832" s="3" t="s">
        <v>565</v>
      </c>
      <c r="C29832" s="16" t="n">
        <f aca="false">IF(C29821&gt;0,MIN(C29799,C29821*$C$29788),0)</f>
        <v>0</v>
      </c>
    </row>
    <row r="29833" customFormat="false" ht="15" hidden="false" customHeight="false" outlineLevel="0" collapsed="false">
      <c r="A29833" s="24" t="s">
        <v>569</v>
      </c>
      <c r="B29833" s="25"/>
      <c r="C29833" s="25"/>
      <c r="D29833" s="25"/>
      <c r="E29833" s="25"/>
      <c r="F29833" s="25"/>
      <c r="G29833" s="25"/>
      <c r="H29833" s="25"/>
      <c r="I29833" s="25"/>
      <c r="J29833" s="25"/>
      <c r="K29833" s="25"/>
    </row>
    <row r="29834" customFormat="false" ht="15" hidden="false" customHeight="false" outlineLevel="0" collapsed="false">
      <c r="A29834" s="3" t="s">
        <v>556</v>
      </c>
      <c r="C29834" s="16" t="n">
        <f aca="false">IF(C29812&gt;0,C29790-C29823,0)</f>
        <v>0</v>
      </c>
      <c r="G29834" s="21" t="n">
        <f aca="false">IF(AND(G29525=1,G29522=1),1,0)</f>
        <v>0</v>
      </c>
      <c r="H29834" s="21" t="n">
        <f aca="false">IF(G29834=1,1,IF(AND(H29525=1,H29522=1),1,0))</f>
        <v>0</v>
      </c>
      <c r="I29834" s="21" t="n">
        <f aca="false">IF(H29834=1,1,IF(AND(I29525=1,I29522=1),1,0))</f>
        <v>0</v>
      </c>
      <c r="J29834" s="21" t="n">
        <f aca="false">IF(I29834=1,1,IF(AND(J29525=1,J29522=1),1,0))</f>
        <v>0</v>
      </c>
      <c r="K29834" s="21" t="n">
        <f aca="false">IF(J29834=1,1,IF(AND(K29525=1,K29522=1),1,0))</f>
        <v>0</v>
      </c>
    </row>
    <row r="29835" customFormat="false" ht="15" hidden="false" customHeight="false" outlineLevel="0" collapsed="false">
      <c r="A29835" s="3" t="s">
        <v>557</v>
      </c>
      <c r="C29835" s="16" t="n">
        <f aca="false">IF(C29813&gt;0,C29791-C29824,0)</f>
        <v>6.15039951360001</v>
      </c>
      <c r="G29835" s="21" t="n">
        <f aca="false">IF(AND(G29538=1,G29522=1),1,0)</f>
        <v>0</v>
      </c>
      <c r="H29835" s="21" t="n">
        <f aca="false">IF(G29835=1,1,IF(AND(H29538=1,H29522=1),1,0))</f>
        <v>0</v>
      </c>
      <c r="I29835" s="21" t="n">
        <f aca="false">IF(H29835=1,1,IF(AND(I29538=1,I29522=1),1,0))</f>
        <v>0</v>
      </c>
      <c r="J29835" s="21" t="n">
        <f aca="false">IF(I29835=1,1,IF(AND(J29538=1,J29522=1),1,0))</f>
        <v>0</v>
      </c>
      <c r="K29835" s="21" t="n">
        <f aca="false">IF(J29835=1,1,IF(AND(K29538=1,K29522=1),1,0))</f>
        <v>0</v>
      </c>
    </row>
    <row r="29836" customFormat="false" ht="15" hidden="false" customHeight="false" outlineLevel="0" collapsed="false">
      <c r="A29836" s="3" t="s">
        <v>558</v>
      </c>
      <c r="C29836" s="16" t="n">
        <f aca="false">IF(C29814&gt;0,C29792-C29825,0)</f>
        <v>4.1808730632</v>
      </c>
      <c r="G29836" s="21" t="n">
        <f aca="false">IF(AND(G29551=1,G29522=1),1,0)</f>
        <v>0</v>
      </c>
      <c r="H29836" s="21" t="n">
        <f aca="false">IF(G29836=1,1,IF(AND(H29551=1,H29522=1),1,0))</f>
        <v>0</v>
      </c>
      <c r="I29836" s="21" t="n">
        <f aca="false">IF(H29836=1,1,IF(AND(I29551=1,I29522=1),1,0))</f>
        <v>0</v>
      </c>
      <c r="J29836" s="21" t="n">
        <f aca="false">IF(I29836=1,1,IF(AND(J29551=1,J29522=1),1,0))</f>
        <v>0</v>
      </c>
      <c r="K29836" s="21" t="n">
        <f aca="false">IF(J29836=1,1,IF(AND(K29551=1,K29522=1),1,0))</f>
        <v>0</v>
      </c>
    </row>
    <row r="29837" customFormat="false" ht="15" hidden="false" customHeight="false" outlineLevel="0" collapsed="false">
      <c r="A29837" s="3" t="s">
        <v>559</v>
      </c>
      <c r="C29837" s="16" t="n">
        <f aca="false">IF(C29815&gt;0,C29793-C29826,0)</f>
        <v>0</v>
      </c>
      <c r="G29837" s="21" t="n">
        <f aca="false">IF(AND(G29564=1,G29522=1),1,0)</f>
        <v>0</v>
      </c>
      <c r="H29837" s="21" t="n">
        <f aca="false">IF(G29837=1,1,IF(AND(H29564=1,H29522=1),1,0))</f>
        <v>0</v>
      </c>
      <c r="I29837" s="21" t="n">
        <f aca="false">IF(H29837=1,1,IF(AND(I29564=1,I29522=1),1,0))</f>
        <v>0</v>
      </c>
      <c r="J29837" s="21" t="n">
        <f aca="false">IF(I29837=1,1,IF(AND(J29564=1,J29522=1),1,0))</f>
        <v>0</v>
      </c>
      <c r="K29837" s="21" t="n">
        <f aca="false">IF(J29837=1,1,IF(AND(K29564=1,K29522=1),1,0))</f>
        <v>0</v>
      </c>
    </row>
    <row r="29838" customFormat="false" ht="15" hidden="false" customHeight="false" outlineLevel="0" collapsed="false">
      <c r="A29838" s="3" t="s">
        <v>560</v>
      </c>
      <c r="C29838" s="16" t="n">
        <f aca="false">IF(C29816&gt;0,C29794-C29827,0)</f>
        <v>0</v>
      </c>
      <c r="G29838" s="21" t="n">
        <f aca="false">IF(AND(G29577=1,G29522=1),1,0)</f>
        <v>0</v>
      </c>
      <c r="H29838" s="21" t="n">
        <f aca="false">IF(G29838=1,1,IF(AND(H29577=1,H29522=1),1,0))</f>
        <v>0</v>
      </c>
      <c r="I29838" s="21" t="n">
        <f aca="false">IF(H29838=1,1,IF(AND(I29577=1,I29522=1),1,0))</f>
        <v>0</v>
      </c>
      <c r="J29838" s="21" t="n">
        <f aca="false">IF(I29838=1,1,IF(AND(J29577=1,J29522=1),1,0))</f>
        <v>0</v>
      </c>
      <c r="K29838" s="21" t="n">
        <f aca="false">IF(J29838=1,1,IF(AND(K29577=1,K29522=1),1,0))</f>
        <v>0</v>
      </c>
    </row>
    <row r="29839" customFormat="false" ht="15" hidden="false" customHeight="false" outlineLevel="0" collapsed="false">
      <c r="A29839" s="3" t="s">
        <v>561</v>
      </c>
      <c r="C29839" s="16" t="n">
        <f aca="false">IF(C29817&gt;0,C29795-C29828,0)</f>
        <v>0</v>
      </c>
      <c r="G29839" s="21" t="n">
        <f aca="false">IF(AND(G29590=1,G29522=1),1,0)</f>
        <v>0</v>
      </c>
      <c r="H29839" s="21" t="n">
        <f aca="false">IF(G29839=1,1,IF(AND(H29590=1,H29522=1),1,0))</f>
        <v>0</v>
      </c>
      <c r="I29839" s="21" t="n">
        <f aca="false">IF(H29839=1,1,IF(AND(I29590=1,I29522=1),1,0))</f>
        <v>0</v>
      </c>
      <c r="J29839" s="21" t="n">
        <f aca="false">IF(I29839=1,1,IF(AND(J29590=1,J29522=1),1,0))</f>
        <v>0</v>
      </c>
      <c r="K29839" s="21" t="n">
        <f aca="false">IF(J29839=1,1,IF(AND(K29590=1,K29522=1),1,0))</f>
        <v>0</v>
      </c>
    </row>
    <row r="29840" customFormat="false" ht="15" hidden="false" customHeight="false" outlineLevel="0" collapsed="false">
      <c r="A29840" s="3" t="s">
        <v>562</v>
      </c>
      <c r="C29840" s="16" t="n">
        <f aca="false">IF(C29818&gt;0,C29796-C29829,0)</f>
        <v>0</v>
      </c>
      <c r="G29840" s="21" t="n">
        <f aca="false">IF(AND(G29603=1,G29522=1),1,0)</f>
        <v>0</v>
      </c>
      <c r="H29840" s="21" t="n">
        <f aca="false">IF(G29840=1,1,IF(AND(H29603=1,H29522=1),1,0))</f>
        <v>0</v>
      </c>
      <c r="I29840" s="21" t="n">
        <f aca="false">IF(H29840=1,1,IF(AND(I29603=1,I29522=1),1,0))</f>
        <v>0</v>
      </c>
      <c r="J29840" s="21" t="n">
        <f aca="false">IF(I29840=1,1,IF(AND(J29603=1,J29522=1),1,0))</f>
        <v>0</v>
      </c>
      <c r="K29840" s="21" t="n">
        <f aca="false">IF(J29840=1,1,IF(AND(K29603=1,K29522=1),1,0))</f>
        <v>0</v>
      </c>
    </row>
    <row r="29841" customFormat="false" ht="15" hidden="false" customHeight="false" outlineLevel="0" collapsed="false">
      <c r="A29841" s="3" t="s">
        <v>563</v>
      </c>
      <c r="C29841" s="16" t="n">
        <f aca="false">IF(C29819&gt;0,C29797-C29830,0)</f>
        <v>0</v>
      </c>
      <c r="G29841" s="21" t="n">
        <f aca="false">IF(AND(G29616=1,G29522=1),1,0)</f>
        <v>0</v>
      </c>
      <c r="H29841" s="21" t="n">
        <f aca="false">IF(G29841=1,1,IF(AND(H29616=1,H29522=1),1,0))</f>
        <v>0</v>
      </c>
      <c r="I29841" s="21" t="n">
        <f aca="false">IF(H29841=1,1,IF(AND(I29616=1,I29522=1),1,0))</f>
        <v>0</v>
      </c>
      <c r="J29841" s="21" t="n">
        <f aca="false">IF(I29841=1,1,IF(AND(J29616=1,J29522=1),1,0))</f>
        <v>0</v>
      </c>
      <c r="K29841" s="21" t="n">
        <f aca="false">IF(J29841=1,1,IF(AND(K29616=1,K29522=1),1,0))</f>
        <v>0</v>
      </c>
    </row>
    <row r="29842" customFormat="false" ht="15" hidden="false" customHeight="false" outlineLevel="0" collapsed="false">
      <c r="A29842" s="3" t="s">
        <v>564</v>
      </c>
      <c r="C29842" s="16" t="n">
        <f aca="false">IF(C29820&gt;0,C29798-C29831,0)</f>
        <v>0</v>
      </c>
      <c r="G29842" s="21" t="n">
        <f aca="false">IF(AND(G29629=1,G29522=1),1,0)</f>
        <v>0</v>
      </c>
      <c r="H29842" s="21" t="n">
        <f aca="false">IF(G29842=1,1,IF(AND(H29629=1,H29522=1),1,0))</f>
        <v>0</v>
      </c>
      <c r="I29842" s="21" t="n">
        <f aca="false">IF(H29842=1,1,IF(AND(I29629=1,I29522=1),1,0))</f>
        <v>0</v>
      </c>
      <c r="J29842" s="21" t="n">
        <f aca="false">IF(I29842=1,1,IF(AND(J29629=1,J29522=1),1,0))</f>
        <v>0</v>
      </c>
      <c r="K29842" s="21" t="n">
        <f aca="false">IF(J29842=1,1,IF(AND(K29629=1,K29522=1),1,0))</f>
        <v>0</v>
      </c>
    </row>
    <row r="29843" customFormat="false" ht="15" hidden="false" customHeight="false" outlineLevel="0" collapsed="false">
      <c r="A29843" s="3" t="s">
        <v>565</v>
      </c>
      <c r="C29843" s="16" t="n">
        <f aca="false">IF(C29821&gt;0,C29799-C29832,0)</f>
        <v>0</v>
      </c>
      <c r="G29843" s="21" t="n">
        <f aca="false">IF(AND(G29642=1,G29522=1),1,0)</f>
        <v>0</v>
      </c>
      <c r="H29843" s="21" t="n">
        <f aca="false">IF(G29843=1,1,IF(AND(H29642=1,H29522=1),1,0))</f>
        <v>0</v>
      </c>
      <c r="I29843" s="21" t="n">
        <f aca="false">IF(H29843=1,1,IF(AND(I29642=1,I29522=1),1,0))</f>
        <v>0</v>
      </c>
      <c r="J29843" s="21" t="n">
        <f aca="false">IF(I29843=1,1,IF(AND(J29642=1,J29522=1),1,0))</f>
        <v>0</v>
      </c>
      <c r="K29843" s="21" t="n">
        <f aca="false">IF(J29843=1,1,IF(AND(K29642=1,K29522=1),1,0))</f>
        <v>0</v>
      </c>
    </row>
    <row r="29844" customFormat="false" ht="15" hidden="false" customHeight="false" outlineLevel="0" collapsed="false">
      <c r="A29844" s="24" t="s">
        <v>570</v>
      </c>
      <c r="B29844" s="25"/>
      <c r="C29844" s="25"/>
      <c r="D29844" s="25"/>
      <c r="E29844" s="25"/>
      <c r="F29844" s="25"/>
      <c r="G29844" s="25"/>
      <c r="H29844" s="25"/>
      <c r="I29844" s="25"/>
      <c r="J29844" s="25"/>
      <c r="K29844" s="25"/>
    </row>
    <row r="29845" customFormat="false" ht="15" hidden="false" customHeight="false" outlineLevel="0" collapsed="false">
      <c r="A29845" s="3" t="s">
        <v>556</v>
      </c>
      <c r="C29845" s="16" t="n">
        <f aca="false">IF(C29812&gt;0,C29834,C29790)</f>
        <v>0</v>
      </c>
    </row>
    <row r="29846" customFormat="false" ht="15" hidden="false" customHeight="false" outlineLevel="0" collapsed="false">
      <c r="A29846" s="3" t="s">
        <v>557</v>
      </c>
      <c r="C29846" s="16" t="n">
        <f aca="false">IF(C29813&gt;0,C29835,C29791)</f>
        <v>6.15039951360001</v>
      </c>
    </row>
    <row r="29847" customFormat="false" ht="15" hidden="false" customHeight="false" outlineLevel="0" collapsed="false">
      <c r="A29847" s="3" t="s">
        <v>558</v>
      </c>
      <c r="C29847" s="16" t="n">
        <f aca="false">IF(C29814&gt;0,C29836,C29792)</f>
        <v>4.1808730632</v>
      </c>
    </row>
    <row r="29848" customFormat="false" ht="15" hidden="false" customHeight="false" outlineLevel="0" collapsed="false">
      <c r="A29848" s="3" t="s">
        <v>559</v>
      </c>
      <c r="C29848" s="16" t="n">
        <f aca="false">IF(C29815&gt;0,C29837,C29793)</f>
        <v>0</v>
      </c>
    </row>
    <row r="29849" customFormat="false" ht="15" hidden="false" customHeight="false" outlineLevel="0" collapsed="false">
      <c r="A29849" s="3" t="s">
        <v>560</v>
      </c>
      <c r="C29849" s="16" t="n">
        <f aca="false">IF(C29816&gt;0,C29838,C29794)</f>
        <v>439.249936942163</v>
      </c>
    </row>
    <row r="29850" customFormat="false" ht="15" hidden="false" customHeight="false" outlineLevel="0" collapsed="false">
      <c r="A29850" s="3" t="s">
        <v>561</v>
      </c>
      <c r="C29850" s="16" t="n">
        <f aca="false">IF(C29817&gt;0,C29839,C29795)</f>
        <v>357.2625</v>
      </c>
    </row>
    <row r="29851" customFormat="false" ht="15" hidden="false" customHeight="false" outlineLevel="0" collapsed="false">
      <c r="A29851" s="3" t="s">
        <v>562</v>
      </c>
      <c r="C29851" s="16" t="n">
        <f aca="false">IF(C29818&gt;0,C29840,C29796)</f>
        <v>562.203125</v>
      </c>
    </row>
    <row r="29852" customFormat="false" ht="15" hidden="false" customHeight="false" outlineLevel="0" collapsed="false">
      <c r="A29852" s="3" t="s">
        <v>563</v>
      </c>
      <c r="C29852" s="16" t="n">
        <f aca="false">IF(C29819&gt;0,C29841,C29797)</f>
        <v>353.98125</v>
      </c>
    </row>
    <row r="29853" customFormat="false" ht="15" hidden="false" customHeight="false" outlineLevel="0" collapsed="false">
      <c r="A29853" s="3" t="s">
        <v>564</v>
      </c>
      <c r="C29853" s="16" t="n">
        <f aca="false">IF(C29820&gt;0,C29842,C29798)</f>
        <v>304.59375</v>
      </c>
    </row>
    <row r="29854" customFormat="false" ht="15" hidden="false" customHeight="false" outlineLevel="0" collapsed="false">
      <c r="A29854" s="3" t="s">
        <v>565</v>
      </c>
      <c r="C29854" s="16" t="n">
        <f aca="false">IF(C29821&gt;0,C29843,C29799)</f>
        <v>80.2332965</v>
      </c>
    </row>
    <row r="29855" customFormat="false" ht="15" hidden="false" customHeight="false" outlineLevel="0" collapsed="false">
      <c r="A29855" s="24" t="s">
        <v>571</v>
      </c>
      <c r="B29855" s="25"/>
      <c r="C29855" s="25"/>
      <c r="D29855" s="25"/>
      <c r="E29855" s="25"/>
      <c r="F29855" s="25"/>
      <c r="G29855" s="25"/>
      <c r="H29855" s="25"/>
      <c r="I29855" s="25"/>
      <c r="J29855" s="25"/>
      <c r="K29855" s="25"/>
    </row>
    <row r="29856" customFormat="false" ht="15" hidden="false" customHeight="false" outlineLevel="0" collapsed="false">
      <c r="A29856" s="3" t="s">
        <v>556</v>
      </c>
      <c r="C29856" s="21" t="n">
        <f aca="false">IF(C29812&gt;0,Assumptions!$C$17,C29801)</f>
        <v>99</v>
      </c>
    </row>
    <row r="29857" customFormat="false" ht="15" hidden="false" customHeight="false" outlineLevel="0" collapsed="false">
      <c r="A29857" s="3" t="s">
        <v>557</v>
      </c>
      <c r="C29857" s="21" t="n">
        <f aca="false">IF(C29813&gt;0,Assumptions!$C$17,C29802)</f>
        <v>99</v>
      </c>
    </row>
    <row r="29858" customFormat="false" ht="15" hidden="false" customHeight="false" outlineLevel="0" collapsed="false">
      <c r="A29858" s="3" t="s">
        <v>558</v>
      </c>
      <c r="C29858" s="21" t="n">
        <f aca="false">IF(C29814&gt;0,Assumptions!$C$17,C29803)</f>
        <v>99</v>
      </c>
    </row>
    <row r="29859" customFormat="false" ht="15" hidden="false" customHeight="false" outlineLevel="0" collapsed="false">
      <c r="A29859" s="3" t="s">
        <v>559</v>
      </c>
      <c r="C29859" s="21" t="n">
        <f aca="false">IF(C29815&gt;0,Assumptions!$C$17,C29804)</f>
        <v>2</v>
      </c>
    </row>
    <row r="29860" customFormat="false" ht="15" hidden="false" customHeight="false" outlineLevel="0" collapsed="false">
      <c r="A29860" s="3" t="s">
        <v>560</v>
      </c>
      <c r="C29860" s="21" t="n">
        <f aca="false">IF(C29816&gt;0,Assumptions!$C$17,C29805)</f>
        <v>2</v>
      </c>
    </row>
    <row r="29861" customFormat="false" ht="15" hidden="false" customHeight="false" outlineLevel="0" collapsed="false">
      <c r="A29861" s="3" t="s">
        <v>561</v>
      </c>
      <c r="C29861" s="21" t="n">
        <f aca="false">IF(C29817&gt;0,Assumptions!$C$17,C29806)</f>
        <v>2</v>
      </c>
    </row>
    <row r="29862" customFormat="false" ht="15" hidden="false" customHeight="false" outlineLevel="0" collapsed="false">
      <c r="A29862" s="3" t="s">
        <v>562</v>
      </c>
      <c r="C29862" s="21" t="n">
        <f aca="false">IF(C29818&gt;0,Assumptions!$C$17,C29807)</f>
        <v>2</v>
      </c>
    </row>
    <row r="29863" customFormat="false" ht="15" hidden="false" customHeight="false" outlineLevel="0" collapsed="false">
      <c r="A29863" s="3" t="s">
        <v>563</v>
      </c>
      <c r="C29863" s="21" t="n">
        <f aca="false">IF(C29819&gt;0,Assumptions!$C$17,C29808)</f>
        <v>2</v>
      </c>
    </row>
    <row r="29864" customFormat="false" ht="15" hidden="false" customHeight="false" outlineLevel="0" collapsed="false">
      <c r="A29864" s="3" t="s">
        <v>564</v>
      </c>
      <c r="C29864" s="21" t="n">
        <f aca="false">IF(C29820&gt;0,Assumptions!$C$17,C29809)</f>
        <v>2</v>
      </c>
    </row>
    <row r="29865" customFormat="false" ht="15" hidden="false" customHeight="false" outlineLevel="0" collapsed="false">
      <c r="A29865" s="3" t="s">
        <v>565</v>
      </c>
      <c r="C29865" s="21" t="n">
        <f aca="false">IF(C29821&gt;0,Assumptions!$C$17,C29810)</f>
        <v>3</v>
      </c>
    </row>
    <row r="29866" customFormat="false" ht="15" hidden="false" customHeight="false" outlineLevel="0" collapsed="false">
      <c r="A29866" s="24" t="s">
        <v>572</v>
      </c>
      <c r="B29866" s="25"/>
      <c r="C29866" s="25"/>
      <c r="D29866" s="25"/>
      <c r="E29866" s="25"/>
      <c r="F29866" s="25"/>
      <c r="G29866" s="25"/>
      <c r="H29866" s="25"/>
      <c r="I29866" s="25"/>
      <c r="J29866" s="25"/>
      <c r="K29866" s="25"/>
    </row>
    <row r="29867" customFormat="false" ht="15" hidden="false" customHeight="false" outlineLevel="0" collapsed="false">
      <c r="A29867" s="3" t="s">
        <v>556</v>
      </c>
      <c r="C29867" s="16" t="n">
        <f aca="false">SUMPRODUCT(($C$29856:$C$29865&lt;C29856)*$C$29845:$C$29854)</f>
        <v>2097.52385844216</v>
      </c>
    </row>
    <row r="29868" customFormat="false" ht="15" hidden="false" customHeight="false" outlineLevel="0" collapsed="false">
      <c r="A29868" s="3" t="s">
        <v>557</v>
      </c>
      <c r="C29868" s="16" t="n">
        <f aca="false">SUMPRODUCT(($C$29856:$C$29865&lt;C29857)*$C$29845:$C$29854)</f>
        <v>2097.52385844216</v>
      </c>
    </row>
    <row r="29869" customFormat="false" ht="15" hidden="false" customHeight="false" outlineLevel="0" collapsed="false">
      <c r="A29869" s="3" t="s">
        <v>558</v>
      </c>
      <c r="C29869" s="16" t="n">
        <f aca="false">SUMPRODUCT(($C$29856:$C$29865&lt;C29858)*$C$29845:$C$29854)</f>
        <v>2097.52385844216</v>
      </c>
    </row>
    <row r="29870" customFormat="false" ht="15" hidden="false" customHeight="false" outlineLevel="0" collapsed="false">
      <c r="A29870" s="3" t="s">
        <v>559</v>
      </c>
      <c r="C29870" s="16" t="n">
        <f aca="false">SUMPRODUCT(($C$29856:$C$29865&lt;C29859)*$C$29845:$C$29854)</f>
        <v>0</v>
      </c>
    </row>
    <row r="29871" customFormat="false" ht="15" hidden="false" customHeight="false" outlineLevel="0" collapsed="false">
      <c r="A29871" s="3" t="s">
        <v>560</v>
      </c>
      <c r="C29871" s="16" t="n">
        <f aca="false">SUMPRODUCT(($C$29856:$C$29865&lt;C29860)*$C$29845:$C$29854)</f>
        <v>0</v>
      </c>
    </row>
    <row r="29872" customFormat="false" ht="15" hidden="false" customHeight="false" outlineLevel="0" collapsed="false">
      <c r="A29872" s="3" t="s">
        <v>561</v>
      </c>
      <c r="C29872" s="16" t="n">
        <f aca="false">SUMPRODUCT(($C$29856:$C$29865&lt;C29861)*$C$29845:$C$29854)</f>
        <v>0</v>
      </c>
    </row>
    <row r="29873" customFormat="false" ht="15" hidden="false" customHeight="false" outlineLevel="0" collapsed="false">
      <c r="A29873" s="3" t="s">
        <v>562</v>
      </c>
      <c r="C29873" s="16" t="n">
        <f aca="false">SUMPRODUCT(($C$29856:$C$29865&lt;C29862)*$C$29845:$C$29854)</f>
        <v>0</v>
      </c>
    </row>
    <row r="29874" customFormat="false" ht="15" hidden="false" customHeight="false" outlineLevel="0" collapsed="false">
      <c r="A29874" s="3" t="s">
        <v>563</v>
      </c>
      <c r="C29874" s="16" t="n">
        <f aca="false">SUMPRODUCT(($C$29856:$C$29865&lt;C29863)*$C$29845:$C$29854)</f>
        <v>0</v>
      </c>
    </row>
    <row r="29875" customFormat="false" ht="15" hidden="false" customHeight="false" outlineLevel="0" collapsed="false">
      <c r="A29875" s="3" t="s">
        <v>564</v>
      </c>
      <c r="C29875" s="16" t="n">
        <f aca="false">SUMPRODUCT(($C$29856:$C$29865&lt;C29864)*$C$29845:$C$29854)</f>
        <v>0</v>
      </c>
    </row>
    <row r="29876" customFormat="false" ht="15" hidden="false" customHeight="false" outlineLevel="0" collapsed="false">
      <c r="A29876" s="3" t="s">
        <v>565</v>
      </c>
      <c r="C29876" s="16" t="n">
        <f aca="false">SUMPRODUCT(($C$29856:$C$29865&lt;C29865)*$C$29845:$C$29854)</f>
        <v>2017.29056194216</v>
      </c>
    </row>
    <row r="29877" customFormat="false" ht="15" hidden="false" customHeight="false" outlineLevel="0" collapsed="false">
      <c r="A29877" s="24" t="s">
        <v>573</v>
      </c>
      <c r="B29877" s="25"/>
      <c r="C29877" s="25"/>
      <c r="D29877" s="25"/>
      <c r="E29877" s="25"/>
      <c r="F29877" s="25"/>
      <c r="G29877" s="25"/>
      <c r="H29877" s="25"/>
      <c r="I29877" s="25"/>
      <c r="J29877" s="25"/>
      <c r="K29877" s="25"/>
    </row>
    <row r="29878" customFormat="false" ht="15" hidden="false" customHeight="false" outlineLevel="0" collapsed="false">
      <c r="A29878" s="3" t="s">
        <v>556</v>
      </c>
      <c r="C29878" s="16" t="n">
        <f aca="false">SUMPRODUCT(($C$29856:$C$29865=C29856)*$C$29845:$C$29854)</f>
        <v>10.3312725768</v>
      </c>
    </row>
    <row r="29879" customFormat="false" ht="15" hidden="false" customHeight="false" outlineLevel="0" collapsed="false">
      <c r="A29879" s="3" t="s">
        <v>557</v>
      </c>
      <c r="C29879" s="16" t="n">
        <f aca="false">SUMPRODUCT(($C$29856:$C$29865=C29857)*$C$29845:$C$29854)</f>
        <v>10.3312725768</v>
      </c>
    </row>
    <row r="29880" customFormat="false" ht="15" hidden="false" customHeight="false" outlineLevel="0" collapsed="false">
      <c r="A29880" s="3" t="s">
        <v>558</v>
      </c>
      <c r="C29880" s="16" t="n">
        <f aca="false">SUMPRODUCT(($C$29856:$C$29865=C29858)*$C$29845:$C$29854)</f>
        <v>10.3312725768</v>
      </c>
    </row>
    <row r="29881" customFormat="false" ht="15" hidden="false" customHeight="false" outlineLevel="0" collapsed="false">
      <c r="A29881" s="3" t="s">
        <v>559</v>
      </c>
      <c r="C29881" s="16" t="n">
        <f aca="false">SUMPRODUCT(($C$29856:$C$29865=C29859)*$C$29845:$C$29854)</f>
        <v>2017.29056194216</v>
      </c>
    </row>
    <row r="29882" customFormat="false" ht="15" hidden="false" customHeight="false" outlineLevel="0" collapsed="false">
      <c r="A29882" s="3" t="s">
        <v>560</v>
      </c>
      <c r="C29882" s="16" t="n">
        <f aca="false">SUMPRODUCT(($C$29856:$C$29865=C29860)*$C$29845:$C$29854)</f>
        <v>2017.29056194216</v>
      </c>
    </row>
    <row r="29883" customFormat="false" ht="15" hidden="false" customHeight="false" outlineLevel="0" collapsed="false">
      <c r="A29883" s="3" t="s">
        <v>561</v>
      </c>
      <c r="C29883" s="16" t="n">
        <f aca="false">SUMPRODUCT(($C$29856:$C$29865=C29861)*$C$29845:$C$29854)</f>
        <v>2017.29056194216</v>
      </c>
    </row>
    <row r="29884" customFormat="false" ht="15" hidden="false" customHeight="false" outlineLevel="0" collapsed="false">
      <c r="A29884" s="3" t="s">
        <v>562</v>
      </c>
      <c r="C29884" s="16" t="n">
        <f aca="false">SUMPRODUCT(($C$29856:$C$29865=C29862)*$C$29845:$C$29854)</f>
        <v>2017.29056194216</v>
      </c>
    </row>
    <row r="29885" customFormat="false" ht="15" hidden="false" customHeight="false" outlineLevel="0" collapsed="false">
      <c r="A29885" s="3" t="s">
        <v>563</v>
      </c>
      <c r="C29885" s="16" t="n">
        <f aca="false">SUMPRODUCT(($C$29856:$C$29865=C29863)*$C$29845:$C$29854)</f>
        <v>2017.29056194216</v>
      </c>
    </row>
    <row r="29886" customFormat="false" ht="15" hidden="false" customHeight="false" outlineLevel="0" collapsed="false">
      <c r="A29886" s="3" t="s">
        <v>564</v>
      </c>
      <c r="C29886" s="16" t="n">
        <f aca="false">SUMPRODUCT(($C$29856:$C$29865=C29864)*$C$29845:$C$29854)</f>
        <v>2017.29056194216</v>
      </c>
    </row>
    <row r="29887" customFormat="false" ht="15" hidden="false" customHeight="false" outlineLevel="0" collapsed="false">
      <c r="A29887" s="3" t="s">
        <v>565</v>
      </c>
      <c r="C29887" s="16" t="n">
        <f aca="false">SUMPRODUCT(($C$29856:$C$29865=C29865)*$C$29845:$C$29854)</f>
        <v>80.2332965</v>
      </c>
    </row>
    <row r="29888" customFormat="false" ht="15" hidden="false" customHeight="false" outlineLevel="0" collapsed="false">
      <c r="A29888" s="24" t="s">
        <v>574</v>
      </c>
      <c r="B29888" s="25"/>
      <c r="C29888" s="25"/>
      <c r="D29888" s="25"/>
      <c r="E29888" s="25"/>
      <c r="F29888" s="25"/>
      <c r="G29888" s="25"/>
      <c r="H29888" s="25"/>
      <c r="I29888" s="25"/>
      <c r="J29888" s="25"/>
      <c r="K29888" s="25"/>
    </row>
    <row r="29889" customFormat="false" ht="15" hidden="false" customHeight="false" outlineLevel="0" collapsed="false">
      <c r="A29889" s="3" t="s">
        <v>556</v>
      </c>
      <c r="C29889" s="16" t="n">
        <f aca="false">IF(C29878=0,0,C29845/C29878*MAX(0,MIN(C29878,$C$29788-SUM($C$29823:$C$29832)-C29867)))</f>
        <v>0</v>
      </c>
    </row>
    <row r="29890" customFormat="false" ht="15" hidden="false" customHeight="false" outlineLevel="0" collapsed="false">
      <c r="A29890" s="3" t="s">
        <v>557</v>
      </c>
      <c r="C29890" s="16" t="n">
        <f aca="false">IF(C29879=0,0,C29846/C29879*MAX(0,MIN(C29879,$C$29788-SUM($C$29823:$C$29832)-C29868)))</f>
        <v>0</v>
      </c>
    </row>
    <row r="29891" customFormat="false" ht="15" hidden="false" customHeight="false" outlineLevel="0" collapsed="false">
      <c r="A29891" s="3" t="s">
        <v>558</v>
      </c>
      <c r="C29891" s="16" t="n">
        <f aca="false">IF(C29880=0,0,C29847/C29880*MAX(0,MIN(C29880,$C$29788-SUM($C$29823:$C$29832)-C29869)))</f>
        <v>0</v>
      </c>
    </row>
    <row r="29892" customFormat="false" ht="15" hidden="false" customHeight="false" outlineLevel="0" collapsed="false">
      <c r="A29892" s="3" t="s">
        <v>559</v>
      </c>
      <c r="C29892" s="16" t="n">
        <f aca="false">IF(C29881=0,0,C29848/C29881*MAX(0,MIN(C29881,$C$29788-SUM($C$29823:$C$29832)-C29870)))</f>
        <v>0</v>
      </c>
    </row>
    <row r="29893" customFormat="false" ht="15" hidden="false" customHeight="false" outlineLevel="0" collapsed="false">
      <c r="A29893" s="3" t="s">
        <v>560</v>
      </c>
      <c r="C29893" s="16" t="n">
        <f aca="false">IF(C29882=0,0,C29849/C29882*MAX(0,MIN(C29882,$C$29788-SUM($C$29823:$C$29832)-C29871)))</f>
        <v>439.249936942163</v>
      </c>
    </row>
    <row r="29894" customFormat="false" ht="15" hidden="false" customHeight="false" outlineLevel="0" collapsed="false">
      <c r="A29894" s="3" t="s">
        <v>561</v>
      </c>
      <c r="C29894" s="16" t="n">
        <f aca="false">IF(C29883=0,0,C29850/C29883*MAX(0,MIN(C29883,$C$29788-SUM($C$29823:$C$29832)-C29872)))</f>
        <v>357.2625</v>
      </c>
    </row>
    <row r="29895" customFormat="false" ht="15" hidden="false" customHeight="false" outlineLevel="0" collapsed="false">
      <c r="A29895" s="3" t="s">
        <v>562</v>
      </c>
      <c r="C29895" s="16" t="n">
        <f aca="false">IF(C29884=0,0,C29851/C29884*MAX(0,MIN(C29884,$C$29788-SUM($C$29823:$C$29832)-C29873)))</f>
        <v>562.203125</v>
      </c>
    </row>
    <row r="29896" customFormat="false" ht="15" hidden="false" customHeight="false" outlineLevel="0" collapsed="false">
      <c r="A29896" s="3" t="s">
        <v>563</v>
      </c>
      <c r="C29896" s="16" t="n">
        <f aca="false">IF(C29885=0,0,C29852/C29885*MAX(0,MIN(C29885,$C$29788-SUM($C$29823:$C$29832)-C29874)))</f>
        <v>353.98125</v>
      </c>
    </row>
    <row r="29897" customFormat="false" ht="15" hidden="false" customHeight="false" outlineLevel="0" collapsed="false">
      <c r="A29897" s="3" t="s">
        <v>564</v>
      </c>
      <c r="C29897" s="16" t="n">
        <f aca="false">IF(C29886=0,0,C29853/C29886*MAX(0,MIN(C29886,$C$29788-SUM($C$29823:$C$29832)-C29875)))</f>
        <v>304.59375</v>
      </c>
    </row>
    <row r="29898" customFormat="false" ht="15" hidden="false" customHeight="false" outlineLevel="0" collapsed="false">
      <c r="A29898" s="3" t="s">
        <v>565</v>
      </c>
      <c r="C29898" s="16" t="n">
        <f aca="false">IF(C29887=0,0,C29854/C29887*MAX(0,MIN(C29887,$C$29788-SUM($C$29823:$C$29832)-C29876)))</f>
        <v>20.1124853346373</v>
      </c>
    </row>
    <row r="29899" customFormat="false" ht="15" hidden="false" customHeight="false" outlineLevel="0" collapsed="false">
      <c r="A29899" s="24" t="s">
        <v>575</v>
      </c>
      <c r="B29899" s="25"/>
      <c r="C29899" s="25"/>
      <c r="D29899" s="25"/>
      <c r="E29899" s="25"/>
      <c r="F29899" s="25"/>
      <c r="G29899" s="25"/>
      <c r="H29899" s="25"/>
      <c r="I29899" s="25"/>
      <c r="J29899" s="25"/>
      <c r="K29899" s="25"/>
    </row>
    <row r="29900" customFormat="false" ht="15" hidden="false" customHeight="false" outlineLevel="0" collapsed="false">
      <c r="A29900" s="2" t="s">
        <v>556</v>
      </c>
      <c r="C29900" s="17" t="n">
        <f aca="false">C29823+C29889</f>
        <v>403.76</v>
      </c>
    </row>
    <row r="29901" customFormat="false" ht="15" hidden="false" customHeight="false" outlineLevel="0" collapsed="false">
      <c r="A29901" s="2" t="s">
        <v>557</v>
      </c>
      <c r="C29901" s="17" t="n">
        <f aca="false">C29824+C29890</f>
        <v>85.1568504864</v>
      </c>
    </row>
    <row r="29902" customFormat="false" ht="15" hidden="false" customHeight="false" outlineLevel="0" collapsed="false">
      <c r="A29902" s="2" t="s">
        <v>558</v>
      </c>
      <c r="C29902" s="17" t="n">
        <f aca="false">C29825+C29891</f>
        <v>54.1907230368</v>
      </c>
    </row>
    <row r="29903" customFormat="false" ht="15" hidden="false" customHeight="false" outlineLevel="0" collapsed="false">
      <c r="A29903" s="2" t="s">
        <v>559</v>
      </c>
      <c r="C29903" s="17" t="n">
        <f aca="false">C29826+C29892</f>
        <v>0</v>
      </c>
    </row>
    <row r="29904" customFormat="false" ht="15" hidden="false" customHeight="false" outlineLevel="0" collapsed="false">
      <c r="A29904" s="2" t="s">
        <v>560</v>
      </c>
      <c r="C29904" s="17" t="n">
        <f aca="false">C29827+C29893</f>
        <v>439.249936942163</v>
      </c>
    </row>
    <row r="29905" customFormat="false" ht="15" hidden="false" customHeight="false" outlineLevel="0" collapsed="false">
      <c r="A29905" s="2" t="s">
        <v>561</v>
      </c>
      <c r="C29905" s="17" t="n">
        <f aca="false">C29828+C29894</f>
        <v>357.2625</v>
      </c>
    </row>
    <row r="29906" customFormat="false" ht="15" hidden="false" customHeight="false" outlineLevel="0" collapsed="false">
      <c r="A29906" s="2" t="s">
        <v>562</v>
      </c>
      <c r="C29906" s="17" t="n">
        <f aca="false">C29829+C29895</f>
        <v>562.203125</v>
      </c>
    </row>
    <row r="29907" customFormat="false" ht="15" hidden="false" customHeight="false" outlineLevel="0" collapsed="false">
      <c r="A29907" s="2" t="s">
        <v>563</v>
      </c>
      <c r="C29907" s="17" t="n">
        <f aca="false">C29830+C29896</f>
        <v>353.98125</v>
      </c>
    </row>
    <row r="29908" customFormat="false" ht="15" hidden="false" customHeight="false" outlineLevel="0" collapsed="false">
      <c r="A29908" s="2" t="s">
        <v>564</v>
      </c>
      <c r="C29908" s="17" t="n">
        <f aca="false">C29831+C29897</f>
        <v>304.59375</v>
      </c>
    </row>
    <row r="29909" customFormat="false" ht="15" hidden="false" customHeight="false" outlineLevel="0" collapsed="false">
      <c r="A29909" s="2" t="s">
        <v>565</v>
      </c>
      <c r="C29909" s="17" t="n">
        <f aca="false">C29832+C29898</f>
        <v>20.1124853346373</v>
      </c>
    </row>
    <row r="29910" customFormat="false" ht="15" hidden="false" customHeight="false" outlineLevel="0" collapsed="false">
      <c r="A29910" s="24" t="s">
        <v>576</v>
      </c>
      <c r="B29910" s="25"/>
      <c r="C29910" s="25"/>
      <c r="D29910" s="25"/>
      <c r="E29910" s="25"/>
      <c r="F29910" s="25"/>
      <c r="G29910" s="25"/>
      <c r="H29910" s="25"/>
      <c r="I29910" s="25"/>
      <c r="J29910" s="25"/>
      <c r="K29910" s="25"/>
    </row>
    <row r="29911" customFormat="false" ht="15" hidden="false" customHeight="false" outlineLevel="0" collapsed="false">
      <c r="A29911" s="3" t="s">
        <v>556</v>
      </c>
      <c r="C29911" s="22" t="n">
        <f aca="false">IF(C29790=0,1,C29900/C29790)</f>
        <v>1</v>
      </c>
    </row>
    <row r="29912" customFormat="false" ht="15" hidden="false" customHeight="false" outlineLevel="0" collapsed="false">
      <c r="A29912" s="3" t="s">
        <v>557</v>
      </c>
      <c r="C29912" s="22" t="n">
        <f aca="false">IF(C29791=0,1,C29901/C29791)</f>
        <v>0.932640622583639</v>
      </c>
    </row>
    <row r="29913" customFormat="false" ht="15" hidden="false" customHeight="false" outlineLevel="0" collapsed="false">
      <c r="A29913" s="3" t="s">
        <v>558</v>
      </c>
      <c r="C29913" s="22" t="n">
        <f aca="false">IF(C29792=0,1,C29902/C29792)</f>
        <v>0.928374871640695</v>
      </c>
    </row>
    <row r="29914" customFormat="false" ht="15" hidden="false" customHeight="false" outlineLevel="0" collapsed="false">
      <c r="A29914" s="3" t="s">
        <v>559</v>
      </c>
      <c r="C29914" s="22" t="n">
        <f aca="false">IF(C29793=0,1,C29903/C29793)</f>
        <v>1</v>
      </c>
    </row>
    <row r="29915" customFormat="false" ht="15" hidden="false" customHeight="false" outlineLevel="0" collapsed="false">
      <c r="A29915" s="3" t="s">
        <v>560</v>
      </c>
      <c r="C29915" s="22" t="n">
        <f aca="false">IF(C29794=0,1,C29904/C29794)</f>
        <v>1</v>
      </c>
    </row>
    <row r="29916" customFormat="false" ht="15" hidden="false" customHeight="false" outlineLevel="0" collapsed="false">
      <c r="A29916" s="3" t="s">
        <v>561</v>
      </c>
      <c r="C29916" s="22" t="n">
        <f aca="false">IF(C29795=0,1,C29905/C29795)</f>
        <v>1</v>
      </c>
    </row>
    <row r="29917" customFormat="false" ht="15" hidden="false" customHeight="false" outlineLevel="0" collapsed="false">
      <c r="A29917" s="3" t="s">
        <v>562</v>
      </c>
      <c r="C29917" s="22" t="n">
        <f aca="false">IF(C29796=0,1,C29906/C29796)</f>
        <v>1</v>
      </c>
    </row>
    <row r="29918" customFormat="false" ht="15" hidden="false" customHeight="false" outlineLevel="0" collapsed="false">
      <c r="A29918" s="3" t="s">
        <v>563</v>
      </c>
      <c r="C29918" s="22" t="n">
        <f aca="false">IF(C29797=0,1,C29907/C29797)</f>
        <v>1</v>
      </c>
    </row>
    <row r="29919" customFormat="false" ht="15" hidden="false" customHeight="false" outlineLevel="0" collapsed="false">
      <c r="A29919" s="3" t="s">
        <v>564</v>
      </c>
      <c r="C29919" s="22" t="n">
        <f aca="false">IF(C29798=0,1,C29908/C29798)</f>
        <v>1</v>
      </c>
    </row>
    <row r="29920" customFormat="false" ht="15" hidden="false" customHeight="false" outlineLevel="0" collapsed="false">
      <c r="A29920" s="3" t="s">
        <v>565</v>
      </c>
      <c r="C29920" s="22" t="n">
        <f aca="false">IF(C29799=0,1,C29909/C29799)</f>
        <v>0.250675046545511</v>
      </c>
    </row>
    <row r="29921" customFormat="false" ht="15" hidden="false" customHeight="false" outlineLevel="0" collapsed="false">
      <c r="A29921" s="24" t="s">
        <v>577</v>
      </c>
      <c r="B29921" s="25"/>
      <c r="C29921" s="25"/>
      <c r="D29921" s="25"/>
      <c r="E29921" s="25"/>
      <c r="F29921" s="25"/>
      <c r="G29921" s="25"/>
      <c r="H29921" s="25"/>
      <c r="I29921" s="25"/>
      <c r="J29921" s="25"/>
      <c r="K29921" s="25"/>
    </row>
    <row r="29922" customFormat="false" ht="15" hidden="false" customHeight="false" outlineLevel="0" collapsed="false">
      <c r="A29922" s="3" t="s">
        <v>556</v>
      </c>
      <c r="C29922" s="16" t="n">
        <f aca="false">C29790-C29900</f>
        <v>0</v>
      </c>
    </row>
    <row r="29923" customFormat="false" ht="15" hidden="false" customHeight="false" outlineLevel="0" collapsed="false">
      <c r="A29923" s="3" t="s">
        <v>557</v>
      </c>
      <c r="C29923" s="16" t="n">
        <f aca="false">C29791-C29901</f>
        <v>6.15039951360001</v>
      </c>
    </row>
    <row r="29924" customFormat="false" ht="15" hidden="false" customHeight="false" outlineLevel="0" collapsed="false">
      <c r="A29924" s="3" t="s">
        <v>558</v>
      </c>
      <c r="C29924" s="16" t="n">
        <f aca="false">C29792-C29902</f>
        <v>4.1808730632</v>
      </c>
    </row>
    <row r="29925" customFormat="false" ht="15" hidden="false" customHeight="false" outlineLevel="0" collapsed="false">
      <c r="A29925" s="3" t="s">
        <v>559</v>
      </c>
      <c r="C29925" s="16" t="n">
        <f aca="false">C29793-C29903</f>
        <v>0</v>
      </c>
    </row>
    <row r="29926" customFormat="false" ht="15" hidden="false" customHeight="false" outlineLevel="0" collapsed="false">
      <c r="A29926" s="3" t="s">
        <v>560</v>
      </c>
      <c r="C29926" s="16" t="n">
        <f aca="false">C29794-C29904</f>
        <v>0</v>
      </c>
    </row>
    <row r="29927" customFormat="false" ht="15" hidden="false" customHeight="false" outlineLevel="0" collapsed="false">
      <c r="A29927" s="3" t="s">
        <v>561</v>
      </c>
      <c r="C29927" s="16" t="n">
        <f aca="false">C29795-C29905</f>
        <v>0</v>
      </c>
    </row>
    <row r="29928" customFormat="false" ht="15" hidden="false" customHeight="false" outlineLevel="0" collapsed="false">
      <c r="A29928" s="3" t="s">
        <v>562</v>
      </c>
      <c r="C29928" s="16" t="n">
        <f aca="false">C29796-C29906</f>
        <v>0</v>
      </c>
    </row>
    <row r="29929" customFormat="false" ht="15" hidden="false" customHeight="false" outlineLevel="0" collapsed="false">
      <c r="A29929" s="3" t="s">
        <v>563</v>
      </c>
      <c r="C29929" s="16" t="n">
        <f aca="false">C29797-C29907</f>
        <v>0</v>
      </c>
    </row>
    <row r="29930" customFormat="false" ht="15" hidden="false" customHeight="false" outlineLevel="0" collapsed="false">
      <c r="A29930" s="3" t="s">
        <v>564</v>
      </c>
      <c r="C29930" s="16" t="n">
        <f aca="false">C29798-C29908</f>
        <v>0</v>
      </c>
    </row>
    <row r="29931" customFormat="false" ht="15" hidden="false" customHeight="false" outlineLevel="0" collapsed="false">
      <c r="A29931" s="3" t="s">
        <v>565</v>
      </c>
      <c r="C29931" s="16" t="n">
        <f aca="false">C29799-C29909</f>
        <v>60.1208111653627</v>
      </c>
    </row>
    <row r="29932" customFormat="false" ht="15" hidden="false" customHeight="false" outlineLevel="0" collapsed="false">
      <c r="A29932" s="24" t="s">
        <v>578</v>
      </c>
      <c r="B29932" s="25"/>
      <c r="C29932" s="25"/>
      <c r="D29932" s="25"/>
      <c r="E29932" s="25"/>
      <c r="F29932" s="25"/>
      <c r="G29932" s="25"/>
      <c r="H29932" s="25"/>
      <c r="I29932" s="25"/>
      <c r="J29932" s="25"/>
      <c r="K29932" s="25"/>
    </row>
    <row r="29933" customFormat="false" ht="15" hidden="false" customHeight="false" outlineLevel="0" collapsed="false">
      <c r="A29933" s="3" t="s">
        <v>556</v>
      </c>
      <c r="C29933" s="22" t="n">
        <f aca="false">IF(C29790=0,0,C29922/C29790)</f>
        <v>0</v>
      </c>
    </row>
    <row r="29934" customFormat="false" ht="15" hidden="false" customHeight="false" outlineLevel="0" collapsed="false">
      <c r="A29934" s="3" t="s">
        <v>557</v>
      </c>
      <c r="C29934" s="22" t="n">
        <f aca="false">IF(C29791=0,0,C29923/C29791)</f>
        <v>0.0673593774163608</v>
      </c>
    </row>
    <row r="29935" customFormat="false" ht="15" hidden="false" customHeight="false" outlineLevel="0" collapsed="false">
      <c r="A29935" s="3" t="s">
        <v>558</v>
      </c>
      <c r="C29935" s="22" t="n">
        <f aca="false">IF(C29792=0,0,C29924/C29792)</f>
        <v>0.0716251283593048</v>
      </c>
    </row>
    <row r="29936" customFormat="false" ht="15" hidden="false" customHeight="false" outlineLevel="0" collapsed="false">
      <c r="A29936" s="3" t="s">
        <v>559</v>
      </c>
      <c r="C29936" s="22" t="n">
        <f aca="false">IF(C29793=0,0,C29925/C29793)</f>
        <v>0</v>
      </c>
    </row>
    <row r="29937" customFormat="false" ht="15" hidden="false" customHeight="false" outlineLevel="0" collapsed="false">
      <c r="A29937" s="3" t="s">
        <v>560</v>
      </c>
      <c r="C29937" s="22" t="n">
        <f aca="false">IF(C29794=0,0,C29926/C29794)</f>
        <v>0</v>
      </c>
    </row>
    <row r="29938" customFormat="false" ht="15" hidden="false" customHeight="false" outlineLevel="0" collapsed="false">
      <c r="A29938" s="3" t="s">
        <v>561</v>
      </c>
      <c r="C29938" s="22" t="n">
        <f aca="false">IF(C29795=0,0,C29927/C29795)</f>
        <v>0</v>
      </c>
    </row>
    <row r="29939" customFormat="false" ht="15" hidden="false" customHeight="false" outlineLevel="0" collapsed="false">
      <c r="A29939" s="3" t="s">
        <v>562</v>
      </c>
      <c r="C29939" s="22" t="n">
        <f aca="false">IF(C29796=0,0,C29928/C29796)</f>
        <v>0</v>
      </c>
    </row>
    <row r="29940" customFormat="false" ht="15" hidden="false" customHeight="false" outlineLevel="0" collapsed="false">
      <c r="A29940" s="3" t="s">
        <v>563</v>
      </c>
      <c r="C29940" s="22" t="n">
        <f aca="false">IF(C29797=0,0,C29929/C29797)</f>
        <v>0</v>
      </c>
    </row>
    <row r="29941" customFormat="false" ht="15" hidden="false" customHeight="false" outlineLevel="0" collapsed="false">
      <c r="A29941" s="3" t="s">
        <v>564</v>
      </c>
      <c r="C29941" s="22" t="n">
        <f aca="false">IF(C29798=0,0,C29930/C29798)</f>
        <v>0</v>
      </c>
    </row>
    <row r="29942" customFormat="false" ht="15" hidden="false" customHeight="false" outlineLevel="0" collapsed="false">
      <c r="A29942" s="3" t="s">
        <v>565</v>
      </c>
      <c r="C29942" s="22" t="n">
        <f aca="false">IF(C29799=0,0,C29931/C29799)</f>
        <v>0.749324953454489</v>
      </c>
    </row>
    <row r="29943" customFormat="false" ht="15" hidden="false" customHeight="false" outlineLevel="0" collapsed="false">
      <c r="A29943" s="2" t="s">
        <v>579</v>
      </c>
      <c r="C29943" s="17" t="n">
        <f aca="false">MAX(0,$C$29788-SUM($C$29823:$C$29832)-SUM($C$29845:$C$29854))</f>
        <v>0</v>
      </c>
    </row>
    <row r="29944" customFormat="false" ht="15" hidden="false" customHeight="false" outlineLevel="0" collapsed="false">
      <c r="A29944" s="3" t="s">
        <v>580</v>
      </c>
      <c r="C29944" s="16" t="n">
        <f aca="false">SUM($C$29900:$C$29909)+C29943+C29787-C29786</f>
        <v>0</v>
      </c>
    </row>
    <row r="29946" customFormat="false" ht="15" hidden="false" customHeight="false" outlineLevel="0" collapsed="false">
      <c r="A29946" s="24" t="s">
        <v>583</v>
      </c>
      <c r="B29946" s="25"/>
      <c r="C29946" s="25"/>
      <c r="D29946" s="25"/>
      <c r="E29946" s="25"/>
      <c r="F29946" s="25"/>
      <c r="G29946" s="25"/>
      <c r="H29946" s="25"/>
      <c r="I29946" s="25"/>
      <c r="J29946" s="25"/>
      <c r="K29946" s="25"/>
    </row>
    <row r="29947" customFormat="false" ht="15" hidden="false" customHeight="false" outlineLevel="0" collapsed="false">
      <c r="A29947" s="3" t="s">
        <v>584</v>
      </c>
      <c r="C29947" s="27" t="n">
        <f aca="false">Assumptions!$C$34</f>
        <v>1</v>
      </c>
    </row>
    <row r="29948" customFormat="false" ht="15" hidden="false" customHeight="false" outlineLevel="0" collapsed="false">
      <c r="A29948" s="3" t="s">
        <v>585</v>
      </c>
      <c r="C29948" s="29" t="n">
        <f aca="false">Assumptions!$C$35</f>
        <v>100</v>
      </c>
    </row>
    <row r="29949" customFormat="false" ht="15" hidden="false" customHeight="false" outlineLevel="0" collapsed="false">
      <c r="A29949" s="3" t="s">
        <v>586</v>
      </c>
      <c r="C29949" s="40" t="n">
        <f aca="false">Assumptions!$C$36</f>
        <v>98</v>
      </c>
    </row>
    <row r="29950" customFormat="false" ht="15" hidden="false" customHeight="false" outlineLevel="0" collapsed="false">
      <c r="A29950" s="3" t="s">
        <v>587</v>
      </c>
      <c r="C29950" s="16" t="n">
        <f aca="false">C29948*C29949/100*(1+Assumptions!$C$37)</f>
        <v>98.49</v>
      </c>
    </row>
    <row r="29951" customFormat="false" ht="15" hidden="false" customHeight="false" outlineLevel="0" collapsed="false">
      <c r="A29951" s="3" t="s">
        <v>588</v>
      </c>
      <c r="C29951" s="27" t="n">
        <f aca="false">Assumptions!$C$38</f>
        <v>3</v>
      </c>
    </row>
    <row r="29952" customFormat="false" ht="15" hidden="false" customHeight="false" outlineLevel="0" collapsed="false">
      <c r="A29952" s="3" t="s">
        <v>589</v>
      </c>
      <c r="C29952" s="21" t="n">
        <f aca="false">IF(C29779=1,SUMPRODUCT($G$29715:$K$29715,$G$29489:$K$29489),0)</f>
        <v>2</v>
      </c>
    </row>
    <row r="29953" customFormat="false" ht="15" hidden="false" customHeight="false" outlineLevel="0" collapsed="false">
      <c r="A29953" s="3" t="s">
        <v>590</v>
      </c>
      <c r="C29953" s="22" t="n">
        <f aca="false">IFERROR(C29948/CHOOSE(C29947,SUMPRODUCT($G$29778:$K$29778,$G$29535:$K$29535),SUMPRODUCT($G$29778:$K$29778,$G$29548:$K$29548),SUMPRODUCT($G$29778:$K$29778,$G$29561:$K$29561),SUMPRODUCT($G$29778:$K$29778,$G$29574:$K$29574),SUMPRODUCT($G$29778:$K$29778,$G$29587:$K$29587),SUMPRODUCT($G$29778:$K$29778,$G$29600:$K$29600),SUMPRODUCT($G$29778:$K$29778,$G$29613:$K$29613),SUMPRODUCT($G$29778:$K$29778,$G$29626:$K$29626),SUMPRODUCT($G$29778:$K$29778,$G$29639:$K$29639),SUMPRODUCT($G$29778:$K$29778,$G$29652:$K$29652)),0)</f>
        <v>0.255102040816327</v>
      </c>
    </row>
    <row r="29954" customFormat="false" ht="15" hidden="false" customHeight="false" outlineLevel="0" collapsed="false">
      <c r="A29954" s="3" t="s">
        <v>591</v>
      </c>
      <c r="C29954" s="16" t="n">
        <f aca="false">CHOOSE(C29947,C29900,C29901,C29902,C29903,C29904,C29905,C29906,C29907,C29908,C29909)*C29953</f>
        <v>103</v>
      </c>
    </row>
    <row r="29955" customFormat="false" ht="15" hidden="false" customHeight="false" outlineLevel="0" collapsed="false">
      <c r="A29955" s="3" t="s">
        <v>592</v>
      </c>
      <c r="C29955" s="22" t="n">
        <f aca="false">CHOOSE(C29947,C29911,C29912,C29913,C29914,C29915,C29916,C29917,C29918,C29919,C29920)</f>
        <v>1</v>
      </c>
    </row>
    <row r="29956" customFormat="false" ht="15" hidden="false" customHeight="false" outlineLevel="0" collapsed="false">
      <c r="A29956" s="3" t="s">
        <v>593</v>
      </c>
      <c r="C29956" s="21" t="n">
        <f aca="false">IF(C29779=1,C29952,C29951)</f>
        <v>2</v>
      </c>
    </row>
    <row r="29957" customFormat="false" ht="15" hidden="false" customHeight="false" outlineLevel="0" collapsed="false">
      <c r="A29957" s="3" t="s">
        <v>594</v>
      </c>
      <c r="C29957" s="35" t="n">
        <f aca="false">CHOOSE($C$29481,Assumptions!$C$91,Assumptions!$C$110,Assumptions!$C$129)</f>
        <v>85</v>
      </c>
    </row>
    <row r="29958" customFormat="false" ht="15" hidden="false" customHeight="false" outlineLevel="0" collapsed="false">
      <c r="A29958" s="3" t="s">
        <v>595</v>
      </c>
      <c r="C29958" s="16" t="n">
        <f aca="false">INDEX($G$29498:$K$29498,C29951)*CHOOSE($C$29481,Assumptions!$C$90,Assumptions!$C$109,Assumptions!$C$128)+MAX(0,INDEX($G$29712:$K$29712,C29951))</f>
        <v>1633.40082545963</v>
      </c>
    </row>
    <row r="29959" customFormat="false" ht="15" hidden="false" customHeight="false" outlineLevel="0" collapsed="false">
      <c r="A29959" s="24" t="s">
        <v>596</v>
      </c>
      <c r="B29959" s="25"/>
      <c r="C29959" s="25"/>
      <c r="D29959" s="25"/>
      <c r="E29959" s="25"/>
      <c r="F29959" s="25"/>
      <c r="G29959" s="25"/>
      <c r="H29959" s="25"/>
      <c r="I29959" s="25"/>
      <c r="J29959" s="25"/>
      <c r="K29959" s="25"/>
    </row>
    <row r="29960" customFormat="false" ht="15" hidden="false" customHeight="false" outlineLevel="0" collapsed="false">
      <c r="A29960" s="3" t="s">
        <v>556</v>
      </c>
      <c r="C29960" s="16" t="n">
        <f aca="false">INDEX($G$29535:$K$29535,C29951)</f>
        <v>388</v>
      </c>
    </row>
    <row r="29961" customFormat="false" ht="15" hidden="false" customHeight="false" outlineLevel="0" collapsed="false">
      <c r="A29961" s="3" t="s">
        <v>557</v>
      </c>
      <c r="C29961" s="16" t="n">
        <f aca="false">INDEX($G$29548:$K$29548,C29951)</f>
        <v>90</v>
      </c>
    </row>
    <row r="29962" customFormat="false" ht="15" hidden="false" customHeight="false" outlineLevel="0" collapsed="false">
      <c r="A29962" s="3" t="s">
        <v>558</v>
      </c>
      <c r="C29962" s="16" t="n">
        <f aca="false">INDEX($G$29561:$K$29561,C29951)</f>
        <v>57.324</v>
      </c>
    </row>
    <row r="29963" customFormat="false" ht="15" hidden="false" customHeight="false" outlineLevel="0" collapsed="false">
      <c r="A29963" s="3" t="s">
        <v>559</v>
      </c>
      <c r="C29963" s="16" t="n">
        <f aca="false">INDEX($G$29574:$K$29574,C29951)</f>
        <v>0</v>
      </c>
    </row>
    <row r="29964" customFormat="false" ht="15" hidden="false" customHeight="false" outlineLevel="0" collapsed="false">
      <c r="A29964" s="3" t="s">
        <v>560</v>
      </c>
      <c r="C29964" s="16" t="n">
        <f aca="false">INDEX($G$29587:$K$29587,C29951)</f>
        <v>434.9547587</v>
      </c>
    </row>
    <row r="29965" customFormat="false" ht="15" hidden="false" customHeight="false" outlineLevel="0" collapsed="false">
      <c r="A29965" s="3" t="s">
        <v>561</v>
      </c>
      <c r="C29965" s="16" t="n">
        <f aca="false">INDEX($G$29600:$K$29600,C29951)</f>
        <v>350</v>
      </c>
    </row>
    <row r="29966" customFormat="false" ht="15" hidden="false" customHeight="false" outlineLevel="0" collapsed="false">
      <c r="A29966" s="3" t="s">
        <v>562</v>
      </c>
      <c r="C29966" s="16" t="n">
        <f aca="false">INDEX($G$29613:$K$29613,C29951)</f>
        <v>550</v>
      </c>
    </row>
    <row r="29967" customFormat="false" ht="15" hidden="false" customHeight="false" outlineLevel="0" collapsed="false">
      <c r="A29967" s="3" t="s">
        <v>563</v>
      </c>
      <c r="C29967" s="16" t="n">
        <f aca="false">INDEX($G$29626:$K$29626,C29951)</f>
        <v>350</v>
      </c>
    </row>
    <row r="29968" customFormat="false" ht="15" hidden="false" customHeight="false" outlineLevel="0" collapsed="false">
      <c r="A29968" s="3" t="s">
        <v>564</v>
      </c>
      <c r="C29968" s="16" t="n">
        <f aca="false">INDEX($G$29639:$K$29639,C29951)</f>
        <v>300</v>
      </c>
    </row>
    <row r="29969" customFormat="false" ht="15" hidden="false" customHeight="false" outlineLevel="0" collapsed="false">
      <c r="A29969" s="3" t="s">
        <v>565</v>
      </c>
      <c r="C29969" s="16" t="n">
        <f aca="false">INDEX($G$29652:$K$29652,C29951)</f>
        <v>78.61</v>
      </c>
    </row>
    <row r="29970" customFormat="false" ht="15" hidden="false" customHeight="false" outlineLevel="0" collapsed="false">
      <c r="A29970" s="24" t="s">
        <v>566</v>
      </c>
      <c r="B29970" s="25"/>
      <c r="C29970" s="25"/>
      <c r="D29970" s="25"/>
      <c r="E29970" s="25"/>
      <c r="F29970" s="25"/>
      <c r="G29970" s="25"/>
      <c r="H29970" s="25"/>
      <c r="I29970" s="25"/>
      <c r="J29970" s="25"/>
      <c r="K29970" s="25"/>
    </row>
    <row r="29971" customFormat="false" ht="15" hidden="false" customHeight="false" outlineLevel="0" collapsed="false">
      <c r="A29971" s="3" t="s">
        <v>556</v>
      </c>
      <c r="C29971" s="27" t="n">
        <f aca="false">Assumptions!$M$57</f>
        <v>1</v>
      </c>
    </row>
    <row r="29972" customFormat="false" ht="15" hidden="false" customHeight="false" outlineLevel="0" collapsed="false">
      <c r="A29972" s="3" t="s">
        <v>557</v>
      </c>
      <c r="C29972" s="27" t="n">
        <f aca="false">Assumptions!$M$58</f>
        <v>1</v>
      </c>
    </row>
    <row r="29973" customFormat="false" ht="15" hidden="false" customHeight="false" outlineLevel="0" collapsed="false">
      <c r="A29973" s="3" t="s">
        <v>558</v>
      </c>
      <c r="C29973" s="27" t="n">
        <f aca="false">Assumptions!$M$59</f>
        <v>1</v>
      </c>
    </row>
    <row r="29974" customFormat="false" ht="15" hidden="false" customHeight="false" outlineLevel="0" collapsed="false">
      <c r="A29974" s="3" t="s">
        <v>559</v>
      </c>
      <c r="C29974" s="27" t="n">
        <f aca="false">Assumptions!$M$60</f>
        <v>2</v>
      </c>
    </row>
    <row r="29975" customFormat="false" ht="15" hidden="false" customHeight="false" outlineLevel="0" collapsed="false">
      <c r="A29975" s="3" t="s">
        <v>560</v>
      </c>
      <c r="C29975" s="27" t="n">
        <f aca="false">Assumptions!$M$61</f>
        <v>2</v>
      </c>
    </row>
    <row r="29976" customFormat="false" ht="15" hidden="false" customHeight="false" outlineLevel="0" collapsed="false">
      <c r="A29976" s="3" t="s">
        <v>561</v>
      </c>
      <c r="C29976" s="27" t="n">
        <f aca="false">Assumptions!$M$62</f>
        <v>2</v>
      </c>
    </row>
    <row r="29977" customFormat="false" ht="15" hidden="false" customHeight="false" outlineLevel="0" collapsed="false">
      <c r="A29977" s="3" t="s">
        <v>562</v>
      </c>
      <c r="C29977" s="27" t="n">
        <f aca="false">Assumptions!$M$63</f>
        <v>2</v>
      </c>
    </row>
    <row r="29978" customFormat="false" ht="15" hidden="false" customHeight="false" outlineLevel="0" collapsed="false">
      <c r="A29978" s="3" t="s">
        <v>563</v>
      </c>
      <c r="C29978" s="27" t="n">
        <f aca="false">Assumptions!$M$64</f>
        <v>2</v>
      </c>
    </row>
    <row r="29979" customFormat="false" ht="15" hidden="false" customHeight="false" outlineLevel="0" collapsed="false">
      <c r="A29979" s="3" t="s">
        <v>564</v>
      </c>
      <c r="C29979" s="27" t="n">
        <f aca="false">Assumptions!$M$65</f>
        <v>2</v>
      </c>
    </row>
    <row r="29980" customFormat="false" ht="15" hidden="false" customHeight="false" outlineLevel="0" collapsed="false">
      <c r="A29980" s="3" t="s">
        <v>565</v>
      </c>
      <c r="C29980" s="27" t="n">
        <f aca="false">Assumptions!$M$66</f>
        <v>3</v>
      </c>
    </row>
    <row r="29981" customFormat="false" ht="15" hidden="false" customHeight="false" outlineLevel="0" collapsed="false">
      <c r="A29981" s="24" t="s">
        <v>567</v>
      </c>
      <c r="B29981" s="25"/>
      <c r="C29981" s="25"/>
      <c r="D29981" s="25"/>
      <c r="E29981" s="25"/>
      <c r="F29981" s="25"/>
      <c r="G29981" s="25"/>
      <c r="H29981" s="25"/>
      <c r="I29981" s="25"/>
      <c r="J29981" s="25"/>
      <c r="K29981" s="25"/>
    </row>
    <row r="29982" customFormat="false" ht="15" hidden="false" customHeight="false" outlineLevel="0" collapsed="false">
      <c r="A29982" s="3" t="s">
        <v>556</v>
      </c>
      <c r="C29982" s="33" t="n">
        <f aca="false">Assumptions!$Q$57</f>
        <v>0.3</v>
      </c>
    </row>
    <row r="29983" customFormat="false" ht="15" hidden="false" customHeight="false" outlineLevel="0" collapsed="false">
      <c r="A29983" s="3" t="s">
        <v>557</v>
      </c>
      <c r="C29983" s="33" t="n">
        <f aca="false">Assumptions!$Q$58</f>
        <v>0.033</v>
      </c>
    </row>
    <row r="29984" customFormat="false" ht="15" hidden="false" customHeight="false" outlineLevel="0" collapsed="false">
      <c r="A29984" s="3" t="s">
        <v>558</v>
      </c>
      <c r="C29984" s="33" t="n">
        <f aca="false">Assumptions!$Q$59</f>
        <v>0.021</v>
      </c>
    </row>
    <row r="29985" customFormat="false" ht="15" hidden="false" customHeight="false" outlineLevel="0" collapsed="false">
      <c r="A29985" s="3" t="s">
        <v>559</v>
      </c>
      <c r="C29985" s="33" t="n">
        <f aca="false">Assumptions!$Q$60</f>
        <v>0</v>
      </c>
    </row>
    <row r="29986" customFormat="false" ht="15" hidden="false" customHeight="false" outlineLevel="0" collapsed="false">
      <c r="A29986" s="3" t="s">
        <v>560</v>
      </c>
      <c r="C29986" s="33" t="n">
        <f aca="false">Assumptions!$Q$61</f>
        <v>0</v>
      </c>
    </row>
    <row r="29987" customFormat="false" ht="15" hidden="false" customHeight="false" outlineLevel="0" collapsed="false">
      <c r="A29987" s="3" t="s">
        <v>561</v>
      </c>
      <c r="C29987" s="33" t="n">
        <f aca="false">Assumptions!$Q$62</f>
        <v>0</v>
      </c>
    </row>
    <row r="29988" customFormat="false" ht="15" hidden="false" customHeight="false" outlineLevel="0" collapsed="false">
      <c r="A29988" s="3" t="s">
        <v>562</v>
      </c>
      <c r="C29988" s="33" t="n">
        <f aca="false">Assumptions!$Q$63</f>
        <v>0</v>
      </c>
    </row>
    <row r="29989" customFormat="false" ht="15" hidden="false" customHeight="false" outlineLevel="0" collapsed="false">
      <c r="A29989" s="3" t="s">
        <v>563</v>
      </c>
      <c r="C29989" s="33" t="n">
        <f aca="false">Assumptions!$Q$64</f>
        <v>0</v>
      </c>
    </row>
    <row r="29990" customFormat="false" ht="15" hidden="false" customHeight="false" outlineLevel="0" collapsed="false">
      <c r="A29990" s="3" t="s">
        <v>564</v>
      </c>
      <c r="C29990" s="33" t="n">
        <f aca="false">Assumptions!$Q$65</f>
        <v>0</v>
      </c>
    </row>
    <row r="29991" customFormat="false" ht="15" hidden="false" customHeight="false" outlineLevel="0" collapsed="false">
      <c r="A29991" s="3" t="s">
        <v>565</v>
      </c>
      <c r="C29991" s="33" t="n">
        <f aca="false">Assumptions!$Q$66</f>
        <v>0</v>
      </c>
    </row>
    <row r="29992" customFormat="false" ht="15" hidden="false" customHeight="false" outlineLevel="0" collapsed="false">
      <c r="A29992" s="24" t="s">
        <v>568</v>
      </c>
      <c r="B29992" s="25"/>
      <c r="C29992" s="25"/>
      <c r="D29992" s="25"/>
      <c r="E29992" s="25"/>
      <c r="F29992" s="25"/>
      <c r="G29992" s="25"/>
      <c r="H29992" s="25"/>
      <c r="I29992" s="25"/>
      <c r="J29992" s="25"/>
      <c r="K29992" s="25"/>
    </row>
    <row r="29993" customFormat="false" ht="15" hidden="false" customHeight="false" outlineLevel="0" collapsed="false">
      <c r="A29993" s="3" t="s">
        <v>556</v>
      </c>
      <c r="C29993" s="16" t="n">
        <f aca="false">IF(C29982&gt;0,MIN(C29960,C29982*$C$29958),0)</f>
        <v>388</v>
      </c>
    </row>
    <row r="29994" customFormat="false" ht="15" hidden="false" customHeight="false" outlineLevel="0" collapsed="false">
      <c r="A29994" s="3" t="s">
        <v>557</v>
      </c>
      <c r="C29994" s="16" t="n">
        <f aca="false">IF(C29983&gt;0,MIN(C29961,C29983*$C$29958),0)</f>
        <v>53.9022272401676</v>
      </c>
    </row>
    <row r="29995" customFormat="false" ht="15" hidden="false" customHeight="false" outlineLevel="0" collapsed="false">
      <c r="A29995" s="3" t="s">
        <v>558</v>
      </c>
      <c r="C29995" s="16" t="n">
        <f aca="false">IF(C29984&gt;0,MIN(C29962,C29984*$C$29958),0)</f>
        <v>34.3014173346521</v>
      </c>
    </row>
    <row r="29996" customFormat="false" ht="15" hidden="false" customHeight="false" outlineLevel="0" collapsed="false">
      <c r="A29996" s="3" t="s">
        <v>559</v>
      </c>
      <c r="C29996" s="16" t="n">
        <f aca="false">IF(C29985&gt;0,MIN(C29963,C29985*$C$29958),0)</f>
        <v>0</v>
      </c>
    </row>
    <row r="29997" customFormat="false" ht="15" hidden="false" customHeight="false" outlineLevel="0" collapsed="false">
      <c r="A29997" s="3" t="s">
        <v>560</v>
      </c>
      <c r="C29997" s="16" t="n">
        <f aca="false">IF(C29986&gt;0,MIN(C29964,C29986*$C$29958),0)</f>
        <v>0</v>
      </c>
    </row>
    <row r="29998" customFormat="false" ht="15" hidden="false" customHeight="false" outlineLevel="0" collapsed="false">
      <c r="A29998" s="3" t="s">
        <v>561</v>
      </c>
      <c r="C29998" s="16" t="n">
        <f aca="false">IF(C29987&gt;0,MIN(C29965,C29987*$C$29958),0)</f>
        <v>0</v>
      </c>
    </row>
    <row r="29999" customFormat="false" ht="15" hidden="false" customHeight="false" outlineLevel="0" collapsed="false">
      <c r="A29999" s="3" t="s">
        <v>562</v>
      </c>
      <c r="C29999" s="16" t="n">
        <f aca="false">IF(C29988&gt;0,MIN(C29966,C29988*$C$29958),0)</f>
        <v>0</v>
      </c>
    </row>
    <row r="30000" customFormat="false" ht="15" hidden="false" customHeight="false" outlineLevel="0" collapsed="false">
      <c r="A30000" s="3" t="s">
        <v>563</v>
      </c>
      <c r="C30000" s="16" t="n">
        <f aca="false">IF(C29989&gt;0,MIN(C29967,C29989*$C$29958),0)</f>
        <v>0</v>
      </c>
    </row>
    <row r="30001" customFormat="false" ht="15" hidden="false" customHeight="false" outlineLevel="0" collapsed="false">
      <c r="A30001" s="3" t="s">
        <v>564</v>
      </c>
      <c r="C30001" s="16" t="n">
        <f aca="false">IF(C29990&gt;0,MIN(C29968,C29990*$C$29958),0)</f>
        <v>0</v>
      </c>
    </row>
    <row r="30002" customFormat="false" ht="15" hidden="false" customHeight="false" outlineLevel="0" collapsed="false">
      <c r="A30002" s="3" t="s">
        <v>565</v>
      </c>
      <c r="C30002" s="16" t="n">
        <f aca="false">IF(C29991&gt;0,MIN(C29969,C29991*$C$29958),0)</f>
        <v>0</v>
      </c>
    </row>
    <row r="30003" customFormat="false" ht="15" hidden="false" customHeight="false" outlineLevel="0" collapsed="false">
      <c r="A30003" s="24" t="s">
        <v>569</v>
      </c>
      <c r="B30003" s="25"/>
      <c r="C30003" s="25"/>
      <c r="D30003" s="25"/>
      <c r="E30003" s="25"/>
      <c r="F30003" s="25"/>
      <c r="G30003" s="25"/>
      <c r="H30003" s="25"/>
      <c r="I30003" s="25"/>
      <c r="J30003" s="25"/>
      <c r="K30003" s="25"/>
    </row>
    <row r="30004" customFormat="false" ht="15" hidden="false" customHeight="false" outlineLevel="0" collapsed="false">
      <c r="A30004" s="3" t="s">
        <v>556</v>
      </c>
      <c r="C30004" s="16" t="n">
        <f aca="false">IF(C29982&gt;0,C29960-C29993,0)</f>
        <v>0</v>
      </c>
    </row>
    <row r="30005" customFormat="false" ht="15" hidden="false" customHeight="false" outlineLevel="0" collapsed="false">
      <c r="A30005" s="3" t="s">
        <v>557</v>
      </c>
      <c r="C30005" s="16" t="n">
        <f aca="false">IF(C29983&gt;0,C29961-C29994,0)</f>
        <v>36.0977727598324</v>
      </c>
    </row>
    <row r="30006" customFormat="false" ht="15" hidden="false" customHeight="false" outlineLevel="0" collapsed="false">
      <c r="A30006" s="3" t="s">
        <v>558</v>
      </c>
      <c r="C30006" s="16" t="n">
        <f aca="false">IF(C29984&gt;0,C29962-C29995,0)</f>
        <v>23.0225826653479</v>
      </c>
    </row>
    <row r="30007" customFormat="false" ht="15" hidden="false" customHeight="false" outlineLevel="0" collapsed="false">
      <c r="A30007" s="3" t="s">
        <v>559</v>
      </c>
      <c r="C30007" s="16" t="n">
        <f aca="false">IF(C29985&gt;0,C29963-C29996,0)</f>
        <v>0</v>
      </c>
    </row>
    <row r="30008" customFormat="false" ht="15" hidden="false" customHeight="false" outlineLevel="0" collapsed="false">
      <c r="A30008" s="3" t="s">
        <v>560</v>
      </c>
      <c r="C30008" s="16" t="n">
        <f aca="false">IF(C29986&gt;0,C29964-C29997,0)</f>
        <v>0</v>
      </c>
    </row>
    <row r="30009" customFormat="false" ht="15" hidden="false" customHeight="false" outlineLevel="0" collapsed="false">
      <c r="A30009" s="3" t="s">
        <v>561</v>
      </c>
      <c r="C30009" s="16" t="n">
        <f aca="false">IF(C29987&gt;0,C29965-C29998,0)</f>
        <v>0</v>
      </c>
    </row>
    <row r="30010" customFormat="false" ht="15" hidden="false" customHeight="false" outlineLevel="0" collapsed="false">
      <c r="A30010" s="3" t="s">
        <v>562</v>
      </c>
      <c r="C30010" s="16" t="n">
        <f aca="false">IF(C29988&gt;0,C29966-C29999,0)</f>
        <v>0</v>
      </c>
    </row>
    <row r="30011" customFormat="false" ht="15" hidden="false" customHeight="false" outlineLevel="0" collapsed="false">
      <c r="A30011" s="3" t="s">
        <v>563</v>
      </c>
      <c r="C30011" s="16" t="n">
        <f aca="false">IF(C29989&gt;0,C29967-C30000,0)</f>
        <v>0</v>
      </c>
    </row>
    <row r="30012" customFormat="false" ht="15" hidden="false" customHeight="false" outlineLevel="0" collapsed="false">
      <c r="A30012" s="3" t="s">
        <v>564</v>
      </c>
      <c r="C30012" s="16" t="n">
        <f aca="false">IF(C29990&gt;0,C29968-C30001,0)</f>
        <v>0</v>
      </c>
    </row>
    <row r="30013" customFormat="false" ht="15" hidden="false" customHeight="false" outlineLevel="0" collapsed="false">
      <c r="A30013" s="3" t="s">
        <v>565</v>
      </c>
      <c r="C30013" s="16" t="n">
        <f aca="false">IF(C29991&gt;0,C29969-C30002,0)</f>
        <v>0</v>
      </c>
    </row>
    <row r="30014" customFormat="false" ht="15" hidden="false" customHeight="false" outlineLevel="0" collapsed="false">
      <c r="A30014" s="24" t="s">
        <v>570</v>
      </c>
      <c r="B30014" s="25"/>
      <c r="C30014" s="25"/>
      <c r="D30014" s="25"/>
      <c r="E30014" s="25"/>
      <c r="F30014" s="25"/>
      <c r="G30014" s="25"/>
      <c r="H30014" s="25"/>
      <c r="I30014" s="25"/>
      <c r="J30014" s="25"/>
      <c r="K30014" s="25"/>
    </row>
    <row r="30015" customFormat="false" ht="15" hidden="false" customHeight="false" outlineLevel="0" collapsed="false">
      <c r="A30015" s="3" t="s">
        <v>556</v>
      </c>
      <c r="C30015" s="16" t="n">
        <f aca="false">IF(C29982&gt;0,C30004,C29960)</f>
        <v>0</v>
      </c>
    </row>
    <row r="30016" customFormat="false" ht="15" hidden="false" customHeight="false" outlineLevel="0" collapsed="false">
      <c r="A30016" s="3" t="s">
        <v>557</v>
      </c>
      <c r="C30016" s="16" t="n">
        <f aca="false">IF(C29983&gt;0,C30005,C29961)</f>
        <v>36.0977727598324</v>
      </c>
    </row>
    <row r="30017" customFormat="false" ht="15" hidden="false" customHeight="false" outlineLevel="0" collapsed="false">
      <c r="A30017" s="3" t="s">
        <v>558</v>
      </c>
      <c r="C30017" s="16" t="n">
        <f aca="false">IF(C29984&gt;0,C30006,C29962)</f>
        <v>23.0225826653479</v>
      </c>
    </row>
    <row r="30018" customFormat="false" ht="15" hidden="false" customHeight="false" outlineLevel="0" collapsed="false">
      <c r="A30018" s="3" t="s">
        <v>559</v>
      </c>
      <c r="C30018" s="16" t="n">
        <f aca="false">IF(C29985&gt;0,C30007,C29963)</f>
        <v>0</v>
      </c>
    </row>
    <row r="30019" customFormat="false" ht="15" hidden="false" customHeight="false" outlineLevel="0" collapsed="false">
      <c r="A30019" s="3" t="s">
        <v>560</v>
      </c>
      <c r="C30019" s="16" t="n">
        <f aca="false">IF(C29986&gt;0,C30008,C29964)</f>
        <v>434.9547587</v>
      </c>
    </row>
    <row r="30020" customFormat="false" ht="15" hidden="false" customHeight="false" outlineLevel="0" collapsed="false">
      <c r="A30020" s="3" t="s">
        <v>561</v>
      </c>
      <c r="C30020" s="16" t="n">
        <f aca="false">IF(C29987&gt;0,C30009,C29965)</f>
        <v>350</v>
      </c>
    </row>
    <row r="30021" customFormat="false" ht="15" hidden="false" customHeight="false" outlineLevel="0" collapsed="false">
      <c r="A30021" s="3" t="s">
        <v>562</v>
      </c>
      <c r="C30021" s="16" t="n">
        <f aca="false">IF(C29988&gt;0,C30010,C29966)</f>
        <v>550</v>
      </c>
    </row>
    <row r="30022" customFormat="false" ht="15" hidden="false" customHeight="false" outlineLevel="0" collapsed="false">
      <c r="A30022" s="3" t="s">
        <v>563</v>
      </c>
      <c r="C30022" s="16" t="n">
        <f aca="false">IF(C29989&gt;0,C30011,C29967)</f>
        <v>350</v>
      </c>
    </row>
    <row r="30023" customFormat="false" ht="15" hidden="false" customHeight="false" outlineLevel="0" collapsed="false">
      <c r="A30023" s="3" t="s">
        <v>564</v>
      </c>
      <c r="C30023" s="16" t="n">
        <f aca="false">IF(C29990&gt;0,C30012,C29968)</f>
        <v>300</v>
      </c>
    </row>
    <row r="30024" customFormat="false" ht="15" hidden="false" customHeight="false" outlineLevel="0" collapsed="false">
      <c r="A30024" s="3" t="s">
        <v>565</v>
      </c>
      <c r="C30024" s="16" t="n">
        <f aca="false">IF(C29991&gt;0,C30013,C29969)</f>
        <v>78.61</v>
      </c>
    </row>
    <row r="30025" customFormat="false" ht="15" hidden="false" customHeight="false" outlineLevel="0" collapsed="false">
      <c r="A30025" s="24" t="s">
        <v>571</v>
      </c>
      <c r="B30025" s="25"/>
      <c r="C30025" s="25"/>
      <c r="D30025" s="25"/>
      <c r="E30025" s="25"/>
      <c r="F30025" s="25"/>
      <c r="G30025" s="25"/>
      <c r="H30025" s="25"/>
      <c r="I30025" s="25"/>
      <c r="J30025" s="25"/>
      <c r="K30025" s="25"/>
    </row>
    <row r="30026" customFormat="false" ht="15" hidden="false" customHeight="false" outlineLevel="0" collapsed="false">
      <c r="A30026" s="3" t="s">
        <v>556</v>
      </c>
      <c r="C30026" s="21" t="n">
        <f aca="false">IF(C29982&gt;0,Assumptions!$C$17,C29971)</f>
        <v>99</v>
      </c>
    </row>
    <row r="30027" customFormat="false" ht="15" hidden="false" customHeight="false" outlineLevel="0" collapsed="false">
      <c r="A30027" s="3" t="s">
        <v>557</v>
      </c>
      <c r="C30027" s="21" t="n">
        <f aca="false">IF(C29983&gt;0,Assumptions!$C$17,C29972)</f>
        <v>99</v>
      </c>
    </row>
    <row r="30028" customFormat="false" ht="15" hidden="false" customHeight="false" outlineLevel="0" collapsed="false">
      <c r="A30028" s="3" t="s">
        <v>558</v>
      </c>
      <c r="C30028" s="21" t="n">
        <f aca="false">IF(C29984&gt;0,Assumptions!$C$17,C29973)</f>
        <v>99</v>
      </c>
    </row>
    <row r="30029" customFormat="false" ht="15" hidden="false" customHeight="false" outlineLevel="0" collapsed="false">
      <c r="A30029" s="3" t="s">
        <v>559</v>
      </c>
      <c r="C30029" s="21" t="n">
        <f aca="false">IF(C29985&gt;0,Assumptions!$C$17,C29974)</f>
        <v>2</v>
      </c>
    </row>
    <row r="30030" customFormat="false" ht="15" hidden="false" customHeight="false" outlineLevel="0" collapsed="false">
      <c r="A30030" s="3" t="s">
        <v>560</v>
      </c>
      <c r="C30030" s="21" t="n">
        <f aca="false">IF(C29986&gt;0,Assumptions!$C$17,C29975)</f>
        <v>2</v>
      </c>
    </row>
    <row r="30031" customFormat="false" ht="15" hidden="false" customHeight="false" outlineLevel="0" collapsed="false">
      <c r="A30031" s="3" t="s">
        <v>561</v>
      </c>
      <c r="C30031" s="21" t="n">
        <f aca="false">IF(C29987&gt;0,Assumptions!$C$17,C29976)</f>
        <v>2</v>
      </c>
    </row>
    <row r="30032" customFormat="false" ht="15" hidden="false" customHeight="false" outlineLevel="0" collapsed="false">
      <c r="A30032" s="3" t="s">
        <v>562</v>
      </c>
      <c r="C30032" s="21" t="n">
        <f aca="false">IF(C29988&gt;0,Assumptions!$C$17,C29977)</f>
        <v>2</v>
      </c>
    </row>
    <row r="30033" customFormat="false" ht="15" hidden="false" customHeight="false" outlineLevel="0" collapsed="false">
      <c r="A30033" s="3" t="s">
        <v>563</v>
      </c>
      <c r="C30033" s="21" t="n">
        <f aca="false">IF(C29989&gt;0,Assumptions!$C$17,C29978)</f>
        <v>2</v>
      </c>
    </row>
    <row r="30034" customFormat="false" ht="15" hidden="false" customHeight="false" outlineLevel="0" collapsed="false">
      <c r="A30034" s="3" t="s">
        <v>564</v>
      </c>
      <c r="C30034" s="21" t="n">
        <f aca="false">IF(C29990&gt;0,Assumptions!$C$17,C29979)</f>
        <v>2</v>
      </c>
    </row>
    <row r="30035" customFormat="false" ht="15" hidden="false" customHeight="false" outlineLevel="0" collapsed="false">
      <c r="A30035" s="3" t="s">
        <v>565</v>
      </c>
      <c r="C30035" s="21" t="n">
        <f aca="false">IF(C29991&gt;0,Assumptions!$C$17,C29980)</f>
        <v>3</v>
      </c>
    </row>
    <row r="30036" customFormat="false" ht="15" hidden="false" customHeight="false" outlineLevel="0" collapsed="false">
      <c r="A30036" s="24" t="s">
        <v>572</v>
      </c>
      <c r="B30036" s="25"/>
      <c r="C30036" s="25"/>
      <c r="D30036" s="25"/>
      <c r="E30036" s="25"/>
      <c r="F30036" s="25"/>
      <c r="G30036" s="25"/>
      <c r="H30036" s="25"/>
      <c r="I30036" s="25"/>
      <c r="J30036" s="25"/>
      <c r="K30036" s="25"/>
    </row>
    <row r="30037" customFormat="false" ht="15" hidden="false" customHeight="false" outlineLevel="0" collapsed="false">
      <c r="A30037" s="3" t="s">
        <v>556</v>
      </c>
      <c r="C30037" s="16" t="n">
        <f aca="false">SUMPRODUCT(($C$30026:$C$30035&lt;C30026)*$C$30015:$C$30024)</f>
        <v>2063.5647587</v>
      </c>
    </row>
    <row r="30038" customFormat="false" ht="15" hidden="false" customHeight="false" outlineLevel="0" collapsed="false">
      <c r="A30038" s="3" t="s">
        <v>557</v>
      </c>
      <c r="C30038" s="16" t="n">
        <f aca="false">SUMPRODUCT(($C$30026:$C$30035&lt;C30027)*$C$30015:$C$30024)</f>
        <v>2063.5647587</v>
      </c>
    </row>
    <row r="30039" customFormat="false" ht="15" hidden="false" customHeight="false" outlineLevel="0" collapsed="false">
      <c r="A30039" s="3" t="s">
        <v>558</v>
      </c>
      <c r="C30039" s="16" t="n">
        <f aca="false">SUMPRODUCT(($C$30026:$C$30035&lt;C30028)*$C$30015:$C$30024)</f>
        <v>2063.5647587</v>
      </c>
    </row>
    <row r="30040" customFormat="false" ht="15" hidden="false" customHeight="false" outlineLevel="0" collapsed="false">
      <c r="A30040" s="3" t="s">
        <v>559</v>
      </c>
      <c r="C30040" s="16" t="n">
        <f aca="false">SUMPRODUCT(($C$30026:$C$30035&lt;C30029)*$C$30015:$C$30024)</f>
        <v>0</v>
      </c>
    </row>
    <row r="30041" customFormat="false" ht="15" hidden="false" customHeight="false" outlineLevel="0" collapsed="false">
      <c r="A30041" s="3" t="s">
        <v>560</v>
      </c>
      <c r="C30041" s="16" t="n">
        <f aca="false">SUMPRODUCT(($C$30026:$C$30035&lt;C30030)*$C$30015:$C$30024)</f>
        <v>0</v>
      </c>
    </row>
    <row r="30042" customFormat="false" ht="15" hidden="false" customHeight="false" outlineLevel="0" collapsed="false">
      <c r="A30042" s="3" t="s">
        <v>561</v>
      </c>
      <c r="C30042" s="16" t="n">
        <f aca="false">SUMPRODUCT(($C$30026:$C$30035&lt;C30031)*$C$30015:$C$30024)</f>
        <v>0</v>
      </c>
    </row>
    <row r="30043" customFormat="false" ht="15" hidden="false" customHeight="false" outlineLevel="0" collapsed="false">
      <c r="A30043" s="3" t="s">
        <v>562</v>
      </c>
      <c r="C30043" s="16" t="n">
        <f aca="false">SUMPRODUCT(($C$30026:$C$30035&lt;C30032)*$C$30015:$C$30024)</f>
        <v>0</v>
      </c>
    </row>
    <row r="30044" customFormat="false" ht="15" hidden="false" customHeight="false" outlineLevel="0" collapsed="false">
      <c r="A30044" s="3" t="s">
        <v>563</v>
      </c>
      <c r="C30044" s="16" t="n">
        <f aca="false">SUMPRODUCT(($C$30026:$C$30035&lt;C30033)*$C$30015:$C$30024)</f>
        <v>0</v>
      </c>
    </row>
    <row r="30045" customFormat="false" ht="15" hidden="false" customHeight="false" outlineLevel="0" collapsed="false">
      <c r="A30045" s="3" t="s">
        <v>564</v>
      </c>
      <c r="C30045" s="16" t="n">
        <f aca="false">SUMPRODUCT(($C$30026:$C$30035&lt;C30034)*$C$30015:$C$30024)</f>
        <v>0</v>
      </c>
    </row>
    <row r="30046" customFormat="false" ht="15" hidden="false" customHeight="false" outlineLevel="0" collapsed="false">
      <c r="A30046" s="3" t="s">
        <v>565</v>
      </c>
      <c r="C30046" s="16" t="n">
        <f aca="false">SUMPRODUCT(($C$30026:$C$30035&lt;C30035)*$C$30015:$C$30024)</f>
        <v>1984.9547587</v>
      </c>
    </row>
    <row r="30047" customFormat="false" ht="15" hidden="false" customHeight="false" outlineLevel="0" collapsed="false">
      <c r="A30047" s="24" t="s">
        <v>573</v>
      </c>
      <c r="B30047" s="25"/>
      <c r="C30047" s="25"/>
      <c r="D30047" s="25"/>
      <c r="E30047" s="25"/>
      <c r="F30047" s="25"/>
      <c r="G30047" s="25"/>
      <c r="H30047" s="25"/>
      <c r="I30047" s="25"/>
      <c r="J30047" s="25"/>
      <c r="K30047" s="25"/>
    </row>
    <row r="30048" customFormat="false" ht="15" hidden="false" customHeight="false" outlineLevel="0" collapsed="false">
      <c r="A30048" s="3" t="s">
        <v>556</v>
      </c>
      <c r="C30048" s="16" t="n">
        <f aca="false">SUMPRODUCT(($C$30026:$C$30035=C30026)*$C$30015:$C$30024)</f>
        <v>59.1203554251802</v>
      </c>
    </row>
    <row r="30049" customFormat="false" ht="15" hidden="false" customHeight="false" outlineLevel="0" collapsed="false">
      <c r="A30049" s="3" t="s">
        <v>557</v>
      </c>
      <c r="C30049" s="16" t="n">
        <f aca="false">SUMPRODUCT(($C$30026:$C$30035=C30027)*$C$30015:$C$30024)</f>
        <v>59.1203554251802</v>
      </c>
    </row>
    <row r="30050" customFormat="false" ht="15" hidden="false" customHeight="false" outlineLevel="0" collapsed="false">
      <c r="A30050" s="3" t="s">
        <v>558</v>
      </c>
      <c r="C30050" s="16" t="n">
        <f aca="false">SUMPRODUCT(($C$30026:$C$30035=C30028)*$C$30015:$C$30024)</f>
        <v>59.1203554251802</v>
      </c>
    </row>
    <row r="30051" customFormat="false" ht="15" hidden="false" customHeight="false" outlineLevel="0" collapsed="false">
      <c r="A30051" s="3" t="s">
        <v>559</v>
      </c>
      <c r="C30051" s="16" t="n">
        <f aca="false">SUMPRODUCT(($C$30026:$C$30035=C30029)*$C$30015:$C$30024)</f>
        <v>1984.9547587</v>
      </c>
    </row>
    <row r="30052" customFormat="false" ht="15" hidden="false" customHeight="false" outlineLevel="0" collapsed="false">
      <c r="A30052" s="3" t="s">
        <v>560</v>
      </c>
      <c r="C30052" s="16" t="n">
        <f aca="false">SUMPRODUCT(($C$30026:$C$30035=C30030)*$C$30015:$C$30024)</f>
        <v>1984.9547587</v>
      </c>
    </row>
    <row r="30053" customFormat="false" ht="15" hidden="false" customHeight="false" outlineLevel="0" collapsed="false">
      <c r="A30053" s="3" t="s">
        <v>561</v>
      </c>
      <c r="C30053" s="16" t="n">
        <f aca="false">SUMPRODUCT(($C$30026:$C$30035=C30031)*$C$30015:$C$30024)</f>
        <v>1984.9547587</v>
      </c>
    </row>
    <row r="30054" customFormat="false" ht="15" hidden="false" customHeight="false" outlineLevel="0" collapsed="false">
      <c r="A30054" s="3" t="s">
        <v>562</v>
      </c>
      <c r="C30054" s="16" t="n">
        <f aca="false">SUMPRODUCT(($C$30026:$C$30035=C30032)*$C$30015:$C$30024)</f>
        <v>1984.9547587</v>
      </c>
    </row>
    <row r="30055" customFormat="false" ht="15" hidden="false" customHeight="false" outlineLevel="0" collapsed="false">
      <c r="A30055" s="3" t="s">
        <v>563</v>
      </c>
      <c r="C30055" s="16" t="n">
        <f aca="false">SUMPRODUCT(($C$30026:$C$30035=C30033)*$C$30015:$C$30024)</f>
        <v>1984.9547587</v>
      </c>
    </row>
    <row r="30056" customFormat="false" ht="15" hidden="false" customHeight="false" outlineLevel="0" collapsed="false">
      <c r="A30056" s="3" t="s">
        <v>564</v>
      </c>
      <c r="C30056" s="16" t="n">
        <f aca="false">SUMPRODUCT(($C$30026:$C$30035=C30034)*$C$30015:$C$30024)</f>
        <v>1984.9547587</v>
      </c>
    </row>
    <row r="30057" customFormat="false" ht="15" hidden="false" customHeight="false" outlineLevel="0" collapsed="false">
      <c r="A30057" s="3" t="s">
        <v>565</v>
      </c>
      <c r="C30057" s="16" t="n">
        <f aca="false">SUMPRODUCT(($C$30026:$C$30035=C30035)*$C$30015:$C$30024)</f>
        <v>78.61</v>
      </c>
    </row>
    <row r="30058" customFormat="false" ht="15" hidden="false" customHeight="false" outlineLevel="0" collapsed="false">
      <c r="A30058" s="24" t="s">
        <v>574</v>
      </c>
      <c r="B30058" s="25"/>
      <c r="C30058" s="25"/>
      <c r="D30058" s="25"/>
      <c r="E30058" s="25"/>
      <c r="F30058" s="25"/>
      <c r="G30058" s="25"/>
      <c r="H30058" s="25"/>
      <c r="I30058" s="25"/>
      <c r="J30058" s="25"/>
      <c r="K30058" s="25"/>
    </row>
    <row r="30059" customFormat="false" ht="15" hidden="false" customHeight="false" outlineLevel="0" collapsed="false">
      <c r="A30059" s="3" t="s">
        <v>556</v>
      </c>
      <c r="C30059" s="16" t="n">
        <f aca="false">IF(C30048=0,0,C30015/C30048*MAX(0,MIN(C30048,$C$29958-SUM($C$29993:$C$30002)-C30037)))</f>
        <v>0</v>
      </c>
    </row>
    <row r="30060" customFormat="false" ht="15" hidden="false" customHeight="false" outlineLevel="0" collapsed="false">
      <c r="A30060" s="3" t="s">
        <v>557</v>
      </c>
      <c r="C30060" s="16" t="n">
        <f aca="false">IF(C30049=0,0,C30016/C30049*MAX(0,MIN(C30049,$C$29958-SUM($C$29993:$C$30002)-C30038)))</f>
        <v>0</v>
      </c>
    </row>
    <row r="30061" customFormat="false" ht="15" hidden="false" customHeight="false" outlineLevel="0" collapsed="false">
      <c r="A30061" s="3" t="s">
        <v>558</v>
      </c>
      <c r="C30061" s="16" t="n">
        <f aca="false">IF(C30050=0,0,C30017/C30050*MAX(0,MIN(C30050,$C$29958-SUM($C$29993:$C$30002)-C30039)))</f>
        <v>0</v>
      </c>
    </row>
    <row r="30062" customFormat="false" ht="15" hidden="false" customHeight="false" outlineLevel="0" collapsed="false">
      <c r="A30062" s="3" t="s">
        <v>559</v>
      </c>
      <c r="C30062" s="16" t="n">
        <f aca="false">IF(C30051=0,0,C30018/C30051*MAX(0,MIN(C30051,$C$29958-SUM($C$29993:$C$30002)-C30040)))</f>
        <v>0</v>
      </c>
    </row>
    <row r="30063" customFormat="false" ht="15" hidden="false" customHeight="false" outlineLevel="0" collapsed="false">
      <c r="A30063" s="3" t="s">
        <v>560</v>
      </c>
      <c r="C30063" s="16" t="n">
        <f aca="false">IF(C30052=0,0,C30019/C30052*MAX(0,MIN(C30052,$C$29958-SUM($C$29993:$C$30002)-C30041)))</f>
        <v>253.571734254394</v>
      </c>
    </row>
    <row r="30064" customFormat="false" ht="15" hidden="false" customHeight="false" outlineLevel="0" collapsed="false">
      <c r="A30064" s="3" t="s">
        <v>561</v>
      </c>
      <c r="C30064" s="16" t="n">
        <f aca="false">IF(C30053=0,0,C30020/C30053*MAX(0,MIN(C30053,$C$29958-SUM($C$29993:$C$30002)-C30042)))</f>
        <v>204.044455690738</v>
      </c>
    </row>
    <row r="30065" customFormat="false" ht="15" hidden="false" customHeight="false" outlineLevel="0" collapsed="false">
      <c r="A30065" s="3" t="s">
        <v>562</v>
      </c>
      <c r="C30065" s="16" t="n">
        <f aca="false">IF(C30054=0,0,C30021/C30054*MAX(0,MIN(C30054,$C$29958-SUM($C$29993:$C$30002)-C30043)))</f>
        <v>320.641287514017</v>
      </c>
    </row>
    <row r="30066" customFormat="false" ht="15" hidden="false" customHeight="false" outlineLevel="0" collapsed="false">
      <c r="A30066" s="3" t="s">
        <v>563</v>
      </c>
      <c r="C30066" s="16" t="n">
        <f aca="false">IF(C30055=0,0,C30022/C30055*MAX(0,MIN(C30055,$C$29958-SUM($C$29993:$C$30002)-C30044)))</f>
        <v>204.044455690738</v>
      </c>
    </row>
    <row r="30067" customFormat="false" ht="15" hidden="false" customHeight="false" outlineLevel="0" collapsed="false">
      <c r="A30067" s="3" t="s">
        <v>564</v>
      </c>
      <c r="C30067" s="16" t="n">
        <f aca="false">IF(C30056=0,0,C30023/C30056*MAX(0,MIN(C30056,$C$29958-SUM($C$29993:$C$30002)-C30045)))</f>
        <v>174.895247734918</v>
      </c>
    </row>
    <row r="30068" customFormat="false" ht="15" hidden="false" customHeight="false" outlineLevel="0" collapsed="false">
      <c r="A30068" s="3" t="s">
        <v>565</v>
      </c>
      <c r="C30068" s="16" t="n">
        <f aca="false">IF(C30057=0,0,C30024/C30057*MAX(0,MIN(C30057,$C$29958-SUM($C$29993:$C$30002)-C30046)))</f>
        <v>0</v>
      </c>
    </row>
    <row r="30069" customFormat="false" ht="15" hidden="false" customHeight="false" outlineLevel="0" collapsed="false">
      <c r="A30069" s="24" t="s">
        <v>575</v>
      </c>
      <c r="B30069" s="25"/>
      <c r="C30069" s="25"/>
      <c r="D30069" s="25"/>
      <c r="E30069" s="25"/>
      <c r="F30069" s="25"/>
      <c r="G30069" s="25"/>
      <c r="H30069" s="25"/>
      <c r="I30069" s="25"/>
      <c r="J30069" s="25"/>
      <c r="K30069" s="25"/>
    </row>
    <row r="30070" customFormat="false" ht="15" hidden="false" customHeight="false" outlineLevel="0" collapsed="false">
      <c r="A30070" s="2" t="s">
        <v>556</v>
      </c>
      <c r="C30070" s="17" t="n">
        <f aca="false">C29993+C30059</f>
        <v>388</v>
      </c>
    </row>
    <row r="30071" customFormat="false" ht="15" hidden="false" customHeight="false" outlineLevel="0" collapsed="false">
      <c r="A30071" s="2" t="s">
        <v>557</v>
      </c>
      <c r="C30071" s="17" t="n">
        <f aca="false">C29994+C30060</f>
        <v>53.9022272401676</v>
      </c>
    </row>
    <row r="30072" customFormat="false" ht="15" hidden="false" customHeight="false" outlineLevel="0" collapsed="false">
      <c r="A30072" s="2" t="s">
        <v>558</v>
      </c>
      <c r="C30072" s="17" t="n">
        <f aca="false">C29995+C30061</f>
        <v>34.3014173346521</v>
      </c>
    </row>
    <row r="30073" customFormat="false" ht="15" hidden="false" customHeight="false" outlineLevel="0" collapsed="false">
      <c r="A30073" s="2" t="s">
        <v>559</v>
      </c>
      <c r="C30073" s="17" t="n">
        <f aca="false">C29996+C30062</f>
        <v>0</v>
      </c>
    </row>
    <row r="30074" customFormat="false" ht="15" hidden="false" customHeight="false" outlineLevel="0" collapsed="false">
      <c r="A30074" s="2" t="s">
        <v>560</v>
      </c>
      <c r="C30074" s="17" t="n">
        <f aca="false">C29997+C30063</f>
        <v>253.571734254394</v>
      </c>
    </row>
    <row r="30075" customFormat="false" ht="15" hidden="false" customHeight="false" outlineLevel="0" collapsed="false">
      <c r="A30075" s="2" t="s">
        <v>561</v>
      </c>
      <c r="C30075" s="17" t="n">
        <f aca="false">C29998+C30064</f>
        <v>204.044455690738</v>
      </c>
    </row>
    <row r="30076" customFormat="false" ht="15" hidden="false" customHeight="false" outlineLevel="0" collapsed="false">
      <c r="A30076" s="2" t="s">
        <v>562</v>
      </c>
      <c r="C30076" s="17" t="n">
        <f aca="false">C29999+C30065</f>
        <v>320.641287514017</v>
      </c>
    </row>
    <row r="30077" customFormat="false" ht="15" hidden="false" customHeight="false" outlineLevel="0" collapsed="false">
      <c r="A30077" s="2" t="s">
        <v>563</v>
      </c>
      <c r="C30077" s="17" t="n">
        <f aca="false">C30000+C30066</f>
        <v>204.044455690738</v>
      </c>
    </row>
    <row r="30078" customFormat="false" ht="15" hidden="false" customHeight="false" outlineLevel="0" collapsed="false">
      <c r="A30078" s="2" t="s">
        <v>564</v>
      </c>
      <c r="C30078" s="17" t="n">
        <f aca="false">C30001+C30067</f>
        <v>174.895247734918</v>
      </c>
    </row>
    <row r="30079" customFormat="false" ht="15" hidden="false" customHeight="false" outlineLevel="0" collapsed="false">
      <c r="A30079" s="2" t="s">
        <v>565</v>
      </c>
      <c r="C30079" s="17" t="n">
        <f aca="false">C30002+C30068</f>
        <v>0</v>
      </c>
    </row>
    <row r="30080" customFormat="false" ht="15" hidden="false" customHeight="false" outlineLevel="0" collapsed="false">
      <c r="A30080" s="24" t="s">
        <v>576</v>
      </c>
      <c r="B30080" s="25"/>
      <c r="C30080" s="25"/>
      <c r="D30080" s="25"/>
      <c r="E30080" s="25"/>
      <c r="F30080" s="25"/>
      <c r="G30080" s="25"/>
      <c r="H30080" s="25"/>
      <c r="I30080" s="25"/>
      <c r="J30080" s="25"/>
      <c r="K30080" s="25"/>
    </row>
    <row r="30081" customFormat="false" ht="15" hidden="false" customHeight="false" outlineLevel="0" collapsed="false">
      <c r="A30081" s="3" t="s">
        <v>556</v>
      </c>
      <c r="C30081" s="22" t="n">
        <f aca="false">IF(C29960=0,1,C30070/C29960)</f>
        <v>1</v>
      </c>
    </row>
    <row r="30082" customFormat="false" ht="15" hidden="false" customHeight="false" outlineLevel="0" collapsed="false">
      <c r="A30082" s="3" t="s">
        <v>557</v>
      </c>
      <c r="C30082" s="22" t="n">
        <f aca="false">IF(C29961=0,1,C30071/C29961)</f>
        <v>0.598913636001863</v>
      </c>
    </row>
    <row r="30083" customFormat="false" ht="15" hidden="false" customHeight="false" outlineLevel="0" collapsed="false">
      <c r="A30083" s="3" t="s">
        <v>558</v>
      </c>
      <c r="C30083" s="22" t="n">
        <f aca="false">IF(C29962=0,1,C30072/C29962)</f>
        <v>0.598377945269907</v>
      </c>
    </row>
    <row r="30084" customFormat="false" ht="15" hidden="false" customHeight="false" outlineLevel="0" collapsed="false">
      <c r="A30084" s="3" t="s">
        <v>559</v>
      </c>
      <c r="C30084" s="22" t="n">
        <f aca="false">IF(C29963=0,1,C30073/C29963)</f>
        <v>1</v>
      </c>
    </row>
    <row r="30085" customFormat="false" ht="15" hidden="false" customHeight="false" outlineLevel="0" collapsed="false">
      <c r="A30085" s="3" t="s">
        <v>560</v>
      </c>
      <c r="C30085" s="22" t="n">
        <f aca="false">IF(C29964=0,1,C30074/C29964)</f>
        <v>0.582984159116395</v>
      </c>
    </row>
    <row r="30086" customFormat="false" ht="15" hidden="false" customHeight="false" outlineLevel="0" collapsed="false">
      <c r="A30086" s="3" t="s">
        <v>561</v>
      </c>
      <c r="C30086" s="22" t="n">
        <f aca="false">IF(C29965=0,1,C30075/C29965)</f>
        <v>0.582984159116395</v>
      </c>
    </row>
    <row r="30087" customFormat="false" ht="15" hidden="false" customHeight="false" outlineLevel="0" collapsed="false">
      <c r="A30087" s="3" t="s">
        <v>562</v>
      </c>
      <c r="C30087" s="22" t="n">
        <f aca="false">IF(C29966=0,1,C30076/C29966)</f>
        <v>0.582984159116395</v>
      </c>
    </row>
    <row r="30088" customFormat="false" ht="15" hidden="false" customHeight="false" outlineLevel="0" collapsed="false">
      <c r="A30088" s="3" t="s">
        <v>563</v>
      </c>
      <c r="C30088" s="22" t="n">
        <f aca="false">IF(C29967=0,1,C30077/C29967)</f>
        <v>0.582984159116395</v>
      </c>
    </row>
    <row r="30089" customFormat="false" ht="15" hidden="false" customHeight="false" outlineLevel="0" collapsed="false">
      <c r="A30089" s="3" t="s">
        <v>564</v>
      </c>
      <c r="C30089" s="22" t="n">
        <f aca="false">IF(C29968=0,1,C30078/C29968)</f>
        <v>0.582984159116395</v>
      </c>
    </row>
    <row r="30090" customFormat="false" ht="15" hidden="false" customHeight="false" outlineLevel="0" collapsed="false">
      <c r="A30090" s="3" t="s">
        <v>565</v>
      </c>
      <c r="C30090" s="22" t="n">
        <f aca="false">IF(C29969=0,1,C30079/C29969)</f>
        <v>0</v>
      </c>
    </row>
    <row r="30091" customFormat="false" ht="15" hidden="false" customHeight="false" outlineLevel="0" collapsed="false">
      <c r="A30091" s="24" t="s">
        <v>577</v>
      </c>
      <c r="B30091" s="25"/>
      <c r="C30091" s="25"/>
      <c r="D30091" s="25"/>
      <c r="E30091" s="25"/>
      <c r="F30091" s="25"/>
      <c r="G30091" s="25"/>
      <c r="H30091" s="25"/>
      <c r="I30091" s="25"/>
      <c r="J30091" s="25"/>
      <c r="K30091" s="25"/>
    </row>
    <row r="30092" customFormat="false" ht="15" hidden="false" customHeight="false" outlineLevel="0" collapsed="false">
      <c r="A30092" s="3" t="s">
        <v>556</v>
      </c>
      <c r="C30092" s="16" t="n">
        <f aca="false">C29960-C30070</f>
        <v>0</v>
      </c>
    </row>
    <row r="30093" customFormat="false" ht="15" hidden="false" customHeight="false" outlineLevel="0" collapsed="false">
      <c r="A30093" s="3" t="s">
        <v>557</v>
      </c>
      <c r="C30093" s="16" t="n">
        <f aca="false">C29961-C30071</f>
        <v>36.0977727598324</v>
      </c>
    </row>
    <row r="30094" customFormat="false" ht="15" hidden="false" customHeight="false" outlineLevel="0" collapsed="false">
      <c r="A30094" s="3" t="s">
        <v>558</v>
      </c>
      <c r="C30094" s="16" t="n">
        <f aca="false">C29962-C30072</f>
        <v>23.0225826653479</v>
      </c>
    </row>
    <row r="30095" customFormat="false" ht="15" hidden="false" customHeight="false" outlineLevel="0" collapsed="false">
      <c r="A30095" s="3" t="s">
        <v>559</v>
      </c>
      <c r="C30095" s="16" t="n">
        <f aca="false">C29963-C30073</f>
        <v>0</v>
      </c>
    </row>
    <row r="30096" customFormat="false" ht="15" hidden="false" customHeight="false" outlineLevel="0" collapsed="false">
      <c r="A30096" s="3" t="s">
        <v>560</v>
      </c>
      <c r="C30096" s="16" t="n">
        <f aca="false">C29964-C30074</f>
        <v>181.383024445606</v>
      </c>
    </row>
    <row r="30097" customFormat="false" ht="15" hidden="false" customHeight="false" outlineLevel="0" collapsed="false">
      <c r="A30097" s="3" t="s">
        <v>561</v>
      </c>
      <c r="C30097" s="16" t="n">
        <f aca="false">C29965-C30075</f>
        <v>145.955544309262</v>
      </c>
    </row>
    <row r="30098" customFormat="false" ht="15" hidden="false" customHeight="false" outlineLevel="0" collapsed="false">
      <c r="A30098" s="3" t="s">
        <v>562</v>
      </c>
      <c r="C30098" s="16" t="n">
        <f aca="false">C29966-C30076</f>
        <v>229.358712485983</v>
      </c>
    </row>
    <row r="30099" customFormat="false" ht="15" hidden="false" customHeight="false" outlineLevel="0" collapsed="false">
      <c r="A30099" s="3" t="s">
        <v>563</v>
      </c>
      <c r="C30099" s="16" t="n">
        <f aca="false">C29967-C30077</f>
        <v>145.955544309262</v>
      </c>
    </row>
    <row r="30100" customFormat="false" ht="15" hidden="false" customHeight="false" outlineLevel="0" collapsed="false">
      <c r="A30100" s="3" t="s">
        <v>564</v>
      </c>
      <c r="C30100" s="16" t="n">
        <f aca="false">C29968-C30078</f>
        <v>125.104752265082</v>
      </c>
    </row>
    <row r="30101" customFormat="false" ht="15" hidden="false" customHeight="false" outlineLevel="0" collapsed="false">
      <c r="A30101" s="3" t="s">
        <v>565</v>
      </c>
      <c r="C30101" s="16" t="n">
        <f aca="false">C29969-C30079</f>
        <v>78.61</v>
      </c>
    </row>
    <row r="30102" customFormat="false" ht="15" hidden="false" customHeight="false" outlineLevel="0" collapsed="false">
      <c r="A30102" s="24" t="s">
        <v>578</v>
      </c>
      <c r="B30102" s="25"/>
      <c r="C30102" s="25"/>
      <c r="D30102" s="25"/>
      <c r="E30102" s="25"/>
      <c r="F30102" s="25"/>
      <c r="G30102" s="25"/>
      <c r="H30102" s="25"/>
      <c r="I30102" s="25"/>
      <c r="J30102" s="25"/>
      <c r="K30102" s="25"/>
    </row>
    <row r="30103" customFormat="false" ht="15" hidden="false" customHeight="false" outlineLevel="0" collapsed="false">
      <c r="A30103" s="3" t="s">
        <v>556</v>
      </c>
      <c r="C30103" s="22" t="n">
        <f aca="false">IF(C29960=0,0,C30092/C29960)</f>
        <v>0</v>
      </c>
    </row>
    <row r="30104" customFormat="false" ht="15" hidden="false" customHeight="false" outlineLevel="0" collapsed="false">
      <c r="A30104" s="3" t="s">
        <v>557</v>
      </c>
      <c r="C30104" s="22" t="n">
        <f aca="false">IF(C29961=0,0,C30093/C29961)</f>
        <v>0.401086363998137</v>
      </c>
    </row>
    <row r="30105" customFormat="false" ht="15" hidden="false" customHeight="false" outlineLevel="0" collapsed="false">
      <c r="A30105" s="3" t="s">
        <v>558</v>
      </c>
      <c r="C30105" s="22" t="n">
        <f aca="false">IF(C29962=0,0,C30094/C29962)</f>
        <v>0.401622054730093</v>
      </c>
    </row>
    <row r="30106" customFormat="false" ht="15" hidden="false" customHeight="false" outlineLevel="0" collapsed="false">
      <c r="A30106" s="3" t="s">
        <v>559</v>
      </c>
      <c r="C30106" s="22" t="n">
        <f aca="false">IF(C29963=0,0,C30095/C29963)</f>
        <v>0</v>
      </c>
    </row>
    <row r="30107" customFormat="false" ht="15" hidden="false" customHeight="false" outlineLevel="0" collapsed="false">
      <c r="A30107" s="3" t="s">
        <v>560</v>
      </c>
      <c r="C30107" s="22" t="n">
        <f aca="false">IF(C29964=0,0,C30096/C29964)</f>
        <v>0.417015840883605</v>
      </c>
    </row>
    <row r="30108" customFormat="false" ht="15" hidden="false" customHeight="false" outlineLevel="0" collapsed="false">
      <c r="A30108" s="3" t="s">
        <v>561</v>
      </c>
      <c r="C30108" s="22" t="n">
        <f aca="false">IF(C29965=0,0,C30097/C29965)</f>
        <v>0.417015840883605</v>
      </c>
    </row>
    <row r="30109" customFormat="false" ht="15" hidden="false" customHeight="false" outlineLevel="0" collapsed="false">
      <c r="A30109" s="3" t="s">
        <v>562</v>
      </c>
      <c r="C30109" s="22" t="n">
        <f aca="false">IF(C29966=0,0,C30098/C29966)</f>
        <v>0.417015840883605</v>
      </c>
    </row>
    <row r="30110" customFormat="false" ht="15" hidden="false" customHeight="false" outlineLevel="0" collapsed="false">
      <c r="A30110" s="3" t="s">
        <v>563</v>
      </c>
      <c r="C30110" s="22" t="n">
        <f aca="false">IF(C29967=0,0,C30099/C29967)</f>
        <v>0.417015840883605</v>
      </c>
    </row>
    <row r="30111" customFormat="false" ht="15" hidden="false" customHeight="false" outlineLevel="0" collapsed="false">
      <c r="A30111" s="3" t="s">
        <v>564</v>
      </c>
      <c r="C30111" s="22" t="n">
        <f aca="false">IF(C29968=0,0,C30100/C29968)</f>
        <v>0.417015840883605</v>
      </c>
    </row>
    <row r="30112" customFormat="false" ht="15" hidden="false" customHeight="false" outlineLevel="0" collapsed="false">
      <c r="A30112" s="3" t="s">
        <v>565</v>
      </c>
      <c r="C30112" s="22" t="n">
        <f aca="false">IF(C29969=0,0,C30101/C29969)</f>
        <v>1</v>
      </c>
    </row>
    <row r="30113" customFormat="false" ht="15" hidden="false" customHeight="false" outlineLevel="0" collapsed="false">
      <c r="A30113" s="2" t="s">
        <v>579</v>
      </c>
      <c r="C30113" s="17" t="n">
        <f aca="false">MAX(0,$C$29958-SUM($C$29993:$C$30002)-SUM($C$30015:$C$30024))</f>
        <v>0</v>
      </c>
    </row>
    <row r="30114" customFormat="false" ht="15" hidden="false" customHeight="false" outlineLevel="0" collapsed="false">
      <c r="A30114" s="3" t="s">
        <v>597</v>
      </c>
      <c r="C30114" s="35" t="n">
        <f aca="false">MIN(C29957,100*CHOOSE(C29947,C30081,C30082,C30083,C30084,C30085,C30086,C30087,C30088,C30089,C30090))</f>
        <v>85</v>
      </c>
    </row>
    <row r="30115" customFormat="false" ht="15" hidden="false" customHeight="false" outlineLevel="0" collapsed="false">
      <c r="A30115" s="3" t="s">
        <v>598</v>
      </c>
      <c r="C30115" s="21" t="n">
        <f aca="false">IF(C29779=1,C29952+Assumptions!$C$40,C29951)</f>
        <v>3</v>
      </c>
    </row>
    <row r="30116" customFormat="false" ht="15" hidden="false" customHeight="false" outlineLevel="0" collapsed="false">
      <c r="A30116" s="24" t="s">
        <v>599</v>
      </c>
      <c r="B30116" s="25"/>
      <c r="C30116" s="25"/>
      <c r="D30116" s="25"/>
      <c r="E30116" s="25"/>
      <c r="F30116" s="25"/>
      <c r="G30116" s="25"/>
      <c r="H30116" s="25"/>
      <c r="I30116" s="25"/>
      <c r="J30116" s="25"/>
      <c r="K30116" s="25"/>
    </row>
    <row r="30117" customFormat="false" ht="15" hidden="false" customHeight="false" outlineLevel="0" collapsed="false">
      <c r="A30117" s="3" t="s">
        <v>600</v>
      </c>
      <c r="C30117" s="21" t="n">
        <f aca="false">COLUMN()-COLUMN($C$1)</f>
        <v>0</v>
      </c>
      <c r="D30117" s="21" t="n">
        <f aca="false">COLUMN()-COLUMN($C$1)</f>
        <v>1</v>
      </c>
      <c r="E30117" s="21" t="n">
        <f aca="false">COLUMN()-COLUMN($C$1)</f>
        <v>2</v>
      </c>
      <c r="F30117" s="21" t="n">
        <f aca="false">COLUMN()-COLUMN($C$1)</f>
        <v>3</v>
      </c>
      <c r="G30117" s="21" t="n">
        <f aca="false">COLUMN()-COLUMN($C$1)</f>
        <v>4</v>
      </c>
      <c r="H30117" s="21" t="n">
        <f aca="false">COLUMN()-COLUMN($C$1)</f>
        <v>5</v>
      </c>
      <c r="I30117" s="21" t="n">
        <f aca="false">COLUMN()-COLUMN($C$1)</f>
        <v>6</v>
      </c>
    </row>
    <row r="30118" customFormat="false" ht="15" hidden="false" customHeight="false" outlineLevel="0" collapsed="false">
      <c r="A30118" s="3" t="s">
        <v>601</v>
      </c>
      <c r="D30118" s="31" t="n">
        <f aca="false">CHOOSE($C$29947,G29527,G29540,G29553,G29566,G29579,G29592,G29605,G29618,G29631,G29644)</f>
        <v>0.1215</v>
      </c>
      <c r="E30118" s="31" t="n">
        <f aca="false">CHOOSE($C$29947,H29527,H29540,H29553,H29566,H29579,H29592,H29605,H29618,H29631,H29644)</f>
        <v>0.12</v>
      </c>
      <c r="F30118" s="31" t="n">
        <f aca="false">CHOOSE($C$29947,I29527,I29540,I29553,I29566,I29579,I29592,I29605,I29618,I29631,I29644)</f>
        <v>0.1175</v>
      </c>
      <c r="G30118" s="31" t="n">
        <f aca="false">CHOOSE($C$29947,J29527,J29540,J29553,J29566,J29579,J29592,J29605,J29618,J29631,J29644)</f>
        <v>0.1175</v>
      </c>
      <c r="H30118" s="31" t="n">
        <f aca="false">CHOOSE($C$29947,K29527,K29540,K29553,K29566,K29579,K29592,K29605,K29618,K29631,K29644)</f>
        <v>0.1175</v>
      </c>
    </row>
    <row r="30119" customFormat="false" ht="15" hidden="false" customHeight="false" outlineLevel="0" collapsed="false">
      <c r="A30119" s="3" t="s">
        <v>602</v>
      </c>
      <c r="D30119" s="16" t="n">
        <f aca="false">IF(D30117&lt;=$C$29956,$C$29948*D30118,0)</f>
        <v>12.15</v>
      </c>
      <c r="E30119" s="16" t="n">
        <f aca="false">IF(E30117&lt;=$C$29956,$C$29948*E30118,0)</f>
        <v>12</v>
      </c>
      <c r="F30119" s="16" t="n">
        <f aca="false">IF(F30117&lt;=$C$29956,$C$29948*F30118,0)</f>
        <v>0</v>
      </c>
      <c r="G30119" s="16" t="n">
        <f aca="false">IF(G30117&lt;=$C$29956,$C$29948*G30118,0)</f>
        <v>0</v>
      </c>
      <c r="H30119" s="16" t="n">
        <f aca="false">IF(H30117&lt;=$C$29956,$C$29948*H30118,0)</f>
        <v>0</v>
      </c>
    </row>
    <row r="30120" customFormat="false" ht="15" hidden="false" customHeight="false" outlineLevel="0" collapsed="false">
      <c r="A30120" s="3" t="s">
        <v>603</v>
      </c>
      <c r="D30120" s="16" t="n">
        <f aca="false">IF(AND($C$29779=0,D30117=$C$29951),$C$29948*$C$30114/100,0)+IF(AND($C$29779=1,D30117=$C$30115),$C$29954,0)</f>
        <v>0</v>
      </c>
      <c r="E30120" s="16" t="n">
        <f aca="false">IF(AND($C$29779=0,E30117=$C$29951),$C$29948*$C$30114/100,0)+IF(AND($C$29779=1,E30117=$C$30115),$C$29954,0)</f>
        <v>0</v>
      </c>
      <c r="F30120" s="16" t="n">
        <f aca="false">IF(AND($C$29779=0,F30117=$C$29951),$C$29948*$C$30114/100,0)+IF(AND($C$29779=1,F30117=$C$30115),$C$29954,0)</f>
        <v>103</v>
      </c>
      <c r="G30120" s="16" t="n">
        <f aca="false">IF(AND($C$29779=0,G30117=$C$29951),$C$29948*$C$30114/100,0)+IF(AND($C$29779=1,G30117=$C$30115),$C$29954,0)</f>
        <v>0</v>
      </c>
      <c r="H30120" s="16" t="n">
        <f aca="false">IF(AND($C$29779=0,H30117=$C$29951),$C$29948*$C$30114/100,0)+IF(AND($C$29779=1,H30117=$C$30115),$C$29954,0)</f>
        <v>0</v>
      </c>
      <c r="I30120" s="16" t="n">
        <f aca="false">IF(AND($C$29779=0,I30117=$C$29951),$C$29948*$C$30114/100,0)+IF(AND($C$29779=1,I30117=$C$30115),$C$29954,0)</f>
        <v>0</v>
      </c>
    </row>
    <row r="30121" customFormat="false" ht="15" hidden="false" customHeight="false" outlineLevel="0" collapsed="false">
      <c r="A30121" s="2" t="s">
        <v>604</v>
      </c>
      <c r="C30121" s="17" t="n">
        <f aca="false">-$C$29950</f>
        <v>-98.49</v>
      </c>
      <c r="D30121" s="17" t="n">
        <f aca="false">D30119+D30120</f>
        <v>12.15</v>
      </c>
      <c r="E30121" s="17" t="n">
        <f aca="false">E30119+E30120</f>
        <v>12</v>
      </c>
      <c r="F30121" s="17" t="n">
        <f aca="false">F30119+F30120</f>
        <v>103</v>
      </c>
      <c r="G30121" s="17" t="n">
        <f aca="false">G30119+G30120</f>
        <v>0</v>
      </c>
      <c r="H30121" s="17" t="n">
        <f aca="false">H30119+H30120</f>
        <v>0</v>
      </c>
      <c r="I30121" s="17" t="n">
        <f aca="false">I30119+I30120</f>
        <v>0</v>
      </c>
    </row>
    <row r="30122" customFormat="false" ht="15" hidden="false" customHeight="false" outlineLevel="0" collapsed="false">
      <c r="A30122" s="3" t="s">
        <v>605</v>
      </c>
      <c r="C30122" s="16" t="n">
        <f aca="false">SUM($C$30119:$I$30119)</f>
        <v>24.15</v>
      </c>
    </row>
    <row r="30123" customFormat="false" ht="15" hidden="false" customHeight="false" outlineLevel="0" collapsed="false">
      <c r="A30123" s="3" t="s">
        <v>606</v>
      </c>
      <c r="C30123" s="16" t="n">
        <f aca="false">SUM($C$30120:$I$30120)</f>
        <v>103</v>
      </c>
    </row>
    <row r="30124" customFormat="false" ht="15" hidden="false" customHeight="false" outlineLevel="0" collapsed="false">
      <c r="A30124" s="3" t="s">
        <v>607</v>
      </c>
      <c r="C30124" s="16" t="n">
        <f aca="false">C30122+C30123</f>
        <v>127.15</v>
      </c>
    </row>
    <row r="30125" customFormat="false" ht="15" hidden="false" customHeight="false" outlineLevel="0" collapsed="false">
      <c r="A30125" s="3" t="s">
        <v>608</v>
      </c>
      <c r="C30125" s="16" t="n">
        <f aca="false">C30123-C29948*C29949/100</f>
        <v>5</v>
      </c>
    </row>
    <row r="30126" customFormat="false" ht="15" hidden="false" customHeight="false" outlineLevel="0" collapsed="false">
      <c r="A30126" s="3" t="s">
        <v>609</v>
      </c>
      <c r="C30126" s="16" t="n">
        <f aca="false">C30124-C29950</f>
        <v>28.66</v>
      </c>
    </row>
    <row r="30127" customFormat="false" ht="15" hidden="false" customHeight="false" outlineLevel="0" collapsed="false">
      <c r="A30127" s="2" t="s">
        <v>484</v>
      </c>
      <c r="C30127" s="44" t="n">
        <f aca="false">C30124/C29950</f>
        <v>1.29099400954412</v>
      </c>
    </row>
    <row r="30128" customFormat="false" ht="15" hidden="false" customHeight="false" outlineLevel="0" collapsed="false">
      <c r="A30128" s="2" t="s">
        <v>483</v>
      </c>
      <c r="C30128" s="42" t="n">
        <f aca="false">IF(C30124&lt;=0,-1,IFERROR(IRR($C$30121:$I$30121,MAX(-0.9,C30127^(1/C30115)-1)),IRR($C$30121:$I$30121,0.1)))</f>
        <v>0.0994077590660149</v>
      </c>
    </row>
    <row r="30129" customFormat="false" ht="15" hidden="false" customHeight="false" outlineLevel="0" collapsed="false">
      <c r="A30129" s="3" t="s">
        <v>610</v>
      </c>
      <c r="C30129" s="32" t="n">
        <f aca="false">MAX($G$29723:$K$29723)</f>
        <v>15.7734539449449</v>
      </c>
    </row>
    <row r="30130" customFormat="false" ht="15" hidden="false" customHeight="false" outlineLevel="0" collapsed="false">
      <c r="A30130" s="3" t="s">
        <v>611</v>
      </c>
      <c r="C30130" s="32" t="n">
        <f aca="false">MIN($G$29724:$K$29724)</f>
        <v>0.899631625108658</v>
      </c>
    </row>
    <row r="30131" customFormat="false" ht="15" hidden="false" customHeight="false" outlineLevel="0" collapsed="false">
      <c r="A30131" s="3" t="s">
        <v>612</v>
      </c>
      <c r="C30131" s="16" t="n">
        <f aca="false">SUM($G$29511:$K$29511)</f>
        <v>-319.393886227031</v>
      </c>
    </row>
    <row r="30135" customFormat="false" ht="15" hidden="false" customHeight="false" outlineLevel="0" collapsed="false">
      <c r="A30135" s="9" t="s">
        <v>1176</v>
      </c>
      <c r="B30135" s="10"/>
      <c r="C30135" s="10"/>
      <c r="D30135" s="10"/>
      <c r="E30135" s="10"/>
      <c r="F30135" s="10"/>
      <c r="G30135" s="10"/>
      <c r="H30135" s="10"/>
      <c r="I30135" s="10"/>
      <c r="J30135" s="10"/>
      <c r="K30135" s="10"/>
    </row>
    <row r="30136" customFormat="false" ht="15" hidden="false" customHeight="false" outlineLevel="0" collapsed="false">
      <c r="A30136" s="3" t="s">
        <v>1126</v>
      </c>
      <c r="C30136" s="11" t="n">
        <v>3</v>
      </c>
    </row>
    <row r="30137" customFormat="false" ht="15" hidden="false" customHeight="false" outlineLevel="0" collapsed="false">
      <c r="A30137" s="3" t="s">
        <v>1127</v>
      </c>
      <c r="C30137" s="19" t="n">
        <v>0</v>
      </c>
    </row>
    <row r="30138" customFormat="false" ht="15" hidden="false" customHeight="false" outlineLevel="0" collapsed="false">
      <c r="A30138" s="3" t="s">
        <v>1128</v>
      </c>
      <c r="C30138" s="19" t="n">
        <v>0</v>
      </c>
    </row>
    <row r="30139" customFormat="false" ht="15" hidden="false" customHeight="false" outlineLevel="0" collapsed="false">
      <c r="A30139" s="3" t="s">
        <v>1129</v>
      </c>
      <c r="C30139" s="30" t="n">
        <f aca="false">Sensitivities!$A$53</f>
        <v>0.01</v>
      </c>
    </row>
    <row r="30140" customFormat="false" ht="15" hidden="false" customHeight="false" outlineLevel="0" collapsed="false">
      <c r="A30140" s="3" t="s">
        <v>1130</v>
      </c>
      <c r="C30140" s="15" t="n">
        <v>0</v>
      </c>
    </row>
    <row r="30142" customFormat="false" ht="15" hidden="false" customHeight="false" outlineLevel="0" collapsed="false">
      <c r="A30142" s="24" t="s">
        <v>301</v>
      </c>
      <c r="B30142" s="25"/>
      <c r="C30142" s="25"/>
      <c r="D30142" s="25"/>
      <c r="E30142" s="25"/>
      <c r="F30142" s="25"/>
      <c r="G30142" s="25"/>
      <c r="H30142" s="25"/>
      <c r="I30142" s="25"/>
      <c r="J30142" s="25"/>
      <c r="K30142" s="25"/>
    </row>
    <row r="30143" customFormat="false" ht="15" hidden="false" customHeight="false" outlineLevel="0" collapsed="false">
      <c r="A30143" s="3" t="s">
        <v>302</v>
      </c>
      <c r="F30143" s="27" t="n">
        <f aca="false">Assumptions!$C$6</f>
        <v>2026</v>
      </c>
      <c r="G30143" s="21" t="n">
        <f aca="false">F30143+1</f>
        <v>2027</v>
      </c>
      <c r="H30143" s="21" t="n">
        <f aca="false">G30143+1</f>
        <v>2028</v>
      </c>
      <c r="I30143" s="21" t="n">
        <f aca="false">H30143+1</f>
        <v>2029</v>
      </c>
      <c r="J30143" s="21" t="n">
        <f aca="false">I30143+1</f>
        <v>2030</v>
      </c>
      <c r="K30143" s="21" t="n">
        <f aca="false">J30143+1</f>
        <v>2031</v>
      </c>
    </row>
    <row r="30144" customFormat="false" ht="15" hidden="false" customHeight="false" outlineLevel="0" collapsed="false">
      <c r="A30144" s="3" t="s">
        <v>303</v>
      </c>
      <c r="G30144" s="21" t="n">
        <f aca="false">G30143-Assumptions!$C$6</f>
        <v>1</v>
      </c>
      <c r="H30144" s="21" t="n">
        <f aca="false">H30143-Assumptions!$C$6</f>
        <v>2</v>
      </c>
      <c r="I30144" s="21" t="n">
        <f aca="false">I30143-Assumptions!$C$6</f>
        <v>3</v>
      </c>
      <c r="J30144" s="21" t="n">
        <f aca="false">J30143-Assumptions!$C$6</f>
        <v>4</v>
      </c>
      <c r="K30144" s="21" t="n">
        <f aca="false">K30143-Assumptions!$C$6</f>
        <v>5</v>
      </c>
    </row>
    <row r="30145" customFormat="false" ht="15" hidden="false" customHeight="false" outlineLevel="0" collapsed="false">
      <c r="A30145" s="3" t="s">
        <v>180</v>
      </c>
      <c r="G30145" s="22" t="n">
        <f aca="false">CHOOSE($C$30136,Assumptions!$G$79,Assumptions!$G$98,Assumptions!$G$117)+$C$30137</f>
        <v>-0.1</v>
      </c>
      <c r="H30145" s="22" t="n">
        <f aca="false">CHOOSE($C$30136,Assumptions!$H$79,Assumptions!$H$98,Assumptions!$H$117)+$C$30137</f>
        <v>-0.07</v>
      </c>
      <c r="I30145" s="22" t="n">
        <f aca="false">CHOOSE($C$30136,Assumptions!$I$79,Assumptions!$I$98,Assumptions!$I$117)+$C$30137</f>
        <v>-0.03</v>
      </c>
      <c r="J30145" s="22" t="n">
        <f aca="false">CHOOSE($C$30136,Assumptions!$J$79,Assumptions!$J$98,Assumptions!$J$117)+$C$30137</f>
        <v>0</v>
      </c>
      <c r="K30145" s="22" t="n">
        <f aca="false">CHOOSE($C$30136,Assumptions!$K$79,Assumptions!$K$98,Assumptions!$K$117)+$C$30137</f>
        <v>0.01</v>
      </c>
    </row>
    <row r="30146" customFormat="false" ht="15" hidden="false" customHeight="false" outlineLevel="0" collapsed="false">
      <c r="A30146" s="3" t="s">
        <v>181</v>
      </c>
      <c r="G30146" s="22" t="n">
        <f aca="false">CHOOSE($C$30136,Assumptions!$G$80,Assumptions!$G$99,Assumptions!$G$118)</f>
        <v>0.533920660818678</v>
      </c>
      <c r="H30146" s="22" t="n">
        <f aca="false">CHOOSE($C$30136,Assumptions!$H$80,Assumptions!$H$99,Assumptions!$H$118)</f>
        <v>0.503920660818678</v>
      </c>
      <c r="I30146" s="22" t="n">
        <f aca="false">CHOOSE($C$30136,Assumptions!$I$80,Assumptions!$I$99,Assumptions!$I$118)</f>
        <v>0.498920660818678</v>
      </c>
      <c r="J30146" s="22" t="n">
        <f aca="false">CHOOSE($C$30136,Assumptions!$J$80,Assumptions!$J$99,Assumptions!$J$118)</f>
        <v>0.503920660818678</v>
      </c>
      <c r="K30146" s="22" t="n">
        <f aca="false">CHOOSE($C$30136,Assumptions!$K$80,Assumptions!$K$99,Assumptions!$K$118)</f>
        <v>0.513920660818678</v>
      </c>
    </row>
    <row r="30147" customFormat="false" ht="15" hidden="false" customHeight="false" outlineLevel="0" collapsed="false">
      <c r="A30147" s="3" t="s">
        <v>182</v>
      </c>
      <c r="G30147" s="22" t="n">
        <f aca="false">CHOOSE($C$30136,Assumptions!$G$81,Assumptions!$G$100,Assumptions!$G$119)+$C$30138</f>
        <v>0.46</v>
      </c>
      <c r="H30147" s="22" t="n">
        <f aca="false">CHOOSE($C$30136,Assumptions!$H$81,Assumptions!$H$100,Assumptions!$H$119)+$C$30138</f>
        <v>0.43</v>
      </c>
      <c r="I30147" s="22" t="n">
        <f aca="false">CHOOSE($C$30136,Assumptions!$I$81,Assumptions!$I$100,Assumptions!$I$119)+$C$30138</f>
        <v>0.425</v>
      </c>
      <c r="J30147" s="22" t="n">
        <f aca="false">CHOOSE($C$30136,Assumptions!$J$81,Assumptions!$J$100,Assumptions!$J$119)+$C$30138</f>
        <v>0.43</v>
      </c>
      <c r="K30147" s="22" t="n">
        <f aca="false">CHOOSE($C$30136,Assumptions!$K$81,Assumptions!$K$100,Assumptions!$K$119)+$C$30138</f>
        <v>0.44</v>
      </c>
    </row>
    <row r="30148" customFormat="false" ht="15" hidden="false" customHeight="false" outlineLevel="0" collapsed="false">
      <c r="A30148" s="24" t="s">
        <v>304</v>
      </c>
      <c r="B30148" s="25"/>
      <c r="C30148" s="25"/>
      <c r="D30148" s="25"/>
      <c r="E30148" s="25"/>
      <c r="F30148" s="25"/>
      <c r="G30148" s="25"/>
      <c r="H30148" s="25"/>
      <c r="I30148" s="25"/>
      <c r="J30148" s="25"/>
      <c r="K30148" s="25"/>
    </row>
    <row r="30149" customFormat="false" ht="15" hidden="false" customHeight="false" outlineLevel="0" collapsed="false">
      <c r="A30149" s="2" t="s">
        <v>275</v>
      </c>
      <c r="F30149" s="28" t="n">
        <f aca="false">'Historical Financials'!G25</f>
        <v>498.291</v>
      </c>
      <c r="G30149" s="17" t="n">
        <f aca="false">F30149*(1+G30145)</f>
        <v>448.4619</v>
      </c>
      <c r="H30149" s="17" t="n">
        <f aca="false">G30149*(1+H30145)</f>
        <v>417.069567</v>
      </c>
      <c r="I30149" s="17" t="n">
        <f aca="false">H30149*(1+I30145)</f>
        <v>404.55747999</v>
      </c>
      <c r="J30149" s="17" t="n">
        <f aca="false">I30149*(1+J30145)</f>
        <v>404.55747999</v>
      </c>
      <c r="K30149" s="17" t="n">
        <f aca="false">J30149*(1+K30145)</f>
        <v>408.6030547899</v>
      </c>
    </row>
    <row r="30150" customFormat="false" ht="15" hidden="false" customHeight="false" outlineLevel="0" collapsed="false">
      <c r="A30150" s="3" t="s">
        <v>276</v>
      </c>
      <c r="G30150" s="16" t="n">
        <f aca="false">G30149*(1-G30146)</f>
        <v>209.018826</v>
      </c>
      <c r="H30150" s="16" t="n">
        <f aca="false">H30149*(1-H30146)</f>
        <v>206.89959519</v>
      </c>
      <c r="I30150" s="16" t="n">
        <f aca="false">I30149*(1-I30146)</f>
        <v>202.71539473425</v>
      </c>
      <c r="J30150" s="16" t="n">
        <f aca="false">J30149*(1-J30146)</f>
        <v>200.6926073343</v>
      </c>
      <c r="K30150" s="16" t="n">
        <f aca="false">K30149*(1-K30146)</f>
        <v>198.613502859744</v>
      </c>
    </row>
    <row r="30151" customFormat="false" ht="15" hidden="false" customHeight="false" outlineLevel="0" collapsed="false">
      <c r="A30151" s="2" t="s">
        <v>277</v>
      </c>
      <c r="G30151" s="17" t="n">
        <f aca="false">G30149-G30150</f>
        <v>239.443074</v>
      </c>
      <c r="H30151" s="17" t="n">
        <f aca="false">H30149-H30150</f>
        <v>210.16997181</v>
      </c>
      <c r="I30151" s="17" t="n">
        <f aca="false">I30149-I30150</f>
        <v>201.84208525575</v>
      </c>
      <c r="J30151" s="17" t="n">
        <f aca="false">J30149-J30150</f>
        <v>203.8648726557</v>
      </c>
      <c r="K30151" s="17" t="n">
        <f aca="false">K30149-K30150</f>
        <v>209.989551930156</v>
      </c>
    </row>
    <row r="30152" customFormat="false" ht="15" hidden="false" customHeight="false" outlineLevel="0" collapsed="false">
      <c r="A30152" s="3" t="s">
        <v>305</v>
      </c>
      <c r="G30152" s="16" t="n">
        <f aca="false">G30151-G30153</f>
        <v>33.1505999999999</v>
      </c>
      <c r="H30152" s="16" t="n">
        <f aca="false">H30151-H30153</f>
        <v>30.830058</v>
      </c>
      <c r="I30152" s="16" t="n">
        <f aca="false">I30151-I30153</f>
        <v>29.90515626</v>
      </c>
      <c r="J30152" s="16" t="n">
        <f aca="false">J30151-J30153</f>
        <v>29.90515626</v>
      </c>
      <c r="K30152" s="16" t="n">
        <f aca="false">K30151-K30153</f>
        <v>30.2042078226</v>
      </c>
    </row>
    <row r="30153" customFormat="false" ht="15" hidden="false" customHeight="false" outlineLevel="0" collapsed="false">
      <c r="A30153" s="2" t="s">
        <v>306</v>
      </c>
      <c r="G30153" s="17" t="n">
        <f aca="false">G30149*G30147</f>
        <v>206.292474</v>
      </c>
      <c r="H30153" s="17" t="n">
        <f aca="false">H30149*H30147</f>
        <v>179.33991381</v>
      </c>
      <c r="I30153" s="17" t="n">
        <f aca="false">I30149*I30147</f>
        <v>171.93692899575</v>
      </c>
      <c r="J30153" s="17" t="n">
        <f aca="false">J30149*J30147</f>
        <v>173.9597163957</v>
      </c>
      <c r="K30153" s="17" t="n">
        <f aca="false">K30149*K30147</f>
        <v>179.785344107556</v>
      </c>
    </row>
    <row r="30154" customFormat="false" ht="15" hidden="false" customHeight="false" outlineLevel="0" collapsed="false">
      <c r="A30154" s="3" t="s">
        <v>307</v>
      </c>
      <c r="G30154" s="16" t="n">
        <f aca="false">G30149*'Historical Financials'!G30/'Historical Financials'!G25</f>
        <v>166.7637</v>
      </c>
      <c r="H30154" s="16" t="n">
        <f aca="false">H30149*'Historical Financials'!G30/'Historical Financials'!G25</f>
        <v>155.090241</v>
      </c>
      <c r="I30154" s="16" t="n">
        <f aca="false">I30149*'Historical Financials'!G30/'Historical Financials'!G25</f>
        <v>150.43753377</v>
      </c>
      <c r="J30154" s="16" t="n">
        <f aca="false">J30149*'Historical Financials'!G30/'Historical Financials'!G25</f>
        <v>150.43753377</v>
      </c>
      <c r="K30154" s="16" t="n">
        <f aca="false">K30149*'Historical Financials'!G30/'Historical Financials'!G25</f>
        <v>151.9419091077</v>
      </c>
    </row>
    <row r="30155" customFormat="false" ht="15" hidden="false" customHeight="false" outlineLevel="0" collapsed="false">
      <c r="A30155" s="3" t="s">
        <v>308</v>
      </c>
      <c r="G30155" s="16" t="n">
        <f aca="false">G30149*'Historical Financials'!G31/'Historical Financials'!G25</f>
        <v>0</v>
      </c>
      <c r="H30155" s="16" t="n">
        <f aca="false">H30149*'Historical Financials'!G31/'Historical Financials'!G25</f>
        <v>0</v>
      </c>
      <c r="I30155" s="16" t="n">
        <f aca="false">I30149*'Historical Financials'!G31/'Historical Financials'!G25</f>
        <v>0</v>
      </c>
      <c r="J30155" s="16" t="n">
        <f aca="false">J30149*'Historical Financials'!G31/'Historical Financials'!G25</f>
        <v>0</v>
      </c>
      <c r="K30155" s="16" t="n">
        <f aca="false">K30149*'Historical Financials'!G31/'Historical Financials'!G25</f>
        <v>0</v>
      </c>
    </row>
    <row r="30156" customFormat="false" ht="15" hidden="false" customHeight="false" outlineLevel="0" collapsed="false">
      <c r="A30156" s="2" t="s">
        <v>309</v>
      </c>
      <c r="G30156" s="17" t="n">
        <f aca="false">G30153-G30154-G30155</f>
        <v>39.528774</v>
      </c>
      <c r="H30156" s="17" t="n">
        <f aca="false">H30153-H30154-H30155</f>
        <v>24.24967281</v>
      </c>
      <c r="I30156" s="17" t="n">
        <f aca="false">I30153-I30154-I30155</f>
        <v>21.49939522575</v>
      </c>
      <c r="J30156" s="17" t="n">
        <f aca="false">J30153-J30154-J30155</f>
        <v>23.5221826257</v>
      </c>
      <c r="K30156" s="17" t="n">
        <f aca="false">K30153-K30154-K30155</f>
        <v>27.843434999856</v>
      </c>
    </row>
    <row r="30157" customFormat="false" ht="15" hidden="false" customHeight="false" outlineLevel="0" collapsed="false">
      <c r="A30157" s="3" t="s">
        <v>310</v>
      </c>
      <c r="G30157" s="16" t="n">
        <f aca="false">G30183+G30196+G30209+G30222+G30235+G30248+G30261+G30274+G30287+G30300</f>
        <v>199.3540854</v>
      </c>
      <c r="H30157" s="16" t="n">
        <f aca="false">H30183+H30196+H30209+H30222+H30235+H30248+H30261+H30274+H30287+H30300</f>
        <v>198.1161704</v>
      </c>
      <c r="I30157" s="16" t="n">
        <f aca="false">I30183+I30196+I30209+I30222+I30235+I30248+I30261+I30274+I30287+I30300</f>
        <v>196.20188026865</v>
      </c>
      <c r="J30157" s="16" t="n">
        <f aca="false">J30183+J30196+J30209+J30222+J30235+J30248+J30261+J30274+J30287+J30300</f>
        <v>195.69188026865</v>
      </c>
      <c r="K30157" s="16" t="n">
        <f aca="false">K30183+K30196+K30209+K30222+K30235+K30248+K30261+K30274+K30287+K30300</f>
        <v>195.18188026865</v>
      </c>
    </row>
    <row r="30158" customFormat="false" ht="15" hidden="false" customHeight="false" outlineLevel="0" collapsed="false">
      <c r="A30158" s="3" t="s">
        <v>311</v>
      </c>
      <c r="G30158" s="16" t="n">
        <f aca="false">G30184+G30197+G30210+G30223+G30236+G30249+G30262+G30275+G30288+G30301</f>
        <v>0</v>
      </c>
      <c r="H30158" s="16" t="n">
        <f aca="false">H30184+H30197+H30210+H30223+H30236+H30249+H30262+H30275+H30288+H30301</f>
        <v>0</v>
      </c>
      <c r="I30158" s="16" t="n">
        <f aca="false">I30184+I30197+I30210+I30223+I30236+I30249+I30262+I30275+I30288+I30301</f>
        <v>0</v>
      </c>
      <c r="J30158" s="16" t="n">
        <f aca="false">J30184+J30197+J30210+J30223+J30236+J30249+J30262+J30275+J30288+J30301</f>
        <v>0</v>
      </c>
      <c r="K30158" s="16" t="n">
        <f aca="false">K30184+K30197+K30210+K30223+K30236+K30249+K30262+K30275+K30288+K30301</f>
        <v>0</v>
      </c>
    </row>
    <row r="30159" customFormat="false" ht="15" hidden="false" customHeight="false" outlineLevel="0" collapsed="false">
      <c r="A30159" s="3" t="s">
        <v>283</v>
      </c>
      <c r="G30159" s="16" t="n">
        <f aca="false">G30157+G30158</f>
        <v>199.3540854</v>
      </c>
      <c r="H30159" s="16" t="n">
        <f aca="false">H30157+H30158</f>
        <v>198.1161704</v>
      </c>
      <c r="I30159" s="16" t="n">
        <f aca="false">I30157+I30158</f>
        <v>196.20188026865</v>
      </c>
      <c r="J30159" s="16" t="n">
        <f aca="false">J30157+J30158</f>
        <v>195.69188026865</v>
      </c>
      <c r="K30159" s="16" t="n">
        <f aca="false">K30157+K30158</f>
        <v>195.18188026865</v>
      </c>
    </row>
    <row r="30160" customFormat="false" ht="15" hidden="false" customHeight="false" outlineLevel="0" collapsed="false">
      <c r="A30160" s="2" t="s">
        <v>284</v>
      </c>
      <c r="G30160" s="17" t="n">
        <f aca="false">G30156-G30159</f>
        <v>-159.8253114</v>
      </c>
      <c r="H30160" s="17" t="n">
        <f aca="false">H30156-H30159</f>
        <v>-173.86649759</v>
      </c>
      <c r="I30160" s="17" t="n">
        <f aca="false">I30156-I30159</f>
        <v>-174.7024850429</v>
      </c>
      <c r="J30160" s="17" t="n">
        <f aca="false">J30156-J30159</f>
        <v>-172.16969764295</v>
      </c>
      <c r="K30160" s="17" t="n">
        <f aca="false">K30156-K30159</f>
        <v>-167.338445268794</v>
      </c>
    </row>
    <row r="30161" customFormat="false" ht="15" hidden="false" customHeight="false" outlineLevel="0" collapsed="false">
      <c r="A30161" s="3" t="s">
        <v>312</v>
      </c>
      <c r="G30161" s="16" t="n">
        <f aca="false">MAX(0,G30160)*Assumptions!$C$9</f>
        <v>0</v>
      </c>
      <c r="H30161" s="16" t="n">
        <f aca="false">MAX(0,H30160)*Assumptions!$C$9</f>
        <v>0</v>
      </c>
      <c r="I30161" s="16" t="n">
        <f aca="false">MAX(0,I30160)*Assumptions!$C$9</f>
        <v>0</v>
      </c>
      <c r="J30161" s="16" t="n">
        <f aca="false">MAX(0,J30160)*Assumptions!$C$9</f>
        <v>0</v>
      </c>
      <c r="K30161" s="16" t="n">
        <f aca="false">MAX(0,K30160)*Assumptions!$C$9</f>
        <v>0</v>
      </c>
    </row>
    <row r="30162" customFormat="false" ht="15" hidden="false" customHeight="false" outlineLevel="0" collapsed="false">
      <c r="A30162" s="2" t="s">
        <v>313</v>
      </c>
      <c r="G30162" s="17" t="n">
        <f aca="false">G30160-G30161</f>
        <v>-159.8253114</v>
      </c>
      <c r="H30162" s="17" t="n">
        <f aca="false">H30160-H30161</f>
        <v>-173.86649759</v>
      </c>
      <c r="I30162" s="17" t="n">
        <f aca="false">I30160-I30161</f>
        <v>-174.7024850429</v>
      </c>
      <c r="J30162" s="17" t="n">
        <f aca="false">J30160-J30161</f>
        <v>-172.16969764295</v>
      </c>
      <c r="K30162" s="17" t="n">
        <f aca="false">K30160-K30161</f>
        <v>-167.338445268794</v>
      </c>
    </row>
    <row r="30163" customFormat="false" ht="15" hidden="false" customHeight="false" outlineLevel="0" collapsed="false">
      <c r="A30163" s="24" t="s">
        <v>314</v>
      </c>
      <c r="B30163" s="25"/>
      <c r="C30163" s="25"/>
      <c r="D30163" s="25"/>
      <c r="E30163" s="25"/>
      <c r="F30163" s="25"/>
      <c r="G30163" s="25"/>
      <c r="H30163" s="25"/>
      <c r="I30163" s="25"/>
      <c r="J30163" s="25"/>
      <c r="K30163" s="25"/>
    </row>
    <row r="30164" customFormat="false" ht="15" hidden="false" customHeight="false" outlineLevel="0" collapsed="false">
      <c r="A30164" s="3" t="s">
        <v>184</v>
      </c>
      <c r="G30164" s="16" t="n">
        <f aca="false">G30149*CHOOSE($C$30136,Assumptions!$C$83,Assumptions!$C$102,Assumptions!$C$121)</f>
        <v>58.300047</v>
      </c>
      <c r="H30164" s="16" t="n">
        <f aca="false">H30149*CHOOSE($C$30136,Assumptions!$C$83,Assumptions!$C$102,Assumptions!$C$121)</f>
        <v>54.21904371</v>
      </c>
      <c r="I30164" s="16" t="n">
        <f aca="false">I30149*CHOOSE($C$30136,Assumptions!$C$83,Assumptions!$C$102,Assumptions!$C$121)</f>
        <v>52.5924723987</v>
      </c>
      <c r="J30164" s="16" t="n">
        <f aca="false">J30149*CHOOSE($C$30136,Assumptions!$C$83,Assumptions!$C$102,Assumptions!$C$121)</f>
        <v>52.5924723987</v>
      </c>
      <c r="K30164" s="16" t="n">
        <f aca="false">K30149*CHOOSE($C$30136,Assumptions!$C$83,Assumptions!$C$102,Assumptions!$C$121)</f>
        <v>53.118397122687</v>
      </c>
    </row>
    <row r="30165" customFormat="false" ht="15" hidden="false" customHeight="false" outlineLevel="0" collapsed="false">
      <c r="A30165" s="3" t="s">
        <v>315</v>
      </c>
      <c r="G30165" s="16" t="n">
        <f aca="false">CHOOSE($C$30136,Assumptions!$C$84,Assumptions!$C$103,Assumptions!$C$122)*(G30149-F30149)+CHOOSE($C$30136,Assumptions!$C$85,Assumptions!$C$104,Assumptions!$C$123)*G30149</f>
        <v>0</v>
      </c>
      <c r="H30165" s="16" t="n">
        <f aca="false">CHOOSE($C$30136,Assumptions!$C$84,Assumptions!$C$103,Assumptions!$C$122)*(H30149-G30149)+CHOOSE($C$30136,Assumptions!$C$85,Assumptions!$C$104,Assumptions!$C$123)*H30149</f>
        <v>0</v>
      </c>
      <c r="I30165" s="16" t="n">
        <f aca="false">CHOOSE($C$30136,Assumptions!$C$84,Assumptions!$C$103,Assumptions!$C$122)*(I30149-H30149)+CHOOSE($C$30136,Assumptions!$C$85,Assumptions!$C$104,Assumptions!$C$123)*I30149</f>
        <v>0</v>
      </c>
      <c r="J30165" s="16" t="n">
        <f aca="false">CHOOSE($C$30136,Assumptions!$C$84,Assumptions!$C$103,Assumptions!$C$122)*(J30149-I30149)+CHOOSE($C$30136,Assumptions!$C$85,Assumptions!$C$104,Assumptions!$C$123)*J30149</f>
        <v>0</v>
      </c>
      <c r="K30165" s="16" t="n">
        <f aca="false">CHOOSE($C$30136,Assumptions!$C$84,Assumptions!$C$103,Assumptions!$C$122)*(K30149-J30149)+CHOOSE($C$30136,Assumptions!$C$85,Assumptions!$C$104,Assumptions!$C$123)*K30149</f>
        <v>0</v>
      </c>
    </row>
    <row r="30166" customFormat="false" ht="15" hidden="false" customHeight="false" outlineLevel="0" collapsed="false">
      <c r="A30166" s="2" t="s">
        <v>316</v>
      </c>
      <c r="G30166" s="17" t="n">
        <f aca="false">G30162+G30154+G30155+G30158-G30164-G30165</f>
        <v>-51.3616584</v>
      </c>
      <c r="H30166" s="17" t="n">
        <f aca="false">H30162+H30154+H30155+H30158-H30164-H30165</f>
        <v>-72.9953003</v>
      </c>
      <c r="I30166" s="17" t="n">
        <f aca="false">I30162+I30154+I30155+I30158-I30164-I30165</f>
        <v>-76.8574236716</v>
      </c>
      <c r="J30166" s="17" t="n">
        <f aca="false">J30162+J30154+J30155+J30158-J30164-J30165</f>
        <v>-74.32463627165</v>
      </c>
      <c r="K30166" s="17" t="n">
        <f aca="false">K30162+K30154+K30155+K30158-K30164-K30165</f>
        <v>-68.514933283781</v>
      </c>
    </row>
    <row r="30168" customFormat="false" ht="15" hidden="false" customHeight="false" outlineLevel="0" collapsed="false">
      <c r="A30168" s="24" t="s">
        <v>318</v>
      </c>
      <c r="B30168" s="25"/>
      <c r="C30168" s="25"/>
      <c r="D30168" s="25"/>
      <c r="E30168" s="25"/>
      <c r="F30168" s="25"/>
      <c r="G30168" s="25"/>
      <c r="H30168" s="25"/>
      <c r="I30168" s="25"/>
      <c r="J30168" s="25"/>
      <c r="K30168" s="25"/>
    </row>
    <row r="30169" customFormat="false" ht="15" hidden="false" customHeight="false" outlineLevel="0" collapsed="false">
      <c r="A30169" s="3" t="s">
        <v>319</v>
      </c>
      <c r="G30169" s="30" t="n">
        <f aca="false">Assumptions!$G$53</f>
        <v>0.039</v>
      </c>
      <c r="H30169" s="30" t="n">
        <f aca="false">Assumptions!$H$53</f>
        <v>0.0375</v>
      </c>
      <c r="I30169" s="30" t="n">
        <f aca="false">Assumptions!$I$53</f>
        <v>0.035</v>
      </c>
      <c r="J30169" s="30" t="n">
        <f aca="false">Assumptions!$J$53</f>
        <v>0.035</v>
      </c>
      <c r="K30169" s="30" t="n">
        <f aca="false">Assumptions!$K$53</f>
        <v>0.035</v>
      </c>
    </row>
    <row r="30170" customFormat="false" ht="15" hidden="false" customHeight="false" outlineLevel="0" collapsed="false">
      <c r="A30170" s="3" t="s">
        <v>320</v>
      </c>
      <c r="C30170" s="31" t="n">
        <f aca="false">CHOOSE($C$30136,Assumptions!$C$86,Assumptions!$C$105,Assumptions!$C$124)+$C$30139</f>
        <v>0.04</v>
      </c>
    </row>
    <row r="30171" customFormat="false" ht="15" hidden="false" customHeight="false" outlineLevel="0" collapsed="false">
      <c r="A30171" s="3" t="s">
        <v>321</v>
      </c>
      <c r="C30171" s="31" t="n">
        <f aca="false">CHOOSE($C$30136,Assumptions!$C$87,Assumptions!$C$106,Assumptions!$C$125)</f>
        <v>0.12</v>
      </c>
    </row>
    <row r="30172" customFormat="false" ht="15" hidden="false" customHeight="false" outlineLevel="0" collapsed="false">
      <c r="A30172" s="3" t="s">
        <v>322</v>
      </c>
      <c r="C30172" s="32" t="n">
        <f aca="false">CHOOSE($C$30136,Assumptions!$C$88,Assumptions!$C$107,Assumptions!$C$126)</f>
        <v>9</v>
      </c>
    </row>
    <row r="30173" customFormat="false" ht="15" hidden="false" customHeight="false" outlineLevel="0" collapsed="false">
      <c r="A30173" s="3" t="s">
        <v>323</v>
      </c>
      <c r="C30173" s="32" t="n">
        <f aca="false">CHOOSE($C$30136,Assumptions!$C$89,Assumptions!$C$108,Assumptions!$C$127)</f>
        <v>1.75</v>
      </c>
    </row>
    <row r="30174" customFormat="false" ht="15" hidden="false" customHeight="false" outlineLevel="0" collapsed="false">
      <c r="A30174" s="3" t="s">
        <v>324</v>
      </c>
      <c r="G30174" s="16" t="n">
        <f aca="false">G30179+G30192+G30205+G30218+G30231+G30244+G30257+G30270+G30283+G30296</f>
        <v>2625.934</v>
      </c>
      <c r="H30174" s="16" t="n">
        <f aca="false">H30179+H30192+H30205+H30218+H30231+H30244+H30257+H30270+H30283+H30296</f>
        <v>2621.934</v>
      </c>
      <c r="I30174" s="16" t="n">
        <f aca="false">I30179+I30192+I30205+I30218+I30231+I30244+I30257+I30270+I30283+I30296</f>
        <v>2612.4209587</v>
      </c>
      <c r="J30174" s="16" t="n">
        <f aca="false">J30179+J30192+J30205+J30218+J30231+J30244+J30257+J30270+J30283+J30296</f>
        <v>2608.4209587</v>
      </c>
      <c r="K30174" s="16" t="n">
        <f aca="false">K30179+K30192+K30205+K30218+K30231+K30244+K30257+K30270+K30283+K30296</f>
        <v>2604.4209587</v>
      </c>
    </row>
    <row r="30175" customFormat="false" ht="15" hidden="false" customHeight="false" outlineLevel="0" collapsed="false">
      <c r="A30175" s="3" t="s">
        <v>325</v>
      </c>
      <c r="G30175" s="16" t="n">
        <f aca="false">F30367</f>
        <v>37.87</v>
      </c>
      <c r="H30175" s="16" t="n">
        <f aca="false">G30367</f>
        <v>82.5083416</v>
      </c>
      <c r="I30175" s="16" t="n">
        <f aca="false">H30367</f>
        <v>0</v>
      </c>
      <c r="J30175" s="16" t="n">
        <f aca="false">I30367</f>
        <v>-80.8574236716</v>
      </c>
      <c r="K30175" s="16" t="n">
        <f aca="false">J30367</f>
        <v>-159.18205994325</v>
      </c>
    </row>
    <row r="30176" customFormat="false" ht="15" hidden="false" customHeight="false" outlineLevel="0" collapsed="false">
      <c r="A30176" s="3" t="s">
        <v>326</v>
      </c>
      <c r="G30176" s="16" t="n">
        <f aca="false">G30179*IF(G30180=1,$C$30171,IF(Assumptions!$I$57=1,MAX(G30169,Assumptions!$G$57)+Assumptions!$F$57+$C$30170,Assumptions!$E$57))+G30192*IF(G30193=1,$C$30171,IF(Assumptions!$I$58=1,MAX(G30169,Assumptions!$G$58)+Assumptions!$F$58+$C$30170,Assumptions!$E$58))+G30205*IF(G30206=1,$C$30171,IF(Assumptions!$I$59=1,MAX(G30169,Assumptions!$G$59)+Assumptions!$F$59+$C$30170,Assumptions!$E$59))+G30218*IF(G30219=1,$C$30171,IF(Assumptions!$I$60=1,MAX(G30169,Assumptions!$G$60)+Assumptions!$F$60+$C$30170,Assumptions!$E$60))+G30231*IF(G30232=1,$C$30171,IF(Assumptions!$I$61=1,MAX(G30169,Assumptions!$G$61)+Assumptions!$F$61+$C$30170,Assumptions!$E$61))+G30244*IF(G30245=1,$C$30171,IF(Assumptions!$I$62=1,MAX(G30169,Assumptions!$G$62)+Assumptions!$F$62+$C$30170,Assumptions!$E$62))+G30257*IF(G30258=1,$C$30171,IF(Assumptions!$I$63=1,MAX(G30169,Assumptions!$G$63)+Assumptions!$F$63+$C$30170,Assumptions!$E$63))+G30270*IF(G30271=1,$C$30171,IF(Assumptions!$I$64=1,MAX(G30169,Assumptions!$G$64)+Assumptions!$F$64+$C$30170,Assumptions!$E$64))+G30283*IF(G30284=1,$C$30171,IF(Assumptions!$I$65=1,MAX(G30169,Assumptions!$G$65)+Assumptions!$F$65+$C$30170,Assumptions!$E$65))+G30296*IF(G30297=1,$C$30171,IF(Assumptions!$I$66=1,MAX(G30169,Assumptions!$G$66)+Assumptions!$F$66+$C$30170,Assumptions!$E$66))</f>
        <v>199.3540854</v>
      </c>
      <c r="H30176" s="16" t="n">
        <f aca="false">H30179*IF(OR(H30180=1,G30489=1),$C$30171,IF(Assumptions!$I$57=1,MAX(H30169,Assumptions!$G$57)+Assumptions!$F$57+$C$30170,Assumptions!$E$57))+H30192*IF(OR(H30193=1,G30490=1),$C$30171,IF(Assumptions!$I$58=1,MAX(H30169,Assumptions!$G$58)+Assumptions!$F$58+$C$30170,Assumptions!$E$58))+H30205*IF(OR(H30206=1,G30491=1),$C$30171,IF(Assumptions!$I$59=1,MAX(H30169,Assumptions!$G$59)+Assumptions!$F$59+$C$30170,Assumptions!$E$59))+H30218*IF(OR(H30219=1,G30492=1),$C$30171,IF(Assumptions!$I$60=1,MAX(H30169,Assumptions!$G$60)+Assumptions!$F$60+$C$30170,Assumptions!$E$60))+H30231*IF(OR(H30232=1,G30493=1),$C$30171,IF(Assumptions!$I$61=1,MAX(H30169,Assumptions!$G$61)+Assumptions!$F$61+$C$30170,Assumptions!$E$61))+H30244*IF(OR(H30245=1,G30494=1),$C$30171,IF(Assumptions!$I$62=1,MAX(H30169,Assumptions!$G$62)+Assumptions!$F$62+$C$30170,Assumptions!$E$62))+H30257*IF(OR(H30258=1,G30495=1),$C$30171,IF(Assumptions!$I$63=1,MAX(H30169,Assumptions!$G$63)+Assumptions!$F$63+$C$30170,Assumptions!$E$63))+H30270*IF(OR(H30271=1,G30496=1),$C$30171,IF(Assumptions!$I$64=1,MAX(H30169,Assumptions!$G$64)+Assumptions!$F$64+$C$30170,Assumptions!$E$64))+H30283*IF(OR(H30284=1,G30497=1),$C$30171,IF(Assumptions!$I$65=1,MAX(H30169,Assumptions!$G$65)+Assumptions!$F$65+$C$30170,Assumptions!$E$65))+H30296*IF(OR(H30297=1,G30498=1),$C$30171,IF(Assumptions!$I$66=1,MAX(H30169,Assumptions!$G$66)+Assumptions!$F$66+$C$30170,Assumptions!$E$66))</f>
        <v>247.2911704</v>
      </c>
      <c r="I30176" s="16" t="n">
        <f aca="false">I30179*IF(OR(I30180=1,H30489=1),$C$30171,IF(Assumptions!$I$57=1,MAX(I30169,Assumptions!$G$57)+Assumptions!$F$57+$C$30170,Assumptions!$E$57))+I30192*IF(OR(I30193=1,H30490=1),$C$30171,IF(Assumptions!$I$58=1,MAX(I30169,Assumptions!$G$58)+Assumptions!$F$58+$C$30170,Assumptions!$E$58))+I30205*IF(OR(I30206=1,H30491=1),$C$30171,IF(Assumptions!$I$59=1,MAX(I30169,Assumptions!$G$59)+Assumptions!$F$59+$C$30170,Assumptions!$E$59))+I30218*IF(OR(I30219=1,H30492=1),$C$30171,IF(Assumptions!$I$60=1,MAX(I30169,Assumptions!$G$60)+Assumptions!$F$60+$C$30170,Assumptions!$E$60))+I30231*IF(OR(I30232=1,H30493=1),$C$30171,IF(Assumptions!$I$61=1,MAX(I30169,Assumptions!$G$61)+Assumptions!$F$61+$C$30170,Assumptions!$E$61))+I30244*IF(OR(I30245=1,H30494=1),$C$30171,IF(Assumptions!$I$62=1,MAX(I30169,Assumptions!$G$62)+Assumptions!$F$62+$C$30170,Assumptions!$E$62))+I30257*IF(OR(I30258=1,H30495=1),$C$30171,IF(Assumptions!$I$63=1,MAX(I30169,Assumptions!$G$63)+Assumptions!$F$63+$C$30170,Assumptions!$E$63))+I30270*IF(OR(I30271=1,H30496=1),$C$30171,IF(Assumptions!$I$64=1,MAX(I30169,Assumptions!$G$64)+Assumptions!$F$64+$C$30170,Assumptions!$E$64))+I30283*IF(OR(I30284=1,H30497=1),$C$30171,IF(Assumptions!$I$65=1,MAX(I30169,Assumptions!$G$65)+Assumptions!$F$65+$C$30170,Assumptions!$E$65))+I30296*IF(OR(I30297=1,H30498=1),$C$30171,IF(Assumptions!$I$66=1,MAX(I30169,Assumptions!$G$66)+Assumptions!$F$66+$C$30170,Assumptions!$E$66))</f>
        <v>213.38938026865</v>
      </c>
      <c r="J30176" s="16" t="n">
        <f aca="false">J30179*IF(OR(J30180=1,I30489=1),$C$30171,IF(Assumptions!$I$57=1,MAX(J30169,Assumptions!$G$57)+Assumptions!$F$57+$C$30170,Assumptions!$E$57))+J30192*IF(OR(J30193=1,I30490=1),$C$30171,IF(Assumptions!$I$58=1,MAX(J30169,Assumptions!$G$58)+Assumptions!$F$58+$C$30170,Assumptions!$E$58))+J30205*IF(OR(J30206=1,I30491=1),$C$30171,IF(Assumptions!$I$59=1,MAX(J30169,Assumptions!$G$59)+Assumptions!$F$59+$C$30170,Assumptions!$E$59))+J30218*IF(OR(J30219=1,I30492=1),$C$30171,IF(Assumptions!$I$60=1,MAX(J30169,Assumptions!$G$60)+Assumptions!$F$60+$C$30170,Assumptions!$E$60))+J30231*IF(OR(J30232=1,I30493=1),$C$30171,IF(Assumptions!$I$61=1,MAX(J30169,Assumptions!$G$61)+Assumptions!$F$61+$C$30170,Assumptions!$E$61))+J30244*IF(OR(J30245=1,I30494=1),$C$30171,IF(Assumptions!$I$62=1,MAX(J30169,Assumptions!$G$62)+Assumptions!$F$62+$C$30170,Assumptions!$E$62))+J30257*IF(OR(J30258=1,I30495=1),$C$30171,IF(Assumptions!$I$63=1,MAX(J30169,Assumptions!$G$63)+Assumptions!$F$63+$C$30170,Assumptions!$E$63))+J30270*IF(OR(J30271=1,I30496=1),$C$30171,IF(Assumptions!$I$64=1,MAX(J30169,Assumptions!$G$64)+Assumptions!$F$64+$C$30170,Assumptions!$E$64))+J30283*IF(OR(J30284=1,I30497=1),$C$30171,IF(Assumptions!$I$65=1,MAX(J30169,Assumptions!$G$65)+Assumptions!$F$65+$C$30170,Assumptions!$E$65))+J30296*IF(OR(J30297=1,I30498=1),$C$30171,IF(Assumptions!$I$66=1,MAX(J30169,Assumptions!$G$66)+Assumptions!$F$66+$C$30170,Assumptions!$E$66))</f>
        <v>221.76688026865</v>
      </c>
      <c r="K30176" s="16" t="n">
        <f aca="false">K30179*IF(OR(K30180=1,J30489=1),$C$30171,IF(Assumptions!$I$57=1,MAX(K30169,Assumptions!$G$57)+Assumptions!$F$57+$C$30170,Assumptions!$E$57))+K30192*IF(OR(K30193=1,J30490=1),$C$30171,IF(Assumptions!$I$58=1,MAX(K30169,Assumptions!$G$58)+Assumptions!$F$58+$C$30170,Assumptions!$E$58))+K30205*IF(OR(K30206=1,J30491=1),$C$30171,IF(Assumptions!$I$59=1,MAX(K30169,Assumptions!$G$59)+Assumptions!$F$59+$C$30170,Assumptions!$E$59))+K30218*IF(OR(K30219=1,J30492=1),$C$30171,IF(Assumptions!$I$60=1,MAX(K30169,Assumptions!$G$60)+Assumptions!$F$60+$C$30170,Assumptions!$E$60))+K30231*IF(OR(K30232=1,J30493=1),$C$30171,IF(Assumptions!$I$61=1,MAX(K30169,Assumptions!$G$61)+Assumptions!$F$61+$C$30170,Assumptions!$E$61))+K30244*IF(OR(K30245=1,J30494=1),$C$30171,IF(Assumptions!$I$62=1,MAX(K30169,Assumptions!$G$62)+Assumptions!$F$62+$C$30170,Assumptions!$E$62))+K30257*IF(OR(K30258=1,J30495=1),$C$30171,IF(Assumptions!$I$63=1,MAX(K30169,Assumptions!$G$63)+Assumptions!$F$63+$C$30170,Assumptions!$E$63))+K30270*IF(OR(K30271=1,J30496=1),$C$30171,IF(Assumptions!$I$64=1,MAX(K30169,Assumptions!$G$64)+Assumptions!$F$64+$C$30170,Assumptions!$E$64))+K30283*IF(OR(K30284=1,J30497=1),$C$30171,IF(Assumptions!$I$65=1,MAX(K30169,Assumptions!$G$65)+Assumptions!$F$65+$C$30170,Assumptions!$E$65))+K30296*IF(OR(K30297=1,J30498=1),$C$30171,IF(Assumptions!$I$66=1,MAX(K30169,Assumptions!$G$66)+Assumptions!$F$66+$C$30170,Assumptions!$E$66))</f>
        <v>209.92688026865</v>
      </c>
    </row>
    <row r="30177" customFormat="false" ht="15" hidden="false" customHeight="false" outlineLevel="0" collapsed="false">
      <c r="A30177" s="3" t="s">
        <v>327</v>
      </c>
      <c r="G30177" s="21" t="n">
        <f aca="false">IF(G30153&lt;=0,0,IF(AND((G30174-G30175)/G30153&lt;=$C$30172,G30153/G30176&gt;=$C$30173),1,0))</f>
        <v>0</v>
      </c>
      <c r="H30177" s="21" t="n">
        <f aca="false">IF(H30153&lt;=0,0,IF(AND((H30174-H30175)/H30153&lt;=$C$30172,H30153/H30176&gt;=$C$30173),1,0))</f>
        <v>0</v>
      </c>
      <c r="I30177" s="21" t="n">
        <f aca="false">IF(I30153&lt;=0,0,IF(AND((I30174-I30175)/I30153&lt;=$C$30172,I30153/I30176&gt;=$C$30173),1,0))</f>
        <v>0</v>
      </c>
      <c r="J30177" s="21" t="n">
        <f aca="false">IF(J30153&lt;=0,0,IF(AND((J30174-J30175)/J30153&lt;=$C$30172,J30153/J30176&gt;=$C$30173),1,0))</f>
        <v>0</v>
      </c>
      <c r="K30177" s="21" t="n">
        <f aca="false">IF(K30153&lt;=0,0,IF(AND((K30174-K30175)/K30153&lt;=$C$30172,K30153/K30176&gt;=$C$30173),1,0))</f>
        <v>0</v>
      </c>
    </row>
    <row r="30178" customFormat="false" ht="15" hidden="false" customHeight="false" outlineLevel="0" collapsed="false">
      <c r="A30178" s="24" t="s">
        <v>328</v>
      </c>
      <c r="B30178" s="25"/>
      <c r="C30178" s="25"/>
      <c r="D30178" s="25"/>
      <c r="E30178" s="25"/>
      <c r="F30178" s="25"/>
      <c r="G30178" s="25"/>
      <c r="H30178" s="25"/>
      <c r="I30178" s="25"/>
      <c r="J30178" s="25"/>
      <c r="K30178" s="25"/>
    </row>
    <row r="30179" customFormat="false" ht="15" hidden="false" customHeight="false" outlineLevel="0" collapsed="false">
      <c r="A30179" s="3" t="s">
        <v>329</v>
      </c>
      <c r="G30179" s="16" t="n">
        <f aca="false">F30190</f>
        <v>400</v>
      </c>
      <c r="H30179" s="16" t="n">
        <f aca="false">G30190</f>
        <v>396</v>
      </c>
      <c r="I30179" s="16" t="n">
        <f aca="false">H30190</f>
        <v>392</v>
      </c>
      <c r="J30179" s="16" t="n">
        <f aca="false">I30190</f>
        <v>388</v>
      </c>
      <c r="K30179" s="16" t="n">
        <f aca="false">J30190</f>
        <v>384</v>
      </c>
    </row>
    <row r="30180" customFormat="false" ht="15" hidden="false" customHeight="false" outlineLevel="0" collapsed="false">
      <c r="A30180" s="3" t="s">
        <v>330</v>
      </c>
      <c r="G30180" s="21" t="n">
        <f aca="false">IF(G30143=Assumptions!$K$57,1,0)</f>
        <v>0</v>
      </c>
      <c r="H30180" s="21" t="n">
        <f aca="false">IF(H30143=Assumptions!$K$57,1,0)</f>
        <v>0</v>
      </c>
      <c r="I30180" s="21" t="n">
        <f aca="false">IF(I30143=Assumptions!$K$57,1,0)</f>
        <v>0</v>
      </c>
      <c r="J30180" s="21" t="n">
        <f aca="false">IF(J30143=Assumptions!$K$57,1,0)</f>
        <v>0</v>
      </c>
      <c r="K30180" s="21" t="n">
        <f aca="false">IF(K30143=Assumptions!$K$57,1,0)</f>
        <v>1</v>
      </c>
    </row>
    <row r="30182" customFormat="false" ht="15" hidden="false" customHeight="false" outlineLevel="0" collapsed="false">
      <c r="A30182" s="3" t="s">
        <v>331</v>
      </c>
      <c r="G30182" s="31" t="n">
        <f aca="false">IF(Assumptions!$I$57=1,MAX(G30169,Assumptions!$G$57)+Assumptions!$F$57+$C$30170,Assumptions!$E$57)</f>
        <v>0.1315</v>
      </c>
      <c r="H30182" s="31" t="n">
        <f aca="false">IF(G30489=1,$C$30171,IF(Assumptions!$I$57=1,MAX(H30169,Assumptions!$G$57)+Assumptions!$F$57+$C$30170,Assumptions!$E$57))</f>
        <v>0.13</v>
      </c>
      <c r="I30182" s="31" t="n">
        <f aca="false">IF(H30489=1,$C$30171,IF(Assumptions!$I$57=1,MAX(I30169,Assumptions!$G$57)+Assumptions!$F$57+$C$30170,Assumptions!$E$57))</f>
        <v>0.1275</v>
      </c>
      <c r="J30182" s="31" t="n">
        <f aca="false">IF(I30489=1,$C$30171,IF(Assumptions!$I$57=1,MAX(J30169,Assumptions!$G$57)+Assumptions!$F$57+$C$30170,Assumptions!$E$57))</f>
        <v>0.1275</v>
      </c>
      <c r="K30182" s="31" t="n">
        <f aca="false">IF(J30489=1,$C$30171,IF(Assumptions!$I$57=1,MAX(K30169,Assumptions!$G$57)+Assumptions!$F$57+$C$30170,Assumptions!$E$57))</f>
        <v>0.1275</v>
      </c>
    </row>
    <row r="30183" customFormat="false" ht="15" hidden="false" customHeight="false" outlineLevel="0" collapsed="false">
      <c r="A30183" s="3" t="s">
        <v>332</v>
      </c>
      <c r="G30183" s="16" t="n">
        <f aca="false">G30179*G30182</f>
        <v>52.6</v>
      </c>
      <c r="H30183" s="16" t="n">
        <f aca="false">H30179*H30182</f>
        <v>51.48</v>
      </c>
      <c r="I30183" s="16" t="n">
        <f aca="false">I30179*I30182</f>
        <v>49.98</v>
      </c>
      <c r="J30183" s="16" t="n">
        <f aca="false">J30179*J30182</f>
        <v>49.47</v>
      </c>
      <c r="K30183" s="16" t="n">
        <f aca="false">K30179*K30182</f>
        <v>48.96</v>
      </c>
    </row>
    <row r="30184" customFormat="false" ht="15" hidden="false" customHeight="false" outlineLevel="0" collapsed="false">
      <c r="A30184" s="3" t="s">
        <v>333</v>
      </c>
      <c r="G30184" s="16" t="n">
        <f aca="false">G30179*Assumptions!$H$57</f>
        <v>0</v>
      </c>
      <c r="H30184" s="16" t="n">
        <f aca="false">H30179*Assumptions!$H$57</f>
        <v>0</v>
      </c>
      <c r="I30184" s="16" t="n">
        <f aca="false">I30179*Assumptions!$H$57</f>
        <v>0</v>
      </c>
      <c r="J30184" s="16" t="n">
        <f aca="false">J30179*Assumptions!$H$57</f>
        <v>0</v>
      </c>
      <c r="K30184" s="16" t="n">
        <f aca="false">K30179*Assumptions!$H$57</f>
        <v>0</v>
      </c>
    </row>
    <row r="30185" customFormat="false" ht="15" hidden="false" customHeight="false" outlineLevel="0" collapsed="false">
      <c r="A30185" s="3" t="s">
        <v>334</v>
      </c>
      <c r="G30185" s="16" t="n">
        <f aca="false">MIN(G30179,Assumptions!$L$57*Assumptions!$C$57)</f>
        <v>4</v>
      </c>
      <c r="H30185" s="16" t="n">
        <f aca="false">MIN(H30179,Assumptions!$L$57*Assumptions!$C$57)</f>
        <v>4</v>
      </c>
      <c r="I30185" s="16" t="n">
        <f aca="false">MIN(I30179,Assumptions!$L$57*Assumptions!$C$57)</f>
        <v>4</v>
      </c>
      <c r="J30185" s="16" t="n">
        <f aca="false">MIN(J30179,Assumptions!$L$57*Assumptions!$C$57)</f>
        <v>4</v>
      </c>
      <c r="K30185" s="16" t="n">
        <f aca="false">MIN(K30179,Assumptions!$L$57*Assumptions!$C$57)</f>
        <v>4</v>
      </c>
    </row>
    <row r="30186" customFormat="false" ht="15" hidden="false" customHeight="false" outlineLevel="0" collapsed="false">
      <c r="A30186" s="3" t="s">
        <v>335</v>
      </c>
      <c r="G30186" s="16" t="n">
        <f aca="false">IF(AND(Assumptions!$P$57=1,G30143&lt;Assumptions!$K$57),MIN(MAX(0,-G30359),MAX(0,Assumptions!$D$57-G30179)),0)</f>
        <v>0</v>
      </c>
      <c r="H30186" s="16" t="n">
        <f aca="false">IF(AND(Assumptions!$P$57=1,OR(H30143&lt;Assumptions!$K$57,G30489=1)),MIN(MAX(0,-H30359),MAX(0,Assumptions!$D$57-H30179)),0)</f>
        <v>0</v>
      </c>
      <c r="I30186" s="16" t="n">
        <f aca="false">IF(AND(Assumptions!$P$57=1,OR(I30143&lt;Assumptions!$K$57,H30489=1)),MIN(MAX(0,-I30359),MAX(0,Assumptions!$D$57-I30179)),0)</f>
        <v>0</v>
      </c>
      <c r="J30186" s="16" t="n">
        <f aca="false">IF(AND(Assumptions!$P$57=1,OR(J30143&lt;Assumptions!$K$57,I30489=1)),MIN(MAX(0,-J30359),MAX(0,Assumptions!$D$57-J30179)),0)</f>
        <v>0</v>
      </c>
      <c r="K30186" s="16" t="n">
        <f aca="false">IF(AND(Assumptions!$P$57=1,OR(K30143&lt;Assumptions!$K$57,J30489=1)),MIN(MAX(0,-K30359),MAX(0,Assumptions!$D$57-K30179)),0)</f>
        <v>0</v>
      </c>
    </row>
    <row r="30187" customFormat="false" ht="15" hidden="false" customHeight="false" outlineLevel="0" collapsed="false">
      <c r="A30187" s="3" t="s">
        <v>336</v>
      </c>
      <c r="G30187" s="16" t="n">
        <f aca="false">G30180*MIN(G30179-G30185+G30184,MAX(0,G30361-Assumptions!$C$12*G30177))</f>
        <v>0</v>
      </c>
      <c r="H30187" s="16" t="n">
        <f aca="false">H30180*MIN(H30179-H30185+H30184,MAX(0,H30361-Assumptions!$C$12*H30177))</f>
        <v>0</v>
      </c>
      <c r="I30187" s="16" t="n">
        <f aca="false">I30180*MIN(I30179-I30185+I30184,MAX(0,I30361-Assumptions!$C$12*I30177))</f>
        <v>0</v>
      </c>
      <c r="J30187" s="16" t="n">
        <f aca="false">J30180*MIN(J30179-J30185+J30184,MAX(0,J30361-Assumptions!$C$12*J30177))</f>
        <v>0</v>
      </c>
      <c r="K30187" s="16" t="n">
        <f aca="false">K30180*MIN(K30179-K30185+K30184,MAX(0,K30361-Assumptions!$C$12*K30177))</f>
        <v>0</v>
      </c>
    </row>
    <row r="30188" customFormat="false" ht="15" hidden="false" customHeight="false" outlineLevel="0" collapsed="false">
      <c r="A30188" s="3" t="s">
        <v>337</v>
      </c>
      <c r="G30188" s="16" t="n">
        <f aca="false">Assumptions!$N$57*MIN(G30179+G30186+G30184-G30185-G30187,MAX(0,G30365))</f>
        <v>0</v>
      </c>
      <c r="H30188" s="16" t="n">
        <f aca="false">Assumptions!$N$57*MIN(H30179+H30186+H30184-H30185-H30187,MAX(0,H30365))</f>
        <v>0</v>
      </c>
      <c r="I30188" s="16" t="n">
        <f aca="false">Assumptions!$N$57*MIN(I30179+I30186+I30184-I30185-I30187,MAX(0,I30365))</f>
        <v>0</v>
      </c>
      <c r="J30188" s="16" t="n">
        <f aca="false">Assumptions!$N$57*MIN(J30179+J30186+J30184-J30185-J30187,MAX(0,J30365))</f>
        <v>0</v>
      </c>
      <c r="K30188" s="16" t="n">
        <f aca="false">Assumptions!$N$57*MIN(K30179+K30186+K30184-K30185-K30187,MAX(0,K30365))</f>
        <v>0</v>
      </c>
    </row>
    <row r="30189" customFormat="false" ht="15" hidden="false" customHeight="false" outlineLevel="0" collapsed="false">
      <c r="A30189" s="3" t="s">
        <v>338</v>
      </c>
      <c r="G30189" s="16" t="n">
        <f aca="false">G30180*(1-G30177)*(G30179-G30185+G30184-G30187)</f>
        <v>0</v>
      </c>
      <c r="H30189" s="16" t="n">
        <f aca="false">H30180*(1-H30177)*(H30179-H30185+H30184-H30187)</f>
        <v>0</v>
      </c>
      <c r="I30189" s="16" t="n">
        <f aca="false">I30180*(1-I30177)*(I30179-I30185+I30184-I30187)</f>
        <v>0</v>
      </c>
      <c r="J30189" s="16" t="n">
        <f aca="false">J30180*(1-J30177)*(J30179-J30185+J30184-J30187)</f>
        <v>0</v>
      </c>
      <c r="K30189" s="16" t="n">
        <f aca="false">K30180*(1-K30177)*(K30179-K30185+K30184-K30187)</f>
        <v>380</v>
      </c>
    </row>
    <row r="30190" customFormat="false" ht="15" hidden="false" customHeight="false" outlineLevel="0" collapsed="false">
      <c r="A30190" s="2" t="s">
        <v>339</v>
      </c>
      <c r="F30190" s="28" t="n">
        <f aca="false">Assumptions!$C$57</f>
        <v>400</v>
      </c>
      <c r="G30190" s="17" t="n">
        <f aca="false">G30179+G30186+G30184-G30185-G30187-G30188</f>
        <v>396</v>
      </c>
      <c r="H30190" s="17" t="n">
        <f aca="false">H30179+H30186+H30184-H30185-H30187-H30188</f>
        <v>392</v>
      </c>
      <c r="I30190" s="17" t="n">
        <f aca="false">I30179+I30186+I30184-I30185-I30187-I30188</f>
        <v>388</v>
      </c>
      <c r="J30190" s="17" t="n">
        <f aca="false">J30179+J30186+J30184-J30185-J30187-J30188</f>
        <v>384</v>
      </c>
      <c r="K30190" s="17" t="n">
        <f aca="false">K30179+K30186+K30184-K30185-K30187-K30188</f>
        <v>380</v>
      </c>
    </row>
    <row r="30191" customFormat="false" ht="15" hidden="false" customHeight="false" outlineLevel="0" collapsed="false">
      <c r="A30191" s="24" t="s">
        <v>340</v>
      </c>
      <c r="B30191" s="25"/>
      <c r="C30191" s="25"/>
      <c r="D30191" s="25"/>
      <c r="E30191" s="25"/>
      <c r="F30191" s="25"/>
      <c r="G30191" s="25"/>
      <c r="H30191" s="25"/>
      <c r="I30191" s="25"/>
      <c r="J30191" s="25"/>
      <c r="K30191" s="25"/>
    </row>
    <row r="30192" customFormat="false" ht="15" hidden="false" customHeight="false" outlineLevel="0" collapsed="false">
      <c r="A30192" s="3" t="s">
        <v>329</v>
      </c>
      <c r="G30192" s="16" t="n">
        <f aca="false">F30203</f>
        <v>90</v>
      </c>
      <c r="H30192" s="16" t="n">
        <f aca="false">G30203</f>
        <v>90</v>
      </c>
      <c r="I30192" s="16" t="n">
        <f aca="false">H30203</f>
        <v>90</v>
      </c>
      <c r="J30192" s="16" t="n">
        <f aca="false">I30203</f>
        <v>90</v>
      </c>
      <c r="K30192" s="16" t="n">
        <f aca="false">J30203</f>
        <v>90</v>
      </c>
    </row>
    <row r="30193" customFormat="false" ht="15" hidden="false" customHeight="false" outlineLevel="0" collapsed="false">
      <c r="A30193" s="3" t="s">
        <v>330</v>
      </c>
      <c r="G30193" s="21" t="n">
        <f aca="false">IF(G30143=Assumptions!$K$58,1,0)</f>
        <v>0</v>
      </c>
      <c r="H30193" s="21" t="n">
        <f aca="false">IF(H30143=Assumptions!$K$58,1,0)</f>
        <v>0</v>
      </c>
      <c r="I30193" s="21" t="n">
        <f aca="false">IF(I30143=Assumptions!$K$58,1,0)</f>
        <v>0</v>
      </c>
      <c r="J30193" s="21" t="n">
        <f aca="false">IF(J30143=Assumptions!$K$58,1,0)</f>
        <v>0</v>
      </c>
      <c r="K30193" s="21" t="n">
        <f aca="false">IF(K30143=Assumptions!$K$58,1,0)</f>
        <v>0</v>
      </c>
    </row>
    <row r="30195" customFormat="false" ht="15" hidden="false" customHeight="false" outlineLevel="0" collapsed="false">
      <c r="A30195" s="3" t="s">
        <v>331</v>
      </c>
      <c r="G30195" s="31" t="n">
        <f aca="false">IF(Assumptions!$I$58=1,MAX(G30169,Assumptions!$G$58)+Assumptions!$F$58+$C$30170,Assumptions!$E$58)</f>
        <v>0.0581</v>
      </c>
      <c r="H30195" s="31" t="n">
        <f aca="false">IF(G30490=1,$C$30171,IF(Assumptions!$I$58=1,MAX(H30169,Assumptions!$G$58)+Assumptions!$F$58+$C$30170,Assumptions!$E$58))</f>
        <v>0.0581</v>
      </c>
      <c r="I30195" s="31" t="n">
        <f aca="false">IF(H30490=1,$C$30171,IF(Assumptions!$I$58=1,MAX(I30169,Assumptions!$G$58)+Assumptions!$F$58+$C$30170,Assumptions!$E$58))</f>
        <v>0.0581</v>
      </c>
      <c r="J30195" s="31" t="n">
        <f aca="false">IF(I30490=1,$C$30171,IF(Assumptions!$I$58=1,MAX(J30169,Assumptions!$G$58)+Assumptions!$F$58+$C$30170,Assumptions!$E$58))</f>
        <v>0.0581</v>
      </c>
      <c r="K30195" s="31" t="n">
        <f aca="false">IF(J30490=1,$C$30171,IF(Assumptions!$I$58=1,MAX(K30169,Assumptions!$G$58)+Assumptions!$F$58+$C$30170,Assumptions!$E$58))</f>
        <v>0.0581</v>
      </c>
    </row>
    <row r="30196" customFormat="false" ht="15" hidden="false" customHeight="false" outlineLevel="0" collapsed="false">
      <c r="A30196" s="3" t="s">
        <v>332</v>
      </c>
      <c r="G30196" s="16" t="n">
        <f aca="false">G30192*G30195</f>
        <v>5.229</v>
      </c>
      <c r="H30196" s="16" t="n">
        <f aca="false">H30192*H30195</f>
        <v>5.229</v>
      </c>
      <c r="I30196" s="16" t="n">
        <f aca="false">I30192*I30195</f>
        <v>5.229</v>
      </c>
      <c r="J30196" s="16" t="n">
        <f aca="false">J30192*J30195</f>
        <v>5.229</v>
      </c>
      <c r="K30196" s="16" t="n">
        <f aca="false">K30192*K30195</f>
        <v>5.229</v>
      </c>
    </row>
    <row r="30197" customFormat="false" ht="15" hidden="false" customHeight="false" outlineLevel="0" collapsed="false">
      <c r="A30197" s="3" t="s">
        <v>333</v>
      </c>
      <c r="G30197" s="16" t="n">
        <f aca="false">G30192*Assumptions!$H$58</f>
        <v>0</v>
      </c>
      <c r="H30197" s="16" t="n">
        <f aca="false">H30192*Assumptions!$H$58</f>
        <v>0</v>
      </c>
      <c r="I30197" s="16" t="n">
        <f aca="false">I30192*Assumptions!$H$58</f>
        <v>0</v>
      </c>
      <c r="J30197" s="16" t="n">
        <f aca="false">J30192*Assumptions!$H$58</f>
        <v>0</v>
      </c>
      <c r="K30197" s="16" t="n">
        <f aca="false">K30192*Assumptions!$H$58</f>
        <v>0</v>
      </c>
    </row>
    <row r="30198" customFormat="false" ht="15" hidden="false" customHeight="false" outlineLevel="0" collapsed="false">
      <c r="A30198" s="3" t="s">
        <v>334</v>
      </c>
      <c r="G30198" s="16" t="n">
        <f aca="false">MIN(G30192,Assumptions!$L$58*Assumptions!$C$58)</f>
        <v>0</v>
      </c>
      <c r="H30198" s="16" t="n">
        <f aca="false">MIN(H30192,Assumptions!$L$58*Assumptions!$C$58)</f>
        <v>0</v>
      </c>
      <c r="I30198" s="16" t="n">
        <f aca="false">MIN(I30192,Assumptions!$L$58*Assumptions!$C$58)</f>
        <v>0</v>
      </c>
      <c r="J30198" s="16" t="n">
        <f aca="false">MIN(J30192,Assumptions!$L$58*Assumptions!$C$58)</f>
        <v>0</v>
      </c>
      <c r="K30198" s="16" t="n">
        <f aca="false">MIN(K30192,Assumptions!$L$58*Assumptions!$C$58)</f>
        <v>0</v>
      </c>
    </row>
    <row r="30199" customFormat="false" ht="15" hidden="false" customHeight="false" outlineLevel="0" collapsed="false">
      <c r="A30199" s="3" t="s">
        <v>335</v>
      </c>
      <c r="G30199" s="16" t="n">
        <f aca="false">IF(AND(Assumptions!$P$58=1,G30143&lt;Assumptions!$K$58),MIN(MAX(0,-G30359),MAX(0,Assumptions!$D$58-G30192)),0)</f>
        <v>0</v>
      </c>
      <c r="H30199" s="16" t="n">
        <f aca="false">IF(AND(Assumptions!$P$58=1,OR(H30143&lt;Assumptions!$K$58,G30490=1)),MIN(MAX(0,-H30359),MAX(0,Assumptions!$D$58-H30192)),0)</f>
        <v>0</v>
      </c>
      <c r="I30199" s="16" t="n">
        <f aca="false">IF(AND(Assumptions!$P$58=1,OR(I30143&lt;Assumptions!$K$58,H30490=1)),MIN(MAX(0,-I30359),MAX(0,Assumptions!$D$58-I30192)),0)</f>
        <v>0</v>
      </c>
      <c r="J30199" s="16" t="n">
        <f aca="false">IF(AND(Assumptions!$P$58=1,OR(J30143&lt;Assumptions!$K$58,I30490=1)),MIN(MAX(0,-J30359),MAX(0,Assumptions!$D$58-J30192)),0)</f>
        <v>0</v>
      </c>
      <c r="K30199" s="16" t="n">
        <f aca="false">IF(AND(Assumptions!$P$58=1,OR(K30143&lt;Assumptions!$K$58,J30490=1)),MIN(MAX(0,-K30359),MAX(0,Assumptions!$D$58-K30192)),0)</f>
        <v>0</v>
      </c>
    </row>
    <row r="30200" customFormat="false" ht="15" hidden="false" customHeight="false" outlineLevel="0" collapsed="false">
      <c r="A30200" s="3" t="s">
        <v>336</v>
      </c>
      <c r="G30200" s="16" t="n">
        <f aca="false">G30193*MIN(G30192-G30198+G30197,MAX(0,G30361-Assumptions!$C$12*G30177-G30187))</f>
        <v>0</v>
      </c>
      <c r="H30200" s="16" t="n">
        <f aca="false">H30193*MIN(H30192-H30198+H30197,MAX(0,H30361-Assumptions!$C$12*H30177-H30187))</f>
        <v>0</v>
      </c>
      <c r="I30200" s="16" t="n">
        <f aca="false">I30193*MIN(I30192-I30198+I30197,MAX(0,I30361-Assumptions!$C$12*I30177-I30187))</f>
        <v>0</v>
      </c>
      <c r="J30200" s="16" t="n">
        <f aca="false">J30193*MIN(J30192-J30198+J30197,MAX(0,J30361-Assumptions!$C$12*J30177-J30187))</f>
        <v>0</v>
      </c>
      <c r="K30200" s="16" t="n">
        <f aca="false">K30193*MIN(K30192-K30198+K30197,MAX(0,K30361-Assumptions!$C$12*K30177-K30187))</f>
        <v>0</v>
      </c>
    </row>
    <row r="30201" customFormat="false" ht="15" hidden="false" customHeight="false" outlineLevel="0" collapsed="false">
      <c r="A30201" s="3" t="s">
        <v>337</v>
      </c>
      <c r="G30201" s="16" t="n">
        <f aca="false">Assumptions!$N$58*MIN(G30192+G30199+G30197-G30198-G30200,MAX(0,G30365-G30188))</f>
        <v>0</v>
      </c>
      <c r="H30201" s="16" t="n">
        <f aca="false">Assumptions!$N$58*MIN(H30192+H30199+H30197-H30198-H30200,MAX(0,H30365-H30188))</f>
        <v>0</v>
      </c>
      <c r="I30201" s="16" t="n">
        <f aca="false">Assumptions!$N$58*MIN(I30192+I30199+I30197-I30198-I30200,MAX(0,I30365-I30188))</f>
        <v>0</v>
      </c>
      <c r="J30201" s="16" t="n">
        <f aca="false">Assumptions!$N$58*MIN(J30192+J30199+J30197-J30198-J30200,MAX(0,J30365-J30188))</f>
        <v>0</v>
      </c>
      <c r="K30201" s="16" t="n">
        <f aca="false">Assumptions!$N$58*MIN(K30192+K30199+K30197-K30198-K30200,MAX(0,K30365-K30188))</f>
        <v>0</v>
      </c>
    </row>
    <row r="30202" customFormat="false" ht="15" hidden="false" customHeight="false" outlineLevel="0" collapsed="false">
      <c r="A30202" s="3" t="s">
        <v>338</v>
      </c>
      <c r="G30202" s="16" t="n">
        <f aca="false">G30193*(1-G30177)*(G30192-G30198+G30197-G30200)</f>
        <v>0</v>
      </c>
      <c r="H30202" s="16" t="n">
        <f aca="false">H30193*(1-H30177)*(H30192-H30198+H30197-H30200)</f>
        <v>0</v>
      </c>
      <c r="I30202" s="16" t="n">
        <f aca="false">I30193*(1-I30177)*(I30192-I30198+I30197-I30200)</f>
        <v>0</v>
      </c>
      <c r="J30202" s="16" t="n">
        <f aca="false">J30193*(1-J30177)*(J30192-J30198+J30197-J30200)</f>
        <v>0</v>
      </c>
      <c r="K30202" s="16" t="n">
        <f aca="false">K30193*(1-K30177)*(K30192-K30198+K30197-K30200)</f>
        <v>0</v>
      </c>
    </row>
    <row r="30203" customFormat="false" ht="15" hidden="false" customHeight="false" outlineLevel="0" collapsed="false">
      <c r="A30203" s="2" t="s">
        <v>339</v>
      </c>
      <c r="F30203" s="28" t="n">
        <f aca="false">Assumptions!$C$58</f>
        <v>90</v>
      </c>
      <c r="G30203" s="17" t="n">
        <f aca="false">G30192+G30199+G30197-G30198-G30200-G30201</f>
        <v>90</v>
      </c>
      <c r="H30203" s="17" t="n">
        <f aca="false">H30192+H30199+H30197-H30198-H30200-H30201</f>
        <v>90</v>
      </c>
      <c r="I30203" s="17" t="n">
        <f aca="false">I30192+I30199+I30197-I30198-I30200-I30201</f>
        <v>90</v>
      </c>
      <c r="J30203" s="17" t="n">
        <f aca="false">J30192+J30199+J30197-J30198-J30200-J30201</f>
        <v>90</v>
      </c>
      <c r="K30203" s="17" t="n">
        <f aca="false">K30192+K30199+K30197-K30198-K30200-K30201</f>
        <v>90</v>
      </c>
    </row>
    <row r="30204" customFormat="false" ht="15" hidden="false" customHeight="false" outlineLevel="0" collapsed="false">
      <c r="A30204" s="24" t="s">
        <v>341</v>
      </c>
      <c r="B30204" s="25"/>
      <c r="C30204" s="25"/>
      <c r="D30204" s="25"/>
      <c r="E30204" s="25"/>
      <c r="F30204" s="25"/>
      <c r="G30204" s="25"/>
      <c r="H30204" s="25"/>
      <c r="I30204" s="25"/>
      <c r="J30204" s="25"/>
      <c r="K30204" s="25"/>
    </row>
    <row r="30205" customFormat="false" ht="15" hidden="false" customHeight="false" outlineLevel="0" collapsed="false">
      <c r="A30205" s="3" t="s">
        <v>329</v>
      </c>
      <c r="G30205" s="16" t="n">
        <f aca="false">F30216</f>
        <v>57.324</v>
      </c>
      <c r="H30205" s="16" t="n">
        <f aca="false">G30216</f>
        <v>57.324</v>
      </c>
      <c r="I30205" s="16" t="n">
        <f aca="false">H30216</f>
        <v>57.324</v>
      </c>
      <c r="J30205" s="16" t="n">
        <f aca="false">I30216</f>
        <v>57.324</v>
      </c>
      <c r="K30205" s="16" t="n">
        <f aca="false">J30216</f>
        <v>57.324</v>
      </c>
    </row>
    <row r="30206" customFormat="false" ht="15" hidden="false" customHeight="false" outlineLevel="0" collapsed="false">
      <c r="A30206" s="3" t="s">
        <v>330</v>
      </c>
      <c r="G30206" s="21" t="n">
        <f aca="false">IF(G30143=Assumptions!$K$59,1,0)</f>
        <v>0</v>
      </c>
      <c r="H30206" s="21" t="n">
        <f aca="false">IF(H30143=Assumptions!$K$59,1,0)</f>
        <v>0</v>
      </c>
      <c r="I30206" s="21" t="n">
        <f aca="false">IF(I30143=Assumptions!$K$59,1,0)</f>
        <v>0</v>
      </c>
      <c r="J30206" s="21" t="n">
        <f aca="false">IF(J30143=Assumptions!$K$59,1,0)</f>
        <v>0</v>
      </c>
      <c r="K30206" s="21" t="n">
        <f aca="false">IF(K30143=Assumptions!$K$59,1,0)</f>
        <v>0</v>
      </c>
    </row>
    <row r="30208" customFormat="false" ht="15" hidden="false" customHeight="false" outlineLevel="0" collapsed="false">
      <c r="A30208" s="3" t="s">
        <v>331</v>
      </c>
      <c r="G30208" s="31" t="n">
        <f aca="false">IF(Assumptions!$I$59=1,MAX(G30169,Assumptions!$G$59)+Assumptions!$F$59+$C$30170,Assumptions!$E$59)</f>
        <v>0.0731</v>
      </c>
      <c r="H30208" s="31" t="n">
        <f aca="false">IF(G30491=1,$C$30171,IF(Assumptions!$I$59=1,MAX(H30169,Assumptions!$G$59)+Assumptions!$F$59+$C$30170,Assumptions!$E$59))</f>
        <v>0.0731</v>
      </c>
      <c r="I30208" s="31" t="n">
        <f aca="false">IF(H30491=1,$C$30171,IF(Assumptions!$I$59=1,MAX(I30169,Assumptions!$G$59)+Assumptions!$F$59+$C$30170,Assumptions!$E$59))</f>
        <v>0.0731</v>
      </c>
      <c r="J30208" s="31" t="n">
        <f aca="false">IF(I30491=1,$C$30171,IF(Assumptions!$I$59=1,MAX(J30169,Assumptions!$G$59)+Assumptions!$F$59+$C$30170,Assumptions!$E$59))</f>
        <v>0.0731</v>
      </c>
      <c r="K30208" s="31" t="n">
        <f aca="false">IF(J30491=1,$C$30171,IF(Assumptions!$I$59=1,MAX(K30169,Assumptions!$G$59)+Assumptions!$F$59+$C$30170,Assumptions!$E$59))</f>
        <v>0.0731</v>
      </c>
    </row>
    <row r="30209" customFormat="false" ht="15" hidden="false" customHeight="false" outlineLevel="0" collapsed="false">
      <c r="A30209" s="3" t="s">
        <v>332</v>
      </c>
      <c r="G30209" s="16" t="n">
        <f aca="false">G30205*G30208</f>
        <v>4.1903844</v>
      </c>
      <c r="H30209" s="16" t="n">
        <f aca="false">H30205*H30208</f>
        <v>4.1903844</v>
      </c>
      <c r="I30209" s="16" t="n">
        <f aca="false">I30205*I30208</f>
        <v>4.1903844</v>
      </c>
      <c r="J30209" s="16" t="n">
        <f aca="false">J30205*J30208</f>
        <v>4.1903844</v>
      </c>
      <c r="K30209" s="16" t="n">
        <f aca="false">K30205*K30208</f>
        <v>4.1903844</v>
      </c>
    </row>
    <row r="30210" customFormat="false" ht="15" hidden="false" customHeight="false" outlineLevel="0" collapsed="false">
      <c r="A30210" s="3" t="s">
        <v>333</v>
      </c>
      <c r="G30210" s="16" t="n">
        <f aca="false">G30205*Assumptions!$H$59</f>
        <v>0</v>
      </c>
      <c r="H30210" s="16" t="n">
        <f aca="false">H30205*Assumptions!$H$59</f>
        <v>0</v>
      </c>
      <c r="I30210" s="16" t="n">
        <f aca="false">I30205*Assumptions!$H$59</f>
        <v>0</v>
      </c>
      <c r="J30210" s="16" t="n">
        <f aca="false">J30205*Assumptions!$H$59</f>
        <v>0</v>
      </c>
      <c r="K30210" s="16" t="n">
        <f aca="false">K30205*Assumptions!$H$59</f>
        <v>0</v>
      </c>
    </row>
    <row r="30211" customFormat="false" ht="15" hidden="false" customHeight="false" outlineLevel="0" collapsed="false">
      <c r="A30211" s="3" t="s">
        <v>334</v>
      </c>
      <c r="G30211" s="16" t="n">
        <f aca="false">MIN(G30205,Assumptions!$L$59*Assumptions!$C$59)</f>
        <v>0</v>
      </c>
      <c r="H30211" s="16" t="n">
        <f aca="false">MIN(H30205,Assumptions!$L$59*Assumptions!$C$59)</f>
        <v>0</v>
      </c>
      <c r="I30211" s="16" t="n">
        <f aca="false">MIN(I30205,Assumptions!$L$59*Assumptions!$C$59)</f>
        <v>0</v>
      </c>
      <c r="J30211" s="16" t="n">
        <f aca="false">MIN(J30205,Assumptions!$L$59*Assumptions!$C$59)</f>
        <v>0</v>
      </c>
      <c r="K30211" s="16" t="n">
        <f aca="false">MIN(K30205,Assumptions!$L$59*Assumptions!$C$59)</f>
        <v>0</v>
      </c>
    </row>
    <row r="30212" customFormat="false" ht="15" hidden="false" customHeight="false" outlineLevel="0" collapsed="false">
      <c r="A30212" s="3" t="s">
        <v>335</v>
      </c>
      <c r="G30212" s="16" t="n">
        <f aca="false">IF(AND(Assumptions!$P$59=1,G30143&lt;Assumptions!$K$59),MIN(MAX(0,-G30359),MAX(0,Assumptions!$D$59-G30205)),0)</f>
        <v>0</v>
      </c>
      <c r="H30212" s="16" t="n">
        <f aca="false">IF(AND(Assumptions!$P$59=1,OR(H30143&lt;Assumptions!$K$59,G30491=1)),MIN(MAX(0,-H30359),MAX(0,Assumptions!$D$59-H30205)),0)</f>
        <v>0</v>
      </c>
      <c r="I30212" s="16" t="n">
        <f aca="false">IF(AND(Assumptions!$P$59=1,OR(I30143&lt;Assumptions!$K$59,H30491=1)),MIN(MAX(0,-I30359),MAX(0,Assumptions!$D$59-I30205)),0)</f>
        <v>0</v>
      </c>
      <c r="J30212" s="16" t="n">
        <f aca="false">IF(AND(Assumptions!$P$59=1,OR(J30143&lt;Assumptions!$K$59,I30491=1)),MIN(MAX(0,-J30359),MAX(0,Assumptions!$D$59-J30205)),0)</f>
        <v>0</v>
      </c>
      <c r="K30212" s="16" t="n">
        <f aca="false">IF(AND(Assumptions!$P$59=1,OR(K30143&lt;Assumptions!$K$59,J30491=1)),MIN(MAX(0,-K30359),MAX(0,Assumptions!$D$59-K30205)),0)</f>
        <v>0</v>
      </c>
    </row>
    <row r="30213" customFormat="false" ht="15" hidden="false" customHeight="false" outlineLevel="0" collapsed="false">
      <c r="A30213" s="3" t="s">
        <v>336</v>
      </c>
      <c r="G30213" s="16" t="n">
        <f aca="false">G30206*MIN(G30205-G30211+G30210,MAX(0,G30361-Assumptions!$C$12*G30177-G30187-G30200))</f>
        <v>0</v>
      </c>
      <c r="H30213" s="16" t="n">
        <f aca="false">H30206*MIN(H30205-H30211+H30210,MAX(0,H30361-Assumptions!$C$12*H30177-H30187-H30200))</f>
        <v>0</v>
      </c>
      <c r="I30213" s="16" t="n">
        <f aca="false">I30206*MIN(I30205-I30211+I30210,MAX(0,I30361-Assumptions!$C$12*I30177-I30187-I30200))</f>
        <v>0</v>
      </c>
      <c r="J30213" s="16" t="n">
        <f aca="false">J30206*MIN(J30205-J30211+J30210,MAX(0,J30361-Assumptions!$C$12*J30177-J30187-J30200))</f>
        <v>0</v>
      </c>
      <c r="K30213" s="16" t="n">
        <f aca="false">K30206*MIN(K30205-K30211+K30210,MAX(0,K30361-Assumptions!$C$12*K30177-K30187-K30200))</f>
        <v>0</v>
      </c>
    </row>
    <row r="30214" customFormat="false" ht="15" hidden="false" customHeight="false" outlineLevel="0" collapsed="false">
      <c r="A30214" s="3" t="s">
        <v>337</v>
      </c>
      <c r="G30214" s="16" t="n">
        <f aca="false">Assumptions!$N$59*MIN(G30205+G30212+G30210-G30211-G30213,MAX(0,G30365-G30188-G30201))</f>
        <v>0</v>
      </c>
      <c r="H30214" s="16" t="n">
        <f aca="false">Assumptions!$N$59*MIN(H30205+H30212+H30210-H30211-H30213,MAX(0,H30365-H30188-H30201))</f>
        <v>0</v>
      </c>
      <c r="I30214" s="16" t="n">
        <f aca="false">Assumptions!$N$59*MIN(I30205+I30212+I30210-I30211-I30213,MAX(0,I30365-I30188-I30201))</f>
        <v>0</v>
      </c>
      <c r="J30214" s="16" t="n">
        <f aca="false">Assumptions!$N$59*MIN(J30205+J30212+J30210-J30211-J30213,MAX(0,J30365-J30188-J30201))</f>
        <v>0</v>
      </c>
      <c r="K30214" s="16" t="n">
        <f aca="false">Assumptions!$N$59*MIN(K30205+K30212+K30210-K30211-K30213,MAX(0,K30365-K30188-K30201))</f>
        <v>0</v>
      </c>
    </row>
    <row r="30215" customFormat="false" ht="15" hidden="false" customHeight="false" outlineLevel="0" collapsed="false">
      <c r="A30215" s="3" t="s">
        <v>338</v>
      </c>
      <c r="G30215" s="16" t="n">
        <f aca="false">G30206*(1-G30177)*(G30205-G30211+G30210-G30213)</f>
        <v>0</v>
      </c>
      <c r="H30215" s="16" t="n">
        <f aca="false">H30206*(1-H30177)*(H30205-H30211+H30210-H30213)</f>
        <v>0</v>
      </c>
      <c r="I30215" s="16" t="n">
        <f aca="false">I30206*(1-I30177)*(I30205-I30211+I30210-I30213)</f>
        <v>0</v>
      </c>
      <c r="J30215" s="16" t="n">
        <f aca="false">J30206*(1-J30177)*(J30205-J30211+J30210-J30213)</f>
        <v>0</v>
      </c>
      <c r="K30215" s="16" t="n">
        <f aca="false">K30206*(1-K30177)*(K30205-K30211+K30210-K30213)</f>
        <v>0</v>
      </c>
    </row>
    <row r="30216" customFormat="false" ht="15" hidden="false" customHeight="false" outlineLevel="0" collapsed="false">
      <c r="A30216" s="2" t="s">
        <v>339</v>
      </c>
      <c r="F30216" s="28" t="n">
        <f aca="false">Assumptions!$C$59</f>
        <v>57.324</v>
      </c>
      <c r="G30216" s="17" t="n">
        <f aca="false">G30205+G30212+G30210-G30211-G30213-G30214</f>
        <v>57.324</v>
      </c>
      <c r="H30216" s="17" t="n">
        <f aca="false">H30205+H30212+H30210-H30211-H30213-H30214</f>
        <v>57.324</v>
      </c>
      <c r="I30216" s="17" t="n">
        <f aca="false">I30205+I30212+I30210-I30211-I30213-I30214</f>
        <v>57.324</v>
      </c>
      <c r="J30216" s="17" t="n">
        <f aca="false">J30205+J30212+J30210-J30211-J30213-J30214</f>
        <v>57.324</v>
      </c>
      <c r="K30216" s="17" t="n">
        <f aca="false">K30205+K30212+K30210-K30211-K30213-K30214</f>
        <v>57.324</v>
      </c>
    </row>
    <row r="30217" customFormat="false" ht="15" hidden="false" customHeight="false" outlineLevel="0" collapsed="false">
      <c r="A30217" s="24" t="s">
        <v>342</v>
      </c>
      <c r="B30217" s="25"/>
      <c r="C30217" s="25"/>
      <c r="D30217" s="25"/>
      <c r="E30217" s="25"/>
      <c r="F30217" s="25"/>
      <c r="G30217" s="25"/>
      <c r="H30217" s="25"/>
      <c r="I30217" s="25"/>
      <c r="J30217" s="25"/>
      <c r="K30217" s="25"/>
    </row>
    <row r="30218" customFormat="false" ht="15" hidden="false" customHeight="false" outlineLevel="0" collapsed="false">
      <c r="A30218" s="3" t="s">
        <v>329</v>
      </c>
      <c r="G30218" s="16" t="n">
        <f aca="false">F30229</f>
        <v>0</v>
      </c>
      <c r="H30218" s="16" t="n">
        <f aca="false">G30229</f>
        <v>0</v>
      </c>
      <c r="I30218" s="16" t="n">
        <f aca="false">H30229</f>
        <v>0</v>
      </c>
      <c r="J30218" s="16" t="n">
        <f aca="false">I30229</f>
        <v>0</v>
      </c>
      <c r="K30218" s="16" t="n">
        <f aca="false">J30229</f>
        <v>0</v>
      </c>
    </row>
    <row r="30219" customFormat="false" ht="15" hidden="false" customHeight="false" outlineLevel="0" collapsed="false">
      <c r="A30219" s="3" t="s">
        <v>330</v>
      </c>
      <c r="G30219" s="21" t="n">
        <f aca="false">IF(G30143=Assumptions!$K$60,1,0)</f>
        <v>1</v>
      </c>
      <c r="H30219" s="21" t="n">
        <f aca="false">IF(H30143=Assumptions!$K$60,1,0)</f>
        <v>0</v>
      </c>
      <c r="I30219" s="21" t="n">
        <f aca="false">IF(I30143=Assumptions!$K$60,1,0)</f>
        <v>0</v>
      </c>
      <c r="J30219" s="21" t="n">
        <f aca="false">IF(J30143=Assumptions!$K$60,1,0)</f>
        <v>0</v>
      </c>
      <c r="K30219" s="21" t="n">
        <f aca="false">IF(K30143=Assumptions!$K$60,1,0)</f>
        <v>0</v>
      </c>
    </row>
    <row r="30221" customFormat="false" ht="15" hidden="false" customHeight="false" outlineLevel="0" collapsed="false">
      <c r="A30221" s="3" t="s">
        <v>331</v>
      </c>
      <c r="G30221" s="31" t="n">
        <f aca="false">IF(Assumptions!$I$60=1,MAX(G30169,Assumptions!$G$60)+Assumptions!$F$60+$C$30170,Assumptions!$E$60)</f>
        <v>0.094</v>
      </c>
      <c r="H30221" s="31" t="n">
        <f aca="false">IF(G30492=1,$C$30171,IF(Assumptions!$I$60=1,MAX(H30169,Assumptions!$G$60)+Assumptions!$F$60+$C$30170,Assumptions!$E$60))</f>
        <v>0.0925</v>
      </c>
      <c r="I30221" s="31" t="n">
        <f aca="false">IF(H30492=1,$C$30171,IF(Assumptions!$I$60=1,MAX(I30169,Assumptions!$G$60)+Assumptions!$F$60+$C$30170,Assumptions!$E$60))</f>
        <v>0.09</v>
      </c>
      <c r="J30221" s="31" t="n">
        <f aca="false">IF(I30492=1,$C$30171,IF(Assumptions!$I$60=1,MAX(J30169,Assumptions!$G$60)+Assumptions!$F$60+$C$30170,Assumptions!$E$60))</f>
        <v>0.09</v>
      </c>
      <c r="K30221" s="31" t="n">
        <f aca="false">IF(J30492=1,$C$30171,IF(Assumptions!$I$60=1,MAX(K30169,Assumptions!$G$60)+Assumptions!$F$60+$C$30170,Assumptions!$E$60))</f>
        <v>0.09</v>
      </c>
    </row>
    <row r="30222" customFormat="false" ht="15" hidden="false" customHeight="false" outlineLevel="0" collapsed="false">
      <c r="A30222" s="3" t="s">
        <v>332</v>
      </c>
      <c r="G30222" s="16" t="n">
        <f aca="false">G30218*G30221</f>
        <v>0</v>
      </c>
      <c r="H30222" s="16" t="n">
        <f aca="false">H30218*H30221</f>
        <v>0</v>
      </c>
      <c r="I30222" s="16" t="n">
        <f aca="false">I30218*I30221</f>
        <v>0</v>
      </c>
      <c r="J30222" s="16" t="n">
        <f aca="false">J30218*J30221</f>
        <v>0</v>
      </c>
      <c r="K30222" s="16" t="n">
        <f aca="false">K30218*K30221</f>
        <v>0</v>
      </c>
    </row>
    <row r="30223" customFormat="false" ht="15" hidden="false" customHeight="false" outlineLevel="0" collapsed="false">
      <c r="A30223" s="3" t="s">
        <v>333</v>
      </c>
      <c r="G30223" s="16" t="n">
        <f aca="false">G30218*Assumptions!$H$60</f>
        <v>0</v>
      </c>
      <c r="H30223" s="16" t="n">
        <f aca="false">H30218*Assumptions!$H$60</f>
        <v>0</v>
      </c>
      <c r="I30223" s="16" t="n">
        <f aca="false">I30218*Assumptions!$H$60</f>
        <v>0</v>
      </c>
      <c r="J30223" s="16" t="n">
        <f aca="false">J30218*Assumptions!$H$60</f>
        <v>0</v>
      </c>
      <c r="K30223" s="16" t="n">
        <f aca="false">K30218*Assumptions!$H$60</f>
        <v>0</v>
      </c>
    </row>
    <row r="30224" customFormat="false" ht="15" hidden="false" customHeight="false" outlineLevel="0" collapsed="false">
      <c r="A30224" s="3" t="s">
        <v>334</v>
      </c>
      <c r="G30224" s="16" t="n">
        <f aca="false">MIN(G30218,Assumptions!$L$60*Assumptions!$C$60)</f>
        <v>0</v>
      </c>
      <c r="H30224" s="16" t="n">
        <f aca="false">MIN(H30218,Assumptions!$L$60*Assumptions!$C$60)</f>
        <v>0</v>
      </c>
      <c r="I30224" s="16" t="n">
        <f aca="false">MIN(I30218,Assumptions!$L$60*Assumptions!$C$60)</f>
        <v>0</v>
      </c>
      <c r="J30224" s="16" t="n">
        <f aca="false">MIN(J30218,Assumptions!$L$60*Assumptions!$C$60)</f>
        <v>0</v>
      </c>
      <c r="K30224" s="16" t="n">
        <f aca="false">MIN(K30218,Assumptions!$L$60*Assumptions!$C$60)</f>
        <v>0</v>
      </c>
    </row>
    <row r="30225" customFormat="false" ht="15" hidden="false" customHeight="false" outlineLevel="0" collapsed="false">
      <c r="A30225" s="3" t="s">
        <v>335</v>
      </c>
      <c r="G30225" s="16" t="n">
        <f aca="false">IF(AND(Assumptions!$P$60=1,G30143&lt;Assumptions!$K$60),MIN(MAX(0,-G30359),MAX(0,Assumptions!$D$60-G30218)),0)</f>
        <v>0</v>
      </c>
      <c r="H30225" s="16" t="n">
        <f aca="false">IF(AND(Assumptions!$P$60=1,OR(H30143&lt;Assumptions!$K$60,G30492=1)),MIN(MAX(0,-H30359),MAX(0,Assumptions!$D$60-H30218)),0)</f>
        <v>0</v>
      </c>
      <c r="I30225" s="16" t="n">
        <f aca="false">IF(AND(Assumptions!$P$60=1,OR(I30143&lt;Assumptions!$K$60,H30492=1)),MIN(MAX(0,-I30359),MAX(0,Assumptions!$D$60-I30218)),0)</f>
        <v>0</v>
      </c>
      <c r="J30225" s="16" t="n">
        <f aca="false">IF(AND(Assumptions!$P$60=1,OR(J30143&lt;Assumptions!$K$60,I30492=1)),MIN(MAX(0,-J30359),MAX(0,Assumptions!$D$60-J30218)),0)</f>
        <v>0</v>
      </c>
      <c r="K30225" s="16" t="n">
        <f aca="false">IF(AND(Assumptions!$P$60=1,OR(K30143&lt;Assumptions!$K$60,J30492=1)),MIN(MAX(0,-K30359),MAX(0,Assumptions!$D$60-K30218)),0)</f>
        <v>0</v>
      </c>
    </row>
    <row r="30226" customFormat="false" ht="15" hidden="false" customHeight="false" outlineLevel="0" collapsed="false">
      <c r="A30226" s="3" t="s">
        <v>336</v>
      </c>
      <c r="G30226" s="16" t="n">
        <f aca="false">G30219*MIN(G30218-G30224+G30223,MAX(0,G30361-Assumptions!$C$12*G30177-G30187-G30200-G30213))</f>
        <v>0</v>
      </c>
      <c r="H30226" s="16" t="n">
        <f aca="false">H30219*MIN(H30218-H30224+H30223,MAX(0,H30361-Assumptions!$C$12*H30177-H30187-H30200-H30213))</f>
        <v>0</v>
      </c>
      <c r="I30226" s="16" t="n">
        <f aca="false">I30219*MIN(I30218-I30224+I30223,MAX(0,I30361-Assumptions!$C$12*I30177-I30187-I30200-I30213))</f>
        <v>0</v>
      </c>
      <c r="J30226" s="16" t="n">
        <f aca="false">J30219*MIN(J30218-J30224+J30223,MAX(0,J30361-Assumptions!$C$12*J30177-J30187-J30200-J30213))</f>
        <v>0</v>
      </c>
      <c r="K30226" s="16" t="n">
        <f aca="false">K30219*MIN(K30218-K30224+K30223,MAX(0,K30361-Assumptions!$C$12*K30177-K30187-K30200-K30213))</f>
        <v>0</v>
      </c>
    </row>
    <row r="30227" customFormat="false" ht="15" hidden="false" customHeight="false" outlineLevel="0" collapsed="false">
      <c r="A30227" s="3" t="s">
        <v>337</v>
      </c>
      <c r="G30227" s="16" t="n">
        <f aca="false">Assumptions!$N$60*MIN(G30218+G30225+G30223-G30224-G30226,MAX(0,G30365-G30188-G30201-G30214))</f>
        <v>0</v>
      </c>
      <c r="H30227" s="16" t="n">
        <f aca="false">Assumptions!$N$60*MIN(H30218+H30225+H30223-H30224-H30226,MAX(0,H30365-H30188-H30201-H30214))</f>
        <v>0</v>
      </c>
      <c r="I30227" s="16" t="n">
        <f aca="false">Assumptions!$N$60*MIN(I30218+I30225+I30223-I30224-I30226,MAX(0,I30365-I30188-I30201-I30214))</f>
        <v>0</v>
      </c>
      <c r="J30227" s="16" t="n">
        <f aca="false">Assumptions!$N$60*MIN(J30218+J30225+J30223-J30224-J30226,MAX(0,J30365-J30188-J30201-J30214))</f>
        <v>0</v>
      </c>
      <c r="K30227" s="16" t="n">
        <f aca="false">Assumptions!$N$60*MIN(K30218+K30225+K30223-K30224-K30226,MAX(0,K30365-K30188-K30201-K30214))</f>
        <v>0</v>
      </c>
    </row>
    <row r="30228" customFormat="false" ht="15" hidden="false" customHeight="false" outlineLevel="0" collapsed="false">
      <c r="A30228" s="3" t="s">
        <v>338</v>
      </c>
      <c r="G30228" s="16" t="n">
        <f aca="false">G30219*(1-G30177)*(G30218-G30224+G30223-G30226)</f>
        <v>0</v>
      </c>
      <c r="H30228" s="16" t="n">
        <f aca="false">H30219*(1-H30177)*(H30218-H30224+H30223-H30226)</f>
        <v>0</v>
      </c>
      <c r="I30228" s="16" t="n">
        <f aca="false">I30219*(1-I30177)*(I30218-I30224+I30223-I30226)</f>
        <v>0</v>
      </c>
      <c r="J30228" s="16" t="n">
        <f aca="false">J30219*(1-J30177)*(J30218-J30224+J30223-J30226)</f>
        <v>0</v>
      </c>
      <c r="K30228" s="16" t="n">
        <f aca="false">K30219*(1-K30177)*(K30218-K30224+K30223-K30226)</f>
        <v>0</v>
      </c>
    </row>
    <row r="30229" customFormat="false" ht="15" hidden="false" customHeight="false" outlineLevel="0" collapsed="false">
      <c r="A30229" s="2" t="s">
        <v>339</v>
      </c>
      <c r="F30229" s="28" t="n">
        <f aca="false">Assumptions!$C$60</f>
        <v>0</v>
      </c>
      <c r="G30229" s="17" t="n">
        <f aca="false">G30218+G30225+G30223-G30224-G30226-G30227</f>
        <v>0</v>
      </c>
      <c r="H30229" s="17" t="n">
        <f aca="false">H30218+H30225+H30223-H30224-H30226-H30227</f>
        <v>0</v>
      </c>
      <c r="I30229" s="17" t="n">
        <f aca="false">I30218+I30225+I30223-I30224-I30226-I30227</f>
        <v>0</v>
      </c>
      <c r="J30229" s="17" t="n">
        <f aca="false">J30218+J30225+J30223-J30224-J30226-J30227</f>
        <v>0</v>
      </c>
      <c r="K30229" s="17" t="n">
        <f aca="false">K30218+K30225+K30223-K30224-K30226-K30227</f>
        <v>0</v>
      </c>
    </row>
    <row r="30230" customFormat="false" ht="15" hidden="false" customHeight="false" outlineLevel="0" collapsed="false">
      <c r="A30230" s="24" t="s">
        <v>343</v>
      </c>
      <c r="B30230" s="25"/>
      <c r="C30230" s="25"/>
      <c r="D30230" s="25"/>
      <c r="E30230" s="25"/>
      <c r="F30230" s="25"/>
      <c r="G30230" s="25"/>
      <c r="H30230" s="25"/>
      <c r="I30230" s="25"/>
      <c r="J30230" s="25"/>
      <c r="K30230" s="25"/>
    </row>
    <row r="30231" customFormat="false" ht="15" hidden="false" customHeight="false" outlineLevel="0" collapsed="false">
      <c r="A30231" s="3" t="s">
        <v>329</v>
      </c>
      <c r="G30231" s="16" t="n">
        <f aca="false">F30242</f>
        <v>450</v>
      </c>
      <c r="H30231" s="16" t="n">
        <f aca="false">G30242</f>
        <v>450</v>
      </c>
      <c r="I30231" s="16" t="n">
        <f aca="false">H30242</f>
        <v>444.4869587</v>
      </c>
      <c r="J30231" s="16" t="n">
        <f aca="false">I30242</f>
        <v>444.4869587</v>
      </c>
      <c r="K30231" s="16" t="n">
        <f aca="false">J30242</f>
        <v>444.4869587</v>
      </c>
    </row>
    <row r="30232" customFormat="false" ht="15" hidden="false" customHeight="false" outlineLevel="0" collapsed="false">
      <c r="A30232" s="3" t="s">
        <v>330</v>
      </c>
      <c r="G30232" s="21" t="n">
        <f aca="false">IF(G30143=Assumptions!$K$61,1,0)</f>
        <v>0</v>
      </c>
      <c r="H30232" s="21" t="n">
        <f aca="false">IF(H30143=Assumptions!$K$61,1,0)</f>
        <v>1</v>
      </c>
      <c r="I30232" s="21" t="n">
        <f aca="false">IF(I30143=Assumptions!$K$61,1,0)</f>
        <v>0</v>
      </c>
      <c r="J30232" s="21" t="n">
        <f aca="false">IF(J30143=Assumptions!$K$61,1,0)</f>
        <v>0</v>
      </c>
      <c r="K30232" s="21" t="n">
        <f aca="false">IF(K30143=Assumptions!$K$61,1,0)</f>
        <v>0</v>
      </c>
    </row>
    <row r="30234" customFormat="false" ht="15" hidden="false" customHeight="false" outlineLevel="0" collapsed="false">
      <c r="A30234" s="3" t="s">
        <v>331</v>
      </c>
      <c r="G30234" s="31" t="n">
        <f aca="false">IF(Assumptions!$I$61=1,MAX(G30169,Assumptions!$G$61)+Assumptions!$F$61+$C$30170,Assumptions!$E$61)</f>
        <v>0.0395</v>
      </c>
      <c r="H30234" s="31" t="n">
        <f aca="false">IF(G30493=1,$C$30171,IF(Assumptions!$I$61=1,MAX(H30169,Assumptions!$G$61)+Assumptions!$F$61+$C$30170,Assumptions!$E$61))</f>
        <v>0.0395</v>
      </c>
      <c r="I30234" s="31" t="n">
        <f aca="false">IF(H30493=1,$C$30171,IF(Assumptions!$I$61=1,MAX(I30169,Assumptions!$G$61)+Assumptions!$F$61+$C$30170,Assumptions!$E$61))</f>
        <v>0.0395</v>
      </c>
      <c r="J30234" s="31" t="n">
        <f aca="false">IF(I30493=1,$C$30171,IF(Assumptions!$I$61=1,MAX(J30169,Assumptions!$G$61)+Assumptions!$F$61+$C$30170,Assumptions!$E$61))</f>
        <v>0.0395</v>
      </c>
      <c r="K30234" s="31" t="n">
        <f aca="false">IF(J30493=1,$C$30171,IF(Assumptions!$I$61=1,MAX(K30169,Assumptions!$G$61)+Assumptions!$F$61+$C$30170,Assumptions!$E$61))</f>
        <v>0.0395</v>
      </c>
    </row>
    <row r="30235" customFormat="false" ht="15" hidden="false" customHeight="false" outlineLevel="0" collapsed="false">
      <c r="A30235" s="3" t="s">
        <v>332</v>
      </c>
      <c r="G30235" s="16" t="n">
        <f aca="false">G30231*G30234</f>
        <v>17.775</v>
      </c>
      <c r="H30235" s="16" t="n">
        <f aca="false">H30231*H30234</f>
        <v>17.775</v>
      </c>
      <c r="I30235" s="16" t="n">
        <f aca="false">I30231*I30234</f>
        <v>17.55723486865</v>
      </c>
      <c r="J30235" s="16" t="n">
        <f aca="false">J30231*J30234</f>
        <v>17.55723486865</v>
      </c>
      <c r="K30235" s="16" t="n">
        <f aca="false">K30231*K30234</f>
        <v>17.55723486865</v>
      </c>
    </row>
    <row r="30236" customFormat="false" ht="15" hidden="false" customHeight="false" outlineLevel="0" collapsed="false">
      <c r="A30236" s="3" t="s">
        <v>333</v>
      </c>
      <c r="G30236" s="16" t="n">
        <f aca="false">G30231*Assumptions!$H$61</f>
        <v>0</v>
      </c>
      <c r="H30236" s="16" t="n">
        <f aca="false">H30231*Assumptions!$H$61</f>
        <v>0</v>
      </c>
      <c r="I30236" s="16" t="n">
        <f aca="false">I30231*Assumptions!$H$61</f>
        <v>0</v>
      </c>
      <c r="J30236" s="16" t="n">
        <f aca="false">J30231*Assumptions!$H$61</f>
        <v>0</v>
      </c>
      <c r="K30236" s="16" t="n">
        <f aca="false">K30231*Assumptions!$H$61</f>
        <v>0</v>
      </c>
    </row>
    <row r="30237" customFormat="false" ht="15" hidden="false" customHeight="false" outlineLevel="0" collapsed="false">
      <c r="A30237" s="3" t="s">
        <v>334</v>
      </c>
      <c r="G30237" s="16" t="n">
        <f aca="false">MIN(G30231,Assumptions!$L$61*Assumptions!$C$61)</f>
        <v>0</v>
      </c>
      <c r="H30237" s="16" t="n">
        <f aca="false">MIN(H30231,Assumptions!$L$61*Assumptions!$C$61)</f>
        <v>0</v>
      </c>
      <c r="I30237" s="16" t="n">
        <f aca="false">MIN(I30231,Assumptions!$L$61*Assumptions!$C$61)</f>
        <v>0</v>
      </c>
      <c r="J30237" s="16" t="n">
        <f aca="false">MIN(J30231,Assumptions!$L$61*Assumptions!$C$61)</f>
        <v>0</v>
      </c>
      <c r="K30237" s="16" t="n">
        <f aca="false">MIN(K30231,Assumptions!$L$61*Assumptions!$C$61)</f>
        <v>0</v>
      </c>
    </row>
    <row r="30238" customFormat="false" ht="15" hidden="false" customHeight="false" outlineLevel="0" collapsed="false">
      <c r="A30238" s="3" t="s">
        <v>335</v>
      </c>
      <c r="G30238" s="16" t="n">
        <f aca="false">IF(AND(Assumptions!$P$61=1,G30143&lt;Assumptions!$K$61),MIN(MAX(0,-G30359),MAX(0,Assumptions!$D$61-G30231)),0)</f>
        <v>0</v>
      </c>
      <c r="H30238" s="16" t="n">
        <f aca="false">IF(AND(Assumptions!$P$61=1,OR(H30143&lt;Assumptions!$K$61,G30493=1)),MIN(MAX(0,-H30359),MAX(0,Assumptions!$D$61-H30231)),0)</f>
        <v>0</v>
      </c>
      <c r="I30238" s="16" t="n">
        <f aca="false">IF(AND(Assumptions!$P$61=1,OR(I30143&lt;Assumptions!$K$61,H30493=1)),MIN(MAX(0,-I30359),MAX(0,Assumptions!$D$61-I30231)),0)</f>
        <v>0</v>
      </c>
      <c r="J30238" s="16" t="n">
        <f aca="false">IF(AND(Assumptions!$P$61=1,OR(J30143&lt;Assumptions!$K$61,I30493=1)),MIN(MAX(0,-J30359),MAX(0,Assumptions!$D$61-J30231)),0)</f>
        <v>0</v>
      </c>
      <c r="K30238" s="16" t="n">
        <f aca="false">IF(AND(Assumptions!$P$61=1,OR(K30143&lt;Assumptions!$K$61,J30493=1)),MIN(MAX(0,-K30359),MAX(0,Assumptions!$D$61-K30231)),0)</f>
        <v>0</v>
      </c>
    </row>
    <row r="30239" customFormat="false" ht="15" hidden="false" customHeight="false" outlineLevel="0" collapsed="false">
      <c r="A30239" s="3" t="s">
        <v>336</v>
      </c>
      <c r="G30239" s="16" t="n">
        <f aca="false">G30232*MIN(G30231-G30237+G30236,MAX(0,G30361-Assumptions!$C$12*G30177-G30187-G30200-G30213-G30226))</f>
        <v>0</v>
      </c>
      <c r="H30239" s="16" t="n">
        <f aca="false">H30232*MIN(H30231-H30237+H30236,MAX(0,H30361-Assumptions!$C$12*H30177-H30187-H30200-H30213-H30226))</f>
        <v>5.5130413</v>
      </c>
      <c r="I30239" s="16" t="n">
        <f aca="false">I30232*MIN(I30231-I30237+I30236,MAX(0,I30361-Assumptions!$C$12*I30177-I30187-I30200-I30213-I30226))</f>
        <v>0</v>
      </c>
      <c r="J30239" s="16" t="n">
        <f aca="false">J30232*MIN(J30231-J30237+J30236,MAX(0,J30361-Assumptions!$C$12*J30177-J30187-J30200-J30213-J30226))</f>
        <v>0</v>
      </c>
      <c r="K30239" s="16" t="n">
        <f aca="false">K30232*MIN(K30231-K30237+K30236,MAX(0,K30361-Assumptions!$C$12*K30177-K30187-K30200-K30213-K30226))</f>
        <v>0</v>
      </c>
    </row>
    <row r="30240" customFormat="false" ht="15" hidden="false" customHeight="false" outlineLevel="0" collapsed="false">
      <c r="A30240" s="3" t="s">
        <v>337</v>
      </c>
      <c r="G30240" s="16" t="n">
        <f aca="false">Assumptions!$N$61*MIN(G30231+G30238+G30236-G30237-G30239,MAX(0,G30365-G30188-G30201-G30214-G30227))</f>
        <v>0</v>
      </c>
      <c r="H30240" s="16" t="n">
        <f aca="false">Assumptions!$N$61*MIN(H30231+H30238+H30236-H30237-H30239,MAX(0,H30365-H30188-H30201-H30214-H30227))</f>
        <v>0</v>
      </c>
      <c r="I30240" s="16" t="n">
        <f aca="false">Assumptions!$N$61*MIN(I30231+I30238+I30236-I30237-I30239,MAX(0,I30365-I30188-I30201-I30214-I30227))</f>
        <v>0</v>
      </c>
      <c r="J30240" s="16" t="n">
        <f aca="false">Assumptions!$N$61*MIN(J30231+J30238+J30236-J30237-J30239,MAX(0,J30365-J30188-J30201-J30214-J30227))</f>
        <v>0</v>
      </c>
      <c r="K30240" s="16" t="n">
        <f aca="false">Assumptions!$N$61*MIN(K30231+K30238+K30236-K30237-K30239,MAX(0,K30365-K30188-K30201-K30214-K30227))</f>
        <v>0</v>
      </c>
    </row>
    <row r="30241" customFormat="false" ht="15" hidden="false" customHeight="false" outlineLevel="0" collapsed="false">
      <c r="A30241" s="3" t="s">
        <v>338</v>
      </c>
      <c r="G30241" s="16" t="n">
        <f aca="false">G30232*(1-G30177)*(G30231-G30237+G30236-G30239)</f>
        <v>0</v>
      </c>
      <c r="H30241" s="16" t="n">
        <f aca="false">H30232*(1-H30177)*(H30231-H30237+H30236-H30239)</f>
        <v>444.4869587</v>
      </c>
      <c r="I30241" s="16" t="n">
        <f aca="false">I30232*(1-I30177)*(I30231-I30237+I30236-I30239)</f>
        <v>0</v>
      </c>
      <c r="J30241" s="16" t="n">
        <f aca="false">J30232*(1-J30177)*(J30231-J30237+J30236-J30239)</f>
        <v>0</v>
      </c>
      <c r="K30241" s="16" t="n">
        <f aca="false">K30232*(1-K30177)*(K30231-K30237+K30236-K30239)</f>
        <v>0</v>
      </c>
    </row>
    <row r="30242" customFormat="false" ht="15" hidden="false" customHeight="false" outlineLevel="0" collapsed="false">
      <c r="A30242" s="2" t="s">
        <v>339</v>
      </c>
      <c r="F30242" s="28" t="n">
        <f aca="false">Assumptions!$C$61</f>
        <v>450</v>
      </c>
      <c r="G30242" s="17" t="n">
        <f aca="false">G30231+G30238+G30236-G30237-G30239-G30240</f>
        <v>450</v>
      </c>
      <c r="H30242" s="17" t="n">
        <f aca="false">H30231+H30238+H30236-H30237-H30239-H30240</f>
        <v>444.4869587</v>
      </c>
      <c r="I30242" s="17" t="n">
        <f aca="false">I30231+I30238+I30236-I30237-I30239-I30240</f>
        <v>444.4869587</v>
      </c>
      <c r="J30242" s="17" t="n">
        <f aca="false">J30231+J30238+J30236-J30237-J30239-J30240</f>
        <v>444.4869587</v>
      </c>
      <c r="K30242" s="17" t="n">
        <f aca="false">K30231+K30238+K30236-K30237-K30239-K30240</f>
        <v>444.4869587</v>
      </c>
    </row>
    <row r="30243" customFormat="false" ht="15" hidden="false" customHeight="false" outlineLevel="0" collapsed="false">
      <c r="A30243" s="24" t="s">
        <v>344</v>
      </c>
      <c r="B30243" s="25"/>
      <c r="C30243" s="25"/>
      <c r="D30243" s="25"/>
      <c r="E30243" s="25"/>
      <c r="F30243" s="25"/>
      <c r="G30243" s="25"/>
      <c r="H30243" s="25"/>
      <c r="I30243" s="25"/>
      <c r="J30243" s="25"/>
      <c r="K30243" s="25"/>
    </row>
    <row r="30244" customFormat="false" ht="15" hidden="false" customHeight="false" outlineLevel="0" collapsed="false">
      <c r="A30244" s="3" t="s">
        <v>329</v>
      </c>
      <c r="G30244" s="16" t="n">
        <f aca="false">F30255</f>
        <v>350</v>
      </c>
      <c r="H30244" s="16" t="n">
        <f aca="false">G30255</f>
        <v>350</v>
      </c>
      <c r="I30244" s="16" t="n">
        <f aca="false">H30255</f>
        <v>350</v>
      </c>
      <c r="J30244" s="16" t="n">
        <f aca="false">I30255</f>
        <v>350</v>
      </c>
      <c r="K30244" s="16" t="n">
        <f aca="false">J30255</f>
        <v>350</v>
      </c>
    </row>
    <row r="30245" customFormat="false" ht="15" hidden="false" customHeight="false" outlineLevel="0" collapsed="false">
      <c r="A30245" s="3" t="s">
        <v>330</v>
      </c>
      <c r="G30245" s="21" t="n">
        <f aca="false">IF(G30143=Assumptions!$K$62,1,0)</f>
        <v>0</v>
      </c>
      <c r="H30245" s="21" t="n">
        <f aca="false">IF(H30143=Assumptions!$K$62,1,0)</f>
        <v>1</v>
      </c>
      <c r="I30245" s="21" t="n">
        <f aca="false">IF(I30143=Assumptions!$K$62,1,0)</f>
        <v>0</v>
      </c>
      <c r="J30245" s="21" t="n">
        <f aca="false">IF(J30143=Assumptions!$K$62,1,0)</f>
        <v>0</v>
      </c>
      <c r="K30245" s="21" t="n">
        <f aca="false">IF(K30143=Assumptions!$K$62,1,0)</f>
        <v>0</v>
      </c>
    </row>
    <row r="30247" customFormat="false" ht="15" hidden="false" customHeight="false" outlineLevel="0" collapsed="false">
      <c r="A30247" s="3" t="s">
        <v>331</v>
      </c>
      <c r="G30247" s="31" t="n">
        <f aca="false">IF(Assumptions!$I$62=1,MAX(G30169,Assumptions!$G$62)+Assumptions!$F$62+$C$30170,Assumptions!$E$62)</f>
        <v>0.083</v>
      </c>
      <c r="H30247" s="31" t="n">
        <f aca="false">IF(G30494=1,$C$30171,IF(Assumptions!$I$62=1,MAX(H30169,Assumptions!$G$62)+Assumptions!$F$62+$C$30170,Assumptions!$E$62))</f>
        <v>0.083</v>
      </c>
      <c r="I30247" s="31" t="n">
        <f aca="false">IF(H30494=1,$C$30171,IF(Assumptions!$I$62=1,MAX(I30169,Assumptions!$G$62)+Assumptions!$F$62+$C$30170,Assumptions!$E$62))</f>
        <v>0.083</v>
      </c>
      <c r="J30247" s="31" t="n">
        <f aca="false">IF(I30494=1,$C$30171,IF(Assumptions!$I$62=1,MAX(J30169,Assumptions!$G$62)+Assumptions!$F$62+$C$30170,Assumptions!$E$62))</f>
        <v>0.083</v>
      </c>
      <c r="K30247" s="31" t="n">
        <f aca="false">IF(J30494=1,$C$30171,IF(Assumptions!$I$62=1,MAX(K30169,Assumptions!$G$62)+Assumptions!$F$62+$C$30170,Assumptions!$E$62))</f>
        <v>0.083</v>
      </c>
    </row>
    <row r="30248" customFormat="false" ht="15" hidden="false" customHeight="false" outlineLevel="0" collapsed="false">
      <c r="A30248" s="3" t="s">
        <v>332</v>
      </c>
      <c r="G30248" s="16" t="n">
        <f aca="false">G30244*G30247</f>
        <v>29.05</v>
      </c>
      <c r="H30248" s="16" t="n">
        <f aca="false">H30244*H30247</f>
        <v>29.05</v>
      </c>
      <c r="I30248" s="16" t="n">
        <f aca="false">I30244*I30247</f>
        <v>29.05</v>
      </c>
      <c r="J30248" s="16" t="n">
        <f aca="false">J30244*J30247</f>
        <v>29.05</v>
      </c>
      <c r="K30248" s="16" t="n">
        <f aca="false">K30244*K30247</f>
        <v>29.05</v>
      </c>
    </row>
    <row r="30249" customFormat="false" ht="15" hidden="false" customHeight="false" outlineLevel="0" collapsed="false">
      <c r="A30249" s="3" t="s">
        <v>333</v>
      </c>
      <c r="G30249" s="16" t="n">
        <f aca="false">G30244*Assumptions!$H$62</f>
        <v>0</v>
      </c>
      <c r="H30249" s="16" t="n">
        <f aca="false">H30244*Assumptions!$H$62</f>
        <v>0</v>
      </c>
      <c r="I30249" s="16" t="n">
        <f aca="false">I30244*Assumptions!$H$62</f>
        <v>0</v>
      </c>
      <c r="J30249" s="16" t="n">
        <f aca="false">J30244*Assumptions!$H$62</f>
        <v>0</v>
      </c>
      <c r="K30249" s="16" t="n">
        <f aca="false">K30244*Assumptions!$H$62</f>
        <v>0</v>
      </c>
    </row>
    <row r="30250" customFormat="false" ht="15" hidden="false" customHeight="false" outlineLevel="0" collapsed="false">
      <c r="A30250" s="3" t="s">
        <v>334</v>
      </c>
      <c r="G30250" s="16" t="n">
        <f aca="false">MIN(G30244,Assumptions!$L$62*Assumptions!$C$62)</f>
        <v>0</v>
      </c>
      <c r="H30250" s="16" t="n">
        <f aca="false">MIN(H30244,Assumptions!$L$62*Assumptions!$C$62)</f>
        <v>0</v>
      </c>
      <c r="I30250" s="16" t="n">
        <f aca="false">MIN(I30244,Assumptions!$L$62*Assumptions!$C$62)</f>
        <v>0</v>
      </c>
      <c r="J30250" s="16" t="n">
        <f aca="false">MIN(J30244,Assumptions!$L$62*Assumptions!$C$62)</f>
        <v>0</v>
      </c>
      <c r="K30250" s="16" t="n">
        <f aca="false">MIN(K30244,Assumptions!$L$62*Assumptions!$C$62)</f>
        <v>0</v>
      </c>
    </row>
    <row r="30251" customFormat="false" ht="15" hidden="false" customHeight="false" outlineLevel="0" collapsed="false">
      <c r="A30251" s="3" t="s">
        <v>335</v>
      </c>
      <c r="G30251" s="16" t="n">
        <f aca="false">IF(AND(Assumptions!$P$62=1,G30143&lt;Assumptions!$K$62),MIN(MAX(0,-G30359),MAX(0,Assumptions!$D$62-G30244)),0)</f>
        <v>0</v>
      </c>
      <c r="H30251" s="16" t="n">
        <f aca="false">IF(AND(Assumptions!$P$62=1,OR(H30143&lt;Assumptions!$K$62,G30494=1)),MIN(MAX(0,-H30359),MAX(0,Assumptions!$D$62-H30244)),0)</f>
        <v>0</v>
      </c>
      <c r="I30251" s="16" t="n">
        <f aca="false">IF(AND(Assumptions!$P$62=1,OR(I30143&lt;Assumptions!$K$62,H30494=1)),MIN(MAX(0,-I30359),MAX(0,Assumptions!$D$62-I30244)),0)</f>
        <v>0</v>
      </c>
      <c r="J30251" s="16" t="n">
        <f aca="false">IF(AND(Assumptions!$P$62=1,OR(J30143&lt;Assumptions!$K$62,I30494=1)),MIN(MAX(0,-J30359),MAX(0,Assumptions!$D$62-J30244)),0)</f>
        <v>0</v>
      </c>
      <c r="K30251" s="16" t="n">
        <f aca="false">IF(AND(Assumptions!$P$62=1,OR(K30143&lt;Assumptions!$K$62,J30494=1)),MIN(MAX(0,-K30359),MAX(0,Assumptions!$D$62-K30244)),0)</f>
        <v>0</v>
      </c>
    </row>
    <row r="30252" customFormat="false" ht="15" hidden="false" customHeight="false" outlineLevel="0" collapsed="false">
      <c r="A30252" s="3" t="s">
        <v>336</v>
      </c>
      <c r="G30252" s="16" t="n">
        <f aca="false">G30245*MIN(G30244-G30250+G30249,MAX(0,G30361-Assumptions!$C$12*G30177-G30187-G30200-G30213-G30226-G30239))</f>
        <v>0</v>
      </c>
      <c r="H30252" s="16" t="n">
        <f aca="false">H30245*MIN(H30244-H30250+H30249,MAX(0,H30361-Assumptions!$C$12*H30177-H30187-H30200-H30213-H30226-H30239))</f>
        <v>0</v>
      </c>
      <c r="I30252" s="16" t="n">
        <f aca="false">I30245*MIN(I30244-I30250+I30249,MAX(0,I30361-Assumptions!$C$12*I30177-I30187-I30200-I30213-I30226-I30239))</f>
        <v>0</v>
      </c>
      <c r="J30252" s="16" t="n">
        <f aca="false">J30245*MIN(J30244-J30250+J30249,MAX(0,J30361-Assumptions!$C$12*J30177-J30187-J30200-J30213-J30226-J30239))</f>
        <v>0</v>
      </c>
      <c r="K30252" s="16" t="n">
        <f aca="false">K30245*MIN(K30244-K30250+K30249,MAX(0,K30361-Assumptions!$C$12*K30177-K30187-K30200-K30213-K30226-K30239))</f>
        <v>0</v>
      </c>
    </row>
    <row r="30253" customFormat="false" ht="15" hidden="false" customHeight="false" outlineLevel="0" collapsed="false">
      <c r="A30253" s="3" t="s">
        <v>337</v>
      </c>
      <c r="G30253" s="16" t="n">
        <f aca="false">Assumptions!$N$62*MIN(G30244+G30251+G30249-G30250-G30252,MAX(0,G30365-G30188-G30201-G30214-G30227-G30240))</f>
        <v>0</v>
      </c>
      <c r="H30253" s="16" t="n">
        <f aca="false">Assumptions!$N$62*MIN(H30244+H30251+H30249-H30250-H30252,MAX(0,H30365-H30188-H30201-H30214-H30227-H30240))</f>
        <v>0</v>
      </c>
      <c r="I30253" s="16" t="n">
        <f aca="false">Assumptions!$N$62*MIN(I30244+I30251+I30249-I30250-I30252,MAX(0,I30365-I30188-I30201-I30214-I30227-I30240))</f>
        <v>0</v>
      </c>
      <c r="J30253" s="16" t="n">
        <f aca="false">Assumptions!$N$62*MIN(J30244+J30251+J30249-J30250-J30252,MAX(0,J30365-J30188-J30201-J30214-J30227-J30240))</f>
        <v>0</v>
      </c>
      <c r="K30253" s="16" t="n">
        <f aca="false">Assumptions!$N$62*MIN(K30244+K30251+K30249-K30250-K30252,MAX(0,K30365-K30188-K30201-K30214-K30227-K30240))</f>
        <v>0</v>
      </c>
    </row>
    <row r="30254" customFormat="false" ht="15" hidden="false" customHeight="false" outlineLevel="0" collapsed="false">
      <c r="A30254" s="3" t="s">
        <v>338</v>
      </c>
      <c r="G30254" s="16" t="n">
        <f aca="false">G30245*(1-G30177)*(G30244-G30250+G30249-G30252)</f>
        <v>0</v>
      </c>
      <c r="H30254" s="16" t="n">
        <f aca="false">H30245*(1-H30177)*(H30244-H30250+H30249-H30252)</f>
        <v>350</v>
      </c>
      <c r="I30254" s="16" t="n">
        <f aca="false">I30245*(1-I30177)*(I30244-I30250+I30249-I30252)</f>
        <v>0</v>
      </c>
      <c r="J30254" s="16" t="n">
        <f aca="false">J30245*(1-J30177)*(J30244-J30250+J30249-J30252)</f>
        <v>0</v>
      </c>
      <c r="K30254" s="16" t="n">
        <f aca="false">K30245*(1-K30177)*(K30244-K30250+K30249-K30252)</f>
        <v>0</v>
      </c>
    </row>
    <row r="30255" customFormat="false" ht="15" hidden="false" customHeight="false" outlineLevel="0" collapsed="false">
      <c r="A30255" s="2" t="s">
        <v>339</v>
      </c>
      <c r="F30255" s="28" t="n">
        <f aca="false">Assumptions!$C$62</f>
        <v>350</v>
      </c>
      <c r="G30255" s="17" t="n">
        <f aca="false">G30244+G30251+G30249-G30250-G30252-G30253</f>
        <v>350</v>
      </c>
      <c r="H30255" s="17" t="n">
        <f aca="false">H30244+H30251+H30249-H30250-H30252-H30253</f>
        <v>350</v>
      </c>
      <c r="I30255" s="17" t="n">
        <f aca="false">I30244+I30251+I30249-I30250-I30252-I30253</f>
        <v>350</v>
      </c>
      <c r="J30255" s="17" t="n">
        <f aca="false">J30244+J30251+J30249-J30250-J30252-J30253</f>
        <v>350</v>
      </c>
      <c r="K30255" s="17" t="n">
        <f aca="false">K30244+K30251+K30249-K30250-K30252-K30253</f>
        <v>350</v>
      </c>
    </row>
    <row r="30256" customFormat="false" ht="15" hidden="false" customHeight="false" outlineLevel="0" collapsed="false">
      <c r="A30256" s="24" t="s">
        <v>345</v>
      </c>
      <c r="B30256" s="25"/>
      <c r="C30256" s="25"/>
      <c r="D30256" s="25"/>
      <c r="E30256" s="25"/>
      <c r="F30256" s="25"/>
      <c r="G30256" s="25"/>
      <c r="H30256" s="25"/>
      <c r="I30256" s="25"/>
      <c r="J30256" s="25"/>
      <c r="K30256" s="25"/>
    </row>
    <row r="30257" customFormat="false" ht="15" hidden="false" customHeight="false" outlineLevel="0" collapsed="false">
      <c r="A30257" s="3" t="s">
        <v>329</v>
      </c>
      <c r="G30257" s="16" t="n">
        <f aca="false">F30268</f>
        <v>550</v>
      </c>
      <c r="H30257" s="16" t="n">
        <f aca="false">G30268</f>
        <v>550</v>
      </c>
      <c r="I30257" s="16" t="n">
        <f aca="false">H30268</f>
        <v>550</v>
      </c>
      <c r="J30257" s="16" t="n">
        <f aca="false">I30268</f>
        <v>550</v>
      </c>
      <c r="K30257" s="16" t="n">
        <f aca="false">J30268</f>
        <v>550</v>
      </c>
    </row>
    <row r="30258" customFormat="false" ht="15" hidden="false" customHeight="false" outlineLevel="0" collapsed="false">
      <c r="A30258" s="3" t="s">
        <v>330</v>
      </c>
      <c r="G30258" s="21" t="n">
        <f aca="false">IF(G30143=Assumptions!$K$63,1,0)</f>
        <v>0</v>
      </c>
      <c r="H30258" s="21" t="n">
        <f aca="false">IF(H30143=Assumptions!$K$63,1,0)</f>
        <v>0</v>
      </c>
      <c r="I30258" s="21" t="n">
        <f aca="false">IF(I30143=Assumptions!$K$63,1,0)</f>
        <v>1</v>
      </c>
      <c r="J30258" s="21" t="n">
        <f aca="false">IF(J30143=Assumptions!$K$63,1,0)</f>
        <v>0</v>
      </c>
      <c r="K30258" s="21" t="n">
        <f aca="false">IF(K30143=Assumptions!$K$63,1,0)</f>
        <v>0</v>
      </c>
    </row>
    <row r="30260" customFormat="false" ht="15" hidden="false" customHeight="false" outlineLevel="0" collapsed="false">
      <c r="A30260" s="3" t="s">
        <v>331</v>
      </c>
      <c r="G30260" s="31" t="n">
        <f aca="false">IF(Assumptions!$I$63=1,MAX(G30169,Assumptions!$G$63)+Assumptions!$F$63+$C$30170,Assumptions!$E$63)</f>
        <v>0.08875</v>
      </c>
      <c r="H30260" s="31" t="n">
        <f aca="false">IF(G30495=1,$C$30171,IF(Assumptions!$I$63=1,MAX(H30169,Assumptions!$G$63)+Assumptions!$F$63+$C$30170,Assumptions!$E$63))</f>
        <v>0.08875</v>
      </c>
      <c r="I30260" s="31" t="n">
        <f aca="false">IF(H30495=1,$C$30171,IF(Assumptions!$I$63=1,MAX(I30169,Assumptions!$G$63)+Assumptions!$F$63+$C$30170,Assumptions!$E$63))</f>
        <v>0.08875</v>
      </c>
      <c r="J30260" s="31" t="n">
        <f aca="false">IF(I30495=1,$C$30171,IF(Assumptions!$I$63=1,MAX(J30169,Assumptions!$G$63)+Assumptions!$F$63+$C$30170,Assumptions!$E$63))</f>
        <v>0.08875</v>
      </c>
      <c r="K30260" s="31" t="n">
        <f aca="false">IF(J30495=1,$C$30171,IF(Assumptions!$I$63=1,MAX(K30169,Assumptions!$G$63)+Assumptions!$F$63+$C$30170,Assumptions!$E$63))</f>
        <v>0.08875</v>
      </c>
    </row>
    <row r="30261" customFormat="false" ht="15" hidden="false" customHeight="false" outlineLevel="0" collapsed="false">
      <c r="A30261" s="3" t="s">
        <v>332</v>
      </c>
      <c r="G30261" s="16" t="n">
        <f aca="false">G30257*G30260</f>
        <v>48.8125</v>
      </c>
      <c r="H30261" s="16" t="n">
        <f aca="false">H30257*H30260</f>
        <v>48.8125</v>
      </c>
      <c r="I30261" s="16" t="n">
        <f aca="false">I30257*I30260</f>
        <v>48.8125</v>
      </c>
      <c r="J30261" s="16" t="n">
        <f aca="false">J30257*J30260</f>
        <v>48.8125</v>
      </c>
      <c r="K30261" s="16" t="n">
        <f aca="false">K30257*K30260</f>
        <v>48.8125</v>
      </c>
    </row>
    <row r="30262" customFormat="false" ht="15" hidden="false" customHeight="false" outlineLevel="0" collapsed="false">
      <c r="A30262" s="3" t="s">
        <v>333</v>
      </c>
      <c r="G30262" s="16" t="n">
        <f aca="false">G30257*Assumptions!$H$63</f>
        <v>0</v>
      </c>
      <c r="H30262" s="16" t="n">
        <f aca="false">H30257*Assumptions!$H$63</f>
        <v>0</v>
      </c>
      <c r="I30262" s="16" t="n">
        <f aca="false">I30257*Assumptions!$H$63</f>
        <v>0</v>
      </c>
      <c r="J30262" s="16" t="n">
        <f aca="false">J30257*Assumptions!$H$63</f>
        <v>0</v>
      </c>
      <c r="K30262" s="16" t="n">
        <f aca="false">K30257*Assumptions!$H$63</f>
        <v>0</v>
      </c>
    </row>
    <row r="30263" customFormat="false" ht="15" hidden="false" customHeight="false" outlineLevel="0" collapsed="false">
      <c r="A30263" s="3" t="s">
        <v>334</v>
      </c>
      <c r="G30263" s="16" t="n">
        <f aca="false">MIN(G30257,Assumptions!$L$63*Assumptions!$C$63)</f>
        <v>0</v>
      </c>
      <c r="H30263" s="16" t="n">
        <f aca="false">MIN(H30257,Assumptions!$L$63*Assumptions!$C$63)</f>
        <v>0</v>
      </c>
      <c r="I30263" s="16" t="n">
        <f aca="false">MIN(I30257,Assumptions!$L$63*Assumptions!$C$63)</f>
        <v>0</v>
      </c>
      <c r="J30263" s="16" t="n">
        <f aca="false">MIN(J30257,Assumptions!$L$63*Assumptions!$C$63)</f>
        <v>0</v>
      </c>
      <c r="K30263" s="16" t="n">
        <f aca="false">MIN(K30257,Assumptions!$L$63*Assumptions!$C$63)</f>
        <v>0</v>
      </c>
    </row>
    <row r="30264" customFormat="false" ht="15" hidden="false" customHeight="false" outlineLevel="0" collapsed="false">
      <c r="A30264" s="3" t="s">
        <v>335</v>
      </c>
      <c r="G30264" s="16" t="n">
        <f aca="false">IF(AND(Assumptions!$P$63=1,G30143&lt;Assumptions!$K$63),MIN(MAX(0,-G30359),MAX(0,Assumptions!$D$63-G30257)),0)</f>
        <v>0</v>
      </c>
      <c r="H30264" s="16" t="n">
        <f aca="false">IF(AND(Assumptions!$P$63=1,OR(H30143&lt;Assumptions!$K$63,G30495=1)),MIN(MAX(0,-H30359),MAX(0,Assumptions!$D$63-H30257)),0)</f>
        <v>0</v>
      </c>
      <c r="I30264" s="16" t="n">
        <f aca="false">IF(AND(Assumptions!$P$63=1,OR(I30143&lt;Assumptions!$K$63,H30495=1)),MIN(MAX(0,-I30359),MAX(0,Assumptions!$D$63-I30257)),0)</f>
        <v>0</v>
      </c>
      <c r="J30264" s="16" t="n">
        <f aca="false">IF(AND(Assumptions!$P$63=1,OR(J30143&lt;Assumptions!$K$63,I30495=1)),MIN(MAX(0,-J30359),MAX(0,Assumptions!$D$63-J30257)),0)</f>
        <v>0</v>
      </c>
      <c r="K30264" s="16" t="n">
        <f aca="false">IF(AND(Assumptions!$P$63=1,OR(K30143&lt;Assumptions!$K$63,J30495=1)),MIN(MAX(0,-K30359),MAX(0,Assumptions!$D$63-K30257)),0)</f>
        <v>0</v>
      </c>
    </row>
    <row r="30265" customFormat="false" ht="15" hidden="false" customHeight="false" outlineLevel="0" collapsed="false">
      <c r="A30265" s="3" t="s">
        <v>336</v>
      </c>
      <c r="G30265" s="16" t="n">
        <f aca="false">G30258*MIN(G30257-G30263+G30262,MAX(0,G30361-Assumptions!$C$12*G30177-G30187-G30200-G30213-G30226-G30239-G30252))</f>
        <v>0</v>
      </c>
      <c r="H30265" s="16" t="n">
        <f aca="false">H30258*MIN(H30257-H30263+H30262,MAX(0,H30361-Assumptions!$C$12*H30177-H30187-H30200-H30213-H30226-H30239-H30252))</f>
        <v>0</v>
      </c>
      <c r="I30265" s="16" t="n">
        <f aca="false">I30258*MIN(I30257-I30263+I30262,MAX(0,I30361-Assumptions!$C$12*I30177-I30187-I30200-I30213-I30226-I30239-I30252))</f>
        <v>0</v>
      </c>
      <c r="J30265" s="16" t="n">
        <f aca="false">J30258*MIN(J30257-J30263+J30262,MAX(0,J30361-Assumptions!$C$12*J30177-J30187-J30200-J30213-J30226-J30239-J30252))</f>
        <v>0</v>
      </c>
      <c r="K30265" s="16" t="n">
        <f aca="false">K30258*MIN(K30257-K30263+K30262,MAX(0,K30361-Assumptions!$C$12*K30177-K30187-K30200-K30213-K30226-K30239-K30252))</f>
        <v>0</v>
      </c>
    </row>
    <row r="30266" customFormat="false" ht="15" hidden="false" customHeight="false" outlineLevel="0" collapsed="false">
      <c r="A30266" s="3" t="s">
        <v>337</v>
      </c>
      <c r="G30266" s="16" t="n">
        <f aca="false">Assumptions!$N$63*MIN(G30257+G30264+G30262-G30263-G30265,MAX(0,G30365-G30188-G30201-G30214-G30227-G30240-G30253))</f>
        <v>0</v>
      </c>
      <c r="H30266" s="16" t="n">
        <f aca="false">Assumptions!$N$63*MIN(H30257+H30264+H30262-H30263-H30265,MAX(0,H30365-H30188-H30201-H30214-H30227-H30240-H30253))</f>
        <v>0</v>
      </c>
      <c r="I30266" s="16" t="n">
        <f aca="false">Assumptions!$N$63*MIN(I30257+I30264+I30262-I30263-I30265,MAX(0,I30365-I30188-I30201-I30214-I30227-I30240-I30253))</f>
        <v>0</v>
      </c>
      <c r="J30266" s="16" t="n">
        <f aca="false">Assumptions!$N$63*MIN(J30257+J30264+J30262-J30263-J30265,MAX(0,J30365-J30188-J30201-J30214-J30227-J30240-J30253))</f>
        <v>0</v>
      </c>
      <c r="K30266" s="16" t="n">
        <f aca="false">Assumptions!$N$63*MIN(K30257+K30264+K30262-K30263-K30265,MAX(0,K30365-K30188-K30201-K30214-K30227-K30240-K30253))</f>
        <v>0</v>
      </c>
    </row>
    <row r="30267" customFormat="false" ht="15" hidden="false" customHeight="false" outlineLevel="0" collapsed="false">
      <c r="A30267" s="3" t="s">
        <v>338</v>
      </c>
      <c r="G30267" s="16" t="n">
        <f aca="false">G30258*(1-G30177)*(G30257-G30263+G30262-G30265)</f>
        <v>0</v>
      </c>
      <c r="H30267" s="16" t="n">
        <f aca="false">H30258*(1-H30177)*(H30257-H30263+H30262-H30265)</f>
        <v>0</v>
      </c>
      <c r="I30267" s="16" t="n">
        <f aca="false">I30258*(1-I30177)*(I30257-I30263+I30262-I30265)</f>
        <v>550</v>
      </c>
      <c r="J30267" s="16" t="n">
        <f aca="false">J30258*(1-J30177)*(J30257-J30263+J30262-J30265)</f>
        <v>0</v>
      </c>
      <c r="K30267" s="16" t="n">
        <f aca="false">K30258*(1-K30177)*(K30257-K30263+K30262-K30265)</f>
        <v>0</v>
      </c>
    </row>
    <row r="30268" customFormat="false" ht="15" hidden="false" customHeight="false" outlineLevel="0" collapsed="false">
      <c r="A30268" s="2" t="s">
        <v>339</v>
      </c>
      <c r="F30268" s="28" t="n">
        <f aca="false">Assumptions!$C$63</f>
        <v>550</v>
      </c>
      <c r="G30268" s="17" t="n">
        <f aca="false">G30257+G30264+G30262-G30263-G30265-G30266</f>
        <v>550</v>
      </c>
      <c r="H30268" s="17" t="n">
        <f aca="false">H30257+H30264+H30262-H30263-H30265-H30266</f>
        <v>550</v>
      </c>
      <c r="I30268" s="17" t="n">
        <f aca="false">I30257+I30264+I30262-I30263-I30265-I30266</f>
        <v>550</v>
      </c>
      <c r="J30268" s="17" t="n">
        <f aca="false">J30257+J30264+J30262-J30263-J30265-J30266</f>
        <v>550</v>
      </c>
      <c r="K30268" s="17" t="n">
        <f aca="false">K30257+K30264+K30262-K30263-K30265-K30266</f>
        <v>550</v>
      </c>
    </row>
    <row r="30269" customFormat="false" ht="15" hidden="false" customHeight="false" outlineLevel="0" collapsed="false">
      <c r="A30269" s="24" t="s">
        <v>346</v>
      </c>
      <c r="B30269" s="25"/>
      <c r="C30269" s="25"/>
      <c r="D30269" s="25"/>
      <c r="E30269" s="25"/>
      <c r="F30269" s="25"/>
      <c r="G30269" s="25"/>
      <c r="H30269" s="25"/>
      <c r="I30269" s="25"/>
      <c r="J30269" s="25"/>
      <c r="K30269" s="25"/>
    </row>
    <row r="30270" customFormat="false" ht="15" hidden="false" customHeight="false" outlineLevel="0" collapsed="false">
      <c r="A30270" s="3" t="s">
        <v>329</v>
      </c>
      <c r="G30270" s="16" t="n">
        <f aca="false">F30281</f>
        <v>350</v>
      </c>
      <c r="H30270" s="16" t="n">
        <f aca="false">G30281</f>
        <v>350</v>
      </c>
      <c r="I30270" s="16" t="n">
        <f aca="false">H30281</f>
        <v>350</v>
      </c>
      <c r="J30270" s="16" t="n">
        <f aca="false">I30281</f>
        <v>350</v>
      </c>
      <c r="K30270" s="16" t="n">
        <f aca="false">J30281</f>
        <v>350</v>
      </c>
    </row>
    <row r="30271" customFormat="false" ht="15" hidden="false" customHeight="false" outlineLevel="0" collapsed="false">
      <c r="A30271" s="3" t="s">
        <v>330</v>
      </c>
      <c r="G30271" s="21" t="n">
        <f aca="false">IF(G30143=Assumptions!$K$64,1,0)</f>
        <v>0</v>
      </c>
      <c r="H30271" s="21" t="n">
        <f aca="false">IF(H30143=Assumptions!$K$64,1,0)</f>
        <v>0</v>
      </c>
      <c r="I30271" s="21" t="n">
        <f aca="false">IF(I30143=Assumptions!$K$64,1,0)</f>
        <v>0</v>
      </c>
      <c r="J30271" s="21" t="n">
        <f aca="false">IF(J30143=Assumptions!$K$64,1,0)</f>
        <v>1</v>
      </c>
      <c r="K30271" s="21" t="n">
        <f aca="false">IF(K30143=Assumptions!$K$64,1,0)</f>
        <v>0</v>
      </c>
    </row>
    <row r="30273" customFormat="false" ht="15" hidden="false" customHeight="false" outlineLevel="0" collapsed="false">
      <c r="A30273" s="3" t="s">
        <v>331</v>
      </c>
      <c r="G30273" s="31" t="n">
        <f aca="false">IF(Assumptions!$I$64=1,MAX(G30169,Assumptions!$G$64)+Assumptions!$F$64+$C$30170,Assumptions!$E$64)</f>
        <v>0.0455</v>
      </c>
      <c r="H30273" s="31" t="n">
        <f aca="false">IF(G30496=1,$C$30171,IF(Assumptions!$I$64=1,MAX(H30169,Assumptions!$G$64)+Assumptions!$F$64+$C$30170,Assumptions!$E$64))</f>
        <v>0.0455</v>
      </c>
      <c r="I30273" s="31" t="n">
        <f aca="false">IF(H30496=1,$C$30171,IF(Assumptions!$I$64=1,MAX(I30169,Assumptions!$G$64)+Assumptions!$F$64+$C$30170,Assumptions!$E$64))</f>
        <v>0.0455</v>
      </c>
      <c r="J30273" s="31" t="n">
        <f aca="false">IF(I30496=1,$C$30171,IF(Assumptions!$I$64=1,MAX(J30169,Assumptions!$G$64)+Assumptions!$F$64+$C$30170,Assumptions!$E$64))</f>
        <v>0.0455</v>
      </c>
      <c r="K30273" s="31" t="n">
        <f aca="false">IF(J30496=1,$C$30171,IF(Assumptions!$I$64=1,MAX(K30169,Assumptions!$G$64)+Assumptions!$F$64+$C$30170,Assumptions!$E$64))</f>
        <v>0.0455</v>
      </c>
    </row>
    <row r="30274" customFormat="false" ht="15" hidden="false" customHeight="false" outlineLevel="0" collapsed="false">
      <c r="A30274" s="3" t="s">
        <v>332</v>
      </c>
      <c r="G30274" s="16" t="n">
        <f aca="false">G30270*G30273</f>
        <v>15.925</v>
      </c>
      <c r="H30274" s="16" t="n">
        <f aca="false">H30270*H30273</f>
        <v>15.925</v>
      </c>
      <c r="I30274" s="16" t="n">
        <f aca="false">I30270*I30273</f>
        <v>15.925</v>
      </c>
      <c r="J30274" s="16" t="n">
        <f aca="false">J30270*J30273</f>
        <v>15.925</v>
      </c>
      <c r="K30274" s="16" t="n">
        <f aca="false">K30270*K30273</f>
        <v>15.925</v>
      </c>
    </row>
    <row r="30275" customFormat="false" ht="15" hidden="false" customHeight="false" outlineLevel="0" collapsed="false">
      <c r="A30275" s="3" t="s">
        <v>333</v>
      </c>
      <c r="G30275" s="16" t="n">
        <f aca="false">G30270*Assumptions!$H$64</f>
        <v>0</v>
      </c>
      <c r="H30275" s="16" t="n">
        <f aca="false">H30270*Assumptions!$H$64</f>
        <v>0</v>
      </c>
      <c r="I30275" s="16" t="n">
        <f aca="false">I30270*Assumptions!$H$64</f>
        <v>0</v>
      </c>
      <c r="J30275" s="16" t="n">
        <f aca="false">J30270*Assumptions!$H$64</f>
        <v>0</v>
      </c>
      <c r="K30275" s="16" t="n">
        <f aca="false">K30270*Assumptions!$H$64</f>
        <v>0</v>
      </c>
    </row>
    <row r="30276" customFormat="false" ht="15" hidden="false" customHeight="false" outlineLevel="0" collapsed="false">
      <c r="A30276" s="3" t="s">
        <v>334</v>
      </c>
      <c r="G30276" s="16" t="n">
        <f aca="false">MIN(G30270,Assumptions!$L$64*Assumptions!$C$64)</f>
        <v>0</v>
      </c>
      <c r="H30276" s="16" t="n">
        <f aca="false">MIN(H30270,Assumptions!$L$64*Assumptions!$C$64)</f>
        <v>0</v>
      </c>
      <c r="I30276" s="16" t="n">
        <f aca="false">MIN(I30270,Assumptions!$L$64*Assumptions!$C$64)</f>
        <v>0</v>
      </c>
      <c r="J30276" s="16" t="n">
        <f aca="false">MIN(J30270,Assumptions!$L$64*Assumptions!$C$64)</f>
        <v>0</v>
      </c>
      <c r="K30276" s="16" t="n">
        <f aca="false">MIN(K30270,Assumptions!$L$64*Assumptions!$C$64)</f>
        <v>0</v>
      </c>
    </row>
    <row r="30277" customFormat="false" ht="15" hidden="false" customHeight="false" outlineLevel="0" collapsed="false">
      <c r="A30277" s="3" t="s">
        <v>335</v>
      </c>
      <c r="G30277" s="16" t="n">
        <f aca="false">IF(AND(Assumptions!$P$64=1,G30143&lt;Assumptions!$K$64),MIN(MAX(0,-G30359),MAX(0,Assumptions!$D$64-G30270)),0)</f>
        <v>0</v>
      </c>
      <c r="H30277" s="16" t="n">
        <f aca="false">IF(AND(Assumptions!$P$64=1,OR(H30143&lt;Assumptions!$K$64,G30496=1)),MIN(MAX(0,-H30359),MAX(0,Assumptions!$D$64-H30270)),0)</f>
        <v>0</v>
      </c>
      <c r="I30277" s="16" t="n">
        <f aca="false">IF(AND(Assumptions!$P$64=1,OR(I30143&lt;Assumptions!$K$64,H30496=1)),MIN(MAX(0,-I30359),MAX(0,Assumptions!$D$64-I30270)),0)</f>
        <v>0</v>
      </c>
      <c r="J30277" s="16" t="n">
        <f aca="false">IF(AND(Assumptions!$P$64=1,OR(J30143&lt;Assumptions!$K$64,I30496=1)),MIN(MAX(0,-J30359),MAX(0,Assumptions!$D$64-J30270)),0)</f>
        <v>0</v>
      </c>
      <c r="K30277" s="16" t="n">
        <f aca="false">IF(AND(Assumptions!$P$64=1,OR(K30143&lt;Assumptions!$K$64,J30496=1)),MIN(MAX(0,-K30359),MAX(0,Assumptions!$D$64-K30270)),0)</f>
        <v>0</v>
      </c>
    </row>
    <row r="30278" customFormat="false" ht="15" hidden="false" customHeight="false" outlineLevel="0" collapsed="false">
      <c r="A30278" s="3" t="s">
        <v>336</v>
      </c>
      <c r="G30278" s="16" t="n">
        <f aca="false">G30271*MIN(G30270-G30276+G30275,MAX(0,G30361-Assumptions!$C$12*G30177-G30187-G30200-G30213-G30226-G30239-G30252-G30265))</f>
        <v>0</v>
      </c>
      <c r="H30278" s="16" t="n">
        <f aca="false">H30271*MIN(H30270-H30276+H30275,MAX(0,H30361-Assumptions!$C$12*H30177-H30187-H30200-H30213-H30226-H30239-H30252-H30265))</f>
        <v>0</v>
      </c>
      <c r="I30278" s="16" t="n">
        <f aca="false">I30271*MIN(I30270-I30276+I30275,MAX(0,I30361-Assumptions!$C$12*I30177-I30187-I30200-I30213-I30226-I30239-I30252-I30265))</f>
        <v>0</v>
      </c>
      <c r="J30278" s="16" t="n">
        <f aca="false">J30271*MIN(J30270-J30276+J30275,MAX(0,J30361-Assumptions!$C$12*J30177-J30187-J30200-J30213-J30226-J30239-J30252-J30265))</f>
        <v>0</v>
      </c>
      <c r="K30278" s="16" t="n">
        <f aca="false">K30271*MIN(K30270-K30276+K30275,MAX(0,K30361-Assumptions!$C$12*K30177-K30187-K30200-K30213-K30226-K30239-K30252-K30265))</f>
        <v>0</v>
      </c>
    </row>
    <row r="30279" customFormat="false" ht="15" hidden="false" customHeight="false" outlineLevel="0" collapsed="false">
      <c r="A30279" s="3" t="s">
        <v>337</v>
      </c>
      <c r="G30279" s="16" t="n">
        <f aca="false">Assumptions!$N$64*MIN(G30270+G30277+G30275-G30276-G30278,MAX(0,G30365-G30188-G30201-G30214-G30227-G30240-G30253-G30266))</f>
        <v>0</v>
      </c>
      <c r="H30279" s="16" t="n">
        <f aca="false">Assumptions!$N$64*MIN(H30270+H30277+H30275-H30276-H30278,MAX(0,H30365-H30188-H30201-H30214-H30227-H30240-H30253-H30266))</f>
        <v>0</v>
      </c>
      <c r="I30279" s="16" t="n">
        <f aca="false">Assumptions!$N$64*MIN(I30270+I30277+I30275-I30276-I30278,MAX(0,I30365-I30188-I30201-I30214-I30227-I30240-I30253-I30266))</f>
        <v>0</v>
      </c>
      <c r="J30279" s="16" t="n">
        <f aca="false">Assumptions!$N$64*MIN(J30270+J30277+J30275-J30276-J30278,MAX(0,J30365-J30188-J30201-J30214-J30227-J30240-J30253-J30266))</f>
        <v>0</v>
      </c>
      <c r="K30279" s="16" t="n">
        <f aca="false">Assumptions!$N$64*MIN(K30270+K30277+K30275-K30276-K30278,MAX(0,K30365-K30188-K30201-K30214-K30227-K30240-K30253-K30266))</f>
        <v>0</v>
      </c>
    </row>
    <row r="30280" customFormat="false" ht="15" hidden="false" customHeight="false" outlineLevel="0" collapsed="false">
      <c r="A30280" s="3" t="s">
        <v>338</v>
      </c>
      <c r="G30280" s="16" t="n">
        <f aca="false">G30271*(1-G30177)*(G30270-G30276+G30275-G30278)</f>
        <v>0</v>
      </c>
      <c r="H30280" s="16" t="n">
        <f aca="false">H30271*(1-H30177)*(H30270-H30276+H30275-H30278)</f>
        <v>0</v>
      </c>
      <c r="I30280" s="16" t="n">
        <f aca="false">I30271*(1-I30177)*(I30270-I30276+I30275-I30278)</f>
        <v>0</v>
      </c>
      <c r="J30280" s="16" t="n">
        <f aca="false">J30271*(1-J30177)*(J30270-J30276+J30275-J30278)</f>
        <v>350</v>
      </c>
      <c r="K30280" s="16" t="n">
        <f aca="false">K30271*(1-K30177)*(K30270-K30276+K30275-K30278)</f>
        <v>0</v>
      </c>
    </row>
    <row r="30281" customFormat="false" ht="15" hidden="false" customHeight="false" outlineLevel="0" collapsed="false">
      <c r="A30281" s="2" t="s">
        <v>339</v>
      </c>
      <c r="F30281" s="28" t="n">
        <f aca="false">Assumptions!$C$64</f>
        <v>350</v>
      </c>
      <c r="G30281" s="17" t="n">
        <f aca="false">G30270+G30277+G30275-G30276-G30278-G30279</f>
        <v>350</v>
      </c>
      <c r="H30281" s="17" t="n">
        <f aca="false">H30270+H30277+H30275-H30276-H30278-H30279</f>
        <v>350</v>
      </c>
      <c r="I30281" s="17" t="n">
        <f aca="false">I30270+I30277+I30275-I30276-I30278-I30279</f>
        <v>350</v>
      </c>
      <c r="J30281" s="17" t="n">
        <f aca="false">J30270+J30277+J30275-J30276-J30278-J30279</f>
        <v>350</v>
      </c>
      <c r="K30281" s="17" t="n">
        <f aca="false">K30270+K30277+K30275-K30276-K30278-K30279</f>
        <v>350</v>
      </c>
    </row>
    <row r="30282" customFormat="false" ht="15" hidden="false" customHeight="false" outlineLevel="0" collapsed="false">
      <c r="A30282" s="24" t="s">
        <v>347</v>
      </c>
      <c r="B30282" s="25"/>
      <c r="C30282" s="25"/>
      <c r="D30282" s="25"/>
      <c r="E30282" s="25"/>
      <c r="F30282" s="25"/>
      <c r="G30282" s="25"/>
      <c r="H30282" s="25"/>
      <c r="I30282" s="25"/>
      <c r="J30282" s="25"/>
      <c r="K30282" s="25"/>
    </row>
    <row r="30283" customFormat="false" ht="15" hidden="false" customHeight="false" outlineLevel="0" collapsed="false">
      <c r="A30283" s="3" t="s">
        <v>329</v>
      </c>
      <c r="G30283" s="16" t="n">
        <f aca="false">F30294</f>
        <v>300</v>
      </c>
      <c r="H30283" s="16" t="n">
        <f aca="false">G30294</f>
        <v>300</v>
      </c>
      <c r="I30283" s="16" t="n">
        <f aca="false">H30294</f>
        <v>300</v>
      </c>
      <c r="J30283" s="16" t="n">
        <f aca="false">I30294</f>
        <v>300</v>
      </c>
      <c r="K30283" s="16" t="n">
        <f aca="false">J30294</f>
        <v>300</v>
      </c>
    </row>
    <row r="30284" customFormat="false" ht="15" hidden="false" customHeight="false" outlineLevel="0" collapsed="false">
      <c r="A30284" s="3" t="s">
        <v>330</v>
      </c>
      <c r="G30284" s="21" t="n">
        <f aca="false">IF(G30143=Assumptions!$K$65,1,0)</f>
        <v>0</v>
      </c>
      <c r="H30284" s="21" t="n">
        <f aca="false">IF(H30143=Assumptions!$K$65,1,0)</f>
        <v>0</v>
      </c>
      <c r="I30284" s="21" t="n">
        <f aca="false">IF(I30143=Assumptions!$K$65,1,0)</f>
        <v>0</v>
      </c>
      <c r="J30284" s="21" t="n">
        <f aca="false">IF(J30143=Assumptions!$K$65,1,0)</f>
        <v>0</v>
      </c>
      <c r="K30284" s="21" t="n">
        <f aca="false">IF(K30143=Assumptions!$K$65,1,0)</f>
        <v>1</v>
      </c>
    </row>
    <row r="30286" customFormat="false" ht="15" hidden="false" customHeight="false" outlineLevel="0" collapsed="false">
      <c r="A30286" s="3" t="s">
        <v>331</v>
      </c>
      <c r="G30286" s="31" t="n">
        <f aca="false">IF(Assumptions!$I$65=1,MAX(G30169,Assumptions!$G$65)+Assumptions!$F$65+$C$30170,Assumptions!$E$65)</f>
        <v>0.06125</v>
      </c>
      <c r="H30286" s="31" t="n">
        <f aca="false">IF(G30497=1,$C$30171,IF(Assumptions!$I$65=1,MAX(H30169,Assumptions!$G$65)+Assumptions!$F$65+$C$30170,Assumptions!$E$65))</f>
        <v>0.06125</v>
      </c>
      <c r="I30286" s="31" t="n">
        <f aca="false">IF(H30497=1,$C$30171,IF(Assumptions!$I$65=1,MAX(I30169,Assumptions!$G$65)+Assumptions!$F$65+$C$30170,Assumptions!$E$65))</f>
        <v>0.06125</v>
      </c>
      <c r="J30286" s="31" t="n">
        <f aca="false">IF(I30497=1,$C$30171,IF(Assumptions!$I$65=1,MAX(J30169,Assumptions!$G$65)+Assumptions!$F$65+$C$30170,Assumptions!$E$65))</f>
        <v>0.06125</v>
      </c>
      <c r="K30286" s="31" t="n">
        <f aca="false">IF(J30497=1,$C$30171,IF(Assumptions!$I$65=1,MAX(K30169,Assumptions!$G$65)+Assumptions!$F$65+$C$30170,Assumptions!$E$65))</f>
        <v>0.06125</v>
      </c>
    </row>
    <row r="30287" customFormat="false" ht="15" hidden="false" customHeight="false" outlineLevel="0" collapsed="false">
      <c r="A30287" s="3" t="s">
        <v>332</v>
      </c>
      <c r="G30287" s="16" t="n">
        <f aca="false">G30283*G30286</f>
        <v>18.375</v>
      </c>
      <c r="H30287" s="16" t="n">
        <f aca="false">H30283*H30286</f>
        <v>18.375</v>
      </c>
      <c r="I30287" s="16" t="n">
        <f aca="false">I30283*I30286</f>
        <v>18.375</v>
      </c>
      <c r="J30287" s="16" t="n">
        <f aca="false">J30283*J30286</f>
        <v>18.375</v>
      </c>
      <c r="K30287" s="16" t="n">
        <f aca="false">K30283*K30286</f>
        <v>18.375</v>
      </c>
    </row>
    <row r="30288" customFormat="false" ht="15" hidden="false" customHeight="false" outlineLevel="0" collapsed="false">
      <c r="A30288" s="3" t="s">
        <v>333</v>
      </c>
      <c r="G30288" s="16" t="n">
        <f aca="false">G30283*Assumptions!$H$65</f>
        <v>0</v>
      </c>
      <c r="H30288" s="16" t="n">
        <f aca="false">H30283*Assumptions!$H$65</f>
        <v>0</v>
      </c>
      <c r="I30288" s="16" t="n">
        <f aca="false">I30283*Assumptions!$H$65</f>
        <v>0</v>
      </c>
      <c r="J30288" s="16" t="n">
        <f aca="false">J30283*Assumptions!$H$65</f>
        <v>0</v>
      </c>
      <c r="K30288" s="16" t="n">
        <f aca="false">K30283*Assumptions!$H$65</f>
        <v>0</v>
      </c>
    </row>
    <row r="30289" customFormat="false" ht="15" hidden="false" customHeight="false" outlineLevel="0" collapsed="false">
      <c r="A30289" s="3" t="s">
        <v>334</v>
      </c>
      <c r="G30289" s="16" t="n">
        <f aca="false">MIN(G30283,Assumptions!$L$65*Assumptions!$C$65)</f>
        <v>0</v>
      </c>
      <c r="H30289" s="16" t="n">
        <f aca="false">MIN(H30283,Assumptions!$L$65*Assumptions!$C$65)</f>
        <v>0</v>
      </c>
      <c r="I30289" s="16" t="n">
        <f aca="false">MIN(I30283,Assumptions!$L$65*Assumptions!$C$65)</f>
        <v>0</v>
      </c>
      <c r="J30289" s="16" t="n">
        <f aca="false">MIN(J30283,Assumptions!$L$65*Assumptions!$C$65)</f>
        <v>0</v>
      </c>
      <c r="K30289" s="16" t="n">
        <f aca="false">MIN(K30283,Assumptions!$L$65*Assumptions!$C$65)</f>
        <v>0</v>
      </c>
    </row>
    <row r="30290" customFormat="false" ht="15" hidden="false" customHeight="false" outlineLevel="0" collapsed="false">
      <c r="A30290" s="3" t="s">
        <v>335</v>
      </c>
      <c r="G30290" s="16" t="n">
        <f aca="false">IF(AND(Assumptions!$P$65=1,G30143&lt;Assumptions!$K$65),MIN(MAX(0,-G30359),MAX(0,Assumptions!$D$65-G30283)),0)</f>
        <v>0</v>
      </c>
      <c r="H30290" s="16" t="n">
        <f aca="false">IF(AND(Assumptions!$P$65=1,OR(H30143&lt;Assumptions!$K$65,G30497=1)),MIN(MAX(0,-H30359),MAX(0,Assumptions!$D$65-H30283)),0)</f>
        <v>0</v>
      </c>
      <c r="I30290" s="16" t="n">
        <f aca="false">IF(AND(Assumptions!$P$65=1,OR(I30143&lt;Assumptions!$K$65,H30497=1)),MIN(MAX(0,-I30359),MAX(0,Assumptions!$D$65-I30283)),0)</f>
        <v>0</v>
      </c>
      <c r="J30290" s="16" t="n">
        <f aca="false">IF(AND(Assumptions!$P$65=1,OR(J30143&lt;Assumptions!$K$65,I30497=1)),MIN(MAX(0,-J30359),MAX(0,Assumptions!$D$65-J30283)),0)</f>
        <v>0</v>
      </c>
      <c r="K30290" s="16" t="n">
        <f aca="false">IF(AND(Assumptions!$P$65=1,OR(K30143&lt;Assumptions!$K$65,J30497=1)),MIN(MAX(0,-K30359),MAX(0,Assumptions!$D$65-K30283)),0)</f>
        <v>0</v>
      </c>
    </row>
    <row r="30291" customFormat="false" ht="15" hidden="false" customHeight="false" outlineLevel="0" collapsed="false">
      <c r="A30291" s="3" t="s">
        <v>336</v>
      </c>
      <c r="G30291" s="16" t="n">
        <f aca="false">G30284*MIN(G30283-G30289+G30288,MAX(0,G30361-Assumptions!$C$12*G30177-G30187-G30200-G30213-G30226-G30239-G30252-G30265-G30278))</f>
        <v>0</v>
      </c>
      <c r="H30291" s="16" t="n">
        <f aca="false">H30284*MIN(H30283-H30289+H30288,MAX(0,H30361-Assumptions!$C$12*H30177-H30187-H30200-H30213-H30226-H30239-H30252-H30265-H30278))</f>
        <v>0</v>
      </c>
      <c r="I30291" s="16" t="n">
        <f aca="false">I30284*MIN(I30283-I30289+I30288,MAX(0,I30361-Assumptions!$C$12*I30177-I30187-I30200-I30213-I30226-I30239-I30252-I30265-I30278))</f>
        <v>0</v>
      </c>
      <c r="J30291" s="16" t="n">
        <f aca="false">J30284*MIN(J30283-J30289+J30288,MAX(0,J30361-Assumptions!$C$12*J30177-J30187-J30200-J30213-J30226-J30239-J30252-J30265-J30278))</f>
        <v>0</v>
      </c>
      <c r="K30291" s="16" t="n">
        <f aca="false">K30284*MIN(K30283-K30289+K30288,MAX(0,K30361-Assumptions!$C$12*K30177-K30187-K30200-K30213-K30226-K30239-K30252-K30265-K30278))</f>
        <v>0</v>
      </c>
    </row>
    <row r="30292" customFormat="false" ht="15" hidden="false" customHeight="false" outlineLevel="0" collapsed="false">
      <c r="A30292" s="3" t="s">
        <v>337</v>
      </c>
      <c r="G30292" s="16" t="n">
        <f aca="false">Assumptions!$N$65*MIN(G30283+G30290+G30288-G30289-G30291,MAX(0,G30365-G30188-G30201-G30214-G30227-G30240-G30253-G30266-G30279))</f>
        <v>0</v>
      </c>
      <c r="H30292" s="16" t="n">
        <f aca="false">Assumptions!$N$65*MIN(H30283+H30290+H30288-H30289-H30291,MAX(0,H30365-H30188-H30201-H30214-H30227-H30240-H30253-H30266-H30279))</f>
        <v>0</v>
      </c>
      <c r="I30292" s="16" t="n">
        <f aca="false">Assumptions!$N$65*MIN(I30283+I30290+I30288-I30289-I30291,MAX(0,I30365-I30188-I30201-I30214-I30227-I30240-I30253-I30266-I30279))</f>
        <v>0</v>
      </c>
      <c r="J30292" s="16" t="n">
        <f aca="false">Assumptions!$N$65*MIN(J30283+J30290+J30288-J30289-J30291,MAX(0,J30365-J30188-J30201-J30214-J30227-J30240-J30253-J30266-J30279))</f>
        <v>0</v>
      </c>
      <c r="K30292" s="16" t="n">
        <f aca="false">Assumptions!$N$65*MIN(K30283+K30290+K30288-K30289-K30291,MAX(0,K30365-K30188-K30201-K30214-K30227-K30240-K30253-K30266-K30279))</f>
        <v>0</v>
      </c>
    </row>
    <row r="30293" customFormat="false" ht="15" hidden="false" customHeight="false" outlineLevel="0" collapsed="false">
      <c r="A30293" s="3" t="s">
        <v>338</v>
      </c>
      <c r="G30293" s="16" t="n">
        <f aca="false">G30284*(1-G30177)*(G30283-G30289+G30288-G30291)</f>
        <v>0</v>
      </c>
      <c r="H30293" s="16" t="n">
        <f aca="false">H30284*(1-H30177)*(H30283-H30289+H30288-H30291)</f>
        <v>0</v>
      </c>
      <c r="I30293" s="16" t="n">
        <f aca="false">I30284*(1-I30177)*(I30283-I30289+I30288-I30291)</f>
        <v>0</v>
      </c>
      <c r="J30293" s="16" t="n">
        <f aca="false">J30284*(1-J30177)*(J30283-J30289+J30288-J30291)</f>
        <v>0</v>
      </c>
      <c r="K30293" s="16" t="n">
        <f aca="false">K30284*(1-K30177)*(K30283-K30289+K30288-K30291)</f>
        <v>300</v>
      </c>
    </row>
    <row r="30294" customFormat="false" ht="15" hidden="false" customHeight="false" outlineLevel="0" collapsed="false">
      <c r="A30294" s="2" t="s">
        <v>339</v>
      </c>
      <c r="F30294" s="28" t="n">
        <f aca="false">Assumptions!$C$65</f>
        <v>300</v>
      </c>
      <c r="G30294" s="17" t="n">
        <f aca="false">G30283+G30290+G30288-G30289-G30291-G30292</f>
        <v>300</v>
      </c>
      <c r="H30294" s="17" t="n">
        <f aca="false">H30283+H30290+H30288-H30289-H30291-H30292</f>
        <v>300</v>
      </c>
      <c r="I30294" s="17" t="n">
        <f aca="false">I30283+I30290+I30288-I30289-I30291-I30292</f>
        <v>300</v>
      </c>
      <c r="J30294" s="17" t="n">
        <f aca="false">J30283+J30290+J30288-J30289-J30291-J30292</f>
        <v>300</v>
      </c>
      <c r="K30294" s="17" t="n">
        <f aca="false">K30283+K30290+K30288-K30289-K30291-K30292</f>
        <v>300</v>
      </c>
    </row>
    <row r="30295" customFormat="false" ht="15" hidden="false" customHeight="false" outlineLevel="0" collapsed="false">
      <c r="A30295" s="24" t="s">
        <v>348</v>
      </c>
      <c r="B30295" s="25"/>
      <c r="C30295" s="25"/>
      <c r="D30295" s="25"/>
      <c r="E30295" s="25"/>
      <c r="F30295" s="25"/>
      <c r="G30295" s="25"/>
      <c r="H30295" s="25"/>
      <c r="I30295" s="25"/>
      <c r="J30295" s="25"/>
      <c r="K30295" s="25"/>
    </row>
    <row r="30296" customFormat="false" ht="15" hidden="false" customHeight="false" outlineLevel="0" collapsed="false">
      <c r="A30296" s="3" t="s">
        <v>329</v>
      </c>
      <c r="G30296" s="16" t="n">
        <f aca="false">F30307</f>
        <v>78.61</v>
      </c>
      <c r="H30296" s="16" t="n">
        <f aca="false">G30307</f>
        <v>78.61</v>
      </c>
      <c r="I30296" s="16" t="n">
        <f aca="false">H30307</f>
        <v>78.61</v>
      </c>
      <c r="J30296" s="16" t="n">
        <f aca="false">I30307</f>
        <v>78.61</v>
      </c>
      <c r="K30296" s="16" t="n">
        <f aca="false">J30307</f>
        <v>78.61</v>
      </c>
    </row>
    <row r="30297" customFormat="false" ht="15" hidden="false" customHeight="false" outlineLevel="0" collapsed="false">
      <c r="A30297" s="3" t="s">
        <v>330</v>
      </c>
      <c r="G30297" s="21" t="n">
        <f aca="false">IF(G30143=Assumptions!$K$66,1,0)</f>
        <v>0</v>
      </c>
      <c r="H30297" s="21" t="n">
        <f aca="false">IF(H30143=Assumptions!$K$66,1,0)</f>
        <v>0</v>
      </c>
      <c r="I30297" s="21" t="n">
        <f aca="false">IF(I30143=Assumptions!$K$66,1,0)</f>
        <v>0</v>
      </c>
      <c r="J30297" s="21" t="n">
        <f aca="false">IF(J30143=Assumptions!$K$66,1,0)</f>
        <v>0</v>
      </c>
      <c r="K30297" s="21" t="n">
        <f aca="false">IF(K30143=Assumptions!$K$66,1,0)</f>
        <v>0</v>
      </c>
    </row>
    <row r="30299" customFormat="false" ht="15" hidden="false" customHeight="false" outlineLevel="0" collapsed="false">
      <c r="A30299" s="3" t="s">
        <v>331</v>
      </c>
      <c r="G30299" s="31" t="n">
        <f aca="false">IF(Assumptions!$I$66=1,MAX(G30169,Assumptions!$G$66)+Assumptions!$F$66+$C$30170,Assumptions!$E$66)</f>
        <v>0.0941</v>
      </c>
      <c r="H30299" s="31" t="n">
        <f aca="false">IF(G30498=1,$C$30171,IF(Assumptions!$I$66=1,MAX(H30169,Assumptions!$G$66)+Assumptions!$F$66+$C$30170,Assumptions!$E$66))</f>
        <v>0.0926</v>
      </c>
      <c r="I30299" s="31" t="n">
        <f aca="false">IF(H30498=1,$C$30171,IF(Assumptions!$I$66=1,MAX(I30169,Assumptions!$G$66)+Assumptions!$F$66+$C$30170,Assumptions!$E$66))</f>
        <v>0.0901</v>
      </c>
      <c r="J30299" s="31" t="n">
        <f aca="false">IF(I30498=1,$C$30171,IF(Assumptions!$I$66=1,MAX(J30169,Assumptions!$G$66)+Assumptions!$F$66+$C$30170,Assumptions!$E$66))</f>
        <v>0.0901</v>
      </c>
      <c r="K30299" s="31" t="n">
        <f aca="false">IF(J30498=1,$C$30171,IF(Assumptions!$I$66=1,MAX(K30169,Assumptions!$G$66)+Assumptions!$F$66+$C$30170,Assumptions!$E$66))</f>
        <v>0.0901</v>
      </c>
    </row>
    <row r="30300" customFormat="false" ht="15" hidden="false" customHeight="false" outlineLevel="0" collapsed="false">
      <c r="A30300" s="3" t="s">
        <v>332</v>
      </c>
      <c r="G30300" s="16" t="n">
        <f aca="false">G30296*G30299</f>
        <v>7.397201</v>
      </c>
      <c r="H30300" s="16" t="n">
        <f aca="false">H30296*H30299</f>
        <v>7.279286</v>
      </c>
      <c r="I30300" s="16" t="n">
        <f aca="false">I30296*I30299</f>
        <v>7.082761</v>
      </c>
      <c r="J30300" s="16" t="n">
        <f aca="false">J30296*J30299</f>
        <v>7.082761</v>
      </c>
      <c r="K30300" s="16" t="n">
        <f aca="false">K30296*K30299</f>
        <v>7.082761</v>
      </c>
    </row>
    <row r="30301" customFormat="false" ht="15" hidden="false" customHeight="false" outlineLevel="0" collapsed="false">
      <c r="A30301" s="3" t="s">
        <v>333</v>
      </c>
      <c r="G30301" s="16" t="n">
        <f aca="false">G30296*Assumptions!$H$66</f>
        <v>0</v>
      </c>
      <c r="H30301" s="16" t="n">
        <f aca="false">H30296*Assumptions!$H$66</f>
        <v>0</v>
      </c>
      <c r="I30301" s="16" t="n">
        <f aca="false">I30296*Assumptions!$H$66</f>
        <v>0</v>
      </c>
      <c r="J30301" s="16" t="n">
        <f aca="false">J30296*Assumptions!$H$66</f>
        <v>0</v>
      </c>
      <c r="K30301" s="16" t="n">
        <f aca="false">K30296*Assumptions!$H$66</f>
        <v>0</v>
      </c>
    </row>
    <row r="30302" customFormat="false" ht="15" hidden="false" customHeight="false" outlineLevel="0" collapsed="false">
      <c r="A30302" s="3" t="s">
        <v>334</v>
      </c>
      <c r="G30302" s="16" t="n">
        <f aca="false">MIN(G30296,Assumptions!$L$66*Assumptions!$C$66)</f>
        <v>0</v>
      </c>
      <c r="H30302" s="16" t="n">
        <f aca="false">MIN(H30296,Assumptions!$L$66*Assumptions!$C$66)</f>
        <v>0</v>
      </c>
      <c r="I30302" s="16" t="n">
        <f aca="false">MIN(I30296,Assumptions!$L$66*Assumptions!$C$66)</f>
        <v>0</v>
      </c>
      <c r="J30302" s="16" t="n">
        <f aca="false">MIN(J30296,Assumptions!$L$66*Assumptions!$C$66)</f>
        <v>0</v>
      </c>
      <c r="K30302" s="16" t="n">
        <f aca="false">MIN(K30296,Assumptions!$L$66*Assumptions!$C$66)</f>
        <v>0</v>
      </c>
    </row>
    <row r="30303" customFormat="false" ht="15" hidden="false" customHeight="false" outlineLevel="0" collapsed="false">
      <c r="A30303" s="3" t="s">
        <v>335</v>
      </c>
      <c r="G30303" s="16" t="n">
        <f aca="false">IF(AND(Assumptions!$P$66=1,G30143&lt;Assumptions!$K$66),MIN(MAX(0,-G30359),MAX(0,Assumptions!$D$66-G30296)),0)</f>
        <v>0</v>
      </c>
      <c r="H30303" s="16" t="n">
        <f aca="false">IF(AND(Assumptions!$P$66=1,OR(H30143&lt;Assumptions!$K$66,G30498=1)),MIN(MAX(0,-H30359),MAX(0,Assumptions!$D$66-H30296)),0)</f>
        <v>0</v>
      </c>
      <c r="I30303" s="16" t="n">
        <f aca="false">IF(AND(Assumptions!$P$66=1,OR(I30143&lt;Assumptions!$K$66,H30498=1)),MIN(MAX(0,-I30359),MAX(0,Assumptions!$D$66-I30296)),0)</f>
        <v>0</v>
      </c>
      <c r="J30303" s="16" t="n">
        <f aca="false">IF(AND(Assumptions!$P$66=1,OR(J30143&lt;Assumptions!$K$66,I30498=1)),MIN(MAX(0,-J30359),MAX(0,Assumptions!$D$66-J30296)),0)</f>
        <v>0</v>
      </c>
      <c r="K30303" s="16" t="n">
        <f aca="false">IF(AND(Assumptions!$P$66=1,OR(K30143&lt;Assumptions!$K$66,J30498=1)),MIN(MAX(0,-K30359),MAX(0,Assumptions!$D$66-K30296)),0)</f>
        <v>0</v>
      </c>
    </row>
    <row r="30304" customFormat="false" ht="15" hidden="false" customHeight="false" outlineLevel="0" collapsed="false">
      <c r="A30304" s="3" t="s">
        <v>336</v>
      </c>
      <c r="G30304" s="16" t="n">
        <f aca="false">G30297*MIN(G30296-G30302+G30301,MAX(0,G30361-Assumptions!$C$12*G30177-G30187-G30200-G30213-G30226-G30239-G30252-G30265-G30278-G30291))</f>
        <v>0</v>
      </c>
      <c r="H30304" s="16" t="n">
        <f aca="false">H30297*MIN(H30296-H30302+H30301,MAX(0,H30361-Assumptions!$C$12*H30177-H30187-H30200-H30213-H30226-H30239-H30252-H30265-H30278-H30291))</f>
        <v>0</v>
      </c>
      <c r="I30304" s="16" t="n">
        <f aca="false">I30297*MIN(I30296-I30302+I30301,MAX(0,I30361-Assumptions!$C$12*I30177-I30187-I30200-I30213-I30226-I30239-I30252-I30265-I30278-I30291))</f>
        <v>0</v>
      </c>
      <c r="J30304" s="16" t="n">
        <f aca="false">J30297*MIN(J30296-J30302+J30301,MAX(0,J30361-Assumptions!$C$12*J30177-J30187-J30200-J30213-J30226-J30239-J30252-J30265-J30278-J30291))</f>
        <v>0</v>
      </c>
      <c r="K30304" s="16" t="n">
        <f aca="false">K30297*MIN(K30296-K30302+K30301,MAX(0,K30361-Assumptions!$C$12*K30177-K30187-K30200-K30213-K30226-K30239-K30252-K30265-K30278-K30291))</f>
        <v>0</v>
      </c>
    </row>
    <row r="30305" customFormat="false" ht="15" hidden="false" customHeight="false" outlineLevel="0" collapsed="false">
      <c r="A30305" s="3" t="s">
        <v>337</v>
      </c>
      <c r="G30305" s="16" t="n">
        <f aca="false">Assumptions!$N$66*MIN(G30296+G30303+G30301-G30302-G30304,MAX(0,G30365-G30188-G30201-G30214-G30227-G30240-G30253-G30266-G30279-G30292))</f>
        <v>0</v>
      </c>
      <c r="H30305" s="16" t="n">
        <f aca="false">Assumptions!$N$66*MIN(H30296+H30303+H30301-H30302-H30304,MAX(0,H30365-H30188-H30201-H30214-H30227-H30240-H30253-H30266-H30279-H30292))</f>
        <v>0</v>
      </c>
      <c r="I30305" s="16" t="n">
        <f aca="false">Assumptions!$N$66*MIN(I30296+I30303+I30301-I30302-I30304,MAX(0,I30365-I30188-I30201-I30214-I30227-I30240-I30253-I30266-I30279-I30292))</f>
        <v>0</v>
      </c>
      <c r="J30305" s="16" t="n">
        <f aca="false">Assumptions!$N$66*MIN(J30296+J30303+J30301-J30302-J30304,MAX(0,J30365-J30188-J30201-J30214-J30227-J30240-J30253-J30266-J30279-J30292))</f>
        <v>0</v>
      </c>
      <c r="K30305" s="16" t="n">
        <f aca="false">Assumptions!$N$66*MIN(K30296+K30303+K30301-K30302-K30304,MAX(0,K30365-K30188-K30201-K30214-K30227-K30240-K30253-K30266-K30279-K30292))</f>
        <v>0</v>
      </c>
    </row>
    <row r="30306" customFormat="false" ht="15" hidden="false" customHeight="false" outlineLevel="0" collapsed="false">
      <c r="A30306" s="3" t="s">
        <v>338</v>
      </c>
      <c r="G30306" s="16" t="n">
        <f aca="false">G30297*(1-G30177)*(G30296-G30302+G30301-G30304)</f>
        <v>0</v>
      </c>
      <c r="H30306" s="16" t="n">
        <f aca="false">H30297*(1-H30177)*(H30296-H30302+H30301-H30304)</f>
        <v>0</v>
      </c>
      <c r="I30306" s="16" t="n">
        <f aca="false">I30297*(1-I30177)*(I30296-I30302+I30301-I30304)</f>
        <v>0</v>
      </c>
      <c r="J30306" s="16" t="n">
        <f aca="false">J30297*(1-J30177)*(J30296-J30302+J30301-J30304)</f>
        <v>0</v>
      </c>
      <c r="K30306" s="16" t="n">
        <f aca="false">K30297*(1-K30177)*(K30296-K30302+K30301-K30304)</f>
        <v>0</v>
      </c>
    </row>
    <row r="30307" customFormat="false" ht="15" hidden="false" customHeight="false" outlineLevel="0" collapsed="false">
      <c r="A30307" s="2" t="s">
        <v>339</v>
      </c>
      <c r="F30307" s="28" t="n">
        <f aca="false">Assumptions!$C$66</f>
        <v>78.61</v>
      </c>
      <c r="G30307" s="17" t="n">
        <f aca="false">G30296+G30303+G30301-G30302-G30304-G30305</f>
        <v>78.61</v>
      </c>
      <c r="H30307" s="17" t="n">
        <f aca="false">H30296+H30303+H30301-H30302-H30304-H30305</f>
        <v>78.61</v>
      </c>
      <c r="I30307" s="17" t="n">
        <f aca="false">I30296+I30303+I30301-I30302-I30304-I30305</f>
        <v>78.61</v>
      </c>
      <c r="J30307" s="17" t="n">
        <f aca="false">J30296+J30303+J30301-J30302-J30304-J30305</f>
        <v>78.61</v>
      </c>
      <c r="K30307" s="17" t="n">
        <f aca="false">K30296+K30303+K30301-K30302-K30304-K30305</f>
        <v>78.61</v>
      </c>
    </row>
    <row r="30308" customFormat="false" ht="15" hidden="false" customHeight="false" outlineLevel="0" collapsed="false">
      <c r="A30308" s="24" t="s">
        <v>349</v>
      </c>
      <c r="B30308" s="25"/>
      <c r="C30308" s="25"/>
      <c r="D30308" s="25"/>
      <c r="E30308" s="25"/>
      <c r="F30308" s="25"/>
      <c r="G30308" s="25"/>
      <c r="H30308" s="25"/>
      <c r="I30308" s="25"/>
      <c r="J30308" s="25"/>
      <c r="K30308" s="25"/>
    </row>
    <row r="30309" customFormat="false" ht="15" hidden="false" customHeight="false" outlineLevel="0" collapsed="false">
      <c r="A30309" s="2" t="s">
        <v>350</v>
      </c>
      <c r="F30309" s="17" t="n">
        <f aca="false">F30190+F30203+F30216+F30229+F30242+F30255+F30268+F30281+F30294+F30307</f>
        <v>2625.934</v>
      </c>
      <c r="G30309" s="17" t="n">
        <f aca="false">G30190+G30203+G30216+G30229+G30242+G30255+G30268+G30281+G30294+G30307</f>
        <v>2621.934</v>
      </c>
      <c r="H30309" s="17" t="n">
        <f aca="false">H30190+H30203+H30216+H30229+H30242+H30255+H30268+H30281+H30294+H30307</f>
        <v>2612.4209587</v>
      </c>
      <c r="I30309" s="17" t="n">
        <f aca="false">I30190+I30203+I30216+I30229+I30242+I30255+I30268+I30281+I30294+I30307</f>
        <v>2608.4209587</v>
      </c>
      <c r="J30309" s="17" t="n">
        <f aca="false">J30190+J30203+J30216+J30229+J30242+J30255+J30268+J30281+J30294+J30307</f>
        <v>2604.4209587</v>
      </c>
      <c r="K30309" s="17" t="n">
        <f aca="false">K30190+K30203+K30216+K30229+K30242+K30255+K30268+K30281+K30294+K30307</f>
        <v>2600.4209587</v>
      </c>
    </row>
    <row r="30310" customFormat="false" ht="15" hidden="false" customHeight="false" outlineLevel="0" collapsed="false">
      <c r="A30310" s="3" t="s">
        <v>351</v>
      </c>
      <c r="G30310" s="16" t="n">
        <f aca="false">G30180*Assumptions!$C$57+G30193*Assumptions!$C$58+G30206*Assumptions!$C$59+G30219*Assumptions!$C$60+G30232*Assumptions!$C$61+G30245*Assumptions!$C$62+G30258*Assumptions!$C$63+G30271*Assumptions!$C$64+G30284*Assumptions!$C$65+G30297*Assumptions!$C$66</f>
        <v>0</v>
      </c>
      <c r="H30310" s="16" t="n">
        <f aca="false">H30180*Assumptions!$C$57+H30193*Assumptions!$C$58+H30206*Assumptions!$C$59+H30219*Assumptions!$C$60+H30232*Assumptions!$C$61+H30245*Assumptions!$C$62+H30258*Assumptions!$C$63+H30271*Assumptions!$C$64+H30284*Assumptions!$C$65+H30297*Assumptions!$C$66</f>
        <v>800</v>
      </c>
      <c r="I30310" s="16" t="n">
        <f aca="false">I30180*Assumptions!$C$57+I30193*Assumptions!$C$58+I30206*Assumptions!$C$59+I30219*Assumptions!$C$60+I30232*Assumptions!$C$61+I30245*Assumptions!$C$62+I30258*Assumptions!$C$63+I30271*Assumptions!$C$64+I30284*Assumptions!$C$65+I30297*Assumptions!$C$66</f>
        <v>550</v>
      </c>
      <c r="J30310" s="16" t="n">
        <f aca="false">J30180*Assumptions!$C$57+J30193*Assumptions!$C$58+J30206*Assumptions!$C$59+J30219*Assumptions!$C$60+J30232*Assumptions!$C$61+J30245*Assumptions!$C$62+J30258*Assumptions!$C$63+J30271*Assumptions!$C$64+J30284*Assumptions!$C$65+J30297*Assumptions!$C$66</f>
        <v>350</v>
      </c>
      <c r="K30310" s="16" t="n">
        <f aca="false">K30180*Assumptions!$C$57+K30193*Assumptions!$C$58+K30206*Assumptions!$C$59+K30219*Assumptions!$C$60+K30232*Assumptions!$C$61+K30245*Assumptions!$C$62+K30258*Assumptions!$C$63+K30271*Assumptions!$C$64+K30284*Assumptions!$C$65+K30297*Assumptions!$C$66</f>
        <v>700</v>
      </c>
    </row>
    <row r="30311" customFormat="false" ht="15" hidden="false" customHeight="false" outlineLevel="0" collapsed="false">
      <c r="A30311" s="24" t="s">
        <v>352</v>
      </c>
      <c r="B30311" s="25"/>
      <c r="C30311" s="25"/>
      <c r="D30311" s="25"/>
      <c r="E30311" s="25"/>
      <c r="F30311" s="25"/>
      <c r="G30311" s="25"/>
      <c r="H30311" s="25"/>
      <c r="I30311" s="25"/>
      <c r="J30311" s="25"/>
      <c r="K30311" s="25"/>
    </row>
    <row r="30312" customFormat="false" ht="15" hidden="false" customHeight="false" outlineLevel="0" collapsed="false">
      <c r="A30312" s="3" t="s">
        <v>353</v>
      </c>
      <c r="C30312" s="16" t="n">
        <f aca="false">SUMPRODUCT($G$30180:$K$30180,$G$30179:$K$30179-$G$30185:$K$30185+$G$30184:$K$30184)</f>
        <v>380</v>
      </c>
    </row>
    <row r="30313" customFormat="false" ht="15" hidden="false" customHeight="false" outlineLevel="0" collapsed="false">
      <c r="A30313" s="3" t="s">
        <v>354</v>
      </c>
      <c r="C30313" s="16" t="n">
        <f aca="false">SUMPRODUCT($G$30180:$K$30180,$G$30187:$K$30187)</f>
        <v>0</v>
      </c>
    </row>
    <row r="30314" customFormat="false" ht="15" hidden="false" customHeight="false" outlineLevel="0" collapsed="false">
      <c r="A30314" s="3" t="s">
        <v>355</v>
      </c>
      <c r="C30314" s="3" t="str">
        <f aca="false">IF(SUM($G$30180:$K$30180)=0,"n/a (beyond horizon)",IF(SUMPRODUCT($G$30180:$K$30180,$G$30177:$K$30177)&gt;0,"REFINANCING PASS","REFINANCING FAILURE"))</f>
        <v>REFINANCING FAILURE</v>
      </c>
    </row>
    <row r="30315" customFormat="false" ht="15" hidden="false" customHeight="false" outlineLevel="0" collapsed="false">
      <c r="A30315" s="3" t="s">
        <v>356</v>
      </c>
      <c r="C30315" s="3" t="str">
        <f aca="false">IF(SUM($G$30180:$K$30180)=0,"n/a",IF(C30313&gt;=C30312-0.001,"Repaid from cash",IF(SUMPRODUCT($G$30180:$K$30180,$G$30177:$K$30177)&gt;0,IF(C30313&gt;0,"Partly repaid; remainder refinanced","Refinanced"),IF(SUM($G$30189:$K$30189)&gt;0.001,IF(C30313&gt;0,"Partial repayment; PAYMENT DEFAULT","PAYMENT DEFAULT"),"Repaid from cash"))))</f>
        <v>PAYMENT DEFAULT</v>
      </c>
    </row>
    <row r="30316" customFormat="false" ht="15" hidden="false" customHeight="false" outlineLevel="0" collapsed="false">
      <c r="A30316" s="3" t="s">
        <v>357</v>
      </c>
      <c r="C30316" s="16" t="n">
        <f aca="false">SUMPRODUCT($G$30193:$K$30193,$G$30192:$K$30192-$G$30198:$K$30198+$G$30197:$K$30197)</f>
        <v>0</v>
      </c>
    </row>
    <row r="30317" customFormat="false" ht="15" hidden="false" customHeight="false" outlineLevel="0" collapsed="false">
      <c r="A30317" s="3" t="s">
        <v>358</v>
      </c>
      <c r="C30317" s="16" t="n">
        <f aca="false">SUMPRODUCT($G$30193:$K$30193,$G$30200:$K$30200)</f>
        <v>0</v>
      </c>
    </row>
    <row r="30318" customFormat="false" ht="15" hidden="false" customHeight="false" outlineLevel="0" collapsed="false">
      <c r="A30318" s="3" t="s">
        <v>359</v>
      </c>
      <c r="C30318" s="3" t="str">
        <f aca="false">IF(SUM($G$30193:$K$30193)=0,"n/a (beyond horizon)",IF(SUMPRODUCT($G$30193:$K$30193,$G$30177:$K$30177)&gt;0,"REFINANCING PASS","REFINANCING FAILURE"))</f>
        <v>n/a (beyond horizon)</v>
      </c>
    </row>
    <row r="30319" customFormat="false" ht="15" hidden="false" customHeight="false" outlineLevel="0" collapsed="false">
      <c r="A30319" s="3" t="s">
        <v>360</v>
      </c>
      <c r="C30319" s="3" t="str">
        <f aca="false">IF(SUM($G$30193:$K$30193)=0,"n/a",IF(C30317&gt;=C30316-0.001,"Repaid from cash",IF(SUMPRODUCT($G$30193:$K$30193,$G$30177:$K$30177)&gt;0,IF(C30317&gt;0,"Partly repaid; remainder refinanced","Refinanced"),IF(SUM($G$30202:$K$30202)&gt;0.001,IF(C30317&gt;0,"Partial repayment; PAYMENT DEFAULT","PAYMENT DEFAULT"),"Repaid from cash"))))</f>
        <v>n/a</v>
      </c>
    </row>
    <row r="30320" customFormat="false" ht="15" hidden="false" customHeight="false" outlineLevel="0" collapsed="false">
      <c r="A30320" s="3" t="s">
        <v>361</v>
      </c>
      <c r="C30320" s="16" t="n">
        <f aca="false">SUMPRODUCT($G$30206:$K$30206,$G$30205:$K$30205-$G$30211:$K$30211+$G$30210:$K$30210)</f>
        <v>0</v>
      </c>
    </row>
    <row r="30321" customFormat="false" ht="15" hidden="false" customHeight="false" outlineLevel="0" collapsed="false">
      <c r="A30321" s="3" t="s">
        <v>362</v>
      </c>
      <c r="C30321" s="16" t="n">
        <f aca="false">SUMPRODUCT($G$30206:$K$30206,$G$30213:$K$30213)</f>
        <v>0</v>
      </c>
    </row>
    <row r="30322" customFormat="false" ht="15" hidden="false" customHeight="false" outlineLevel="0" collapsed="false">
      <c r="A30322" s="3" t="s">
        <v>363</v>
      </c>
      <c r="C30322" s="3" t="str">
        <f aca="false">IF(SUM($G$30206:$K$30206)=0,"n/a (beyond horizon)",IF(SUMPRODUCT($G$30206:$K$30206,$G$30177:$K$30177)&gt;0,"REFINANCING PASS","REFINANCING FAILURE"))</f>
        <v>n/a (beyond horizon)</v>
      </c>
    </row>
    <row r="30323" customFormat="false" ht="15" hidden="false" customHeight="false" outlineLevel="0" collapsed="false">
      <c r="A30323" s="3" t="s">
        <v>364</v>
      </c>
      <c r="C30323" s="3" t="str">
        <f aca="false">IF(SUM($G$30206:$K$30206)=0,"n/a",IF(C30321&gt;=C30320-0.001,"Repaid from cash",IF(SUMPRODUCT($G$30206:$K$30206,$G$30177:$K$30177)&gt;0,IF(C30321&gt;0,"Partly repaid; remainder refinanced","Refinanced"),IF(SUM($G$30215:$K$30215)&gt;0.001,IF(C30321&gt;0,"Partial repayment; PAYMENT DEFAULT","PAYMENT DEFAULT"),"Repaid from cash"))))</f>
        <v>n/a</v>
      </c>
    </row>
    <row r="30324" customFormat="false" ht="15" hidden="false" customHeight="false" outlineLevel="0" collapsed="false">
      <c r="A30324" s="3" t="s">
        <v>365</v>
      </c>
      <c r="C30324" s="16" t="n">
        <f aca="false">SUMPRODUCT($G$30219:$K$30219,$G$30218:$K$30218-$G$30224:$K$30224+$G$30223:$K$30223)</f>
        <v>0</v>
      </c>
    </row>
    <row r="30325" customFormat="false" ht="15" hidden="false" customHeight="false" outlineLevel="0" collapsed="false">
      <c r="A30325" s="3" t="s">
        <v>366</v>
      </c>
      <c r="C30325" s="16" t="n">
        <f aca="false">SUMPRODUCT($G$30219:$K$30219,$G$30226:$K$30226)</f>
        <v>0</v>
      </c>
    </row>
    <row r="30326" customFormat="false" ht="15" hidden="false" customHeight="false" outlineLevel="0" collapsed="false">
      <c r="A30326" s="3" t="s">
        <v>367</v>
      </c>
      <c r="C30326" s="3" t="str">
        <f aca="false">IF(SUM($G$30219:$K$30219)=0,"n/a (beyond horizon)",IF(SUMPRODUCT($G$30219:$K$30219,$G$30177:$K$30177)&gt;0,"REFINANCING PASS","REFINANCING FAILURE"))</f>
        <v>REFINANCING FAILURE</v>
      </c>
    </row>
    <row r="30327" customFormat="false" ht="15" hidden="false" customHeight="false" outlineLevel="0" collapsed="false">
      <c r="A30327" s="3" t="s">
        <v>368</v>
      </c>
      <c r="C30327" s="3" t="str">
        <f aca="false">IF(SUM($G$30219:$K$30219)=0,"n/a",IF(C30325&gt;=C30324-0.001,"Repaid from cash",IF(SUMPRODUCT($G$30219:$K$30219,$G$30177:$K$30177)&gt;0,IF(C30325&gt;0,"Partly repaid; remainder refinanced","Refinanced"),IF(SUM($G$30228:$K$30228)&gt;0.001,IF(C30325&gt;0,"Partial repayment; PAYMENT DEFAULT","PAYMENT DEFAULT"),"Repaid from cash"))))</f>
        <v>Repaid from cash</v>
      </c>
    </row>
    <row r="30328" customFormat="false" ht="15" hidden="false" customHeight="false" outlineLevel="0" collapsed="false">
      <c r="A30328" s="3" t="s">
        <v>369</v>
      </c>
      <c r="C30328" s="16" t="n">
        <f aca="false">SUMPRODUCT($G$30232:$K$30232,$G$30231:$K$30231-$G$30237:$K$30237+$G$30236:$K$30236)</f>
        <v>450</v>
      </c>
    </row>
    <row r="30329" customFormat="false" ht="15" hidden="false" customHeight="false" outlineLevel="0" collapsed="false">
      <c r="A30329" s="3" t="s">
        <v>370</v>
      </c>
      <c r="C30329" s="16" t="n">
        <f aca="false">SUMPRODUCT($G$30232:$K$30232,$G$30239:$K$30239)</f>
        <v>5.5130413</v>
      </c>
    </row>
    <row r="30330" customFormat="false" ht="15" hidden="false" customHeight="false" outlineLevel="0" collapsed="false">
      <c r="A30330" s="3" t="s">
        <v>371</v>
      </c>
      <c r="C30330" s="3" t="str">
        <f aca="false">IF(SUM($G$30232:$K$30232)=0,"n/a (beyond horizon)",IF(SUMPRODUCT($G$30232:$K$30232,$G$30177:$K$30177)&gt;0,"REFINANCING PASS","REFINANCING FAILURE"))</f>
        <v>REFINANCING FAILURE</v>
      </c>
    </row>
    <row r="30331" customFormat="false" ht="15" hidden="false" customHeight="false" outlineLevel="0" collapsed="false">
      <c r="A30331" s="3" t="s">
        <v>372</v>
      </c>
      <c r="C30331" s="3" t="str">
        <f aca="false">IF(SUM($G$30232:$K$30232)=0,"n/a",IF(C30329&gt;=C30328-0.001,"Repaid from cash",IF(SUMPRODUCT($G$30232:$K$30232,$G$30177:$K$30177)&gt;0,IF(C30329&gt;0,"Partly repaid; remainder refinanced","Refinanced"),IF(SUM($G$30241:$K$30241)&gt;0.001,IF(C30329&gt;0,"Partial repayment; PAYMENT DEFAULT","PAYMENT DEFAULT"),"Repaid from cash"))))</f>
        <v>Partial repayment; PAYMENT DEFAULT</v>
      </c>
    </row>
    <row r="30332" customFormat="false" ht="15" hidden="false" customHeight="false" outlineLevel="0" collapsed="false">
      <c r="A30332" s="3" t="s">
        <v>373</v>
      </c>
      <c r="C30332" s="16" t="n">
        <f aca="false">SUMPRODUCT($G$30245:$K$30245,$G$30244:$K$30244-$G$30250:$K$30250+$G$30249:$K$30249)</f>
        <v>350</v>
      </c>
    </row>
    <row r="30333" customFormat="false" ht="15" hidden="false" customHeight="false" outlineLevel="0" collapsed="false">
      <c r="A30333" s="3" t="s">
        <v>374</v>
      </c>
      <c r="C30333" s="16" t="n">
        <f aca="false">SUMPRODUCT($G$30245:$K$30245,$G$30252:$K$30252)</f>
        <v>0</v>
      </c>
    </row>
    <row r="30334" customFormat="false" ht="15" hidden="false" customHeight="false" outlineLevel="0" collapsed="false">
      <c r="A30334" s="3" t="s">
        <v>375</v>
      </c>
      <c r="C30334" s="3" t="str">
        <f aca="false">IF(SUM($G$30245:$K$30245)=0,"n/a (beyond horizon)",IF(SUMPRODUCT($G$30245:$K$30245,$G$30177:$K$30177)&gt;0,"REFINANCING PASS","REFINANCING FAILURE"))</f>
        <v>REFINANCING FAILURE</v>
      </c>
    </row>
    <row r="30335" customFormat="false" ht="15" hidden="false" customHeight="false" outlineLevel="0" collapsed="false">
      <c r="A30335" s="3" t="s">
        <v>376</v>
      </c>
      <c r="C30335" s="3" t="str">
        <f aca="false">IF(SUM($G$30245:$K$30245)=0,"n/a",IF(C30333&gt;=C30332-0.001,"Repaid from cash",IF(SUMPRODUCT($G$30245:$K$30245,$G$30177:$K$30177)&gt;0,IF(C30333&gt;0,"Partly repaid; remainder refinanced","Refinanced"),IF(SUM($G$30254:$K$30254)&gt;0.001,IF(C30333&gt;0,"Partial repayment; PAYMENT DEFAULT","PAYMENT DEFAULT"),"Repaid from cash"))))</f>
        <v>PAYMENT DEFAULT</v>
      </c>
    </row>
    <row r="30336" customFormat="false" ht="15" hidden="false" customHeight="false" outlineLevel="0" collapsed="false">
      <c r="A30336" s="3" t="s">
        <v>377</v>
      </c>
      <c r="C30336" s="16" t="n">
        <f aca="false">SUMPRODUCT($G$30258:$K$30258,$G$30257:$K$30257-$G$30263:$K$30263+$G$30262:$K$30262)</f>
        <v>550</v>
      </c>
    </row>
    <row r="30337" customFormat="false" ht="15" hidden="false" customHeight="false" outlineLevel="0" collapsed="false">
      <c r="A30337" s="3" t="s">
        <v>378</v>
      </c>
      <c r="C30337" s="16" t="n">
        <f aca="false">SUMPRODUCT($G$30258:$K$30258,$G$30265:$K$30265)</f>
        <v>0</v>
      </c>
    </row>
    <row r="30338" customFormat="false" ht="15" hidden="false" customHeight="false" outlineLevel="0" collapsed="false">
      <c r="A30338" s="3" t="s">
        <v>379</v>
      </c>
      <c r="C30338" s="3" t="str">
        <f aca="false">IF(SUM($G$30258:$K$30258)=0,"n/a (beyond horizon)",IF(SUMPRODUCT($G$30258:$K$30258,$G$30177:$K$30177)&gt;0,"REFINANCING PASS","REFINANCING FAILURE"))</f>
        <v>REFINANCING FAILURE</v>
      </c>
    </row>
    <row r="30339" customFormat="false" ht="15" hidden="false" customHeight="false" outlineLevel="0" collapsed="false">
      <c r="A30339" s="3" t="s">
        <v>380</v>
      </c>
      <c r="C30339" s="3" t="str">
        <f aca="false">IF(SUM($G$30258:$K$30258)=0,"n/a",IF(C30337&gt;=C30336-0.001,"Repaid from cash",IF(SUMPRODUCT($G$30258:$K$30258,$G$30177:$K$30177)&gt;0,IF(C30337&gt;0,"Partly repaid; remainder refinanced","Refinanced"),IF(SUM($G$30267:$K$30267)&gt;0.001,IF(C30337&gt;0,"Partial repayment; PAYMENT DEFAULT","PAYMENT DEFAULT"),"Repaid from cash"))))</f>
        <v>PAYMENT DEFAULT</v>
      </c>
    </row>
    <row r="30340" customFormat="false" ht="15" hidden="false" customHeight="false" outlineLevel="0" collapsed="false">
      <c r="A30340" s="3" t="s">
        <v>381</v>
      </c>
      <c r="C30340" s="16" t="n">
        <f aca="false">SUMPRODUCT($G$30271:$K$30271,$G$30270:$K$30270-$G$30276:$K$30276+$G$30275:$K$30275)</f>
        <v>350</v>
      </c>
    </row>
    <row r="30341" customFormat="false" ht="15" hidden="false" customHeight="false" outlineLevel="0" collapsed="false">
      <c r="A30341" s="3" t="s">
        <v>382</v>
      </c>
      <c r="C30341" s="16" t="n">
        <f aca="false">SUMPRODUCT($G$30271:$K$30271,$G$30278:$K$30278)</f>
        <v>0</v>
      </c>
    </row>
    <row r="30342" customFormat="false" ht="15" hidden="false" customHeight="false" outlineLevel="0" collapsed="false">
      <c r="A30342" s="3" t="s">
        <v>383</v>
      </c>
      <c r="C30342" s="3" t="str">
        <f aca="false">IF(SUM($G$30271:$K$30271)=0,"n/a (beyond horizon)",IF(SUMPRODUCT($G$30271:$K$30271,$G$30177:$K$30177)&gt;0,"REFINANCING PASS","REFINANCING FAILURE"))</f>
        <v>REFINANCING FAILURE</v>
      </c>
    </row>
    <row r="30343" customFormat="false" ht="15" hidden="false" customHeight="false" outlineLevel="0" collapsed="false">
      <c r="A30343" s="3" t="s">
        <v>384</v>
      </c>
      <c r="C30343" s="3" t="str">
        <f aca="false">IF(SUM($G$30271:$K$30271)=0,"n/a",IF(C30341&gt;=C30340-0.001,"Repaid from cash",IF(SUMPRODUCT($G$30271:$K$30271,$G$30177:$K$30177)&gt;0,IF(C30341&gt;0,"Partly repaid; remainder refinanced","Refinanced"),IF(SUM($G$30280:$K$30280)&gt;0.001,IF(C30341&gt;0,"Partial repayment; PAYMENT DEFAULT","PAYMENT DEFAULT"),"Repaid from cash"))))</f>
        <v>PAYMENT DEFAULT</v>
      </c>
    </row>
    <row r="30344" customFormat="false" ht="15" hidden="false" customHeight="false" outlineLevel="0" collapsed="false">
      <c r="A30344" s="3" t="s">
        <v>385</v>
      </c>
      <c r="C30344" s="16" t="n">
        <f aca="false">SUMPRODUCT($G$30284:$K$30284,$G$30283:$K$30283-$G$30289:$K$30289+$G$30288:$K$30288)</f>
        <v>300</v>
      </c>
    </row>
    <row r="30345" customFormat="false" ht="15" hidden="false" customHeight="false" outlineLevel="0" collapsed="false">
      <c r="A30345" s="3" t="s">
        <v>386</v>
      </c>
      <c r="C30345" s="16" t="n">
        <f aca="false">SUMPRODUCT($G$30284:$K$30284,$G$30291:$K$30291)</f>
        <v>0</v>
      </c>
    </row>
    <row r="30346" customFormat="false" ht="15" hidden="false" customHeight="false" outlineLevel="0" collapsed="false">
      <c r="A30346" s="3" t="s">
        <v>387</v>
      </c>
      <c r="C30346" s="3" t="str">
        <f aca="false">IF(SUM($G$30284:$K$30284)=0,"n/a (beyond horizon)",IF(SUMPRODUCT($G$30284:$K$30284,$G$30177:$K$30177)&gt;0,"REFINANCING PASS","REFINANCING FAILURE"))</f>
        <v>REFINANCING FAILURE</v>
      </c>
    </row>
    <row r="30347" customFormat="false" ht="15" hidden="false" customHeight="false" outlineLevel="0" collapsed="false">
      <c r="A30347" s="3" t="s">
        <v>388</v>
      </c>
      <c r="C30347" s="3" t="str">
        <f aca="false">IF(SUM($G$30284:$K$30284)=0,"n/a",IF(C30345&gt;=C30344-0.001,"Repaid from cash",IF(SUMPRODUCT($G$30284:$K$30284,$G$30177:$K$30177)&gt;0,IF(C30345&gt;0,"Partly repaid; remainder refinanced","Refinanced"),IF(SUM($G$30293:$K$30293)&gt;0.001,IF(C30345&gt;0,"Partial repayment; PAYMENT DEFAULT","PAYMENT DEFAULT"),"Repaid from cash"))))</f>
        <v>PAYMENT DEFAULT</v>
      </c>
    </row>
    <row r="30348" customFormat="false" ht="15" hidden="false" customHeight="false" outlineLevel="0" collapsed="false">
      <c r="A30348" s="3" t="s">
        <v>389</v>
      </c>
      <c r="C30348" s="16" t="n">
        <f aca="false">SUMPRODUCT($G$30297:$K$30297,$G$30296:$K$30296-$G$30302:$K$30302+$G$30301:$K$30301)</f>
        <v>0</v>
      </c>
    </row>
    <row r="30349" customFormat="false" ht="15" hidden="false" customHeight="false" outlineLevel="0" collapsed="false">
      <c r="A30349" s="3" t="s">
        <v>390</v>
      </c>
      <c r="C30349" s="16" t="n">
        <f aca="false">SUMPRODUCT($G$30297:$K$30297,$G$30304:$K$30304)</f>
        <v>0</v>
      </c>
    </row>
    <row r="30350" customFormat="false" ht="15" hidden="false" customHeight="false" outlineLevel="0" collapsed="false">
      <c r="A30350" s="3" t="s">
        <v>391</v>
      </c>
      <c r="C30350" s="3" t="str">
        <f aca="false">IF(SUM($G$30297:$K$30297)=0,"n/a (beyond horizon)",IF(SUMPRODUCT($G$30297:$K$30297,$G$30177:$K$30177)&gt;0,"REFINANCING PASS","REFINANCING FAILURE"))</f>
        <v>n/a (beyond horizon)</v>
      </c>
    </row>
    <row r="30351" customFormat="false" ht="15" hidden="false" customHeight="false" outlineLevel="0" collapsed="false">
      <c r="A30351" s="3" t="s">
        <v>392</v>
      </c>
      <c r="C30351" s="3" t="str">
        <f aca="false">IF(SUM($G$30297:$K$30297)=0,"n/a",IF(C30349&gt;=C30348-0.001,"Repaid from cash",IF(SUMPRODUCT($G$30297:$K$30297,$G$30177:$K$30177)&gt;0,IF(C30349&gt;0,"Partly repaid; remainder refinanced","Refinanced"),IF(SUM($G$30306:$K$30306)&gt;0.001,IF(C30349&gt;0,"Partial repayment; PAYMENT DEFAULT","PAYMENT DEFAULT"),"Repaid from cash"))))</f>
        <v>n/a</v>
      </c>
    </row>
    <row r="30352" customFormat="false" ht="15" hidden="false" customHeight="false" outlineLevel="0" collapsed="false">
      <c r="A30352" s="3" t="s">
        <v>393</v>
      </c>
      <c r="C30352" s="21" t="n">
        <f aca="false">IF(C30314="REFINANCING FAILURE",1,0)+IF(C30318="REFINANCING FAILURE",1,0)+IF(C30322="REFINANCING FAILURE",1,0)+IF(C30326="REFINANCING FAILURE",1,0)+IF(C30330="REFINANCING FAILURE",1,0)+IF(C30334="REFINANCING FAILURE",1,0)+IF(C30338="REFINANCING FAILURE",1,0)+IF(C30342="REFINANCING FAILURE",1,0)+IF(C30346="REFINANCING FAILURE",1,0)+IF(C30350="REFINANCING FAILURE",1,0)</f>
        <v>7</v>
      </c>
    </row>
    <row r="30354" customFormat="false" ht="15" hidden="false" customHeight="false" outlineLevel="0" collapsed="false">
      <c r="A30354" s="24" t="s">
        <v>395</v>
      </c>
      <c r="B30354" s="25"/>
      <c r="C30354" s="25"/>
      <c r="D30354" s="25"/>
      <c r="E30354" s="25"/>
      <c r="F30354" s="25"/>
      <c r="G30354" s="25"/>
      <c r="H30354" s="25"/>
      <c r="I30354" s="25"/>
      <c r="J30354" s="25"/>
      <c r="K30354" s="25"/>
    </row>
    <row r="30355" customFormat="false" ht="15" hidden="false" customHeight="false" outlineLevel="0" collapsed="false">
      <c r="A30355" s="3" t="s">
        <v>325</v>
      </c>
      <c r="G30355" s="16" t="n">
        <f aca="false">F30367</f>
        <v>37.87</v>
      </c>
      <c r="H30355" s="16" t="n">
        <f aca="false">G30367</f>
        <v>82.5083416</v>
      </c>
      <c r="I30355" s="16" t="n">
        <f aca="false">H30367</f>
        <v>0</v>
      </c>
      <c r="J30355" s="16" t="n">
        <f aca="false">I30367</f>
        <v>-80.8574236716</v>
      </c>
      <c r="K30355" s="16" t="n">
        <f aca="false">J30367</f>
        <v>-159.18205994325</v>
      </c>
    </row>
    <row r="30356" customFormat="false" ht="15" hidden="false" customHeight="false" outlineLevel="0" collapsed="false">
      <c r="A30356" s="3" t="s">
        <v>396</v>
      </c>
      <c r="G30356" s="16" t="n">
        <f aca="false">G30166</f>
        <v>-51.3616584</v>
      </c>
      <c r="H30356" s="16" t="n">
        <f aca="false">H30166</f>
        <v>-72.9953003</v>
      </c>
      <c r="I30356" s="16" t="n">
        <f aca="false">I30166</f>
        <v>-76.8574236716</v>
      </c>
      <c r="J30356" s="16" t="n">
        <f aca="false">J30166</f>
        <v>-74.32463627165</v>
      </c>
      <c r="K30356" s="16" t="n">
        <f aca="false">K30166</f>
        <v>-68.514933283781</v>
      </c>
    </row>
    <row r="30357" customFormat="false" ht="15" hidden="false" customHeight="false" outlineLevel="0" collapsed="false">
      <c r="A30357" s="3" t="s">
        <v>397</v>
      </c>
      <c r="G30357" s="16" t="n">
        <f aca="false">CHOOSE($C$30136,Assumptions!$G$82,Assumptions!$G$101,Assumptions!$G$120)</f>
        <v>100</v>
      </c>
      <c r="H30357" s="16" t="n">
        <f aca="false">CHOOSE($C$30136,Assumptions!$H$82,Assumptions!$H$101,Assumptions!$H$120)</f>
        <v>0</v>
      </c>
      <c r="I30357" s="16" t="n">
        <f aca="false">CHOOSE($C$30136,Assumptions!$I$82,Assumptions!$I$101,Assumptions!$I$120)</f>
        <v>0</v>
      </c>
      <c r="J30357" s="16" t="n">
        <f aca="false">CHOOSE($C$30136,Assumptions!$J$82,Assumptions!$J$101,Assumptions!$J$120)</f>
        <v>0</v>
      </c>
      <c r="K30357" s="16" t="n">
        <f aca="false">CHOOSE($C$30136,Assumptions!$K$82,Assumptions!$K$101,Assumptions!$K$120)</f>
        <v>0</v>
      </c>
    </row>
    <row r="30358" customFormat="false" ht="15" hidden="false" customHeight="false" outlineLevel="0" collapsed="false">
      <c r="A30358" s="3" t="s">
        <v>398</v>
      </c>
      <c r="G30358" s="16" t="n">
        <f aca="false">G30185+G30198+G30211+G30224+G30237+G30250+G30263+G30276+G30289+G30302</f>
        <v>4</v>
      </c>
      <c r="H30358" s="16" t="n">
        <f aca="false">H30185+H30198+H30211+H30224+H30237+H30250+H30263+H30276+H30289+H30302</f>
        <v>4</v>
      </c>
      <c r="I30358" s="16" t="n">
        <f aca="false">I30185+I30198+I30211+I30224+I30237+I30250+I30263+I30276+I30289+I30302</f>
        <v>4</v>
      </c>
      <c r="J30358" s="16" t="n">
        <f aca="false">J30185+J30198+J30211+J30224+J30237+J30250+J30263+J30276+J30289+J30302</f>
        <v>4</v>
      </c>
      <c r="K30358" s="16" t="n">
        <f aca="false">K30185+K30198+K30211+K30224+K30237+K30250+K30263+K30276+K30289+K30302</f>
        <v>4</v>
      </c>
    </row>
    <row r="30359" customFormat="false" ht="15" hidden="false" customHeight="false" outlineLevel="0" collapsed="false">
      <c r="A30359" s="2" t="s">
        <v>399</v>
      </c>
      <c r="G30359" s="17" t="n">
        <f aca="false">G30355+G30356+G30357-G30358</f>
        <v>82.5083416</v>
      </c>
      <c r="H30359" s="17" t="n">
        <f aca="false">H30355+H30356+H30357-H30358</f>
        <v>5.5130413</v>
      </c>
      <c r="I30359" s="17" t="n">
        <f aca="false">I30355+I30356+I30357-I30358</f>
        <v>-80.8574236716</v>
      </c>
      <c r="J30359" s="17" t="n">
        <f aca="false">J30355+J30356+J30357-J30358</f>
        <v>-159.18205994325</v>
      </c>
      <c r="K30359" s="17" t="n">
        <f aca="false">K30355+K30356+K30357-K30358</f>
        <v>-231.696993227031</v>
      </c>
    </row>
    <row r="30360" customFormat="false" ht="15" hidden="false" customHeight="false" outlineLevel="0" collapsed="false">
      <c r="A30360" s="3" t="s">
        <v>400</v>
      </c>
      <c r="G30360" s="16" t="n">
        <f aca="false">G30186+G30199+G30212+G30225+G30238+G30251+G30264+G30277+G30290+G30303</f>
        <v>0</v>
      </c>
      <c r="H30360" s="16" t="n">
        <f aca="false">H30186+H30199+H30212+H30225+H30238+H30251+H30264+H30277+H30290+H30303</f>
        <v>0</v>
      </c>
      <c r="I30360" s="16" t="n">
        <f aca="false">I30186+I30199+I30212+I30225+I30238+I30251+I30264+I30277+I30290+I30303</f>
        <v>0</v>
      </c>
      <c r="J30360" s="16" t="n">
        <f aca="false">J30186+J30199+J30212+J30225+J30238+J30251+J30264+J30277+J30290+J30303</f>
        <v>0</v>
      </c>
      <c r="K30360" s="16" t="n">
        <f aca="false">K30186+K30199+K30212+K30225+K30238+K30251+K30264+K30277+K30290+K30303</f>
        <v>0</v>
      </c>
    </row>
    <row r="30361" customFormat="false" ht="15" hidden="false" customHeight="false" outlineLevel="0" collapsed="false">
      <c r="A30361" s="2" t="s">
        <v>401</v>
      </c>
      <c r="G30361" s="17" t="n">
        <f aca="false">G30359+G30360</f>
        <v>82.5083416</v>
      </c>
      <c r="H30361" s="17" t="n">
        <f aca="false">H30359+H30360</f>
        <v>5.5130413</v>
      </c>
      <c r="I30361" s="17" t="n">
        <f aca="false">I30359+I30360</f>
        <v>-80.8574236716</v>
      </c>
      <c r="J30361" s="17" t="n">
        <f aca="false">J30359+J30360</f>
        <v>-159.18205994325</v>
      </c>
      <c r="K30361" s="17" t="n">
        <f aca="false">K30359+K30360</f>
        <v>-231.696993227031</v>
      </c>
    </row>
    <row r="30362" customFormat="false" ht="15" hidden="false" customHeight="false" outlineLevel="0" collapsed="false">
      <c r="A30362" s="3" t="s">
        <v>402</v>
      </c>
      <c r="G30362" s="16" t="n">
        <f aca="false">G30187+G30200+G30213+G30226+G30239+G30252+G30265+G30278+G30291+G30304</f>
        <v>0</v>
      </c>
      <c r="H30362" s="16" t="n">
        <f aca="false">H30187+H30200+H30213+H30226+H30239+H30252+H30265+H30278+H30291+H30304</f>
        <v>5.5130413</v>
      </c>
      <c r="I30362" s="16" t="n">
        <f aca="false">I30187+I30200+I30213+I30226+I30239+I30252+I30265+I30278+I30291+I30304</f>
        <v>0</v>
      </c>
      <c r="J30362" s="16" t="n">
        <f aca="false">J30187+J30200+J30213+J30226+J30239+J30252+J30265+J30278+J30291+J30304</f>
        <v>0</v>
      </c>
      <c r="K30362" s="16" t="n">
        <f aca="false">K30187+K30200+K30213+K30226+K30239+K30252+K30265+K30278+K30291+K30304</f>
        <v>0</v>
      </c>
    </row>
    <row r="30363" customFormat="false" ht="15" hidden="false" customHeight="false" outlineLevel="0" collapsed="false">
      <c r="A30363" s="2" t="s">
        <v>403</v>
      </c>
      <c r="G30363" s="17" t="n">
        <f aca="false">G30361-G30362</f>
        <v>82.5083416</v>
      </c>
      <c r="H30363" s="17" t="n">
        <f aca="false">H30361-H30362</f>
        <v>0</v>
      </c>
      <c r="I30363" s="17" t="n">
        <f aca="false">I30361-I30362</f>
        <v>-80.8574236716</v>
      </c>
      <c r="J30363" s="17" t="n">
        <f aca="false">J30361-J30362</f>
        <v>-159.18205994325</v>
      </c>
      <c r="K30363" s="17" t="n">
        <f aca="false">K30361-K30362</f>
        <v>-231.696993227031</v>
      </c>
    </row>
    <row r="30364" customFormat="false" ht="15" hidden="false" customHeight="false" outlineLevel="0" collapsed="false">
      <c r="A30364" s="3" t="s">
        <v>404</v>
      </c>
      <c r="G30364" s="16" t="n">
        <f aca="false">MAX(0,-G30363)</f>
        <v>0</v>
      </c>
      <c r="H30364" s="16" t="n">
        <f aca="false">MAX(0,-H30363)</f>
        <v>-0</v>
      </c>
      <c r="I30364" s="16" t="n">
        <f aca="false">MAX(0,-I30363)</f>
        <v>80.8574236716</v>
      </c>
      <c r="J30364" s="16" t="n">
        <f aca="false">MAX(0,-J30363)</f>
        <v>159.18205994325</v>
      </c>
      <c r="K30364" s="16" t="n">
        <f aca="false">MAX(0,-K30363)</f>
        <v>231.696993227031</v>
      </c>
    </row>
    <row r="30365" customFormat="false" ht="15" hidden="false" customHeight="false" outlineLevel="0" collapsed="false">
      <c r="A30365" s="3" t="s">
        <v>405</v>
      </c>
      <c r="G30365" s="16" t="n">
        <f aca="false">MAX(0,G30363-Assumptions!$C$12)*Assumptions!$C$13</f>
        <v>0</v>
      </c>
      <c r="H30365" s="16" t="n">
        <f aca="false">MAX(0,H30363-Assumptions!$C$12)*Assumptions!$C$13</f>
        <v>0</v>
      </c>
      <c r="I30365" s="16" t="n">
        <f aca="false">MAX(0,I30363-Assumptions!$C$12)*Assumptions!$C$13</f>
        <v>0</v>
      </c>
      <c r="J30365" s="16" t="n">
        <f aca="false">MAX(0,J30363-Assumptions!$C$12)*Assumptions!$C$13</f>
        <v>0</v>
      </c>
      <c r="K30365" s="16" t="n">
        <f aca="false">MAX(0,K30363-Assumptions!$C$12)*Assumptions!$C$13</f>
        <v>0</v>
      </c>
    </row>
    <row r="30366" customFormat="false" ht="15" hidden="false" customHeight="false" outlineLevel="0" collapsed="false">
      <c r="A30366" s="3" t="s">
        <v>406</v>
      </c>
      <c r="G30366" s="16" t="n">
        <f aca="false">G30188+G30201+G30214+G30227+G30240+G30253+G30266+G30279+G30292+G30305</f>
        <v>0</v>
      </c>
      <c r="H30366" s="16" t="n">
        <f aca="false">H30188+H30201+H30214+H30227+H30240+H30253+H30266+H30279+H30292+H30305</f>
        <v>0</v>
      </c>
      <c r="I30366" s="16" t="n">
        <f aca="false">I30188+I30201+I30214+I30227+I30240+I30253+I30266+I30279+I30292+I30305</f>
        <v>0</v>
      </c>
      <c r="J30366" s="16" t="n">
        <f aca="false">J30188+J30201+J30214+J30227+J30240+J30253+J30266+J30279+J30292+J30305</f>
        <v>0</v>
      </c>
      <c r="K30366" s="16" t="n">
        <f aca="false">K30188+K30201+K30214+K30227+K30240+K30253+K30266+K30279+K30292+K30305</f>
        <v>0</v>
      </c>
    </row>
    <row r="30367" customFormat="false" ht="15" hidden="false" customHeight="false" outlineLevel="0" collapsed="false">
      <c r="A30367" s="2" t="s">
        <v>407</v>
      </c>
      <c r="F30367" s="28" t="n">
        <f aca="false">Assumptions!$C$11</f>
        <v>37.87</v>
      </c>
      <c r="G30367" s="17" t="n">
        <f aca="false">G30363-G30366</f>
        <v>82.5083416</v>
      </c>
      <c r="H30367" s="17" t="n">
        <f aca="false">H30363-H30366</f>
        <v>0</v>
      </c>
      <c r="I30367" s="17" t="n">
        <f aca="false">I30363-I30366</f>
        <v>-80.8574236716</v>
      </c>
      <c r="J30367" s="17" t="n">
        <f aca="false">J30363-J30366</f>
        <v>-159.18205994325</v>
      </c>
      <c r="K30367" s="17" t="n">
        <f aca="false">K30363-K30366</f>
        <v>-231.696993227031</v>
      </c>
    </row>
    <row r="30368" customFormat="false" ht="15" hidden="false" customHeight="false" outlineLevel="0" collapsed="false">
      <c r="A30368" s="3" t="s">
        <v>408</v>
      </c>
      <c r="G30368" s="16" t="n">
        <f aca="false">G30189+G30202+G30215+G30228+G30241+G30254+G30267+G30280+G30293+G30306</f>
        <v>0</v>
      </c>
      <c r="H30368" s="16" t="n">
        <f aca="false">H30189+H30202+H30215+H30228+H30241+H30254+H30267+H30280+H30293+H30306</f>
        <v>794.4869587</v>
      </c>
      <c r="I30368" s="16" t="n">
        <f aca="false">I30189+I30202+I30215+I30228+I30241+I30254+I30267+I30280+I30293+I30306</f>
        <v>550</v>
      </c>
      <c r="J30368" s="16" t="n">
        <f aca="false">J30189+J30202+J30215+J30228+J30241+J30254+J30267+J30280+J30293+J30306</f>
        <v>350</v>
      </c>
      <c r="K30368" s="16" t="n">
        <f aca="false">K30189+K30202+K30215+K30228+K30241+K30254+K30267+K30280+K30293+K30306</f>
        <v>680</v>
      </c>
    </row>
    <row r="30369" customFormat="false" ht="15" hidden="false" customHeight="false" outlineLevel="0" collapsed="false">
      <c r="A30369" s="3" t="s">
        <v>409</v>
      </c>
      <c r="G30369" s="21" t="n">
        <f aca="false">IF(OR(G30364&gt;0.001,G30368&gt;0.001),1,0)</f>
        <v>0</v>
      </c>
      <c r="H30369" s="21" t="n">
        <f aca="false">IF(OR(H30364&gt;0.001,H30368&gt;0.001),1,0)</f>
        <v>1</v>
      </c>
      <c r="I30369" s="21" t="n">
        <f aca="false">IF(OR(I30364&gt;0.001,I30368&gt;0.001),1,0)</f>
        <v>1</v>
      </c>
      <c r="J30369" s="21" t="n">
        <f aca="false">IF(OR(J30364&gt;0.001,J30368&gt;0.001),1,0)</f>
        <v>1</v>
      </c>
      <c r="K30369" s="21" t="n">
        <f aca="false">IF(OR(K30364&gt;0.001,K30368&gt;0.001),1,0)</f>
        <v>1</v>
      </c>
    </row>
    <row r="30370" customFormat="false" ht="15" hidden="false" customHeight="false" outlineLevel="0" collapsed="false">
      <c r="A30370" s="3" t="s">
        <v>410</v>
      </c>
      <c r="G30370" s="21" t="n">
        <f aca="false">IF(G30369=1,1,0)</f>
        <v>0</v>
      </c>
      <c r="H30370" s="21" t="n">
        <f aca="false">IF(AND(H30369=1,SUM($G$30369:G30369)=0),1,0)</f>
        <v>1</v>
      </c>
      <c r="I30370" s="21" t="n">
        <f aca="false">IF(AND(I30369=1,SUM($G$30369:H30369)=0),1,0)</f>
        <v>0</v>
      </c>
      <c r="J30370" s="21" t="n">
        <f aca="false">IF(AND(J30369=1,SUM($G$30369:I30369)=0),1,0)</f>
        <v>0</v>
      </c>
      <c r="K30370" s="21" t="n">
        <f aca="false">IF(AND(K30369=1,SUM($G$30369:J30369)=0),1,0)</f>
        <v>0</v>
      </c>
    </row>
    <row r="30371" customFormat="false" ht="15" hidden="false" customHeight="false" outlineLevel="0" collapsed="false">
      <c r="A30371" s="3" t="s">
        <v>411</v>
      </c>
      <c r="G30371" s="16" t="n">
        <f aca="false">(G30309-F30309)-(G30360+G30158-G30358-G30362-G30366)</f>
        <v>0</v>
      </c>
      <c r="H30371" s="16" t="n">
        <f aca="false">(H30309-G30309)-(H30360+H30158-H30358-H30362-H30366)</f>
        <v>-1.70530256582424E-013</v>
      </c>
      <c r="I30371" s="16" t="n">
        <f aca="false">(I30309-H30309)-(I30360+I30158-I30358-I30362-I30366)</f>
        <v>0</v>
      </c>
      <c r="J30371" s="16" t="n">
        <f aca="false">(J30309-I30309)-(J30360+J30158-J30358-J30362-J30366)</f>
        <v>0</v>
      </c>
      <c r="K30371" s="16" t="n">
        <f aca="false">(K30309-J30309)-(K30360+K30158-K30358-K30362-K30366)</f>
        <v>0</v>
      </c>
    </row>
    <row r="30373" customFormat="false" ht="15" hidden="false" customHeight="false" outlineLevel="0" collapsed="false">
      <c r="A30373" s="24" t="s">
        <v>413</v>
      </c>
      <c r="B30373" s="25"/>
      <c r="C30373" s="25"/>
      <c r="D30373" s="25"/>
      <c r="E30373" s="25"/>
      <c r="F30373" s="25"/>
      <c r="G30373" s="25"/>
      <c r="H30373" s="25"/>
      <c r="I30373" s="25"/>
      <c r="J30373" s="25"/>
      <c r="K30373" s="25"/>
    </row>
    <row r="30374" customFormat="false" ht="15" hidden="false" customHeight="false" outlineLevel="0" collapsed="false">
      <c r="A30374" s="3" t="s">
        <v>414</v>
      </c>
      <c r="G30374" s="16" t="n">
        <f aca="false">G30309</f>
        <v>2621.934</v>
      </c>
      <c r="H30374" s="16" t="n">
        <f aca="false">H30309</f>
        <v>2612.4209587</v>
      </c>
      <c r="I30374" s="16" t="n">
        <f aca="false">I30309</f>
        <v>2608.4209587</v>
      </c>
      <c r="J30374" s="16" t="n">
        <f aca="false">J30309</f>
        <v>2604.4209587</v>
      </c>
      <c r="K30374" s="16" t="n">
        <f aca="false">K30309</f>
        <v>2600.4209587</v>
      </c>
    </row>
    <row r="30375" customFormat="false" ht="15" hidden="false" customHeight="false" outlineLevel="0" collapsed="false">
      <c r="A30375" s="3" t="s">
        <v>415</v>
      </c>
      <c r="G30375" s="16" t="n">
        <f aca="false">Assumptions!$O$57*G30190+Assumptions!$O$58*G30203+Assumptions!$O$59*G30216+Assumptions!$O$60*G30229+Assumptions!$O$61*G30242+Assumptions!$O$62*G30255+Assumptions!$O$63*G30268+Assumptions!$O$64*G30281+Assumptions!$O$65*G30294+Assumptions!$O$66*G30307</f>
        <v>543.324</v>
      </c>
      <c r="H30375" s="16" t="n">
        <f aca="false">Assumptions!$O$57*H30190+Assumptions!$O$58*H30203+Assumptions!$O$59*H30216+Assumptions!$O$60*H30229+Assumptions!$O$61*H30242+Assumptions!$O$62*H30255+Assumptions!$O$63*H30268+Assumptions!$O$64*H30281+Assumptions!$O$65*H30294+Assumptions!$O$66*H30307</f>
        <v>539.324</v>
      </c>
      <c r="I30375" s="16" t="n">
        <f aca="false">Assumptions!$O$57*I30190+Assumptions!$O$58*I30203+Assumptions!$O$59*I30216+Assumptions!$O$60*I30229+Assumptions!$O$61*I30242+Assumptions!$O$62*I30255+Assumptions!$O$63*I30268+Assumptions!$O$64*I30281+Assumptions!$O$65*I30294+Assumptions!$O$66*I30307</f>
        <v>535.324</v>
      </c>
      <c r="J30375" s="16" t="n">
        <f aca="false">Assumptions!$O$57*J30190+Assumptions!$O$58*J30203+Assumptions!$O$59*J30216+Assumptions!$O$60*J30229+Assumptions!$O$61*J30242+Assumptions!$O$62*J30255+Assumptions!$O$63*J30268+Assumptions!$O$64*J30281+Assumptions!$O$65*J30294+Assumptions!$O$66*J30307</f>
        <v>531.324</v>
      </c>
      <c r="K30375" s="16" t="n">
        <f aca="false">Assumptions!$O$57*K30190+Assumptions!$O$58*K30203+Assumptions!$O$59*K30216+Assumptions!$O$60*K30229+Assumptions!$O$61*K30242+Assumptions!$O$62*K30255+Assumptions!$O$63*K30268+Assumptions!$O$64*K30281+Assumptions!$O$65*K30294+Assumptions!$O$66*K30307</f>
        <v>527.324</v>
      </c>
    </row>
    <row r="30376" customFormat="false" ht="15" hidden="false" customHeight="false" outlineLevel="0" collapsed="false">
      <c r="A30376" s="3" t="s">
        <v>416</v>
      </c>
      <c r="G30376" s="16" t="n">
        <f aca="false">G30374-G30367</f>
        <v>2539.4256584</v>
      </c>
      <c r="H30376" s="16" t="n">
        <f aca="false">H30374-H30367</f>
        <v>2612.4209587</v>
      </c>
      <c r="I30376" s="16" t="n">
        <f aca="false">I30374-I30367</f>
        <v>2689.2783823716</v>
      </c>
      <c r="J30376" s="16" t="n">
        <f aca="false">J30374-J30367</f>
        <v>2763.60301864325</v>
      </c>
      <c r="K30376" s="16" t="n">
        <f aca="false">K30374-K30367</f>
        <v>2832.11795192703</v>
      </c>
    </row>
    <row r="30377" customFormat="false" ht="15" hidden="false" customHeight="false" outlineLevel="0" collapsed="false">
      <c r="A30377" s="3" t="s">
        <v>417</v>
      </c>
      <c r="G30377" s="32" t="n">
        <f aca="false">IF(G30153&gt;0,G30374/G30153,0)</f>
        <v>12.7097898879239</v>
      </c>
      <c r="H30377" s="32" t="n">
        <f aca="false">IF(H30153&gt;0,H30374/H30153,0)</f>
        <v>14.5668685971808</v>
      </c>
      <c r="I30377" s="32" t="n">
        <f aca="false">IF(I30153&gt;0,I30374/I30153,0)</f>
        <v>15.170801141647</v>
      </c>
      <c r="J30377" s="32" t="n">
        <f aca="false">IF(J30153&gt;0,J30374/J30153,0)</f>
        <v>14.9714026480465</v>
      </c>
      <c r="K30377" s="32" t="n">
        <f aca="false">IF(K30153&gt;0,K30374/K30153,0)</f>
        <v>14.4640319354636</v>
      </c>
    </row>
    <row r="30378" customFormat="false" ht="15" hidden="false" customHeight="false" outlineLevel="0" collapsed="false">
      <c r="A30378" s="3" t="s">
        <v>418</v>
      </c>
      <c r="G30378" s="32" t="n">
        <f aca="false">IF(G30153&gt;0,G30376/G30153,0)</f>
        <v>12.3098318089879</v>
      </c>
      <c r="H30378" s="32" t="n">
        <f aca="false">IF(H30153&gt;0,H30376/H30153,0)</f>
        <v>14.5668685971808</v>
      </c>
      <c r="I30378" s="32" t="n">
        <f aca="false">IF(I30153&gt;0,I30376/I30153,0)</f>
        <v>15.6410748876297</v>
      </c>
      <c r="J30378" s="32" t="n">
        <f aca="false">IF(J30153&gt;0,J30376/J30153,0)</f>
        <v>15.8864539210732</v>
      </c>
      <c r="K30378" s="32" t="n">
        <f aca="false">IF(K30153&gt;0,K30376/K30153,0)</f>
        <v>15.7527743208741</v>
      </c>
    </row>
    <row r="30379" customFormat="false" ht="15" hidden="false" customHeight="false" outlineLevel="0" collapsed="false">
      <c r="A30379" s="3" t="s">
        <v>419</v>
      </c>
      <c r="G30379" s="32" t="n">
        <f aca="false">IF(G30157&gt;0,G30153/G30157,0)</f>
        <v>1.0348043461767</v>
      </c>
      <c r="H30379" s="32" t="n">
        <f aca="false">IF(H30157&gt;0,H30153/H30157,0)</f>
        <v>0.905226026971496</v>
      </c>
      <c r="I30379" s="32" t="n">
        <f aca="false">IF(I30157&gt;0,I30153/I30157,0)</f>
        <v>0.876326611958687</v>
      </c>
      <c r="J30379" s="32" t="n">
        <f aca="false">IF(J30157&gt;0,J30153/J30157,0)</f>
        <v>0.888947033248822</v>
      </c>
      <c r="K30379" s="32" t="n">
        <f aca="false">IF(K30157&gt;0,K30153/K30157,0)</f>
        <v>0.921116980019344</v>
      </c>
    </row>
    <row r="30380" customFormat="false" ht="15" hidden="false" customHeight="false" outlineLevel="0" collapsed="false">
      <c r="A30380" s="3" t="s">
        <v>420</v>
      </c>
      <c r="G30380" s="32" t="n">
        <f aca="false">IF(G30157&gt;0,G30156/G30157,0)</f>
        <v>0.198284243438936</v>
      </c>
      <c r="H30380" s="32" t="n">
        <f aca="false">IF(H30157&gt;0,H30156/H30157,0)</f>
        <v>0.122401279820014</v>
      </c>
      <c r="I30380" s="32" t="n">
        <f aca="false">IF(I30157&gt;0,I30156/I30157,0)</f>
        <v>0.109577926553568</v>
      </c>
      <c r="J30380" s="32" t="n">
        <f aca="false">IF(J30157&gt;0,J30156/J30157,0)</f>
        <v>0.120200095136335</v>
      </c>
      <c r="K30380" s="32" t="n">
        <f aca="false">IF(K30157&gt;0,K30156/K30157,0)</f>
        <v>0.142653790205997</v>
      </c>
    </row>
    <row r="30381" customFormat="false" ht="15" hidden="false" customHeight="false" outlineLevel="0" collapsed="false">
      <c r="A30381" s="3" t="s">
        <v>213</v>
      </c>
      <c r="G30381" s="22" t="n">
        <f aca="false">IF(G30374&gt;0,G30166/G30374,0)</f>
        <v>-0.0195892262734302</v>
      </c>
      <c r="H30381" s="22" t="n">
        <f aca="false">IF(H30374&gt;0,H30166/H30374,0)</f>
        <v>-0.0279416301790521</v>
      </c>
      <c r="I30381" s="22" t="n">
        <f aca="false">IF(I30374&gt;0,I30166/I30374,0)</f>
        <v>-0.0294651150594591</v>
      </c>
      <c r="J30381" s="22" t="n">
        <f aca="false">IF(J30374&gt;0,J30166/J30374,0)</f>
        <v>-0.0285378736580085</v>
      </c>
      <c r="K30381" s="22" t="n">
        <f aca="false">IF(K30374&gt;0,K30166/K30374,0)</f>
        <v>-0.0263476315457913</v>
      </c>
    </row>
    <row r="30382" customFormat="false" ht="15" hidden="false" customHeight="false" outlineLevel="0" collapsed="false">
      <c r="A30382" s="3" t="s">
        <v>421</v>
      </c>
      <c r="G30382" s="32" t="n">
        <f aca="false">IF(G30157+G30358&gt;0,(G30153-G30164-G30161)/(G30157+G30358),0)</f>
        <v>0.727757333760456</v>
      </c>
      <c r="H30382" s="32" t="n">
        <f aca="false">IF(H30157+H30358&gt;0,(H30153-H30164-H30161)/(H30157+H30358),0)</f>
        <v>0.619054229319595</v>
      </c>
      <c r="I30382" s="32" t="n">
        <f aca="false">IF(I30157+I30358&gt;0,(I30153-I30164-I30161)/(I30157+I30358),0)</f>
        <v>0.596120558093172</v>
      </c>
      <c r="J30382" s="32" t="n">
        <f aca="false">IF(J30157+J30358&gt;0,(J30153-J30164-J30161)/(J30157+J30358),0)</f>
        <v>0.607772553564631</v>
      </c>
      <c r="K30382" s="32" t="n">
        <f aca="false">IF(K30157+K30358&gt;0,(K30153-K30164-K30161)/(K30157+K30358),0)</f>
        <v>0.635936094257293</v>
      </c>
    </row>
    <row r="30383" customFormat="false" ht="15" hidden="false" customHeight="false" outlineLevel="0" collapsed="false">
      <c r="A30383" s="3" t="s">
        <v>422</v>
      </c>
      <c r="G30383" s="16" t="n">
        <f aca="false">MAX(0,G30367)+Assumptions!$P$57*MAX(0,Assumptions!$D$57-G30190)+Assumptions!$P$58*MAX(0,Assumptions!$D$58-G30203)+Assumptions!$P$59*MAX(0,Assumptions!$D$59-G30216)+Assumptions!$P$60*MAX(0,Assumptions!$D$60-G30229)+Assumptions!$P$61*MAX(0,Assumptions!$D$61-G30242)+Assumptions!$P$62*MAX(0,Assumptions!$D$62-G30255)+Assumptions!$P$63*MAX(0,Assumptions!$D$63-G30268)+Assumptions!$P$64*MAX(0,Assumptions!$D$64-G30281)+Assumptions!$P$65*MAX(0,Assumptions!$D$65-G30294)+Assumptions!$P$66*MAX(0,Assumptions!$D$66-G30307)</f>
        <v>657.0083416</v>
      </c>
      <c r="H30383" s="16" t="n">
        <f aca="false">MAX(0,H30367)+Assumptions!$P$57*MAX(0,Assumptions!$D$57-H30190)+Assumptions!$P$58*MAX(0,Assumptions!$D$58-H30203)+Assumptions!$P$59*MAX(0,Assumptions!$D$59-H30216)+Assumptions!$P$60*MAX(0,Assumptions!$D$60-H30229)+Assumptions!$P$61*MAX(0,Assumptions!$D$61-H30242)+Assumptions!$P$62*MAX(0,Assumptions!$D$62-H30255)+Assumptions!$P$63*MAX(0,Assumptions!$D$63-H30268)+Assumptions!$P$64*MAX(0,Assumptions!$D$64-H30281)+Assumptions!$P$65*MAX(0,Assumptions!$D$65-H30294)+Assumptions!$P$66*MAX(0,Assumptions!$D$66-H30307)</f>
        <v>574.5</v>
      </c>
      <c r="I30383" s="16" t="n">
        <f aca="false">MAX(0,I30367)+Assumptions!$P$57*MAX(0,Assumptions!$D$57-I30190)+Assumptions!$P$58*MAX(0,Assumptions!$D$58-I30203)+Assumptions!$P$59*MAX(0,Assumptions!$D$59-I30216)+Assumptions!$P$60*MAX(0,Assumptions!$D$60-I30229)+Assumptions!$P$61*MAX(0,Assumptions!$D$61-I30242)+Assumptions!$P$62*MAX(0,Assumptions!$D$62-I30255)+Assumptions!$P$63*MAX(0,Assumptions!$D$63-I30268)+Assumptions!$P$64*MAX(0,Assumptions!$D$64-I30281)+Assumptions!$P$65*MAX(0,Assumptions!$D$65-I30294)+Assumptions!$P$66*MAX(0,Assumptions!$D$66-I30307)</f>
        <v>574.5</v>
      </c>
      <c r="J30383" s="16" t="n">
        <f aca="false">MAX(0,J30367)+Assumptions!$P$57*MAX(0,Assumptions!$D$57-J30190)+Assumptions!$P$58*MAX(0,Assumptions!$D$58-J30203)+Assumptions!$P$59*MAX(0,Assumptions!$D$59-J30216)+Assumptions!$P$60*MAX(0,Assumptions!$D$60-J30229)+Assumptions!$P$61*MAX(0,Assumptions!$D$61-J30242)+Assumptions!$P$62*MAX(0,Assumptions!$D$62-J30255)+Assumptions!$P$63*MAX(0,Assumptions!$D$63-J30268)+Assumptions!$P$64*MAX(0,Assumptions!$D$64-J30281)+Assumptions!$P$65*MAX(0,Assumptions!$D$65-J30294)+Assumptions!$P$66*MAX(0,Assumptions!$D$66-J30307)</f>
        <v>574.5</v>
      </c>
      <c r="K30383" s="16" t="n">
        <f aca="false">MAX(0,K30367)+Assumptions!$P$57*MAX(0,Assumptions!$D$57-K30190)+Assumptions!$P$58*MAX(0,Assumptions!$D$58-K30203)+Assumptions!$P$59*MAX(0,Assumptions!$D$59-K30216)+Assumptions!$P$60*MAX(0,Assumptions!$D$60-K30229)+Assumptions!$P$61*MAX(0,Assumptions!$D$61-K30242)+Assumptions!$P$62*MAX(0,Assumptions!$D$62-K30255)+Assumptions!$P$63*MAX(0,Assumptions!$D$63-K30268)+Assumptions!$P$64*MAX(0,Assumptions!$D$64-K30281)+Assumptions!$P$65*MAX(0,Assumptions!$D$65-K30294)+Assumptions!$P$66*MAX(0,Assumptions!$D$66-K30307)</f>
        <v>574.5</v>
      </c>
    </row>
    <row r="30384" customFormat="false" ht="15" hidden="false" customHeight="false" outlineLevel="0" collapsed="false">
      <c r="A30384" s="3" t="s">
        <v>423</v>
      </c>
      <c r="G30384" s="22" t="n">
        <f aca="false">IF(G30374&gt;0,G30374/(G30374+MAX(0,G30153*CHOOSE($C$30136,Assumptions!$C$90,Assumptions!$C$109,Assumptions!$C$128)-G30376)),0)</f>
        <v>1</v>
      </c>
      <c r="H30384" s="22" t="n">
        <f aca="false">IF(H30374&gt;0,H30374/(H30374+MAX(0,H30153*CHOOSE($C$30136,Assumptions!$C$90,Assumptions!$C$109,Assumptions!$C$128)-H30376)),0)</f>
        <v>1</v>
      </c>
      <c r="I30384" s="22" t="n">
        <f aca="false">IF(I30374&gt;0,I30374/(I30374+MAX(0,I30153*CHOOSE($C$30136,Assumptions!$C$90,Assumptions!$C$109,Assumptions!$C$128)-I30376)),0)</f>
        <v>1</v>
      </c>
      <c r="J30384" s="22" t="n">
        <f aca="false">IF(J30374&gt;0,J30374/(J30374+MAX(0,J30153*CHOOSE($C$30136,Assumptions!$C$90,Assumptions!$C$109,Assumptions!$C$128)-J30376)),0)</f>
        <v>1</v>
      </c>
      <c r="K30384" s="22" t="n">
        <f aca="false">IF(K30374&gt;0,K30374/(K30374+MAX(0,K30153*CHOOSE($C$30136,Assumptions!$C$90,Assumptions!$C$109,Assumptions!$C$128)-K30376)),0)</f>
        <v>1</v>
      </c>
    </row>
    <row r="30385" customFormat="false" ht="15" hidden="false" customHeight="false" outlineLevel="0" collapsed="false">
      <c r="A30385" s="3" t="s">
        <v>424</v>
      </c>
      <c r="G30385" s="22" t="n">
        <f aca="false">IF(G30374&gt;0,MAX(0,G30367)/G30374,0)</f>
        <v>0.0314685043940847</v>
      </c>
      <c r="H30385" s="22" t="n">
        <f aca="false">IF(H30374&gt;0,MAX(0,H30367)/H30374,0)</f>
        <v>0</v>
      </c>
      <c r="I30385" s="22" t="n">
        <f aca="false">IF(I30374&gt;0,MAX(0,I30367)/I30374,0)</f>
        <v>0</v>
      </c>
      <c r="J30385" s="22" t="n">
        <f aca="false">IF(J30374&gt;0,MAX(0,J30367)/J30374,0)</f>
        <v>0</v>
      </c>
      <c r="K30385" s="22" t="n">
        <f aca="false">IF(K30374&gt;0,MAX(0,K30367)/K30374,0)</f>
        <v>0</v>
      </c>
    </row>
    <row r="30386" customFormat="false" ht="15" hidden="false" customHeight="false" outlineLevel="0" collapsed="false">
      <c r="A30386" s="3" t="s">
        <v>425</v>
      </c>
      <c r="G30386" s="16" t="n">
        <f aca="false">Assumptions!$C$31*(1-CHOOSE($C$30136,Assumptions!$C$93,Assumptions!$C$112,Assumptions!$C$131))</f>
        <v>3162.39046666667</v>
      </c>
      <c r="H30386" s="16" t="n">
        <f aca="false">Assumptions!$C$31*(1-CHOOSE($C$30136,Assumptions!$C$93,Assumptions!$C$112,Assumptions!$C$131))</f>
        <v>3162.39046666667</v>
      </c>
      <c r="I30386" s="16" t="n">
        <f aca="false">Assumptions!$C$31*(1-CHOOSE($C$30136,Assumptions!$C$93,Assumptions!$C$112,Assumptions!$C$131))</f>
        <v>3162.39046666667</v>
      </c>
      <c r="J30386" s="16" t="n">
        <f aca="false">Assumptions!$C$31*(1-CHOOSE($C$30136,Assumptions!$C$93,Assumptions!$C$112,Assumptions!$C$131))</f>
        <v>3162.39046666667</v>
      </c>
      <c r="K30386" s="16" t="n">
        <f aca="false">Assumptions!$C$31*(1-CHOOSE($C$30136,Assumptions!$C$93,Assumptions!$C$112,Assumptions!$C$131))</f>
        <v>3162.39046666667</v>
      </c>
    </row>
    <row r="30387" customFormat="false" ht="15" hidden="false" customHeight="false" outlineLevel="0" collapsed="false">
      <c r="A30387" s="24" t="s">
        <v>426</v>
      </c>
      <c r="B30387" s="25"/>
      <c r="C30387" s="25"/>
      <c r="D30387" s="25"/>
      <c r="E30387" s="25"/>
      <c r="F30387" s="25"/>
      <c r="G30387" s="25"/>
      <c r="H30387" s="25"/>
      <c r="I30387" s="25"/>
      <c r="J30387" s="25"/>
      <c r="K30387" s="25"/>
    </row>
    <row r="30388" customFormat="false" ht="15" hidden="false" customHeight="false" outlineLevel="0" collapsed="false">
      <c r="A30388" s="24" t="s">
        <v>427</v>
      </c>
      <c r="B30388" s="25"/>
      <c r="C30388" s="25"/>
      <c r="D30388" s="25"/>
      <c r="E30388" s="25"/>
      <c r="F30388" s="25"/>
      <c r="G30388" s="25"/>
      <c r="H30388" s="25"/>
      <c r="I30388" s="25"/>
      <c r="J30388" s="25"/>
      <c r="K30388" s="25"/>
    </row>
    <row r="30389" customFormat="false" ht="15" hidden="false" customHeight="false" outlineLevel="0" collapsed="false">
      <c r="A30389" s="3" t="s">
        <v>428</v>
      </c>
      <c r="G30389" s="22" t="n">
        <f aca="false">IF(G30386&gt;0,G30374/G30386,99)</f>
        <v>0.829098755399318</v>
      </c>
      <c r="H30389" s="22" t="n">
        <f aca="false">IF(H30386&gt;0,H30374/H30386,99)</f>
        <v>0.826090574910452</v>
      </c>
      <c r="I30389" s="22" t="n">
        <f aca="false">IF(I30386&gt;0,I30374/I30386,99)</f>
        <v>0.824825708967375</v>
      </c>
      <c r="J30389" s="22" t="n">
        <f aca="false">IF(J30386&gt;0,J30374/J30386,99)</f>
        <v>0.823560843024297</v>
      </c>
      <c r="K30389" s="22" t="n">
        <f aca="false">IF(K30386&gt;0,K30374/K30386,99)</f>
        <v>0.82229597708122</v>
      </c>
    </row>
    <row r="30390" customFormat="false" ht="15" hidden="false" customHeight="false" outlineLevel="0" collapsed="false">
      <c r="A30390" s="3" t="s">
        <v>429</v>
      </c>
      <c r="G30390" s="33" t="n">
        <f aca="false">Assumptions!$G$71</f>
        <v>0.6</v>
      </c>
      <c r="H30390" s="33" t="n">
        <f aca="false">Assumptions!$H$71</f>
        <v>0.6</v>
      </c>
      <c r="I30390" s="33" t="n">
        <f aca="false">Assumptions!$I$71</f>
        <v>0.6</v>
      </c>
      <c r="J30390" s="33" t="n">
        <f aca="false">Assumptions!$J$71</f>
        <v>0.6</v>
      </c>
      <c r="K30390" s="33" t="n">
        <f aca="false">Assumptions!$K$71</f>
        <v>0.6</v>
      </c>
    </row>
    <row r="30391" customFormat="false" ht="15" hidden="false" customHeight="false" outlineLevel="0" collapsed="false">
      <c r="A30391" s="3" t="s">
        <v>430</v>
      </c>
      <c r="G30391" s="22" t="n">
        <f aca="false">G30390-G30389</f>
        <v>-0.229098755399318</v>
      </c>
      <c r="H30391" s="22" t="n">
        <f aca="false">H30390-H30389</f>
        <v>-0.226090574910452</v>
      </c>
      <c r="I30391" s="22" t="n">
        <f aca="false">I30390-I30389</f>
        <v>-0.224825708967375</v>
      </c>
      <c r="J30391" s="22" t="n">
        <f aca="false">J30390-J30389</f>
        <v>-0.223560843024297</v>
      </c>
      <c r="K30391" s="22" t="n">
        <f aca="false">K30390-K30389</f>
        <v>-0.22229597708122</v>
      </c>
    </row>
    <row r="30392" customFormat="false" ht="15" hidden="false" customHeight="false" outlineLevel="0" collapsed="false">
      <c r="A30392" s="3" t="s">
        <v>431</v>
      </c>
      <c r="G30392" s="22" t="n">
        <f aca="false">IF(G30390=0,0,G30391/ABS(G30390))</f>
        <v>-0.381831258998863</v>
      </c>
      <c r="H30392" s="22" t="n">
        <f aca="false">IF(H30390=0,0,H30391/ABS(H30390))</f>
        <v>-0.376817624850754</v>
      </c>
      <c r="I30392" s="22" t="n">
        <f aca="false">IF(I30390=0,0,I30391/ABS(I30390))</f>
        <v>-0.374709514945625</v>
      </c>
      <c r="J30392" s="22" t="n">
        <f aca="false">IF(J30390=0,0,J30391/ABS(J30390))</f>
        <v>-0.372601405040495</v>
      </c>
      <c r="K30392" s="22" t="n">
        <f aca="false">IF(K30390=0,0,K30391/ABS(K30390))</f>
        <v>-0.370493295135366</v>
      </c>
    </row>
    <row r="30393" customFormat="false" ht="15" hidden="false" customHeight="false" outlineLevel="0" collapsed="false">
      <c r="A30393" s="3" t="s">
        <v>432</v>
      </c>
      <c r="G30393" s="21" t="n">
        <f aca="false">IF(G30391&lt;0,1,0)</f>
        <v>1</v>
      </c>
      <c r="H30393" s="21" t="n">
        <f aca="false">IF(H30391&lt;0,1,0)</f>
        <v>1</v>
      </c>
      <c r="I30393" s="21" t="n">
        <f aca="false">IF(I30391&lt;0,1,0)</f>
        <v>1</v>
      </c>
      <c r="J30393" s="21" t="n">
        <f aca="false">IF(J30391&lt;0,1,0)</f>
        <v>1</v>
      </c>
      <c r="K30393" s="21" t="n">
        <f aca="false">IF(K30391&lt;0,1,0)</f>
        <v>1</v>
      </c>
    </row>
    <row r="30394" customFormat="false" ht="15" hidden="false" customHeight="false" outlineLevel="0" collapsed="false">
      <c r="A30394" s="3" t="s">
        <v>433</v>
      </c>
      <c r="C30394" s="21" t="n">
        <f aca="false">IFERROR(INDEX($G$30143:$K$30143,MATCH(1,$G$30393:$K$30393,0)),0)</f>
        <v>2027</v>
      </c>
    </row>
    <row r="30395" customFormat="false" ht="15" hidden="false" customHeight="false" outlineLevel="0" collapsed="false">
      <c r="A30395" s="3" t="s">
        <v>434</v>
      </c>
      <c r="C30395" s="22" t="n">
        <f aca="false">MIN($G$30392:$K$30392)</f>
        <v>-0.381831258998863</v>
      </c>
    </row>
    <row r="30396" customFormat="false" ht="15" hidden="false" customHeight="false" outlineLevel="0" collapsed="false">
      <c r="A30396" s="24" t="s">
        <v>435</v>
      </c>
      <c r="B30396" s="25"/>
      <c r="C30396" s="25"/>
      <c r="D30396" s="25"/>
      <c r="E30396" s="25"/>
      <c r="F30396" s="25"/>
      <c r="G30396" s="25"/>
      <c r="H30396" s="25"/>
      <c r="I30396" s="25"/>
      <c r="J30396" s="25"/>
      <c r="K30396" s="25"/>
    </row>
    <row r="30397" customFormat="false" ht="15" hidden="false" customHeight="false" outlineLevel="0" collapsed="false">
      <c r="A30397" s="3" t="s">
        <v>428</v>
      </c>
      <c r="G30397" s="32" t="n">
        <f aca="false">IF(G30157&gt;0,G30153/G30157,99)</f>
        <v>1.0348043461767</v>
      </c>
      <c r="H30397" s="32" t="n">
        <f aca="false">IF(H30157&gt;0,H30153/H30157,99)</f>
        <v>0.905226026971496</v>
      </c>
      <c r="I30397" s="32" t="n">
        <f aca="false">IF(I30157&gt;0,I30153/I30157,99)</f>
        <v>0.876326611958687</v>
      </c>
      <c r="J30397" s="32" t="n">
        <f aca="false">IF(J30157&gt;0,J30153/J30157,99)</f>
        <v>0.888947033248822</v>
      </c>
      <c r="K30397" s="32" t="n">
        <f aca="false">IF(K30157&gt;0,K30153/K30157,99)</f>
        <v>0.921116980019344</v>
      </c>
    </row>
    <row r="30398" customFormat="false" ht="15" hidden="false" customHeight="false" outlineLevel="0" collapsed="false">
      <c r="A30398" s="3" t="s">
        <v>429</v>
      </c>
      <c r="G30398" s="34" t="n">
        <f aca="false">Assumptions!$G$72</f>
        <v>1.5</v>
      </c>
      <c r="H30398" s="34" t="n">
        <f aca="false">Assumptions!$H$72</f>
        <v>1.5</v>
      </c>
      <c r="I30398" s="34" t="n">
        <f aca="false">Assumptions!$I$72</f>
        <v>1.5</v>
      </c>
      <c r="J30398" s="34" t="n">
        <f aca="false">Assumptions!$J$72</f>
        <v>1.5</v>
      </c>
      <c r="K30398" s="34" t="n">
        <f aca="false">Assumptions!$K$72</f>
        <v>1.5</v>
      </c>
    </row>
    <row r="30399" customFormat="false" ht="15" hidden="false" customHeight="false" outlineLevel="0" collapsed="false">
      <c r="A30399" s="3" t="s">
        <v>430</v>
      </c>
      <c r="G30399" s="32" t="n">
        <f aca="false">G30397-G30398</f>
        <v>-0.465195653823305</v>
      </c>
      <c r="H30399" s="32" t="n">
        <f aca="false">H30397-H30398</f>
        <v>-0.594773973028504</v>
      </c>
      <c r="I30399" s="32" t="n">
        <f aca="false">I30397-I30398</f>
        <v>-0.623673388041313</v>
      </c>
      <c r="J30399" s="32" t="n">
        <f aca="false">J30397-J30398</f>
        <v>-0.611052966751179</v>
      </c>
      <c r="K30399" s="32" t="n">
        <f aca="false">K30397-K30398</f>
        <v>-0.578883019980656</v>
      </c>
    </row>
    <row r="30400" customFormat="false" ht="15" hidden="false" customHeight="false" outlineLevel="0" collapsed="false">
      <c r="A30400" s="3" t="s">
        <v>431</v>
      </c>
      <c r="G30400" s="22" t="n">
        <f aca="false">IF(G30398=0,0,G30399/ABS(G30398))</f>
        <v>-0.310130435882203</v>
      </c>
      <c r="H30400" s="22" t="n">
        <f aca="false">IF(H30398=0,0,H30399/ABS(H30398))</f>
        <v>-0.396515982019002</v>
      </c>
      <c r="I30400" s="22" t="n">
        <f aca="false">IF(I30398=0,0,I30399/ABS(I30398))</f>
        <v>-0.415782258694209</v>
      </c>
      <c r="J30400" s="22" t="n">
        <f aca="false">IF(J30398=0,0,J30399/ABS(J30398))</f>
        <v>-0.407368644500786</v>
      </c>
      <c r="K30400" s="22" t="n">
        <f aca="false">IF(K30398=0,0,K30399/ABS(K30398))</f>
        <v>-0.385922013320437</v>
      </c>
    </row>
    <row r="30401" customFormat="false" ht="15" hidden="false" customHeight="false" outlineLevel="0" collapsed="false">
      <c r="A30401" s="3" t="s">
        <v>432</v>
      </c>
      <c r="G30401" s="21" t="n">
        <f aca="false">IF(G30399&lt;0,1,0)</f>
        <v>1</v>
      </c>
      <c r="H30401" s="21" t="n">
        <f aca="false">IF(H30399&lt;0,1,0)</f>
        <v>1</v>
      </c>
      <c r="I30401" s="21" t="n">
        <f aca="false">IF(I30399&lt;0,1,0)</f>
        <v>1</v>
      </c>
      <c r="J30401" s="21" t="n">
        <f aca="false">IF(J30399&lt;0,1,0)</f>
        <v>1</v>
      </c>
      <c r="K30401" s="21" t="n">
        <f aca="false">IF(K30399&lt;0,1,0)</f>
        <v>1</v>
      </c>
    </row>
    <row r="30402" customFormat="false" ht="15" hidden="false" customHeight="false" outlineLevel="0" collapsed="false">
      <c r="A30402" s="3" t="s">
        <v>433</v>
      </c>
      <c r="C30402" s="21" t="n">
        <f aca="false">IFERROR(INDEX($G$30143:$K$30143,MATCH(1,$G$30401:$K$30401,0)),0)</f>
        <v>2027</v>
      </c>
    </row>
    <row r="30403" customFormat="false" ht="15" hidden="false" customHeight="false" outlineLevel="0" collapsed="false">
      <c r="A30403" s="3" t="s">
        <v>434</v>
      </c>
      <c r="C30403" s="22" t="n">
        <f aca="false">MIN($G$30400:$K$30400)</f>
        <v>-0.415782258694209</v>
      </c>
    </row>
    <row r="30404" customFormat="false" ht="15" hidden="false" customHeight="false" outlineLevel="0" collapsed="false">
      <c r="A30404" s="24" t="s">
        <v>436</v>
      </c>
      <c r="B30404" s="25"/>
      <c r="C30404" s="25"/>
      <c r="D30404" s="25"/>
      <c r="E30404" s="25"/>
      <c r="F30404" s="25"/>
      <c r="G30404" s="25"/>
      <c r="H30404" s="25"/>
      <c r="I30404" s="25"/>
      <c r="J30404" s="25"/>
      <c r="K30404" s="25"/>
    </row>
    <row r="30405" customFormat="false" ht="15" hidden="false" customHeight="false" outlineLevel="0" collapsed="false">
      <c r="A30405" s="3" t="s">
        <v>428</v>
      </c>
      <c r="G30405" s="22" t="n">
        <f aca="false">IF(G30386&gt;0,G30375/G30386,99)</f>
        <v>0.171808005914176</v>
      </c>
      <c r="H30405" s="22" t="n">
        <f aca="false">IF(H30386&gt;0,H30375/H30386,99)</f>
        <v>0.170543139971098</v>
      </c>
      <c r="I30405" s="22" t="n">
        <f aca="false">IF(I30386&gt;0,I30375/I30386,99)</f>
        <v>0.169278274028021</v>
      </c>
      <c r="J30405" s="22" t="n">
        <f aca="false">IF(J30386&gt;0,J30375/J30386,99)</f>
        <v>0.168013408084943</v>
      </c>
      <c r="K30405" s="22" t="n">
        <f aca="false">IF(K30386&gt;0,K30375/K30386,99)</f>
        <v>0.166748542141865</v>
      </c>
    </row>
    <row r="30406" customFormat="false" ht="15" hidden="false" customHeight="false" outlineLevel="0" collapsed="false">
      <c r="A30406" s="3" t="s">
        <v>429</v>
      </c>
      <c r="G30406" s="33" t="n">
        <f aca="false">Assumptions!$G$73</f>
        <v>0.4</v>
      </c>
      <c r="H30406" s="33" t="n">
        <f aca="false">Assumptions!$H$73</f>
        <v>0.4</v>
      </c>
      <c r="I30406" s="33" t="n">
        <f aca="false">Assumptions!$I$73</f>
        <v>0.4</v>
      </c>
      <c r="J30406" s="33" t="n">
        <f aca="false">Assumptions!$J$73</f>
        <v>0.4</v>
      </c>
      <c r="K30406" s="33" t="n">
        <f aca="false">Assumptions!$K$73</f>
        <v>0.4</v>
      </c>
    </row>
    <row r="30407" customFormat="false" ht="15" hidden="false" customHeight="false" outlineLevel="0" collapsed="false">
      <c r="A30407" s="3" t="s">
        <v>430</v>
      </c>
      <c r="G30407" s="22" t="n">
        <f aca="false">G30406-G30405</f>
        <v>0.228191994085824</v>
      </c>
      <c r="H30407" s="22" t="n">
        <f aca="false">H30406-H30405</f>
        <v>0.229456860028902</v>
      </c>
      <c r="I30407" s="22" t="n">
        <f aca="false">I30406-I30405</f>
        <v>0.230721725971979</v>
      </c>
      <c r="J30407" s="22" t="n">
        <f aca="false">J30406-J30405</f>
        <v>0.231986591915057</v>
      </c>
      <c r="K30407" s="22" t="n">
        <f aca="false">K30406-K30405</f>
        <v>0.233251457858135</v>
      </c>
    </row>
    <row r="30408" customFormat="false" ht="15" hidden="false" customHeight="false" outlineLevel="0" collapsed="false">
      <c r="A30408" s="3" t="s">
        <v>431</v>
      </c>
      <c r="G30408" s="22" t="n">
        <f aca="false">IF(G30406=0,0,G30407/ABS(G30406))</f>
        <v>0.57047998521456</v>
      </c>
      <c r="H30408" s="22" t="n">
        <f aca="false">IF(H30406=0,0,H30407/ABS(H30406))</f>
        <v>0.573642150072254</v>
      </c>
      <c r="I30408" s="22" t="n">
        <f aca="false">IF(I30406=0,0,I30407/ABS(I30406))</f>
        <v>0.576804314929948</v>
      </c>
      <c r="J30408" s="22" t="n">
        <f aca="false">IF(J30406=0,0,J30407/ABS(J30406))</f>
        <v>0.579966479787643</v>
      </c>
      <c r="K30408" s="22" t="n">
        <f aca="false">IF(K30406=0,0,K30407/ABS(K30406))</f>
        <v>0.583128644645337</v>
      </c>
    </row>
    <row r="30409" customFormat="false" ht="15" hidden="false" customHeight="false" outlineLevel="0" collapsed="false">
      <c r="A30409" s="3" t="s">
        <v>432</v>
      </c>
      <c r="G30409" s="21" t="n">
        <f aca="false">IF(G30407&lt;0,1,0)</f>
        <v>0</v>
      </c>
      <c r="H30409" s="21" t="n">
        <f aca="false">IF(H30407&lt;0,1,0)</f>
        <v>0</v>
      </c>
      <c r="I30409" s="21" t="n">
        <f aca="false">IF(I30407&lt;0,1,0)</f>
        <v>0</v>
      </c>
      <c r="J30409" s="21" t="n">
        <f aca="false">IF(J30407&lt;0,1,0)</f>
        <v>0</v>
      </c>
      <c r="K30409" s="21" t="n">
        <f aca="false">IF(K30407&lt;0,1,0)</f>
        <v>0</v>
      </c>
    </row>
    <row r="30410" customFormat="false" ht="15" hidden="false" customHeight="false" outlineLevel="0" collapsed="false">
      <c r="A30410" s="3" t="s">
        <v>433</v>
      </c>
      <c r="C30410" s="21" t="n">
        <f aca="false">IFERROR(INDEX($G$30143:$K$30143,MATCH(1,$G$30409:$K$30409,0)),0)</f>
        <v>0</v>
      </c>
    </row>
    <row r="30411" customFormat="false" ht="15" hidden="false" customHeight="false" outlineLevel="0" collapsed="false">
      <c r="A30411" s="3" t="s">
        <v>434</v>
      </c>
      <c r="C30411" s="22" t="n">
        <f aca="false">MIN($G$30408:$K$30408)</f>
        <v>0.57047998521456</v>
      </c>
    </row>
    <row r="30412" customFormat="false" ht="15" hidden="false" customHeight="false" outlineLevel="0" collapsed="false">
      <c r="A30412" s="24" t="s">
        <v>437</v>
      </c>
      <c r="B30412" s="25"/>
      <c r="C30412" s="25"/>
      <c r="D30412" s="25"/>
      <c r="E30412" s="25"/>
      <c r="F30412" s="25"/>
      <c r="G30412" s="25"/>
      <c r="H30412" s="25"/>
      <c r="I30412" s="25"/>
      <c r="J30412" s="25"/>
      <c r="K30412" s="25"/>
    </row>
    <row r="30413" customFormat="false" ht="15" hidden="false" customHeight="false" outlineLevel="0" collapsed="false">
      <c r="A30413" s="3" t="s">
        <v>428</v>
      </c>
      <c r="G30413" s="16" t="n">
        <f aca="false">G30383</f>
        <v>657.0083416</v>
      </c>
      <c r="H30413" s="16" t="n">
        <f aca="false">H30383</f>
        <v>574.5</v>
      </c>
      <c r="I30413" s="16" t="n">
        <f aca="false">I30383</f>
        <v>574.5</v>
      </c>
      <c r="J30413" s="16" t="n">
        <f aca="false">J30383</f>
        <v>574.5</v>
      </c>
      <c r="K30413" s="16" t="n">
        <f aca="false">K30383</f>
        <v>574.5</v>
      </c>
    </row>
    <row r="30414" customFormat="false" ht="15" hidden="false" customHeight="false" outlineLevel="0" collapsed="false">
      <c r="A30414" s="3" t="s">
        <v>429</v>
      </c>
      <c r="G30414" s="29" t="n">
        <f aca="false">Assumptions!$G$74</f>
        <v>100</v>
      </c>
      <c r="H30414" s="29" t="n">
        <f aca="false">Assumptions!$H$74</f>
        <v>100</v>
      </c>
      <c r="I30414" s="29" t="n">
        <f aca="false">Assumptions!$I$74</f>
        <v>100</v>
      </c>
      <c r="J30414" s="29" t="n">
        <f aca="false">Assumptions!$J$74</f>
        <v>100</v>
      </c>
      <c r="K30414" s="29" t="n">
        <f aca="false">Assumptions!$K$74</f>
        <v>100</v>
      </c>
    </row>
    <row r="30415" customFormat="false" ht="15" hidden="false" customHeight="false" outlineLevel="0" collapsed="false">
      <c r="A30415" s="3" t="s">
        <v>430</v>
      </c>
      <c r="G30415" s="16" t="n">
        <f aca="false">G30413-G30414</f>
        <v>557.0083416</v>
      </c>
      <c r="H30415" s="16" t="n">
        <f aca="false">H30413-H30414</f>
        <v>474.5</v>
      </c>
      <c r="I30415" s="16" t="n">
        <f aca="false">I30413-I30414</f>
        <v>474.5</v>
      </c>
      <c r="J30415" s="16" t="n">
        <f aca="false">J30413-J30414</f>
        <v>474.5</v>
      </c>
      <c r="K30415" s="16" t="n">
        <f aca="false">K30413-K30414</f>
        <v>474.5</v>
      </c>
    </row>
    <row r="30416" customFormat="false" ht="15" hidden="false" customHeight="false" outlineLevel="0" collapsed="false">
      <c r="A30416" s="3" t="s">
        <v>431</v>
      </c>
      <c r="G30416" s="22" t="n">
        <f aca="false">IF(G30414=0,0,G30415/ABS(G30414))</f>
        <v>5.570083416</v>
      </c>
      <c r="H30416" s="22" t="n">
        <f aca="false">IF(H30414=0,0,H30415/ABS(H30414))</f>
        <v>4.745</v>
      </c>
      <c r="I30416" s="22" t="n">
        <f aca="false">IF(I30414=0,0,I30415/ABS(I30414))</f>
        <v>4.745</v>
      </c>
      <c r="J30416" s="22" t="n">
        <f aca="false">IF(J30414=0,0,J30415/ABS(J30414))</f>
        <v>4.745</v>
      </c>
      <c r="K30416" s="22" t="n">
        <f aca="false">IF(K30414=0,0,K30415/ABS(K30414))</f>
        <v>4.745</v>
      </c>
    </row>
    <row r="30417" customFormat="false" ht="15" hidden="false" customHeight="false" outlineLevel="0" collapsed="false">
      <c r="A30417" s="3" t="s">
        <v>432</v>
      </c>
      <c r="G30417" s="21" t="n">
        <f aca="false">IF(G30415&lt;0,1,0)</f>
        <v>0</v>
      </c>
      <c r="H30417" s="21" t="n">
        <f aca="false">IF(H30415&lt;0,1,0)</f>
        <v>0</v>
      </c>
      <c r="I30417" s="21" t="n">
        <f aca="false">IF(I30415&lt;0,1,0)</f>
        <v>0</v>
      </c>
      <c r="J30417" s="21" t="n">
        <f aca="false">IF(J30415&lt;0,1,0)</f>
        <v>0</v>
      </c>
      <c r="K30417" s="21" t="n">
        <f aca="false">IF(K30415&lt;0,1,0)</f>
        <v>0</v>
      </c>
    </row>
    <row r="30418" customFormat="false" ht="15" hidden="false" customHeight="false" outlineLevel="0" collapsed="false">
      <c r="A30418" s="3" t="s">
        <v>433</v>
      </c>
      <c r="C30418" s="21" t="n">
        <f aca="false">IFERROR(INDEX($G$30143:$K$30143,MATCH(1,$G$30417:$K$30417,0)),0)</f>
        <v>0</v>
      </c>
    </row>
    <row r="30419" customFormat="false" ht="15" hidden="false" customHeight="false" outlineLevel="0" collapsed="false">
      <c r="A30419" s="3" t="s">
        <v>434</v>
      </c>
      <c r="C30419" s="22" t="n">
        <f aca="false">MIN($G$30416:$K$30416)</f>
        <v>4.745</v>
      </c>
    </row>
    <row r="30420" customFormat="false" ht="15" hidden="false" customHeight="false" outlineLevel="0" collapsed="false">
      <c r="A30420" s="24" t="s">
        <v>438</v>
      </c>
      <c r="B30420" s="25"/>
      <c r="C30420" s="25"/>
      <c r="D30420" s="25"/>
      <c r="E30420" s="25"/>
      <c r="F30420" s="25"/>
      <c r="G30420" s="25"/>
      <c r="H30420" s="25"/>
      <c r="I30420" s="25"/>
      <c r="J30420" s="25"/>
      <c r="K30420" s="25"/>
    </row>
    <row r="30421" customFormat="false" ht="15" hidden="false" customHeight="false" outlineLevel="0" collapsed="false">
      <c r="A30421" s="3" t="s">
        <v>428</v>
      </c>
      <c r="G30421" s="32" t="n">
        <f aca="false">IF(G30153&gt;0,G30376/G30153,99)</f>
        <v>12.3098318089879</v>
      </c>
      <c r="H30421" s="32" t="n">
        <f aca="false">IF(H30153&gt;0,H30376/H30153,99)</f>
        <v>14.5668685971808</v>
      </c>
      <c r="I30421" s="32" t="n">
        <f aca="false">IF(I30153&gt;0,I30376/I30153,99)</f>
        <v>15.6410748876297</v>
      </c>
      <c r="J30421" s="32" t="n">
        <f aca="false">IF(J30153&gt;0,J30376/J30153,99)</f>
        <v>15.8864539210732</v>
      </c>
      <c r="K30421" s="32" t="n">
        <f aca="false">IF(K30153&gt;0,K30376/K30153,99)</f>
        <v>15.7527743208741</v>
      </c>
    </row>
    <row r="30422" customFormat="false" ht="15" hidden="false" customHeight="false" outlineLevel="0" collapsed="false">
      <c r="A30422" s="3" t="s">
        <v>429</v>
      </c>
      <c r="G30422" s="34" t="n">
        <f aca="false">Assumptions!$G$75</f>
        <v>10.5</v>
      </c>
      <c r="H30422" s="34" t="n">
        <f aca="false">Assumptions!$H$75</f>
        <v>10.5</v>
      </c>
      <c r="I30422" s="34" t="n">
        <f aca="false">Assumptions!$I$75</f>
        <v>10</v>
      </c>
      <c r="J30422" s="34" t="n">
        <f aca="false">Assumptions!$J$75</f>
        <v>10</v>
      </c>
      <c r="K30422" s="34" t="n">
        <f aca="false">Assumptions!$K$75</f>
        <v>9.5</v>
      </c>
    </row>
    <row r="30423" customFormat="false" ht="15" hidden="false" customHeight="false" outlineLevel="0" collapsed="false">
      <c r="A30423" s="3" t="s">
        <v>430</v>
      </c>
      <c r="G30423" s="32" t="n">
        <f aca="false">G30422-G30421</f>
        <v>-1.80983180898785</v>
      </c>
      <c r="H30423" s="32" t="n">
        <f aca="false">H30422-H30421</f>
        <v>-4.0668685971808</v>
      </c>
      <c r="I30423" s="32" t="n">
        <f aca="false">I30422-I30421</f>
        <v>-5.64107488762972</v>
      </c>
      <c r="J30423" s="32" t="n">
        <f aca="false">J30422-J30421</f>
        <v>-5.8864539210732</v>
      </c>
      <c r="K30423" s="32" t="n">
        <f aca="false">K30422-K30421</f>
        <v>-6.25277432087415</v>
      </c>
    </row>
    <row r="30424" customFormat="false" ht="15" hidden="false" customHeight="false" outlineLevel="0" collapsed="false">
      <c r="A30424" s="3" t="s">
        <v>431</v>
      </c>
      <c r="G30424" s="22" t="n">
        <f aca="false">IF(G30422=0,0,G30423/ABS(G30422))</f>
        <v>-0.172364934189319</v>
      </c>
      <c r="H30424" s="22" t="n">
        <f aca="false">IF(H30422=0,0,H30423/ABS(H30422))</f>
        <v>-0.387320818779124</v>
      </c>
      <c r="I30424" s="22" t="n">
        <f aca="false">IF(I30422=0,0,I30423/ABS(I30422))</f>
        <v>-0.564107488762972</v>
      </c>
      <c r="J30424" s="22" t="n">
        <f aca="false">IF(J30422=0,0,J30423/ABS(J30422))</f>
        <v>-0.58864539210732</v>
      </c>
      <c r="K30424" s="22" t="n">
        <f aca="false">IF(K30422=0,0,K30423/ABS(K30422))</f>
        <v>-0.658186770618331</v>
      </c>
    </row>
    <row r="30425" customFormat="false" ht="15" hidden="false" customHeight="false" outlineLevel="0" collapsed="false">
      <c r="A30425" s="3" t="s">
        <v>432</v>
      </c>
      <c r="G30425" s="21" t="n">
        <f aca="false">IF(G30423&lt;0,1,0)</f>
        <v>1</v>
      </c>
      <c r="H30425" s="21" t="n">
        <f aca="false">IF(H30423&lt;0,1,0)</f>
        <v>1</v>
      </c>
      <c r="I30425" s="21" t="n">
        <f aca="false">IF(I30423&lt;0,1,0)</f>
        <v>1</v>
      </c>
      <c r="J30425" s="21" t="n">
        <f aca="false">IF(J30423&lt;0,1,0)</f>
        <v>1</v>
      </c>
      <c r="K30425" s="21" t="n">
        <f aca="false">IF(K30423&lt;0,1,0)</f>
        <v>1</v>
      </c>
    </row>
    <row r="30426" customFormat="false" ht="15" hidden="false" customHeight="false" outlineLevel="0" collapsed="false">
      <c r="A30426" s="3" t="s">
        <v>433</v>
      </c>
      <c r="C30426" s="21" t="n">
        <f aca="false">IFERROR(INDEX($G$30143:$K$30143,MATCH(1,$G$30425:$K$30425,0)),0)</f>
        <v>2027</v>
      </c>
    </row>
    <row r="30427" customFormat="false" ht="15" hidden="false" customHeight="false" outlineLevel="0" collapsed="false">
      <c r="A30427" s="3" t="s">
        <v>434</v>
      </c>
      <c r="C30427" s="22" t="n">
        <f aca="false">MIN($G$30424:$K$30424)</f>
        <v>-0.658186770618331</v>
      </c>
    </row>
    <row r="30428" customFormat="false" ht="15" hidden="false" customHeight="false" outlineLevel="0" collapsed="false">
      <c r="A30428" s="3" t="s">
        <v>439</v>
      </c>
      <c r="G30428" s="21" t="n">
        <f aca="false">G30393+G30401+G30409+G30417+G30425</f>
        <v>3</v>
      </c>
      <c r="H30428" s="21" t="n">
        <f aca="false">H30393+H30401+H30409+H30417+H30425</f>
        <v>3</v>
      </c>
      <c r="I30428" s="21" t="n">
        <f aca="false">I30393+I30401+I30409+I30417+I30425</f>
        <v>3</v>
      </c>
      <c r="J30428" s="21" t="n">
        <f aca="false">J30393+J30401+J30409+J30417+J30425</f>
        <v>3</v>
      </c>
      <c r="K30428" s="21" t="n">
        <f aca="false">K30393+K30401+K30409+K30417+K30425</f>
        <v>3</v>
      </c>
    </row>
    <row r="30429" customFormat="false" ht="15" hidden="false" customHeight="false" outlineLevel="0" collapsed="false">
      <c r="A30429" s="3" t="s">
        <v>440</v>
      </c>
      <c r="C30429" s="21" t="n">
        <f aca="false">SUM($G$30428:$K$30428)</f>
        <v>15</v>
      </c>
    </row>
    <row r="30430" customFormat="false" ht="15" hidden="false" customHeight="false" outlineLevel="0" collapsed="false">
      <c r="A30430" s="3" t="s">
        <v>441</v>
      </c>
      <c r="C30430" s="22" t="n">
        <f aca="false">MIN(C30395,C30403,C30411,C30419,C30427)</f>
        <v>-0.658186770618331</v>
      </c>
    </row>
    <row r="30432" customFormat="false" ht="15" hidden="false" customHeight="false" outlineLevel="0" collapsed="false">
      <c r="A30432" s="24" t="s">
        <v>543</v>
      </c>
      <c r="B30432" s="25"/>
      <c r="C30432" s="25"/>
      <c r="D30432" s="25"/>
      <c r="E30432" s="25"/>
      <c r="F30432" s="25"/>
      <c r="G30432" s="25"/>
      <c r="H30432" s="25"/>
      <c r="I30432" s="25"/>
      <c r="J30432" s="25"/>
      <c r="K30432" s="25"/>
    </row>
    <row r="30433" customFormat="false" ht="15" hidden="false" customHeight="false" outlineLevel="0" collapsed="false">
      <c r="A30433" s="3" t="s">
        <v>544</v>
      </c>
      <c r="G30433" s="21" t="n">
        <f aca="false">IF($C$30434=1,G30370,IF(G30153=MIN($G$30153:$K$30153),1,0))</f>
        <v>0</v>
      </c>
      <c r="H30433" s="21" t="n">
        <f aca="false">IF($C$30434=1,H30370,IF(AND(H30153=MIN($G$30153:$K$30153),SUM($G$30433:G30433)=0),1,0))</f>
        <v>1</v>
      </c>
      <c r="I30433" s="21" t="n">
        <f aca="false">IF($C$30434=1,I30370,IF(AND(I30153=MIN($G$30153:$K$30153),SUM($G$30433:H30433)=0),1,0))</f>
        <v>0</v>
      </c>
      <c r="J30433" s="21" t="n">
        <f aca="false">IF($C$30434=1,J30370,IF(AND(J30153=MIN($G$30153:$K$30153),SUM($G$30433:I30433)=0),1,0))</f>
        <v>0</v>
      </c>
      <c r="K30433" s="21" t="n">
        <f aca="false">IF($C$30434=1,K30370,IF(AND(K30153=MIN($G$30153:$K$30153),SUM($G$30433:J30433)=0),1,0))</f>
        <v>0</v>
      </c>
    </row>
    <row r="30434" customFormat="false" ht="15" hidden="false" customHeight="false" outlineLevel="0" collapsed="false">
      <c r="A30434" s="3" t="s">
        <v>545</v>
      </c>
      <c r="C30434" s="21" t="n">
        <f aca="false">IF(SUM($G$30370:$K$30370)&gt;0,1,0)</f>
        <v>1</v>
      </c>
    </row>
    <row r="30435" customFormat="false" ht="15" hidden="false" customHeight="false" outlineLevel="0" collapsed="false">
      <c r="A30435" s="3" t="s">
        <v>546</v>
      </c>
      <c r="C30435" s="21" t="n">
        <f aca="false">SUMPRODUCT($G$30433:$K$30433,$G$30143:$K$30143)</f>
        <v>2028</v>
      </c>
    </row>
    <row r="30436" customFormat="false" ht="15" hidden="false" customHeight="false" outlineLevel="0" collapsed="false">
      <c r="A30436" s="3" t="s">
        <v>547</v>
      </c>
      <c r="C30436" s="16" t="n">
        <f aca="false">SUMPRODUCT($G$30433:$K$30433,$G$30153:$K$30153)</f>
        <v>179.33991381</v>
      </c>
    </row>
    <row r="30437" customFormat="false" ht="15" hidden="false" customHeight="false" outlineLevel="0" collapsed="false">
      <c r="A30437" s="3" t="s">
        <v>548</v>
      </c>
      <c r="C30437" s="16" t="n">
        <f aca="false">MAX(0,SUMPRODUCT($G$30433:$K$30433,$G$30367:$K$30367))</f>
        <v>0</v>
      </c>
    </row>
    <row r="30438" customFormat="false" ht="15" hidden="false" customHeight="false" outlineLevel="0" collapsed="false">
      <c r="A30438" s="3" t="s">
        <v>549</v>
      </c>
      <c r="C30438" s="16" t="n">
        <f aca="false">(CHOOSE($C$30136,Assumptions!$C$92,Assumptions!$C$111,Assumptions!$C$130)+$C$30140)*C30436</f>
        <v>1434.71931048</v>
      </c>
    </row>
    <row r="30439" customFormat="false" ht="15" hidden="false" customHeight="false" outlineLevel="0" collapsed="false">
      <c r="A30439" s="3" t="s">
        <v>550</v>
      </c>
      <c r="C30439" s="16" t="n">
        <f aca="false">Assumptions!$C$31*(1-CHOOSE($C$30136,Assumptions!$C$93,Assumptions!$C$112,Assumptions!$C$131))*CHOOSE($C$30136,Assumptions!$C$94,Assumptions!$C$113,Assumptions!$C$132)</f>
        <v>2688.03189666667</v>
      </c>
    </row>
    <row r="30440" customFormat="false" ht="15" hidden="false" customHeight="false" outlineLevel="0" collapsed="false">
      <c r="A30440" s="3" t="s">
        <v>551</v>
      </c>
      <c r="C30440" s="16" t="n">
        <f aca="false">MAX(C30438,C30439)+C30437</f>
        <v>2688.03189666667</v>
      </c>
    </row>
    <row r="30441" customFormat="false" ht="15" hidden="false" customHeight="false" outlineLevel="0" collapsed="false">
      <c r="A30441" s="2" t="s">
        <v>552</v>
      </c>
      <c r="C30441" s="17" t="n">
        <f aca="false">IF(ISNUMBER(Assumptions!$C$14),Assumptions!$C$14,C30440)</f>
        <v>2688.03189666667</v>
      </c>
    </row>
    <row r="30442" customFormat="false" ht="15" hidden="false" customHeight="false" outlineLevel="0" collapsed="false">
      <c r="A30442" s="3" t="s">
        <v>553</v>
      </c>
      <c r="C30442" s="16" t="n">
        <f aca="false">C30441*Assumptions!$C$15</f>
        <v>107.521275866667</v>
      </c>
    </row>
    <row r="30443" customFormat="false" ht="15" hidden="false" customHeight="false" outlineLevel="0" collapsed="false">
      <c r="A30443" s="2" t="s">
        <v>554</v>
      </c>
      <c r="C30443" s="17" t="n">
        <f aca="false">C30441-C30442</f>
        <v>2580.5106208</v>
      </c>
    </row>
    <row r="30444" customFormat="false" ht="15" hidden="false" customHeight="false" outlineLevel="0" collapsed="false">
      <c r="A30444" s="24" t="s">
        <v>555</v>
      </c>
      <c r="B30444" s="25"/>
      <c r="C30444" s="25"/>
      <c r="D30444" s="25"/>
      <c r="E30444" s="25"/>
      <c r="F30444" s="25"/>
      <c r="G30444" s="25"/>
      <c r="H30444" s="25"/>
      <c r="I30444" s="25"/>
      <c r="J30444" s="25"/>
      <c r="K30444" s="25"/>
    </row>
    <row r="30445" customFormat="false" ht="15" hidden="false" customHeight="false" outlineLevel="0" collapsed="false">
      <c r="A30445" s="3" t="s">
        <v>556</v>
      </c>
      <c r="C30445" s="16" t="n">
        <f aca="false">SUMPRODUCT($G$30433:$K$30433,$G$30190:$K$30190)*(1+SUMPRODUCT($G$30433:$K$30433,$G$30182:$K$30182)*Assumptions!$C$16/12)</f>
        <v>404.74</v>
      </c>
    </row>
    <row r="30446" customFormat="false" ht="15" hidden="false" customHeight="false" outlineLevel="0" collapsed="false">
      <c r="A30446" s="3" t="s">
        <v>557</v>
      </c>
      <c r="C30446" s="16" t="n">
        <f aca="false">SUMPRODUCT($G$30433:$K$30433,$G$30203:$K$30203)*(1+SUMPRODUCT($G$30433:$K$30433,$G$30195:$K$30195)*Assumptions!$C$16/12)</f>
        <v>91.30725</v>
      </c>
    </row>
    <row r="30447" customFormat="false" ht="15" hidden="false" customHeight="false" outlineLevel="0" collapsed="false">
      <c r="A30447" s="3" t="s">
        <v>558</v>
      </c>
      <c r="C30447" s="16" t="n">
        <f aca="false">SUMPRODUCT($G$30433:$K$30433,$G$30216:$K$30216)*(1+SUMPRODUCT($G$30433:$K$30433,$G$30208:$K$30208)*Assumptions!$C$16/12)</f>
        <v>58.3715961</v>
      </c>
    </row>
    <row r="30448" customFormat="false" ht="15" hidden="false" customHeight="false" outlineLevel="0" collapsed="false">
      <c r="A30448" s="3" t="s">
        <v>559</v>
      </c>
      <c r="C30448" s="16" t="n">
        <f aca="false">SUMPRODUCT($G$30433:$K$30433,$G$30229:$K$30229)*(1+SUMPRODUCT($G$30433:$K$30433,$G$30221:$K$30221)*Assumptions!$C$16/12)</f>
        <v>0</v>
      </c>
    </row>
    <row r="30449" customFormat="false" ht="15" hidden="false" customHeight="false" outlineLevel="0" collapsed="false">
      <c r="A30449" s="3" t="s">
        <v>560</v>
      </c>
      <c r="C30449" s="16" t="n">
        <f aca="false">SUMPRODUCT($G$30433:$K$30433,$G$30242:$K$30242)*(1+SUMPRODUCT($G$30433:$K$30433,$G$30234:$K$30234)*Assumptions!$C$16/12)</f>
        <v>448.876267417163</v>
      </c>
    </row>
    <row r="30450" customFormat="false" ht="15" hidden="false" customHeight="false" outlineLevel="0" collapsed="false">
      <c r="A30450" s="3" t="s">
        <v>561</v>
      </c>
      <c r="C30450" s="16" t="n">
        <f aca="false">SUMPRODUCT($G$30433:$K$30433,$G$30255:$K$30255)*(1+SUMPRODUCT($G$30433:$K$30433,$G$30247:$K$30247)*Assumptions!$C$16/12)</f>
        <v>357.2625</v>
      </c>
    </row>
    <row r="30451" customFormat="false" ht="15" hidden="false" customHeight="false" outlineLevel="0" collapsed="false">
      <c r="A30451" s="3" t="s">
        <v>562</v>
      </c>
      <c r="C30451" s="16" t="n">
        <f aca="false">SUMPRODUCT($G$30433:$K$30433,$G$30268:$K$30268)*(1+SUMPRODUCT($G$30433:$K$30433,$G$30260:$K$30260)*Assumptions!$C$16/12)</f>
        <v>562.203125</v>
      </c>
    </row>
    <row r="30452" customFormat="false" ht="15" hidden="false" customHeight="false" outlineLevel="0" collapsed="false">
      <c r="A30452" s="3" t="s">
        <v>563</v>
      </c>
      <c r="C30452" s="16" t="n">
        <f aca="false">SUMPRODUCT($G$30433:$K$30433,$G$30281:$K$30281)*(1+SUMPRODUCT($G$30433:$K$30433,$G$30273:$K$30273)*Assumptions!$C$16/12)</f>
        <v>353.98125</v>
      </c>
    </row>
    <row r="30453" customFormat="false" ht="15" hidden="false" customHeight="false" outlineLevel="0" collapsed="false">
      <c r="A30453" s="3" t="s">
        <v>564</v>
      </c>
      <c r="C30453" s="16" t="n">
        <f aca="false">SUMPRODUCT($G$30433:$K$30433,$G$30294:$K$30294)*(1+SUMPRODUCT($G$30433:$K$30433,$G$30286:$K$30286)*Assumptions!$C$16/12)</f>
        <v>304.59375</v>
      </c>
    </row>
    <row r="30454" customFormat="false" ht="15" hidden="false" customHeight="false" outlineLevel="0" collapsed="false">
      <c r="A30454" s="3" t="s">
        <v>565</v>
      </c>
      <c r="C30454" s="16" t="n">
        <f aca="false">SUMPRODUCT($G$30433:$K$30433,$G$30307:$K$30307)*(1+SUMPRODUCT($G$30433:$K$30433,$G$30299:$K$30299)*Assumptions!$C$16/12)</f>
        <v>80.4298215</v>
      </c>
    </row>
    <row r="30455" customFormat="false" ht="15" hidden="false" customHeight="false" outlineLevel="0" collapsed="false">
      <c r="A30455" s="24" t="s">
        <v>566</v>
      </c>
      <c r="B30455" s="25"/>
      <c r="C30455" s="25"/>
      <c r="D30455" s="25"/>
      <c r="E30455" s="25"/>
      <c r="F30455" s="25"/>
      <c r="G30455" s="25"/>
      <c r="H30455" s="25"/>
      <c r="I30455" s="25"/>
      <c r="J30455" s="25"/>
      <c r="K30455" s="25"/>
    </row>
    <row r="30456" customFormat="false" ht="15" hidden="false" customHeight="false" outlineLevel="0" collapsed="false">
      <c r="A30456" s="3" t="s">
        <v>556</v>
      </c>
      <c r="C30456" s="27" t="n">
        <f aca="false">Assumptions!$M$57</f>
        <v>1</v>
      </c>
    </row>
    <row r="30457" customFormat="false" ht="15" hidden="false" customHeight="false" outlineLevel="0" collapsed="false">
      <c r="A30457" s="3" t="s">
        <v>557</v>
      </c>
      <c r="C30457" s="27" t="n">
        <f aca="false">Assumptions!$M$58</f>
        <v>1</v>
      </c>
    </row>
    <row r="30458" customFormat="false" ht="15" hidden="false" customHeight="false" outlineLevel="0" collapsed="false">
      <c r="A30458" s="3" t="s">
        <v>558</v>
      </c>
      <c r="C30458" s="27" t="n">
        <f aca="false">Assumptions!$M$59</f>
        <v>1</v>
      </c>
    </row>
    <row r="30459" customFormat="false" ht="15" hidden="false" customHeight="false" outlineLevel="0" collapsed="false">
      <c r="A30459" s="3" t="s">
        <v>559</v>
      </c>
      <c r="C30459" s="27" t="n">
        <f aca="false">Assumptions!$M$60</f>
        <v>2</v>
      </c>
    </row>
    <row r="30460" customFormat="false" ht="15" hidden="false" customHeight="false" outlineLevel="0" collapsed="false">
      <c r="A30460" s="3" t="s">
        <v>560</v>
      </c>
      <c r="C30460" s="27" t="n">
        <f aca="false">Assumptions!$M$61</f>
        <v>2</v>
      </c>
    </row>
    <row r="30461" customFormat="false" ht="15" hidden="false" customHeight="false" outlineLevel="0" collapsed="false">
      <c r="A30461" s="3" t="s">
        <v>561</v>
      </c>
      <c r="C30461" s="27" t="n">
        <f aca="false">Assumptions!$M$62</f>
        <v>2</v>
      </c>
    </row>
    <row r="30462" customFormat="false" ht="15" hidden="false" customHeight="false" outlineLevel="0" collapsed="false">
      <c r="A30462" s="3" t="s">
        <v>562</v>
      </c>
      <c r="C30462" s="27" t="n">
        <f aca="false">Assumptions!$M$63</f>
        <v>2</v>
      </c>
    </row>
    <row r="30463" customFormat="false" ht="15" hidden="false" customHeight="false" outlineLevel="0" collapsed="false">
      <c r="A30463" s="3" t="s">
        <v>563</v>
      </c>
      <c r="C30463" s="27" t="n">
        <f aca="false">Assumptions!$M$64</f>
        <v>2</v>
      </c>
    </row>
    <row r="30464" customFormat="false" ht="15" hidden="false" customHeight="false" outlineLevel="0" collapsed="false">
      <c r="A30464" s="3" t="s">
        <v>564</v>
      </c>
      <c r="C30464" s="27" t="n">
        <f aca="false">Assumptions!$M$65</f>
        <v>2</v>
      </c>
    </row>
    <row r="30465" customFormat="false" ht="15" hidden="false" customHeight="false" outlineLevel="0" collapsed="false">
      <c r="A30465" s="3" t="s">
        <v>565</v>
      </c>
      <c r="C30465" s="27" t="n">
        <f aca="false">Assumptions!$M$66</f>
        <v>3</v>
      </c>
    </row>
    <row r="30466" customFormat="false" ht="15" hidden="false" customHeight="false" outlineLevel="0" collapsed="false">
      <c r="A30466" s="24" t="s">
        <v>567</v>
      </c>
      <c r="B30466" s="25"/>
      <c r="C30466" s="25"/>
      <c r="D30466" s="25"/>
      <c r="E30466" s="25"/>
      <c r="F30466" s="25"/>
      <c r="G30466" s="25"/>
      <c r="H30466" s="25"/>
      <c r="I30466" s="25"/>
      <c r="J30466" s="25"/>
      <c r="K30466" s="25"/>
    </row>
    <row r="30467" customFormat="false" ht="15" hidden="false" customHeight="false" outlineLevel="0" collapsed="false">
      <c r="A30467" s="3" t="s">
        <v>556</v>
      </c>
      <c r="C30467" s="33" t="n">
        <f aca="false">Assumptions!$Q$57</f>
        <v>0.3</v>
      </c>
    </row>
    <row r="30468" customFormat="false" ht="15" hidden="false" customHeight="false" outlineLevel="0" collapsed="false">
      <c r="A30468" s="3" t="s">
        <v>557</v>
      </c>
      <c r="C30468" s="33" t="n">
        <f aca="false">Assumptions!$Q$58</f>
        <v>0.033</v>
      </c>
    </row>
    <row r="30469" customFormat="false" ht="15" hidden="false" customHeight="false" outlineLevel="0" collapsed="false">
      <c r="A30469" s="3" t="s">
        <v>558</v>
      </c>
      <c r="C30469" s="33" t="n">
        <f aca="false">Assumptions!$Q$59</f>
        <v>0.021</v>
      </c>
    </row>
    <row r="30470" customFormat="false" ht="15" hidden="false" customHeight="false" outlineLevel="0" collapsed="false">
      <c r="A30470" s="3" t="s">
        <v>559</v>
      </c>
      <c r="C30470" s="33" t="n">
        <f aca="false">Assumptions!$Q$60</f>
        <v>0</v>
      </c>
    </row>
    <row r="30471" customFormat="false" ht="15" hidden="false" customHeight="false" outlineLevel="0" collapsed="false">
      <c r="A30471" s="3" t="s">
        <v>560</v>
      </c>
      <c r="C30471" s="33" t="n">
        <f aca="false">Assumptions!$Q$61</f>
        <v>0</v>
      </c>
    </row>
    <row r="30472" customFormat="false" ht="15" hidden="false" customHeight="false" outlineLevel="0" collapsed="false">
      <c r="A30472" s="3" t="s">
        <v>561</v>
      </c>
      <c r="C30472" s="33" t="n">
        <f aca="false">Assumptions!$Q$62</f>
        <v>0</v>
      </c>
    </row>
    <row r="30473" customFormat="false" ht="15" hidden="false" customHeight="false" outlineLevel="0" collapsed="false">
      <c r="A30473" s="3" t="s">
        <v>562</v>
      </c>
      <c r="C30473" s="33" t="n">
        <f aca="false">Assumptions!$Q$63</f>
        <v>0</v>
      </c>
    </row>
    <row r="30474" customFormat="false" ht="15" hidden="false" customHeight="false" outlineLevel="0" collapsed="false">
      <c r="A30474" s="3" t="s">
        <v>563</v>
      </c>
      <c r="C30474" s="33" t="n">
        <f aca="false">Assumptions!$Q$64</f>
        <v>0</v>
      </c>
    </row>
    <row r="30475" customFormat="false" ht="15" hidden="false" customHeight="false" outlineLevel="0" collapsed="false">
      <c r="A30475" s="3" t="s">
        <v>564</v>
      </c>
      <c r="C30475" s="33" t="n">
        <f aca="false">Assumptions!$Q$65</f>
        <v>0</v>
      </c>
    </row>
    <row r="30476" customFormat="false" ht="15" hidden="false" customHeight="false" outlineLevel="0" collapsed="false">
      <c r="A30476" s="3" t="s">
        <v>565</v>
      </c>
      <c r="C30476" s="33" t="n">
        <f aca="false">Assumptions!$Q$66</f>
        <v>0</v>
      </c>
    </row>
    <row r="30477" customFormat="false" ht="15" hidden="false" customHeight="false" outlineLevel="0" collapsed="false">
      <c r="A30477" s="24" t="s">
        <v>568</v>
      </c>
      <c r="B30477" s="25"/>
      <c r="C30477" s="25"/>
      <c r="D30477" s="25"/>
      <c r="E30477" s="25"/>
      <c r="F30477" s="25"/>
      <c r="G30477" s="25"/>
      <c r="H30477" s="25"/>
      <c r="I30477" s="25"/>
      <c r="J30477" s="25"/>
      <c r="K30477" s="25"/>
    </row>
    <row r="30478" customFormat="false" ht="15" hidden="false" customHeight="false" outlineLevel="0" collapsed="false">
      <c r="A30478" s="3" t="s">
        <v>556</v>
      </c>
      <c r="C30478" s="16" t="n">
        <f aca="false">IF(C30467&gt;0,MIN(C30445,C30467*$C$30443),0)</f>
        <v>404.74</v>
      </c>
    </row>
    <row r="30479" customFormat="false" ht="15" hidden="false" customHeight="false" outlineLevel="0" collapsed="false">
      <c r="A30479" s="3" t="s">
        <v>557</v>
      </c>
      <c r="C30479" s="16" t="n">
        <f aca="false">IF(C30468&gt;0,MIN(C30446,C30468*$C$30443),0)</f>
        <v>85.1568504864</v>
      </c>
    </row>
    <row r="30480" customFormat="false" ht="15" hidden="false" customHeight="false" outlineLevel="0" collapsed="false">
      <c r="A30480" s="3" t="s">
        <v>558</v>
      </c>
      <c r="C30480" s="16" t="n">
        <f aca="false">IF(C30469&gt;0,MIN(C30447,C30469*$C$30443),0)</f>
        <v>54.1907230368</v>
      </c>
    </row>
    <row r="30481" customFormat="false" ht="15" hidden="false" customHeight="false" outlineLevel="0" collapsed="false">
      <c r="A30481" s="3" t="s">
        <v>559</v>
      </c>
      <c r="C30481" s="16" t="n">
        <f aca="false">IF(C30470&gt;0,MIN(C30448,C30470*$C$30443),0)</f>
        <v>0</v>
      </c>
    </row>
    <row r="30482" customFormat="false" ht="15" hidden="false" customHeight="false" outlineLevel="0" collapsed="false">
      <c r="A30482" s="3" t="s">
        <v>560</v>
      </c>
      <c r="C30482" s="16" t="n">
        <f aca="false">IF(C30471&gt;0,MIN(C30449,C30471*$C$30443),0)</f>
        <v>0</v>
      </c>
    </row>
    <row r="30483" customFormat="false" ht="15" hidden="false" customHeight="false" outlineLevel="0" collapsed="false">
      <c r="A30483" s="3" t="s">
        <v>561</v>
      </c>
      <c r="C30483" s="16" t="n">
        <f aca="false">IF(C30472&gt;0,MIN(C30450,C30472*$C$30443),0)</f>
        <v>0</v>
      </c>
    </row>
    <row r="30484" customFormat="false" ht="15" hidden="false" customHeight="false" outlineLevel="0" collapsed="false">
      <c r="A30484" s="3" t="s">
        <v>562</v>
      </c>
      <c r="C30484" s="16" t="n">
        <f aca="false">IF(C30473&gt;0,MIN(C30451,C30473*$C$30443),0)</f>
        <v>0</v>
      </c>
    </row>
    <row r="30485" customFormat="false" ht="15" hidden="false" customHeight="false" outlineLevel="0" collapsed="false">
      <c r="A30485" s="3" t="s">
        <v>563</v>
      </c>
      <c r="C30485" s="16" t="n">
        <f aca="false">IF(C30474&gt;0,MIN(C30452,C30474*$C$30443),0)</f>
        <v>0</v>
      </c>
    </row>
    <row r="30486" customFormat="false" ht="15" hidden="false" customHeight="false" outlineLevel="0" collapsed="false">
      <c r="A30486" s="3" t="s">
        <v>564</v>
      </c>
      <c r="C30486" s="16" t="n">
        <f aca="false">IF(C30475&gt;0,MIN(C30453,C30475*$C$30443),0)</f>
        <v>0</v>
      </c>
    </row>
    <row r="30487" customFormat="false" ht="15" hidden="false" customHeight="false" outlineLevel="0" collapsed="false">
      <c r="A30487" s="3" t="s">
        <v>565</v>
      </c>
      <c r="C30487" s="16" t="n">
        <f aca="false">IF(C30476&gt;0,MIN(C30454,C30476*$C$30443),0)</f>
        <v>0</v>
      </c>
    </row>
    <row r="30488" customFormat="false" ht="15" hidden="false" customHeight="false" outlineLevel="0" collapsed="false">
      <c r="A30488" s="24" t="s">
        <v>569</v>
      </c>
      <c r="B30488" s="25"/>
      <c r="C30488" s="25"/>
      <c r="D30488" s="25"/>
      <c r="E30488" s="25"/>
      <c r="F30488" s="25"/>
      <c r="G30488" s="25"/>
      <c r="H30488" s="25"/>
      <c r="I30488" s="25"/>
      <c r="J30488" s="25"/>
      <c r="K30488" s="25"/>
    </row>
    <row r="30489" customFormat="false" ht="15" hidden="false" customHeight="false" outlineLevel="0" collapsed="false">
      <c r="A30489" s="3" t="s">
        <v>556</v>
      </c>
      <c r="C30489" s="16" t="n">
        <f aca="false">IF(C30467&gt;0,C30445-C30478,0)</f>
        <v>0</v>
      </c>
      <c r="G30489" s="21" t="n">
        <f aca="false">IF(AND(G30180=1,G30177=1),1,0)</f>
        <v>0</v>
      </c>
      <c r="H30489" s="21" t="n">
        <f aca="false">IF(G30489=1,1,IF(AND(H30180=1,H30177=1),1,0))</f>
        <v>0</v>
      </c>
      <c r="I30489" s="21" t="n">
        <f aca="false">IF(H30489=1,1,IF(AND(I30180=1,I30177=1),1,0))</f>
        <v>0</v>
      </c>
      <c r="J30489" s="21" t="n">
        <f aca="false">IF(I30489=1,1,IF(AND(J30180=1,J30177=1),1,0))</f>
        <v>0</v>
      </c>
      <c r="K30489" s="21" t="n">
        <f aca="false">IF(J30489=1,1,IF(AND(K30180=1,K30177=1),1,0))</f>
        <v>0</v>
      </c>
    </row>
    <row r="30490" customFormat="false" ht="15" hidden="false" customHeight="false" outlineLevel="0" collapsed="false">
      <c r="A30490" s="3" t="s">
        <v>557</v>
      </c>
      <c r="C30490" s="16" t="n">
        <f aca="false">IF(C30468&gt;0,C30446-C30479,0)</f>
        <v>6.15039951360001</v>
      </c>
      <c r="G30490" s="21" t="n">
        <f aca="false">IF(AND(G30193=1,G30177=1),1,0)</f>
        <v>0</v>
      </c>
      <c r="H30490" s="21" t="n">
        <f aca="false">IF(G30490=1,1,IF(AND(H30193=1,H30177=1),1,0))</f>
        <v>0</v>
      </c>
      <c r="I30490" s="21" t="n">
        <f aca="false">IF(H30490=1,1,IF(AND(I30193=1,I30177=1),1,0))</f>
        <v>0</v>
      </c>
      <c r="J30490" s="21" t="n">
        <f aca="false">IF(I30490=1,1,IF(AND(J30193=1,J30177=1),1,0))</f>
        <v>0</v>
      </c>
      <c r="K30490" s="21" t="n">
        <f aca="false">IF(J30490=1,1,IF(AND(K30193=1,K30177=1),1,0))</f>
        <v>0</v>
      </c>
    </row>
    <row r="30491" customFormat="false" ht="15" hidden="false" customHeight="false" outlineLevel="0" collapsed="false">
      <c r="A30491" s="3" t="s">
        <v>558</v>
      </c>
      <c r="C30491" s="16" t="n">
        <f aca="false">IF(C30469&gt;0,C30447-C30480,0)</f>
        <v>4.1808730632</v>
      </c>
      <c r="G30491" s="21" t="n">
        <f aca="false">IF(AND(G30206=1,G30177=1),1,0)</f>
        <v>0</v>
      </c>
      <c r="H30491" s="21" t="n">
        <f aca="false">IF(G30491=1,1,IF(AND(H30206=1,H30177=1),1,0))</f>
        <v>0</v>
      </c>
      <c r="I30491" s="21" t="n">
        <f aca="false">IF(H30491=1,1,IF(AND(I30206=1,I30177=1),1,0))</f>
        <v>0</v>
      </c>
      <c r="J30491" s="21" t="n">
        <f aca="false">IF(I30491=1,1,IF(AND(J30206=1,J30177=1),1,0))</f>
        <v>0</v>
      </c>
      <c r="K30491" s="21" t="n">
        <f aca="false">IF(J30491=1,1,IF(AND(K30206=1,K30177=1),1,0))</f>
        <v>0</v>
      </c>
    </row>
    <row r="30492" customFormat="false" ht="15" hidden="false" customHeight="false" outlineLevel="0" collapsed="false">
      <c r="A30492" s="3" t="s">
        <v>559</v>
      </c>
      <c r="C30492" s="16" t="n">
        <f aca="false">IF(C30470&gt;0,C30448-C30481,0)</f>
        <v>0</v>
      </c>
      <c r="G30492" s="21" t="n">
        <f aca="false">IF(AND(G30219=1,G30177=1),1,0)</f>
        <v>0</v>
      </c>
      <c r="H30492" s="21" t="n">
        <f aca="false">IF(G30492=1,1,IF(AND(H30219=1,H30177=1),1,0))</f>
        <v>0</v>
      </c>
      <c r="I30492" s="21" t="n">
        <f aca="false">IF(H30492=1,1,IF(AND(I30219=1,I30177=1),1,0))</f>
        <v>0</v>
      </c>
      <c r="J30492" s="21" t="n">
        <f aca="false">IF(I30492=1,1,IF(AND(J30219=1,J30177=1),1,0))</f>
        <v>0</v>
      </c>
      <c r="K30492" s="21" t="n">
        <f aca="false">IF(J30492=1,1,IF(AND(K30219=1,K30177=1),1,0))</f>
        <v>0</v>
      </c>
    </row>
    <row r="30493" customFormat="false" ht="15" hidden="false" customHeight="false" outlineLevel="0" collapsed="false">
      <c r="A30493" s="3" t="s">
        <v>560</v>
      </c>
      <c r="C30493" s="16" t="n">
        <f aca="false">IF(C30471&gt;0,C30449-C30482,0)</f>
        <v>0</v>
      </c>
      <c r="G30493" s="21" t="n">
        <f aca="false">IF(AND(G30232=1,G30177=1),1,0)</f>
        <v>0</v>
      </c>
      <c r="H30493" s="21" t="n">
        <f aca="false">IF(G30493=1,1,IF(AND(H30232=1,H30177=1),1,0))</f>
        <v>0</v>
      </c>
      <c r="I30493" s="21" t="n">
        <f aca="false">IF(H30493=1,1,IF(AND(I30232=1,I30177=1),1,0))</f>
        <v>0</v>
      </c>
      <c r="J30493" s="21" t="n">
        <f aca="false">IF(I30493=1,1,IF(AND(J30232=1,J30177=1),1,0))</f>
        <v>0</v>
      </c>
      <c r="K30493" s="21" t="n">
        <f aca="false">IF(J30493=1,1,IF(AND(K30232=1,K30177=1),1,0))</f>
        <v>0</v>
      </c>
    </row>
    <row r="30494" customFormat="false" ht="15" hidden="false" customHeight="false" outlineLevel="0" collapsed="false">
      <c r="A30494" s="3" t="s">
        <v>561</v>
      </c>
      <c r="C30494" s="16" t="n">
        <f aca="false">IF(C30472&gt;0,C30450-C30483,0)</f>
        <v>0</v>
      </c>
      <c r="G30494" s="21" t="n">
        <f aca="false">IF(AND(G30245=1,G30177=1),1,0)</f>
        <v>0</v>
      </c>
      <c r="H30494" s="21" t="n">
        <f aca="false">IF(G30494=1,1,IF(AND(H30245=1,H30177=1),1,0))</f>
        <v>0</v>
      </c>
      <c r="I30494" s="21" t="n">
        <f aca="false">IF(H30494=1,1,IF(AND(I30245=1,I30177=1),1,0))</f>
        <v>0</v>
      </c>
      <c r="J30494" s="21" t="n">
        <f aca="false">IF(I30494=1,1,IF(AND(J30245=1,J30177=1),1,0))</f>
        <v>0</v>
      </c>
      <c r="K30494" s="21" t="n">
        <f aca="false">IF(J30494=1,1,IF(AND(K30245=1,K30177=1),1,0))</f>
        <v>0</v>
      </c>
    </row>
    <row r="30495" customFormat="false" ht="15" hidden="false" customHeight="false" outlineLevel="0" collapsed="false">
      <c r="A30495" s="3" t="s">
        <v>562</v>
      </c>
      <c r="C30495" s="16" t="n">
        <f aca="false">IF(C30473&gt;0,C30451-C30484,0)</f>
        <v>0</v>
      </c>
      <c r="G30495" s="21" t="n">
        <f aca="false">IF(AND(G30258=1,G30177=1),1,0)</f>
        <v>0</v>
      </c>
      <c r="H30495" s="21" t="n">
        <f aca="false">IF(G30495=1,1,IF(AND(H30258=1,H30177=1),1,0))</f>
        <v>0</v>
      </c>
      <c r="I30495" s="21" t="n">
        <f aca="false">IF(H30495=1,1,IF(AND(I30258=1,I30177=1),1,0))</f>
        <v>0</v>
      </c>
      <c r="J30495" s="21" t="n">
        <f aca="false">IF(I30495=1,1,IF(AND(J30258=1,J30177=1),1,0))</f>
        <v>0</v>
      </c>
      <c r="K30495" s="21" t="n">
        <f aca="false">IF(J30495=1,1,IF(AND(K30258=1,K30177=1),1,0))</f>
        <v>0</v>
      </c>
    </row>
    <row r="30496" customFormat="false" ht="15" hidden="false" customHeight="false" outlineLevel="0" collapsed="false">
      <c r="A30496" s="3" t="s">
        <v>563</v>
      </c>
      <c r="C30496" s="16" t="n">
        <f aca="false">IF(C30474&gt;0,C30452-C30485,0)</f>
        <v>0</v>
      </c>
      <c r="G30496" s="21" t="n">
        <f aca="false">IF(AND(G30271=1,G30177=1),1,0)</f>
        <v>0</v>
      </c>
      <c r="H30496" s="21" t="n">
        <f aca="false">IF(G30496=1,1,IF(AND(H30271=1,H30177=1),1,0))</f>
        <v>0</v>
      </c>
      <c r="I30496" s="21" t="n">
        <f aca="false">IF(H30496=1,1,IF(AND(I30271=1,I30177=1),1,0))</f>
        <v>0</v>
      </c>
      <c r="J30496" s="21" t="n">
        <f aca="false">IF(I30496=1,1,IF(AND(J30271=1,J30177=1),1,0))</f>
        <v>0</v>
      </c>
      <c r="K30496" s="21" t="n">
        <f aca="false">IF(J30496=1,1,IF(AND(K30271=1,K30177=1),1,0))</f>
        <v>0</v>
      </c>
    </row>
    <row r="30497" customFormat="false" ht="15" hidden="false" customHeight="false" outlineLevel="0" collapsed="false">
      <c r="A30497" s="3" t="s">
        <v>564</v>
      </c>
      <c r="C30497" s="16" t="n">
        <f aca="false">IF(C30475&gt;0,C30453-C30486,0)</f>
        <v>0</v>
      </c>
      <c r="G30497" s="21" t="n">
        <f aca="false">IF(AND(G30284=1,G30177=1),1,0)</f>
        <v>0</v>
      </c>
      <c r="H30497" s="21" t="n">
        <f aca="false">IF(G30497=1,1,IF(AND(H30284=1,H30177=1),1,0))</f>
        <v>0</v>
      </c>
      <c r="I30497" s="21" t="n">
        <f aca="false">IF(H30497=1,1,IF(AND(I30284=1,I30177=1),1,0))</f>
        <v>0</v>
      </c>
      <c r="J30497" s="21" t="n">
        <f aca="false">IF(I30497=1,1,IF(AND(J30284=1,J30177=1),1,0))</f>
        <v>0</v>
      </c>
      <c r="K30497" s="21" t="n">
        <f aca="false">IF(J30497=1,1,IF(AND(K30284=1,K30177=1),1,0))</f>
        <v>0</v>
      </c>
    </row>
    <row r="30498" customFormat="false" ht="15" hidden="false" customHeight="false" outlineLevel="0" collapsed="false">
      <c r="A30498" s="3" t="s">
        <v>565</v>
      </c>
      <c r="C30498" s="16" t="n">
        <f aca="false">IF(C30476&gt;0,C30454-C30487,0)</f>
        <v>0</v>
      </c>
      <c r="G30498" s="21" t="n">
        <f aca="false">IF(AND(G30297=1,G30177=1),1,0)</f>
        <v>0</v>
      </c>
      <c r="H30498" s="21" t="n">
        <f aca="false">IF(G30498=1,1,IF(AND(H30297=1,H30177=1),1,0))</f>
        <v>0</v>
      </c>
      <c r="I30498" s="21" t="n">
        <f aca="false">IF(H30498=1,1,IF(AND(I30297=1,I30177=1),1,0))</f>
        <v>0</v>
      </c>
      <c r="J30498" s="21" t="n">
        <f aca="false">IF(I30498=1,1,IF(AND(J30297=1,J30177=1),1,0))</f>
        <v>0</v>
      </c>
      <c r="K30498" s="21" t="n">
        <f aca="false">IF(J30498=1,1,IF(AND(K30297=1,K30177=1),1,0))</f>
        <v>0</v>
      </c>
    </row>
    <row r="30499" customFormat="false" ht="15" hidden="false" customHeight="false" outlineLevel="0" collapsed="false">
      <c r="A30499" s="24" t="s">
        <v>570</v>
      </c>
      <c r="B30499" s="25"/>
      <c r="C30499" s="25"/>
      <c r="D30499" s="25"/>
      <c r="E30499" s="25"/>
      <c r="F30499" s="25"/>
      <c r="G30499" s="25"/>
      <c r="H30499" s="25"/>
      <c r="I30499" s="25"/>
      <c r="J30499" s="25"/>
      <c r="K30499" s="25"/>
    </row>
    <row r="30500" customFormat="false" ht="15" hidden="false" customHeight="false" outlineLevel="0" collapsed="false">
      <c r="A30500" s="3" t="s">
        <v>556</v>
      </c>
      <c r="C30500" s="16" t="n">
        <f aca="false">IF(C30467&gt;0,C30489,C30445)</f>
        <v>0</v>
      </c>
    </row>
    <row r="30501" customFormat="false" ht="15" hidden="false" customHeight="false" outlineLevel="0" collapsed="false">
      <c r="A30501" s="3" t="s">
        <v>557</v>
      </c>
      <c r="C30501" s="16" t="n">
        <f aca="false">IF(C30468&gt;0,C30490,C30446)</f>
        <v>6.15039951360001</v>
      </c>
    </row>
    <row r="30502" customFormat="false" ht="15" hidden="false" customHeight="false" outlineLevel="0" collapsed="false">
      <c r="A30502" s="3" t="s">
        <v>558</v>
      </c>
      <c r="C30502" s="16" t="n">
        <f aca="false">IF(C30469&gt;0,C30491,C30447)</f>
        <v>4.1808730632</v>
      </c>
    </row>
    <row r="30503" customFormat="false" ht="15" hidden="false" customHeight="false" outlineLevel="0" collapsed="false">
      <c r="A30503" s="3" t="s">
        <v>559</v>
      </c>
      <c r="C30503" s="16" t="n">
        <f aca="false">IF(C30470&gt;0,C30492,C30448)</f>
        <v>0</v>
      </c>
    </row>
    <row r="30504" customFormat="false" ht="15" hidden="false" customHeight="false" outlineLevel="0" collapsed="false">
      <c r="A30504" s="3" t="s">
        <v>560</v>
      </c>
      <c r="C30504" s="16" t="n">
        <f aca="false">IF(C30471&gt;0,C30493,C30449)</f>
        <v>448.876267417163</v>
      </c>
    </row>
    <row r="30505" customFormat="false" ht="15" hidden="false" customHeight="false" outlineLevel="0" collapsed="false">
      <c r="A30505" s="3" t="s">
        <v>561</v>
      </c>
      <c r="C30505" s="16" t="n">
        <f aca="false">IF(C30472&gt;0,C30494,C30450)</f>
        <v>357.2625</v>
      </c>
    </row>
    <row r="30506" customFormat="false" ht="15" hidden="false" customHeight="false" outlineLevel="0" collapsed="false">
      <c r="A30506" s="3" t="s">
        <v>562</v>
      </c>
      <c r="C30506" s="16" t="n">
        <f aca="false">IF(C30473&gt;0,C30495,C30451)</f>
        <v>562.203125</v>
      </c>
    </row>
    <row r="30507" customFormat="false" ht="15" hidden="false" customHeight="false" outlineLevel="0" collapsed="false">
      <c r="A30507" s="3" t="s">
        <v>563</v>
      </c>
      <c r="C30507" s="16" t="n">
        <f aca="false">IF(C30474&gt;0,C30496,C30452)</f>
        <v>353.98125</v>
      </c>
    </row>
    <row r="30508" customFormat="false" ht="15" hidden="false" customHeight="false" outlineLevel="0" collapsed="false">
      <c r="A30508" s="3" t="s">
        <v>564</v>
      </c>
      <c r="C30508" s="16" t="n">
        <f aca="false">IF(C30475&gt;0,C30497,C30453)</f>
        <v>304.59375</v>
      </c>
    </row>
    <row r="30509" customFormat="false" ht="15" hidden="false" customHeight="false" outlineLevel="0" collapsed="false">
      <c r="A30509" s="3" t="s">
        <v>565</v>
      </c>
      <c r="C30509" s="16" t="n">
        <f aca="false">IF(C30476&gt;0,C30498,C30454)</f>
        <v>80.4298215</v>
      </c>
    </row>
    <row r="30510" customFormat="false" ht="15" hidden="false" customHeight="false" outlineLevel="0" collapsed="false">
      <c r="A30510" s="24" t="s">
        <v>571</v>
      </c>
      <c r="B30510" s="25"/>
      <c r="C30510" s="25"/>
      <c r="D30510" s="25"/>
      <c r="E30510" s="25"/>
      <c r="F30510" s="25"/>
      <c r="G30510" s="25"/>
      <c r="H30510" s="25"/>
      <c r="I30510" s="25"/>
      <c r="J30510" s="25"/>
      <c r="K30510" s="25"/>
    </row>
    <row r="30511" customFormat="false" ht="15" hidden="false" customHeight="false" outlineLevel="0" collapsed="false">
      <c r="A30511" s="3" t="s">
        <v>556</v>
      </c>
      <c r="C30511" s="21" t="n">
        <f aca="false">IF(C30467&gt;0,Assumptions!$C$17,C30456)</f>
        <v>99</v>
      </c>
    </row>
    <row r="30512" customFormat="false" ht="15" hidden="false" customHeight="false" outlineLevel="0" collapsed="false">
      <c r="A30512" s="3" t="s">
        <v>557</v>
      </c>
      <c r="C30512" s="21" t="n">
        <f aca="false">IF(C30468&gt;0,Assumptions!$C$17,C30457)</f>
        <v>99</v>
      </c>
    </row>
    <row r="30513" customFormat="false" ht="15" hidden="false" customHeight="false" outlineLevel="0" collapsed="false">
      <c r="A30513" s="3" t="s">
        <v>558</v>
      </c>
      <c r="C30513" s="21" t="n">
        <f aca="false">IF(C30469&gt;0,Assumptions!$C$17,C30458)</f>
        <v>99</v>
      </c>
    </row>
    <row r="30514" customFormat="false" ht="15" hidden="false" customHeight="false" outlineLevel="0" collapsed="false">
      <c r="A30514" s="3" t="s">
        <v>559</v>
      </c>
      <c r="C30514" s="21" t="n">
        <f aca="false">IF(C30470&gt;0,Assumptions!$C$17,C30459)</f>
        <v>2</v>
      </c>
    </row>
    <row r="30515" customFormat="false" ht="15" hidden="false" customHeight="false" outlineLevel="0" collapsed="false">
      <c r="A30515" s="3" t="s">
        <v>560</v>
      </c>
      <c r="C30515" s="21" t="n">
        <f aca="false">IF(C30471&gt;0,Assumptions!$C$17,C30460)</f>
        <v>2</v>
      </c>
    </row>
    <row r="30516" customFormat="false" ht="15" hidden="false" customHeight="false" outlineLevel="0" collapsed="false">
      <c r="A30516" s="3" t="s">
        <v>561</v>
      </c>
      <c r="C30516" s="21" t="n">
        <f aca="false">IF(C30472&gt;0,Assumptions!$C$17,C30461)</f>
        <v>2</v>
      </c>
    </row>
    <row r="30517" customFormat="false" ht="15" hidden="false" customHeight="false" outlineLevel="0" collapsed="false">
      <c r="A30517" s="3" t="s">
        <v>562</v>
      </c>
      <c r="C30517" s="21" t="n">
        <f aca="false">IF(C30473&gt;0,Assumptions!$C$17,C30462)</f>
        <v>2</v>
      </c>
    </row>
    <row r="30518" customFormat="false" ht="15" hidden="false" customHeight="false" outlineLevel="0" collapsed="false">
      <c r="A30518" s="3" t="s">
        <v>563</v>
      </c>
      <c r="C30518" s="21" t="n">
        <f aca="false">IF(C30474&gt;0,Assumptions!$C$17,C30463)</f>
        <v>2</v>
      </c>
    </row>
    <row r="30519" customFormat="false" ht="15" hidden="false" customHeight="false" outlineLevel="0" collapsed="false">
      <c r="A30519" s="3" t="s">
        <v>564</v>
      </c>
      <c r="C30519" s="21" t="n">
        <f aca="false">IF(C30475&gt;0,Assumptions!$C$17,C30464)</f>
        <v>2</v>
      </c>
    </row>
    <row r="30520" customFormat="false" ht="15" hidden="false" customHeight="false" outlineLevel="0" collapsed="false">
      <c r="A30520" s="3" t="s">
        <v>565</v>
      </c>
      <c r="C30520" s="21" t="n">
        <f aca="false">IF(C30476&gt;0,Assumptions!$C$17,C30465)</f>
        <v>3</v>
      </c>
    </row>
    <row r="30521" customFormat="false" ht="15" hidden="false" customHeight="false" outlineLevel="0" collapsed="false">
      <c r="A30521" s="24" t="s">
        <v>572</v>
      </c>
      <c r="B30521" s="25"/>
      <c r="C30521" s="25"/>
      <c r="D30521" s="25"/>
      <c r="E30521" s="25"/>
      <c r="F30521" s="25"/>
      <c r="G30521" s="25"/>
      <c r="H30521" s="25"/>
      <c r="I30521" s="25"/>
      <c r="J30521" s="25"/>
      <c r="K30521" s="25"/>
    </row>
    <row r="30522" customFormat="false" ht="15" hidden="false" customHeight="false" outlineLevel="0" collapsed="false">
      <c r="A30522" s="3" t="s">
        <v>556</v>
      </c>
      <c r="C30522" s="16" t="n">
        <f aca="false">SUMPRODUCT(($C$30511:$C$30520&lt;C30511)*$C$30500:$C$30509)</f>
        <v>2107.34671391716</v>
      </c>
    </row>
    <row r="30523" customFormat="false" ht="15" hidden="false" customHeight="false" outlineLevel="0" collapsed="false">
      <c r="A30523" s="3" t="s">
        <v>557</v>
      </c>
      <c r="C30523" s="16" t="n">
        <f aca="false">SUMPRODUCT(($C$30511:$C$30520&lt;C30512)*$C$30500:$C$30509)</f>
        <v>2107.34671391716</v>
      </c>
    </row>
    <row r="30524" customFormat="false" ht="15" hidden="false" customHeight="false" outlineLevel="0" collapsed="false">
      <c r="A30524" s="3" t="s">
        <v>558</v>
      </c>
      <c r="C30524" s="16" t="n">
        <f aca="false">SUMPRODUCT(($C$30511:$C$30520&lt;C30513)*$C$30500:$C$30509)</f>
        <v>2107.34671391716</v>
      </c>
    </row>
    <row r="30525" customFormat="false" ht="15" hidden="false" customHeight="false" outlineLevel="0" collapsed="false">
      <c r="A30525" s="3" t="s">
        <v>559</v>
      </c>
      <c r="C30525" s="16" t="n">
        <f aca="false">SUMPRODUCT(($C$30511:$C$30520&lt;C30514)*$C$30500:$C$30509)</f>
        <v>0</v>
      </c>
    </row>
    <row r="30526" customFormat="false" ht="15" hidden="false" customHeight="false" outlineLevel="0" collapsed="false">
      <c r="A30526" s="3" t="s">
        <v>560</v>
      </c>
      <c r="C30526" s="16" t="n">
        <f aca="false">SUMPRODUCT(($C$30511:$C$30520&lt;C30515)*$C$30500:$C$30509)</f>
        <v>0</v>
      </c>
    </row>
    <row r="30527" customFormat="false" ht="15" hidden="false" customHeight="false" outlineLevel="0" collapsed="false">
      <c r="A30527" s="3" t="s">
        <v>561</v>
      </c>
      <c r="C30527" s="16" t="n">
        <f aca="false">SUMPRODUCT(($C$30511:$C$30520&lt;C30516)*$C$30500:$C$30509)</f>
        <v>0</v>
      </c>
    </row>
    <row r="30528" customFormat="false" ht="15" hidden="false" customHeight="false" outlineLevel="0" collapsed="false">
      <c r="A30528" s="3" t="s">
        <v>562</v>
      </c>
      <c r="C30528" s="16" t="n">
        <f aca="false">SUMPRODUCT(($C$30511:$C$30520&lt;C30517)*$C$30500:$C$30509)</f>
        <v>0</v>
      </c>
    </row>
    <row r="30529" customFormat="false" ht="15" hidden="false" customHeight="false" outlineLevel="0" collapsed="false">
      <c r="A30529" s="3" t="s">
        <v>563</v>
      </c>
      <c r="C30529" s="16" t="n">
        <f aca="false">SUMPRODUCT(($C$30511:$C$30520&lt;C30518)*$C$30500:$C$30509)</f>
        <v>0</v>
      </c>
    </row>
    <row r="30530" customFormat="false" ht="15" hidden="false" customHeight="false" outlineLevel="0" collapsed="false">
      <c r="A30530" s="3" t="s">
        <v>564</v>
      </c>
      <c r="C30530" s="16" t="n">
        <f aca="false">SUMPRODUCT(($C$30511:$C$30520&lt;C30519)*$C$30500:$C$30509)</f>
        <v>0</v>
      </c>
    </row>
    <row r="30531" customFormat="false" ht="15" hidden="false" customHeight="false" outlineLevel="0" collapsed="false">
      <c r="A30531" s="3" t="s">
        <v>565</v>
      </c>
      <c r="C30531" s="16" t="n">
        <f aca="false">SUMPRODUCT(($C$30511:$C$30520&lt;C30520)*$C$30500:$C$30509)</f>
        <v>2026.91689241716</v>
      </c>
    </row>
    <row r="30532" customFormat="false" ht="15" hidden="false" customHeight="false" outlineLevel="0" collapsed="false">
      <c r="A30532" s="24" t="s">
        <v>573</v>
      </c>
      <c r="B30532" s="25"/>
      <c r="C30532" s="25"/>
      <c r="D30532" s="25"/>
      <c r="E30532" s="25"/>
      <c r="F30532" s="25"/>
      <c r="G30532" s="25"/>
      <c r="H30532" s="25"/>
      <c r="I30532" s="25"/>
      <c r="J30532" s="25"/>
      <c r="K30532" s="25"/>
    </row>
    <row r="30533" customFormat="false" ht="15" hidden="false" customHeight="false" outlineLevel="0" collapsed="false">
      <c r="A30533" s="3" t="s">
        <v>556</v>
      </c>
      <c r="C30533" s="16" t="n">
        <f aca="false">SUMPRODUCT(($C$30511:$C$30520=C30511)*$C$30500:$C$30509)</f>
        <v>10.3312725768</v>
      </c>
    </row>
    <row r="30534" customFormat="false" ht="15" hidden="false" customHeight="false" outlineLevel="0" collapsed="false">
      <c r="A30534" s="3" t="s">
        <v>557</v>
      </c>
      <c r="C30534" s="16" t="n">
        <f aca="false">SUMPRODUCT(($C$30511:$C$30520=C30512)*$C$30500:$C$30509)</f>
        <v>10.3312725768</v>
      </c>
    </row>
    <row r="30535" customFormat="false" ht="15" hidden="false" customHeight="false" outlineLevel="0" collapsed="false">
      <c r="A30535" s="3" t="s">
        <v>558</v>
      </c>
      <c r="C30535" s="16" t="n">
        <f aca="false">SUMPRODUCT(($C$30511:$C$30520=C30513)*$C$30500:$C$30509)</f>
        <v>10.3312725768</v>
      </c>
    </row>
    <row r="30536" customFormat="false" ht="15" hidden="false" customHeight="false" outlineLevel="0" collapsed="false">
      <c r="A30536" s="3" t="s">
        <v>559</v>
      </c>
      <c r="C30536" s="16" t="n">
        <f aca="false">SUMPRODUCT(($C$30511:$C$30520=C30514)*$C$30500:$C$30509)</f>
        <v>2026.91689241716</v>
      </c>
    </row>
    <row r="30537" customFormat="false" ht="15" hidden="false" customHeight="false" outlineLevel="0" collapsed="false">
      <c r="A30537" s="3" t="s">
        <v>560</v>
      </c>
      <c r="C30537" s="16" t="n">
        <f aca="false">SUMPRODUCT(($C$30511:$C$30520=C30515)*$C$30500:$C$30509)</f>
        <v>2026.91689241716</v>
      </c>
    </row>
    <row r="30538" customFormat="false" ht="15" hidden="false" customHeight="false" outlineLevel="0" collapsed="false">
      <c r="A30538" s="3" t="s">
        <v>561</v>
      </c>
      <c r="C30538" s="16" t="n">
        <f aca="false">SUMPRODUCT(($C$30511:$C$30520=C30516)*$C$30500:$C$30509)</f>
        <v>2026.91689241716</v>
      </c>
    </row>
    <row r="30539" customFormat="false" ht="15" hidden="false" customHeight="false" outlineLevel="0" collapsed="false">
      <c r="A30539" s="3" t="s">
        <v>562</v>
      </c>
      <c r="C30539" s="16" t="n">
        <f aca="false">SUMPRODUCT(($C$30511:$C$30520=C30517)*$C$30500:$C$30509)</f>
        <v>2026.91689241716</v>
      </c>
    </row>
    <row r="30540" customFormat="false" ht="15" hidden="false" customHeight="false" outlineLevel="0" collapsed="false">
      <c r="A30540" s="3" t="s">
        <v>563</v>
      </c>
      <c r="C30540" s="16" t="n">
        <f aca="false">SUMPRODUCT(($C$30511:$C$30520=C30518)*$C$30500:$C$30509)</f>
        <v>2026.91689241716</v>
      </c>
    </row>
    <row r="30541" customFormat="false" ht="15" hidden="false" customHeight="false" outlineLevel="0" collapsed="false">
      <c r="A30541" s="3" t="s">
        <v>564</v>
      </c>
      <c r="C30541" s="16" t="n">
        <f aca="false">SUMPRODUCT(($C$30511:$C$30520=C30519)*$C$30500:$C$30509)</f>
        <v>2026.91689241716</v>
      </c>
    </row>
    <row r="30542" customFormat="false" ht="15" hidden="false" customHeight="false" outlineLevel="0" collapsed="false">
      <c r="A30542" s="3" t="s">
        <v>565</v>
      </c>
      <c r="C30542" s="16" t="n">
        <f aca="false">SUMPRODUCT(($C$30511:$C$30520=C30520)*$C$30500:$C$30509)</f>
        <v>80.4298215</v>
      </c>
    </row>
    <row r="30543" customFormat="false" ht="15" hidden="false" customHeight="false" outlineLevel="0" collapsed="false">
      <c r="A30543" s="24" t="s">
        <v>574</v>
      </c>
      <c r="B30543" s="25"/>
      <c r="C30543" s="25"/>
      <c r="D30543" s="25"/>
      <c r="E30543" s="25"/>
      <c r="F30543" s="25"/>
      <c r="G30543" s="25"/>
      <c r="H30543" s="25"/>
      <c r="I30543" s="25"/>
      <c r="J30543" s="25"/>
      <c r="K30543" s="25"/>
    </row>
    <row r="30544" customFormat="false" ht="15" hidden="false" customHeight="false" outlineLevel="0" collapsed="false">
      <c r="A30544" s="3" t="s">
        <v>556</v>
      </c>
      <c r="C30544" s="16" t="n">
        <f aca="false">IF(C30533=0,0,C30500/C30533*MAX(0,MIN(C30533,$C$30443-SUM($C$30478:$C$30487)-C30522)))</f>
        <v>0</v>
      </c>
    </row>
    <row r="30545" customFormat="false" ht="15" hidden="false" customHeight="false" outlineLevel="0" collapsed="false">
      <c r="A30545" s="3" t="s">
        <v>557</v>
      </c>
      <c r="C30545" s="16" t="n">
        <f aca="false">IF(C30534=0,0,C30501/C30534*MAX(0,MIN(C30534,$C$30443-SUM($C$30478:$C$30487)-C30523)))</f>
        <v>0</v>
      </c>
    </row>
    <row r="30546" customFormat="false" ht="15" hidden="false" customHeight="false" outlineLevel="0" collapsed="false">
      <c r="A30546" s="3" t="s">
        <v>558</v>
      </c>
      <c r="C30546" s="16" t="n">
        <f aca="false">IF(C30535=0,0,C30502/C30535*MAX(0,MIN(C30535,$C$30443-SUM($C$30478:$C$30487)-C30524)))</f>
        <v>0</v>
      </c>
    </row>
    <row r="30547" customFormat="false" ht="15" hidden="false" customHeight="false" outlineLevel="0" collapsed="false">
      <c r="A30547" s="3" t="s">
        <v>559</v>
      </c>
      <c r="C30547" s="16" t="n">
        <f aca="false">IF(C30536=0,0,C30503/C30536*MAX(0,MIN(C30536,$C$30443-SUM($C$30478:$C$30487)-C30525)))</f>
        <v>0</v>
      </c>
    </row>
    <row r="30548" customFormat="false" ht="15" hidden="false" customHeight="false" outlineLevel="0" collapsed="false">
      <c r="A30548" s="3" t="s">
        <v>560</v>
      </c>
      <c r="C30548" s="16" t="n">
        <f aca="false">IF(C30537=0,0,C30504/C30537*MAX(0,MIN(C30537,$C$30443-SUM($C$30478:$C$30487)-C30526)))</f>
        <v>448.876267417163</v>
      </c>
    </row>
    <row r="30549" customFormat="false" ht="15" hidden="false" customHeight="false" outlineLevel="0" collapsed="false">
      <c r="A30549" s="3" t="s">
        <v>561</v>
      </c>
      <c r="C30549" s="16" t="n">
        <f aca="false">IF(C30538=0,0,C30505/C30538*MAX(0,MIN(C30538,$C$30443-SUM($C$30478:$C$30487)-C30527)))</f>
        <v>357.2625</v>
      </c>
    </row>
    <row r="30550" customFormat="false" ht="15" hidden="false" customHeight="false" outlineLevel="0" collapsed="false">
      <c r="A30550" s="3" t="s">
        <v>562</v>
      </c>
      <c r="C30550" s="16" t="n">
        <f aca="false">IF(C30539=0,0,C30506/C30539*MAX(0,MIN(C30539,$C$30443-SUM($C$30478:$C$30487)-C30528)))</f>
        <v>562.203125</v>
      </c>
    </row>
    <row r="30551" customFormat="false" ht="15" hidden="false" customHeight="false" outlineLevel="0" collapsed="false">
      <c r="A30551" s="3" t="s">
        <v>563</v>
      </c>
      <c r="C30551" s="16" t="n">
        <f aca="false">IF(C30540=0,0,C30507/C30540*MAX(0,MIN(C30540,$C$30443-SUM($C$30478:$C$30487)-C30529)))</f>
        <v>353.98125</v>
      </c>
    </row>
    <row r="30552" customFormat="false" ht="15" hidden="false" customHeight="false" outlineLevel="0" collapsed="false">
      <c r="A30552" s="3" t="s">
        <v>564</v>
      </c>
      <c r="C30552" s="16" t="n">
        <f aca="false">IF(C30541=0,0,C30508/C30541*MAX(0,MIN(C30541,$C$30443-SUM($C$30478:$C$30487)-C30530)))</f>
        <v>304.59375</v>
      </c>
    </row>
    <row r="30553" customFormat="false" ht="15" hidden="false" customHeight="false" outlineLevel="0" collapsed="false">
      <c r="A30553" s="3" t="s">
        <v>565</v>
      </c>
      <c r="C30553" s="16" t="n">
        <f aca="false">IF(C30542=0,0,C30509/C30542*MAX(0,MIN(C30542,$C$30443-SUM($C$30478:$C$30487)-C30531)))</f>
        <v>9.50615485963726</v>
      </c>
    </row>
    <row r="30554" customFormat="false" ht="15" hidden="false" customHeight="false" outlineLevel="0" collapsed="false">
      <c r="A30554" s="24" t="s">
        <v>575</v>
      </c>
      <c r="B30554" s="25"/>
      <c r="C30554" s="25"/>
      <c r="D30554" s="25"/>
      <c r="E30554" s="25"/>
      <c r="F30554" s="25"/>
      <c r="G30554" s="25"/>
      <c r="H30554" s="25"/>
      <c r="I30554" s="25"/>
      <c r="J30554" s="25"/>
      <c r="K30554" s="25"/>
    </row>
    <row r="30555" customFormat="false" ht="15" hidden="false" customHeight="false" outlineLevel="0" collapsed="false">
      <c r="A30555" s="2" t="s">
        <v>556</v>
      </c>
      <c r="C30555" s="17" t="n">
        <f aca="false">C30478+C30544</f>
        <v>404.74</v>
      </c>
    </row>
    <row r="30556" customFormat="false" ht="15" hidden="false" customHeight="false" outlineLevel="0" collapsed="false">
      <c r="A30556" s="2" t="s">
        <v>557</v>
      </c>
      <c r="C30556" s="17" t="n">
        <f aca="false">C30479+C30545</f>
        <v>85.1568504864</v>
      </c>
    </row>
    <row r="30557" customFormat="false" ht="15" hidden="false" customHeight="false" outlineLevel="0" collapsed="false">
      <c r="A30557" s="2" t="s">
        <v>558</v>
      </c>
      <c r="C30557" s="17" t="n">
        <f aca="false">C30480+C30546</f>
        <v>54.1907230368</v>
      </c>
    </row>
    <row r="30558" customFormat="false" ht="15" hidden="false" customHeight="false" outlineLevel="0" collapsed="false">
      <c r="A30558" s="2" t="s">
        <v>559</v>
      </c>
      <c r="C30558" s="17" t="n">
        <f aca="false">C30481+C30547</f>
        <v>0</v>
      </c>
    </row>
    <row r="30559" customFormat="false" ht="15" hidden="false" customHeight="false" outlineLevel="0" collapsed="false">
      <c r="A30559" s="2" t="s">
        <v>560</v>
      </c>
      <c r="C30559" s="17" t="n">
        <f aca="false">C30482+C30548</f>
        <v>448.876267417163</v>
      </c>
    </row>
    <row r="30560" customFormat="false" ht="15" hidden="false" customHeight="false" outlineLevel="0" collapsed="false">
      <c r="A30560" s="2" t="s">
        <v>561</v>
      </c>
      <c r="C30560" s="17" t="n">
        <f aca="false">C30483+C30549</f>
        <v>357.2625</v>
      </c>
    </row>
    <row r="30561" customFormat="false" ht="15" hidden="false" customHeight="false" outlineLevel="0" collapsed="false">
      <c r="A30561" s="2" t="s">
        <v>562</v>
      </c>
      <c r="C30561" s="17" t="n">
        <f aca="false">C30484+C30550</f>
        <v>562.203125</v>
      </c>
    </row>
    <row r="30562" customFormat="false" ht="15" hidden="false" customHeight="false" outlineLevel="0" collapsed="false">
      <c r="A30562" s="2" t="s">
        <v>563</v>
      </c>
      <c r="C30562" s="17" t="n">
        <f aca="false">C30485+C30551</f>
        <v>353.98125</v>
      </c>
    </row>
    <row r="30563" customFormat="false" ht="15" hidden="false" customHeight="false" outlineLevel="0" collapsed="false">
      <c r="A30563" s="2" t="s">
        <v>564</v>
      </c>
      <c r="C30563" s="17" t="n">
        <f aca="false">C30486+C30552</f>
        <v>304.59375</v>
      </c>
    </row>
    <row r="30564" customFormat="false" ht="15" hidden="false" customHeight="false" outlineLevel="0" collapsed="false">
      <c r="A30564" s="2" t="s">
        <v>565</v>
      </c>
      <c r="C30564" s="17" t="n">
        <f aca="false">C30487+C30553</f>
        <v>9.50615485963726</v>
      </c>
    </row>
    <row r="30565" customFormat="false" ht="15" hidden="false" customHeight="false" outlineLevel="0" collapsed="false">
      <c r="A30565" s="24" t="s">
        <v>576</v>
      </c>
      <c r="B30565" s="25"/>
      <c r="C30565" s="25"/>
      <c r="D30565" s="25"/>
      <c r="E30565" s="25"/>
      <c r="F30565" s="25"/>
      <c r="G30565" s="25"/>
      <c r="H30565" s="25"/>
      <c r="I30565" s="25"/>
      <c r="J30565" s="25"/>
      <c r="K30565" s="25"/>
    </row>
    <row r="30566" customFormat="false" ht="15" hidden="false" customHeight="false" outlineLevel="0" collapsed="false">
      <c r="A30566" s="3" t="s">
        <v>556</v>
      </c>
      <c r="C30566" s="22" t="n">
        <f aca="false">IF(C30445=0,1,C30555/C30445)</f>
        <v>1</v>
      </c>
    </row>
    <row r="30567" customFormat="false" ht="15" hidden="false" customHeight="false" outlineLevel="0" collapsed="false">
      <c r="A30567" s="3" t="s">
        <v>557</v>
      </c>
      <c r="C30567" s="22" t="n">
        <f aca="false">IF(C30446=0,1,C30556/C30446)</f>
        <v>0.932640622583639</v>
      </c>
    </row>
    <row r="30568" customFormat="false" ht="15" hidden="false" customHeight="false" outlineLevel="0" collapsed="false">
      <c r="A30568" s="3" t="s">
        <v>558</v>
      </c>
      <c r="C30568" s="22" t="n">
        <f aca="false">IF(C30447=0,1,C30557/C30447)</f>
        <v>0.928374871640695</v>
      </c>
    </row>
    <row r="30569" customFormat="false" ht="15" hidden="false" customHeight="false" outlineLevel="0" collapsed="false">
      <c r="A30569" s="3" t="s">
        <v>559</v>
      </c>
      <c r="C30569" s="22" t="n">
        <f aca="false">IF(C30448=0,1,C30558/C30448)</f>
        <v>1</v>
      </c>
    </row>
    <row r="30570" customFormat="false" ht="15" hidden="false" customHeight="false" outlineLevel="0" collapsed="false">
      <c r="A30570" s="3" t="s">
        <v>560</v>
      </c>
      <c r="C30570" s="22" t="n">
        <f aca="false">IF(C30449=0,1,C30559/C30449)</f>
        <v>1</v>
      </c>
    </row>
    <row r="30571" customFormat="false" ht="15" hidden="false" customHeight="false" outlineLevel="0" collapsed="false">
      <c r="A30571" s="3" t="s">
        <v>561</v>
      </c>
      <c r="C30571" s="22" t="n">
        <f aca="false">IF(C30450=0,1,C30560/C30450)</f>
        <v>1</v>
      </c>
    </row>
    <row r="30572" customFormat="false" ht="15" hidden="false" customHeight="false" outlineLevel="0" collapsed="false">
      <c r="A30572" s="3" t="s">
        <v>562</v>
      </c>
      <c r="C30572" s="22" t="n">
        <f aca="false">IF(C30451=0,1,C30561/C30451)</f>
        <v>1</v>
      </c>
    </row>
    <row r="30573" customFormat="false" ht="15" hidden="false" customHeight="false" outlineLevel="0" collapsed="false">
      <c r="A30573" s="3" t="s">
        <v>563</v>
      </c>
      <c r="C30573" s="22" t="n">
        <f aca="false">IF(C30452=0,1,C30562/C30452)</f>
        <v>1</v>
      </c>
    </row>
    <row r="30574" customFormat="false" ht="15" hidden="false" customHeight="false" outlineLevel="0" collapsed="false">
      <c r="A30574" s="3" t="s">
        <v>564</v>
      </c>
      <c r="C30574" s="22" t="n">
        <f aca="false">IF(C30453=0,1,C30563/C30453)</f>
        <v>1</v>
      </c>
    </row>
    <row r="30575" customFormat="false" ht="15" hidden="false" customHeight="false" outlineLevel="0" collapsed="false">
      <c r="A30575" s="3" t="s">
        <v>565</v>
      </c>
      <c r="C30575" s="22" t="n">
        <f aca="false">IF(C30454=0,1,C30564/C30454)</f>
        <v>0.118191917902457</v>
      </c>
    </row>
    <row r="30576" customFormat="false" ht="15" hidden="false" customHeight="false" outlineLevel="0" collapsed="false">
      <c r="A30576" s="24" t="s">
        <v>577</v>
      </c>
      <c r="B30576" s="25"/>
      <c r="C30576" s="25"/>
      <c r="D30576" s="25"/>
      <c r="E30576" s="25"/>
      <c r="F30576" s="25"/>
      <c r="G30576" s="25"/>
      <c r="H30576" s="25"/>
      <c r="I30576" s="25"/>
      <c r="J30576" s="25"/>
      <c r="K30576" s="25"/>
    </row>
    <row r="30577" customFormat="false" ht="15" hidden="false" customHeight="false" outlineLevel="0" collapsed="false">
      <c r="A30577" s="3" t="s">
        <v>556</v>
      </c>
      <c r="C30577" s="16" t="n">
        <f aca="false">C30445-C30555</f>
        <v>0</v>
      </c>
    </row>
    <row r="30578" customFormat="false" ht="15" hidden="false" customHeight="false" outlineLevel="0" collapsed="false">
      <c r="A30578" s="3" t="s">
        <v>557</v>
      </c>
      <c r="C30578" s="16" t="n">
        <f aca="false">C30446-C30556</f>
        <v>6.15039951360001</v>
      </c>
    </row>
    <row r="30579" customFormat="false" ht="15" hidden="false" customHeight="false" outlineLevel="0" collapsed="false">
      <c r="A30579" s="3" t="s">
        <v>558</v>
      </c>
      <c r="C30579" s="16" t="n">
        <f aca="false">C30447-C30557</f>
        <v>4.1808730632</v>
      </c>
    </row>
    <row r="30580" customFormat="false" ht="15" hidden="false" customHeight="false" outlineLevel="0" collapsed="false">
      <c r="A30580" s="3" t="s">
        <v>559</v>
      </c>
      <c r="C30580" s="16" t="n">
        <f aca="false">C30448-C30558</f>
        <v>0</v>
      </c>
    </row>
    <row r="30581" customFormat="false" ht="15" hidden="false" customHeight="false" outlineLevel="0" collapsed="false">
      <c r="A30581" s="3" t="s">
        <v>560</v>
      </c>
      <c r="C30581" s="16" t="n">
        <f aca="false">C30449-C30559</f>
        <v>0</v>
      </c>
    </row>
    <row r="30582" customFormat="false" ht="15" hidden="false" customHeight="false" outlineLevel="0" collapsed="false">
      <c r="A30582" s="3" t="s">
        <v>561</v>
      </c>
      <c r="C30582" s="16" t="n">
        <f aca="false">C30450-C30560</f>
        <v>0</v>
      </c>
    </row>
    <row r="30583" customFormat="false" ht="15" hidden="false" customHeight="false" outlineLevel="0" collapsed="false">
      <c r="A30583" s="3" t="s">
        <v>562</v>
      </c>
      <c r="C30583" s="16" t="n">
        <f aca="false">C30451-C30561</f>
        <v>0</v>
      </c>
    </row>
    <row r="30584" customFormat="false" ht="15" hidden="false" customHeight="false" outlineLevel="0" collapsed="false">
      <c r="A30584" s="3" t="s">
        <v>563</v>
      </c>
      <c r="C30584" s="16" t="n">
        <f aca="false">C30452-C30562</f>
        <v>0</v>
      </c>
    </row>
    <row r="30585" customFormat="false" ht="15" hidden="false" customHeight="false" outlineLevel="0" collapsed="false">
      <c r="A30585" s="3" t="s">
        <v>564</v>
      </c>
      <c r="C30585" s="16" t="n">
        <f aca="false">C30453-C30563</f>
        <v>0</v>
      </c>
    </row>
    <row r="30586" customFormat="false" ht="15" hidden="false" customHeight="false" outlineLevel="0" collapsed="false">
      <c r="A30586" s="3" t="s">
        <v>565</v>
      </c>
      <c r="C30586" s="16" t="n">
        <f aca="false">C30454-C30564</f>
        <v>70.9236666403627</v>
      </c>
    </row>
    <row r="30587" customFormat="false" ht="15" hidden="false" customHeight="false" outlineLevel="0" collapsed="false">
      <c r="A30587" s="24" t="s">
        <v>578</v>
      </c>
      <c r="B30587" s="25"/>
      <c r="C30587" s="25"/>
      <c r="D30587" s="25"/>
      <c r="E30587" s="25"/>
      <c r="F30587" s="25"/>
      <c r="G30587" s="25"/>
      <c r="H30587" s="25"/>
      <c r="I30587" s="25"/>
      <c r="J30587" s="25"/>
      <c r="K30587" s="25"/>
    </row>
    <row r="30588" customFormat="false" ht="15" hidden="false" customHeight="false" outlineLevel="0" collapsed="false">
      <c r="A30588" s="3" t="s">
        <v>556</v>
      </c>
      <c r="C30588" s="22" t="n">
        <f aca="false">IF(C30445=0,0,C30577/C30445)</f>
        <v>0</v>
      </c>
    </row>
    <row r="30589" customFormat="false" ht="15" hidden="false" customHeight="false" outlineLevel="0" collapsed="false">
      <c r="A30589" s="3" t="s">
        <v>557</v>
      </c>
      <c r="C30589" s="22" t="n">
        <f aca="false">IF(C30446=0,0,C30578/C30446)</f>
        <v>0.0673593774163608</v>
      </c>
    </row>
    <row r="30590" customFormat="false" ht="15" hidden="false" customHeight="false" outlineLevel="0" collapsed="false">
      <c r="A30590" s="3" t="s">
        <v>558</v>
      </c>
      <c r="C30590" s="22" t="n">
        <f aca="false">IF(C30447=0,0,C30579/C30447)</f>
        <v>0.0716251283593048</v>
      </c>
    </row>
    <row r="30591" customFormat="false" ht="15" hidden="false" customHeight="false" outlineLevel="0" collapsed="false">
      <c r="A30591" s="3" t="s">
        <v>559</v>
      </c>
      <c r="C30591" s="22" t="n">
        <f aca="false">IF(C30448=0,0,C30580/C30448)</f>
        <v>0</v>
      </c>
    </row>
    <row r="30592" customFormat="false" ht="15" hidden="false" customHeight="false" outlineLevel="0" collapsed="false">
      <c r="A30592" s="3" t="s">
        <v>560</v>
      </c>
      <c r="C30592" s="22" t="n">
        <f aca="false">IF(C30449=0,0,C30581/C30449)</f>
        <v>0</v>
      </c>
    </row>
    <row r="30593" customFormat="false" ht="15" hidden="false" customHeight="false" outlineLevel="0" collapsed="false">
      <c r="A30593" s="3" t="s">
        <v>561</v>
      </c>
      <c r="C30593" s="22" t="n">
        <f aca="false">IF(C30450=0,0,C30582/C30450)</f>
        <v>0</v>
      </c>
    </row>
    <row r="30594" customFormat="false" ht="15" hidden="false" customHeight="false" outlineLevel="0" collapsed="false">
      <c r="A30594" s="3" t="s">
        <v>562</v>
      </c>
      <c r="C30594" s="22" t="n">
        <f aca="false">IF(C30451=0,0,C30583/C30451)</f>
        <v>0</v>
      </c>
    </row>
    <row r="30595" customFormat="false" ht="15" hidden="false" customHeight="false" outlineLevel="0" collapsed="false">
      <c r="A30595" s="3" t="s">
        <v>563</v>
      </c>
      <c r="C30595" s="22" t="n">
        <f aca="false">IF(C30452=0,0,C30584/C30452)</f>
        <v>0</v>
      </c>
    </row>
    <row r="30596" customFormat="false" ht="15" hidden="false" customHeight="false" outlineLevel="0" collapsed="false">
      <c r="A30596" s="3" t="s">
        <v>564</v>
      </c>
      <c r="C30596" s="22" t="n">
        <f aca="false">IF(C30453=0,0,C30585/C30453)</f>
        <v>0</v>
      </c>
    </row>
    <row r="30597" customFormat="false" ht="15" hidden="false" customHeight="false" outlineLevel="0" collapsed="false">
      <c r="A30597" s="3" t="s">
        <v>565</v>
      </c>
      <c r="C30597" s="22" t="n">
        <f aca="false">IF(C30454=0,0,C30586/C30454)</f>
        <v>0.881808082097543</v>
      </c>
    </row>
    <row r="30598" customFormat="false" ht="15" hidden="false" customHeight="false" outlineLevel="0" collapsed="false">
      <c r="A30598" s="2" t="s">
        <v>579</v>
      </c>
      <c r="C30598" s="17" t="n">
        <f aca="false">MAX(0,$C$30443-SUM($C$30478:$C$30487)-SUM($C$30500:$C$30509))</f>
        <v>0</v>
      </c>
    </row>
    <row r="30599" customFormat="false" ht="15" hidden="false" customHeight="false" outlineLevel="0" collapsed="false">
      <c r="A30599" s="3" t="s">
        <v>580</v>
      </c>
      <c r="C30599" s="16" t="n">
        <f aca="false">SUM($C$30555:$C$30564)+C30598+C30442-C30441</f>
        <v>0</v>
      </c>
    </row>
    <row r="30601" customFormat="false" ht="15" hidden="false" customHeight="false" outlineLevel="0" collapsed="false">
      <c r="A30601" s="24" t="s">
        <v>583</v>
      </c>
      <c r="B30601" s="25"/>
      <c r="C30601" s="25"/>
      <c r="D30601" s="25"/>
      <c r="E30601" s="25"/>
      <c r="F30601" s="25"/>
      <c r="G30601" s="25"/>
      <c r="H30601" s="25"/>
      <c r="I30601" s="25"/>
      <c r="J30601" s="25"/>
      <c r="K30601" s="25"/>
    </row>
    <row r="30602" customFormat="false" ht="15" hidden="false" customHeight="false" outlineLevel="0" collapsed="false">
      <c r="A30602" s="3" t="s">
        <v>584</v>
      </c>
      <c r="C30602" s="27" t="n">
        <f aca="false">Assumptions!$C$34</f>
        <v>1</v>
      </c>
    </row>
    <row r="30603" customFormat="false" ht="15" hidden="false" customHeight="false" outlineLevel="0" collapsed="false">
      <c r="A30603" s="3" t="s">
        <v>585</v>
      </c>
      <c r="C30603" s="29" t="n">
        <f aca="false">Assumptions!$C$35</f>
        <v>100</v>
      </c>
    </row>
    <row r="30604" customFormat="false" ht="15" hidden="false" customHeight="false" outlineLevel="0" collapsed="false">
      <c r="A30604" s="3" t="s">
        <v>586</v>
      </c>
      <c r="C30604" s="40" t="n">
        <f aca="false">Assumptions!$C$36</f>
        <v>98</v>
      </c>
    </row>
    <row r="30605" customFormat="false" ht="15" hidden="false" customHeight="false" outlineLevel="0" collapsed="false">
      <c r="A30605" s="3" t="s">
        <v>587</v>
      </c>
      <c r="C30605" s="16" t="n">
        <f aca="false">C30603*C30604/100*(1+Assumptions!$C$37)</f>
        <v>98.49</v>
      </c>
    </row>
    <row r="30606" customFormat="false" ht="15" hidden="false" customHeight="false" outlineLevel="0" collapsed="false">
      <c r="A30606" s="3" t="s">
        <v>588</v>
      </c>
      <c r="C30606" s="27" t="n">
        <f aca="false">Assumptions!$C$38</f>
        <v>3</v>
      </c>
    </row>
    <row r="30607" customFormat="false" ht="15" hidden="false" customHeight="false" outlineLevel="0" collapsed="false">
      <c r="A30607" s="3" t="s">
        <v>589</v>
      </c>
      <c r="C30607" s="21" t="n">
        <f aca="false">IF(C30434=1,SUMPRODUCT($G$30370:$K$30370,$G$30144:$K$30144),0)</f>
        <v>2</v>
      </c>
    </row>
    <row r="30608" customFormat="false" ht="15" hidden="false" customHeight="false" outlineLevel="0" collapsed="false">
      <c r="A30608" s="3" t="s">
        <v>590</v>
      </c>
      <c r="C30608" s="22" t="n">
        <f aca="false">IFERROR(C30603/CHOOSE(C30602,SUMPRODUCT($G$30433:$K$30433,$G$30190:$K$30190),SUMPRODUCT($G$30433:$K$30433,$G$30203:$K$30203),SUMPRODUCT($G$30433:$K$30433,$G$30216:$K$30216),SUMPRODUCT($G$30433:$K$30433,$G$30229:$K$30229),SUMPRODUCT($G$30433:$K$30433,$G$30242:$K$30242),SUMPRODUCT($G$30433:$K$30433,$G$30255:$K$30255),SUMPRODUCT($G$30433:$K$30433,$G$30268:$K$30268),SUMPRODUCT($G$30433:$K$30433,$G$30281:$K$30281),SUMPRODUCT($G$30433:$K$30433,$G$30294:$K$30294),SUMPRODUCT($G$30433:$K$30433,$G$30307:$K$30307)),0)</f>
        <v>0.255102040816327</v>
      </c>
    </row>
    <row r="30609" customFormat="false" ht="15" hidden="false" customHeight="false" outlineLevel="0" collapsed="false">
      <c r="A30609" s="3" t="s">
        <v>591</v>
      </c>
      <c r="C30609" s="16" t="n">
        <f aca="false">CHOOSE(C30602,C30555,C30556,C30557,C30558,C30559,C30560,C30561,C30562,C30563,C30564)*C30608</f>
        <v>103.25</v>
      </c>
    </row>
    <row r="30610" customFormat="false" ht="15" hidden="false" customHeight="false" outlineLevel="0" collapsed="false">
      <c r="A30610" s="3" t="s">
        <v>592</v>
      </c>
      <c r="C30610" s="22" t="n">
        <f aca="false">CHOOSE(C30602,C30566,C30567,C30568,C30569,C30570,C30571,C30572,C30573,C30574,C30575)</f>
        <v>1</v>
      </c>
    </row>
    <row r="30611" customFormat="false" ht="15" hidden="false" customHeight="false" outlineLevel="0" collapsed="false">
      <c r="A30611" s="3" t="s">
        <v>593</v>
      </c>
      <c r="C30611" s="21" t="n">
        <f aca="false">IF(C30434=1,C30607,C30606)</f>
        <v>2</v>
      </c>
    </row>
    <row r="30612" customFormat="false" ht="15" hidden="false" customHeight="false" outlineLevel="0" collapsed="false">
      <c r="A30612" s="3" t="s">
        <v>594</v>
      </c>
      <c r="C30612" s="35" t="n">
        <f aca="false">CHOOSE($C$30136,Assumptions!$C$91,Assumptions!$C$110,Assumptions!$C$129)</f>
        <v>85</v>
      </c>
    </row>
    <row r="30613" customFormat="false" ht="15" hidden="false" customHeight="false" outlineLevel="0" collapsed="false">
      <c r="A30613" s="3" t="s">
        <v>595</v>
      </c>
      <c r="C30613" s="16" t="n">
        <f aca="false">INDEX($G$30153:$K$30153,C30606)*CHOOSE($C$30136,Assumptions!$C$90,Assumptions!$C$109,Assumptions!$C$128)+MAX(0,INDEX($G$30367:$K$30367,C30606))</f>
        <v>1633.40082545963</v>
      </c>
    </row>
    <row r="30614" customFormat="false" ht="15" hidden="false" customHeight="false" outlineLevel="0" collapsed="false">
      <c r="A30614" s="24" t="s">
        <v>596</v>
      </c>
      <c r="B30614" s="25"/>
      <c r="C30614" s="25"/>
      <c r="D30614" s="25"/>
      <c r="E30614" s="25"/>
      <c r="F30614" s="25"/>
      <c r="G30614" s="25"/>
      <c r="H30614" s="25"/>
      <c r="I30614" s="25"/>
      <c r="J30614" s="25"/>
      <c r="K30614" s="25"/>
    </row>
    <row r="30615" customFormat="false" ht="15" hidden="false" customHeight="false" outlineLevel="0" collapsed="false">
      <c r="A30615" s="3" t="s">
        <v>556</v>
      </c>
      <c r="C30615" s="16" t="n">
        <f aca="false">INDEX($G$30190:$K$30190,C30606)</f>
        <v>388</v>
      </c>
    </row>
    <row r="30616" customFormat="false" ht="15" hidden="false" customHeight="false" outlineLevel="0" collapsed="false">
      <c r="A30616" s="3" t="s">
        <v>557</v>
      </c>
      <c r="C30616" s="16" t="n">
        <f aca="false">INDEX($G$30203:$K$30203,C30606)</f>
        <v>90</v>
      </c>
    </row>
    <row r="30617" customFormat="false" ht="15" hidden="false" customHeight="false" outlineLevel="0" collapsed="false">
      <c r="A30617" s="3" t="s">
        <v>558</v>
      </c>
      <c r="C30617" s="16" t="n">
        <f aca="false">INDEX($G$30216:$K$30216,C30606)</f>
        <v>57.324</v>
      </c>
    </row>
    <row r="30618" customFormat="false" ht="15" hidden="false" customHeight="false" outlineLevel="0" collapsed="false">
      <c r="A30618" s="3" t="s">
        <v>559</v>
      </c>
      <c r="C30618" s="16" t="n">
        <f aca="false">INDEX($G$30229:$K$30229,C30606)</f>
        <v>0</v>
      </c>
    </row>
    <row r="30619" customFormat="false" ht="15" hidden="false" customHeight="false" outlineLevel="0" collapsed="false">
      <c r="A30619" s="3" t="s">
        <v>560</v>
      </c>
      <c r="C30619" s="16" t="n">
        <f aca="false">INDEX($G$30242:$K$30242,C30606)</f>
        <v>444.4869587</v>
      </c>
    </row>
    <row r="30620" customFormat="false" ht="15" hidden="false" customHeight="false" outlineLevel="0" collapsed="false">
      <c r="A30620" s="3" t="s">
        <v>561</v>
      </c>
      <c r="C30620" s="16" t="n">
        <f aca="false">INDEX($G$30255:$K$30255,C30606)</f>
        <v>350</v>
      </c>
    </row>
    <row r="30621" customFormat="false" ht="15" hidden="false" customHeight="false" outlineLevel="0" collapsed="false">
      <c r="A30621" s="3" t="s">
        <v>562</v>
      </c>
      <c r="C30621" s="16" t="n">
        <f aca="false">INDEX($G$30268:$K$30268,C30606)</f>
        <v>550</v>
      </c>
    </row>
    <row r="30622" customFormat="false" ht="15" hidden="false" customHeight="false" outlineLevel="0" collapsed="false">
      <c r="A30622" s="3" t="s">
        <v>563</v>
      </c>
      <c r="C30622" s="16" t="n">
        <f aca="false">INDEX($G$30281:$K$30281,C30606)</f>
        <v>350</v>
      </c>
    </row>
    <row r="30623" customFormat="false" ht="15" hidden="false" customHeight="false" outlineLevel="0" collapsed="false">
      <c r="A30623" s="3" t="s">
        <v>564</v>
      </c>
      <c r="C30623" s="16" t="n">
        <f aca="false">INDEX($G$30294:$K$30294,C30606)</f>
        <v>300</v>
      </c>
    </row>
    <row r="30624" customFormat="false" ht="15" hidden="false" customHeight="false" outlineLevel="0" collapsed="false">
      <c r="A30624" s="3" t="s">
        <v>565</v>
      </c>
      <c r="C30624" s="16" t="n">
        <f aca="false">INDEX($G$30307:$K$30307,C30606)</f>
        <v>78.61</v>
      </c>
    </row>
    <row r="30625" customFormat="false" ht="15" hidden="false" customHeight="false" outlineLevel="0" collapsed="false">
      <c r="A30625" s="24" t="s">
        <v>566</v>
      </c>
      <c r="B30625" s="25"/>
      <c r="C30625" s="25"/>
      <c r="D30625" s="25"/>
      <c r="E30625" s="25"/>
      <c r="F30625" s="25"/>
      <c r="G30625" s="25"/>
      <c r="H30625" s="25"/>
      <c r="I30625" s="25"/>
      <c r="J30625" s="25"/>
      <c r="K30625" s="25"/>
    </row>
    <row r="30626" customFormat="false" ht="15" hidden="false" customHeight="false" outlineLevel="0" collapsed="false">
      <c r="A30626" s="3" t="s">
        <v>556</v>
      </c>
      <c r="C30626" s="27" t="n">
        <f aca="false">Assumptions!$M$57</f>
        <v>1</v>
      </c>
    </row>
    <row r="30627" customFormat="false" ht="15" hidden="false" customHeight="false" outlineLevel="0" collapsed="false">
      <c r="A30627" s="3" t="s">
        <v>557</v>
      </c>
      <c r="C30627" s="27" t="n">
        <f aca="false">Assumptions!$M$58</f>
        <v>1</v>
      </c>
    </row>
    <row r="30628" customFormat="false" ht="15" hidden="false" customHeight="false" outlineLevel="0" collapsed="false">
      <c r="A30628" s="3" t="s">
        <v>558</v>
      </c>
      <c r="C30628" s="27" t="n">
        <f aca="false">Assumptions!$M$59</f>
        <v>1</v>
      </c>
    </row>
    <row r="30629" customFormat="false" ht="15" hidden="false" customHeight="false" outlineLevel="0" collapsed="false">
      <c r="A30629" s="3" t="s">
        <v>559</v>
      </c>
      <c r="C30629" s="27" t="n">
        <f aca="false">Assumptions!$M$60</f>
        <v>2</v>
      </c>
    </row>
    <row r="30630" customFormat="false" ht="15" hidden="false" customHeight="false" outlineLevel="0" collapsed="false">
      <c r="A30630" s="3" t="s">
        <v>560</v>
      </c>
      <c r="C30630" s="27" t="n">
        <f aca="false">Assumptions!$M$61</f>
        <v>2</v>
      </c>
    </row>
    <row r="30631" customFormat="false" ht="15" hidden="false" customHeight="false" outlineLevel="0" collapsed="false">
      <c r="A30631" s="3" t="s">
        <v>561</v>
      </c>
      <c r="C30631" s="27" t="n">
        <f aca="false">Assumptions!$M$62</f>
        <v>2</v>
      </c>
    </row>
    <row r="30632" customFormat="false" ht="15" hidden="false" customHeight="false" outlineLevel="0" collapsed="false">
      <c r="A30632" s="3" t="s">
        <v>562</v>
      </c>
      <c r="C30632" s="27" t="n">
        <f aca="false">Assumptions!$M$63</f>
        <v>2</v>
      </c>
    </row>
    <row r="30633" customFormat="false" ht="15" hidden="false" customHeight="false" outlineLevel="0" collapsed="false">
      <c r="A30633" s="3" t="s">
        <v>563</v>
      </c>
      <c r="C30633" s="27" t="n">
        <f aca="false">Assumptions!$M$64</f>
        <v>2</v>
      </c>
    </row>
    <row r="30634" customFormat="false" ht="15" hidden="false" customHeight="false" outlineLevel="0" collapsed="false">
      <c r="A30634" s="3" t="s">
        <v>564</v>
      </c>
      <c r="C30634" s="27" t="n">
        <f aca="false">Assumptions!$M$65</f>
        <v>2</v>
      </c>
    </row>
    <row r="30635" customFormat="false" ht="15" hidden="false" customHeight="false" outlineLevel="0" collapsed="false">
      <c r="A30635" s="3" t="s">
        <v>565</v>
      </c>
      <c r="C30635" s="27" t="n">
        <f aca="false">Assumptions!$M$66</f>
        <v>3</v>
      </c>
    </row>
    <row r="30636" customFormat="false" ht="15" hidden="false" customHeight="false" outlineLevel="0" collapsed="false">
      <c r="A30636" s="24" t="s">
        <v>567</v>
      </c>
      <c r="B30636" s="25"/>
      <c r="C30636" s="25"/>
      <c r="D30636" s="25"/>
      <c r="E30636" s="25"/>
      <c r="F30636" s="25"/>
      <c r="G30636" s="25"/>
      <c r="H30636" s="25"/>
      <c r="I30636" s="25"/>
      <c r="J30636" s="25"/>
      <c r="K30636" s="25"/>
    </row>
    <row r="30637" customFormat="false" ht="15" hidden="false" customHeight="false" outlineLevel="0" collapsed="false">
      <c r="A30637" s="3" t="s">
        <v>556</v>
      </c>
      <c r="C30637" s="33" t="n">
        <f aca="false">Assumptions!$Q$57</f>
        <v>0.3</v>
      </c>
    </row>
    <row r="30638" customFormat="false" ht="15" hidden="false" customHeight="false" outlineLevel="0" collapsed="false">
      <c r="A30638" s="3" t="s">
        <v>557</v>
      </c>
      <c r="C30638" s="33" t="n">
        <f aca="false">Assumptions!$Q$58</f>
        <v>0.033</v>
      </c>
    </row>
    <row r="30639" customFormat="false" ht="15" hidden="false" customHeight="false" outlineLevel="0" collapsed="false">
      <c r="A30639" s="3" t="s">
        <v>558</v>
      </c>
      <c r="C30639" s="33" t="n">
        <f aca="false">Assumptions!$Q$59</f>
        <v>0.021</v>
      </c>
    </row>
    <row r="30640" customFormat="false" ht="15" hidden="false" customHeight="false" outlineLevel="0" collapsed="false">
      <c r="A30640" s="3" t="s">
        <v>559</v>
      </c>
      <c r="C30640" s="33" t="n">
        <f aca="false">Assumptions!$Q$60</f>
        <v>0</v>
      </c>
    </row>
    <row r="30641" customFormat="false" ht="15" hidden="false" customHeight="false" outlineLevel="0" collapsed="false">
      <c r="A30641" s="3" t="s">
        <v>560</v>
      </c>
      <c r="C30641" s="33" t="n">
        <f aca="false">Assumptions!$Q$61</f>
        <v>0</v>
      </c>
    </row>
    <row r="30642" customFormat="false" ht="15" hidden="false" customHeight="false" outlineLevel="0" collapsed="false">
      <c r="A30642" s="3" t="s">
        <v>561</v>
      </c>
      <c r="C30642" s="33" t="n">
        <f aca="false">Assumptions!$Q$62</f>
        <v>0</v>
      </c>
    </row>
    <row r="30643" customFormat="false" ht="15" hidden="false" customHeight="false" outlineLevel="0" collapsed="false">
      <c r="A30643" s="3" t="s">
        <v>562</v>
      </c>
      <c r="C30643" s="33" t="n">
        <f aca="false">Assumptions!$Q$63</f>
        <v>0</v>
      </c>
    </row>
    <row r="30644" customFormat="false" ht="15" hidden="false" customHeight="false" outlineLevel="0" collapsed="false">
      <c r="A30644" s="3" t="s">
        <v>563</v>
      </c>
      <c r="C30644" s="33" t="n">
        <f aca="false">Assumptions!$Q$64</f>
        <v>0</v>
      </c>
    </row>
    <row r="30645" customFormat="false" ht="15" hidden="false" customHeight="false" outlineLevel="0" collapsed="false">
      <c r="A30645" s="3" t="s">
        <v>564</v>
      </c>
      <c r="C30645" s="33" t="n">
        <f aca="false">Assumptions!$Q$65</f>
        <v>0</v>
      </c>
    </row>
    <row r="30646" customFormat="false" ht="15" hidden="false" customHeight="false" outlineLevel="0" collapsed="false">
      <c r="A30646" s="3" t="s">
        <v>565</v>
      </c>
      <c r="C30646" s="33" t="n">
        <f aca="false">Assumptions!$Q$66</f>
        <v>0</v>
      </c>
    </row>
    <row r="30647" customFormat="false" ht="15" hidden="false" customHeight="false" outlineLevel="0" collapsed="false">
      <c r="A30647" s="24" t="s">
        <v>568</v>
      </c>
      <c r="B30647" s="25"/>
      <c r="C30647" s="25"/>
      <c r="D30647" s="25"/>
      <c r="E30647" s="25"/>
      <c r="F30647" s="25"/>
      <c r="G30647" s="25"/>
      <c r="H30647" s="25"/>
      <c r="I30647" s="25"/>
      <c r="J30647" s="25"/>
      <c r="K30647" s="25"/>
    </row>
    <row r="30648" customFormat="false" ht="15" hidden="false" customHeight="false" outlineLevel="0" collapsed="false">
      <c r="A30648" s="3" t="s">
        <v>556</v>
      </c>
      <c r="C30648" s="16" t="n">
        <f aca="false">IF(C30637&gt;0,MIN(C30615,C30637*$C$30613),0)</f>
        <v>388</v>
      </c>
    </row>
    <row r="30649" customFormat="false" ht="15" hidden="false" customHeight="false" outlineLevel="0" collapsed="false">
      <c r="A30649" s="3" t="s">
        <v>557</v>
      </c>
      <c r="C30649" s="16" t="n">
        <f aca="false">IF(C30638&gt;0,MIN(C30616,C30638*$C$30613),0)</f>
        <v>53.9022272401676</v>
      </c>
    </row>
    <row r="30650" customFormat="false" ht="15" hidden="false" customHeight="false" outlineLevel="0" collapsed="false">
      <c r="A30650" s="3" t="s">
        <v>558</v>
      </c>
      <c r="C30650" s="16" t="n">
        <f aca="false">IF(C30639&gt;0,MIN(C30617,C30639*$C$30613),0)</f>
        <v>34.3014173346521</v>
      </c>
    </row>
    <row r="30651" customFormat="false" ht="15" hidden="false" customHeight="false" outlineLevel="0" collapsed="false">
      <c r="A30651" s="3" t="s">
        <v>559</v>
      </c>
      <c r="C30651" s="16" t="n">
        <f aca="false">IF(C30640&gt;0,MIN(C30618,C30640*$C$30613),0)</f>
        <v>0</v>
      </c>
    </row>
    <row r="30652" customFormat="false" ht="15" hidden="false" customHeight="false" outlineLevel="0" collapsed="false">
      <c r="A30652" s="3" t="s">
        <v>560</v>
      </c>
      <c r="C30652" s="16" t="n">
        <f aca="false">IF(C30641&gt;0,MIN(C30619,C30641*$C$30613),0)</f>
        <v>0</v>
      </c>
    </row>
    <row r="30653" customFormat="false" ht="15" hidden="false" customHeight="false" outlineLevel="0" collapsed="false">
      <c r="A30653" s="3" t="s">
        <v>561</v>
      </c>
      <c r="C30653" s="16" t="n">
        <f aca="false">IF(C30642&gt;0,MIN(C30620,C30642*$C$30613),0)</f>
        <v>0</v>
      </c>
    </row>
    <row r="30654" customFormat="false" ht="15" hidden="false" customHeight="false" outlineLevel="0" collapsed="false">
      <c r="A30654" s="3" t="s">
        <v>562</v>
      </c>
      <c r="C30654" s="16" t="n">
        <f aca="false">IF(C30643&gt;0,MIN(C30621,C30643*$C$30613),0)</f>
        <v>0</v>
      </c>
    </row>
    <row r="30655" customFormat="false" ht="15" hidden="false" customHeight="false" outlineLevel="0" collapsed="false">
      <c r="A30655" s="3" t="s">
        <v>563</v>
      </c>
      <c r="C30655" s="16" t="n">
        <f aca="false">IF(C30644&gt;0,MIN(C30622,C30644*$C$30613),0)</f>
        <v>0</v>
      </c>
    </row>
    <row r="30656" customFormat="false" ht="15" hidden="false" customHeight="false" outlineLevel="0" collapsed="false">
      <c r="A30656" s="3" t="s">
        <v>564</v>
      </c>
      <c r="C30656" s="16" t="n">
        <f aca="false">IF(C30645&gt;0,MIN(C30623,C30645*$C$30613),0)</f>
        <v>0</v>
      </c>
    </row>
    <row r="30657" customFormat="false" ht="15" hidden="false" customHeight="false" outlineLevel="0" collapsed="false">
      <c r="A30657" s="3" t="s">
        <v>565</v>
      </c>
      <c r="C30657" s="16" t="n">
        <f aca="false">IF(C30646&gt;0,MIN(C30624,C30646*$C$30613),0)</f>
        <v>0</v>
      </c>
    </row>
    <row r="30658" customFormat="false" ht="15" hidden="false" customHeight="false" outlineLevel="0" collapsed="false">
      <c r="A30658" s="24" t="s">
        <v>569</v>
      </c>
      <c r="B30658" s="25"/>
      <c r="C30658" s="25"/>
      <c r="D30658" s="25"/>
      <c r="E30658" s="25"/>
      <c r="F30658" s="25"/>
      <c r="G30658" s="25"/>
      <c r="H30658" s="25"/>
      <c r="I30658" s="25"/>
      <c r="J30658" s="25"/>
      <c r="K30658" s="25"/>
    </row>
    <row r="30659" customFormat="false" ht="15" hidden="false" customHeight="false" outlineLevel="0" collapsed="false">
      <c r="A30659" s="3" t="s">
        <v>556</v>
      </c>
      <c r="C30659" s="16" t="n">
        <f aca="false">IF(C30637&gt;0,C30615-C30648,0)</f>
        <v>0</v>
      </c>
    </row>
    <row r="30660" customFormat="false" ht="15" hidden="false" customHeight="false" outlineLevel="0" collapsed="false">
      <c r="A30660" s="3" t="s">
        <v>557</v>
      </c>
      <c r="C30660" s="16" t="n">
        <f aca="false">IF(C30638&gt;0,C30616-C30649,0)</f>
        <v>36.0977727598324</v>
      </c>
    </row>
    <row r="30661" customFormat="false" ht="15" hidden="false" customHeight="false" outlineLevel="0" collapsed="false">
      <c r="A30661" s="3" t="s">
        <v>558</v>
      </c>
      <c r="C30661" s="16" t="n">
        <f aca="false">IF(C30639&gt;0,C30617-C30650,0)</f>
        <v>23.0225826653479</v>
      </c>
    </row>
    <row r="30662" customFormat="false" ht="15" hidden="false" customHeight="false" outlineLevel="0" collapsed="false">
      <c r="A30662" s="3" t="s">
        <v>559</v>
      </c>
      <c r="C30662" s="16" t="n">
        <f aca="false">IF(C30640&gt;0,C30618-C30651,0)</f>
        <v>0</v>
      </c>
    </row>
    <row r="30663" customFormat="false" ht="15" hidden="false" customHeight="false" outlineLevel="0" collapsed="false">
      <c r="A30663" s="3" t="s">
        <v>560</v>
      </c>
      <c r="C30663" s="16" t="n">
        <f aca="false">IF(C30641&gt;0,C30619-C30652,0)</f>
        <v>0</v>
      </c>
    </row>
    <row r="30664" customFormat="false" ht="15" hidden="false" customHeight="false" outlineLevel="0" collapsed="false">
      <c r="A30664" s="3" t="s">
        <v>561</v>
      </c>
      <c r="C30664" s="16" t="n">
        <f aca="false">IF(C30642&gt;0,C30620-C30653,0)</f>
        <v>0</v>
      </c>
    </row>
    <row r="30665" customFormat="false" ht="15" hidden="false" customHeight="false" outlineLevel="0" collapsed="false">
      <c r="A30665" s="3" t="s">
        <v>562</v>
      </c>
      <c r="C30665" s="16" t="n">
        <f aca="false">IF(C30643&gt;0,C30621-C30654,0)</f>
        <v>0</v>
      </c>
    </row>
    <row r="30666" customFormat="false" ht="15" hidden="false" customHeight="false" outlineLevel="0" collapsed="false">
      <c r="A30666" s="3" t="s">
        <v>563</v>
      </c>
      <c r="C30666" s="16" t="n">
        <f aca="false">IF(C30644&gt;0,C30622-C30655,0)</f>
        <v>0</v>
      </c>
    </row>
    <row r="30667" customFormat="false" ht="15" hidden="false" customHeight="false" outlineLevel="0" collapsed="false">
      <c r="A30667" s="3" t="s">
        <v>564</v>
      </c>
      <c r="C30667" s="16" t="n">
        <f aca="false">IF(C30645&gt;0,C30623-C30656,0)</f>
        <v>0</v>
      </c>
    </row>
    <row r="30668" customFormat="false" ht="15" hidden="false" customHeight="false" outlineLevel="0" collapsed="false">
      <c r="A30668" s="3" t="s">
        <v>565</v>
      </c>
      <c r="C30668" s="16" t="n">
        <f aca="false">IF(C30646&gt;0,C30624-C30657,0)</f>
        <v>0</v>
      </c>
    </row>
    <row r="30669" customFormat="false" ht="15" hidden="false" customHeight="false" outlineLevel="0" collapsed="false">
      <c r="A30669" s="24" t="s">
        <v>570</v>
      </c>
      <c r="B30669" s="25"/>
      <c r="C30669" s="25"/>
      <c r="D30669" s="25"/>
      <c r="E30669" s="25"/>
      <c r="F30669" s="25"/>
      <c r="G30669" s="25"/>
      <c r="H30669" s="25"/>
      <c r="I30669" s="25"/>
      <c r="J30669" s="25"/>
      <c r="K30669" s="25"/>
    </row>
    <row r="30670" customFormat="false" ht="15" hidden="false" customHeight="false" outlineLevel="0" collapsed="false">
      <c r="A30670" s="3" t="s">
        <v>556</v>
      </c>
      <c r="C30670" s="16" t="n">
        <f aca="false">IF(C30637&gt;0,C30659,C30615)</f>
        <v>0</v>
      </c>
    </row>
    <row r="30671" customFormat="false" ht="15" hidden="false" customHeight="false" outlineLevel="0" collapsed="false">
      <c r="A30671" s="3" t="s">
        <v>557</v>
      </c>
      <c r="C30671" s="16" t="n">
        <f aca="false">IF(C30638&gt;0,C30660,C30616)</f>
        <v>36.0977727598324</v>
      </c>
    </row>
    <row r="30672" customFormat="false" ht="15" hidden="false" customHeight="false" outlineLevel="0" collapsed="false">
      <c r="A30672" s="3" t="s">
        <v>558</v>
      </c>
      <c r="C30672" s="16" t="n">
        <f aca="false">IF(C30639&gt;0,C30661,C30617)</f>
        <v>23.0225826653479</v>
      </c>
    </row>
    <row r="30673" customFormat="false" ht="15" hidden="false" customHeight="false" outlineLevel="0" collapsed="false">
      <c r="A30673" s="3" t="s">
        <v>559</v>
      </c>
      <c r="C30673" s="16" t="n">
        <f aca="false">IF(C30640&gt;0,C30662,C30618)</f>
        <v>0</v>
      </c>
    </row>
    <row r="30674" customFormat="false" ht="15" hidden="false" customHeight="false" outlineLevel="0" collapsed="false">
      <c r="A30674" s="3" t="s">
        <v>560</v>
      </c>
      <c r="C30674" s="16" t="n">
        <f aca="false">IF(C30641&gt;0,C30663,C30619)</f>
        <v>444.4869587</v>
      </c>
    </row>
    <row r="30675" customFormat="false" ht="15" hidden="false" customHeight="false" outlineLevel="0" collapsed="false">
      <c r="A30675" s="3" t="s">
        <v>561</v>
      </c>
      <c r="C30675" s="16" t="n">
        <f aca="false">IF(C30642&gt;0,C30664,C30620)</f>
        <v>350</v>
      </c>
    </row>
    <row r="30676" customFormat="false" ht="15" hidden="false" customHeight="false" outlineLevel="0" collapsed="false">
      <c r="A30676" s="3" t="s">
        <v>562</v>
      </c>
      <c r="C30676" s="16" t="n">
        <f aca="false">IF(C30643&gt;0,C30665,C30621)</f>
        <v>550</v>
      </c>
    </row>
    <row r="30677" customFormat="false" ht="15" hidden="false" customHeight="false" outlineLevel="0" collapsed="false">
      <c r="A30677" s="3" t="s">
        <v>563</v>
      </c>
      <c r="C30677" s="16" t="n">
        <f aca="false">IF(C30644&gt;0,C30666,C30622)</f>
        <v>350</v>
      </c>
    </row>
    <row r="30678" customFormat="false" ht="15" hidden="false" customHeight="false" outlineLevel="0" collapsed="false">
      <c r="A30678" s="3" t="s">
        <v>564</v>
      </c>
      <c r="C30678" s="16" t="n">
        <f aca="false">IF(C30645&gt;0,C30667,C30623)</f>
        <v>300</v>
      </c>
    </row>
    <row r="30679" customFormat="false" ht="15" hidden="false" customHeight="false" outlineLevel="0" collapsed="false">
      <c r="A30679" s="3" t="s">
        <v>565</v>
      </c>
      <c r="C30679" s="16" t="n">
        <f aca="false">IF(C30646&gt;0,C30668,C30624)</f>
        <v>78.61</v>
      </c>
    </row>
    <row r="30680" customFormat="false" ht="15" hidden="false" customHeight="false" outlineLevel="0" collapsed="false">
      <c r="A30680" s="24" t="s">
        <v>571</v>
      </c>
      <c r="B30680" s="25"/>
      <c r="C30680" s="25"/>
      <c r="D30680" s="25"/>
      <c r="E30680" s="25"/>
      <c r="F30680" s="25"/>
      <c r="G30680" s="25"/>
      <c r="H30680" s="25"/>
      <c r="I30680" s="25"/>
      <c r="J30680" s="25"/>
      <c r="K30680" s="25"/>
    </row>
    <row r="30681" customFormat="false" ht="15" hidden="false" customHeight="false" outlineLevel="0" collapsed="false">
      <c r="A30681" s="3" t="s">
        <v>556</v>
      </c>
      <c r="C30681" s="21" t="n">
        <f aca="false">IF(C30637&gt;0,Assumptions!$C$17,C30626)</f>
        <v>99</v>
      </c>
    </row>
    <row r="30682" customFormat="false" ht="15" hidden="false" customHeight="false" outlineLevel="0" collapsed="false">
      <c r="A30682" s="3" t="s">
        <v>557</v>
      </c>
      <c r="C30682" s="21" t="n">
        <f aca="false">IF(C30638&gt;0,Assumptions!$C$17,C30627)</f>
        <v>99</v>
      </c>
    </row>
    <row r="30683" customFormat="false" ht="15" hidden="false" customHeight="false" outlineLevel="0" collapsed="false">
      <c r="A30683" s="3" t="s">
        <v>558</v>
      </c>
      <c r="C30683" s="21" t="n">
        <f aca="false">IF(C30639&gt;0,Assumptions!$C$17,C30628)</f>
        <v>99</v>
      </c>
    </row>
    <row r="30684" customFormat="false" ht="15" hidden="false" customHeight="false" outlineLevel="0" collapsed="false">
      <c r="A30684" s="3" t="s">
        <v>559</v>
      </c>
      <c r="C30684" s="21" t="n">
        <f aca="false">IF(C30640&gt;0,Assumptions!$C$17,C30629)</f>
        <v>2</v>
      </c>
    </row>
    <row r="30685" customFormat="false" ht="15" hidden="false" customHeight="false" outlineLevel="0" collapsed="false">
      <c r="A30685" s="3" t="s">
        <v>560</v>
      </c>
      <c r="C30685" s="21" t="n">
        <f aca="false">IF(C30641&gt;0,Assumptions!$C$17,C30630)</f>
        <v>2</v>
      </c>
    </row>
    <row r="30686" customFormat="false" ht="15" hidden="false" customHeight="false" outlineLevel="0" collapsed="false">
      <c r="A30686" s="3" t="s">
        <v>561</v>
      </c>
      <c r="C30686" s="21" t="n">
        <f aca="false">IF(C30642&gt;0,Assumptions!$C$17,C30631)</f>
        <v>2</v>
      </c>
    </row>
    <row r="30687" customFormat="false" ht="15" hidden="false" customHeight="false" outlineLevel="0" collapsed="false">
      <c r="A30687" s="3" t="s">
        <v>562</v>
      </c>
      <c r="C30687" s="21" t="n">
        <f aca="false">IF(C30643&gt;0,Assumptions!$C$17,C30632)</f>
        <v>2</v>
      </c>
    </row>
    <row r="30688" customFormat="false" ht="15" hidden="false" customHeight="false" outlineLevel="0" collapsed="false">
      <c r="A30688" s="3" t="s">
        <v>563</v>
      </c>
      <c r="C30688" s="21" t="n">
        <f aca="false">IF(C30644&gt;0,Assumptions!$C$17,C30633)</f>
        <v>2</v>
      </c>
    </row>
    <row r="30689" customFormat="false" ht="15" hidden="false" customHeight="false" outlineLevel="0" collapsed="false">
      <c r="A30689" s="3" t="s">
        <v>564</v>
      </c>
      <c r="C30689" s="21" t="n">
        <f aca="false">IF(C30645&gt;0,Assumptions!$C$17,C30634)</f>
        <v>2</v>
      </c>
    </row>
    <row r="30690" customFormat="false" ht="15" hidden="false" customHeight="false" outlineLevel="0" collapsed="false">
      <c r="A30690" s="3" t="s">
        <v>565</v>
      </c>
      <c r="C30690" s="21" t="n">
        <f aca="false">IF(C30646&gt;0,Assumptions!$C$17,C30635)</f>
        <v>3</v>
      </c>
    </row>
    <row r="30691" customFormat="false" ht="15" hidden="false" customHeight="false" outlineLevel="0" collapsed="false">
      <c r="A30691" s="24" t="s">
        <v>572</v>
      </c>
      <c r="B30691" s="25"/>
      <c r="C30691" s="25"/>
      <c r="D30691" s="25"/>
      <c r="E30691" s="25"/>
      <c r="F30691" s="25"/>
      <c r="G30691" s="25"/>
      <c r="H30691" s="25"/>
      <c r="I30691" s="25"/>
      <c r="J30691" s="25"/>
      <c r="K30691" s="25"/>
    </row>
    <row r="30692" customFormat="false" ht="15" hidden="false" customHeight="false" outlineLevel="0" collapsed="false">
      <c r="A30692" s="3" t="s">
        <v>556</v>
      </c>
      <c r="C30692" s="16" t="n">
        <f aca="false">SUMPRODUCT(($C$30681:$C$30690&lt;C30681)*$C$30670:$C$30679)</f>
        <v>2073.0969587</v>
      </c>
    </row>
    <row r="30693" customFormat="false" ht="15" hidden="false" customHeight="false" outlineLevel="0" collapsed="false">
      <c r="A30693" s="3" t="s">
        <v>557</v>
      </c>
      <c r="C30693" s="16" t="n">
        <f aca="false">SUMPRODUCT(($C$30681:$C$30690&lt;C30682)*$C$30670:$C$30679)</f>
        <v>2073.0969587</v>
      </c>
    </row>
    <row r="30694" customFormat="false" ht="15" hidden="false" customHeight="false" outlineLevel="0" collapsed="false">
      <c r="A30694" s="3" t="s">
        <v>558</v>
      </c>
      <c r="C30694" s="16" t="n">
        <f aca="false">SUMPRODUCT(($C$30681:$C$30690&lt;C30683)*$C$30670:$C$30679)</f>
        <v>2073.0969587</v>
      </c>
    </row>
    <row r="30695" customFormat="false" ht="15" hidden="false" customHeight="false" outlineLevel="0" collapsed="false">
      <c r="A30695" s="3" t="s">
        <v>559</v>
      </c>
      <c r="C30695" s="16" t="n">
        <f aca="false">SUMPRODUCT(($C$30681:$C$30690&lt;C30684)*$C$30670:$C$30679)</f>
        <v>0</v>
      </c>
    </row>
    <row r="30696" customFormat="false" ht="15" hidden="false" customHeight="false" outlineLevel="0" collapsed="false">
      <c r="A30696" s="3" t="s">
        <v>560</v>
      </c>
      <c r="C30696" s="16" t="n">
        <f aca="false">SUMPRODUCT(($C$30681:$C$30690&lt;C30685)*$C$30670:$C$30679)</f>
        <v>0</v>
      </c>
    </row>
    <row r="30697" customFormat="false" ht="15" hidden="false" customHeight="false" outlineLevel="0" collapsed="false">
      <c r="A30697" s="3" t="s">
        <v>561</v>
      </c>
      <c r="C30697" s="16" t="n">
        <f aca="false">SUMPRODUCT(($C$30681:$C$30690&lt;C30686)*$C$30670:$C$30679)</f>
        <v>0</v>
      </c>
    </row>
    <row r="30698" customFormat="false" ht="15" hidden="false" customHeight="false" outlineLevel="0" collapsed="false">
      <c r="A30698" s="3" t="s">
        <v>562</v>
      </c>
      <c r="C30698" s="16" t="n">
        <f aca="false">SUMPRODUCT(($C$30681:$C$30690&lt;C30687)*$C$30670:$C$30679)</f>
        <v>0</v>
      </c>
    </row>
    <row r="30699" customFormat="false" ht="15" hidden="false" customHeight="false" outlineLevel="0" collapsed="false">
      <c r="A30699" s="3" t="s">
        <v>563</v>
      </c>
      <c r="C30699" s="16" t="n">
        <f aca="false">SUMPRODUCT(($C$30681:$C$30690&lt;C30688)*$C$30670:$C$30679)</f>
        <v>0</v>
      </c>
    </row>
    <row r="30700" customFormat="false" ht="15" hidden="false" customHeight="false" outlineLevel="0" collapsed="false">
      <c r="A30700" s="3" t="s">
        <v>564</v>
      </c>
      <c r="C30700" s="16" t="n">
        <f aca="false">SUMPRODUCT(($C$30681:$C$30690&lt;C30689)*$C$30670:$C$30679)</f>
        <v>0</v>
      </c>
    </row>
    <row r="30701" customFormat="false" ht="15" hidden="false" customHeight="false" outlineLevel="0" collapsed="false">
      <c r="A30701" s="3" t="s">
        <v>565</v>
      </c>
      <c r="C30701" s="16" t="n">
        <f aca="false">SUMPRODUCT(($C$30681:$C$30690&lt;C30690)*$C$30670:$C$30679)</f>
        <v>1994.4869587</v>
      </c>
    </row>
    <row r="30702" customFormat="false" ht="15" hidden="false" customHeight="false" outlineLevel="0" collapsed="false">
      <c r="A30702" s="24" t="s">
        <v>573</v>
      </c>
      <c r="B30702" s="25"/>
      <c r="C30702" s="25"/>
      <c r="D30702" s="25"/>
      <c r="E30702" s="25"/>
      <c r="F30702" s="25"/>
      <c r="G30702" s="25"/>
      <c r="H30702" s="25"/>
      <c r="I30702" s="25"/>
      <c r="J30702" s="25"/>
      <c r="K30702" s="25"/>
    </row>
    <row r="30703" customFormat="false" ht="15" hidden="false" customHeight="false" outlineLevel="0" collapsed="false">
      <c r="A30703" s="3" t="s">
        <v>556</v>
      </c>
      <c r="C30703" s="16" t="n">
        <f aca="false">SUMPRODUCT(($C$30681:$C$30690=C30681)*$C$30670:$C$30679)</f>
        <v>59.1203554251802</v>
      </c>
    </row>
    <row r="30704" customFormat="false" ht="15" hidden="false" customHeight="false" outlineLevel="0" collapsed="false">
      <c r="A30704" s="3" t="s">
        <v>557</v>
      </c>
      <c r="C30704" s="16" t="n">
        <f aca="false">SUMPRODUCT(($C$30681:$C$30690=C30682)*$C$30670:$C$30679)</f>
        <v>59.1203554251802</v>
      </c>
    </row>
    <row r="30705" customFormat="false" ht="15" hidden="false" customHeight="false" outlineLevel="0" collapsed="false">
      <c r="A30705" s="3" t="s">
        <v>558</v>
      </c>
      <c r="C30705" s="16" t="n">
        <f aca="false">SUMPRODUCT(($C$30681:$C$30690=C30683)*$C$30670:$C$30679)</f>
        <v>59.1203554251802</v>
      </c>
    </row>
    <row r="30706" customFormat="false" ht="15" hidden="false" customHeight="false" outlineLevel="0" collapsed="false">
      <c r="A30706" s="3" t="s">
        <v>559</v>
      </c>
      <c r="C30706" s="16" t="n">
        <f aca="false">SUMPRODUCT(($C$30681:$C$30690=C30684)*$C$30670:$C$30679)</f>
        <v>1994.4869587</v>
      </c>
    </row>
    <row r="30707" customFormat="false" ht="15" hidden="false" customHeight="false" outlineLevel="0" collapsed="false">
      <c r="A30707" s="3" t="s">
        <v>560</v>
      </c>
      <c r="C30707" s="16" t="n">
        <f aca="false">SUMPRODUCT(($C$30681:$C$30690=C30685)*$C$30670:$C$30679)</f>
        <v>1994.4869587</v>
      </c>
    </row>
    <row r="30708" customFormat="false" ht="15" hidden="false" customHeight="false" outlineLevel="0" collapsed="false">
      <c r="A30708" s="3" t="s">
        <v>561</v>
      </c>
      <c r="C30708" s="16" t="n">
        <f aca="false">SUMPRODUCT(($C$30681:$C$30690=C30686)*$C$30670:$C$30679)</f>
        <v>1994.4869587</v>
      </c>
    </row>
    <row r="30709" customFormat="false" ht="15" hidden="false" customHeight="false" outlineLevel="0" collapsed="false">
      <c r="A30709" s="3" t="s">
        <v>562</v>
      </c>
      <c r="C30709" s="16" t="n">
        <f aca="false">SUMPRODUCT(($C$30681:$C$30690=C30687)*$C$30670:$C$30679)</f>
        <v>1994.4869587</v>
      </c>
    </row>
    <row r="30710" customFormat="false" ht="15" hidden="false" customHeight="false" outlineLevel="0" collapsed="false">
      <c r="A30710" s="3" t="s">
        <v>563</v>
      </c>
      <c r="C30710" s="16" t="n">
        <f aca="false">SUMPRODUCT(($C$30681:$C$30690=C30688)*$C$30670:$C$30679)</f>
        <v>1994.4869587</v>
      </c>
    </row>
    <row r="30711" customFormat="false" ht="15" hidden="false" customHeight="false" outlineLevel="0" collapsed="false">
      <c r="A30711" s="3" t="s">
        <v>564</v>
      </c>
      <c r="C30711" s="16" t="n">
        <f aca="false">SUMPRODUCT(($C$30681:$C$30690=C30689)*$C$30670:$C$30679)</f>
        <v>1994.4869587</v>
      </c>
    </row>
    <row r="30712" customFormat="false" ht="15" hidden="false" customHeight="false" outlineLevel="0" collapsed="false">
      <c r="A30712" s="3" t="s">
        <v>565</v>
      </c>
      <c r="C30712" s="16" t="n">
        <f aca="false">SUMPRODUCT(($C$30681:$C$30690=C30690)*$C$30670:$C$30679)</f>
        <v>78.61</v>
      </c>
    </row>
    <row r="30713" customFormat="false" ht="15" hidden="false" customHeight="false" outlineLevel="0" collapsed="false">
      <c r="A30713" s="24" t="s">
        <v>574</v>
      </c>
      <c r="B30713" s="25"/>
      <c r="C30713" s="25"/>
      <c r="D30713" s="25"/>
      <c r="E30713" s="25"/>
      <c r="F30713" s="25"/>
      <c r="G30713" s="25"/>
      <c r="H30713" s="25"/>
      <c r="I30713" s="25"/>
      <c r="J30713" s="25"/>
      <c r="K30713" s="25"/>
    </row>
    <row r="30714" customFormat="false" ht="15" hidden="false" customHeight="false" outlineLevel="0" collapsed="false">
      <c r="A30714" s="3" t="s">
        <v>556</v>
      </c>
      <c r="C30714" s="16" t="n">
        <f aca="false">IF(C30703=0,0,C30670/C30703*MAX(0,MIN(C30703,$C$30613-SUM($C$30648:$C$30657)-C30692)))</f>
        <v>0</v>
      </c>
    </row>
    <row r="30715" customFormat="false" ht="15" hidden="false" customHeight="false" outlineLevel="0" collapsed="false">
      <c r="A30715" s="3" t="s">
        <v>557</v>
      </c>
      <c r="C30715" s="16" t="n">
        <f aca="false">IF(C30704=0,0,C30671/C30704*MAX(0,MIN(C30704,$C$30613-SUM($C$30648:$C$30657)-C30693)))</f>
        <v>0</v>
      </c>
    </row>
    <row r="30716" customFormat="false" ht="15" hidden="false" customHeight="false" outlineLevel="0" collapsed="false">
      <c r="A30716" s="3" t="s">
        <v>558</v>
      </c>
      <c r="C30716" s="16" t="n">
        <f aca="false">IF(C30705=0,0,C30672/C30705*MAX(0,MIN(C30705,$C$30613-SUM($C$30648:$C$30657)-C30694)))</f>
        <v>0</v>
      </c>
    </row>
    <row r="30717" customFormat="false" ht="15" hidden="false" customHeight="false" outlineLevel="0" collapsed="false">
      <c r="A30717" s="3" t="s">
        <v>559</v>
      </c>
      <c r="C30717" s="16" t="n">
        <f aca="false">IF(C30706=0,0,C30673/C30706*MAX(0,MIN(C30706,$C$30613-SUM($C$30648:$C$30657)-C30695)))</f>
        <v>0</v>
      </c>
    </row>
    <row r="30718" customFormat="false" ht="15" hidden="false" customHeight="false" outlineLevel="0" collapsed="false">
      <c r="A30718" s="3" t="s">
        <v>560</v>
      </c>
      <c r="C30718" s="16" t="n">
        <f aca="false">IF(C30707=0,0,C30674/C30707*MAX(0,MIN(C30707,$C$30613-SUM($C$30648:$C$30657)-C30696)))</f>
        <v>257.890408008964</v>
      </c>
    </row>
    <row r="30719" customFormat="false" ht="15" hidden="false" customHeight="false" outlineLevel="0" collapsed="false">
      <c r="A30719" s="3" t="s">
        <v>561</v>
      </c>
      <c r="C30719" s="16" t="n">
        <f aca="false">IF(C30708=0,0,C30675/C30708*MAX(0,MIN(C30708,$C$30613-SUM($C$30648:$C$30657)-C30697)))</f>
        <v>203.069271294545</v>
      </c>
    </row>
    <row r="30720" customFormat="false" ht="15" hidden="false" customHeight="false" outlineLevel="0" collapsed="false">
      <c r="A30720" s="3" t="s">
        <v>562</v>
      </c>
      <c r="C30720" s="16" t="n">
        <f aca="false">IF(C30709=0,0,C30676/C30709*MAX(0,MIN(C30709,$C$30613-SUM($C$30648:$C$30657)-C30698)))</f>
        <v>319.108854891428</v>
      </c>
    </row>
    <row r="30721" customFormat="false" ht="15" hidden="false" customHeight="false" outlineLevel="0" collapsed="false">
      <c r="A30721" s="3" t="s">
        <v>563</v>
      </c>
      <c r="C30721" s="16" t="n">
        <f aca="false">IF(C30710=0,0,C30677/C30710*MAX(0,MIN(C30710,$C$30613-SUM($C$30648:$C$30657)-C30699)))</f>
        <v>203.069271294545</v>
      </c>
    </row>
    <row r="30722" customFormat="false" ht="15" hidden="false" customHeight="false" outlineLevel="0" collapsed="false">
      <c r="A30722" s="3" t="s">
        <v>564</v>
      </c>
      <c r="C30722" s="16" t="n">
        <f aca="false">IF(C30711=0,0,C30678/C30711*MAX(0,MIN(C30711,$C$30613-SUM($C$30648:$C$30657)-C30700)))</f>
        <v>174.059375395324</v>
      </c>
    </row>
    <row r="30723" customFormat="false" ht="15" hidden="false" customHeight="false" outlineLevel="0" collapsed="false">
      <c r="A30723" s="3" t="s">
        <v>565</v>
      </c>
      <c r="C30723" s="16" t="n">
        <f aca="false">IF(C30712=0,0,C30679/C30712*MAX(0,MIN(C30712,$C$30613-SUM($C$30648:$C$30657)-C30701)))</f>
        <v>0</v>
      </c>
    </row>
    <row r="30724" customFormat="false" ht="15" hidden="false" customHeight="false" outlineLevel="0" collapsed="false">
      <c r="A30724" s="24" t="s">
        <v>575</v>
      </c>
      <c r="B30724" s="25"/>
      <c r="C30724" s="25"/>
      <c r="D30724" s="25"/>
      <c r="E30724" s="25"/>
      <c r="F30724" s="25"/>
      <c r="G30724" s="25"/>
      <c r="H30724" s="25"/>
      <c r="I30724" s="25"/>
      <c r="J30724" s="25"/>
      <c r="K30724" s="25"/>
    </row>
    <row r="30725" customFormat="false" ht="15" hidden="false" customHeight="false" outlineLevel="0" collapsed="false">
      <c r="A30725" s="2" t="s">
        <v>556</v>
      </c>
      <c r="C30725" s="17" t="n">
        <f aca="false">C30648+C30714</f>
        <v>388</v>
      </c>
    </row>
    <row r="30726" customFormat="false" ht="15" hidden="false" customHeight="false" outlineLevel="0" collapsed="false">
      <c r="A30726" s="2" t="s">
        <v>557</v>
      </c>
      <c r="C30726" s="17" t="n">
        <f aca="false">C30649+C30715</f>
        <v>53.9022272401676</v>
      </c>
    </row>
    <row r="30727" customFormat="false" ht="15" hidden="false" customHeight="false" outlineLevel="0" collapsed="false">
      <c r="A30727" s="2" t="s">
        <v>558</v>
      </c>
      <c r="C30727" s="17" t="n">
        <f aca="false">C30650+C30716</f>
        <v>34.3014173346521</v>
      </c>
    </row>
    <row r="30728" customFormat="false" ht="15" hidden="false" customHeight="false" outlineLevel="0" collapsed="false">
      <c r="A30728" s="2" t="s">
        <v>559</v>
      </c>
      <c r="C30728" s="17" t="n">
        <f aca="false">C30651+C30717</f>
        <v>0</v>
      </c>
    </row>
    <row r="30729" customFormat="false" ht="15" hidden="false" customHeight="false" outlineLevel="0" collapsed="false">
      <c r="A30729" s="2" t="s">
        <v>560</v>
      </c>
      <c r="C30729" s="17" t="n">
        <f aca="false">C30652+C30718</f>
        <v>257.890408008964</v>
      </c>
    </row>
    <row r="30730" customFormat="false" ht="15" hidden="false" customHeight="false" outlineLevel="0" collapsed="false">
      <c r="A30730" s="2" t="s">
        <v>561</v>
      </c>
      <c r="C30730" s="17" t="n">
        <f aca="false">C30653+C30719</f>
        <v>203.069271294545</v>
      </c>
    </row>
    <row r="30731" customFormat="false" ht="15" hidden="false" customHeight="false" outlineLevel="0" collapsed="false">
      <c r="A30731" s="2" t="s">
        <v>562</v>
      </c>
      <c r="C30731" s="17" t="n">
        <f aca="false">C30654+C30720</f>
        <v>319.108854891428</v>
      </c>
    </row>
    <row r="30732" customFormat="false" ht="15" hidden="false" customHeight="false" outlineLevel="0" collapsed="false">
      <c r="A30732" s="2" t="s">
        <v>563</v>
      </c>
      <c r="C30732" s="17" t="n">
        <f aca="false">C30655+C30721</f>
        <v>203.069271294545</v>
      </c>
    </row>
    <row r="30733" customFormat="false" ht="15" hidden="false" customHeight="false" outlineLevel="0" collapsed="false">
      <c r="A30733" s="2" t="s">
        <v>564</v>
      </c>
      <c r="C30733" s="17" t="n">
        <f aca="false">C30656+C30722</f>
        <v>174.059375395324</v>
      </c>
    </row>
    <row r="30734" customFormat="false" ht="15" hidden="false" customHeight="false" outlineLevel="0" collapsed="false">
      <c r="A30734" s="2" t="s">
        <v>565</v>
      </c>
      <c r="C30734" s="17" t="n">
        <f aca="false">C30657+C30723</f>
        <v>0</v>
      </c>
    </row>
    <row r="30735" customFormat="false" ht="15" hidden="false" customHeight="false" outlineLevel="0" collapsed="false">
      <c r="A30735" s="24" t="s">
        <v>576</v>
      </c>
      <c r="B30735" s="25"/>
      <c r="C30735" s="25"/>
      <c r="D30735" s="25"/>
      <c r="E30735" s="25"/>
      <c r="F30735" s="25"/>
      <c r="G30735" s="25"/>
      <c r="H30735" s="25"/>
      <c r="I30735" s="25"/>
      <c r="J30735" s="25"/>
      <c r="K30735" s="25"/>
    </row>
    <row r="30736" customFormat="false" ht="15" hidden="false" customHeight="false" outlineLevel="0" collapsed="false">
      <c r="A30736" s="3" t="s">
        <v>556</v>
      </c>
      <c r="C30736" s="22" t="n">
        <f aca="false">IF(C30615=0,1,C30725/C30615)</f>
        <v>1</v>
      </c>
    </row>
    <row r="30737" customFormat="false" ht="15" hidden="false" customHeight="false" outlineLevel="0" collapsed="false">
      <c r="A30737" s="3" t="s">
        <v>557</v>
      </c>
      <c r="C30737" s="22" t="n">
        <f aca="false">IF(C30616=0,1,C30726/C30616)</f>
        <v>0.598913636001863</v>
      </c>
    </row>
    <row r="30738" customFormat="false" ht="15" hidden="false" customHeight="false" outlineLevel="0" collapsed="false">
      <c r="A30738" s="3" t="s">
        <v>558</v>
      </c>
      <c r="C30738" s="22" t="n">
        <f aca="false">IF(C30617=0,1,C30727/C30617)</f>
        <v>0.598377945269907</v>
      </c>
    </row>
    <row r="30739" customFormat="false" ht="15" hidden="false" customHeight="false" outlineLevel="0" collapsed="false">
      <c r="A30739" s="3" t="s">
        <v>559</v>
      </c>
      <c r="C30739" s="22" t="n">
        <f aca="false">IF(C30618=0,1,C30728/C30618)</f>
        <v>1</v>
      </c>
    </row>
    <row r="30740" customFormat="false" ht="15" hidden="false" customHeight="false" outlineLevel="0" collapsed="false">
      <c r="A30740" s="3" t="s">
        <v>560</v>
      </c>
      <c r="C30740" s="22" t="n">
        <f aca="false">IF(C30619=0,1,C30729/C30619)</f>
        <v>0.580197917984414</v>
      </c>
    </row>
    <row r="30741" customFormat="false" ht="15" hidden="false" customHeight="false" outlineLevel="0" collapsed="false">
      <c r="A30741" s="3" t="s">
        <v>561</v>
      </c>
      <c r="C30741" s="22" t="n">
        <f aca="false">IF(C30620=0,1,C30730/C30620)</f>
        <v>0.580197917984414</v>
      </c>
    </row>
    <row r="30742" customFormat="false" ht="15" hidden="false" customHeight="false" outlineLevel="0" collapsed="false">
      <c r="A30742" s="3" t="s">
        <v>562</v>
      </c>
      <c r="C30742" s="22" t="n">
        <f aca="false">IF(C30621=0,1,C30731/C30621)</f>
        <v>0.580197917984414</v>
      </c>
    </row>
    <row r="30743" customFormat="false" ht="15" hidden="false" customHeight="false" outlineLevel="0" collapsed="false">
      <c r="A30743" s="3" t="s">
        <v>563</v>
      </c>
      <c r="C30743" s="22" t="n">
        <f aca="false">IF(C30622=0,1,C30732/C30622)</f>
        <v>0.580197917984414</v>
      </c>
    </row>
    <row r="30744" customFormat="false" ht="15" hidden="false" customHeight="false" outlineLevel="0" collapsed="false">
      <c r="A30744" s="3" t="s">
        <v>564</v>
      </c>
      <c r="C30744" s="22" t="n">
        <f aca="false">IF(C30623=0,1,C30733/C30623)</f>
        <v>0.580197917984414</v>
      </c>
    </row>
    <row r="30745" customFormat="false" ht="15" hidden="false" customHeight="false" outlineLevel="0" collapsed="false">
      <c r="A30745" s="3" t="s">
        <v>565</v>
      </c>
      <c r="C30745" s="22" t="n">
        <f aca="false">IF(C30624=0,1,C30734/C30624)</f>
        <v>0</v>
      </c>
    </row>
    <row r="30746" customFormat="false" ht="15" hidden="false" customHeight="false" outlineLevel="0" collapsed="false">
      <c r="A30746" s="24" t="s">
        <v>577</v>
      </c>
      <c r="B30746" s="25"/>
      <c r="C30746" s="25"/>
      <c r="D30746" s="25"/>
      <c r="E30746" s="25"/>
      <c r="F30746" s="25"/>
      <c r="G30746" s="25"/>
      <c r="H30746" s="25"/>
      <c r="I30746" s="25"/>
      <c r="J30746" s="25"/>
      <c r="K30746" s="25"/>
    </row>
    <row r="30747" customFormat="false" ht="15" hidden="false" customHeight="false" outlineLevel="0" collapsed="false">
      <c r="A30747" s="3" t="s">
        <v>556</v>
      </c>
      <c r="C30747" s="16" t="n">
        <f aca="false">C30615-C30725</f>
        <v>0</v>
      </c>
    </row>
    <row r="30748" customFormat="false" ht="15" hidden="false" customHeight="false" outlineLevel="0" collapsed="false">
      <c r="A30748" s="3" t="s">
        <v>557</v>
      </c>
      <c r="C30748" s="16" t="n">
        <f aca="false">C30616-C30726</f>
        <v>36.0977727598324</v>
      </c>
    </row>
    <row r="30749" customFormat="false" ht="15" hidden="false" customHeight="false" outlineLevel="0" collapsed="false">
      <c r="A30749" s="3" t="s">
        <v>558</v>
      </c>
      <c r="C30749" s="16" t="n">
        <f aca="false">C30617-C30727</f>
        <v>23.0225826653479</v>
      </c>
    </row>
    <row r="30750" customFormat="false" ht="15" hidden="false" customHeight="false" outlineLevel="0" collapsed="false">
      <c r="A30750" s="3" t="s">
        <v>559</v>
      </c>
      <c r="C30750" s="16" t="n">
        <f aca="false">C30618-C30728</f>
        <v>0</v>
      </c>
    </row>
    <row r="30751" customFormat="false" ht="15" hidden="false" customHeight="false" outlineLevel="0" collapsed="false">
      <c r="A30751" s="3" t="s">
        <v>560</v>
      </c>
      <c r="C30751" s="16" t="n">
        <f aca="false">C30619-C30729</f>
        <v>186.596550691036</v>
      </c>
    </row>
    <row r="30752" customFormat="false" ht="15" hidden="false" customHeight="false" outlineLevel="0" collapsed="false">
      <c r="A30752" s="3" t="s">
        <v>561</v>
      </c>
      <c r="C30752" s="16" t="n">
        <f aca="false">C30620-C30730</f>
        <v>146.930728705455</v>
      </c>
    </row>
    <row r="30753" customFormat="false" ht="15" hidden="false" customHeight="false" outlineLevel="0" collapsed="false">
      <c r="A30753" s="3" t="s">
        <v>562</v>
      </c>
      <c r="C30753" s="16" t="n">
        <f aca="false">C30621-C30731</f>
        <v>230.891145108572</v>
      </c>
    </row>
    <row r="30754" customFormat="false" ht="15" hidden="false" customHeight="false" outlineLevel="0" collapsed="false">
      <c r="A30754" s="3" t="s">
        <v>563</v>
      </c>
      <c r="C30754" s="16" t="n">
        <f aca="false">C30622-C30732</f>
        <v>146.930728705455</v>
      </c>
    </row>
    <row r="30755" customFormat="false" ht="15" hidden="false" customHeight="false" outlineLevel="0" collapsed="false">
      <c r="A30755" s="3" t="s">
        <v>564</v>
      </c>
      <c r="C30755" s="16" t="n">
        <f aca="false">C30623-C30733</f>
        <v>125.940624604676</v>
      </c>
    </row>
    <row r="30756" customFormat="false" ht="15" hidden="false" customHeight="false" outlineLevel="0" collapsed="false">
      <c r="A30756" s="3" t="s">
        <v>565</v>
      </c>
      <c r="C30756" s="16" t="n">
        <f aca="false">C30624-C30734</f>
        <v>78.61</v>
      </c>
    </row>
    <row r="30757" customFormat="false" ht="15" hidden="false" customHeight="false" outlineLevel="0" collapsed="false">
      <c r="A30757" s="24" t="s">
        <v>578</v>
      </c>
      <c r="B30757" s="25"/>
      <c r="C30757" s="25"/>
      <c r="D30757" s="25"/>
      <c r="E30757" s="25"/>
      <c r="F30757" s="25"/>
      <c r="G30757" s="25"/>
      <c r="H30757" s="25"/>
      <c r="I30757" s="25"/>
      <c r="J30757" s="25"/>
      <c r="K30757" s="25"/>
    </row>
    <row r="30758" customFormat="false" ht="15" hidden="false" customHeight="false" outlineLevel="0" collapsed="false">
      <c r="A30758" s="3" t="s">
        <v>556</v>
      </c>
      <c r="C30758" s="22" t="n">
        <f aca="false">IF(C30615=0,0,C30747/C30615)</f>
        <v>0</v>
      </c>
    </row>
    <row r="30759" customFormat="false" ht="15" hidden="false" customHeight="false" outlineLevel="0" collapsed="false">
      <c r="A30759" s="3" t="s">
        <v>557</v>
      </c>
      <c r="C30759" s="22" t="n">
        <f aca="false">IF(C30616=0,0,C30748/C30616)</f>
        <v>0.401086363998137</v>
      </c>
    </row>
    <row r="30760" customFormat="false" ht="15" hidden="false" customHeight="false" outlineLevel="0" collapsed="false">
      <c r="A30760" s="3" t="s">
        <v>558</v>
      </c>
      <c r="C30760" s="22" t="n">
        <f aca="false">IF(C30617=0,0,C30749/C30617)</f>
        <v>0.401622054730093</v>
      </c>
    </row>
    <row r="30761" customFormat="false" ht="15" hidden="false" customHeight="false" outlineLevel="0" collapsed="false">
      <c r="A30761" s="3" t="s">
        <v>559</v>
      </c>
      <c r="C30761" s="22" t="n">
        <f aca="false">IF(C30618=0,0,C30750/C30618)</f>
        <v>0</v>
      </c>
    </row>
    <row r="30762" customFormat="false" ht="15" hidden="false" customHeight="false" outlineLevel="0" collapsed="false">
      <c r="A30762" s="3" t="s">
        <v>560</v>
      </c>
      <c r="C30762" s="22" t="n">
        <f aca="false">IF(C30619=0,0,C30751/C30619)</f>
        <v>0.419802082015586</v>
      </c>
    </row>
    <row r="30763" customFormat="false" ht="15" hidden="false" customHeight="false" outlineLevel="0" collapsed="false">
      <c r="A30763" s="3" t="s">
        <v>561</v>
      </c>
      <c r="C30763" s="22" t="n">
        <f aca="false">IF(C30620=0,0,C30752/C30620)</f>
        <v>0.419802082015586</v>
      </c>
    </row>
    <row r="30764" customFormat="false" ht="15" hidden="false" customHeight="false" outlineLevel="0" collapsed="false">
      <c r="A30764" s="3" t="s">
        <v>562</v>
      </c>
      <c r="C30764" s="22" t="n">
        <f aca="false">IF(C30621=0,0,C30753/C30621)</f>
        <v>0.419802082015586</v>
      </c>
    </row>
    <row r="30765" customFormat="false" ht="15" hidden="false" customHeight="false" outlineLevel="0" collapsed="false">
      <c r="A30765" s="3" t="s">
        <v>563</v>
      </c>
      <c r="C30765" s="22" t="n">
        <f aca="false">IF(C30622=0,0,C30754/C30622)</f>
        <v>0.419802082015586</v>
      </c>
    </row>
    <row r="30766" customFormat="false" ht="15" hidden="false" customHeight="false" outlineLevel="0" collapsed="false">
      <c r="A30766" s="3" t="s">
        <v>564</v>
      </c>
      <c r="C30766" s="22" t="n">
        <f aca="false">IF(C30623=0,0,C30755/C30623)</f>
        <v>0.419802082015586</v>
      </c>
    </row>
    <row r="30767" customFormat="false" ht="15" hidden="false" customHeight="false" outlineLevel="0" collapsed="false">
      <c r="A30767" s="3" t="s">
        <v>565</v>
      </c>
      <c r="C30767" s="22" t="n">
        <f aca="false">IF(C30624=0,0,C30756/C30624)</f>
        <v>1</v>
      </c>
    </row>
    <row r="30768" customFormat="false" ht="15" hidden="false" customHeight="false" outlineLevel="0" collapsed="false">
      <c r="A30768" s="2" t="s">
        <v>579</v>
      </c>
      <c r="C30768" s="17" t="n">
        <f aca="false">MAX(0,$C$30613-SUM($C$30648:$C$30657)-SUM($C$30670:$C$30679))</f>
        <v>0</v>
      </c>
    </row>
    <row r="30769" customFormat="false" ht="15" hidden="false" customHeight="false" outlineLevel="0" collapsed="false">
      <c r="A30769" s="3" t="s">
        <v>597</v>
      </c>
      <c r="C30769" s="35" t="n">
        <f aca="false">MIN(C30612,100*CHOOSE(C30602,C30736,C30737,C30738,C30739,C30740,C30741,C30742,C30743,C30744,C30745))</f>
        <v>85</v>
      </c>
    </row>
    <row r="30770" customFormat="false" ht="15" hidden="false" customHeight="false" outlineLevel="0" collapsed="false">
      <c r="A30770" s="3" t="s">
        <v>598</v>
      </c>
      <c r="C30770" s="21" t="n">
        <f aca="false">IF(C30434=1,C30607+Assumptions!$C$40,C30606)</f>
        <v>3</v>
      </c>
    </row>
    <row r="30771" customFormat="false" ht="15" hidden="false" customHeight="false" outlineLevel="0" collapsed="false">
      <c r="A30771" s="24" t="s">
        <v>599</v>
      </c>
      <c r="B30771" s="25"/>
      <c r="C30771" s="25"/>
      <c r="D30771" s="25"/>
      <c r="E30771" s="25"/>
      <c r="F30771" s="25"/>
      <c r="G30771" s="25"/>
      <c r="H30771" s="25"/>
      <c r="I30771" s="25"/>
      <c r="J30771" s="25"/>
      <c r="K30771" s="25"/>
    </row>
    <row r="30772" customFormat="false" ht="15" hidden="false" customHeight="false" outlineLevel="0" collapsed="false">
      <c r="A30772" s="3" t="s">
        <v>600</v>
      </c>
      <c r="C30772" s="21" t="n">
        <f aca="false">COLUMN()-COLUMN($C$1)</f>
        <v>0</v>
      </c>
      <c r="D30772" s="21" t="n">
        <f aca="false">COLUMN()-COLUMN($C$1)</f>
        <v>1</v>
      </c>
      <c r="E30772" s="21" t="n">
        <f aca="false">COLUMN()-COLUMN($C$1)</f>
        <v>2</v>
      </c>
      <c r="F30772" s="21" t="n">
        <f aca="false">COLUMN()-COLUMN($C$1)</f>
        <v>3</v>
      </c>
      <c r="G30772" s="21" t="n">
        <f aca="false">COLUMN()-COLUMN($C$1)</f>
        <v>4</v>
      </c>
      <c r="H30772" s="21" t="n">
        <f aca="false">COLUMN()-COLUMN($C$1)</f>
        <v>5</v>
      </c>
      <c r="I30772" s="21" t="n">
        <f aca="false">COLUMN()-COLUMN($C$1)</f>
        <v>6</v>
      </c>
    </row>
    <row r="30773" customFormat="false" ht="15" hidden="false" customHeight="false" outlineLevel="0" collapsed="false">
      <c r="A30773" s="3" t="s">
        <v>601</v>
      </c>
      <c r="D30773" s="31" t="n">
        <f aca="false">CHOOSE($C$30602,G30182,G30195,G30208,G30221,G30234,G30247,G30260,G30273,G30286,G30299)</f>
        <v>0.1315</v>
      </c>
      <c r="E30773" s="31" t="n">
        <f aca="false">CHOOSE($C$30602,H30182,H30195,H30208,H30221,H30234,H30247,H30260,H30273,H30286,H30299)</f>
        <v>0.13</v>
      </c>
      <c r="F30773" s="31" t="n">
        <f aca="false">CHOOSE($C$30602,I30182,I30195,I30208,I30221,I30234,I30247,I30260,I30273,I30286,I30299)</f>
        <v>0.1275</v>
      </c>
      <c r="G30773" s="31" t="n">
        <f aca="false">CHOOSE($C$30602,J30182,J30195,J30208,J30221,J30234,J30247,J30260,J30273,J30286,J30299)</f>
        <v>0.1275</v>
      </c>
      <c r="H30773" s="31" t="n">
        <f aca="false">CHOOSE($C$30602,K30182,K30195,K30208,K30221,K30234,K30247,K30260,K30273,K30286,K30299)</f>
        <v>0.1275</v>
      </c>
    </row>
    <row r="30774" customFormat="false" ht="15" hidden="false" customHeight="false" outlineLevel="0" collapsed="false">
      <c r="A30774" s="3" t="s">
        <v>602</v>
      </c>
      <c r="D30774" s="16" t="n">
        <f aca="false">IF(D30772&lt;=$C$30611,$C$30603*D30773,0)</f>
        <v>13.15</v>
      </c>
      <c r="E30774" s="16" t="n">
        <f aca="false">IF(E30772&lt;=$C$30611,$C$30603*E30773,0)</f>
        <v>13</v>
      </c>
      <c r="F30774" s="16" t="n">
        <f aca="false">IF(F30772&lt;=$C$30611,$C$30603*F30773,0)</f>
        <v>0</v>
      </c>
      <c r="G30774" s="16" t="n">
        <f aca="false">IF(G30772&lt;=$C$30611,$C$30603*G30773,0)</f>
        <v>0</v>
      </c>
      <c r="H30774" s="16" t="n">
        <f aca="false">IF(H30772&lt;=$C$30611,$C$30603*H30773,0)</f>
        <v>0</v>
      </c>
    </row>
    <row r="30775" customFormat="false" ht="15" hidden="false" customHeight="false" outlineLevel="0" collapsed="false">
      <c r="A30775" s="3" t="s">
        <v>603</v>
      </c>
      <c r="D30775" s="16" t="n">
        <f aca="false">IF(AND($C$30434=0,D30772=$C$30606),$C$30603*$C$30769/100,0)+IF(AND($C$30434=1,D30772=$C$30770),$C$30609,0)</f>
        <v>0</v>
      </c>
      <c r="E30775" s="16" t="n">
        <f aca="false">IF(AND($C$30434=0,E30772=$C$30606),$C$30603*$C$30769/100,0)+IF(AND($C$30434=1,E30772=$C$30770),$C$30609,0)</f>
        <v>0</v>
      </c>
      <c r="F30775" s="16" t="n">
        <f aca="false">IF(AND($C$30434=0,F30772=$C$30606),$C$30603*$C$30769/100,0)+IF(AND($C$30434=1,F30772=$C$30770),$C$30609,0)</f>
        <v>103.25</v>
      </c>
      <c r="G30775" s="16" t="n">
        <f aca="false">IF(AND($C$30434=0,G30772=$C$30606),$C$30603*$C$30769/100,0)+IF(AND($C$30434=1,G30772=$C$30770),$C$30609,0)</f>
        <v>0</v>
      </c>
      <c r="H30775" s="16" t="n">
        <f aca="false">IF(AND($C$30434=0,H30772=$C$30606),$C$30603*$C$30769/100,0)+IF(AND($C$30434=1,H30772=$C$30770),$C$30609,0)</f>
        <v>0</v>
      </c>
      <c r="I30775" s="16" t="n">
        <f aca="false">IF(AND($C$30434=0,I30772=$C$30606),$C$30603*$C$30769/100,0)+IF(AND($C$30434=1,I30772=$C$30770),$C$30609,0)</f>
        <v>0</v>
      </c>
    </row>
    <row r="30776" customFormat="false" ht="15" hidden="false" customHeight="false" outlineLevel="0" collapsed="false">
      <c r="A30776" s="2" t="s">
        <v>604</v>
      </c>
      <c r="C30776" s="17" t="n">
        <f aca="false">-$C$30605</f>
        <v>-98.49</v>
      </c>
      <c r="D30776" s="17" t="n">
        <f aca="false">D30774+D30775</f>
        <v>13.15</v>
      </c>
      <c r="E30776" s="17" t="n">
        <f aca="false">E30774+E30775</f>
        <v>13</v>
      </c>
      <c r="F30776" s="17" t="n">
        <f aca="false">F30774+F30775</f>
        <v>103.25</v>
      </c>
      <c r="G30776" s="17" t="n">
        <f aca="false">G30774+G30775</f>
        <v>0</v>
      </c>
      <c r="H30776" s="17" t="n">
        <f aca="false">H30774+H30775</f>
        <v>0</v>
      </c>
      <c r="I30776" s="17" t="n">
        <f aca="false">I30774+I30775</f>
        <v>0</v>
      </c>
    </row>
    <row r="30777" customFormat="false" ht="15" hidden="false" customHeight="false" outlineLevel="0" collapsed="false">
      <c r="A30777" s="3" t="s">
        <v>605</v>
      </c>
      <c r="C30777" s="16" t="n">
        <f aca="false">SUM($C$30774:$I$30774)</f>
        <v>26.15</v>
      </c>
    </row>
    <row r="30778" customFormat="false" ht="15" hidden="false" customHeight="false" outlineLevel="0" collapsed="false">
      <c r="A30778" s="3" t="s">
        <v>606</v>
      </c>
      <c r="C30778" s="16" t="n">
        <f aca="false">SUM($C$30775:$I$30775)</f>
        <v>103.25</v>
      </c>
    </row>
    <row r="30779" customFormat="false" ht="15" hidden="false" customHeight="false" outlineLevel="0" collapsed="false">
      <c r="A30779" s="3" t="s">
        <v>607</v>
      </c>
      <c r="C30779" s="16" t="n">
        <f aca="false">C30777+C30778</f>
        <v>129.4</v>
      </c>
    </row>
    <row r="30780" customFormat="false" ht="15" hidden="false" customHeight="false" outlineLevel="0" collapsed="false">
      <c r="A30780" s="3" t="s">
        <v>608</v>
      </c>
      <c r="C30780" s="16" t="n">
        <f aca="false">C30778-C30603*C30604/100</f>
        <v>5.25</v>
      </c>
    </row>
    <row r="30781" customFormat="false" ht="15" hidden="false" customHeight="false" outlineLevel="0" collapsed="false">
      <c r="A30781" s="3" t="s">
        <v>609</v>
      </c>
      <c r="C30781" s="16" t="n">
        <f aca="false">C30779-C30605</f>
        <v>30.91</v>
      </c>
    </row>
    <row r="30782" customFormat="false" ht="15" hidden="false" customHeight="false" outlineLevel="0" collapsed="false">
      <c r="A30782" s="2" t="s">
        <v>484</v>
      </c>
      <c r="C30782" s="44" t="n">
        <f aca="false">C30779/C30605</f>
        <v>1.31383896842319</v>
      </c>
    </row>
    <row r="30783" customFormat="false" ht="15" hidden="false" customHeight="false" outlineLevel="0" collapsed="false">
      <c r="A30783" s="2" t="s">
        <v>483</v>
      </c>
      <c r="C30783" s="42" t="n">
        <f aca="false">IF(C30779&lt;=0,-1,IFERROR(IRR($C$30776:$I$30776,MAX(-0.9,C30782^(1/C30770)-1)),IRR($C$30776:$I$30776,0.1)))</f>
        <v>0.107458818174905</v>
      </c>
    </row>
    <row r="30784" customFormat="false" ht="15" hidden="false" customHeight="false" outlineLevel="0" collapsed="false">
      <c r="A30784" s="3" t="s">
        <v>610</v>
      </c>
      <c r="C30784" s="32" t="n">
        <f aca="false">MAX($G$30378:$K$30378)</f>
        <v>15.8864539210732</v>
      </c>
    </row>
    <row r="30785" customFormat="false" ht="15" hidden="false" customHeight="false" outlineLevel="0" collapsed="false">
      <c r="A30785" s="3" t="s">
        <v>611</v>
      </c>
      <c r="C30785" s="32" t="n">
        <f aca="false">MIN($G$30379:$K$30379)</f>
        <v>0.876326611958687</v>
      </c>
    </row>
    <row r="30786" customFormat="false" ht="15" hidden="false" customHeight="false" outlineLevel="0" collapsed="false">
      <c r="A30786" s="3" t="s">
        <v>612</v>
      </c>
      <c r="C30786" s="16" t="n">
        <f aca="false">SUM($G$30166:$K$30166)</f>
        <v>-344.053951927031</v>
      </c>
    </row>
    <row r="30790" customFormat="false" ht="15" hidden="false" customHeight="false" outlineLevel="0" collapsed="false">
      <c r="A30790" s="9" t="s">
        <v>1177</v>
      </c>
      <c r="B30790" s="10"/>
      <c r="C30790" s="10"/>
      <c r="D30790" s="10"/>
      <c r="E30790" s="10"/>
      <c r="F30790" s="10"/>
      <c r="G30790" s="10"/>
      <c r="H30790" s="10"/>
      <c r="I30790" s="10"/>
      <c r="J30790" s="10"/>
      <c r="K30790" s="10"/>
    </row>
    <row r="30791" customFormat="false" ht="15" hidden="false" customHeight="false" outlineLevel="0" collapsed="false">
      <c r="A30791" s="3" t="s">
        <v>1126</v>
      </c>
      <c r="C30791" s="11" t="n">
        <v>3</v>
      </c>
    </row>
    <row r="30792" customFormat="false" ht="15" hidden="false" customHeight="false" outlineLevel="0" collapsed="false">
      <c r="A30792" s="3" t="s">
        <v>1127</v>
      </c>
      <c r="C30792" s="19" t="n">
        <v>0</v>
      </c>
    </row>
    <row r="30793" customFormat="false" ht="15" hidden="false" customHeight="false" outlineLevel="0" collapsed="false">
      <c r="A30793" s="3" t="s">
        <v>1128</v>
      </c>
      <c r="C30793" s="19" t="n">
        <v>0</v>
      </c>
    </row>
    <row r="30794" customFormat="false" ht="15" hidden="false" customHeight="false" outlineLevel="0" collapsed="false">
      <c r="A30794" s="3" t="s">
        <v>1129</v>
      </c>
      <c r="C30794" s="30" t="n">
        <f aca="false">Sensitivities!$A$54</f>
        <v>0.02</v>
      </c>
    </row>
    <row r="30795" customFormat="false" ht="15" hidden="false" customHeight="false" outlineLevel="0" collapsed="false">
      <c r="A30795" s="3" t="s">
        <v>1130</v>
      </c>
      <c r="C30795" s="15" t="n">
        <v>0</v>
      </c>
    </row>
    <row r="30797" customFormat="false" ht="15" hidden="false" customHeight="false" outlineLevel="0" collapsed="false">
      <c r="A30797" s="24" t="s">
        <v>301</v>
      </c>
      <c r="B30797" s="25"/>
      <c r="C30797" s="25"/>
      <c r="D30797" s="25"/>
      <c r="E30797" s="25"/>
      <c r="F30797" s="25"/>
      <c r="G30797" s="25"/>
      <c r="H30797" s="25"/>
      <c r="I30797" s="25"/>
      <c r="J30797" s="25"/>
      <c r="K30797" s="25"/>
    </row>
    <row r="30798" customFormat="false" ht="15" hidden="false" customHeight="false" outlineLevel="0" collapsed="false">
      <c r="A30798" s="3" t="s">
        <v>302</v>
      </c>
      <c r="F30798" s="27" t="n">
        <f aca="false">Assumptions!$C$6</f>
        <v>2026</v>
      </c>
      <c r="G30798" s="21" t="n">
        <f aca="false">F30798+1</f>
        <v>2027</v>
      </c>
      <c r="H30798" s="21" t="n">
        <f aca="false">G30798+1</f>
        <v>2028</v>
      </c>
      <c r="I30798" s="21" t="n">
        <f aca="false">H30798+1</f>
        <v>2029</v>
      </c>
      <c r="J30798" s="21" t="n">
        <f aca="false">I30798+1</f>
        <v>2030</v>
      </c>
      <c r="K30798" s="21" t="n">
        <f aca="false">J30798+1</f>
        <v>2031</v>
      </c>
    </row>
    <row r="30799" customFormat="false" ht="15" hidden="false" customHeight="false" outlineLevel="0" collapsed="false">
      <c r="A30799" s="3" t="s">
        <v>303</v>
      </c>
      <c r="G30799" s="21" t="n">
        <f aca="false">G30798-Assumptions!$C$6</f>
        <v>1</v>
      </c>
      <c r="H30799" s="21" t="n">
        <f aca="false">H30798-Assumptions!$C$6</f>
        <v>2</v>
      </c>
      <c r="I30799" s="21" t="n">
        <f aca="false">I30798-Assumptions!$C$6</f>
        <v>3</v>
      </c>
      <c r="J30799" s="21" t="n">
        <f aca="false">J30798-Assumptions!$C$6</f>
        <v>4</v>
      </c>
      <c r="K30799" s="21" t="n">
        <f aca="false">K30798-Assumptions!$C$6</f>
        <v>5</v>
      </c>
    </row>
    <row r="30800" customFormat="false" ht="15" hidden="false" customHeight="false" outlineLevel="0" collapsed="false">
      <c r="A30800" s="3" t="s">
        <v>180</v>
      </c>
      <c r="G30800" s="22" t="n">
        <f aca="false">CHOOSE($C$30791,Assumptions!$G$79,Assumptions!$G$98,Assumptions!$G$117)+$C$30792</f>
        <v>-0.1</v>
      </c>
      <c r="H30800" s="22" t="n">
        <f aca="false">CHOOSE($C$30791,Assumptions!$H$79,Assumptions!$H$98,Assumptions!$H$117)+$C$30792</f>
        <v>-0.07</v>
      </c>
      <c r="I30800" s="22" t="n">
        <f aca="false">CHOOSE($C$30791,Assumptions!$I$79,Assumptions!$I$98,Assumptions!$I$117)+$C$30792</f>
        <v>-0.03</v>
      </c>
      <c r="J30800" s="22" t="n">
        <f aca="false">CHOOSE($C$30791,Assumptions!$J$79,Assumptions!$J$98,Assumptions!$J$117)+$C$30792</f>
        <v>0</v>
      </c>
      <c r="K30800" s="22" t="n">
        <f aca="false">CHOOSE($C$30791,Assumptions!$K$79,Assumptions!$K$98,Assumptions!$K$117)+$C$30792</f>
        <v>0.01</v>
      </c>
    </row>
    <row r="30801" customFormat="false" ht="15" hidden="false" customHeight="false" outlineLevel="0" collapsed="false">
      <c r="A30801" s="3" t="s">
        <v>181</v>
      </c>
      <c r="G30801" s="22" t="n">
        <f aca="false">CHOOSE($C$30791,Assumptions!$G$80,Assumptions!$G$99,Assumptions!$G$118)</f>
        <v>0.533920660818678</v>
      </c>
      <c r="H30801" s="22" t="n">
        <f aca="false">CHOOSE($C$30791,Assumptions!$H$80,Assumptions!$H$99,Assumptions!$H$118)</f>
        <v>0.503920660818678</v>
      </c>
      <c r="I30801" s="22" t="n">
        <f aca="false">CHOOSE($C$30791,Assumptions!$I$80,Assumptions!$I$99,Assumptions!$I$118)</f>
        <v>0.498920660818678</v>
      </c>
      <c r="J30801" s="22" t="n">
        <f aca="false">CHOOSE($C$30791,Assumptions!$J$80,Assumptions!$J$99,Assumptions!$J$118)</f>
        <v>0.503920660818678</v>
      </c>
      <c r="K30801" s="22" t="n">
        <f aca="false">CHOOSE($C$30791,Assumptions!$K$80,Assumptions!$K$99,Assumptions!$K$118)</f>
        <v>0.513920660818678</v>
      </c>
    </row>
    <row r="30802" customFormat="false" ht="15" hidden="false" customHeight="false" outlineLevel="0" collapsed="false">
      <c r="A30802" s="3" t="s">
        <v>182</v>
      </c>
      <c r="G30802" s="22" t="n">
        <f aca="false">CHOOSE($C$30791,Assumptions!$G$81,Assumptions!$G$100,Assumptions!$G$119)+$C$30793</f>
        <v>0.46</v>
      </c>
      <c r="H30802" s="22" t="n">
        <f aca="false">CHOOSE($C$30791,Assumptions!$H$81,Assumptions!$H$100,Assumptions!$H$119)+$C$30793</f>
        <v>0.43</v>
      </c>
      <c r="I30802" s="22" t="n">
        <f aca="false">CHOOSE($C$30791,Assumptions!$I$81,Assumptions!$I$100,Assumptions!$I$119)+$C$30793</f>
        <v>0.425</v>
      </c>
      <c r="J30802" s="22" t="n">
        <f aca="false">CHOOSE($C$30791,Assumptions!$J$81,Assumptions!$J$100,Assumptions!$J$119)+$C$30793</f>
        <v>0.43</v>
      </c>
      <c r="K30802" s="22" t="n">
        <f aca="false">CHOOSE($C$30791,Assumptions!$K$81,Assumptions!$K$100,Assumptions!$K$119)+$C$30793</f>
        <v>0.44</v>
      </c>
    </row>
    <row r="30803" customFormat="false" ht="15" hidden="false" customHeight="false" outlineLevel="0" collapsed="false">
      <c r="A30803" s="24" t="s">
        <v>304</v>
      </c>
      <c r="B30803" s="25"/>
      <c r="C30803" s="25"/>
      <c r="D30803" s="25"/>
      <c r="E30803" s="25"/>
      <c r="F30803" s="25"/>
      <c r="G30803" s="25"/>
      <c r="H30803" s="25"/>
      <c r="I30803" s="25"/>
      <c r="J30803" s="25"/>
      <c r="K30803" s="25"/>
    </row>
    <row r="30804" customFormat="false" ht="15" hidden="false" customHeight="false" outlineLevel="0" collapsed="false">
      <c r="A30804" s="2" t="s">
        <v>275</v>
      </c>
      <c r="F30804" s="28" t="n">
        <f aca="false">'Historical Financials'!G25</f>
        <v>498.291</v>
      </c>
      <c r="G30804" s="17" t="n">
        <f aca="false">F30804*(1+G30800)</f>
        <v>448.4619</v>
      </c>
      <c r="H30804" s="17" t="n">
        <f aca="false">G30804*(1+H30800)</f>
        <v>417.069567</v>
      </c>
      <c r="I30804" s="17" t="n">
        <f aca="false">H30804*(1+I30800)</f>
        <v>404.55747999</v>
      </c>
      <c r="J30804" s="17" t="n">
        <f aca="false">I30804*(1+J30800)</f>
        <v>404.55747999</v>
      </c>
      <c r="K30804" s="17" t="n">
        <f aca="false">J30804*(1+K30800)</f>
        <v>408.6030547899</v>
      </c>
    </row>
    <row r="30805" customFormat="false" ht="15" hidden="false" customHeight="false" outlineLevel="0" collapsed="false">
      <c r="A30805" s="3" t="s">
        <v>276</v>
      </c>
      <c r="G30805" s="16" t="n">
        <f aca="false">G30804*(1-G30801)</f>
        <v>209.018826</v>
      </c>
      <c r="H30805" s="16" t="n">
        <f aca="false">H30804*(1-H30801)</f>
        <v>206.89959519</v>
      </c>
      <c r="I30805" s="16" t="n">
        <f aca="false">I30804*(1-I30801)</f>
        <v>202.71539473425</v>
      </c>
      <c r="J30805" s="16" t="n">
        <f aca="false">J30804*(1-J30801)</f>
        <v>200.6926073343</v>
      </c>
      <c r="K30805" s="16" t="n">
        <f aca="false">K30804*(1-K30801)</f>
        <v>198.613502859744</v>
      </c>
    </row>
    <row r="30806" customFormat="false" ht="15" hidden="false" customHeight="false" outlineLevel="0" collapsed="false">
      <c r="A30806" s="2" t="s">
        <v>277</v>
      </c>
      <c r="G30806" s="17" t="n">
        <f aca="false">G30804-G30805</f>
        <v>239.443074</v>
      </c>
      <c r="H30806" s="17" t="n">
        <f aca="false">H30804-H30805</f>
        <v>210.16997181</v>
      </c>
      <c r="I30806" s="17" t="n">
        <f aca="false">I30804-I30805</f>
        <v>201.84208525575</v>
      </c>
      <c r="J30806" s="17" t="n">
        <f aca="false">J30804-J30805</f>
        <v>203.8648726557</v>
      </c>
      <c r="K30806" s="17" t="n">
        <f aca="false">K30804-K30805</f>
        <v>209.989551930156</v>
      </c>
    </row>
    <row r="30807" customFormat="false" ht="15" hidden="false" customHeight="false" outlineLevel="0" collapsed="false">
      <c r="A30807" s="3" t="s">
        <v>305</v>
      </c>
      <c r="G30807" s="16" t="n">
        <f aca="false">G30806-G30808</f>
        <v>33.1505999999999</v>
      </c>
      <c r="H30807" s="16" t="n">
        <f aca="false">H30806-H30808</f>
        <v>30.830058</v>
      </c>
      <c r="I30807" s="16" t="n">
        <f aca="false">I30806-I30808</f>
        <v>29.90515626</v>
      </c>
      <c r="J30807" s="16" t="n">
        <f aca="false">J30806-J30808</f>
        <v>29.90515626</v>
      </c>
      <c r="K30807" s="16" t="n">
        <f aca="false">K30806-K30808</f>
        <v>30.2042078226</v>
      </c>
    </row>
    <row r="30808" customFormat="false" ht="15" hidden="false" customHeight="false" outlineLevel="0" collapsed="false">
      <c r="A30808" s="2" t="s">
        <v>306</v>
      </c>
      <c r="G30808" s="17" t="n">
        <f aca="false">G30804*G30802</f>
        <v>206.292474</v>
      </c>
      <c r="H30808" s="17" t="n">
        <f aca="false">H30804*H30802</f>
        <v>179.33991381</v>
      </c>
      <c r="I30808" s="17" t="n">
        <f aca="false">I30804*I30802</f>
        <v>171.93692899575</v>
      </c>
      <c r="J30808" s="17" t="n">
        <f aca="false">J30804*J30802</f>
        <v>173.9597163957</v>
      </c>
      <c r="K30808" s="17" t="n">
        <f aca="false">K30804*K30802</f>
        <v>179.785344107556</v>
      </c>
    </row>
    <row r="30809" customFormat="false" ht="15" hidden="false" customHeight="false" outlineLevel="0" collapsed="false">
      <c r="A30809" s="3" t="s">
        <v>307</v>
      </c>
      <c r="G30809" s="16" t="n">
        <f aca="false">G30804*'Historical Financials'!G30/'Historical Financials'!G25</f>
        <v>166.7637</v>
      </c>
      <c r="H30809" s="16" t="n">
        <f aca="false">H30804*'Historical Financials'!G30/'Historical Financials'!G25</f>
        <v>155.090241</v>
      </c>
      <c r="I30809" s="16" t="n">
        <f aca="false">I30804*'Historical Financials'!G30/'Historical Financials'!G25</f>
        <v>150.43753377</v>
      </c>
      <c r="J30809" s="16" t="n">
        <f aca="false">J30804*'Historical Financials'!G30/'Historical Financials'!G25</f>
        <v>150.43753377</v>
      </c>
      <c r="K30809" s="16" t="n">
        <f aca="false">K30804*'Historical Financials'!G30/'Historical Financials'!G25</f>
        <v>151.9419091077</v>
      </c>
    </row>
    <row r="30810" customFormat="false" ht="15" hidden="false" customHeight="false" outlineLevel="0" collapsed="false">
      <c r="A30810" s="3" t="s">
        <v>308</v>
      </c>
      <c r="G30810" s="16" t="n">
        <f aca="false">G30804*'Historical Financials'!G31/'Historical Financials'!G25</f>
        <v>0</v>
      </c>
      <c r="H30810" s="16" t="n">
        <f aca="false">H30804*'Historical Financials'!G31/'Historical Financials'!G25</f>
        <v>0</v>
      </c>
      <c r="I30810" s="16" t="n">
        <f aca="false">I30804*'Historical Financials'!G31/'Historical Financials'!G25</f>
        <v>0</v>
      </c>
      <c r="J30810" s="16" t="n">
        <f aca="false">J30804*'Historical Financials'!G31/'Historical Financials'!G25</f>
        <v>0</v>
      </c>
      <c r="K30810" s="16" t="n">
        <f aca="false">K30804*'Historical Financials'!G31/'Historical Financials'!G25</f>
        <v>0</v>
      </c>
    </row>
    <row r="30811" customFormat="false" ht="15" hidden="false" customHeight="false" outlineLevel="0" collapsed="false">
      <c r="A30811" s="2" t="s">
        <v>309</v>
      </c>
      <c r="G30811" s="17" t="n">
        <f aca="false">G30808-G30809-G30810</f>
        <v>39.528774</v>
      </c>
      <c r="H30811" s="17" t="n">
        <f aca="false">H30808-H30809-H30810</f>
        <v>24.24967281</v>
      </c>
      <c r="I30811" s="17" t="n">
        <f aca="false">I30808-I30809-I30810</f>
        <v>21.49939522575</v>
      </c>
      <c r="J30811" s="17" t="n">
        <f aca="false">J30808-J30809-J30810</f>
        <v>23.5221826257</v>
      </c>
      <c r="K30811" s="17" t="n">
        <f aca="false">K30808-K30809-K30810</f>
        <v>27.843434999856</v>
      </c>
    </row>
    <row r="30812" customFormat="false" ht="15" hidden="false" customHeight="false" outlineLevel="0" collapsed="false">
      <c r="A30812" s="3" t="s">
        <v>310</v>
      </c>
      <c r="G30812" s="16" t="n">
        <f aca="false">G30838+G30851+G30864+G30877+G30890+G30903+G30916+G30929+G30942+G30955</f>
        <v>204.1401854</v>
      </c>
      <c r="H30812" s="16" t="n">
        <f aca="false">H30838+H30851+H30864+H30877+H30890+H30903+H30916+H30929+H30942+H30955</f>
        <v>202.8622704</v>
      </c>
      <c r="I30812" s="16" t="n">
        <f aca="false">I30838+I30851+I30864+I30877+I30890+I30903+I30916+I30929+I30942+I30955</f>
        <v>201.1257454</v>
      </c>
      <c r="J30812" s="16" t="n">
        <f aca="false">J30838+J30851+J30864+J30877+J30890+J30903+J30916+J30929+J30942+J30955</f>
        <v>200.5757454</v>
      </c>
      <c r="K30812" s="16" t="n">
        <f aca="false">K30838+K30851+K30864+K30877+K30890+K30903+K30916+K30929+K30942+K30955</f>
        <v>200.0257454</v>
      </c>
    </row>
    <row r="30813" customFormat="false" ht="15" hidden="false" customHeight="false" outlineLevel="0" collapsed="false">
      <c r="A30813" s="3" t="s">
        <v>311</v>
      </c>
      <c r="G30813" s="16" t="n">
        <f aca="false">G30839+G30852+G30865+G30878+G30891+G30904+G30917+G30930+G30943+G30956</f>
        <v>0</v>
      </c>
      <c r="H30813" s="16" t="n">
        <f aca="false">H30839+H30852+H30865+H30878+H30891+H30904+H30917+H30930+H30943+H30956</f>
        <v>0</v>
      </c>
      <c r="I30813" s="16" t="n">
        <f aca="false">I30839+I30852+I30865+I30878+I30891+I30904+I30917+I30930+I30943+I30956</f>
        <v>0</v>
      </c>
      <c r="J30813" s="16" t="n">
        <f aca="false">J30839+J30852+J30865+J30878+J30891+J30904+J30917+J30930+J30943+J30956</f>
        <v>0</v>
      </c>
      <c r="K30813" s="16" t="n">
        <f aca="false">K30839+K30852+K30865+K30878+K30891+K30904+K30917+K30930+K30943+K30956</f>
        <v>0</v>
      </c>
    </row>
    <row r="30814" customFormat="false" ht="15" hidden="false" customHeight="false" outlineLevel="0" collapsed="false">
      <c r="A30814" s="3" t="s">
        <v>283</v>
      </c>
      <c r="G30814" s="16" t="n">
        <f aca="false">G30812+G30813</f>
        <v>204.1401854</v>
      </c>
      <c r="H30814" s="16" t="n">
        <f aca="false">H30812+H30813</f>
        <v>202.8622704</v>
      </c>
      <c r="I30814" s="16" t="n">
        <f aca="false">I30812+I30813</f>
        <v>201.1257454</v>
      </c>
      <c r="J30814" s="16" t="n">
        <f aca="false">J30812+J30813</f>
        <v>200.5757454</v>
      </c>
      <c r="K30814" s="16" t="n">
        <f aca="false">K30812+K30813</f>
        <v>200.0257454</v>
      </c>
    </row>
    <row r="30815" customFormat="false" ht="15" hidden="false" customHeight="false" outlineLevel="0" collapsed="false">
      <c r="A30815" s="2" t="s">
        <v>284</v>
      </c>
      <c r="G30815" s="17" t="n">
        <f aca="false">G30811-G30814</f>
        <v>-164.6114114</v>
      </c>
      <c r="H30815" s="17" t="n">
        <f aca="false">H30811-H30814</f>
        <v>-178.61259759</v>
      </c>
      <c r="I30815" s="17" t="n">
        <f aca="false">I30811-I30814</f>
        <v>-179.62635017425</v>
      </c>
      <c r="J30815" s="17" t="n">
        <f aca="false">J30811-J30814</f>
        <v>-177.0535627743</v>
      </c>
      <c r="K30815" s="17" t="n">
        <f aca="false">K30811-K30814</f>
        <v>-172.182310400144</v>
      </c>
    </row>
    <row r="30816" customFormat="false" ht="15" hidden="false" customHeight="false" outlineLevel="0" collapsed="false">
      <c r="A30816" s="3" t="s">
        <v>312</v>
      </c>
      <c r="G30816" s="16" t="n">
        <f aca="false">MAX(0,G30815)*Assumptions!$C$9</f>
        <v>0</v>
      </c>
      <c r="H30816" s="16" t="n">
        <f aca="false">MAX(0,H30815)*Assumptions!$C$9</f>
        <v>0</v>
      </c>
      <c r="I30816" s="16" t="n">
        <f aca="false">MAX(0,I30815)*Assumptions!$C$9</f>
        <v>0</v>
      </c>
      <c r="J30816" s="16" t="n">
        <f aca="false">MAX(0,J30815)*Assumptions!$C$9</f>
        <v>0</v>
      </c>
      <c r="K30816" s="16" t="n">
        <f aca="false">MAX(0,K30815)*Assumptions!$C$9</f>
        <v>0</v>
      </c>
    </row>
    <row r="30817" customFormat="false" ht="15" hidden="false" customHeight="false" outlineLevel="0" collapsed="false">
      <c r="A30817" s="2" t="s">
        <v>313</v>
      </c>
      <c r="G30817" s="17" t="n">
        <f aca="false">G30815-G30816</f>
        <v>-164.6114114</v>
      </c>
      <c r="H30817" s="17" t="n">
        <f aca="false">H30815-H30816</f>
        <v>-178.61259759</v>
      </c>
      <c r="I30817" s="17" t="n">
        <f aca="false">I30815-I30816</f>
        <v>-179.62635017425</v>
      </c>
      <c r="J30817" s="17" t="n">
        <f aca="false">J30815-J30816</f>
        <v>-177.0535627743</v>
      </c>
      <c r="K30817" s="17" t="n">
        <f aca="false">K30815-K30816</f>
        <v>-172.182310400144</v>
      </c>
    </row>
    <row r="30818" customFormat="false" ht="15" hidden="false" customHeight="false" outlineLevel="0" collapsed="false">
      <c r="A30818" s="24" t="s">
        <v>314</v>
      </c>
      <c r="B30818" s="25"/>
      <c r="C30818" s="25"/>
      <c r="D30818" s="25"/>
      <c r="E30818" s="25"/>
      <c r="F30818" s="25"/>
      <c r="G30818" s="25"/>
      <c r="H30818" s="25"/>
      <c r="I30818" s="25"/>
      <c r="J30818" s="25"/>
      <c r="K30818" s="25"/>
    </row>
    <row r="30819" customFormat="false" ht="15" hidden="false" customHeight="false" outlineLevel="0" collapsed="false">
      <c r="A30819" s="3" t="s">
        <v>184</v>
      </c>
      <c r="G30819" s="16" t="n">
        <f aca="false">G30804*CHOOSE($C$30791,Assumptions!$C$83,Assumptions!$C$102,Assumptions!$C$121)</f>
        <v>58.300047</v>
      </c>
      <c r="H30819" s="16" t="n">
        <f aca="false">H30804*CHOOSE($C$30791,Assumptions!$C$83,Assumptions!$C$102,Assumptions!$C$121)</f>
        <v>54.21904371</v>
      </c>
      <c r="I30819" s="16" t="n">
        <f aca="false">I30804*CHOOSE($C$30791,Assumptions!$C$83,Assumptions!$C$102,Assumptions!$C$121)</f>
        <v>52.5924723987</v>
      </c>
      <c r="J30819" s="16" t="n">
        <f aca="false">J30804*CHOOSE($C$30791,Assumptions!$C$83,Assumptions!$C$102,Assumptions!$C$121)</f>
        <v>52.5924723987</v>
      </c>
      <c r="K30819" s="16" t="n">
        <f aca="false">K30804*CHOOSE($C$30791,Assumptions!$C$83,Assumptions!$C$102,Assumptions!$C$121)</f>
        <v>53.118397122687</v>
      </c>
    </row>
    <row r="30820" customFormat="false" ht="15" hidden="false" customHeight="false" outlineLevel="0" collapsed="false">
      <c r="A30820" s="3" t="s">
        <v>315</v>
      </c>
      <c r="G30820" s="16" t="n">
        <f aca="false">CHOOSE($C$30791,Assumptions!$C$84,Assumptions!$C$103,Assumptions!$C$122)*(G30804-F30804)+CHOOSE($C$30791,Assumptions!$C$85,Assumptions!$C$104,Assumptions!$C$123)*G30804</f>
        <v>0</v>
      </c>
      <c r="H30820" s="16" t="n">
        <f aca="false">CHOOSE($C$30791,Assumptions!$C$84,Assumptions!$C$103,Assumptions!$C$122)*(H30804-G30804)+CHOOSE($C$30791,Assumptions!$C$85,Assumptions!$C$104,Assumptions!$C$123)*H30804</f>
        <v>0</v>
      </c>
      <c r="I30820" s="16" t="n">
        <f aca="false">CHOOSE($C$30791,Assumptions!$C$84,Assumptions!$C$103,Assumptions!$C$122)*(I30804-H30804)+CHOOSE($C$30791,Assumptions!$C$85,Assumptions!$C$104,Assumptions!$C$123)*I30804</f>
        <v>0</v>
      </c>
      <c r="J30820" s="16" t="n">
        <f aca="false">CHOOSE($C$30791,Assumptions!$C$84,Assumptions!$C$103,Assumptions!$C$122)*(J30804-I30804)+CHOOSE($C$30791,Assumptions!$C$85,Assumptions!$C$104,Assumptions!$C$123)*J30804</f>
        <v>0</v>
      </c>
      <c r="K30820" s="16" t="n">
        <f aca="false">CHOOSE($C$30791,Assumptions!$C$84,Assumptions!$C$103,Assumptions!$C$122)*(K30804-J30804)+CHOOSE($C$30791,Assumptions!$C$85,Assumptions!$C$104,Assumptions!$C$123)*K30804</f>
        <v>0</v>
      </c>
    </row>
    <row r="30821" customFormat="false" ht="15" hidden="false" customHeight="false" outlineLevel="0" collapsed="false">
      <c r="A30821" s="2" t="s">
        <v>316</v>
      </c>
      <c r="G30821" s="17" t="n">
        <f aca="false">G30817+G30809+G30810+G30813-G30819-G30820</f>
        <v>-56.1477584</v>
      </c>
      <c r="H30821" s="17" t="n">
        <f aca="false">H30817+H30809+H30810+H30813-H30819-H30820</f>
        <v>-77.7414003</v>
      </c>
      <c r="I30821" s="17" t="n">
        <f aca="false">I30817+I30809+I30810+I30813-I30819-I30820</f>
        <v>-81.78128880295</v>
      </c>
      <c r="J30821" s="17" t="n">
        <f aca="false">J30817+J30809+J30810+J30813-J30819-J30820</f>
        <v>-79.208501403</v>
      </c>
      <c r="K30821" s="17" t="n">
        <f aca="false">K30817+K30809+K30810+K30813-K30819-K30820</f>
        <v>-73.358798415131</v>
      </c>
    </row>
    <row r="30823" customFormat="false" ht="15" hidden="false" customHeight="false" outlineLevel="0" collapsed="false">
      <c r="A30823" s="24" t="s">
        <v>318</v>
      </c>
      <c r="B30823" s="25"/>
      <c r="C30823" s="25"/>
      <c r="D30823" s="25"/>
      <c r="E30823" s="25"/>
      <c r="F30823" s="25"/>
      <c r="G30823" s="25"/>
      <c r="H30823" s="25"/>
      <c r="I30823" s="25"/>
      <c r="J30823" s="25"/>
      <c r="K30823" s="25"/>
    </row>
    <row r="30824" customFormat="false" ht="15" hidden="false" customHeight="false" outlineLevel="0" collapsed="false">
      <c r="A30824" s="3" t="s">
        <v>319</v>
      </c>
      <c r="G30824" s="30" t="n">
        <f aca="false">Assumptions!$G$53</f>
        <v>0.039</v>
      </c>
      <c r="H30824" s="30" t="n">
        <f aca="false">Assumptions!$H$53</f>
        <v>0.0375</v>
      </c>
      <c r="I30824" s="30" t="n">
        <f aca="false">Assumptions!$I$53</f>
        <v>0.035</v>
      </c>
      <c r="J30824" s="30" t="n">
        <f aca="false">Assumptions!$J$53</f>
        <v>0.035</v>
      </c>
      <c r="K30824" s="30" t="n">
        <f aca="false">Assumptions!$K$53</f>
        <v>0.035</v>
      </c>
    </row>
    <row r="30825" customFormat="false" ht="15" hidden="false" customHeight="false" outlineLevel="0" collapsed="false">
      <c r="A30825" s="3" t="s">
        <v>320</v>
      </c>
      <c r="C30825" s="31" t="n">
        <f aca="false">CHOOSE($C$30791,Assumptions!$C$86,Assumptions!$C$105,Assumptions!$C$124)+$C$30794</f>
        <v>0.05</v>
      </c>
    </row>
    <row r="30826" customFormat="false" ht="15" hidden="false" customHeight="false" outlineLevel="0" collapsed="false">
      <c r="A30826" s="3" t="s">
        <v>321</v>
      </c>
      <c r="C30826" s="31" t="n">
        <f aca="false">CHOOSE($C$30791,Assumptions!$C$87,Assumptions!$C$106,Assumptions!$C$125)</f>
        <v>0.12</v>
      </c>
    </row>
    <row r="30827" customFormat="false" ht="15" hidden="false" customHeight="false" outlineLevel="0" collapsed="false">
      <c r="A30827" s="3" t="s">
        <v>322</v>
      </c>
      <c r="C30827" s="32" t="n">
        <f aca="false">CHOOSE($C$30791,Assumptions!$C$88,Assumptions!$C$107,Assumptions!$C$126)</f>
        <v>9</v>
      </c>
    </row>
    <row r="30828" customFormat="false" ht="15" hidden="false" customHeight="false" outlineLevel="0" collapsed="false">
      <c r="A30828" s="3" t="s">
        <v>323</v>
      </c>
      <c r="C30828" s="32" t="n">
        <f aca="false">CHOOSE($C$30791,Assumptions!$C$89,Assumptions!$C$108,Assumptions!$C$127)</f>
        <v>1.75</v>
      </c>
    </row>
    <row r="30829" customFormat="false" ht="15" hidden="false" customHeight="false" outlineLevel="0" collapsed="false">
      <c r="A30829" s="3" t="s">
        <v>324</v>
      </c>
      <c r="G30829" s="16" t="n">
        <f aca="false">G30834+G30847+G30860+G30873+G30886+G30899+G30912+G30925+G30938+G30951</f>
        <v>2625.934</v>
      </c>
      <c r="H30829" s="16" t="n">
        <f aca="false">H30834+H30847+H30860+H30873+H30886+H30899+H30912+H30925+H30938+H30951</f>
        <v>2621.934</v>
      </c>
      <c r="I30829" s="16" t="n">
        <f aca="false">I30834+I30847+I30860+I30873+I30886+I30899+I30912+I30925+I30938+I30951</f>
        <v>2617.934</v>
      </c>
      <c r="J30829" s="16" t="n">
        <f aca="false">J30834+J30847+J30860+J30873+J30886+J30899+J30912+J30925+J30938+J30951</f>
        <v>2613.934</v>
      </c>
      <c r="K30829" s="16" t="n">
        <f aca="false">K30834+K30847+K30860+K30873+K30886+K30899+K30912+K30925+K30938+K30951</f>
        <v>2609.934</v>
      </c>
    </row>
    <row r="30830" customFormat="false" ht="15" hidden="false" customHeight="false" outlineLevel="0" collapsed="false">
      <c r="A30830" s="3" t="s">
        <v>325</v>
      </c>
      <c r="G30830" s="16" t="n">
        <f aca="false">F31022</f>
        <v>37.87</v>
      </c>
      <c r="H30830" s="16" t="n">
        <f aca="false">G31022</f>
        <v>77.7222416</v>
      </c>
      <c r="I30830" s="16" t="n">
        <f aca="false">H31022</f>
        <v>-4.01915869999999</v>
      </c>
      <c r="J30830" s="16" t="n">
        <f aca="false">I31022</f>
        <v>-89.80044750295</v>
      </c>
      <c r="K30830" s="16" t="n">
        <f aca="false">J31022</f>
        <v>-173.00894890595</v>
      </c>
    </row>
    <row r="30831" customFormat="false" ht="15" hidden="false" customHeight="false" outlineLevel="0" collapsed="false">
      <c r="A30831" s="3" t="s">
        <v>326</v>
      </c>
      <c r="G30831" s="16" t="n">
        <f aca="false">G30834*IF(G30835=1,$C$30826,IF(Assumptions!$I$57=1,MAX(G30824,Assumptions!$G$57)+Assumptions!$F$57+$C$30825,Assumptions!$E$57))+G30847*IF(G30848=1,$C$30826,IF(Assumptions!$I$58=1,MAX(G30824,Assumptions!$G$58)+Assumptions!$F$58+$C$30825,Assumptions!$E$58))+G30860*IF(G30861=1,$C$30826,IF(Assumptions!$I$59=1,MAX(G30824,Assumptions!$G$59)+Assumptions!$F$59+$C$30825,Assumptions!$E$59))+G30873*IF(G30874=1,$C$30826,IF(Assumptions!$I$60=1,MAX(G30824,Assumptions!$G$60)+Assumptions!$F$60+$C$30825,Assumptions!$E$60))+G30886*IF(G30887=1,$C$30826,IF(Assumptions!$I$61=1,MAX(G30824,Assumptions!$G$61)+Assumptions!$F$61+$C$30825,Assumptions!$E$61))+G30899*IF(G30900=1,$C$30826,IF(Assumptions!$I$62=1,MAX(G30824,Assumptions!$G$62)+Assumptions!$F$62+$C$30825,Assumptions!$E$62))+G30912*IF(G30913=1,$C$30826,IF(Assumptions!$I$63=1,MAX(G30824,Assumptions!$G$63)+Assumptions!$F$63+$C$30825,Assumptions!$E$63))+G30925*IF(G30926=1,$C$30826,IF(Assumptions!$I$64=1,MAX(G30824,Assumptions!$G$64)+Assumptions!$F$64+$C$30825,Assumptions!$E$64))+G30938*IF(G30939=1,$C$30826,IF(Assumptions!$I$65=1,MAX(G30824,Assumptions!$G$65)+Assumptions!$F$65+$C$30825,Assumptions!$E$65))+G30951*IF(G30952=1,$C$30826,IF(Assumptions!$I$66=1,MAX(G30824,Assumptions!$G$66)+Assumptions!$F$66+$C$30825,Assumptions!$E$66))</f>
        <v>204.1401854</v>
      </c>
      <c r="H30831" s="16" t="n">
        <f aca="false">H30834*IF(OR(H30835=1,G31144=1),$C$30826,IF(Assumptions!$I$57=1,MAX(H30824,Assumptions!$G$57)+Assumptions!$F$57+$C$30825,Assumptions!$E$57))+H30847*IF(OR(H30848=1,G31145=1),$C$30826,IF(Assumptions!$I$58=1,MAX(H30824,Assumptions!$G$58)+Assumptions!$F$58+$C$30825,Assumptions!$E$58))+H30860*IF(OR(H30861=1,G31146=1),$C$30826,IF(Assumptions!$I$59=1,MAX(H30824,Assumptions!$G$59)+Assumptions!$F$59+$C$30825,Assumptions!$E$59))+H30873*IF(OR(H30874=1,G31147=1),$C$30826,IF(Assumptions!$I$60=1,MAX(H30824,Assumptions!$G$60)+Assumptions!$F$60+$C$30825,Assumptions!$E$60))+H30886*IF(OR(H30887=1,G31148=1),$C$30826,IF(Assumptions!$I$61=1,MAX(H30824,Assumptions!$G$61)+Assumptions!$F$61+$C$30825,Assumptions!$E$61))+H30899*IF(OR(H30900=1,G31149=1),$C$30826,IF(Assumptions!$I$62=1,MAX(H30824,Assumptions!$G$62)+Assumptions!$F$62+$C$30825,Assumptions!$E$62))+H30912*IF(OR(H30913=1,G31150=1),$C$30826,IF(Assumptions!$I$63=1,MAX(H30824,Assumptions!$G$63)+Assumptions!$F$63+$C$30825,Assumptions!$E$63))+H30925*IF(OR(H30926=1,G31151=1),$C$30826,IF(Assumptions!$I$64=1,MAX(H30824,Assumptions!$G$64)+Assumptions!$F$64+$C$30825,Assumptions!$E$64))+H30938*IF(OR(H30939=1,G31152=1),$C$30826,IF(Assumptions!$I$65=1,MAX(H30824,Assumptions!$G$65)+Assumptions!$F$65+$C$30825,Assumptions!$E$65))+H30951*IF(OR(H30952=1,G31153=1),$C$30826,IF(Assumptions!$I$66=1,MAX(H30824,Assumptions!$G$66)+Assumptions!$F$66+$C$30825,Assumptions!$E$66))</f>
        <v>252.0372704</v>
      </c>
      <c r="I30831" s="16" t="n">
        <f aca="false">I30834*IF(OR(I30835=1,H31144=1),$C$30826,IF(Assumptions!$I$57=1,MAX(I30824,Assumptions!$G$57)+Assumptions!$F$57+$C$30825,Assumptions!$E$57))+I30847*IF(OR(I30848=1,H31145=1),$C$30826,IF(Assumptions!$I$58=1,MAX(I30824,Assumptions!$G$58)+Assumptions!$F$58+$C$30825,Assumptions!$E$58))+I30860*IF(OR(I30861=1,H31146=1),$C$30826,IF(Assumptions!$I$59=1,MAX(I30824,Assumptions!$G$59)+Assumptions!$F$59+$C$30825,Assumptions!$E$59))+I30873*IF(OR(I30874=1,H31147=1),$C$30826,IF(Assumptions!$I$60=1,MAX(I30824,Assumptions!$G$60)+Assumptions!$F$60+$C$30825,Assumptions!$E$60))+I30886*IF(OR(I30887=1,H31148=1),$C$30826,IF(Assumptions!$I$61=1,MAX(I30824,Assumptions!$G$61)+Assumptions!$F$61+$C$30825,Assumptions!$E$61))+I30899*IF(OR(I30900=1,H31149=1),$C$30826,IF(Assumptions!$I$62=1,MAX(I30824,Assumptions!$G$62)+Assumptions!$F$62+$C$30825,Assumptions!$E$62))+I30912*IF(OR(I30913=1,H31150=1),$C$30826,IF(Assumptions!$I$63=1,MAX(I30824,Assumptions!$G$63)+Assumptions!$F$63+$C$30825,Assumptions!$E$63))+I30925*IF(OR(I30926=1,H31151=1),$C$30826,IF(Assumptions!$I$64=1,MAX(I30824,Assumptions!$G$64)+Assumptions!$F$64+$C$30825,Assumptions!$E$64))+I30938*IF(OR(I30939=1,H31152=1),$C$30826,IF(Assumptions!$I$65=1,MAX(I30824,Assumptions!$G$65)+Assumptions!$F$65+$C$30825,Assumptions!$E$65))+I30951*IF(OR(I30952=1,H31153=1),$C$30826,IF(Assumptions!$I$66=1,MAX(I30824,Assumptions!$G$66)+Assumptions!$F$66+$C$30825,Assumptions!$E$66))</f>
        <v>218.3132454</v>
      </c>
      <c r="J30831" s="16" t="n">
        <f aca="false">J30834*IF(OR(J30835=1,I31144=1),$C$30826,IF(Assumptions!$I$57=1,MAX(J30824,Assumptions!$G$57)+Assumptions!$F$57+$C$30825,Assumptions!$E$57))+J30847*IF(OR(J30848=1,I31145=1),$C$30826,IF(Assumptions!$I$58=1,MAX(J30824,Assumptions!$G$58)+Assumptions!$F$58+$C$30825,Assumptions!$E$58))+J30860*IF(OR(J30861=1,I31146=1),$C$30826,IF(Assumptions!$I$59=1,MAX(J30824,Assumptions!$G$59)+Assumptions!$F$59+$C$30825,Assumptions!$E$59))+J30873*IF(OR(J30874=1,I31147=1),$C$30826,IF(Assumptions!$I$60=1,MAX(J30824,Assumptions!$G$60)+Assumptions!$F$60+$C$30825,Assumptions!$E$60))+J30886*IF(OR(J30887=1,I31148=1),$C$30826,IF(Assumptions!$I$61=1,MAX(J30824,Assumptions!$G$61)+Assumptions!$F$61+$C$30825,Assumptions!$E$61))+J30899*IF(OR(J30900=1,I31149=1),$C$30826,IF(Assumptions!$I$62=1,MAX(J30824,Assumptions!$G$62)+Assumptions!$F$62+$C$30825,Assumptions!$E$62))+J30912*IF(OR(J30913=1,I31150=1),$C$30826,IF(Assumptions!$I$63=1,MAX(J30824,Assumptions!$G$63)+Assumptions!$F$63+$C$30825,Assumptions!$E$63))+J30925*IF(OR(J30926=1,I31151=1),$C$30826,IF(Assumptions!$I$64=1,MAX(J30824,Assumptions!$G$64)+Assumptions!$F$64+$C$30825,Assumptions!$E$64))+J30938*IF(OR(J30939=1,I31152=1),$C$30826,IF(Assumptions!$I$65=1,MAX(J30824,Assumptions!$G$65)+Assumptions!$F$65+$C$30825,Assumptions!$E$65))+J30951*IF(OR(J30952=1,I31153=1),$C$30826,IF(Assumptions!$I$66=1,MAX(J30824,Assumptions!$G$66)+Assumptions!$F$66+$C$30825,Assumptions!$E$66))</f>
        <v>226.6507454</v>
      </c>
      <c r="K30831" s="16" t="n">
        <f aca="false">K30834*IF(OR(K30835=1,J31144=1),$C$30826,IF(Assumptions!$I$57=1,MAX(K30824,Assumptions!$G$57)+Assumptions!$F$57+$C$30825,Assumptions!$E$57))+K30847*IF(OR(K30848=1,J31145=1),$C$30826,IF(Assumptions!$I$58=1,MAX(K30824,Assumptions!$G$58)+Assumptions!$F$58+$C$30825,Assumptions!$E$58))+K30860*IF(OR(K30861=1,J31146=1),$C$30826,IF(Assumptions!$I$59=1,MAX(K30824,Assumptions!$G$59)+Assumptions!$F$59+$C$30825,Assumptions!$E$59))+K30873*IF(OR(K30874=1,J31147=1),$C$30826,IF(Assumptions!$I$60=1,MAX(K30824,Assumptions!$G$60)+Assumptions!$F$60+$C$30825,Assumptions!$E$60))+K30886*IF(OR(K30887=1,J31148=1),$C$30826,IF(Assumptions!$I$61=1,MAX(K30824,Assumptions!$G$61)+Assumptions!$F$61+$C$30825,Assumptions!$E$61))+K30899*IF(OR(K30900=1,J31149=1),$C$30826,IF(Assumptions!$I$62=1,MAX(K30824,Assumptions!$G$62)+Assumptions!$F$62+$C$30825,Assumptions!$E$62))+K30912*IF(OR(K30913=1,J31150=1),$C$30826,IF(Assumptions!$I$63=1,MAX(K30824,Assumptions!$G$63)+Assumptions!$F$63+$C$30825,Assumptions!$E$63))+K30925*IF(OR(K30926=1,J31151=1),$C$30826,IF(Assumptions!$I$64=1,MAX(K30824,Assumptions!$G$64)+Assumptions!$F$64+$C$30825,Assumptions!$E$64))+K30938*IF(OR(K30939=1,J31152=1),$C$30826,IF(Assumptions!$I$65=1,MAX(K30824,Assumptions!$G$65)+Assumptions!$F$65+$C$30825,Assumptions!$E$65))+K30951*IF(OR(K30952=1,J31153=1),$C$30826,IF(Assumptions!$I$66=1,MAX(K30824,Assumptions!$G$66)+Assumptions!$F$66+$C$30825,Assumptions!$E$66))</f>
        <v>210.9307454</v>
      </c>
    </row>
    <row r="30832" customFormat="false" ht="15" hidden="false" customHeight="false" outlineLevel="0" collapsed="false">
      <c r="A30832" s="3" t="s">
        <v>327</v>
      </c>
      <c r="G30832" s="21" t="n">
        <f aca="false">IF(G30808&lt;=0,0,IF(AND((G30829-G30830)/G30808&lt;=$C$30827,G30808/G30831&gt;=$C$30828),1,0))</f>
        <v>0</v>
      </c>
      <c r="H30832" s="21" t="n">
        <f aca="false">IF(H30808&lt;=0,0,IF(AND((H30829-H30830)/H30808&lt;=$C$30827,H30808/H30831&gt;=$C$30828),1,0))</f>
        <v>0</v>
      </c>
      <c r="I30832" s="21" t="n">
        <f aca="false">IF(I30808&lt;=0,0,IF(AND((I30829-I30830)/I30808&lt;=$C$30827,I30808/I30831&gt;=$C$30828),1,0))</f>
        <v>0</v>
      </c>
      <c r="J30832" s="21" t="n">
        <f aca="false">IF(J30808&lt;=0,0,IF(AND((J30829-J30830)/J30808&lt;=$C$30827,J30808/J30831&gt;=$C$30828),1,0))</f>
        <v>0</v>
      </c>
      <c r="K30832" s="21" t="n">
        <f aca="false">IF(K30808&lt;=0,0,IF(AND((K30829-K30830)/K30808&lt;=$C$30827,K30808/K30831&gt;=$C$30828),1,0))</f>
        <v>0</v>
      </c>
    </row>
    <row r="30833" customFormat="false" ht="15" hidden="false" customHeight="false" outlineLevel="0" collapsed="false">
      <c r="A30833" s="24" t="s">
        <v>328</v>
      </c>
      <c r="B30833" s="25"/>
      <c r="C30833" s="25"/>
      <c r="D30833" s="25"/>
      <c r="E30833" s="25"/>
      <c r="F30833" s="25"/>
      <c r="G30833" s="25"/>
      <c r="H30833" s="25"/>
      <c r="I30833" s="25"/>
      <c r="J30833" s="25"/>
      <c r="K30833" s="25"/>
    </row>
    <row r="30834" customFormat="false" ht="15" hidden="false" customHeight="false" outlineLevel="0" collapsed="false">
      <c r="A30834" s="3" t="s">
        <v>329</v>
      </c>
      <c r="G30834" s="16" t="n">
        <f aca="false">F30845</f>
        <v>400</v>
      </c>
      <c r="H30834" s="16" t="n">
        <f aca="false">G30845</f>
        <v>396</v>
      </c>
      <c r="I30834" s="16" t="n">
        <f aca="false">H30845</f>
        <v>392</v>
      </c>
      <c r="J30834" s="16" t="n">
        <f aca="false">I30845</f>
        <v>388</v>
      </c>
      <c r="K30834" s="16" t="n">
        <f aca="false">J30845</f>
        <v>384</v>
      </c>
    </row>
    <row r="30835" customFormat="false" ht="15" hidden="false" customHeight="false" outlineLevel="0" collapsed="false">
      <c r="A30835" s="3" t="s">
        <v>330</v>
      </c>
      <c r="G30835" s="21" t="n">
        <f aca="false">IF(G30798=Assumptions!$K$57,1,0)</f>
        <v>0</v>
      </c>
      <c r="H30835" s="21" t="n">
        <f aca="false">IF(H30798=Assumptions!$K$57,1,0)</f>
        <v>0</v>
      </c>
      <c r="I30835" s="21" t="n">
        <f aca="false">IF(I30798=Assumptions!$K$57,1,0)</f>
        <v>0</v>
      </c>
      <c r="J30835" s="21" t="n">
        <f aca="false">IF(J30798=Assumptions!$K$57,1,0)</f>
        <v>0</v>
      </c>
      <c r="K30835" s="21" t="n">
        <f aca="false">IF(K30798=Assumptions!$K$57,1,0)</f>
        <v>1</v>
      </c>
    </row>
    <row r="30837" customFormat="false" ht="15" hidden="false" customHeight="false" outlineLevel="0" collapsed="false">
      <c r="A30837" s="3" t="s">
        <v>331</v>
      </c>
      <c r="G30837" s="31" t="n">
        <f aca="false">IF(Assumptions!$I$57=1,MAX(G30824,Assumptions!$G$57)+Assumptions!$F$57+$C$30825,Assumptions!$E$57)</f>
        <v>0.1415</v>
      </c>
      <c r="H30837" s="31" t="n">
        <f aca="false">IF(G31144=1,$C$30826,IF(Assumptions!$I$57=1,MAX(H30824,Assumptions!$G$57)+Assumptions!$F$57+$C$30825,Assumptions!$E$57))</f>
        <v>0.14</v>
      </c>
      <c r="I30837" s="31" t="n">
        <f aca="false">IF(H31144=1,$C$30826,IF(Assumptions!$I$57=1,MAX(I30824,Assumptions!$G$57)+Assumptions!$F$57+$C$30825,Assumptions!$E$57))</f>
        <v>0.1375</v>
      </c>
      <c r="J30837" s="31" t="n">
        <f aca="false">IF(I31144=1,$C$30826,IF(Assumptions!$I$57=1,MAX(J30824,Assumptions!$G$57)+Assumptions!$F$57+$C$30825,Assumptions!$E$57))</f>
        <v>0.1375</v>
      </c>
      <c r="K30837" s="31" t="n">
        <f aca="false">IF(J31144=1,$C$30826,IF(Assumptions!$I$57=1,MAX(K30824,Assumptions!$G$57)+Assumptions!$F$57+$C$30825,Assumptions!$E$57))</f>
        <v>0.1375</v>
      </c>
    </row>
    <row r="30838" customFormat="false" ht="15" hidden="false" customHeight="false" outlineLevel="0" collapsed="false">
      <c r="A30838" s="3" t="s">
        <v>332</v>
      </c>
      <c r="G30838" s="16" t="n">
        <f aca="false">G30834*G30837</f>
        <v>56.6</v>
      </c>
      <c r="H30838" s="16" t="n">
        <f aca="false">H30834*H30837</f>
        <v>55.44</v>
      </c>
      <c r="I30838" s="16" t="n">
        <f aca="false">I30834*I30837</f>
        <v>53.9</v>
      </c>
      <c r="J30838" s="16" t="n">
        <f aca="false">J30834*J30837</f>
        <v>53.35</v>
      </c>
      <c r="K30838" s="16" t="n">
        <f aca="false">K30834*K30837</f>
        <v>52.8</v>
      </c>
    </row>
    <row r="30839" customFormat="false" ht="15" hidden="false" customHeight="false" outlineLevel="0" collapsed="false">
      <c r="A30839" s="3" t="s">
        <v>333</v>
      </c>
      <c r="G30839" s="16" t="n">
        <f aca="false">G30834*Assumptions!$H$57</f>
        <v>0</v>
      </c>
      <c r="H30839" s="16" t="n">
        <f aca="false">H30834*Assumptions!$H$57</f>
        <v>0</v>
      </c>
      <c r="I30839" s="16" t="n">
        <f aca="false">I30834*Assumptions!$H$57</f>
        <v>0</v>
      </c>
      <c r="J30839" s="16" t="n">
        <f aca="false">J30834*Assumptions!$H$57</f>
        <v>0</v>
      </c>
      <c r="K30839" s="16" t="n">
        <f aca="false">K30834*Assumptions!$H$57</f>
        <v>0</v>
      </c>
    </row>
    <row r="30840" customFormat="false" ht="15" hidden="false" customHeight="false" outlineLevel="0" collapsed="false">
      <c r="A30840" s="3" t="s">
        <v>334</v>
      </c>
      <c r="G30840" s="16" t="n">
        <f aca="false">MIN(G30834,Assumptions!$L$57*Assumptions!$C$57)</f>
        <v>4</v>
      </c>
      <c r="H30840" s="16" t="n">
        <f aca="false">MIN(H30834,Assumptions!$L$57*Assumptions!$C$57)</f>
        <v>4</v>
      </c>
      <c r="I30840" s="16" t="n">
        <f aca="false">MIN(I30834,Assumptions!$L$57*Assumptions!$C$57)</f>
        <v>4</v>
      </c>
      <c r="J30840" s="16" t="n">
        <f aca="false">MIN(J30834,Assumptions!$L$57*Assumptions!$C$57)</f>
        <v>4</v>
      </c>
      <c r="K30840" s="16" t="n">
        <f aca="false">MIN(K30834,Assumptions!$L$57*Assumptions!$C$57)</f>
        <v>4</v>
      </c>
    </row>
    <row r="30841" customFormat="false" ht="15" hidden="false" customHeight="false" outlineLevel="0" collapsed="false">
      <c r="A30841" s="3" t="s">
        <v>335</v>
      </c>
      <c r="G30841" s="16" t="n">
        <f aca="false">IF(AND(Assumptions!$P$57=1,G30798&lt;Assumptions!$K$57),MIN(MAX(0,-G31014),MAX(0,Assumptions!$D$57-G30834)),0)</f>
        <v>0</v>
      </c>
      <c r="H30841" s="16" t="n">
        <f aca="false">IF(AND(Assumptions!$P$57=1,OR(H30798&lt;Assumptions!$K$57,G31144=1)),MIN(MAX(0,-H31014),MAX(0,Assumptions!$D$57-H30834)),0)</f>
        <v>0</v>
      </c>
      <c r="I30841" s="16" t="n">
        <f aca="false">IF(AND(Assumptions!$P$57=1,OR(I30798&lt;Assumptions!$K$57,H31144=1)),MIN(MAX(0,-I31014),MAX(0,Assumptions!$D$57-I30834)),0)</f>
        <v>0</v>
      </c>
      <c r="J30841" s="16" t="n">
        <f aca="false">IF(AND(Assumptions!$P$57=1,OR(J30798&lt;Assumptions!$K$57,I31144=1)),MIN(MAX(0,-J31014),MAX(0,Assumptions!$D$57-J30834)),0)</f>
        <v>0</v>
      </c>
      <c r="K30841" s="16" t="n">
        <f aca="false">IF(AND(Assumptions!$P$57=1,OR(K30798&lt;Assumptions!$K$57,J31144=1)),MIN(MAX(0,-K31014),MAX(0,Assumptions!$D$57-K30834)),0)</f>
        <v>0</v>
      </c>
    </row>
    <row r="30842" customFormat="false" ht="15" hidden="false" customHeight="false" outlineLevel="0" collapsed="false">
      <c r="A30842" s="3" t="s">
        <v>336</v>
      </c>
      <c r="G30842" s="16" t="n">
        <f aca="false">G30835*MIN(G30834-G30840+G30839,MAX(0,G31016-Assumptions!$C$12*G30832))</f>
        <v>0</v>
      </c>
      <c r="H30842" s="16" t="n">
        <f aca="false">H30835*MIN(H30834-H30840+H30839,MAX(0,H31016-Assumptions!$C$12*H30832))</f>
        <v>0</v>
      </c>
      <c r="I30842" s="16" t="n">
        <f aca="false">I30835*MIN(I30834-I30840+I30839,MAX(0,I31016-Assumptions!$C$12*I30832))</f>
        <v>0</v>
      </c>
      <c r="J30842" s="16" t="n">
        <f aca="false">J30835*MIN(J30834-J30840+J30839,MAX(0,J31016-Assumptions!$C$12*J30832))</f>
        <v>0</v>
      </c>
      <c r="K30842" s="16" t="n">
        <f aca="false">K30835*MIN(K30834-K30840+K30839,MAX(0,K31016-Assumptions!$C$12*K30832))</f>
        <v>0</v>
      </c>
    </row>
    <row r="30843" customFormat="false" ht="15" hidden="false" customHeight="false" outlineLevel="0" collapsed="false">
      <c r="A30843" s="3" t="s">
        <v>337</v>
      </c>
      <c r="G30843" s="16" t="n">
        <f aca="false">Assumptions!$N$57*MIN(G30834+G30841+G30839-G30840-G30842,MAX(0,G31020))</f>
        <v>0</v>
      </c>
      <c r="H30843" s="16" t="n">
        <f aca="false">Assumptions!$N$57*MIN(H30834+H30841+H30839-H30840-H30842,MAX(0,H31020))</f>
        <v>0</v>
      </c>
      <c r="I30843" s="16" t="n">
        <f aca="false">Assumptions!$N$57*MIN(I30834+I30841+I30839-I30840-I30842,MAX(0,I31020))</f>
        <v>0</v>
      </c>
      <c r="J30843" s="16" t="n">
        <f aca="false">Assumptions!$N$57*MIN(J30834+J30841+J30839-J30840-J30842,MAX(0,J31020))</f>
        <v>0</v>
      </c>
      <c r="K30843" s="16" t="n">
        <f aca="false">Assumptions!$N$57*MIN(K30834+K30841+K30839-K30840-K30842,MAX(0,K31020))</f>
        <v>0</v>
      </c>
    </row>
    <row r="30844" customFormat="false" ht="15" hidden="false" customHeight="false" outlineLevel="0" collapsed="false">
      <c r="A30844" s="3" t="s">
        <v>338</v>
      </c>
      <c r="G30844" s="16" t="n">
        <f aca="false">G30835*(1-G30832)*(G30834-G30840+G30839-G30842)</f>
        <v>0</v>
      </c>
      <c r="H30844" s="16" t="n">
        <f aca="false">H30835*(1-H30832)*(H30834-H30840+H30839-H30842)</f>
        <v>0</v>
      </c>
      <c r="I30844" s="16" t="n">
        <f aca="false">I30835*(1-I30832)*(I30834-I30840+I30839-I30842)</f>
        <v>0</v>
      </c>
      <c r="J30844" s="16" t="n">
        <f aca="false">J30835*(1-J30832)*(J30834-J30840+J30839-J30842)</f>
        <v>0</v>
      </c>
      <c r="K30844" s="16" t="n">
        <f aca="false">K30835*(1-K30832)*(K30834-K30840+K30839-K30842)</f>
        <v>380</v>
      </c>
    </row>
    <row r="30845" customFormat="false" ht="15" hidden="false" customHeight="false" outlineLevel="0" collapsed="false">
      <c r="A30845" s="2" t="s">
        <v>339</v>
      </c>
      <c r="F30845" s="28" t="n">
        <f aca="false">Assumptions!$C$57</f>
        <v>400</v>
      </c>
      <c r="G30845" s="17" t="n">
        <f aca="false">G30834+G30841+G30839-G30840-G30842-G30843</f>
        <v>396</v>
      </c>
      <c r="H30845" s="17" t="n">
        <f aca="false">H30834+H30841+H30839-H30840-H30842-H30843</f>
        <v>392</v>
      </c>
      <c r="I30845" s="17" t="n">
        <f aca="false">I30834+I30841+I30839-I30840-I30842-I30843</f>
        <v>388</v>
      </c>
      <c r="J30845" s="17" t="n">
        <f aca="false">J30834+J30841+J30839-J30840-J30842-J30843</f>
        <v>384</v>
      </c>
      <c r="K30845" s="17" t="n">
        <f aca="false">K30834+K30841+K30839-K30840-K30842-K30843</f>
        <v>380</v>
      </c>
    </row>
    <row r="30846" customFormat="false" ht="15" hidden="false" customHeight="false" outlineLevel="0" collapsed="false">
      <c r="A30846" s="24" t="s">
        <v>340</v>
      </c>
      <c r="B30846" s="25"/>
      <c r="C30846" s="25"/>
      <c r="D30846" s="25"/>
      <c r="E30846" s="25"/>
      <c r="F30846" s="25"/>
      <c r="G30846" s="25"/>
      <c r="H30846" s="25"/>
      <c r="I30846" s="25"/>
      <c r="J30846" s="25"/>
      <c r="K30846" s="25"/>
    </row>
    <row r="30847" customFormat="false" ht="15" hidden="false" customHeight="false" outlineLevel="0" collapsed="false">
      <c r="A30847" s="3" t="s">
        <v>329</v>
      </c>
      <c r="G30847" s="16" t="n">
        <f aca="false">F30858</f>
        <v>90</v>
      </c>
      <c r="H30847" s="16" t="n">
        <f aca="false">G30858</f>
        <v>90</v>
      </c>
      <c r="I30847" s="16" t="n">
        <f aca="false">H30858</f>
        <v>90</v>
      </c>
      <c r="J30847" s="16" t="n">
        <f aca="false">I30858</f>
        <v>90</v>
      </c>
      <c r="K30847" s="16" t="n">
        <f aca="false">J30858</f>
        <v>90</v>
      </c>
    </row>
    <row r="30848" customFormat="false" ht="15" hidden="false" customHeight="false" outlineLevel="0" collapsed="false">
      <c r="A30848" s="3" t="s">
        <v>330</v>
      </c>
      <c r="G30848" s="21" t="n">
        <f aca="false">IF(G30798=Assumptions!$K$58,1,0)</f>
        <v>0</v>
      </c>
      <c r="H30848" s="21" t="n">
        <f aca="false">IF(H30798=Assumptions!$K$58,1,0)</f>
        <v>0</v>
      </c>
      <c r="I30848" s="21" t="n">
        <f aca="false">IF(I30798=Assumptions!$K$58,1,0)</f>
        <v>0</v>
      </c>
      <c r="J30848" s="21" t="n">
        <f aca="false">IF(J30798=Assumptions!$K$58,1,0)</f>
        <v>0</v>
      </c>
      <c r="K30848" s="21" t="n">
        <f aca="false">IF(K30798=Assumptions!$K$58,1,0)</f>
        <v>0</v>
      </c>
    </row>
    <row r="30850" customFormat="false" ht="15" hidden="false" customHeight="false" outlineLevel="0" collapsed="false">
      <c r="A30850" s="3" t="s">
        <v>331</v>
      </c>
      <c r="G30850" s="31" t="n">
        <f aca="false">IF(Assumptions!$I$58=1,MAX(G30824,Assumptions!$G$58)+Assumptions!$F$58+$C$30825,Assumptions!$E$58)</f>
        <v>0.0581</v>
      </c>
      <c r="H30850" s="31" t="n">
        <f aca="false">IF(G31145=1,$C$30826,IF(Assumptions!$I$58=1,MAX(H30824,Assumptions!$G$58)+Assumptions!$F$58+$C$30825,Assumptions!$E$58))</f>
        <v>0.0581</v>
      </c>
      <c r="I30850" s="31" t="n">
        <f aca="false">IF(H31145=1,$C$30826,IF(Assumptions!$I$58=1,MAX(I30824,Assumptions!$G$58)+Assumptions!$F$58+$C$30825,Assumptions!$E$58))</f>
        <v>0.0581</v>
      </c>
      <c r="J30850" s="31" t="n">
        <f aca="false">IF(I31145=1,$C$30826,IF(Assumptions!$I$58=1,MAX(J30824,Assumptions!$G$58)+Assumptions!$F$58+$C$30825,Assumptions!$E$58))</f>
        <v>0.0581</v>
      </c>
      <c r="K30850" s="31" t="n">
        <f aca="false">IF(J31145=1,$C$30826,IF(Assumptions!$I$58=1,MAX(K30824,Assumptions!$G$58)+Assumptions!$F$58+$C$30825,Assumptions!$E$58))</f>
        <v>0.0581</v>
      </c>
    </row>
    <row r="30851" customFormat="false" ht="15" hidden="false" customHeight="false" outlineLevel="0" collapsed="false">
      <c r="A30851" s="3" t="s">
        <v>332</v>
      </c>
      <c r="G30851" s="16" t="n">
        <f aca="false">G30847*G30850</f>
        <v>5.229</v>
      </c>
      <c r="H30851" s="16" t="n">
        <f aca="false">H30847*H30850</f>
        <v>5.229</v>
      </c>
      <c r="I30851" s="16" t="n">
        <f aca="false">I30847*I30850</f>
        <v>5.229</v>
      </c>
      <c r="J30851" s="16" t="n">
        <f aca="false">J30847*J30850</f>
        <v>5.229</v>
      </c>
      <c r="K30851" s="16" t="n">
        <f aca="false">K30847*K30850</f>
        <v>5.229</v>
      </c>
    </row>
    <row r="30852" customFormat="false" ht="15" hidden="false" customHeight="false" outlineLevel="0" collapsed="false">
      <c r="A30852" s="3" t="s">
        <v>333</v>
      </c>
      <c r="G30852" s="16" t="n">
        <f aca="false">G30847*Assumptions!$H$58</f>
        <v>0</v>
      </c>
      <c r="H30852" s="16" t="n">
        <f aca="false">H30847*Assumptions!$H$58</f>
        <v>0</v>
      </c>
      <c r="I30852" s="16" t="n">
        <f aca="false">I30847*Assumptions!$H$58</f>
        <v>0</v>
      </c>
      <c r="J30852" s="16" t="n">
        <f aca="false">J30847*Assumptions!$H$58</f>
        <v>0</v>
      </c>
      <c r="K30852" s="16" t="n">
        <f aca="false">K30847*Assumptions!$H$58</f>
        <v>0</v>
      </c>
    </row>
    <row r="30853" customFormat="false" ht="15" hidden="false" customHeight="false" outlineLevel="0" collapsed="false">
      <c r="A30853" s="3" t="s">
        <v>334</v>
      </c>
      <c r="G30853" s="16" t="n">
        <f aca="false">MIN(G30847,Assumptions!$L$58*Assumptions!$C$58)</f>
        <v>0</v>
      </c>
      <c r="H30853" s="16" t="n">
        <f aca="false">MIN(H30847,Assumptions!$L$58*Assumptions!$C$58)</f>
        <v>0</v>
      </c>
      <c r="I30853" s="16" t="n">
        <f aca="false">MIN(I30847,Assumptions!$L$58*Assumptions!$C$58)</f>
        <v>0</v>
      </c>
      <c r="J30853" s="16" t="n">
        <f aca="false">MIN(J30847,Assumptions!$L$58*Assumptions!$C$58)</f>
        <v>0</v>
      </c>
      <c r="K30853" s="16" t="n">
        <f aca="false">MIN(K30847,Assumptions!$L$58*Assumptions!$C$58)</f>
        <v>0</v>
      </c>
    </row>
    <row r="30854" customFormat="false" ht="15" hidden="false" customHeight="false" outlineLevel="0" collapsed="false">
      <c r="A30854" s="3" t="s">
        <v>335</v>
      </c>
      <c r="G30854" s="16" t="n">
        <f aca="false">IF(AND(Assumptions!$P$58=1,G30798&lt;Assumptions!$K$58),MIN(MAX(0,-G31014),MAX(0,Assumptions!$D$58-G30847)),0)</f>
        <v>0</v>
      </c>
      <c r="H30854" s="16" t="n">
        <f aca="false">IF(AND(Assumptions!$P$58=1,OR(H30798&lt;Assumptions!$K$58,G31145=1)),MIN(MAX(0,-H31014),MAX(0,Assumptions!$D$58-H30847)),0)</f>
        <v>0</v>
      </c>
      <c r="I30854" s="16" t="n">
        <f aca="false">IF(AND(Assumptions!$P$58=1,OR(I30798&lt;Assumptions!$K$58,H31145=1)),MIN(MAX(0,-I31014),MAX(0,Assumptions!$D$58-I30847)),0)</f>
        <v>0</v>
      </c>
      <c r="J30854" s="16" t="n">
        <f aca="false">IF(AND(Assumptions!$P$58=1,OR(J30798&lt;Assumptions!$K$58,I31145=1)),MIN(MAX(0,-J31014),MAX(0,Assumptions!$D$58-J30847)),0)</f>
        <v>0</v>
      </c>
      <c r="K30854" s="16" t="n">
        <f aca="false">IF(AND(Assumptions!$P$58=1,OR(K30798&lt;Assumptions!$K$58,J31145=1)),MIN(MAX(0,-K31014),MAX(0,Assumptions!$D$58-K30847)),0)</f>
        <v>0</v>
      </c>
    </row>
    <row r="30855" customFormat="false" ht="15" hidden="false" customHeight="false" outlineLevel="0" collapsed="false">
      <c r="A30855" s="3" t="s">
        <v>336</v>
      </c>
      <c r="G30855" s="16" t="n">
        <f aca="false">G30848*MIN(G30847-G30853+G30852,MAX(0,G31016-Assumptions!$C$12*G30832-G30842))</f>
        <v>0</v>
      </c>
      <c r="H30855" s="16" t="n">
        <f aca="false">H30848*MIN(H30847-H30853+H30852,MAX(0,H31016-Assumptions!$C$12*H30832-H30842))</f>
        <v>0</v>
      </c>
      <c r="I30855" s="16" t="n">
        <f aca="false">I30848*MIN(I30847-I30853+I30852,MAX(0,I31016-Assumptions!$C$12*I30832-I30842))</f>
        <v>0</v>
      </c>
      <c r="J30855" s="16" t="n">
        <f aca="false">J30848*MIN(J30847-J30853+J30852,MAX(0,J31016-Assumptions!$C$12*J30832-J30842))</f>
        <v>0</v>
      </c>
      <c r="K30855" s="16" t="n">
        <f aca="false">K30848*MIN(K30847-K30853+K30852,MAX(0,K31016-Assumptions!$C$12*K30832-K30842))</f>
        <v>0</v>
      </c>
    </row>
    <row r="30856" customFormat="false" ht="15" hidden="false" customHeight="false" outlineLevel="0" collapsed="false">
      <c r="A30856" s="3" t="s">
        <v>337</v>
      </c>
      <c r="G30856" s="16" t="n">
        <f aca="false">Assumptions!$N$58*MIN(G30847+G30854+G30852-G30853-G30855,MAX(0,G31020-G30843))</f>
        <v>0</v>
      </c>
      <c r="H30856" s="16" t="n">
        <f aca="false">Assumptions!$N$58*MIN(H30847+H30854+H30852-H30853-H30855,MAX(0,H31020-H30843))</f>
        <v>0</v>
      </c>
      <c r="I30856" s="16" t="n">
        <f aca="false">Assumptions!$N$58*MIN(I30847+I30854+I30852-I30853-I30855,MAX(0,I31020-I30843))</f>
        <v>0</v>
      </c>
      <c r="J30856" s="16" t="n">
        <f aca="false">Assumptions!$N$58*MIN(J30847+J30854+J30852-J30853-J30855,MAX(0,J31020-J30843))</f>
        <v>0</v>
      </c>
      <c r="K30856" s="16" t="n">
        <f aca="false">Assumptions!$N$58*MIN(K30847+K30854+K30852-K30853-K30855,MAX(0,K31020-K30843))</f>
        <v>0</v>
      </c>
    </row>
    <row r="30857" customFormat="false" ht="15" hidden="false" customHeight="false" outlineLevel="0" collapsed="false">
      <c r="A30857" s="3" t="s">
        <v>338</v>
      </c>
      <c r="G30857" s="16" t="n">
        <f aca="false">G30848*(1-G30832)*(G30847-G30853+G30852-G30855)</f>
        <v>0</v>
      </c>
      <c r="H30857" s="16" t="n">
        <f aca="false">H30848*(1-H30832)*(H30847-H30853+H30852-H30855)</f>
        <v>0</v>
      </c>
      <c r="I30857" s="16" t="n">
        <f aca="false">I30848*(1-I30832)*(I30847-I30853+I30852-I30855)</f>
        <v>0</v>
      </c>
      <c r="J30857" s="16" t="n">
        <f aca="false">J30848*(1-J30832)*(J30847-J30853+J30852-J30855)</f>
        <v>0</v>
      </c>
      <c r="K30857" s="16" t="n">
        <f aca="false">K30848*(1-K30832)*(K30847-K30853+K30852-K30855)</f>
        <v>0</v>
      </c>
    </row>
    <row r="30858" customFormat="false" ht="15" hidden="false" customHeight="false" outlineLevel="0" collapsed="false">
      <c r="A30858" s="2" t="s">
        <v>339</v>
      </c>
      <c r="F30858" s="28" t="n">
        <f aca="false">Assumptions!$C$58</f>
        <v>90</v>
      </c>
      <c r="G30858" s="17" t="n">
        <f aca="false">G30847+G30854+G30852-G30853-G30855-G30856</f>
        <v>90</v>
      </c>
      <c r="H30858" s="17" t="n">
        <f aca="false">H30847+H30854+H30852-H30853-H30855-H30856</f>
        <v>90</v>
      </c>
      <c r="I30858" s="17" t="n">
        <f aca="false">I30847+I30854+I30852-I30853-I30855-I30856</f>
        <v>90</v>
      </c>
      <c r="J30858" s="17" t="n">
        <f aca="false">J30847+J30854+J30852-J30853-J30855-J30856</f>
        <v>90</v>
      </c>
      <c r="K30858" s="17" t="n">
        <f aca="false">K30847+K30854+K30852-K30853-K30855-K30856</f>
        <v>90</v>
      </c>
    </row>
    <row r="30859" customFormat="false" ht="15" hidden="false" customHeight="false" outlineLevel="0" collapsed="false">
      <c r="A30859" s="24" t="s">
        <v>341</v>
      </c>
      <c r="B30859" s="25"/>
      <c r="C30859" s="25"/>
      <c r="D30859" s="25"/>
      <c r="E30859" s="25"/>
      <c r="F30859" s="25"/>
      <c r="G30859" s="25"/>
      <c r="H30859" s="25"/>
      <c r="I30859" s="25"/>
      <c r="J30859" s="25"/>
      <c r="K30859" s="25"/>
    </row>
    <row r="30860" customFormat="false" ht="15" hidden="false" customHeight="false" outlineLevel="0" collapsed="false">
      <c r="A30860" s="3" t="s">
        <v>329</v>
      </c>
      <c r="G30860" s="16" t="n">
        <f aca="false">F30871</f>
        <v>57.324</v>
      </c>
      <c r="H30860" s="16" t="n">
        <f aca="false">G30871</f>
        <v>57.324</v>
      </c>
      <c r="I30860" s="16" t="n">
        <f aca="false">H30871</f>
        <v>57.324</v>
      </c>
      <c r="J30860" s="16" t="n">
        <f aca="false">I30871</f>
        <v>57.324</v>
      </c>
      <c r="K30860" s="16" t="n">
        <f aca="false">J30871</f>
        <v>57.324</v>
      </c>
    </row>
    <row r="30861" customFormat="false" ht="15" hidden="false" customHeight="false" outlineLevel="0" collapsed="false">
      <c r="A30861" s="3" t="s">
        <v>330</v>
      </c>
      <c r="G30861" s="21" t="n">
        <f aca="false">IF(G30798=Assumptions!$K$59,1,0)</f>
        <v>0</v>
      </c>
      <c r="H30861" s="21" t="n">
        <f aca="false">IF(H30798=Assumptions!$K$59,1,0)</f>
        <v>0</v>
      </c>
      <c r="I30861" s="21" t="n">
        <f aca="false">IF(I30798=Assumptions!$K$59,1,0)</f>
        <v>0</v>
      </c>
      <c r="J30861" s="21" t="n">
        <f aca="false">IF(J30798=Assumptions!$K$59,1,0)</f>
        <v>0</v>
      </c>
      <c r="K30861" s="21" t="n">
        <f aca="false">IF(K30798=Assumptions!$K$59,1,0)</f>
        <v>0</v>
      </c>
    </row>
    <row r="30863" customFormat="false" ht="15" hidden="false" customHeight="false" outlineLevel="0" collapsed="false">
      <c r="A30863" s="3" t="s">
        <v>331</v>
      </c>
      <c r="G30863" s="31" t="n">
        <f aca="false">IF(Assumptions!$I$59=1,MAX(G30824,Assumptions!$G$59)+Assumptions!$F$59+$C$30825,Assumptions!$E$59)</f>
        <v>0.0731</v>
      </c>
      <c r="H30863" s="31" t="n">
        <f aca="false">IF(G31146=1,$C$30826,IF(Assumptions!$I$59=1,MAX(H30824,Assumptions!$G$59)+Assumptions!$F$59+$C$30825,Assumptions!$E$59))</f>
        <v>0.0731</v>
      </c>
      <c r="I30863" s="31" t="n">
        <f aca="false">IF(H31146=1,$C$30826,IF(Assumptions!$I$59=1,MAX(I30824,Assumptions!$G$59)+Assumptions!$F$59+$C$30825,Assumptions!$E$59))</f>
        <v>0.0731</v>
      </c>
      <c r="J30863" s="31" t="n">
        <f aca="false">IF(I31146=1,$C$30826,IF(Assumptions!$I$59=1,MAX(J30824,Assumptions!$G$59)+Assumptions!$F$59+$C$30825,Assumptions!$E$59))</f>
        <v>0.0731</v>
      </c>
      <c r="K30863" s="31" t="n">
        <f aca="false">IF(J31146=1,$C$30826,IF(Assumptions!$I$59=1,MAX(K30824,Assumptions!$G$59)+Assumptions!$F$59+$C$30825,Assumptions!$E$59))</f>
        <v>0.0731</v>
      </c>
    </row>
    <row r="30864" customFormat="false" ht="15" hidden="false" customHeight="false" outlineLevel="0" collapsed="false">
      <c r="A30864" s="3" t="s">
        <v>332</v>
      </c>
      <c r="G30864" s="16" t="n">
        <f aca="false">G30860*G30863</f>
        <v>4.1903844</v>
      </c>
      <c r="H30864" s="16" t="n">
        <f aca="false">H30860*H30863</f>
        <v>4.1903844</v>
      </c>
      <c r="I30864" s="16" t="n">
        <f aca="false">I30860*I30863</f>
        <v>4.1903844</v>
      </c>
      <c r="J30864" s="16" t="n">
        <f aca="false">J30860*J30863</f>
        <v>4.1903844</v>
      </c>
      <c r="K30864" s="16" t="n">
        <f aca="false">K30860*K30863</f>
        <v>4.1903844</v>
      </c>
    </row>
    <row r="30865" customFormat="false" ht="15" hidden="false" customHeight="false" outlineLevel="0" collapsed="false">
      <c r="A30865" s="3" t="s">
        <v>333</v>
      </c>
      <c r="G30865" s="16" t="n">
        <f aca="false">G30860*Assumptions!$H$59</f>
        <v>0</v>
      </c>
      <c r="H30865" s="16" t="n">
        <f aca="false">H30860*Assumptions!$H$59</f>
        <v>0</v>
      </c>
      <c r="I30865" s="16" t="n">
        <f aca="false">I30860*Assumptions!$H$59</f>
        <v>0</v>
      </c>
      <c r="J30865" s="16" t="n">
        <f aca="false">J30860*Assumptions!$H$59</f>
        <v>0</v>
      </c>
      <c r="K30865" s="16" t="n">
        <f aca="false">K30860*Assumptions!$H$59</f>
        <v>0</v>
      </c>
    </row>
    <row r="30866" customFormat="false" ht="15" hidden="false" customHeight="false" outlineLevel="0" collapsed="false">
      <c r="A30866" s="3" t="s">
        <v>334</v>
      </c>
      <c r="G30866" s="16" t="n">
        <f aca="false">MIN(G30860,Assumptions!$L$59*Assumptions!$C$59)</f>
        <v>0</v>
      </c>
      <c r="H30866" s="16" t="n">
        <f aca="false">MIN(H30860,Assumptions!$L$59*Assumptions!$C$59)</f>
        <v>0</v>
      </c>
      <c r="I30866" s="16" t="n">
        <f aca="false">MIN(I30860,Assumptions!$L$59*Assumptions!$C$59)</f>
        <v>0</v>
      </c>
      <c r="J30866" s="16" t="n">
        <f aca="false">MIN(J30860,Assumptions!$L$59*Assumptions!$C$59)</f>
        <v>0</v>
      </c>
      <c r="K30866" s="16" t="n">
        <f aca="false">MIN(K30860,Assumptions!$L$59*Assumptions!$C$59)</f>
        <v>0</v>
      </c>
    </row>
    <row r="30867" customFormat="false" ht="15" hidden="false" customHeight="false" outlineLevel="0" collapsed="false">
      <c r="A30867" s="3" t="s">
        <v>335</v>
      </c>
      <c r="G30867" s="16" t="n">
        <f aca="false">IF(AND(Assumptions!$P$59=1,G30798&lt;Assumptions!$K$59),MIN(MAX(0,-G31014),MAX(0,Assumptions!$D$59-G30860)),0)</f>
        <v>0</v>
      </c>
      <c r="H30867" s="16" t="n">
        <f aca="false">IF(AND(Assumptions!$P$59=1,OR(H30798&lt;Assumptions!$K$59,G31146=1)),MIN(MAX(0,-H31014),MAX(0,Assumptions!$D$59-H30860)),0)</f>
        <v>0</v>
      </c>
      <c r="I30867" s="16" t="n">
        <f aca="false">IF(AND(Assumptions!$P$59=1,OR(I30798&lt;Assumptions!$K$59,H31146=1)),MIN(MAX(0,-I31014),MAX(0,Assumptions!$D$59-I30860)),0)</f>
        <v>0</v>
      </c>
      <c r="J30867" s="16" t="n">
        <f aca="false">IF(AND(Assumptions!$P$59=1,OR(J30798&lt;Assumptions!$K$59,I31146=1)),MIN(MAX(0,-J31014),MAX(0,Assumptions!$D$59-J30860)),0)</f>
        <v>0</v>
      </c>
      <c r="K30867" s="16" t="n">
        <f aca="false">IF(AND(Assumptions!$P$59=1,OR(K30798&lt;Assumptions!$K$59,J31146=1)),MIN(MAX(0,-K31014),MAX(0,Assumptions!$D$59-K30860)),0)</f>
        <v>0</v>
      </c>
    </row>
    <row r="30868" customFormat="false" ht="15" hidden="false" customHeight="false" outlineLevel="0" collapsed="false">
      <c r="A30868" s="3" t="s">
        <v>336</v>
      </c>
      <c r="G30868" s="16" t="n">
        <f aca="false">G30861*MIN(G30860-G30866+G30865,MAX(0,G31016-Assumptions!$C$12*G30832-G30842-G30855))</f>
        <v>0</v>
      </c>
      <c r="H30868" s="16" t="n">
        <f aca="false">H30861*MIN(H30860-H30866+H30865,MAX(0,H31016-Assumptions!$C$12*H30832-H30842-H30855))</f>
        <v>0</v>
      </c>
      <c r="I30868" s="16" t="n">
        <f aca="false">I30861*MIN(I30860-I30866+I30865,MAX(0,I31016-Assumptions!$C$12*I30832-I30842-I30855))</f>
        <v>0</v>
      </c>
      <c r="J30868" s="16" t="n">
        <f aca="false">J30861*MIN(J30860-J30866+J30865,MAX(0,J31016-Assumptions!$C$12*J30832-J30842-J30855))</f>
        <v>0</v>
      </c>
      <c r="K30868" s="16" t="n">
        <f aca="false">K30861*MIN(K30860-K30866+K30865,MAX(0,K31016-Assumptions!$C$12*K30832-K30842-K30855))</f>
        <v>0</v>
      </c>
    </row>
    <row r="30869" customFormat="false" ht="15" hidden="false" customHeight="false" outlineLevel="0" collapsed="false">
      <c r="A30869" s="3" t="s">
        <v>337</v>
      </c>
      <c r="G30869" s="16" t="n">
        <f aca="false">Assumptions!$N$59*MIN(G30860+G30867+G30865-G30866-G30868,MAX(0,G31020-G30843-G30856))</f>
        <v>0</v>
      </c>
      <c r="H30869" s="16" t="n">
        <f aca="false">Assumptions!$N$59*MIN(H30860+H30867+H30865-H30866-H30868,MAX(0,H31020-H30843-H30856))</f>
        <v>0</v>
      </c>
      <c r="I30869" s="16" t="n">
        <f aca="false">Assumptions!$N$59*MIN(I30860+I30867+I30865-I30866-I30868,MAX(0,I31020-I30843-I30856))</f>
        <v>0</v>
      </c>
      <c r="J30869" s="16" t="n">
        <f aca="false">Assumptions!$N$59*MIN(J30860+J30867+J30865-J30866-J30868,MAX(0,J31020-J30843-J30856))</f>
        <v>0</v>
      </c>
      <c r="K30869" s="16" t="n">
        <f aca="false">Assumptions!$N$59*MIN(K30860+K30867+K30865-K30866-K30868,MAX(0,K31020-K30843-K30856))</f>
        <v>0</v>
      </c>
    </row>
    <row r="30870" customFormat="false" ht="15" hidden="false" customHeight="false" outlineLevel="0" collapsed="false">
      <c r="A30870" s="3" t="s">
        <v>338</v>
      </c>
      <c r="G30870" s="16" t="n">
        <f aca="false">G30861*(1-G30832)*(G30860-G30866+G30865-G30868)</f>
        <v>0</v>
      </c>
      <c r="H30870" s="16" t="n">
        <f aca="false">H30861*(1-H30832)*(H30860-H30866+H30865-H30868)</f>
        <v>0</v>
      </c>
      <c r="I30870" s="16" t="n">
        <f aca="false">I30861*(1-I30832)*(I30860-I30866+I30865-I30868)</f>
        <v>0</v>
      </c>
      <c r="J30870" s="16" t="n">
        <f aca="false">J30861*(1-J30832)*(J30860-J30866+J30865-J30868)</f>
        <v>0</v>
      </c>
      <c r="K30870" s="16" t="n">
        <f aca="false">K30861*(1-K30832)*(K30860-K30866+K30865-K30868)</f>
        <v>0</v>
      </c>
    </row>
    <row r="30871" customFormat="false" ht="15" hidden="false" customHeight="false" outlineLevel="0" collapsed="false">
      <c r="A30871" s="2" t="s">
        <v>339</v>
      </c>
      <c r="F30871" s="28" t="n">
        <f aca="false">Assumptions!$C$59</f>
        <v>57.324</v>
      </c>
      <c r="G30871" s="17" t="n">
        <f aca="false">G30860+G30867+G30865-G30866-G30868-G30869</f>
        <v>57.324</v>
      </c>
      <c r="H30871" s="17" t="n">
        <f aca="false">H30860+H30867+H30865-H30866-H30868-H30869</f>
        <v>57.324</v>
      </c>
      <c r="I30871" s="17" t="n">
        <f aca="false">I30860+I30867+I30865-I30866-I30868-I30869</f>
        <v>57.324</v>
      </c>
      <c r="J30871" s="17" t="n">
        <f aca="false">J30860+J30867+J30865-J30866-J30868-J30869</f>
        <v>57.324</v>
      </c>
      <c r="K30871" s="17" t="n">
        <f aca="false">K30860+K30867+K30865-K30866-K30868-K30869</f>
        <v>57.324</v>
      </c>
    </row>
    <row r="30872" customFormat="false" ht="15" hidden="false" customHeight="false" outlineLevel="0" collapsed="false">
      <c r="A30872" s="24" t="s">
        <v>342</v>
      </c>
      <c r="B30872" s="25"/>
      <c r="C30872" s="25"/>
      <c r="D30872" s="25"/>
      <c r="E30872" s="25"/>
      <c r="F30872" s="25"/>
      <c r="G30872" s="25"/>
      <c r="H30872" s="25"/>
      <c r="I30872" s="25"/>
      <c r="J30872" s="25"/>
      <c r="K30872" s="25"/>
    </row>
    <row r="30873" customFormat="false" ht="15" hidden="false" customHeight="false" outlineLevel="0" collapsed="false">
      <c r="A30873" s="3" t="s">
        <v>329</v>
      </c>
      <c r="G30873" s="16" t="n">
        <f aca="false">F30884</f>
        <v>0</v>
      </c>
      <c r="H30873" s="16" t="n">
        <f aca="false">G30884</f>
        <v>0</v>
      </c>
      <c r="I30873" s="16" t="n">
        <f aca="false">H30884</f>
        <v>0</v>
      </c>
      <c r="J30873" s="16" t="n">
        <f aca="false">I30884</f>
        <v>0</v>
      </c>
      <c r="K30873" s="16" t="n">
        <f aca="false">J30884</f>
        <v>0</v>
      </c>
    </row>
    <row r="30874" customFormat="false" ht="15" hidden="false" customHeight="false" outlineLevel="0" collapsed="false">
      <c r="A30874" s="3" t="s">
        <v>330</v>
      </c>
      <c r="G30874" s="21" t="n">
        <f aca="false">IF(G30798=Assumptions!$K$60,1,0)</f>
        <v>1</v>
      </c>
      <c r="H30874" s="21" t="n">
        <f aca="false">IF(H30798=Assumptions!$K$60,1,0)</f>
        <v>0</v>
      </c>
      <c r="I30874" s="21" t="n">
        <f aca="false">IF(I30798=Assumptions!$K$60,1,0)</f>
        <v>0</v>
      </c>
      <c r="J30874" s="21" t="n">
        <f aca="false">IF(J30798=Assumptions!$K$60,1,0)</f>
        <v>0</v>
      </c>
      <c r="K30874" s="21" t="n">
        <f aca="false">IF(K30798=Assumptions!$K$60,1,0)</f>
        <v>0</v>
      </c>
    </row>
    <row r="30876" customFormat="false" ht="15" hidden="false" customHeight="false" outlineLevel="0" collapsed="false">
      <c r="A30876" s="3" t="s">
        <v>331</v>
      </c>
      <c r="G30876" s="31" t="n">
        <f aca="false">IF(Assumptions!$I$60=1,MAX(G30824,Assumptions!$G$60)+Assumptions!$F$60+$C$30825,Assumptions!$E$60)</f>
        <v>0.104</v>
      </c>
      <c r="H30876" s="31" t="n">
        <f aca="false">IF(G31147=1,$C$30826,IF(Assumptions!$I$60=1,MAX(H30824,Assumptions!$G$60)+Assumptions!$F$60+$C$30825,Assumptions!$E$60))</f>
        <v>0.1025</v>
      </c>
      <c r="I30876" s="31" t="n">
        <f aca="false">IF(H31147=1,$C$30826,IF(Assumptions!$I$60=1,MAX(I30824,Assumptions!$G$60)+Assumptions!$F$60+$C$30825,Assumptions!$E$60))</f>
        <v>0.1</v>
      </c>
      <c r="J30876" s="31" t="n">
        <f aca="false">IF(I31147=1,$C$30826,IF(Assumptions!$I$60=1,MAX(J30824,Assumptions!$G$60)+Assumptions!$F$60+$C$30825,Assumptions!$E$60))</f>
        <v>0.1</v>
      </c>
      <c r="K30876" s="31" t="n">
        <f aca="false">IF(J31147=1,$C$30826,IF(Assumptions!$I$60=1,MAX(K30824,Assumptions!$G$60)+Assumptions!$F$60+$C$30825,Assumptions!$E$60))</f>
        <v>0.1</v>
      </c>
    </row>
    <row r="30877" customFormat="false" ht="15" hidden="false" customHeight="false" outlineLevel="0" collapsed="false">
      <c r="A30877" s="3" t="s">
        <v>332</v>
      </c>
      <c r="G30877" s="16" t="n">
        <f aca="false">G30873*G30876</f>
        <v>0</v>
      </c>
      <c r="H30877" s="16" t="n">
        <f aca="false">H30873*H30876</f>
        <v>0</v>
      </c>
      <c r="I30877" s="16" t="n">
        <f aca="false">I30873*I30876</f>
        <v>0</v>
      </c>
      <c r="J30877" s="16" t="n">
        <f aca="false">J30873*J30876</f>
        <v>0</v>
      </c>
      <c r="K30877" s="16" t="n">
        <f aca="false">K30873*K30876</f>
        <v>0</v>
      </c>
    </row>
    <row r="30878" customFormat="false" ht="15" hidden="false" customHeight="false" outlineLevel="0" collapsed="false">
      <c r="A30878" s="3" t="s">
        <v>333</v>
      </c>
      <c r="G30878" s="16" t="n">
        <f aca="false">G30873*Assumptions!$H$60</f>
        <v>0</v>
      </c>
      <c r="H30878" s="16" t="n">
        <f aca="false">H30873*Assumptions!$H$60</f>
        <v>0</v>
      </c>
      <c r="I30878" s="16" t="n">
        <f aca="false">I30873*Assumptions!$H$60</f>
        <v>0</v>
      </c>
      <c r="J30878" s="16" t="n">
        <f aca="false">J30873*Assumptions!$H$60</f>
        <v>0</v>
      </c>
      <c r="K30878" s="16" t="n">
        <f aca="false">K30873*Assumptions!$H$60</f>
        <v>0</v>
      </c>
    </row>
    <row r="30879" customFormat="false" ht="15" hidden="false" customHeight="false" outlineLevel="0" collapsed="false">
      <c r="A30879" s="3" t="s">
        <v>334</v>
      </c>
      <c r="G30879" s="16" t="n">
        <f aca="false">MIN(G30873,Assumptions!$L$60*Assumptions!$C$60)</f>
        <v>0</v>
      </c>
      <c r="H30879" s="16" t="n">
        <f aca="false">MIN(H30873,Assumptions!$L$60*Assumptions!$C$60)</f>
        <v>0</v>
      </c>
      <c r="I30879" s="16" t="n">
        <f aca="false">MIN(I30873,Assumptions!$L$60*Assumptions!$C$60)</f>
        <v>0</v>
      </c>
      <c r="J30879" s="16" t="n">
        <f aca="false">MIN(J30873,Assumptions!$L$60*Assumptions!$C$60)</f>
        <v>0</v>
      </c>
      <c r="K30879" s="16" t="n">
        <f aca="false">MIN(K30873,Assumptions!$L$60*Assumptions!$C$60)</f>
        <v>0</v>
      </c>
    </row>
    <row r="30880" customFormat="false" ht="15" hidden="false" customHeight="false" outlineLevel="0" collapsed="false">
      <c r="A30880" s="3" t="s">
        <v>335</v>
      </c>
      <c r="G30880" s="16" t="n">
        <f aca="false">IF(AND(Assumptions!$P$60=1,G30798&lt;Assumptions!$K$60),MIN(MAX(0,-G31014),MAX(0,Assumptions!$D$60-G30873)),0)</f>
        <v>0</v>
      </c>
      <c r="H30880" s="16" t="n">
        <f aca="false">IF(AND(Assumptions!$P$60=1,OR(H30798&lt;Assumptions!$K$60,G31147=1)),MIN(MAX(0,-H31014),MAX(0,Assumptions!$D$60-H30873)),0)</f>
        <v>0</v>
      </c>
      <c r="I30880" s="16" t="n">
        <f aca="false">IF(AND(Assumptions!$P$60=1,OR(I30798&lt;Assumptions!$K$60,H31147=1)),MIN(MAX(0,-I31014),MAX(0,Assumptions!$D$60-I30873)),0)</f>
        <v>0</v>
      </c>
      <c r="J30880" s="16" t="n">
        <f aca="false">IF(AND(Assumptions!$P$60=1,OR(J30798&lt;Assumptions!$K$60,I31147=1)),MIN(MAX(0,-J31014),MAX(0,Assumptions!$D$60-J30873)),0)</f>
        <v>0</v>
      </c>
      <c r="K30880" s="16" t="n">
        <f aca="false">IF(AND(Assumptions!$P$60=1,OR(K30798&lt;Assumptions!$K$60,J31147=1)),MIN(MAX(0,-K31014),MAX(0,Assumptions!$D$60-K30873)),0)</f>
        <v>0</v>
      </c>
    </row>
    <row r="30881" customFormat="false" ht="15" hidden="false" customHeight="false" outlineLevel="0" collapsed="false">
      <c r="A30881" s="3" t="s">
        <v>336</v>
      </c>
      <c r="G30881" s="16" t="n">
        <f aca="false">G30874*MIN(G30873-G30879+G30878,MAX(0,G31016-Assumptions!$C$12*G30832-G30842-G30855-G30868))</f>
        <v>0</v>
      </c>
      <c r="H30881" s="16" t="n">
        <f aca="false">H30874*MIN(H30873-H30879+H30878,MAX(0,H31016-Assumptions!$C$12*H30832-H30842-H30855-H30868))</f>
        <v>0</v>
      </c>
      <c r="I30881" s="16" t="n">
        <f aca="false">I30874*MIN(I30873-I30879+I30878,MAX(0,I31016-Assumptions!$C$12*I30832-I30842-I30855-I30868))</f>
        <v>0</v>
      </c>
      <c r="J30881" s="16" t="n">
        <f aca="false">J30874*MIN(J30873-J30879+J30878,MAX(0,J31016-Assumptions!$C$12*J30832-J30842-J30855-J30868))</f>
        <v>0</v>
      </c>
      <c r="K30881" s="16" t="n">
        <f aca="false">K30874*MIN(K30873-K30879+K30878,MAX(0,K31016-Assumptions!$C$12*K30832-K30842-K30855-K30868))</f>
        <v>0</v>
      </c>
    </row>
    <row r="30882" customFormat="false" ht="15" hidden="false" customHeight="false" outlineLevel="0" collapsed="false">
      <c r="A30882" s="3" t="s">
        <v>337</v>
      </c>
      <c r="G30882" s="16" t="n">
        <f aca="false">Assumptions!$N$60*MIN(G30873+G30880+G30878-G30879-G30881,MAX(0,G31020-G30843-G30856-G30869))</f>
        <v>0</v>
      </c>
      <c r="H30882" s="16" t="n">
        <f aca="false">Assumptions!$N$60*MIN(H30873+H30880+H30878-H30879-H30881,MAX(0,H31020-H30843-H30856-H30869))</f>
        <v>0</v>
      </c>
      <c r="I30882" s="16" t="n">
        <f aca="false">Assumptions!$N$60*MIN(I30873+I30880+I30878-I30879-I30881,MAX(0,I31020-I30843-I30856-I30869))</f>
        <v>0</v>
      </c>
      <c r="J30882" s="16" t="n">
        <f aca="false">Assumptions!$N$60*MIN(J30873+J30880+J30878-J30879-J30881,MAX(0,J31020-J30843-J30856-J30869))</f>
        <v>0</v>
      </c>
      <c r="K30882" s="16" t="n">
        <f aca="false">Assumptions!$N$60*MIN(K30873+K30880+K30878-K30879-K30881,MAX(0,K31020-K30843-K30856-K30869))</f>
        <v>0</v>
      </c>
    </row>
    <row r="30883" customFormat="false" ht="15" hidden="false" customHeight="false" outlineLevel="0" collapsed="false">
      <c r="A30883" s="3" t="s">
        <v>338</v>
      </c>
      <c r="G30883" s="16" t="n">
        <f aca="false">G30874*(1-G30832)*(G30873-G30879+G30878-G30881)</f>
        <v>0</v>
      </c>
      <c r="H30883" s="16" t="n">
        <f aca="false">H30874*(1-H30832)*(H30873-H30879+H30878-H30881)</f>
        <v>0</v>
      </c>
      <c r="I30883" s="16" t="n">
        <f aca="false">I30874*(1-I30832)*(I30873-I30879+I30878-I30881)</f>
        <v>0</v>
      </c>
      <c r="J30883" s="16" t="n">
        <f aca="false">J30874*(1-J30832)*(J30873-J30879+J30878-J30881)</f>
        <v>0</v>
      </c>
      <c r="K30883" s="16" t="n">
        <f aca="false">K30874*(1-K30832)*(K30873-K30879+K30878-K30881)</f>
        <v>0</v>
      </c>
    </row>
    <row r="30884" customFormat="false" ht="15" hidden="false" customHeight="false" outlineLevel="0" collapsed="false">
      <c r="A30884" s="2" t="s">
        <v>339</v>
      </c>
      <c r="F30884" s="28" t="n">
        <f aca="false">Assumptions!$C$60</f>
        <v>0</v>
      </c>
      <c r="G30884" s="17" t="n">
        <f aca="false">G30873+G30880+G30878-G30879-G30881-G30882</f>
        <v>0</v>
      </c>
      <c r="H30884" s="17" t="n">
        <f aca="false">H30873+H30880+H30878-H30879-H30881-H30882</f>
        <v>0</v>
      </c>
      <c r="I30884" s="17" t="n">
        <f aca="false">I30873+I30880+I30878-I30879-I30881-I30882</f>
        <v>0</v>
      </c>
      <c r="J30884" s="17" t="n">
        <f aca="false">J30873+J30880+J30878-J30879-J30881-J30882</f>
        <v>0</v>
      </c>
      <c r="K30884" s="17" t="n">
        <f aca="false">K30873+K30880+K30878-K30879-K30881-K30882</f>
        <v>0</v>
      </c>
    </row>
    <row r="30885" customFormat="false" ht="15" hidden="false" customHeight="false" outlineLevel="0" collapsed="false">
      <c r="A30885" s="24" t="s">
        <v>343</v>
      </c>
      <c r="B30885" s="25"/>
      <c r="C30885" s="25"/>
      <c r="D30885" s="25"/>
      <c r="E30885" s="25"/>
      <c r="F30885" s="25"/>
      <c r="G30885" s="25"/>
      <c r="H30885" s="25"/>
      <c r="I30885" s="25"/>
      <c r="J30885" s="25"/>
      <c r="K30885" s="25"/>
    </row>
    <row r="30886" customFormat="false" ht="15" hidden="false" customHeight="false" outlineLevel="0" collapsed="false">
      <c r="A30886" s="3" t="s">
        <v>329</v>
      </c>
      <c r="G30886" s="16" t="n">
        <f aca="false">F30897</f>
        <v>450</v>
      </c>
      <c r="H30886" s="16" t="n">
        <f aca="false">G30897</f>
        <v>450</v>
      </c>
      <c r="I30886" s="16" t="n">
        <f aca="false">H30897</f>
        <v>450</v>
      </c>
      <c r="J30886" s="16" t="n">
        <f aca="false">I30897</f>
        <v>450</v>
      </c>
      <c r="K30886" s="16" t="n">
        <f aca="false">J30897</f>
        <v>450</v>
      </c>
    </row>
    <row r="30887" customFormat="false" ht="15" hidden="false" customHeight="false" outlineLevel="0" collapsed="false">
      <c r="A30887" s="3" t="s">
        <v>330</v>
      </c>
      <c r="G30887" s="21" t="n">
        <f aca="false">IF(G30798=Assumptions!$K$61,1,0)</f>
        <v>0</v>
      </c>
      <c r="H30887" s="21" t="n">
        <f aca="false">IF(H30798=Assumptions!$K$61,1,0)</f>
        <v>1</v>
      </c>
      <c r="I30887" s="21" t="n">
        <f aca="false">IF(I30798=Assumptions!$K$61,1,0)</f>
        <v>0</v>
      </c>
      <c r="J30887" s="21" t="n">
        <f aca="false">IF(J30798=Assumptions!$K$61,1,0)</f>
        <v>0</v>
      </c>
      <c r="K30887" s="21" t="n">
        <f aca="false">IF(K30798=Assumptions!$K$61,1,0)</f>
        <v>0</v>
      </c>
    </row>
    <row r="30889" customFormat="false" ht="15" hidden="false" customHeight="false" outlineLevel="0" collapsed="false">
      <c r="A30889" s="3" t="s">
        <v>331</v>
      </c>
      <c r="G30889" s="31" t="n">
        <f aca="false">IF(Assumptions!$I$61=1,MAX(G30824,Assumptions!$G$61)+Assumptions!$F$61+$C$30825,Assumptions!$E$61)</f>
        <v>0.0395</v>
      </c>
      <c r="H30889" s="31" t="n">
        <f aca="false">IF(G31148=1,$C$30826,IF(Assumptions!$I$61=1,MAX(H30824,Assumptions!$G$61)+Assumptions!$F$61+$C$30825,Assumptions!$E$61))</f>
        <v>0.0395</v>
      </c>
      <c r="I30889" s="31" t="n">
        <f aca="false">IF(H31148=1,$C$30826,IF(Assumptions!$I$61=1,MAX(I30824,Assumptions!$G$61)+Assumptions!$F$61+$C$30825,Assumptions!$E$61))</f>
        <v>0.0395</v>
      </c>
      <c r="J30889" s="31" t="n">
        <f aca="false">IF(I31148=1,$C$30826,IF(Assumptions!$I$61=1,MAX(J30824,Assumptions!$G$61)+Assumptions!$F$61+$C$30825,Assumptions!$E$61))</f>
        <v>0.0395</v>
      </c>
      <c r="K30889" s="31" t="n">
        <f aca="false">IF(J31148=1,$C$30826,IF(Assumptions!$I$61=1,MAX(K30824,Assumptions!$G$61)+Assumptions!$F$61+$C$30825,Assumptions!$E$61))</f>
        <v>0.0395</v>
      </c>
    </row>
    <row r="30890" customFormat="false" ht="15" hidden="false" customHeight="false" outlineLevel="0" collapsed="false">
      <c r="A30890" s="3" t="s">
        <v>332</v>
      </c>
      <c r="G30890" s="16" t="n">
        <f aca="false">G30886*G30889</f>
        <v>17.775</v>
      </c>
      <c r="H30890" s="16" t="n">
        <f aca="false">H30886*H30889</f>
        <v>17.775</v>
      </c>
      <c r="I30890" s="16" t="n">
        <f aca="false">I30886*I30889</f>
        <v>17.775</v>
      </c>
      <c r="J30890" s="16" t="n">
        <f aca="false">J30886*J30889</f>
        <v>17.775</v>
      </c>
      <c r="K30890" s="16" t="n">
        <f aca="false">K30886*K30889</f>
        <v>17.775</v>
      </c>
    </row>
    <row r="30891" customFormat="false" ht="15" hidden="false" customHeight="false" outlineLevel="0" collapsed="false">
      <c r="A30891" s="3" t="s">
        <v>333</v>
      </c>
      <c r="G30891" s="16" t="n">
        <f aca="false">G30886*Assumptions!$H$61</f>
        <v>0</v>
      </c>
      <c r="H30891" s="16" t="n">
        <f aca="false">H30886*Assumptions!$H$61</f>
        <v>0</v>
      </c>
      <c r="I30891" s="16" t="n">
        <f aca="false">I30886*Assumptions!$H$61</f>
        <v>0</v>
      </c>
      <c r="J30891" s="16" t="n">
        <f aca="false">J30886*Assumptions!$H$61</f>
        <v>0</v>
      </c>
      <c r="K30891" s="16" t="n">
        <f aca="false">K30886*Assumptions!$H$61</f>
        <v>0</v>
      </c>
    </row>
    <row r="30892" customFormat="false" ht="15" hidden="false" customHeight="false" outlineLevel="0" collapsed="false">
      <c r="A30892" s="3" t="s">
        <v>334</v>
      </c>
      <c r="G30892" s="16" t="n">
        <f aca="false">MIN(G30886,Assumptions!$L$61*Assumptions!$C$61)</f>
        <v>0</v>
      </c>
      <c r="H30892" s="16" t="n">
        <f aca="false">MIN(H30886,Assumptions!$L$61*Assumptions!$C$61)</f>
        <v>0</v>
      </c>
      <c r="I30892" s="16" t="n">
        <f aca="false">MIN(I30886,Assumptions!$L$61*Assumptions!$C$61)</f>
        <v>0</v>
      </c>
      <c r="J30892" s="16" t="n">
        <f aca="false">MIN(J30886,Assumptions!$L$61*Assumptions!$C$61)</f>
        <v>0</v>
      </c>
      <c r="K30892" s="16" t="n">
        <f aca="false">MIN(K30886,Assumptions!$L$61*Assumptions!$C$61)</f>
        <v>0</v>
      </c>
    </row>
    <row r="30893" customFormat="false" ht="15" hidden="false" customHeight="false" outlineLevel="0" collapsed="false">
      <c r="A30893" s="3" t="s">
        <v>335</v>
      </c>
      <c r="G30893" s="16" t="n">
        <f aca="false">IF(AND(Assumptions!$P$61=1,G30798&lt;Assumptions!$K$61),MIN(MAX(0,-G31014),MAX(0,Assumptions!$D$61-G30886)),0)</f>
        <v>0</v>
      </c>
      <c r="H30893" s="16" t="n">
        <f aca="false">IF(AND(Assumptions!$P$61=1,OR(H30798&lt;Assumptions!$K$61,G31148=1)),MIN(MAX(0,-H31014),MAX(0,Assumptions!$D$61-H30886)),0)</f>
        <v>0</v>
      </c>
      <c r="I30893" s="16" t="n">
        <f aca="false">IF(AND(Assumptions!$P$61=1,OR(I30798&lt;Assumptions!$K$61,H31148=1)),MIN(MAX(0,-I31014),MAX(0,Assumptions!$D$61-I30886)),0)</f>
        <v>0</v>
      </c>
      <c r="J30893" s="16" t="n">
        <f aca="false">IF(AND(Assumptions!$P$61=1,OR(J30798&lt;Assumptions!$K$61,I31148=1)),MIN(MAX(0,-J31014),MAX(0,Assumptions!$D$61-J30886)),0)</f>
        <v>0</v>
      </c>
      <c r="K30893" s="16" t="n">
        <f aca="false">IF(AND(Assumptions!$P$61=1,OR(K30798&lt;Assumptions!$K$61,J31148=1)),MIN(MAX(0,-K31014),MAX(0,Assumptions!$D$61-K30886)),0)</f>
        <v>0</v>
      </c>
    </row>
    <row r="30894" customFormat="false" ht="15" hidden="false" customHeight="false" outlineLevel="0" collapsed="false">
      <c r="A30894" s="3" t="s">
        <v>336</v>
      </c>
      <c r="G30894" s="16" t="n">
        <f aca="false">G30887*MIN(G30886-G30892+G30891,MAX(0,G31016-Assumptions!$C$12*G30832-G30842-G30855-G30868-G30881))</f>
        <v>0</v>
      </c>
      <c r="H30894" s="16" t="n">
        <f aca="false">H30887*MIN(H30886-H30892+H30891,MAX(0,H31016-Assumptions!$C$12*H30832-H30842-H30855-H30868-H30881))</f>
        <v>0</v>
      </c>
      <c r="I30894" s="16" t="n">
        <f aca="false">I30887*MIN(I30886-I30892+I30891,MAX(0,I31016-Assumptions!$C$12*I30832-I30842-I30855-I30868-I30881))</f>
        <v>0</v>
      </c>
      <c r="J30894" s="16" t="n">
        <f aca="false">J30887*MIN(J30886-J30892+J30891,MAX(0,J31016-Assumptions!$C$12*J30832-J30842-J30855-J30868-J30881))</f>
        <v>0</v>
      </c>
      <c r="K30894" s="16" t="n">
        <f aca="false">K30887*MIN(K30886-K30892+K30891,MAX(0,K31016-Assumptions!$C$12*K30832-K30842-K30855-K30868-K30881))</f>
        <v>0</v>
      </c>
    </row>
    <row r="30895" customFormat="false" ht="15" hidden="false" customHeight="false" outlineLevel="0" collapsed="false">
      <c r="A30895" s="3" t="s">
        <v>337</v>
      </c>
      <c r="G30895" s="16" t="n">
        <f aca="false">Assumptions!$N$61*MIN(G30886+G30893+G30891-G30892-G30894,MAX(0,G31020-G30843-G30856-G30869-G30882))</f>
        <v>0</v>
      </c>
      <c r="H30895" s="16" t="n">
        <f aca="false">Assumptions!$N$61*MIN(H30886+H30893+H30891-H30892-H30894,MAX(0,H31020-H30843-H30856-H30869-H30882))</f>
        <v>0</v>
      </c>
      <c r="I30895" s="16" t="n">
        <f aca="false">Assumptions!$N$61*MIN(I30886+I30893+I30891-I30892-I30894,MAX(0,I31020-I30843-I30856-I30869-I30882))</f>
        <v>0</v>
      </c>
      <c r="J30895" s="16" t="n">
        <f aca="false">Assumptions!$N$61*MIN(J30886+J30893+J30891-J30892-J30894,MAX(0,J31020-J30843-J30856-J30869-J30882))</f>
        <v>0</v>
      </c>
      <c r="K30895" s="16" t="n">
        <f aca="false">Assumptions!$N$61*MIN(K30886+K30893+K30891-K30892-K30894,MAX(0,K31020-K30843-K30856-K30869-K30882))</f>
        <v>0</v>
      </c>
    </row>
    <row r="30896" customFormat="false" ht="15" hidden="false" customHeight="false" outlineLevel="0" collapsed="false">
      <c r="A30896" s="3" t="s">
        <v>338</v>
      </c>
      <c r="G30896" s="16" t="n">
        <f aca="false">G30887*(1-G30832)*(G30886-G30892+G30891-G30894)</f>
        <v>0</v>
      </c>
      <c r="H30896" s="16" t="n">
        <f aca="false">H30887*(1-H30832)*(H30886-H30892+H30891-H30894)</f>
        <v>450</v>
      </c>
      <c r="I30896" s="16" t="n">
        <f aca="false">I30887*(1-I30832)*(I30886-I30892+I30891-I30894)</f>
        <v>0</v>
      </c>
      <c r="J30896" s="16" t="n">
        <f aca="false">J30887*(1-J30832)*(J30886-J30892+J30891-J30894)</f>
        <v>0</v>
      </c>
      <c r="K30896" s="16" t="n">
        <f aca="false">K30887*(1-K30832)*(K30886-K30892+K30891-K30894)</f>
        <v>0</v>
      </c>
    </row>
    <row r="30897" customFormat="false" ht="15" hidden="false" customHeight="false" outlineLevel="0" collapsed="false">
      <c r="A30897" s="2" t="s">
        <v>339</v>
      </c>
      <c r="F30897" s="28" t="n">
        <f aca="false">Assumptions!$C$61</f>
        <v>450</v>
      </c>
      <c r="G30897" s="17" t="n">
        <f aca="false">G30886+G30893+G30891-G30892-G30894-G30895</f>
        <v>450</v>
      </c>
      <c r="H30897" s="17" t="n">
        <f aca="false">H30886+H30893+H30891-H30892-H30894-H30895</f>
        <v>450</v>
      </c>
      <c r="I30897" s="17" t="n">
        <f aca="false">I30886+I30893+I30891-I30892-I30894-I30895</f>
        <v>450</v>
      </c>
      <c r="J30897" s="17" t="n">
        <f aca="false">J30886+J30893+J30891-J30892-J30894-J30895</f>
        <v>450</v>
      </c>
      <c r="K30897" s="17" t="n">
        <f aca="false">K30886+K30893+K30891-K30892-K30894-K30895</f>
        <v>450</v>
      </c>
    </row>
    <row r="30898" customFormat="false" ht="15" hidden="false" customHeight="false" outlineLevel="0" collapsed="false">
      <c r="A30898" s="24" t="s">
        <v>344</v>
      </c>
      <c r="B30898" s="25"/>
      <c r="C30898" s="25"/>
      <c r="D30898" s="25"/>
      <c r="E30898" s="25"/>
      <c r="F30898" s="25"/>
      <c r="G30898" s="25"/>
      <c r="H30898" s="25"/>
      <c r="I30898" s="25"/>
      <c r="J30898" s="25"/>
      <c r="K30898" s="25"/>
    </row>
    <row r="30899" customFormat="false" ht="15" hidden="false" customHeight="false" outlineLevel="0" collapsed="false">
      <c r="A30899" s="3" t="s">
        <v>329</v>
      </c>
      <c r="G30899" s="16" t="n">
        <f aca="false">F30910</f>
        <v>350</v>
      </c>
      <c r="H30899" s="16" t="n">
        <f aca="false">G30910</f>
        <v>350</v>
      </c>
      <c r="I30899" s="16" t="n">
        <f aca="false">H30910</f>
        <v>350</v>
      </c>
      <c r="J30899" s="16" t="n">
        <f aca="false">I30910</f>
        <v>350</v>
      </c>
      <c r="K30899" s="16" t="n">
        <f aca="false">J30910</f>
        <v>350</v>
      </c>
    </row>
    <row r="30900" customFormat="false" ht="15" hidden="false" customHeight="false" outlineLevel="0" collapsed="false">
      <c r="A30900" s="3" t="s">
        <v>330</v>
      </c>
      <c r="G30900" s="21" t="n">
        <f aca="false">IF(G30798=Assumptions!$K$62,1,0)</f>
        <v>0</v>
      </c>
      <c r="H30900" s="21" t="n">
        <f aca="false">IF(H30798=Assumptions!$K$62,1,0)</f>
        <v>1</v>
      </c>
      <c r="I30900" s="21" t="n">
        <f aca="false">IF(I30798=Assumptions!$K$62,1,0)</f>
        <v>0</v>
      </c>
      <c r="J30900" s="21" t="n">
        <f aca="false">IF(J30798=Assumptions!$K$62,1,0)</f>
        <v>0</v>
      </c>
      <c r="K30900" s="21" t="n">
        <f aca="false">IF(K30798=Assumptions!$K$62,1,0)</f>
        <v>0</v>
      </c>
    </row>
    <row r="30902" customFormat="false" ht="15" hidden="false" customHeight="false" outlineLevel="0" collapsed="false">
      <c r="A30902" s="3" t="s">
        <v>331</v>
      </c>
      <c r="G30902" s="31" t="n">
        <f aca="false">IF(Assumptions!$I$62=1,MAX(G30824,Assumptions!$G$62)+Assumptions!$F$62+$C$30825,Assumptions!$E$62)</f>
        <v>0.083</v>
      </c>
      <c r="H30902" s="31" t="n">
        <f aca="false">IF(G31149=1,$C$30826,IF(Assumptions!$I$62=1,MAX(H30824,Assumptions!$G$62)+Assumptions!$F$62+$C$30825,Assumptions!$E$62))</f>
        <v>0.083</v>
      </c>
      <c r="I30902" s="31" t="n">
        <f aca="false">IF(H31149=1,$C$30826,IF(Assumptions!$I$62=1,MAX(I30824,Assumptions!$G$62)+Assumptions!$F$62+$C$30825,Assumptions!$E$62))</f>
        <v>0.083</v>
      </c>
      <c r="J30902" s="31" t="n">
        <f aca="false">IF(I31149=1,$C$30826,IF(Assumptions!$I$62=1,MAX(J30824,Assumptions!$G$62)+Assumptions!$F$62+$C$30825,Assumptions!$E$62))</f>
        <v>0.083</v>
      </c>
      <c r="K30902" s="31" t="n">
        <f aca="false">IF(J31149=1,$C$30826,IF(Assumptions!$I$62=1,MAX(K30824,Assumptions!$G$62)+Assumptions!$F$62+$C$30825,Assumptions!$E$62))</f>
        <v>0.083</v>
      </c>
    </row>
    <row r="30903" customFormat="false" ht="15" hidden="false" customHeight="false" outlineLevel="0" collapsed="false">
      <c r="A30903" s="3" t="s">
        <v>332</v>
      </c>
      <c r="G30903" s="16" t="n">
        <f aca="false">G30899*G30902</f>
        <v>29.05</v>
      </c>
      <c r="H30903" s="16" t="n">
        <f aca="false">H30899*H30902</f>
        <v>29.05</v>
      </c>
      <c r="I30903" s="16" t="n">
        <f aca="false">I30899*I30902</f>
        <v>29.05</v>
      </c>
      <c r="J30903" s="16" t="n">
        <f aca="false">J30899*J30902</f>
        <v>29.05</v>
      </c>
      <c r="K30903" s="16" t="n">
        <f aca="false">K30899*K30902</f>
        <v>29.05</v>
      </c>
    </row>
    <row r="30904" customFormat="false" ht="15" hidden="false" customHeight="false" outlineLevel="0" collapsed="false">
      <c r="A30904" s="3" t="s">
        <v>333</v>
      </c>
      <c r="G30904" s="16" t="n">
        <f aca="false">G30899*Assumptions!$H$62</f>
        <v>0</v>
      </c>
      <c r="H30904" s="16" t="n">
        <f aca="false">H30899*Assumptions!$H$62</f>
        <v>0</v>
      </c>
      <c r="I30904" s="16" t="n">
        <f aca="false">I30899*Assumptions!$H$62</f>
        <v>0</v>
      </c>
      <c r="J30904" s="16" t="n">
        <f aca="false">J30899*Assumptions!$H$62</f>
        <v>0</v>
      </c>
      <c r="K30904" s="16" t="n">
        <f aca="false">K30899*Assumptions!$H$62</f>
        <v>0</v>
      </c>
    </row>
    <row r="30905" customFormat="false" ht="15" hidden="false" customHeight="false" outlineLevel="0" collapsed="false">
      <c r="A30905" s="3" t="s">
        <v>334</v>
      </c>
      <c r="G30905" s="16" t="n">
        <f aca="false">MIN(G30899,Assumptions!$L$62*Assumptions!$C$62)</f>
        <v>0</v>
      </c>
      <c r="H30905" s="16" t="n">
        <f aca="false">MIN(H30899,Assumptions!$L$62*Assumptions!$C$62)</f>
        <v>0</v>
      </c>
      <c r="I30905" s="16" t="n">
        <f aca="false">MIN(I30899,Assumptions!$L$62*Assumptions!$C$62)</f>
        <v>0</v>
      </c>
      <c r="J30905" s="16" t="n">
        <f aca="false">MIN(J30899,Assumptions!$L$62*Assumptions!$C$62)</f>
        <v>0</v>
      </c>
      <c r="K30905" s="16" t="n">
        <f aca="false">MIN(K30899,Assumptions!$L$62*Assumptions!$C$62)</f>
        <v>0</v>
      </c>
    </row>
    <row r="30906" customFormat="false" ht="15" hidden="false" customHeight="false" outlineLevel="0" collapsed="false">
      <c r="A30906" s="3" t="s">
        <v>335</v>
      </c>
      <c r="G30906" s="16" t="n">
        <f aca="false">IF(AND(Assumptions!$P$62=1,G30798&lt;Assumptions!$K$62),MIN(MAX(0,-G31014),MAX(0,Assumptions!$D$62-G30899)),0)</f>
        <v>0</v>
      </c>
      <c r="H30906" s="16" t="n">
        <f aca="false">IF(AND(Assumptions!$P$62=1,OR(H30798&lt;Assumptions!$K$62,G31149=1)),MIN(MAX(0,-H31014),MAX(0,Assumptions!$D$62-H30899)),0)</f>
        <v>0</v>
      </c>
      <c r="I30906" s="16" t="n">
        <f aca="false">IF(AND(Assumptions!$P$62=1,OR(I30798&lt;Assumptions!$K$62,H31149=1)),MIN(MAX(0,-I31014),MAX(0,Assumptions!$D$62-I30899)),0)</f>
        <v>0</v>
      </c>
      <c r="J30906" s="16" t="n">
        <f aca="false">IF(AND(Assumptions!$P$62=1,OR(J30798&lt;Assumptions!$K$62,I31149=1)),MIN(MAX(0,-J31014),MAX(0,Assumptions!$D$62-J30899)),0)</f>
        <v>0</v>
      </c>
      <c r="K30906" s="16" t="n">
        <f aca="false">IF(AND(Assumptions!$P$62=1,OR(K30798&lt;Assumptions!$K$62,J31149=1)),MIN(MAX(0,-K31014),MAX(0,Assumptions!$D$62-K30899)),0)</f>
        <v>0</v>
      </c>
    </row>
    <row r="30907" customFormat="false" ht="15" hidden="false" customHeight="false" outlineLevel="0" collapsed="false">
      <c r="A30907" s="3" t="s">
        <v>336</v>
      </c>
      <c r="G30907" s="16" t="n">
        <f aca="false">G30900*MIN(G30899-G30905+G30904,MAX(0,G31016-Assumptions!$C$12*G30832-G30842-G30855-G30868-G30881-G30894))</f>
        <v>0</v>
      </c>
      <c r="H30907" s="16" t="n">
        <f aca="false">H30900*MIN(H30899-H30905+H30904,MAX(0,H31016-Assumptions!$C$12*H30832-H30842-H30855-H30868-H30881-H30894))</f>
        <v>0</v>
      </c>
      <c r="I30907" s="16" t="n">
        <f aca="false">I30900*MIN(I30899-I30905+I30904,MAX(0,I31016-Assumptions!$C$12*I30832-I30842-I30855-I30868-I30881-I30894))</f>
        <v>0</v>
      </c>
      <c r="J30907" s="16" t="n">
        <f aca="false">J30900*MIN(J30899-J30905+J30904,MAX(0,J31016-Assumptions!$C$12*J30832-J30842-J30855-J30868-J30881-J30894))</f>
        <v>0</v>
      </c>
      <c r="K30907" s="16" t="n">
        <f aca="false">K30900*MIN(K30899-K30905+K30904,MAX(0,K31016-Assumptions!$C$12*K30832-K30842-K30855-K30868-K30881-K30894))</f>
        <v>0</v>
      </c>
    </row>
    <row r="30908" customFormat="false" ht="15" hidden="false" customHeight="false" outlineLevel="0" collapsed="false">
      <c r="A30908" s="3" t="s">
        <v>337</v>
      </c>
      <c r="G30908" s="16" t="n">
        <f aca="false">Assumptions!$N$62*MIN(G30899+G30906+G30904-G30905-G30907,MAX(0,G31020-G30843-G30856-G30869-G30882-G30895))</f>
        <v>0</v>
      </c>
      <c r="H30908" s="16" t="n">
        <f aca="false">Assumptions!$N$62*MIN(H30899+H30906+H30904-H30905-H30907,MAX(0,H31020-H30843-H30856-H30869-H30882-H30895))</f>
        <v>0</v>
      </c>
      <c r="I30908" s="16" t="n">
        <f aca="false">Assumptions!$N$62*MIN(I30899+I30906+I30904-I30905-I30907,MAX(0,I31020-I30843-I30856-I30869-I30882-I30895))</f>
        <v>0</v>
      </c>
      <c r="J30908" s="16" t="n">
        <f aca="false">Assumptions!$N$62*MIN(J30899+J30906+J30904-J30905-J30907,MAX(0,J31020-J30843-J30856-J30869-J30882-J30895))</f>
        <v>0</v>
      </c>
      <c r="K30908" s="16" t="n">
        <f aca="false">Assumptions!$N$62*MIN(K30899+K30906+K30904-K30905-K30907,MAX(0,K31020-K30843-K30856-K30869-K30882-K30895))</f>
        <v>0</v>
      </c>
    </row>
    <row r="30909" customFormat="false" ht="15" hidden="false" customHeight="false" outlineLevel="0" collapsed="false">
      <c r="A30909" s="3" t="s">
        <v>338</v>
      </c>
      <c r="G30909" s="16" t="n">
        <f aca="false">G30900*(1-G30832)*(G30899-G30905+G30904-G30907)</f>
        <v>0</v>
      </c>
      <c r="H30909" s="16" t="n">
        <f aca="false">H30900*(1-H30832)*(H30899-H30905+H30904-H30907)</f>
        <v>350</v>
      </c>
      <c r="I30909" s="16" t="n">
        <f aca="false">I30900*(1-I30832)*(I30899-I30905+I30904-I30907)</f>
        <v>0</v>
      </c>
      <c r="J30909" s="16" t="n">
        <f aca="false">J30900*(1-J30832)*(J30899-J30905+J30904-J30907)</f>
        <v>0</v>
      </c>
      <c r="K30909" s="16" t="n">
        <f aca="false">K30900*(1-K30832)*(K30899-K30905+K30904-K30907)</f>
        <v>0</v>
      </c>
    </row>
    <row r="30910" customFormat="false" ht="15" hidden="false" customHeight="false" outlineLevel="0" collapsed="false">
      <c r="A30910" s="2" t="s">
        <v>339</v>
      </c>
      <c r="F30910" s="28" t="n">
        <f aca="false">Assumptions!$C$62</f>
        <v>350</v>
      </c>
      <c r="G30910" s="17" t="n">
        <f aca="false">G30899+G30906+G30904-G30905-G30907-G30908</f>
        <v>350</v>
      </c>
      <c r="H30910" s="17" t="n">
        <f aca="false">H30899+H30906+H30904-H30905-H30907-H30908</f>
        <v>350</v>
      </c>
      <c r="I30910" s="17" t="n">
        <f aca="false">I30899+I30906+I30904-I30905-I30907-I30908</f>
        <v>350</v>
      </c>
      <c r="J30910" s="17" t="n">
        <f aca="false">J30899+J30906+J30904-J30905-J30907-J30908</f>
        <v>350</v>
      </c>
      <c r="K30910" s="17" t="n">
        <f aca="false">K30899+K30906+K30904-K30905-K30907-K30908</f>
        <v>350</v>
      </c>
    </row>
    <row r="30911" customFormat="false" ht="15" hidden="false" customHeight="false" outlineLevel="0" collapsed="false">
      <c r="A30911" s="24" t="s">
        <v>345</v>
      </c>
      <c r="B30911" s="25"/>
      <c r="C30911" s="25"/>
      <c r="D30911" s="25"/>
      <c r="E30911" s="25"/>
      <c r="F30911" s="25"/>
      <c r="G30911" s="25"/>
      <c r="H30911" s="25"/>
      <c r="I30911" s="25"/>
      <c r="J30911" s="25"/>
      <c r="K30911" s="25"/>
    </row>
    <row r="30912" customFormat="false" ht="15" hidden="false" customHeight="false" outlineLevel="0" collapsed="false">
      <c r="A30912" s="3" t="s">
        <v>329</v>
      </c>
      <c r="G30912" s="16" t="n">
        <f aca="false">F30923</f>
        <v>550</v>
      </c>
      <c r="H30912" s="16" t="n">
        <f aca="false">G30923</f>
        <v>550</v>
      </c>
      <c r="I30912" s="16" t="n">
        <f aca="false">H30923</f>
        <v>550</v>
      </c>
      <c r="J30912" s="16" t="n">
        <f aca="false">I30923</f>
        <v>550</v>
      </c>
      <c r="K30912" s="16" t="n">
        <f aca="false">J30923</f>
        <v>550</v>
      </c>
    </row>
    <row r="30913" customFormat="false" ht="15" hidden="false" customHeight="false" outlineLevel="0" collapsed="false">
      <c r="A30913" s="3" t="s">
        <v>330</v>
      </c>
      <c r="G30913" s="21" t="n">
        <f aca="false">IF(G30798=Assumptions!$K$63,1,0)</f>
        <v>0</v>
      </c>
      <c r="H30913" s="21" t="n">
        <f aca="false">IF(H30798=Assumptions!$K$63,1,0)</f>
        <v>0</v>
      </c>
      <c r="I30913" s="21" t="n">
        <f aca="false">IF(I30798=Assumptions!$K$63,1,0)</f>
        <v>1</v>
      </c>
      <c r="J30913" s="21" t="n">
        <f aca="false">IF(J30798=Assumptions!$K$63,1,0)</f>
        <v>0</v>
      </c>
      <c r="K30913" s="21" t="n">
        <f aca="false">IF(K30798=Assumptions!$K$63,1,0)</f>
        <v>0</v>
      </c>
    </row>
    <row r="30915" customFormat="false" ht="15" hidden="false" customHeight="false" outlineLevel="0" collapsed="false">
      <c r="A30915" s="3" t="s">
        <v>331</v>
      </c>
      <c r="G30915" s="31" t="n">
        <f aca="false">IF(Assumptions!$I$63=1,MAX(G30824,Assumptions!$G$63)+Assumptions!$F$63+$C$30825,Assumptions!$E$63)</f>
        <v>0.08875</v>
      </c>
      <c r="H30915" s="31" t="n">
        <f aca="false">IF(G31150=1,$C$30826,IF(Assumptions!$I$63=1,MAX(H30824,Assumptions!$G$63)+Assumptions!$F$63+$C$30825,Assumptions!$E$63))</f>
        <v>0.08875</v>
      </c>
      <c r="I30915" s="31" t="n">
        <f aca="false">IF(H31150=1,$C$30826,IF(Assumptions!$I$63=1,MAX(I30824,Assumptions!$G$63)+Assumptions!$F$63+$C$30825,Assumptions!$E$63))</f>
        <v>0.08875</v>
      </c>
      <c r="J30915" s="31" t="n">
        <f aca="false">IF(I31150=1,$C$30826,IF(Assumptions!$I$63=1,MAX(J30824,Assumptions!$G$63)+Assumptions!$F$63+$C$30825,Assumptions!$E$63))</f>
        <v>0.08875</v>
      </c>
      <c r="K30915" s="31" t="n">
        <f aca="false">IF(J31150=1,$C$30826,IF(Assumptions!$I$63=1,MAX(K30824,Assumptions!$G$63)+Assumptions!$F$63+$C$30825,Assumptions!$E$63))</f>
        <v>0.08875</v>
      </c>
    </row>
    <row r="30916" customFormat="false" ht="15" hidden="false" customHeight="false" outlineLevel="0" collapsed="false">
      <c r="A30916" s="3" t="s">
        <v>332</v>
      </c>
      <c r="G30916" s="16" t="n">
        <f aca="false">G30912*G30915</f>
        <v>48.8125</v>
      </c>
      <c r="H30916" s="16" t="n">
        <f aca="false">H30912*H30915</f>
        <v>48.8125</v>
      </c>
      <c r="I30916" s="16" t="n">
        <f aca="false">I30912*I30915</f>
        <v>48.8125</v>
      </c>
      <c r="J30916" s="16" t="n">
        <f aca="false">J30912*J30915</f>
        <v>48.8125</v>
      </c>
      <c r="K30916" s="16" t="n">
        <f aca="false">K30912*K30915</f>
        <v>48.8125</v>
      </c>
    </row>
    <row r="30917" customFormat="false" ht="15" hidden="false" customHeight="false" outlineLevel="0" collapsed="false">
      <c r="A30917" s="3" t="s">
        <v>333</v>
      </c>
      <c r="G30917" s="16" t="n">
        <f aca="false">G30912*Assumptions!$H$63</f>
        <v>0</v>
      </c>
      <c r="H30917" s="16" t="n">
        <f aca="false">H30912*Assumptions!$H$63</f>
        <v>0</v>
      </c>
      <c r="I30917" s="16" t="n">
        <f aca="false">I30912*Assumptions!$H$63</f>
        <v>0</v>
      </c>
      <c r="J30917" s="16" t="n">
        <f aca="false">J30912*Assumptions!$H$63</f>
        <v>0</v>
      </c>
      <c r="K30917" s="16" t="n">
        <f aca="false">K30912*Assumptions!$H$63</f>
        <v>0</v>
      </c>
    </row>
    <row r="30918" customFormat="false" ht="15" hidden="false" customHeight="false" outlineLevel="0" collapsed="false">
      <c r="A30918" s="3" t="s">
        <v>334</v>
      </c>
      <c r="G30918" s="16" t="n">
        <f aca="false">MIN(G30912,Assumptions!$L$63*Assumptions!$C$63)</f>
        <v>0</v>
      </c>
      <c r="H30918" s="16" t="n">
        <f aca="false">MIN(H30912,Assumptions!$L$63*Assumptions!$C$63)</f>
        <v>0</v>
      </c>
      <c r="I30918" s="16" t="n">
        <f aca="false">MIN(I30912,Assumptions!$L$63*Assumptions!$C$63)</f>
        <v>0</v>
      </c>
      <c r="J30918" s="16" t="n">
        <f aca="false">MIN(J30912,Assumptions!$L$63*Assumptions!$C$63)</f>
        <v>0</v>
      </c>
      <c r="K30918" s="16" t="n">
        <f aca="false">MIN(K30912,Assumptions!$L$63*Assumptions!$C$63)</f>
        <v>0</v>
      </c>
    </row>
    <row r="30919" customFormat="false" ht="15" hidden="false" customHeight="false" outlineLevel="0" collapsed="false">
      <c r="A30919" s="3" t="s">
        <v>335</v>
      </c>
      <c r="G30919" s="16" t="n">
        <f aca="false">IF(AND(Assumptions!$P$63=1,G30798&lt;Assumptions!$K$63),MIN(MAX(0,-G31014),MAX(0,Assumptions!$D$63-G30912)),0)</f>
        <v>0</v>
      </c>
      <c r="H30919" s="16" t="n">
        <f aca="false">IF(AND(Assumptions!$P$63=1,OR(H30798&lt;Assumptions!$K$63,G31150=1)),MIN(MAX(0,-H31014),MAX(0,Assumptions!$D$63-H30912)),0)</f>
        <v>0</v>
      </c>
      <c r="I30919" s="16" t="n">
        <f aca="false">IF(AND(Assumptions!$P$63=1,OR(I30798&lt;Assumptions!$K$63,H31150=1)),MIN(MAX(0,-I31014),MAX(0,Assumptions!$D$63-I30912)),0)</f>
        <v>0</v>
      </c>
      <c r="J30919" s="16" t="n">
        <f aca="false">IF(AND(Assumptions!$P$63=1,OR(J30798&lt;Assumptions!$K$63,I31150=1)),MIN(MAX(0,-J31014),MAX(0,Assumptions!$D$63-J30912)),0)</f>
        <v>0</v>
      </c>
      <c r="K30919" s="16" t="n">
        <f aca="false">IF(AND(Assumptions!$P$63=1,OR(K30798&lt;Assumptions!$K$63,J31150=1)),MIN(MAX(0,-K31014),MAX(0,Assumptions!$D$63-K30912)),0)</f>
        <v>0</v>
      </c>
    </row>
    <row r="30920" customFormat="false" ht="15" hidden="false" customHeight="false" outlineLevel="0" collapsed="false">
      <c r="A30920" s="3" t="s">
        <v>336</v>
      </c>
      <c r="G30920" s="16" t="n">
        <f aca="false">G30913*MIN(G30912-G30918+G30917,MAX(0,G31016-Assumptions!$C$12*G30832-G30842-G30855-G30868-G30881-G30894-G30907))</f>
        <v>0</v>
      </c>
      <c r="H30920" s="16" t="n">
        <f aca="false">H30913*MIN(H30912-H30918+H30917,MAX(0,H31016-Assumptions!$C$12*H30832-H30842-H30855-H30868-H30881-H30894-H30907))</f>
        <v>0</v>
      </c>
      <c r="I30920" s="16" t="n">
        <f aca="false">I30913*MIN(I30912-I30918+I30917,MAX(0,I31016-Assumptions!$C$12*I30832-I30842-I30855-I30868-I30881-I30894-I30907))</f>
        <v>0</v>
      </c>
      <c r="J30920" s="16" t="n">
        <f aca="false">J30913*MIN(J30912-J30918+J30917,MAX(0,J31016-Assumptions!$C$12*J30832-J30842-J30855-J30868-J30881-J30894-J30907))</f>
        <v>0</v>
      </c>
      <c r="K30920" s="16" t="n">
        <f aca="false">K30913*MIN(K30912-K30918+K30917,MAX(0,K31016-Assumptions!$C$12*K30832-K30842-K30855-K30868-K30881-K30894-K30907))</f>
        <v>0</v>
      </c>
    </row>
    <row r="30921" customFormat="false" ht="15" hidden="false" customHeight="false" outlineLevel="0" collapsed="false">
      <c r="A30921" s="3" t="s">
        <v>337</v>
      </c>
      <c r="G30921" s="16" t="n">
        <f aca="false">Assumptions!$N$63*MIN(G30912+G30919+G30917-G30918-G30920,MAX(0,G31020-G30843-G30856-G30869-G30882-G30895-G30908))</f>
        <v>0</v>
      </c>
      <c r="H30921" s="16" t="n">
        <f aca="false">Assumptions!$N$63*MIN(H30912+H30919+H30917-H30918-H30920,MAX(0,H31020-H30843-H30856-H30869-H30882-H30895-H30908))</f>
        <v>0</v>
      </c>
      <c r="I30921" s="16" t="n">
        <f aca="false">Assumptions!$N$63*MIN(I30912+I30919+I30917-I30918-I30920,MAX(0,I31020-I30843-I30856-I30869-I30882-I30895-I30908))</f>
        <v>0</v>
      </c>
      <c r="J30921" s="16" t="n">
        <f aca="false">Assumptions!$N$63*MIN(J30912+J30919+J30917-J30918-J30920,MAX(0,J31020-J30843-J30856-J30869-J30882-J30895-J30908))</f>
        <v>0</v>
      </c>
      <c r="K30921" s="16" t="n">
        <f aca="false">Assumptions!$N$63*MIN(K30912+K30919+K30917-K30918-K30920,MAX(0,K31020-K30843-K30856-K30869-K30882-K30895-K30908))</f>
        <v>0</v>
      </c>
    </row>
    <row r="30922" customFormat="false" ht="15" hidden="false" customHeight="false" outlineLevel="0" collapsed="false">
      <c r="A30922" s="3" t="s">
        <v>338</v>
      </c>
      <c r="G30922" s="16" t="n">
        <f aca="false">G30913*(1-G30832)*(G30912-G30918+G30917-G30920)</f>
        <v>0</v>
      </c>
      <c r="H30922" s="16" t="n">
        <f aca="false">H30913*(1-H30832)*(H30912-H30918+H30917-H30920)</f>
        <v>0</v>
      </c>
      <c r="I30922" s="16" t="n">
        <f aca="false">I30913*(1-I30832)*(I30912-I30918+I30917-I30920)</f>
        <v>550</v>
      </c>
      <c r="J30922" s="16" t="n">
        <f aca="false">J30913*(1-J30832)*(J30912-J30918+J30917-J30920)</f>
        <v>0</v>
      </c>
      <c r="K30922" s="16" t="n">
        <f aca="false">K30913*(1-K30832)*(K30912-K30918+K30917-K30920)</f>
        <v>0</v>
      </c>
    </row>
    <row r="30923" customFormat="false" ht="15" hidden="false" customHeight="false" outlineLevel="0" collapsed="false">
      <c r="A30923" s="2" t="s">
        <v>339</v>
      </c>
      <c r="F30923" s="28" t="n">
        <f aca="false">Assumptions!$C$63</f>
        <v>550</v>
      </c>
      <c r="G30923" s="17" t="n">
        <f aca="false">G30912+G30919+G30917-G30918-G30920-G30921</f>
        <v>550</v>
      </c>
      <c r="H30923" s="17" t="n">
        <f aca="false">H30912+H30919+H30917-H30918-H30920-H30921</f>
        <v>550</v>
      </c>
      <c r="I30923" s="17" t="n">
        <f aca="false">I30912+I30919+I30917-I30918-I30920-I30921</f>
        <v>550</v>
      </c>
      <c r="J30923" s="17" t="n">
        <f aca="false">J30912+J30919+J30917-J30918-J30920-J30921</f>
        <v>550</v>
      </c>
      <c r="K30923" s="17" t="n">
        <f aca="false">K30912+K30919+K30917-K30918-K30920-K30921</f>
        <v>550</v>
      </c>
    </row>
    <row r="30924" customFormat="false" ht="15" hidden="false" customHeight="false" outlineLevel="0" collapsed="false">
      <c r="A30924" s="24" t="s">
        <v>346</v>
      </c>
      <c r="B30924" s="25"/>
      <c r="C30924" s="25"/>
      <c r="D30924" s="25"/>
      <c r="E30924" s="25"/>
      <c r="F30924" s="25"/>
      <c r="G30924" s="25"/>
      <c r="H30924" s="25"/>
      <c r="I30924" s="25"/>
      <c r="J30924" s="25"/>
      <c r="K30924" s="25"/>
    </row>
    <row r="30925" customFormat="false" ht="15" hidden="false" customHeight="false" outlineLevel="0" collapsed="false">
      <c r="A30925" s="3" t="s">
        <v>329</v>
      </c>
      <c r="G30925" s="16" t="n">
        <f aca="false">F30936</f>
        <v>350</v>
      </c>
      <c r="H30925" s="16" t="n">
        <f aca="false">G30936</f>
        <v>350</v>
      </c>
      <c r="I30925" s="16" t="n">
        <f aca="false">H30936</f>
        <v>350</v>
      </c>
      <c r="J30925" s="16" t="n">
        <f aca="false">I30936</f>
        <v>350</v>
      </c>
      <c r="K30925" s="16" t="n">
        <f aca="false">J30936</f>
        <v>350</v>
      </c>
    </row>
    <row r="30926" customFormat="false" ht="15" hidden="false" customHeight="false" outlineLevel="0" collapsed="false">
      <c r="A30926" s="3" t="s">
        <v>330</v>
      </c>
      <c r="G30926" s="21" t="n">
        <f aca="false">IF(G30798=Assumptions!$K$64,1,0)</f>
        <v>0</v>
      </c>
      <c r="H30926" s="21" t="n">
        <f aca="false">IF(H30798=Assumptions!$K$64,1,0)</f>
        <v>0</v>
      </c>
      <c r="I30926" s="21" t="n">
        <f aca="false">IF(I30798=Assumptions!$K$64,1,0)</f>
        <v>0</v>
      </c>
      <c r="J30926" s="21" t="n">
        <f aca="false">IF(J30798=Assumptions!$K$64,1,0)</f>
        <v>1</v>
      </c>
      <c r="K30926" s="21" t="n">
        <f aca="false">IF(K30798=Assumptions!$K$64,1,0)</f>
        <v>0</v>
      </c>
    </row>
    <row r="30928" customFormat="false" ht="15" hidden="false" customHeight="false" outlineLevel="0" collapsed="false">
      <c r="A30928" s="3" t="s">
        <v>331</v>
      </c>
      <c r="G30928" s="31" t="n">
        <f aca="false">IF(Assumptions!$I$64=1,MAX(G30824,Assumptions!$G$64)+Assumptions!$F$64+$C$30825,Assumptions!$E$64)</f>
        <v>0.0455</v>
      </c>
      <c r="H30928" s="31" t="n">
        <f aca="false">IF(G31151=1,$C$30826,IF(Assumptions!$I$64=1,MAX(H30824,Assumptions!$G$64)+Assumptions!$F$64+$C$30825,Assumptions!$E$64))</f>
        <v>0.0455</v>
      </c>
      <c r="I30928" s="31" t="n">
        <f aca="false">IF(H31151=1,$C$30826,IF(Assumptions!$I$64=1,MAX(I30824,Assumptions!$G$64)+Assumptions!$F$64+$C$30825,Assumptions!$E$64))</f>
        <v>0.0455</v>
      </c>
      <c r="J30928" s="31" t="n">
        <f aca="false">IF(I31151=1,$C$30826,IF(Assumptions!$I$64=1,MAX(J30824,Assumptions!$G$64)+Assumptions!$F$64+$C$30825,Assumptions!$E$64))</f>
        <v>0.0455</v>
      </c>
      <c r="K30928" s="31" t="n">
        <f aca="false">IF(J31151=1,$C$30826,IF(Assumptions!$I$64=1,MAX(K30824,Assumptions!$G$64)+Assumptions!$F$64+$C$30825,Assumptions!$E$64))</f>
        <v>0.0455</v>
      </c>
    </row>
    <row r="30929" customFormat="false" ht="15" hidden="false" customHeight="false" outlineLevel="0" collapsed="false">
      <c r="A30929" s="3" t="s">
        <v>332</v>
      </c>
      <c r="G30929" s="16" t="n">
        <f aca="false">G30925*G30928</f>
        <v>15.925</v>
      </c>
      <c r="H30929" s="16" t="n">
        <f aca="false">H30925*H30928</f>
        <v>15.925</v>
      </c>
      <c r="I30929" s="16" t="n">
        <f aca="false">I30925*I30928</f>
        <v>15.925</v>
      </c>
      <c r="J30929" s="16" t="n">
        <f aca="false">J30925*J30928</f>
        <v>15.925</v>
      </c>
      <c r="K30929" s="16" t="n">
        <f aca="false">K30925*K30928</f>
        <v>15.925</v>
      </c>
    </row>
    <row r="30930" customFormat="false" ht="15" hidden="false" customHeight="false" outlineLevel="0" collapsed="false">
      <c r="A30930" s="3" t="s">
        <v>333</v>
      </c>
      <c r="G30930" s="16" t="n">
        <f aca="false">G30925*Assumptions!$H$64</f>
        <v>0</v>
      </c>
      <c r="H30930" s="16" t="n">
        <f aca="false">H30925*Assumptions!$H$64</f>
        <v>0</v>
      </c>
      <c r="I30930" s="16" t="n">
        <f aca="false">I30925*Assumptions!$H$64</f>
        <v>0</v>
      </c>
      <c r="J30930" s="16" t="n">
        <f aca="false">J30925*Assumptions!$H$64</f>
        <v>0</v>
      </c>
      <c r="K30930" s="16" t="n">
        <f aca="false">K30925*Assumptions!$H$64</f>
        <v>0</v>
      </c>
    </row>
    <row r="30931" customFormat="false" ht="15" hidden="false" customHeight="false" outlineLevel="0" collapsed="false">
      <c r="A30931" s="3" t="s">
        <v>334</v>
      </c>
      <c r="G30931" s="16" t="n">
        <f aca="false">MIN(G30925,Assumptions!$L$64*Assumptions!$C$64)</f>
        <v>0</v>
      </c>
      <c r="H30931" s="16" t="n">
        <f aca="false">MIN(H30925,Assumptions!$L$64*Assumptions!$C$64)</f>
        <v>0</v>
      </c>
      <c r="I30931" s="16" t="n">
        <f aca="false">MIN(I30925,Assumptions!$L$64*Assumptions!$C$64)</f>
        <v>0</v>
      </c>
      <c r="J30931" s="16" t="n">
        <f aca="false">MIN(J30925,Assumptions!$L$64*Assumptions!$C$64)</f>
        <v>0</v>
      </c>
      <c r="K30931" s="16" t="n">
        <f aca="false">MIN(K30925,Assumptions!$L$64*Assumptions!$C$64)</f>
        <v>0</v>
      </c>
    </row>
    <row r="30932" customFormat="false" ht="15" hidden="false" customHeight="false" outlineLevel="0" collapsed="false">
      <c r="A30932" s="3" t="s">
        <v>335</v>
      </c>
      <c r="G30932" s="16" t="n">
        <f aca="false">IF(AND(Assumptions!$P$64=1,G30798&lt;Assumptions!$K$64),MIN(MAX(0,-G31014),MAX(0,Assumptions!$D$64-G30925)),0)</f>
        <v>0</v>
      </c>
      <c r="H30932" s="16" t="n">
        <f aca="false">IF(AND(Assumptions!$P$64=1,OR(H30798&lt;Assumptions!$K$64,G31151=1)),MIN(MAX(0,-H31014),MAX(0,Assumptions!$D$64-H30925)),0)</f>
        <v>0</v>
      </c>
      <c r="I30932" s="16" t="n">
        <f aca="false">IF(AND(Assumptions!$P$64=1,OR(I30798&lt;Assumptions!$K$64,H31151=1)),MIN(MAX(0,-I31014),MAX(0,Assumptions!$D$64-I30925)),0)</f>
        <v>0</v>
      </c>
      <c r="J30932" s="16" t="n">
        <f aca="false">IF(AND(Assumptions!$P$64=1,OR(J30798&lt;Assumptions!$K$64,I31151=1)),MIN(MAX(0,-J31014),MAX(0,Assumptions!$D$64-J30925)),0)</f>
        <v>0</v>
      </c>
      <c r="K30932" s="16" t="n">
        <f aca="false">IF(AND(Assumptions!$P$64=1,OR(K30798&lt;Assumptions!$K$64,J31151=1)),MIN(MAX(0,-K31014),MAX(0,Assumptions!$D$64-K30925)),0)</f>
        <v>0</v>
      </c>
    </row>
    <row r="30933" customFormat="false" ht="15" hidden="false" customHeight="false" outlineLevel="0" collapsed="false">
      <c r="A30933" s="3" t="s">
        <v>336</v>
      </c>
      <c r="G30933" s="16" t="n">
        <f aca="false">G30926*MIN(G30925-G30931+G30930,MAX(0,G31016-Assumptions!$C$12*G30832-G30842-G30855-G30868-G30881-G30894-G30907-G30920))</f>
        <v>0</v>
      </c>
      <c r="H30933" s="16" t="n">
        <f aca="false">H30926*MIN(H30925-H30931+H30930,MAX(0,H31016-Assumptions!$C$12*H30832-H30842-H30855-H30868-H30881-H30894-H30907-H30920))</f>
        <v>0</v>
      </c>
      <c r="I30933" s="16" t="n">
        <f aca="false">I30926*MIN(I30925-I30931+I30930,MAX(0,I31016-Assumptions!$C$12*I30832-I30842-I30855-I30868-I30881-I30894-I30907-I30920))</f>
        <v>0</v>
      </c>
      <c r="J30933" s="16" t="n">
        <f aca="false">J30926*MIN(J30925-J30931+J30930,MAX(0,J31016-Assumptions!$C$12*J30832-J30842-J30855-J30868-J30881-J30894-J30907-J30920))</f>
        <v>0</v>
      </c>
      <c r="K30933" s="16" t="n">
        <f aca="false">K30926*MIN(K30925-K30931+K30930,MAX(0,K31016-Assumptions!$C$12*K30832-K30842-K30855-K30868-K30881-K30894-K30907-K30920))</f>
        <v>0</v>
      </c>
    </row>
    <row r="30934" customFormat="false" ht="15" hidden="false" customHeight="false" outlineLevel="0" collapsed="false">
      <c r="A30934" s="3" t="s">
        <v>337</v>
      </c>
      <c r="G30934" s="16" t="n">
        <f aca="false">Assumptions!$N$64*MIN(G30925+G30932+G30930-G30931-G30933,MAX(0,G31020-G30843-G30856-G30869-G30882-G30895-G30908-G30921))</f>
        <v>0</v>
      </c>
      <c r="H30934" s="16" t="n">
        <f aca="false">Assumptions!$N$64*MIN(H30925+H30932+H30930-H30931-H30933,MAX(0,H31020-H30843-H30856-H30869-H30882-H30895-H30908-H30921))</f>
        <v>0</v>
      </c>
      <c r="I30934" s="16" t="n">
        <f aca="false">Assumptions!$N$64*MIN(I30925+I30932+I30930-I30931-I30933,MAX(0,I31020-I30843-I30856-I30869-I30882-I30895-I30908-I30921))</f>
        <v>0</v>
      </c>
      <c r="J30934" s="16" t="n">
        <f aca="false">Assumptions!$N$64*MIN(J30925+J30932+J30930-J30931-J30933,MAX(0,J31020-J30843-J30856-J30869-J30882-J30895-J30908-J30921))</f>
        <v>0</v>
      </c>
      <c r="K30934" s="16" t="n">
        <f aca="false">Assumptions!$N$64*MIN(K30925+K30932+K30930-K30931-K30933,MAX(0,K31020-K30843-K30856-K30869-K30882-K30895-K30908-K30921))</f>
        <v>0</v>
      </c>
    </row>
    <row r="30935" customFormat="false" ht="15" hidden="false" customHeight="false" outlineLevel="0" collapsed="false">
      <c r="A30935" s="3" t="s">
        <v>338</v>
      </c>
      <c r="G30935" s="16" t="n">
        <f aca="false">G30926*(1-G30832)*(G30925-G30931+G30930-G30933)</f>
        <v>0</v>
      </c>
      <c r="H30935" s="16" t="n">
        <f aca="false">H30926*(1-H30832)*(H30925-H30931+H30930-H30933)</f>
        <v>0</v>
      </c>
      <c r="I30935" s="16" t="n">
        <f aca="false">I30926*(1-I30832)*(I30925-I30931+I30930-I30933)</f>
        <v>0</v>
      </c>
      <c r="J30935" s="16" t="n">
        <f aca="false">J30926*(1-J30832)*(J30925-J30931+J30930-J30933)</f>
        <v>350</v>
      </c>
      <c r="K30935" s="16" t="n">
        <f aca="false">K30926*(1-K30832)*(K30925-K30931+K30930-K30933)</f>
        <v>0</v>
      </c>
    </row>
    <row r="30936" customFormat="false" ht="15" hidden="false" customHeight="false" outlineLevel="0" collapsed="false">
      <c r="A30936" s="2" t="s">
        <v>339</v>
      </c>
      <c r="F30936" s="28" t="n">
        <f aca="false">Assumptions!$C$64</f>
        <v>350</v>
      </c>
      <c r="G30936" s="17" t="n">
        <f aca="false">G30925+G30932+G30930-G30931-G30933-G30934</f>
        <v>350</v>
      </c>
      <c r="H30936" s="17" t="n">
        <f aca="false">H30925+H30932+H30930-H30931-H30933-H30934</f>
        <v>350</v>
      </c>
      <c r="I30936" s="17" t="n">
        <f aca="false">I30925+I30932+I30930-I30931-I30933-I30934</f>
        <v>350</v>
      </c>
      <c r="J30936" s="17" t="n">
        <f aca="false">J30925+J30932+J30930-J30931-J30933-J30934</f>
        <v>350</v>
      </c>
      <c r="K30936" s="17" t="n">
        <f aca="false">K30925+K30932+K30930-K30931-K30933-K30934</f>
        <v>350</v>
      </c>
    </row>
    <row r="30937" customFormat="false" ht="15" hidden="false" customHeight="false" outlineLevel="0" collapsed="false">
      <c r="A30937" s="24" t="s">
        <v>347</v>
      </c>
      <c r="B30937" s="25"/>
      <c r="C30937" s="25"/>
      <c r="D30937" s="25"/>
      <c r="E30937" s="25"/>
      <c r="F30937" s="25"/>
      <c r="G30937" s="25"/>
      <c r="H30937" s="25"/>
      <c r="I30937" s="25"/>
      <c r="J30937" s="25"/>
      <c r="K30937" s="25"/>
    </row>
    <row r="30938" customFormat="false" ht="15" hidden="false" customHeight="false" outlineLevel="0" collapsed="false">
      <c r="A30938" s="3" t="s">
        <v>329</v>
      </c>
      <c r="G30938" s="16" t="n">
        <f aca="false">F30949</f>
        <v>300</v>
      </c>
      <c r="H30938" s="16" t="n">
        <f aca="false">G30949</f>
        <v>300</v>
      </c>
      <c r="I30938" s="16" t="n">
        <f aca="false">H30949</f>
        <v>300</v>
      </c>
      <c r="J30938" s="16" t="n">
        <f aca="false">I30949</f>
        <v>300</v>
      </c>
      <c r="K30938" s="16" t="n">
        <f aca="false">J30949</f>
        <v>300</v>
      </c>
    </row>
    <row r="30939" customFormat="false" ht="15" hidden="false" customHeight="false" outlineLevel="0" collapsed="false">
      <c r="A30939" s="3" t="s">
        <v>330</v>
      </c>
      <c r="G30939" s="21" t="n">
        <f aca="false">IF(G30798=Assumptions!$K$65,1,0)</f>
        <v>0</v>
      </c>
      <c r="H30939" s="21" t="n">
        <f aca="false">IF(H30798=Assumptions!$K$65,1,0)</f>
        <v>0</v>
      </c>
      <c r="I30939" s="21" t="n">
        <f aca="false">IF(I30798=Assumptions!$K$65,1,0)</f>
        <v>0</v>
      </c>
      <c r="J30939" s="21" t="n">
        <f aca="false">IF(J30798=Assumptions!$K$65,1,0)</f>
        <v>0</v>
      </c>
      <c r="K30939" s="21" t="n">
        <f aca="false">IF(K30798=Assumptions!$K$65,1,0)</f>
        <v>1</v>
      </c>
    </row>
    <row r="30941" customFormat="false" ht="15" hidden="false" customHeight="false" outlineLevel="0" collapsed="false">
      <c r="A30941" s="3" t="s">
        <v>331</v>
      </c>
      <c r="G30941" s="31" t="n">
        <f aca="false">IF(Assumptions!$I$65=1,MAX(G30824,Assumptions!$G$65)+Assumptions!$F$65+$C$30825,Assumptions!$E$65)</f>
        <v>0.06125</v>
      </c>
      <c r="H30941" s="31" t="n">
        <f aca="false">IF(G31152=1,$C$30826,IF(Assumptions!$I$65=1,MAX(H30824,Assumptions!$G$65)+Assumptions!$F$65+$C$30825,Assumptions!$E$65))</f>
        <v>0.06125</v>
      </c>
      <c r="I30941" s="31" t="n">
        <f aca="false">IF(H31152=1,$C$30826,IF(Assumptions!$I$65=1,MAX(I30824,Assumptions!$G$65)+Assumptions!$F$65+$C$30825,Assumptions!$E$65))</f>
        <v>0.06125</v>
      </c>
      <c r="J30941" s="31" t="n">
        <f aca="false">IF(I31152=1,$C$30826,IF(Assumptions!$I$65=1,MAX(J30824,Assumptions!$G$65)+Assumptions!$F$65+$C$30825,Assumptions!$E$65))</f>
        <v>0.06125</v>
      </c>
      <c r="K30941" s="31" t="n">
        <f aca="false">IF(J31152=1,$C$30826,IF(Assumptions!$I$65=1,MAX(K30824,Assumptions!$G$65)+Assumptions!$F$65+$C$30825,Assumptions!$E$65))</f>
        <v>0.06125</v>
      </c>
    </row>
    <row r="30942" customFormat="false" ht="15" hidden="false" customHeight="false" outlineLevel="0" collapsed="false">
      <c r="A30942" s="3" t="s">
        <v>332</v>
      </c>
      <c r="G30942" s="16" t="n">
        <f aca="false">G30938*G30941</f>
        <v>18.375</v>
      </c>
      <c r="H30942" s="16" t="n">
        <f aca="false">H30938*H30941</f>
        <v>18.375</v>
      </c>
      <c r="I30942" s="16" t="n">
        <f aca="false">I30938*I30941</f>
        <v>18.375</v>
      </c>
      <c r="J30942" s="16" t="n">
        <f aca="false">J30938*J30941</f>
        <v>18.375</v>
      </c>
      <c r="K30942" s="16" t="n">
        <f aca="false">K30938*K30941</f>
        <v>18.375</v>
      </c>
    </row>
    <row r="30943" customFormat="false" ht="15" hidden="false" customHeight="false" outlineLevel="0" collapsed="false">
      <c r="A30943" s="3" t="s">
        <v>333</v>
      </c>
      <c r="G30943" s="16" t="n">
        <f aca="false">G30938*Assumptions!$H$65</f>
        <v>0</v>
      </c>
      <c r="H30943" s="16" t="n">
        <f aca="false">H30938*Assumptions!$H$65</f>
        <v>0</v>
      </c>
      <c r="I30943" s="16" t="n">
        <f aca="false">I30938*Assumptions!$H$65</f>
        <v>0</v>
      </c>
      <c r="J30943" s="16" t="n">
        <f aca="false">J30938*Assumptions!$H$65</f>
        <v>0</v>
      </c>
      <c r="K30943" s="16" t="n">
        <f aca="false">K30938*Assumptions!$H$65</f>
        <v>0</v>
      </c>
    </row>
    <row r="30944" customFormat="false" ht="15" hidden="false" customHeight="false" outlineLevel="0" collapsed="false">
      <c r="A30944" s="3" t="s">
        <v>334</v>
      </c>
      <c r="G30944" s="16" t="n">
        <f aca="false">MIN(G30938,Assumptions!$L$65*Assumptions!$C$65)</f>
        <v>0</v>
      </c>
      <c r="H30944" s="16" t="n">
        <f aca="false">MIN(H30938,Assumptions!$L$65*Assumptions!$C$65)</f>
        <v>0</v>
      </c>
      <c r="I30944" s="16" t="n">
        <f aca="false">MIN(I30938,Assumptions!$L$65*Assumptions!$C$65)</f>
        <v>0</v>
      </c>
      <c r="J30944" s="16" t="n">
        <f aca="false">MIN(J30938,Assumptions!$L$65*Assumptions!$C$65)</f>
        <v>0</v>
      </c>
      <c r="K30944" s="16" t="n">
        <f aca="false">MIN(K30938,Assumptions!$L$65*Assumptions!$C$65)</f>
        <v>0</v>
      </c>
    </row>
    <row r="30945" customFormat="false" ht="15" hidden="false" customHeight="false" outlineLevel="0" collapsed="false">
      <c r="A30945" s="3" t="s">
        <v>335</v>
      </c>
      <c r="G30945" s="16" t="n">
        <f aca="false">IF(AND(Assumptions!$P$65=1,G30798&lt;Assumptions!$K$65),MIN(MAX(0,-G31014),MAX(0,Assumptions!$D$65-G30938)),0)</f>
        <v>0</v>
      </c>
      <c r="H30945" s="16" t="n">
        <f aca="false">IF(AND(Assumptions!$P$65=1,OR(H30798&lt;Assumptions!$K$65,G31152=1)),MIN(MAX(0,-H31014),MAX(0,Assumptions!$D$65-H30938)),0)</f>
        <v>0</v>
      </c>
      <c r="I30945" s="16" t="n">
        <f aca="false">IF(AND(Assumptions!$P$65=1,OR(I30798&lt;Assumptions!$K$65,H31152=1)),MIN(MAX(0,-I31014),MAX(0,Assumptions!$D$65-I30938)),0)</f>
        <v>0</v>
      </c>
      <c r="J30945" s="16" t="n">
        <f aca="false">IF(AND(Assumptions!$P$65=1,OR(J30798&lt;Assumptions!$K$65,I31152=1)),MIN(MAX(0,-J31014),MAX(0,Assumptions!$D$65-J30938)),0)</f>
        <v>0</v>
      </c>
      <c r="K30945" s="16" t="n">
        <f aca="false">IF(AND(Assumptions!$P$65=1,OR(K30798&lt;Assumptions!$K$65,J31152=1)),MIN(MAX(0,-K31014),MAX(0,Assumptions!$D$65-K30938)),0)</f>
        <v>0</v>
      </c>
    </row>
    <row r="30946" customFormat="false" ht="15" hidden="false" customHeight="false" outlineLevel="0" collapsed="false">
      <c r="A30946" s="3" t="s">
        <v>336</v>
      </c>
      <c r="G30946" s="16" t="n">
        <f aca="false">G30939*MIN(G30938-G30944+G30943,MAX(0,G31016-Assumptions!$C$12*G30832-G30842-G30855-G30868-G30881-G30894-G30907-G30920-G30933))</f>
        <v>0</v>
      </c>
      <c r="H30946" s="16" t="n">
        <f aca="false">H30939*MIN(H30938-H30944+H30943,MAX(0,H31016-Assumptions!$C$12*H30832-H30842-H30855-H30868-H30881-H30894-H30907-H30920-H30933))</f>
        <v>0</v>
      </c>
      <c r="I30946" s="16" t="n">
        <f aca="false">I30939*MIN(I30938-I30944+I30943,MAX(0,I31016-Assumptions!$C$12*I30832-I30842-I30855-I30868-I30881-I30894-I30907-I30920-I30933))</f>
        <v>0</v>
      </c>
      <c r="J30946" s="16" t="n">
        <f aca="false">J30939*MIN(J30938-J30944+J30943,MAX(0,J31016-Assumptions!$C$12*J30832-J30842-J30855-J30868-J30881-J30894-J30907-J30920-J30933))</f>
        <v>0</v>
      </c>
      <c r="K30946" s="16" t="n">
        <f aca="false">K30939*MIN(K30938-K30944+K30943,MAX(0,K31016-Assumptions!$C$12*K30832-K30842-K30855-K30868-K30881-K30894-K30907-K30920-K30933))</f>
        <v>0</v>
      </c>
    </row>
    <row r="30947" customFormat="false" ht="15" hidden="false" customHeight="false" outlineLevel="0" collapsed="false">
      <c r="A30947" s="3" t="s">
        <v>337</v>
      </c>
      <c r="G30947" s="16" t="n">
        <f aca="false">Assumptions!$N$65*MIN(G30938+G30945+G30943-G30944-G30946,MAX(0,G31020-G30843-G30856-G30869-G30882-G30895-G30908-G30921-G30934))</f>
        <v>0</v>
      </c>
      <c r="H30947" s="16" t="n">
        <f aca="false">Assumptions!$N$65*MIN(H30938+H30945+H30943-H30944-H30946,MAX(0,H31020-H30843-H30856-H30869-H30882-H30895-H30908-H30921-H30934))</f>
        <v>0</v>
      </c>
      <c r="I30947" s="16" t="n">
        <f aca="false">Assumptions!$N$65*MIN(I30938+I30945+I30943-I30944-I30946,MAX(0,I31020-I30843-I30856-I30869-I30882-I30895-I30908-I30921-I30934))</f>
        <v>0</v>
      </c>
      <c r="J30947" s="16" t="n">
        <f aca="false">Assumptions!$N$65*MIN(J30938+J30945+J30943-J30944-J30946,MAX(0,J31020-J30843-J30856-J30869-J30882-J30895-J30908-J30921-J30934))</f>
        <v>0</v>
      </c>
      <c r="K30947" s="16" t="n">
        <f aca="false">Assumptions!$N$65*MIN(K30938+K30945+K30943-K30944-K30946,MAX(0,K31020-K30843-K30856-K30869-K30882-K30895-K30908-K30921-K30934))</f>
        <v>0</v>
      </c>
    </row>
    <row r="30948" customFormat="false" ht="15" hidden="false" customHeight="false" outlineLevel="0" collapsed="false">
      <c r="A30948" s="3" t="s">
        <v>338</v>
      </c>
      <c r="G30948" s="16" t="n">
        <f aca="false">G30939*(1-G30832)*(G30938-G30944+G30943-G30946)</f>
        <v>0</v>
      </c>
      <c r="H30948" s="16" t="n">
        <f aca="false">H30939*(1-H30832)*(H30938-H30944+H30943-H30946)</f>
        <v>0</v>
      </c>
      <c r="I30948" s="16" t="n">
        <f aca="false">I30939*(1-I30832)*(I30938-I30944+I30943-I30946)</f>
        <v>0</v>
      </c>
      <c r="J30948" s="16" t="n">
        <f aca="false">J30939*(1-J30832)*(J30938-J30944+J30943-J30946)</f>
        <v>0</v>
      </c>
      <c r="K30948" s="16" t="n">
        <f aca="false">K30939*(1-K30832)*(K30938-K30944+K30943-K30946)</f>
        <v>300</v>
      </c>
    </row>
    <row r="30949" customFormat="false" ht="15" hidden="false" customHeight="false" outlineLevel="0" collapsed="false">
      <c r="A30949" s="2" t="s">
        <v>339</v>
      </c>
      <c r="F30949" s="28" t="n">
        <f aca="false">Assumptions!$C$65</f>
        <v>300</v>
      </c>
      <c r="G30949" s="17" t="n">
        <f aca="false">G30938+G30945+G30943-G30944-G30946-G30947</f>
        <v>300</v>
      </c>
      <c r="H30949" s="17" t="n">
        <f aca="false">H30938+H30945+H30943-H30944-H30946-H30947</f>
        <v>300</v>
      </c>
      <c r="I30949" s="17" t="n">
        <f aca="false">I30938+I30945+I30943-I30944-I30946-I30947</f>
        <v>300</v>
      </c>
      <c r="J30949" s="17" t="n">
        <f aca="false">J30938+J30945+J30943-J30944-J30946-J30947</f>
        <v>300</v>
      </c>
      <c r="K30949" s="17" t="n">
        <f aca="false">K30938+K30945+K30943-K30944-K30946-K30947</f>
        <v>300</v>
      </c>
    </row>
    <row r="30950" customFormat="false" ht="15" hidden="false" customHeight="false" outlineLevel="0" collapsed="false">
      <c r="A30950" s="24" t="s">
        <v>348</v>
      </c>
      <c r="B30950" s="25"/>
      <c r="C30950" s="25"/>
      <c r="D30950" s="25"/>
      <c r="E30950" s="25"/>
      <c r="F30950" s="25"/>
      <c r="G30950" s="25"/>
      <c r="H30950" s="25"/>
      <c r="I30950" s="25"/>
      <c r="J30950" s="25"/>
      <c r="K30950" s="25"/>
    </row>
    <row r="30951" customFormat="false" ht="15" hidden="false" customHeight="false" outlineLevel="0" collapsed="false">
      <c r="A30951" s="3" t="s">
        <v>329</v>
      </c>
      <c r="G30951" s="16" t="n">
        <f aca="false">F30962</f>
        <v>78.61</v>
      </c>
      <c r="H30951" s="16" t="n">
        <f aca="false">G30962</f>
        <v>78.61</v>
      </c>
      <c r="I30951" s="16" t="n">
        <f aca="false">H30962</f>
        <v>78.61</v>
      </c>
      <c r="J30951" s="16" t="n">
        <f aca="false">I30962</f>
        <v>78.61</v>
      </c>
      <c r="K30951" s="16" t="n">
        <f aca="false">J30962</f>
        <v>78.61</v>
      </c>
    </row>
    <row r="30952" customFormat="false" ht="15" hidden="false" customHeight="false" outlineLevel="0" collapsed="false">
      <c r="A30952" s="3" t="s">
        <v>330</v>
      </c>
      <c r="G30952" s="21" t="n">
        <f aca="false">IF(G30798=Assumptions!$K$66,1,0)</f>
        <v>0</v>
      </c>
      <c r="H30952" s="21" t="n">
        <f aca="false">IF(H30798=Assumptions!$K$66,1,0)</f>
        <v>0</v>
      </c>
      <c r="I30952" s="21" t="n">
        <f aca="false">IF(I30798=Assumptions!$K$66,1,0)</f>
        <v>0</v>
      </c>
      <c r="J30952" s="21" t="n">
        <f aca="false">IF(J30798=Assumptions!$K$66,1,0)</f>
        <v>0</v>
      </c>
      <c r="K30952" s="21" t="n">
        <f aca="false">IF(K30798=Assumptions!$K$66,1,0)</f>
        <v>0</v>
      </c>
    </row>
    <row r="30954" customFormat="false" ht="15" hidden="false" customHeight="false" outlineLevel="0" collapsed="false">
      <c r="A30954" s="3" t="s">
        <v>331</v>
      </c>
      <c r="G30954" s="31" t="n">
        <f aca="false">IF(Assumptions!$I$66=1,MAX(G30824,Assumptions!$G$66)+Assumptions!$F$66+$C$30825,Assumptions!$E$66)</f>
        <v>0.1041</v>
      </c>
      <c r="H30954" s="31" t="n">
        <f aca="false">IF(G31153=1,$C$30826,IF(Assumptions!$I$66=1,MAX(H30824,Assumptions!$G$66)+Assumptions!$F$66+$C$30825,Assumptions!$E$66))</f>
        <v>0.1026</v>
      </c>
      <c r="I30954" s="31" t="n">
        <f aca="false">IF(H31153=1,$C$30826,IF(Assumptions!$I$66=1,MAX(I30824,Assumptions!$G$66)+Assumptions!$F$66+$C$30825,Assumptions!$E$66))</f>
        <v>0.1001</v>
      </c>
      <c r="J30954" s="31" t="n">
        <f aca="false">IF(I31153=1,$C$30826,IF(Assumptions!$I$66=1,MAX(J30824,Assumptions!$G$66)+Assumptions!$F$66+$C$30825,Assumptions!$E$66))</f>
        <v>0.1001</v>
      </c>
      <c r="K30954" s="31" t="n">
        <f aca="false">IF(J31153=1,$C$30826,IF(Assumptions!$I$66=1,MAX(K30824,Assumptions!$G$66)+Assumptions!$F$66+$C$30825,Assumptions!$E$66))</f>
        <v>0.1001</v>
      </c>
    </row>
    <row r="30955" customFormat="false" ht="15" hidden="false" customHeight="false" outlineLevel="0" collapsed="false">
      <c r="A30955" s="3" t="s">
        <v>332</v>
      </c>
      <c r="G30955" s="16" t="n">
        <f aca="false">G30951*G30954</f>
        <v>8.183301</v>
      </c>
      <c r="H30955" s="16" t="n">
        <f aca="false">H30951*H30954</f>
        <v>8.065386</v>
      </c>
      <c r="I30955" s="16" t="n">
        <f aca="false">I30951*I30954</f>
        <v>7.868861</v>
      </c>
      <c r="J30955" s="16" t="n">
        <f aca="false">J30951*J30954</f>
        <v>7.868861</v>
      </c>
      <c r="K30955" s="16" t="n">
        <f aca="false">K30951*K30954</f>
        <v>7.868861</v>
      </c>
    </row>
    <row r="30956" customFormat="false" ht="15" hidden="false" customHeight="false" outlineLevel="0" collapsed="false">
      <c r="A30956" s="3" t="s">
        <v>333</v>
      </c>
      <c r="G30956" s="16" t="n">
        <f aca="false">G30951*Assumptions!$H$66</f>
        <v>0</v>
      </c>
      <c r="H30956" s="16" t="n">
        <f aca="false">H30951*Assumptions!$H$66</f>
        <v>0</v>
      </c>
      <c r="I30956" s="16" t="n">
        <f aca="false">I30951*Assumptions!$H$66</f>
        <v>0</v>
      </c>
      <c r="J30956" s="16" t="n">
        <f aca="false">J30951*Assumptions!$H$66</f>
        <v>0</v>
      </c>
      <c r="K30956" s="16" t="n">
        <f aca="false">K30951*Assumptions!$H$66</f>
        <v>0</v>
      </c>
    </row>
    <row r="30957" customFormat="false" ht="15" hidden="false" customHeight="false" outlineLevel="0" collapsed="false">
      <c r="A30957" s="3" t="s">
        <v>334</v>
      </c>
      <c r="G30957" s="16" t="n">
        <f aca="false">MIN(G30951,Assumptions!$L$66*Assumptions!$C$66)</f>
        <v>0</v>
      </c>
      <c r="H30957" s="16" t="n">
        <f aca="false">MIN(H30951,Assumptions!$L$66*Assumptions!$C$66)</f>
        <v>0</v>
      </c>
      <c r="I30957" s="16" t="n">
        <f aca="false">MIN(I30951,Assumptions!$L$66*Assumptions!$C$66)</f>
        <v>0</v>
      </c>
      <c r="J30957" s="16" t="n">
        <f aca="false">MIN(J30951,Assumptions!$L$66*Assumptions!$C$66)</f>
        <v>0</v>
      </c>
      <c r="K30957" s="16" t="n">
        <f aca="false">MIN(K30951,Assumptions!$L$66*Assumptions!$C$66)</f>
        <v>0</v>
      </c>
    </row>
    <row r="30958" customFormat="false" ht="15" hidden="false" customHeight="false" outlineLevel="0" collapsed="false">
      <c r="A30958" s="3" t="s">
        <v>335</v>
      </c>
      <c r="G30958" s="16" t="n">
        <f aca="false">IF(AND(Assumptions!$P$66=1,G30798&lt;Assumptions!$K$66),MIN(MAX(0,-G31014),MAX(0,Assumptions!$D$66-G30951)),0)</f>
        <v>0</v>
      </c>
      <c r="H30958" s="16" t="n">
        <f aca="false">IF(AND(Assumptions!$P$66=1,OR(H30798&lt;Assumptions!$K$66,G31153=1)),MIN(MAX(0,-H31014),MAX(0,Assumptions!$D$66-H30951)),0)</f>
        <v>0</v>
      </c>
      <c r="I30958" s="16" t="n">
        <f aca="false">IF(AND(Assumptions!$P$66=1,OR(I30798&lt;Assumptions!$K$66,H31153=1)),MIN(MAX(0,-I31014),MAX(0,Assumptions!$D$66-I30951)),0)</f>
        <v>0</v>
      </c>
      <c r="J30958" s="16" t="n">
        <f aca="false">IF(AND(Assumptions!$P$66=1,OR(J30798&lt;Assumptions!$K$66,I31153=1)),MIN(MAX(0,-J31014),MAX(0,Assumptions!$D$66-J30951)),0)</f>
        <v>0</v>
      </c>
      <c r="K30958" s="16" t="n">
        <f aca="false">IF(AND(Assumptions!$P$66=1,OR(K30798&lt;Assumptions!$K$66,J31153=1)),MIN(MAX(0,-K31014),MAX(0,Assumptions!$D$66-K30951)),0)</f>
        <v>0</v>
      </c>
    </row>
    <row r="30959" customFormat="false" ht="15" hidden="false" customHeight="false" outlineLevel="0" collapsed="false">
      <c r="A30959" s="3" t="s">
        <v>336</v>
      </c>
      <c r="G30959" s="16" t="n">
        <f aca="false">G30952*MIN(G30951-G30957+G30956,MAX(0,G31016-Assumptions!$C$12*G30832-G30842-G30855-G30868-G30881-G30894-G30907-G30920-G30933-G30946))</f>
        <v>0</v>
      </c>
      <c r="H30959" s="16" t="n">
        <f aca="false">H30952*MIN(H30951-H30957+H30956,MAX(0,H31016-Assumptions!$C$12*H30832-H30842-H30855-H30868-H30881-H30894-H30907-H30920-H30933-H30946))</f>
        <v>0</v>
      </c>
      <c r="I30959" s="16" t="n">
        <f aca="false">I30952*MIN(I30951-I30957+I30956,MAX(0,I31016-Assumptions!$C$12*I30832-I30842-I30855-I30868-I30881-I30894-I30907-I30920-I30933-I30946))</f>
        <v>0</v>
      </c>
      <c r="J30959" s="16" t="n">
        <f aca="false">J30952*MIN(J30951-J30957+J30956,MAX(0,J31016-Assumptions!$C$12*J30832-J30842-J30855-J30868-J30881-J30894-J30907-J30920-J30933-J30946))</f>
        <v>0</v>
      </c>
      <c r="K30959" s="16" t="n">
        <f aca="false">K30952*MIN(K30951-K30957+K30956,MAX(0,K31016-Assumptions!$C$12*K30832-K30842-K30855-K30868-K30881-K30894-K30907-K30920-K30933-K30946))</f>
        <v>0</v>
      </c>
    </row>
    <row r="30960" customFormat="false" ht="15" hidden="false" customHeight="false" outlineLevel="0" collapsed="false">
      <c r="A30960" s="3" t="s">
        <v>337</v>
      </c>
      <c r="G30960" s="16" t="n">
        <f aca="false">Assumptions!$N$66*MIN(G30951+G30958+G30956-G30957-G30959,MAX(0,G31020-G30843-G30856-G30869-G30882-G30895-G30908-G30921-G30934-G30947))</f>
        <v>0</v>
      </c>
      <c r="H30960" s="16" t="n">
        <f aca="false">Assumptions!$N$66*MIN(H30951+H30958+H30956-H30957-H30959,MAX(0,H31020-H30843-H30856-H30869-H30882-H30895-H30908-H30921-H30934-H30947))</f>
        <v>0</v>
      </c>
      <c r="I30960" s="16" t="n">
        <f aca="false">Assumptions!$N$66*MIN(I30951+I30958+I30956-I30957-I30959,MAX(0,I31020-I30843-I30856-I30869-I30882-I30895-I30908-I30921-I30934-I30947))</f>
        <v>0</v>
      </c>
      <c r="J30960" s="16" t="n">
        <f aca="false">Assumptions!$N$66*MIN(J30951+J30958+J30956-J30957-J30959,MAX(0,J31020-J30843-J30856-J30869-J30882-J30895-J30908-J30921-J30934-J30947))</f>
        <v>0</v>
      </c>
      <c r="K30960" s="16" t="n">
        <f aca="false">Assumptions!$N$66*MIN(K30951+K30958+K30956-K30957-K30959,MAX(0,K31020-K30843-K30856-K30869-K30882-K30895-K30908-K30921-K30934-K30947))</f>
        <v>0</v>
      </c>
    </row>
    <row r="30961" customFormat="false" ht="15" hidden="false" customHeight="false" outlineLevel="0" collapsed="false">
      <c r="A30961" s="3" t="s">
        <v>338</v>
      </c>
      <c r="G30961" s="16" t="n">
        <f aca="false">G30952*(1-G30832)*(G30951-G30957+G30956-G30959)</f>
        <v>0</v>
      </c>
      <c r="H30961" s="16" t="n">
        <f aca="false">H30952*(1-H30832)*(H30951-H30957+H30956-H30959)</f>
        <v>0</v>
      </c>
      <c r="I30961" s="16" t="n">
        <f aca="false">I30952*(1-I30832)*(I30951-I30957+I30956-I30959)</f>
        <v>0</v>
      </c>
      <c r="J30961" s="16" t="n">
        <f aca="false">J30952*(1-J30832)*(J30951-J30957+J30956-J30959)</f>
        <v>0</v>
      </c>
      <c r="K30961" s="16" t="n">
        <f aca="false">K30952*(1-K30832)*(K30951-K30957+K30956-K30959)</f>
        <v>0</v>
      </c>
    </row>
    <row r="30962" customFormat="false" ht="15" hidden="false" customHeight="false" outlineLevel="0" collapsed="false">
      <c r="A30962" s="2" t="s">
        <v>339</v>
      </c>
      <c r="F30962" s="28" t="n">
        <f aca="false">Assumptions!$C$66</f>
        <v>78.61</v>
      </c>
      <c r="G30962" s="17" t="n">
        <f aca="false">G30951+G30958+G30956-G30957-G30959-G30960</f>
        <v>78.61</v>
      </c>
      <c r="H30962" s="17" t="n">
        <f aca="false">H30951+H30958+H30956-H30957-H30959-H30960</f>
        <v>78.61</v>
      </c>
      <c r="I30962" s="17" t="n">
        <f aca="false">I30951+I30958+I30956-I30957-I30959-I30960</f>
        <v>78.61</v>
      </c>
      <c r="J30962" s="17" t="n">
        <f aca="false">J30951+J30958+J30956-J30957-J30959-J30960</f>
        <v>78.61</v>
      </c>
      <c r="K30962" s="17" t="n">
        <f aca="false">K30951+K30958+K30956-K30957-K30959-K30960</f>
        <v>78.61</v>
      </c>
    </row>
    <row r="30963" customFormat="false" ht="15" hidden="false" customHeight="false" outlineLevel="0" collapsed="false">
      <c r="A30963" s="24" t="s">
        <v>349</v>
      </c>
      <c r="B30963" s="25"/>
      <c r="C30963" s="25"/>
      <c r="D30963" s="25"/>
      <c r="E30963" s="25"/>
      <c r="F30963" s="25"/>
      <c r="G30963" s="25"/>
      <c r="H30963" s="25"/>
      <c r="I30963" s="25"/>
      <c r="J30963" s="25"/>
      <c r="K30963" s="25"/>
    </row>
    <row r="30964" customFormat="false" ht="15" hidden="false" customHeight="false" outlineLevel="0" collapsed="false">
      <c r="A30964" s="2" t="s">
        <v>350</v>
      </c>
      <c r="F30964" s="17" t="n">
        <f aca="false">F30845+F30858+F30871+F30884+F30897+F30910+F30923+F30936+F30949+F30962</f>
        <v>2625.934</v>
      </c>
      <c r="G30964" s="17" t="n">
        <f aca="false">G30845+G30858+G30871+G30884+G30897+G30910+G30923+G30936+G30949+G30962</f>
        <v>2621.934</v>
      </c>
      <c r="H30964" s="17" t="n">
        <f aca="false">H30845+H30858+H30871+H30884+H30897+H30910+H30923+H30936+H30949+H30962</f>
        <v>2617.934</v>
      </c>
      <c r="I30964" s="17" t="n">
        <f aca="false">I30845+I30858+I30871+I30884+I30897+I30910+I30923+I30936+I30949+I30962</f>
        <v>2613.934</v>
      </c>
      <c r="J30964" s="17" t="n">
        <f aca="false">J30845+J30858+J30871+J30884+J30897+J30910+J30923+J30936+J30949+J30962</f>
        <v>2609.934</v>
      </c>
      <c r="K30964" s="17" t="n">
        <f aca="false">K30845+K30858+K30871+K30884+K30897+K30910+K30923+K30936+K30949+K30962</f>
        <v>2605.934</v>
      </c>
    </row>
    <row r="30965" customFormat="false" ht="15" hidden="false" customHeight="false" outlineLevel="0" collapsed="false">
      <c r="A30965" s="3" t="s">
        <v>351</v>
      </c>
      <c r="G30965" s="16" t="n">
        <f aca="false">G30835*Assumptions!$C$57+G30848*Assumptions!$C$58+G30861*Assumptions!$C$59+G30874*Assumptions!$C$60+G30887*Assumptions!$C$61+G30900*Assumptions!$C$62+G30913*Assumptions!$C$63+G30926*Assumptions!$C$64+G30939*Assumptions!$C$65+G30952*Assumptions!$C$66</f>
        <v>0</v>
      </c>
      <c r="H30965" s="16" t="n">
        <f aca="false">H30835*Assumptions!$C$57+H30848*Assumptions!$C$58+H30861*Assumptions!$C$59+H30874*Assumptions!$C$60+H30887*Assumptions!$C$61+H30900*Assumptions!$C$62+H30913*Assumptions!$C$63+H30926*Assumptions!$C$64+H30939*Assumptions!$C$65+H30952*Assumptions!$C$66</f>
        <v>800</v>
      </c>
      <c r="I30965" s="16" t="n">
        <f aca="false">I30835*Assumptions!$C$57+I30848*Assumptions!$C$58+I30861*Assumptions!$C$59+I30874*Assumptions!$C$60+I30887*Assumptions!$C$61+I30900*Assumptions!$C$62+I30913*Assumptions!$C$63+I30926*Assumptions!$C$64+I30939*Assumptions!$C$65+I30952*Assumptions!$C$66</f>
        <v>550</v>
      </c>
      <c r="J30965" s="16" t="n">
        <f aca="false">J30835*Assumptions!$C$57+J30848*Assumptions!$C$58+J30861*Assumptions!$C$59+J30874*Assumptions!$C$60+J30887*Assumptions!$C$61+J30900*Assumptions!$C$62+J30913*Assumptions!$C$63+J30926*Assumptions!$C$64+J30939*Assumptions!$C$65+J30952*Assumptions!$C$66</f>
        <v>350</v>
      </c>
      <c r="K30965" s="16" t="n">
        <f aca="false">K30835*Assumptions!$C$57+K30848*Assumptions!$C$58+K30861*Assumptions!$C$59+K30874*Assumptions!$C$60+K30887*Assumptions!$C$61+K30900*Assumptions!$C$62+K30913*Assumptions!$C$63+K30926*Assumptions!$C$64+K30939*Assumptions!$C$65+K30952*Assumptions!$C$66</f>
        <v>700</v>
      </c>
    </row>
    <row r="30966" customFormat="false" ht="15" hidden="false" customHeight="false" outlineLevel="0" collapsed="false">
      <c r="A30966" s="24" t="s">
        <v>352</v>
      </c>
      <c r="B30966" s="25"/>
      <c r="C30966" s="25"/>
      <c r="D30966" s="25"/>
      <c r="E30966" s="25"/>
      <c r="F30966" s="25"/>
      <c r="G30966" s="25"/>
      <c r="H30966" s="25"/>
      <c r="I30966" s="25"/>
      <c r="J30966" s="25"/>
      <c r="K30966" s="25"/>
    </row>
    <row r="30967" customFormat="false" ht="15" hidden="false" customHeight="false" outlineLevel="0" collapsed="false">
      <c r="A30967" s="3" t="s">
        <v>353</v>
      </c>
      <c r="C30967" s="16" t="n">
        <f aca="false">SUMPRODUCT($G$30835:$K$30835,$G$30834:$K$30834-$G$30840:$K$30840+$G$30839:$K$30839)</f>
        <v>380</v>
      </c>
    </row>
    <row r="30968" customFormat="false" ht="15" hidden="false" customHeight="false" outlineLevel="0" collapsed="false">
      <c r="A30968" s="3" t="s">
        <v>354</v>
      </c>
      <c r="C30968" s="16" t="n">
        <f aca="false">SUMPRODUCT($G$30835:$K$30835,$G$30842:$K$30842)</f>
        <v>0</v>
      </c>
    </row>
    <row r="30969" customFormat="false" ht="15" hidden="false" customHeight="false" outlineLevel="0" collapsed="false">
      <c r="A30969" s="3" t="s">
        <v>355</v>
      </c>
      <c r="C30969" s="3" t="str">
        <f aca="false">IF(SUM($G$30835:$K$30835)=0,"n/a (beyond horizon)",IF(SUMPRODUCT($G$30835:$K$30835,$G$30832:$K$30832)&gt;0,"REFINANCING PASS","REFINANCING FAILURE"))</f>
        <v>REFINANCING FAILURE</v>
      </c>
    </row>
    <row r="30970" customFormat="false" ht="15" hidden="false" customHeight="false" outlineLevel="0" collapsed="false">
      <c r="A30970" s="3" t="s">
        <v>356</v>
      </c>
      <c r="C30970" s="3" t="str">
        <f aca="false">IF(SUM($G$30835:$K$30835)=0,"n/a",IF(C30968&gt;=C30967-0.001,"Repaid from cash",IF(SUMPRODUCT($G$30835:$K$30835,$G$30832:$K$30832)&gt;0,IF(C30968&gt;0,"Partly repaid; remainder refinanced","Refinanced"),IF(SUM($G$30844:$K$30844)&gt;0.001,IF(C30968&gt;0,"Partial repayment; PAYMENT DEFAULT","PAYMENT DEFAULT"),"Repaid from cash"))))</f>
        <v>PAYMENT DEFAULT</v>
      </c>
    </row>
    <row r="30971" customFormat="false" ht="15" hidden="false" customHeight="false" outlineLevel="0" collapsed="false">
      <c r="A30971" s="3" t="s">
        <v>357</v>
      </c>
      <c r="C30971" s="16" t="n">
        <f aca="false">SUMPRODUCT($G$30848:$K$30848,$G$30847:$K$30847-$G$30853:$K$30853+$G$30852:$K$30852)</f>
        <v>0</v>
      </c>
    </row>
    <row r="30972" customFormat="false" ht="15" hidden="false" customHeight="false" outlineLevel="0" collapsed="false">
      <c r="A30972" s="3" t="s">
        <v>358</v>
      </c>
      <c r="C30972" s="16" t="n">
        <f aca="false">SUMPRODUCT($G$30848:$K$30848,$G$30855:$K$30855)</f>
        <v>0</v>
      </c>
    </row>
    <row r="30973" customFormat="false" ht="15" hidden="false" customHeight="false" outlineLevel="0" collapsed="false">
      <c r="A30973" s="3" t="s">
        <v>359</v>
      </c>
      <c r="C30973" s="3" t="str">
        <f aca="false">IF(SUM($G$30848:$K$30848)=0,"n/a (beyond horizon)",IF(SUMPRODUCT($G$30848:$K$30848,$G$30832:$K$30832)&gt;0,"REFINANCING PASS","REFINANCING FAILURE"))</f>
        <v>n/a (beyond horizon)</v>
      </c>
    </row>
    <row r="30974" customFormat="false" ht="15" hidden="false" customHeight="false" outlineLevel="0" collapsed="false">
      <c r="A30974" s="3" t="s">
        <v>360</v>
      </c>
      <c r="C30974" s="3" t="str">
        <f aca="false">IF(SUM($G$30848:$K$30848)=0,"n/a",IF(C30972&gt;=C30971-0.001,"Repaid from cash",IF(SUMPRODUCT($G$30848:$K$30848,$G$30832:$K$30832)&gt;0,IF(C30972&gt;0,"Partly repaid; remainder refinanced","Refinanced"),IF(SUM($G$30857:$K$30857)&gt;0.001,IF(C30972&gt;0,"Partial repayment; PAYMENT DEFAULT","PAYMENT DEFAULT"),"Repaid from cash"))))</f>
        <v>n/a</v>
      </c>
    </row>
    <row r="30975" customFormat="false" ht="15" hidden="false" customHeight="false" outlineLevel="0" collapsed="false">
      <c r="A30975" s="3" t="s">
        <v>361</v>
      </c>
      <c r="C30975" s="16" t="n">
        <f aca="false">SUMPRODUCT($G$30861:$K$30861,$G$30860:$K$30860-$G$30866:$K$30866+$G$30865:$K$30865)</f>
        <v>0</v>
      </c>
    </row>
    <row r="30976" customFormat="false" ht="15" hidden="false" customHeight="false" outlineLevel="0" collapsed="false">
      <c r="A30976" s="3" t="s">
        <v>362</v>
      </c>
      <c r="C30976" s="16" t="n">
        <f aca="false">SUMPRODUCT($G$30861:$K$30861,$G$30868:$K$30868)</f>
        <v>0</v>
      </c>
    </row>
    <row r="30977" customFormat="false" ht="15" hidden="false" customHeight="false" outlineLevel="0" collapsed="false">
      <c r="A30977" s="3" t="s">
        <v>363</v>
      </c>
      <c r="C30977" s="3" t="str">
        <f aca="false">IF(SUM($G$30861:$K$30861)=0,"n/a (beyond horizon)",IF(SUMPRODUCT($G$30861:$K$30861,$G$30832:$K$30832)&gt;0,"REFINANCING PASS","REFINANCING FAILURE"))</f>
        <v>n/a (beyond horizon)</v>
      </c>
    </row>
    <row r="30978" customFormat="false" ht="15" hidden="false" customHeight="false" outlineLevel="0" collapsed="false">
      <c r="A30978" s="3" t="s">
        <v>364</v>
      </c>
      <c r="C30978" s="3" t="str">
        <f aca="false">IF(SUM($G$30861:$K$30861)=0,"n/a",IF(C30976&gt;=C30975-0.001,"Repaid from cash",IF(SUMPRODUCT($G$30861:$K$30861,$G$30832:$K$30832)&gt;0,IF(C30976&gt;0,"Partly repaid; remainder refinanced","Refinanced"),IF(SUM($G$30870:$K$30870)&gt;0.001,IF(C30976&gt;0,"Partial repayment; PAYMENT DEFAULT","PAYMENT DEFAULT"),"Repaid from cash"))))</f>
        <v>n/a</v>
      </c>
    </row>
    <row r="30979" customFormat="false" ht="15" hidden="false" customHeight="false" outlineLevel="0" collapsed="false">
      <c r="A30979" s="3" t="s">
        <v>365</v>
      </c>
      <c r="C30979" s="16" t="n">
        <f aca="false">SUMPRODUCT($G$30874:$K$30874,$G$30873:$K$30873-$G$30879:$K$30879+$G$30878:$K$30878)</f>
        <v>0</v>
      </c>
    </row>
    <row r="30980" customFormat="false" ht="15" hidden="false" customHeight="false" outlineLevel="0" collapsed="false">
      <c r="A30980" s="3" t="s">
        <v>366</v>
      </c>
      <c r="C30980" s="16" t="n">
        <f aca="false">SUMPRODUCT($G$30874:$K$30874,$G$30881:$K$30881)</f>
        <v>0</v>
      </c>
    </row>
    <row r="30981" customFormat="false" ht="15" hidden="false" customHeight="false" outlineLevel="0" collapsed="false">
      <c r="A30981" s="3" t="s">
        <v>367</v>
      </c>
      <c r="C30981" s="3" t="str">
        <f aca="false">IF(SUM($G$30874:$K$30874)=0,"n/a (beyond horizon)",IF(SUMPRODUCT($G$30874:$K$30874,$G$30832:$K$30832)&gt;0,"REFINANCING PASS","REFINANCING FAILURE"))</f>
        <v>REFINANCING FAILURE</v>
      </c>
    </row>
    <row r="30982" customFormat="false" ht="15" hidden="false" customHeight="false" outlineLevel="0" collapsed="false">
      <c r="A30982" s="3" t="s">
        <v>368</v>
      </c>
      <c r="C30982" s="3" t="str">
        <f aca="false">IF(SUM($G$30874:$K$30874)=0,"n/a",IF(C30980&gt;=C30979-0.001,"Repaid from cash",IF(SUMPRODUCT($G$30874:$K$30874,$G$30832:$K$30832)&gt;0,IF(C30980&gt;0,"Partly repaid; remainder refinanced","Refinanced"),IF(SUM($G$30883:$K$30883)&gt;0.001,IF(C30980&gt;0,"Partial repayment; PAYMENT DEFAULT","PAYMENT DEFAULT"),"Repaid from cash"))))</f>
        <v>Repaid from cash</v>
      </c>
    </row>
    <row r="30983" customFormat="false" ht="15" hidden="false" customHeight="false" outlineLevel="0" collapsed="false">
      <c r="A30983" s="3" t="s">
        <v>369</v>
      </c>
      <c r="C30983" s="16" t="n">
        <f aca="false">SUMPRODUCT($G$30887:$K$30887,$G$30886:$K$30886-$G$30892:$K$30892+$G$30891:$K$30891)</f>
        <v>450</v>
      </c>
    </row>
    <row r="30984" customFormat="false" ht="15" hidden="false" customHeight="false" outlineLevel="0" collapsed="false">
      <c r="A30984" s="3" t="s">
        <v>370</v>
      </c>
      <c r="C30984" s="16" t="n">
        <f aca="false">SUMPRODUCT($G$30887:$K$30887,$G$30894:$K$30894)</f>
        <v>0</v>
      </c>
    </row>
    <row r="30985" customFormat="false" ht="15" hidden="false" customHeight="false" outlineLevel="0" collapsed="false">
      <c r="A30985" s="3" t="s">
        <v>371</v>
      </c>
      <c r="C30985" s="3" t="str">
        <f aca="false">IF(SUM($G$30887:$K$30887)=0,"n/a (beyond horizon)",IF(SUMPRODUCT($G$30887:$K$30887,$G$30832:$K$30832)&gt;0,"REFINANCING PASS","REFINANCING FAILURE"))</f>
        <v>REFINANCING FAILURE</v>
      </c>
    </row>
    <row r="30986" customFormat="false" ht="15" hidden="false" customHeight="false" outlineLevel="0" collapsed="false">
      <c r="A30986" s="3" t="s">
        <v>372</v>
      </c>
      <c r="C30986" s="3" t="str">
        <f aca="false">IF(SUM($G$30887:$K$30887)=0,"n/a",IF(C30984&gt;=C30983-0.001,"Repaid from cash",IF(SUMPRODUCT($G$30887:$K$30887,$G$30832:$K$30832)&gt;0,IF(C30984&gt;0,"Partly repaid; remainder refinanced","Refinanced"),IF(SUM($G$30896:$K$30896)&gt;0.001,IF(C30984&gt;0,"Partial repayment; PAYMENT DEFAULT","PAYMENT DEFAULT"),"Repaid from cash"))))</f>
        <v>PAYMENT DEFAULT</v>
      </c>
    </row>
    <row r="30987" customFormat="false" ht="15" hidden="false" customHeight="false" outlineLevel="0" collapsed="false">
      <c r="A30987" s="3" t="s">
        <v>373</v>
      </c>
      <c r="C30987" s="16" t="n">
        <f aca="false">SUMPRODUCT($G$30900:$K$30900,$G$30899:$K$30899-$G$30905:$K$30905+$G$30904:$K$30904)</f>
        <v>350</v>
      </c>
    </row>
    <row r="30988" customFormat="false" ht="15" hidden="false" customHeight="false" outlineLevel="0" collapsed="false">
      <c r="A30988" s="3" t="s">
        <v>374</v>
      </c>
      <c r="C30988" s="16" t="n">
        <f aca="false">SUMPRODUCT($G$30900:$K$30900,$G$30907:$K$30907)</f>
        <v>0</v>
      </c>
    </row>
    <row r="30989" customFormat="false" ht="15" hidden="false" customHeight="false" outlineLevel="0" collapsed="false">
      <c r="A30989" s="3" t="s">
        <v>375</v>
      </c>
      <c r="C30989" s="3" t="str">
        <f aca="false">IF(SUM($G$30900:$K$30900)=0,"n/a (beyond horizon)",IF(SUMPRODUCT($G$30900:$K$30900,$G$30832:$K$30832)&gt;0,"REFINANCING PASS","REFINANCING FAILURE"))</f>
        <v>REFINANCING FAILURE</v>
      </c>
    </row>
    <row r="30990" customFormat="false" ht="15" hidden="false" customHeight="false" outlineLevel="0" collapsed="false">
      <c r="A30990" s="3" t="s">
        <v>376</v>
      </c>
      <c r="C30990" s="3" t="str">
        <f aca="false">IF(SUM($G$30900:$K$30900)=0,"n/a",IF(C30988&gt;=C30987-0.001,"Repaid from cash",IF(SUMPRODUCT($G$30900:$K$30900,$G$30832:$K$30832)&gt;0,IF(C30988&gt;0,"Partly repaid; remainder refinanced","Refinanced"),IF(SUM($G$30909:$K$30909)&gt;0.001,IF(C30988&gt;0,"Partial repayment; PAYMENT DEFAULT","PAYMENT DEFAULT"),"Repaid from cash"))))</f>
        <v>PAYMENT DEFAULT</v>
      </c>
    </row>
    <row r="30991" customFormat="false" ht="15" hidden="false" customHeight="false" outlineLevel="0" collapsed="false">
      <c r="A30991" s="3" t="s">
        <v>377</v>
      </c>
      <c r="C30991" s="16" t="n">
        <f aca="false">SUMPRODUCT($G$30913:$K$30913,$G$30912:$K$30912-$G$30918:$K$30918+$G$30917:$K$30917)</f>
        <v>550</v>
      </c>
    </row>
    <row r="30992" customFormat="false" ht="15" hidden="false" customHeight="false" outlineLevel="0" collapsed="false">
      <c r="A30992" s="3" t="s">
        <v>378</v>
      </c>
      <c r="C30992" s="16" t="n">
        <f aca="false">SUMPRODUCT($G$30913:$K$30913,$G$30920:$K$30920)</f>
        <v>0</v>
      </c>
    </row>
    <row r="30993" customFormat="false" ht="15" hidden="false" customHeight="false" outlineLevel="0" collapsed="false">
      <c r="A30993" s="3" t="s">
        <v>379</v>
      </c>
      <c r="C30993" s="3" t="str">
        <f aca="false">IF(SUM($G$30913:$K$30913)=0,"n/a (beyond horizon)",IF(SUMPRODUCT($G$30913:$K$30913,$G$30832:$K$30832)&gt;0,"REFINANCING PASS","REFINANCING FAILURE"))</f>
        <v>REFINANCING FAILURE</v>
      </c>
    </row>
    <row r="30994" customFormat="false" ht="15" hidden="false" customHeight="false" outlineLevel="0" collapsed="false">
      <c r="A30994" s="3" t="s">
        <v>380</v>
      </c>
      <c r="C30994" s="3" t="str">
        <f aca="false">IF(SUM($G$30913:$K$30913)=0,"n/a",IF(C30992&gt;=C30991-0.001,"Repaid from cash",IF(SUMPRODUCT($G$30913:$K$30913,$G$30832:$K$30832)&gt;0,IF(C30992&gt;0,"Partly repaid; remainder refinanced","Refinanced"),IF(SUM($G$30922:$K$30922)&gt;0.001,IF(C30992&gt;0,"Partial repayment; PAYMENT DEFAULT","PAYMENT DEFAULT"),"Repaid from cash"))))</f>
        <v>PAYMENT DEFAULT</v>
      </c>
    </row>
    <row r="30995" customFormat="false" ht="15" hidden="false" customHeight="false" outlineLevel="0" collapsed="false">
      <c r="A30995" s="3" t="s">
        <v>381</v>
      </c>
      <c r="C30995" s="16" t="n">
        <f aca="false">SUMPRODUCT($G$30926:$K$30926,$G$30925:$K$30925-$G$30931:$K$30931+$G$30930:$K$30930)</f>
        <v>350</v>
      </c>
    </row>
    <row r="30996" customFormat="false" ht="15" hidden="false" customHeight="false" outlineLevel="0" collapsed="false">
      <c r="A30996" s="3" t="s">
        <v>382</v>
      </c>
      <c r="C30996" s="16" t="n">
        <f aca="false">SUMPRODUCT($G$30926:$K$30926,$G$30933:$K$30933)</f>
        <v>0</v>
      </c>
    </row>
    <row r="30997" customFormat="false" ht="15" hidden="false" customHeight="false" outlineLevel="0" collapsed="false">
      <c r="A30997" s="3" t="s">
        <v>383</v>
      </c>
      <c r="C30997" s="3" t="str">
        <f aca="false">IF(SUM($G$30926:$K$30926)=0,"n/a (beyond horizon)",IF(SUMPRODUCT($G$30926:$K$30926,$G$30832:$K$30832)&gt;0,"REFINANCING PASS","REFINANCING FAILURE"))</f>
        <v>REFINANCING FAILURE</v>
      </c>
    </row>
    <row r="30998" customFormat="false" ht="15" hidden="false" customHeight="false" outlineLevel="0" collapsed="false">
      <c r="A30998" s="3" t="s">
        <v>384</v>
      </c>
      <c r="C30998" s="3" t="str">
        <f aca="false">IF(SUM($G$30926:$K$30926)=0,"n/a",IF(C30996&gt;=C30995-0.001,"Repaid from cash",IF(SUMPRODUCT($G$30926:$K$30926,$G$30832:$K$30832)&gt;0,IF(C30996&gt;0,"Partly repaid; remainder refinanced","Refinanced"),IF(SUM($G$30935:$K$30935)&gt;0.001,IF(C30996&gt;0,"Partial repayment; PAYMENT DEFAULT","PAYMENT DEFAULT"),"Repaid from cash"))))</f>
        <v>PAYMENT DEFAULT</v>
      </c>
    </row>
    <row r="30999" customFormat="false" ht="15" hidden="false" customHeight="false" outlineLevel="0" collapsed="false">
      <c r="A30999" s="3" t="s">
        <v>385</v>
      </c>
      <c r="C30999" s="16" t="n">
        <f aca="false">SUMPRODUCT($G$30939:$K$30939,$G$30938:$K$30938-$G$30944:$K$30944+$G$30943:$K$30943)</f>
        <v>300</v>
      </c>
    </row>
    <row r="31000" customFormat="false" ht="15" hidden="false" customHeight="false" outlineLevel="0" collapsed="false">
      <c r="A31000" s="3" t="s">
        <v>386</v>
      </c>
      <c r="C31000" s="16" t="n">
        <f aca="false">SUMPRODUCT($G$30939:$K$30939,$G$30946:$K$30946)</f>
        <v>0</v>
      </c>
    </row>
    <row r="31001" customFormat="false" ht="15" hidden="false" customHeight="false" outlineLevel="0" collapsed="false">
      <c r="A31001" s="3" t="s">
        <v>387</v>
      </c>
      <c r="C31001" s="3" t="str">
        <f aca="false">IF(SUM($G$30939:$K$30939)=0,"n/a (beyond horizon)",IF(SUMPRODUCT($G$30939:$K$30939,$G$30832:$K$30832)&gt;0,"REFINANCING PASS","REFINANCING FAILURE"))</f>
        <v>REFINANCING FAILURE</v>
      </c>
    </row>
    <row r="31002" customFormat="false" ht="15" hidden="false" customHeight="false" outlineLevel="0" collapsed="false">
      <c r="A31002" s="3" t="s">
        <v>388</v>
      </c>
      <c r="C31002" s="3" t="str">
        <f aca="false">IF(SUM($G$30939:$K$30939)=0,"n/a",IF(C31000&gt;=C30999-0.001,"Repaid from cash",IF(SUMPRODUCT($G$30939:$K$30939,$G$30832:$K$30832)&gt;0,IF(C31000&gt;0,"Partly repaid; remainder refinanced","Refinanced"),IF(SUM($G$30948:$K$30948)&gt;0.001,IF(C31000&gt;0,"Partial repayment; PAYMENT DEFAULT","PAYMENT DEFAULT"),"Repaid from cash"))))</f>
        <v>PAYMENT DEFAULT</v>
      </c>
    </row>
    <row r="31003" customFormat="false" ht="15" hidden="false" customHeight="false" outlineLevel="0" collapsed="false">
      <c r="A31003" s="3" t="s">
        <v>389</v>
      </c>
      <c r="C31003" s="16" t="n">
        <f aca="false">SUMPRODUCT($G$30952:$K$30952,$G$30951:$K$30951-$G$30957:$K$30957+$G$30956:$K$30956)</f>
        <v>0</v>
      </c>
    </row>
    <row r="31004" customFormat="false" ht="15" hidden="false" customHeight="false" outlineLevel="0" collapsed="false">
      <c r="A31004" s="3" t="s">
        <v>390</v>
      </c>
      <c r="C31004" s="16" t="n">
        <f aca="false">SUMPRODUCT($G$30952:$K$30952,$G$30959:$K$30959)</f>
        <v>0</v>
      </c>
    </row>
    <row r="31005" customFormat="false" ht="15" hidden="false" customHeight="false" outlineLevel="0" collapsed="false">
      <c r="A31005" s="3" t="s">
        <v>391</v>
      </c>
      <c r="C31005" s="3" t="str">
        <f aca="false">IF(SUM($G$30952:$K$30952)=0,"n/a (beyond horizon)",IF(SUMPRODUCT($G$30952:$K$30952,$G$30832:$K$30832)&gt;0,"REFINANCING PASS","REFINANCING FAILURE"))</f>
        <v>n/a (beyond horizon)</v>
      </c>
    </row>
    <row r="31006" customFormat="false" ht="15" hidden="false" customHeight="false" outlineLevel="0" collapsed="false">
      <c r="A31006" s="3" t="s">
        <v>392</v>
      </c>
      <c r="C31006" s="3" t="str">
        <f aca="false">IF(SUM($G$30952:$K$30952)=0,"n/a",IF(C31004&gt;=C31003-0.001,"Repaid from cash",IF(SUMPRODUCT($G$30952:$K$30952,$G$30832:$K$30832)&gt;0,IF(C31004&gt;0,"Partly repaid; remainder refinanced","Refinanced"),IF(SUM($G$30961:$K$30961)&gt;0.001,IF(C31004&gt;0,"Partial repayment; PAYMENT DEFAULT","PAYMENT DEFAULT"),"Repaid from cash"))))</f>
        <v>n/a</v>
      </c>
    </row>
    <row r="31007" customFormat="false" ht="15" hidden="false" customHeight="false" outlineLevel="0" collapsed="false">
      <c r="A31007" s="3" t="s">
        <v>393</v>
      </c>
      <c r="C31007" s="21" t="n">
        <f aca="false">IF(C30969="REFINANCING FAILURE",1,0)+IF(C30973="REFINANCING FAILURE",1,0)+IF(C30977="REFINANCING FAILURE",1,0)+IF(C30981="REFINANCING FAILURE",1,0)+IF(C30985="REFINANCING FAILURE",1,0)+IF(C30989="REFINANCING FAILURE",1,0)+IF(C30993="REFINANCING FAILURE",1,0)+IF(C30997="REFINANCING FAILURE",1,0)+IF(C31001="REFINANCING FAILURE",1,0)+IF(C31005="REFINANCING FAILURE",1,0)</f>
        <v>7</v>
      </c>
    </row>
    <row r="31009" customFormat="false" ht="15" hidden="false" customHeight="false" outlineLevel="0" collapsed="false">
      <c r="A31009" s="24" t="s">
        <v>395</v>
      </c>
      <c r="B31009" s="25"/>
      <c r="C31009" s="25"/>
      <c r="D31009" s="25"/>
      <c r="E31009" s="25"/>
      <c r="F31009" s="25"/>
      <c r="G31009" s="25"/>
      <c r="H31009" s="25"/>
      <c r="I31009" s="25"/>
      <c r="J31009" s="25"/>
      <c r="K31009" s="25"/>
    </row>
    <row r="31010" customFormat="false" ht="15" hidden="false" customHeight="false" outlineLevel="0" collapsed="false">
      <c r="A31010" s="3" t="s">
        <v>325</v>
      </c>
      <c r="G31010" s="16" t="n">
        <f aca="false">F31022</f>
        <v>37.87</v>
      </c>
      <c r="H31010" s="16" t="n">
        <f aca="false">G31022</f>
        <v>77.7222416</v>
      </c>
      <c r="I31010" s="16" t="n">
        <f aca="false">H31022</f>
        <v>-4.01915869999999</v>
      </c>
      <c r="J31010" s="16" t="n">
        <f aca="false">I31022</f>
        <v>-89.80044750295</v>
      </c>
      <c r="K31010" s="16" t="n">
        <f aca="false">J31022</f>
        <v>-173.00894890595</v>
      </c>
    </row>
    <row r="31011" customFormat="false" ht="15" hidden="false" customHeight="false" outlineLevel="0" collapsed="false">
      <c r="A31011" s="3" t="s">
        <v>396</v>
      </c>
      <c r="G31011" s="16" t="n">
        <f aca="false">G30821</f>
        <v>-56.1477584</v>
      </c>
      <c r="H31011" s="16" t="n">
        <f aca="false">H30821</f>
        <v>-77.7414003</v>
      </c>
      <c r="I31011" s="16" t="n">
        <f aca="false">I30821</f>
        <v>-81.78128880295</v>
      </c>
      <c r="J31011" s="16" t="n">
        <f aca="false">J30821</f>
        <v>-79.208501403</v>
      </c>
      <c r="K31011" s="16" t="n">
        <f aca="false">K30821</f>
        <v>-73.358798415131</v>
      </c>
    </row>
    <row r="31012" customFormat="false" ht="15" hidden="false" customHeight="false" outlineLevel="0" collapsed="false">
      <c r="A31012" s="3" t="s">
        <v>397</v>
      </c>
      <c r="G31012" s="16" t="n">
        <f aca="false">CHOOSE($C$30791,Assumptions!$G$82,Assumptions!$G$101,Assumptions!$G$120)</f>
        <v>100</v>
      </c>
      <c r="H31012" s="16" t="n">
        <f aca="false">CHOOSE($C$30791,Assumptions!$H$82,Assumptions!$H$101,Assumptions!$H$120)</f>
        <v>0</v>
      </c>
      <c r="I31012" s="16" t="n">
        <f aca="false">CHOOSE($C$30791,Assumptions!$I$82,Assumptions!$I$101,Assumptions!$I$120)</f>
        <v>0</v>
      </c>
      <c r="J31012" s="16" t="n">
        <f aca="false">CHOOSE($C$30791,Assumptions!$J$82,Assumptions!$J$101,Assumptions!$J$120)</f>
        <v>0</v>
      </c>
      <c r="K31012" s="16" t="n">
        <f aca="false">CHOOSE($C$30791,Assumptions!$K$82,Assumptions!$K$101,Assumptions!$K$120)</f>
        <v>0</v>
      </c>
    </row>
    <row r="31013" customFormat="false" ht="15" hidden="false" customHeight="false" outlineLevel="0" collapsed="false">
      <c r="A31013" s="3" t="s">
        <v>398</v>
      </c>
      <c r="G31013" s="16" t="n">
        <f aca="false">G30840+G30853+G30866+G30879+G30892+G30905+G30918+G30931+G30944+G30957</f>
        <v>4</v>
      </c>
      <c r="H31013" s="16" t="n">
        <f aca="false">H30840+H30853+H30866+H30879+H30892+H30905+H30918+H30931+H30944+H30957</f>
        <v>4</v>
      </c>
      <c r="I31013" s="16" t="n">
        <f aca="false">I30840+I30853+I30866+I30879+I30892+I30905+I30918+I30931+I30944+I30957</f>
        <v>4</v>
      </c>
      <c r="J31013" s="16" t="n">
        <f aca="false">J30840+J30853+J30866+J30879+J30892+J30905+J30918+J30931+J30944+J30957</f>
        <v>4</v>
      </c>
      <c r="K31013" s="16" t="n">
        <f aca="false">K30840+K30853+K30866+K30879+K30892+K30905+K30918+K30931+K30944+K30957</f>
        <v>4</v>
      </c>
    </row>
    <row r="31014" customFormat="false" ht="15" hidden="false" customHeight="false" outlineLevel="0" collapsed="false">
      <c r="A31014" s="2" t="s">
        <v>399</v>
      </c>
      <c r="G31014" s="17" t="n">
        <f aca="false">G31010+G31011+G31012-G31013</f>
        <v>77.7222416</v>
      </c>
      <c r="H31014" s="17" t="n">
        <f aca="false">H31010+H31011+H31012-H31013</f>
        <v>-4.01915869999999</v>
      </c>
      <c r="I31014" s="17" t="n">
        <f aca="false">I31010+I31011+I31012-I31013</f>
        <v>-89.80044750295</v>
      </c>
      <c r="J31014" s="17" t="n">
        <f aca="false">J31010+J31011+J31012-J31013</f>
        <v>-173.00894890595</v>
      </c>
      <c r="K31014" s="17" t="n">
        <f aca="false">K31010+K31011+K31012-K31013</f>
        <v>-250.367747321081</v>
      </c>
    </row>
    <row r="31015" customFormat="false" ht="15" hidden="false" customHeight="false" outlineLevel="0" collapsed="false">
      <c r="A31015" s="3" t="s">
        <v>400</v>
      </c>
      <c r="G31015" s="16" t="n">
        <f aca="false">G30841+G30854+G30867+G30880+G30893+G30906+G30919+G30932+G30945+G30958</f>
        <v>0</v>
      </c>
      <c r="H31015" s="16" t="n">
        <f aca="false">H30841+H30854+H30867+H30880+H30893+H30906+H30919+H30932+H30945+H30958</f>
        <v>0</v>
      </c>
      <c r="I31015" s="16" t="n">
        <f aca="false">I30841+I30854+I30867+I30880+I30893+I30906+I30919+I30932+I30945+I30958</f>
        <v>0</v>
      </c>
      <c r="J31015" s="16" t="n">
        <f aca="false">J30841+J30854+J30867+J30880+J30893+J30906+J30919+J30932+J30945+J30958</f>
        <v>0</v>
      </c>
      <c r="K31015" s="16" t="n">
        <f aca="false">K30841+K30854+K30867+K30880+K30893+K30906+K30919+K30932+K30945+K30958</f>
        <v>0</v>
      </c>
    </row>
    <row r="31016" customFormat="false" ht="15" hidden="false" customHeight="false" outlineLevel="0" collapsed="false">
      <c r="A31016" s="2" t="s">
        <v>401</v>
      </c>
      <c r="G31016" s="17" t="n">
        <f aca="false">G31014+G31015</f>
        <v>77.7222416</v>
      </c>
      <c r="H31016" s="17" t="n">
        <f aca="false">H31014+H31015</f>
        <v>-4.01915869999999</v>
      </c>
      <c r="I31016" s="17" t="n">
        <f aca="false">I31014+I31015</f>
        <v>-89.80044750295</v>
      </c>
      <c r="J31016" s="17" t="n">
        <f aca="false">J31014+J31015</f>
        <v>-173.00894890595</v>
      </c>
      <c r="K31016" s="17" t="n">
        <f aca="false">K31014+K31015</f>
        <v>-250.367747321081</v>
      </c>
    </row>
    <row r="31017" customFormat="false" ht="15" hidden="false" customHeight="false" outlineLevel="0" collapsed="false">
      <c r="A31017" s="3" t="s">
        <v>402</v>
      </c>
      <c r="G31017" s="16" t="n">
        <f aca="false">G30842+G30855+G30868+G30881+G30894+G30907+G30920+G30933+G30946+G30959</f>
        <v>0</v>
      </c>
      <c r="H31017" s="16" t="n">
        <f aca="false">H30842+H30855+H30868+H30881+H30894+H30907+H30920+H30933+H30946+H30959</f>
        <v>0</v>
      </c>
      <c r="I31017" s="16" t="n">
        <f aca="false">I30842+I30855+I30868+I30881+I30894+I30907+I30920+I30933+I30946+I30959</f>
        <v>0</v>
      </c>
      <c r="J31017" s="16" t="n">
        <f aca="false">J30842+J30855+J30868+J30881+J30894+J30907+J30920+J30933+J30946+J30959</f>
        <v>0</v>
      </c>
      <c r="K31017" s="16" t="n">
        <f aca="false">K30842+K30855+K30868+K30881+K30894+K30907+K30920+K30933+K30946+K30959</f>
        <v>0</v>
      </c>
    </row>
    <row r="31018" customFormat="false" ht="15" hidden="false" customHeight="false" outlineLevel="0" collapsed="false">
      <c r="A31018" s="2" t="s">
        <v>403</v>
      </c>
      <c r="G31018" s="17" t="n">
        <f aca="false">G31016-G31017</f>
        <v>77.7222416</v>
      </c>
      <c r="H31018" s="17" t="n">
        <f aca="false">H31016-H31017</f>
        <v>-4.01915869999999</v>
      </c>
      <c r="I31018" s="17" t="n">
        <f aca="false">I31016-I31017</f>
        <v>-89.80044750295</v>
      </c>
      <c r="J31018" s="17" t="n">
        <f aca="false">J31016-J31017</f>
        <v>-173.00894890595</v>
      </c>
      <c r="K31018" s="17" t="n">
        <f aca="false">K31016-K31017</f>
        <v>-250.367747321081</v>
      </c>
    </row>
    <row r="31019" customFormat="false" ht="15" hidden="false" customHeight="false" outlineLevel="0" collapsed="false">
      <c r="A31019" s="3" t="s">
        <v>404</v>
      </c>
      <c r="G31019" s="16" t="n">
        <f aca="false">MAX(0,-G31018)</f>
        <v>0</v>
      </c>
      <c r="H31019" s="16" t="n">
        <f aca="false">MAX(0,-H31018)</f>
        <v>4.01915869999999</v>
      </c>
      <c r="I31019" s="16" t="n">
        <f aca="false">MAX(0,-I31018)</f>
        <v>89.80044750295</v>
      </c>
      <c r="J31019" s="16" t="n">
        <f aca="false">MAX(0,-J31018)</f>
        <v>173.00894890595</v>
      </c>
      <c r="K31019" s="16" t="n">
        <f aca="false">MAX(0,-K31018)</f>
        <v>250.367747321081</v>
      </c>
    </row>
    <row r="31020" customFormat="false" ht="15" hidden="false" customHeight="false" outlineLevel="0" collapsed="false">
      <c r="A31020" s="3" t="s">
        <v>405</v>
      </c>
      <c r="G31020" s="16" t="n">
        <f aca="false">MAX(0,G31018-Assumptions!$C$12)*Assumptions!$C$13</f>
        <v>0</v>
      </c>
      <c r="H31020" s="16" t="n">
        <f aca="false">MAX(0,H31018-Assumptions!$C$12)*Assumptions!$C$13</f>
        <v>0</v>
      </c>
      <c r="I31020" s="16" t="n">
        <f aca="false">MAX(0,I31018-Assumptions!$C$12)*Assumptions!$C$13</f>
        <v>0</v>
      </c>
      <c r="J31020" s="16" t="n">
        <f aca="false">MAX(0,J31018-Assumptions!$C$12)*Assumptions!$C$13</f>
        <v>0</v>
      </c>
      <c r="K31020" s="16" t="n">
        <f aca="false">MAX(0,K31018-Assumptions!$C$12)*Assumptions!$C$13</f>
        <v>0</v>
      </c>
    </row>
    <row r="31021" customFormat="false" ht="15" hidden="false" customHeight="false" outlineLevel="0" collapsed="false">
      <c r="A31021" s="3" t="s">
        <v>406</v>
      </c>
      <c r="G31021" s="16" t="n">
        <f aca="false">G30843+G30856+G30869+G30882+G30895+G30908+G30921+G30934+G30947+G30960</f>
        <v>0</v>
      </c>
      <c r="H31021" s="16" t="n">
        <f aca="false">H30843+H30856+H30869+H30882+H30895+H30908+H30921+H30934+H30947+H30960</f>
        <v>0</v>
      </c>
      <c r="I31021" s="16" t="n">
        <f aca="false">I30843+I30856+I30869+I30882+I30895+I30908+I30921+I30934+I30947+I30960</f>
        <v>0</v>
      </c>
      <c r="J31021" s="16" t="n">
        <f aca="false">J30843+J30856+J30869+J30882+J30895+J30908+J30921+J30934+J30947+J30960</f>
        <v>0</v>
      </c>
      <c r="K31021" s="16" t="n">
        <f aca="false">K30843+K30856+K30869+K30882+K30895+K30908+K30921+K30934+K30947+K30960</f>
        <v>0</v>
      </c>
    </row>
    <row r="31022" customFormat="false" ht="15" hidden="false" customHeight="false" outlineLevel="0" collapsed="false">
      <c r="A31022" s="2" t="s">
        <v>407</v>
      </c>
      <c r="F31022" s="28" t="n">
        <f aca="false">Assumptions!$C$11</f>
        <v>37.87</v>
      </c>
      <c r="G31022" s="17" t="n">
        <f aca="false">G31018-G31021</f>
        <v>77.7222416</v>
      </c>
      <c r="H31022" s="17" t="n">
        <f aca="false">H31018-H31021</f>
        <v>-4.01915869999999</v>
      </c>
      <c r="I31022" s="17" t="n">
        <f aca="false">I31018-I31021</f>
        <v>-89.80044750295</v>
      </c>
      <c r="J31022" s="17" t="n">
        <f aca="false">J31018-J31021</f>
        <v>-173.00894890595</v>
      </c>
      <c r="K31022" s="17" t="n">
        <f aca="false">K31018-K31021</f>
        <v>-250.367747321081</v>
      </c>
    </row>
    <row r="31023" customFormat="false" ht="15" hidden="false" customHeight="false" outlineLevel="0" collapsed="false">
      <c r="A31023" s="3" t="s">
        <v>408</v>
      </c>
      <c r="G31023" s="16" t="n">
        <f aca="false">G30844+G30857+G30870+G30883+G30896+G30909+G30922+G30935+G30948+G30961</f>
        <v>0</v>
      </c>
      <c r="H31023" s="16" t="n">
        <f aca="false">H30844+H30857+H30870+H30883+H30896+H30909+H30922+H30935+H30948+H30961</f>
        <v>800</v>
      </c>
      <c r="I31023" s="16" t="n">
        <f aca="false">I30844+I30857+I30870+I30883+I30896+I30909+I30922+I30935+I30948+I30961</f>
        <v>550</v>
      </c>
      <c r="J31023" s="16" t="n">
        <f aca="false">J30844+J30857+J30870+J30883+J30896+J30909+J30922+J30935+J30948+J30961</f>
        <v>350</v>
      </c>
      <c r="K31023" s="16" t="n">
        <f aca="false">K30844+K30857+K30870+K30883+K30896+K30909+K30922+K30935+K30948+K30961</f>
        <v>680</v>
      </c>
    </row>
    <row r="31024" customFormat="false" ht="15" hidden="false" customHeight="false" outlineLevel="0" collapsed="false">
      <c r="A31024" s="3" t="s">
        <v>409</v>
      </c>
      <c r="G31024" s="21" t="n">
        <f aca="false">IF(OR(G31019&gt;0.001,G31023&gt;0.001),1,0)</f>
        <v>0</v>
      </c>
      <c r="H31024" s="21" t="n">
        <f aca="false">IF(OR(H31019&gt;0.001,H31023&gt;0.001),1,0)</f>
        <v>1</v>
      </c>
      <c r="I31024" s="21" t="n">
        <f aca="false">IF(OR(I31019&gt;0.001,I31023&gt;0.001),1,0)</f>
        <v>1</v>
      </c>
      <c r="J31024" s="21" t="n">
        <f aca="false">IF(OR(J31019&gt;0.001,J31023&gt;0.001),1,0)</f>
        <v>1</v>
      </c>
      <c r="K31024" s="21" t="n">
        <f aca="false">IF(OR(K31019&gt;0.001,K31023&gt;0.001),1,0)</f>
        <v>1</v>
      </c>
    </row>
    <row r="31025" customFormat="false" ht="15" hidden="false" customHeight="false" outlineLevel="0" collapsed="false">
      <c r="A31025" s="3" t="s">
        <v>410</v>
      </c>
      <c r="G31025" s="21" t="n">
        <f aca="false">IF(G31024=1,1,0)</f>
        <v>0</v>
      </c>
      <c r="H31025" s="21" t="n">
        <f aca="false">IF(AND(H31024=1,SUM($G$31024:G31024)=0),1,0)</f>
        <v>1</v>
      </c>
      <c r="I31025" s="21" t="n">
        <f aca="false">IF(AND(I31024=1,SUM($G$31024:H31024)=0),1,0)</f>
        <v>0</v>
      </c>
      <c r="J31025" s="21" t="n">
        <f aca="false">IF(AND(J31024=1,SUM($G$31024:I31024)=0),1,0)</f>
        <v>0</v>
      </c>
      <c r="K31025" s="21" t="n">
        <f aca="false">IF(AND(K31024=1,SUM($G$31024:J31024)=0),1,0)</f>
        <v>0</v>
      </c>
    </row>
    <row r="31026" customFormat="false" ht="15" hidden="false" customHeight="false" outlineLevel="0" collapsed="false">
      <c r="A31026" s="3" t="s">
        <v>411</v>
      </c>
      <c r="G31026" s="16" t="n">
        <f aca="false">(G30964-F30964)-(G31015+G30813-G31013-G31017-G31021)</f>
        <v>0</v>
      </c>
      <c r="H31026" s="16" t="n">
        <f aca="false">(H30964-G30964)-(H31015+H30813-H31013-H31017-H31021)</f>
        <v>0</v>
      </c>
      <c r="I31026" s="16" t="n">
        <f aca="false">(I30964-H30964)-(I31015+I30813-I31013-I31017-I31021)</f>
        <v>0</v>
      </c>
      <c r="J31026" s="16" t="n">
        <f aca="false">(J30964-I30964)-(J31015+J30813-J31013-J31017-J31021)</f>
        <v>0</v>
      </c>
      <c r="K31026" s="16" t="n">
        <f aca="false">(K30964-J30964)-(K31015+K30813-K31013-K31017-K31021)</f>
        <v>0</v>
      </c>
    </row>
    <row r="31028" customFormat="false" ht="15" hidden="false" customHeight="false" outlineLevel="0" collapsed="false">
      <c r="A31028" s="24" t="s">
        <v>413</v>
      </c>
      <c r="B31028" s="25"/>
      <c r="C31028" s="25"/>
      <c r="D31028" s="25"/>
      <c r="E31028" s="25"/>
      <c r="F31028" s="25"/>
      <c r="G31028" s="25"/>
      <c r="H31028" s="25"/>
      <c r="I31028" s="25"/>
      <c r="J31028" s="25"/>
      <c r="K31028" s="25"/>
    </row>
    <row r="31029" customFormat="false" ht="15" hidden="false" customHeight="false" outlineLevel="0" collapsed="false">
      <c r="A31029" s="3" t="s">
        <v>414</v>
      </c>
      <c r="G31029" s="16" t="n">
        <f aca="false">G30964</f>
        <v>2621.934</v>
      </c>
      <c r="H31029" s="16" t="n">
        <f aca="false">H30964</f>
        <v>2617.934</v>
      </c>
      <c r="I31029" s="16" t="n">
        <f aca="false">I30964</f>
        <v>2613.934</v>
      </c>
      <c r="J31029" s="16" t="n">
        <f aca="false">J30964</f>
        <v>2609.934</v>
      </c>
      <c r="K31029" s="16" t="n">
        <f aca="false">K30964</f>
        <v>2605.934</v>
      </c>
    </row>
    <row r="31030" customFormat="false" ht="15" hidden="false" customHeight="false" outlineLevel="0" collapsed="false">
      <c r="A31030" s="3" t="s">
        <v>415</v>
      </c>
      <c r="G31030" s="16" t="n">
        <f aca="false">Assumptions!$O$57*G30845+Assumptions!$O$58*G30858+Assumptions!$O$59*G30871+Assumptions!$O$60*G30884+Assumptions!$O$61*G30897+Assumptions!$O$62*G30910+Assumptions!$O$63*G30923+Assumptions!$O$64*G30936+Assumptions!$O$65*G30949+Assumptions!$O$66*G30962</f>
        <v>543.324</v>
      </c>
      <c r="H31030" s="16" t="n">
        <f aca="false">Assumptions!$O$57*H30845+Assumptions!$O$58*H30858+Assumptions!$O$59*H30871+Assumptions!$O$60*H30884+Assumptions!$O$61*H30897+Assumptions!$O$62*H30910+Assumptions!$O$63*H30923+Assumptions!$O$64*H30936+Assumptions!$O$65*H30949+Assumptions!$O$66*H30962</f>
        <v>539.324</v>
      </c>
      <c r="I31030" s="16" t="n">
        <f aca="false">Assumptions!$O$57*I30845+Assumptions!$O$58*I30858+Assumptions!$O$59*I30871+Assumptions!$O$60*I30884+Assumptions!$O$61*I30897+Assumptions!$O$62*I30910+Assumptions!$O$63*I30923+Assumptions!$O$64*I30936+Assumptions!$O$65*I30949+Assumptions!$O$66*I30962</f>
        <v>535.324</v>
      </c>
      <c r="J31030" s="16" t="n">
        <f aca="false">Assumptions!$O$57*J30845+Assumptions!$O$58*J30858+Assumptions!$O$59*J30871+Assumptions!$O$60*J30884+Assumptions!$O$61*J30897+Assumptions!$O$62*J30910+Assumptions!$O$63*J30923+Assumptions!$O$64*J30936+Assumptions!$O$65*J30949+Assumptions!$O$66*J30962</f>
        <v>531.324</v>
      </c>
      <c r="K31030" s="16" t="n">
        <f aca="false">Assumptions!$O$57*K30845+Assumptions!$O$58*K30858+Assumptions!$O$59*K30871+Assumptions!$O$60*K30884+Assumptions!$O$61*K30897+Assumptions!$O$62*K30910+Assumptions!$O$63*K30923+Assumptions!$O$64*K30936+Assumptions!$O$65*K30949+Assumptions!$O$66*K30962</f>
        <v>527.324</v>
      </c>
    </row>
    <row r="31031" customFormat="false" ht="15" hidden="false" customHeight="false" outlineLevel="0" collapsed="false">
      <c r="A31031" s="3" t="s">
        <v>416</v>
      </c>
      <c r="G31031" s="16" t="n">
        <f aca="false">G31029-G31022</f>
        <v>2544.2117584</v>
      </c>
      <c r="H31031" s="16" t="n">
        <f aca="false">H31029-H31022</f>
        <v>2621.9531587</v>
      </c>
      <c r="I31031" s="16" t="n">
        <f aca="false">I31029-I31022</f>
        <v>2703.73444750295</v>
      </c>
      <c r="J31031" s="16" t="n">
        <f aca="false">J31029-J31022</f>
        <v>2782.94294890595</v>
      </c>
      <c r="K31031" s="16" t="n">
        <f aca="false">K31029-K31022</f>
        <v>2856.30174732108</v>
      </c>
    </row>
    <row r="31032" customFormat="false" ht="15" hidden="false" customHeight="false" outlineLevel="0" collapsed="false">
      <c r="A31032" s="3" t="s">
        <v>417</v>
      </c>
      <c r="G31032" s="32" t="n">
        <f aca="false">IF(G30808&gt;0,G31029/G30808,0)</f>
        <v>12.7097898879239</v>
      </c>
      <c r="H31032" s="32" t="n">
        <f aca="false">IF(H30808&gt;0,H31029/H30808,0)</f>
        <v>14.597609335162</v>
      </c>
      <c r="I31032" s="32" t="n">
        <f aca="false">IF(I30808&gt;0,I31029/I30808,0)</f>
        <v>15.2028654650719</v>
      </c>
      <c r="J31032" s="32" t="n">
        <f aca="false">IF(J30808&gt;0,J31029/J30808,0)</f>
        <v>15.0030941305013</v>
      </c>
      <c r="K31032" s="32" t="n">
        <f aca="false">IF(K30808&gt;0,K31029/K30808,0)</f>
        <v>14.4946965111962</v>
      </c>
    </row>
    <row r="31033" customFormat="false" ht="15" hidden="false" customHeight="false" outlineLevel="0" collapsed="false">
      <c r="A31033" s="3" t="s">
        <v>418</v>
      </c>
      <c r="G31033" s="32" t="n">
        <f aca="false">IF(G30808&gt;0,G31031/G30808,0)</f>
        <v>12.3330323645253</v>
      </c>
      <c r="H31033" s="32" t="n">
        <f aca="false">IF(H30808&gt;0,H31031/H30808,0)</f>
        <v>14.6200201784295</v>
      </c>
      <c r="I31033" s="32" t="n">
        <f aca="false">IF(I30808&gt;0,I31031/I30808,0)</f>
        <v>15.7251526085463</v>
      </c>
      <c r="J31033" s="32" t="n">
        <f aca="false">IF(J30808&gt;0,J31031/J30808,0)</f>
        <v>15.9976286841931</v>
      </c>
      <c r="K31033" s="32" t="n">
        <f aca="false">IF(K30808&gt;0,K31031/K30808,0)</f>
        <v>15.8872891530708</v>
      </c>
    </row>
    <row r="31034" customFormat="false" ht="15" hidden="false" customHeight="false" outlineLevel="0" collapsed="false">
      <c r="A31034" s="3" t="s">
        <v>419</v>
      </c>
      <c r="G31034" s="32" t="n">
        <f aca="false">IF(G30812&gt;0,G30808/G30812,0)</f>
        <v>1.01054318920982</v>
      </c>
      <c r="H31034" s="32" t="n">
        <f aca="false">IF(H30812&gt;0,H30808/H30812,0)</f>
        <v>0.884047651918619</v>
      </c>
      <c r="I31034" s="32" t="n">
        <f aca="false">IF(I30812&gt;0,I30808/I30812,0)</f>
        <v>0.854872799371363</v>
      </c>
      <c r="J31034" s="32" t="n">
        <f aca="false">IF(J30812&gt;0,J30808/J30812,0)</f>
        <v>0.867301856706449</v>
      </c>
      <c r="K31034" s="32" t="n">
        <f aca="false">IF(K30812&gt;0,K30808/K30812,0)</f>
        <v>0.8988110192917</v>
      </c>
    </row>
    <row r="31035" customFormat="false" ht="15" hidden="false" customHeight="false" outlineLevel="0" collapsed="false">
      <c r="A31035" s="3" t="s">
        <v>420</v>
      </c>
      <c r="G31035" s="32" t="n">
        <f aca="false">IF(G30812&gt;0,G30811/G30812,0)</f>
        <v>0.193635436954982</v>
      </c>
      <c r="H31035" s="32" t="n">
        <f aca="false">IF(H30812&gt;0,H30811/H30812,0)</f>
        <v>0.119537619105736</v>
      </c>
      <c r="I31035" s="32" t="n">
        <f aca="false">IF(I30812&gt;0,I30811/I30812,0)</f>
        <v>0.106895291714106</v>
      </c>
      <c r="J31035" s="32" t="n">
        <f aca="false">IF(J30812&gt;0,J30811/J30812,0)</f>
        <v>0.117273315269454</v>
      </c>
      <c r="K31035" s="32" t="n">
        <f aca="false">IF(K30812&gt;0,K30811/K30812,0)</f>
        <v>0.139199256296615</v>
      </c>
    </row>
    <row r="31036" customFormat="false" ht="15" hidden="false" customHeight="false" outlineLevel="0" collapsed="false">
      <c r="A31036" s="3" t="s">
        <v>213</v>
      </c>
      <c r="G31036" s="22" t="n">
        <f aca="false">IF(G31029&gt;0,G30821/G31029,0)</f>
        <v>-0.0214146345407627</v>
      </c>
      <c r="H31036" s="22" t="n">
        <f aca="false">IF(H31029&gt;0,H30821/H31029,0)</f>
        <v>-0.0296957067290466</v>
      </c>
      <c r="I31036" s="22" t="n">
        <f aca="false">IF(I31029&gt;0,I30821/I31029,0)</f>
        <v>-0.0312866693661546</v>
      </c>
      <c r="J31036" s="22" t="n">
        <f aca="false">IF(J31029&gt;0,J30821/J31029,0)</f>
        <v>-0.030348852270977</v>
      </c>
      <c r="K31036" s="22" t="n">
        <f aca="false">IF(K31029&gt;0,K30821/K31029,0)</f>
        <v>-0.0281506739676181</v>
      </c>
    </row>
    <row r="31037" customFormat="false" ht="15" hidden="false" customHeight="false" outlineLevel="0" collapsed="false">
      <c r="A31037" s="3" t="s">
        <v>421</v>
      </c>
      <c r="G31037" s="32" t="n">
        <f aca="false">IF(G30812+G31013&gt;0,(G30808-G30819-G30816)/(G30812+G31013),0)</f>
        <v>0.711022846047681</v>
      </c>
      <c r="H31037" s="32" t="n">
        <f aca="false">IF(H30812+H31013&gt;0,(H30808-H30819-H30816)/(H30812+H31013),0)</f>
        <v>0.604851091782274</v>
      </c>
      <c r="I31037" s="32" t="n">
        <f aca="false">IF(I30812+I31013&gt;0,(I30808-I30819-I30816)/(I30812+I31013),0)</f>
        <v>0.581811202510565</v>
      </c>
      <c r="J31037" s="32" t="n">
        <f aca="false">IF(J30812+J31013&gt;0,(J30808-J30819-J30816)/(J30812+J31013),0)</f>
        <v>0.593263115134665</v>
      </c>
      <c r="K31037" s="32" t="n">
        <f aca="false">IF(K30812+K31013&gt;0,(K30808-K30819-K30816)/(K30812+K31013),0)</f>
        <v>0.620838055200013</v>
      </c>
    </row>
    <row r="31038" customFormat="false" ht="15" hidden="false" customHeight="false" outlineLevel="0" collapsed="false">
      <c r="A31038" s="3" t="s">
        <v>422</v>
      </c>
      <c r="G31038" s="16" t="n">
        <f aca="false">MAX(0,G31022)+Assumptions!$P$57*MAX(0,Assumptions!$D$57-G30845)+Assumptions!$P$58*MAX(0,Assumptions!$D$58-G30858)+Assumptions!$P$59*MAX(0,Assumptions!$D$59-G30871)+Assumptions!$P$60*MAX(0,Assumptions!$D$60-G30884)+Assumptions!$P$61*MAX(0,Assumptions!$D$61-G30897)+Assumptions!$P$62*MAX(0,Assumptions!$D$62-G30910)+Assumptions!$P$63*MAX(0,Assumptions!$D$63-G30923)+Assumptions!$P$64*MAX(0,Assumptions!$D$64-G30936)+Assumptions!$P$65*MAX(0,Assumptions!$D$65-G30949)+Assumptions!$P$66*MAX(0,Assumptions!$D$66-G30962)</f>
        <v>652.2222416</v>
      </c>
      <c r="H31038" s="16" t="n">
        <f aca="false">MAX(0,H31022)+Assumptions!$P$57*MAX(0,Assumptions!$D$57-H30845)+Assumptions!$P$58*MAX(0,Assumptions!$D$58-H30858)+Assumptions!$P$59*MAX(0,Assumptions!$D$59-H30871)+Assumptions!$P$60*MAX(0,Assumptions!$D$60-H30884)+Assumptions!$P$61*MAX(0,Assumptions!$D$61-H30897)+Assumptions!$P$62*MAX(0,Assumptions!$D$62-H30910)+Assumptions!$P$63*MAX(0,Assumptions!$D$63-H30923)+Assumptions!$P$64*MAX(0,Assumptions!$D$64-H30936)+Assumptions!$P$65*MAX(0,Assumptions!$D$65-H30949)+Assumptions!$P$66*MAX(0,Assumptions!$D$66-H30962)</f>
        <v>574.5</v>
      </c>
      <c r="I31038" s="16" t="n">
        <f aca="false">MAX(0,I31022)+Assumptions!$P$57*MAX(0,Assumptions!$D$57-I30845)+Assumptions!$P$58*MAX(0,Assumptions!$D$58-I30858)+Assumptions!$P$59*MAX(0,Assumptions!$D$59-I30871)+Assumptions!$P$60*MAX(0,Assumptions!$D$60-I30884)+Assumptions!$P$61*MAX(0,Assumptions!$D$61-I30897)+Assumptions!$P$62*MAX(0,Assumptions!$D$62-I30910)+Assumptions!$P$63*MAX(0,Assumptions!$D$63-I30923)+Assumptions!$P$64*MAX(0,Assumptions!$D$64-I30936)+Assumptions!$P$65*MAX(0,Assumptions!$D$65-I30949)+Assumptions!$P$66*MAX(0,Assumptions!$D$66-I30962)</f>
        <v>574.5</v>
      </c>
      <c r="J31038" s="16" t="n">
        <f aca="false">MAX(0,J31022)+Assumptions!$P$57*MAX(0,Assumptions!$D$57-J30845)+Assumptions!$P$58*MAX(0,Assumptions!$D$58-J30858)+Assumptions!$P$59*MAX(0,Assumptions!$D$59-J30871)+Assumptions!$P$60*MAX(0,Assumptions!$D$60-J30884)+Assumptions!$P$61*MAX(0,Assumptions!$D$61-J30897)+Assumptions!$P$62*MAX(0,Assumptions!$D$62-J30910)+Assumptions!$P$63*MAX(0,Assumptions!$D$63-J30923)+Assumptions!$P$64*MAX(0,Assumptions!$D$64-J30936)+Assumptions!$P$65*MAX(0,Assumptions!$D$65-J30949)+Assumptions!$P$66*MAX(0,Assumptions!$D$66-J30962)</f>
        <v>574.5</v>
      </c>
      <c r="K31038" s="16" t="n">
        <f aca="false">MAX(0,K31022)+Assumptions!$P$57*MAX(0,Assumptions!$D$57-K30845)+Assumptions!$P$58*MAX(0,Assumptions!$D$58-K30858)+Assumptions!$P$59*MAX(0,Assumptions!$D$59-K30871)+Assumptions!$P$60*MAX(0,Assumptions!$D$60-K30884)+Assumptions!$P$61*MAX(0,Assumptions!$D$61-K30897)+Assumptions!$P$62*MAX(0,Assumptions!$D$62-K30910)+Assumptions!$P$63*MAX(0,Assumptions!$D$63-K30923)+Assumptions!$P$64*MAX(0,Assumptions!$D$64-K30936)+Assumptions!$P$65*MAX(0,Assumptions!$D$65-K30949)+Assumptions!$P$66*MAX(0,Assumptions!$D$66-K30962)</f>
        <v>574.5</v>
      </c>
    </row>
    <row r="31039" customFormat="false" ht="15" hidden="false" customHeight="false" outlineLevel="0" collapsed="false">
      <c r="A31039" s="3" t="s">
        <v>423</v>
      </c>
      <c r="G31039" s="22" t="n">
        <f aca="false">IF(G31029&gt;0,G31029/(G31029+MAX(0,G30808*CHOOSE($C$30791,Assumptions!$C$90,Assumptions!$C$109,Assumptions!$C$128)-G31031)),0)</f>
        <v>1</v>
      </c>
      <c r="H31039" s="22" t="n">
        <f aca="false">IF(H31029&gt;0,H31029/(H31029+MAX(0,H30808*CHOOSE($C$30791,Assumptions!$C$90,Assumptions!$C$109,Assumptions!$C$128)-H31031)),0)</f>
        <v>1</v>
      </c>
      <c r="I31039" s="22" t="n">
        <f aca="false">IF(I31029&gt;0,I31029/(I31029+MAX(0,I30808*CHOOSE($C$30791,Assumptions!$C$90,Assumptions!$C$109,Assumptions!$C$128)-I31031)),0)</f>
        <v>1</v>
      </c>
      <c r="J31039" s="22" t="n">
        <f aca="false">IF(J31029&gt;0,J31029/(J31029+MAX(0,J30808*CHOOSE($C$30791,Assumptions!$C$90,Assumptions!$C$109,Assumptions!$C$128)-J31031)),0)</f>
        <v>1</v>
      </c>
      <c r="K31039" s="22" t="n">
        <f aca="false">IF(K31029&gt;0,K31029/(K31029+MAX(0,K30808*CHOOSE($C$30791,Assumptions!$C$90,Assumptions!$C$109,Assumptions!$C$128)-K31031)),0)</f>
        <v>1</v>
      </c>
    </row>
    <row r="31040" customFormat="false" ht="15" hidden="false" customHeight="false" outlineLevel="0" collapsed="false">
      <c r="A31040" s="3" t="s">
        <v>424</v>
      </c>
      <c r="G31040" s="22" t="n">
        <f aca="false">IF(G31029&gt;0,MAX(0,G31022)/G31029,0)</f>
        <v>0.0296430961267522</v>
      </c>
      <c r="H31040" s="22" t="n">
        <f aca="false">IF(H31029&gt;0,MAX(0,H31022)/H31029,0)</f>
        <v>0</v>
      </c>
      <c r="I31040" s="22" t="n">
        <f aca="false">IF(I31029&gt;0,MAX(0,I31022)/I31029,0)</f>
        <v>0</v>
      </c>
      <c r="J31040" s="22" t="n">
        <f aca="false">IF(J31029&gt;0,MAX(0,J31022)/J31029,0)</f>
        <v>0</v>
      </c>
      <c r="K31040" s="22" t="n">
        <f aca="false">IF(K31029&gt;0,MAX(0,K31022)/K31029,0)</f>
        <v>0</v>
      </c>
    </row>
    <row r="31041" customFormat="false" ht="15" hidden="false" customHeight="false" outlineLevel="0" collapsed="false">
      <c r="A31041" s="3" t="s">
        <v>425</v>
      </c>
      <c r="G31041" s="16" t="n">
        <f aca="false">Assumptions!$C$31*(1-CHOOSE($C$30791,Assumptions!$C$93,Assumptions!$C$112,Assumptions!$C$131))</f>
        <v>3162.39046666667</v>
      </c>
      <c r="H31041" s="16" t="n">
        <f aca="false">Assumptions!$C$31*(1-CHOOSE($C$30791,Assumptions!$C$93,Assumptions!$C$112,Assumptions!$C$131))</f>
        <v>3162.39046666667</v>
      </c>
      <c r="I31041" s="16" t="n">
        <f aca="false">Assumptions!$C$31*(1-CHOOSE($C$30791,Assumptions!$C$93,Assumptions!$C$112,Assumptions!$C$131))</f>
        <v>3162.39046666667</v>
      </c>
      <c r="J31041" s="16" t="n">
        <f aca="false">Assumptions!$C$31*(1-CHOOSE($C$30791,Assumptions!$C$93,Assumptions!$C$112,Assumptions!$C$131))</f>
        <v>3162.39046666667</v>
      </c>
      <c r="K31041" s="16" t="n">
        <f aca="false">Assumptions!$C$31*(1-CHOOSE($C$30791,Assumptions!$C$93,Assumptions!$C$112,Assumptions!$C$131))</f>
        <v>3162.39046666667</v>
      </c>
    </row>
    <row r="31042" customFormat="false" ht="15" hidden="false" customHeight="false" outlineLevel="0" collapsed="false">
      <c r="A31042" s="24" t="s">
        <v>426</v>
      </c>
      <c r="B31042" s="25"/>
      <c r="C31042" s="25"/>
      <c r="D31042" s="25"/>
      <c r="E31042" s="25"/>
      <c r="F31042" s="25"/>
      <c r="G31042" s="25"/>
      <c r="H31042" s="25"/>
      <c r="I31042" s="25"/>
      <c r="J31042" s="25"/>
      <c r="K31042" s="25"/>
    </row>
    <row r="31043" customFormat="false" ht="15" hidden="false" customHeight="false" outlineLevel="0" collapsed="false">
      <c r="A31043" s="24" t="s">
        <v>427</v>
      </c>
      <c r="B31043" s="25"/>
      <c r="C31043" s="25"/>
      <c r="D31043" s="25"/>
      <c r="E31043" s="25"/>
      <c r="F31043" s="25"/>
      <c r="G31043" s="25"/>
      <c r="H31043" s="25"/>
      <c r="I31043" s="25"/>
      <c r="J31043" s="25"/>
      <c r="K31043" s="25"/>
    </row>
    <row r="31044" customFormat="false" ht="15" hidden="false" customHeight="false" outlineLevel="0" collapsed="false">
      <c r="A31044" s="3" t="s">
        <v>428</v>
      </c>
      <c r="G31044" s="22" t="n">
        <f aca="false">IF(G31041&gt;0,G31029/G31041,99)</f>
        <v>0.829098755399318</v>
      </c>
      <c r="H31044" s="22" t="n">
        <f aca="false">IF(H31041&gt;0,H31029/H31041,99)</f>
        <v>0.82783388945624</v>
      </c>
      <c r="I31044" s="22" t="n">
        <f aca="false">IF(I31041&gt;0,I31029/I31041,99)</f>
        <v>0.826569023513162</v>
      </c>
      <c r="J31044" s="22" t="n">
        <f aca="false">IF(J31041&gt;0,J31029/J31041,99)</f>
        <v>0.825304157570085</v>
      </c>
      <c r="K31044" s="22" t="n">
        <f aca="false">IF(K31041&gt;0,K31029/K31041,99)</f>
        <v>0.824039291627007</v>
      </c>
    </row>
    <row r="31045" customFormat="false" ht="15" hidden="false" customHeight="false" outlineLevel="0" collapsed="false">
      <c r="A31045" s="3" t="s">
        <v>429</v>
      </c>
      <c r="G31045" s="33" t="n">
        <f aca="false">Assumptions!$G$71</f>
        <v>0.6</v>
      </c>
      <c r="H31045" s="33" t="n">
        <f aca="false">Assumptions!$H$71</f>
        <v>0.6</v>
      </c>
      <c r="I31045" s="33" t="n">
        <f aca="false">Assumptions!$I$71</f>
        <v>0.6</v>
      </c>
      <c r="J31045" s="33" t="n">
        <f aca="false">Assumptions!$J$71</f>
        <v>0.6</v>
      </c>
      <c r="K31045" s="33" t="n">
        <f aca="false">Assumptions!$K$71</f>
        <v>0.6</v>
      </c>
    </row>
    <row r="31046" customFormat="false" ht="15" hidden="false" customHeight="false" outlineLevel="0" collapsed="false">
      <c r="A31046" s="3" t="s">
        <v>430</v>
      </c>
      <c r="G31046" s="22" t="n">
        <f aca="false">G31045-G31044</f>
        <v>-0.229098755399318</v>
      </c>
      <c r="H31046" s="22" t="n">
        <f aca="false">H31045-H31044</f>
        <v>-0.22783388945624</v>
      </c>
      <c r="I31046" s="22" t="n">
        <f aca="false">I31045-I31044</f>
        <v>-0.226569023513162</v>
      </c>
      <c r="J31046" s="22" t="n">
        <f aca="false">J31045-J31044</f>
        <v>-0.225304157570085</v>
      </c>
      <c r="K31046" s="22" t="n">
        <f aca="false">K31045-K31044</f>
        <v>-0.224039291627007</v>
      </c>
    </row>
    <row r="31047" customFormat="false" ht="15" hidden="false" customHeight="false" outlineLevel="0" collapsed="false">
      <c r="A31047" s="3" t="s">
        <v>431</v>
      </c>
      <c r="G31047" s="22" t="n">
        <f aca="false">IF(G31045=0,0,G31046/ABS(G31045))</f>
        <v>-0.381831258998863</v>
      </c>
      <c r="H31047" s="22" t="n">
        <f aca="false">IF(H31045=0,0,H31046/ABS(H31045))</f>
        <v>-0.379723149093733</v>
      </c>
      <c r="I31047" s="22" t="n">
        <f aca="false">IF(I31045=0,0,I31046/ABS(I31045))</f>
        <v>-0.377615039188604</v>
      </c>
      <c r="J31047" s="22" t="n">
        <f aca="false">IF(J31045=0,0,J31046/ABS(J31045))</f>
        <v>-0.375506929283475</v>
      </c>
      <c r="K31047" s="22" t="n">
        <f aca="false">IF(K31045=0,0,K31046/ABS(K31045))</f>
        <v>-0.373398819378345</v>
      </c>
    </row>
    <row r="31048" customFormat="false" ht="15" hidden="false" customHeight="false" outlineLevel="0" collapsed="false">
      <c r="A31048" s="3" t="s">
        <v>432</v>
      </c>
      <c r="G31048" s="21" t="n">
        <f aca="false">IF(G31046&lt;0,1,0)</f>
        <v>1</v>
      </c>
      <c r="H31048" s="21" t="n">
        <f aca="false">IF(H31046&lt;0,1,0)</f>
        <v>1</v>
      </c>
      <c r="I31048" s="21" t="n">
        <f aca="false">IF(I31046&lt;0,1,0)</f>
        <v>1</v>
      </c>
      <c r="J31048" s="21" t="n">
        <f aca="false">IF(J31046&lt;0,1,0)</f>
        <v>1</v>
      </c>
      <c r="K31048" s="21" t="n">
        <f aca="false">IF(K31046&lt;0,1,0)</f>
        <v>1</v>
      </c>
    </row>
    <row r="31049" customFormat="false" ht="15" hidden="false" customHeight="false" outlineLevel="0" collapsed="false">
      <c r="A31049" s="3" t="s">
        <v>433</v>
      </c>
      <c r="C31049" s="21" t="n">
        <f aca="false">IFERROR(INDEX($G$30798:$K$30798,MATCH(1,$G$31048:$K$31048,0)),0)</f>
        <v>2027</v>
      </c>
    </row>
    <row r="31050" customFormat="false" ht="15" hidden="false" customHeight="false" outlineLevel="0" collapsed="false">
      <c r="A31050" s="3" t="s">
        <v>434</v>
      </c>
      <c r="C31050" s="22" t="n">
        <f aca="false">MIN($G$31047:$K$31047)</f>
        <v>-0.381831258998863</v>
      </c>
    </row>
    <row r="31051" customFormat="false" ht="15" hidden="false" customHeight="false" outlineLevel="0" collapsed="false">
      <c r="A31051" s="24" t="s">
        <v>435</v>
      </c>
      <c r="B31051" s="25"/>
      <c r="C31051" s="25"/>
      <c r="D31051" s="25"/>
      <c r="E31051" s="25"/>
      <c r="F31051" s="25"/>
      <c r="G31051" s="25"/>
      <c r="H31051" s="25"/>
      <c r="I31051" s="25"/>
      <c r="J31051" s="25"/>
      <c r="K31051" s="25"/>
    </row>
    <row r="31052" customFormat="false" ht="15" hidden="false" customHeight="false" outlineLevel="0" collapsed="false">
      <c r="A31052" s="3" t="s">
        <v>428</v>
      </c>
      <c r="G31052" s="32" t="n">
        <f aca="false">IF(G30812&gt;0,G30808/G30812,99)</f>
        <v>1.01054318920982</v>
      </c>
      <c r="H31052" s="32" t="n">
        <f aca="false">IF(H30812&gt;0,H30808/H30812,99)</f>
        <v>0.884047651918619</v>
      </c>
      <c r="I31052" s="32" t="n">
        <f aca="false">IF(I30812&gt;0,I30808/I30812,99)</f>
        <v>0.854872799371363</v>
      </c>
      <c r="J31052" s="32" t="n">
        <f aca="false">IF(J30812&gt;0,J30808/J30812,99)</f>
        <v>0.867301856706449</v>
      </c>
      <c r="K31052" s="32" t="n">
        <f aca="false">IF(K30812&gt;0,K30808/K30812,99)</f>
        <v>0.8988110192917</v>
      </c>
    </row>
    <row r="31053" customFormat="false" ht="15" hidden="false" customHeight="false" outlineLevel="0" collapsed="false">
      <c r="A31053" s="3" t="s">
        <v>429</v>
      </c>
      <c r="G31053" s="34" t="n">
        <f aca="false">Assumptions!$G$72</f>
        <v>1.5</v>
      </c>
      <c r="H31053" s="34" t="n">
        <f aca="false">Assumptions!$H$72</f>
        <v>1.5</v>
      </c>
      <c r="I31053" s="34" t="n">
        <f aca="false">Assumptions!$I$72</f>
        <v>1.5</v>
      </c>
      <c r="J31053" s="34" t="n">
        <f aca="false">Assumptions!$J$72</f>
        <v>1.5</v>
      </c>
      <c r="K31053" s="34" t="n">
        <f aca="false">Assumptions!$K$72</f>
        <v>1.5</v>
      </c>
    </row>
    <row r="31054" customFormat="false" ht="15" hidden="false" customHeight="false" outlineLevel="0" collapsed="false">
      <c r="A31054" s="3" t="s">
        <v>430</v>
      </c>
      <c r="G31054" s="32" t="n">
        <f aca="false">G31052-G31053</f>
        <v>-0.48945681079018</v>
      </c>
      <c r="H31054" s="32" t="n">
        <f aca="false">H31052-H31053</f>
        <v>-0.615952348081381</v>
      </c>
      <c r="I31054" s="32" t="n">
        <f aca="false">I31052-I31053</f>
        <v>-0.645127200628637</v>
      </c>
      <c r="J31054" s="32" t="n">
        <f aca="false">J31052-J31053</f>
        <v>-0.632698143293551</v>
      </c>
      <c r="K31054" s="32" t="n">
        <f aca="false">K31052-K31053</f>
        <v>-0.6011889807083</v>
      </c>
    </row>
    <row r="31055" customFormat="false" ht="15" hidden="false" customHeight="false" outlineLevel="0" collapsed="false">
      <c r="A31055" s="3" t="s">
        <v>431</v>
      </c>
      <c r="G31055" s="22" t="n">
        <f aca="false">IF(G31053=0,0,G31054/ABS(G31053))</f>
        <v>-0.326304540526786</v>
      </c>
      <c r="H31055" s="22" t="n">
        <f aca="false">IF(H31053=0,0,H31054/ABS(H31053))</f>
        <v>-0.410634898720921</v>
      </c>
      <c r="I31055" s="22" t="n">
        <f aca="false">IF(I31053=0,0,I31054/ABS(I31053))</f>
        <v>-0.430084800419091</v>
      </c>
      <c r="J31055" s="22" t="n">
        <f aca="false">IF(J31053=0,0,J31054/ABS(J31053))</f>
        <v>-0.421798762195701</v>
      </c>
      <c r="K31055" s="22" t="n">
        <f aca="false">IF(K31053=0,0,K31054/ABS(K31053))</f>
        <v>-0.400792653805534</v>
      </c>
    </row>
    <row r="31056" customFormat="false" ht="15" hidden="false" customHeight="false" outlineLevel="0" collapsed="false">
      <c r="A31056" s="3" t="s">
        <v>432</v>
      </c>
      <c r="G31056" s="21" t="n">
        <f aca="false">IF(G31054&lt;0,1,0)</f>
        <v>1</v>
      </c>
      <c r="H31056" s="21" t="n">
        <f aca="false">IF(H31054&lt;0,1,0)</f>
        <v>1</v>
      </c>
      <c r="I31056" s="21" t="n">
        <f aca="false">IF(I31054&lt;0,1,0)</f>
        <v>1</v>
      </c>
      <c r="J31056" s="21" t="n">
        <f aca="false">IF(J31054&lt;0,1,0)</f>
        <v>1</v>
      </c>
      <c r="K31056" s="21" t="n">
        <f aca="false">IF(K31054&lt;0,1,0)</f>
        <v>1</v>
      </c>
    </row>
    <row r="31057" customFormat="false" ht="15" hidden="false" customHeight="false" outlineLevel="0" collapsed="false">
      <c r="A31057" s="3" t="s">
        <v>433</v>
      </c>
      <c r="C31057" s="21" t="n">
        <f aca="false">IFERROR(INDEX($G$30798:$K$30798,MATCH(1,$G$31056:$K$31056,0)),0)</f>
        <v>2027</v>
      </c>
    </row>
    <row r="31058" customFormat="false" ht="15" hidden="false" customHeight="false" outlineLevel="0" collapsed="false">
      <c r="A31058" s="3" t="s">
        <v>434</v>
      </c>
      <c r="C31058" s="22" t="n">
        <f aca="false">MIN($G$31055:$K$31055)</f>
        <v>-0.430084800419091</v>
      </c>
    </row>
    <row r="31059" customFormat="false" ht="15" hidden="false" customHeight="false" outlineLevel="0" collapsed="false">
      <c r="A31059" s="24" t="s">
        <v>436</v>
      </c>
      <c r="B31059" s="25"/>
      <c r="C31059" s="25"/>
      <c r="D31059" s="25"/>
      <c r="E31059" s="25"/>
      <c r="F31059" s="25"/>
      <c r="G31059" s="25"/>
      <c r="H31059" s="25"/>
      <c r="I31059" s="25"/>
      <c r="J31059" s="25"/>
      <c r="K31059" s="25"/>
    </row>
    <row r="31060" customFormat="false" ht="15" hidden="false" customHeight="false" outlineLevel="0" collapsed="false">
      <c r="A31060" s="3" t="s">
        <v>428</v>
      </c>
      <c r="G31060" s="22" t="n">
        <f aca="false">IF(G31041&gt;0,G31030/G31041,99)</f>
        <v>0.171808005914176</v>
      </c>
      <c r="H31060" s="22" t="n">
        <f aca="false">IF(H31041&gt;0,H31030/H31041,99)</f>
        <v>0.170543139971098</v>
      </c>
      <c r="I31060" s="22" t="n">
        <f aca="false">IF(I31041&gt;0,I31030/I31041,99)</f>
        <v>0.169278274028021</v>
      </c>
      <c r="J31060" s="22" t="n">
        <f aca="false">IF(J31041&gt;0,J31030/J31041,99)</f>
        <v>0.168013408084943</v>
      </c>
      <c r="K31060" s="22" t="n">
        <f aca="false">IF(K31041&gt;0,K31030/K31041,99)</f>
        <v>0.166748542141865</v>
      </c>
    </row>
    <row r="31061" customFormat="false" ht="15" hidden="false" customHeight="false" outlineLevel="0" collapsed="false">
      <c r="A31061" s="3" t="s">
        <v>429</v>
      </c>
      <c r="G31061" s="33" t="n">
        <f aca="false">Assumptions!$G$73</f>
        <v>0.4</v>
      </c>
      <c r="H31061" s="33" t="n">
        <f aca="false">Assumptions!$H$73</f>
        <v>0.4</v>
      </c>
      <c r="I31061" s="33" t="n">
        <f aca="false">Assumptions!$I$73</f>
        <v>0.4</v>
      </c>
      <c r="J31061" s="33" t="n">
        <f aca="false">Assumptions!$J$73</f>
        <v>0.4</v>
      </c>
      <c r="K31061" s="33" t="n">
        <f aca="false">Assumptions!$K$73</f>
        <v>0.4</v>
      </c>
    </row>
    <row r="31062" customFormat="false" ht="15" hidden="false" customHeight="false" outlineLevel="0" collapsed="false">
      <c r="A31062" s="3" t="s">
        <v>430</v>
      </c>
      <c r="G31062" s="22" t="n">
        <f aca="false">G31061-G31060</f>
        <v>0.228191994085824</v>
      </c>
      <c r="H31062" s="22" t="n">
        <f aca="false">H31061-H31060</f>
        <v>0.229456860028902</v>
      </c>
      <c r="I31062" s="22" t="n">
        <f aca="false">I31061-I31060</f>
        <v>0.230721725971979</v>
      </c>
      <c r="J31062" s="22" t="n">
        <f aca="false">J31061-J31060</f>
        <v>0.231986591915057</v>
      </c>
      <c r="K31062" s="22" t="n">
        <f aca="false">K31061-K31060</f>
        <v>0.233251457858135</v>
      </c>
    </row>
    <row r="31063" customFormat="false" ht="15" hidden="false" customHeight="false" outlineLevel="0" collapsed="false">
      <c r="A31063" s="3" t="s">
        <v>431</v>
      </c>
      <c r="G31063" s="22" t="n">
        <f aca="false">IF(G31061=0,0,G31062/ABS(G31061))</f>
        <v>0.57047998521456</v>
      </c>
      <c r="H31063" s="22" t="n">
        <f aca="false">IF(H31061=0,0,H31062/ABS(H31061))</f>
        <v>0.573642150072254</v>
      </c>
      <c r="I31063" s="22" t="n">
        <f aca="false">IF(I31061=0,0,I31062/ABS(I31061))</f>
        <v>0.576804314929948</v>
      </c>
      <c r="J31063" s="22" t="n">
        <f aca="false">IF(J31061=0,0,J31062/ABS(J31061))</f>
        <v>0.579966479787643</v>
      </c>
      <c r="K31063" s="22" t="n">
        <f aca="false">IF(K31061=0,0,K31062/ABS(K31061))</f>
        <v>0.583128644645337</v>
      </c>
    </row>
    <row r="31064" customFormat="false" ht="15" hidden="false" customHeight="false" outlineLevel="0" collapsed="false">
      <c r="A31064" s="3" t="s">
        <v>432</v>
      </c>
      <c r="G31064" s="21" t="n">
        <f aca="false">IF(G31062&lt;0,1,0)</f>
        <v>0</v>
      </c>
      <c r="H31064" s="21" t="n">
        <f aca="false">IF(H31062&lt;0,1,0)</f>
        <v>0</v>
      </c>
      <c r="I31064" s="21" t="n">
        <f aca="false">IF(I31062&lt;0,1,0)</f>
        <v>0</v>
      </c>
      <c r="J31064" s="21" t="n">
        <f aca="false">IF(J31062&lt;0,1,0)</f>
        <v>0</v>
      </c>
      <c r="K31064" s="21" t="n">
        <f aca="false">IF(K31062&lt;0,1,0)</f>
        <v>0</v>
      </c>
    </row>
    <row r="31065" customFormat="false" ht="15" hidden="false" customHeight="false" outlineLevel="0" collapsed="false">
      <c r="A31065" s="3" t="s">
        <v>433</v>
      </c>
      <c r="C31065" s="21" t="n">
        <f aca="false">IFERROR(INDEX($G$30798:$K$30798,MATCH(1,$G$31064:$K$31064,0)),0)</f>
        <v>0</v>
      </c>
    </row>
    <row r="31066" customFormat="false" ht="15" hidden="false" customHeight="false" outlineLevel="0" collapsed="false">
      <c r="A31066" s="3" t="s">
        <v>434</v>
      </c>
      <c r="C31066" s="22" t="n">
        <f aca="false">MIN($G$31063:$K$31063)</f>
        <v>0.57047998521456</v>
      </c>
    </row>
    <row r="31067" customFormat="false" ht="15" hidden="false" customHeight="false" outlineLevel="0" collapsed="false">
      <c r="A31067" s="24" t="s">
        <v>437</v>
      </c>
      <c r="B31067" s="25"/>
      <c r="C31067" s="25"/>
      <c r="D31067" s="25"/>
      <c r="E31067" s="25"/>
      <c r="F31067" s="25"/>
      <c r="G31067" s="25"/>
      <c r="H31067" s="25"/>
      <c r="I31067" s="25"/>
      <c r="J31067" s="25"/>
      <c r="K31067" s="25"/>
    </row>
    <row r="31068" customFormat="false" ht="15" hidden="false" customHeight="false" outlineLevel="0" collapsed="false">
      <c r="A31068" s="3" t="s">
        <v>428</v>
      </c>
      <c r="G31068" s="16" t="n">
        <f aca="false">G31038</f>
        <v>652.2222416</v>
      </c>
      <c r="H31068" s="16" t="n">
        <f aca="false">H31038</f>
        <v>574.5</v>
      </c>
      <c r="I31068" s="16" t="n">
        <f aca="false">I31038</f>
        <v>574.5</v>
      </c>
      <c r="J31068" s="16" t="n">
        <f aca="false">J31038</f>
        <v>574.5</v>
      </c>
      <c r="K31068" s="16" t="n">
        <f aca="false">K31038</f>
        <v>574.5</v>
      </c>
    </row>
    <row r="31069" customFormat="false" ht="15" hidden="false" customHeight="false" outlineLevel="0" collapsed="false">
      <c r="A31069" s="3" t="s">
        <v>429</v>
      </c>
      <c r="G31069" s="29" t="n">
        <f aca="false">Assumptions!$G$74</f>
        <v>100</v>
      </c>
      <c r="H31069" s="29" t="n">
        <f aca="false">Assumptions!$H$74</f>
        <v>100</v>
      </c>
      <c r="I31069" s="29" t="n">
        <f aca="false">Assumptions!$I$74</f>
        <v>100</v>
      </c>
      <c r="J31069" s="29" t="n">
        <f aca="false">Assumptions!$J$74</f>
        <v>100</v>
      </c>
      <c r="K31069" s="29" t="n">
        <f aca="false">Assumptions!$K$74</f>
        <v>100</v>
      </c>
    </row>
    <row r="31070" customFormat="false" ht="15" hidden="false" customHeight="false" outlineLevel="0" collapsed="false">
      <c r="A31070" s="3" t="s">
        <v>430</v>
      </c>
      <c r="G31070" s="16" t="n">
        <f aca="false">G31068-G31069</f>
        <v>552.2222416</v>
      </c>
      <c r="H31070" s="16" t="n">
        <f aca="false">H31068-H31069</f>
        <v>474.5</v>
      </c>
      <c r="I31070" s="16" t="n">
        <f aca="false">I31068-I31069</f>
        <v>474.5</v>
      </c>
      <c r="J31070" s="16" t="n">
        <f aca="false">J31068-J31069</f>
        <v>474.5</v>
      </c>
      <c r="K31070" s="16" t="n">
        <f aca="false">K31068-K31069</f>
        <v>474.5</v>
      </c>
    </row>
    <row r="31071" customFormat="false" ht="15" hidden="false" customHeight="false" outlineLevel="0" collapsed="false">
      <c r="A31071" s="3" t="s">
        <v>431</v>
      </c>
      <c r="G31071" s="22" t="n">
        <f aca="false">IF(G31069=0,0,G31070/ABS(G31069))</f>
        <v>5.522222416</v>
      </c>
      <c r="H31071" s="22" t="n">
        <f aca="false">IF(H31069=0,0,H31070/ABS(H31069))</f>
        <v>4.745</v>
      </c>
      <c r="I31071" s="22" t="n">
        <f aca="false">IF(I31069=0,0,I31070/ABS(I31069))</f>
        <v>4.745</v>
      </c>
      <c r="J31071" s="22" t="n">
        <f aca="false">IF(J31069=0,0,J31070/ABS(J31069))</f>
        <v>4.745</v>
      </c>
      <c r="K31071" s="22" t="n">
        <f aca="false">IF(K31069=0,0,K31070/ABS(K31069))</f>
        <v>4.745</v>
      </c>
    </row>
    <row r="31072" customFormat="false" ht="15" hidden="false" customHeight="false" outlineLevel="0" collapsed="false">
      <c r="A31072" s="3" t="s">
        <v>432</v>
      </c>
      <c r="G31072" s="21" t="n">
        <f aca="false">IF(G31070&lt;0,1,0)</f>
        <v>0</v>
      </c>
      <c r="H31072" s="21" t="n">
        <f aca="false">IF(H31070&lt;0,1,0)</f>
        <v>0</v>
      </c>
      <c r="I31072" s="21" t="n">
        <f aca="false">IF(I31070&lt;0,1,0)</f>
        <v>0</v>
      </c>
      <c r="J31072" s="21" t="n">
        <f aca="false">IF(J31070&lt;0,1,0)</f>
        <v>0</v>
      </c>
      <c r="K31072" s="21" t="n">
        <f aca="false">IF(K31070&lt;0,1,0)</f>
        <v>0</v>
      </c>
    </row>
    <row r="31073" customFormat="false" ht="15" hidden="false" customHeight="false" outlineLevel="0" collapsed="false">
      <c r="A31073" s="3" t="s">
        <v>433</v>
      </c>
      <c r="C31073" s="21" t="n">
        <f aca="false">IFERROR(INDEX($G$30798:$K$30798,MATCH(1,$G$31072:$K$31072,0)),0)</f>
        <v>0</v>
      </c>
    </row>
    <row r="31074" customFormat="false" ht="15" hidden="false" customHeight="false" outlineLevel="0" collapsed="false">
      <c r="A31074" s="3" t="s">
        <v>434</v>
      </c>
      <c r="C31074" s="22" t="n">
        <f aca="false">MIN($G$31071:$K$31071)</f>
        <v>4.745</v>
      </c>
    </row>
    <row r="31075" customFormat="false" ht="15" hidden="false" customHeight="false" outlineLevel="0" collapsed="false">
      <c r="A31075" s="24" t="s">
        <v>438</v>
      </c>
      <c r="B31075" s="25"/>
      <c r="C31075" s="25"/>
      <c r="D31075" s="25"/>
      <c r="E31075" s="25"/>
      <c r="F31075" s="25"/>
      <c r="G31075" s="25"/>
      <c r="H31075" s="25"/>
      <c r="I31075" s="25"/>
      <c r="J31075" s="25"/>
      <c r="K31075" s="25"/>
    </row>
    <row r="31076" customFormat="false" ht="15" hidden="false" customHeight="false" outlineLevel="0" collapsed="false">
      <c r="A31076" s="3" t="s">
        <v>428</v>
      </c>
      <c r="G31076" s="32" t="n">
        <f aca="false">IF(G30808&gt;0,G31031/G30808,99)</f>
        <v>12.3330323645253</v>
      </c>
      <c r="H31076" s="32" t="n">
        <f aca="false">IF(H30808&gt;0,H31031/H30808,99)</f>
        <v>14.6200201784295</v>
      </c>
      <c r="I31076" s="32" t="n">
        <f aca="false">IF(I30808&gt;0,I31031/I30808,99)</f>
        <v>15.7251526085463</v>
      </c>
      <c r="J31076" s="32" t="n">
        <f aca="false">IF(J30808&gt;0,J31031/J30808,99)</f>
        <v>15.9976286841931</v>
      </c>
      <c r="K31076" s="32" t="n">
        <f aca="false">IF(K30808&gt;0,K31031/K30808,99)</f>
        <v>15.8872891530708</v>
      </c>
    </row>
    <row r="31077" customFormat="false" ht="15" hidden="false" customHeight="false" outlineLevel="0" collapsed="false">
      <c r="A31077" s="3" t="s">
        <v>429</v>
      </c>
      <c r="G31077" s="34" t="n">
        <f aca="false">Assumptions!$G$75</f>
        <v>10.5</v>
      </c>
      <c r="H31077" s="34" t="n">
        <f aca="false">Assumptions!$H$75</f>
        <v>10.5</v>
      </c>
      <c r="I31077" s="34" t="n">
        <f aca="false">Assumptions!$I$75</f>
        <v>10</v>
      </c>
      <c r="J31077" s="34" t="n">
        <f aca="false">Assumptions!$J$75</f>
        <v>10</v>
      </c>
      <c r="K31077" s="34" t="n">
        <f aca="false">Assumptions!$K$75</f>
        <v>9.5</v>
      </c>
    </row>
    <row r="31078" customFormat="false" ht="15" hidden="false" customHeight="false" outlineLevel="0" collapsed="false">
      <c r="A31078" s="3" t="s">
        <v>430</v>
      </c>
      <c r="G31078" s="32" t="n">
        <f aca="false">G31077-G31076</f>
        <v>-1.83303236452533</v>
      </c>
      <c r="H31078" s="32" t="n">
        <f aca="false">H31077-H31076</f>
        <v>-4.12002017842946</v>
      </c>
      <c r="I31078" s="32" t="n">
        <f aca="false">I31077-I31076</f>
        <v>-5.72515260854626</v>
      </c>
      <c r="J31078" s="32" t="n">
        <f aca="false">J31077-J31076</f>
        <v>-5.99762868419312</v>
      </c>
      <c r="K31078" s="32" t="n">
        <f aca="false">K31077-K31076</f>
        <v>-6.38728915307083</v>
      </c>
    </row>
    <row r="31079" customFormat="false" ht="15" hidden="false" customHeight="false" outlineLevel="0" collapsed="false">
      <c r="A31079" s="3" t="s">
        <v>431</v>
      </c>
      <c r="G31079" s="22" t="n">
        <f aca="false">IF(G31077=0,0,G31078/ABS(G31077))</f>
        <v>-0.174574510907174</v>
      </c>
      <c r="H31079" s="22" t="n">
        <f aca="false">IF(H31077=0,0,H31078/ABS(H31077))</f>
        <v>-0.392382874136139</v>
      </c>
      <c r="I31079" s="22" t="n">
        <f aca="false">IF(I31077=0,0,I31078/ABS(I31077))</f>
        <v>-0.572515260854626</v>
      </c>
      <c r="J31079" s="22" t="n">
        <f aca="false">IF(J31077=0,0,J31078/ABS(J31077))</f>
        <v>-0.599762868419312</v>
      </c>
      <c r="K31079" s="22" t="n">
        <f aca="false">IF(K31077=0,0,K31078/ABS(K31077))</f>
        <v>-0.672346226639035</v>
      </c>
    </row>
    <row r="31080" customFormat="false" ht="15" hidden="false" customHeight="false" outlineLevel="0" collapsed="false">
      <c r="A31080" s="3" t="s">
        <v>432</v>
      </c>
      <c r="G31080" s="21" t="n">
        <f aca="false">IF(G31078&lt;0,1,0)</f>
        <v>1</v>
      </c>
      <c r="H31080" s="21" t="n">
        <f aca="false">IF(H31078&lt;0,1,0)</f>
        <v>1</v>
      </c>
      <c r="I31080" s="21" t="n">
        <f aca="false">IF(I31078&lt;0,1,0)</f>
        <v>1</v>
      </c>
      <c r="J31080" s="21" t="n">
        <f aca="false">IF(J31078&lt;0,1,0)</f>
        <v>1</v>
      </c>
      <c r="K31080" s="21" t="n">
        <f aca="false">IF(K31078&lt;0,1,0)</f>
        <v>1</v>
      </c>
    </row>
    <row r="31081" customFormat="false" ht="15" hidden="false" customHeight="false" outlineLevel="0" collapsed="false">
      <c r="A31081" s="3" t="s">
        <v>433</v>
      </c>
      <c r="C31081" s="21" t="n">
        <f aca="false">IFERROR(INDEX($G$30798:$K$30798,MATCH(1,$G$31080:$K$31080,0)),0)</f>
        <v>2027</v>
      </c>
    </row>
    <row r="31082" customFormat="false" ht="15" hidden="false" customHeight="false" outlineLevel="0" collapsed="false">
      <c r="A31082" s="3" t="s">
        <v>434</v>
      </c>
      <c r="C31082" s="22" t="n">
        <f aca="false">MIN($G$31079:$K$31079)</f>
        <v>-0.672346226639035</v>
      </c>
    </row>
    <row r="31083" customFormat="false" ht="15" hidden="false" customHeight="false" outlineLevel="0" collapsed="false">
      <c r="A31083" s="3" t="s">
        <v>439</v>
      </c>
      <c r="G31083" s="21" t="n">
        <f aca="false">G31048+G31056+G31064+G31072+G31080</f>
        <v>3</v>
      </c>
      <c r="H31083" s="21" t="n">
        <f aca="false">H31048+H31056+H31064+H31072+H31080</f>
        <v>3</v>
      </c>
      <c r="I31083" s="21" t="n">
        <f aca="false">I31048+I31056+I31064+I31072+I31080</f>
        <v>3</v>
      </c>
      <c r="J31083" s="21" t="n">
        <f aca="false">J31048+J31056+J31064+J31072+J31080</f>
        <v>3</v>
      </c>
      <c r="K31083" s="21" t="n">
        <f aca="false">K31048+K31056+K31064+K31072+K31080</f>
        <v>3</v>
      </c>
    </row>
    <row r="31084" customFormat="false" ht="15" hidden="false" customHeight="false" outlineLevel="0" collapsed="false">
      <c r="A31084" s="3" t="s">
        <v>440</v>
      </c>
      <c r="C31084" s="21" t="n">
        <f aca="false">SUM($G$31083:$K$31083)</f>
        <v>15</v>
      </c>
    </row>
    <row r="31085" customFormat="false" ht="15" hidden="false" customHeight="false" outlineLevel="0" collapsed="false">
      <c r="A31085" s="3" t="s">
        <v>441</v>
      </c>
      <c r="C31085" s="22" t="n">
        <f aca="false">MIN(C31050,C31058,C31066,C31074,C31082)</f>
        <v>-0.672346226639035</v>
      </c>
    </row>
    <row r="31087" customFormat="false" ht="15" hidden="false" customHeight="false" outlineLevel="0" collapsed="false">
      <c r="A31087" s="24" t="s">
        <v>543</v>
      </c>
      <c r="B31087" s="25"/>
      <c r="C31087" s="25"/>
      <c r="D31087" s="25"/>
      <c r="E31087" s="25"/>
      <c r="F31087" s="25"/>
      <c r="G31087" s="25"/>
      <c r="H31087" s="25"/>
      <c r="I31087" s="25"/>
      <c r="J31087" s="25"/>
      <c r="K31087" s="25"/>
    </row>
    <row r="31088" customFormat="false" ht="15" hidden="false" customHeight="false" outlineLevel="0" collapsed="false">
      <c r="A31088" s="3" t="s">
        <v>544</v>
      </c>
      <c r="G31088" s="21" t="n">
        <f aca="false">IF($C$31089=1,G31025,IF(G30808=MIN($G$30808:$K$30808),1,0))</f>
        <v>0</v>
      </c>
      <c r="H31088" s="21" t="n">
        <f aca="false">IF($C$31089=1,H31025,IF(AND(H30808=MIN($G$30808:$K$30808),SUM($G$31088:G31088)=0),1,0))</f>
        <v>1</v>
      </c>
      <c r="I31088" s="21" t="n">
        <f aca="false">IF($C$31089=1,I31025,IF(AND(I30808=MIN($G$30808:$K$30808),SUM($G$31088:H31088)=0),1,0))</f>
        <v>0</v>
      </c>
      <c r="J31088" s="21" t="n">
        <f aca="false">IF($C$31089=1,J31025,IF(AND(J30808=MIN($G$30808:$K$30808),SUM($G$31088:I31088)=0),1,0))</f>
        <v>0</v>
      </c>
      <c r="K31088" s="21" t="n">
        <f aca="false">IF($C$31089=1,K31025,IF(AND(K30808=MIN($G$30808:$K$30808),SUM($G$31088:J31088)=0),1,0))</f>
        <v>0</v>
      </c>
    </row>
    <row r="31089" customFormat="false" ht="15" hidden="false" customHeight="false" outlineLevel="0" collapsed="false">
      <c r="A31089" s="3" t="s">
        <v>545</v>
      </c>
      <c r="C31089" s="21" t="n">
        <f aca="false">IF(SUM($G$31025:$K$31025)&gt;0,1,0)</f>
        <v>1</v>
      </c>
    </row>
    <row r="31090" customFormat="false" ht="15" hidden="false" customHeight="false" outlineLevel="0" collapsed="false">
      <c r="A31090" s="3" t="s">
        <v>546</v>
      </c>
      <c r="C31090" s="21" t="n">
        <f aca="false">SUMPRODUCT($G$31088:$K$31088,$G$30798:$K$30798)</f>
        <v>2028</v>
      </c>
    </row>
    <row r="31091" customFormat="false" ht="15" hidden="false" customHeight="false" outlineLevel="0" collapsed="false">
      <c r="A31091" s="3" t="s">
        <v>547</v>
      </c>
      <c r="C31091" s="16" t="n">
        <f aca="false">SUMPRODUCT($G$31088:$K$31088,$G$30808:$K$30808)</f>
        <v>179.33991381</v>
      </c>
    </row>
    <row r="31092" customFormat="false" ht="15" hidden="false" customHeight="false" outlineLevel="0" collapsed="false">
      <c r="A31092" s="3" t="s">
        <v>548</v>
      </c>
      <c r="C31092" s="16" t="n">
        <f aca="false">MAX(0,SUMPRODUCT($G$31088:$K$31088,$G$31022:$K$31022))</f>
        <v>0</v>
      </c>
    </row>
    <row r="31093" customFormat="false" ht="15" hidden="false" customHeight="false" outlineLevel="0" collapsed="false">
      <c r="A31093" s="3" t="s">
        <v>549</v>
      </c>
      <c r="C31093" s="16" t="n">
        <f aca="false">(CHOOSE($C$30791,Assumptions!$C$92,Assumptions!$C$111,Assumptions!$C$130)+$C$30795)*C31091</f>
        <v>1434.71931048</v>
      </c>
    </row>
    <row r="31094" customFormat="false" ht="15" hidden="false" customHeight="false" outlineLevel="0" collapsed="false">
      <c r="A31094" s="3" t="s">
        <v>550</v>
      </c>
      <c r="C31094" s="16" t="n">
        <f aca="false">Assumptions!$C$31*(1-CHOOSE($C$30791,Assumptions!$C$93,Assumptions!$C$112,Assumptions!$C$131))*CHOOSE($C$30791,Assumptions!$C$94,Assumptions!$C$113,Assumptions!$C$132)</f>
        <v>2688.03189666667</v>
      </c>
    </row>
    <row r="31095" customFormat="false" ht="15" hidden="false" customHeight="false" outlineLevel="0" collapsed="false">
      <c r="A31095" s="3" t="s">
        <v>551</v>
      </c>
      <c r="C31095" s="16" t="n">
        <f aca="false">MAX(C31093,C31094)+C31092</f>
        <v>2688.03189666667</v>
      </c>
    </row>
    <row r="31096" customFormat="false" ht="15" hidden="false" customHeight="false" outlineLevel="0" collapsed="false">
      <c r="A31096" s="2" t="s">
        <v>552</v>
      </c>
      <c r="C31096" s="17" t="n">
        <f aca="false">IF(ISNUMBER(Assumptions!$C$14),Assumptions!$C$14,C31095)</f>
        <v>2688.03189666667</v>
      </c>
    </row>
    <row r="31097" customFormat="false" ht="15" hidden="false" customHeight="false" outlineLevel="0" collapsed="false">
      <c r="A31097" s="3" t="s">
        <v>553</v>
      </c>
      <c r="C31097" s="16" t="n">
        <f aca="false">C31096*Assumptions!$C$15</f>
        <v>107.521275866667</v>
      </c>
    </row>
    <row r="31098" customFormat="false" ht="15" hidden="false" customHeight="false" outlineLevel="0" collapsed="false">
      <c r="A31098" s="2" t="s">
        <v>554</v>
      </c>
      <c r="C31098" s="17" t="n">
        <f aca="false">C31096-C31097</f>
        <v>2580.5106208</v>
      </c>
    </row>
    <row r="31099" customFormat="false" ht="15" hidden="false" customHeight="false" outlineLevel="0" collapsed="false">
      <c r="A31099" s="24" t="s">
        <v>555</v>
      </c>
      <c r="B31099" s="25"/>
      <c r="C31099" s="25"/>
      <c r="D31099" s="25"/>
      <c r="E31099" s="25"/>
      <c r="F31099" s="25"/>
      <c r="G31099" s="25"/>
      <c r="H31099" s="25"/>
      <c r="I31099" s="25"/>
      <c r="J31099" s="25"/>
      <c r="K31099" s="25"/>
    </row>
    <row r="31100" customFormat="false" ht="15" hidden="false" customHeight="false" outlineLevel="0" collapsed="false">
      <c r="A31100" s="3" t="s">
        <v>556</v>
      </c>
      <c r="C31100" s="16" t="n">
        <f aca="false">SUMPRODUCT($G$31088:$K$31088,$G$30845:$K$30845)*(1+SUMPRODUCT($G$31088:$K$31088,$G$30837:$K$30837)*Assumptions!$C$16/12)</f>
        <v>405.72</v>
      </c>
    </row>
    <row r="31101" customFormat="false" ht="15" hidden="false" customHeight="false" outlineLevel="0" collapsed="false">
      <c r="A31101" s="3" t="s">
        <v>557</v>
      </c>
      <c r="C31101" s="16" t="n">
        <f aca="false">SUMPRODUCT($G$31088:$K$31088,$G$30858:$K$30858)*(1+SUMPRODUCT($G$31088:$K$31088,$G$30850:$K$30850)*Assumptions!$C$16/12)</f>
        <v>91.30725</v>
      </c>
    </row>
    <row r="31102" customFormat="false" ht="15" hidden="false" customHeight="false" outlineLevel="0" collapsed="false">
      <c r="A31102" s="3" t="s">
        <v>558</v>
      </c>
      <c r="C31102" s="16" t="n">
        <f aca="false">SUMPRODUCT($G$31088:$K$31088,$G$30871:$K$30871)*(1+SUMPRODUCT($G$31088:$K$31088,$G$30863:$K$30863)*Assumptions!$C$16/12)</f>
        <v>58.3715961</v>
      </c>
    </row>
    <row r="31103" customFormat="false" ht="15" hidden="false" customHeight="false" outlineLevel="0" collapsed="false">
      <c r="A31103" s="3" t="s">
        <v>559</v>
      </c>
      <c r="C31103" s="16" t="n">
        <f aca="false">SUMPRODUCT($G$31088:$K$31088,$G$30884:$K$30884)*(1+SUMPRODUCT($G$31088:$K$31088,$G$30876:$K$30876)*Assumptions!$C$16/12)</f>
        <v>0</v>
      </c>
    </row>
    <row r="31104" customFormat="false" ht="15" hidden="false" customHeight="false" outlineLevel="0" collapsed="false">
      <c r="A31104" s="3" t="s">
        <v>560</v>
      </c>
      <c r="C31104" s="16" t="n">
        <f aca="false">SUMPRODUCT($G$31088:$K$31088,$G$30897:$K$30897)*(1+SUMPRODUCT($G$31088:$K$31088,$G$30889:$K$30889)*Assumptions!$C$16/12)</f>
        <v>454.44375</v>
      </c>
    </row>
    <row r="31105" customFormat="false" ht="15" hidden="false" customHeight="false" outlineLevel="0" collapsed="false">
      <c r="A31105" s="3" t="s">
        <v>561</v>
      </c>
      <c r="C31105" s="16" t="n">
        <f aca="false">SUMPRODUCT($G$31088:$K$31088,$G$30910:$K$30910)*(1+SUMPRODUCT($G$31088:$K$31088,$G$30902:$K$30902)*Assumptions!$C$16/12)</f>
        <v>357.2625</v>
      </c>
    </row>
    <row r="31106" customFormat="false" ht="15" hidden="false" customHeight="false" outlineLevel="0" collapsed="false">
      <c r="A31106" s="3" t="s">
        <v>562</v>
      </c>
      <c r="C31106" s="16" t="n">
        <f aca="false">SUMPRODUCT($G$31088:$K$31088,$G$30923:$K$30923)*(1+SUMPRODUCT($G$31088:$K$31088,$G$30915:$K$30915)*Assumptions!$C$16/12)</f>
        <v>562.203125</v>
      </c>
    </row>
    <row r="31107" customFormat="false" ht="15" hidden="false" customHeight="false" outlineLevel="0" collapsed="false">
      <c r="A31107" s="3" t="s">
        <v>563</v>
      </c>
      <c r="C31107" s="16" t="n">
        <f aca="false">SUMPRODUCT($G$31088:$K$31088,$G$30936:$K$30936)*(1+SUMPRODUCT($G$31088:$K$31088,$G$30928:$K$30928)*Assumptions!$C$16/12)</f>
        <v>353.98125</v>
      </c>
    </row>
    <row r="31108" customFormat="false" ht="15" hidden="false" customHeight="false" outlineLevel="0" collapsed="false">
      <c r="A31108" s="3" t="s">
        <v>564</v>
      </c>
      <c r="C31108" s="16" t="n">
        <f aca="false">SUMPRODUCT($G$31088:$K$31088,$G$30949:$K$30949)*(1+SUMPRODUCT($G$31088:$K$31088,$G$30941:$K$30941)*Assumptions!$C$16/12)</f>
        <v>304.59375</v>
      </c>
    </row>
    <row r="31109" customFormat="false" ht="15" hidden="false" customHeight="false" outlineLevel="0" collapsed="false">
      <c r="A31109" s="3" t="s">
        <v>565</v>
      </c>
      <c r="C31109" s="16" t="n">
        <f aca="false">SUMPRODUCT($G$31088:$K$31088,$G$30962:$K$30962)*(1+SUMPRODUCT($G$31088:$K$31088,$G$30954:$K$30954)*Assumptions!$C$16/12)</f>
        <v>80.6263465</v>
      </c>
    </row>
    <row r="31110" customFormat="false" ht="15" hidden="false" customHeight="false" outlineLevel="0" collapsed="false">
      <c r="A31110" s="24" t="s">
        <v>566</v>
      </c>
      <c r="B31110" s="25"/>
      <c r="C31110" s="25"/>
      <c r="D31110" s="25"/>
      <c r="E31110" s="25"/>
      <c r="F31110" s="25"/>
      <c r="G31110" s="25"/>
      <c r="H31110" s="25"/>
      <c r="I31110" s="25"/>
      <c r="J31110" s="25"/>
      <c r="K31110" s="25"/>
    </row>
    <row r="31111" customFormat="false" ht="15" hidden="false" customHeight="false" outlineLevel="0" collapsed="false">
      <c r="A31111" s="3" t="s">
        <v>556</v>
      </c>
      <c r="C31111" s="27" t="n">
        <f aca="false">Assumptions!$M$57</f>
        <v>1</v>
      </c>
    </row>
    <row r="31112" customFormat="false" ht="15" hidden="false" customHeight="false" outlineLevel="0" collapsed="false">
      <c r="A31112" s="3" t="s">
        <v>557</v>
      </c>
      <c r="C31112" s="27" t="n">
        <f aca="false">Assumptions!$M$58</f>
        <v>1</v>
      </c>
    </row>
    <row r="31113" customFormat="false" ht="15" hidden="false" customHeight="false" outlineLevel="0" collapsed="false">
      <c r="A31113" s="3" t="s">
        <v>558</v>
      </c>
      <c r="C31113" s="27" t="n">
        <f aca="false">Assumptions!$M$59</f>
        <v>1</v>
      </c>
    </row>
    <row r="31114" customFormat="false" ht="15" hidden="false" customHeight="false" outlineLevel="0" collapsed="false">
      <c r="A31114" s="3" t="s">
        <v>559</v>
      </c>
      <c r="C31114" s="27" t="n">
        <f aca="false">Assumptions!$M$60</f>
        <v>2</v>
      </c>
    </row>
    <row r="31115" customFormat="false" ht="15" hidden="false" customHeight="false" outlineLevel="0" collapsed="false">
      <c r="A31115" s="3" t="s">
        <v>560</v>
      </c>
      <c r="C31115" s="27" t="n">
        <f aca="false">Assumptions!$M$61</f>
        <v>2</v>
      </c>
    </row>
    <row r="31116" customFormat="false" ht="15" hidden="false" customHeight="false" outlineLevel="0" collapsed="false">
      <c r="A31116" s="3" t="s">
        <v>561</v>
      </c>
      <c r="C31116" s="27" t="n">
        <f aca="false">Assumptions!$M$62</f>
        <v>2</v>
      </c>
    </row>
    <row r="31117" customFormat="false" ht="15" hidden="false" customHeight="false" outlineLevel="0" collapsed="false">
      <c r="A31117" s="3" t="s">
        <v>562</v>
      </c>
      <c r="C31117" s="27" t="n">
        <f aca="false">Assumptions!$M$63</f>
        <v>2</v>
      </c>
    </row>
    <row r="31118" customFormat="false" ht="15" hidden="false" customHeight="false" outlineLevel="0" collapsed="false">
      <c r="A31118" s="3" t="s">
        <v>563</v>
      </c>
      <c r="C31118" s="27" t="n">
        <f aca="false">Assumptions!$M$64</f>
        <v>2</v>
      </c>
    </row>
    <row r="31119" customFormat="false" ht="15" hidden="false" customHeight="false" outlineLevel="0" collapsed="false">
      <c r="A31119" s="3" t="s">
        <v>564</v>
      </c>
      <c r="C31119" s="27" t="n">
        <f aca="false">Assumptions!$M$65</f>
        <v>2</v>
      </c>
    </row>
    <row r="31120" customFormat="false" ht="15" hidden="false" customHeight="false" outlineLevel="0" collapsed="false">
      <c r="A31120" s="3" t="s">
        <v>565</v>
      </c>
      <c r="C31120" s="27" t="n">
        <f aca="false">Assumptions!$M$66</f>
        <v>3</v>
      </c>
    </row>
    <row r="31121" customFormat="false" ht="15" hidden="false" customHeight="false" outlineLevel="0" collapsed="false">
      <c r="A31121" s="24" t="s">
        <v>567</v>
      </c>
      <c r="B31121" s="25"/>
      <c r="C31121" s="25"/>
      <c r="D31121" s="25"/>
      <c r="E31121" s="25"/>
      <c r="F31121" s="25"/>
      <c r="G31121" s="25"/>
      <c r="H31121" s="25"/>
      <c r="I31121" s="25"/>
      <c r="J31121" s="25"/>
      <c r="K31121" s="25"/>
    </row>
    <row r="31122" customFormat="false" ht="15" hidden="false" customHeight="false" outlineLevel="0" collapsed="false">
      <c r="A31122" s="3" t="s">
        <v>556</v>
      </c>
      <c r="C31122" s="33" t="n">
        <f aca="false">Assumptions!$Q$57</f>
        <v>0.3</v>
      </c>
    </row>
    <row r="31123" customFormat="false" ht="15" hidden="false" customHeight="false" outlineLevel="0" collapsed="false">
      <c r="A31123" s="3" t="s">
        <v>557</v>
      </c>
      <c r="C31123" s="33" t="n">
        <f aca="false">Assumptions!$Q$58</f>
        <v>0.033</v>
      </c>
    </row>
    <row r="31124" customFormat="false" ht="15" hidden="false" customHeight="false" outlineLevel="0" collapsed="false">
      <c r="A31124" s="3" t="s">
        <v>558</v>
      </c>
      <c r="C31124" s="33" t="n">
        <f aca="false">Assumptions!$Q$59</f>
        <v>0.021</v>
      </c>
    </row>
    <row r="31125" customFormat="false" ht="15" hidden="false" customHeight="false" outlineLevel="0" collapsed="false">
      <c r="A31125" s="3" t="s">
        <v>559</v>
      </c>
      <c r="C31125" s="33" t="n">
        <f aca="false">Assumptions!$Q$60</f>
        <v>0</v>
      </c>
    </row>
    <row r="31126" customFormat="false" ht="15" hidden="false" customHeight="false" outlineLevel="0" collapsed="false">
      <c r="A31126" s="3" t="s">
        <v>560</v>
      </c>
      <c r="C31126" s="33" t="n">
        <f aca="false">Assumptions!$Q$61</f>
        <v>0</v>
      </c>
    </row>
    <row r="31127" customFormat="false" ht="15" hidden="false" customHeight="false" outlineLevel="0" collapsed="false">
      <c r="A31127" s="3" t="s">
        <v>561</v>
      </c>
      <c r="C31127" s="33" t="n">
        <f aca="false">Assumptions!$Q$62</f>
        <v>0</v>
      </c>
    </row>
    <row r="31128" customFormat="false" ht="15" hidden="false" customHeight="false" outlineLevel="0" collapsed="false">
      <c r="A31128" s="3" t="s">
        <v>562</v>
      </c>
      <c r="C31128" s="33" t="n">
        <f aca="false">Assumptions!$Q$63</f>
        <v>0</v>
      </c>
    </row>
    <row r="31129" customFormat="false" ht="15" hidden="false" customHeight="false" outlineLevel="0" collapsed="false">
      <c r="A31129" s="3" t="s">
        <v>563</v>
      </c>
      <c r="C31129" s="33" t="n">
        <f aca="false">Assumptions!$Q$64</f>
        <v>0</v>
      </c>
    </row>
    <row r="31130" customFormat="false" ht="15" hidden="false" customHeight="false" outlineLevel="0" collapsed="false">
      <c r="A31130" s="3" t="s">
        <v>564</v>
      </c>
      <c r="C31130" s="33" t="n">
        <f aca="false">Assumptions!$Q$65</f>
        <v>0</v>
      </c>
    </row>
    <row r="31131" customFormat="false" ht="15" hidden="false" customHeight="false" outlineLevel="0" collapsed="false">
      <c r="A31131" s="3" t="s">
        <v>565</v>
      </c>
      <c r="C31131" s="33" t="n">
        <f aca="false">Assumptions!$Q$66</f>
        <v>0</v>
      </c>
    </row>
    <row r="31132" customFormat="false" ht="15" hidden="false" customHeight="false" outlineLevel="0" collapsed="false">
      <c r="A31132" s="24" t="s">
        <v>568</v>
      </c>
      <c r="B31132" s="25"/>
      <c r="C31132" s="25"/>
      <c r="D31132" s="25"/>
      <c r="E31132" s="25"/>
      <c r="F31132" s="25"/>
      <c r="G31132" s="25"/>
      <c r="H31132" s="25"/>
      <c r="I31132" s="25"/>
      <c r="J31132" s="25"/>
      <c r="K31132" s="25"/>
    </row>
    <row r="31133" customFormat="false" ht="15" hidden="false" customHeight="false" outlineLevel="0" collapsed="false">
      <c r="A31133" s="3" t="s">
        <v>556</v>
      </c>
      <c r="C31133" s="16" t="n">
        <f aca="false">IF(C31122&gt;0,MIN(C31100,C31122*$C$31098),0)</f>
        <v>405.72</v>
      </c>
    </row>
    <row r="31134" customFormat="false" ht="15" hidden="false" customHeight="false" outlineLevel="0" collapsed="false">
      <c r="A31134" s="3" t="s">
        <v>557</v>
      </c>
      <c r="C31134" s="16" t="n">
        <f aca="false">IF(C31123&gt;0,MIN(C31101,C31123*$C$31098),0)</f>
        <v>85.1568504864</v>
      </c>
    </row>
    <row r="31135" customFormat="false" ht="15" hidden="false" customHeight="false" outlineLevel="0" collapsed="false">
      <c r="A31135" s="3" t="s">
        <v>558</v>
      </c>
      <c r="C31135" s="16" t="n">
        <f aca="false">IF(C31124&gt;0,MIN(C31102,C31124*$C$31098),0)</f>
        <v>54.1907230368</v>
      </c>
    </row>
    <row r="31136" customFormat="false" ht="15" hidden="false" customHeight="false" outlineLevel="0" collapsed="false">
      <c r="A31136" s="3" t="s">
        <v>559</v>
      </c>
      <c r="C31136" s="16" t="n">
        <f aca="false">IF(C31125&gt;0,MIN(C31103,C31125*$C$31098),0)</f>
        <v>0</v>
      </c>
    </row>
    <row r="31137" customFormat="false" ht="15" hidden="false" customHeight="false" outlineLevel="0" collapsed="false">
      <c r="A31137" s="3" t="s">
        <v>560</v>
      </c>
      <c r="C31137" s="16" t="n">
        <f aca="false">IF(C31126&gt;0,MIN(C31104,C31126*$C$31098),0)</f>
        <v>0</v>
      </c>
    </row>
    <row r="31138" customFormat="false" ht="15" hidden="false" customHeight="false" outlineLevel="0" collapsed="false">
      <c r="A31138" s="3" t="s">
        <v>561</v>
      </c>
      <c r="C31138" s="16" t="n">
        <f aca="false">IF(C31127&gt;0,MIN(C31105,C31127*$C$31098),0)</f>
        <v>0</v>
      </c>
    </row>
    <row r="31139" customFormat="false" ht="15" hidden="false" customHeight="false" outlineLevel="0" collapsed="false">
      <c r="A31139" s="3" t="s">
        <v>562</v>
      </c>
      <c r="C31139" s="16" t="n">
        <f aca="false">IF(C31128&gt;0,MIN(C31106,C31128*$C$31098),0)</f>
        <v>0</v>
      </c>
    </row>
    <row r="31140" customFormat="false" ht="15" hidden="false" customHeight="false" outlineLevel="0" collapsed="false">
      <c r="A31140" s="3" t="s">
        <v>563</v>
      </c>
      <c r="C31140" s="16" t="n">
        <f aca="false">IF(C31129&gt;0,MIN(C31107,C31129*$C$31098),0)</f>
        <v>0</v>
      </c>
    </row>
    <row r="31141" customFormat="false" ht="15" hidden="false" customHeight="false" outlineLevel="0" collapsed="false">
      <c r="A31141" s="3" t="s">
        <v>564</v>
      </c>
      <c r="C31141" s="16" t="n">
        <f aca="false">IF(C31130&gt;0,MIN(C31108,C31130*$C$31098),0)</f>
        <v>0</v>
      </c>
    </row>
    <row r="31142" customFormat="false" ht="15" hidden="false" customHeight="false" outlineLevel="0" collapsed="false">
      <c r="A31142" s="3" t="s">
        <v>565</v>
      </c>
      <c r="C31142" s="16" t="n">
        <f aca="false">IF(C31131&gt;0,MIN(C31109,C31131*$C$31098),0)</f>
        <v>0</v>
      </c>
    </row>
    <row r="31143" customFormat="false" ht="15" hidden="false" customHeight="false" outlineLevel="0" collapsed="false">
      <c r="A31143" s="24" t="s">
        <v>569</v>
      </c>
      <c r="B31143" s="25"/>
      <c r="C31143" s="25"/>
      <c r="D31143" s="25"/>
      <c r="E31143" s="25"/>
      <c r="F31143" s="25"/>
      <c r="G31143" s="25"/>
      <c r="H31143" s="25"/>
      <c r="I31143" s="25"/>
      <c r="J31143" s="25"/>
      <c r="K31143" s="25"/>
    </row>
    <row r="31144" customFormat="false" ht="15" hidden="false" customHeight="false" outlineLevel="0" collapsed="false">
      <c r="A31144" s="3" t="s">
        <v>556</v>
      </c>
      <c r="C31144" s="16" t="n">
        <f aca="false">IF(C31122&gt;0,C31100-C31133,0)</f>
        <v>0</v>
      </c>
      <c r="G31144" s="21" t="n">
        <f aca="false">IF(AND(G30835=1,G30832=1),1,0)</f>
        <v>0</v>
      </c>
      <c r="H31144" s="21" t="n">
        <f aca="false">IF(G31144=1,1,IF(AND(H30835=1,H30832=1),1,0))</f>
        <v>0</v>
      </c>
      <c r="I31144" s="21" t="n">
        <f aca="false">IF(H31144=1,1,IF(AND(I30835=1,I30832=1),1,0))</f>
        <v>0</v>
      </c>
      <c r="J31144" s="21" t="n">
        <f aca="false">IF(I31144=1,1,IF(AND(J30835=1,J30832=1),1,0))</f>
        <v>0</v>
      </c>
      <c r="K31144" s="21" t="n">
        <f aca="false">IF(J31144=1,1,IF(AND(K30835=1,K30832=1),1,0))</f>
        <v>0</v>
      </c>
    </row>
    <row r="31145" customFormat="false" ht="15" hidden="false" customHeight="false" outlineLevel="0" collapsed="false">
      <c r="A31145" s="3" t="s">
        <v>557</v>
      </c>
      <c r="C31145" s="16" t="n">
        <f aca="false">IF(C31123&gt;0,C31101-C31134,0)</f>
        <v>6.15039951360001</v>
      </c>
      <c r="G31145" s="21" t="n">
        <f aca="false">IF(AND(G30848=1,G30832=1),1,0)</f>
        <v>0</v>
      </c>
      <c r="H31145" s="21" t="n">
        <f aca="false">IF(G31145=1,1,IF(AND(H30848=1,H30832=1),1,0))</f>
        <v>0</v>
      </c>
      <c r="I31145" s="21" t="n">
        <f aca="false">IF(H31145=1,1,IF(AND(I30848=1,I30832=1),1,0))</f>
        <v>0</v>
      </c>
      <c r="J31145" s="21" t="n">
        <f aca="false">IF(I31145=1,1,IF(AND(J30848=1,J30832=1),1,0))</f>
        <v>0</v>
      </c>
      <c r="K31145" s="21" t="n">
        <f aca="false">IF(J31145=1,1,IF(AND(K30848=1,K30832=1),1,0))</f>
        <v>0</v>
      </c>
    </row>
    <row r="31146" customFormat="false" ht="15" hidden="false" customHeight="false" outlineLevel="0" collapsed="false">
      <c r="A31146" s="3" t="s">
        <v>558</v>
      </c>
      <c r="C31146" s="16" t="n">
        <f aca="false">IF(C31124&gt;0,C31102-C31135,0)</f>
        <v>4.1808730632</v>
      </c>
      <c r="G31146" s="21" t="n">
        <f aca="false">IF(AND(G30861=1,G30832=1),1,0)</f>
        <v>0</v>
      </c>
      <c r="H31146" s="21" t="n">
        <f aca="false">IF(G31146=1,1,IF(AND(H30861=1,H30832=1),1,0))</f>
        <v>0</v>
      </c>
      <c r="I31146" s="21" t="n">
        <f aca="false">IF(H31146=1,1,IF(AND(I30861=1,I30832=1),1,0))</f>
        <v>0</v>
      </c>
      <c r="J31146" s="21" t="n">
        <f aca="false">IF(I31146=1,1,IF(AND(J30861=1,J30832=1),1,0))</f>
        <v>0</v>
      </c>
      <c r="K31146" s="21" t="n">
        <f aca="false">IF(J31146=1,1,IF(AND(K30861=1,K30832=1),1,0))</f>
        <v>0</v>
      </c>
    </row>
    <row r="31147" customFormat="false" ht="15" hidden="false" customHeight="false" outlineLevel="0" collapsed="false">
      <c r="A31147" s="3" t="s">
        <v>559</v>
      </c>
      <c r="C31147" s="16" t="n">
        <f aca="false">IF(C31125&gt;0,C31103-C31136,0)</f>
        <v>0</v>
      </c>
      <c r="G31147" s="21" t="n">
        <f aca="false">IF(AND(G30874=1,G30832=1),1,0)</f>
        <v>0</v>
      </c>
      <c r="H31147" s="21" t="n">
        <f aca="false">IF(G31147=1,1,IF(AND(H30874=1,H30832=1),1,0))</f>
        <v>0</v>
      </c>
      <c r="I31147" s="21" t="n">
        <f aca="false">IF(H31147=1,1,IF(AND(I30874=1,I30832=1),1,0))</f>
        <v>0</v>
      </c>
      <c r="J31147" s="21" t="n">
        <f aca="false">IF(I31147=1,1,IF(AND(J30874=1,J30832=1),1,0))</f>
        <v>0</v>
      </c>
      <c r="K31147" s="21" t="n">
        <f aca="false">IF(J31147=1,1,IF(AND(K30874=1,K30832=1),1,0))</f>
        <v>0</v>
      </c>
    </row>
    <row r="31148" customFormat="false" ht="15" hidden="false" customHeight="false" outlineLevel="0" collapsed="false">
      <c r="A31148" s="3" t="s">
        <v>560</v>
      </c>
      <c r="C31148" s="16" t="n">
        <f aca="false">IF(C31126&gt;0,C31104-C31137,0)</f>
        <v>0</v>
      </c>
      <c r="G31148" s="21" t="n">
        <f aca="false">IF(AND(G30887=1,G30832=1),1,0)</f>
        <v>0</v>
      </c>
      <c r="H31148" s="21" t="n">
        <f aca="false">IF(G31148=1,1,IF(AND(H30887=1,H30832=1),1,0))</f>
        <v>0</v>
      </c>
      <c r="I31148" s="21" t="n">
        <f aca="false">IF(H31148=1,1,IF(AND(I30887=1,I30832=1),1,0))</f>
        <v>0</v>
      </c>
      <c r="J31148" s="21" t="n">
        <f aca="false">IF(I31148=1,1,IF(AND(J30887=1,J30832=1),1,0))</f>
        <v>0</v>
      </c>
      <c r="K31148" s="21" t="n">
        <f aca="false">IF(J31148=1,1,IF(AND(K30887=1,K30832=1),1,0))</f>
        <v>0</v>
      </c>
    </row>
    <row r="31149" customFormat="false" ht="15" hidden="false" customHeight="false" outlineLevel="0" collapsed="false">
      <c r="A31149" s="3" t="s">
        <v>561</v>
      </c>
      <c r="C31149" s="16" t="n">
        <f aca="false">IF(C31127&gt;0,C31105-C31138,0)</f>
        <v>0</v>
      </c>
      <c r="G31149" s="21" t="n">
        <f aca="false">IF(AND(G30900=1,G30832=1),1,0)</f>
        <v>0</v>
      </c>
      <c r="H31149" s="21" t="n">
        <f aca="false">IF(G31149=1,1,IF(AND(H30900=1,H30832=1),1,0))</f>
        <v>0</v>
      </c>
      <c r="I31149" s="21" t="n">
        <f aca="false">IF(H31149=1,1,IF(AND(I30900=1,I30832=1),1,0))</f>
        <v>0</v>
      </c>
      <c r="J31149" s="21" t="n">
        <f aca="false">IF(I31149=1,1,IF(AND(J30900=1,J30832=1),1,0))</f>
        <v>0</v>
      </c>
      <c r="K31149" s="21" t="n">
        <f aca="false">IF(J31149=1,1,IF(AND(K30900=1,K30832=1),1,0))</f>
        <v>0</v>
      </c>
    </row>
    <row r="31150" customFormat="false" ht="15" hidden="false" customHeight="false" outlineLevel="0" collapsed="false">
      <c r="A31150" s="3" t="s">
        <v>562</v>
      </c>
      <c r="C31150" s="16" t="n">
        <f aca="false">IF(C31128&gt;0,C31106-C31139,0)</f>
        <v>0</v>
      </c>
      <c r="G31150" s="21" t="n">
        <f aca="false">IF(AND(G30913=1,G30832=1),1,0)</f>
        <v>0</v>
      </c>
      <c r="H31150" s="21" t="n">
        <f aca="false">IF(G31150=1,1,IF(AND(H30913=1,H30832=1),1,0))</f>
        <v>0</v>
      </c>
      <c r="I31150" s="21" t="n">
        <f aca="false">IF(H31150=1,1,IF(AND(I30913=1,I30832=1),1,0))</f>
        <v>0</v>
      </c>
      <c r="J31150" s="21" t="n">
        <f aca="false">IF(I31150=1,1,IF(AND(J30913=1,J30832=1),1,0))</f>
        <v>0</v>
      </c>
      <c r="K31150" s="21" t="n">
        <f aca="false">IF(J31150=1,1,IF(AND(K30913=1,K30832=1),1,0))</f>
        <v>0</v>
      </c>
    </row>
    <row r="31151" customFormat="false" ht="15" hidden="false" customHeight="false" outlineLevel="0" collapsed="false">
      <c r="A31151" s="3" t="s">
        <v>563</v>
      </c>
      <c r="C31151" s="16" t="n">
        <f aca="false">IF(C31129&gt;0,C31107-C31140,0)</f>
        <v>0</v>
      </c>
      <c r="G31151" s="21" t="n">
        <f aca="false">IF(AND(G30926=1,G30832=1),1,0)</f>
        <v>0</v>
      </c>
      <c r="H31151" s="21" t="n">
        <f aca="false">IF(G31151=1,1,IF(AND(H30926=1,H30832=1),1,0))</f>
        <v>0</v>
      </c>
      <c r="I31151" s="21" t="n">
        <f aca="false">IF(H31151=1,1,IF(AND(I30926=1,I30832=1),1,0))</f>
        <v>0</v>
      </c>
      <c r="J31151" s="21" t="n">
        <f aca="false">IF(I31151=1,1,IF(AND(J30926=1,J30832=1),1,0))</f>
        <v>0</v>
      </c>
      <c r="K31151" s="21" t="n">
        <f aca="false">IF(J31151=1,1,IF(AND(K30926=1,K30832=1),1,0))</f>
        <v>0</v>
      </c>
    </row>
    <row r="31152" customFormat="false" ht="15" hidden="false" customHeight="false" outlineLevel="0" collapsed="false">
      <c r="A31152" s="3" t="s">
        <v>564</v>
      </c>
      <c r="C31152" s="16" t="n">
        <f aca="false">IF(C31130&gt;0,C31108-C31141,0)</f>
        <v>0</v>
      </c>
      <c r="G31152" s="21" t="n">
        <f aca="false">IF(AND(G30939=1,G30832=1),1,0)</f>
        <v>0</v>
      </c>
      <c r="H31152" s="21" t="n">
        <f aca="false">IF(G31152=1,1,IF(AND(H30939=1,H30832=1),1,0))</f>
        <v>0</v>
      </c>
      <c r="I31152" s="21" t="n">
        <f aca="false">IF(H31152=1,1,IF(AND(I30939=1,I30832=1),1,0))</f>
        <v>0</v>
      </c>
      <c r="J31152" s="21" t="n">
        <f aca="false">IF(I31152=1,1,IF(AND(J30939=1,J30832=1),1,0))</f>
        <v>0</v>
      </c>
      <c r="K31152" s="21" t="n">
        <f aca="false">IF(J31152=1,1,IF(AND(K30939=1,K30832=1),1,0))</f>
        <v>0</v>
      </c>
    </row>
    <row r="31153" customFormat="false" ht="15" hidden="false" customHeight="false" outlineLevel="0" collapsed="false">
      <c r="A31153" s="3" t="s">
        <v>565</v>
      </c>
      <c r="C31153" s="16" t="n">
        <f aca="false">IF(C31131&gt;0,C31109-C31142,0)</f>
        <v>0</v>
      </c>
      <c r="G31153" s="21" t="n">
        <f aca="false">IF(AND(G30952=1,G30832=1),1,0)</f>
        <v>0</v>
      </c>
      <c r="H31153" s="21" t="n">
        <f aca="false">IF(G31153=1,1,IF(AND(H30952=1,H30832=1),1,0))</f>
        <v>0</v>
      </c>
      <c r="I31153" s="21" t="n">
        <f aca="false">IF(H31153=1,1,IF(AND(I30952=1,I30832=1),1,0))</f>
        <v>0</v>
      </c>
      <c r="J31153" s="21" t="n">
        <f aca="false">IF(I31153=1,1,IF(AND(J30952=1,J30832=1),1,0))</f>
        <v>0</v>
      </c>
      <c r="K31153" s="21" t="n">
        <f aca="false">IF(J31153=1,1,IF(AND(K30952=1,K30832=1),1,0))</f>
        <v>0</v>
      </c>
    </row>
    <row r="31154" customFormat="false" ht="15" hidden="false" customHeight="false" outlineLevel="0" collapsed="false">
      <c r="A31154" s="24" t="s">
        <v>570</v>
      </c>
      <c r="B31154" s="25"/>
      <c r="C31154" s="25"/>
      <c r="D31154" s="25"/>
      <c r="E31154" s="25"/>
      <c r="F31154" s="25"/>
      <c r="G31154" s="25"/>
      <c r="H31154" s="25"/>
      <c r="I31154" s="25"/>
      <c r="J31154" s="25"/>
      <c r="K31154" s="25"/>
    </row>
    <row r="31155" customFormat="false" ht="15" hidden="false" customHeight="false" outlineLevel="0" collapsed="false">
      <c r="A31155" s="3" t="s">
        <v>556</v>
      </c>
      <c r="C31155" s="16" t="n">
        <f aca="false">IF(C31122&gt;0,C31144,C31100)</f>
        <v>0</v>
      </c>
    </row>
    <row r="31156" customFormat="false" ht="15" hidden="false" customHeight="false" outlineLevel="0" collapsed="false">
      <c r="A31156" s="3" t="s">
        <v>557</v>
      </c>
      <c r="C31156" s="16" t="n">
        <f aca="false">IF(C31123&gt;0,C31145,C31101)</f>
        <v>6.15039951360001</v>
      </c>
    </row>
    <row r="31157" customFormat="false" ht="15" hidden="false" customHeight="false" outlineLevel="0" collapsed="false">
      <c r="A31157" s="3" t="s">
        <v>558</v>
      </c>
      <c r="C31157" s="16" t="n">
        <f aca="false">IF(C31124&gt;0,C31146,C31102)</f>
        <v>4.1808730632</v>
      </c>
    </row>
    <row r="31158" customFormat="false" ht="15" hidden="false" customHeight="false" outlineLevel="0" collapsed="false">
      <c r="A31158" s="3" t="s">
        <v>559</v>
      </c>
      <c r="C31158" s="16" t="n">
        <f aca="false">IF(C31125&gt;0,C31147,C31103)</f>
        <v>0</v>
      </c>
    </row>
    <row r="31159" customFormat="false" ht="15" hidden="false" customHeight="false" outlineLevel="0" collapsed="false">
      <c r="A31159" s="3" t="s">
        <v>560</v>
      </c>
      <c r="C31159" s="16" t="n">
        <f aca="false">IF(C31126&gt;0,C31148,C31104)</f>
        <v>454.44375</v>
      </c>
    </row>
    <row r="31160" customFormat="false" ht="15" hidden="false" customHeight="false" outlineLevel="0" collapsed="false">
      <c r="A31160" s="3" t="s">
        <v>561</v>
      </c>
      <c r="C31160" s="16" t="n">
        <f aca="false">IF(C31127&gt;0,C31149,C31105)</f>
        <v>357.2625</v>
      </c>
    </row>
    <row r="31161" customFormat="false" ht="15" hidden="false" customHeight="false" outlineLevel="0" collapsed="false">
      <c r="A31161" s="3" t="s">
        <v>562</v>
      </c>
      <c r="C31161" s="16" t="n">
        <f aca="false">IF(C31128&gt;0,C31150,C31106)</f>
        <v>562.203125</v>
      </c>
    </row>
    <row r="31162" customFormat="false" ht="15" hidden="false" customHeight="false" outlineLevel="0" collapsed="false">
      <c r="A31162" s="3" t="s">
        <v>563</v>
      </c>
      <c r="C31162" s="16" t="n">
        <f aca="false">IF(C31129&gt;0,C31151,C31107)</f>
        <v>353.98125</v>
      </c>
    </row>
    <row r="31163" customFormat="false" ht="15" hidden="false" customHeight="false" outlineLevel="0" collapsed="false">
      <c r="A31163" s="3" t="s">
        <v>564</v>
      </c>
      <c r="C31163" s="16" t="n">
        <f aca="false">IF(C31130&gt;0,C31152,C31108)</f>
        <v>304.59375</v>
      </c>
    </row>
    <row r="31164" customFormat="false" ht="15" hidden="false" customHeight="false" outlineLevel="0" collapsed="false">
      <c r="A31164" s="3" t="s">
        <v>565</v>
      </c>
      <c r="C31164" s="16" t="n">
        <f aca="false">IF(C31131&gt;0,C31153,C31109)</f>
        <v>80.6263465</v>
      </c>
    </row>
    <row r="31165" customFormat="false" ht="15" hidden="false" customHeight="false" outlineLevel="0" collapsed="false">
      <c r="A31165" s="24" t="s">
        <v>571</v>
      </c>
      <c r="B31165" s="25"/>
      <c r="C31165" s="25"/>
      <c r="D31165" s="25"/>
      <c r="E31165" s="25"/>
      <c r="F31165" s="25"/>
      <c r="G31165" s="25"/>
      <c r="H31165" s="25"/>
      <c r="I31165" s="25"/>
      <c r="J31165" s="25"/>
      <c r="K31165" s="25"/>
    </row>
    <row r="31166" customFormat="false" ht="15" hidden="false" customHeight="false" outlineLevel="0" collapsed="false">
      <c r="A31166" s="3" t="s">
        <v>556</v>
      </c>
      <c r="C31166" s="21" t="n">
        <f aca="false">IF(C31122&gt;0,Assumptions!$C$17,C31111)</f>
        <v>99</v>
      </c>
    </row>
    <row r="31167" customFormat="false" ht="15" hidden="false" customHeight="false" outlineLevel="0" collapsed="false">
      <c r="A31167" s="3" t="s">
        <v>557</v>
      </c>
      <c r="C31167" s="21" t="n">
        <f aca="false">IF(C31123&gt;0,Assumptions!$C$17,C31112)</f>
        <v>99</v>
      </c>
    </row>
    <row r="31168" customFormat="false" ht="15" hidden="false" customHeight="false" outlineLevel="0" collapsed="false">
      <c r="A31168" s="3" t="s">
        <v>558</v>
      </c>
      <c r="C31168" s="21" t="n">
        <f aca="false">IF(C31124&gt;0,Assumptions!$C$17,C31113)</f>
        <v>99</v>
      </c>
    </row>
    <row r="31169" customFormat="false" ht="15" hidden="false" customHeight="false" outlineLevel="0" collapsed="false">
      <c r="A31169" s="3" t="s">
        <v>559</v>
      </c>
      <c r="C31169" s="21" t="n">
        <f aca="false">IF(C31125&gt;0,Assumptions!$C$17,C31114)</f>
        <v>2</v>
      </c>
    </row>
    <row r="31170" customFormat="false" ht="15" hidden="false" customHeight="false" outlineLevel="0" collapsed="false">
      <c r="A31170" s="3" t="s">
        <v>560</v>
      </c>
      <c r="C31170" s="21" t="n">
        <f aca="false">IF(C31126&gt;0,Assumptions!$C$17,C31115)</f>
        <v>2</v>
      </c>
    </row>
    <row r="31171" customFormat="false" ht="15" hidden="false" customHeight="false" outlineLevel="0" collapsed="false">
      <c r="A31171" s="3" t="s">
        <v>561</v>
      </c>
      <c r="C31171" s="21" t="n">
        <f aca="false">IF(C31127&gt;0,Assumptions!$C$17,C31116)</f>
        <v>2</v>
      </c>
    </row>
    <row r="31172" customFormat="false" ht="15" hidden="false" customHeight="false" outlineLevel="0" collapsed="false">
      <c r="A31172" s="3" t="s">
        <v>562</v>
      </c>
      <c r="C31172" s="21" t="n">
        <f aca="false">IF(C31128&gt;0,Assumptions!$C$17,C31117)</f>
        <v>2</v>
      </c>
    </row>
    <row r="31173" customFormat="false" ht="15" hidden="false" customHeight="false" outlineLevel="0" collapsed="false">
      <c r="A31173" s="3" t="s">
        <v>563</v>
      </c>
      <c r="C31173" s="21" t="n">
        <f aca="false">IF(C31129&gt;0,Assumptions!$C$17,C31118)</f>
        <v>2</v>
      </c>
    </row>
    <row r="31174" customFormat="false" ht="15" hidden="false" customHeight="false" outlineLevel="0" collapsed="false">
      <c r="A31174" s="3" t="s">
        <v>564</v>
      </c>
      <c r="C31174" s="21" t="n">
        <f aca="false">IF(C31130&gt;0,Assumptions!$C$17,C31119)</f>
        <v>2</v>
      </c>
    </row>
    <row r="31175" customFormat="false" ht="15" hidden="false" customHeight="false" outlineLevel="0" collapsed="false">
      <c r="A31175" s="3" t="s">
        <v>565</v>
      </c>
      <c r="C31175" s="21" t="n">
        <f aca="false">IF(C31131&gt;0,Assumptions!$C$17,C31120)</f>
        <v>3</v>
      </c>
    </row>
    <row r="31176" customFormat="false" ht="15" hidden="false" customHeight="false" outlineLevel="0" collapsed="false">
      <c r="A31176" s="24" t="s">
        <v>572</v>
      </c>
      <c r="B31176" s="25"/>
      <c r="C31176" s="25"/>
      <c r="D31176" s="25"/>
      <c r="E31176" s="25"/>
      <c r="F31176" s="25"/>
      <c r="G31176" s="25"/>
      <c r="H31176" s="25"/>
      <c r="I31176" s="25"/>
      <c r="J31176" s="25"/>
      <c r="K31176" s="25"/>
    </row>
    <row r="31177" customFormat="false" ht="15" hidden="false" customHeight="false" outlineLevel="0" collapsed="false">
      <c r="A31177" s="3" t="s">
        <v>556</v>
      </c>
      <c r="C31177" s="16" t="n">
        <f aca="false">SUMPRODUCT(($C$31166:$C$31175&lt;C31166)*$C$31155:$C$31164)</f>
        <v>2113.1107215</v>
      </c>
    </row>
    <row r="31178" customFormat="false" ht="15" hidden="false" customHeight="false" outlineLevel="0" collapsed="false">
      <c r="A31178" s="3" t="s">
        <v>557</v>
      </c>
      <c r="C31178" s="16" t="n">
        <f aca="false">SUMPRODUCT(($C$31166:$C$31175&lt;C31167)*$C$31155:$C$31164)</f>
        <v>2113.1107215</v>
      </c>
    </row>
    <row r="31179" customFormat="false" ht="15" hidden="false" customHeight="false" outlineLevel="0" collapsed="false">
      <c r="A31179" s="3" t="s">
        <v>558</v>
      </c>
      <c r="C31179" s="16" t="n">
        <f aca="false">SUMPRODUCT(($C$31166:$C$31175&lt;C31168)*$C$31155:$C$31164)</f>
        <v>2113.1107215</v>
      </c>
    </row>
    <row r="31180" customFormat="false" ht="15" hidden="false" customHeight="false" outlineLevel="0" collapsed="false">
      <c r="A31180" s="3" t="s">
        <v>559</v>
      </c>
      <c r="C31180" s="16" t="n">
        <f aca="false">SUMPRODUCT(($C$31166:$C$31175&lt;C31169)*$C$31155:$C$31164)</f>
        <v>0</v>
      </c>
    </row>
    <row r="31181" customFormat="false" ht="15" hidden="false" customHeight="false" outlineLevel="0" collapsed="false">
      <c r="A31181" s="3" t="s">
        <v>560</v>
      </c>
      <c r="C31181" s="16" t="n">
        <f aca="false">SUMPRODUCT(($C$31166:$C$31175&lt;C31170)*$C$31155:$C$31164)</f>
        <v>0</v>
      </c>
    </row>
    <row r="31182" customFormat="false" ht="15" hidden="false" customHeight="false" outlineLevel="0" collapsed="false">
      <c r="A31182" s="3" t="s">
        <v>561</v>
      </c>
      <c r="C31182" s="16" t="n">
        <f aca="false">SUMPRODUCT(($C$31166:$C$31175&lt;C31171)*$C$31155:$C$31164)</f>
        <v>0</v>
      </c>
    </row>
    <row r="31183" customFormat="false" ht="15" hidden="false" customHeight="false" outlineLevel="0" collapsed="false">
      <c r="A31183" s="3" t="s">
        <v>562</v>
      </c>
      <c r="C31183" s="16" t="n">
        <f aca="false">SUMPRODUCT(($C$31166:$C$31175&lt;C31172)*$C$31155:$C$31164)</f>
        <v>0</v>
      </c>
    </row>
    <row r="31184" customFormat="false" ht="15" hidden="false" customHeight="false" outlineLevel="0" collapsed="false">
      <c r="A31184" s="3" t="s">
        <v>563</v>
      </c>
      <c r="C31184" s="16" t="n">
        <f aca="false">SUMPRODUCT(($C$31166:$C$31175&lt;C31173)*$C$31155:$C$31164)</f>
        <v>0</v>
      </c>
    </row>
    <row r="31185" customFormat="false" ht="15" hidden="false" customHeight="false" outlineLevel="0" collapsed="false">
      <c r="A31185" s="3" t="s">
        <v>564</v>
      </c>
      <c r="C31185" s="16" t="n">
        <f aca="false">SUMPRODUCT(($C$31166:$C$31175&lt;C31174)*$C$31155:$C$31164)</f>
        <v>0</v>
      </c>
    </row>
    <row r="31186" customFormat="false" ht="15" hidden="false" customHeight="false" outlineLevel="0" collapsed="false">
      <c r="A31186" s="3" t="s">
        <v>565</v>
      </c>
      <c r="C31186" s="16" t="n">
        <f aca="false">SUMPRODUCT(($C$31166:$C$31175&lt;C31175)*$C$31155:$C$31164)</f>
        <v>2032.484375</v>
      </c>
    </row>
    <row r="31187" customFormat="false" ht="15" hidden="false" customHeight="false" outlineLevel="0" collapsed="false">
      <c r="A31187" s="24" t="s">
        <v>573</v>
      </c>
      <c r="B31187" s="25"/>
      <c r="C31187" s="25"/>
      <c r="D31187" s="25"/>
      <c r="E31187" s="25"/>
      <c r="F31187" s="25"/>
      <c r="G31187" s="25"/>
      <c r="H31187" s="25"/>
      <c r="I31187" s="25"/>
      <c r="J31187" s="25"/>
      <c r="K31187" s="25"/>
    </row>
    <row r="31188" customFormat="false" ht="15" hidden="false" customHeight="false" outlineLevel="0" collapsed="false">
      <c r="A31188" s="3" t="s">
        <v>556</v>
      </c>
      <c r="C31188" s="16" t="n">
        <f aca="false">SUMPRODUCT(($C$31166:$C$31175=C31166)*$C$31155:$C$31164)</f>
        <v>10.3312725768</v>
      </c>
    </row>
    <row r="31189" customFormat="false" ht="15" hidden="false" customHeight="false" outlineLevel="0" collapsed="false">
      <c r="A31189" s="3" t="s">
        <v>557</v>
      </c>
      <c r="C31189" s="16" t="n">
        <f aca="false">SUMPRODUCT(($C$31166:$C$31175=C31167)*$C$31155:$C$31164)</f>
        <v>10.3312725768</v>
      </c>
    </row>
    <row r="31190" customFormat="false" ht="15" hidden="false" customHeight="false" outlineLevel="0" collapsed="false">
      <c r="A31190" s="3" t="s">
        <v>558</v>
      </c>
      <c r="C31190" s="16" t="n">
        <f aca="false">SUMPRODUCT(($C$31166:$C$31175=C31168)*$C$31155:$C$31164)</f>
        <v>10.3312725768</v>
      </c>
    </row>
    <row r="31191" customFormat="false" ht="15" hidden="false" customHeight="false" outlineLevel="0" collapsed="false">
      <c r="A31191" s="3" t="s">
        <v>559</v>
      </c>
      <c r="C31191" s="16" t="n">
        <f aca="false">SUMPRODUCT(($C$31166:$C$31175=C31169)*$C$31155:$C$31164)</f>
        <v>2032.484375</v>
      </c>
    </row>
    <row r="31192" customFormat="false" ht="15" hidden="false" customHeight="false" outlineLevel="0" collapsed="false">
      <c r="A31192" s="3" t="s">
        <v>560</v>
      </c>
      <c r="C31192" s="16" t="n">
        <f aca="false">SUMPRODUCT(($C$31166:$C$31175=C31170)*$C$31155:$C$31164)</f>
        <v>2032.484375</v>
      </c>
    </row>
    <row r="31193" customFormat="false" ht="15" hidden="false" customHeight="false" outlineLevel="0" collapsed="false">
      <c r="A31193" s="3" t="s">
        <v>561</v>
      </c>
      <c r="C31193" s="16" t="n">
        <f aca="false">SUMPRODUCT(($C$31166:$C$31175=C31171)*$C$31155:$C$31164)</f>
        <v>2032.484375</v>
      </c>
    </row>
    <row r="31194" customFormat="false" ht="15" hidden="false" customHeight="false" outlineLevel="0" collapsed="false">
      <c r="A31194" s="3" t="s">
        <v>562</v>
      </c>
      <c r="C31194" s="16" t="n">
        <f aca="false">SUMPRODUCT(($C$31166:$C$31175=C31172)*$C$31155:$C$31164)</f>
        <v>2032.484375</v>
      </c>
    </row>
    <row r="31195" customFormat="false" ht="15" hidden="false" customHeight="false" outlineLevel="0" collapsed="false">
      <c r="A31195" s="3" t="s">
        <v>563</v>
      </c>
      <c r="C31195" s="16" t="n">
        <f aca="false">SUMPRODUCT(($C$31166:$C$31175=C31173)*$C$31155:$C$31164)</f>
        <v>2032.484375</v>
      </c>
    </row>
    <row r="31196" customFormat="false" ht="15" hidden="false" customHeight="false" outlineLevel="0" collapsed="false">
      <c r="A31196" s="3" t="s">
        <v>564</v>
      </c>
      <c r="C31196" s="16" t="n">
        <f aca="false">SUMPRODUCT(($C$31166:$C$31175=C31174)*$C$31155:$C$31164)</f>
        <v>2032.484375</v>
      </c>
    </row>
    <row r="31197" customFormat="false" ht="15" hidden="false" customHeight="false" outlineLevel="0" collapsed="false">
      <c r="A31197" s="3" t="s">
        <v>565</v>
      </c>
      <c r="C31197" s="16" t="n">
        <f aca="false">SUMPRODUCT(($C$31166:$C$31175=C31175)*$C$31155:$C$31164)</f>
        <v>80.6263465</v>
      </c>
    </row>
    <row r="31198" customFormat="false" ht="15" hidden="false" customHeight="false" outlineLevel="0" collapsed="false">
      <c r="A31198" s="24" t="s">
        <v>574</v>
      </c>
      <c r="B31198" s="25"/>
      <c r="C31198" s="25"/>
      <c r="D31198" s="25"/>
      <c r="E31198" s="25"/>
      <c r="F31198" s="25"/>
      <c r="G31198" s="25"/>
      <c r="H31198" s="25"/>
      <c r="I31198" s="25"/>
      <c r="J31198" s="25"/>
      <c r="K31198" s="25"/>
    </row>
    <row r="31199" customFormat="false" ht="15" hidden="false" customHeight="false" outlineLevel="0" collapsed="false">
      <c r="A31199" s="3" t="s">
        <v>556</v>
      </c>
      <c r="C31199" s="16" t="n">
        <f aca="false">IF(C31188=0,0,C31155/C31188*MAX(0,MIN(C31188,$C$31098-SUM($C$31133:$C$31142)-C31177)))</f>
        <v>0</v>
      </c>
    </row>
    <row r="31200" customFormat="false" ht="15" hidden="false" customHeight="false" outlineLevel="0" collapsed="false">
      <c r="A31200" s="3" t="s">
        <v>557</v>
      </c>
      <c r="C31200" s="16" t="n">
        <f aca="false">IF(C31189=0,0,C31156/C31189*MAX(0,MIN(C31189,$C$31098-SUM($C$31133:$C$31142)-C31178)))</f>
        <v>0</v>
      </c>
    </row>
    <row r="31201" customFormat="false" ht="15" hidden="false" customHeight="false" outlineLevel="0" collapsed="false">
      <c r="A31201" s="3" t="s">
        <v>558</v>
      </c>
      <c r="C31201" s="16" t="n">
        <f aca="false">IF(C31190=0,0,C31157/C31190*MAX(0,MIN(C31190,$C$31098-SUM($C$31133:$C$31142)-C31179)))</f>
        <v>0</v>
      </c>
    </row>
    <row r="31202" customFormat="false" ht="15" hidden="false" customHeight="false" outlineLevel="0" collapsed="false">
      <c r="A31202" s="3" t="s">
        <v>559</v>
      </c>
      <c r="C31202" s="16" t="n">
        <f aca="false">IF(C31191=0,0,C31158/C31191*MAX(0,MIN(C31191,$C$31098-SUM($C$31133:$C$31142)-C31180)))</f>
        <v>0</v>
      </c>
    </row>
    <row r="31203" customFormat="false" ht="15" hidden="false" customHeight="false" outlineLevel="0" collapsed="false">
      <c r="A31203" s="3" t="s">
        <v>560</v>
      </c>
      <c r="C31203" s="16" t="n">
        <f aca="false">IF(C31192=0,0,C31159/C31192*MAX(0,MIN(C31192,$C$31098-SUM($C$31133:$C$31142)-C31181)))</f>
        <v>454.44375</v>
      </c>
    </row>
    <row r="31204" customFormat="false" ht="15" hidden="false" customHeight="false" outlineLevel="0" collapsed="false">
      <c r="A31204" s="3" t="s">
        <v>561</v>
      </c>
      <c r="C31204" s="16" t="n">
        <f aca="false">IF(C31193=0,0,C31160/C31193*MAX(0,MIN(C31193,$C$31098-SUM($C$31133:$C$31142)-C31182)))</f>
        <v>357.2625</v>
      </c>
    </row>
    <row r="31205" customFormat="false" ht="15" hidden="false" customHeight="false" outlineLevel="0" collapsed="false">
      <c r="A31205" s="3" t="s">
        <v>562</v>
      </c>
      <c r="C31205" s="16" t="n">
        <f aca="false">IF(C31194=0,0,C31161/C31194*MAX(0,MIN(C31194,$C$31098-SUM($C$31133:$C$31142)-C31183)))</f>
        <v>562.203125</v>
      </c>
    </row>
    <row r="31206" customFormat="false" ht="15" hidden="false" customHeight="false" outlineLevel="0" collapsed="false">
      <c r="A31206" s="3" t="s">
        <v>563</v>
      </c>
      <c r="C31206" s="16" t="n">
        <f aca="false">IF(C31195=0,0,C31162/C31195*MAX(0,MIN(C31195,$C$31098-SUM($C$31133:$C$31142)-C31184)))</f>
        <v>353.98125</v>
      </c>
    </row>
    <row r="31207" customFormat="false" ht="15" hidden="false" customHeight="false" outlineLevel="0" collapsed="false">
      <c r="A31207" s="3" t="s">
        <v>564</v>
      </c>
      <c r="C31207" s="16" t="n">
        <f aca="false">IF(C31196=0,0,C31163/C31196*MAX(0,MIN(C31196,$C$31098-SUM($C$31133:$C$31142)-C31185)))</f>
        <v>304.59375</v>
      </c>
    </row>
    <row r="31208" customFormat="false" ht="15" hidden="false" customHeight="false" outlineLevel="0" collapsed="false">
      <c r="A31208" s="3" t="s">
        <v>565</v>
      </c>
      <c r="C31208" s="16" t="n">
        <f aca="false">IF(C31197=0,0,C31164/C31197*MAX(0,MIN(C31197,$C$31098-SUM($C$31133:$C$31142)-C31186)))</f>
        <v>2.95867227679992</v>
      </c>
    </row>
    <row r="31209" customFormat="false" ht="15" hidden="false" customHeight="false" outlineLevel="0" collapsed="false">
      <c r="A31209" s="24" t="s">
        <v>575</v>
      </c>
      <c r="B31209" s="25"/>
      <c r="C31209" s="25"/>
      <c r="D31209" s="25"/>
      <c r="E31209" s="25"/>
      <c r="F31209" s="25"/>
      <c r="G31209" s="25"/>
      <c r="H31209" s="25"/>
      <c r="I31209" s="25"/>
      <c r="J31209" s="25"/>
      <c r="K31209" s="25"/>
    </row>
    <row r="31210" customFormat="false" ht="15" hidden="false" customHeight="false" outlineLevel="0" collapsed="false">
      <c r="A31210" s="2" t="s">
        <v>556</v>
      </c>
      <c r="C31210" s="17" t="n">
        <f aca="false">C31133+C31199</f>
        <v>405.72</v>
      </c>
    </row>
    <row r="31211" customFormat="false" ht="15" hidden="false" customHeight="false" outlineLevel="0" collapsed="false">
      <c r="A31211" s="2" t="s">
        <v>557</v>
      </c>
      <c r="C31211" s="17" t="n">
        <f aca="false">C31134+C31200</f>
        <v>85.1568504864</v>
      </c>
    </row>
    <row r="31212" customFormat="false" ht="15" hidden="false" customHeight="false" outlineLevel="0" collapsed="false">
      <c r="A31212" s="2" t="s">
        <v>558</v>
      </c>
      <c r="C31212" s="17" t="n">
        <f aca="false">C31135+C31201</f>
        <v>54.1907230368</v>
      </c>
    </row>
    <row r="31213" customFormat="false" ht="15" hidden="false" customHeight="false" outlineLevel="0" collapsed="false">
      <c r="A31213" s="2" t="s">
        <v>559</v>
      </c>
      <c r="C31213" s="17" t="n">
        <f aca="false">C31136+C31202</f>
        <v>0</v>
      </c>
    </row>
    <row r="31214" customFormat="false" ht="15" hidden="false" customHeight="false" outlineLevel="0" collapsed="false">
      <c r="A31214" s="2" t="s">
        <v>560</v>
      </c>
      <c r="C31214" s="17" t="n">
        <f aca="false">C31137+C31203</f>
        <v>454.44375</v>
      </c>
    </row>
    <row r="31215" customFormat="false" ht="15" hidden="false" customHeight="false" outlineLevel="0" collapsed="false">
      <c r="A31215" s="2" t="s">
        <v>561</v>
      </c>
      <c r="C31215" s="17" t="n">
        <f aca="false">C31138+C31204</f>
        <v>357.2625</v>
      </c>
    </row>
    <row r="31216" customFormat="false" ht="15" hidden="false" customHeight="false" outlineLevel="0" collapsed="false">
      <c r="A31216" s="2" t="s">
        <v>562</v>
      </c>
      <c r="C31216" s="17" t="n">
        <f aca="false">C31139+C31205</f>
        <v>562.203125</v>
      </c>
    </row>
    <row r="31217" customFormat="false" ht="15" hidden="false" customHeight="false" outlineLevel="0" collapsed="false">
      <c r="A31217" s="2" t="s">
        <v>563</v>
      </c>
      <c r="C31217" s="17" t="n">
        <f aca="false">C31140+C31206</f>
        <v>353.98125</v>
      </c>
    </row>
    <row r="31218" customFormat="false" ht="15" hidden="false" customHeight="false" outlineLevel="0" collapsed="false">
      <c r="A31218" s="2" t="s">
        <v>564</v>
      </c>
      <c r="C31218" s="17" t="n">
        <f aca="false">C31141+C31207</f>
        <v>304.59375</v>
      </c>
    </row>
    <row r="31219" customFormat="false" ht="15" hidden="false" customHeight="false" outlineLevel="0" collapsed="false">
      <c r="A31219" s="2" t="s">
        <v>565</v>
      </c>
      <c r="C31219" s="17" t="n">
        <f aca="false">C31142+C31208</f>
        <v>2.95867227679992</v>
      </c>
    </row>
    <row r="31220" customFormat="false" ht="15" hidden="false" customHeight="false" outlineLevel="0" collapsed="false">
      <c r="A31220" s="24" t="s">
        <v>576</v>
      </c>
      <c r="B31220" s="25"/>
      <c r="C31220" s="25"/>
      <c r="D31220" s="25"/>
      <c r="E31220" s="25"/>
      <c r="F31220" s="25"/>
      <c r="G31220" s="25"/>
      <c r="H31220" s="25"/>
      <c r="I31220" s="25"/>
      <c r="J31220" s="25"/>
      <c r="K31220" s="25"/>
    </row>
    <row r="31221" customFormat="false" ht="15" hidden="false" customHeight="false" outlineLevel="0" collapsed="false">
      <c r="A31221" s="3" t="s">
        <v>556</v>
      </c>
      <c r="C31221" s="22" t="n">
        <f aca="false">IF(C31100=0,1,C31210/C31100)</f>
        <v>1</v>
      </c>
    </row>
    <row r="31222" customFormat="false" ht="15" hidden="false" customHeight="false" outlineLevel="0" collapsed="false">
      <c r="A31222" s="3" t="s">
        <v>557</v>
      </c>
      <c r="C31222" s="22" t="n">
        <f aca="false">IF(C31101=0,1,C31211/C31101)</f>
        <v>0.932640622583639</v>
      </c>
    </row>
    <row r="31223" customFormat="false" ht="15" hidden="false" customHeight="false" outlineLevel="0" collapsed="false">
      <c r="A31223" s="3" t="s">
        <v>558</v>
      </c>
      <c r="C31223" s="22" t="n">
        <f aca="false">IF(C31102=0,1,C31212/C31102)</f>
        <v>0.928374871640695</v>
      </c>
    </row>
    <row r="31224" customFormat="false" ht="15" hidden="false" customHeight="false" outlineLevel="0" collapsed="false">
      <c r="A31224" s="3" t="s">
        <v>559</v>
      </c>
      <c r="C31224" s="22" t="n">
        <f aca="false">IF(C31103=0,1,C31213/C31103)</f>
        <v>1</v>
      </c>
    </row>
    <row r="31225" customFormat="false" ht="15" hidden="false" customHeight="false" outlineLevel="0" collapsed="false">
      <c r="A31225" s="3" t="s">
        <v>560</v>
      </c>
      <c r="C31225" s="22" t="n">
        <f aca="false">IF(C31104=0,1,C31214/C31104)</f>
        <v>1</v>
      </c>
    </row>
    <row r="31226" customFormat="false" ht="15" hidden="false" customHeight="false" outlineLevel="0" collapsed="false">
      <c r="A31226" s="3" t="s">
        <v>561</v>
      </c>
      <c r="C31226" s="22" t="n">
        <f aca="false">IF(C31105=0,1,C31215/C31105)</f>
        <v>1</v>
      </c>
    </row>
    <row r="31227" customFormat="false" ht="15" hidden="false" customHeight="false" outlineLevel="0" collapsed="false">
      <c r="A31227" s="3" t="s">
        <v>562</v>
      </c>
      <c r="C31227" s="22" t="n">
        <f aca="false">IF(C31106=0,1,C31216/C31106)</f>
        <v>1</v>
      </c>
    </row>
    <row r="31228" customFormat="false" ht="15" hidden="false" customHeight="false" outlineLevel="0" collapsed="false">
      <c r="A31228" s="3" t="s">
        <v>563</v>
      </c>
      <c r="C31228" s="22" t="n">
        <f aca="false">IF(C31107=0,1,C31217/C31107)</f>
        <v>1</v>
      </c>
    </row>
    <row r="31229" customFormat="false" ht="15" hidden="false" customHeight="false" outlineLevel="0" collapsed="false">
      <c r="A31229" s="3" t="s">
        <v>564</v>
      </c>
      <c r="C31229" s="22" t="n">
        <f aca="false">IF(C31108=0,1,C31218/C31108)</f>
        <v>1</v>
      </c>
    </row>
    <row r="31230" customFormat="false" ht="15" hidden="false" customHeight="false" outlineLevel="0" collapsed="false">
      <c r="A31230" s="3" t="s">
        <v>565</v>
      </c>
      <c r="C31230" s="22" t="n">
        <f aca="false">IF(C31109=0,1,C31219/C31109)</f>
        <v>0.0366960975566457</v>
      </c>
    </row>
    <row r="31231" customFormat="false" ht="15" hidden="false" customHeight="false" outlineLevel="0" collapsed="false">
      <c r="A31231" s="24" t="s">
        <v>577</v>
      </c>
      <c r="B31231" s="25"/>
      <c r="C31231" s="25"/>
      <c r="D31231" s="25"/>
      <c r="E31231" s="25"/>
      <c r="F31231" s="25"/>
      <c r="G31231" s="25"/>
      <c r="H31231" s="25"/>
      <c r="I31231" s="25"/>
      <c r="J31231" s="25"/>
      <c r="K31231" s="25"/>
    </row>
    <row r="31232" customFormat="false" ht="15" hidden="false" customHeight="false" outlineLevel="0" collapsed="false">
      <c r="A31232" s="3" t="s">
        <v>556</v>
      </c>
      <c r="C31232" s="16" t="n">
        <f aca="false">C31100-C31210</f>
        <v>0</v>
      </c>
    </row>
    <row r="31233" customFormat="false" ht="15" hidden="false" customHeight="false" outlineLevel="0" collapsed="false">
      <c r="A31233" s="3" t="s">
        <v>557</v>
      </c>
      <c r="C31233" s="16" t="n">
        <f aca="false">C31101-C31211</f>
        <v>6.15039951360001</v>
      </c>
    </row>
    <row r="31234" customFormat="false" ht="15" hidden="false" customHeight="false" outlineLevel="0" collapsed="false">
      <c r="A31234" s="3" t="s">
        <v>558</v>
      </c>
      <c r="C31234" s="16" t="n">
        <f aca="false">C31102-C31212</f>
        <v>4.1808730632</v>
      </c>
    </row>
    <row r="31235" customFormat="false" ht="15" hidden="false" customHeight="false" outlineLevel="0" collapsed="false">
      <c r="A31235" s="3" t="s">
        <v>559</v>
      </c>
      <c r="C31235" s="16" t="n">
        <f aca="false">C31103-C31213</f>
        <v>0</v>
      </c>
    </row>
    <row r="31236" customFormat="false" ht="15" hidden="false" customHeight="false" outlineLevel="0" collapsed="false">
      <c r="A31236" s="3" t="s">
        <v>560</v>
      </c>
      <c r="C31236" s="16" t="n">
        <f aca="false">C31104-C31214</f>
        <v>0</v>
      </c>
    </row>
    <row r="31237" customFormat="false" ht="15" hidden="false" customHeight="false" outlineLevel="0" collapsed="false">
      <c r="A31237" s="3" t="s">
        <v>561</v>
      </c>
      <c r="C31237" s="16" t="n">
        <f aca="false">C31105-C31215</f>
        <v>0</v>
      </c>
    </row>
    <row r="31238" customFormat="false" ht="15" hidden="false" customHeight="false" outlineLevel="0" collapsed="false">
      <c r="A31238" s="3" t="s">
        <v>562</v>
      </c>
      <c r="C31238" s="16" t="n">
        <f aca="false">C31106-C31216</f>
        <v>0</v>
      </c>
    </row>
    <row r="31239" customFormat="false" ht="15" hidden="false" customHeight="false" outlineLevel="0" collapsed="false">
      <c r="A31239" s="3" t="s">
        <v>563</v>
      </c>
      <c r="C31239" s="16" t="n">
        <f aca="false">C31107-C31217</f>
        <v>0</v>
      </c>
    </row>
    <row r="31240" customFormat="false" ht="15" hidden="false" customHeight="false" outlineLevel="0" collapsed="false">
      <c r="A31240" s="3" t="s">
        <v>564</v>
      </c>
      <c r="C31240" s="16" t="n">
        <f aca="false">C31108-C31218</f>
        <v>0</v>
      </c>
    </row>
    <row r="31241" customFormat="false" ht="15" hidden="false" customHeight="false" outlineLevel="0" collapsed="false">
      <c r="A31241" s="3" t="s">
        <v>565</v>
      </c>
      <c r="C31241" s="16" t="n">
        <f aca="false">C31109-C31219</f>
        <v>77.6676742232001</v>
      </c>
    </row>
    <row r="31242" customFormat="false" ht="15" hidden="false" customHeight="false" outlineLevel="0" collapsed="false">
      <c r="A31242" s="24" t="s">
        <v>578</v>
      </c>
      <c r="B31242" s="25"/>
      <c r="C31242" s="25"/>
      <c r="D31242" s="25"/>
      <c r="E31242" s="25"/>
      <c r="F31242" s="25"/>
      <c r="G31242" s="25"/>
      <c r="H31242" s="25"/>
      <c r="I31242" s="25"/>
      <c r="J31242" s="25"/>
      <c r="K31242" s="25"/>
    </row>
    <row r="31243" customFormat="false" ht="15" hidden="false" customHeight="false" outlineLevel="0" collapsed="false">
      <c r="A31243" s="3" t="s">
        <v>556</v>
      </c>
      <c r="C31243" s="22" t="n">
        <f aca="false">IF(C31100=0,0,C31232/C31100)</f>
        <v>0</v>
      </c>
    </row>
    <row r="31244" customFormat="false" ht="15" hidden="false" customHeight="false" outlineLevel="0" collapsed="false">
      <c r="A31244" s="3" t="s">
        <v>557</v>
      </c>
      <c r="C31244" s="22" t="n">
        <f aca="false">IF(C31101=0,0,C31233/C31101)</f>
        <v>0.0673593774163608</v>
      </c>
    </row>
    <row r="31245" customFormat="false" ht="15" hidden="false" customHeight="false" outlineLevel="0" collapsed="false">
      <c r="A31245" s="3" t="s">
        <v>558</v>
      </c>
      <c r="C31245" s="22" t="n">
        <f aca="false">IF(C31102=0,0,C31234/C31102)</f>
        <v>0.0716251283593048</v>
      </c>
    </row>
    <row r="31246" customFormat="false" ht="15" hidden="false" customHeight="false" outlineLevel="0" collapsed="false">
      <c r="A31246" s="3" t="s">
        <v>559</v>
      </c>
      <c r="C31246" s="22" t="n">
        <f aca="false">IF(C31103=0,0,C31235/C31103)</f>
        <v>0</v>
      </c>
    </row>
    <row r="31247" customFormat="false" ht="15" hidden="false" customHeight="false" outlineLevel="0" collapsed="false">
      <c r="A31247" s="3" t="s">
        <v>560</v>
      </c>
      <c r="C31247" s="22" t="n">
        <f aca="false">IF(C31104=0,0,C31236/C31104)</f>
        <v>0</v>
      </c>
    </row>
    <row r="31248" customFormat="false" ht="15" hidden="false" customHeight="false" outlineLevel="0" collapsed="false">
      <c r="A31248" s="3" t="s">
        <v>561</v>
      </c>
      <c r="C31248" s="22" t="n">
        <f aca="false">IF(C31105=0,0,C31237/C31105)</f>
        <v>0</v>
      </c>
    </row>
    <row r="31249" customFormat="false" ht="15" hidden="false" customHeight="false" outlineLevel="0" collapsed="false">
      <c r="A31249" s="3" t="s">
        <v>562</v>
      </c>
      <c r="C31249" s="22" t="n">
        <f aca="false">IF(C31106=0,0,C31238/C31106)</f>
        <v>0</v>
      </c>
    </row>
    <row r="31250" customFormat="false" ht="15" hidden="false" customHeight="false" outlineLevel="0" collapsed="false">
      <c r="A31250" s="3" t="s">
        <v>563</v>
      </c>
      <c r="C31250" s="22" t="n">
        <f aca="false">IF(C31107=0,0,C31239/C31107)</f>
        <v>0</v>
      </c>
    </row>
    <row r="31251" customFormat="false" ht="15" hidden="false" customHeight="false" outlineLevel="0" collapsed="false">
      <c r="A31251" s="3" t="s">
        <v>564</v>
      </c>
      <c r="C31251" s="22" t="n">
        <f aca="false">IF(C31108=0,0,C31240/C31108)</f>
        <v>0</v>
      </c>
    </row>
    <row r="31252" customFormat="false" ht="15" hidden="false" customHeight="false" outlineLevel="0" collapsed="false">
      <c r="A31252" s="3" t="s">
        <v>565</v>
      </c>
      <c r="C31252" s="22" t="n">
        <f aca="false">IF(C31109=0,0,C31241/C31109)</f>
        <v>0.963303902443354</v>
      </c>
    </row>
    <row r="31253" customFormat="false" ht="15" hidden="false" customHeight="false" outlineLevel="0" collapsed="false">
      <c r="A31253" s="2" t="s">
        <v>579</v>
      </c>
      <c r="C31253" s="17" t="n">
        <f aca="false">MAX(0,$C$31098-SUM($C$31133:$C$31142)-SUM($C$31155:$C$31164))</f>
        <v>0</v>
      </c>
    </row>
    <row r="31254" customFormat="false" ht="15" hidden="false" customHeight="false" outlineLevel="0" collapsed="false">
      <c r="A31254" s="3" t="s">
        <v>580</v>
      </c>
      <c r="C31254" s="16" t="n">
        <f aca="false">SUM($C$31210:$C$31219)+C31253+C31097-C31096</f>
        <v>0</v>
      </c>
    </row>
    <row r="31256" customFormat="false" ht="15" hidden="false" customHeight="false" outlineLevel="0" collapsed="false">
      <c r="A31256" s="24" t="s">
        <v>583</v>
      </c>
      <c r="B31256" s="25"/>
      <c r="C31256" s="25"/>
      <c r="D31256" s="25"/>
      <c r="E31256" s="25"/>
      <c r="F31256" s="25"/>
      <c r="G31256" s="25"/>
      <c r="H31256" s="25"/>
      <c r="I31256" s="25"/>
      <c r="J31256" s="25"/>
      <c r="K31256" s="25"/>
    </row>
    <row r="31257" customFormat="false" ht="15" hidden="false" customHeight="false" outlineLevel="0" collapsed="false">
      <c r="A31257" s="3" t="s">
        <v>584</v>
      </c>
      <c r="C31257" s="27" t="n">
        <f aca="false">Assumptions!$C$34</f>
        <v>1</v>
      </c>
    </row>
    <row r="31258" customFormat="false" ht="15" hidden="false" customHeight="false" outlineLevel="0" collapsed="false">
      <c r="A31258" s="3" t="s">
        <v>585</v>
      </c>
      <c r="C31258" s="29" t="n">
        <f aca="false">Assumptions!$C$35</f>
        <v>100</v>
      </c>
    </row>
    <row r="31259" customFormat="false" ht="15" hidden="false" customHeight="false" outlineLevel="0" collapsed="false">
      <c r="A31259" s="3" t="s">
        <v>586</v>
      </c>
      <c r="C31259" s="40" t="n">
        <f aca="false">Assumptions!$C$36</f>
        <v>98</v>
      </c>
    </row>
    <row r="31260" customFormat="false" ht="15" hidden="false" customHeight="false" outlineLevel="0" collapsed="false">
      <c r="A31260" s="3" t="s">
        <v>587</v>
      </c>
      <c r="C31260" s="16" t="n">
        <f aca="false">C31258*C31259/100*(1+Assumptions!$C$37)</f>
        <v>98.49</v>
      </c>
    </row>
    <row r="31261" customFormat="false" ht="15" hidden="false" customHeight="false" outlineLevel="0" collapsed="false">
      <c r="A31261" s="3" t="s">
        <v>588</v>
      </c>
      <c r="C31261" s="27" t="n">
        <f aca="false">Assumptions!$C$38</f>
        <v>3</v>
      </c>
    </row>
    <row r="31262" customFormat="false" ht="15" hidden="false" customHeight="false" outlineLevel="0" collapsed="false">
      <c r="A31262" s="3" t="s">
        <v>589</v>
      </c>
      <c r="C31262" s="21" t="n">
        <f aca="false">IF(C31089=1,SUMPRODUCT($G$31025:$K$31025,$G$30799:$K$30799),0)</f>
        <v>2</v>
      </c>
    </row>
    <row r="31263" customFormat="false" ht="15" hidden="false" customHeight="false" outlineLevel="0" collapsed="false">
      <c r="A31263" s="3" t="s">
        <v>590</v>
      </c>
      <c r="C31263" s="22" t="n">
        <f aca="false">IFERROR(C31258/CHOOSE(C31257,SUMPRODUCT($G$31088:$K$31088,$G$30845:$K$30845),SUMPRODUCT($G$31088:$K$31088,$G$30858:$K$30858),SUMPRODUCT($G$31088:$K$31088,$G$30871:$K$30871),SUMPRODUCT($G$31088:$K$31088,$G$30884:$K$30884),SUMPRODUCT($G$31088:$K$31088,$G$30897:$K$30897),SUMPRODUCT($G$31088:$K$31088,$G$30910:$K$30910),SUMPRODUCT($G$31088:$K$31088,$G$30923:$K$30923),SUMPRODUCT($G$31088:$K$31088,$G$30936:$K$30936),SUMPRODUCT($G$31088:$K$31088,$G$30949:$K$30949),SUMPRODUCT($G$31088:$K$31088,$G$30962:$K$30962)),0)</f>
        <v>0.255102040816327</v>
      </c>
    </row>
    <row r="31264" customFormat="false" ht="15" hidden="false" customHeight="false" outlineLevel="0" collapsed="false">
      <c r="A31264" s="3" t="s">
        <v>591</v>
      </c>
      <c r="C31264" s="16" t="n">
        <f aca="false">CHOOSE(C31257,C31210,C31211,C31212,C31213,C31214,C31215,C31216,C31217,C31218,C31219)*C31263</f>
        <v>103.5</v>
      </c>
    </row>
    <row r="31265" customFormat="false" ht="15" hidden="false" customHeight="false" outlineLevel="0" collapsed="false">
      <c r="A31265" s="3" t="s">
        <v>592</v>
      </c>
      <c r="C31265" s="22" t="n">
        <f aca="false">CHOOSE(C31257,C31221,C31222,C31223,C31224,C31225,C31226,C31227,C31228,C31229,C31230)</f>
        <v>1</v>
      </c>
    </row>
    <row r="31266" customFormat="false" ht="15" hidden="false" customHeight="false" outlineLevel="0" collapsed="false">
      <c r="A31266" s="3" t="s">
        <v>593</v>
      </c>
      <c r="C31266" s="21" t="n">
        <f aca="false">IF(C31089=1,C31262,C31261)</f>
        <v>2</v>
      </c>
    </row>
    <row r="31267" customFormat="false" ht="15" hidden="false" customHeight="false" outlineLevel="0" collapsed="false">
      <c r="A31267" s="3" t="s">
        <v>594</v>
      </c>
      <c r="C31267" s="35" t="n">
        <f aca="false">CHOOSE($C$30791,Assumptions!$C$91,Assumptions!$C$110,Assumptions!$C$129)</f>
        <v>85</v>
      </c>
    </row>
    <row r="31268" customFormat="false" ht="15" hidden="false" customHeight="false" outlineLevel="0" collapsed="false">
      <c r="A31268" s="3" t="s">
        <v>595</v>
      </c>
      <c r="C31268" s="16" t="n">
        <f aca="false">INDEX($G$30808:$K$30808,C31261)*CHOOSE($C$30791,Assumptions!$C$90,Assumptions!$C$109,Assumptions!$C$128)+MAX(0,INDEX($G$31022:$K$31022,C31261))</f>
        <v>1633.40082545963</v>
      </c>
    </row>
    <row r="31269" customFormat="false" ht="15" hidden="false" customHeight="false" outlineLevel="0" collapsed="false">
      <c r="A31269" s="24" t="s">
        <v>596</v>
      </c>
      <c r="B31269" s="25"/>
      <c r="C31269" s="25"/>
      <c r="D31269" s="25"/>
      <c r="E31269" s="25"/>
      <c r="F31269" s="25"/>
      <c r="G31269" s="25"/>
      <c r="H31269" s="25"/>
      <c r="I31269" s="25"/>
      <c r="J31269" s="25"/>
      <c r="K31269" s="25"/>
    </row>
    <row r="31270" customFormat="false" ht="15" hidden="false" customHeight="false" outlineLevel="0" collapsed="false">
      <c r="A31270" s="3" t="s">
        <v>556</v>
      </c>
      <c r="C31270" s="16" t="n">
        <f aca="false">INDEX($G$30845:$K$30845,C31261)</f>
        <v>388</v>
      </c>
    </row>
    <row r="31271" customFormat="false" ht="15" hidden="false" customHeight="false" outlineLevel="0" collapsed="false">
      <c r="A31271" s="3" t="s">
        <v>557</v>
      </c>
      <c r="C31271" s="16" t="n">
        <f aca="false">INDEX($G$30858:$K$30858,C31261)</f>
        <v>90</v>
      </c>
    </row>
    <row r="31272" customFormat="false" ht="15" hidden="false" customHeight="false" outlineLevel="0" collapsed="false">
      <c r="A31272" s="3" t="s">
        <v>558</v>
      </c>
      <c r="C31272" s="16" t="n">
        <f aca="false">INDEX($G$30871:$K$30871,C31261)</f>
        <v>57.324</v>
      </c>
    </row>
    <row r="31273" customFormat="false" ht="15" hidden="false" customHeight="false" outlineLevel="0" collapsed="false">
      <c r="A31273" s="3" t="s">
        <v>559</v>
      </c>
      <c r="C31273" s="16" t="n">
        <f aca="false">INDEX($G$30884:$K$30884,C31261)</f>
        <v>0</v>
      </c>
    </row>
    <row r="31274" customFormat="false" ht="15" hidden="false" customHeight="false" outlineLevel="0" collapsed="false">
      <c r="A31274" s="3" t="s">
        <v>560</v>
      </c>
      <c r="C31274" s="16" t="n">
        <f aca="false">INDEX($G$30897:$K$30897,C31261)</f>
        <v>450</v>
      </c>
    </row>
    <row r="31275" customFormat="false" ht="15" hidden="false" customHeight="false" outlineLevel="0" collapsed="false">
      <c r="A31275" s="3" t="s">
        <v>561</v>
      </c>
      <c r="C31275" s="16" t="n">
        <f aca="false">INDEX($G$30910:$K$30910,C31261)</f>
        <v>350</v>
      </c>
    </row>
    <row r="31276" customFormat="false" ht="15" hidden="false" customHeight="false" outlineLevel="0" collapsed="false">
      <c r="A31276" s="3" t="s">
        <v>562</v>
      </c>
      <c r="C31276" s="16" t="n">
        <f aca="false">INDEX($G$30923:$K$30923,C31261)</f>
        <v>550</v>
      </c>
    </row>
    <row r="31277" customFormat="false" ht="15" hidden="false" customHeight="false" outlineLevel="0" collapsed="false">
      <c r="A31277" s="3" t="s">
        <v>563</v>
      </c>
      <c r="C31277" s="16" t="n">
        <f aca="false">INDEX($G$30936:$K$30936,C31261)</f>
        <v>350</v>
      </c>
    </row>
    <row r="31278" customFormat="false" ht="15" hidden="false" customHeight="false" outlineLevel="0" collapsed="false">
      <c r="A31278" s="3" t="s">
        <v>564</v>
      </c>
      <c r="C31278" s="16" t="n">
        <f aca="false">INDEX($G$30949:$K$30949,C31261)</f>
        <v>300</v>
      </c>
    </row>
    <row r="31279" customFormat="false" ht="15" hidden="false" customHeight="false" outlineLevel="0" collapsed="false">
      <c r="A31279" s="3" t="s">
        <v>565</v>
      </c>
      <c r="C31279" s="16" t="n">
        <f aca="false">INDEX($G$30962:$K$30962,C31261)</f>
        <v>78.61</v>
      </c>
    </row>
    <row r="31280" customFormat="false" ht="15" hidden="false" customHeight="false" outlineLevel="0" collapsed="false">
      <c r="A31280" s="24" t="s">
        <v>566</v>
      </c>
      <c r="B31280" s="25"/>
      <c r="C31280" s="25"/>
      <c r="D31280" s="25"/>
      <c r="E31280" s="25"/>
      <c r="F31280" s="25"/>
      <c r="G31280" s="25"/>
      <c r="H31280" s="25"/>
      <c r="I31280" s="25"/>
      <c r="J31280" s="25"/>
      <c r="K31280" s="25"/>
    </row>
    <row r="31281" customFormat="false" ht="15" hidden="false" customHeight="false" outlineLevel="0" collapsed="false">
      <c r="A31281" s="3" t="s">
        <v>556</v>
      </c>
      <c r="C31281" s="27" t="n">
        <f aca="false">Assumptions!$M$57</f>
        <v>1</v>
      </c>
    </row>
    <row r="31282" customFormat="false" ht="15" hidden="false" customHeight="false" outlineLevel="0" collapsed="false">
      <c r="A31282" s="3" t="s">
        <v>557</v>
      </c>
      <c r="C31282" s="27" t="n">
        <f aca="false">Assumptions!$M$58</f>
        <v>1</v>
      </c>
    </row>
    <row r="31283" customFormat="false" ht="15" hidden="false" customHeight="false" outlineLevel="0" collapsed="false">
      <c r="A31283" s="3" t="s">
        <v>558</v>
      </c>
      <c r="C31283" s="27" t="n">
        <f aca="false">Assumptions!$M$59</f>
        <v>1</v>
      </c>
    </row>
    <row r="31284" customFormat="false" ht="15" hidden="false" customHeight="false" outlineLevel="0" collapsed="false">
      <c r="A31284" s="3" t="s">
        <v>559</v>
      </c>
      <c r="C31284" s="27" t="n">
        <f aca="false">Assumptions!$M$60</f>
        <v>2</v>
      </c>
    </row>
    <row r="31285" customFormat="false" ht="15" hidden="false" customHeight="false" outlineLevel="0" collapsed="false">
      <c r="A31285" s="3" t="s">
        <v>560</v>
      </c>
      <c r="C31285" s="27" t="n">
        <f aca="false">Assumptions!$M$61</f>
        <v>2</v>
      </c>
    </row>
    <row r="31286" customFormat="false" ht="15" hidden="false" customHeight="false" outlineLevel="0" collapsed="false">
      <c r="A31286" s="3" t="s">
        <v>561</v>
      </c>
      <c r="C31286" s="27" t="n">
        <f aca="false">Assumptions!$M$62</f>
        <v>2</v>
      </c>
    </row>
    <row r="31287" customFormat="false" ht="15" hidden="false" customHeight="false" outlineLevel="0" collapsed="false">
      <c r="A31287" s="3" t="s">
        <v>562</v>
      </c>
      <c r="C31287" s="27" t="n">
        <f aca="false">Assumptions!$M$63</f>
        <v>2</v>
      </c>
    </row>
    <row r="31288" customFormat="false" ht="15" hidden="false" customHeight="false" outlineLevel="0" collapsed="false">
      <c r="A31288" s="3" t="s">
        <v>563</v>
      </c>
      <c r="C31288" s="27" t="n">
        <f aca="false">Assumptions!$M$64</f>
        <v>2</v>
      </c>
    </row>
    <row r="31289" customFormat="false" ht="15" hidden="false" customHeight="false" outlineLevel="0" collapsed="false">
      <c r="A31289" s="3" t="s">
        <v>564</v>
      </c>
      <c r="C31289" s="27" t="n">
        <f aca="false">Assumptions!$M$65</f>
        <v>2</v>
      </c>
    </row>
    <row r="31290" customFormat="false" ht="15" hidden="false" customHeight="false" outlineLevel="0" collapsed="false">
      <c r="A31290" s="3" t="s">
        <v>565</v>
      </c>
      <c r="C31290" s="27" t="n">
        <f aca="false">Assumptions!$M$66</f>
        <v>3</v>
      </c>
    </row>
    <row r="31291" customFormat="false" ht="15" hidden="false" customHeight="false" outlineLevel="0" collapsed="false">
      <c r="A31291" s="24" t="s">
        <v>567</v>
      </c>
      <c r="B31291" s="25"/>
      <c r="C31291" s="25"/>
      <c r="D31291" s="25"/>
      <c r="E31291" s="25"/>
      <c r="F31291" s="25"/>
      <c r="G31291" s="25"/>
      <c r="H31291" s="25"/>
      <c r="I31291" s="25"/>
      <c r="J31291" s="25"/>
      <c r="K31291" s="25"/>
    </row>
    <row r="31292" customFormat="false" ht="15" hidden="false" customHeight="false" outlineLevel="0" collapsed="false">
      <c r="A31292" s="3" t="s">
        <v>556</v>
      </c>
      <c r="C31292" s="33" t="n">
        <f aca="false">Assumptions!$Q$57</f>
        <v>0.3</v>
      </c>
    </row>
    <row r="31293" customFormat="false" ht="15" hidden="false" customHeight="false" outlineLevel="0" collapsed="false">
      <c r="A31293" s="3" t="s">
        <v>557</v>
      </c>
      <c r="C31293" s="33" t="n">
        <f aca="false">Assumptions!$Q$58</f>
        <v>0.033</v>
      </c>
    </row>
    <row r="31294" customFormat="false" ht="15" hidden="false" customHeight="false" outlineLevel="0" collapsed="false">
      <c r="A31294" s="3" t="s">
        <v>558</v>
      </c>
      <c r="C31294" s="33" t="n">
        <f aca="false">Assumptions!$Q$59</f>
        <v>0.021</v>
      </c>
    </row>
    <row r="31295" customFormat="false" ht="15" hidden="false" customHeight="false" outlineLevel="0" collapsed="false">
      <c r="A31295" s="3" t="s">
        <v>559</v>
      </c>
      <c r="C31295" s="33" t="n">
        <f aca="false">Assumptions!$Q$60</f>
        <v>0</v>
      </c>
    </row>
    <row r="31296" customFormat="false" ht="15" hidden="false" customHeight="false" outlineLevel="0" collapsed="false">
      <c r="A31296" s="3" t="s">
        <v>560</v>
      </c>
      <c r="C31296" s="33" t="n">
        <f aca="false">Assumptions!$Q$61</f>
        <v>0</v>
      </c>
    </row>
    <row r="31297" customFormat="false" ht="15" hidden="false" customHeight="false" outlineLevel="0" collapsed="false">
      <c r="A31297" s="3" t="s">
        <v>561</v>
      </c>
      <c r="C31297" s="33" t="n">
        <f aca="false">Assumptions!$Q$62</f>
        <v>0</v>
      </c>
    </row>
    <row r="31298" customFormat="false" ht="15" hidden="false" customHeight="false" outlineLevel="0" collapsed="false">
      <c r="A31298" s="3" t="s">
        <v>562</v>
      </c>
      <c r="C31298" s="33" t="n">
        <f aca="false">Assumptions!$Q$63</f>
        <v>0</v>
      </c>
    </row>
    <row r="31299" customFormat="false" ht="15" hidden="false" customHeight="false" outlineLevel="0" collapsed="false">
      <c r="A31299" s="3" t="s">
        <v>563</v>
      </c>
      <c r="C31299" s="33" t="n">
        <f aca="false">Assumptions!$Q$64</f>
        <v>0</v>
      </c>
    </row>
    <row r="31300" customFormat="false" ht="15" hidden="false" customHeight="false" outlineLevel="0" collapsed="false">
      <c r="A31300" s="3" t="s">
        <v>564</v>
      </c>
      <c r="C31300" s="33" t="n">
        <f aca="false">Assumptions!$Q$65</f>
        <v>0</v>
      </c>
    </row>
    <row r="31301" customFormat="false" ht="15" hidden="false" customHeight="false" outlineLevel="0" collapsed="false">
      <c r="A31301" s="3" t="s">
        <v>565</v>
      </c>
      <c r="C31301" s="33" t="n">
        <f aca="false">Assumptions!$Q$66</f>
        <v>0</v>
      </c>
    </row>
    <row r="31302" customFormat="false" ht="15" hidden="false" customHeight="false" outlineLevel="0" collapsed="false">
      <c r="A31302" s="24" t="s">
        <v>568</v>
      </c>
      <c r="B31302" s="25"/>
      <c r="C31302" s="25"/>
      <c r="D31302" s="25"/>
      <c r="E31302" s="25"/>
      <c r="F31302" s="25"/>
      <c r="G31302" s="25"/>
      <c r="H31302" s="25"/>
      <c r="I31302" s="25"/>
      <c r="J31302" s="25"/>
      <c r="K31302" s="25"/>
    </row>
    <row r="31303" customFormat="false" ht="15" hidden="false" customHeight="false" outlineLevel="0" collapsed="false">
      <c r="A31303" s="3" t="s">
        <v>556</v>
      </c>
      <c r="C31303" s="16" t="n">
        <f aca="false">IF(C31292&gt;0,MIN(C31270,C31292*$C$31268),0)</f>
        <v>388</v>
      </c>
    </row>
    <row r="31304" customFormat="false" ht="15" hidden="false" customHeight="false" outlineLevel="0" collapsed="false">
      <c r="A31304" s="3" t="s">
        <v>557</v>
      </c>
      <c r="C31304" s="16" t="n">
        <f aca="false">IF(C31293&gt;0,MIN(C31271,C31293*$C$31268),0)</f>
        <v>53.9022272401676</v>
      </c>
    </row>
    <row r="31305" customFormat="false" ht="15" hidden="false" customHeight="false" outlineLevel="0" collapsed="false">
      <c r="A31305" s="3" t="s">
        <v>558</v>
      </c>
      <c r="C31305" s="16" t="n">
        <f aca="false">IF(C31294&gt;0,MIN(C31272,C31294*$C$31268),0)</f>
        <v>34.3014173346521</v>
      </c>
    </row>
    <row r="31306" customFormat="false" ht="15" hidden="false" customHeight="false" outlineLevel="0" collapsed="false">
      <c r="A31306" s="3" t="s">
        <v>559</v>
      </c>
      <c r="C31306" s="16" t="n">
        <f aca="false">IF(C31295&gt;0,MIN(C31273,C31295*$C$31268),0)</f>
        <v>0</v>
      </c>
    </row>
    <row r="31307" customFormat="false" ht="15" hidden="false" customHeight="false" outlineLevel="0" collapsed="false">
      <c r="A31307" s="3" t="s">
        <v>560</v>
      </c>
      <c r="C31307" s="16" t="n">
        <f aca="false">IF(C31296&gt;0,MIN(C31274,C31296*$C$31268),0)</f>
        <v>0</v>
      </c>
    </row>
    <row r="31308" customFormat="false" ht="15" hidden="false" customHeight="false" outlineLevel="0" collapsed="false">
      <c r="A31308" s="3" t="s">
        <v>561</v>
      </c>
      <c r="C31308" s="16" t="n">
        <f aca="false">IF(C31297&gt;0,MIN(C31275,C31297*$C$31268),0)</f>
        <v>0</v>
      </c>
    </row>
    <row r="31309" customFormat="false" ht="15" hidden="false" customHeight="false" outlineLevel="0" collapsed="false">
      <c r="A31309" s="3" t="s">
        <v>562</v>
      </c>
      <c r="C31309" s="16" t="n">
        <f aca="false">IF(C31298&gt;0,MIN(C31276,C31298*$C$31268),0)</f>
        <v>0</v>
      </c>
    </row>
    <row r="31310" customFormat="false" ht="15" hidden="false" customHeight="false" outlineLevel="0" collapsed="false">
      <c r="A31310" s="3" t="s">
        <v>563</v>
      </c>
      <c r="C31310" s="16" t="n">
        <f aca="false">IF(C31299&gt;0,MIN(C31277,C31299*$C$31268),0)</f>
        <v>0</v>
      </c>
    </row>
    <row r="31311" customFormat="false" ht="15" hidden="false" customHeight="false" outlineLevel="0" collapsed="false">
      <c r="A31311" s="3" t="s">
        <v>564</v>
      </c>
      <c r="C31311" s="16" t="n">
        <f aca="false">IF(C31300&gt;0,MIN(C31278,C31300*$C$31268),0)</f>
        <v>0</v>
      </c>
    </row>
    <row r="31312" customFormat="false" ht="15" hidden="false" customHeight="false" outlineLevel="0" collapsed="false">
      <c r="A31312" s="3" t="s">
        <v>565</v>
      </c>
      <c r="C31312" s="16" t="n">
        <f aca="false">IF(C31301&gt;0,MIN(C31279,C31301*$C$31268),0)</f>
        <v>0</v>
      </c>
    </row>
    <row r="31313" customFormat="false" ht="15" hidden="false" customHeight="false" outlineLevel="0" collapsed="false">
      <c r="A31313" s="24" t="s">
        <v>569</v>
      </c>
      <c r="B31313" s="25"/>
      <c r="C31313" s="25"/>
      <c r="D31313" s="25"/>
      <c r="E31313" s="25"/>
      <c r="F31313" s="25"/>
      <c r="G31313" s="25"/>
      <c r="H31313" s="25"/>
      <c r="I31313" s="25"/>
      <c r="J31313" s="25"/>
      <c r="K31313" s="25"/>
    </row>
    <row r="31314" customFormat="false" ht="15" hidden="false" customHeight="false" outlineLevel="0" collapsed="false">
      <c r="A31314" s="3" t="s">
        <v>556</v>
      </c>
      <c r="C31314" s="16" t="n">
        <f aca="false">IF(C31292&gt;0,C31270-C31303,0)</f>
        <v>0</v>
      </c>
    </row>
    <row r="31315" customFormat="false" ht="15" hidden="false" customHeight="false" outlineLevel="0" collapsed="false">
      <c r="A31315" s="3" t="s">
        <v>557</v>
      </c>
      <c r="C31315" s="16" t="n">
        <f aca="false">IF(C31293&gt;0,C31271-C31304,0)</f>
        <v>36.0977727598324</v>
      </c>
    </row>
    <row r="31316" customFormat="false" ht="15" hidden="false" customHeight="false" outlineLevel="0" collapsed="false">
      <c r="A31316" s="3" t="s">
        <v>558</v>
      </c>
      <c r="C31316" s="16" t="n">
        <f aca="false">IF(C31294&gt;0,C31272-C31305,0)</f>
        <v>23.0225826653479</v>
      </c>
    </row>
    <row r="31317" customFormat="false" ht="15" hidden="false" customHeight="false" outlineLevel="0" collapsed="false">
      <c r="A31317" s="3" t="s">
        <v>559</v>
      </c>
      <c r="C31317" s="16" t="n">
        <f aca="false">IF(C31295&gt;0,C31273-C31306,0)</f>
        <v>0</v>
      </c>
    </row>
    <row r="31318" customFormat="false" ht="15" hidden="false" customHeight="false" outlineLevel="0" collapsed="false">
      <c r="A31318" s="3" t="s">
        <v>560</v>
      </c>
      <c r="C31318" s="16" t="n">
        <f aca="false">IF(C31296&gt;0,C31274-C31307,0)</f>
        <v>0</v>
      </c>
    </row>
    <row r="31319" customFormat="false" ht="15" hidden="false" customHeight="false" outlineLevel="0" collapsed="false">
      <c r="A31319" s="3" t="s">
        <v>561</v>
      </c>
      <c r="C31319" s="16" t="n">
        <f aca="false">IF(C31297&gt;0,C31275-C31308,0)</f>
        <v>0</v>
      </c>
    </row>
    <row r="31320" customFormat="false" ht="15" hidden="false" customHeight="false" outlineLevel="0" collapsed="false">
      <c r="A31320" s="3" t="s">
        <v>562</v>
      </c>
      <c r="C31320" s="16" t="n">
        <f aca="false">IF(C31298&gt;0,C31276-C31309,0)</f>
        <v>0</v>
      </c>
    </row>
    <row r="31321" customFormat="false" ht="15" hidden="false" customHeight="false" outlineLevel="0" collapsed="false">
      <c r="A31321" s="3" t="s">
        <v>563</v>
      </c>
      <c r="C31321" s="16" t="n">
        <f aca="false">IF(C31299&gt;0,C31277-C31310,0)</f>
        <v>0</v>
      </c>
    </row>
    <row r="31322" customFormat="false" ht="15" hidden="false" customHeight="false" outlineLevel="0" collapsed="false">
      <c r="A31322" s="3" t="s">
        <v>564</v>
      </c>
      <c r="C31322" s="16" t="n">
        <f aca="false">IF(C31300&gt;0,C31278-C31311,0)</f>
        <v>0</v>
      </c>
    </row>
    <row r="31323" customFormat="false" ht="15" hidden="false" customHeight="false" outlineLevel="0" collapsed="false">
      <c r="A31323" s="3" t="s">
        <v>565</v>
      </c>
      <c r="C31323" s="16" t="n">
        <f aca="false">IF(C31301&gt;0,C31279-C31312,0)</f>
        <v>0</v>
      </c>
    </row>
    <row r="31324" customFormat="false" ht="15" hidden="false" customHeight="false" outlineLevel="0" collapsed="false">
      <c r="A31324" s="24" t="s">
        <v>570</v>
      </c>
      <c r="B31324" s="25"/>
      <c r="C31324" s="25"/>
      <c r="D31324" s="25"/>
      <c r="E31324" s="25"/>
      <c r="F31324" s="25"/>
      <c r="G31324" s="25"/>
      <c r="H31324" s="25"/>
      <c r="I31324" s="25"/>
      <c r="J31324" s="25"/>
      <c r="K31324" s="25"/>
    </row>
    <row r="31325" customFormat="false" ht="15" hidden="false" customHeight="false" outlineLevel="0" collapsed="false">
      <c r="A31325" s="3" t="s">
        <v>556</v>
      </c>
      <c r="C31325" s="16" t="n">
        <f aca="false">IF(C31292&gt;0,C31314,C31270)</f>
        <v>0</v>
      </c>
    </row>
    <row r="31326" customFormat="false" ht="15" hidden="false" customHeight="false" outlineLevel="0" collapsed="false">
      <c r="A31326" s="3" t="s">
        <v>557</v>
      </c>
      <c r="C31326" s="16" t="n">
        <f aca="false">IF(C31293&gt;0,C31315,C31271)</f>
        <v>36.0977727598324</v>
      </c>
    </row>
    <row r="31327" customFormat="false" ht="15" hidden="false" customHeight="false" outlineLevel="0" collapsed="false">
      <c r="A31327" s="3" t="s">
        <v>558</v>
      </c>
      <c r="C31327" s="16" t="n">
        <f aca="false">IF(C31294&gt;0,C31316,C31272)</f>
        <v>23.0225826653479</v>
      </c>
    </row>
    <row r="31328" customFormat="false" ht="15" hidden="false" customHeight="false" outlineLevel="0" collapsed="false">
      <c r="A31328" s="3" t="s">
        <v>559</v>
      </c>
      <c r="C31328" s="16" t="n">
        <f aca="false">IF(C31295&gt;0,C31317,C31273)</f>
        <v>0</v>
      </c>
    </row>
    <row r="31329" customFormat="false" ht="15" hidden="false" customHeight="false" outlineLevel="0" collapsed="false">
      <c r="A31329" s="3" t="s">
        <v>560</v>
      </c>
      <c r="C31329" s="16" t="n">
        <f aca="false">IF(C31296&gt;0,C31318,C31274)</f>
        <v>450</v>
      </c>
    </row>
    <row r="31330" customFormat="false" ht="15" hidden="false" customHeight="false" outlineLevel="0" collapsed="false">
      <c r="A31330" s="3" t="s">
        <v>561</v>
      </c>
      <c r="C31330" s="16" t="n">
        <f aca="false">IF(C31297&gt;0,C31319,C31275)</f>
        <v>350</v>
      </c>
    </row>
    <row r="31331" customFormat="false" ht="15" hidden="false" customHeight="false" outlineLevel="0" collapsed="false">
      <c r="A31331" s="3" t="s">
        <v>562</v>
      </c>
      <c r="C31331" s="16" t="n">
        <f aca="false">IF(C31298&gt;0,C31320,C31276)</f>
        <v>550</v>
      </c>
    </row>
    <row r="31332" customFormat="false" ht="15" hidden="false" customHeight="false" outlineLevel="0" collapsed="false">
      <c r="A31332" s="3" t="s">
        <v>563</v>
      </c>
      <c r="C31332" s="16" t="n">
        <f aca="false">IF(C31299&gt;0,C31321,C31277)</f>
        <v>350</v>
      </c>
    </row>
    <row r="31333" customFormat="false" ht="15" hidden="false" customHeight="false" outlineLevel="0" collapsed="false">
      <c r="A31333" s="3" t="s">
        <v>564</v>
      </c>
      <c r="C31333" s="16" t="n">
        <f aca="false">IF(C31300&gt;0,C31322,C31278)</f>
        <v>300</v>
      </c>
    </row>
    <row r="31334" customFormat="false" ht="15" hidden="false" customHeight="false" outlineLevel="0" collapsed="false">
      <c r="A31334" s="3" t="s">
        <v>565</v>
      </c>
      <c r="C31334" s="16" t="n">
        <f aca="false">IF(C31301&gt;0,C31323,C31279)</f>
        <v>78.61</v>
      </c>
    </row>
    <row r="31335" customFormat="false" ht="15" hidden="false" customHeight="false" outlineLevel="0" collapsed="false">
      <c r="A31335" s="24" t="s">
        <v>571</v>
      </c>
      <c r="B31335" s="25"/>
      <c r="C31335" s="25"/>
      <c r="D31335" s="25"/>
      <c r="E31335" s="25"/>
      <c r="F31335" s="25"/>
      <c r="G31335" s="25"/>
      <c r="H31335" s="25"/>
      <c r="I31335" s="25"/>
      <c r="J31335" s="25"/>
      <c r="K31335" s="25"/>
    </row>
    <row r="31336" customFormat="false" ht="15" hidden="false" customHeight="false" outlineLevel="0" collapsed="false">
      <c r="A31336" s="3" t="s">
        <v>556</v>
      </c>
      <c r="C31336" s="21" t="n">
        <f aca="false">IF(C31292&gt;0,Assumptions!$C$17,C31281)</f>
        <v>99</v>
      </c>
    </row>
    <row r="31337" customFormat="false" ht="15" hidden="false" customHeight="false" outlineLevel="0" collapsed="false">
      <c r="A31337" s="3" t="s">
        <v>557</v>
      </c>
      <c r="C31337" s="21" t="n">
        <f aca="false">IF(C31293&gt;0,Assumptions!$C$17,C31282)</f>
        <v>99</v>
      </c>
    </row>
    <row r="31338" customFormat="false" ht="15" hidden="false" customHeight="false" outlineLevel="0" collapsed="false">
      <c r="A31338" s="3" t="s">
        <v>558</v>
      </c>
      <c r="C31338" s="21" t="n">
        <f aca="false">IF(C31294&gt;0,Assumptions!$C$17,C31283)</f>
        <v>99</v>
      </c>
    </row>
    <row r="31339" customFormat="false" ht="15" hidden="false" customHeight="false" outlineLevel="0" collapsed="false">
      <c r="A31339" s="3" t="s">
        <v>559</v>
      </c>
      <c r="C31339" s="21" t="n">
        <f aca="false">IF(C31295&gt;0,Assumptions!$C$17,C31284)</f>
        <v>2</v>
      </c>
    </row>
    <row r="31340" customFormat="false" ht="15" hidden="false" customHeight="false" outlineLevel="0" collapsed="false">
      <c r="A31340" s="3" t="s">
        <v>560</v>
      </c>
      <c r="C31340" s="21" t="n">
        <f aca="false">IF(C31296&gt;0,Assumptions!$C$17,C31285)</f>
        <v>2</v>
      </c>
    </row>
    <row r="31341" customFormat="false" ht="15" hidden="false" customHeight="false" outlineLevel="0" collapsed="false">
      <c r="A31341" s="3" t="s">
        <v>561</v>
      </c>
      <c r="C31341" s="21" t="n">
        <f aca="false">IF(C31297&gt;0,Assumptions!$C$17,C31286)</f>
        <v>2</v>
      </c>
    </row>
    <row r="31342" customFormat="false" ht="15" hidden="false" customHeight="false" outlineLevel="0" collapsed="false">
      <c r="A31342" s="3" t="s">
        <v>562</v>
      </c>
      <c r="C31342" s="21" t="n">
        <f aca="false">IF(C31298&gt;0,Assumptions!$C$17,C31287)</f>
        <v>2</v>
      </c>
    </row>
    <row r="31343" customFormat="false" ht="15" hidden="false" customHeight="false" outlineLevel="0" collapsed="false">
      <c r="A31343" s="3" t="s">
        <v>563</v>
      </c>
      <c r="C31343" s="21" t="n">
        <f aca="false">IF(C31299&gt;0,Assumptions!$C$17,C31288)</f>
        <v>2</v>
      </c>
    </row>
    <row r="31344" customFormat="false" ht="15" hidden="false" customHeight="false" outlineLevel="0" collapsed="false">
      <c r="A31344" s="3" t="s">
        <v>564</v>
      </c>
      <c r="C31344" s="21" t="n">
        <f aca="false">IF(C31300&gt;0,Assumptions!$C$17,C31289)</f>
        <v>2</v>
      </c>
    </row>
    <row r="31345" customFormat="false" ht="15" hidden="false" customHeight="false" outlineLevel="0" collapsed="false">
      <c r="A31345" s="3" t="s">
        <v>565</v>
      </c>
      <c r="C31345" s="21" t="n">
        <f aca="false">IF(C31301&gt;0,Assumptions!$C$17,C31290)</f>
        <v>3</v>
      </c>
    </row>
    <row r="31346" customFormat="false" ht="15" hidden="false" customHeight="false" outlineLevel="0" collapsed="false">
      <c r="A31346" s="24" t="s">
        <v>572</v>
      </c>
      <c r="B31346" s="25"/>
      <c r="C31346" s="25"/>
      <c r="D31346" s="25"/>
      <c r="E31346" s="25"/>
      <c r="F31346" s="25"/>
      <c r="G31346" s="25"/>
      <c r="H31346" s="25"/>
      <c r="I31346" s="25"/>
      <c r="J31346" s="25"/>
      <c r="K31346" s="25"/>
    </row>
    <row r="31347" customFormat="false" ht="15" hidden="false" customHeight="false" outlineLevel="0" collapsed="false">
      <c r="A31347" s="3" t="s">
        <v>556</v>
      </c>
      <c r="C31347" s="16" t="n">
        <f aca="false">SUMPRODUCT(($C$31336:$C$31345&lt;C31336)*$C$31325:$C$31334)</f>
        <v>2078.61</v>
      </c>
    </row>
    <row r="31348" customFormat="false" ht="15" hidden="false" customHeight="false" outlineLevel="0" collapsed="false">
      <c r="A31348" s="3" t="s">
        <v>557</v>
      </c>
      <c r="C31348" s="16" t="n">
        <f aca="false">SUMPRODUCT(($C$31336:$C$31345&lt;C31337)*$C$31325:$C$31334)</f>
        <v>2078.61</v>
      </c>
    </row>
    <row r="31349" customFormat="false" ht="15" hidden="false" customHeight="false" outlineLevel="0" collapsed="false">
      <c r="A31349" s="3" t="s">
        <v>558</v>
      </c>
      <c r="C31349" s="16" t="n">
        <f aca="false">SUMPRODUCT(($C$31336:$C$31345&lt;C31338)*$C$31325:$C$31334)</f>
        <v>2078.61</v>
      </c>
    </row>
    <row r="31350" customFormat="false" ht="15" hidden="false" customHeight="false" outlineLevel="0" collapsed="false">
      <c r="A31350" s="3" t="s">
        <v>559</v>
      </c>
      <c r="C31350" s="16" t="n">
        <f aca="false">SUMPRODUCT(($C$31336:$C$31345&lt;C31339)*$C$31325:$C$31334)</f>
        <v>0</v>
      </c>
    </row>
    <row r="31351" customFormat="false" ht="15" hidden="false" customHeight="false" outlineLevel="0" collapsed="false">
      <c r="A31351" s="3" t="s">
        <v>560</v>
      </c>
      <c r="C31351" s="16" t="n">
        <f aca="false">SUMPRODUCT(($C$31336:$C$31345&lt;C31340)*$C$31325:$C$31334)</f>
        <v>0</v>
      </c>
    </row>
    <row r="31352" customFormat="false" ht="15" hidden="false" customHeight="false" outlineLevel="0" collapsed="false">
      <c r="A31352" s="3" t="s">
        <v>561</v>
      </c>
      <c r="C31352" s="16" t="n">
        <f aca="false">SUMPRODUCT(($C$31336:$C$31345&lt;C31341)*$C$31325:$C$31334)</f>
        <v>0</v>
      </c>
    </row>
    <row r="31353" customFormat="false" ht="15" hidden="false" customHeight="false" outlineLevel="0" collapsed="false">
      <c r="A31353" s="3" t="s">
        <v>562</v>
      </c>
      <c r="C31353" s="16" t="n">
        <f aca="false">SUMPRODUCT(($C$31336:$C$31345&lt;C31342)*$C$31325:$C$31334)</f>
        <v>0</v>
      </c>
    </row>
    <row r="31354" customFormat="false" ht="15" hidden="false" customHeight="false" outlineLevel="0" collapsed="false">
      <c r="A31354" s="3" t="s">
        <v>563</v>
      </c>
      <c r="C31354" s="16" t="n">
        <f aca="false">SUMPRODUCT(($C$31336:$C$31345&lt;C31343)*$C$31325:$C$31334)</f>
        <v>0</v>
      </c>
    </row>
    <row r="31355" customFormat="false" ht="15" hidden="false" customHeight="false" outlineLevel="0" collapsed="false">
      <c r="A31355" s="3" t="s">
        <v>564</v>
      </c>
      <c r="C31355" s="16" t="n">
        <f aca="false">SUMPRODUCT(($C$31336:$C$31345&lt;C31344)*$C$31325:$C$31334)</f>
        <v>0</v>
      </c>
    </row>
    <row r="31356" customFormat="false" ht="15" hidden="false" customHeight="false" outlineLevel="0" collapsed="false">
      <c r="A31356" s="3" t="s">
        <v>565</v>
      </c>
      <c r="C31356" s="16" t="n">
        <f aca="false">SUMPRODUCT(($C$31336:$C$31345&lt;C31345)*$C$31325:$C$31334)</f>
        <v>2000</v>
      </c>
    </row>
    <row r="31357" customFormat="false" ht="15" hidden="false" customHeight="false" outlineLevel="0" collapsed="false">
      <c r="A31357" s="24" t="s">
        <v>573</v>
      </c>
      <c r="B31357" s="25"/>
      <c r="C31357" s="25"/>
      <c r="D31357" s="25"/>
      <c r="E31357" s="25"/>
      <c r="F31357" s="25"/>
      <c r="G31357" s="25"/>
      <c r="H31357" s="25"/>
      <c r="I31357" s="25"/>
      <c r="J31357" s="25"/>
      <c r="K31357" s="25"/>
    </row>
    <row r="31358" customFormat="false" ht="15" hidden="false" customHeight="false" outlineLevel="0" collapsed="false">
      <c r="A31358" s="3" t="s">
        <v>556</v>
      </c>
      <c r="C31358" s="16" t="n">
        <f aca="false">SUMPRODUCT(($C$31336:$C$31345=C31336)*$C$31325:$C$31334)</f>
        <v>59.1203554251802</v>
      </c>
    </row>
    <row r="31359" customFormat="false" ht="15" hidden="false" customHeight="false" outlineLevel="0" collapsed="false">
      <c r="A31359" s="3" t="s">
        <v>557</v>
      </c>
      <c r="C31359" s="16" t="n">
        <f aca="false">SUMPRODUCT(($C$31336:$C$31345=C31337)*$C$31325:$C$31334)</f>
        <v>59.1203554251802</v>
      </c>
    </row>
    <row r="31360" customFormat="false" ht="15" hidden="false" customHeight="false" outlineLevel="0" collapsed="false">
      <c r="A31360" s="3" t="s">
        <v>558</v>
      </c>
      <c r="C31360" s="16" t="n">
        <f aca="false">SUMPRODUCT(($C$31336:$C$31345=C31338)*$C$31325:$C$31334)</f>
        <v>59.1203554251802</v>
      </c>
    </row>
    <row r="31361" customFormat="false" ht="15" hidden="false" customHeight="false" outlineLevel="0" collapsed="false">
      <c r="A31361" s="3" t="s">
        <v>559</v>
      </c>
      <c r="C31361" s="16" t="n">
        <f aca="false">SUMPRODUCT(($C$31336:$C$31345=C31339)*$C$31325:$C$31334)</f>
        <v>2000</v>
      </c>
    </row>
    <row r="31362" customFormat="false" ht="15" hidden="false" customHeight="false" outlineLevel="0" collapsed="false">
      <c r="A31362" s="3" t="s">
        <v>560</v>
      </c>
      <c r="C31362" s="16" t="n">
        <f aca="false">SUMPRODUCT(($C$31336:$C$31345=C31340)*$C$31325:$C$31334)</f>
        <v>2000</v>
      </c>
    </row>
    <row r="31363" customFormat="false" ht="15" hidden="false" customHeight="false" outlineLevel="0" collapsed="false">
      <c r="A31363" s="3" t="s">
        <v>561</v>
      </c>
      <c r="C31363" s="16" t="n">
        <f aca="false">SUMPRODUCT(($C$31336:$C$31345=C31341)*$C$31325:$C$31334)</f>
        <v>2000</v>
      </c>
    </row>
    <row r="31364" customFormat="false" ht="15" hidden="false" customHeight="false" outlineLevel="0" collapsed="false">
      <c r="A31364" s="3" t="s">
        <v>562</v>
      </c>
      <c r="C31364" s="16" t="n">
        <f aca="false">SUMPRODUCT(($C$31336:$C$31345=C31342)*$C$31325:$C$31334)</f>
        <v>2000</v>
      </c>
    </row>
    <row r="31365" customFormat="false" ht="15" hidden="false" customHeight="false" outlineLevel="0" collapsed="false">
      <c r="A31365" s="3" t="s">
        <v>563</v>
      </c>
      <c r="C31365" s="16" t="n">
        <f aca="false">SUMPRODUCT(($C$31336:$C$31345=C31343)*$C$31325:$C$31334)</f>
        <v>2000</v>
      </c>
    </row>
    <row r="31366" customFormat="false" ht="15" hidden="false" customHeight="false" outlineLevel="0" collapsed="false">
      <c r="A31366" s="3" t="s">
        <v>564</v>
      </c>
      <c r="C31366" s="16" t="n">
        <f aca="false">SUMPRODUCT(($C$31336:$C$31345=C31344)*$C$31325:$C$31334)</f>
        <v>2000</v>
      </c>
    </row>
    <row r="31367" customFormat="false" ht="15" hidden="false" customHeight="false" outlineLevel="0" collapsed="false">
      <c r="A31367" s="3" t="s">
        <v>565</v>
      </c>
      <c r="C31367" s="16" t="n">
        <f aca="false">SUMPRODUCT(($C$31336:$C$31345=C31345)*$C$31325:$C$31334)</f>
        <v>78.61</v>
      </c>
    </row>
    <row r="31368" customFormat="false" ht="15" hidden="false" customHeight="false" outlineLevel="0" collapsed="false">
      <c r="A31368" s="24" t="s">
        <v>574</v>
      </c>
      <c r="B31368" s="25"/>
      <c r="C31368" s="25"/>
      <c r="D31368" s="25"/>
      <c r="E31368" s="25"/>
      <c r="F31368" s="25"/>
      <c r="G31368" s="25"/>
      <c r="H31368" s="25"/>
      <c r="I31368" s="25"/>
      <c r="J31368" s="25"/>
      <c r="K31368" s="25"/>
    </row>
    <row r="31369" customFormat="false" ht="15" hidden="false" customHeight="false" outlineLevel="0" collapsed="false">
      <c r="A31369" s="3" t="s">
        <v>556</v>
      </c>
      <c r="C31369" s="16" t="n">
        <f aca="false">IF(C31358=0,0,C31325/C31358*MAX(0,MIN(C31358,$C$31268-SUM($C$31303:$C$31312)-C31347)))</f>
        <v>0</v>
      </c>
    </row>
    <row r="31370" customFormat="false" ht="15" hidden="false" customHeight="false" outlineLevel="0" collapsed="false">
      <c r="A31370" s="3" t="s">
        <v>557</v>
      </c>
      <c r="C31370" s="16" t="n">
        <f aca="false">IF(C31359=0,0,C31326/C31359*MAX(0,MIN(C31359,$C$31268-SUM($C$31303:$C$31312)-C31348)))</f>
        <v>0</v>
      </c>
    </row>
    <row r="31371" customFormat="false" ht="15" hidden="false" customHeight="false" outlineLevel="0" collapsed="false">
      <c r="A31371" s="3" t="s">
        <v>558</v>
      </c>
      <c r="C31371" s="16" t="n">
        <f aca="false">IF(C31360=0,0,C31327/C31360*MAX(0,MIN(C31360,$C$31268-SUM($C$31303:$C$31312)-C31349)))</f>
        <v>0</v>
      </c>
    </row>
    <row r="31372" customFormat="false" ht="15" hidden="false" customHeight="false" outlineLevel="0" collapsed="false">
      <c r="A31372" s="3" t="s">
        <v>559</v>
      </c>
      <c r="C31372" s="16" t="n">
        <f aca="false">IF(C31361=0,0,C31328/C31361*MAX(0,MIN(C31361,$C$31268-SUM($C$31303:$C$31312)-C31350)))</f>
        <v>0</v>
      </c>
    </row>
    <row r="31373" customFormat="false" ht="15" hidden="false" customHeight="false" outlineLevel="0" collapsed="false">
      <c r="A31373" s="3" t="s">
        <v>560</v>
      </c>
      <c r="C31373" s="16" t="n">
        <f aca="false">IF(C31362=0,0,C31329/C31362*MAX(0,MIN(C31362,$C$31268-SUM($C$31303:$C$31312)-C31351)))</f>
        <v>260.369365699081</v>
      </c>
    </row>
    <row r="31374" customFormat="false" ht="15" hidden="false" customHeight="false" outlineLevel="0" collapsed="false">
      <c r="A31374" s="3" t="s">
        <v>561</v>
      </c>
      <c r="C31374" s="16" t="n">
        <f aca="false">IF(C31363=0,0,C31330/C31363*MAX(0,MIN(C31363,$C$31268-SUM($C$31303:$C$31312)-C31352)))</f>
        <v>202.509506654841</v>
      </c>
    </row>
    <row r="31375" customFormat="false" ht="15" hidden="false" customHeight="false" outlineLevel="0" collapsed="false">
      <c r="A31375" s="3" t="s">
        <v>562</v>
      </c>
      <c r="C31375" s="16" t="n">
        <f aca="false">IF(C31364=0,0,C31331/C31364*MAX(0,MIN(C31364,$C$31268-SUM($C$31303:$C$31312)-C31353)))</f>
        <v>318.229224743322</v>
      </c>
    </row>
    <row r="31376" customFormat="false" ht="15" hidden="false" customHeight="false" outlineLevel="0" collapsed="false">
      <c r="A31376" s="3" t="s">
        <v>563</v>
      </c>
      <c r="C31376" s="16" t="n">
        <f aca="false">IF(C31365=0,0,C31332/C31365*MAX(0,MIN(C31365,$C$31268-SUM($C$31303:$C$31312)-C31354)))</f>
        <v>202.509506654841</v>
      </c>
    </row>
    <row r="31377" customFormat="false" ht="15" hidden="false" customHeight="false" outlineLevel="0" collapsed="false">
      <c r="A31377" s="3" t="s">
        <v>564</v>
      </c>
      <c r="C31377" s="16" t="n">
        <f aca="false">IF(C31366=0,0,C31333/C31366*MAX(0,MIN(C31366,$C$31268-SUM($C$31303:$C$31312)-C31355)))</f>
        <v>173.579577132721</v>
      </c>
    </row>
    <row r="31378" customFormat="false" ht="15" hidden="false" customHeight="false" outlineLevel="0" collapsed="false">
      <c r="A31378" s="3" t="s">
        <v>565</v>
      </c>
      <c r="C31378" s="16" t="n">
        <f aca="false">IF(C31367=0,0,C31334/C31367*MAX(0,MIN(C31367,$C$31268-SUM($C$31303:$C$31312)-C31356)))</f>
        <v>0</v>
      </c>
    </row>
    <row r="31379" customFormat="false" ht="15" hidden="false" customHeight="false" outlineLevel="0" collapsed="false">
      <c r="A31379" s="24" t="s">
        <v>575</v>
      </c>
      <c r="B31379" s="25"/>
      <c r="C31379" s="25"/>
      <c r="D31379" s="25"/>
      <c r="E31379" s="25"/>
      <c r="F31379" s="25"/>
      <c r="G31379" s="25"/>
      <c r="H31379" s="25"/>
      <c r="I31379" s="25"/>
      <c r="J31379" s="25"/>
      <c r="K31379" s="25"/>
    </row>
    <row r="31380" customFormat="false" ht="15" hidden="false" customHeight="false" outlineLevel="0" collapsed="false">
      <c r="A31380" s="2" t="s">
        <v>556</v>
      </c>
      <c r="C31380" s="17" t="n">
        <f aca="false">C31303+C31369</f>
        <v>388</v>
      </c>
    </row>
    <row r="31381" customFormat="false" ht="15" hidden="false" customHeight="false" outlineLevel="0" collapsed="false">
      <c r="A31381" s="2" t="s">
        <v>557</v>
      </c>
      <c r="C31381" s="17" t="n">
        <f aca="false">C31304+C31370</f>
        <v>53.9022272401676</v>
      </c>
    </row>
    <row r="31382" customFormat="false" ht="15" hidden="false" customHeight="false" outlineLevel="0" collapsed="false">
      <c r="A31382" s="2" t="s">
        <v>558</v>
      </c>
      <c r="C31382" s="17" t="n">
        <f aca="false">C31305+C31371</f>
        <v>34.3014173346521</v>
      </c>
    </row>
    <row r="31383" customFormat="false" ht="15" hidden="false" customHeight="false" outlineLevel="0" collapsed="false">
      <c r="A31383" s="2" t="s">
        <v>559</v>
      </c>
      <c r="C31383" s="17" t="n">
        <f aca="false">C31306+C31372</f>
        <v>0</v>
      </c>
    </row>
    <row r="31384" customFormat="false" ht="15" hidden="false" customHeight="false" outlineLevel="0" collapsed="false">
      <c r="A31384" s="2" t="s">
        <v>560</v>
      </c>
      <c r="C31384" s="17" t="n">
        <f aca="false">C31307+C31373</f>
        <v>260.369365699081</v>
      </c>
    </row>
    <row r="31385" customFormat="false" ht="15" hidden="false" customHeight="false" outlineLevel="0" collapsed="false">
      <c r="A31385" s="2" t="s">
        <v>561</v>
      </c>
      <c r="C31385" s="17" t="n">
        <f aca="false">C31308+C31374</f>
        <v>202.509506654841</v>
      </c>
    </row>
    <row r="31386" customFormat="false" ht="15" hidden="false" customHeight="false" outlineLevel="0" collapsed="false">
      <c r="A31386" s="2" t="s">
        <v>562</v>
      </c>
      <c r="C31386" s="17" t="n">
        <f aca="false">C31309+C31375</f>
        <v>318.229224743322</v>
      </c>
    </row>
    <row r="31387" customFormat="false" ht="15" hidden="false" customHeight="false" outlineLevel="0" collapsed="false">
      <c r="A31387" s="2" t="s">
        <v>563</v>
      </c>
      <c r="C31387" s="17" t="n">
        <f aca="false">C31310+C31376</f>
        <v>202.509506654841</v>
      </c>
    </row>
    <row r="31388" customFormat="false" ht="15" hidden="false" customHeight="false" outlineLevel="0" collapsed="false">
      <c r="A31388" s="2" t="s">
        <v>564</v>
      </c>
      <c r="C31388" s="17" t="n">
        <f aca="false">C31311+C31377</f>
        <v>173.579577132721</v>
      </c>
    </row>
    <row r="31389" customFormat="false" ht="15" hidden="false" customHeight="false" outlineLevel="0" collapsed="false">
      <c r="A31389" s="2" t="s">
        <v>565</v>
      </c>
      <c r="C31389" s="17" t="n">
        <f aca="false">C31312+C31378</f>
        <v>0</v>
      </c>
    </row>
    <row r="31390" customFormat="false" ht="15" hidden="false" customHeight="false" outlineLevel="0" collapsed="false">
      <c r="A31390" s="24" t="s">
        <v>576</v>
      </c>
      <c r="B31390" s="25"/>
      <c r="C31390" s="25"/>
      <c r="D31390" s="25"/>
      <c r="E31390" s="25"/>
      <c r="F31390" s="25"/>
      <c r="G31390" s="25"/>
      <c r="H31390" s="25"/>
      <c r="I31390" s="25"/>
      <c r="J31390" s="25"/>
      <c r="K31390" s="25"/>
    </row>
    <row r="31391" customFormat="false" ht="15" hidden="false" customHeight="false" outlineLevel="0" collapsed="false">
      <c r="A31391" s="3" t="s">
        <v>556</v>
      </c>
      <c r="C31391" s="22" t="n">
        <f aca="false">IF(C31270=0,1,C31380/C31270)</f>
        <v>1</v>
      </c>
    </row>
    <row r="31392" customFormat="false" ht="15" hidden="false" customHeight="false" outlineLevel="0" collapsed="false">
      <c r="A31392" s="3" t="s">
        <v>557</v>
      </c>
      <c r="C31392" s="22" t="n">
        <f aca="false">IF(C31271=0,1,C31381/C31271)</f>
        <v>0.598913636001863</v>
      </c>
    </row>
    <row r="31393" customFormat="false" ht="15" hidden="false" customHeight="false" outlineLevel="0" collapsed="false">
      <c r="A31393" s="3" t="s">
        <v>558</v>
      </c>
      <c r="C31393" s="22" t="n">
        <f aca="false">IF(C31272=0,1,C31382/C31272)</f>
        <v>0.598377945269907</v>
      </c>
    </row>
    <row r="31394" customFormat="false" ht="15" hidden="false" customHeight="false" outlineLevel="0" collapsed="false">
      <c r="A31394" s="3" t="s">
        <v>559</v>
      </c>
      <c r="C31394" s="22" t="n">
        <f aca="false">IF(C31273=0,1,C31383/C31273)</f>
        <v>1</v>
      </c>
    </row>
    <row r="31395" customFormat="false" ht="15" hidden="false" customHeight="false" outlineLevel="0" collapsed="false">
      <c r="A31395" s="3" t="s">
        <v>560</v>
      </c>
      <c r="C31395" s="22" t="n">
        <f aca="false">IF(C31274=0,1,C31384/C31274)</f>
        <v>0.578598590442403</v>
      </c>
    </row>
    <row r="31396" customFormat="false" ht="15" hidden="false" customHeight="false" outlineLevel="0" collapsed="false">
      <c r="A31396" s="3" t="s">
        <v>561</v>
      </c>
      <c r="C31396" s="22" t="n">
        <f aca="false">IF(C31275=0,1,C31385/C31275)</f>
        <v>0.578598590442403</v>
      </c>
    </row>
    <row r="31397" customFormat="false" ht="15" hidden="false" customHeight="false" outlineLevel="0" collapsed="false">
      <c r="A31397" s="3" t="s">
        <v>562</v>
      </c>
      <c r="C31397" s="22" t="n">
        <f aca="false">IF(C31276=0,1,C31386/C31276)</f>
        <v>0.578598590442403</v>
      </c>
    </row>
    <row r="31398" customFormat="false" ht="15" hidden="false" customHeight="false" outlineLevel="0" collapsed="false">
      <c r="A31398" s="3" t="s">
        <v>563</v>
      </c>
      <c r="C31398" s="22" t="n">
        <f aca="false">IF(C31277=0,1,C31387/C31277)</f>
        <v>0.578598590442403</v>
      </c>
    </row>
    <row r="31399" customFormat="false" ht="15" hidden="false" customHeight="false" outlineLevel="0" collapsed="false">
      <c r="A31399" s="3" t="s">
        <v>564</v>
      </c>
      <c r="C31399" s="22" t="n">
        <f aca="false">IF(C31278=0,1,C31388/C31278)</f>
        <v>0.578598590442403</v>
      </c>
    </row>
    <row r="31400" customFormat="false" ht="15" hidden="false" customHeight="false" outlineLevel="0" collapsed="false">
      <c r="A31400" s="3" t="s">
        <v>565</v>
      </c>
      <c r="C31400" s="22" t="n">
        <f aca="false">IF(C31279=0,1,C31389/C31279)</f>
        <v>0</v>
      </c>
    </row>
    <row r="31401" customFormat="false" ht="15" hidden="false" customHeight="false" outlineLevel="0" collapsed="false">
      <c r="A31401" s="24" t="s">
        <v>577</v>
      </c>
      <c r="B31401" s="25"/>
      <c r="C31401" s="25"/>
      <c r="D31401" s="25"/>
      <c r="E31401" s="25"/>
      <c r="F31401" s="25"/>
      <c r="G31401" s="25"/>
      <c r="H31401" s="25"/>
      <c r="I31401" s="25"/>
      <c r="J31401" s="25"/>
      <c r="K31401" s="25"/>
    </row>
    <row r="31402" customFormat="false" ht="15" hidden="false" customHeight="false" outlineLevel="0" collapsed="false">
      <c r="A31402" s="3" t="s">
        <v>556</v>
      </c>
      <c r="C31402" s="16" t="n">
        <f aca="false">C31270-C31380</f>
        <v>0</v>
      </c>
    </row>
    <row r="31403" customFormat="false" ht="15" hidden="false" customHeight="false" outlineLevel="0" collapsed="false">
      <c r="A31403" s="3" t="s">
        <v>557</v>
      </c>
      <c r="C31403" s="16" t="n">
        <f aca="false">C31271-C31381</f>
        <v>36.0977727598324</v>
      </c>
    </row>
    <row r="31404" customFormat="false" ht="15" hidden="false" customHeight="false" outlineLevel="0" collapsed="false">
      <c r="A31404" s="3" t="s">
        <v>558</v>
      </c>
      <c r="C31404" s="16" t="n">
        <f aca="false">C31272-C31382</f>
        <v>23.0225826653479</v>
      </c>
    </row>
    <row r="31405" customFormat="false" ht="15" hidden="false" customHeight="false" outlineLevel="0" collapsed="false">
      <c r="A31405" s="3" t="s">
        <v>559</v>
      </c>
      <c r="C31405" s="16" t="n">
        <f aca="false">C31273-C31383</f>
        <v>0</v>
      </c>
    </row>
    <row r="31406" customFormat="false" ht="15" hidden="false" customHeight="false" outlineLevel="0" collapsed="false">
      <c r="A31406" s="3" t="s">
        <v>560</v>
      </c>
      <c r="C31406" s="16" t="n">
        <f aca="false">C31274-C31384</f>
        <v>189.630634300919</v>
      </c>
    </row>
    <row r="31407" customFormat="false" ht="15" hidden="false" customHeight="false" outlineLevel="0" collapsed="false">
      <c r="A31407" s="3" t="s">
        <v>561</v>
      </c>
      <c r="C31407" s="16" t="n">
        <f aca="false">C31275-C31385</f>
        <v>147.490493345159</v>
      </c>
    </row>
    <row r="31408" customFormat="false" ht="15" hidden="false" customHeight="false" outlineLevel="0" collapsed="false">
      <c r="A31408" s="3" t="s">
        <v>562</v>
      </c>
      <c r="C31408" s="16" t="n">
        <f aca="false">C31276-C31386</f>
        <v>231.770775256678</v>
      </c>
    </row>
    <row r="31409" customFormat="false" ht="15" hidden="false" customHeight="false" outlineLevel="0" collapsed="false">
      <c r="A31409" s="3" t="s">
        <v>563</v>
      </c>
      <c r="C31409" s="16" t="n">
        <f aca="false">C31277-C31387</f>
        <v>147.490493345159</v>
      </c>
    </row>
    <row r="31410" customFormat="false" ht="15" hidden="false" customHeight="false" outlineLevel="0" collapsed="false">
      <c r="A31410" s="3" t="s">
        <v>564</v>
      </c>
      <c r="C31410" s="16" t="n">
        <f aca="false">C31278-C31388</f>
        <v>126.420422867279</v>
      </c>
    </row>
    <row r="31411" customFormat="false" ht="15" hidden="false" customHeight="false" outlineLevel="0" collapsed="false">
      <c r="A31411" s="3" t="s">
        <v>565</v>
      </c>
      <c r="C31411" s="16" t="n">
        <f aca="false">C31279-C31389</f>
        <v>78.61</v>
      </c>
    </row>
    <row r="31412" customFormat="false" ht="15" hidden="false" customHeight="false" outlineLevel="0" collapsed="false">
      <c r="A31412" s="24" t="s">
        <v>578</v>
      </c>
      <c r="B31412" s="25"/>
      <c r="C31412" s="25"/>
      <c r="D31412" s="25"/>
      <c r="E31412" s="25"/>
      <c r="F31412" s="25"/>
      <c r="G31412" s="25"/>
      <c r="H31412" s="25"/>
      <c r="I31412" s="25"/>
      <c r="J31412" s="25"/>
      <c r="K31412" s="25"/>
    </row>
    <row r="31413" customFormat="false" ht="15" hidden="false" customHeight="false" outlineLevel="0" collapsed="false">
      <c r="A31413" s="3" t="s">
        <v>556</v>
      </c>
      <c r="C31413" s="22" t="n">
        <f aca="false">IF(C31270=0,0,C31402/C31270)</f>
        <v>0</v>
      </c>
    </row>
    <row r="31414" customFormat="false" ht="15" hidden="false" customHeight="false" outlineLevel="0" collapsed="false">
      <c r="A31414" s="3" t="s">
        <v>557</v>
      </c>
      <c r="C31414" s="22" t="n">
        <f aca="false">IF(C31271=0,0,C31403/C31271)</f>
        <v>0.401086363998137</v>
      </c>
    </row>
    <row r="31415" customFormat="false" ht="15" hidden="false" customHeight="false" outlineLevel="0" collapsed="false">
      <c r="A31415" s="3" t="s">
        <v>558</v>
      </c>
      <c r="C31415" s="22" t="n">
        <f aca="false">IF(C31272=0,0,C31404/C31272)</f>
        <v>0.401622054730093</v>
      </c>
    </row>
    <row r="31416" customFormat="false" ht="15" hidden="false" customHeight="false" outlineLevel="0" collapsed="false">
      <c r="A31416" s="3" t="s">
        <v>559</v>
      </c>
      <c r="C31416" s="22" t="n">
        <f aca="false">IF(C31273=0,0,C31405/C31273)</f>
        <v>0</v>
      </c>
    </row>
    <row r="31417" customFormat="false" ht="15" hidden="false" customHeight="false" outlineLevel="0" collapsed="false">
      <c r="A31417" s="3" t="s">
        <v>560</v>
      </c>
      <c r="C31417" s="22" t="n">
        <f aca="false">IF(C31274=0,0,C31406/C31274)</f>
        <v>0.421401409557597</v>
      </c>
    </row>
    <row r="31418" customFormat="false" ht="15" hidden="false" customHeight="false" outlineLevel="0" collapsed="false">
      <c r="A31418" s="3" t="s">
        <v>561</v>
      </c>
      <c r="C31418" s="22" t="n">
        <f aca="false">IF(C31275=0,0,C31407/C31275)</f>
        <v>0.421401409557597</v>
      </c>
    </row>
    <row r="31419" customFormat="false" ht="15" hidden="false" customHeight="false" outlineLevel="0" collapsed="false">
      <c r="A31419" s="3" t="s">
        <v>562</v>
      </c>
      <c r="C31419" s="22" t="n">
        <f aca="false">IF(C31276=0,0,C31408/C31276)</f>
        <v>0.421401409557597</v>
      </c>
    </row>
    <row r="31420" customFormat="false" ht="15" hidden="false" customHeight="false" outlineLevel="0" collapsed="false">
      <c r="A31420" s="3" t="s">
        <v>563</v>
      </c>
      <c r="C31420" s="22" t="n">
        <f aca="false">IF(C31277=0,0,C31409/C31277)</f>
        <v>0.421401409557597</v>
      </c>
    </row>
    <row r="31421" customFormat="false" ht="15" hidden="false" customHeight="false" outlineLevel="0" collapsed="false">
      <c r="A31421" s="3" t="s">
        <v>564</v>
      </c>
      <c r="C31421" s="22" t="n">
        <f aca="false">IF(C31278=0,0,C31410/C31278)</f>
        <v>0.421401409557597</v>
      </c>
    </row>
    <row r="31422" customFormat="false" ht="15" hidden="false" customHeight="false" outlineLevel="0" collapsed="false">
      <c r="A31422" s="3" t="s">
        <v>565</v>
      </c>
      <c r="C31422" s="22" t="n">
        <f aca="false">IF(C31279=0,0,C31411/C31279)</f>
        <v>1</v>
      </c>
    </row>
    <row r="31423" customFormat="false" ht="15" hidden="false" customHeight="false" outlineLevel="0" collapsed="false">
      <c r="A31423" s="2" t="s">
        <v>579</v>
      </c>
      <c r="C31423" s="17" t="n">
        <f aca="false">MAX(0,$C$31268-SUM($C$31303:$C$31312)-SUM($C$31325:$C$31334))</f>
        <v>0</v>
      </c>
    </row>
    <row r="31424" customFormat="false" ht="15" hidden="false" customHeight="false" outlineLevel="0" collapsed="false">
      <c r="A31424" s="3" t="s">
        <v>597</v>
      </c>
      <c r="C31424" s="35" t="n">
        <f aca="false">MIN(C31267,100*CHOOSE(C31257,C31391,C31392,C31393,C31394,C31395,C31396,C31397,C31398,C31399,C31400))</f>
        <v>85</v>
      </c>
    </row>
    <row r="31425" customFormat="false" ht="15" hidden="false" customHeight="false" outlineLevel="0" collapsed="false">
      <c r="A31425" s="3" t="s">
        <v>598</v>
      </c>
      <c r="C31425" s="21" t="n">
        <f aca="false">IF(C31089=1,C31262+Assumptions!$C$40,C31261)</f>
        <v>3</v>
      </c>
    </row>
    <row r="31426" customFormat="false" ht="15" hidden="false" customHeight="false" outlineLevel="0" collapsed="false">
      <c r="A31426" s="24" t="s">
        <v>599</v>
      </c>
      <c r="B31426" s="25"/>
      <c r="C31426" s="25"/>
      <c r="D31426" s="25"/>
      <c r="E31426" s="25"/>
      <c r="F31426" s="25"/>
      <c r="G31426" s="25"/>
      <c r="H31426" s="25"/>
      <c r="I31426" s="25"/>
      <c r="J31426" s="25"/>
      <c r="K31426" s="25"/>
    </row>
    <row r="31427" customFormat="false" ht="15" hidden="false" customHeight="false" outlineLevel="0" collapsed="false">
      <c r="A31427" s="3" t="s">
        <v>600</v>
      </c>
      <c r="C31427" s="21" t="n">
        <f aca="false">COLUMN()-COLUMN($C$1)</f>
        <v>0</v>
      </c>
      <c r="D31427" s="21" t="n">
        <f aca="false">COLUMN()-COLUMN($C$1)</f>
        <v>1</v>
      </c>
      <c r="E31427" s="21" t="n">
        <f aca="false">COLUMN()-COLUMN($C$1)</f>
        <v>2</v>
      </c>
      <c r="F31427" s="21" t="n">
        <f aca="false">COLUMN()-COLUMN($C$1)</f>
        <v>3</v>
      </c>
      <c r="G31427" s="21" t="n">
        <f aca="false">COLUMN()-COLUMN($C$1)</f>
        <v>4</v>
      </c>
      <c r="H31427" s="21" t="n">
        <f aca="false">COLUMN()-COLUMN($C$1)</f>
        <v>5</v>
      </c>
      <c r="I31427" s="21" t="n">
        <f aca="false">COLUMN()-COLUMN($C$1)</f>
        <v>6</v>
      </c>
    </row>
    <row r="31428" customFormat="false" ht="15" hidden="false" customHeight="false" outlineLevel="0" collapsed="false">
      <c r="A31428" s="3" t="s">
        <v>601</v>
      </c>
      <c r="D31428" s="31" t="n">
        <f aca="false">CHOOSE($C$31257,G30837,G30850,G30863,G30876,G30889,G30902,G30915,G30928,G30941,G30954)</f>
        <v>0.1415</v>
      </c>
      <c r="E31428" s="31" t="n">
        <f aca="false">CHOOSE($C$31257,H30837,H30850,H30863,H30876,H30889,H30902,H30915,H30928,H30941,H30954)</f>
        <v>0.14</v>
      </c>
      <c r="F31428" s="31" t="n">
        <f aca="false">CHOOSE($C$31257,I30837,I30850,I30863,I30876,I30889,I30902,I30915,I30928,I30941,I30954)</f>
        <v>0.1375</v>
      </c>
      <c r="G31428" s="31" t="n">
        <f aca="false">CHOOSE($C$31257,J30837,J30850,J30863,J30876,J30889,J30902,J30915,J30928,J30941,J30954)</f>
        <v>0.1375</v>
      </c>
      <c r="H31428" s="31" t="n">
        <f aca="false">CHOOSE($C$31257,K30837,K30850,K30863,K30876,K30889,K30902,K30915,K30928,K30941,K30954)</f>
        <v>0.1375</v>
      </c>
    </row>
    <row r="31429" customFormat="false" ht="15" hidden="false" customHeight="false" outlineLevel="0" collapsed="false">
      <c r="A31429" s="3" t="s">
        <v>602</v>
      </c>
      <c r="D31429" s="16" t="n">
        <f aca="false">IF(D31427&lt;=$C$31266,$C$31258*D31428,0)</f>
        <v>14.15</v>
      </c>
      <c r="E31429" s="16" t="n">
        <f aca="false">IF(E31427&lt;=$C$31266,$C$31258*E31428,0)</f>
        <v>14</v>
      </c>
      <c r="F31429" s="16" t="n">
        <f aca="false">IF(F31427&lt;=$C$31266,$C$31258*F31428,0)</f>
        <v>0</v>
      </c>
      <c r="G31429" s="16" t="n">
        <f aca="false">IF(G31427&lt;=$C$31266,$C$31258*G31428,0)</f>
        <v>0</v>
      </c>
      <c r="H31429" s="16" t="n">
        <f aca="false">IF(H31427&lt;=$C$31266,$C$31258*H31428,0)</f>
        <v>0</v>
      </c>
    </row>
    <row r="31430" customFormat="false" ht="15" hidden="false" customHeight="false" outlineLevel="0" collapsed="false">
      <c r="A31430" s="3" t="s">
        <v>603</v>
      </c>
      <c r="D31430" s="16" t="n">
        <f aca="false">IF(AND($C$31089=0,D31427=$C$31261),$C$31258*$C$31424/100,0)+IF(AND($C$31089=1,D31427=$C$31425),$C$31264,0)</f>
        <v>0</v>
      </c>
      <c r="E31430" s="16" t="n">
        <f aca="false">IF(AND($C$31089=0,E31427=$C$31261),$C$31258*$C$31424/100,0)+IF(AND($C$31089=1,E31427=$C$31425),$C$31264,0)</f>
        <v>0</v>
      </c>
      <c r="F31430" s="16" t="n">
        <f aca="false">IF(AND($C$31089=0,F31427=$C$31261),$C$31258*$C$31424/100,0)+IF(AND($C$31089=1,F31427=$C$31425),$C$31264,0)</f>
        <v>103.5</v>
      </c>
      <c r="G31430" s="16" t="n">
        <f aca="false">IF(AND($C$31089=0,G31427=$C$31261),$C$31258*$C$31424/100,0)+IF(AND($C$31089=1,G31427=$C$31425),$C$31264,0)</f>
        <v>0</v>
      </c>
      <c r="H31430" s="16" t="n">
        <f aca="false">IF(AND($C$31089=0,H31427=$C$31261),$C$31258*$C$31424/100,0)+IF(AND($C$31089=1,H31427=$C$31425),$C$31264,0)</f>
        <v>0</v>
      </c>
      <c r="I31430" s="16" t="n">
        <f aca="false">IF(AND($C$31089=0,I31427=$C$31261),$C$31258*$C$31424/100,0)+IF(AND($C$31089=1,I31427=$C$31425),$C$31264,0)</f>
        <v>0</v>
      </c>
    </row>
    <row r="31431" customFormat="false" ht="15" hidden="false" customHeight="false" outlineLevel="0" collapsed="false">
      <c r="A31431" s="2" t="s">
        <v>604</v>
      </c>
      <c r="C31431" s="17" t="n">
        <f aca="false">-$C$31260</f>
        <v>-98.49</v>
      </c>
      <c r="D31431" s="17" t="n">
        <f aca="false">D31429+D31430</f>
        <v>14.15</v>
      </c>
      <c r="E31431" s="17" t="n">
        <f aca="false">E31429+E31430</f>
        <v>14</v>
      </c>
      <c r="F31431" s="17" t="n">
        <f aca="false">F31429+F31430</f>
        <v>103.5</v>
      </c>
      <c r="G31431" s="17" t="n">
        <f aca="false">G31429+G31430</f>
        <v>0</v>
      </c>
      <c r="H31431" s="17" t="n">
        <f aca="false">H31429+H31430</f>
        <v>0</v>
      </c>
      <c r="I31431" s="17" t="n">
        <f aca="false">I31429+I31430</f>
        <v>0</v>
      </c>
    </row>
    <row r="31432" customFormat="false" ht="15" hidden="false" customHeight="false" outlineLevel="0" collapsed="false">
      <c r="A31432" s="3" t="s">
        <v>605</v>
      </c>
      <c r="C31432" s="16" t="n">
        <f aca="false">SUM($C$31429:$I$31429)</f>
        <v>28.15</v>
      </c>
    </row>
    <row r="31433" customFormat="false" ht="15" hidden="false" customHeight="false" outlineLevel="0" collapsed="false">
      <c r="A31433" s="3" t="s">
        <v>606</v>
      </c>
      <c r="C31433" s="16" t="n">
        <f aca="false">SUM($C$31430:$I$31430)</f>
        <v>103.5</v>
      </c>
    </row>
    <row r="31434" customFormat="false" ht="15" hidden="false" customHeight="false" outlineLevel="0" collapsed="false">
      <c r="A31434" s="3" t="s">
        <v>607</v>
      </c>
      <c r="C31434" s="16" t="n">
        <f aca="false">C31432+C31433</f>
        <v>131.65</v>
      </c>
    </row>
    <row r="31435" customFormat="false" ht="15" hidden="false" customHeight="false" outlineLevel="0" collapsed="false">
      <c r="A31435" s="3" t="s">
        <v>608</v>
      </c>
      <c r="C31435" s="16" t="n">
        <f aca="false">C31433-C31258*C31259/100</f>
        <v>5.5</v>
      </c>
    </row>
    <row r="31436" customFormat="false" ht="15" hidden="false" customHeight="false" outlineLevel="0" collapsed="false">
      <c r="A31436" s="3" t="s">
        <v>609</v>
      </c>
      <c r="C31436" s="16" t="n">
        <f aca="false">C31434-C31260</f>
        <v>33.16</v>
      </c>
    </row>
    <row r="31437" customFormat="false" ht="15" hidden="false" customHeight="false" outlineLevel="0" collapsed="false">
      <c r="A31437" s="2" t="s">
        <v>484</v>
      </c>
      <c r="C31437" s="44" t="n">
        <f aca="false">C31434/C31260</f>
        <v>1.33668392730226</v>
      </c>
    </row>
    <row r="31438" customFormat="false" ht="15" hidden="false" customHeight="false" outlineLevel="0" collapsed="false">
      <c r="A31438" s="2" t="s">
        <v>483</v>
      </c>
      <c r="C31438" s="42" t="n">
        <f aca="false">IF(C31434&lt;=0,-1,IFERROR(IRR($C$31431:$I$31431,MAX(-0.9,C31437^(1/C31425)-1)),IRR($C$31431:$I$31431,0.1)))</f>
        <v>0.115544185423054</v>
      </c>
    </row>
    <row r="31439" customFormat="false" ht="15" hidden="false" customHeight="false" outlineLevel="0" collapsed="false">
      <c r="A31439" s="3" t="s">
        <v>610</v>
      </c>
      <c r="C31439" s="32" t="n">
        <f aca="false">MAX($G$31033:$K$31033)</f>
        <v>15.9976286841931</v>
      </c>
    </row>
    <row r="31440" customFormat="false" ht="15" hidden="false" customHeight="false" outlineLevel="0" collapsed="false">
      <c r="A31440" s="3" t="s">
        <v>611</v>
      </c>
      <c r="C31440" s="32" t="n">
        <f aca="false">MIN($G$31034:$K$31034)</f>
        <v>0.854872799371363</v>
      </c>
    </row>
    <row r="31441" customFormat="false" ht="15" hidden="false" customHeight="false" outlineLevel="0" collapsed="false">
      <c r="A31441" s="3" t="s">
        <v>612</v>
      </c>
      <c r="C31441" s="16" t="n">
        <f aca="false">SUM($G$30821:$K$30821)</f>
        <v>-368.237747321081</v>
      </c>
    </row>
    <row r="31445" customFormat="false" ht="15" hidden="false" customHeight="false" outlineLevel="0" collapsed="false">
      <c r="A31445" s="9" t="s">
        <v>1178</v>
      </c>
      <c r="B31445" s="10"/>
      <c r="C31445" s="10"/>
      <c r="D31445" s="10"/>
      <c r="E31445" s="10"/>
      <c r="F31445" s="10"/>
      <c r="G31445" s="10"/>
      <c r="H31445" s="10"/>
      <c r="I31445" s="10"/>
      <c r="J31445" s="10"/>
      <c r="K31445" s="10"/>
    </row>
    <row r="31446" customFormat="false" ht="15" hidden="false" customHeight="false" outlineLevel="0" collapsed="false">
      <c r="A31446" s="3" t="s">
        <v>1126</v>
      </c>
      <c r="C31446" s="11" t="n">
        <v>1</v>
      </c>
    </row>
    <row r="31447" customFormat="false" ht="15" hidden="false" customHeight="false" outlineLevel="0" collapsed="false">
      <c r="A31447" s="3" t="s">
        <v>1127</v>
      </c>
      <c r="C31447" s="19" t="n">
        <v>0</v>
      </c>
    </row>
    <row r="31448" customFormat="false" ht="15" hidden="false" customHeight="false" outlineLevel="0" collapsed="false">
      <c r="A31448" s="3" t="s">
        <v>1128</v>
      </c>
      <c r="C31448" s="19" t="n">
        <v>0</v>
      </c>
    </row>
    <row r="31449" customFormat="false" ht="15" hidden="false" customHeight="false" outlineLevel="0" collapsed="false">
      <c r="A31449" s="3" t="s">
        <v>1129</v>
      </c>
      <c r="C31449" s="19" t="n">
        <v>0</v>
      </c>
    </row>
    <row r="31450" customFormat="false" ht="15" hidden="false" customHeight="false" outlineLevel="0" collapsed="false">
      <c r="A31450" s="3" t="s">
        <v>1130</v>
      </c>
      <c r="C31450" s="34" t="n">
        <f aca="false">Sensitivities!$A$60</f>
        <v>-2</v>
      </c>
    </row>
    <row r="31452" customFormat="false" ht="15" hidden="false" customHeight="false" outlineLevel="0" collapsed="false">
      <c r="A31452" s="24" t="s">
        <v>301</v>
      </c>
      <c r="B31452" s="25"/>
      <c r="C31452" s="25"/>
      <c r="D31452" s="25"/>
      <c r="E31452" s="25"/>
      <c r="F31452" s="25"/>
      <c r="G31452" s="25"/>
      <c r="H31452" s="25"/>
      <c r="I31452" s="25"/>
      <c r="J31452" s="25"/>
      <c r="K31452" s="25"/>
    </row>
    <row r="31453" customFormat="false" ht="15" hidden="false" customHeight="false" outlineLevel="0" collapsed="false">
      <c r="A31453" s="3" t="s">
        <v>302</v>
      </c>
      <c r="F31453" s="27" t="n">
        <f aca="false">Assumptions!$C$6</f>
        <v>2026</v>
      </c>
      <c r="G31453" s="21" t="n">
        <f aca="false">F31453+1</f>
        <v>2027</v>
      </c>
      <c r="H31453" s="21" t="n">
        <f aca="false">G31453+1</f>
        <v>2028</v>
      </c>
      <c r="I31453" s="21" t="n">
        <f aca="false">H31453+1</f>
        <v>2029</v>
      </c>
      <c r="J31453" s="21" t="n">
        <f aca="false">I31453+1</f>
        <v>2030</v>
      </c>
      <c r="K31453" s="21" t="n">
        <f aca="false">J31453+1</f>
        <v>2031</v>
      </c>
    </row>
    <row r="31454" customFormat="false" ht="15" hidden="false" customHeight="false" outlineLevel="0" collapsed="false">
      <c r="A31454" s="3" t="s">
        <v>303</v>
      </c>
      <c r="G31454" s="21" t="n">
        <f aca="false">G31453-Assumptions!$C$6</f>
        <v>1</v>
      </c>
      <c r="H31454" s="21" t="n">
        <f aca="false">H31453-Assumptions!$C$6</f>
        <v>2</v>
      </c>
      <c r="I31454" s="21" t="n">
        <f aca="false">I31453-Assumptions!$C$6</f>
        <v>3</v>
      </c>
      <c r="J31454" s="21" t="n">
        <f aca="false">J31453-Assumptions!$C$6</f>
        <v>4</v>
      </c>
      <c r="K31454" s="21" t="n">
        <f aca="false">K31453-Assumptions!$C$6</f>
        <v>5</v>
      </c>
    </row>
    <row r="31455" customFormat="false" ht="15" hidden="false" customHeight="false" outlineLevel="0" collapsed="false">
      <c r="A31455" s="3" t="s">
        <v>180</v>
      </c>
      <c r="G31455" s="22" t="n">
        <f aca="false">CHOOSE($C$31446,Assumptions!$G$79,Assumptions!$G$98,Assumptions!$G$117)+$C$31447</f>
        <v>-0.03</v>
      </c>
      <c r="H31455" s="22" t="n">
        <f aca="false">CHOOSE($C$31446,Assumptions!$H$79,Assumptions!$H$98,Assumptions!$H$117)+$C$31447</f>
        <v>0.02</v>
      </c>
      <c r="I31455" s="22" t="n">
        <f aca="false">CHOOSE($C$31446,Assumptions!$I$79,Assumptions!$I$98,Assumptions!$I$117)+$C$31447</f>
        <v>0.02</v>
      </c>
      <c r="J31455" s="22" t="n">
        <f aca="false">CHOOSE($C$31446,Assumptions!$J$79,Assumptions!$J$98,Assumptions!$J$117)+$C$31447</f>
        <v>0.02</v>
      </c>
      <c r="K31455" s="22" t="n">
        <f aca="false">CHOOSE($C$31446,Assumptions!$K$79,Assumptions!$K$98,Assumptions!$K$117)+$C$31447</f>
        <v>0.02</v>
      </c>
    </row>
    <row r="31456" customFormat="false" ht="15" hidden="false" customHeight="false" outlineLevel="0" collapsed="false">
      <c r="A31456" s="3" t="s">
        <v>181</v>
      </c>
      <c r="G31456" s="22" t="n">
        <f aca="false">CHOOSE($C$31446,Assumptions!$G$80,Assumptions!$G$99,Assumptions!$G$118)</f>
        <v>0.603920660818678</v>
      </c>
      <c r="H31456" s="22" t="n">
        <f aca="false">CHOOSE($C$31446,Assumptions!$H$80,Assumptions!$H$99,Assumptions!$H$118)</f>
        <v>0.606920660818678</v>
      </c>
      <c r="I31456" s="22" t="n">
        <f aca="false">CHOOSE($C$31446,Assumptions!$I$80,Assumptions!$I$99,Assumptions!$I$118)</f>
        <v>0.609920660818678</v>
      </c>
      <c r="J31456" s="22" t="n">
        <f aca="false">CHOOSE($C$31446,Assumptions!$J$80,Assumptions!$J$99,Assumptions!$J$118)</f>
        <v>0.611920660818678</v>
      </c>
      <c r="K31456" s="22" t="n">
        <f aca="false">CHOOSE($C$31446,Assumptions!$K$80,Assumptions!$K$99,Assumptions!$K$118)</f>
        <v>0.613920660818678</v>
      </c>
    </row>
    <row r="31457" customFormat="false" ht="15" hidden="false" customHeight="false" outlineLevel="0" collapsed="false">
      <c r="A31457" s="3" t="s">
        <v>182</v>
      </c>
      <c r="G31457" s="22" t="n">
        <f aca="false">CHOOSE($C$31446,Assumptions!$G$81,Assumptions!$G$100,Assumptions!$G$119)+$C$31448</f>
        <v>0.53</v>
      </c>
      <c r="H31457" s="22" t="n">
        <f aca="false">CHOOSE($C$31446,Assumptions!$H$81,Assumptions!$H$100,Assumptions!$H$119)+$C$31448</f>
        <v>0.533</v>
      </c>
      <c r="I31457" s="22" t="n">
        <f aca="false">CHOOSE($C$31446,Assumptions!$I$81,Assumptions!$I$100,Assumptions!$I$119)+$C$31448</f>
        <v>0.536</v>
      </c>
      <c r="J31457" s="22" t="n">
        <f aca="false">CHOOSE($C$31446,Assumptions!$J$81,Assumptions!$J$100,Assumptions!$J$119)+$C$31448</f>
        <v>0.538</v>
      </c>
      <c r="K31457" s="22" t="n">
        <f aca="false">CHOOSE($C$31446,Assumptions!$K$81,Assumptions!$K$100,Assumptions!$K$119)+$C$31448</f>
        <v>0.54</v>
      </c>
    </row>
    <row r="31458" customFormat="false" ht="15" hidden="false" customHeight="false" outlineLevel="0" collapsed="false">
      <c r="A31458" s="24" t="s">
        <v>304</v>
      </c>
      <c r="B31458" s="25"/>
      <c r="C31458" s="25"/>
      <c r="D31458" s="25"/>
      <c r="E31458" s="25"/>
      <c r="F31458" s="25"/>
      <c r="G31458" s="25"/>
      <c r="H31458" s="25"/>
      <c r="I31458" s="25"/>
      <c r="J31458" s="25"/>
      <c r="K31458" s="25"/>
    </row>
    <row r="31459" customFormat="false" ht="15" hidden="false" customHeight="false" outlineLevel="0" collapsed="false">
      <c r="A31459" s="2" t="s">
        <v>275</v>
      </c>
      <c r="F31459" s="28" t="n">
        <f aca="false">'Historical Financials'!G25</f>
        <v>498.291</v>
      </c>
      <c r="G31459" s="17" t="n">
        <f aca="false">F31459*(1+G31455)</f>
        <v>483.34227</v>
      </c>
      <c r="H31459" s="17" t="n">
        <f aca="false">G31459*(1+H31455)</f>
        <v>493.0091154</v>
      </c>
      <c r="I31459" s="17" t="n">
        <f aca="false">H31459*(1+I31455)</f>
        <v>502.869297708</v>
      </c>
      <c r="J31459" s="17" t="n">
        <f aca="false">I31459*(1+J31455)</f>
        <v>512.92668366216</v>
      </c>
      <c r="K31459" s="17" t="n">
        <f aca="false">J31459*(1+K31455)</f>
        <v>523.185217335403</v>
      </c>
    </row>
    <row r="31460" customFormat="false" ht="15" hidden="false" customHeight="false" outlineLevel="0" collapsed="false">
      <c r="A31460" s="3" t="s">
        <v>276</v>
      </c>
      <c r="G31460" s="16" t="n">
        <f aca="false">G31459*(1-G31456)</f>
        <v>191.4418869</v>
      </c>
      <c r="H31460" s="16" t="n">
        <f aca="false">H31459*(1-H31456)</f>
        <v>193.7916972918</v>
      </c>
      <c r="I31460" s="16" t="n">
        <f aca="false">I31459*(1-I31456)</f>
        <v>196.158923344512</v>
      </c>
      <c r="J31460" s="16" t="n">
        <f aca="false">J31459*(1-J31456)</f>
        <v>199.056248444078</v>
      </c>
      <c r="K31460" s="16" t="n">
        <f aca="false">K31459*(1-K31456)</f>
        <v>201.991002978289</v>
      </c>
    </row>
    <row r="31461" customFormat="false" ht="15" hidden="false" customHeight="false" outlineLevel="0" collapsed="false">
      <c r="A31461" s="2" t="s">
        <v>277</v>
      </c>
      <c r="G31461" s="17" t="n">
        <f aca="false">G31459-G31460</f>
        <v>291.9003831</v>
      </c>
      <c r="H31461" s="17" t="n">
        <f aca="false">H31459-H31460</f>
        <v>299.2174181082</v>
      </c>
      <c r="I31461" s="17" t="n">
        <f aca="false">I31459-I31460</f>
        <v>306.710374363488</v>
      </c>
      <c r="J31461" s="17" t="n">
        <f aca="false">J31459-J31460</f>
        <v>313.870435218082</v>
      </c>
      <c r="K31461" s="17" t="n">
        <f aca="false">K31459-K31460</f>
        <v>321.194214357115</v>
      </c>
    </row>
    <row r="31462" customFormat="false" ht="15" hidden="false" customHeight="false" outlineLevel="0" collapsed="false">
      <c r="A31462" s="3" t="s">
        <v>305</v>
      </c>
      <c r="G31462" s="16" t="n">
        <f aca="false">G31461-G31463</f>
        <v>35.72898</v>
      </c>
      <c r="H31462" s="16" t="n">
        <f aca="false">H31461-H31463</f>
        <v>36.4435596</v>
      </c>
      <c r="I31462" s="16" t="n">
        <f aca="false">I31461-I31463</f>
        <v>37.172430792</v>
      </c>
      <c r="J31462" s="16" t="n">
        <f aca="false">J31461-J31463</f>
        <v>37.91587940784</v>
      </c>
      <c r="K31462" s="16" t="n">
        <f aca="false">K31461-K31463</f>
        <v>38.6741969959968</v>
      </c>
    </row>
    <row r="31463" customFormat="false" ht="15" hidden="false" customHeight="false" outlineLevel="0" collapsed="false">
      <c r="A31463" s="2" t="s">
        <v>306</v>
      </c>
      <c r="G31463" s="17" t="n">
        <f aca="false">G31459*G31457</f>
        <v>256.1714031</v>
      </c>
      <c r="H31463" s="17" t="n">
        <f aca="false">H31459*H31457</f>
        <v>262.7738585082</v>
      </c>
      <c r="I31463" s="17" t="n">
        <f aca="false">I31459*I31457</f>
        <v>269.537943571488</v>
      </c>
      <c r="J31463" s="17" t="n">
        <f aca="false">J31459*J31457</f>
        <v>275.954555810242</v>
      </c>
      <c r="K31463" s="17" t="n">
        <f aca="false">K31459*K31457</f>
        <v>282.520017361118</v>
      </c>
    </row>
    <row r="31464" customFormat="false" ht="15" hidden="false" customHeight="false" outlineLevel="0" collapsed="false">
      <c r="A31464" s="3" t="s">
        <v>307</v>
      </c>
      <c r="G31464" s="16" t="n">
        <f aca="false">G31459*'Historical Financials'!G30/'Historical Financials'!G25</f>
        <v>179.73421</v>
      </c>
      <c r="H31464" s="16" t="n">
        <f aca="false">H31459*'Historical Financials'!G30/'Historical Financials'!G25</f>
        <v>183.3288942</v>
      </c>
      <c r="I31464" s="16" t="n">
        <f aca="false">I31459*'Historical Financials'!G30/'Historical Financials'!G25</f>
        <v>186.995472084</v>
      </c>
      <c r="J31464" s="16" t="n">
        <f aca="false">J31459*'Historical Financials'!G30/'Historical Financials'!G25</f>
        <v>190.73538152568</v>
      </c>
      <c r="K31464" s="16" t="n">
        <f aca="false">K31459*'Historical Financials'!G30/'Historical Financials'!G25</f>
        <v>194.550089156194</v>
      </c>
    </row>
    <row r="31465" customFormat="false" ht="15" hidden="false" customHeight="false" outlineLevel="0" collapsed="false">
      <c r="A31465" s="3" t="s">
        <v>308</v>
      </c>
      <c r="G31465" s="16" t="n">
        <f aca="false">G31459*'Historical Financials'!G31/'Historical Financials'!G25</f>
        <v>0</v>
      </c>
      <c r="H31465" s="16" t="n">
        <f aca="false">H31459*'Historical Financials'!G31/'Historical Financials'!G25</f>
        <v>0</v>
      </c>
      <c r="I31465" s="16" t="n">
        <f aca="false">I31459*'Historical Financials'!G31/'Historical Financials'!G25</f>
        <v>0</v>
      </c>
      <c r="J31465" s="16" t="n">
        <f aca="false">J31459*'Historical Financials'!G31/'Historical Financials'!G25</f>
        <v>0</v>
      </c>
      <c r="K31465" s="16" t="n">
        <f aca="false">K31459*'Historical Financials'!G31/'Historical Financials'!G25</f>
        <v>0</v>
      </c>
    </row>
    <row r="31466" customFormat="false" ht="15" hidden="false" customHeight="false" outlineLevel="0" collapsed="false">
      <c r="A31466" s="2" t="s">
        <v>309</v>
      </c>
      <c r="G31466" s="17" t="n">
        <f aca="false">G31463-G31464-G31465</f>
        <v>76.4371931</v>
      </c>
      <c r="H31466" s="17" t="n">
        <f aca="false">H31463-H31464-H31465</f>
        <v>79.4449643082</v>
      </c>
      <c r="I31466" s="17" t="n">
        <f aca="false">I31463-I31464-I31465</f>
        <v>82.542471487488</v>
      </c>
      <c r="J31466" s="17" t="n">
        <f aca="false">J31463-J31464-J31465</f>
        <v>85.2191742845621</v>
      </c>
      <c r="K31466" s="17" t="n">
        <f aca="false">K31463-K31464-K31465</f>
        <v>87.9699282049242</v>
      </c>
    </row>
    <row r="31467" customFormat="false" ht="15" hidden="false" customHeight="false" outlineLevel="0" collapsed="false">
      <c r="A31467" s="3" t="s">
        <v>310</v>
      </c>
      <c r="G31467" s="16" t="n">
        <f aca="false">G31493+G31506+G31519+G31532+G31545+G31558+G31571+G31584+G31597+G31610</f>
        <v>180.2096854</v>
      </c>
      <c r="H31467" s="16" t="n">
        <f aca="false">H31493+H31506+H31519+H31532+H31545+H31558+H31571+H31584+H31597+H31610</f>
        <v>179.1317704</v>
      </c>
      <c r="I31467" s="16" t="n">
        <f aca="false">I31493+I31506+I31519+I31532+I31545+I31558+I31571+I31584+I31597+I31610</f>
        <v>191.388017509904</v>
      </c>
      <c r="J31467" s="16" t="n">
        <f aca="false">J31493+J31506+J31519+J31532+J31545+J31558+J31571+J31584+J31597+J31610</f>
        <v>191.569272884469</v>
      </c>
      <c r="K31467" s="16" t="n">
        <f aca="false">K31493+K31506+K31519+K31532+K31545+K31558+K31571+K31584+K31597+K31610</f>
        <v>210.404714699088</v>
      </c>
    </row>
    <row r="31468" customFormat="false" ht="15" hidden="false" customHeight="false" outlineLevel="0" collapsed="false">
      <c r="A31468" s="3" t="s">
        <v>311</v>
      </c>
      <c r="G31468" s="16" t="n">
        <f aca="false">G31494+G31507+G31520+G31533+G31546+G31559+G31572+G31585+G31598+G31611</f>
        <v>0</v>
      </c>
      <c r="H31468" s="16" t="n">
        <f aca="false">H31494+H31507+H31520+H31533+H31546+H31559+H31572+H31585+H31598+H31611</f>
        <v>0</v>
      </c>
      <c r="I31468" s="16" t="n">
        <f aca="false">I31494+I31507+I31520+I31533+I31546+I31559+I31572+I31585+I31598+I31611</f>
        <v>0</v>
      </c>
      <c r="J31468" s="16" t="n">
        <f aca="false">J31494+J31507+J31520+J31533+J31546+J31559+J31572+J31585+J31598+J31611</f>
        <v>0</v>
      </c>
      <c r="K31468" s="16" t="n">
        <f aca="false">K31494+K31507+K31520+K31533+K31546+K31559+K31572+K31585+K31598+K31611</f>
        <v>0</v>
      </c>
    </row>
    <row r="31469" customFormat="false" ht="15" hidden="false" customHeight="false" outlineLevel="0" collapsed="false">
      <c r="A31469" s="3" t="s">
        <v>283</v>
      </c>
      <c r="G31469" s="16" t="n">
        <f aca="false">G31467+G31468</f>
        <v>180.2096854</v>
      </c>
      <c r="H31469" s="16" t="n">
        <f aca="false">H31467+H31468</f>
        <v>179.1317704</v>
      </c>
      <c r="I31469" s="16" t="n">
        <f aca="false">I31467+I31468</f>
        <v>191.388017509904</v>
      </c>
      <c r="J31469" s="16" t="n">
        <f aca="false">J31467+J31468</f>
        <v>191.569272884469</v>
      </c>
      <c r="K31469" s="16" t="n">
        <f aca="false">K31467+K31468</f>
        <v>210.404714699088</v>
      </c>
    </row>
    <row r="31470" customFormat="false" ht="15" hidden="false" customHeight="false" outlineLevel="0" collapsed="false">
      <c r="A31470" s="2" t="s">
        <v>284</v>
      </c>
      <c r="G31470" s="17" t="n">
        <f aca="false">G31466-G31469</f>
        <v>-103.7724923</v>
      </c>
      <c r="H31470" s="17" t="n">
        <f aca="false">H31466-H31469</f>
        <v>-99.6868060918</v>
      </c>
      <c r="I31470" s="17" t="n">
        <f aca="false">I31466-I31469</f>
        <v>-108.845546022416</v>
      </c>
      <c r="J31470" s="17" t="n">
        <f aca="false">J31466-J31469</f>
        <v>-106.350098599906</v>
      </c>
      <c r="K31470" s="17" t="n">
        <f aca="false">K31466-K31469</f>
        <v>-122.434786494163</v>
      </c>
    </row>
    <row r="31471" customFormat="false" ht="15" hidden="false" customHeight="false" outlineLevel="0" collapsed="false">
      <c r="A31471" s="3" t="s">
        <v>312</v>
      </c>
      <c r="G31471" s="16" t="n">
        <f aca="false">MAX(0,G31470)*Assumptions!$C$9</f>
        <v>0</v>
      </c>
      <c r="H31471" s="16" t="n">
        <f aca="false">MAX(0,H31470)*Assumptions!$C$9</f>
        <v>0</v>
      </c>
      <c r="I31471" s="16" t="n">
        <f aca="false">MAX(0,I31470)*Assumptions!$C$9</f>
        <v>0</v>
      </c>
      <c r="J31471" s="16" t="n">
        <f aca="false">MAX(0,J31470)*Assumptions!$C$9</f>
        <v>0</v>
      </c>
      <c r="K31471" s="16" t="n">
        <f aca="false">MAX(0,K31470)*Assumptions!$C$9</f>
        <v>0</v>
      </c>
    </row>
    <row r="31472" customFormat="false" ht="15" hidden="false" customHeight="false" outlineLevel="0" collapsed="false">
      <c r="A31472" s="2" t="s">
        <v>313</v>
      </c>
      <c r="G31472" s="17" t="n">
        <f aca="false">G31470-G31471</f>
        <v>-103.7724923</v>
      </c>
      <c r="H31472" s="17" t="n">
        <f aca="false">H31470-H31471</f>
        <v>-99.6868060918</v>
      </c>
      <c r="I31472" s="17" t="n">
        <f aca="false">I31470-I31471</f>
        <v>-108.845546022416</v>
      </c>
      <c r="J31472" s="17" t="n">
        <f aca="false">J31470-J31471</f>
        <v>-106.350098599906</v>
      </c>
      <c r="K31472" s="17" t="n">
        <f aca="false">K31470-K31471</f>
        <v>-122.434786494163</v>
      </c>
    </row>
    <row r="31473" customFormat="false" ht="15" hidden="false" customHeight="false" outlineLevel="0" collapsed="false">
      <c r="A31473" s="24" t="s">
        <v>314</v>
      </c>
      <c r="B31473" s="25"/>
      <c r="C31473" s="25"/>
      <c r="D31473" s="25"/>
      <c r="E31473" s="25"/>
      <c r="F31473" s="25"/>
      <c r="G31473" s="25"/>
      <c r="H31473" s="25"/>
      <c r="I31473" s="25"/>
      <c r="J31473" s="25"/>
      <c r="K31473" s="25"/>
    </row>
    <row r="31474" customFormat="false" ht="15" hidden="false" customHeight="false" outlineLevel="0" collapsed="false">
      <c r="A31474" s="3" t="s">
        <v>184</v>
      </c>
      <c r="G31474" s="16" t="n">
        <f aca="false">G31459*CHOOSE($C$31446,Assumptions!$C$83,Assumptions!$C$102,Assumptions!$C$121)</f>
        <v>106.3352994</v>
      </c>
      <c r="H31474" s="16" t="n">
        <f aca="false">H31459*CHOOSE($C$31446,Assumptions!$C$83,Assumptions!$C$102,Assumptions!$C$121)</f>
        <v>108.462005388</v>
      </c>
      <c r="I31474" s="16" t="n">
        <f aca="false">I31459*CHOOSE($C$31446,Assumptions!$C$83,Assumptions!$C$102,Assumptions!$C$121)</f>
        <v>110.63124549576</v>
      </c>
      <c r="J31474" s="16" t="n">
        <f aca="false">J31459*CHOOSE($C$31446,Assumptions!$C$83,Assumptions!$C$102,Assumptions!$C$121)</f>
        <v>112.843870405675</v>
      </c>
      <c r="K31474" s="16" t="n">
        <f aca="false">K31459*CHOOSE($C$31446,Assumptions!$C$83,Assumptions!$C$102,Assumptions!$C$121)</f>
        <v>115.100747813789</v>
      </c>
    </row>
    <row r="31475" customFormat="false" ht="15" hidden="false" customHeight="false" outlineLevel="0" collapsed="false">
      <c r="A31475" s="3" t="s">
        <v>315</v>
      </c>
      <c r="G31475" s="16" t="n">
        <f aca="false">CHOOSE($C$31446,Assumptions!$C$84,Assumptions!$C$103,Assumptions!$C$122)*(G31459-F31459)+CHOOSE($C$31446,Assumptions!$C$85,Assumptions!$C$104,Assumptions!$C$123)*G31459</f>
        <v>53.1676497</v>
      </c>
      <c r="H31475" s="16" t="n">
        <f aca="false">CHOOSE($C$31446,Assumptions!$C$84,Assumptions!$C$103,Assumptions!$C$122)*(H31459-G31459)+CHOOSE($C$31446,Assumptions!$C$85,Assumptions!$C$104,Assumptions!$C$123)*H31459</f>
        <v>54.231002694</v>
      </c>
      <c r="I31475" s="16" t="n">
        <f aca="false">CHOOSE($C$31446,Assumptions!$C$84,Assumptions!$C$103,Assumptions!$C$122)*(I31459-H31459)+CHOOSE($C$31446,Assumptions!$C$85,Assumptions!$C$104,Assumptions!$C$123)*I31459</f>
        <v>55.31562274788</v>
      </c>
      <c r="J31475" s="16" t="n">
        <f aca="false">CHOOSE($C$31446,Assumptions!$C$84,Assumptions!$C$103,Assumptions!$C$122)*(J31459-I31459)+CHOOSE($C$31446,Assumptions!$C$85,Assumptions!$C$104,Assumptions!$C$123)*J31459</f>
        <v>56.4219352028376</v>
      </c>
      <c r="K31475" s="16" t="n">
        <f aca="false">CHOOSE($C$31446,Assumptions!$C$84,Assumptions!$C$103,Assumptions!$C$122)*(K31459-J31459)+CHOOSE($C$31446,Assumptions!$C$85,Assumptions!$C$104,Assumptions!$C$123)*K31459</f>
        <v>57.5503739068944</v>
      </c>
    </row>
    <row r="31476" customFormat="false" ht="15" hidden="false" customHeight="false" outlineLevel="0" collapsed="false">
      <c r="A31476" s="2" t="s">
        <v>316</v>
      </c>
      <c r="G31476" s="17" t="n">
        <f aca="false">G31472+G31464+G31465+G31468-G31474-G31475</f>
        <v>-83.5412314</v>
      </c>
      <c r="H31476" s="17" t="n">
        <f aca="false">H31472+H31464+H31465+H31468-H31474-H31475</f>
        <v>-79.0509199738</v>
      </c>
      <c r="I31476" s="17" t="n">
        <f aca="false">I31472+I31464+I31465+I31468-I31474-I31475</f>
        <v>-87.796942182056</v>
      </c>
      <c r="J31476" s="17" t="n">
        <f aca="false">J31472+J31464+J31465+J31468-J31474-J31475</f>
        <v>-84.8805226827392</v>
      </c>
      <c r="K31476" s="17" t="n">
        <f aca="false">K31472+K31464+K31465+K31468-K31474-K31475</f>
        <v>-100.535819058653</v>
      </c>
    </row>
    <row r="31478" customFormat="false" ht="15" hidden="false" customHeight="false" outlineLevel="0" collapsed="false">
      <c r="A31478" s="24" t="s">
        <v>318</v>
      </c>
      <c r="B31478" s="25"/>
      <c r="C31478" s="25"/>
      <c r="D31478" s="25"/>
      <c r="E31478" s="25"/>
      <c r="F31478" s="25"/>
      <c r="G31478" s="25"/>
      <c r="H31478" s="25"/>
      <c r="I31478" s="25"/>
      <c r="J31478" s="25"/>
      <c r="K31478" s="25"/>
    </row>
    <row r="31479" customFormat="false" ht="15" hidden="false" customHeight="false" outlineLevel="0" collapsed="false">
      <c r="A31479" s="3" t="s">
        <v>319</v>
      </c>
      <c r="G31479" s="30" t="n">
        <f aca="false">Assumptions!$G$53</f>
        <v>0.039</v>
      </c>
      <c r="H31479" s="30" t="n">
        <f aca="false">Assumptions!$H$53</f>
        <v>0.0375</v>
      </c>
      <c r="I31479" s="30" t="n">
        <f aca="false">Assumptions!$I$53</f>
        <v>0.035</v>
      </c>
      <c r="J31479" s="30" t="n">
        <f aca="false">Assumptions!$J$53</f>
        <v>0.035</v>
      </c>
      <c r="K31479" s="30" t="n">
        <f aca="false">Assumptions!$K$53</f>
        <v>0.035</v>
      </c>
    </row>
    <row r="31480" customFormat="false" ht="15" hidden="false" customHeight="false" outlineLevel="0" collapsed="false">
      <c r="A31480" s="3" t="s">
        <v>320</v>
      </c>
      <c r="C31480" s="31" t="n">
        <f aca="false">CHOOSE($C$31446,Assumptions!$C$86,Assumptions!$C$105,Assumptions!$C$124)+$C$31449</f>
        <v>0</v>
      </c>
    </row>
    <row r="31481" customFormat="false" ht="15" hidden="false" customHeight="false" outlineLevel="0" collapsed="false">
      <c r="A31481" s="3" t="s">
        <v>321</v>
      </c>
      <c r="C31481" s="31" t="n">
        <f aca="false">CHOOSE($C$31446,Assumptions!$C$87,Assumptions!$C$106,Assumptions!$C$125)</f>
        <v>0.08</v>
      </c>
    </row>
    <row r="31482" customFormat="false" ht="15" hidden="false" customHeight="false" outlineLevel="0" collapsed="false">
      <c r="A31482" s="3" t="s">
        <v>322</v>
      </c>
      <c r="C31482" s="32" t="n">
        <f aca="false">CHOOSE($C$31446,Assumptions!$C$88,Assumptions!$C$107,Assumptions!$C$126)</f>
        <v>11</v>
      </c>
    </row>
    <row r="31483" customFormat="false" ht="15" hidden="false" customHeight="false" outlineLevel="0" collapsed="false">
      <c r="A31483" s="3" t="s">
        <v>323</v>
      </c>
      <c r="C31483" s="32" t="n">
        <f aca="false">CHOOSE($C$31446,Assumptions!$C$89,Assumptions!$C$108,Assumptions!$C$127)</f>
        <v>1.2</v>
      </c>
    </row>
    <row r="31484" customFormat="false" ht="15" hidden="false" customHeight="false" outlineLevel="0" collapsed="false">
      <c r="A31484" s="3" t="s">
        <v>324</v>
      </c>
      <c r="G31484" s="16" t="n">
        <f aca="false">G31489+G31502+G31515+G31528+G31541+G31554+G31567+G31580+G31593+G31606</f>
        <v>2625.934</v>
      </c>
      <c r="H31484" s="16" t="n">
        <f aca="false">H31489+H31502+H31515+H31528+H31541+H31554+H31567+H31580+H31593+H31606</f>
        <v>2621.934</v>
      </c>
      <c r="I31484" s="16" t="n">
        <f aca="false">I31489+I31502+I31515+I31528+I31541+I31554+I31567+I31580+I31593+I31606</f>
        <v>2575.6561513738</v>
      </c>
      <c r="J31484" s="16" t="n">
        <f aca="false">J31489+J31502+J31515+J31528+J31541+J31554+J31567+J31580+J31593+J31606</f>
        <v>2638.45309355586</v>
      </c>
      <c r="K31484" s="16" t="n">
        <f aca="false">K31489+K31502+K31515+K31528+K31541+K31554+K31567+K31580+K31593+K31606</f>
        <v>2723.3336162386</v>
      </c>
    </row>
    <row r="31485" customFormat="false" ht="15" hidden="false" customHeight="false" outlineLevel="0" collapsed="false">
      <c r="A31485" s="3" t="s">
        <v>325</v>
      </c>
      <c r="G31485" s="16" t="n">
        <f aca="false">F31677</f>
        <v>37.87</v>
      </c>
      <c r="H31485" s="16" t="n">
        <f aca="false">G31677</f>
        <v>150.3287686</v>
      </c>
      <c r="I31485" s="16" t="n">
        <f aca="false">H31677</f>
        <v>25</v>
      </c>
      <c r="J31485" s="16" t="n">
        <f aca="false">I31677</f>
        <v>0</v>
      </c>
      <c r="K31485" s="16" t="n">
        <f aca="false">J31677</f>
        <v>0</v>
      </c>
    </row>
    <row r="31486" customFormat="false" ht="15" hidden="false" customHeight="false" outlineLevel="0" collapsed="false">
      <c r="A31486" s="3" t="s">
        <v>326</v>
      </c>
      <c r="G31486" s="16" t="n">
        <f aca="false">G31489*IF(G31490=1,$C$31481,IF(Assumptions!$I$57=1,MAX(G31479,Assumptions!$G$57)+Assumptions!$F$57+$C$31480,Assumptions!$E$57))+G31502*IF(G31503=1,$C$31481,IF(Assumptions!$I$58=1,MAX(G31479,Assumptions!$G$58)+Assumptions!$F$58+$C$31480,Assumptions!$E$58))+G31515*IF(G31516=1,$C$31481,IF(Assumptions!$I$59=1,MAX(G31479,Assumptions!$G$59)+Assumptions!$F$59+$C$31480,Assumptions!$E$59))+G31528*IF(G31529=1,$C$31481,IF(Assumptions!$I$60=1,MAX(G31479,Assumptions!$G$60)+Assumptions!$F$60+$C$31480,Assumptions!$E$60))+G31541*IF(G31542=1,$C$31481,IF(Assumptions!$I$61=1,MAX(G31479,Assumptions!$G$61)+Assumptions!$F$61+$C$31480,Assumptions!$E$61))+G31554*IF(G31555=1,$C$31481,IF(Assumptions!$I$62=1,MAX(G31479,Assumptions!$G$62)+Assumptions!$F$62+$C$31480,Assumptions!$E$62))+G31567*IF(G31568=1,$C$31481,IF(Assumptions!$I$63=1,MAX(G31479,Assumptions!$G$63)+Assumptions!$F$63+$C$31480,Assumptions!$E$63))+G31580*IF(G31581=1,$C$31481,IF(Assumptions!$I$64=1,MAX(G31479,Assumptions!$G$64)+Assumptions!$F$64+$C$31480,Assumptions!$E$64))+G31593*IF(G31594=1,$C$31481,IF(Assumptions!$I$65=1,MAX(G31479,Assumptions!$G$65)+Assumptions!$F$65+$C$31480,Assumptions!$E$65))+G31606*IF(G31607=1,$C$31481,IF(Assumptions!$I$66=1,MAX(G31479,Assumptions!$G$66)+Assumptions!$F$66+$C$31480,Assumptions!$E$66))</f>
        <v>180.2096854</v>
      </c>
      <c r="H31486" s="16" t="n">
        <f aca="false">H31489*IF(OR(H31490=1,G31799=1),$C$31481,IF(Assumptions!$I$57=1,MAX(H31479,Assumptions!$G$57)+Assumptions!$F$57+$C$31480,Assumptions!$E$57))+H31502*IF(OR(H31503=1,G31800=1),$C$31481,IF(Assumptions!$I$58=1,MAX(H31479,Assumptions!$G$58)+Assumptions!$F$58+$C$31480,Assumptions!$E$58))+H31515*IF(OR(H31516=1,G31801=1),$C$31481,IF(Assumptions!$I$59=1,MAX(H31479,Assumptions!$G$59)+Assumptions!$F$59+$C$31480,Assumptions!$E$59))+H31528*IF(OR(H31529=1,G31802=1),$C$31481,IF(Assumptions!$I$60=1,MAX(H31479,Assumptions!$G$60)+Assumptions!$F$60+$C$31480,Assumptions!$E$60))+H31541*IF(OR(H31542=1,G31803=1),$C$31481,IF(Assumptions!$I$61=1,MAX(H31479,Assumptions!$G$61)+Assumptions!$F$61+$C$31480,Assumptions!$E$61))+H31554*IF(OR(H31555=1,G31804=1),$C$31481,IF(Assumptions!$I$62=1,MAX(H31479,Assumptions!$G$62)+Assumptions!$F$62+$C$31480,Assumptions!$E$62))+H31567*IF(OR(H31568=1,G31805=1),$C$31481,IF(Assumptions!$I$63=1,MAX(H31479,Assumptions!$G$63)+Assumptions!$F$63+$C$31480,Assumptions!$E$63))+H31580*IF(OR(H31581=1,G31806=1),$C$31481,IF(Assumptions!$I$64=1,MAX(H31479,Assumptions!$G$64)+Assumptions!$F$64+$C$31480,Assumptions!$E$64))+H31593*IF(OR(H31594=1,G31807=1),$C$31481,IF(Assumptions!$I$65=1,MAX(H31479,Assumptions!$G$65)+Assumptions!$F$65+$C$31480,Assumptions!$E$65))+H31606*IF(OR(H31607=1,G31808=1),$C$31481,IF(Assumptions!$I$66=1,MAX(H31479,Assumptions!$G$66)+Assumptions!$F$66+$C$31480,Assumptions!$E$66))</f>
        <v>196.3067704</v>
      </c>
      <c r="I31486" s="16" t="n">
        <f aca="false">I31489*IF(OR(I31490=1,H31799=1),$C$31481,IF(Assumptions!$I$57=1,MAX(I31479,Assumptions!$G$57)+Assumptions!$F$57+$C$31480,Assumptions!$E$57))+I31502*IF(OR(I31503=1,H31800=1),$C$31481,IF(Assumptions!$I$58=1,MAX(I31479,Assumptions!$G$58)+Assumptions!$F$58+$C$31480,Assumptions!$E$58))+I31515*IF(OR(I31516=1,H31801=1),$C$31481,IF(Assumptions!$I$59=1,MAX(I31479,Assumptions!$G$59)+Assumptions!$F$59+$C$31480,Assumptions!$E$59))+I31528*IF(OR(I31529=1,H31802=1),$C$31481,IF(Assumptions!$I$60=1,MAX(I31479,Assumptions!$G$60)+Assumptions!$F$60+$C$31480,Assumptions!$E$60))+I31541*IF(OR(I31542=1,H31803=1),$C$31481,IF(Assumptions!$I$61=1,MAX(I31479,Assumptions!$G$61)+Assumptions!$F$61+$C$31480,Assumptions!$E$61))+I31554*IF(OR(I31555=1,H31804=1),$C$31481,IF(Assumptions!$I$62=1,MAX(I31479,Assumptions!$G$62)+Assumptions!$F$62+$C$31480,Assumptions!$E$62))+I31567*IF(OR(I31568=1,H31805=1),$C$31481,IF(Assumptions!$I$63=1,MAX(I31479,Assumptions!$G$63)+Assumptions!$F$63+$C$31480,Assumptions!$E$63))+I31580*IF(OR(I31581=1,H31806=1),$C$31481,IF(Assumptions!$I$64=1,MAX(I31479,Assumptions!$G$64)+Assumptions!$F$64+$C$31480,Assumptions!$E$64))+I31593*IF(OR(I31594=1,H31807=1),$C$31481,IF(Assumptions!$I$65=1,MAX(I31479,Assumptions!$G$65)+Assumptions!$F$65+$C$31480,Assumptions!$E$65))+I31606*IF(OR(I31607=1,H31808=1),$C$31481,IF(Assumptions!$I$66=1,MAX(I31479,Assumptions!$G$66)+Assumptions!$F$66+$C$31480,Assumptions!$E$66))</f>
        <v>186.575517509904</v>
      </c>
      <c r="J31486" s="16" t="n">
        <f aca="false">J31489*IF(OR(J31490=1,I31799=1),$C$31481,IF(Assumptions!$I$57=1,MAX(J31479,Assumptions!$G$57)+Assumptions!$F$57+$C$31480,Assumptions!$E$57))+J31502*IF(OR(J31503=1,I31800=1),$C$31481,IF(Assumptions!$I$58=1,MAX(J31479,Assumptions!$G$58)+Assumptions!$F$58+$C$31480,Assumptions!$E$58))+J31515*IF(OR(J31516=1,I31801=1),$C$31481,IF(Assumptions!$I$59=1,MAX(J31479,Assumptions!$G$59)+Assumptions!$F$59+$C$31480,Assumptions!$E$59))+J31528*IF(OR(J31529=1,I31802=1),$C$31481,IF(Assumptions!$I$60=1,MAX(J31479,Assumptions!$G$60)+Assumptions!$F$60+$C$31480,Assumptions!$E$60))+J31541*IF(OR(J31542=1,I31803=1),$C$31481,IF(Assumptions!$I$61=1,MAX(J31479,Assumptions!$G$61)+Assumptions!$F$61+$C$31480,Assumptions!$E$61))+J31554*IF(OR(J31555=1,I31804=1),$C$31481,IF(Assumptions!$I$62=1,MAX(J31479,Assumptions!$G$62)+Assumptions!$F$62+$C$31480,Assumptions!$E$62))+J31567*IF(OR(J31568=1,I31805=1),$C$31481,IF(Assumptions!$I$63=1,MAX(J31479,Assumptions!$G$63)+Assumptions!$F$63+$C$31480,Assumptions!$E$63))+J31580*IF(OR(J31581=1,I31806=1),$C$31481,IF(Assumptions!$I$64=1,MAX(J31479,Assumptions!$G$64)+Assumptions!$F$64+$C$31480,Assumptions!$E$64))+J31593*IF(OR(J31594=1,I31807=1),$C$31481,IF(Assumptions!$I$65=1,MAX(J31479,Assumptions!$G$65)+Assumptions!$F$65+$C$31480,Assumptions!$E$65))+J31606*IF(OR(J31607=1,I31808=1),$C$31481,IF(Assumptions!$I$66=1,MAX(J31479,Assumptions!$G$66)+Assumptions!$F$66+$C$31480,Assumptions!$E$66))</f>
        <v>203.644272884468</v>
      </c>
      <c r="K31486" s="16" t="n">
        <f aca="false">K31489*IF(OR(K31490=1,J31799=1),$C$31481,IF(Assumptions!$I$57=1,MAX(K31479,Assumptions!$G$57)+Assumptions!$F$57+$C$31480,Assumptions!$E$57))+K31502*IF(OR(K31503=1,J31800=1),$C$31481,IF(Assumptions!$I$58=1,MAX(K31479,Assumptions!$G$58)+Assumptions!$F$58+$C$31480,Assumptions!$E$58))+K31515*IF(OR(K31516=1,J31801=1),$C$31481,IF(Assumptions!$I$59=1,MAX(K31479,Assumptions!$G$59)+Assumptions!$F$59+$C$31480,Assumptions!$E$59))+K31528*IF(OR(K31529=1,J31802=1),$C$31481,IF(Assumptions!$I$60=1,MAX(K31479,Assumptions!$G$60)+Assumptions!$F$60+$C$31480,Assumptions!$E$60))+K31541*IF(OR(K31542=1,J31803=1),$C$31481,IF(Assumptions!$I$61=1,MAX(K31479,Assumptions!$G$61)+Assumptions!$F$61+$C$31480,Assumptions!$E$61))+K31554*IF(OR(K31555=1,J31804=1),$C$31481,IF(Assumptions!$I$62=1,MAX(K31479,Assumptions!$G$62)+Assumptions!$F$62+$C$31480,Assumptions!$E$62))+K31567*IF(OR(K31568=1,J31805=1),$C$31481,IF(Assumptions!$I$63=1,MAX(K31479,Assumptions!$G$63)+Assumptions!$F$63+$C$31480,Assumptions!$E$63))+K31580*IF(OR(K31581=1,J31806=1),$C$31481,IF(Assumptions!$I$64=1,MAX(K31479,Assumptions!$G$64)+Assumptions!$F$64+$C$31480,Assumptions!$E$64))+K31593*IF(OR(K31594=1,J31807=1),$C$31481,IF(Assumptions!$I$65=1,MAX(K31479,Assumptions!$G$65)+Assumptions!$F$65+$C$31480,Assumptions!$E$65))+K31606*IF(OR(K31607=1,J31808=1),$C$31481,IF(Assumptions!$I$66=1,MAX(K31479,Assumptions!$G$66)+Assumptions!$F$66+$C$31480,Assumptions!$E$66))</f>
        <v>213.149714699088</v>
      </c>
    </row>
    <row r="31487" customFormat="false" ht="15" hidden="false" customHeight="false" outlineLevel="0" collapsed="false">
      <c r="A31487" s="3" t="s">
        <v>327</v>
      </c>
      <c r="G31487" s="21" t="n">
        <f aca="false">IF(G31463&lt;=0,0,IF(AND((G31484-G31485)/G31463&lt;=$C$31482,G31463/G31486&gt;=$C$31483),1,0))</f>
        <v>1</v>
      </c>
      <c r="H31487" s="21" t="n">
        <f aca="false">IF(H31463&lt;=0,0,IF(AND((H31484-H31485)/H31463&lt;=$C$31482,H31463/H31486&gt;=$C$31483),1,0))</f>
        <v>1</v>
      </c>
      <c r="I31487" s="21" t="n">
        <f aca="false">IF(I31463&lt;=0,0,IF(AND((I31484-I31485)/I31463&lt;=$C$31482,I31463/I31486&gt;=$C$31483),1,0))</f>
        <v>1</v>
      </c>
      <c r="J31487" s="21" t="n">
        <f aca="false">IF(J31463&lt;=0,0,IF(AND((J31484-J31485)/J31463&lt;=$C$31482,J31463/J31486&gt;=$C$31483),1,0))</f>
        <v>1</v>
      </c>
      <c r="K31487" s="21" t="n">
        <f aca="false">IF(K31463&lt;=0,0,IF(AND((K31484-K31485)/K31463&lt;=$C$31482,K31463/K31486&gt;=$C$31483),1,0))</f>
        <v>1</v>
      </c>
    </row>
    <row r="31488" customFormat="false" ht="15" hidden="false" customHeight="false" outlineLevel="0" collapsed="false">
      <c r="A31488" s="24" t="s">
        <v>328</v>
      </c>
      <c r="B31488" s="25"/>
      <c r="C31488" s="25"/>
      <c r="D31488" s="25"/>
      <c r="E31488" s="25"/>
      <c r="F31488" s="25"/>
      <c r="G31488" s="25"/>
      <c r="H31488" s="25"/>
      <c r="I31488" s="25"/>
      <c r="J31488" s="25"/>
      <c r="K31488" s="25"/>
    </row>
    <row r="31489" customFormat="false" ht="15" hidden="false" customHeight="false" outlineLevel="0" collapsed="false">
      <c r="A31489" s="3" t="s">
        <v>329</v>
      </c>
      <c r="G31489" s="16" t="n">
        <f aca="false">F31500</f>
        <v>400</v>
      </c>
      <c r="H31489" s="16" t="n">
        <f aca="false">G31500</f>
        <v>396</v>
      </c>
      <c r="I31489" s="16" t="n">
        <f aca="false">H31500</f>
        <v>392</v>
      </c>
      <c r="J31489" s="16" t="n">
        <f aca="false">I31500</f>
        <v>388</v>
      </c>
      <c r="K31489" s="16" t="n">
        <f aca="false">J31500</f>
        <v>384</v>
      </c>
    </row>
    <row r="31490" customFormat="false" ht="15" hidden="false" customHeight="false" outlineLevel="0" collapsed="false">
      <c r="A31490" s="3" t="s">
        <v>330</v>
      </c>
      <c r="G31490" s="21" t="n">
        <f aca="false">IF(G31453=Assumptions!$K$57,1,0)</f>
        <v>0</v>
      </c>
      <c r="H31490" s="21" t="n">
        <f aca="false">IF(H31453=Assumptions!$K$57,1,0)</f>
        <v>0</v>
      </c>
      <c r="I31490" s="21" t="n">
        <f aca="false">IF(I31453=Assumptions!$K$57,1,0)</f>
        <v>0</v>
      </c>
      <c r="J31490" s="21" t="n">
        <f aca="false">IF(J31453=Assumptions!$K$57,1,0)</f>
        <v>0</v>
      </c>
      <c r="K31490" s="21" t="n">
        <f aca="false">IF(K31453=Assumptions!$K$57,1,0)</f>
        <v>1</v>
      </c>
    </row>
    <row r="31492" customFormat="false" ht="15" hidden="false" customHeight="false" outlineLevel="0" collapsed="false">
      <c r="A31492" s="3" t="s">
        <v>331</v>
      </c>
      <c r="G31492" s="31" t="n">
        <f aca="false">IF(Assumptions!$I$57=1,MAX(G31479,Assumptions!$G$57)+Assumptions!$F$57+$C$31480,Assumptions!$E$57)</f>
        <v>0.0915</v>
      </c>
      <c r="H31492" s="31" t="n">
        <f aca="false">IF(G31799=1,$C$31481,IF(Assumptions!$I$57=1,MAX(H31479,Assumptions!$G$57)+Assumptions!$F$57+$C$31480,Assumptions!$E$57))</f>
        <v>0.09</v>
      </c>
      <c r="I31492" s="31" t="n">
        <f aca="false">IF(H31799=1,$C$31481,IF(Assumptions!$I$57=1,MAX(I31479,Assumptions!$G$57)+Assumptions!$F$57+$C$31480,Assumptions!$E$57))</f>
        <v>0.0875</v>
      </c>
      <c r="J31492" s="31" t="n">
        <f aca="false">IF(I31799=1,$C$31481,IF(Assumptions!$I$57=1,MAX(J31479,Assumptions!$G$57)+Assumptions!$F$57+$C$31480,Assumptions!$E$57))</f>
        <v>0.0875</v>
      </c>
      <c r="K31492" s="31" t="n">
        <f aca="false">IF(J31799=1,$C$31481,IF(Assumptions!$I$57=1,MAX(K31479,Assumptions!$G$57)+Assumptions!$F$57+$C$31480,Assumptions!$E$57))</f>
        <v>0.0875</v>
      </c>
    </row>
    <row r="31493" customFormat="false" ht="15" hidden="false" customHeight="false" outlineLevel="0" collapsed="false">
      <c r="A31493" s="3" t="s">
        <v>332</v>
      </c>
      <c r="G31493" s="16" t="n">
        <f aca="false">G31489*G31492</f>
        <v>36.6</v>
      </c>
      <c r="H31493" s="16" t="n">
        <f aca="false">H31489*H31492</f>
        <v>35.64</v>
      </c>
      <c r="I31493" s="16" t="n">
        <f aca="false">I31489*I31492</f>
        <v>34.3</v>
      </c>
      <c r="J31493" s="16" t="n">
        <f aca="false">J31489*J31492</f>
        <v>33.95</v>
      </c>
      <c r="K31493" s="16" t="n">
        <f aca="false">K31489*K31492</f>
        <v>33.6</v>
      </c>
    </row>
    <row r="31494" customFormat="false" ht="15" hidden="false" customHeight="false" outlineLevel="0" collapsed="false">
      <c r="A31494" s="3" t="s">
        <v>333</v>
      </c>
      <c r="G31494" s="16" t="n">
        <f aca="false">G31489*Assumptions!$H$57</f>
        <v>0</v>
      </c>
      <c r="H31494" s="16" t="n">
        <f aca="false">H31489*Assumptions!$H$57</f>
        <v>0</v>
      </c>
      <c r="I31494" s="16" t="n">
        <f aca="false">I31489*Assumptions!$H$57</f>
        <v>0</v>
      </c>
      <c r="J31494" s="16" t="n">
        <f aca="false">J31489*Assumptions!$H$57</f>
        <v>0</v>
      </c>
      <c r="K31494" s="16" t="n">
        <f aca="false">K31489*Assumptions!$H$57</f>
        <v>0</v>
      </c>
    </row>
    <row r="31495" customFormat="false" ht="15" hidden="false" customHeight="false" outlineLevel="0" collapsed="false">
      <c r="A31495" s="3" t="s">
        <v>334</v>
      </c>
      <c r="G31495" s="16" t="n">
        <f aca="false">MIN(G31489,Assumptions!$L$57*Assumptions!$C$57)</f>
        <v>4</v>
      </c>
      <c r="H31495" s="16" t="n">
        <f aca="false">MIN(H31489,Assumptions!$L$57*Assumptions!$C$57)</f>
        <v>4</v>
      </c>
      <c r="I31495" s="16" t="n">
        <f aca="false">MIN(I31489,Assumptions!$L$57*Assumptions!$C$57)</f>
        <v>4</v>
      </c>
      <c r="J31495" s="16" t="n">
        <f aca="false">MIN(J31489,Assumptions!$L$57*Assumptions!$C$57)</f>
        <v>4</v>
      </c>
      <c r="K31495" s="16" t="n">
        <f aca="false">MIN(K31489,Assumptions!$L$57*Assumptions!$C$57)</f>
        <v>4</v>
      </c>
    </row>
    <row r="31496" customFormat="false" ht="15" hidden="false" customHeight="false" outlineLevel="0" collapsed="false">
      <c r="A31496" s="3" t="s">
        <v>335</v>
      </c>
      <c r="G31496" s="16" t="n">
        <f aca="false">IF(AND(Assumptions!$P$57=1,G31453&lt;Assumptions!$K$57),MIN(MAX(0,-G31669),MAX(0,Assumptions!$D$57-G31489)),0)</f>
        <v>0</v>
      </c>
      <c r="H31496" s="16" t="n">
        <f aca="false">IF(AND(Assumptions!$P$57=1,OR(H31453&lt;Assumptions!$K$57,G31799=1)),MIN(MAX(0,-H31669),MAX(0,Assumptions!$D$57-H31489)),0)</f>
        <v>0</v>
      </c>
      <c r="I31496" s="16" t="n">
        <f aca="false">IF(AND(Assumptions!$P$57=1,OR(I31453&lt;Assumptions!$K$57,H31799=1)),MIN(MAX(0,-I31669),MAX(0,Assumptions!$D$57-I31489)),0)</f>
        <v>0</v>
      </c>
      <c r="J31496" s="16" t="n">
        <f aca="false">IF(AND(Assumptions!$P$57=1,OR(J31453&lt;Assumptions!$K$57,I31799=1)),MIN(MAX(0,-J31669),MAX(0,Assumptions!$D$57-J31489)),0)</f>
        <v>0</v>
      </c>
      <c r="K31496" s="16" t="n">
        <f aca="false">IF(AND(Assumptions!$P$57=1,OR(K31453&lt;Assumptions!$K$57,J31799=1)),MIN(MAX(0,-K31669),MAX(0,Assumptions!$D$57-K31489)),0)</f>
        <v>0</v>
      </c>
    </row>
    <row r="31497" customFormat="false" ht="15" hidden="false" customHeight="false" outlineLevel="0" collapsed="false">
      <c r="A31497" s="3" t="s">
        <v>336</v>
      </c>
      <c r="G31497" s="16" t="n">
        <f aca="false">G31490*MIN(G31489-G31495+G31494,MAX(0,G31671-Assumptions!$C$12*G31487))</f>
        <v>0</v>
      </c>
      <c r="H31497" s="16" t="n">
        <f aca="false">H31490*MIN(H31489-H31495+H31494,MAX(0,H31671-Assumptions!$C$12*H31487))</f>
        <v>0</v>
      </c>
      <c r="I31497" s="16" t="n">
        <f aca="false">I31490*MIN(I31489-I31495+I31494,MAX(0,I31671-Assumptions!$C$12*I31487))</f>
        <v>0</v>
      </c>
      <c r="J31497" s="16" t="n">
        <f aca="false">J31490*MIN(J31489-J31495+J31494,MAX(0,J31671-Assumptions!$C$12*J31487))</f>
        <v>0</v>
      </c>
      <c r="K31497" s="16" t="n">
        <f aca="false">K31490*MIN(K31489-K31495+K31494,MAX(0,K31671-Assumptions!$C$12*K31487))</f>
        <v>0</v>
      </c>
    </row>
    <row r="31498" customFormat="false" ht="15" hidden="false" customHeight="false" outlineLevel="0" collapsed="false">
      <c r="A31498" s="3" t="s">
        <v>337</v>
      </c>
      <c r="G31498" s="16" t="n">
        <f aca="false">Assumptions!$N$57*MIN(G31489+G31496+G31494-G31495-G31497,MAX(0,G31675))</f>
        <v>0</v>
      </c>
      <c r="H31498" s="16" t="n">
        <f aca="false">Assumptions!$N$57*MIN(H31489+H31496+H31494-H31495-H31497,MAX(0,H31675))</f>
        <v>0</v>
      </c>
      <c r="I31498" s="16" t="n">
        <f aca="false">Assumptions!$N$57*MIN(I31489+I31496+I31494-I31495-I31497,MAX(0,I31675))</f>
        <v>0</v>
      </c>
      <c r="J31498" s="16" t="n">
        <f aca="false">Assumptions!$N$57*MIN(J31489+J31496+J31494-J31495-J31497,MAX(0,J31675))</f>
        <v>0</v>
      </c>
      <c r="K31498" s="16" t="n">
        <f aca="false">Assumptions!$N$57*MIN(K31489+K31496+K31494-K31495-K31497,MAX(0,K31675))</f>
        <v>0</v>
      </c>
    </row>
    <row r="31499" customFormat="false" ht="15" hidden="false" customHeight="false" outlineLevel="0" collapsed="false">
      <c r="A31499" s="3" t="s">
        <v>338</v>
      </c>
      <c r="G31499" s="16" t="n">
        <f aca="false">G31490*(1-G31487)*(G31489-G31495+G31494-G31497)</f>
        <v>0</v>
      </c>
      <c r="H31499" s="16" t="n">
        <f aca="false">H31490*(1-H31487)*(H31489-H31495+H31494-H31497)</f>
        <v>0</v>
      </c>
      <c r="I31499" s="16" t="n">
        <f aca="false">I31490*(1-I31487)*(I31489-I31495+I31494-I31497)</f>
        <v>0</v>
      </c>
      <c r="J31499" s="16" t="n">
        <f aca="false">J31490*(1-J31487)*(J31489-J31495+J31494-J31497)</f>
        <v>0</v>
      </c>
      <c r="K31499" s="16" t="n">
        <f aca="false">K31490*(1-K31487)*(K31489-K31495+K31494-K31497)</f>
        <v>0</v>
      </c>
    </row>
    <row r="31500" customFormat="false" ht="15" hidden="false" customHeight="false" outlineLevel="0" collapsed="false">
      <c r="A31500" s="2" t="s">
        <v>339</v>
      </c>
      <c r="F31500" s="28" t="n">
        <f aca="false">Assumptions!$C$57</f>
        <v>400</v>
      </c>
      <c r="G31500" s="17" t="n">
        <f aca="false">G31489+G31496+G31494-G31495-G31497-G31498</f>
        <v>396</v>
      </c>
      <c r="H31500" s="17" t="n">
        <f aca="false">H31489+H31496+H31494-H31495-H31497-H31498</f>
        <v>392</v>
      </c>
      <c r="I31500" s="17" t="n">
        <f aca="false">I31489+I31496+I31494-I31495-I31497-I31498</f>
        <v>388</v>
      </c>
      <c r="J31500" s="17" t="n">
        <f aca="false">J31489+J31496+J31494-J31495-J31497-J31498</f>
        <v>384</v>
      </c>
      <c r="K31500" s="17" t="n">
        <f aca="false">K31489+K31496+K31494-K31495-K31497-K31498</f>
        <v>380</v>
      </c>
    </row>
    <row r="31501" customFormat="false" ht="15" hidden="false" customHeight="false" outlineLevel="0" collapsed="false">
      <c r="A31501" s="24" t="s">
        <v>340</v>
      </c>
      <c r="B31501" s="25"/>
      <c r="C31501" s="25"/>
      <c r="D31501" s="25"/>
      <c r="E31501" s="25"/>
      <c r="F31501" s="25"/>
      <c r="G31501" s="25"/>
      <c r="H31501" s="25"/>
      <c r="I31501" s="25"/>
      <c r="J31501" s="25"/>
      <c r="K31501" s="25"/>
    </row>
    <row r="31502" customFormat="false" ht="15" hidden="false" customHeight="false" outlineLevel="0" collapsed="false">
      <c r="A31502" s="3" t="s">
        <v>329</v>
      </c>
      <c r="G31502" s="16" t="n">
        <f aca="false">F31513</f>
        <v>90</v>
      </c>
      <c r="H31502" s="16" t="n">
        <f aca="false">G31513</f>
        <v>90</v>
      </c>
      <c r="I31502" s="16" t="n">
        <f aca="false">H31513</f>
        <v>90</v>
      </c>
      <c r="J31502" s="16" t="n">
        <f aca="false">I31513</f>
        <v>90</v>
      </c>
      <c r="K31502" s="16" t="n">
        <f aca="false">J31513</f>
        <v>90</v>
      </c>
    </row>
    <row r="31503" customFormat="false" ht="15" hidden="false" customHeight="false" outlineLevel="0" collapsed="false">
      <c r="A31503" s="3" t="s">
        <v>330</v>
      </c>
      <c r="G31503" s="21" t="n">
        <f aca="false">IF(G31453=Assumptions!$K$58,1,0)</f>
        <v>0</v>
      </c>
      <c r="H31503" s="21" t="n">
        <f aca="false">IF(H31453=Assumptions!$K$58,1,0)</f>
        <v>0</v>
      </c>
      <c r="I31503" s="21" t="n">
        <f aca="false">IF(I31453=Assumptions!$K$58,1,0)</f>
        <v>0</v>
      </c>
      <c r="J31503" s="21" t="n">
        <f aca="false">IF(J31453=Assumptions!$K$58,1,0)</f>
        <v>0</v>
      </c>
      <c r="K31503" s="21" t="n">
        <f aca="false">IF(K31453=Assumptions!$K$58,1,0)</f>
        <v>0</v>
      </c>
    </row>
    <row r="31505" customFormat="false" ht="15" hidden="false" customHeight="false" outlineLevel="0" collapsed="false">
      <c r="A31505" s="3" t="s">
        <v>331</v>
      </c>
      <c r="G31505" s="31" t="n">
        <f aca="false">IF(Assumptions!$I$58=1,MAX(G31479,Assumptions!$G$58)+Assumptions!$F$58+$C$31480,Assumptions!$E$58)</f>
        <v>0.0581</v>
      </c>
      <c r="H31505" s="31" t="n">
        <f aca="false">IF(G31800=1,$C$31481,IF(Assumptions!$I$58=1,MAX(H31479,Assumptions!$G$58)+Assumptions!$F$58+$C$31480,Assumptions!$E$58))</f>
        <v>0.0581</v>
      </c>
      <c r="I31505" s="31" t="n">
        <f aca="false">IF(H31800=1,$C$31481,IF(Assumptions!$I$58=1,MAX(I31479,Assumptions!$G$58)+Assumptions!$F$58+$C$31480,Assumptions!$E$58))</f>
        <v>0.0581</v>
      </c>
      <c r="J31505" s="31" t="n">
        <f aca="false">IF(I31800=1,$C$31481,IF(Assumptions!$I$58=1,MAX(J31479,Assumptions!$G$58)+Assumptions!$F$58+$C$31480,Assumptions!$E$58))</f>
        <v>0.0581</v>
      </c>
      <c r="K31505" s="31" t="n">
        <f aca="false">IF(J31800=1,$C$31481,IF(Assumptions!$I$58=1,MAX(K31479,Assumptions!$G$58)+Assumptions!$F$58+$C$31480,Assumptions!$E$58))</f>
        <v>0.0581</v>
      </c>
    </row>
    <row r="31506" customFormat="false" ht="15" hidden="false" customHeight="false" outlineLevel="0" collapsed="false">
      <c r="A31506" s="3" t="s">
        <v>332</v>
      </c>
      <c r="G31506" s="16" t="n">
        <f aca="false">G31502*G31505</f>
        <v>5.229</v>
      </c>
      <c r="H31506" s="16" t="n">
        <f aca="false">H31502*H31505</f>
        <v>5.229</v>
      </c>
      <c r="I31506" s="16" t="n">
        <f aca="false">I31502*I31505</f>
        <v>5.229</v>
      </c>
      <c r="J31506" s="16" t="n">
        <f aca="false">J31502*J31505</f>
        <v>5.229</v>
      </c>
      <c r="K31506" s="16" t="n">
        <f aca="false">K31502*K31505</f>
        <v>5.229</v>
      </c>
    </row>
    <row r="31507" customFormat="false" ht="15" hidden="false" customHeight="false" outlineLevel="0" collapsed="false">
      <c r="A31507" s="3" t="s">
        <v>333</v>
      </c>
      <c r="G31507" s="16" t="n">
        <f aca="false">G31502*Assumptions!$H$58</f>
        <v>0</v>
      </c>
      <c r="H31507" s="16" t="n">
        <f aca="false">H31502*Assumptions!$H$58</f>
        <v>0</v>
      </c>
      <c r="I31507" s="16" t="n">
        <f aca="false">I31502*Assumptions!$H$58</f>
        <v>0</v>
      </c>
      <c r="J31507" s="16" t="n">
        <f aca="false">J31502*Assumptions!$H$58</f>
        <v>0</v>
      </c>
      <c r="K31507" s="16" t="n">
        <f aca="false">K31502*Assumptions!$H$58</f>
        <v>0</v>
      </c>
    </row>
    <row r="31508" customFormat="false" ht="15" hidden="false" customHeight="false" outlineLevel="0" collapsed="false">
      <c r="A31508" s="3" t="s">
        <v>334</v>
      </c>
      <c r="G31508" s="16" t="n">
        <f aca="false">MIN(G31502,Assumptions!$L$58*Assumptions!$C$58)</f>
        <v>0</v>
      </c>
      <c r="H31508" s="16" t="n">
        <f aca="false">MIN(H31502,Assumptions!$L$58*Assumptions!$C$58)</f>
        <v>0</v>
      </c>
      <c r="I31508" s="16" t="n">
        <f aca="false">MIN(I31502,Assumptions!$L$58*Assumptions!$C$58)</f>
        <v>0</v>
      </c>
      <c r="J31508" s="16" t="n">
        <f aca="false">MIN(J31502,Assumptions!$L$58*Assumptions!$C$58)</f>
        <v>0</v>
      </c>
      <c r="K31508" s="16" t="n">
        <f aca="false">MIN(K31502,Assumptions!$L$58*Assumptions!$C$58)</f>
        <v>0</v>
      </c>
    </row>
    <row r="31509" customFormat="false" ht="15" hidden="false" customHeight="false" outlineLevel="0" collapsed="false">
      <c r="A31509" s="3" t="s">
        <v>335</v>
      </c>
      <c r="G31509" s="16" t="n">
        <f aca="false">IF(AND(Assumptions!$P$58=1,G31453&lt;Assumptions!$K$58),MIN(MAX(0,-G31669),MAX(0,Assumptions!$D$58-G31502)),0)</f>
        <v>0</v>
      </c>
      <c r="H31509" s="16" t="n">
        <f aca="false">IF(AND(Assumptions!$P$58=1,OR(H31453&lt;Assumptions!$K$58,G31800=1)),MIN(MAX(0,-H31669),MAX(0,Assumptions!$D$58-H31502)),0)</f>
        <v>0</v>
      </c>
      <c r="I31509" s="16" t="n">
        <f aca="false">IF(AND(Assumptions!$P$58=1,OR(I31453&lt;Assumptions!$K$58,H31800=1)),MIN(MAX(0,-I31669),MAX(0,Assumptions!$D$58-I31502)),0)</f>
        <v>0</v>
      </c>
      <c r="J31509" s="16" t="n">
        <f aca="false">IF(AND(Assumptions!$P$58=1,OR(J31453&lt;Assumptions!$K$58,I31800=1)),MIN(MAX(0,-J31669),MAX(0,Assumptions!$D$58-J31502)),0)</f>
        <v>0</v>
      </c>
      <c r="K31509" s="16" t="n">
        <f aca="false">IF(AND(Assumptions!$P$58=1,OR(K31453&lt;Assumptions!$K$58,J31800=1)),MIN(MAX(0,-K31669),MAX(0,Assumptions!$D$58-K31502)),0)</f>
        <v>0</v>
      </c>
    </row>
    <row r="31510" customFormat="false" ht="15" hidden="false" customHeight="false" outlineLevel="0" collapsed="false">
      <c r="A31510" s="3" t="s">
        <v>336</v>
      </c>
      <c r="G31510" s="16" t="n">
        <f aca="false">G31503*MIN(G31502-G31508+G31507,MAX(0,G31671-Assumptions!$C$12*G31487-G31497))</f>
        <v>0</v>
      </c>
      <c r="H31510" s="16" t="n">
        <f aca="false">H31503*MIN(H31502-H31508+H31507,MAX(0,H31671-Assumptions!$C$12*H31487-H31497))</f>
        <v>0</v>
      </c>
      <c r="I31510" s="16" t="n">
        <f aca="false">I31503*MIN(I31502-I31508+I31507,MAX(0,I31671-Assumptions!$C$12*I31487-I31497))</f>
        <v>0</v>
      </c>
      <c r="J31510" s="16" t="n">
        <f aca="false">J31503*MIN(J31502-J31508+J31507,MAX(0,J31671-Assumptions!$C$12*J31487-J31497))</f>
        <v>0</v>
      </c>
      <c r="K31510" s="16" t="n">
        <f aca="false">K31503*MIN(K31502-K31508+K31507,MAX(0,K31671-Assumptions!$C$12*K31487-K31497))</f>
        <v>0</v>
      </c>
    </row>
    <row r="31511" customFormat="false" ht="15" hidden="false" customHeight="false" outlineLevel="0" collapsed="false">
      <c r="A31511" s="3" t="s">
        <v>337</v>
      </c>
      <c r="G31511" s="16" t="n">
        <f aca="false">Assumptions!$N$58*MIN(G31502+G31509+G31507-G31508-G31510,MAX(0,G31675-G31498))</f>
        <v>0</v>
      </c>
      <c r="H31511" s="16" t="n">
        <f aca="false">Assumptions!$N$58*MIN(H31502+H31509+H31507-H31508-H31510,MAX(0,H31675-H31498))</f>
        <v>0</v>
      </c>
      <c r="I31511" s="16" t="n">
        <f aca="false">Assumptions!$N$58*MIN(I31502+I31509+I31507-I31508-I31510,MAX(0,I31675-I31498))</f>
        <v>0</v>
      </c>
      <c r="J31511" s="16" t="n">
        <f aca="false">Assumptions!$N$58*MIN(J31502+J31509+J31507-J31508-J31510,MAX(0,J31675-J31498))</f>
        <v>0</v>
      </c>
      <c r="K31511" s="16" t="n">
        <f aca="false">Assumptions!$N$58*MIN(K31502+K31509+K31507-K31508-K31510,MAX(0,K31675-K31498))</f>
        <v>0</v>
      </c>
    </row>
    <row r="31512" customFormat="false" ht="15" hidden="false" customHeight="false" outlineLevel="0" collapsed="false">
      <c r="A31512" s="3" t="s">
        <v>338</v>
      </c>
      <c r="G31512" s="16" t="n">
        <f aca="false">G31503*(1-G31487)*(G31502-G31508+G31507-G31510)</f>
        <v>0</v>
      </c>
      <c r="H31512" s="16" t="n">
        <f aca="false">H31503*(1-H31487)*(H31502-H31508+H31507-H31510)</f>
        <v>0</v>
      </c>
      <c r="I31512" s="16" t="n">
        <f aca="false">I31503*(1-I31487)*(I31502-I31508+I31507-I31510)</f>
        <v>0</v>
      </c>
      <c r="J31512" s="16" t="n">
        <f aca="false">J31503*(1-J31487)*(J31502-J31508+J31507-J31510)</f>
        <v>0</v>
      </c>
      <c r="K31512" s="16" t="n">
        <f aca="false">K31503*(1-K31487)*(K31502-K31508+K31507-K31510)</f>
        <v>0</v>
      </c>
    </row>
    <row r="31513" customFormat="false" ht="15" hidden="false" customHeight="false" outlineLevel="0" collapsed="false">
      <c r="A31513" s="2" t="s">
        <v>339</v>
      </c>
      <c r="F31513" s="28" t="n">
        <f aca="false">Assumptions!$C$58</f>
        <v>90</v>
      </c>
      <c r="G31513" s="17" t="n">
        <f aca="false">G31502+G31509+G31507-G31508-G31510-G31511</f>
        <v>90</v>
      </c>
      <c r="H31513" s="17" t="n">
        <f aca="false">H31502+H31509+H31507-H31508-H31510-H31511</f>
        <v>90</v>
      </c>
      <c r="I31513" s="17" t="n">
        <f aca="false">I31502+I31509+I31507-I31508-I31510-I31511</f>
        <v>90</v>
      </c>
      <c r="J31513" s="17" t="n">
        <f aca="false">J31502+J31509+J31507-J31508-J31510-J31511</f>
        <v>90</v>
      </c>
      <c r="K31513" s="17" t="n">
        <f aca="false">K31502+K31509+K31507-K31508-K31510-K31511</f>
        <v>90</v>
      </c>
    </row>
    <row r="31514" customFormat="false" ht="15" hidden="false" customHeight="false" outlineLevel="0" collapsed="false">
      <c r="A31514" s="24" t="s">
        <v>341</v>
      </c>
      <c r="B31514" s="25"/>
      <c r="C31514" s="25"/>
      <c r="D31514" s="25"/>
      <c r="E31514" s="25"/>
      <c r="F31514" s="25"/>
      <c r="G31514" s="25"/>
      <c r="H31514" s="25"/>
      <c r="I31514" s="25"/>
      <c r="J31514" s="25"/>
      <c r="K31514" s="25"/>
    </row>
    <row r="31515" customFormat="false" ht="15" hidden="false" customHeight="false" outlineLevel="0" collapsed="false">
      <c r="A31515" s="3" t="s">
        <v>329</v>
      </c>
      <c r="G31515" s="16" t="n">
        <f aca="false">F31526</f>
        <v>57.324</v>
      </c>
      <c r="H31515" s="16" t="n">
        <f aca="false">G31526</f>
        <v>57.324</v>
      </c>
      <c r="I31515" s="16" t="n">
        <f aca="false">H31526</f>
        <v>57.324</v>
      </c>
      <c r="J31515" s="16" t="n">
        <f aca="false">I31526</f>
        <v>57.324</v>
      </c>
      <c r="K31515" s="16" t="n">
        <f aca="false">J31526</f>
        <v>57.324</v>
      </c>
    </row>
    <row r="31516" customFormat="false" ht="15" hidden="false" customHeight="false" outlineLevel="0" collapsed="false">
      <c r="A31516" s="3" t="s">
        <v>330</v>
      </c>
      <c r="G31516" s="21" t="n">
        <f aca="false">IF(G31453=Assumptions!$K$59,1,0)</f>
        <v>0</v>
      </c>
      <c r="H31516" s="21" t="n">
        <f aca="false">IF(H31453=Assumptions!$K$59,1,0)</f>
        <v>0</v>
      </c>
      <c r="I31516" s="21" t="n">
        <f aca="false">IF(I31453=Assumptions!$K$59,1,0)</f>
        <v>0</v>
      </c>
      <c r="J31516" s="21" t="n">
        <f aca="false">IF(J31453=Assumptions!$K$59,1,0)</f>
        <v>0</v>
      </c>
      <c r="K31516" s="21" t="n">
        <f aca="false">IF(K31453=Assumptions!$K$59,1,0)</f>
        <v>0</v>
      </c>
    </row>
    <row r="31518" customFormat="false" ht="15" hidden="false" customHeight="false" outlineLevel="0" collapsed="false">
      <c r="A31518" s="3" t="s">
        <v>331</v>
      </c>
      <c r="G31518" s="31" t="n">
        <f aca="false">IF(Assumptions!$I$59=1,MAX(G31479,Assumptions!$G$59)+Assumptions!$F$59+$C$31480,Assumptions!$E$59)</f>
        <v>0.0731</v>
      </c>
      <c r="H31518" s="31" t="n">
        <f aca="false">IF(G31801=1,$C$31481,IF(Assumptions!$I$59=1,MAX(H31479,Assumptions!$G$59)+Assumptions!$F$59+$C$31480,Assumptions!$E$59))</f>
        <v>0.0731</v>
      </c>
      <c r="I31518" s="31" t="n">
        <f aca="false">IF(H31801=1,$C$31481,IF(Assumptions!$I$59=1,MAX(I31479,Assumptions!$G$59)+Assumptions!$F$59+$C$31480,Assumptions!$E$59))</f>
        <v>0.0731</v>
      </c>
      <c r="J31518" s="31" t="n">
        <f aca="false">IF(I31801=1,$C$31481,IF(Assumptions!$I$59=1,MAX(J31479,Assumptions!$G$59)+Assumptions!$F$59+$C$31480,Assumptions!$E$59))</f>
        <v>0.0731</v>
      </c>
      <c r="K31518" s="31" t="n">
        <f aca="false">IF(J31801=1,$C$31481,IF(Assumptions!$I$59=1,MAX(K31479,Assumptions!$G$59)+Assumptions!$F$59+$C$31480,Assumptions!$E$59))</f>
        <v>0.0731</v>
      </c>
    </row>
    <row r="31519" customFormat="false" ht="15" hidden="false" customHeight="false" outlineLevel="0" collapsed="false">
      <c r="A31519" s="3" t="s">
        <v>332</v>
      </c>
      <c r="G31519" s="16" t="n">
        <f aca="false">G31515*G31518</f>
        <v>4.1903844</v>
      </c>
      <c r="H31519" s="16" t="n">
        <f aca="false">H31515*H31518</f>
        <v>4.1903844</v>
      </c>
      <c r="I31519" s="16" t="n">
        <f aca="false">I31515*I31518</f>
        <v>4.1903844</v>
      </c>
      <c r="J31519" s="16" t="n">
        <f aca="false">J31515*J31518</f>
        <v>4.1903844</v>
      </c>
      <c r="K31519" s="16" t="n">
        <f aca="false">K31515*K31518</f>
        <v>4.1903844</v>
      </c>
    </row>
    <row r="31520" customFormat="false" ht="15" hidden="false" customHeight="false" outlineLevel="0" collapsed="false">
      <c r="A31520" s="3" t="s">
        <v>333</v>
      </c>
      <c r="G31520" s="16" t="n">
        <f aca="false">G31515*Assumptions!$H$59</f>
        <v>0</v>
      </c>
      <c r="H31520" s="16" t="n">
        <f aca="false">H31515*Assumptions!$H$59</f>
        <v>0</v>
      </c>
      <c r="I31520" s="16" t="n">
        <f aca="false">I31515*Assumptions!$H$59</f>
        <v>0</v>
      </c>
      <c r="J31520" s="16" t="n">
        <f aca="false">J31515*Assumptions!$H$59</f>
        <v>0</v>
      </c>
      <c r="K31520" s="16" t="n">
        <f aca="false">K31515*Assumptions!$H$59</f>
        <v>0</v>
      </c>
    </row>
    <row r="31521" customFormat="false" ht="15" hidden="false" customHeight="false" outlineLevel="0" collapsed="false">
      <c r="A31521" s="3" t="s">
        <v>334</v>
      </c>
      <c r="G31521" s="16" t="n">
        <f aca="false">MIN(G31515,Assumptions!$L$59*Assumptions!$C$59)</f>
        <v>0</v>
      </c>
      <c r="H31521" s="16" t="n">
        <f aca="false">MIN(H31515,Assumptions!$L$59*Assumptions!$C$59)</f>
        <v>0</v>
      </c>
      <c r="I31521" s="16" t="n">
        <f aca="false">MIN(I31515,Assumptions!$L$59*Assumptions!$C$59)</f>
        <v>0</v>
      </c>
      <c r="J31521" s="16" t="n">
        <f aca="false">MIN(J31515,Assumptions!$L$59*Assumptions!$C$59)</f>
        <v>0</v>
      </c>
      <c r="K31521" s="16" t="n">
        <f aca="false">MIN(K31515,Assumptions!$L$59*Assumptions!$C$59)</f>
        <v>0</v>
      </c>
    </row>
    <row r="31522" customFormat="false" ht="15" hidden="false" customHeight="false" outlineLevel="0" collapsed="false">
      <c r="A31522" s="3" t="s">
        <v>335</v>
      </c>
      <c r="G31522" s="16" t="n">
        <f aca="false">IF(AND(Assumptions!$P$59=1,G31453&lt;Assumptions!$K$59),MIN(MAX(0,-G31669),MAX(0,Assumptions!$D$59-G31515)),0)</f>
        <v>0</v>
      </c>
      <c r="H31522" s="16" t="n">
        <f aca="false">IF(AND(Assumptions!$P$59=1,OR(H31453&lt;Assumptions!$K$59,G31801=1)),MIN(MAX(0,-H31669),MAX(0,Assumptions!$D$59-H31515)),0)</f>
        <v>0</v>
      </c>
      <c r="I31522" s="16" t="n">
        <f aca="false">IF(AND(Assumptions!$P$59=1,OR(I31453&lt;Assumptions!$K$59,H31801=1)),MIN(MAX(0,-I31669),MAX(0,Assumptions!$D$59-I31515)),0)</f>
        <v>0</v>
      </c>
      <c r="J31522" s="16" t="n">
        <f aca="false">IF(AND(Assumptions!$P$59=1,OR(J31453&lt;Assumptions!$K$59,I31801=1)),MIN(MAX(0,-J31669),MAX(0,Assumptions!$D$59-J31515)),0)</f>
        <v>0</v>
      </c>
      <c r="K31522" s="16" t="n">
        <f aca="false">IF(AND(Assumptions!$P$59=1,OR(K31453&lt;Assumptions!$K$59,J31801=1)),MIN(MAX(0,-K31669),MAX(0,Assumptions!$D$59-K31515)),0)</f>
        <v>0</v>
      </c>
    </row>
    <row r="31523" customFormat="false" ht="15" hidden="false" customHeight="false" outlineLevel="0" collapsed="false">
      <c r="A31523" s="3" t="s">
        <v>336</v>
      </c>
      <c r="G31523" s="16" t="n">
        <f aca="false">G31516*MIN(G31515-G31521+G31520,MAX(0,G31671-Assumptions!$C$12*G31487-G31497-G31510))</f>
        <v>0</v>
      </c>
      <c r="H31523" s="16" t="n">
        <f aca="false">H31516*MIN(H31515-H31521+H31520,MAX(0,H31671-Assumptions!$C$12*H31487-H31497-H31510))</f>
        <v>0</v>
      </c>
      <c r="I31523" s="16" t="n">
        <f aca="false">I31516*MIN(I31515-I31521+I31520,MAX(0,I31671-Assumptions!$C$12*I31487-I31497-I31510))</f>
        <v>0</v>
      </c>
      <c r="J31523" s="16" t="n">
        <f aca="false">J31516*MIN(J31515-J31521+J31520,MAX(0,J31671-Assumptions!$C$12*J31487-J31497-J31510))</f>
        <v>0</v>
      </c>
      <c r="K31523" s="16" t="n">
        <f aca="false">K31516*MIN(K31515-K31521+K31520,MAX(0,K31671-Assumptions!$C$12*K31487-K31497-K31510))</f>
        <v>0</v>
      </c>
    </row>
    <row r="31524" customFormat="false" ht="15" hidden="false" customHeight="false" outlineLevel="0" collapsed="false">
      <c r="A31524" s="3" t="s">
        <v>337</v>
      </c>
      <c r="G31524" s="16" t="n">
        <f aca="false">Assumptions!$N$59*MIN(G31515+G31522+G31520-G31521-G31523,MAX(0,G31675-G31498-G31511))</f>
        <v>0</v>
      </c>
      <c r="H31524" s="16" t="n">
        <f aca="false">Assumptions!$N$59*MIN(H31515+H31522+H31520-H31521-H31523,MAX(0,H31675-H31498-H31511))</f>
        <v>0</v>
      </c>
      <c r="I31524" s="16" t="n">
        <f aca="false">Assumptions!$N$59*MIN(I31515+I31522+I31520-I31521-I31523,MAX(0,I31675-I31498-I31511))</f>
        <v>0</v>
      </c>
      <c r="J31524" s="16" t="n">
        <f aca="false">Assumptions!$N$59*MIN(J31515+J31522+J31520-J31521-J31523,MAX(0,J31675-J31498-J31511))</f>
        <v>0</v>
      </c>
      <c r="K31524" s="16" t="n">
        <f aca="false">Assumptions!$N$59*MIN(K31515+K31522+K31520-K31521-K31523,MAX(0,K31675-K31498-K31511))</f>
        <v>0</v>
      </c>
    </row>
    <row r="31525" customFormat="false" ht="15" hidden="false" customHeight="false" outlineLevel="0" collapsed="false">
      <c r="A31525" s="3" t="s">
        <v>338</v>
      </c>
      <c r="G31525" s="16" t="n">
        <f aca="false">G31516*(1-G31487)*(G31515-G31521+G31520-G31523)</f>
        <v>0</v>
      </c>
      <c r="H31525" s="16" t="n">
        <f aca="false">H31516*(1-H31487)*(H31515-H31521+H31520-H31523)</f>
        <v>0</v>
      </c>
      <c r="I31525" s="16" t="n">
        <f aca="false">I31516*(1-I31487)*(I31515-I31521+I31520-I31523)</f>
        <v>0</v>
      </c>
      <c r="J31525" s="16" t="n">
        <f aca="false">J31516*(1-J31487)*(J31515-J31521+J31520-J31523)</f>
        <v>0</v>
      </c>
      <c r="K31525" s="16" t="n">
        <f aca="false">K31516*(1-K31487)*(K31515-K31521+K31520-K31523)</f>
        <v>0</v>
      </c>
    </row>
    <row r="31526" customFormat="false" ht="15" hidden="false" customHeight="false" outlineLevel="0" collapsed="false">
      <c r="A31526" s="2" t="s">
        <v>339</v>
      </c>
      <c r="F31526" s="28" t="n">
        <f aca="false">Assumptions!$C$59</f>
        <v>57.324</v>
      </c>
      <c r="G31526" s="17" t="n">
        <f aca="false">G31515+G31522+G31520-G31521-G31523-G31524</f>
        <v>57.324</v>
      </c>
      <c r="H31526" s="17" t="n">
        <f aca="false">H31515+H31522+H31520-H31521-H31523-H31524</f>
        <v>57.324</v>
      </c>
      <c r="I31526" s="17" t="n">
        <f aca="false">I31515+I31522+I31520-I31521-I31523-I31524</f>
        <v>57.324</v>
      </c>
      <c r="J31526" s="17" t="n">
        <f aca="false">J31515+J31522+J31520-J31521-J31523-J31524</f>
        <v>57.324</v>
      </c>
      <c r="K31526" s="17" t="n">
        <f aca="false">K31515+K31522+K31520-K31521-K31523-K31524</f>
        <v>57.324</v>
      </c>
    </row>
    <row r="31527" customFormat="false" ht="15" hidden="false" customHeight="false" outlineLevel="0" collapsed="false">
      <c r="A31527" s="24" t="s">
        <v>342</v>
      </c>
      <c r="B31527" s="25"/>
      <c r="C31527" s="25"/>
      <c r="D31527" s="25"/>
      <c r="E31527" s="25"/>
      <c r="F31527" s="25"/>
      <c r="G31527" s="25"/>
      <c r="H31527" s="25"/>
      <c r="I31527" s="25"/>
      <c r="J31527" s="25"/>
      <c r="K31527" s="25"/>
    </row>
    <row r="31528" customFormat="false" ht="15" hidden="false" customHeight="false" outlineLevel="0" collapsed="false">
      <c r="A31528" s="3" t="s">
        <v>329</v>
      </c>
      <c r="G31528" s="16" t="n">
        <f aca="false">F31539</f>
        <v>0</v>
      </c>
      <c r="H31528" s="16" t="n">
        <f aca="false">G31539</f>
        <v>0</v>
      </c>
      <c r="I31528" s="16" t="n">
        <f aca="false">H31539</f>
        <v>0</v>
      </c>
      <c r="J31528" s="16" t="n">
        <f aca="false">I31539</f>
        <v>66.796942182056</v>
      </c>
      <c r="K31528" s="16" t="n">
        <f aca="false">J31539</f>
        <v>155.677464864795</v>
      </c>
    </row>
    <row r="31529" customFormat="false" ht="15" hidden="false" customHeight="false" outlineLevel="0" collapsed="false">
      <c r="A31529" s="3" t="s">
        <v>330</v>
      </c>
      <c r="G31529" s="21" t="n">
        <f aca="false">IF(G31453=Assumptions!$K$60,1,0)</f>
        <v>1</v>
      </c>
      <c r="H31529" s="21" t="n">
        <f aca="false">IF(H31453=Assumptions!$K$60,1,0)</f>
        <v>0</v>
      </c>
      <c r="I31529" s="21" t="n">
        <f aca="false">IF(I31453=Assumptions!$K$60,1,0)</f>
        <v>0</v>
      </c>
      <c r="J31529" s="21" t="n">
        <f aca="false">IF(J31453=Assumptions!$K$60,1,0)</f>
        <v>0</v>
      </c>
      <c r="K31529" s="21" t="n">
        <f aca="false">IF(K31453=Assumptions!$K$60,1,0)</f>
        <v>0</v>
      </c>
    </row>
    <row r="31531" customFormat="false" ht="15" hidden="false" customHeight="false" outlineLevel="0" collapsed="false">
      <c r="A31531" s="3" t="s">
        <v>331</v>
      </c>
      <c r="G31531" s="31" t="n">
        <f aca="false">IF(Assumptions!$I$60=1,MAX(G31479,Assumptions!$G$60)+Assumptions!$F$60+$C$31480,Assumptions!$E$60)</f>
        <v>0.054</v>
      </c>
      <c r="H31531" s="31" t="n">
        <f aca="false">IF(G31802=1,$C$31481,IF(Assumptions!$I$60=1,MAX(H31479,Assumptions!$G$60)+Assumptions!$F$60+$C$31480,Assumptions!$E$60))</f>
        <v>0.08</v>
      </c>
      <c r="I31531" s="31" t="n">
        <f aca="false">IF(H31802=1,$C$31481,IF(Assumptions!$I$60=1,MAX(I31479,Assumptions!$G$60)+Assumptions!$F$60+$C$31480,Assumptions!$E$60))</f>
        <v>0.08</v>
      </c>
      <c r="J31531" s="31" t="n">
        <f aca="false">IF(I31802=1,$C$31481,IF(Assumptions!$I$60=1,MAX(J31479,Assumptions!$G$60)+Assumptions!$F$60+$C$31480,Assumptions!$E$60))</f>
        <v>0.08</v>
      </c>
      <c r="K31531" s="31" t="n">
        <f aca="false">IF(J31802=1,$C$31481,IF(Assumptions!$I$60=1,MAX(K31479,Assumptions!$G$60)+Assumptions!$F$60+$C$31480,Assumptions!$E$60))</f>
        <v>0.08</v>
      </c>
    </row>
    <row r="31532" customFormat="false" ht="15" hidden="false" customHeight="false" outlineLevel="0" collapsed="false">
      <c r="A31532" s="3" t="s">
        <v>332</v>
      </c>
      <c r="G31532" s="16" t="n">
        <f aca="false">G31528*G31531</f>
        <v>0</v>
      </c>
      <c r="H31532" s="16" t="n">
        <f aca="false">H31528*H31531</f>
        <v>0</v>
      </c>
      <c r="I31532" s="16" t="n">
        <f aca="false">I31528*I31531</f>
        <v>0</v>
      </c>
      <c r="J31532" s="16" t="n">
        <f aca="false">J31528*J31531</f>
        <v>5.34375537456448</v>
      </c>
      <c r="K31532" s="16" t="n">
        <f aca="false">K31528*K31531</f>
        <v>12.4541971891836</v>
      </c>
    </row>
    <row r="31533" customFormat="false" ht="15" hidden="false" customHeight="false" outlineLevel="0" collapsed="false">
      <c r="A31533" s="3" t="s">
        <v>333</v>
      </c>
      <c r="G31533" s="16" t="n">
        <f aca="false">G31528*Assumptions!$H$60</f>
        <v>0</v>
      </c>
      <c r="H31533" s="16" t="n">
        <f aca="false">H31528*Assumptions!$H$60</f>
        <v>0</v>
      </c>
      <c r="I31533" s="16" t="n">
        <f aca="false">I31528*Assumptions!$H$60</f>
        <v>0</v>
      </c>
      <c r="J31533" s="16" t="n">
        <f aca="false">J31528*Assumptions!$H$60</f>
        <v>0</v>
      </c>
      <c r="K31533" s="16" t="n">
        <f aca="false">K31528*Assumptions!$H$60</f>
        <v>0</v>
      </c>
    </row>
    <row r="31534" customFormat="false" ht="15" hidden="false" customHeight="false" outlineLevel="0" collapsed="false">
      <c r="A31534" s="3" t="s">
        <v>334</v>
      </c>
      <c r="G31534" s="16" t="n">
        <f aca="false">MIN(G31528,Assumptions!$L$60*Assumptions!$C$60)</f>
        <v>0</v>
      </c>
      <c r="H31534" s="16" t="n">
        <f aca="false">MIN(H31528,Assumptions!$L$60*Assumptions!$C$60)</f>
        <v>0</v>
      </c>
      <c r="I31534" s="16" t="n">
        <f aca="false">MIN(I31528,Assumptions!$L$60*Assumptions!$C$60)</f>
        <v>0</v>
      </c>
      <c r="J31534" s="16" t="n">
        <f aca="false">MIN(J31528,Assumptions!$L$60*Assumptions!$C$60)</f>
        <v>0</v>
      </c>
      <c r="K31534" s="16" t="n">
        <f aca="false">MIN(K31528,Assumptions!$L$60*Assumptions!$C$60)</f>
        <v>0</v>
      </c>
    </row>
    <row r="31535" customFormat="false" ht="15" hidden="false" customHeight="false" outlineLevel="0" collapsed="false">
      <c r="A31535" s="3" t="s">
        <v>335</v>
      </c>
      <c r="G31535" s="16" t="n">
        <f aca="false">IF(AND(Assumptions!$P$60=1,G31453&lt;Assumptions!$K$60),MIN(MAX(0,-G31669),MAX(0,Assumptions!$D$60-G31528)),0)</f>
        <v>0</v>
      </c>
      <c r="H31535" s="16" t="n">
        <f aca="false">IF(AND(Assumptions!$P$60=1,OR(H31453&lt;Assumptions!$K$60,G31802=1)),MIN(MAX(0,-H31669),MAX(0,Assumptions!$D$60-H31528)),0)</f>
        <v>0</v>
      </c>
      <c r="I31535" s="16" t="n">
        <f aca="false">IF(AND(Assumptions!$P$60=1,OR(I31453&lt;Assumptions!$K$60,H31802=1)),MIN(MAX(0,-I31669),MAX(0,Assumptions!$D$60-I31528)),0)</f>
        <v>66.796942182056</v>
      </c>
      <c r="J31535" s="16" t="n">
        <f aca="false">IF(AND(Assumptions!$P$60=1,OR(J31453&lt;Assumptions!$K$60,I31802=1)),MIN(MAX(0,-J31669),MAX(0,Assumptions!$D$60-J31528)),0)</f>
        <v>88.8805226827392</v>
      </c>
      <c r="K31535" s="16" t="n">
        <f aca="false">IF(AND(Assumptions!$P$60=1,OR(K31453&lt;Assumptions!$K$60,J31802=1)),MIN(MAX(0,-K31669),MAX(0,Assumptions!$D$60-K31528)),0)</f>
        <v>104.535819058653</v>
      </c>
    </row>
    <row r="31536" customFormat="false" ht="15" hidden="false" customHeight="false" outlineLevel="0" collapsed="false">
      <c r="A31536" s="3" t="s">
        <v>336</v>
      </c>
      <c r="G31536" s="16" t="n">
        <f aca="false">G31529*MIN(G31528-G31534+G31533,MAX(0,G31671-Assumptions!$C$12*G31487-G31497-G31510-G31523))</f>
        <v>0</v>
      </c>
      <c r="H31536" s="16" t="n">
        <f aca="false">H31529*MIN(H31528-H31534+H31533,MAX(0,H31671-Assumptions!$C$12*H31487-H31497-H31510-H31523))</f>
        <v>0</v>
      </c>
      <c r="I31536" s="16" t="n">
        <f aca="false">I31529*MIN(I31528-I31534+I31533,MAX(0,I31671-Assumptions!$C$12*I31487-I31497-I31510-I31523))</f>
        <v>0</v>
      </c>
      <c r="J31536" s="16" t="n">
        <f aca="false">J31529*MIN(J31528-J31534+J31533,MAX(0,J31671-Assumptions!$C$12*J31487-J31497-J31510-J31523))</f>
        <v>0</v>
      </c>
      <c r="K31536" s="16" t="n">
        <f aca="false">K31529*MIN(K31528-K31534+K31533,MAX(0,K31671-Assumptions!$C$12*K31487-K31497-K31510-K31523))</f>
        <v>0</v>
      </c>
    </row>
    <row r="31537" customFormat="false" ht="15" hidden="false" customHeight="false" outlineLevel="0" collapsed="false">
      <c r="A31537" s="3" t="s">
        <v>337</v>
      </c>
      <c r="G31537" s="16" t="n">
        <f aca="false">Assumptions!$N$60*MIN(G31528+G31535+G31533-G31534-G31536,MAX(0,G31675-G31498-G31511-G31524))</f>
        <v>0</v>
      </c>
      <c r="H31537" s="16" t="n">
        <f aca="false">Assumptions!$N$60*MIN(H31528+H31535+H31533-H31534-H31536,MAX(0,H31675-H31498-H31511-H31524))</f>
        <v>0</v>
      </c>
      <c r="I31537" s="16" t="n">
        <f aca="false">Assumptions!$N$60*MIN(I31528+I31535+I31533-I31534-I31536,MAX(0,I31675-I31498-I31511-I31524))</f>
        <v>0</v>
      </c>
      <c r="J31537" s="16" t="n">
        <f aca="false">Assumptions!$N$60*MIN(J31528+J31535+J31533-J31534-J31536,MAX(0,J31675-J31498-J31511-J31524))</f>
        <v>0</v>
      </c>
      <c r="K31537" s="16" t="n">
        <f aca="false">Assumptions!$N$60*MIN(K31528+K31535+K31533-K31534-K31536,MAX(0,K31675-K31498-K31511-K31524))</f>
        <v>0</v>
      </c>
    </row>
    <row r="31538" customFormat="false" ht="15" hidden="false" customHeight="false" outlineLevel="0" collapsed="false">
      <c r="A31538" s="3" t="s">
        <v>338</v>
      </c>
      <c r="G31538" s="16" t="n">
        <f aca="false">G31529*(1-G31487)*(G31528-G31534+G31533-G31536)</f>
        <v>0</v>
      </c>
      <c r="H31538" s="16" t="n">
        <f aca="false">H31529*(1-H31487)*(H31528-H31534+H31533-H31536)</f>
        <v>0</v>
      </c>
      <c r="I31538" s="16" t="n">
        <f aca="false">I31529*(1-I31487)*(I31528-I31534+I31533-I31536)</f>
        <v>0</v>
      </c>
      <c r="J31538" s="16" t="n">
        <f aca="false">J31529*(1-J31487)*(J31528-J31534+J31533-J31536)</f>
        <v>0</v>
      </c>
      <c r="K31538" s="16" t="n">
        <f aca="false">K31529*(1-K31487)*(K31528-K31534+K31533-K31536)</f>
        <v>0</v>
      </c>
    </row>
    <row r="31539" customFormat="false" ht="15" hidden="false" customHeight="false" outlineLevel="0" collapsed="false">
      <c r="A31539" s="2" t="s">
        <v>339</v>
      </c>
      <c r="F31539" s="28" t="n">
        <f aca="false">Assumptions!$C$60</f>
        <v>0</v>
      </c>
      <c r="G31539" s="17" t="n">
        <f aca="false">G31528+G31535+G31533-G31534-G31536-G31537</f>
        <v>0</v>
      </c>
      <c r="H31539" s="17" t="n">
        <f aca="false">H31528+H31535+H31533-H31534-H31536-H31537</f>
        <v>0</v>
      </c>
      <c r="I31539" s="17" t="n">
        <f aca="false">I31528+I31535+I31533-I31534-I31536-I31537</f>
        <v>66.796942182056</v>
      </c>
      <c r="J31539" s="17" t="n">
        <f aca="false">J31528+J31535+J31533-J31534-J31536-J31537</f>
        <v>155.677464864795</v>
      </c>
      <c r="K31539" s="17" t="n">
        <f aca="false">K31528+K31535+K31533-K31534-K31536-K31537</f>
        <v>260.213283923448</v>
      </c>
    </row>
    <row r="31540" customFormat="false" ht="15" hidden="false" customHeight="false" outlineLevel="0" collapsed="false">
      <c r="A31540" s="24" t="s">
        <v>343</v>
      </c>
      <c r="B31540" s="25"/>
      <c r="C31540" s="25"/>
      <c r="D31540" s="25"/>
      <c r="E31540" s="25"/>
      <c r="F31540" s="25"/>
      <c r="G31540" s="25"/>
      <c r="H31540" s="25"/>
      <c r="I31540" s="25"/>
      <c r="J31540" s="25"/>
      <c r="K31540" s="25"/>
    </row>
    <row r="31541" customFormat="false" ht="15" hidden="false" customHeight="false" outlineLevel="0" collapsed="false">
      <c r="A31541" s="3" t="s">
        <v>329</v>
      </c>
      <c r="G31541" s="16" t="n">
        <f aca="false">F31552</f>
        <v>450</v>
      </c>
      <c r="H31541" s="16" t="n">
        <f aca="false">G31552</f>
        <v>450</v>
      </c>
      <c r="I31541" s="16" t="n">
        <f aca="false">H31552</f>
        <v>407.7221513738</v>
      </c>
      <c r="J31541" s="16" t="n">
        <f aca="false">I31552</f>
        <v>407.7221513738</v>
      </c>
      <c r="K31541" s="16" t="n">
        <f aca="false">J31552</f>
        <v>407.7221513738</v>
      </c>
    </row>
    <row r="31542" customFormat="false" ht="15" hidden="false" customHeight="false" outlineLevel="0" collapsed="false">
      <c r="A31542" s="3" t="s">
        <v>330</v>
      </c>
      <c r="G31542" s="21" t="n">
        <f aca="false">IF(G31453=Assumptions!$K$61,1,0)</f>
        <v>0</v>
      </c>
      <c r="H31542" s="21" t="n">
        <f aca="false">IF(H31453=Assumptions!$K$61,1,0)</f>
        <v>1</v>
      </c>
      <c r="I31542" s="21" t="n">
        <f aca="false">IF(I31453=Assumptions!$K$61,1,0)</f>
        <v>0</v>
      </c>
      <c r="J31542" s="21" t="n">
        <f aca="false">IF(J31453=Assumptions!$K$61,1,0)</f>
        <v>0</v>
      </c>
      <c r="K31542" s="21" t="n">
        <f aca="false">IF(K31453=Assumptions!$K$61,1,0)</f>
        <v>0</v>
      </c>
    </row>
    <row r="31544" customFormat="false" ht="15" hidden="false" customHeight="false" outlineLevel="0" collapsed="false">
      <c r="A31544" s="3" t="s">
        <v>331</v>
      </c>
      <c r="G31544" s="31" t="n">
        <f aca="false">IF(Assumptions!$I$61=1,MAX(G31479,Assumptions!$G$61)+Assumptions!$F$61+$C$31480,Assumptions!$E$61)</f>
        <v>0.0395</v>
      </c>
      <c r="H31544" s="31" t="n">
        <f aca="false">IF(G31803=1,$C$31481,IF(Assumptions!$I$61=1,MAX(H31479,Assumptions!$G$61)+Assumptions!$F$61+$C$31480,Assumptions!$E$61))</f>
        <v>0.0395</v>
      </c>
      <c r="I31544" s="31" t="n">
        <f aca="false">IF(H31803=1,$C$31481,IF(Assumptions!$I$61=1,MAX(I31479,Assumptions!$G$61)+Assumptions!$F$61+$C$31480,Assumptions!$E$61))</f>
        <v>0.08</v>
      </c>
      <c r="J31544" s="31" t="n">
        <f aca="false">IF(I31803=1,$C$31481,IF(Assumptions!$I$61=1,MAX(J31479,Assumptions!$G$61)+Assumptions!$F$61+$C$31480,Assumptions!$E$61))</f>
        <v>0.08</v>
      </c>
      <c r="K31544" s="31" t="n">
        <f aca="false">IF(J31803=1,$C$31481,IF(Assumptions!$I$61=1,MAX(K31479,Assumptions!$G$61)+Assumptions!$F$61+$C$31480,Assumptions!$E$61))</f>
        <v>0.08</v>
      </c>
    </row>
    <row r="31545" customFormat="false" ht="15" hidden="false" customHeight="false" outlineLevel="0" collapsed="false">
      <c r="A31545" s="3" t="s">
        <v>332</v>
      </c>
      <c r="G31545" s="16" t="n">
        <f aca="false">G31541*G31544</f>
        <v>17.775</v>
      </c>
      <c r="H31545" s="16" t="n">
        <f aca="false">H31541*H31544</f>
        <v>17.775</v>
      </c>
      <c r="I31545" s="16" t="n">
        <f aca="false">I31541*I31544</f>
        <v>32.617772109904</v>
      </c>
      <c r="J31545" s="16" t="n">
        <f aca="false">J31541*J31544</f>
        <v>32.617772109904</v>
      </c>
      <c r="K31545" s="16" t="n">
        <f aca="false">K31541*K31544</f>
        <v>32.617772109904</v>
      </c>
    </row>
    <row r="31546" customFormat="false" ht="15" hidden="false" customHeight="false" outlineLevel="0" collapsed="false">
      <c r="A31546" s="3" t="s">
        <v>333</v>
      </c>
      <c r="G31546" s="16" t="n">
        <f aca="false">G31541*Assumptions!$H$61</f>
        <v>0</v>
      </c>
      <c r="H31546" s="16" t="n">
        <f aca="false">H31541*Assumptions!$H$61</f>
        <v>0</v>
      </c>
      <c r="I31546" s="16" t="n">
        <f aca="false">I31541*Assumptions!$H$61</f>
        <v>0</v>
      </c>
      <c r="J31546" s="16" t="n">
        <f aca="false">J31541*Assumptions!$H$61</f>
        <v>0</v>
      </c>
      <c r="K31546" s="16" t="n">
        <f aca="false">K31541*Assumptions!$H$61</f>
        <v>0</v>
      </c>
    </row>
    <row r="31547" customFormat="false" ht="15" hidden="false" customHeight="false" outlineLevel="0" collapsed="false">
      <c r="A31547" s="3" t="s">
        <v>334</v>
      </c>
      <c r="G31547" s="16" t="n">
        <f aca="false">MIN(G31541,Assumptions!$L$61*Assumptions!$C$61)</f>
        <v>0</v>
      </c>
      <c r="H31547" s="16" t="n">
        <f aca="false">MIN(H31541,Assumptions!$L$61*Assumptions!$C$61)</f>
        <v>0</v>
      </c>
      <c r="I31547" s="16" t="n">
        <f aca="false">MIN(I31541,Assumptions!$L$61*Assumptions!$C$61)</f>
        <v>0</v>
      </c>
      <c r="J31547" s="16" t="n">
        <f aca="false">MIN(J31541,Assumptions!$L$61*Assumptions!$C$61)</f>
        <v>0</v>
      </c>
      <c r="K31547" s="16" t="n">
        <f aca="false">MIN(K31541,Assumptions!$L$61*Assumptions!$C$61)</f>
        <v>0</v>
      </c>
    </row>
    <row r="31548" customFormat="false" ht="15" hidden="false" customHeight="false" outlineLevel="0" collapsed="false">
      <c r="A31548" s="3" t="s">
        <v>335</v>
      </c>
      <c r="G31548" s="16" t="n">
        <f aca="false">IF(AND(Assumptions!$P$61=1,G31453&lt;Assumptions!$K$61),MIN(MAX(0,-G31669),MAX(0,Assumptions!$D$61-G31541)),0)</f>
        <v>0</v>
      </c>
      <c r="H31548" s="16" t="n">
        <f aca="false">IF(AND(Assumptions!$P$61=1,OR(H31453&lt;Assumptions!$K$61,G31803=1)),MIN(MAX(0,-H31669),MAX(0,Assumptions!$D$61-H31541)),0)</f>
        <v>0</v>
      </c>
      <c r="I31548" s="16" t="n">
        <f aca="false">IF(AND(Assumptions!$P$61=1,OR(I31453&lt;Assumptions!$K$61,H31803=1)),MIN(MAX(0,-I31669),MAX(0,Assumptions!$D$61-I31541)),0)</f>
        <v>0</v>
      </c>
      <c r="J31548" s="16" t="n">
        <f aca="false">IF(AND(Assumptions!$P$61=1,OR(J31453&lt;Assumptions!$K$61,I31803=1)),MIN(MAX(0,-J31669),MAX(0,Assumptions!$D$61-J31541)),0)</f>
        <v>0</v>
      </c>
      <c r="K31548" s="16" t="n">
        <f aca="false">IF(AND(Assumptions!$P$61=1,OR(K31453&lt;Assumptions!$K$61,J31803=1)),MIN(MAX(0,-K31669),MAX(0,Assumptions!$D$61-K31541)),0)</f>
        <v>0</v>
      </c>
    </row>
    <row r="31549" customFormat="false" ht="15" hidden="false" customHeight="false" outlineLevel="0" collapsed="false">
      <c r="A31549" s="3" t="s">
        <v>336</v>
      </c>
      <c r="G31549" s="16" t="n">
        <f aca="false">G31542*MIN(G31541-G31547+G31546,MAX(0,G31671-Assumptions!$C$12*G31487-G31497-G31510-G31523-G31536))</f>
        <v>0</v>
      </c>
      <c r="H31549" s="16" t="n">
        <f aca="false">H31542*MIN(H31541-H31547+H31546,MAX(0,H31671-Assumptions!$C$12*H31487-H31497-H31510-H31523-H31536))</f>
        <v>42.2778486262</v>
      </c>
      <c r="I31549" s="16" t="n">
        <f aca="false">I31542*MIN(I31541-I31547+I31546,MAX(0,I31671-Assumptions!$C$12*I31487-I31497-I31510-I31523-I31536))</f>
        <v>0</v>
      </c>
      <c r="J31549" s="16" t="n">
        <f aca="false">J31542*MIN(J31541-J31547+J31546,MAX(0,J31671-Assumptions!$C$12*J31487-J31497-J31510-J31523-J31536))</f>
        <v>0</v>
      </c>
      <c r="K31549" s="16" t="n">
        <f aca="false">K31542*MIN(K31541-K31547+K31546,MAX(0,K31671-Assumptions!$C$12*K31487-K31497-K31510-K31523-K31536))</f>
        <v>0</v>
      </c>
    </row>
    <row r="31550" customFormat="false" ht="15" hidden="false" customHeight="false" outlineLevel="0" collapsed="false">
      <c r="A31550" s="3" t="s">
        <v>337</v>
      </c>
      <c r="G31550" s="16" t="n">
        <f aca="false">Assumptions!$N$61*MIN(G31541+G31548+G31546-G31547-G31549,MAX(0,G31675-G31498-G31511-G31524-G31537))</f>
        <v>0</v>
      </c>
      <c r="H31550" s="16" t="n">
        <f aca="false">Assumptions!$N$61*MIN(H31541+H31548+H31546-H31547-H31549,MAX(0,H31675-H31498-H31511-H31524-H31537))</f>
        <v>0</v>
      </c>
      <c r="I31550" s="16" t="n">
        <f aca="false">Assumptions!$N$61*MIN(I31541+I31548+I31546-I31547-I31549,MAX(0,I31675-I31498-I31511-I31524-I31537))</f>
        <v>0</v>
      </c>
      <c r="J31550" s="16" t="n">
        <f aca="false">Assumptions!$N$61*MIN(J31541+J31548+J31546-J31547-J31549,MAX(0,J31675-J31498-J31511-J31524-J31537))</f>
        <v>0</v>
      </c>
      <c r="K31550" s="16" t="n">
        <f aca="false">Assumptions!$N$61*MIN(K31541+K31548+K31546-K31547-K31549,MAX(0,K31675-K31498-K31511-K31524-K31537))</f>
        <v>0</v>
      </c>
    </row>
    <row r="31551" customFormat="false" ht="15" hidden="false" customHeight="false" outlineLevel="0" collapsed="false">
      <c r="A31551" s="3" t="s">
        <v>338</v>
      </c>
      <c r="G31551" s="16" t="n">
        <f aca="false">G31542*(1-G31487)*(G31541-G31547+G31546-G31549)</f>
        <v>0</v>
      </c>
      <c r="H31551" s="16" t="n">
        <f aca="false">H31542*(1-H31487)*(H31541-H31547+H31546-H31549)</f>
        <v>0</v>
      </c>
      <c r="I31551" s="16" t="n">
        <f aca="false">I31542*(1-I31487)*(I31541-I31547+I31546-I31549)</f>
        <v>0</v>
      </c>
      <c r="J31551" s="16" t="n">
        <f aca="false">J31542*(1-J31487)*(J31541-J31547+J31546-J31549)</f>
        <v>0</v>
      </c>
      <c r="K31551" s="16" t="n">
        <f aca="false">K31542*(1-K31487)*(K31541-K31547+K31546-K31549)</f>
        <v>0</v>
      </c>
    </row>
    <row r="31552" customFormat="false" ht="15" hidden="false" customHeight="false" outlineLevel="0" collapsed="false">
      <c r="A31552" s="2" t="s">
        <v>339</v>
      </c>
      <c r="F31552" s="28" t="n">
        <f aca="false">Assumptions!$C$61</f>
        <v>450</v>
      </c>
      <c r="G31552" s="17" t="n">
        <f aca="false">G31541+G31548+G31546-G31547-G31549-G31550</f>
        <v>450</v>
      </c>
      <c r="H31552" s="17" t="n">
        <f aca="false">H31541+H31548+H31546-H31547-H31549-H31550</f>
        <v>407.7221513738</v>
      </c>
      <c r="I31552" s="17" t="n">
        <f aca="false">I31541+I31548+I31546-I31547-I31549-I31550</f>
        <v>407.7221513738</v>
      </c>
      <c r="J31552" s="17" t="n">
        <f aca="false">J31541+J31548+J31546-J31547-J31549-J31550</f>
        <v>407.7221513738</v>
      </c>
      <c r="K31552" s="17" t="n">
        <f aca="false">K31541+K31548+K31546-K31547-K31549-K31550</f>
        <v>407.7221513738</v>
      </c>
    </row>
    <row r="31553" customFormat="false" ht="15" hidden="false" customHeight="false" outlineLevel="0" collapsed="false">
      <c r="A31553" s="24" t="s">
        <v>344</v>
      </c>
      <c r="B31553" s="25"/>
      <c r="C31553" s="25"/>
      <c r="D31553" s="25"/>
      <c r="E31553" s="25"/>
      <c r="F31553" s="25"/>
      <c r="G31553" s="25"/>
      <c r="H31553" s="25"/>
      <c r="I31553" s="25"/>
      <c r="J31553" s="25"/>
      <c r="K31553" s="25"/>
    </row>
    <row r="31554" customFormat="false" ht="15" hidden="false" customHeight="false" outlineLevel="0" collapsed="false">
      <c r="A31554" s="3" t="s">
        <v>329</v>
      </c>
      <c r="G31554" s="16" t="n">
        <f aca="false">F31565</f>
        <v>350</v>
      </c>
      <c r="H31554" s="16" t="n">
        <f aca="false">G31565</f>
        <v>350</v>
      </c>
      <c r="I31554" s="16" t="n">
        <f aca="false">H31565</f>
        <v>350</v>
      </c>
      <c r="J31554" s="16" t="n">
        <f aca="false">I31565</f>
        <v>350</v>
      </c>
      <c r="K31554" s="16" t="n">
        <f aca="false">J31565</f>
        <v>350</v>
      </c>
    </row>
    <row r="31555" customFormat="false" ht="15" hidden="false" customHeight="false" outlineLevel="0" collapsed="false">
      <c r="A31555" s="3" t="s">
        <v>330</v>
      </c>
      <c r="G31555" s="21" t="n">
        <f aca="false">IF(G31453=Assumptions!$K$62,1,0)</f>
        <v>0</v>
      </c>
      <c r="H31555" s="21" t="n">
        <f aca="false">IF(H31453=Assumptions!$K$62,1,0)</f>
        <v>1</v>
      </c>
      <c r="I31555" s="21" t="n">
        <f aca="false">IF(I31453=Assumptions!$K$62,1,0)</f>
        <v>0</v>
      </c>
      <c r="J31555" s="21" t="n">
        <f aca="false">IF(J31453=Assumptions!$K$62,1,0)</f>
        <v>0</v>
      </c>
      <c r="K31555" s="21" t="n">
        <f aca="false">IF(K31453=Assumptions!$K$62,1,0)</f>
        <v>0</v>
      </c>
    </row>
    <row r="31557" customFormat="false" ht="15" hidden="false" customHeight="false" outlineLevel="0" collapsed="false">
      <c r="A31557" s="3" t="s">
        <v>331</v>
      </c>
      <c r="G31557" s="31" t="n">
        <f aca="false">IF(Assumptions!$I$62=1,MAX(G31479,Assumptions!$G$62)+Assumptions!$F$62+$C$31480,Assumptions!$E$62)</f>
        <v>0.083</v>
      </c>
      <c r="H31557" s="31" t="n">
        <f aca="false">IF(G31804=1,$C$31481,IF(Assumptions!$I$62=1,MAX(H31479,Assumptions!$G$62)+Assumptions!$F$62+$C$31480,Assumptions!$E$62))</f>
        <v>0.083</v>
      </c>
      <c r="I31557" s="31" t="n">
        <f aca="false">IF(H31804=1,$C$31481,IF(Assumptions!$I$62=1,MAX(I31479,Assumptions!$G$62)+Assumptions!$F$62+$C$31480,Assumptions!$E$62))</f>
        <v>0.08</v>
      </c>
      <c r="J31557" s="31" t="n">
        <f aca="false">IF(I31804=1,$C$31481,IF(Assumptions!$I$62=1,MAX(J31479,Assumptions!$G$62)+Assumptions!$F$62+$C$31480,Assumptions!$E$62))</f>
        <v>0.08</v>
      </c>
      <c r="K31557" s="31" t="n">
        <f aca="false">IF(J31804=1,$C$31481,IF(Assumptions!$I$62=1,MAX(K31479,Assumptions!$G$62)+Assumptions!$F$62+$C$31480,Assumptions!$E$62))</f>
        <v>0.08</v>
      </c>
    </row>
    <row r="31558" customFormat="false" ht="15" hidden="false" customHeight="false" outlineLevel="0" collapsed="false">
      <c r="A31558" s="3" t="s">
        <v>332</v>
      </c>
      <c r="G31558" s="16" t="n">
        <f aca="false">G31554*G31557</f>
        <v>29.05</v>
      </c>
      <c r="H31558" s="16" t="n">
        <f aca="false">H31554*H31557</f>
        <v>29.05</v>
      </c>
      <c r="I31558" s="16" t="n">
        <f aca="false">I31554*I31557</f>
        <v>28</v>
      </c>
      <c r="J31558" s="16" t="n">
        <f aca="false">J31554*J31557</f>
        <v>28</v>
      </c>
      <c r="K31558" s="16" t="n">
        <f aca="false">K31554*K31557</f>
        <v>28</v>
      </c>
    </row>
    <row r="31559" customFormat="false" ht="15" hidden="false" customHeight="false" outlineLevel="0" collapsed="false">
      <c r="A31559" s="3" t="s">
        <v>333</v>
      </c>
      <c r="G31559" s="16" t="n">
        <f aca="false">G31554*Assumptions!$H$62</f>
        <v>0</v>
      </c>
      <c r="H31559" s="16" t="n">
        <f aca="false">H31554*Assumptions!$H$62</f>
        <v>0</v>
      </c>
      <c r="I31559" s="16" t="n">
        <f aca="false">I31554*Assumptions!$H$62</f>
        <v>0</v>
      </c>
      <c r="J31559" s="16" t="n">
        <f aca="false">J31554*Assumptions!$H$62</f>
        <v>0</v>
      </c>
      <c r="K31559" s="16" t="n">
        <f aca="false">K31554*Assumptions!$H$62</f>
        <v>0</v>
      </c>
    </row>
    <row r="31560" customFormat="false" ht="15" hidden="false" customHeight="false" outlineLevel="0" collapsed="false">
      <c r="A31560" s="3" t="s">
        <v>334</v>
      </c>
      <c r="G31560" s="16" t="n">
        <f aca="false">MIN(G31554,Assumptions!$L$62*Assumptions!$C$62)</f>
        <v>0</v>
      </c>
      <c r="H31560" s="16" t="n">
        <f aca="false">MIN(H31554,Assumptions!$L$62*Assumptions!$C$62)</f>
        <v>0</v>
      </c>
      <c r="I31560" s="16" t="n">
        <f aca="false">MIN(I31554,Assumptions!$L$62*Assumptions!$C$62)</f>
        <v>0</v>
      </c>
      <c r="J31560" s="16" t="n">
        <f aca="false">MIN(J31554,Assumptions!$L$62*Assumptions!$C$62)</f>
        <v>0</v>
      </c>
      <c r="K31560" s="16" t="n">
        <f aca="false">MIN(K31554,Assumptions!$L$62*Assumptions!$C$62)</f>
        <v>0</v>
      </c>
    </row>
    <row r="31561" customFormat="false" ht="15" hidden="false" customHeight="false" outlineLevel="0" collapsed="false">
      <c r="A31561" s="3" t="s">
        <v>335</v>
      </c>
      <c r="G31561" s="16" t="n">
        <f aca="false">IF(AND(Assumptions!$P$62=1,G31453&lt;Assumptions!$K$62),MIN(MAX(0,-G31669),MAX(0,Assumptions!$D$62-G31554)),0)</f>
        <v>0</v>
      </c>
      <c r="H31561" s="16" t="n">
        <f aca="false">IF(AND(Assumptions!$P$62=1,OR(H31453&lt;Assumptions!$K$62,G31804=1)),MIN(MAX(0,-H31669),MAX(0,Assumptions!$D$62-H31554)),0)</f>
        <v>0</v>
      </c>
      <c r="I31561" s="16" t="n">
        <f aca="false">IF(AND(Assumptions!$P$62=1,OR(I31453&lt;Assumptions!$K$62,H31804=1)),MIN(MAX(0,-I31669),MAX(0,Assumptions!$D$62-I31554)),0)</f>
        <v>0</v>
      </c>
      <c r="J31561" s="16" t="n">
        <f aca="false">IF(AND(Assumptions!$P$62=1,OR(J31453&lt;Assumptions!$K$62,I31804=1)),MIN(MAX(0,-J31669),MAX(0,Assumptions!$D$62-J31554)),0)</f>
        <v>0</v>
      </c>
      <c r="K31561" s="16" t="n">
        <f aca="false">IF(AND(Assumptions!$P$62=1,OR(K31453&lt;Assumptions!$K$62,J31804=1)),MIN(MAX(0,-K31669),MAX(0,Assumptions!$D$62-K31554)),0)</f>
        <v>0</v>
      </c>
    </row>
    <row r="31562" customFormat="false" ht="15" hidden="false" customHeight="false" outlineLevel="0" collapsed="false">
      <c r="A31562" s="3" t="s">
        <v>336</v>
      </c>
      <c r="G31562" s="16" t="n">
        <f aca="false">G31555*MIN(G31554-G31560+G31559,MAX(0,G31671-Assumptions!$C$12*G31487-G31497-G31510-G31523-G31536-G31549))</f>
        <v>0</v>
      </c>
      <c r="H31562" s="16" t="n">
        <f aca="false">H31555*MIN(H31554-H31560+H31559,MAX(0,H31671-Assumptions!$C$12*H31487-H31497-H31510-H31523-H31536-H31549))</f>
        <v>0</v>
      </c>
      <c r="I31562" s="16" t="n">
        <f aca="false">I31555*MIN(I31554-I31560+I31559,MAX(0,I31671-Assumptions!$C$12*I31487-I31497-I31510-I31523-I31536-I31549))</f>
        <v>0</v>
      </c>
      <c r="J31562" s="16" t="n">
        <f aca="false">J31555*MIN(J31554-J31560+J31559,MAX(0,J31671-Assumptions!$C$12*J31487-J31497-J31510-J31523-J31536-J31549))</f>
        <v>0</v>
      </c>
      <c r="K31562" s="16" t="n">
        <f aca="false">K31555*MIN(K31554-K31560+K31559,MAX(0,K31671-Assumptions!$C$12*K31487-K31497-K31510-K31523-K31536-K31549))</f>
        <v>0</v>
      </c>
    </row>
    <row r="31563" customFormat="false" ht="15" hidden="false" customHeight="false" outlineLevel="0" collapsed="false">
      <c r="A31563" s="3" t="s">
        <v>337</v>
      </c>
      <c r="G31563" s="16" t="n">
        <f aca="false">Assumptions!$N$62*MIN(G31554+G31561+G31559-G31560-G31562,MAX(0,G31675-G31498-G31511-G31524-G31537-G31550))</f>
        <v>0</v>
      </c>
      <c r="H31563" s="16" t="n">
        <f aca="false">Assumptions!$N$62*MIN(H31554+H31561+H31559-H31560-H31562,MAX(0,H31675-H31498-H31511-H31524-H31537-H31550))</f>
        <v>0</v>
      </c>
      <c r="I31563" s="16" t="n">
        <f aca="false">Assumptions!$N$62*MIN(I31554+I31561+I31559-I31560-I31562,MAX(0,I31675-I31498-I31511-I31524-I31537-I31550))</f>
        <v>0</v>
      </c>
      <c r="J31563" s="16" t="n">
        <f aca="false">Assumptions!$N$62*MIN(J31554+J31561+J31559-J31560-J31562,MAX(0,J31675-J31498-J31511-J31524-J31537-J31550))</f>
        <v>0</v>
      </c>
      <c r="K31563" s="16" t="n">
        <f aca="false">Assumptions!$N$62*MIN(K31554+K31561+K31559-K31560-K31562,MAX(0,K31675-K31498-K31511-K31524-K31537-K31550))</f>
        <v>0</v>
      </c>
    </row>
    <row r="31564" customFormat="false" ht="15" hidden="false" customHeight="false" outlineLevel="0" collapsed="false">
      <c r="A31564" s="3" t="s">
        <v>338</v>
      </c>
      <c r="G31564" s="16" t="n">
        <f aca="false">G31555*(1-G31487)*(G31554-G31560+G31559-G31562)</f>
        <v>0</v>
      </c>
      <c r="H31564" s="16" t="n">
        <f aca="false">H31555*(1-H31487)*(H31554-H31560+H31559-H31562)</f>
        <v>0</v>
      </c>
      <c r="I31564" s="16" t="n">
        <f aca="false">I31555*(1-I31487)*(I31554-I31560+I31559-I31562)</f>
        <v>0</v>
      </c>
      <c r="J31564" s="16" t="n">
        <f aca="false">J31555*(1-J31487)*(J31554-J31560+J31559-J31562)</f>
        <v>0</v>
      </c>
      <c r="K31564" s="16" t="n">
        <f aca="false">K31555*(1-K31487)*(K31554-K31560+K31559-K31562)</f>
        <v>0</v>
      </c>
    </row>
    <row r="31565" customFormat="false" ht="15" hidden="false" customHeight="false" outlineLevel="0" collapsed="false">
      <c r="A31565" s="2" t="s">
        <v>339</v>
      </c>
      <c r="F31565" s="28" t="n">
        <f aca="false">Assumptions!$C$62</f>
        <v>350</v>
      </c>
      <c r="G31565" s="17" t="n">
        <f aca="false">G31554+G31561+G31559-G31560-G31562-G31563</f>
        <v>350</v>
      </c>
      <c r="H31565" s="17" t="n">
        <f aca="false">H31554+H31561+H31559-H31560-H31562-H31563</f>
        <v>350</v>
      </c>
      <c r="I31565" s="17" t="n">
        <f aca="false">I31554+I31561+I31559-I31560-I31562-I31563</f>
        <v>350</v>
      </c>
      <c r="J31565" s="17" t="n">
        <f aca="false">J31554+J31561+J31559-J31560-J31562-J31563</f>
        <v>350</v>
      </c>
      <c r="K31565" s="17" t="n">
        <f aca="false">K31554+K31561+K31559-K31560-K31562-K31563</f>
        <v>350</v>
      </c>
    </row>
    <row r="31566" customFormat="false" ht="15" hidden="false" customHeight="false" outlineLevel="0" collapsed="false">
      <c r="A31566" s="24" t="s">
        <v>345</v>
      </c>
      <c r="B31566" s="25"/>
      <c r="C31566" s="25"/>
      <c r="D31566" s="25"/>
      <c r="E31566" s="25"/>
      <c r="F31566" s="25"/>
      <c r="G31566" s="25"/>
      <c r="H31566" s="25"/>
      <c r="I31566" s="25"/>
      <c r="J31566" s="25"/>
      <c r="K31566" s="25"/>
    </row>
    <row r="31567" customFormat="false" ht="15" hidden="false" customHeight="false" outlineLevel="0" collapsed="false">
      <c r="A31567" s="3" t="s">
        <v>329</v>
      </c>
      <c r="G31567" s="16" t="n">
        <f aca="false">F31578</f>
        <v>550</v>
      </c>
      <c r="H31567" s="16" t="n">
        <f aca="false">G31578</f>
        <v>550</v>
      </c>
      <c r="I31567" s="16" t="n">
        <f aca="false">H31578</f>
        <v>550</v>
      </c>
      <c r="J31567" s="16" t="n">
        <f aca="false">I31578</f>
        <v>550</v>
      </c>
      <c r="K31567" s="16" t="n">
        <f aca="false">J31578</f>
        <v>550</v>
      </c>
    </row>
    <row r="31568" customFormat="false" ht="15" hidden="false" customHeight="false" outlineLevel="0" collapsed="false">
      <c r="A31568" s="3" t="s">
        <v>330</v>
      </c>
      <c r="G31568" s="21" t="n">
        <f aca="false">IF(G31453=Assumptions!$K$63,1,0)</f>
        <v>0</v>
      </c>
      <c r="H31568" s="21" t="n">
        <f aca="false">IF(H31453=Assumptions!$K$63,1,0)</f>
        <v>0</v>
      </c>
      <c r="I31568" s="21" t="n">
        <f aca="false">IF(I31453=Assumptions!$K$63,1,0)</f>
        <v>1</v>
      </c>
      <c r="J31568" s="21" t="n">
        <f aca="false">IF(J31453=Assumptions!$K$63,1,0)</f>
        <v>0</v>
      </c>
      <c r="K31568" s="21" t="n">
        <f aca="false">IF(K31453=Assumptions!$K$63,1,0)</f>
        <v>0</v>
      </c>
    </row>
    <row r="31570" customFormat="false" ht="15" hidden="false" customHeight="false" outlineLevel="0" collapsed="false">
      <c r="A31570" s="3" t="s">
        <v>331</v>
      </c>
      <c r="G31570" s="31" t="n">
        <f aca="false">IF(Assumptions!$I$63=1,MAX(G31479,Assumptions!$G$63)+Assumptions!$F$63+$C$31480,Assumptions!$E$63)</f>
        <v>0.08875</v>
      </c>
      <c r="H31570" s="31" t="n">
        <f aca="false">IF(G31805=1,$C$31481,IF(Assumptions!$I$63=1,MAX(H31479,Assumptions!$G$63)+Assumptions!$F$63+$C$31480,Assumptions!$E$63))</f>
        <v>0.08875</v>
      </c>
      <c r="I31570" s="31" t="n">
        <f aca="false">IF(H31805=1,$C$31481,IF(Assumptions!$I$63=1,MAX(I31479,Assumptions!$G$63)+Assumptions!$F$63+$C$31480,Assumptions!$E$63))</f>
        <v>0.08875</v>
      </c>
      <c r="J31570" s="31" t="n">
        <f aca="false">IF(I31805=1,$C$31481,IF(Assumptions!$I$63=1,MAX(J31479,Assumptions!$G$63)+Assumptions!$F$63+$C$31480,Assumptions!$E$63))</f>
        <v>0.08</v>
      </c>
      <c r="K31570" s="31" t="n">
        <f aca="false">IF(J31805=1,$C$31481,IF(Assumptions!$I$63=1,MAX(K31479,Assumptions!$G$63)+Assumptions!$F$63+$C$31480,Assumptions!$E$63))</f>
        <v>0.08</v>
      </c>
    </row>
    <row r="31571" customFormat="false" ht="15" hidden="false" customHeight="false" outlineLevel="0" collapsed="false">
      <c r="A31571" s="3" t="s">
        <v>332</v>
      </c>
      <c r="G31571" s="16" t="n">
        <f aca="false">G31567*G31570</f>
        <v>48.8125</v>
      </c>
      <c r="H31571" s="16" t="n">
        <f aca="false">H31567*H31570</f>
        <v>48.8125</v>
      </c>
      <c r="I31571" s="16" t="n">
        <f aca="false">I31567*I31570</f>
        <v>48.8125</v>
      </c>
      <c r="J31571" s="16" t="n">
        <f aca="false">J31567*J31570</f>
        <v>44</v>
      </c>
      <c r="K31571" s="16" t="n">
        <f aca="false">K31567*K31570</f>
        <v>44</v>
      </c>
    </row>
    <row r="31572" customFormat="false" ht="15" hidden="false" customHeight="false" outlineLevel="0" collapsed="false">
      <c r="A31572" s="3" t="s">
        <v>333</v>
      </c>
      <c r="G31572" s="16" t="n">
        <f aca="false">G31567*Assumptions!$H$63</f>
        <v>0</v>
      </c>
      <c r="H31572" s="16" t="n">
        <f aca="false">H31567*Assumptions!$H$63</f>
        <v>0</v>
      </c>
      <c r="I31572" s="16" t="n">
        <f aca="false">I31567*Assumptions!$H$63</f>
        <v>0</v>
      </c>
      <c r="J31572" s="16" t="n">
        <f aca="false">J31567*Assumptions!$H$63</f>
        <v>0</v>
      </c>
      <c r="K31572" s="16" t="n">
        <f aca="false">K31567*Assumptions!$H$63</f>
        <v>0</v>
      </c>
    </row>
    <row r="31573" customFormat="false" ht="15" hidden="false" customHeight="false" outlineLevel="0" collapsed="false">
      <c r="A31573" s="3" t="s">
        <v>334</v>
      </c>
      <c r="G31573" s="16" t="n">
        <f aca="false">MIN(G31567,Assumptions!$L$63*Assumptions!$C$63)</f>
        <v>0</v>
      </c>
      <c r="H31573" s="16" t="n">
        <f aca="false">MIN(H31567,Assumptions!$L$63*Assumptions!$C$63)</f>
        <v>0</v>
      </c>
      <c r="I31573" s="16" t="n">
        <f aca="false">MIN(I31567,Assumptions!$L$63*Assumptions!$C$63)</f>
        <v>0</v>
      </c>
      <c r="J31573" s="16" t="n">
        <f aca="false">MIN(J31567,Assumptions!$L$63*Assumptions!$C$63)</f>
        <v>0</v>
      </c>
      <c r="K31573" s="16" t="n">
        <f aca="false">MIN(K31567,Assumptions!$L$63*Assumptions!$C$63)</f>
        <v>0</v>
      </c>
    </row>
    <row r="31574" customFormat="false" ht="15" hidden="false" customHeight="false" outlineLevel="0" collapsed="false">
      <c r="A31574" s="3" t="s">
        <v>335</v>
      </c>
      <c r="G31574" s="16" t="n">
        <f aca="false">IF(AND(Assumptions!$P$63=1,G31453&lt;Assumptions!$K$63),MIN(MAX(0,-G31669),MAX(0,Assumptions!$D$63-G31567)),0)</f>
        <v>0</v>
      </c>
      <c r="H31574" s="16" t="n">
        <f aca="false">IF(AND(Assumptions!$P$63=1,OR(H31453&lt;Assumptions!$K$63,G31805=1)),MIN(MAX(0,-H31669),MAX(0,Assumptions!$D$63-H31567)),0)</f>
        <v>0</v>
      </c>
      <c r="I31574" s="16" t="n">
        <f aca="false">IF(AND(Assumptions!$P$63=1,OR(I31453&lt;Assumptions!$K$63,H31805=1)),MIN(MAX(0,-I31669),MAX(0,Assumptions!$D$63-I31567)),0)</f>
        <v>0</v>
      </c>
      <c r="J31574" s="16" t="n">
        <f aca="false">IF(AND(Assumptions!$P$63=1,OR(J31453&lt;Assumptions!$K$63,I31805=1)),MIN(MAX(0,-J31669),MAX(0,Assumptions!$D$63-J31567)),0)</f>
        <v>0</v>
      </c>
      <c r="K31574" s="16" t="n">
        <f aca="false">IF(AND(Assumptions!$P$63=1,OR(K31453&lt;Assumptions!$K$63,J31805=1)),MIN(MAX(0,-K31669),MAX(0,Assumptions!$D$63-K31567)),0)</f>
        <v>0</v>
      </c>
    </row>
    <row r="31575" customFormat="false" ht="15" hidden="false" customHeight="false" outlineLevel="0" collapsed="false">
      <c r="A31575" s="3" t="s">
        <v>336</v>
      </c>
      <c r="G31575" s="16" t="n">
        <f aca="false">G31568*MIN(G31567-G31573+G31572,MAX(0,G31671-Assumptions!$C$12*G31487-G31497-G31510-G31523-G31536-G31549-G31562))</f>
        <v>0</v>
      </c>
      <c r="H31575" s="16" t="n">
        <f aca="false">H31568*MIN(H31567-H31573+H31572,MAX(0,H31671-Assumptions!$C$12*H31487-H31497-H31510-H31523-H31536-H31549-H31562))</f>
        <v>0</v>
      </c>
      <c r="I31575" s="16" t="n">
        <f aca="false">I31568*MIN(I31567-I31573+I31572,MAX(0,I31671-Assumptions!$C$12*I31487-I31497-I31510-I31523-I31536-I31549-I31562))</f>
        <v>0</v>
      </c>
      <c r="J31575" s="16" t="n">
        <f aca="false">J31568*MIN(J31567-J31573+J31572,MAX(0,J31671-Assumptions!$C$12*J31487-J31497-J31510-J31523-J31536-J31549-J31562))</f>
        <v>0</v>
      </c>
      <c r="K31575" s="16" t="n">
        <f aca="false">K31568*MIN(K31567-K31573+K31572,MAX(0,K31671-Assumptions!$C$12*K31487-K31497-K31510-K31523-K31536-K31549-K31562))</f>
        <v>0</v>
      </c>
    </row>
    <row r="31576" customFormat="false" ht="15" hidden="false" customHeight="false" outlineLevel="0" collapsed="false">
      <c r="A31576" s="3" t="s">
        <v>337</v>
      </c>
      <c r="G31576" s="16" t="n">
        <f aca="false">Assumptions!$N$63*MIN(G31567+G31574+G31572-G31573-G31575,MAX(0,G31675-G31498-G31511-G31524-G31537-G31550-G31563))</f>
        <v>0</v>
      </c>
      <c r="H31576" s="16" t="n">
        <f aca="false">Assumptions!$N$63*MIN(H31567+H31574+H31572-H31573-H31575,MAX(0,H31675-H31498-H31511-H31524-H31537-H31550-H31563))</f>
        <v>0</v>
      </c>
      <c r="I31576" s="16" t="n">
        <f aca="false">Assumptions!$N$63*MIN(I31567+I31574+I31572-I31573-I31575,MAX(0,I31675-I31498-I31511-I31524-I31537-I31550-I31563))</f>
        <v>0</v>
      </c>
      <c r="J31576" s="16" t="n">
        <f aca="false">Assumptions!$N$63*MIN(J31567+J31574+J31572-J31573-J31575,MAX(0,J31675-J31498-J31511-J31524-J31537-J31550-J31563))</f>
        <v>0</v>
      </c>
      <c r="K31576" s="16" t="n">
        <f aca="false">Assumptions!$N$63*MIN(K31567+K31574+K31572-K31573-K31575,MAX(0,K31675-K31498-K31511-K31524-K31537-K31550-K31563))</f>
        <v>0</v>
      </c>
    </row>
    <row r="31577" customFormat="false" ht="15" hidden="false" customHeight="false" outlineLevel="0" collapsed="false">
      <c r="A31577" s="3" t="s">
        <v>338</v>
      </c>
      <c r="G31577" s="16" t="n">
        <f aca="false">G31568*(1-G31487)*(G31567-G31573+G31572-G31575)</f>
        <v>0</v>
      </c>
      <c r="H31577" s="16" t="n">
        <f aca="false">H31568*(1-H31487)*(H31567-H31573+H31572-H31575)</f>
        <v>0</v>
      </c>
      <c r="I31577" s="16" t="n">
        <f aca="false">I31568*(1-I31487)*(I31567-I31573+I31572-I31575)</f>
        <v>0</v>
      </c>
      <c r="J31577" s="16" t="n">
        <f aca="false">J31568*(1-J31487)*(J31567-J31573+J31572-J31575)</f>
        <v>0</v>
      </c>
      <c r="K31577" s="16" t="n">
        <f aca="false">K31568*(1-K31487)*(K31567-K31573+K31572-K31575)</f>
        <v>0</v>
      </c>
    </row>
    <row r="31578" customFormat="false" ht="15" hidden="false" customHeight="false" outlineLevel="0" collapsed="false">
      <c r="A31578" s="2" t="s">
        <v>339</v>
      </c>
      <c r="F31578" s="28" t="n">
        <f aca="false">Assumptions!$C$63</f>
        <v>550</v>
      </c>
      <c r="G31578" s="17" t="n">
        <f aca="false">G31567+G31574+G31572-G31573-G31575-G31576</f>
        <v>550</v>
      </c>
      <c r="H31578" s="17" t="n">
        <f aca="false">H31567+H31574+H31572-H31573-H31575-H31576</f>
        <v>550</v>
      </c>
      <c r="I31578" s="17" t="n">
        <f aca="false">I31567+I31574+I31572-I31573-I31575-I31576</f>
        <v>550</v>
      </c>
      <c r="J31578" s="17" t="n">
        <f aca="false">J31567+J31574+J31572-J31573-J31575-J31576</f>
        <v>550</v>
      </c>
      <c r="K31578" s="17" t="n">
        <f aca="false">K31567+K31574+K31572-K31573-K31575-K31576</f>
        <v>550</v>
      </c>
    </row>
    <row r="31579" customFormat="false" ht="15" hidden="false" customHeight="false" outlineLevel="0" collapsed="false">
      <c r="A31579" s="24" t="s">
        <v>346</v>
      </c>
      <c r="B31579" s="25"/>
      <c r="C31579" s="25"/>
      <c r="D31579" s="25"/>
      <c r="E31579" s="25"/>
      <c r="F31579" s="25"/>
      <c r="G31579" s="25"/>
      <c r="H31579" s="25"/>
      <c r="I31579" s="25"/>
      <c r="J31579" s="25"/>
      <c r="K31579" s="25"/>
    </row>
    <row r="31580" customFormat="false" ht="15" hidden="false" customHeight="false" outlineLevel="0" collapsed="false">
      <c r="A31580" s="3" t="s">
        <v>329</v>
      </c>
      <c r="G31580" s="16" t="n">
        <f aca="false">F31591</f>
        <v>350</v>
      </c>
      <c r="H31580" s="16" t="n">
        <f aca="false">G31591</f>
        <v>350</v>
      </c>
      <c r="I31580" s="16" t="n">
        <f aca="false">H31591</f>
        <v>350</v>
      </c>
      <c r="J31580" s="16" t="n">
        <f aca="false">I31591</f>
        <v>350</v>
      </c>
      <c r="K31580" s="16" t="n">
        <f aca="false">J31591</f>
        <v>350</v>
      </c>
    </row>
    <row r="31581" customFormat="false" ht="15" hidden="false" customHeight="false" outlineLevel="0" collapsed="false">
      <c r="A31581" s="3" t="s">
        <v>330</v>
      </c>
      <c r="G31581" s="21" t="n">
        <f aca="false">IF(G31453=Assumptions!$K$64,1,0)</f>
        <v>0</v>
      </c>
      <c r="H31581" s="21" t="n">
        <f aca="false">IF(H31453=Assumptions!$K$64,1,0)</f>
        <v>0</v>
      </c>
      <c r="I31581" s="21" t="n">
        <f aca="false">IF(I31453=Assumptions!$K$64,1,0)</f>
        <v>0</v>
      </c>
      <c r="J31581" s="21" t="n">
        <f aca="false">IF(J31453=Assumptions!$K$64,1,0)</f>
        <v>1</v>
      </c>
      <c r="K31581" s="21" t="n">
        <f aca="false">IF(K31453=Assumptions!$K$64,1,0)</f>
        <v>0</v>
      </c>
    </row>
    <row r="31583" customFormat="false" ht="15" hidden="false" customHeight="false" outlineLevel="0" collapsed="false">
      <c r="A31583" s="3" t="s">
        <v>331</v>
      </c>
      <c r="G31583" s="31" t="n">
        <f aca="false">IF(Assumptions!$I$64=1,MAX(G31479,Assumptions!$G$64)+Assumptions!$F$64+$C$31480,Assumptions!$E$64)</f>
        <v>0.0455</v>
      </c>
      <c r="H31583" s="31" t="n">
        <f aca="false">IF(G31806=1,$C$31481,IF(Assumptions!$I$64=1,MAX(H31479,Assumptions!$G$64)+Assumptions!$F$64+$C$31480,Assumptions!$E$64))</f>
        <v>0.0455</v>
      </c>
      <c r="I31583" s="31" t="n">
        <f aca="false">IF(H31806=1,$C$31481,IF(Assumptions!$I$64=1,MAX(I31479,Assumptions!$G$64)+Assumptions!$F$64+$C$31480,Assumptions!$E$64))</f>
        <v>0.0455</v>
      </c>
      <c r="J31583" s="31" t="n">
        <f aca="false">IF(I31806=1,$C$31481,IF(Assumptions!$I$64=1,MAX(J31479,Assumptions!$G$64)+Assumptions!$F$64+$C$31480,Assumptions!$E$64))</f>
        <v>0.0455</v>
      </c>
      <c r="K31583" s="31" t="n">
        <f aca="false">IF(J31806=1,$C$31481,IF(Assumptions!$I$64=1,MAX(K31479,Assumptions!$G$64)+Assumptions!$F$64+$C$31480,Assumptions!$E$64))</f>
        <v>0.08</v>
      </c>
    </row>
    <row r="31584" customFormat="false" ht="15" hidden="false" customHeight="false" outlineLevel="0" collapsed="false">
      <c r="A31584" s="3" t="s">
        <v>332</v>
      </c>
      <c r="G31584" s="16" t="n">
        <f aca="false">G31580*G31583</f>
        <v>15.925</v>
      </c>
      <c r="H31584" s="16" t="n">
        <f aca="false">H31580*H31583</f>
        <v>15.925</v>
      </c>
      <c r="I31584" s="16" t="n">
        <f aca="false">I31580*I31583</f>
        <v>15.925</v>
      </c>
      <c r="J31584" s="16" t="n">
        <f aca="false">J31580*J31583</f>
        <v>15.925</v>
      </c>
      <c r="K31584" s="16" t="n">
        <f aca="false">K31580*K31583</f>
        <v>28</v>
      </c>
    </row>
    <row r="31585" customFormat="false" ht="15" hidden="false" customHeight="false" outlineLevel="0" collapsed="false">
      <c r="A31585" s="3" t="s">
        <v>333</v>
      </c>
      <c r="G31585" s="16" t="n">
        <f aca="false">G31580*Assumptions!$H$64</f>
        <v>0</v>
      </c>
      <c r="H31585" s="16" t="n">
        <f aca="false">H31580*Assumptions!$H$64</f>
        <v>0</v>
      </c>
      <c r="I31585" s="16" t="n">
        <f aca="false">I31580*Assumptions!$H$64</f>
        <v>0</v>
      </c>
      <c r="J31585" s="16" t="n">
        <f aca="false">J31580*Assumptions!$H$64</f>
        <v>0</v>
      </c>
      <c r="K31585" s="16" t="n">
        <f aca="false">K31580*Assumptions!$H$64</f>
        <v>0</v>
      </c>
    </row>
    <row r="31586" customFormat="false" ht="15" hidden="false" customHeight="false" outlineLevel="0" collapsed="false">
      <c r="A31586" s="3" t="s">
        <v>334</v>
      </c>
      <c r="G31586" s="16" t="n">
        <f aca="false">MIN(G31580,Assumptions!$L$64*Assumptions!$C$64)</f>
        <v>0</v>
      </c>
      <c r="H31586" s="16" t="n">
        <f aca="false">MIN(H31580,Assumptions!$L$64*Assumptions!$C$64)</f>
        <v>0</v>
      </c>
      <c r="I31586" s="16" t="n">
        <f aca="false">MIN(I31580,Assumptions!$L$64*Assumptions!$C$64)</f>
        <v>0</v>
      </c>
      <c r="J31586" s="16" t="n">
        <f aca="false">MIN(J31580,Assumptions!$L$64*Assumptions!$C$64)</f>
        <v>0</v>
      </c>
      <c r="K31586" s="16" t="n">
        <f aca="false">MIN(K31580,Assumptions!$L$64*Assumptions!$C$64)</f>
        <v>0</v>
      </c>
    </row>
    <row r="31587" customFormat="false" ht="15" hidden="false" customHeight="false" outlineLevel="0" collapsed="false">
      <c r="A31587" s="3" t="s">
        <v>335</v>
      </c>
      <c r="G31587" s="16" t="n">
        <f aca="false">IF(AND(Assumptions!$P$64=1,G31453&lt;Assumptions!$K$64),MIN(MAX(0,-G31669),MAX(0,Assumptions!$D$64-G31580)),0)</f>
        <v>0</v>
      </c>
      <c r="H31587" s="16" t="n">
        <f aca="false">IF(AND(Assumptions!$P$64=1,OR(H31453&lt;Assumptions!$K$64,G31806=1)),MIN(MAX(0,-H31669),MAX(0,Assumptions!$D$64-H31580)),0)</f>
        <v>0</v>
      </c>
      <c r="I31587" s="16" t="n">
        <f aca="false">IF(AND(Assumptions!$P$64=1,OR(I31453&lt;Assumptions!$K$64,H31806=1)),MIN(MAX(0,-I31669),MAX(0,Assumptions!$D$64-I31580)),0)</f>
        <v>0</v>
      </c>
      <c r="J31587" s="16" t="n">
        <f aca="false">IF(AND(Assumptions!$P$64=1,OR(J31453&lt;Assumptions!$K$64,I31806=1)),MIN(MAX(0,-J31669),MAX(0,Assumptions!$D$64-J31580)),0)</f>
        <v>0</v>
      </c>
      <c r="K31587" s="16" t="n">
        <f aca="false">IF(AND(Assumptions!$P$64=1,OR(K31453&lt;Assumptions!$K$64,J31806=1)),MIN(MAX(0,-K31669),MAX(0,Assumptions!$D$64-K31580)),0)</f>
        <v>0</v>
      </c>
    </row>
    <row r="31588" customFormat="false" ht="15" hidden="false" customHeight="false" outlineLevel="0" collapsed="false">
      <c r="A31588" s="3" t="s">
        <v>336</v>
      </c>
      <c r="G31588" s="16" t="n">
        <f aca="false">G31581*MIN(G31580-G31586+G31585,MAX(0,G31671-Assumptions!$C$12*G31487-G31497-G31510-G31523-G31536-G31549-G31562-G31575))</f>
        <v>0</v>
      </c>
      <c r="H31588" s="16" t="n">
        <f aca="false">H31581*MIN(H31580-H31586+H31585,MAX(0,H31671-Assumptions!$C$12*H31487-H31497-H31510-H31523-H31536-H31549-H31562-H31575))</f>
        <v>0</v>
      </c>
      <c r="I31588" s="16" t="n">
        <f aca="false">I31581*MIN(I31580-I31586+I31585,MAX(0,I31671-Assumptions!$C$12*I31487-I31497-I31510-I31523-I31536-I31549-I31562-I31575))</f>
        <v>0</v>
      </c>
      <c r="J31588" s="16" t="n">
        <f aca="false">J31581*MIN(J31580-J31586+J31585,MAX(0,J31671-Assumptions!$C$12*J31487-J31497-J31510-J31523-J31536-J31549-J31562-J31575))</f>
        <v>0</v>
      </c>
      <c r="K31588" s="16" t="n">
        <f aca="false">K31581*MIN(K31580-K31586+K31585,MAX(0,K31671-Assumptions!$C$12*K31487-K31497-K31510-K31523-K31536-K31549-K31562-K31575))</f>
        <v>0</v>
      </c>
    </row>
    <row r="31589" customFormat="false" ht="15" hidden="false" customHeight="false" outlineLevel="0" collapsed="false">
      <c r="A31589" s="3" t="s">
        <v>337</v>
      </c>
      <c r="G31589" s="16" t="n">
        <f aca="false">Assumptions!$N$64*MIN(G31580+G31587+G31585-G31586-G31588,MAX(0,G31675-G31498-G31511-G31524-G31537-G31550-G31563-G31576))</f>
        <v>0</v>
      </c>
      <c r="H31589" s="16" t="n">
        <f aca="false">Assumptions!$N$64*MIN(H31580+H31587+H31585-H31586-H31588,MAX(0,H31675-H31498-H31511-H31524-H31537-H31550-H31563-H31576))</f>
        <v>0</v>
      </c>
      <c r="I31589" s="16" t="n">
        <f aca="false">Assumptions!$N$64*MIN(I31580+I31587+I31585-I31586-I31588,MAX(0,I31675-I31498-I31511-I31524-I31537-I31550-I31563-I31576))</f>
        <v>0</v>
      </c>
      <c r="J31589" s="16" t="n">
        <f aca="false">Assumptions!$N$64*MIN(J31580+J31587+J31585-J31586-J31588,MAX(0,J31675-J31498-J31511-J31524-J31537-J31550-J31563-J31576))</f>
        <v>0</v>
      </c>
      <c r="K31589" s="16" t="n">
        <f aca="false">Assumptions!$N$64*MIN(K31580+K31587+K31585-K31586-K31588,MAX(0,K31675-K31498-K31511-K31524-K31537-K31550-K31563-K31576))</f>
        <v>0</v>
      </c>
    </row>
    <row r="31590" customFormat="false" ht="15" hidden="false" customHeight="false" outlineLevel="0" collapsed="false">
      <c r="A31590" s="3" t="s">
        <v>338</v>
      </c>
      <c r="G31590" s="16" t="n">
        <f aca="false">G31581*(1-G31487)*(G31580-G31586+G31585-G31588)</f>
        <v>0</v>
      </c>
      <c r="H31590" s="16" t="n">
        <f aca="false">H31581*(1-H31487)*(H31580-H31586+H31585-H31588)</f>
        <v>0</v>
      </c>
      <c r="I31590" s="16" t="n">
        <f aca="false">I31581*(1-I31487)*(I31580-I31586+I31585-I31588)</f>
        <v>0</v>
      </c>
      <c r="J31590" s="16" t="n">
        <f aca="false">J31581*(1-J31487)*(J31580-J31586+J31585-J31588)</f>
        <v>0</v>
      </c>
      <c r="K31590" s="16" t="n">
        <f aca="false">K31581*(1-K31487)*(K31580-K31586+K31585-K31588)</f>
        <v>0</v>
      </c>
    </row>
    <row r="31591" customFormat="false" ht="15" hidden="false" customHeight="false" outlineLevel="0" collapsed="false">
      <c r="A31591" s="2" t="s">
        <v>339</v>
      </c>
      <c r="F31591" s="28" t="n">
        <f aca="false">Assumptions!$C$64</f>
        <v>350</v>
      </c>
      <c r="G31591" s="17" t="n">
        <f aca="false">G31580+G31587+G31585-G31586-G31588-G31589</f>
        <v>350</v>
      </c>
      <c r="H31591" s="17" t="n">
        <f aca="false">H31580+H31587+H31585-H31586-H31588-H31589</f>
        <v>350</v>
      </c>
      <c r="I31591" s="17" t="n">
        <f aca="false">I31580+I31587+I31585-I31586-I31588-I31589</f>
        <v>350</v>
      </c>
      <c r="J31591" s="17" t="n">
        <f aca="false">J31580+J31587+J31585-J31586-J31588-J31589</f>
        <v>350</v>
      </c>
      <c r="K31591" s="17" t="n">
        <f aca="false">K31580+K31587+K31585-K31586-K31588-K31589</f>
        <v>350</v>
      </c>
    </row>
    <row r="31592" customFormat="false" ht="15" hidden="false" customHeight="false" outlineLevel="0" collapsed="false">
      <c r="A31592" s="24" t="s">
        <v>347</v>
      </c>
      <c r="B31592" s="25"/>
      <c r="C31592" s="25"/>
      <c r="D31592" s="25"/>
      <c r="E31592" s="25"/>
      <c r="F31592" s="25"/>
      <c r="G31592" s="25"/>
      <c r="H31592" s="25"/>
      <c r="I31592" s="25"/>
      <c r="J31592" s="25"/>
      <c r="K31592" s="25"/>
    </row>
    <row r="31593" customFormat="false" ht="15" hidden="false" customHeight="false" outlineLevel="0" collapsed="false">
      <c r="A31593" s="3" t="s">
        <v>329</v>
      </c>
      <c r="G31593" s="16" t="n">
        <f aca="false">F31604</f>
        <v>300</v>
      </c>
      <c r="H31593" s="16" t="n">
        <f aca="false">G31604</f>
        <v>300</v>
      </c>
      <c r="I31593" s="16" t="n">
        <f aca="false">H31604</f>
        <v>300</v>
      </c>
      <c r="J31593" s="16" t="n">
        <f aca="false">I31604</f>
        <v>300</v>
      </c>
      <c r="K31593" s="16" t="n">
        <f aca="false">J31604</f>
        <v>300</v>
      </c>
    </row>
    <row r="31594" customFormat="false" ht="15" hidden="false" customHeight="false" outlineLevel="0" collapsed="false">
      <c r="A31594" s="3" t="s">
        <v>330</v>
      </c>
      <c r="G31594" s="21" t="n">
        <f aca="false">IF(G31453=Assumptions!$K$65,1,0)</f>
        <v>0</v>
      </c>
      <c r="H31594" s="21" t="n">
        <f aca="false">IF(H31453=Assumptions!$K$65,1,0)</f>
        <v>0</v>
      </c>
      <c r="I31594" s="21" t="n">
        <f aca="false">IF(I31453=Assumptions!$K$65,1,0)</f>
        <v>0</v>
      </c>
      <c r="J31594" s="21" t="n">
        <f aca="false">IF(J31453=Assumptions!$K$65,1,0)</f>
        <v>0</v>
      </c>
      <c r="K31594" s="21" t="n">
        <f aca="false">IF(K31453=Assumptions!$K$65,1,0)</f>
        <v>1</v>
      </c>
    </row>
    <row r="31596" customFormat="false" ht="15" hidden="false" customHeight="false" outlineLevel="0" collapsed="false">
      <c r="A31596" s="3" t="s">
        <v>331</v>
      </c>
      <c r="G31596" s="31" t="n">
        <f aca="false">IF(Assumptions!$I$65=1,MAX(G31479,Assumptions!$G$65)+Assumptions!$F$65+$C$31480,Assumptions!$E$65)</f>
        <v>0.06125</v>
      </c>
      <c r="H31596" s="31" t="n">
        <f aca="false">IF(G31807=1,$C$31481,IF(Assumptions!$I$65=1,MAX(H31479,Assumptions!$G$65)+Assumptions!$F$65+$C$31480,Assumptions!$E$65))</f>
        <v>0.06125</v>
      </c>
      <c r="I31596" s="31" t="n">
        <f aca="false">IF(H31807=1,$C$31481,IF(Assumptions!$I$65=1,MAX(I31479,Assumptions!$G$65)+Assumptions!$F$65+$C$31480,Assumptions!$E$65))</f>
        <v>0.06125</v>
      </c>
      <c r="J31596" s="31" t="n">
        <f aca="false">IF(I31807=1,$C$31481,IF(Assumptions!$I$65=1,MAX(J31479,Assumptions!$G$65)+Assumptions!$F$65+$C$31480,Assumptions!$E$65))</f>
        <v>0.06125</v>
      </c>
      <c r="K31596" s="31" t="n">
        <f aca="false">IF(J31807=1,$C$31481,IF(Assumptions!$I$65=1,MAX(K31479,Assumptions!$G$65)+Assumptions!$F$65+$C$31480,Assumptions!$E$65))</f>
        <v>0.06125</v>
      </c>
    </row>
    <row r="31597" customFormat="false" ht="15" hidden="false" customHeight="false" outlineLevel="0" collapsed="false">
      <c r="A31597" s="3" t="s">
        <v>332</v>
      </c>
      <c r="G31597" s="16" t="n">
        <f aca="false">G31593*G31596</f>
        <v>18.375</v>
      </c>
      <c r="H31597" s="16" t="n">
        <f aca="false">H31593*H31596</f>
        <v>18.375</v>
      </c>
      <c r="I31597" s="16" t="n">
        <f aca="false">I31593*I31596</f>
        <v>18.375</v>
      </c>
      <c r="J31597" s="16" t="n">
        <f aca="false">J31593*J31596</f>
        <v>18.375</v>
      </c>
      <c r="K31597" s="16" t="n">
        <f aca="false">K31593*K31596</f>
        <v>18.375</v>
      </c>
    </row>
    <row r="31598" customFormat="false" ht="15" hidden="false" customHeight="false" outlineLevel="0" collapsed="false">
      <c r="A31598" s="3" t="s">
        <v>333</v>
      </c>
      <c r="G31598" s="16" t="n">
        <f aca="false">G31593*Assumptions!$H$65</f>
        <v>0</v>
      </c>
      <c r="H31598" s="16" t="n">
        <f aca="false">H31593*Assumptions!$H$65</f>
        <v>0</v>
      </c>
      <c r="I31598" s="16" t="n">
        <f aca="false">I31593*Assumptions!$H$65</f>
        <v>0</v>
      </c>
      <c r="J31598" s="16" t="n">
        <f aca="false">J31593*Assumptions!$H$65</f>
        <v>0</v>
      </c>
      <c r="K31598" s="16" t="n">
        <f aca="false">K31593*Assumptions!$H$65</f>
        <v>0</v>
      </c>
    </row>
    <row r="31599" customFormat="false" ht="15" hidden="false" customHeight="false" outlineLevel="0" collapsed="false">
      <c r="A31599" s="3" t="s">
        <v>334</v>
      </c>
      <c r="G31599" s="16" t="n">
        <f aca="false">MIN(G31593,Assumptions!$L$65*Assumptions!$C$65)</f>
        <v>0</v>
      </c>
      <c r="H31599" s="16" t="n">
        <f aca="false">MIN(H31593,Assumptions!$L$65*Assumptions!$C$65)</f>
        <v>0</v>
      </c>
      <c r="I31599" s="16" t="n">
        <f aca="false">MIN(I31593,Assumptions!$L$65*Assumptions!$C$65)</f>
        <v>0</v>
      </c>
      <c r="J31599" s="16" t="n">
        <f aca="false">MIN(J31593,Assumptions!$L$65*Assumptions!$C$65)</f>
        <v>0</v>
      </c>
      <c r="K31599" s="16" t="n">
        <f aca="false">MIN(K31593,Assumptions!$L$65*Assumptions!$C$65)</f>
        <v>0</v>
      </c>
    </row>
    <row r="31600" customFormat="false" ht="15" hidden="false" customHeight="false" outlineLevel="0" collapsed="false">
      <c r="A31600" s="3" t="s">
        <v>335</v>
      </c>
      <c r="G31600" s="16" t="n">
        <f aca="false">IF(AND(Assumptions!$P$65=1,G31453&lt;Assumptions!$K$65),MIN(MAX(0,-G31669),MAX(0,Assumptions!$D$65-G31593)),0)</f>
        <v>0</v>
      </c>
      <c r="H31600" s="16" t="n">
        <f aca="false">IF(AND(Assumptions!$P$65=1,OR(H31453&lt;Assumptions!$K$65,G31807=1)),MIN(MAX(0,-H31669),MAX(0,Assumptions!$D$65-H31593)),0)</f>
        <v>0</v>
      </c>
      <c r="I31600" s="16" t="n">
        <f aca="false">IF(AND(Assumptions!$P$65=1,OR(I31453&lt;Assumptions!$K$65,H31807=1)),MIN(MAX(0,-I31669),MAX(0,Assumptions!$D$65-I31593)),0)</f>
        <v>0</v>
      </c>
      <c r="J31600" s="16" t="n">
        <f aca="false">IF(AND(Assumptions!$P$65=1,OR(J31453&lt;Assumptions!$K$65,I31807=1)),MIN(MAX(0,-J31669),MAX(0,Assumptions!$D$65-J31593)),0)</f>
        <v>0</v>
      </c>
      <c r="K31600" s="16" t="n">
        <f aca="false">IF(AND(Assumptions!$P$65=1,OR(K31453&lt;Assumptions!$K$65,J31807=1)),MIN(MAX(0,-K31669),MAX(0,Assumptions!$D$65-K31593)),0)</f>
        <v>0</v>
      </c>
    </row>
    <row r="31601" customFormat="false" ht="15" hidden="false" customHeight="false" outlineLevel="0" collapsed="false">
      <c r="A31601" s="3" t="s">
        <v>336</v>
      </c>
      <c r="G31601" s="16" t="n">
        <f aca="false">G31594*MIN(G31593-G31599+G31598,MAX(0,G31671-Assumptions!$C$12*G31487-G31497-G31510-G31523-G31536-G31549-G31562-G31575-G31588))</f>
        <v>0</v>
      </c>
      <c r="H31601" s="16" t="n">
        <f aca="false">H31594*MIN(H31593-H31599+H31598,MAX(0,H31671-Assumptions!$C$12*H31487-H31497-H31510-H31523-H31536-H31549-H31562-H31575-H31588))</f>
        <v>0</v>
      </c>
      <c r="I31601" s="16" t="n">
        <f aca="false">I31594*MIN(I31593-I31599+I31598,MAX(0,I31671-Assumptions!$C$12*I31487-I31497-I31510-I31523-I31536-I31549-I31562-I31575-I31588))</f>
        <v>0</v>
      </c>
      <c r="J31601" s="16" t="n">
        <f aca="false">J31594*MIN(J31593-J31599+J31598,MAX(0,J31671-Assumptions!$C$12*J31487-J31497-J31510-J31523-J31536-J31549-J31562-J31575-J31588))</f>
        <v>0</v>
      </c>
      <c r="K31601" s="16" t="n">
        <f aca="false">K31594*MIN(K31593-K31599+K31598,MAX(0,K31671-Assumptions!$C$12*K31487-K31497-K31510-K31523-K31536-K31549-K31562-K31575-K31588))</f>
        <v>0</v>
      </c>
    </row>
    <row r="31602" customFormat="false" ht="15" hidden="false" customHeight="false" outlineLevel="0" collapsed="false">
      <c r="A31602" s="3" t="s">
        <v>337</v>
      </c>
      <c r="G31602" s="16" t="n">
        <f aca="false">Assumptions!$N$65*MIN(G31593+G31600+G31598-G31599-G31601,MAX(0,G31675-G31498-G31511-G31524-G31537-G31550-G31563-G31576-G31589))</f>
        <v>0</v>
      </c>
      <c r="H31602" s="16" t="n">
        <f aca="false">Assumptions!$N$65*MIN(H31593+H31600+H31598-H31599-H31601,MAX(0,H31675-H31498-H31511-H31524-H31537-H31550-H31563-H31576-H31589))</f>
        <v>0</v>
      </c>
      <c r="I31602" s="16" t="n">
        <f aca="false">Assumptions!$N$65*MIN(I31593+I31600+I31598-I31599-I31601,MAX(0,I31675-I31498-I31511-I31524-I31537-I31550-I31563-I31576-I31589))</f>
        <v>0</v>
      </c>
      <c r="J31602" s="16" t="n">
        <f aca="false">Assumptions!$N$65*MIN(J31593+J31600+J31598-J31599-J31601,MAX(0,J31675-J31498-J31511-J31524-J31537-J31550-J31563-J31576-J31589))</f>
        <v>0</v>
      </c>
      <c r="K31602" s="16" t="n">
        <f aca="false">Assumptions!$N$65*MIN(K31593+K31600+K31598-K31599-K31601,MAX(0,K31675-K31498-K31511-K31524-K31537-K31550-K31563-K31576-K31589))</f>
        <v>0</v>
      </c>
    </row>
    <row r="31603" customFormat="false" ht="15" hidden="false" customHeight="false" outlineLevel="0" collapsed="false">
      <c r="A31603" s="3" t="s">
        <v>338</v>
      </c>
      <c r="G31603" s="16" t="n">
        <f aca="false">G31594*(1-G31487)*(G31593-G31599+G31598-G31601)</f>
        <v>0</v>
      </c>
      <c r="H31603" s="16" t="n">
        <f aca="false">H31594*(1-H31487)*(H31593-H31599+H31598-H31601)</f>
        <v>0</v>
      </c>
      <c r="I31603" s="16" t="n">
        <f aca="false">I31594*(1-I31487)*(I31593-I31599+I31598-I31601)</f>
        <v>0</v>
      </c>
      <c r="J31603" s="16" t="n">
        <f aca="false">J31594*(1-J31487)*(J31593-J31599+J31598-J31601)</f>
        <v>0</v>
      </c>
      <c r="K31603" s="16" t="n">
        <f aca="false">K31594*(1-K31487)*(K31593-K31599+K31598-K31601)</f>
        <v>0</v>
      </c>
    </row>
    <row r="31604" customFormat="false" ht="15" hidden="false" customHeight="false" outlineLevel="0" collapsed="false">
      <c r="A31604" s="2" t="s">
        <v>339</v>
      </c>
      <c r="F31604" s="28" t="n">
        <f aca="false">Assumptions!$C$65</f>
        <v>300</v>
      </c>
      <c r="G31604" s="17" t="n">
        <f aca="false">G31593+G31600+G31598-G31599-G31601-G31602</f>
        <v>300</v>
      </c>
      <c r="H31604" s="17" t="n">
        <f aca="false">H31593+H31600+H31598-H31599-H31601-H31602</f>
        <v>300</v>
      </c>
      <c r="I31604" s="17" t="n">
        <f aca="false">I31593+I31600+I31598-I31599-I31601-I31602</f>
        <v>300</v>
      </c>
      <c r="J31604" s="17" t="n">
        <f aca="false">J31593+J31600+J31598-J31599-J31601-J31602</f>
        <v>300</v>
      </c>
      <c r="K31604" s="17" t="n">
        <f aca="false">K31593+K31600+K31598-K31599-K31601-K31602</f>
        <v>300</v>
      </c>
    </row>
    <row r="31605" customFormat="false" ht="15" hidden="false" customHeight="false" outlineLevel="0" collapsed="false">
      <c r="A31605" s="24" t="s">
        <v>348</v>
      </c>
      <c r="B31605" s="25"/>
      <c r="C31605" s="25"/>
      <c r="D31605" s="25"/>
      <c r="E31605" s="25"/>
      <c r="F31605" s="25"/>
      <c r="G31605" s="25"/>
      <c r="H31605" s="25"/>
      <c r="I31605" s="25"/>
      <c r="J31605" s="25"/>
      <c r="K31605" s="25"/>
    </row>
    <row r="31606" customFormat="false" ht="15" hidden="false" customHeight="false" outlineLevel="0" collapsed="false">
      <c r="A31606" s="3" t="s">
        <v>329</v>
      </c>
      <c r="G31606" s="16" t="n">
        <f aca="false">F31617</f>
        <v>78.61</v>
      </c>
      <c r="H31606" s="16" t="n">
        <f aca="false">G31617</f>
        <v>78.61</v>
      </c>
      <c r="I31606" s="16" t="n">
        <f aca="false">H31617</f>
        <v>78.61</v>
      </c>
      <c r="J31606" s="16" t="n">
        <f aca="false">I31617</f>
        <v>78.61</v>
      </c>
      <c r="K31606" s="16" t="n">
        <f aca="false">J31617</f>
        <v>78.61</v>
      </c>
    </row>
    <row r="31607" customFormat="false" ht="15" hidden="false" customHeight="false" outlineLevel="0" collapsed="false">
      <c r="A31607" s="3" t="s">
        <v>330</v>
      </c>
      <c r="G31607" s="21" t="n">
        <f aca="false">IF(G31453=Assumptions!$K$66,1,0)</f>
        <v>0</v>
      </c>
      <c r="H31607" s="21" t="n">
        <f aca="false">IF(H31453=Assumptions!$K$66,1,0)</f>
        <v>0</v>
      </c>
      <c r="I31607" s="21" t="n">
        <f aca="false">IF(I31453=Assumptions!$K$66,1,0)</f>
        <v>0</v>
      </c>
      <c r="J31607" s="21" t="n">
        <f aca="false">IF(J31453=Assumptions!$K$66,1,0)</f>
        <v>0</v>
      </c>
      <c r="K31607" s="21" t="n">
        <f aca="false">IF(K31453=Assumptions!$K$66,1,0)</f>
        <v>0</v>
      </c>
    </row>
    <row r="31609" customFormat="false" ht="15" hidden="false" customHeight="false" outlineLevel="0" collapsed="false">
      <c r="A31609" s="3" t="s">
        <v>331</v>
      </c>
      <c r="G31609" s="31" t="n">
        <f aca="false">IF(Assumptions!$I$66=1,MAX(G31479,Assumptions!$G$66)+Assumptions!$F$66+$C$31480,Assumptions!$E$66)</f>
        <v>0.0541</v>
      </c>
      <c r="H31609" s="31" t="n">
        <f aca="false">IF(G31808=1,$C$31481,IF(Assumptions!$I$66=1,MAX(H31479,Assumptions!$G$66)+Assumptions!$F$66+$C$31480,Assumptions!$E$66))</f>
        <v>0.0526</v>
      </c>
      <c r="I31609" s="31" t="n">
        <f aca="false">IF(H31808=1,$C$31481,IF(Assumptions!$I$66=1,MAX(I31479,Assumptions!$G$66)+Assumptions!$F$66+$C$31480,Assumptions!$E$66))</f>
        <v>0.0501</v>
      </c>
      <c r="J31609" s="31" t="n">
        <f aca="false">IF(I31808=1,$C$31481,IF(Assumptions!$I$66=1,MAX(J31479,Assumptions!$G$66)+Assumptions!$F$66+$C$31480,Assumptions!$E$66))</f>
        <v>0.0501</v>
      </c>
      <c r="K31609" s="31" t="n">
        <f aca="false">IF(J31808=1,$C$31481,IF(Assumptions!$I$66=1,MAX(K31479,Assumptions!$G$66)+Assumptions!$F$66+$C$31480,Assumptions!$E$66))</f>
        <v>0.0501</v>
      </c>
    </row>
    <row r="31610" customFormat="false" ht="15" hidden="false" customHeight="false" outlineLevel="0" collapsed="false">
      <c r="A31610" s="3" t="s">
        <v>332</v>
      </c>
      <c r="G31610" s="16" t="n">
        <f aca="false">G31606*G31609</f>
        <v>4.252801</v>
      </c>
      <c r="H31610" s="16" t="n">
        <f aca="false">H31606*H31609</f>
        <v>4.134886</v>
      </c>
      <c r="I31610" s="16" t="n">
        <f aca="false">I31606*I31609</f>
        <v>3.938361</v>
      </c>
      <c r="J31610" s="16" t="n">
        <f aca="false">J31606*J31609</f>
        <v>3.938361</v>
      </c>
      <c r="K31610" s="16" t="n">
        <f aca="false">K31606*K31609</f>
        <v>3.938361</v>
      </c>
    </row>
    <row r="31611" customFormat="false" ht="15" hidden="false" customHeight="false" outlineLevel="0" collapsed="false">
      <c r="A31611" s="3" t="s">
        <v>333</v>
      </c>
      <c r="G31611" s="16" t="n">
        <f aca="false">G31606*Assumptions!$H$66</f>
        <v>0</v>
      </c>
      <c r="H31611" s="16" t="n">
        <f aca="false">H31606*Assumptions!$H$66</f>
        <v>0</v>
      </c>
      <c r="I31611" s="16" t="n">
        <f aca="false">I31606*Assumptions!$H$66</f>
        <v>0</v>
      </c>
      <c r="J31611" s="16" t="n">
        <f aca="false">J31606*Assumptions!$H$66</f>
        <v>0</v>
      </c>
      <c r="K31611" s="16" t="n">
        <f aca="false">K31606*Assumptions!$H$66</f>
        <v>0</v>
      </c>
    </row>
    <row r="31612" customFormat="false" ht="15" hidden="false" customHeight="false" outlineLevel="0" collapsed="false">
      <c r="A31612" s="3" t="s">
        <v>334</v>
      </c>
      <c r="G31612" s="16" t="n">
        <f aca="false">MIN(G31606,Assumptions!$L$66*Assumptions!$C$66)</f>
        <v>0</v>
      </c>
      <c r="H31612" s="16" t="n">
        <f aca="false">MIN(H31606,Assumptions!$L$66*Assumptions!$C$66)</f>
        <v>0</v>
      </c>
      <c r="I31612" s="16" t="n">
        <f aca="false">MIN(I31606,Assumptions!$L$66*Assumptions!$C$66)</f>
        <v>0</v>
      </c>
      <c r="J31612" s="16" t="n">
        <f aca="false">MIN(J31606,Assumptions!$L$66*Assumptions!$C$66)</f>
        <v>0</v>
      </c>
      <c r="K31612" s="16" t="n">
        <f aca="false">MIN(K31606,Assumptions!$L$66*Assumptions!$C$66)</f>
        <v>0</v>
      </c>
    </row>
    <row r="31613" customFormat="false" ht="15" hidden="false" customHeight="false" outlineLevel="0" collapsed="false">
      <c r="A31613" s="3" t="s">
        <v>335</v>
      </c>
      <c r="G31613" s="16" t="n">
        <f aca="false">IF(AND(Assumptions!$P$66=1,G31453&lt;Assumptions!$K$66),MIN(MAX(0,-G31669),MAX(0,Assumptions!$D$66-G31606)),0)</f>
        <v>0</v>
      </c>
      <c r="H31613" s="16" t="n">
        <f aca="false">IF(AND(Assumptions!$P$66=1,OR(H31453&lt;Assumptions!$K$66,G31808=1)),MIN(MAX(0,-H31669),MAX(0,Assumptions!$D$66-H31606)),0)</f>
        <v>0</v>
      </c>
      <c r="I31613" s="16" t="n">
        <f aca="false">IF(AND(Assumptions!$P$66=1,OR(I31453&lt;Assumptions!$K$66,H31808=1)),MIN(MAX(0,-I31669),MAX(0,Assumptions!$D$66-I31606)),0)</f>
        <v>0</v>
      </c>
      <c r="J31613" s="16" t="n">
        <f aca="false">IF(AND(Assumptions!$P$66=1,OR(J31453&lt;Assumptions!$K$66,I31808=1)),MIN(MAX(0,-J31669),MAX(0,Assumptions!$D$66-J31606)),0)</f>
        <v>0</v>
      </c>
      <c r="K31613" s="16" t="n">
        <f aca="false">IF(AND(Assumptions!$P$66=1,OR(K31453&lt;Assumptions!$K$66,J31808=1)),MIN(MAX(0,-K31669),MAX(0,Assumptions!$D$66-K31606)),0)</f>
        <v>0</v>
      </c>
    </row>
    <row r="31614" customFormat="false" ht="15" hidden="false" customHeight="false" outlineLevel="0" collapsed="false">
      <c r="A31614" s="3" t="s">
        <v>336</v>
      </c>
      <c r="G31614" s="16" t="n">
        <f aca="false">G31607*MIN(G31606-G31612+G31611,MAX(0,G31671-Assumptions!$C$12*G31487-G31497-G31510-G31523-G31536-G31549-G31562-G31575-G31588-G31601))</f>
        <v>0</v>
      </c>
      <c r="H31614" s="16" t="n">
        <f aca="false">H31607*MIN(H31606-H31612+H31611,MAX(0,H31671-Assumptions!$C$12*H31487-H31497-H31510-H31523-H31536-H31549-H31562-H31575-H31588-H31601))</f>
        <v>0</v>
      </c>
      <c r="I31614" s="16" t="n">
        <f aca="false">I31607*MIN(I31606-I31612+I31611,MAX(0,I31671-Assumptions!$C$12*I31487-I31497-I31510-I31523-I31536-I31549-I31562-I31575-I31588-I31601))</f>
        <v>0</v>
      </c>
      <c r="J31614" s="16" t="n">
        <f aca="false">J31607*MIN(J31606-J31612+J31611,MAX(0,J31671-Assumptions!$C$12*J31487-J31497-J31510-J31523-J31536-J31549-J31562-J31575-J31588-J31601))</f>
        <v>0</v>
      </c>
      <c r="K31614" s="16" t="n">
        <f aca="false">K31607*MIN(K31606-K31612+K31611,MAX(0,K31671-Assumptions!$C$12*K31487-K31497-K31510-K31523-K31536-K31549-K31562-K31575-K31588-K31601))</f>
        <v>0</v>
      </c>
    </row>
    <row r="31615" customFormat="false" ht="15" hidden="false" customHeight="false" outlineLevel="0" collapsed="false">
      <c r="A31615" s="3" t="s">
        <v>337</v>
      </c>
      <c r="G31615" s="16" t="n">
        <f aca="false">Assumptions!$N$66*MIN(G31606+G31613+G31611-G31612-G31614,MAX(0,G31675-G31498-G31511-G31524-G31537-G31550-G31563-G31576-G31589-G31602))</f>
        <v>0</v>
      </c>
      <c r="H31615" s="16" t="n">
        <f aca="false">Assumptions!$N$66*MIN(H31606+H31613+H31611-H31612-H31614,MAX(0,H31675-H31498-H31511-H31524-H31537-H31550-H31563-H31576-H31589-H31602))</f>
        <v>0</v>
      </c>
      <c r="I31615" s="16" t="n">
        <f aca="false">Assumptions!$N$66*MIN(I31606+I31613+I31611-I31612-I31614,MAX(0,I31675-I31498-I31511-I31524-I31537-I31550-I31563-I31576-I31589-I31602))</f>
        <v>0</v>
      </c>
      <c r="J31615" s="16" t="n">
        <f aca="false">Assumptions!$N$66*MIN(J31606+J31613+J31611-J31612-J31614,MAX(0,J31675-J31498-J31511-J31524-J31537-J31550-J31563-J31576-J31589-J31602))</f>
        <v>0</v>
      </c>
      <c r="K31615" s="16" t="n">
        <f aca="false">Assumptions!$N$66*MIN(K31606+K31613+K31611-K31612-K31614,MAX(0,K31675-K31498-K31511-K31524-K31537-K31550-K31563-K31576-K31589-K31602))</f>
        <v>0</v>
      </c>
    </row>
    <row r="31616" customFormat="false" ht="15" hidden="false" customHeight="false" outlineLevel="0" collapsed="false">
      <c r="A31616" s="3" t="s">
        <v>338</v>
      </c>
      <c r="G31616" s="16" t="n">
        <f aca="false">G31607*(1-G31487)*(G31606-G31612+G31611-G31614)</f>
        <v>0</v>
      </c>
      <c r="H31616" s="16" t="n">
        <f aca="false">H31607*(1-H31487)*(H31606-H31612+H31611-H31614)</f>
        <v>0</v>
      </c>
      <c r="I31616" s="16" t="n">
        <f aca="false">I31607*(1-I31487)*(I31606-I31612+I31611-I31614)</f>
        <v>0</v>
      </c>
      <c r="J31616" s="16" t="n">
        <f aca="false">J31607*(1-J31487)*(J31606-J31612+J31611-J31614)</f>
        <v>0</v>
      </c>
      <c r="K31616" s="16" t="n">
        <f aca="false">K31607*(1-K31487)*(K31606-K31612+K31611-K31614)</f>
        <v>0</v>
      </c>
    </row>
    <row r="31617" customFormat="false" ht="15" hidden="false" customHeight="false" outlineLevel="0" collapsed="false">
      <c r="A31617" s="2" t="s">
        <v>339</v>
      </c>
      <c r="F31617" s="28" t="n">
        <f aca="false">Assumptions!$C$66</f>
        <v>78.61</v>
      </c>
      <c r="G31617" s="17" t="n">
        <f aca="false">G31606+G31613+G31611-G31612-G31614-G31615</f>
        <v>78.61</v>
      </c>
      <c r="H31617" s="17" t="n">
        <f aca="false">H31606+H31613+H31611-H31612-H31614-H31615</f>
        <v>78.61</v>
      </c>
      <c r="I31617" s="17" t="n">
        <f aca="false">I31606+I31613+I31611-I31612-I31614-I31615</f>
        <v>78.61</v>
      </c>
      <c r="J31617" s="17" t="n">
        <f aca="false">J31606+J31613+J31611-J31612-J31614-J31615</f>
        <v>78.61</v>
      </c>
      <c r="K31617" s="17" t="n">
        <f aca="false">K31606+K31613+K31611-K31612-K31614-K31615</f>
        <v>78.61</v>
      </c>
    </row>
    <row r="31618" customFormat="false" ht="15" hidden="false" customHeight="false" outlineLevel="0" collapsed="false">
      <c r="A31618" s="24" t="s">
        <v>349</v>
      </c>
      <c r="B31618" s="25"/>
      <c r="C31618" s="25"/>
      <c r="D31618" s="25"/>
      <c r="E31618" s="25"/>
      <c r="F31618" s="25"/>
      <c r="G31618" s="25"/>
      <c r="H31618" s="25"/>
      <c r="I31618" s="25"/>
      <c r="J31618" s="25"/>
      <c r="K31618" s="25"/>
    </row>
    <row r="31619" customFormat="false" ht="15" hidden="false" customHeight="false" outlineLevel="0" collapsed="false">
      <c r="A31619" s="2" t="s">
        <v>350</v>
      </c>
      <c r="F31619" s="17" t="n">
        <f aca="false">F31500+F31513+F31526+F31539+F31552+F31565+F31578+F31591+F31604+F31617</f>
        <v>2625.934</v>
      </c>
      <c r="G31619" s="17" t="n">
        <f aca="false">G31500+G31513+G31526+G31539+G31552+G31565+G31578+G31591+G31604+G31617</f>
        <v>2621.934</v>
      </c>
      <c r="H31619" s="17" t="n">
        <f aca="false">H31500+H31513+H31526+H31539+H31552+H31565+H31578+H31591+H31604+H31617</f>
        <v>2575.6561513738</v>
      </c>
      <c r="I31619" s="17" t="n">
        <f aca="false">I31500+I31513+I31526+I31539+I31552+I31565+I31578+I31591+I31604+I31617</f>
        <v>2638.45309355586</v>
      </c>
      <c r="J31619" s="17" t="n">
        <f aca="false">J31500+J31513+J31526+J31539+J31552+J31565+J31578+J31591+J31604+J31617</f>
        <v>2723.3336162386</v>
      </c>
      <c r="K31619" s="17" t="n">
        <f aca="false">K31500+K31513+K31526+K31539+K31552+K31565+K31578+K31591+K31604+K31617</f>
        <v>2823.86943529725</v>
      </c>
    </row>
    <row r="31620" customFormat="false" ht="15" hidden="false" customHeight="false" outlineLevel="0" collapsed="false">
      <c r="A31620" s="3" t="s">
        <v>351</v>
      </c>
      <c r="G31620" s="16" t="n">
        <f aca="false">G31490*Assumptions!$C$57+G31503*Assumptions!$C$58+G31516*Assumptions!$C$59+G31529*Assumptions!$C$60+G31542*Assumptions!$C$61+G31555*Assumptions!$C$62+G31568*Assumptions!$C$63+G31581*Assumptions!$C$64+G31594*Assumptions!$C$65+G31607*Assumptions!$C$66</f>
        <v>0</v>
      </c>
      <c r="H31620" s="16" t="n">
        <f aca="false">H31490*Assumptions!$C$57+H31503*Assumptions!$C$58+H31516*Assumptions!$C$59+H31529*Assumptions!$C$60+H31542*Assumptions!$C$61+H31555*Assumptions!$C$62+H31568*Assumptions!$C$63+H31581*Assumptions!$C$64+H31594*Assumptions!$C$65+H31607*Assumptions!$C$66</f>
        <v>800</v>
      </c>
      <c r="I31620" s="16" t="n">
        <f aca="false">I31490*Assumptions!$C$57+I31503*Assumptions!$C$58+I31516*Assumptions!$C$59+I31529*Assumptions!$C$60+I31542*Assumptions!$C$61+I31555*Assumptions!$C$62+I31568*Assumptions!$C$63+I31581*Assumptions!$C$64+I31594*Assumptions!$C$65+I31607*Assumptions!$C$66</f>
        <v>550</v>
      </c>
      <c r="J31620" s="16" t="n">
        <f aca="false">J31490*Assumptions!$C$57+J31503*Assumptions!$C$58+J31516*Assumptions!$C$59+J31529*Assumptions!$C$60+J31542*Assumptions!$C$61+J31555*Assumptions!$C$62+J31568*Assumptions!$C$63+J31581*Assumptions!$C$64+J31594*Assumptions!$C$65+J31607*Assumptions!$C$66</f>
        <v>350</v>
      </c>
      <c r="K31620" s="16" t="n">
        <f aca="false">K31490*Assumptions!$C$57+K31503*Assumptions!$C$58+K31516*Assumptions!$C$59+K31529*Assumptions!$C$60+K31542*Assumptions!$C$61+K31555*Assumptions!$C$62+K31568*Assumptions!$C$63+K31581*Assumptions!$C$64+K31594*Assumptions!$C$65+K31607*Assumptions!$C$66</f>
        <v>700</v>
      </c>
    </row>
    <row r="31621" customFormat="false" ht="15" hidden="false" customHeight="false" outlineLevel="0" collapsed="false">
      <c r="A31621" s="24" t="s">
        <v>352</v>
      </c>
      <c r="B31621" s="25"/>
      <c r="C31621" s="25"/>
      <c r="D31621" s="25"/>
      <c r="E31621" s="25"/>
      <c r="F31621" s="25"/>
      <c r="G31621" s="25"/>
      <c r="H31621" s="25"/>
      <c r="I31621" s="25"/>
      <c r="J31621" s="25"/>
      <c r="K31621" s="25"/>
    </row>
    <row r="31622" customFormat="false" ht="15" hidden="false" customHeight="false" outlineLevel="0" collapsed="false">
      <c r="A31622" s="3" t="s">
        <v>353</v>
      </c>
      <c r="C31622" s="16" t="n">
        <f aca="false">SUMPRODUCT($G$31490:$K$31490,$G$31489:$K$31489-$G$31495:$K$31495+$G$31494:$K$31494)</f>
        <v>380</v>
      </c>
    </row>
    <row r="31623" customFormat="false" ht="15" hidden="false" customHeight="false" outlineLevel="0" collapsed="false">
      <c r="A31623" s="3" t="s">
        <v>354</v>
      </c>
      <c r="C31623" s="16" t="n">
        <f aca="false">SUMPRODUCT($G$31490:$K$31490,$G$31497:$K$31497)</f>
        <v>0</v>
      </c>
    </row>
    <row r="31624" customFormat="false" ht="15" hidden="false" customHeight="false" outlineLevel="0" collapsed="false">
      <c r="A31624" s="3" t="s">
        <v>355</v>
      </c>
      <c r="C31624" s="3" t="str">
        <f aca="false">IF(SUM($G$31490:$K$31490)=0,"n/a (beyond horizon)",IF(SUMPRODUCT($G$31490:$K$31490,$G$31487:$K$31487)&gt;0,"REFINANCING PASS","REFINANCING FAILURE"))</f>
        <v>REFINANCING PASS</v>
      </c>
    </row>
    <row r="31625" customFormat="false" ht="15" hidden="false" customHeight="false" outlineLevel="0" collapsed="false">
      <c r="A31625" s="3" t="s">
        <v>356</v>
      </c>
      <c r="C31625" s="3" t="str">
        <f aca="false">IF(SUM($G$31490:$K$31490)=0,"n/a",IF(C31623&gt;=C31622-0.001,"Repaid from cash",IF(SUMPRODUCT($G$31490:$K$31490,$G$31487:$K$31487)&gt;0,IF(C31623&gt;0,"Partly repaid; remainder refinanced","Refinanced"),IF(SUM($G$31499:$K$31499)&gt;0.001,IF(C31623&gt;0,"Partial repayment; PAYMENT DEFAULT","PAYMENT DEFAULT"),"Repaid from cash"))))</f>
        <v>Refinanced</v>
      </c>
    </row>
    <row r="31626" customFormat="false" ht="15" hidden="false" customHeight="false" outlineLevel="0" collapsed="false">
      <c r="A31626" s="3" t="s">
        <v>357</v>
      </c>
      <c r="C31626" s="16" t="n">
        <f aca="false">SUMPRODUCT($G$31503:$K$31503,$G$31502:$K$31502-$G$31508:$K$31508+$G$31507:$K$31507)</f>
        <v>0</v>
      </c>
    </row>
    <row r="31627" customFormat="false" ht="15" hidden="false" customHeight="false" outlineLevel="0" collapsed="false">
      <c r="A31627" s="3" t="s">
        <v>358</v>
      </c>
      <c r="C31627" s="16" t="n">
        <f aca="false">SUMPRODUCT($G$31503:$K$31503,$G$31510:$K$31510)</f>
        <v>0</v>
      </c>
    </row>
    <row r="31628" customFormat="false" ht="15" hidden="false" customHeight="false" outlineLevel="0" collapsed="false">
      <c r="A31628" s="3" t="s">
        <v>359</v>
      </c>
      <c r="C31628" s="3" t="str">
        <f aca="false">IF(SUM($G$31503:$K$31503)=0,"n/a (beyond horizon)",IF(SUMPRODUCT($G$31503:$K$31503,$G$31487:$K$31487)&gt;0,"REFINANCING PASS","REFINANCING FAILURE"))</f>
        <v>n/a (beyond horizon)</v>
      </c>
    </row>
    <row r="31629" customFormat="false" ht="15" hidden="false" customHeight="false" outlineLevel="0" collapsed="false">
      <c r="A31629" s="3" t="s">
        <v>360</v>
      </c>
      <c r="C31629" s="3" t="str">
        <f aca="false">IF(SUM($G$31503:$K$31503)=0,"n/a",IF(C31627&gt;=C31626-0.001,"Repaid from cash",IF(SUMPRODUCT($G$31503:$K$31503,$G$31487:$K$31487)&gt;0,IF(C31627&gt;0,"Partly repaid; remainder refinanced","Refinanced"),IF(SUM($G$31512:$K$31512)&gt;0.001,IF(C31627&gt;0,"Partial repayment; PAYMENT DEFAULT","PAYMENT DEFAULT"),"Repaid from cash"))))</f>
        <v>n/a</v>
      </c>
    </row>
    <row r="31630" customFormat="false" ht="15" hidden="false" customHeight="false" outlineLevel="0" collapsed="false">
      <c r="A31630" s="3" t="s">
        <v>361</v>
      </c>
      <c r="C31630" s="16" t="n">
        <f aca="false">SUMPRODUCT($G$31516:$K$31516,$G$31515:$K$31515-$G$31521:$K$31521+$G$31520:$K$31520)</f>
        <v>0</v>
      </c>
    </row>
    <row r="31631" customFormat="false" ht="15" hidden="false" customHeight="false" outlineLevel="0" collapsed="false">
      <c r="A31631" s="3" t="s">
        <v>362</v>
      </c>
      <c r="C31631" s="16" t="n">
        <f aca="false">SUMPRODUCT($G$31516:$K$31516,$G$31523:$K$31523)</f>
        <v>0</v>
      </c>
    </row>
    <row r="31632" customFormat="false" ht="15" hidden="false" customHeight="false" outlineLevel="0" collapsed="false">
      <c r="A31632" s="3" t="s">
        <v>363</v>
      </c>
      <c r="C31632" s="3" t="str">
        <f aca="false">IF(SUM($G$31516:$K$31516)=0,"n/a (beyond horizon)",IF(SUMPRODUCT($G$31516:$K$31516,$G$31487:$K$31487)&gt;0,"REFINANCING PASS","REFINANCING FAILURE"))</f>
        <v>n/a (beyond horizon)</v>
      </c>
    </row>
    <row r="31633" customFormat="false" ht="15" hidden="false" customHeight="false" outlineLevel="0" collapsed="false">
      <c r="A31633" s="3" t="s">
        <v>364</v>
      </c>
      <c r="C31633" s="3" t="str">
        <f aca="false">IF(SUM($G$31516:$K$31516)=0,"n/a",IF(C31631&gt;=C31630-0.001,"Repaid from cash",IF(SUMPRODUCT($G$31516:$K$31516,$G$31487:$K$31487)&gt;0,IF(C31631&gt;0,"Partly repaid; remainder refinanced","Refinanced"),IF(SUM($G$31525:$K$31525)&gt;0.001,IF(C31631&gt;0,"Partial repayment; PAYMENT DEFAULT","PAYMENT DEFAULT"),"Repaid from cash"))))</f>
        <v>n/a</v>
      </c>
    </row>
    <row r="31634" customFormat="false" ht="15" hidden="false" customHeight="false" outlineLevel="0" collapsed="false">
      <c r="A31634" s="3" t="s">
        <v>365</v>
      </c>
      <c r="C31634" s="16" t="n">
        <f aca="false">SUMPRODUCT($G$31529:$K$31529,$G$31528:$K$31528-$G$31534:$K$31534+$G$31533:$K$31533)</f>
        <v>0</v>
      </c>
    </row>
    <row r="31635" customFormat="false" ht="15" hidden="false" customHeight="false" outlineLevel="0" collapsed="false">
      <c r="A31635" s="3" t="s">
        <v>366</v>
      </c>
      <c r="C31635" s="16" t="n">
        <f aca="false">SUMPRODUCT($G$31529:$K$31529,$G$31536:$K$31536)</f>
        <v>0</v>
      </c>
    </row>
    <row r="31636" customFormat="false" ht="15" hidden="false" customHeight="false" outlineLevel="0" collapsed="false">
      <c r="A31636" s="3" t="s">
        <v>367</v>
      </c>
      <c r="C31636" s="3" t="str">
        <f aca="false">IF(SUM($G$31529:$K$31529)=0,"n/a (beyond horizon)",IF(SUMPRODUCT($G$31529:$K$31529,$G$31487:$K$31487)&gt;0,"REFINANCING PASS","REFINANCING FAILURE"))</f>
        <v>REFINANCING PASS</v>
      </c>
    </row>
    <row r="31637" customFormat="false" ht="15" hidden="false" customHeight="false" outlineLevel="0" collapsed="false">
      <c r="A31637" s="3" t="s">
        <v>368</v>
      </c>
      <c r="C31637" s="3" t="str">
        <f aca="false">IF(SUM($G$31529:$K$31529)=0,"n/a",IF(C31635&gt;=C31634-0.001,"Repaid from cash",IF(SUMPRODUCT($G$31529:$K$31529,$G$31487:$K$31487)&gt;0,IF(C31635&gt;0,"Partly repaid; remainder refinanced","Refinanced"),IF(SUM($G$31538:$K$31538)&gt;0.001,IF(C31635&gt;0,"Partial repayment; PAYMENT DEFAULT","PAYMENT DEFAULT"),"Repaid from cash"))))</f>
        <v>Repaid from cash</v>
      </c>
    </row>
    <row r="31638" customFormat="false" ht="15" hidden="false" customHeight="false" outlineLevel="0" collapsed="false">
      <c r="A31638" s="3" t="s">
        <v>369</v>
      </c>
      <c r="C31638" s="16" t="n">
        <f aca="false">SUMPRODUCT($G$31542:$K$31542,$G$31541:$K$31541-$G$31547:$K$31547+$G$31546:$K$31546)</f>
        <v>450</v>
      </c>
    </row>
    <row r="31639" customFormat="false" ht="15" hidden="false" customHeight="false" outlineLevel="0" collapsed="false">
      <c r="A31639" s="3" t="s">
        <v>370</v>
      </c>
      <c r="C31639" s="16" t="n">
        <f aca="false">SUMPRODUCT($G$31542:$K$31542,$G$31549:$K$31549)</f>
        <v>42.2778486262</v>
      </c>
    </row>
    <row r="31640" customFormat="false" ht="15" hidden="false" customHeight="false" outlineLevel="0" collapsed="false">
      <c r="A31640" s="3" t="s">
        <v>371</v>
      </c>
      <c r="C31640" s="3" t="str">
        <f aca="false">IF(SUM($G$31542:$K$31542)=0,"n/a (beyond horizon)",IF(SUMPRODUCT($G$31542:$K$31542,$G$31487:$K$31487)&gt;0,"REFINANCING PASS","REFINANCING FAILURE"))</f>
        <v>REFINANCING PASS</v>
      </c>
    </row>
    <row r="31641" customFormat="false" ht="15" hidden="false" customHeight="false" outlineLevel="0" collapsed="false">
      <c r="A31641" s="3" t="s">
        <v>372</v>
      </c>
      <c r="C31641" s="3" t="str">
        <f aca="false">IF(SUM($G$31542:$K$31542)=0,"n/a",IF(C31639&gt;=C31638-0.001,"Repaid from cash",IF(SUMPRODUCT($G$31542:$K$31542,$G$31487:$K$31487)&gt;0,IF(C31639&gt;0,"Partly repaid; remainder refinanced","Refinanced"),IF(SUM($G$31551:$K$31551)&gt;0.001,IF(C31639&gt;0,"Partial repayment; PAYMENT DEFAULT","PAYMENT DEFAULT"),"Repaid from cash"))))</f>
        <v>Partly repaid; remainder refinanced</v>
      </c>
    </row>
    <row r="31642" customFormat="false" ht="15" hidden="false" customHeight="false" outlineLevel="0" collapsed="false">
      <c r="A31642" s="3" t="s">
        <v>373</v>
      </c>
      <c r="C31642" s="16" t="n">
        <f aca="false">SUMPRODUCT($G$31555:$K$31555,$G$31554:$K$31554-$G$31560:$K$31560+$G$31559:$K$31559)</f>
        <v>350</v>
      </c>
    </row>
    <row r="31643" customFormat="false" ht="15" hidden="false" customHeight="false" outlineLevel="0" collapsed="false">
      <c r="A31643" s="3" t="s">
        <v>374</v>
      </c>
      <c r="C31643" s="16" t="n">
        <f aca="false">SUMPRODUCT($G$31555:$K$31555,$G$31562:$K$31562)</f>
        <v>0</v>
      </c>
    </row>
    <row r="31644" customFormat="false" ht="15" hidden="false" customHeight="false" outlineLevel="0" collapsed="false">
      <c r="A31644" s="3" t="s">
        <v>375</v>
      </c>
      <c r="C31644" s="3" t="str">
        <f aca="false">IF(SUM($G$31555:$K$31555)=0,"n/a (beyond horizon)",IF(SUMPRODUCT($G$31555:$K$31555,$G$31487:$K$31487)&gt;0,"REFINANCING PASS","REFINANCING FAILURE"))</f>
        <v>REFINANCING PASS</v>
      </c>
    </row>
    <row r="31645" customFormat="false" ht="15" hidden="false" customHeight="false" outlineLevel="0" collapsed="false">
      <c r="A31645" s="3" t="s">
        <v>376</v>
      </c>
      <c r="C31645" s="3" t="str">
        <f aca="false">IF(SUM($G$31555:$K$31555)=0,"n/a",IF(C31643&gt;=C31642-0.001,"Repaid from cash",IF(SUMPRODUCT($G$31555:$K$31555,$G$31487:$K$31487)&gt;0,IF(C31643&gt;0,"Partly repaid; remainder refinanced","Refinanced"),IF(SUM($G$31564:$K$31564)&gt;0.001,IF(C31643&gt;0,"Partial repayment; PAYMENT DEFAULT","PAYMENT DEFAULT"),"Repaid from cash"))))</f>
        <v>Refinanced</v>
      </c>
    </row>
    <row r="31646" customFormat="false" ht="15" hidden="false" customHeight="false" outlineLevel="0" collapsed="false">
      <c r="A31646" s="3" t="s">
        <v>377</v>
      </c>
      <c r="C31646" s="16" t="n">
        <f aca="false">SUMPRODUCT($G$31568:$K$31568,$G$31567:$K$31567-$G$31573:$K$31573+$G$31572:$K$31572)</f>
        <v>550</v>
      </c>
    </row>
    <row r="31647" customFormat="false" ht="15" hidden="false" customHeight="false" outlineLevel="0" collapsed="false">
      <c r="A31647" s="3" t="s">
        <v>378</v>
      </c>
      <c r="C31647" s="16" t="n">
        <f aca="false">SUMPRODUCT($G$31568:$K$31568,$G$31575:$K$31575)</f>
        <v>0</v>
      </c>
    </row>
    <row r="31648" customFormat="false" ht="15" hidden="false" customHeight="false" outlineLevel="0" collapsed="false">
      <c r="A31648" s="3" t="s">
        <v>379</v>
      </c>
      <c r="C31648" s="3" t="str">
        <f aca="false">IF(SUM($G$31568:$K$31568)=0,"n/a (beyond horizon)",IF(SUMPRODUCT($G$31568:$K$31568,$G$31487:$K$31487)&gt;0,"REFINANCING PASS","REFINANCING FAILURE"))</f>
        <v>REFINANCING PASS</v>
      </c>
    </row>
    <row r="31649" customFormat="false" ht="15" hidden="false" customHeight="false" outlineLevel="0" collapsed="false">
      <c r="A31649" s="3" t="s">
        <v>380</v>
      </c>
      <c r="C31649" s="3" t="str">
        <f aca="false">IF(SUM($G$31568:$K$31568)=0,"n/a",IF(C31647&gt;=C31646-0.001,"Repaid from cash",IF(SUMPRODUCT($G$31568:$K$31568,$G$31487:$K$31487)&gt;0,IF(C31647&gt;0,"Partly repaid; remainder refinanced","Refinanced"),IF(SUM($G$31577:$K$31577)&gt;0.001,IF(C31647&gt;0,"Partial repayment; PAYMENT DEFAULT","PAYMENT DEFAULT"),"Repaid from cash"))))</f>
        <v>Refinanced</v>
      </c>
    </row>
    <row r="31650" customFormat="false" ht="15" hidden="false" customHeight="false" outlineLevel="0" collapsed="false">
      <c r="A31650" s="3" t="s">
        <v>381</v>
      </c>
      <c r="C31650" s="16" t="n">
        <f aca="false">SUMPRODUCT($G$31581:$K$31581,$G$31580:$K$31580-$G$31586:$K$31586+$G$31585:$K$31585)</f>
        <v>350</v>
      </c>
    </row>
    <row r="31651" customFormat="false" ht="15" hidden="false" customHeight="false" outlineLevel="0" collapsed="false">
      <c r="A31651" s="3" t="s">
        <v>382</v>
      </c>
      <c r="C31651" s="16" t="n">
        <f aca="false">SUMPRODUCT($G$31581:$K$31581,$G$31588:$K$31588)</f>
        <v>0</v>
      </c>
    </row>
    <row r="31652" customFormat="false" ht="15" hidden="false" customHeight="false" outlineLevel="0" collapsed="false">
      <c r="A31652" s="3" t="s">
        <v>383</v>
      </c>
      <c r="C31652" s="3" t="str">
        <f aca="false">IF(SUM($G$31581:$K$31581)=0,"n/a (beyond horizon)",IF(SUMPRODUCT($G$31581:$K$31581,$G$31487:$K$31487)&gt;0,"REFINANCING PASS","REFINANCING FAILURE"))</f>
        <v>REFINANCING PASS</v>
      </c>
    </row>
    <row r="31653" customFormat="false" ht="15" hidden="false" customHeight="false" outlineLevel="0" collapsed="false">
      <c r="A31653" s="3" t="s">
        <v>384</v>
      </c>
      <c r="C31653" s="3" t="str">
        <f aca="false">IF(SUM($G$31581:$K$31581)=0,"n/a",IF(C31651&gt;=C31650-0.001,"Repaid from cash",IF(SUMPRODUCT($G$31581:$K$31581,$G$31487:$K$31487)&gt;0,IF(C31651&gt;0,"Partly repaid; remainder refinanced","Refinanced"),IF(SUM($G$31590:$K$31590)&gt;0.001,IF(C31651&gt;0,"Partial repayment; PAYMENT DEFAULT","PAYMENT DEFAULT"),"Repaid from cash"))))</f>
        <v>Refinanced</v>
      </c>
    </row>
    <row r="31654" customFormat="false" ht="15" hidden="false" customHeight="false" outlineLevel="0" collapsed="false">
      <c r="A31654" s="3" t="s">
        <v>385</v>
      </c>
      <c r="C31654" s="16" t="n">
        <f aca="false">SUMPRODUCT($G$31594:$K$31594,$G$31593:$K$31593-$G$31599:$K$31599+$G$31598:$K$31598)</f>
        <v>300</v>
      </c>
    </row>
    <row r="31655" customFormat="false" ht="15" hidden="false" customHeight="false" outlineLevel="0" collapsed="false">
      <c r="A31655" s="3" t="s">
        <v>386</v>
      </c>
      <c r="C31655" s="16" t="n">
        <f aca="false">SUMPRODUCT($G$31594:$K$31594,$G$31601:$K$31601)</f>
        <v>0</v>
      </c>
    </row>
    <row r="31656" customFormat="false" ht="15" hidden="false" customHeight="false" outlineLevel="0" collapsed="false">
      <c r="A31656" s="3" t="s">
        <v>387</v>
      </c>
      <c r="C31656" s="3" t="str">
        <f aca="false">IF(SUM($G$31594:$K$31594)=0,"n/a (beyond horizon)",IF(SUMPRODUCT($G$31594:$K$31594,$G$31487:$K$31487)&gt;0,"REFINANCING PASS","REFINANCING FAILURE"))</f>
        <v>REFINANCING PASS</v>
      </c>
    </row>
    <row r="31657" customFormat="false" ht="15" hidden="false" customHeight="false" outlineLevel="0" collapsed="false">
      <c r="A31657" s="3" t="s">
        <v>388</v>
      </c>
      <c r="C31657" s="3" t="str">
        <f aca="false">IF(SUM($G$31594:$K$31594)=0,"n/a",IF(C31655&gt;=C31654-0.001,"Repaid from cash",IF(SUMPRODUCT($G$31594:$K$31594,$G$31487:$K$31487)&gt;0,IF(C31655&gt;0,"Partly repaid; remainder refinanced","Refinanced"),IF(SUM($G$31603:$K$31603)&gt;0.001,IF(C31655&gt;0,"Partial repayment; PAYMENT DEFAULT","PAYMENT DEFAULT"),"Repaid from cash"))))</f>
        <v>Refinanced</v>
      </c>
    </row>
    <row r="31658" customFormat="false" ht="15" hidden="false" customHeight="false" outlineLevel="0" collapsed="false">
      <c r="A31658" s="3" t="s">
        <v>389</v>
      </c>
      <c r="C31658" s="16" t="n">
        <f aca="false">SUMPRODUCT($G$31607:$K$31607,$G$31606:$K$31606-$G$31612:$K$31612+$G$31611:$K$31611)</f>
        <v>0</v>
      </c>
    </row>
    <row r="31659" customFormat="false" ht="15" hidden="false" customHeight="false" outlineLevel="0" collapsed="false">
      <c r="A31659" s="3" t="s">
        <v>390</v>
      </c>
      <c r="C31659" s="16" t="n">
        <f aca="false">SUMPRODUCT($G$31607:$K$31607,$G$31614:$K$31614)</f>
        <v>0</v>
      </c>
    </row>
    <row r="31660" customFormat="false" ht="15" hidden="false" customHeight="false" outlineLevel="0" collapsed="false">
      <c r="A31660" s="3" t="s">
        <v>391</v>
      </c>
      <c r="C31660" s="3" t="str">
        <f aca="false">IF(SUM($G$31607:$K$31607)=0,"n/a (beyond horizon)",IF(SUMPRODUCT($G$31607:$K$31607,$G$31487:$K$31487)&gt;0,"REFINANCING PASS","REFINANCING FAILURE"))</f>
        <v>n/a (beyond horizon)</v>
      </c>
    </row>
    <row r="31661" customFormat="false" ht="15" hidden="false" customHeight="false" outlineLevel="0" collapsed="false">
      <c r="A31661" s="3" t="s">
        <v>392</v>
      </c>
      <c r="C31661" s="3" t="str">
        <f aca="false">IF(SUM($G$31607:$K$31607)=0,"n/a",IF(C31659&gt;=C31658-0.001,"Repaid from cash",IF(SUMPRODUCT($G$31607:$K$31607,$G$31487:$K$31487)&gt;0,IF(C31659&gt;0,"Partly repaid; remainder refinanced","Refinanced"),IF(SUM($G$31616:$K$31616)&gt;0.001,IF(C31659&gt;0,"Partial repayment; PAYMENT DEFAULT","PAYMENT DEFAULT"),"Repaid from cash"))))</f>
        <v>n/a</v>
      </c>
    </row>
    <row r="31662" customFormat="false" ht="15" hidden="false" customHeight="false" outlineLevel="0" collapsed="false">
      <c r="A31662" s="3" t="s">
        <v>393</v>
      </c>
      <c r="C31662" s="21" t="n">
        <f aca="false">IF(C31624="REFINANCING FAILURE",1,0)+IF(C31628="REFINANCING FAILURE",1,0)+IF(C31632="REFINANCING FAILURE",1,0)+IF(C31636="REFINANCING FAILURE",1,0)+IF(C31640="REFINANCING FAILURE",1,0)+IF(C31644="REFINANCING FAILURE",1,0)+IF(C31648="REFINANCING FAILURE",1,0)+IF(C31652="REFINANCING FAILURE",1,0)+IF(C31656="REFINANCING FAILURE",1,0)+IF(C31660="REFINANCING FAILURE",1,0)</f>
        <v>0</v>
      </c>
    </row>
    <row r="31664" customFormat="false" ht="15" hidden="false" customHeight="false" outlineLevel="0" collapsed="false">
      <c r="A31664" s="24" t="s">
        <v>395</v>
      </c>
      <c r="B31664" s="25"/>
      <c r="C31664" s="25"/>
      <c r="D31664" s="25"/>
      <c r="E31664" s="25"/>
      <c r="F31664" s="25"/>
      <c r="G31664" s="25"/>
      <c r="H31664" s="25"/>
      <c r="I31664" s="25"/>
      <c r="J31664" s="25"/>
      <c r="K31664" s="25"/>
    </row>
    <row r="31665" customFormat="false" ht="15" hidden="false" customHeight="false" outlineLevel="0" collapsed="false">
      <c r="A31665" s="3" t="s">
        <v>325</v>
      </c>
      <c r="G31665" s="16" t="n">
        <f aca="false">F31677</f>
        <v>37.87</v>
      </c>
      <c r="H31665" s="16" t="n">
        <f aca="false">G31677</f>
        <v>150.3287686</v>
      </c>
      <c r="I31665" s="16" t="n">
        <f aca="false">H31677</f>
        <v>25</v>
      </c>
      <c r="J31665" s="16" t="n">
        <f aca="false">I31677</f>
        <v>0</v>
      </c>
      <c r="K31665" s="16" t="n">
        <f aca="false">J31677</f>
        <v>0</v>
      </c>
    </row>
    <row r="31666" customFormat="false" ht="15" hidden="false" customHeight="false" outlineLevel="0" collapsed="false">
      <c r="A31666" s="3" t="s">
        <v>396</v>
      </c>
      <c r="G31666" s="16" t="n">
        <f aca="false">G31476</f>
        <v>-83.5412314</v>
      </c>
      <c r="H31666" s="16" t="n">
        <f aca="false">H31476</f>
        <v>-79.0509199738</v>
      </c>
      <c r="I31666" s="16" t="n">
        <f aca="false">I31476</f>
        <v>-87.796942182056</v>
      </c>
      <c r="J31666" s="16" t="n">
        <f aca="false">J31476</f>
        <v>-84.8805226827392</v>
      </c>
      <c r="K31666" s="16" t="n">
        <f aca="false">K31476</f>
        <v>-100.535819058653</v>
      </c>
    </row>
    <row r="31667" customFormat="false" ht="15" hidden="false" customHeight="false" outlineLevel="0" collapsed="false">
      <c r="A31667" s="3" t="s">
        <v>397</v>
      </c>
      <c r="G31667" s="16" t="n">
        <f aca="false">CHOOSE($C$31446,Assumptions!$G$82,Assumptions!$G$101,Assumptions!$G$120)</f>
        <v>200</v>
      </c>
      <c r="H31667" s="16" t="n">
        <f aca="false">CHOOSE($C$31446,Assumptions!$H$82,Assumptions!$H$101,Assumptions!$H$120)</f>
        <v>0</v>
      </c>
      <c r="I31667" s="16" t="n">
        <f aca="false">CHOOSE($C$31446,Assumptions!$I$82,Assumptions!$I$101,Assumptions!$I$120)</f>
        <v>0</v>
      </c>
      <c r="J31667" s="16" t="n">
        <f aca="false">CHOOSE($C$31446,Assumptions!$J$82,Assumptions!$J$101,Assumptions!$J$120)</f>
        <v>0</v>
      </c>
      <c r="K31667" s="16" t="n">
        <f aca="false">CHOOSE($C$31446,Assumptions!$K$82,Assumptions!$K$101,Assumptions!$K$120)</f>
        <v>0</v>
      </c>
    </row>
    <row r="31668" customFormat="false" ht="15" hidden="false" customHeight="false" outlineLevel="0" collapsed="false">
      <c r="A31668" s="3" t="s">
        <v>398</v>
      </c>
      <c r="G31668" s="16" t="n">
        <f aca="false">G31495+G31508+G31521+G31534+G31547+G31560+G31573+G31586+G31599+G31612</f>
        <v>4</v>
      </c>
      <c r="H31668" s="16" t="n">
        <f aca="false">H31495+H31508+H31521+H31534+H31547+H31560+H31573+H31586+H31599+H31612</f>
        <v>4</v>
      </c>
      <c r="I31668" s="16" t="n">
        <f aca="false">I31495+I31508+I31521+I31534+I31547+I31560+I31573+I31586+I31599+I31612</f>
        <v>4</v>
      </c>
      <c r="J31668" s="16" t="n">
        <f aca="false">J31495+J31508+J31521+J31534+J31547+J31560+J31573+J31586+J31599+J31612</f>
        <v>4</v>
      </c>
      <c r="K31668" s="16" t="n">
        <f aca="false">K31495+K31508+K31521+K31534+K31547+K31560+K31573+K31586+K31599+K31612</f>
        <v>4</v>
      </c>
    </row>
    <row r="31669" customFormat="false" ht="15" hidden="false" customHeight="false" outlineLevel="0" collapsed="false">
      <c r="A31669" s="2" t="s">
        <v>399</v>
      </c>
      <c r="G31669" s="17" t="n">
        <f aca="false">G31665+G31666+G31667-G31668</f>
        <v>150.3287686</v>
      </c>
      <c r="H31669" s="17" t="n">
        <f aca="false">H31665+H31666+H31667-H31668</f>
        <v>67.2778486262</v>
      </c>
      <c r="I31669" s="17" t="n">
        <f aca="false">I31665+I31666+I31667-I31668</f>
        <v>-66.796942182056</v>
      </c>
      <c r="J31669" s="17" t="n">
        <f aca="false">J31665+J31666+J31667-J31668</f>
        <v>-88.8805226827392</v>
      </c>
      <c r="K31669" s="17" t="n">
        <f aca="false">K31665+K31666+K31667-K31668</f>
        <v>-104.535819058653</v>
      </c>
    </row>
    <row r="31670" customFormat="false" ht="15" hidden="false" customHeight="false" outlineLevel="0" collapsed="false">
      <c r="A31670" s="3" t="s">
        <v>400</v>
      </c>
      <c r="G31670" s="16" t="n">
        <f aca="false">G31496+G31509+G31522+G31535+G31548+G31561+G31574+G31587+G31600+G31613</f>
        <v>0</v>
      </c>
      <c r="H31670" s="16" t="n">
        <f aca="false">H31496+H31509+H31522+H31535+H31548+H31561+H31574+H31587+H31600+H31613</f>
        <v>0</v>
      </c>
      <c r="I31670" s="16" t="n">
        <f aca="false">I31496+I31509+I31522+I31535+I31548+I31561+I31574+I31587+I31600+I31613</f>
        <v>66.796942182056</v>
      </c>
      <c r="J31670" s="16" t="n">
        <f aca="false">J31496+J31509+J31522+J31535+J31548+J31561+J31574+J31587+J31600+J31613</f>
        <v>88.8805226827392</v>
      </c>
      <c r="K31670" s="16" t="n">
        <f aca="false">K31496+K31509+K31522+K31535+K31548+K31561+K31574+K31587+K31600+K31613</f>
        <v>104.535819058653</v>
      </c>
    </row>
    <row r="31671" customFormat="false" ht="15" hidden="false" customHeight="false" outlineLevel="0" collapsed="false">
      <c r="A31671" s="2" t="s">
        <v>401</v>
      </c>
      <c r="G31671" s="17" t="n">
        <f aca="false">G31669+G31670</f>
        <v>150.3287686</v>
      </c>
      <c r="H31671" s="17" t="n">
        <f aca="false">H31669+H31670</f>
        <v>67.2778486262</v>
      </c>
      <c r="I31671" s="17" t="n">
        <f aca="false">I31669+I31670</f>
        <v>0</v>
      </c>
      <c r="J31671" s="17" t="n">
        <f aca="false">J31669+J31670</f>
        <v>0</v>
      </c>
      <c r="K31671" s="17" t="n">
        <f aca="false">K31669+K31670</f>
        <v>0</v>
      </c>
    </row>
    <row r="31672" customFormat="false" ht="15" hidden="false" customHeight="false" outlineLevel="0" collapsed="false">
      <c r="A31672" s="3" t="s">
        <v>402</v>
      </c>
      <c r="G31672" s="16" t="n">
        <f aca="false">G31497+G31510+G31523+G31536+G31549+G31562+G31575+G31588+G31601+G31614</f>
        <v>0</v>
      </c>
      <c r="H31672" s="16" t="n">
        <f aca="false">H31497+H31510+H31523+H31536+H31549+H31562+H31575+H31588+H31601+H31614</f>
        <v>42.2778486262</v>
      </c>
      <c r="I31672" s="16" t="n">
        <f aca="false">I31497+I31510+I31523+I31536+I31549+I31562+I31575+I31588+I31601+I31614</f>
        <v>0</v>
      </c>
      <c r="J31672" s="16" t="n">
        <f aca="false">J31497+J31510+J31523+J31536+J31549+J31562+J31575+J31588+J31601+J31614</f>
        <v>0</v>
      </c>
      <c r="K31672" s="16" t="n">
        <f aca="false">K31497+K31510+K31523+K31536+K31549+K31562+K31575+K31588+K31601+K31614</f>
        <v>0</v>
      </c>
    </row>
    <row r="31673" customFormat="false" ht="15" hidden="false" customHeight="false" outlineLevel="0" collapsed="false">
      <c r="A31673" s="2" t="s">
        <v>403</v>
      </c>
      <c r="G31673" s="17" t="n">
        <f aca="false">G31671-G31672</f>
        <v>150.3287686</v>
      </c>
      <c r="H31673" s="17" t="n">
        <f aca="false">H31671-H31672</f>
        <v>25</v>
      </c>
      <c r="I31673" s="17" t="n">
        <f aca="false">I31671-I31672</f>
        <v>0</v>
      </c>
      <c r="J31673" s="17" t="n">
        <f aca="false">J31671-J31672</f>
        <v>0</v>
      </c>
      <c r="K31673" s="17" t="n">
        <f aca="false">K31671-K31672</f>
        <v>0</v>
      </c>
    </row>
    <row r="31674" customFormat="false" ht="15" hidden="false" customHeight="false" outlineLevel="0" collapsed="false">
      <c r="A31674" s="3" t="s">
        <v>404</v>
      </c>
      <c r="G31674" s="16" t="n">
        <f aca="false">MAX(0,-G31673)</f>
        <v>0</v>
      </c>
      <c r="H31674" s="16" t="n">
        <f aca="false">MAX(0,-H31673)</f>
        <v>0</v>
      </c>
      <c r="I31674" s="16" t="n">
        <f aca="false">MAX(0,-I31673)</f>
        <v>-0</v>
      </c>
      <c r="J31674" s="16" t="n">
        <f aca="false">MAX(0,-J31673)</f>
        <v>-0</v>
      </c>
      <c r="K31674" s="16" t="n">
        <f aca="false">MAX(0,-K31673)</f>
        <v>-0</v>
      </c>
    </row>
    <row r="31675" customFormat="false" ht="15" hidden="false" customHeight="false" outlineLevel="0" collapsed="false">
      <c r="A31675" s="3" t="s">
        <v>405</v>
      </c>
      <c r="G31675" s="16" t="n">
        <f aca="false">MAX(0,G31673-Assumptions!$C$12)*Assumptions!$C$13</f>
        <v>0</v>
      </c>
      <c r="H31675" s="16" t="n">
        <f aca="false">MAX(0,H31673-Assumptions!$C$12)*Assumptions!$C$13</f>
        <v>0</v>
      </c>
      <c r="I31675" s="16" t="n">
        <f aca="false">MAX(0,I31673-Assumptions!$C$12)*Assumptions!$C$13</f>
        <v>0</v>
      </c>
      <c r="J31675" s="16" t="n">
        <f aca="false">MAX(0,J31673-Assumptions!$C$12)*Assumptions!$C$13</f>
        <v>0</v>
      </c>
      <c r="K31675" s="16" t="n">
        <f aca="false">MAX(0,K31673-Assumptions!$C$12)*Assumptions!$C$13</f>
        <v>0</v>
      </c>
    </row>
    <row r="31676" customFormat="false" ht="15" hidden="false" customHeight="false" outlineLevel="0" collapsed="false">
      <c r="A31676" s="3" t="s">
        <v>406</v>
      </c>
      <c r="G31676" s="16" t="n">
        <f aca="false">G31498+G31511+G31524+G31537+G31550+G31563+G31576+G31589+G31602+G31615</f>
        <v>0</v>
      </c>
      <c r="H31676" s="16" t="n">
        <f aca="false">H31498+H31511+H31524+H31537+H31550+H31563+H31576+H31589+H31602+H31615</f>
        <v>0</v>
      </c>
      <c r="I31676" s="16" t="n">
        <f aca="false">I31498+I31511+I31524+I31537+I31550+I31563+I31576+I31589+I31602+I31615</f>
        <v>0</v>
      </c>
      <c r="J31676" s="16" t="n">
        <f aca="false">J31498+J31511+J31524+J31537+J31550+J31563+J31576+J31589+J31602+J31615</f>
        <v>0</v>
      </c>
      <c r="K31676" s="16" t="n">
        <f aca="false">K31498+K31511+K31524+K31537+K31550+K31563+K31576+K31589+K31602+K31615</f>
        <v>0</v>
      </c>
    </row>
    <row r="31677" customFormat="false" ht="15" hidden="false" customHeight="false" outlineLevel="0" collapsed="false">
      <c r="A31677" s="2" t="s">
        <v>407</v>
      </c>
      <c r="F31677" s="28" t="n">
        <f aca="false">Assumptions!$C$11</f>
        <v>37.87</v>
      </c>
      <c r="G31677" s="17" t="n">
        <f aca="false">G31673-G31676</f>
        <v>150.3287686</v>
      </c>
      <c r="H31677" s="17" t="n">
        <f aca="false">H31673-H31676</f>
        <v>25</v>
      </c>
      <c r="I31677" s="17" t="n">
        <f aca="false">I31673-I31676</f>
        <v>0</v>
      </c>
      <c r="J31677" s="17" t="n">
        <f aca="false">J31673-J31676</f>
        <v>0</v>
      </c>
      <c r="K31677" s="17" t="n">
        <f aca="false">K31673-K31676</f>
        <v>0</v>
      </c>
    </row>
    <row r="31678" customFormat="false" ht="15" hidden="false" customHeight="false" outlineLevel="0" collapsed="false">
      <c r="A31678" s="3" t="s">
        <v>408</v>
      </c>
      <c r="G31678" s="16" t="n">
        <f aca="false">G31499+G31512+G31525+G31538+G31551+G31564+G31577+G31590+G31603+G31616</f>
        <v>0</v>
      </c>
      <c r="H31678" s="16" t="n">
        <f aca="false">H31499+H31512+H31525+H31538+H31551+H31564+H31577+H31590+H31603+H31616</f>
        <v>0</v>
      </c>
      <c r="I31678" s="16" t="n">
        <f aca="false">I31499+I31512+I31525+I31538+I31551+I31564+I31577+I31590+I31603+I31616</f>
        <v>0</v>
      </c>
      <c r="J31678" s="16" t="n">
        <f aca="false">J31499+J31512+J31525+J31538+J31551+J31564+J31577+J31590+J31603+J31616</f>
        <v>0</v>
      </c>
      <c r="K31678" s="16" t="n">
        <f aca="false">K31499+K31512+K31525+K31538+K31551+K31564+K31577+K31590+K31603+K31616</f>
        <v>0</v>
      </c>
    </row>
    <row r="31679" customFormat="false" ht="15" hidden="false" customHeight="false" outlineLevel="0" collapsed="false">
      <c r="A31679" s="3" t="s">
        <v>409</v>
      </c>
      <c r="G31679" s="21" t="n">
        <f aca="false">IF(OR(G31674&gt;0.001,G31678&gt;0.001),1,0)</f>
        <v>0</v>
      </c>
      <c r="H31679" s="21" t="n">
        <f aca="false">IF(OR(H31674&gt;0.001,H31678&gt;0.001),1,0)</f>
        <v>0</v>
      </c>
      <c r="I31679" s="21" t="n">
        <f aca="false">IF(OR(I31674&gt;0.001,I31678&gt;0.001),1,0)</f>
        <v>0</v>
      </c>
      <c r="J31679" s="21" t="n">
        <f aca="false">IF(OR(J31674&gt;0.001,J31678&gt;0.001),1,0)</f>
        <v>0</v>
      </c>
      <c r="K31679" s="21" t="n">
        <f aca="false">IF(OR(K31674&gt;0.001,K31678&gt;0.001),1,0)</f>
        <v>0</v>
      </c>
    </row>
    <row r="31680" customFormat="false" ht="15" hidden="false" customHeight="false" outlineLevel="0" collapsed="false">
      <c r="A31680" s="3" t="s">
        <v>410</v>
      </c>
      <c r="G31680" s="21" t="n">
        <f aca="false">IF(G31679=1,1,0)</f>
        <v>0</v>
      </c>
      <c r="H31680" s="21" t="n">
        <f aca="false">IF(AND(H31679=1,SUM($G$31679:G31679)=0),1,0)</f>
        <v>0</v>
      </c>
      <c r="I31680" s="21" t="n">
        <f aca="false">IF(AND(I31679=1,SUM($G$31679:H31679)=0),1,0)</f>
        <v>0</v>
      </c>
      <c r="J31680" s="21" t="n">
        <f aca="false">IF(AND(J31679=1,SUM($G$31679:I31679)=0),1,0)</f>
        <v>0</v>
      </c>
      <c r="K31680" s="21" t="n">
        <f aca="false">IF(AND(K31679=1,SUM($G$31679:J31679)=0),1,0)</f>
        <v>0</v>
      </c>
    </row>
    <row r="31681" customFormat="false" ht="15" hidden="false" customHeight="false" outlineLevel="0" collapsed="false">
      <c r="A31681" s="3" t="s">
        <v>411</v>
      </c>
      <c r="G31681" s="16" t="n">
        <f aca="false">(G31619-F31619)-(G31670+G31468-G31668-G31672-G31676)</f>
        <v>0</v>
      </c>
      <c r="H31681" s="16" t="n">
        <f aca="false">(H31619-G31619)-(H31670+H31468-H31668-H31672-H31676)</f>
        <v>0</v>
      </c>
      <c r="I31681" s="16" t="n">
        <f aca="false">(I31619-H31619)-(I31670+I31468-I31668-I31672-I31676)</f>
        <v>0</v>
      </c>
      <c r="J31681" s="16" t="n">
        <f aca="false">(J31619-I31619)-(J31670+J31468-J31668-J31672-J31676)</f>
        <v>0</v>
      </c>
      <c r="K31681" s="16" t="n">
        <f aca="false">(K31619-J31619)-(K31670+K31468-K31668-K31672-K31676)</f>
        <v>0</v>
      </c>
    </row>
    <row r="31683" customFormat="false" ht="15" hidden="false" customHeight="false" outlineLevel="0" collapsed="false">
      <c r="A31683" s="24" t="s">
        <v>413</v>
      </c>
      <c r="B31683" s="25"/>
      <c r="C31683" s="25"/>
      <c r="D31683" s="25"/>
      <c r="E31683" s="25"/>
      <c r="F31683" s="25"/>
      <c r="G31683" s="25"/>
      <c r="H31683" s="25"/>
      <c r="I31683" s="25"/>
      <c r="J31683" s="25"/>
      <c r="K31683" s="25"/>
    </row>
    <row r="31684" customFormat="false" ht="15" hidden="false" customHeight="false" outlineLevel="0" collapsed="false">
      <c r="A31684" s="3" t="s">
        <v>414</v>
      </c>
      <c r="G31684" s="16" t="n">
        <f aca="false">G31619</f>
        <v>2621.934</v>
      </c>
      <c r="H31684" s="16" t="n">
        <f aca="false">H31619</f>
        <v>2575.6561513738</v>
      </c>
      <c r="I31684" s="16" t="n">
        <f aca="false">I31619</f>
        <v>2638.45309355586</v>
      </c>
      <c r="J31684" s="16" t="n">
        <f aca="false">J31619</f>
        <v>2723.3336162386</v>
      </c>
      <c r="K31684" s="16" t="n">
        <f aca="false">K31619</f>
        <v>2823.86943529725</v>
      </c>
    </row>
    <row r="31685" customFormat="false" ht="15" hidden="false" customHeight="false" outlineLevel="0" collapsed="false">
      <c r="A31685" s="3" t="s">
        <v>415</v>
      </c>
      <c r="G31685" s="16" t="n">
        <f aca="false">Assumptions!$O$57*G31500+Assumptions!$O$58*G31513+Assumptions!$O$59*G31526+Assumptions!$O$60*G31539+Assumptions!$O$61*G31552+Assumptions!$O$62*G31565+Assumptions!$O$63*G31578+Assumptions!$O$64*G31591+Assumptions!$O$65*G31604+Assumptions!$O$66*G31617</f>
        <v>543.324</v>
      </c>
      <c r="H31685" s="16" t="n">
        <f aca="false">Assumptions!$O$57*H31500+Assumptions!$O$58*H31513+Assumptions!$O$59*H31526+Assumptions!$O$60*H31539+Assumptions!$O$61*H31552+Assumptions!$O$62*H31565+Assumptions!$O$63*H31578+Assumptions!$O$64*H31591+Assumptions!$O$65*H31604+Assumptions!$O$66*H31617</f>
        <v>539.324</v>
      </c>
      <c r="I31685" s="16" t="n">
        <f aca="false">Assumptions!$O$57*I31500+Assumptions!$O$58*I31513+Assumptions!$O$59*I31526+Assumptions!$O$60*I31539+Assumptions!$O$61*I31552+Assumptions!$O$62*I31565+Assumptions!$O$63*I31578+Assumptions!$O$64*I31591+Assumptions!$O$65*I31604+Assumptions!$O$66*I31617</f>
        <v>535.324</v>
      </c>
      <c r="J31685" s="16" t="n">
        <f aca="false">Assumptions!$O$57*J31500+Assumptions!$O$58*J31513+Assumptions!$O$59*J31526+Assumptions!$O$60*J31539+Assumptions!$O$61*J31552+Assumptions!$O$62*J31565+Assumptions!$O$63*J31578+Assumptions!$O$64*J31591+Assumptions!$O$65*J31604+Assumptions!$O$66*J31617</f>
        <v>531.324</v>
      </c>
      <c r="K31685" s="16" t="n">
        <f aca="false">Assumptions!$O$57*K31500+Assumptions!$O$58*K31513+Assumptions!$O$59*K31526+Assumptions!$O$60*K31539+Assumptions!$O$61*K31552+Assumptions!$O$62*K31565+Assumptions!$O$63*K31578+Assumptions!$O$64*K31591+Assumptions!$O$65*K31604+Assumptions!$O$66*K31617</f>
        <v>527.324</v>
      </c>
    </row>
    <row r="31686" customFormat="false" ht="15" hidden="false" customHeight="false" outlineLevel="0" collapsed="false">
      <c r="A31686" s="3" t="s">
        <v>416</v>
      </c>
      <c r="G31686" s="16" t="n">
        <f aca="false">G31684-G31677</f>
        <v>2471.6052314</v>
      </c>
      <c r="H31686" s="16" t="n">
        <f aca="false">H31684-H31677</f>
        <v>2550.6561513738</v>
      </c>
      <c r="I31686" s="16" t="n">
        <f aca="false">I31684-I31677</f>
        <v>2638.45309355586</v>
      </c>
      <c r="J31686" s="16" t="n">
        <f aca="false">J31684-J31677</f>
        <v>2723.3336162386</v>
      </c>
      <c r="K31686" s="16" t="n">
        <f aca="false">K31684-K31677</f>
        <v>2823.86943529725</v>
      </c>
    </row>
    <row r="31687" customFormat="false" ht="15" hidden="false" customHeight="false" outlineLevel="0" collapsed="false">
      <c r="A31687" s="3" t="s">
        <v>417</v>
      </c>
      <c r="G31687" s="32" t="n">
        <f aca="false">IF(G31463&gt;0,G31684/G31463,0)</f>
        <v>10.2350768597559</v>
      </c>
      <c r="H31687" s="32" t="n">
        <f aca="false">IF(H31463&gt;0,H31684/H31463,0)</f>
        <v>9.80179750754554</v>
      </c>
      <c r="I31687" s="32" t="n">
        <f aca="false">IF(I31463&gt;0,I31684/I31463,0)</f>
        <v>9.78880026535512</v>
      </c>
      <c r="J31687" s="32" t="n">
        <f aca="false">IF(J31463&gt;0,J31684/J31463,0)</f>
        <v>9.86877570563203</v>
      </c>
      <c r="K31687" s="32" t="n">
        <f aca="false">IF(K31463&gt;0,K31684/K31463,0)</f>
        <v>9.99528975565569</v>
      </c>
    </row>
    <row r="31688" customFormat="false" ht="15" hidden="false" customHeight="false" outlineLevel="0" collapsed="false">
      <c r="A31688" s="3" t="s">
        <v>418</v>
      </c>
      <c r="G31688" s="32" t="n">
        <f aca="false">IF(G31463&gt;0,G31686/G31463,0)</f>
        <v>9.64824801476836</v>
      </c>
      <c r="H31688" s="32" t="n">
        <f aca="false">IF(H31463&gt;0,H31686/H31463,0)</f>
        <v>9.70665866785301</v>
      </c>
      <c r="I31688" s="32" t="n">
        <f aca="false">IF(I31463&gt;0,I31686/I31463,0)</f>
        <v>9.78880026535512</v>
      </c>
      <c r="J31688" s="32" t="n">
        <f aca="false">IF(J31463&gt;0,J31686/J31463,0)</f>
        <v>9.86877570563203</v>
      </c>
      <c r="K31688" s="32" t="n">
        <f aca="false">IF(K31463&gt;0,K31686/K31463,0)</f>
        <v>9.99528975565569</v>
      </c>
    </row>
    <row r="31689" customFormat="false" ht="15" hidden="false" customHeight="false" outlineLevel="0" collapsed="false">
      <c r="A31689" s="3" t="s">
        <v>419</v>
      </c>
      <c r="G31689" s="32" t="n">
        <f aca="false">IF(G31467&gt;0,G31463/G31467,0)</f>
        <v>1.4215185079059</v>
      </c>
      <c r="H31689" s="32" t="n">
        <f aca="false">IF(H31467&gt;0,H31463/H31467,0)</f>
        <v>1.46693050552355</v>
      </c>
      <c r="I31689" s="32" t="n">
        <f aca="false">IF(I31467&gt;0,I31463/I31467,0)</f>
        <v>1.40833238714926</v>
      </c>
      <c r="J31689" s="32" t="n">
        <f aca="false">IF(J31467&gt;0,J31463/J31467,0)</f>
        <v>1.44049487506624</v>
      </c>
      <c r="K31689" s="32" t="n">
        <f aca="false">IF(K31467&gt;0,K31463/K31467,0)</f>
        <v>1.34274565931266</v>
      </c>
    </row>
    <row r="31690" customFormat="false" ht="15" hidden="false" customHeight="false" outlineLevel="0" collapsed="false">
      <c r="A31690" s="3" t="s">
        <v>420</v>
      </c>
      <c r="G31690" s="32" t="n">
        <f aca="false">IF(G31467&gt;0,G31466/G31467,0)</f>
        <v>0.42415696431819</v>
      </c>
      <c r="H31690" s="32" t="n">
        <f aca="false">IF(H31467&gt;0,H31466/H31467,0)</f>
        <v>0.443500134737685</v>
      </c>
      <c r="I31690" s="32" t="n">
        <f aca="false">IF(I31467&gt;0,I31466/I31467,0)</f>
        <v>0.431283382112554</v>
      </c>
      <c r="J31690" s="32" t="n">
        <f aca="false">IF(J31467&gt;0,J31466/J31467,0)</f>
        <v>0.444847824504487</v>
      </c>
      <c r="K31690" s="32" t="n">
        <f aca="false">IF(K31467&gt;0,K31466/K31467,0)</f>
        <v>0.418098654921945</v>
      </c>
    </row>
    <row r="31691" customFormat="false" ht="15" hidden="false" customHeight="false" outlineLevel="0" collapsed="false">
      <c r="A31691" s="3" t="s">
        <v>213</v>
      </c>
      <c r="G31691" s="22" t="n">
        <f aca="false">IF(G31684&gt;0,G31476/G31684,0)</f>
        <v>-0.0318624463468569</v>
      </c>
      <c r="H31691" s="22" t="n">
        <f aca="false">IF(H31684&gt;0,H31476/H31684,0)</f>
        <v>-0.0306915656935169</v>
      </c>
      <c r="I31691" s="22" t="n">
        <f aca="false">IF(I31684&gt;0,I31476/I31684,0)</f>
        <v>-0.0332759154962773</v>
      </c>
      <c r="J31691" s="22" t="n">
        <f aca="false">IF(J31684&gt;0,J31476/J31684,0)</f>
        <v>-0.0311678753482925</v>
      </c>
      <c r="K31691" s="22" t="n">
        <f aca="false">IF(K31684&gt;0,K31476/K31684,0)</f>
        <v>-0.0356021485278303</v>
      </c>
    </row>
    <row r="31692" customFormat="false" ht="15" hidden="false" customHeight="false" outlineLevel="0" collapsed="false">
      <c r="A31692" s="3" t="s">
        <v>421</v>
      </c>
      <c r="G31692" s="32" t="n">
        <f aca="false">IF(G31467+G31668&gt;0,(G31463-G31474-G31471)/(G31467+G31668),0)</f>
        <v>0.813399704660698</v>
      </c>
      <c r="H31692" s="32" t="n">
        <f aca="false">IF(H31467+H31668&gt;0,(H31463-H31474-H31471)/(H31467+H31668),0)</f>
        <v>0.842627430418813</v>
      </c>
      <c r="I31692" s="32" t="n">
        <f aca="false">IF(I31467+I31668&gt;0,(I31463-I31474-I31471)/(I31467+I31668),0)</f>
        <v>0.813287836689746</v>
      </c>
      <c r="J31692" s="32" t="n">
        <f aca="false">IF(J31467+J31668&gt;0,(J31463-J31474-J31471)/(J31467+J31668),0)</f>
        <v>0.834030228771795</v>
      </c>
      <c r="K31692" s="32" t="n">
        <f aca="false">IF(K31467+K31668&gt;0,(K31463-K31474-K31471)/(K31467+K31668),0)</f>
        <v>0.780856287522867</v>
      </c>
    </row>
    <row r="31693" customFormat="false" ht="15" hidden="false" customHeight="false" outlineLevel="0" collapsed="false">
      <c r="A31693" s="3" t="s">
        <v>422</v>
      </c>
      <c r="G31693" s="16" t="n">
        <f aca="false">MAX(0,G31677)+Assumptions!$P$57*MAX(0,Assumptions!$D$57-G31500)+Assumptions!$P$58*MAX(0,Assumptions!$D$58-G31513)+Assumptions!$P$59*MAX(0,Assumptions!$D$59-G31526)+Assumptions!$P$60*MAX(0,Assumptions!$D$60-G31539)+Assumptions!$P$61*MAX(0,Assumptions!$D$61-G31552)+Assumptions!$P$62*MAX(0,Assumptions!$D$62-G31565)+Assumptions!$P$63*MAX(0,Assumptions!$D$63-G31578)+Assumptions!$P$64*MAX(0,Assumptions!$D$64-G31591)+Assumptions!$P$65*MAX(0,Assumptions!$D$65-G31604)+Assumptions!$P$66*MAX(0,Assumptions!$D$66-G31617)</f>
        <v>724.8287686</v>
      </c>
      <c r="H31693" s="16" t="n">
        <f aca="false">MAX(0,H31677)+Assumptions!$P$57*MAX(0,Assumptions!$D$57-H31500)+Assumptions!$P$58*MAX(0,Assumptions!$D$58-H31513)+Assumptions!$P$59*MAX(0,Assumptions!$D$59-H31526)+Assumptions!$P$60*MAX(0,Assumptions!$D$60-H31539)+Assumptions!$P$61*MAX(0,Assumptions!$D$61-H31552)+Assumptions!$P$62*MAX(0,Assumptions!$D$62-H31565)+Assumptions!$P$63*MAX(0,Assumptions!$D$63-H31578)+Assumptions!$P$64*MAX(0,Assumptions!$D$64-H31591)+Assumptions!$P$65*MAX(0,Assumptions!$D$65-H31604)+Assumptions!$P$66*MAX(0,Assumptions!$D$66-H31617)</f>
        <v>599.5</v>
      </c>
      <c r="I31693" s="16" t="n">
        <f aca="false">MAX(0,I31677)+Assumptions!$P$57*MAX(0,Assumptions!$D$57-I31500)+Assumptions!$P$58*MAX(0,Assumptions!$D$58-I31513)+Assumptions!$P$59*MAX(0,Assumptions!$D$59-I31526)+Assumptions!$P$60*MAX(0,Assumptions!$D$60-I31539)+Assumptions!$P$61*MAX(0,Assumptions!$D$61-I31552)+Assumptions!$P$62*MAX(0,Assumptions!$D$62-I31565)+Assumptions!$P$63*MAX(0,Assumptions!$D$63-I31578)+Assumptions!$P$64*MAX(0,Assumptions!$D$64-I31591)+Assumptions!$P$65*MAX(0,Assumptions!$D$65-I31604)+Assumptions!$P$66*MAX(0,Assumptions!$D$66-I31617)</f>
        <v>507.703057817944</v>
      </c>
      <c r="J31693" s="16" t="n">
        <f aca="false">MAX(0,J31677)+Assumptions!$P$57*MAX(0,Assumptions!$D$57-J31500)+Assumptions!$P$58*MAX(0,Assumptions!$D$58-J31513)+Assumptions!$P$59*MAX(0,Assumptions!$D$59-J31526)+Assumptions!$P$60*MAX(0,Assumptions!$D$60-J31539)+Assumptions!$P$61*MAX(0,Assumptions!$D$61-J31552)+Assumptions!$P$62*MAX(0,Assumptions!$D$62-J31565)+Assumptions!$P$63*MAX(0,Assumptions!$D$63-J31578)+Assumptions!$P$64*MAX(0,Assumptions!$D$64-J31591)+Assumptions!$P$65*MAX(0,Assumptions!$D$65-J31604)+Assumptions!$P$66*MAX(0,Assumptions!$D$66-J31617)</f>
        <v>418.822535135205</v>
      </c>
      <c r="K31693" s="16" t="n">
        <f aca="false">MAX(0,K31677)+Assumptions!$P$57*MAX(0,Assumptions!$D$57-K31500)+Assumptions!$P$58*MAX(0,Assumptions!$D$58-K31513)+Assumptions!$P$59*MAX(0,Assumptions!$D$59-K31526)+Assumptions!$P$60*MAX(0,Assumptions!$D$60-K31539)+Assumptions!$P$61*MAX(0,Assumptions!$D$61-K31552)+Assumptions!$P$62*MAX(0,Assumptions!$D$62-K31565)+Assumptions!$P$63*MAX(0,Assumptions!$D$63-K31578)+Assumptions!$P$64*MAX(0,Assumptions!$D$64-K31591)+Assumptions!$P$65*MAX(0,Assumptions!$D$65-K31604)+Assumptions!$P$66*MAX(0,Assumptions!$D$66-K31617)</f>
        <v>314.286716076552</v>
      </c>
    </row>
    <row r="31694" customFormat="false" ht="15" hidden="false" customHeight="false" outlineLevel="0" collapsed="false">
      <c r="A31694" s="3" t="s">
        <v>423</v>
      </c>
      <c r="G31694" s="22" t="n">
        <f aca="false">IF(G31684&gt;0,G31684/(G31684+MAX(0,G31463*CHOOSE($C$31446,Assumptions!$C$90,Assumptions!$C$109,Assumptions!$C$128)-G31686)),0)</f>
        <v>0.782089915058077</v>
      </c>
      <c r="H31694" s="22" t="n">
        <f aca="false">IF(H31684&gt;0,H31684/(H31684+MAX(0,H31463*CHOOSE($C$31446,Assumptions!$C$90,Assumptions!$C$109,Assumptions!$C$128)-H31686)),0)</f>
        <v>0.778220679605055</v>
      </c>
      <c r="I31694" s="22" t="n">
        <f aca="false">IF(I31684&gt;0,I31684/(I31684+MAX(0,I31463*CHOOSE($C$31446,Assumptions!$C$90,Assumptions!$C$109,Assumptions!$C$128)-I31686)),0)</f>
        <v>0.78310402122841</v>
      </c>
      <c r="J31694" s="22" t="n">
        <f aca="false">IF(J31684&gt;0,J31684/(J31684+MAX(0,J31463*CHOOSE($C$31446,Assumptions!$C$90,Assumptions!$C$109,Assumptions!$C$128)-J31686)),0)</f>
        <v>0.789502056450562</v>
      </c>
      <c r="K31694" s="22" t="n">
        <f aca="false">IF(K31684&gt;0,K31684/(K31684+MAX(0,K31463*CHOOSE($C$31446,Assumptions!$C$90,Assumptions!$C$109,Assumptions!$C$128)-K31686)),0)</f>
        <v>0.799623180452455</v>
      </c>
    </row>
    <row r="31695" customFormat="false" ht="15" hidden="false" customHeight="false" outlineLevel="0" collapsed="false">
      <c r="A31695" s="3" t="s">
        <v>424</v>
      </c>
      <c r="G31695" s="22" t="n">
        <f aca="false">IF(G31684&gt;0,MAX(0,G31677)/G31684,0)</f>
        <v>0.0573350696852018</v>
      </c>
      <c r="H31695" s="22" t="n">
        <f aca="false">IF(H31684&gt;0,MAX(0,H31677)/H31684,0)</f>
        <v>0.00970626455191448</v>
      </c>
      <c r="I31695" s="22" t="n">
        <f aca="false">IF(I31684&gt;0,MAX(0,I31677)/I31684,0)</f>
        <v>0</v>
      </c>
      <c r="J31695" s="22" t="n">
        <f aca="false">IF(J31684&gt;0,MAX(0,J31677)/J31684,0)</f>
        <v>0</v>
      </c>
      <c r="K31695" s="22" t="n">
        <f aca="false">IF(K31684&gt;0,MAX(0,K31677)/K31684,0)</f>
        <v>0</v>
      </c>
    </row>
    <row r="31696" customFormat="false" ht="15" hidden="false" customHeight="false" outlineLevel="0" collapsed="false">
      <c r="A31696" s="3" t="s">
        <v>425</v>
      </c>
      <c r="G31696" s="16" t="n">
        <f aca="false">Assumptions!$C$31*(1-CHOOSE($C$31446,Assumptions!$C$93,Assumptions!$C$112,Assumptions!$C$131))</f>
        <v>4517.70066666667</v>
      </c>
      <c r="H31696" s="16" t="n">
        <f aca="false">Assumptions!$C$31*(1-CHOOSE($C$31446,Assumptions!$C$93,Assumptions!$C$112,Assumptions!$C$131))</f>
        <v>4517.70066666667</v>
      </c>
      <c r="I31696" s="16" t="n">
        <f aca="false">Assumptions!$C$31*(1-CHOOSE($C$31446,Assumptions!$C$93,Assumptions!$C$112,Assumptions!$C$131))</f>
        <v>4517.70066666667</v>
      </c>
      <c r="J31696" s="16" t="n">
        <f aca="false">Assumptions!$C$31*(1-CHOOSE($C$31446,Assumptions!$C$93,Assumptions!$C$112,Assumptions!$C$131))</f>
        <v>4517.70066666667</v>
      </c>
      <c r="K31696" s="16" t="n">
        <f aca="false">Assumptions!$C$31*(1-CHOOSE($C$31446,Assumptions!$C$93,Assumptions!$C$112,Assumptions!$C$131))</f>
        <v>4517.70066666667</v>
      </c>
    </row>
    <row r="31697" customFormat="false" ht="15" hidden="false" customHeight="false" outlineLevel="0" collapsed="false">
      <c r="A31697" s="24" t="s">
        <v>426</v>
      </c>
      <c r="B31697" s="25"/>
      <c r="C31697" s="25"/>
      <c r="D31697" s="25"/>
      <c r="E31697" s="25"/>
      <c r="F31697" s="25"/>
      <c r="G31697" s="25"/>
      <c r="H31697" s="25"/>
      <c r="I31697" s="25"/>
      <c r="J31697" s="25"/>
      <c r="K31697" s="25"/>
    </row>
    <row r="31698" customFormat="false" ht="15" hidden="false" customHeight="false" outlineLevel="0" collapsed="false">
      <c r="A31698" s="24" t="s">
        <v>427</v>
      </c>
      <c r="B31698" s="25"/>
      <c r="C31698" s="25"/>
      <c r="D31698" s="25"/>
      <c r="E31698" s="25"/>
      <c r="F31698" s="25"/>
      <c r="G31698" s="25"/>
      <c r="H31698" s="25"/>
      <c r="I31698" s="25"/>
      <c r="J31698" s="25"/>
      <c r="K31698" s="25"/>
    </row>
    <row r="31699" customFormat="false" ht="15" hidden="false" customHeight="false" outlineLevel="0" collapsed="false">
      <c r="A31699" s="3" t="s">
        <v>428</v>
      </c>
      <c r="G31699" s="22" t="n">
        <f aca="false">IF(G31696&gt;0,G31684/G31696,99)</f>
        <v>0.580369128779522</v>
      </c>
      <c r="H31699" s="22" t="n">
        <f aca="false">IF(H31696&gt;0,H31684/H31696,99)</f>
        <v>0.570125455716441</v>
      </c>
      <c r="I31699" s="22" t="n">
        <f aca="false">IF(I31696&gt;0,I31684/I31696,99)</f>
        <v>0.584025655578152</v>
      </c>
      <c r="J31699" s="22" t="n">
        <f aca="false">IF(J31696&gt;0,J31684/J31696,99)</f>
        <v>0.602814089993257</v>
      </c>
      <c r="K31699" s="22" t="n">
        <f aca="false">IF(K31696&gt;0,K31684/K31696,99)</f>
        <v>0.62506784837093</v>
      </c>
    </row>
    <row r="31700" customFormat="false" ht="15" hidden="false" customHeight="false" outlineLevel="0" collapsed="false">
      <c r="A31700" s="3" t="s">
        <v>429</v>
      </c>
      <c r="G31700" s="33" t="n">
        <f aca="false">Assumptions!$G$71</f>
        <v>0.6</v>
      </c>
      <c r="H31700" s="33" t="n">
        <f aca="false">Assumptions!$H$71</f>
        <v>0.6</v>
      </c>
      <c r="I31700" s="33" t="n">
        <f aca="false">Assumptions!$I$71</f>
        <v>0.6</v>
      </c>
      <c r="J31700" s="33" t="n">
        <f aca="false">Assumptions!$J$71</f>
        <v>0.6</v>
      </c>
      <c r="K31700" s="33" t="n">
        <f aca="false">Assumptions!$K$71</f>
        <v>0.6</v>
      </c>
    </row>
    <row r="31701" customFormat="false" ht="15" hidden="false" customHeight="false" outlineLevel="0" collapsed="false">
      <c r="A31701" s="3" t="s">
        <v>430</v>
      </c>
      <c r="G31701" s="22" t="n">
        <f aca="false">G31700-G31699</f>
        <v>0.0196308712204777</v>
      </c>
      <c r="H31701" s="22" t="n">
        <f aca="false">H31700-H31699</f>
        <v>0.0298745442835595</v>
      </c>
      <c r="I31701" s="22" t="n">
        <f aca="false">I31700-I31699</f>
        <v>0.0159743444218476</v>
      </c>
      <c r="J31701" s="22" t="n">
        <f aca="false">J31700-J31699</f>
        <v>-0.00281408999325661</v>
      </c>
      <c r="K31701" s="22" t="n">
        <f aca="false">K31700-K31699</f>
        <v>-0.0250678483709297</v>
      </c>
    </row>
    <row r="31702" customFormat="false" ht="15" hidden="false" customHeight="false" outlineLevel="0" collapsed="false">
      <c r="A31702" s="3" t="s">
        <v>431</v>
      </c>
      <c r="G31702" s="22" t="n">
        <f aca="false">IF(G31700=0,0,G31701/ABS(G31700))</f>
        <v>0.0327181187007962</v>
      </c>
      <c r="H31702" s="22" t="n">
        <f aca="false">IF(H31700=0,0,H31701/ABS(H31700))</f>
        <v>0.0497909071392659</v>
      </c>
      <c r="I31702" s="22" t="n">
        <f aca="false">IF(I31700=0,0,I31701/ABS(I31700))</f>
        <v>0.0266239073697461</v>
      </c>
      <c r="J31702" s="22" t="n">
        <f aca="false">IF(J31700=0,0,J31701/ABS(J31700))</f>
        <v>-0.00469014998876101</v>
      </c>
      <c r="K31702" s="22" t="n">
        <f aca="false">IF(K31700=0,0,K31701/ABS(K31700))</f>
        <v>-0.0417797472848828</v>
      </c>
    </row>
    <row r="31703" customFormat="false" ht="15" hidden="false" customHeight="false" outlineLevel="0" collapsed="false">
      <c r="A31703" s="3" t="s">
        <v>432</v>
      </c>
      <c r="G31703" s="21" t="n">
        <f aca="false">IF(G31701&lt;0,1,0)</f>
        <v>0</v>
      </c>
      <c r="H31703" s="21" t="n">
        <f aca="false">IF(H31701&lt;0,1,0)</f>
        <v>0</v>
      </c>
      <c r="I31703" s="21" t="n">
        <f aca="false">IF(I31701&lt;0,1,0)</f>
        <v>0</v>
      </c>
      <c r="J31703" s="21" t="n">
        <f aca="false">IF(J31701&lt;0,1,0)</f>
        <v>1</v>
      </c>
      <c r="K31703" s="21" t="n">
        <f aca="false">IF(K31701&lt;0,1,0)</f>
        <v>1</v>
      </c>
    </row>
    <row r="31704" customFormat="false" ht="15" hidden="false" customHeight="false" outlineLevel="0" collapsed="false">
      <c r="A31704" s="3" t="s">
        <v>433</v>
      </c>
      <c r="C31704" s="21" t="n">
        <f aca="false">IFERROR(INDEX($G$31453:$K$31453,MATCH(1,$G$31703:$K$31703,0)),0)</f>
        <v>2030</v>
      </c>
    </row>
    <row r="31705" customFormat="false" ht="15" hidden="false" customHeight="false" outlineLevel="0" collapsed="false">
      <c r="A31705" s="3" t="s">
        <v>434</v>
      </c>
      <c r="C31705" s="22" t="n">
        <f aca="false">MIN($G$31702:$K$31702)</f>
        <v>-0.0417797472848828</v>
      </c>
    </row>
    <row r="31706" customFormat="false" ht="15" hidden="false" customHeight="false" outlineLevel="0" collapsed="false">
      <c r="A31706" s="24" t="s">
        <v>435</v>
      </c>
      <c r="B31706" s="25"/>
      <c r="C31706" s="25"/>
      <c r="D31706" s="25"/>
      <c r="E31706" s="25"/>
      <c r="F31706" s="25"/>
      <c r="G31706" s="25"/>
      <c r="H31706" s="25"/>
      <c r="I31706" s="25"/>
      <c r="J31706" s="25"/>
      <c r="K31706" s="25"/>
    </row>
    <row r="31707" customFormat="false" ht="15" hidden="false" customHeight="false" outlineLevel="0" collapsed="false">
      <c r="A31707" s="3" t="s">
        <v>428</v>
      </c>
      <c r="G31707" s="32" t="n">
        <f aca="false">IF(G31467&gt;0,G31463/G31467,99)</f>
        <v>1.4215185079059</v>
      </c>
      <c r="H31707" s="32" t="n">
        <f aca="false">IF(H31467&gt;0,H31463/H31467,99)</f>
        <v>1.46693050552355</v>
      </c>
      <c r="I31707" s="32" t="n">
        <f aca="false">IF(I31467&gt;0,I31463/I31467,99)</f>
        <v>1.40833238714926</v>
      </c>
      <c r="J31707" s="32" t="n">
        <f aca="false">IF(J31467&gt;0,J31463/J31467,99)</f>
        <v>1.44049487506624</v>
      </c>
      <c r="K31707" s="32" t="n">
        <f aca="false">IF(K31467&gt;0,K31463/K31467,99)</f>
        <v>1.34274565931266</v>
      </c>
    </row>
    <row r="31708" customFormat="false" ht="15" hidden="false" customHeight="false" outlineLevel="0" collapsed="false">
      <c r="A31708" s="3" t="s">
        <v>429</v>
      </c>
      <c r="G31708" s="34" t="n">
        <f aca="false">Assumptions!$G$72</f>
        <v>1.5</v>
      </c>
      <c r="H31708" s="34" t="n">
        <f aca="false">Assumptions!$H$72</f>
        <v>1.5</v>
      </c>
      <c r="I31708" s="34" t="n">
        <f aca="false">Assumptions!$I$72</f>
        <v>1.5</v>
      </c>
      <c r="J31708" s="34" t="n">
        <f aca="false">Assumptions!$J$72</f>
        <v>1.5</v>
      </c>
      <c r="K31708" s="34" t="n">
        <f aca="false">Assumptions!$K$72</f>
        <v>1.5</v>
      </c>
    </row>
    <row r="31709" customFormat="false" ht="15" hidden="false" customHeight="false" outlineLevel="0" collapsed="false">
      <c r="A31709" s="3" t="s">
        <v>430</v>
      </c>
      <c r="G31709" s="32" t="n">
        <f aca="false">G31707-G31708</f>
        <v>-0.0784814920940982</v>
      </c>
      <c r="H31709" s="32" t="n">
        <f aca="false">H31707-H31708</f>
        <v>-0.0330694944764525</v>
      </c>
      <c r="I31709" s="32" t="n">
        <f aca="false">I31707-I31708</f>
        <v>-0.091667612850737</v>
      </c>
      <c r="J31709" s="32" t="n">
        <f aca="false">J31707-J31708</f>
        <v>-0.0595051249337639</v>
      </c>
      <c r="K31709" s="32" t="n">
        <f aca="false">K31707-K31708</f>
        <v>-0.157254340687343</v>
      </c>
    </row>
    <row r="31710" customFormat="false" ht="15" hidden="false" customHeight="false" outlineLevel="0" collapsed="false">
      <c r="A31710" s="3" t="s">
        <v>431</v>
      </c>
      <c r="G31710" s="22" t="n">
        <f aca="false">IF(G31708=0,0,G31709/ABS(G31708))</f>
        <v>-0.0523209947293988</v>
      </c>
      <c r="H31710" s="22" t="n">
        <f aca="false">IF(H31708=0,0,H31709/ABS(H31708))</f>
        <v>-0.0220463296509683</v>
      </c>
      <c r="I31710" s="22" t="n">
        <f aca="false">IF(I31708=0,0,I31709/ABS(I31708))</f>
        <v>-0.0611117419004913</v>
      </c>
      <c r="J31710" s="22" t="n">
        <f aca="false">IF(J31708=0,0,J31709/ABS(J31708))</f>
        <v>-0.039670083289176</v>
      </c>
      <c r="K31710" s="22" t="n">
        <f aca="false">IF(K31708=0,0,K31709/ABS(K31708))</f>
        <v>-0.104836227124896</v>
      </c>
    </row>
    <row r="31711" customFormat="false" ht="15" hidden="false" customHeight="false" outlineLevel="0" collapsed="false">
      <c r="A31711" s="3" t="s">
        <v>432</v>
      </c>
      <c r="G31711" s="21" t="n">
        <f aca="false">IF(G31709&lt;0,1,0)</f>
        <v>1</v>
      </c>
      <c r="H31711" s="21" t="n">
        <f aca="false">IF(H31709&lt;0,1,0)</f>
        <v>1</v>
      </c>
      <c r="I31711" s="21" t="n">
        <f aca="false">IF(I31709&lt;0,1,0)</f>
        <v>1</v>
      </c>
      <c r="J31711" s="21" t="n">
        <f aca="false">IF(J31709&lt;0,1,0)</f>
        <v>1</v>
      </c>
      <c r="K31711" s="21" t="n">
        <f aca="false">IF(K31709&lt;0,1,0)</f>
        <v>1</v>
      </c>
    </row>
    <row r="31712" customFormat="false" ht="15" hidden="false" customHeight="false" outlineLevel="0" collapsed="false">
      <c r="A31712" s="3" t="s">
        <v>433</v>
      </c>
      <c r="C31712" s="21" t="n">
        <f aca="false">IFERROR(INDEX($G$31453:$K$31453,MATCH(1,$G$31711:$K$31711,0)),0)</f>
        <v>2027</v>
      </c>
    </row>
    <row r="31713" customFormat="false" ht="15" hidden="false" customHeight="false" outlineLevel="0" collapsed="false">
      <c r="A31713" s="3" t="s">
        <v>434</v>
      </c>
      <c r="C31713" s="22" t="n">
        <f aca="false">MIN($G$31710:$K$31710)</f>
        <v>-0.104836227124896</v>
      </c>
    </row>
    <row r="31714" customFormat="false" ht="15" hidden="false" customHeight="false" outlineLevel="0" collapsed="false">
      <c r="A31714" s="24" t="s">
        <v>436</v>
      </c>
      <c r="B31714" s="25"/>
      <c r="C31714" s="25"/>
      <c r="D31714" s="25"/>
      <c r="E31714" s="25"/>
      <c r="F31714" s="25"/>
      <c r="G31714" s="25"/>
      <c r="H31714" s="25"/>
      <c r="I31714" s="25"/>
      <c r="J31714" s="25"/>
      <c r="K31714" s="25"/>
    </row>
    <row r="31715" customFormat="false" ht="15" hidden="false" customHeight="false" outlineLevel="0" collapsed="false">
      <c r="A31715" s="3" t="s">
        <v>428</v>
      </c>
      <c r="G31715" s="22" t="n">
        <f aca="false">IF(G31696&gt;0,G31685/G31696,99)</f>
        <v>0.120265604139923</v>
      </c>
      <c r="H31715" s="22" t="n">
        <f aca="false">IF(H31696&gt;0,H31685/H31696,99)</f>
        <v>0.119380197979769</v>
      </c>
      <c r="I31715" s="22" t="n">
        <f aca="false">IF(I31696&gt;0,I31685/I31696,99)</f>
        <v>0.118494791819614</v>
      </c>
      <c r="J31715" s="22" t="n">
        <f aca="false">IF(J31696&gt;0,J31685/J31696,99)</f>
        <v>0.11760938565946</v>
      </c>
      <c r="K31715" s="22" t="n">
        <f aca="false">IF(K31696&gt;0,K31685/K31696,99)</f>
        <v>0.116723979499306</v>
      </c>
    </row>
    <row r="31716" customFormat="false" ht="15" hidden="false" customHeight="false" outlineLevel="0" collapsed="false">
      <c r="A31716" s="3" t="s">
        <v>429</v>
      </c>
      <c r="G31716" s="33" t="n">
        <f aca="false">Assumptions!$G$73</f>
        <v>0.4</v>
      </c>
      <c r="H31716" s="33" t="n">
        <f aca="false">Assumptions!$H$73</f>
        <v>0.4</v>
      </c>
      <c r="I31716" s="33" t="n">
        <f aca="false">Assumptions!$I$73</f>
        <v>0.4</v>
      </c>
      <c r="J31716" s="33" t="n">
        <f aca="false">Assumptions!$J$73</f>
        <v>0.4</v>
      </c>
      <c r="K31716" s="33" t="n">
        <f aca="false">Assumptions!$K$73</f>
        <v>0.4</v>
      </c>
    </row>
    <row r="31717" customFormat="false" ht="15" hidden="false" customHeight="false" outlineLevel="0" collapsed="false">
      <c r="A31717" s="3" t="s">
        <v>430</v>
      </c>
      <c r="G31717" s="22" t="n">
        <f aca="false">G31716-G31715</f>
        <v>0.279734395860077</v>
      </c>
      <c r="H31717" s="22" t="n">
        <f aca="false">H31716-H31715</f>
        <v>0.280619802020231</v>
      </c>
      <c r="I31717" s="22" t="n">
        <f aca="false">I31716-I31715</f>
        <v>0.281505208180386</v>
      </c>
      <c r="J31717" s="22" t="n">
        <f aca="false">J31716-J31715</f>
        <v>0.28239061434054</v>
      </c>
      <c r="K31717" s="22" t="n">
        <f aca="false">K31716-K31715</f>
        <v>0.283276020500694</v>
      </c>
    </row>
    <row r="31718" customFormat="false" ht="15" hidden="false" customHeight="false" outlineLevel="0" collapsed="false">
      <c r="A31718" s="3" t="s">
        <v>431</v>
      </c>
      <c r="G31718" s="22" t="n">
        <f aca="false">IF(G31716=0,0,G31717/ABS(G31716))</f>
        <v>0.699335989650192</v>
      </c>
      <c r="H31718" s="22" t="n">
        <f aca="false">IF(H31716=0,0,H31717/ABS(H31716))</f>
        <v>0.701549505050578</v>
      </c>
      <c r="I31718" s="22" t="n">
        <f aca="false">IF(I31716=0,0,I31717/ABS(I31716))</f>
        <v>0.703763020450964</v>
      </c>
      <c r="J31718" s="22" t="n">
        <f aca="false">IF(J31716=0,0,J31717/ABS(J31716))</f>
        <v>0.70597653585135</v>
      </c>
      <c r="K31718" s="22" t="n">
        <f aca="false">IF(K31716=0,0,K31717/ABS(K31716))</f>
        <v>0.708190051251736</v>
      </c>
    </row>
    <row r="31719" customFormat="false" ht="15" hidden="false" customHeight="false" outlineLevel="0" collapsed="false">
      <c r="A31719" s="3" t="s">
        <v>432</v>
      </c>
      <c r="G31719" s="21" t="n">
        <f aca="false">IF(G31717&lt;0,1,0)</f>
        <v>0</v>
      </c>
      <c r="H31719" s="21" t="n">
        <f aca="false">IF(H31717&lt;0,1,0)</f>
        <v>0</v>
      </c>
      <c r="I31719" s="21" t="n">
        <f aca="false">IF(I31717&lt;0,1,0)</f>
        <v>0</v>
      </c>
      <c r="J31719" s="21" t="n">
        <f aca="false">IF(J31717&lt;0,1,0)</f>
        <v>0</v>
      </c>
      <c r="K31719" s="21" t="n">
        <f aca="false">IF(K31717&lt;0,1,0)</f>
        <v>0</v>
      </c>
    </row>
    <row r="31720" customFormat="false" ht="15" hidden="false" customHeight="false" outlineLevel="0" collapsed="false">
      <c r="A31720" s="3" t="s">
        <v>433</v>
      </c>
      <c r="C31720" s="21" t="n">
        <f aca="false">IFERROR(INDEX($G$31453:$K$31453,MATCH(1,$G$31719:$K$31719,0)),0)</f>
        <v>0</v>
      </c>
    </row>
    <row r="31721" customFormat="false" ht="15" hidden="false" customHeight="false" outlineLevel="0" collapsed="false">
      <c r="A31721" s="3" t="s">
        <v>434</v>
      </c>
      <c r="C31721" s="22" t="n">
        <f aca="false">MIN($G$31718:$K$31718)</f>
        <v>0.699335989650192</v>
      </c>
    </row>
    <row r="31722" customFormat="false" ht="15" hidden="false" customHeight="false" outlineLevel="0" collapsed="false">
      <c r="A31722" s="24" t="s">
        <v>437</v>
      </c>
      <c r="B31722" s="25"/>
      <c r="C31722" s="25"/>
      <c r="D31722" s="25"/>
      <c r="E31722" s="25"/>
      <c r="F31722" s="25"/>
      <c r="G31722" s="25"/>
      <c r="H31722" s="25"/>
      <c r="I31722" s="25"/>
      <c r="J31722" s="25"/>
      <c r="K31722" s="25"/>
    </row>
    <row r="31723" customFormat="false" ht="15" hidden="false" customHeight="false" outlineLevel="0" collapsed="false">
      <c r="A31723" s="3" t="s">
        <v>428</v>
      </c>
      <c r="G31723" s="16" t="n">
        <f aca="false">G31693</f>
        <v>724.8287686</v>
      </c>
      <c r="H31723" s="16" t="n">
        <f aca="false">H31693</f>
        <v>599.5</v>
      </c>
      <c r="I31723" s="16" t="n">
        <f aca="false">I31693</f>
        <v>507.703057817944</v>
      </c>
      <c r="J31723" s="16" t="n">
        <f aca="false">J31693</f>
        <v>418.822535135205</v>
      </c>
      <c r="K31723" s="16" t="n">
        <f aca="false">K31693</f>
        <v>314.286716076552</v>
      </c>
    </row>
    <row r="31724" customFormat="false" ht="15" hidden="false" customHeight="false" outlineLevel="0" collapsed="false">
      <c r="A31724" s="3" t="s">
        <v>429</v>
      </c>
      <c r="G31724" s="29" t="n">
        <f aca="false">Assumptions!$G$74</f>
        <v>100</v>
      </c>
      <c r="H31724" s="29" t="n">
        <f aca="false">Assumptions!$H$74</f>
        <v>100</v>
      </c>
      <c r="I31724" s="29" t="n">
        <f aca="false">Assumptions!$I$74</f>
        <v>100</v>
      </c>
      <c r="J31724" s="29" t="n">
        <f aca="false">Assumptions!$J$74</f>
        <v>100</v>
      </c>
      <c r="K31724" s="29" t="n">
        <f aca="false">Assumptions!$K$74</f>
        <v>100</v>
      </c>
    </row>
    <row r="31725" customFormat="false" ht="15" hidden="false" customHeight="false" outlineLevel="0" collapsed="false">
      <c r="A31725" s="3" t="s">
        <v>430</v>
      </c>
      <c r="G31725" s="16" t="n">
        <f aca="false">G31723-G31724</f>
        <v>624.8287686</v>
      </c>
      <c r="H31725" s="16" t="n">
        <f aca="false">H31723-H31724</f>
        <v>499.5</v>
      </c>
      <c r="I31725" s="16" t="n">
        <f aca="false">I31723-I31724</f>
        <v>407.703057817944</v>
      </c>
      <c r="J31725" s="16" t="n">
        <f aca="false">J31723-J31724</f>
        <v>318.822535135205</v>
      </c>
      <c r="K31725" s="16" t="n">
        <f aca="false">K31723-K31724</f>
        <v>214.286716076552</v>
      </c>
    </row>
    <row r="31726" customFormat="false" ht="15" hidden="false" customHeight="false" outlineLevel="0" collapsed="false">
      <c r="A31726" s="3" t="s">
        <v>431</v>
      </c>
      <c r="G31726" s="22" t="n">
        <f aca="false">IF(G31724=0,0,G31725/ABS(G31724))</f>
        <v>6.248287686</v>
      </c>
      <c r="H31726" s="22" t="n">
        <f aca="false">IF(H31724=0,0,H31725/ABS(H31724))</f>
        <v>4.995</v>
      </c>
      <c r="I31726" s="22" t="n">
        <f aca="false">IF(I31724=0,0,I31725/ABS(I31724))</f>
        <v>4.07703057817944</v>
      </c>
      <c r="J31726" s="22" t="n">
        <f aca="false">IF(J31724=0,0,J31725/ABS(J31724))</f>
        <v>3.18822535135205</v>
      </c>
      <c r="K31726" s="22" t="n">
        <f aca="false">IF(K31724=0,0,K31725/ABS(K31724))</f>
        <v>2.14286716076552</v>
      </c>
    </row>
    <row r="31727" customFormat="false" ht="15" hidden="false" customHeight="false" outlineLevel="0" collapsed="false">
      <c r="A31727" s="3" t="s">
        <v>432</v>
      </c>
      <c r="G31727" s="21" t="n">
        <f aca="false">IF(G31725&lt;0,1,0)</f>
        <v>0</v>
      </c>
      <c r="H31727" s="21" t="n">
        <f aca="false">IF(H31725&lt;0,1,0)</f>
        <v>0</v>
      </c>
      <c r="I31727" s="21" t="n">
        <f aca="false">IF(I31725&lt;0,1,0)</f>
        <v>0</v>
      </c>
      <c r="J31727" s="21" t="n">
        <f aca="false">IF(J31725&lt;0,1,0)</f>
        <v>0</v>
      </c>
      <c r="K31727" s="21" t="n">
        <f aca="false">IF(K31725&lt;0,1,0)</f>
        <v>0</v>
      </c>
    </row>
    <row r="31728" customFormat="false" ht="15" hidden="false" customHeight="false" outlineLevel="0" collapsed="false">
      <c r="A31728" s="3" t="s">
        <v>433</v>
      </c>
      <c r="C31728" s="21" t="n">
        <f aca="false">IFERROR(INDEX($G$31453:$K$31453,MATCH(1,$G$31727:$K$31727,0)),0)</f>
        <v>0</v>
      </c>
    </row>
    <row r="31729" customFormat="false" ht="15" hidden="false" customHeight="false" outlineLevel="0" collapsed="false">
      <c r="A31729" s="3" t="s">
        <v>434</v>
      </c>
      <c r="C31729" s="22" t="n">
        <f aca="false">MIN($G$31726:$K$31726)</f>
        <v>2.14286716076552</v>
      </c>
    </row>
    <row r="31730" customFormat="false" ht="15" hidden="false" customHeight="false" outlineLevel="0" collapsed="false">
      <c r="A31730" s="24" t="s">
        <v>438</v>
      </c>
      <c r="B31730" s="25"/>
      <c r="C31730" s="25"/>
      <c r="D31730" s="25"/>
      <c r="E31730" s="25"/>
      <c r="F31730" s="25"/>
      <c r="G31730" s="25"/>
      <c r="H31730" s="25"/>
      <c r="I31730" s="25"/>
      <c r="J31730" s="25"/>
      <c r="K31730" s="25"/>
    </row>
    <row r="31731" customFormat="false" ht="15" hidden="false" customHeight="false" outlineLevel="0" collapsed="false">
      <c r="A31731" s="3" t="s">
        <v>428</v>
      </c>
      <c r="G31731" s="32" t="n">
        <f aca="false">IF(G31463&gt;0,G31686/G31463,99)</f>
        <v>9.64824801476836</v>
      </c>
      <c r="H31731" s="32" t="n">
        <f aca="false">IF(H31463&gt;0,H31686/H31463,99)</f>
        <v>9.70665866785301</v>
      </c>
      <c r="I31731" s="32" t="n">
        <f aca="false">IF(I31463&gt;0,I31686/I31463,99)</f>
        <v>9.78880026535512</v>
      </c>
      <c r="J31731" s="32" t="n">
        <f aca="false">IF(J31463&gt;0,J31686/J31463,99)</f>
        <v>9.86877570563203</v>
      </c>
      <c r="K31731" s="32" t="n">
        <f aca="false">IF(K31463&gt;0,K31686/K31463,99)</f>
        <v>9.99528975565569</v>
      </c>
    </row>
    <row r="31732" customFormat="false" ht="15" hidden="false" customHeight="false" outlineLevel="0" collapsed="false">
      <c r="A31732" s="3" t="s">
        <v>429</v>
      </c>
      <c r="G31732" s="34" t="n">
        <f aca="false">Assumptions!$G$75</f>
        <v>10.5</v>
      </c>
      <c r="H31732" s="34" t="n">
        <f aca="false">Assumptions!$H$75</f>
        <v>10.5</v>
      </c>
      <c r="I31732" s="34" t="n">
        <f aca="false">Assumptions!$I$75</f>
        <v>10</v>
      </c>
      <c r="J31732" s="34" t="n">
        <f aca="false">Assumptions!$J$75</f>
        <v>10</v>
      </c>
      <c r="K31732" s="34" t="n">
        <f aca="false">Assumptions!$K$75</f>
        <v>9.5</v>
      </c>
    </row>
    <row r="31733" customFormat="false" ht="15" hidden="false" customHeight="false" outlineLevel="0" collapsed="false">
      <c r="A31733" s="3" t="s">
        <v>430</v>
      </c>
      <c r="G31733" s="32" t="n">
        <f aca="false">G31732-G31731</f>
        <v>0.85175198523164</v>
      </c>
      <c r="H31733" s="32" t="n">
        <f aca="false">H31732-H31731</f>
        <v>0.793341332146991</v>
      </c>
      <c r="I31733" s="32" t="n">
        <f aca="false">I31732-I31731</f>
        <v>0.211199734644877</v>
      </c>
      <c r="J31733" s="32" t="n">
        <f aca="false">J31732-J31731</f>
        <v>0.131224294367971</v>
      </c>
      <c r="K31733" s="32" t="n">
        <f aca="false">K31732-K31731</f>
        <v>-0.495289755655689</v>
      </c>
    </row>
    <row r="31734" customFormat="false" ht="15" hidden="false" customHeight="false" outlineLevel="0" collapsed="false">
      <c r="A31734" s="3" t="s">
        <v>431</v>
      </c>
      <c r="G31734" s="22" t="n">
        <f aca="false">IF(G31732=0,0,G31733/ABS(G31732))</f>
        <v>0.0811192366887277</v>
      </c>
      <c r="H31734" s="22" t="n">
        <f aca="false">IF(H31732=0,0,H31733/ABS(H31732))</f>
        <v>0.0755563173473324</v>
      </c>
      <c r="I31734" s="22" t="n">
        <f aca="false">IF(I31732=0,0,I31733/ABS(I31732))</f>
        <v>0.0211199734644877</v>
      </c>
      <c r="J31734" s="22" t="n">
        <f aca="false">IF(J31732=0,0,J31733/ABS(J31732))</f>
        <v>0.0131224294367971</v>
      </c>
      <c r="K31734" s="22" t="n">
        <f aca="false">IF(K31732=0,0,K31733/ABS(K31732))</f>
        <v>-0.0521357637532304</v>
      </c>
    </row>
    <row r="31735" customFormat="false" ht="15" hidden="false" customHeight="false" outlineLevel="0" collapsed="false">
      <c r="A31735" s="3" t="s">
        <v>432</v>
      </c>
      <c r="G31735" s="21" t="n">
        <f aca="false">IF(G31733&lt;0,1,0)</f>
        <v>0</v>
      </c>
      <c r="H31735" s="21" t="n">
        <f aca="false">IF(H31733&lt;0,1,0)</f>
        <v>0</v>
      </c>
      <c r="I31735" s="21" t="n">
        <f aca="false">IF(I31733&lt;0,1,0)</f>
        <v>0</v>
      </c>
      <c r="J31735" s="21" t="n">
        <f aca="false">IF(J31733&lt;0,1,0)</f>
        <v>0</v>
      </c>
      <c r="K31735" s="21" t="n">
        <f aca="false">IF(K31733&lt;0,1,0)</f>
        <v>1</v>
      </c>
    </row>
    <row r="31736" customFormat="false" ht="15" hidden="false" customHeight="false" outlineLevel="0" collapsed="false">
      <c r="A31736" s="3" t="s">
        <v>433</v>
      </c>
      <c r="C31736" s="21" t="n">
        <f aca="false">IFERROR(INDEX($G$31453:$K$31453,MATCH(1,$G$31735:$K$31735,0)),0)</f>
        <v>2031</v>
      </c>
    </row>
    <row r="31737" customFormat="false" ht="15" hidden="false" customHeight="false" outlineLevel="0" collapsed="false">
      <c r="A31737" s="3" t="s">
        <v>434</v>
      </c>
      <c r="C31737" s="22" t="n">
        <f aca="false">MIN($G$31734:$K$31734)</f>
        <v>-0.0521357637532304</v>
      </c>
    </row>
    <row r="31738" customFormat="false" ht="15" hidden="false" customHeight="false" outlineLevel="0" collapsed="false">
      <c r="A31738" s="3" t="s">
        <v>439</v>
      </c>
      <c r="G31738" s="21" t="n">
        <f aca="false">G31703+G31711+G31719+G31727+G31735</f>
        <v>1</v>
      </c>
      <c r="H31738" s="21" t="n">
        <f aca="false">H31703+H31711+H31719+H31727+H31735</f>
        <v>1</v>
      </c>
      <c r="I31738" s="21" t="n">
        <f aca="false">I31703+I31711+I31719+I31727+I31735</f>
        <v>1</v>
      </c>
      <c r="J31738" s="21" t="n">
        <f aca="false">J31703+J31711+J31719+J31727+J31735</f>
        <v>2</v>
      </c>
      <c r="K31738" s="21" t="n">
        <f aca="false">K31703+K31711+K31719+K31727+K31735</f>
        <v>3</v>
      </c>
    </row>
    <row r="31739" customFormat="false" ht="15" hidden="false" customHeight="false" outlineLevel="0" collapsed="false">
      <c r="A31739" s="3" t="s">
        <v>440</v>
      </c>
      <c r="C31739" s="21" t="n">
        <f aca="false">SUM($G$31738:$K$31738)</f>
        <v>8</v>
      </c>
    </row>
    <row r="31740" customFormat="false" ht="15" hidden="false" customHeight="false" outlineLevel="0" collapsed="false">
      <c r="A31740" s="3" t="s">
        <v>441</v>
      </c>
      <c r="C31740" s="22" t="n">
        <f aca="false">MIN(C31705,C31713,C31721,C31729,C31737)</f>
        <v>-0.104836227124896</v>
      </c>
    </row>
    <row r="31742" customFormat="false" ht="15" hidden="false" customHeight="false" outlineLevel="0" collapsed="false">
      <c r="A31742" s="24" t="s">
        <v>543</v>
      </c>
      <c r="B31742" s="25"/>
      <c r="C31742" s="25"/>
      <c r="D31742" s="25"/>
      <c r="E31742" s="25"/>
      <c r="F31742" s="25"/>
      <c r="G31742" s="25"/>
      <c r="H31742" s="25"/>
      <c r="I31742" s="25"/>
      <c r="J31742" s="25"/>
      <c r="K31742" s="25"/>
    </row>
    <row r="31743" customFormat="false" ht="15" hidden="false" customHeight="false" outlineLevel="0" collapsed="false">
      <c r="A31743" s="3" t="s">
        <v>544</v>
      </c>
      <c r="G31743" s="21" t="n">
        <f aca="false">IF($C$31744=1,G31680,IF(G31463=MIN($G$31463:$K$31463),1,0))</f>
        <v>1</v>
      </c>
      <c r="H31743" s="21" t="n">
        <f aca="false">IF($C$31744=1,H31680,IF(AND(H31463=MIN($G$31463:$K$31463),SUM($G$31743:G31743)=0),1,0))</f>
        <v>0</v>
      </c>
      <c r="I31743" s="21" t="n">
        <f aca="false">IF($C$31744=1,I31680,IF(AND(I31463=MIN($G$31463:$K$31463),SUM($G$31743:H31743)=0),1,0))</f>
        <v>0</v>
      </c>
      <c r="J31743" s="21" t="n">
        <f aca="false">IF($C$31744=1,J31680,IF(AND(J31463=MIN($G$31463:$K$31463),SUM($G$31743:I31743)=0),1,0))</f>
        <v>0</v>
      </c>
      <c r="K31743" s="21" t="n">
        <f aca="false">IF($C$31744=1,K31680,IF(AND(K31463=MIN($G$31463:$K$31463),SUM($G$31743:J31743)=0),1,0))</f>
        <v>0</v>
      </c>
    </row>
    <row r="31744" customFormat="false" ht="15" hidden="false" customHeight="false" outlineLevel="0" collapsed="false">
      <c r="A31744" s="3" t="s">
        <v>545</v>
      </c>
      <c r="C31744" s="21" t="n">
        <f aca="false">IF(SUM($G$31680:$K$31680)&gt;0,1,0)</f>
        <v>0</v>
      </c>
    </row>
    <row r="31745" customFormat="false" ht="15" hidden="false" customHeight="false" outlineLevel="0" collapsed="false">
      <c r="A31745" s="3" t="s">
        <v>546</v>
      </c>
      <c r="C31745" s="21" t="n">
        <f aca="false">SUMPRODUCT($G$31743:$K$31743,$G$31453:$K$31453)</f>
        <v>2027</v>
      </c>
    </row>
    <row r="31746" customFormat="false" ht="15" hidden="false" customHeight="false" outlineLevel="0" collapsed="false">
      <c r="A31746" s="3" t="s">
        <v>547</v>
      </c>
      <c r="C31746" s="16" t="n">
        <f aca="false">SUMPRODUCT($G$31743:$K$31743,$G$31463:$K$31463)</f>
        <v>256.1714031</v>
      </c>
    </row>
    <row r="31747" customFormat="false" ht="15" hidden="false" customHeight="false" outlineLevel="0" collapsed="false">
      <c r="A31747" s="3" t="s">
        <v>548</v>
      </c>
      <c r="C31747" s="16" t="n">
        <f aca="false">MAX(0,SUMPRODUCT($G$31743:$K$31743,$G$31677:$K$31677))</f>
        <v>150.3287686</v>
      </c>
    </row>
    <row r="31748" customFormat="false" ht="15" hidden="false" customHeight="false" outlineLevel="0" collapsed="false">
      <c r="A31748" s="3" t="s">
        <v>549</v>
      </c>
      <c r="C31748" s="16" t="n">
        <f aca="false">(CHOOSE($C$31446,Assumptions!$C$92,Assumptions!$C$111,Assumptions!$C$130)+$C$31450)*C31746</f>
        <v>2049.3712248</v>
      </c>
    </row>
    <row r="31749" customFormat="false" ht="15" hidden="false" customHeight="false" outlineLevel="0" collapsed="false">
      <c r="A31749" s="3" t="s">
        <v>550</v>
      </c>
      <c r="C31749" s="16" t="n">
        <f aca="false">Assumptions!$C$31*(1-CHOOSE($C$31446,Assumptions!$C$93,Assumptions!$C$112,Assumptions!$C$131))*CHOOSE($C$31446,Assumptions!$C$94,Assumptions!$C$113,Assumptions!$C$132)</f>
        <v>3840.04556666667</v>
      </c>
    </row>
    <row r="31750" customFormat="false" ht="15" hidden="false" customHeight="false" outlineLevel="0" collapsed="false">
      <c r="A31750" s="3" t="s">
        <v>551</v>
      </c>
      <c r="C31750" s="16" t="n">
        <f aca="false">MAX(C31748,C31749)+C31747</f>
        <v>3990.37433526667</v>
      </c>
    </row>
    <row r="31751" customFormat="false" ht="15" hidden="false" customHeight="false" outlineLevel="0" collapsed="false">
      <c r="A31751" s="2" t="s">
        <v>552</v>
      </c>
      <c r="C31751" s="17" t="n">
        <f aca="false">IF(ISNUMBER(Assumptions!$C$14),Assumptions!$C$14,C31750)</f>
        <v>3990.37433526667</v>
      </c>
    </row>
    <row r="31752" customFormat="false" ht="15" hidden="false" customHeight="false" outlineLevel="0" collapsed="false">
      <c r="A31752" s="3" t="s">
        <v>553</v>
      </c>
      <c r="C31752" s="16" t="n">
        <f aca="false">C31751*Assumptions!$C$15</f>
        <v>159.614973410667</v>
      </c>
    </row>
    <row r="31753" customFormat="false" ht="15" hidden="false" customHeight="false" outlineLevel="0" collapsed="false">
      <c r="A31753" s="2" t="s">
        <v>554</v>
      </c>
      <c r="C31753" s="17" t="n">
        <f aca="false">C31751-C31752</f>
        <v>3830.759361856</v>
      </c>
    </row>
    <row r="31754" customFormat="false" ht="15" hidden="false" customHeight="false" outlineLevel="0" collapsed="false">
      <c r="A31754" s="24" t="s">
        <v>555</v>
      </c>
      <c r="B31754" s="25"/>
      <c r="C31754" s="25"/>
      <c r="D31754" s="25"/>
      <c r="E31754" s="25"/>
      <c r="F31754" s="25"/>
      <c r="G31754" s="25"/>
      <c r="H31754" s="25"/>
      <c r="I31754" s="25"/>
      <c r="J31754" s="25"/>
      <c r="K31754" s="25"/>
    </row>
    <row r="31755" customFormat="false" ht="15" hidden="false" customHeight="false" outlineLevel="0" collapsed="false">
      <c r="A31755" s="3" t="s">
        <v>556</v>
      </c>
      <c r="C31755" s="16" t="n">
        <f aca="false">SUMPRODUCT($G$31743:$K$31743,$G$31500:$K$31500)*(1+SUMPRODUCT($G$31743:$K$31743,$G$31492:$K$31492)*Assumptions!$C$16/12)</f>
        <v>405.0585</v>
      </c>
    </row>
    <row r="31756" customFormat="false" ht="15" hidden="false" customHeight="false" outlineLevel="0" collapsed="false">
      <c r="A31756" s="3" t="s">
        <v>557</v>
      </c>
      <c r="C31756" s="16" t="n">
        <f aca="false">SUMPRODUCT($G$31743:$K$31743,$G$31513:$K$31513)*(1+SUMPRODUCT($G$31743:$K$31743,$G$31505:$K$31505)*Assumptions!$C$16/12)</f>
        <v>91.30725</v>
      </c>
    </row>
    <row r="31757" customFormat="false" ht="15" hidden="false" customHeight="false" outlineLevel="0" collapsed="false">
      <c r="A31757" s="3" t="s">
        <v>558</v>
      </c>
      <c r="C31757" s="16" t="n">
        <f aca="false">SUMPRODUCT($G$31743:$K$31743,$G$31526:$K$31526)*(1+SUMPRODUCT($G$31743:$K$31743,$G$31518:$K$31518)*Assumptions!$C$16/12)</f>
        <v>58.3715961</v>
      </c>
    </row>
    <row r="31758" customFormat="false" ht="15" hidden="false" customHeight="false" outlineLevel="0" collapsed="false">
      <c r="A31758" s="3" t="s">
        <v>559</v>
      </c>
      <c r="C31758" s="16" t="n">
        <f aca="false">SUMPRODUCT($G$31743:$K$31743,$G$31539:$K$31539)*(1+SUMPRODUCT($G$31743:$K$31743,$G$31531:$K$31531)*Assumptions!$C$16/12)</f>
        <v>0</v>
      </c>
    </row>
    <row r="31759" customFormat="false" ht="15" hidden="false" customHeight="false" outlineLevel="0" collapsed="false">
      <c r="A31759" s="3" t="s">
        <v>560</v>
      </c>
      <c r="C31759" s="16" t="n">
        <f aca="false">SUMPRODUCT($G$31743:$K$31743,$G$31552:$K$31552)*(1+SUMPRODUCT($G$31743:$K$31743,$G$31544:$K$31544)*Assumptions!$C$16/12)</f>
        <v>454.44375</v>
      </c>
    </row>
    <row r="31760" customFormat="false" ht="15" hidden="false" customHeight="false" outlineLevel="0" collapsed="false">
      <c r="A31760" s="3" t="s">
        <v>561</v>
      </c>
      <c r="C31760" s="16" t="n">
        <f aca="false">SUMPRODUCT($G$31743:$K$31743,$G$31565:$K$31565)*(1+SUMPRODUCT($G$31743:$K$31743,$G$31557:$K$31557)*Assumptions!$C$16/12)</f>
        <v>357.2625</v>
      </c>
    </row>
    <row r="31761" customFormat="false" ht="15" hidden="false" customHeight="false" outlineLevel="0" collapsed="false">
      <c r="A31761" s="3" t="s">
        <v>562</v>
      </c>
      <c r="C31761" s="16" t="n">
        <f aca="false">SUMPRODUCT($G$31743:$K$31743,$G$31578:$K$31578)*(1+SUMPRODUCT($G$31743:$K$31743,$G$31570:$K$31570)*Assumptions!$C$16/12)</f>
        <v>562.203125</v>
      </c>
    </row>
    <row r="31762" customFormat="false" ht="15" hidden="false" customHeight="false" outlineLevel="0" collapsed="false">
      <c r="A31762" s="3" t="s">
        <v>563</v>
      </c>
      <c r="C31762" s="16" t="n">
        <f aca="false">SUMPRODUCT($G$31743:$K$31743,$G$31591:$K$31591)*(1+SUMPRODUCT($G$31743:$K$31743,$G$31583:$K$31583)*Assumptions!$C$16/12)</f>
        <v>353.98125</v>
      </c>
    </row>
    <row r="31763" customFormat="false" ht="15" hidden="false" customHeight="false" outlineLevel="0" collapsed="false">
      <c r="A31763" s="3" t="s">
        <v>564</v>
      </c>
      <c r="C31763" s="16" t="n">
        <f aca="false">SUMPRODUCT($G$31743:$K$31743,$G$31604:$K$31604)*(1+SUMPRODUCT($G$31743:$K$31743,$G$31596:$K$31596)*Assumptions!$C$16/12)</f>
        <v>304.59375</v>
      </c>
    </row>
    <row r="31764" customFormat="false" ht="15" hidden="false" customHeight="false" outlineLevel="0" collapsed="false">
      <c r="A31764" s="3" t="s">
        <v>565</v>
      </c>
      <c r="C31764" s="16" t="n">
        <f aca="false">SUMPRODUCT($G$31743:$K$31743,$G$31617:$K$31617)*(1+SUMPRODUCT($G$31743:$K$31743,$G$31609:$K$31609)*Assumptions!$C$16/12)</f>
        <v>79.67320025</v>
      </c>
    </row>
    <row r="31765" customFormat="false" ht="15" hidden="false" customHeight="false" outlineLevel="0" collapsed="false">
      <c r="A31765" s="24" t="s">
        <v>566</v>
      </c>
      <c r="B31765" s="25"/>
      <c r="C31765" s="25"/>
      <c r="D31765" s="25"/>
      <c r="E31765" s="25"/>
      <c r="F31765" s="25"/>
      <c r="G31765" s="25"/>
      <c r="H31765" s="25"/>
      <c r="I31765" s="25"/>
      <c r="J31765" s="25"/>
      <c r="K31765" s="25"/>
    </row>
    <row r="31766" customFormat="false" ht="15" hidden="false" customHeight="false" outlineLevel="0" collapsed="false">
      <c r="A31766" s="3" t="s">
        <v>556</v>
      </c>
      <c r="C31766" s="27" t="n">
        <f aca="false">Assumptions!$M$57</f>
        <v>1</v>
      </c>
    </row>
    <row r="31767" customFormat="false" ht="15" hidden="false" customHeight="false" outlineLevel="0" collapsed="false">
      <c r="A31767" s="3" t="s">
        <v>557</v>
      </c>
      <c r="C31767" s="27" t="n">
        <f aca="false">Assumptions!$M$58</f>
        <v>1</v>
      </c>
    </row>
    <row r="31768" customFormat="false" ht="15" hidden="false" customHeight="false" outlineLevel="0" collapsed="false">
      <c r="A31768" s="3" t="s">
        <v>558</v>
      </c>
      <c r="C31768" s="27" t="n">
        <f aca="false">Assumptions!$M$59</f>
        <v>1</v>
      </c>
    </row>
    <row r="31769" customFormat="false" ht="15" hidden="false" customHeight="false" outlineLevel="0" collapsed="false">
      <c r="A31769" s="3" t="s">
        <v>559</v>
      </c>
      <c r="C31769" s="27" t="n">
        <f aca="false">Assumptions!$M$60</f>
        <v>2</v>
      </c>
    </row>
    <row r="31770" customFormat="false" ht="15" hidden="false" customHeight="false" outlineLevel="0" collapsed="false">
      <c r="A31770" s="3" t="s">
        <v>560</v>
      </c>
      <c r="C31770" s="27" t="n">
        <f aca="false">Assumptions!$M$61</f>
        <v>2</v>
      </c>
    </row>
    <row r="31771" customFormat="false" ht="15" hidden="false" customHeight="false" outlineLevel="0" collapsed="false">
      <c r="A31771" s="3" t="s">
        <v>561</v>
      </c>
      <c r="C31771" s="27" t="n">
        <f aca="false">Assumptions!$M$62</f>
        <v>2</v>
      </c>
    </row>
    <row r="31772" customFormat="false" ht="15" hidden="false" customHeight="false" outlineLevel="0" collapsed="false">
      <c r="A31772" s="3" t="s">
        <v>562</v>
      </c>
      <c r="C31772" s="27" t="n">
        <f aca="false">Assumptions!$M$63</f>
        <v>2</v>
      </c>
    </row>
    <row r="31773" customFormat="false" ht="15" hidden="false" customHeight="false" outlineLevel="0" collapsed="false">
      <c r="A31773" s="3" t="s">
        <v>563</v>
      </c>
      <c r="C31773" s="27" t="n">
        <f aca="false">Assumptions!$M$64</f>
        <v>2</v>
      </c>
    </row>
    <row r="31774" customFormat="false" ht="15" hidden="false" customHeight="false" outlineLevel="0" collapsed="false">
      <c r="A31774" s="3" t="s">
        <v>564</v>
      </c>
      <c r="C31774" s="27" t="n">
        <f aca="false">Assumptions!$M$65</f>
        <v>2</v>
      </c>
    </row>
    <row r="31775" customFormat="false" ht="15" hidden="false" customHeight="false" outlineLevel="0" collapsed="false">
      <c r="A31775" s="3" t="s">
        <v>565</v>
      </c>
      <c r="C31775" s="27" t="n">
        <f aca="false">Assumptions!$M$66</f>
        <v>3</v>
      </c>
    </row>
    <row r="31776" customFormat="false" ht="15" hidden="false" customHeight="false" outlineLevel="0" collapsed="false">
      <c r="A31776" s="24" t="s">
        <v>567</v>
      </c>
      <c r="B31776" s="25"/>
      <c r="C31776" s="25"/>
      <c r="D31776" s="25"/>
      <c r="E31776" s="25"/>
      <c r="F31776" s="25"/>
      <c r="G31776" s="25"/>
      <c r="H31776" s="25"/>
      <c r="I31776" s="25"/>
      <c r="J31776" s="25"/>
      <c r="K31776" s="25"/>
    </row>
    <row r="31777" customFormat="false" ht="15" hidden="false" customHeight="false" outlineLevel="0" collapsed="false">
      <c r="A31777" s="3" t="s">
        <v>556</v>
      </c>
      <c r="C31777" s="33" t="n">
        <f aca="false">Assumptions!$Q$57</f>
        <v>0.3</v>
      </c>
    </row>
    <row r="31778" customFormat="false" ht="15" hidden="false" customHeight="false" outlineLevel="0" collapsed="false">
      <c r="A31778" s="3" t="s">
        <v>557</v>
      </c>
      <c r="C31778" s="33" t="n">
        <f aca="false">Assumptions!$Q$58</f>
        <v>0.033</v>
      </c>
    </row>
    <row r="31779" customFormat="false" ht="15" hidden="false" customHeight="false" outlineLevel="0" collapsed="false">
      <c r="A31779" s="3" t="s">
        <v>558</v>
      </c>
      <c r="C31779" s="33" t="n">
        <f aca="false">Assumptions!$Q$59</f>
        <v>0.021</v>
      </c>
    </row>
    <row r="31780" customFormat="false" ht="15" hidden="false" customHeight="false" outlineLevel="0" collapsed="false">
      <c r="A31780" s="3" t="s">
        <v>559</v>
      </c>
      <c r="C31780" s="33" t="n">
        <f aca="false">Assumptions!$Q$60</f>
        <v>0</v>
      </c>
    </row>
    <row r="31781" customFormat="false" ht="15" hidden="false" customHeight="false" outlineLevel="0" collapsed="false">
      <c r="A31781" s="3" t="s">
        <v>560</v>
      </c>
      <c r="C31781" s="33" t="n">
        <f aca="false">Assumptions!$Q$61</f>
        <v>0</v>
      </c>
    </row>
    <row r="31782" customFormat="false" ht="15" hidden="false" customHeight="false" outlineLevel="0" collapsed="false">
      <c r="A31782" s="3" t="s">
        <v>561</v>
      </c>
      <c r="C31782" s="33" t="n">
        <f aca="false">Assumptions!$Q$62</f>
        <v>0</v>
      </c>
    </row>
    <row r="31783" customFormat="false" ht="15" hidden="false" customHeight="false" outlineLevel="0" collapsed="false">
      <c r="A31783" s="3" t="s">
        <v>562</v>
      </c>
      <c r="C31783" s="33" t="n">
        <f aca="false">Assumptions!$Q$63</f>
        <v>0</v>
      </c>
    </row>
    <row r="31784" customFormat="false" ht="15" hidden="false" customHeight="false" outlineLevel="0" collapsed="false">
      <c r="A31784" s="3" t="s">
        <v>563</v>
      </c>
      <c r="C31784" s="33" t="n">
        <f aca="false">Assumptions!$Q$64</f>
        <v>0</v>
      </c>
    </row>
    <row r="31785" customFormat="false" ht="15" hidden="false" customHeight="false" outlineLevel="0" collapsed="false">
      <c r="A31785" s="3" t="s">
        <v>564</v>
      </c>
      <c r="C31785" s="33" t="n">
        <f aca="false">Assumptions!$Q$65</f>
        <v>0</v>
      </c>
    </row>
    <row r="31786" customFormat="false" ht="15" hidden="false" customHeight="false" outlineLevel="0" collapsed="false">
      <c r="A31786" s="3" t="s">
        <v>565</v>
      </c>
      <c r="C31786" s="33" t="n">
        <f aca="false">Assumptions!$Q$66</f>
        <v>0</v>
      </c>
    </row>
    <row r="31787" customFormat="false" ht="15" hidden="false" customHeight="false" outlineLevel="0" collapsed="false">
      <c r="A31787" s="24" t="s">
        <v>568</v>
      </c>
      <c r="B31787" s="25"/>
      <c r="C31787" s="25"/>
      <c r="D31787" s="25"/>
      <c r="E31787" s="25"/>
      <c r="F31787" s="25"/>
      <c r="G31787" s="25"/>
      <c r="H31787" s="25"/>
      <c r="I31787" s="25"/>
      <c r="J31787" s="25"/>
      <c r="K31787" s="25"/>
    </row>
    <row r="31788" customFormat="false" ht="15" hidden="false" customHeight="false" outlineLevel="0" collapsed="false">
      <c r="A31788" s="3" t="s">
        <v>556</v>
      </c>
      <c r="C31788" s="16" t="n">
        <f aca="false">IF(C31777&gt;0,MIN(C31755,C31777*$C$31753),0)</f>
        <v>405.0585</v>
      </c>
    </row>
    <row r="31789" customFormat="false" ht="15" hidden="false" customHeight="false" outlineLevel="0" collapsed="false">
      <c r="A31789" s="3" t="s">
        <v>557</v>
      </c>
      <c r="C31789" s="16" t="n">
        <f aca="false">IF(C31778&gt;0,MIN(C31756,C31778*$C$31753),0)</f>
        <v>91.30725</v>
      </c>
    </row>
    <row r="31790" customFormat="false" ht="15" hidden="false" customHeight="false" outlineLevel="0" collapsed="false">
      <c r="A31790" s="3" t="s">
        <v>558</v>
      </c>
      <c r="C31790" s="16" t="n">
        <f aca="false">IF(C31779&gt;0,MIN(C31757,C31779*$C$31753),0)</f>
        <v>58.3715961</v>
      </c>
    </row>
    <row r="31791" customFormat="false" ht="15" hidden="false" customHeight="false" outlineLevel="0" collapsed="false">
      <c r="A31791" s="3" t="s">
        <v>559</v>
      </c>
      <c r="C31791" s="16" t="n">
        <f aca="false">IF(C31780&gt;0,MIN(C31758,C31780*$C$31753),0)</f>
        <v>0</v>
      </c>
    </row>
    <row r="31792" customFormat="false" ht="15" hidden="false" customHeight="false" outlineLevel="0" collapsed="false">
      <c r="A31792" s="3" t="s">
        <v>560</v>
      </c>
      <c r="C31792" s="16" t="n">
        <f aca="false">IF(C31781&gt;0,MIN(C31759,C31781*$C$31753),0)</f>
        <v>0</v>
      </c>
    </row>
    <row r="31793" customFormat="false" ht="15" hidden="false" customHeight="false" outlineLevel="0" collapsed="false">
      <c r="A31793" s="3" t="s">
        <v>561</v>
      </c>
      <c r="C31793" s="16" t="n">
        <f aca="false">IF(C31782&gt;0,MIN(C31760,C31782*$C$31753),0)</f>
        <v>0</v>
      </c>
    </row>
    <row r="31794" customFormat="false" ht="15" hidden="false" customHeight="false" outlineLevel="0" collapsed="false">
      <c r="A31794" s="3" t="s">
        <v>562</v>
      </c>
      <c r="C31794" s="16" t="n">
        <f aca="false">IF(C31783&gt;0,MIN(C31761,C31783*$C$31753),0)</f>
        <v>0</v>
      </c>
    </row>
    <row r="31795" customFormat="false" ht="15" hidden="false" customHeight="false" outlineLevel="0" collapsed="false">
      <c r="A31795" s="3" t="s">
        <v>563</v>
      </c>
      <c r="C31795" s="16" t="n">
        <f aca="false">IF(C31784&gt;0,MIN(C31762,C31784*$C$31753),0)</f>
        <v>0</v>
      </c>
    </row>
    <row r="31796" customFormat="false" ht="15" hidden="false" customHeight="false" outlineLevel="0" collapsed="false">
      <c r="A31796" s="3" t="s">
        <v>564</v>
      </c>
      <c r="C31796" s="16" t="n">
        <f aca="false">IF(C31785&gt;0,MIN(C31763,C31785*$C$31753),0)</f>
        <v>0</v>
      </c>
    </row>
    <row r="31797" customFormat="false" ht="15" hidden="false" customHeight="false" outlineLevel="0" collapsed="false">
      <c r="A31797" s="3" t="s">
        <v>565</v>
      </c>
      <c r="C31797" s="16" t="n">
        <f aca="false">IF(C31786&gt;0,MIN(C31764,C31786*$C$31753),0)</f>
        <v>0</v>
      </c>
    </row>
    <row r="31798" customFormat="false" ht="15" hidden="false" customHeight="false" outlineLevel="0" collapsed="false">
      <c r="A31798" s="24" t="s">
        <v>569</v>
      </c>
      <c r="B31798" s="25"/>
      <c r="C31798" s="25"/>
      <c r="D31798" s="25"/>
      <c r="E31798" s="25"/>
      <c r="F31798" s="25"/>
      <c r="G31798" s="25"/>
      <c r="H31798" s="25"/>
      <c r="I31798" s="25"/>
      <c r="J31798" s="25"/>
      <c r="K31798" s="25"/>
    </row>
    <row r="31799" customFormat="false" ht="15" hidden="false" customHeight="false" outlineLevel="0" collapsed="false">
      <c r="A31799" s="3" t="s">
        <v>556</v>
      </c>
      <c r="C31799" s="16" t="n">
        <f aca="false">IF(C31777&gt;0,C31755-C31788,0)</f>
        <v>0</v>
      </c>
      <c r="G31799" s="21" t="n">
        <f aca="false">IF(AND(G31490=1,G31487=1),1,0)</f>
        <v>0</v>
      </c>
      <c r="H31799" s="21" t="n">
        <f aca="false">IF(G31799=1,1,IF(AND(H31490=1,H31487=1),1,0))</f>
        <v>0</v>
      </c>
      <c r="I31799" s="21" t="n">
        <f aca="false">IF(H31799=1,1,IF(AND(I31490=1,I31487=1),1,0))</f>
        <v>0</v>
      </c>
      <c r="J31799" s="21" t="n">
        <f aca="false">IF(I31799=1,1,IF(AND(J31490=1,J31487=1),1,0))</f>
        <v>0</v>
      </c>
      <c r="K31799" s="21" t="n">
        <f aca="false">IF(J31799=1,1,IF(AND(K31490=1,K31487=1),1,0))</f>
        <v>1</v>
      </c>
    </row>
    <row r="31800" customFormat="false" ht="15" hidden="false" customHeight="false" outlineLevel="0" collapsed="false">
      <c r="A31800" s="3" t="s">
        <v>557</v>
      </c>
      <c r="C31800" s="16" t="n">
        <f aca="false">IF(C31778&gt;0,C31756-C31789,0)</f>
        <v>0</v>
      </c>
      <c r="G31800" s="21" t="n">
        <f aca="false">IF(AND(G31503=1,G31487=1),1,0)</f>
        <v>0</v>
      </c>
      <c r="H31800" s="21" t="n">
        <f aca="false">IF(G31800=1,1,IF(AND(H31503=1,H31487=1),1,0))</f>
        <v>0</v>
      </c>
      <c r="I31800" s="21" t="n">
        <f aca="false">IF(H31800=1,1,IF(AND(I31503=1,I31487=1),1,0))</f>
        <v>0</v>
      </c>
      <c r="J31800" s="21" t="n">
        <f aca="false">IF(I31800=1,1,IF(AND(J31503=1,J31487=1),1,0))</f>
        <v>0</v>
      </c>
      <c r="K31800" s="21" t="n">
        <f aca="false">IF(J31800=1,1,IF(AND(K31503=1,K31487=1),1,0))</f>
        <v>0</v>
      </c>
    </row>
    <row r="31801" customFormat="false" ht="15" hidden="false" customHeight="false" outlineLevel="0" collapsed="false">
      <c r="A31801" s="3" t="s">
        <v>558</v>
      </c>
      <c r="C31801" s="16" t="n">
        <f aca="false">IF(C31779&gt;0,C31757-C31790,0)</f>
        <v>0</v>
      </c>
      <c r="G31801" s="21" t="n">
        <f aca="false">IF(AND(G31516=1,G31487=1),1,0)</f>
        <v>0</v>
      </c>
      <c r="H31801" s="21" t="n">
        <f aca="false">IF(G31801=1,1,IF(AND(H31516=1,H31487=1),1,0))</f>
        <v>0</v>
      </c>
      <c r="I31801" s="21" t="n">
        <f aca="false">IF(H31801=1,1,IF(AND(I31516=1,I31487=1),1,0))</f>
        <v>0</v>
      </c>
      <c r="J31801" s="21" t="n">
        <f aca="false">IF(I31801=1,1,IF(AND(J31516=1,J31487=1),1,0))</f>
        <v>0</v>
      </c>
      <c r="K31801" s="21" t="n">
        <f aca="false">IF(J31801=1,1,IF(AND(K31516=1,K31487=1),1,0))</f>
        <v>0</v>
      </c>
    </row>
    <row r="31802" customFormat="false" ht="15" hidden="false" customHeight="false" outlineLevel="0" collapsed="false">
      <c r="A31802" s="3" t="s">
        <v>559</v>
      </c>
      <c r="C31802" s="16" t="n">
        <f aca="false">IF(C31780&gt;0,C31758-C31791,0)</f>
        <v>0</v>
      </c>
      <c r="G31802" s="21" t="n">
        <f aca="false">IF(AND(G31529=1,G31487=1),1,0)</f>
        <v>1</v>
      </c>
      <c r="H31802" s="21" t="n">
        <f aca="false">IF(G31802=1,1,IF(AND(H31529=1,H31487=1),1,0))</f>
        <v>1</v>
      </c>
      <c r="I31802" s="21" t="n">
        <f aca="false">IF(H31802=1,1,IF(AND(I31529=1,I31487=1),1,0))</f>
        <v>1</v>
      </c>
      <c r="J31802" s="21" t="n">
        <f aca="false">IF(I31802=1,1,IF(AND(J31529=1,J31487=1),1,0))</f>
        <v>1</v>
      </c>
      <c r="K31802" s="21" t="n">
        <f aca="false">IF(J31802=1,1,IF(AND(K31529=1,K31487=1),1,0))</f>
        <v>1</v>
      </c>
    </row>
    <row r="31803" customFormat="false" ht="15" hidden="false" customHeight="false" outlineLevel="0" collapsed="false">
      <c r="A31803" s="3" t="s">
        <v>560</v>
      </c>
      <c r="C31803" s="16" t="n">
        <f aca="false">IF(C31781&gt;0,C31759-C31792,0)</f>
        <v>0</v>
      </c>
      <c r="G31803" s="21" t="n">
        <f aca="false">IF(AND(G31542=1,G31487=1),1,0)</f>
        <v>0</v>
      </c>
      <c r="H31803" s="21" t="n">
        <f aca="false">IF(G31803=1,1,IF(AND(H31542=1,H31487=1),1,0))</f>
        <v>1</v>
      </c>
      <c r="I31803" s="21" t="n">
        <f aca="false">IF(H31803=1,1,IF(AND(I31542=1,I31487=1),1,0))</f>
        <v>1</v>
      </c>
      <c r="J31803" s="21" t="n">
        <f aca="false">IF(I31803=1,1,IF(AND(J31542=1,J31487=1),1,0))</f>
        <v>1</v>
      </c>
      <c r="K31803" s="21" t="n">
        <f aca="false">IF(J31803=1,1,IF(AND(K31542=1,K31487=1),1,0))</f>
        <v>1</v>
      </c>
    </row>
    <row r="31804" customFormat="false" ht="15" hidden="false" customHeight="false" outlineLevel="0" collapsed="false">
      <c r="A31804" s="3" t="s">
        <v>561</v>
      </c>
      <c r="C31804" s="16" t="n">
        <f aca="false">IF(C31782&gt;0,C31760-C31793,0)</f>
        <v>0</v>
      </c>
      <c r="G31804" s="21" t="n">
        <f aca="false">IF(AND(G31555=1,G31487=1),1,0)</f>
        <v>0</v>
      </c>
      <c r="H31804" s="21" t="n">
        <f aca="false">IF(G31804=1,1,IF(AND(H31555=1,H31487=1),1,0))</f>
        <v>1</v>
      </c>
      <c r="I31804" s="21" t="n">
        <f aca="false">IF(H31804=1,1,IF(AND(I31555=1,I31487=1),1,0))</f>
        <v>1</v>
      </c>
      <c r="J31804" s="21" t="n">
        <f aca="false">IF(I31804=1,1,IF(AND(J31555=1,J31487=1),1,0))</f>
        <v>1</v>
      </c>
      <c r="K31804" s="21" t="n">
        <f aca="false">IF(J31804=1,1,IF(AND(K31555=1,K31487=1),1,0))</f>
        <v>1</v>
      </c>
    </row>
    <row r="31805" customFormat="false" ht="15" hidden="false" customHeight="false" outlineLevel="0" collapsed="false">
      <c r="A31805" s="3" t="s">
        <v>562</v>
      </c>
      <c r="C31805" s="16" t="n">
        <f aca="false">IF(C31783&gt;0,C31761-C31794,0)</f>
        <v>0</v>
      </c>
      <c r="G31805" s="21" t="n">
        <f aca="false">IF(AND(G31568=1,G31487=1),1,0)</f>
        <v>0</v>
      </c>
      <c r="H31805" s="21" t="n">
        <f aca="false">IF(G31805=1,1,IF(AND(H31568=1,H31487=1),1,0))</f>
        <v>0</v>
      </c>
      <c r="I31805" s="21" t="n">
        <f aca="false">IF(H31805=1,1,IF(AND(I31568=1,I31487=1),1,0))</f>
        <v>1</v>
      </c>
      <c r="J31805" s="21" t="n">
        <f aca="false">IF(I31805=1,1,IF(AND(J31568=1,J31487=1),1,0))</f>
        <v>1</v>
      </c>
      <c r="K31805" s="21" t="n">
        <f aca="false">IF(J31805=1,1,IF(AND(K31568=1,K31487=1),1,0))</f>
        <v>1</v>
      </c>
    </row>
    <row r="31806" customFormat="false" ht="15" hidden="false" customHeight="false" outlineLevel="0" collapsed="false">
      <c r="A31806" s="3" t="s">
        <v>563</v>
      </c>
      <c r="C31806" s="16" t="n">
        <f aca="false">IF(C31784&gt;0,C31762-C31795,0)</f>
        <v>0</v>
      </c>
      <c r="G31806" s="21" t="n">
        <f aca="false">IF(AND(G31581=1,G31487=1),1,0)</f>
        <v>0</v>
      </c>
      <c r="H31806" s="21" t="n">
        <f aca="false">IF(G31806=1,1,IF(AND(H31581=1,H31487=1),1,0))</f>
        <v>0</v>
      </c>
      <c r="I31806" s="21" t="n">
        <f aca="false">IF(H31806=1,1,IF(AND(I31581=1,I31487=1),1,0))</f>
        <v>0</v>
      </c>
      <c r="J31806" s="21" t="n">
        <f aca="false">IF(I31806=1,1,IF(AND(J31581=1,J31487=1),1,0))</f>
        <v>1</v>
      </c>
      <c r="K31806" s="21" t="n">
        <f aca="false">IF(J31806=1,1,IF(AND(K31581=1,K31487=1),1,0))</f>
        <v>1</v>
      </c>
    </row>
    <row r="31807" customFormat="false" ht="15" hidden="false" customHeight="false" outlineLevel="0" collapsed="false">
      <c r="A31807" s="3" t="s">
        <v>564</v>
      </c>
      <c r="C31807" s="16" t="n">
        <f aca="false">IF(C31785&gt;0,C31763-C31796,0)</f>
        <v>0</v>
      </c>
      <c r="G31807" s="21" t="n">
        <f aca="false">IF(AND(G31594=1,G31487=1),1,0)</f>
        <v>0</v>
      </c>
      <c r="H31807" s="21" t="n">
        <f aca="false">IF(G31807=1,1,IF(AND(H31594=1,H31487=1),1,0))</f>
        <v>0</v>
      </c>
      <c r="I31807" s="21" t="n">
        <f aca="false">IF(H31807=1,1,IF(AND(I31594=1,I31487=1),1,0))</f>
        <v>0</v>
      </c>
      <c r="J31807" s="21" t="n">
        <f aca="false">IF(I31807=1,1,IF(AND(J31594=1,J31487=1),1,0))</f>
        <v>0</v>
      </c>
      <c r="K31807" s="21" t="n">
        <f aca="false">IF(J31807=1,1,IF(AND(K31594=1,K31487=1),1,0))</f>
        <v>1</v>
      </c>
    </row>
    <row r="31808" customFormat="false" ht="15" hidden="false" customHeight="false" outlineLevel="0" collapsed="false">
      <c r="A31808" s="3" t="s">
        <v>565</v>
      </c>
      <c r="C31808" s="16" t="n">
        <f aca="false">IF(C31786&gt;0,C31764-C31797,0)</f>
        <v>0</v>
      </c>
      <c r="G31808" s="21" t="n">
        <f aca="false">IF(AND(G31607=1,G31487=1),1,0)</f>
        <v>0</v>
      </c>
      <c r="H31808" s="21" t="n">
        <f aca="false">IF(G31808=1,1,IF(AND(H31607=1,H31487=1),1,0))</f>
        <v>0</v>
      </c>
      <c r="I31808" s="21" t="n">
        <f aca="false">IF(H31808=1,1,IF(AND(I31607=1,I31487=1),1,0))</f>
        <v>0</v>
      </c>
      <c r="J31808" s="21" t="n">
        <f aca="false">IF(I31808=1,1,IF(AND(J31607=1,J31487=1),1,0))</f>
        <v>0</v>
      </c>
      <c r="K31808" s="21" t="n">
        <f aca="false">IF(J31808=1,1,IF(AND(K31607=1,K31487=1),1,0))</f>
        <v>0</v>
      </c>
    </row>
    <row r="31809" customFormat="false" ht="15" hidden="false" customHeight="false" outlineLevel="0" collapsed="false">
      <c r="A31809" s="24" t="s">
        <v>570</v>
      </c>
      <c r="B31809" s="25"/>
      <c r="C31809" s="25"/>
      <c r="D31809" s="25"/>
      <c r="E31809" s="25"/>
      <c r="F31809" s="25"/>
      <c r="G31809" s="25"/>
      <c r="H31809" s="25"/>
      <c r="I31809" s="25"/>
      <c r="J31809" s="25"/>
      <c r="K31809" s="25"/>
    </row>
    <row r="31810" customFormat="false" ht="15" hidden="false" customHeight="false" outlineLevel="0" collapsed="false">
      <c r="A31810" s="3" t="s">
        <v>556</v>
      </c>
      <c r="C31810" s="16" t="n">
        <f aca="false">IF(C31777&gt;0,C31799,C31755)</f>
        <v>0</v>
      </c>
    </row>
    <row r="31811" customFormat="false" ht="15" hidden="false" customHeight="false" outlineLevel="0" collapsed="false">
      <c r="A31811" s="3" t="s">
        <v>557</v>
      </c>
      <c r="C31811" s="16" t="n">
        <f aca="false">IF(C31778&gt;0,C31800,C31756)</f>
        <v>0</v>
      </c>
    </row>
    <row r="31812" customFormat="false" ht="15" hidden="false" customHeight="false" outlineLevel="0" collapsed="false">
      <c r="A31812" s="3" t="s">
        <v>558</v>
      </c>
      <c r="C31812" s="16" t="n">
        <f aca="false">IF(C31779&gt;0,C31801,C31757)</f>
        <v>0</v>
      </c>
    </row>
    <row r="31813" customFormat="false" ht="15" hidden="false" customHeight="false" outlineLevel="0" collapsed="false">
      <c r="A31813" s="3" t="s">
        <v>559</v>
      </c>
      <c r="C31813" s="16" t="n">
        <f aca="false">IF(C31780&gt;0,C31802,C31758)</f>
        <v>0</v>
      </c>
    </row>
    <row r="31814" customFormat="false" ht="15" hidden="false" customHeight="false" outlineLevel="0" collapsed="false">
      <c r="A31814" s="3" t="s">
        <v>560</v>
      </c>
      <c r="C31814" s="16" t="n">
        <f aca="false">IF(C31781&gt;0,C31803,C31759)</f>
        <v>454.44375</v>
      </c>
    </row>
    <row r="31815" customFormat="false" ht="15" hidden="false" customHeight="false" outlineLevel="0" collapsed="false">
      <c r="A31815" s="3" t="s">
        <v>561</v>
      </c>
      <c r="C31815" s="16" t="n">
        <f aca="false">IF(C31782&gt;0,C31804,C31760)</f>
        <v>357.2625</v>
      </c>
    </row>
    <row r="31816" customFormat="false" ht="15" hidden="false" customHeight="false" outlineLevel="0" collapsed="false">
      <c r="A31816" s="3" t="s">
        <v>562</v>
      </c>
      <c r="C31816" s="16" t="n">
        <f aca="false">IF(C31783&gt;0,C31805,C31761)</f>
        <v>562.203125</v>
      </c>
    </row>
    <row r="31817" customFormat="false" ht="15" hidden="false" customHeight="false" outlineLevel="0" collapsed="false">
      <c r="A31817" s="3" t="s">
        <v>563</v>
      </c>
      <c r="C31817" s="16" t="n">
        <f aca="false">IF(C31784&gt;0,C31806,C31762)</f>
        <v>353.98125</v>
      </c>
    </row>
    <row r="31818" customFormat="false" ht="15" hidden="false" customHeight="false" outlineLevel="0" collapsed="false">
      <c r="A31818" s="3" t="s">
        <v>564</v>
      </c>
      <c r="C31818" s="16" t="n">
        <f aca="false">IF(C31785&gt;0,C31807,C31763)</f>
        <v>304.59375</v>
      </c>
    </row>
    <row r="31819" customFormat="false" ht="15" hidden="false" customHeight="false" outlineLevel="0" collapsed="false">
      <c r="A31819" s="3" t="s">
        <v>565</v>
      </c>
      <c r="C31819" s="16" t="n">
        <f aca="false">IF(C31786&gt;0,C31808,C31764)</f>
        <v>79.67320025</v>
      </c>
    </row>
    <row r="31820" customFormat="false" ht="15" hidden="false" customHeight="false" outlineLevel="0" collapsed="false">
      <c r="A31820" s="24" t="s">
        <v>571</v>
      </c>
      <c r="B31820" s="25"/>
      <c r="C31820" s="25"/>
      <c r="D31820" s="25"/>
      <c r="E31820" s="25"/>
      <c r="F31820" s="25"/>
      <c r="G31820" s="25"/>
      <c r="H31820" s="25"/>
      <c r="I31820" s="25"/>
      <c r="J31820" s="25"/>
      <c r="K31820" s="25"/>
    </row>
    <row r="31821" customFormat="false" ht="15" hidden="false" customHeight="false" outlineLevel="0" collapsed="false">
      <c r="A31821" s="3" t="s">
        <v>556</v>
      </c>
      <c r="C31821" s="21" t="n">
        <f aca="false">IF(C31777&gt;0,Assumptions!$C$17,C31766)</f>
        <v>99</v>
      </c>
    </row>
    <row r="31822" customFormat="false" ht="15" hidden="false" customHeight="false" outlineLevel="0" collapsed="false">
      <c r="A31822" s="3" t="s">
        <v>557</v>
      </c>
      <c r="C31822" s="21" t="n">
        <f aca="false">IF(C31778&gt;0,Assumptions!$C$17,C31767)</f>
        <v>99</v>
      </c>
    </row>
    <row r="31823" customFormat="false" ht="15" hidden="false" customHeight="false" outlineLevel="0" collapsed="false">
      <c r="A31823" s="3" t="s">
        <v>558</v>
      </c>
      <c r="C31823" s="21" t="n">
        <f aca="false">IF(C31779&gt;0,Assumptions!$C$17,C31768)</f>
        <v>99</v>
      </c>
    </row>
    <row r="31824" customFormat="false" ht="15" hidden="false" customHeight="false" outlineLevel="0" collapsed="false">
      <c r="A31824" s="3" t="s">
        <v>559</v>
      </c>
      <c r="C31824" s="21" t="n">
        <f aca="false">IF(C31780&gt;0,Assumptions!$C$17,C31769)</f>
        <v>2</v>
      </c>
    </row>
    <row r="31825" customFormat="false" ht="15" hidden="false" customHeight="false" outlineLevel="0" collapsed="false">
      <c r="A31825" s="3" t="s">
        <v>560</v>
      </c>
      <c r="C31825" s="21" t="n">
        <f aca="false">IF(C31781&gt;0,Assumptions!$C$17,C31770)</f>
        <v>2</v>
      </c>
    </row>
    <row r="31826" customFormat="false" ht="15" hidden="false" customHeight="false" outlineLevel="0" collapsed="false">
      <c r="A31826" s="3" t="s">
        <v>561</v>
      </c>
      <c r="C31826" s="21" t="n">
        <f aca="false">IF(C31782&gt;0,Assumptions!$C$17,C31771)</f>
        <v>2</v>
      </c>
    </row>
    <row r="31827" customFormat="false" ht="15" hidden="false" customHeight="false" outlineLevel="0" collapsed="false">
      <c r="A31827" s="3" t="s">
        <v>562</v>
      </c>
      <c r="C31827" s="21" t="n">
        <f aca="false">IF(C31783&gt;0,Assumptions!$C$17,C31772)</f>
        <v>2</v>
      </c>
    </row>
    <row r="31828" customFormat="false" ht="15" hidden="false" customHeight="false" outlineLevel="0" collapsed="false">
      <c r="A31828" s="3" t="s">
        <v>563</v>
      </c>
      <c r="C31828" s="21" t="n">
        <f aca="false">IF(C31784&gt;0,Assumptions!$C$17,C31773)</f>
        <v>2</v>
      </c>
    </row>
    <row r="31829" customFormat="false" ht="15" hidden="false" customHeight="false" outlineLevel="0" collapsed="false">
      <c r="A31829" s="3" t="s">
        <v>564</v>
      </c>
      <c r="C31829" s="21" t="n">
        <f aca="false">IF(C31785&gt;0,Assumptions!$C$17,C31774)</f>
        <v>2</v>
      </c>
    </row>
    <row r="31830" customFormat="false" ht="15" hidden="false" customHeight="false" outlineLevel="0" collapsed="false">
      <c r="A31830" s="3" t="s">
        <v>565</v>
      </c>
      <c r="C31830" s="21" t="n">
        <f aca="false">IF(C31786&gt;0,Assumptions!$C$17,C31775)</f>
        <v>3</v>
      </c>
    </row>
    <row r="31831" customFormat="false" ht="15" hidden="false" customHeight="false" outlineLevel="0" collapsed="false">
      <c r="A31831" s="24" t="s">
        <v>572</v>
      </c>
      <c r="B31831" s="25"/>
      <c r="C31831" s="25"/>
      <c r="D31831" s="25"/>
      <c r="E31831" s="25"/>
      <c r="F31831" s="25"/>
      <c r="G31831" s="25"/>
      <c r="H31831" s="25"/>
      <c r="I31831" s="25"/>
      <c r="J31831" s="25"/>
      <c r="K31831" s="25"/>
    </row>
    <row r="31832" customFormat="false" ht="15" hidden="false" customHeight="false" outlineLevel="0" collapsed="false">
      <c r="A31832" s="3" t="s">
        <v>556</v>
      </c>
      <c r="C31832" s="16" t="n">
        <f aca="false">SUMPRODUCT(($C$31821:$C$31830&lt;C31821)*$C$31810:$C$31819)</f>
        <v>2112.15757525</v>
      </c>
    </row>
    <row r="31833" customFormat="false" ht="15" hidden="false" customHeight="false" outlineLevel="0" collapsed="false">
      <c r="A31833" s="3" t="s">
        <v>557</v>
      </c>
      <c r="C31833" s="16" t="n">
        <f aca="false">SUMPRODUCT(($C$31821:$C$31830&lt;C31822)*$C$31810:$C$31819)</f>
        <v>2112.15757525</v>
      </c>
    </row>
    <row r="31834" customFormat="false" ht="15" hidden="false" customHeight="false" outlineLevel="0" collapsed="false">
      <c r="A31834" s="3" t="s">
        <v>558</v>
      </c>
      <c r="C31834" s="16" t="n">
        <f aca="false">SUMPRODUCT(($C$31821:$C$31830&lt;C31823)*$C$31810:$C$31819)</f>
        <v>2112.15757525</v>
      </c>
    </row>
    <row r="31835" customFormat="false" ht="15" hidden="false" customHeight="false" outlineLevel="0" collapsed="false">
      <c r="A31835" s="3" t="s">
        <v>559</v>
      </c>
      <c r="C31835" s="16" t="n">
        <f aca="false">SUMPRODUCT(($C$31821:$C$31830&lt;C31824)*$C$31810:$C$31819)</f>
        <v>0</v>
      </c>
    </row>
    <row r="31836" customFormat="false" ht="15" hidden="false" customHeight="false" outlineLevel="0" collapsed="false">
      <c r="A31836" s="3" t="s">
        <v>560</v>
      </c>
      <c r="C31836" s="16" t="n">
        <f aca="false">SUMPRODUCT(($C$31821:$C$31830&lt;C31825)*$C$31810:$C$31819)</f>
        <v>0</v>
      </c>
    </row>
    <row r="31837" customFormat="false" ht="15" hidden="false" customHeight="false" outlineLevel="0" collapsed="false">
      <c r="A31837" s="3" t="s">
        <v>561</v>
      </c>
      <c r="C31837" s="16" t="n">
        <f aca="false">SUMPRODUCT(($C$31821:$C$31830&lt;C31826)*$C$31810:$C$31819)</f>
        <v>0</v>
      </c>
    </row>
    <row r="31838" customFormat="false" ht="15" hidden="false" customHeight="false" outlineLevel="0" collapsed="false">
      <c r="A31838" s="3" t="s">
        <v>562</v>
      </c>
      <c r="C31838" s="16" t="n">
        <f aca="false">SUMPRODUCT(($C$31821:$C$31830&lt;C31827)*$C$31810:$C$31819)</f>
        <v>0</v>
      </c>
    </row>
    <row r="31839" customFormat="false" ht="15" hidden="false" customHeight="false" outlineLevel="0" collapsed="false">
      <c r="A31839" s="3" t="s">
        <v>563</v>
      </c>
      <c r="C31839" s="16" t="n">
        <f aca="false">SUMPRODUCT(($C$31821:$C$31830&lt;C31828)*$C$31810:$C$31819)</f>
        <v>0</v>
      </c>
    </row>
    <row r="31840" customFormat="false" ht="15" hidden="false" customHeight="false" outlineLevel="0" collapsed="false">
      <c r="A31840" s="3" t="s">
        <v>564</v>
      </c>
      <c r="C31840" s="16" t="n">
        <f aca="false">SUMPRODUCT(($C$31821:$C$31830&lt;C31829)*$C$31810:$C$31819)</f>
        <v>0</v>
      </c>
    </row>
    <row r="31841" customFormat="false" ht="15" hidden="false" customHeight="false" outlineLevel="0" collapsed="false">
      <c r="A31841" s="3" t="s">
        <v>565</v>
      </c>
      <c r="C31841" s="16" t="n">
        <f aca="false">SUMPRODUCT(($C$31821:$C$31830&lt;C31830)*$C$31810:$C$31819)</f>
        <v>2032.484375</v>
      </c>
    </row>
    <row r="31842" customFormat="false" ht="15" hidden="false" customHeight="false" outlineLevel="0" collapsed="false">
      <c r="A31842" s="24" t="s">
        <v>573</v>
      </c>
      <c r="B31842" s="25"/>
      <c r="C31842" s="25"/>
      <c r="D31842" s="25"/>
      <c r="E31842" s="25"/>
      <c r="F31842" s="25"/>
      <c r="G31842" s="25"/>
      <c r="H31842" s="25"/>
      <c r="I31842" s="25"/>
      <c r="J31842" s="25"/>
      <c r="K31842" s="25"/>
    </row>
    <row r="31843" customFormat="false" ht="15" hidden="false" customHeight="false" outlineLevel="0" collapsed="false">
      <c r="A31843" s="3" t="s">
        <v>556</v>
      </c>
      <c r="C31843" s="16" t="n">
        <f aca="false">SUMPRODUCT(($C$31821:$C$31830=C31821)*$C$31810:$C$31819)</f>
        <v>0</v>
      </c>
    </row>
    <row r="31844" customFormat="false" ht="15" hidden="false" customHeight="false" outlineLevel="0" collapsed="false">
      <c r="A31844" s="3" t="s">
        <v>557</v>
      </c>
      <c r="C31844" s="16" t="n">
        <f aca="false">SUMPRODUCT(($C$31821:$C$31830=C31822)*$C$31810:$C$31819)</f>
        <v>0</v>
      </c>
    </row>
    <row r="31845" customFormat="false" ht="15" hidden="false" customHeight="false" outlineLevel="0" collapsed="false">
      <c r="A31845" s="3" t="s">
        <v>558</v>
      </c>
      <c r="C31845" s="16" t="n">
        <f aca="false">SUMPRODUCT(($C$31821:$C$31830=C31823)*$C$31810:$C$31819)</f>
        <v>0</v>
      </c>
    </row>
    <row r="31846" customFormat="false" ht="15" hidden="false" customHeight="false" outlineLevel="0" collapsed="false">
      <c r="A31846" s="3" t="s">
        <v>559</v>
      </c>
      <c r="C31846" s="16" t="n">
        <f aca="false">SUMPRODUCT(($C$31821:$C$31830=C31824)*$C$31810:$C$31819)</f>
        <v>2032.484375</v>
      </c>
    </row>
    <row r="31847" customFormat="false" ht="15" hidden="false" customHeight="false" outlineLevel="0" collapsed="false">
      <c r="A31847" s="3" t="s">
        <v>560</v>
      </c>
      <c r="C31847" s="16" t="n">
        <f aca="false">SUMPRODUCT(($C$31821:$C$31830=C31825)*$C$31810:$C$31819)</f>
        <v>2032.484375</v>
      </c>
    </row>
    <row r="31848" customFormat="false" ht="15" hidden="false" customHeight="false" outlineLevel="0" collapsed="false">
      <c r="A31848" s="3" t="s">
        <v>561</v>
      </c>
      <c r="C31848" s="16" t="n">
        <f aca="false">SUMPRODUCT(($C$31821:$C$31830=C31826)*$C$31810:$C$31819)</f>
        <v>2032.484375</v>
      </c>
    </row>
    <row r="31849" customFormat="false" ht="15" hidden="false" customHeight="false" outlineLevel="0" collapsed="false">
      <c r="A31849" s="3" t="s">
        <v>562</v>
      </c>
      <c r="C31849" s="16" t="n">
        <f aca="false">SUMPRODUCT(($C$31821:$C$31830=C31827)*$C$31810:$C$31819)</f>
        <v>2032.484375</v>
      </c>
    </row>
    <row r="31850" customFormat="false" ht="15" hidden="false" customHeight="false" outlineLevel="0" collapsed="false">
      <c r="A31850" s="3" t="s">
        <v>563</v>
      </c>
      <c r="C31850" s="16" t="n">
        <f aca="false">SUMPRODUCT(($C$31821:$C$31830=C31828)*$C$31810:$C$31819)</f>
        <v>2032.484375</v>
      </c>
    </row>
    <row r="31851" customFormat="false" ht="15" hidden="false" customHeight="false" outlineLevel="0" collapsed="false">
      <c r="A31851" s="3" t="s">
        <v>564</v>
      </c>
      <c r="C31851" s="16" t="n">
        <f aca="false">SUMPRODUCT(($C$31821:$C$31830=C31829)*$C$31810:$C$31819)</f>
        <v>2032.484375</v>
      </c>
    </row>
    <row r="31852" customFormat="false" ht="15" hidden="false" customHeight="false" outlineLevel="0" collapsed="false">
      <c r="A31852" s="3" t="s">
        <v>565</v>
      </c>
      <c r="C31852" s="16" t="n">
        <f aca="false">SUMPRODUCT(($C$31821:$C$31830=C31830)*$C$31810:$C$31819)</f>
        <v>79.67320025</v>
      </c>
    </row>
    <row r="31853" customFormat="false" ht="15" hidden="false" customHeight="false" outlineLevel="0" collapsed="false">
      <c r="A31853" s="24" t="s">
        <v>574</v>
      </c>
      <c r="B31853" s="25"/>
      <c r="C31853" s="25"/>
      <c r="D31853" s="25"/>
      <c r="E31853" s="25"/>
      <c r="F31853" s="25"/>
      <c r="G31853" s="25"/>
      <c r="H31853" s="25"/>
      <c r="I31853" s="25"/>
      <c r="J31853" s="25"/>
      <c r="K31853" s="25"/>
    </row>
    <row r="31854" customFormat="false" ht="15" hidden="false" customHeight="false" outlineLevel="0" collapsed="false">
      <c r="A31854" s="3" t="s">
        <v>556</v>
      </c>
      <c r="C31854" s="16" t="n">
        <f aca="false">IF(C31843=0,0,C31810/C31843*MAX(0,MIN(C31843,$C$31753-SUM($C$31788:$C$31797)-C31832)))</f>
        <v>0</v>
      </c>
    </row>
    <row r="31855" customFormat="false" ht="15" hidden="false" customHeight="false" outlineLevel="0" collapsed="false">
      <c r="A31855" s="3" t="s">
        <v>557</v>
      </c>
      <c r="C31855" s="16" t="n">
        <f aca="false">IF(C31844=0,0,C31811/C31844*MAX(0,MIN(C31844,$C$31753-SUM($C$31788:$C$31797)-C31833)))</f>
        <v>0</v>
      </c>
    </row>
    <row r="31856" customFormat="false" ht="15" hidden="false" customHeight="false" outlineLevel="0" collapsed="false">
      <c r="A31856" s="3" t="s">
        <v>558</v>
      </c>
      <c r="C31856" s="16" t="n">
        <f aca="false">IF(C31845=0,0,C31812/C31845*MAX(0,MIN(C31845,$C$31753-SUM($C$31788:$C$31797)-C31834)))</f>
        <v>0</v>
      </c>
    </row>
    <row r="31857" customFormat="false" ht="15" hidden="false" customHeight="false" outlineLevel="0" collapsed="false">
      <c r="A31857" s="3" t="s">
        <v>559</v>
      </c>
      <c r="C31857" s="16" t="n">
        <f aca="false">IF(C31846=0,0,C31813/C31846*MAX(0,MIN(C31846,$C$31753-SUM($C$31788:$C$31797)-C31835)))</f>
        <v>0</v>
      </c>
    </row>
    <row r="31858" customFormat="false" ht="15" hidden="false" customHeight="false" outlineLevel="0" collapsed="false">
      <c r="A31858" s="3" t="s">
        <v>560</v>
      </c>
      <c r="C31858" s="16" t="n">
        <f aca="false">IF(C31847=0,0,C31814/C31847*MAX(0,MIN(C31847,$C$31753-SUM($C$31788:$C$31797)-C31836)))</f>
        <v>454.44375</v>
      </c>
    </row>
    <row r="31859" customFormat="false" ht="15" hidden="false" customHeight="false" outlineLevel="0" collapsed="false">
      <c r="A31859" s="3" t="s">
        <v>561</v>
      </c>
      <c r="C31859" s="16" t="n">
        <f aca="false">IF(C31848=0,0,C31815/C31848*MAX(0,MIN(C31848,$C$31753-SUM($C$31788:$C$31797)-C31837)))</f>
        <v>357.2625</v>
      </c>
    </row>
    <row r="31860" customFormat="false" ht="15" hidden="false" customHeight="false" outlineLevel="0" collapsed="false">
      <c r="A31860" s="3" t="s">
        <v>562</v>
      </c>
      <c r="C31860" s="16" t="n">
        <f aca="false">IF(C31849=0,0,C31816/C31849*MAX(0,MIN(C31849,$C$31753-SUM($C$31788:$C$31797)-C31838)))</f>
        <v>562.203125</v>
      </c>
    </row>
    <row r="31861" customFormat="false" ht="15" hidden="false" customHeight="false" outlineLevel="0" collapsed="false">
      <c r="A31861" s="3" t="s">
        <v>563</v>
      </c>
      <c r="C31861" s="16" t="n">
        <f aca="false">IF(C31850=0,0,C31817/C31850*MAX(0,MIN(C31850,$C$31753-SUM($C$31788:$C$31797)-C31839)))</f>
        <v>353.98125</v>
      </c>
    </row>
    <row r="31862" customFormat="false" ht="15" hidden="false" customHeight="false" outlineLevel="0" collapsed="false">
      <c r="A31862" s="3" t="s">
        <v>564</v>
      </c>
      <c r="C31862" s="16" t="n">
        <f aca="false">IF(C31851=0,0,C31818/C31851*MAX(0,MIN(C31851,$C$31753-SUM($C$31788:$C$31797)-C31840)))</f>
        <v>304.59375</v>
      </c>
    </row>
    <row r="31863" customFormat="false" ht="15" hidden="false" customHeight="false" outlineLevel="0" collapsed="false">
      <c r="A31863" s="3" t="s">
        <v>565</v>
      </c>
      <c r="C31863" s="16" t="n">
        <f aca="false">IF(C31852=0,0,C31819/C31852*MAX(0,MIN(C31852,$C$31753-SUM($C$31788:$C$31797)-C31841)))</f>
        <v>79.67320025</v>
      </c>
    </row>
    <row r="31864" customFormat="false" ht="15" hidden="false" customHeight="false" outlineLevel="0" collapsed="false">
      <c r="A31864" s="24" t="s">
        <v>575</v>
      </c>
      <c r="B31864" s="25"/>
      <c r="C31864" s="25"/>
      <c r="D31864" s="25"/>
      <c r="E31864" s="25"/>
      <c r="F31864" s="25"/>
      <c r="G31864" s="25"/>
      <c r="H31864" s="25"/>
      <c r="I31864" s="25"/>
      <c r="J31864" s="25"/>
      <c r="K31864" s="25"/>
    </row>
    <row r="31865" customFormat="false" ht="15" hidden="false" customHeight="false" outlineLevel="0" collapsed="false">
      <c r="A31865" s="2" t="s">
        <v>556</v>
      </c>
      <c r="C31865" s="17" t="n">
        <f aca="false">C31788+C31854</f>
        <v>405.0585</v>
      </c>
    </row>
    <row r="31866" customFormat="false" ht="15" hidden="false" customHeight="false" outlineLevel="0" collapsed="false">
      <c r="A31866" s="2" t="s">
        <v>557</v>
      </c>
      <c r="C31866" s="17" t="n">
        <f aca="false">C31789+C31855</f>
        <v>91.30725</v>
      </c>
    </row>
    <row r="31867" customFormat="false" ht="15" hidden="false" customHeight="false" outlineLevel="0" collapsed="false">
      <c r="A31867" s="2" t="s">
        <v>558</v>
      </c>
      <c r="C31867" s="17" t="n">
        <f aca="false">C31790+C31856</f>
        <v>58.3715961</v>
      </c>
    </row>
    <row r="31868" customFormat="false" ht="15" hidden="false" customHeight="false" outlineLevel="0" collapsed="false">
      <c r="A31868" s="2" t="s">
        <v>559</v>
      </c>
      <c r="C31868" s="17" t="n">
        <f aca="false">C31791+C31857</f>
        <v>0</v>
      </c>
    </row>
    <row r="31869" customFormat="false" ht="15" hidden="false" customHeight="false" outlineLevel="0" collapsed="false">
      <c r="A31869" s="2" t="s">
        <v>560</v>
      </c>
      <c r="C31869" s="17" t="n">
        <f aca="false">C31792+C31858</f>
        <v>454.44375</v>
      </c>
    </row>
    <row r="31870" customFormat="false" ht="15" hidden="false" customHeight="false" outlineLevel="0" collapsed="false">
      <c r="A31870" s="2" t="s">
        <v>561</v>
      </c>
      <c r="C31870" s="17" t="n">
        <f aca="false">C31793+C31859</f>
        <v>357.2625</v>
      </c>
    </row>
    <row r="31871" customFormat="false" ht="15" hidden="false" customHeight="false" outlineLevel="0" collapsed="false">
      <c r="A31871" s="2" t="s">
        <v>562</v>
      </c>
      <c r="C31871" s="17" t="n">
        <f aca="false">C31794+C31860</f>
        <v>562.203125</v>
      </c>
    </row>
    <row r="31872" customFormat="false" ht="15" hidden="false" customHeight="false" outlineLevel="0" collapsed="false">
      <c r="A31872" s="2" t="s">
        <v>563</v>
      </c>
      <c r="C31872" s="17" t="n">
        <f aca="false">C31795+C31861</f>
        <v>353.98125</v>
      </c>
    </row>
    <row r="31873" customFormat="false" ht="15" hidden="false" customHeight="false" outlineLevel="0" collapsed="false">
      <c r="A31873" s="2" t="s">
        <v>564</v>
      </c>
      <c r="C31873" s="17" t="n">
        <f aca="false">C31796+C31862</f>
        <v>304.59375</v>
      </c>
    </row>
    <row r="31874" customFormat="false" ht="15" hidden="false" customHeight="false" outlineLevel="0" collapsed="false">
      <c r="A31874" s="2" t="s">
        <v>565</v>
      </c>
      <c r="C31874" s="17" t="n">
        <f aca="false">C31797+C31863</f>
        <v>79.67320025</v>
      </c>
    </row>
    <row r="31875" customFormat="false" ht="15" hidden="false" customHeight="false" outlineLevel="0" collapsed="false">
      <c r="A31875" s="24" t="s">
        <v>576</v>
      </c>
      <c r="B31875" s="25"/>
      <c r="C31875" s="25"/>
      <c r="D31875" s="25"/>
      <c r="E31875" s="25"/>
      <c r="F31875" s="25"/>
      <c r="G31875" s="25"/>
      <c r="H31875" s="25"/>
      <c r="I31875" s="25"/>
      <c r="J31875" s="25"/>
      <c r="K31875" s="25"/>
    </row>
    <row r="31876" customFormat="false" ht="15" hidden="false" customHeight="false" outlineLevel="0" collapsed="false">
      <c r="A31876" s="3" t="s">
        <v>556</v>
      </c>
      <c r="C31876" s="22" t="n">
        <f aca="false">IF(C31755=0,1,C31865/C31755)</f>
        <v>1</v>
      </c>
    </row>
    <row r="31877" customFormat="false" ht="15" hidden="false" customHeight="false" outlineLevel="0" collapsed="false">
      <c r="A31877" s="3" t="s">
        <v>557</v>
      </c>
      <c r="C31877" s="22" t="n">
        <f aca="false">IF(C31756=0,1,C31866/C31756)</f>
        <v>1</v>
      </c>
    </row>
    <row r="31878" customFormat="false" ht="15" hidden="false" customHeight="false" outlineLevel="0" collapsed="false">
      <c r="A31878" s="3" t="s">
        <v>558</v>
      </c>
      <c r="C31878" s="22" t="n">
        <f aca="false">IF(C31757=0,1,C31867/C31757)</f>
        <v>1</v>
      </c>
    </row>
    <row r="31879" customFormat="false" ht="15" hidden="false" customHeight="false" outlineLevel="0" collapsed="false">
      <c r="A31879" s="3" t="s">
        <v>559</v>
      </c>
      <c r="C31879" s="22" t="n">
        <f aca="false">IF(C31758=0,1,C31868/C31758)</f>
        <v>1</v>
      </c>
    </row>
    <row r="31880" customFormat="false" ht="15" hidden="false" customHeight="false" outlineLevel="0" collapsed="false">
      <c r="A31880" s="3" t="s">
        <v>560</v>
      </c>
      <c r="C31880" s="22" t="n">
        <f aca="false">IF(C31759=0,1,C31869/C31759)</f>
        <v>1</v>
      </c>
    </row>
    <row r="31881" customFormat="false" ht="15" hidden="false" customHeight="false" outlineLevel="0" collapsed="false">
      <c r="A31881" s="3" t="s">
        <v>561</v>
      </c>
      <c r="C31881" s="22" t="n">
        <f aca="false">IF(C31760=0,1,C31870/C31760)</f>
        <v>1</v>
      </c>
    </row>
    <row r="31882" customFormat="false" ht="15" hidden="false" customHeight="false" outlineLevel="0" collapsed="false">
      <c r="A31882" s="3" t="s">
        <v>562</v>
      </c>
      <c r="C31882" s="22" t="n">
        <f aca="false">IF(C31761=0,1,C31871/C31761)</f>
        <v>1</v>
      </c>
    </row>
    <row r="31883" customFormat="false" ht="15" hidden="false" customHeight="false" outlineLevel="0" collapsed="false">
      <c r="A31883" s="3" t="s">
        <v>563</v>
      </c>
      <c r="C31883" s="22" t="n">
        <f aca="false">IF(C31762=0,1,C31872/C31762)</f>
        <v>1</v>
      </c>
    </row>
    <row r="31884" customFormat="false" ht="15" hidden="false" customHeight="false" outlineLevel="0" collapsed="false">
      <c r="A31884" s="3" t="s">
        <v>564</v>
      </c>
      <c r="C31884" s="22" t="n">
        <f aca="false">IF(C31763=0,1,C31873/C31763)</f>
        <v>1</v>
      </c>
    </row>
    <row r="31885" customFormat="false" ht="15" hidden="false" customHeight="false" outlineLevel="0" collapsed="false">
      <c r="A31885" s="3" t="s">
        <v>565</v>
      </c>
      <c r="C31885" s="22" t="n">
        <f aca="false">IF(C31764=0,1,C31874/C31764)</f>
        <v>1</v>
      </c>
    </row>
    <row r="31886" customFormat="false" ht="15" hidden="false" customHeight="false" outlineLevel="0" collapsed="false">
      <c r="A31886" s="24" t="s">
        <v>577</v>
      </c>
      <c r="B31886" s="25"/>
      <c r="C31886" s="25"/>
      <c r="D31886" s="25"/>
      <c r="E31886" s="25"/>
      <c r="F31886" s="25"/>
      <c r="G31886" s="25"/>
      <c r="H31886" s="25"/>
      <c r="I31886" s="25"/>
      <c r="J31886" s="25"/>
      <c r="K31886" s="25"/>
    </row>
    <row r="31887" customFormat="false" ht="15" hidden="false" customHeight="false" outlineLevel="0" collapsed="false">
      <c r="A31887" s="3" t="s">
        <v>556</v>
      </c>
      <c r="C31887" s="16" t="n">
        <f aca="false">C31755-C31865</f>
        <v>0</v>
      </c>
    </row>
    <row r="31888" customFormat="false" ht="15" hidden="false" customHeight="false" outlineLevel="0" collapsed="false">
      <c r="A31888" s="3" t="s">
        <v>557</v>
      </c>
      <c r="C31888" s="16" t="n">
        <f aca="false">C31756-C31866</f>
        <v>0</v>
      </c>
    </row>
    <row r="31889" customFormat="false" ht="15" hidden="false" customHeight="false" outlineLevel="0" collapsed="false">
      <c r="A31889" s="3" t="s">
        <v>558</v>
      </c>
      <c r="C31889" s="16" t="n">
        <f aca="false">C31757-C31867</f>
        <v>0</v>
      </c>
    </row>
    <row r="31890" customFormat="false" ht="15" hidden="false" customHeight="false" outlineLevel="0" collapsed="false">
      <c r="A31890" s="3" t="s">
        <v>559</v>
      </c>
      <c r="C31890" s="16" t="n">
        <f aca="false">C31758-C31868</f>
        <v>0</v>
      </c>
    </row>
    <row r="31891" customFormat="false" ht="15" hidden="false" customHeight="false" outlineLevel="0" collapsed="false">
      <c r="A31891" s="3" t="s">
        <v>560</v>
      </c>
      <c r="C31891" s="16" t="n">
        <f aca="false">C31759-C31869</f>
        <v>0</v>
      </c>
    </row>
    <row r="31892" customFormat="false" ht="15" hidden="false" customHeight="false" outlineLevel="0" collapsed="false">
      <c r="A31892" s="3" t="s">
        <v>561</v>
      </c>
      <c r="C31892" s="16" t="n">
        <f aca="false">C31760-C31870</f>
        <v>0</v>
      </c>
    </row>
    <row r="31893" customFormat="false" ht="15" hidden="false" customHeight="false" outlineLevel="0" collapsed="false">
      <c r="A31893" s="3" t="s">
        <v>562</v>
      </c>
      <c r="C31893" s="16" t="n">
        <f aca="false">C31761-C31871</f>
        <v>0</v>
      </c>
    </row>
    <row r="31894" customFormat="false" ht="15" hidden="false" customHeight="false" outlineLevel="0" collapsed="false">
      <c r="A31894" s="3" t="s">
        <v>563</v>
      </c>
      <c r="C31894" s="16" t="n">
        <f aca="false">C31762-C31872</f>
        <v>0</v>
      </c>
    </row>
    <row r="31895" customFormat="false" ht="15" hidden="false" customHeight="false" outlineLevel="0" collapsed="false">
      <c r="A31895" s="3" t="s">
        <v>564</v>
      </c>
      <c r="C31895" s="16" t="n">
        <f aca="false">C31763-C31873</f>
        <v>0</v>
      </c>
    </row>
    <row r="31896" customFormat="false" ht="15" hidden="false" customHeight="false" outlineLevel="0" collapsed="false">
      <c r="A31896" s="3" t="s">
        <v>565</v>
      </c>
      <c r="C31896" s="16" t="n">
        <f aca="false">C31764-C31874</f>
        <v>0</v>
      </c>
    </row>
    <row r="31897" customFormat="false" ht="15" hidden="false" customHeight="false" outlineLevel="0" collapsed="false">
      <c r="A31897" s="24" t="s">
        <v>578</v>
      </c>
      <c r="B31897" s="25"/>
      <c r="C31897" s="25"/>
      <c r="D31897" s="25"/>
      <c r="E31897" s="25"/>
      <c r="F31897" s="25"/>
      <c r="G31897" s="25"/>
      <c r="H31897" s="25"/>
      <c r="I31897" s="25"/>
      <c r="J31897" s="25"/>
      <c r="K31897" s="25"/>
    </row>
    <row r="31898" customFormat="false" ht="15" hidden="false" customHeight="false" outlineLevel="0" collapsed="false">
      <c r="A31898" s="3" t="s">
        <v>556</v>
      </c>
      <c r="C31898" s="22" t="n">
        <f aca="false">IF(C31755=0,0,C31887/C31755)</f>
        <v>0</v>
      </c>
    </row>
    <row r="31899" customFormat="false" ht="15" hidden="false" customHeight="false" outlineLevel="0" collapsed="false">
      <c r="A31899" s="3" t="s">
        <v>557</v>
      </c>
      <c r="C31899" s="22" t="n">
        <f aca="false">IF(C31756=0,0,C31888/C31756)</f>
        <v>0</v>
      </c>
    </row>
    <row r="31900" customFormat="false" ht="15" hidden="false" customHeight="false" outlineLevel="0" collapsed="false">
      <c r="A31900" s="3" t="s">
        <v>558</v>
      </c>
      <c r="C31900" s="22" t="n">
        <f aca="false">IF(C31757=0,0,C31889/C31757)</f>
        <v>0</v>
      </c>
    </row>
    <row r="31901" customFormat="false" ht="15" hidden="false" customHeight="false" outlineLevel="0" collapsed="false">
      <c r="A31901" s="3" t="s">
        <v>559</v>
      </c>
      <c r="C31901" s="22" t="n">
        <f aca="false">IF(C31758=0,0,C31890/C31758)</f>
        <v>0</v>
      </c>
    </row>
    <row r="31902" customFormat="false" ht="15" hidden="false" customHeight="false" outlineLevel="0" collapsed="false">
      <c r="A31902" s="3" t="s">
        <v>560</v>
      </c>
      <c r="C31902" s="22" t="n">
        <f aca="false">IF(C31759=0,0,C31891/C31759)</f>
        <v>0</v>
      </c>
    </row>
    <row r="31903" customFormat="false" ht="15" hidden="false" customHeight="false" outlineLevel="0" collapsed="false">
      <c r="A31903" s="3" t="s">
        <v>561</v>
      </c>
      <c r="C31903" s="22" t="n">
        <f aca="false">IF(C31760=0,0,C31892/C31760)</f>
        <v>0</v>
      </c>
    </row>
    <row r="31904" customFormat="false" ht="15" hidden="false" customHeight="false" outlineLevel="0" collapsed="false">
      <c r="A31904" s="3" t="s">
        <v>562</v>
      </c>
      <c r="C31904" s="22" t="n">
        <f aca="false">IF(C31761=0,0,C31893/C31761)</f>
        <v>0</v>
      </c>
    </row>
    <row r="31905" customFormat="false" ht="15" hidden="false" customHeight="false" outlineLevel="0" collapsed="false">
      <c r="A31905" s="3" t="s">
        <v>563</v>
      </c>
      <c r="C31905" s="22" t="n">
        <f aca="false">IF(C31762=0,0,C31894/C31762)</f>
        <v>0</v>
      </c>
    </row>
    <row r="31906" customFormat="false" ht="15" hidden="false" customHeight="false" outlineLevel="0" collapsed="false">
      <c r="A31906" s="3" t="s">
        <v>564</v>
      </c>
      <c r="C31906" s="22" t="n">
        <f aca="false">IF(C31763=0,0,C31895/C31763)</f>
        <v>0</v>
      </c>
    </row>
    <row r="31907" customFormat="false" ht="15" hidden="false" customHeight="false" outlineLevel="0" collapsed="false">
      <c r="A31907" s="3" t="s">
        <v>565</v>
      </c>
      <c r="C31907" s="22" t="n">
        <f aca="false">IF(C31764=0,0,C31896/C31764)</f>
        <v>0</v>
      </c>
    </row>
    <row r="31908" customFormat="false" ht="15" hidden="false" customHeight="false" outlineLevel="0" collapsed="false">
      <c r="A31908" s="2" t="s">
        <v>579</v>
      </c>
      <c r="C31908" s="17" t="n">
        <f aca="false">MAX(0,$C$31753-SUM($C$31788:$C$31797)-SUM($C$31810:$C$31819))</f>
        <v>1163.864440506</v>
      </c>
    </row>
    <row r="31909" customFormat="false" ht="15" hidden="false" customHeight="false" outlineLevel="0" collapsed="false">
      <c r="A31909" s="3" t="s">
        <v>580</v>
      </c>
      <c r="C31909" s="16" t="n">
        <f aca="false">SUM($C$31865:$C$31874)+C31908+C31752-C31751</f>
        <v>0</v>
      </c>
    </row>
    <row r="31911" customFormat="false" ht="15" hidden="false" customHeight="false" outlineLevel="0" collapsed="false">
      <c r="A31911" s="24" t="s">
        <v>583</v>
      </c>
      <c r="B31911" s="25"/>
      <c r="C31911" s="25"/>
      <c r="D31911" s="25"/>
      <c r="E31911" s="25"/>
      <c r="F31911" s="25"/>
      <c r="G31911" s="25"/>
      <c r="H31911" s="25"/>
      <c r="I31911" s="25"/>
      <c r="J31911" s="25"/>
      <c r="K31911" s="25"/>
    </row>
    <row r="31912" customFormat="false" ht="15" hidden="false" customHeight="false" outlineLevel="0" collapsed="false">
      <c r="A31912" s="3" t="s">
        <v>584</v>
      </c>
      <c r="C31912" s="27" t="n">
        <f aca="false">Assumptions!$C$34</f>
        <v>1</v>
      </c>
    </row>
    <row r="31913" customFormat="false" ht="15" hidden="false" customHeight="false" outlineLevel="0" collapsed="false">
      <c r="A31913" s="3" t="s">
        <v>585</v>
      </c>
      <c r="C31913" s="29" t="n">
        <f aca="false">Assumptions!$C$35</f>
        <v>100</v>
      </c>
    </row>
    <row r="31914" customFormat="false" ht="15" hidden="false" customHeight="false" outlineLevel="0" collapsed="false">
      <c r="A31914" s="3" t="s">
        <v>586</v>
      </c>
      <c r="C31914" s="40" t="n">
        <f aca="false">Assumptions!$C$36</f>
        <v>98</v>
      </c>
    </row>
    <row r="31915" customFormat="false" ht="15" hidden="false" customHeight="false" outlineLevel="0" collapsed="false">
      <c r="A31915" s="3" t="s">
        <v>587</v>
      </c>
      <c r="C31915" s="16" t="n">
        <f aca="false">C31913*C31914/100*(1+Assumptions!$C$37)</f>
        <v>98.49</v>
      </c>
    </row>
    <row r="31916" customFormat="false" ht="15" hidden="false" customHeight="false" outlineLevel="0" collapsed="false">
      <c r="A31916" s="3" t="s">
        <v>588</v>
      </c>
      <c r="C31916" s="27" t="n">
        <f aca="false">Assumptions!$C$38</f>
        <v>3</v>
      </c>
    </row>
    <row r="31917" customFormat="false" ht="15" hidden="false" customHeight="false" outlineLevel="0" collapsed="false">
      <c r="A31917" s="3" t="s">
        <v>589</v>
      </c>
      <c r="C31917" s="21" t="n">
        <f aca="false">IF(C31744=1,SUMPRODUCT($G$31680:$K$31680,$G$31454:$K$31454),0)</f>
        <v>0</v>
      </c>
    </row>
    <row r="31918" customFormat="false" ht="15" hidden="false" customHeight="false" outlineLevel="0" collapsed="false">
      <c r="A31918" s="3" t="s">
        <v>590</v>
      </c>
      <c r="C31918" s="22" t="n">
        <f aca="false">IFERROR(C31913/CHOOSE(C31912,SUMPRODUCT($G$31743:$K$31743,$G$31500:$K$31500),SUMPRODUCT($G$31743:$K$31743,$G$31513:$K$31513),SUMPRODUCT($G$31743:$K$31743,$G$31526:$K$31526),SUMPRODUCT($G$31743:$K$31743,$G$31539:$K$31539),SUMPRODUCT($G$31743:$K$31743,$G$31552:$K$31552),SUMPRODUCT($G$31743:$K$31743,$G$31565:$K$31565),SUMPRODUCT($G$31743:$K$31743,$G$31578:$K$31578),SUMPRODUCT($G$31743:$K$31743,$G$31591:$K$31591),SUMPRODUCT($G$31743:$K$31743,$G$31604:$K$31604),SUMPRODUCT($G$31743:$K$31743,$G$31617:$K$31617)),0)</f>
        <v>0.252525252525253</v>
      </c>
    </row>
    <row r="31919" customFormat="false" ht="15" hidden="false" customHeight="false" outlineLevel="0" collapsed="false">
      <c r="A31919" s="3" t="s">
        <v>591</v>
      </c>
      <c r="C31919" s="16" t="n">
        <f aca="false">CHOOSE(C31912,C31865,C31866,C31867,C31868,C31869,C31870,C31871,C31872,C31873,C31874)*C31918</f>
        <v>102.2875</v>
      </c>
    </row>
    <row r="31920" customFormat="false" ht="15" hidden="false" customHeight="false" outlineLevel="0" collapsed="false">
      <c r="A31920" s="3" t="s">
        <v>592</v>
      </c>
      <c r="C31920" s="22" t="n">
        <f aca="false">CHOOSE(C31912,C31876,C31877,C31878,C31879,C31880,C31881,C31882,C31883,C31884,C31885)</f>
        <v>1</v>
      </c>
    </row>
    <row r="31921" customFormat="false" ht="15" hidden="false" customHeight="false" outlineLevel="0" collapsed="false">
      <c r="A31921" s="3" t="s">
        <v>593</v>
      </c>
      <c r="C31921" s="21" t="n">
        <f aca="false">IF(C31744=1,C31917,C31916)</f>
        <v>3</v>
      </c>
    </row>
    <row r="31922" customFormat="false" ht="15" hidden="false" customHeight="false" outlineLevel="0" collapsed="false">
      <c r="A31922" s="3" t="s">
        <v>594</v>
      </c>
      <c r="C31922" s="35" t="n">
        <f aca="false">CHOOSE($C$31446,Assumptions!$C$91,Assumptions!$C$110,Assumptions!$C$129)</f>
        <v>100</v>
      </c>
    </row>
    <row r="31923" customFormat="false" ht="15" hidden="false" customHeight="false" outlineLevel="0" collapsed="false">
      <c r="A31923" s="3" t="s">
        <v>595</v>
      </c>
      <c r="C31923" s="16" t="n">
        <f aca="false">INDEX($G$31463:$K$31463,C31916)*CHOOSE($C$31446,Assumptions!$C$90,Assumptions!$C$109,Assumptions!$C$128)+MAX(0,INDEX($G$31677:$K$31677,C31916))</f>
        <v>3369.2242946436</v>
      </c>
    </row>
    <row r="31924" customFormat="false" ht="15" hidden="false" customHeight="false" outlineLevel="0" collapsed="false">
      <c r="A31924" s="24" t="s">
        <v>596</v>
      </c>
      <c r="B31924" s="25"/>
      <c r="C31924" s="25"/>
      <c r="D31924" s="25"/>
      <c r="E31924" s="25"/>
      <c r="F31924" s="25"/>
      <c r="G31924" s="25"/>
      <c r="H31924" s="25"/>
      <c r="I31924" s="25"/>
      <c r="J31924" s="25"/>
      <c r="K31924" s="25"/>
    </row>
    <row r="31925" customFormat="false" ht="15" hidden="false" customHeight="false" outlineLevel="0" collapsed="false">
      <c r="A31925" s="3" t="s">
        <v>556</v>
      </c>
      <c r="C31925" s="16" t="n">
        <f aca="false">INDEX($G$31500:$K$31500,C31916)</f>
        <v>388</v>
      </c>
    </row>
    <row r="31926" customFormat="false" ht="15" hidden="false" customHeight="false" outlineLevel="0" collapsed="false">
      <c r="A31926" s="3" t="s">
        <v>557</v>
      </c>
      <c r="C31926" s="16" t="n">
        <f aca="false">INDEX($G$31513:$K$31513,C31916)</f>
        <v>90</v>
      </c>
    </row>
    <row r="31927" customFormat="false" ht="15" hidden="false" customHeight="false" outlineLevel="0" collapsed="false">
      <c r="A31927" s="3" t="s">
        <v>558</v>
      </c>
      <c r="C31927" s="16" t="n">
        <f aca="false">INDEX($G$31526:$K$31526,C31916)</f>
        <v>57.324</v>
      </c>
    </row>
    <row r="31928" customFormat="false" ht="15" hidden="false" customHeight="false" outlineLevel="0" collapsed="false">
      <c r="A31928" s="3" t="s">
        <v>559</v>
      </c>
      <c r="C31928" s="16" t="n">
        <f aca="false">INDEX($G$31539:$K$31539,C31916)</f>
        <v>66.796942182056</v>
      </c>
    </row>
    <row r="31929" customFormat="false" ht="15" hidden="false" customHeight="false" outlineLevel="0" collapsed="false">
      <c r="A31929" s="3" t="s">
        <v>560</v>
      </c>
      <c r="C31929" s="16" t="n">
        <f aca="false">INDEX($G$31552:$K$31552,C31916)</f>
        <v>407.7221513738</v>
      </c>
    </row>
    <row r="31930" customFormat="false" ht="15" hidden="false" customHeight="false" outlineLevel="0" collapsed="false">
      <c r="A31930" s="3" t="s">
        <v>561</v>
      </c>
      <c r="C31930" s="16" t="n">
        <f aca="false">INDEX($G$31565:$K$31565,C31916)</f>
        <v>350</v>
      </c>
    </row>
    <row r="31931" customFormat="false" ht="15" hidden="false" customHeight="false" outlineLevel="0" collapsed="false">
      <c r="A31931" s="3" t="s">
        <v>562</v>
      </c>
      <c r="C31931" s="16" t="n">
        <f aca="false">INDEX($G$31578:$K$31578,C31916)</f>
        <v>550</v>
      </c>
    </row>
    <row r="31932" customFormat="false" ht="15" hidden="false" customHeight="false" outlineLevel="0" collapsed="false">
      <c r="A31932" s="3" t="s">
        <v>563</v>
      </c>
      <c r="C31932" s="16" t="n">
        <f aca="false">INDEX($G$31591:$K$31591,C31916)</f>
        <v>350</v>
      </c>
    </row>
    <row r="31933" customFormat="false" ht="15" hidden="false" customHeight="false" outlineLevel="0" collapsed="false">
      <c r="A31933" s="3" t="s">
        <v>564</v>
      </c>
      <c r="C31933" s="16" t="n">
        <f aca="false">INDEX($G$31604:$K$31604,C31916)</f>
        <v>300</v>
      </c>
    </row>
    <row r="31934" customFormat="false" ht="15" hidden="false" customHeight="false" outlineLevel="0" collapsed="false">
      <c r="A31934" s="3" t="s">
        <v>565</v>
      </c>
      <c r="C31934" s="16" t="n">
        <f aca="false">INDEX($G$31617:$K$31617,C31916)</f>
        <v>78.61</v>
      </c>
    </row>
    <row r="31935" customFormat="false" ht="15" hidden="false" customHeight="false" outlineLevel="0" collapsed="false">
      <c r="A31935" s="24" t="s">
        <v>566</v>
      </c>
      <c r="B31935" s="25"/>
      <c r="C31935" s="25"/>
      <c r="D31935" s="25"/>
      <c r="E31935" s="25"/>
      <c r="F31935" s="25"/>
      <c r="G31935" s="25"/>
      <c r="H31935" s="25"/>
      <c r="I31935" s="25"/>
      <c r="J31935" s="25"/>
      <c r="K31935" s="25"/>
    </row>
    <row r="31936" customFormat="false" ht="15" hidden="false" customHeight="false" outlineLevel="0" collapsed="false">
      <c r="A31936" s="3" t="s">
        <v>556</v>
      </c>
      <c r="C31936" s="27" t="n">
        <f aca="false">Assumptions!$M$57</f>
        <v>1</v>
      </c>
    </row>
    <row r="31937" customFormat="false" ht="15" hidden="false" customHeight="false" outlineLevel="0" collapsed="false">
      <c r="A31937" s="3" t="s">
        <v>557</v>
      </c>
      <c r="C31937" s="27" t="n">
        <f aca="false">Assumptions!$M$58</f>
        <v>1</v>
      </c>
    </row>
    <row r="31938" customFormat="false" ht="15" hidden="false" customHeight="false" outlineLevel="0" collapsed="false">
      <c r="A31938" s="3" t="s">
        <v>558</v>
      </c>
      <c r="C31938" s="27" t="n">
        <f aca="false">Assumptions!$M$59</f>
        <v>1</v>
      </c>
    </row>
    <row r="31939" customFormat="false" ht="15" hidden="false" customHeight="false" outlineLevel="0" collapsed="false">
      <c r="A31939" s="3" t="s">
        <v>559</v>
      </c>
      <c r="C31939" s="27" t="n">
        <f aca="false">Assumptions!$M$60</f>
        <v>2</v>
      </c>
    </row>
    <row r="31940" customFormat="false" ht="15" hidden="false" customHeight="false" outlineLevel="0" collapsed="false">
      <c r="A31940" s="3" t="s">
        <v>560</v>
      </c>
      <c r="C31940" s="27" t="n">
        <f aca="false">Assumptions!$M$61</f>
        <v>2</v>
      </c>
    </row>
    <row r="31941" customFormat="false" ht="15" hidden="false" customHeight="false" outlineLevel="0" collapsed="false">
      <c r="A31941" s="3" t="s">
        <v>561</v>
      </c>
      <c r="C31941" s="27" t="n">
        <f aca="false">Assumptions!$M$62</f>
        <v>2</v>
      </c>
    </row>
    <row r="31942" customFormat="false" ht="15" hidden="false" customHeight="false" outlineLevel="0" collapsed="false">
      <c r="A31942" s="3" t="s">
        <v>562</v>
      </c>
      <c r="C31942" s="27" t="n">
        <f aca="false">Assumptions!$M$63</f>
        <v>2</v>
      </c>
    </row>
    <row r="31943" customFormat="false" ht="15" hidden="false" customHeight="false" outlineLevel="0" collapsed="false">
      <c r="A31943" s="3" t="s">
        <v>563</v>
      </c>
      <c r="C31943" s="27" t="n">
        <f aca="false">Assumptions!$M$64</f>
        <v>2</v>
      </c>
    </row>
    <row r="31944" customFormat="false" ht="15" hidden="false" customHeight="false" outlineLevel="0" collapsed="false">
      <c r="A31944" s="3" t="s">
        <v>564</v>
      </c>
      <c r="C31944" s="27" t="n">
        <f aca="false">Assumptions!$M$65</f>
        <v>2</v>
      </c>
    </row>
    <row r="31945" customFormat="false" ht="15" hidden="false" customHeight="false" outlineLevel="0" collapsed="false">
      <c r="A31945" s="3" t="s">
        <v>565</v>
      </c>
      <c r="C31945" s="27" t="n">
        <f aca="false">Assumptions!$M$66</f>
        <v>3</v>
      </c>
    </row>
    <row r="31946" customFormat="false" ht="15" hidden="false" customHeight="false" outlineLevel="0" collapsed="false">
      <c r="A31946" s="24" t="s">
        <v>567</v>
      </c>
      <c r="B31946" s="25"/>
      <c r="C31946" s="25"/>
      <c r="D31946" s="25"/>
      <c r="E31946" s="25"/>
      <c r="F31946" s="25"/>
      <c r="G31946" s="25"/>
      <c r="H31946" s="25"/>
      <c r="I31946" s="25"/>
      <c r="J31946" s="25"/>
      <c r="K31946" s="25"/>
    </row>
    <row r="31947" customFormat="false" ht="15" hidden="false" customHeight="false" outlineLevel="0" collapsed="false">
      <c r="A31947" s="3" t="s">
        <v>556</v>
      </c>
      <c r="C31947" s="33" t="n">
        <f aca="false">Assumptions!$Q$57</f>
        <v>0.3</v>
      </c>
    </row>
    <row r="31948" customFormat="false" ht="15" hidden="false" customHeight="false" outlineLevel="0" collapsed="false">
      <c r="A31948" s="3" t="s">
        <v>557</v>
      </c>
      <c r="C31948" s="33" t="n">
        <f aca="false">Assumptions!$Q$58</f>
        <v>0.033</v>
      </c>
    </row>
    <row r="31949" customFormat="false" ht="15" hidden="false" customHeight="false" outlineLevel="0" collapsed="false">
      <c r="A31949" s="3" t="s">
        <v>558</v>
      </c>
      <c r="C31949" s="33" t="n">
        <f aca="false">Assumptions!$Q$59</f>
        <v>0.021</v>
      </c>
    </row>
    <row r="31950" customFormat="false" ht="15" hidden="false" customHeight="false" outlineLevel="0" collapsed="false">
      <c r="A31950" s="3" t="s">
        <v>559</v>
      </c>
      <c r="C31950" s="33" t="n">
        <f aca="false">Assumptions!$Q$60</f>
        <v>0</v>
      </c>
    </row>
    <row r="31951" customFormat="false" ht="15" hidden="false" customHeight="false" outlineLevel="0" collapsed="false">
      <c r="A31951" s="3" t="s">
        <v>560</v>
      </c>
      <c r="C31951" s="33" t="n">
        <f aca="false">Assumptions!$Q$61</f>
        <v>0</v>
      </c>
    </row>
    <row r="31952" customFormat="false" ht="15" hidden="false" customHeight="false" outlineLevel="0" collapsed="false">
      <c r="A31952" s="3" t="s">
        <v>561</v>
      </c>
      <c r="C31952" s="33" t="n">
        <f aca="false">Assumptions!$Q$62</f>
        <v>0</v>
      </c>
    </row>
    <row r="31953" customFormat="false" ht="15" hidden="false" customHeight="false" outlineLevel="0" collapsed="false">
      <c r="A31953" s="3" t="s">
        <v>562</v>
      </c>
      <c r="C31953" s="33" t="n">
        <f aca="false">Assumptions!$Q$63</f>
        <v>0</v>
      </c>
    </row>
    <row r="31954" customFormat="false" ht="15" hidden="false" customHeight="false" outlineLevel="0" collapsed="false">
      <c r="A31954" s="3" t="s">
        <v>563</v>
      </c>
      <c r="C31954" s="33" t="n">
        <f aca="false">Assumptions!$Q$64</f>
        <v>0</v>
      </c>
    </row>
    <row r="31955" customFormat="false" ht="15" hidden="false" customHeight="false" outlineLevel="0" collapsed="false">
      <c r="A31955" s="3" t="s">
        <v>564</v>
      </c>
      <c r="C31955" s="33" t="n">
        <f aca="false">Assumptions!$Q$65</f>
        <v>0</v>
      </c>
    </row>
    <row r="31956" customFormat="false" ht="15" hidden="false" customHeight="false" outlineLevel="0" collapsed="false">
      <c r="A31956" s="3" t="s">
        <v>565</v>
      </c>
      <c r="C31956" s="33" t="n">
        <f aca="false">Assumptions!$Q$66</f>
        <v>0</v>
      </c>
    </row>
    <row r="31957" customFormat="false" ht="15" hidden="false" customHeight="false" outlineLevel="0" collapsed="false">
      <c r="A31957" s="24" t="s">
        <v>568</v>
      </c>
      <c r="B31957" s="25"/>
      <c r="C31957" s="25"/>
      <c r="D31957" s="25"/>
      <c r="E31957" s="25"/>
      <c r="F31957" s="25"/>
      <c r="G31957" s="25"/>
      <c r="H31957" s="25"/>
      <c r="I31957" s="25"/>
      <c r="J31957" s="25"/>
      <c r="K31957" s="25"/>
    </row>
    <row r="31958" customFormat="false" ht="15" hidden="false" customHeight="false" outlineLevel="0" collapsed="false">
      <c r="A31958" s="3" t="s">
        <v>556</v>
      </c>
      <c r="C31958" s="16" t="n">
        <f aca="false">IF(C31947&gt;0,MIN(C31925,C31947*$C$31923),0)</f>
        <v>388</v>
      </c>
    </row>
    <row r="31959" customFormat="false" ht="15" hidden="false" customHeight="false" outlineLevel="0" collapsed="false">
      <c r="A31959" s="3" t="s">
        <v>557</v>
      </c>
      <c r="C31959" s="16" t="n">
        <f aca="false">IF(C31948&gt;0,MIN(C31926,C31948*$C$31923),0)</f>
        <v>90</v>
      </c>
    </row>
    <row r="31960" customFormat="false" ht="15" hidden="false" customHeight="false" outlineLevel="0" collapsed="false">
      <c r="A31960" s="3" t="s">
        <v>558</v>
      </c>
      <c r="C31960" s="16" t="n">
        <f aca="false">IF(C31949&gt;0,MIN(C31927,C31949*$C$31923),0)</f>
        <v>57.324</v>
      </c>
    </row>
    <row r="31961" customFormat="false" ht="15" hidden="false" customHeight="false" outlineLevel="0" collapsed="false">
      <c r="A31961" s="3" t="s">
        <v>559</v>
      </c>
      <c r="C31961" s="16" t="n">
        <f aca="false">IF(C31950&gt;0,MIN(C31928,C31950*$C$31923),0)</f>
        <v>0</v>
      </c>
    </row>
    <row r="31962" customFormat="false" ht="15" hidden="false" customHeight="false" outlineLevel="0" collapsed="false">
      <c r="A31962" s="3" t="s">
        <v>560</v>
      </c>
      <c r="C31962" s="16" t="n">
        <f aca="false">IF(C31951&gt;0,MIN(C31929,C31951*$C$31923),0)</f>
        <v>0</v>
      </c>
    </row>
    <row r="31963" customFormat="false" ht="15" hidden="false" customHeight="false" outlineLevel="0" collapsed="false">
      <c r="A31963" s="3" t="s">
        <v>561</v>
      </c>
      <c r="C31963" s="16" t="n">
        <f aca="false">IF(C31952&gt;0,MIN(C31930,C31952*$C$31923),0)</f>
        <v>0</v>
      </c>
    </row>
    <row r="31964" customFormat="false" ht="15" hidden="false" customHeight="false" outlineLevel="0" collapsed="false">
      <c r="A31964" s="3" t="s">
        <v>562</v>
      </c>
      <c r="C31964" s="16" t="n">
        <f aca="false">IF(C31953&gt;0,MIN(C31931,C31953*$C$31923),0)</f>
        <v>0</v>
      </c>
    </row>
    <row r="31965" customFormat="false" ht="15" hidden="false" customHeight="false" outlineLevel="0" collapsed="false">
      <c r="A31965" s="3" t="s">
        <v>563</v>
      </c>
      <c r="C31965" s="16" t="n">
        <f aca="false">IF(C31954&gt;0,MIN(C31932,C31954*$C$31923),0)</f>
        <v>0</v>
      </c>
    </row>
    <row r="31966" customFormat="false" ht="15" hidden="false" customHeight="false" outlineLevel="0" collapsed="false">
      <c r="A31966" s="3" t="s">
        <v>564</v>
      </c>
      <c r="C31966" s="16" t="n">
        <f aca="false">IF(C31955&gt;0,MIN(C31933,C31955*$C$31923),0)</f>
        <v>0</v>
      </c>
    </row>
    <row r="31967" customFormat="false" ht="15" hidden="false" customHeight="false" outlineLevel="0" collapsed="false">
      <c r="A31967" s="3" t="s">
        <v>565</v>
      </c>
      <c r="C31967" s="16" t="n">
        <f aca="false">IF(C31956&gt;0,MIN(C31934,C31956*$C$31923),0)</f>
        <v>0</v>
      </c>
    </row>
    <row r="31968" customFormat="false" ht="15" hidden="false" customHeight="false" outlineLevel="0" collapsed="false">
      <c r="A31968" s="24" t="s">
        <v>569</v>
      </c>
      <c r="B31968" s="25"/>
      <c r="C31968" s="25"/>
      <c r="D31968" s="25"/>
      <c r="E31968" s="25"/>
      <c r="F31968" s="25"/>
      <c r="G31968" s="25"/>
      <c r="H31968" s="25"/>
      <c r="I31968" s="25"/>
      <c r="J31968" s="25"/>
      <c r="K31968" s="25"/>
    </row>
    <row r="31969" customFormat="false" ht="15" hidden="false" customHeight="false" outlineLevel="0" collapsed="false">
      <c r="A31969" s="3" t="s">
        <v>556</v>
      </c>
      <c r="C31969" s="16" t="n">
        <f aca="false">IF(C31947&gt;0,C31925-C31958,0)</f>
        <v>0</v>
      </c>
    </row>
    <row r="31970" customFormat="false" ht="15" hidden="false" customHeight="false" outlineLevel="0" collapsed="false">
      <c r="A31970" s="3" t="s">
        <v>557</v>
      </c>
      <c r="C31970" s="16" t="n">
        <f aca="false">IF(C31948&gt;0,C31926-C31959,0)</f>
        <v>0</v>
      </c>
    </row>
    <row r="31971" customFormat="false" ht="15" hidden="false" customHeight="false" outlineLevel="0" collapsed="false">
      <c r="A31971" s="3" t="s">
        <v>558</v>
      </c>
      <c r="C31971" s="16" t="n">
        <f aca="false">IF(C31949&gt;0,C31927-C31960,0)</f>
        <v>0</v>
      </c>
    </row>
    <row r="31972" customFormat="false" ht="15" hidden="false" customHeight="false" outlineLevel="0" collapsed="false">
      <c r="A31972" s="3" t="s">
        <v>559</v>
      </c>
      <c r="C31972" s="16" t="n">
        <f aca="false">IF(C31950&gt;0,C31928-C31961,0)</f>
        <v>0</v>
      </c>
    </row>
    <row r="31973" customFormat="false" ht="15" hidden="false" customHeight="false" outlineLevel="0" collapsed="false">
      <c r="A31973" s="3" t="s">
        <v>560</v>
      </c>
      <c r="C31973" s="16" t="n">
        <f aca="false">IF(C31951&gt;0,C31929-C31962,0)</f>
        <v>0</v>
      </c>
    </row>
    <row r="31974" customFormat="false" ht="15" hidden="false" customHeight="false" outlineLevel="0" collapsed="false">
      <c r="A31974" s="3" t="s">
        <v>561</v>
      </c>
      <c r="C31974" s="16" t="n">
        <f aca="false">IF(C31952&gt;0,C31930-C31963,0)</f>
        <v>0</v>
      </c>
    </row>
    <row r="31975" customFormat="false" ht="15" hidden="false" customHeight="false" outlineLevel="0" collapsed="false">
      <c r="A31975" s="3" t="s">
        <v>562</v>
      </c>
      <c r="C31975" s="16" t="n">
        <f aca="false">IF(C31953&gt;0,C31931-C31964,0)</f>
        <v>0</v>
      </c>
    </row>
    <row r="31976" customFormat="false" ht="15" hidden="false" customHeight="false" outlineLevel="0" collapsed="false">
      <c r="A31976" s="3" t="s">
        <v>563</v>
      </c>
      <c r="C31976" s="16" t="n">
        <f aca="false">IF(C31954&gt;0,C31932-C31965,0)</f>
        <v>0</v>
      </c>
    </row>
    <row r="31977" customFormat="false" ht="15" hidden="false" customHeight="false" outlineLevel="0" collapsed="false">
      <c r="A31977" s="3" t="s">
        <v>564</v>
      </c>
      <c r="C31977" s="16" t="n">
        <f aca="false">IF(C31955&gt;0,C31933-C31966,0)</f>
        <v>0</v>
      </c>
    </row>
    <row r="31978" customFormat="false" ht="15" hidden="false" customHeight="false" outlineLevel="0" collapsed="false">
      <c r="A31978" s="3" t="s">
        <v>565</v>
      </c>
      <c r="C31978" s="16" t="n">
        <f aca="false">IF(C31956&gt;0,C31934-C31967,0)</f>
        <v>0</v>
      </c>
    </row>
    <row r="31979" customFormat="false" ht="15" hidden="false" customHeight="false" outlineLevel="0" collapsed="false">
      <c r="A31979" s="24" t="s">
        <v>570</v>
      </c>
      <c r="B31979" s="25"/>
      <c r="C31979" s="25"/>
      <c r="D31979" s="25"/>
      <c r="E31979" s="25"/>
      <c r="F31979" s="25"/>
      <c r="G31979" s="25"/>
      <c r="H31979" s="25"/>
      <c r="I31979" s="25"/>
      <c r="J31979" s="25"/>
      <c r="K31979" s="25"/>
    </row>
    <row r="31980" customFormat="false" ht="15" hidden="false" customHeight="false" outlineLevel="0" collapsed="false">
      <c r="A31980" s="3" t="s">
        <v>556</v>
      </c>
      <c r="C31980" s="16" t="n">
        <f aca="false">IF(C31947&gt;0,C31969,C31925)</f>
        <v>0</v>
      </c>
    </row>
    <row r="31981" customFormat="false" ht="15" hidden="false" customHeight="false" outlineLevel="0" collapsed="false">
      <c r="A31981" s="3" t="s">
        <v>557</v>
      </c>
      <c r="C31981" s="16" t="n">
        <f aca="false">IF(C31948&gt;0,C31970,C31926)</f>
        <v>0</v>
      </c>
    </row>
    <row r="31982" customFormat="false" ht="15" hidden="false" customHeight="false" outlineLevel="0" collapsed="false">
      <c r="A31982" s="3" t="s">
        <v>558</v>
      </c>
      <c r="C31982" s="16" t="n">
        <f aca="false">IF(C31949&gt;0,C31971,C31927)</f>
        <v>0</v>
      </c>
    </row>
    <row r="31983" customFormat="false" ht="15" hidden="false" customHeight="false" outlineLevel="0" collapsed="false">
      <c r="A31983" s="3" t="s">
        <v>559</v>
      </c>
      <c r="C31983" s="16" t="n">
        <f aca="false">IF(C31950&gt;0,C31972,C31928)</f>
        <v>66.796942182056</v>
      </c>
    </row>
    <row r="31984" customFormat="false" ht="15" hidden="false" customHeight="false" outlineLevel="0" collapsed="false">
      <c r="A31984" s="3" t="s">
        <v>560</v>
      </c>
      <c r="C31984" s="16" t="n">
        <f aca="false">IF(C31951&gt;0,C31973,C31929)</f>
        <v>407.7221513738</v>
      </c>
    </row>
    <row r="31985" customFormat="false" ht="15" hidden="false" customHeight="false" outlineLevel="0" collapsed="false">
      <c r="A31985" s="3" t="s">
        <v>561</v>
      </c>
      <c r="C31985" s="16" t="n">
        <f aca="false">IF(C31952&gt;0,C31974,C31930)</f>
        <v>350</v>
      </c>
    </row>
    <row r="31986" customFormat="false" ht="15" hidden="false" customHeight="false" outlineLevel="0" collapsed="false">
      <c r="A31986" s="3" t="s">
        <v>562</v>
      </c>
      <c r="C31986" s="16" t="n">
        <f aca="false">IF(C31953&gt;0,C31975,C31931)</f>
        <v>550</v>
      </c>
    </row>
    <row r="31987" customFormat="false" ht="15" hidden="false" customHeight="false" outlineLevel="0" collapsed="false">
      <c r="A31987" s="3" t="s">
        <v>563</v>
      </c>
      <c r="C31987" s="16" t="n">
        <f aca="false">IF(C31954&gt;0,C31976,C31932)</f>
        <v>350</v>
      </c>
    </row>
    <row r="31988" customFormat="false" ht="15" hidden="false" customHeight="false" outlineLevel="0" collapsed="false">
      <c r="A31988" s="3" t="s">
        <v>564</v>
      </c>
      <c r="C31988" s="16" t="n">
        <f aca="false">IF(C31955&gt;0,C31977,C31933)</f>
        <v>300</v>
      </c>
    </row>
    <row r="31989" customFormat="false" ht="15" hidden="false" customHeight="false" outlineLevel="0" collapsed="false">
      <c r="A31989" s="3" t="s">
        <v>565</v>
      </c>
      <c r="C31989" s="16" t="n">
        <f aca="false">IF(C31956&gt;0,C31978,C31934)</f>
        <v>78.61</v>
      </c>
    </row>
    <row r="31990" customFormat="false" ht="15" hidden="false" customHeight="false" outlineLevel="0" collapsed="false">
      <c r="A31990" s="24" t="s">
        <v>571</v>
      </c>
      <c r="B31990" s="25"/>
      <c r="C31990" s="25"/>
      <c r="D31990" s="25"/>
      <c r="E31990" s="25"/>
      <c r="F31990" s="25"/>
      <c r="G31990" s="25"/>
      <c r="H31990" s="25"/>
      <c r="I31990" s="25"/>
      <c r="J31990" s="25"/>
      <c r="K31990" s="25"/>
    </row>
    <row r="31991" customFormat="false" ht="15" hidden="false" customHeight="false" outlineLevel="0" collapsed="false">
      <c r="A31991" s="3" t="s">
        <v>556</v>
      </c>
      <c r="C31991" s="21" t="n">
        <f aca="false">IF(C31947&gt;0,Assumptions!$C$17,C31936)</f>
        <v>99</v>
      </c>
    </row>
    <row r="31992" customFormat="false" ht="15" hidden="false" customHeight="false" outlineLevel="0" collapsed="false">
      <c r="A31992" s="3" t="s">
        <v>557</v>
      </c>
      <c r="C31992" s="21" t="n">
        <f aca="false">IF(C31948&gt;0,Assumptions!$C$17,C31937)</f>
        <v>99</v>
      </c>
    </row>
    <row r="31993" customFormat="false" ht="15" hidden="false" customHeight="false" outlineLevel="0" collapsed="false">
      <c r="A31993" s="3" t="s">
        <v>558</v>
      </c>
      <c r="C31993" s="21" t="n">
        <f aca="false">IF(C31949&gt;0,Assumptions!$C$17,C31938)</f>
        <v>99</v>
      </c>
    </row>
    <row r="31994" customFormat="false" ht="15" hidden="false" customHeight="false" outlineLevel="0" collapsed="false">
      <c r="A31994" s="3" t="s">
        <v>559</v>
      </c>
      <c r="C31994" s="21" t="n">
        <f aca="false">IF(C31950&gt;0,Assumptions!$C$17,C31939)</f>
        <v>2</v>
      </c>
    </row>
    <row r="31995" customFormat="false" ht="15" hidden="false" customHeight="false" outlineLevel="0" collapsed="false">
      <c r="A31995" s="3" t="s">
        <v>560</v>
      </c>
      <c r="C31995" s="21" t="n">
        <f aca="false">IF(C31951&gt;0,Assumptions!$C$17,C31940)</f>
        <v>2</v>
      </c>
    </row>
    <row r="31996" customFormat="false" ht="15" hidden="false" customHeight="false" outlineLevel="0" collapsed="false">
      <c r="A31996" s="3" t="s">
        <v>561</v>
      </c>
      <c r="C31996" s="21" t="n">
        <f aca="false">IF(C31952&gt;0,Assumptions!$C$17,C31941)</f>
        <v>2</v>
      </c>
    </row>
    <row r="31997" customFormat="false" ht="15" hidden="false" customHeight="false" outlineLevel="0" collapsed="false">
      <c r="A31997" s="3" t="s">
        <v>562</v>
      </c>
      <c r="C31997" s="21" t="n">
        <f aca="false">IF(C31953&gt;0,Assumptions!$C$17,C31942)</f>
        <v>2</v>
      </c>
    </row>
    <row r="31998" customFormat="false" ht="15" hidden="false" customHeight="false" outlineLevel="0" collapsed="false">
      <c r="A31998" s="3" t="s">
        <v>563</v>
      </c>
      <c r="C31998" s="21" t="n">
        <f aca="false">IF(C31954&gt;0,Assumptions!$C$17,C31943)</f>
        <v>2</v>
      </c>
    </row>
    <row r="31999" customFormat="false" ht="15" hidden="false" customHeight="false" outlineLevel="0" collapsed="false">
      <c r="A31999" s="3" t="s">
        <v>564</v>
      </c>
      <c r="C31999" s="21" t="n">
        <f aca="false">IF(C31955&gt;0,Assumptions!$C$17,C31944)</f>
        <v>2</v>
      </c>
    </row>
    <row r="32000" customFormat="false" ht="15" hidden="false" customHeight="false" outlineLevel="0" collapsed="false">
      <c r="A32000" s="3" t="s">
        <v>565</v>
      </c>
      <c r="C32000" s="21" t="n">
        <f aca="false">IF(C31956&gt;0,Assumptions!$C$17,C31945)</f>
        <v>3</v>
      </c>
    </row>
    <row r="32001" customFormat="false" ht="15" hidden="false" customHeight="false" outlineLevel="0" collapsed="false">
      <c r="A32001" s="24" t="s">
        <v>572</v>
      </c>
      <c r="B32001" s="25"/>
      <c r="C32001" s="25"/>
      <c r="D32001" s="25"/>
      <c r="E32001" s="25"/>
      <c r="F32001" s="25"/>
      <c r="G32001" s="25"/>
      <c r="H32001" s="25"/>
      <c r="I32001" s="25"/>
      <c r="J32001" s="25"/>
      <c r="K32001" s="25"/>
    </row>
    <row r="32002" customFormat="false" ht="15" hidden="false" customHeight="false" outlineLevel="0" collapsed="false">
      <c r="A32002" s="3" t="s">
        <v>556</v>
      </c>
      <c r="C32002" s="16" t="n">
        <f aca="false">SUMPRODUCT(($C$31991:$C$32000&lt;C31991)*$C$31980:$C$31989)</f>
        <v>2103.12909355586</v>
      </c>
    </row>
    <row r="32003" customFormat="false" ht="15" hidden="false" customHeight="false" outlineLevel="0" collapsed="false">
      <c r="A32003" s="3" t="s">
        <v>557</v>
      </c>
      <c r="C32003" s="16" t="n">
        <f aca="false">SUMPRODUCT(($C$31991:$C$32000&lt;C31992)*$C$31980:$C$31989)</f>
        <v>2103.12909355586</v>
      </c>
    </row>
    <row r="32004" customFormat="false" ht="15" hidden="false" customHeight="false" outlineLevel="0" collapsed="false">
      <c r="A32004" s="3" t="s">
        <v>558</v>
      </c>
      <c r="C32004" s="16" t="n">
        <f aca="false">SUMPRODUCT(($C$31991:$C$32000&lt;C31993)*$C$31980:$C$31989)</f>
        <v>2103.12909355586</v>
      </c>
    </row>
    <row r="32005" customFormat="false" ht="15" hidden="false" customHeight="false" outlineLevel="0" collapsed="false">
      <c r="A32005" s="3" t="s">
        <v>559</v>
      </c>
      <c r="C32005" s="16" t="n">
        <f aca="false">SUMPRODUCT(($C$31991:$C$32000&lt;C31994)*$C$31980:$C$31989)</f>
        <v>0</v>
      </c>
    </row>
    <row r="32006" customFormat="false" ht="15" hidden="false" customHeight="false" outlineLevel="0" collapsed="false">
      <c r="A32006" s="3" t="s">
        <v>560</v>
      </c>
      <c r="C32006" s="16" t="n">
        <f aca="false">SUMPRODUCT(($C$31991:$C$32000&lt;C31995)*$C$31980:$C$31989)</f>
        <v>0</v>
      </c>
    </row>
    <row r="32007" customFormat="false" ht="15" hidden="false" customHeight="false" outlineLevel="0" collapsed="false">
      <c r="A32007" s="3" t="s">
        <v>561</v>
      </c>
      <c r="C32007" s="16" t="n">
        <f aca="false">SUMPRODUCT(($C$31991:$C$32000&lt;C31996)*$C$31980:$C$31989)</f>
        <v>0</v>
      </c>
    </row>
    <row r="32008" customFormat="false" ht="15" hidden="false" customHeight="false" outlineLevel="0" collapsed="false">
      <c r="A32008" s="3" t="s">
        <v>562</v>
      </c>
      <c r="C32008" s="16" t="n">
        <f aca="false">SUMPRODUCT(($C$31991:$C$32000&lt;C31997)*$C$31980:$C$31989)</f>
        <v>0</v>
      </c>
    </row>
    <row r="32009" customFormat="false" ht="15" hidden="false" customHeight="false" outlineLevel="0" collapsed="false">
      <c r="A32009" s="3" t="s">
        <v>563</v>
      </c>
      <c r="C32009" s="16" t="n">
        <f aca="false">SUMPRODUCT(($C$31991:$C$32000&lt;C31998)*$C$31980:$C$31989)</f>
        <v>0</v>
      </c>
    </row>
    <row r="32010" customFormat="false" ht="15" hidden="false" customHeight="false" outlineLevel="0" collapsed="false">
      <c r="A32010" s="3" t="s">
        <v>564</v>
      </c>
      <c r="C32010" s="16" t="n">
        <f aca="false">SUMPRODUCT(($C$31991:$C$32000&lt;C31999)*$C$31980:$C$31989)</f>
        <v>0</v>
      </c>
    </row>
    <row r="32011" customFormat="false" ht="15" hidden="false" customHeight="false" outlineLevel="0" collapsed="false">
      <c r="A32011" s="3" t="s">
        <v>565</v>
      </c>
      <c r="C32011" s="16" t="n">
        <f aca="false">SUMPRODUCT(($C$31991:$C$32000&lt;C32000)*$C$31980:$C$31989)</f>
        <v>2024.51909355586</v>
      </c>
    </row>
    <row r="32012" customFormat="false" ht="15" hidden="false" customHeight="false" outlineLevel="0" collapsed="false">
      <c r="A32012" s="24" t="s">
        <v>573</v>
      </c>
      <c r="B32012" s="25"/>
      <c r="C32012" s="25"/>
      <c r="D32012" s="25"/>
      <c r="E32012" s="25"/>
      <c r="F32012" s="25"/>
      <c r="G32012" s="25"/>
      <c r="H32012" s="25"/>
      <c r="I32012" s="25"/>
      <c r="J32012" s="25"/>
      <c r="K32012" s="25"/>
    </row>
    <row r="32013" customFormat="false" ht="15" hidden="false" customHeight="false" outlineLevel="0" collapsed="false">
      <c r="A32013" s="3" t="s">
        <v>556</v>
      </c>
      <c r="C32013" s="16" t="n">
        <f aca="false">SUMPRODUCT(($C$31991:$C$32000=C31991)*$C$31980:$C$31989)</f>
        <v>0</v>
      </c>
    </row>
    <row r="32014" customFormat="false" ht="15" hidden="false" customHeight="false" outlineLevel="0" collapsed="false">
      <c r="A32014" s="3" t="s">
        <v>557</v>
      </c>
      <c r="C32014" s="16" t="n">
        <f aca="false">SUMPRODUCT(($C$31991:$C$32000=C31992)*$C$31980:$C$31989)</f>
        <v>0</v>
      </c>
    </row>
    <row r="32015" customFormat="false" ht="15" hidden="false" customHeight="false" outlineLevel="0" collapsed="false">
      <c r="A32015" s="3" t="s">
        <v>558</v>
      </c>
      <c r="C32015" s="16" t="n">
        <f aca="false">SUMPRODUCT(($C$31991:$C$32000=C31993)*$C$31980:$C$31989)</f>
        <v>0</v>
      </c>
    </row>
    <row r="32016" customFormat="false" ht="15" hidden="false" customHeight="false" outlineLevel="0" collapsed="false">
      <c r="A32016" s="3" t="s">
        <v>559</v>
      </c>
      <c r="C32016" s="16" t="n">
        <f aca="false">SUMPRODUCT(($C$31991:$C$32000=C31994)*$C$31980:$C$31989)</f>
        <v>2024.51909355586</v>
      </c>
    </row>
    <row r="32017" customFormat="false" ht="15" hidden="false" customHeight="false" outlineLevel="0" collapsed="false">
      <c r="A32017" s="3" t="s">
        <v>560</v>
      </c>
      <c r="C32017" s="16" t="n">
        <f aca="false">SUMPRODUCT(($C$31991:$C$32000=C31995)*$C$31980:$C$31989)</f>
        <v>2024.51909355586</v>
      </c>
    </row>
    <row r="32018" customFormat="false" ht="15" hidden="false" customHeight="false" outlineLevel="0" collapsed="false">
      <c r="A32018" s="3" t="s">
        <v>561</v>
      </c>
      <c r="C32018" s="16" t="n">
        <f aca="false">SUMPRODUCT(($C$31991:$C$32000=C31996)*$C$31980:$C$31989)</f>
        <v>2024.51909355586</v>
      </c>
    </row>
    <row r="32019" customFormat="false" ht="15" hidden="false" customHeight="false" outlineLevel="0" collapsed="false">
      <c r="A32019" s="3" t="s">
        <v>562</v>
      </c>
      <c r="C32019" s="16" t="n">
        <f aca="false">SUMPRODUCT(($C$31991:$C$32000=C31997)*$C$31980:$C$31989)</f>
        <v>2024.51909355586</v>
      </c>
    </row>
    <row r="32020" customFormat="false" ht="15" hidden="false" customHeight="false" outlineLevel="0" collapsed="false">
      <c r="A32020" s="3" t="s">
        <v>563</v>
      </c>
      <c r="C32020" s="16" t="n">
        <f aca="false">SUMPRODUCT(($C$31991:$C$32000=C31998)*$C$31980:$C$31989)</f>
        <v>2024.51909355586</v>
      </c>
    </row>
    <row r="32021" customFormat="false" ht="15" hidden="false" customHeight="false" outlineLevel="0" collapsed="false">
      <c r="A32021" s="3" t="s">
        <v>564</v>
      </c>
      <c r="C32021" s="16" t="n">
        <f aca="false">SUMPRODUCT(($C$31991:$C$32000=C31999)*$C$31980:$C$31989)</f>
        <v>2024.51909355586</v>
      </c>
    </row>
    <row r="32022" customFormat="false" ht="15" hidden="false" customHeight="false" outlineLevel="0" collapsed="false">
      <c r="A32022" s="3" t="s">
        <v>565</v>
      </c>
      <c r="C32022" s="16" t="n">
        <f aca="false">SUMPRODUCT(($C$31991:$C$32000=C32000)*$C$31980:$C$31989)</f>
        <v>78.61</v>
      </c>
    </row>
    <row r="32023" customFormat="false" ht="15" hidden="false" customHeight="false" outlineLevel="0" collapsed="false">
      <c r="A32023" s="24" t="s">
        <v>574</v>
      </c>
      <c r="B32023" s="25"/>
      <c r="C32023" s="25"/>
      <c r="D32023" s="25"/>
      <c r="E32023" s="25"/>
      <c r="F32023" s="25"/>
      <c r="G32023" s="25"/>
      <c r="H32023" s="25"/>
      <c r="I32023" s="25"/>
      <c r="J32023" s="25"/>
      <c r="K32023" s="25"/>
    </row>
    <row r="32024" customFormat="false" ht="15" hidden="false" customHeight="false" outlineLevel="0" collapsed="false">
      <c r="A32024" s="3" t="s">
        <v>556</v>
      </c>
      <c r="C32024" s="16" t="n">
        <f aca="false">IF(C32013=0,0,C31980/C32013*MAX(0,MIN(C32013,$C$31923-SUM($C$31958:$C$31967)-C32002)))</f>
        <v>0</v>
      </c>
    </row>
    <row r="32025" customFormat="false" ht="15" hidden="false" customHeight="false" outlineLevel="0" collapsed="false">
      <c r="A32025" s="3" t="s">
        <v>557</v>
      </c>
      <c r="C32025" s="16" t="n">
        <f aca="false">IF(C32014=0,0,C31981/C32014*MAX(0,MIN(C32014,$C$31923-SUM($C$31958:$C$31967)-C32003)))</f>
        <v>0</v>
      </c>
    </row>
    <row r="32026" customFormat="false" ht="15" hidden="false" customHeight="false" outlineLevel="0" collapsed="false">
      <c r="A32026" s="3" t="s">
        <v>558</v>
      </c>
      <c r="C32026" s="16" t="n">
        <f aca="false">IF(C32015=0,0,C31982/C32015*MAX(0,MIN(C32015,$C$31923-SUM($C$31958:$C$31967)-C32004)))</f>
        <v>0</v>
      </c>
    </row>
    <row r="32027" customFormat="false" ht="15" hidden="false" customHeight="false" outlineLevel="0" collapsed="false">
      <c r="A32027" s="3" t="s">
        <v>559</v>
      </c>
      <c r="C32027" s="16" t="n">
        <f aca="false">IF(C32016=0,0,C31983/C32016*MAX(0,MIN(C32016,$C$31923-SUM($C$31958:$C$31967)-C32005)))</f>
        <v>66.796942182056</v>
      </c>
    </row>
    <row r="32028" customFormat="false" ht="15" hidden="false" customHeight="false" outlineLevel="0" collapsed="false">
      <c r="A32028" s="3" t="s">
        <v>560</v>
      </c>
      <c r="C32028" s="16" t="n">
        <f aca="false">IF(C32017=0,0,C31984/C32017*MAX(0,MIN(C32017,$C$31923-SUM($C$31958:$C$31967)-C32006)))</f>
        <v>407.7221513738</v>
      </c>
    </row>
    <row r="32029" customFormat="false" ht="15" hidden="false" customHeight="false" outlineLevel="0" collapsed="false">
      <c r="A32029" s="3" t="s">
        <v>561</v>
      </c>
      <c r="C32029" s="16" t="n">
        <f aca="false">IF(C32018=0,0,C31985/C32018*MAX(0,MIN(C32018,$C$31923-SUM($C$31958:$C$31967)-C32007)))</f>
        <v>350</v>
      </c>
    </row>
    <row r="32030" customFormat="false" ht="15" hidden="false" customHeight="false" outlineLevel="0" collapsed="false">
      <c r="A32030" s="3" t="s">
        <v>562</v>
      </c>
      <c r="C32030" s="16" t="n">
        <f aca="false">IF(C32019=0,0,C31986/C32019*MAX(0,MIN(C32019,$C$31923-SUM($C$31958:$C$31967)-C32008)))</f>
        <v>550</v>
      </c>
    </row>
    <row r="32031" customFormat="false" ht="15" hidden="false" customHeight="false" outlineLevel="0" collapsed="false">
      <c r="A32031" s="3" t="s">
        <v>563</v>
      </c>
      <c r="C32031" s="16" t="n">
        <f aca="false">IF(C32020=0,0,C31987/C32020*MAX(0,MIN(C32020,$C$31923-SUM($C$31958:$C$31967)-C32009)))</f>
        <v>350</v>
      </c>
    </row>
    <row r="32032" customFormat="false" ht="15" hidden="false" customHeight="false" outlineLevel="0" collapsed="false">
      <c r="A32032" s="3" t="s">
        <v>564</v>
      </c>
      <c r="C32032" s="16" t="n">
        <f aca="false">IF(C32021=0,0,C31988/C32021*MAX(0,MIN(C32021,$C$31923-SUM($C$31958:$C$31967)-C32010)))</f>
        <v>300</v>
      </c>
    </row>
    <row r="32033" customFormat="false" ht="15" hidden="false" customHeight="false" outlineLevel="0" collapsed="false">
      <c r="A32033" s="3" t="s">
        <v>565</v>
      </c>
      <c r="C32033" s="16" t="n">
        <f aca="false">IF(C32022=0,0,C31989/C32022*MAX(0,MIN(C32022,$C$31923-SUM($C$31958:$C$31967)-C32011)))</f>
        <v>78.61</v>
      </c>
    </row>
    <row r="32034" customFormat="false" ht="15" hidden="false" customHeight="false" outlineLevel="0" collapsed="false">
      <c r="A32034" s="24" t="s">
        <v>575</v>
      </c>
      <c r="B32034" s="25"/>
      <c r="C32034" s="25"/>
      <c r="D32034" s="25"/>
      <c r="E32034" s="25"/>
      <c r="F32034" s="25"/>
      <c r="G32034" s="25"/>
      <c r="H32034" s="25"/>
      <c r="I32034" s="25"/>
      <c r="J32034" s="25"/>
      <c r="K32034" s="25"/>
    </row>
    <row r="32035" customFormat="false" ht="15" hidden="false" customHeight="false" outlineLevel="0" collapsed="false">
      <c r="A32035" s="2" t="s">
        <v>556</v>
      </c>
      <c r="C32035" s="17" t="n">
        <f aca="false">C31958+C32024</f>
        <v>388</v>
      </c>
    </row>
    <row r="32036" customFormat="false" ht="15" hidden="false" customHeight="false" outlineLevel="0" collapsed="false">
      <c r="A32036" s="2" t="s">
        <v>557</v>
      </c>
      <c r="C32036" s="17" t="n">
        <f aca="false">C31959+C32025</f>
        <v>90</v>
      </c>
    </row>
    <row r="32037" customFormat="false" ht="15" hidden="false" customHeight="false" outlineLevel="0" collapsed="false">
      <c r="A32037" s="2" t="s">
        <v>558</v>
      </c>
      <c r="C32037" s="17" t="n">
        <f aca="false">C31960+C32026</f>
        <v>57.324</v>
      </c>
    </row>
    <row r="32038" customFormat="false" ht="15" hidden="false" customHeight="false" outlineLevel="0" collapsed="false">
      <c r="A32038" s="2" t="s">
        <v>559</v>
      </c>
      <c r="C32038" s="17" t="n">
        <f aca="false">C31961+C32027</f>
        <v>66.796942182056</v>
      </c>
    </row>
    <row r="32039" customFormat="false" ht="15" hidden="false" customHeight="false" outlineLevel="0" collapsed="false">
      <c r="A32039" s="2" t="s">
        <v>560</v>
      </c>
      <c r="C32039" s="17" t="n">
        <f aca="false">C31962+C32028</f>
        <v>407.7221513738</v>
      </c>
    </row>
    <row r="32040" customFormat="false" ht="15" hidden="false" customHeight="false" outlineLevel="0" collapsed="false">
      <c r="A32040" s="2" t="s">
        <v>561</v>
      </c>
      <c r="C32040" s="17" t="n">
        <f aca="false">C31963+C32029</f>
        <v>350</v>
      </c>
    </row>
    <row r="32041" customFormat="false" ht="15" hidden="false" customHeight="false" outlineLevel="0" collapsed="false">
      <c r="A32041" s="2" t="s">
        <v>562</v>
      </c>
      <c r="C32041" s="17" t="n">
        <f aca="false">C31964+C32030</f>
        <v>550</v>
      </c>
    </row>
    <row r="32042" customFormat="false" ht="15" hidden="false" customHeight="false" outlineLevel="0" collapsed="false">
      <c r="A32042" s="2" t="s">
        <v>563</v>
      </c>
      <c r="C32042" s="17" t="n">
        <f aca="false">C31965+C32031</f>
        <v>350</v>
      </c>
    </row>
    <row r="32043" customFormat="false" ht="15" hidden="false" customHeight="false" outlineLevel="0" collapsed="false">
      <c r="A32043" s="2" t="s">
        <v>564</v>
      </c>
      <c r="C32043" s="17" t="n">
        <f aca="false">C31966+C32032</f>
        <v>300</v>
      </c>
    </row>
    <row r="32044" customFormat="false" ht="15" hidden="false" customHeight="false" outlineLevel="0" collapsed="false">
      <c r="A32044" s="2" t="s">
        <v>565</v>
      </c>
      <c r="C32044" s="17" t="n">
        <f aca="false">C31967+C32033</f>
        <v>78.61</v>
      </c>
    </row>
    <row r="32045" customFormat="false" ht="15" hidden="false" customHeight="false" outlineLevel="0" collapsed="false">
      <c r="A32045" s="24" t="s">
        <v>576</v>
      </c>
      <c r="B32045" s="25"/>
      <c r="C32045" s="25"/>
      <c r="D32045" s="25"/>
      <c r="E32045" s="25"/>
      <c r="F32045" s="25"/>
      <c r="G32045" s="25"/>
      <c r="H32045" s="25"/>
      <c r="I32045" s="25"/>
      <c r="J32045" s="25"/>
      <c r="K32045" s="25"/>
    </row>
    <row r="32046" customFormat="false" ht="15" hidden="false" customHeight="false" outlineLevel="0" collapsed="false">
      <c r="A32046" s="3" t="s">
        <v>556</v>
      </c>
      <c r="C32046" s="22" t="n">
        <f aca="false">IF(C31925=0,1,C32035/C31925)</f>
        <v>1</v>
      </c>
    </row>
    <row r="32047" customFormat="false" ht="15" hidden="false" customHeight="false" outlineLevel="0" collapsed="false">
      <c r="A32047" s="3" t="s">
        <v>557</v>
      </c>
      <c r="C32047" s="22" t="n">
        <f aca="false">IF(C31926=0,1,C32036/C31926)</f>
        <v>1</v>
      </c>
    </row>
    <row r="32048" customFormat="false" ht="15" hidden="false" customHeight="false" outlineLevel="0" collapsed="false">
      <c r="A32048" s="3" t="s">
        <v>558</v>
      </c>
      <c r="C32048" s="22" t="n">
        <f aca="false">IF(C31927=0,1,C32037/C31927)</f>
        <v>1</v>
      </c>
    </row>
    <row r="32049" customFormat="false" ht="15" hidden="false" customHeight="false" outlineLevel="0" collapsed="false">
      <c r="A32049" s="3" t="s">
        <v>559</v>
      </c>
      <c r="C32049" s="22" t="n">
        <f aca="false">IF(C31928=0,1,C32038/C31928)</f>
        <v>1</v>
      </c>
    </row>
    <row r="32050" customFormat="false" ht="15" hidden="false" customHeight="false" outlineLevel="0" collapsed="false">
      <c r="A32050" s="3" t="s">
        <v>560</v>
      </c>
      <c r="C32050" s="22" t="n">
        <f aca="false">IF(C31929=0,1,C32039/C31929)</f>
        <v>1</v>
      </c>
    </row>
    <row r="32051" customFormat="false" ht="15" hidden="false" customHeight="false" outlineLevel="0" collapsed="false">
      <c r="A32051" s="3" t="s">
        <v>561</v>
      </c>
      <c r="C32051" s="22" t="n">
        <f aca="false">IF(C31930=0,1,C32040/C31930)</f>
        <v>1</v>
      </c>
    </row>
    <row r="32052" customFormat="false" ht="15" hidden="false" customHeight="false" outlineLevel="0" collapsed="false">
      <c r="A32052" s="3" t="s">
        <v>562</v>
      </c>
      <c r="C32052" s="22" t="n">
        <f aca="false">IF(C31931=0,1,C32041/C31931)</f>
        <v>1</v>
      </c>
    </row>
    <row r="32053" customFormat="false" ht="15" hidden="false" customHeight="false" outlineLevel="0" collapsed="false">
      <c r="A32053" s="3" t="s">
        <v>563</v>
      </c>
      <c r="C32053" s="22" t="n">
        <f aca="false">IF(C31932=0,1,C32042/C31932)</f>
        <v>1</v>
      </c>
    </row>
    <row r="32054" customFormat="false" ht="15" hidden="false" customHeight="false" outlineLevel="0" collapsed="false">
      <c r="A32054" s="3" t="s">
        <v>564</v>
      </c>
      <c r="C32054" s="22" t="n">
        <f aca="false">IF(C31933=0,1,C32043/C31933)</f>
        <v>1</v>
      </c>
    </row>
    <row r="32055" customFormat="false" ht="15" hidden="false" customHeight="false" outlineLevel="0" collapsed="false">
      <c r="A32055" s="3" t="s">
        <v>565</v>
      </c>
      <c r="C32055" s="22" t="n">
        <f aca="false">IF(C31934=0,1,C32044/C31934)</f>
        <v>1</v>
      </c>
    </row>
    <row r="32056" customFormat="false" ht="15" hidden="false" customHeight="false" outlineLevel="0" collapsed="false">
      <c r="A32056" s="24" t="s">
        <v>577</v>
      </c>
      <c r="B32056" s="25"/>
      <c r="C32056" s="25"/>
      <c r="D32056" s="25"/>
      <c r="E32056" s="25"/>
      <c r="F32056" s="25"/>
      <c r="G32056" s="25"/>
      <c r="H32056" s="25"/>
      <c r="I32056" s="25"/>
      <c r="J32056" s="25"/>
      <c r="K32056" s="25"/>
    </row>
    <row r="32057" customFormat="false" ht="15" hidden="false" customHeight="false" outlineLevel="0" collapsed="false">
      <c r="A32057" s="3" t="s">
        <v>556</v>
      </c>
      <c r="C32057" s="16" t="n">
        <f aca="false">C31925-C32035</f>
        <v>0</v>
      </c>
    </row>
    <row r="32058" customFormat="false" ht="15" hidden="false" customHeight="false" outlineLevel="0" collapsed="false">
      <c r="A32058" s="3" t="s">
        <v>557</v>
      </c>
      <c r="C32058" s="16" t="n">
        <f aca="false">C31926-C32036</f>
        <v>0</v>
      </c>
    </row>
    <row r="32059" customFormat="false" ht="15" hidden="false" customHeight="false" outlineLevel="0" collapsed="false">
      <c r="A32059" s="3" t="s">
        <v>558</v>
      </c>
      <c r="C32059" s="16" t="n">
        <f aca="false">C31927-C32037</f>
        <v>0</v>
      </c>
    </row>
    <row r="32060" customFormat="false" ht="15" hidden="false" customHeight="false" outlineLevel="0" collapsed="false">
      <c r="A32060" s="3" t="s">
        <v>559</v>
      </c>
      <c r="C32060" s="16" t="n">
        <f aca="false">C31928-C32038</f>
        <v>0</v>
      </c>
    </row>
    <row r="32061" customFormat="false" ht="15" hidden="false" customHeight="false" outlineLevel="0" collapsed="false">
      <c r="A32061" s="3" t="s">
        <v>560</v>
      </c>
      <c r="C32061" s="16" t="n">
        <f aca="false">C31929-C32039</f>
        <v>0</v>
      </c>
    </row>
    <row r="32062" customFormat="false" ht="15" hidden="false" customHeight="false" outlineLevel="0" collapsed="false">
      <c r="A32062" s="3" t="s">
        <v>561</v>
      </c>
      <c r="C32062" s="16" t="n">
        <f aca="false">C31930-C32040</f>
        <v>0</v>
      </c>
    </row>
    <row r="32063" customFormat="false" ht="15" hidden="false" customHeight="false" outlineLevel="0" collapsed="false">
      <c r="A32063" s="3" t="s">
        <v>562</v>
      </c>
      <c r="C32063" s="16" t="n">
        <f aca="false">C31931-C32041</f>
        <v>0</v>
      </c>
    </row>
    <row r="32064" customFormat="false" ht="15" hidden="false" customHeight="false" outlineLevel="0" collapsed="false">
      <c r="A32064" s="3" t="s">
        <v>563</v>
      </c>
      <c r="C32064" s="16" t="n">
        <f aca="false">C31932-C32042</f>
        <v>0</v>
      </c>
    </row>
    <row r="32065" customFormat="false" ht="15" hidden="false" customHeight="false" outlineLevel="0" collapsed="false">
      <c r="A32065" s="3" t="s">
        <v>564</v>
      </c>
      <c r="C32065" s="16" t="n">
        <f aca="false">C31933-C32043</f>
        <v>0</v>
      </c>
    </row>
    <row r="32066" customFormat="false" ht="15" hidden="false" customHeight="false" outlineLevel="0" collapsed="false">
      <c r="A32066" s="3" t="s">
        <v>565</v>
      </c>
      <c r="C32066" s="16" t="n">
        <f aca="false">C31934-C32044</f>
        <v>0</v>
      </c>
    </row>
    <row r="32067" customFormat="false" ht="15" hidden="false" customHeight="false" outlineLevel="0" collapsed="false">
      <c r="A32067" s="24" t="s">
        <v>578</v>
      </c>
      <c r="B32067" s="25"/>
      <c r="C32067" s="25"/>
      <c r="D32067" s="25"/>
      <c r="E32067" s="25"/>
      <c r="F32067" s="25"/>
      <c r="G32067" s="25"/>
      <c r="H32067" s="25"/>
      <c r="I32067" s="25"/>
      <c r="J32067" s="25"/>
      <c r="K32067" s="25"/>
    </row>
    <row r="32068" customFormat="false" ht="15" hidden="false" customHeight="false" outlineLevel="0" collapsed="false">
      <c r="A32068" s="3" t="s">
        <v>556</v>
      </c>
      <c r="C32068" s="22" t="n">
        <f aca="false">IF(C31925=0,0,C32057/C31925)</f>
        <v>0</v>
      </c>
    </row>
    <row r="32069" customFormat="false" ht="15" hidden="false" customHeight="false" outlineLevel="0" collapsed="false">
      <c r="A32069" s="3" t="s">
        <v>557</v>
      </c>
      <c r="C32069" s="22" t="n">
        <f aca="false">IF(C31926=0,0,C32058/C31926)</f>
        <v>0</v>
      </c>
    </row>
    <row r="32070" customFormat="false" ht="15" hidden="false" customHeight="false" outlineLevel="0" collapsed="false">
      <c r="A32070" s="3" t="s">
        <v>558</v>
      </c>
      <c r="C32070" s="22" t="n">
        <f aca="false">IF(C31927=0,0,C32059/C31927)</f>
        <v>0</v>
      </c>
    </row>
    <row r="32071" customFormat="false" ht="15" hidden="false" customHeight="false" outlineLevel="0" collapsed="false">
      <c r="A32071" s="3" t="s">
        <v>559</v>
      </c>
      <c r="C32071" s="22" t="n">
        <f aca="false">IF(C31928=0,0,C32060/C31928)</f>
        <v>0</v>
      </c>
    </row>
    <row r="32072" customFormat="false" ht="15" hidden="false" customHeight="false" outlineLevel="0" collapsed="false">
      <c r="A32072" s="3" t="s">
        <v>560</v>
      </c>
      <c r="C32072" s="22" t="n">
        <f aca="false">IF(C31929=0,0,C32061/C31929)</f>
        <v>0</v>
      </c>
    </row>
    <row r="32073" customFormat="false" ht="15" hidden="false" customHeight="false" outlineLevel="0" collapsed="false">
      <c r="A32073" s="3" t="s">
        <v>561</v>
      </c>
      <c r="C32073" s="22" t="n">
        <f aca="false">IF(C31930=0,0,C32062/C31930)</f>
        <v>0</v>
      </c>
    </row>
    <row r="32074" customFormat="false" ht="15" hidden="false" customHeight="false" outlineLevel="0" collapsed="false">
      <c r="A32074" s="3" t="s">
        <v>562</v>
      </c>
      <c r="C32074" s="22" t="n">
        <f aca="false">IF(C31931=0,0,C32063/C31931)</f>
        <v>0</v>
      </c>
    </row>
    <row r="32075" customFormat="false" ht="15" hidden="false" customHeight="false" outlineLevel="0" collapsed="false">
      <c r="A32075" s="3" t="s">
        <v>563</v>
      </c>
      <c r="C32075" s="22" t="n">
        <f aca="false">IF(C31932=0,0,C32064/C31932)</f>
        <v>0</v>
      </c>
    </row>
    <row r="32076" customFormat="false" ht="15" hidden="false" customHeight="false" outlineLevel="0" collapsed="false">
      <c r="A32076" s="3" t="s">
        <v>564</v>
      </c>
      <c r="C32076" s="22" t="n">
        <f aca="false">IF(C31933=0,0,C32065/C31933)</f>
        <v>0</v>
      </c>
    </row>
    <row r="32077" customFormat="false" ht="15" hidden="false" customHeight="false" outlineLevel="0" collapsed="false">
      <c r="A32077" s="3" t="s">
        <v>565</v>
      </c>
      <c r="C32077" s="22" t="n">
        <f aca="false">IF(C31934=0,0,C32066/C31934)</f>
        <v>0</v>
      </c>
    </row>
    <row r="32078" customFormat="false" ht="15" hidden="false" customHeight="false" outlineLevel="0" collapsed="false">
      <c r="A32078" s="2" t="s">
        <v>579</v>
      </c>
      <c r="C32078" s="17" t="n">
        <f aca="false">MAX(0,$C$31923-SUM($C$31958:$C$31967)-SUM($C$31980:$C$31989))</f>
        <v>730.771201087744</v>
      </c>
    </row>
    <row r="32079" customFormat="false" ht="15" hidden="false" customHeight="false" outlineLevel="0" collapsed="false">
      <c r="A32079" s="3" t="s">
        <v>597</v>
      </c>
      <c r="C32079" s="35" t="n">
        <f aca="false">MIN(C31922,100*CHOOSE(C31912,C32046,C32047,C32048,C32049,C32050,C32051,C32052,C32053,C32054,C32055))</f>
        <v>100</v>
      </c>
    </row>
    <row r="32080" customFormat="false" ht="15" hidden="false" customHeight="false" outlineLevel="0" collapsed="false">
      <c r="A32080" s="3" t="s">
        <v>598</v>
      </c>
      <c r="C32080" s="21" t="n">
        <f aca="false">IF(C31744=1,C31917+Assumptions!$C$40,C31916)</f>
        <v>3</v>
      </c>
    </row>
    <row r="32081" customFormat="false" ht="15" hidden="false" customHeight="false" outlineLevel="0" collapsed="false">
      <c r="A32081" s="24" t="s">
        <v>599</v>
      </c>
      <c r="B32081" s="25"/>
      <c r="C32081" s="25"/>
      <c r="D32081" s="25"/>
      <c r="E32081" s="25"/>
      <c r="F32081" s="25"/>
      <c r="G32081" s="25"/>
      <c r="H32081" s="25"/>
      <c r="I32081" s="25"/>
      <c r="J32081" s="25"/>
      <c r="K32081" s="25"/>
    </row>
    <row r="32082" customFormat="false" ht="15" hidden="false" customHeight="false" outlineLevel="0" collapsed="false">
      <c r="A32082" s="3" t="s">
        <v>600</v>
      </c>
      <c r="C32082" s="21" t="n">
        <f aca="false">COLUMN()-COLUMN($C$1)</f>
        <v>0</v>
      </c>
      <c r="D32082" s="21" t="n">
        <f aca="false">COLUMN()-COLUMN($C$1)</f>
        <v>1</v>
      </c>
      <c r="E32082" s="21" t="n">
        <f aca="false">COLUMN()-COLUMN($C$1)</f>
        <v>2</v>
      </c>
      <c r="F32082" s="21" t="n">
        <f aca="false">COLUMN()-COLUMN($C$1)</f>
        <v>3</v>
      </c>
      <c r="G32082" s="21" t="n">
        <f aca="false">COLUMN()-COLUMN($C$1)</f>
        <v>4</v>
      </c>
      <c r="H32082" s="21" t="n">
        <f aca="false">COLUMN()-COLUMN($C$1)</f>
        <v>5</v>
      </c>
      <c r="I32082" s="21" t="n">
        <f aca="false">COLUMN()-COLUMN($C$1)</f>
        <v>6</v>
      </c>
    </row>
    <row r="32083" customFormat="false" ht="15" hidden="false" customHeight="false" outlineLevel="0" collapsed="false">
      <c r="A32083" s="3" t="s">
        <v>601</v>
      </c>
      <c r="D32083" s="31" t="n">
        <f aca="false">CHOOSE($C$31912,G31492,G31505,G31518,G31531,G31544,G31557,G31570,G31583,G31596,G31609)</f>
        <v>0.0915</v>
      </c>
      <c r="E32083" s="31" t="n">
        <f aca="false">CHOOSE($C$31912,H31492,H31505,H31518,H31531,H31544,H31557,H31570,H31583,H31596,H31609)</f>
        <v>0.09</v>
      </c>
      <c r="F32083" s="31" t="n">
        <f aca="false">CHOOSE($C$31912,I31492,I31505,I31518,I31531,I31544,I31557,I31570,I31583,I31596,I31609)</f>
        <v>0.0875</v>
      </c>
      <c r="G32083" s="31" t="n">
        <f aca="false">CHOOSE($C$31912,J31492,J31505,J31518,J31531,J31544,J31557,J31570,J31583,J31596,J31609)</f>
        <v>0.0875</v>
      </c>
      <c r="H32083" s="31" t="n">
        <f aca="false">CHOOSE($C$31912,K31492,K31505,K31518,K31531,K31544,K31557,K31570,K31583,K31596,K31609)</f>
        <v>0.0875</v>
      </c>
    </row>
    <row r="32084" customFormat="false" ht="15" hidden="false" customHeight="false" outlineLevel="0" collapsed="false">
      <c r="A32084" s="3" t="s">
        <v>602</v>
      </c>
      <c r="D32084" s="16" t="n">
        <f aca="false">IF(D32082&lt;=$C$31921,$C$31913*D32083,0)</f>
        <v>9.15</v>
      </c>
      <c r="E32084" s="16" t="n">
        <f aca="false">IF(E32082&lt;=$C$31921,$C$31913*E32083,0)</f>
        <v>9</v>
      </c>
      <c r="F32084" s="16" t="n">
        <f aca="false">IF(F32082&lt;=$C$31921,$C$31913*F32083,0)</f>
        <v>8.75</v>
      </c>
      <c r="G32084" s="16" t="n">
        <f aca="false">IF(G32082&lt;=$C$31921,$C$31913*G32083,0)</f>
        <v>0</v>
      </c>
      <c r="H32084" s="16" t="n">
        <f aca="false">IF(H32082&lt;=$C$31921,$C$31913*H32083,0)</f>
        <v>0</v>
      </c>
    </row>
    <row r="32085" customFormat="false" ht="15" hidden="false" customHeight="false" outlineLevel="0" collapsed="false">
      <c r="A32085" s="3" t="s">
        <v>603</v>
      </c>
      <c r="D32085" s="16" t="n">
        <f aca="false">IF(AND($C$31744=0,D32082=$C$31916),$C$31913*$C$32079/100,0)+IF(AND($C$31744=1,D32082=$C$32080),$C$31919,0)</f>
        <v>0</v>
      </c>
      <c r="E32085" s="16" t="n">
        <f aca="false">IF(AND($C$31744=0,E32082=$C$31916),$C$31913*$C$32079/100,0)+IF(AND($C$31744=1,E32082=$C$32080),$C$31919,0)</f>
        <v>0</v>
      </c>
      <c r="F32085" s="16" t="n">
        <f aca="false">IF(AND($C$31744=0,F32082=$C$31916),$C$31913*$C$32079/100,0)+IF(AND($C$31744=1,F32082=$C$32080),$C$31919,0)</f>
        <v>100</v>
      </c>
      <c r="G32085" s="16" t="n">
        <f aca="false">IF(AND($C$31744=0,G32082=$C$31916),$C$31913*$C$32079/100,0)+IF(AND($C$31744=1,G32082=$C$32080),$C$31919,0)</f>
        <v>0</v>
      </c>
      <c r="H32085" s="16" t="n">
        <f aca="false">IF(AND($C$31744=0,H32082=$C$31916),$C$31913*$C$32079/100,0)+IF(AND($C$31744=1,H32082=$C$32080),$C$31919,0)</f>
        <v>0</v>
      </c>
      <c r="I32085" s="16" t="n">
        <f aca="false">IF(AND($C$31744=0,I32082=$C$31916),$C$31913*$C$32079/100,0)+IF(AND($C$31744=1,I32082=$C$32080),$C$31919,0)</f>
        <v>0</v>
      </c>
    </row>
    <row r="32086" customFormat="false" ht="15" hidden="false" customHeight="false" outlineLevel="0" collapsed="false">
      <c r="A32086" s="2" t="s">
        <v>604</v>
      </c>
      <c r="C32086" s="17" t="n">
        <f aca="false">-$C$31915</f>
        <v>-98.49</v>
      </c>
      <c r="D32086" s="17" t="n">
        <f aca="false">D32084+D32085</f>
        <v>9.15</v>
      </c>
      <c r="E32086" s="17" t="n">
        <f aca="false">E32084+E32085</f>
        <v>9</v>
      </c>
      <c r="F32086" s="17" t="n">
        <f aca="false">F32084+F32085</f>
        <v>108.75</v>
      </c>
      <c r="G32086" s="17" t="n">
        <f aca="false">G32084+G32085</f>
        <v>0</v>
      </c>
      <c r="H32086" s="17" t="n">
        <f aca="false">H32084+H32085</f>
        <v>0</v>
      </c>
      <c r="I32086" s="17" t="n">
        <f aca="false">I32084+I32085</f>
        <v>0</v>
      </c>
    </row>
    <row r="32087" customFormat="false" ht="15" hidden="false" customHeight="false" outlineLevel="0" collapsed="false">
      <c r="A32087" s="3" t="s">
        <v>605</v>
      </c>
      <c r="C32087" s="16" t="n">
        <f aca="false">SUM($C$32084:$I$32084)</f>
        <v>26.9</v>
      </c>
    </row>
    <row r="32088" customFormat="false" ht="15" hidden="false" customHeight="false" outlineLevel="0" collapsed="false">
      <c r="A32088" s="3" t="s">
        <v>606</v>
      </c>
      <c r="C32088" s="16" t="n">
        <f aca="false">SUM($C$32085:$I$32085)</f>
        <v>100</v>
      </c>
    </row>
    <row r="32089" customFormat="false" ht="15" hidden="false" customHeight="false" outlineLevel="0" collapsed="false">
      <c r="A32089" s="3" t="s">
        <v>607</v>
      </c>
      <c r="C32089" s="16" t="n">
        <f aca="false">C32087+C32088</f>
        <v>126.9</v>
      </c>
    </row>
    <row r="32090" customFormat="false" ht="15" hidden="false" customHeight="false" outlineLevel="0" collapsed="false">
      <c r="A32090" s="3" t="s">
        <v>608</v>
      </c>
      <c r="C32090" s="16" t="n">
        <f aca="false">C32088-C31913*C31914/100</f>
        <v>2</v>
      </c>
    </row>
    <row r="32091" customFormat="false" ht="15" hidden="false" customHeight="false" outlineLevel="0" collapsed="false">
      <c r="A32091" s="3" t="s">
        <v>609</v>
      </c>
      <c r="C32091" s="16" t="n">
        <f aca="false">C32089-C31915</f>
        <v>28.41</v>
      </c>
    </row>
    <row r="32092" customFormat="false" ht="15" hidden="false" customHeight="false" outlineLevel="0" collapsed="false">
      <c r="A32092" s="2" t="s">
        <v>484</v>
      </c>
      <c r="C32092" s="44" t="n">
        <f aca="false">C32089/C31915</f>
        <v>1.28845568077977</v>
      </c>
    </row>
    <row r="32093" customFormat="false" ht="15" hidden="false" customHeight="false" outlineLevel="0" collapsed="false">
      <c r="A32093" s="2" t="s">
        <v>483</v>
      </c>
      <c r="C32093" s="42" t="n">
        <f aca="false">IF(C32089&lt;=0,-1,IFERROR(IRR($C$32086:$I$32086,MAX(-0.9,C32092^(1/C32080)-1)),IRR($C$32086:$I$32086,0.1)))</f>
        <v>0.0958152816969216</v>
      </c>
    </row>
    <row r="32094" customFormat="false" ht="15" hidden="false" customHeight="false" outlineLevel="0" collapsed="false">
      <c r="A32094" s="3" t="s">
        <v>610</v>
      </c>
      <c r="C32094" s="32" t="n">
        <f aca="false">MAX($G$31688:$K$31688)</f>
        <v>9.99528975565569</v>
      </c>
    </row>
    <row r="32095" customFormat="false" ht="15" hidden="false" customHeight="false" outlineLevel="0" collapsed="false">
      <c r="A32095" s="3" t="s">
        <v>611</v>
      </c>
      <c r="C32095" s="32" t="n">
        <f aca="false">MIN($G$31689:$K$31689)</f>
        <v>1.34274565931266</v>
      </c>
    </row>
    <row r="32096" customFormat="false" ht="15" hidden="false" customHeight="false" outlineLevel="0" collapsed="false">
      <c r="A32096" s="3" t="s">
        <v>612</v>
      </c>
      <c r="C32096" s="16" t="n">
        <f aca="false">SUM($G$31476:$K$31476)</f>
        <v>-435.805435297248</v>
      </c>
    </row>
    <row r="32100" customFormat="false" ht="15" hidden="false" customHeight="false" outlineLevel="0" collapsed="false">
      <c r="A32100" s="9" t="s">
        <v>1179</v>
      </c>
      <c r="B32100" s="10"/>
      <c r="C32100" s="10"/>
      <c r="D32100" s="10"/>
      <c r="E32100" s="10"/>
      <c r="F32100" s="10"/>
      <c r="G32100" s="10"/>
      <c r="H32100" s="10"/>
      <c r="I32100" s="10"/>
      <c r="J32100" s="10"/>
      <c r="K32100" s="10"/>
    </row>
    <row r="32101" customFormat="false" ht="15" hidden="false" customHeight="false" outlineLevel="0" collapsed="false">
      <c r="A32101" s="3" t="s">
        <v>1126</v>
      </c>
      <c r="C32101" s="11" t="n">
        <v>1</v>
      </c>
    </row>
    <row r="32102" customFormat="false" ht="15" hidden="false" customHeight="false" outlineLevel="0" collapsed="false">
      <c r="A32102" s="3" t="s">
        <v>1127</v>
      </c>
      <c r="C32102" s="19" t="n">
        <v>0</v>
      </c>
    </row>
    <row r="32103" customFormat="false" ht="15" hidden="false" customHeight="false" outlineLevel="0" collapsed="false">
      <c r="A32103" s="3" t="s">
        <v>1128</v>
      </c>
      <c r="C32103" s="19" t="n">
        <v>0</v>
      </c>
    </row>
    <row r="32104" customFormat="false" ht="15" hidden="false" customHeight="false" outlineLevel="0" collapsed="false">
      <c r="A32104" s="3" t="s">
        <v>1129</v>
      </c>
      <c r="C32104" s="19" t="n">
        <v>0</v>
      </c>
    </row>
    <row r="32105" customFormat="false" ht="15" hidden="false" customHeight="false" outlineLevel="0" collapsed="false">
      <c r="A32105" s="3" t="s">
        <v>1130</v>
      </c>
      <c r="C32105" s="34" t="n">
        <f aca="false">Sensitivities!$A$61</f>
        <v>-1</v>
      </c>
    </row>
    <row r="32107" customFormat="false" ht="15" hidden="false" customHeight="false" outlineLevel="0" collapsed="false">
      <c r="A32107" s="24" t="s">
        <v>301</v>
      </c>
      <c r="B32107" s="25"/>
      <c r="C32107" s="25"/>
      <c r="D32107" s="25"/>
      <c r="E32107" s="25"/>
      <c r="F32107" s="25"/>
      <c r="G32107" s="25"/>
      <c r="H32107" s="25"/>
      <c r="I32107" s="25"/>
      <c r="J32107" s="25"/>
      <c r="K32107" s="25"/>
    </row>
    <row r="32108" customFormat="false" ht="15" hidden="false" customHeight="false" outlineLevel="0" collapsed="false">
      <c r="A32108" s="3" t="s">
        <v>302</v>
      </c>
      <c r="F32108" s="27" t="n">
        <f aca="false">Assumptions!$C$6</f>
        <v>2026</v>
      </c>
      <c r="G32108" s="21" t="n">
        <f aca="false">F32108+1</f>
        <v>2027</v>
      </c>
      <c r="H32108" s="21" t="n">
        <f aca="false">G32108+1</f>
        <v>2028</v>
      </c>
      <c r="I32108" s="21" t="n">
        <f aca="false">H32108+1</f>
        <v>2029</v>
      </c>
      <c r="J32108" s="21" t="n">
        <f aca="false">I32108+1</f>
        <v>2030</v>
      </c>
      <c r="K32108" s="21" t="n">
        <f aca="false">J32108+1</f>
        <v>2031</v>
      </c>
    </row>
    <row r="32109" customFormat="false" ht="15" hidden="false" customHeight="false" outlineLevel="0" collapsed="false">
      <c r="A32109" s="3" t="s">
        <v>303</v>
      </c>
      <c r="G32109" s="21" t="n">
        <f aca="false">G32108-Assumptions!$C$6</f>
        <v>1</v>
      </c>
      <c r="H32109" s="21" t="n">
        <f aca="false">H32108-Assumptions!$C$6</f>
        <v>2</v>
      </c>
      <c r="I32109" s="21" t="n">
        <f aca="false">I32108-Assumptions!$C$6</f>
        <v>3</v>
      </c>
      <c r="J32109" s="21" t="n">
        <f aca="false">J32108-Assumptions!$C$6</f>
        <v>4</v>
      </c>
      <c r="K32109" s="21" t="n">
        <f aca="false">K32108-Assumptions!$C$6</f>
        <v>5</v>
      </c>
    </row>
    <row r="32110" customFormat="false" ht="15" hidden="false" customHeight="false" outlineLevel="0" collapsed="false">
      <c r="A32110" s="3" t="s">
        <v>180</v>
      </c>
      <c r="G32110" s="22" t="n">
        <f aca="false">CHOOSE($C$32101,Assumptions!$G$79,Assumptions!$G$98,Assumptions!$G$117)+$C$32102</f>
        <v>-0.03</v>
      </c>
      <c r="H32110" s="22" t="n">
        <f aca="false">CHOOSE($C$32101,Assumptions!$H$79,Assumptions!$H$98,Assumptions!$H$117)+$C$32102</f>
        <v>0.02</v>
      </c>
      <c r="I32110" s="22" t="n">
        <f aca="false">CHOOSE($C$32101,Assumptions!$I$79,Assumptions!$I$98,Assumptions!$I$117)+$C$32102</f>
        <v>0.02</v>
      </c>
      <c r="J32110" s="22" t="n">
        <f aca="false">CHOOSE($C$32101,Assumptions!$J$79,Assumptions!$J$98,Assumptions!$J$117)+$C$32102</f>
        <v>0.02</v>
      </c>
      <c r="K32110" s="22" t="n">
        <f aca="false">CHOOSE($C$32101,Assumptions!$K$79,Assumptions!$K$98,Assumptions!$K$117)+$C$32102</f>
        <v>0.02</v>
      </c>
    </row>
    <row r="32111" customFormat="false" ht="15" hidden="false" customHeight="false" outlineLevel="0" collapsed="false">
      <c r="A32111" s="3" t="s">
        <v>181</v>
      </c>
      <c r="G32111" s="22" t="n">
        <f aca="false">CHOOSE($C$32101,Assumptions!$G$80,Assumptions!$G$99,Assumptions!$G$118)</f>
        <v>0.603920660818678</v>
      </c>
      <c r="H32111" s="22" t="n">
        <f aca="false">CHOOSE($C$32101,Assumptions!$H$80,Assumptions!$H$99,Assumptions!$H$118)</f>
        <v>0.606920660818678</v>
      </c>
      <c r="I32111" s="22" t="n">
        <f aca="false">CHOOSE($C$32101,Assumptions!$I$80,Assumptions!$I$99,Assumptions!$I$118)</f>
        <v>0.609920660818678</v>
      </c>
      <c r="J32111" s="22" t="n">
        <f aca="false">CHOOSE($C$32101,Assumptions!$J$80,Assumptions!$J$99,Assumptions!$J$118)</f>
        <v>0.611920660818678</v>
      </c>
      <c r="K32111" s="22" t="n">
        <f aca="false">CHOOSE($C$32101,Assumptions!$K$80,Assumptions!$K$99,Assumptions!$K$118)</f>
        <v>0.613920660818678</v>
      </c>
    </row>
    <row r="32112" customFormat="false" ht="15" hidden="false" customHeight="false" outlineLevel="0" collapsed="false">
      <c r="A32112" s="3" t="s">
        <v>182</v>
      </c>
      <c r="G32112" s="22" t="n">
        <f aca="false">CHOOSE($C$32101,Assumptions!$G$81,Assumptions!$G$100,Assumptions!$G$119)+$C$32103</f>
        <v>0.53</v>
      </c>
      <c r="H32112" s="22" t="n">
        <f aca="false">CHOOSE($C$32101,Assumptions!$H$81,Assumptions!$H$100,Assumptions!$H$119)+$C$32103</f>
        <v>0.533</v>
      </c>
      <c r="I32112" s="22" t="n">
        <f aca="false">CHOOSE($C$32101,Assumptions!$I$81,Assumptions!$I$100,Assumptions!$I$119)+$C$32103</f>
        <v>0.536</v>
      </c>
      <c r="J32112" s="22" t="n">
        <f aca="false">CHOOSE($C$32101,Assumptions!$J$81,Assumptions!$J$100,Assumptions!$J$119)+$C$32103</f>
        <v>0.538</v>
      </c>
      <c r="K32112" s="22" t="n">
        <f aca="false">CHOOSE($C$32101,Assumptions!$K$81,Assumptions!$K$100,Assumptions!$K$119)+$C$32103</f>
        <v>0.54</v>
      </c>
    </row>
    <row r="32113" customFormat="false" ht="15" hidden="false" customHeight="false" outlineLevel="0" collapsed="false">
      <c r="A32113" s="24" t="s">
        <v>304</v>
      </c>
      <c r="B32113" s="25"/>
      <c r="C32113" s="25"/>
      <c r="D32113" s="25"/>
      <c r="E32113" s="25"/>
      <c r="F32113" s="25"/>
      <c r="G32113" s="25"/>
      <c r="H32113" s="25"/>
      <c r="I32113" s="25"/>
      <c r="J32113" s="25"/>
      <c r="K32113" s="25"/>
    </row>
    <row r="32114" customFormat="false" ht="15" hidden="false" customHeight="false" outlineLevel="0" collapsed="false">
      <c r="A32114" s="2" t="s">
        <v>275</v>
      </c>
      <c r="F32114" s="28" t="n">
        <f aca="false">'Historical Financials'!G25</f>
        <v>498.291</v>
      </c>
      <c r="G32114" s="17" t="n">
        <f aca="false">F32114*(1+G32110)</f>
        <v>483.34227</v>
      </c>
      <c r="H32114" s="17" t="n">
        <f aca="false">G32114*(1+H32110)</f>
        <v>493.0091154</v>
      </c>
      <c r="I32114" s="17" t="n">
        <f aca="false">H32114*(1+I32110)</f>
        <v>502.869297708</v>
      </c>
      <c r="J32114" s="17" t="n">
        <f aca="false">I32114*(1+J32110)</f>
        <v>512.92668366216</v>
      </c>
      <c r="K32114" s="17" t="n">
        <f aca="false">J32114*(1+K32110)</f>
        <v>523.185217335403</v>
      </c>
    </row>
    <row r="32115" customFormat="false" ht="15" hidden="false" customHeight="false" outlineLevel="0" collapsed="false">
      <c r="A32115" s="3" t="s">
        <v>276</v>
      </c>
      <c r="G32115" s="16" t="n">
        <f aca="false">G32114*(1-G32111)</f>
        <v>191.4418869</v>
      </c>
      <c r="H32115" s="16" t="n">
        <f aca="false">H32114*(1-H32111)</f>
        <v>193.7916972918</v>
      </c>
      <c r="I32115" s="16" t="n">
        <f aca="false">I32114*(1-I32111)</f>
        <v>196.158923344512</v>
      </c>
      <c r="J32115" s="16" t="n">
        <f aca="false">J32114*(1-J32111)</f>
        <v>199.056248444078</v>
      </c>
      <c r="K32115" s="16" t="n">
        <f aca="false">K32114*(1-K32111)</f>
        <v>201.991002978289</v>
      </c>
    </row>
    <row r="32116" customFormat="false" ht="15" hidden="false" customHeight="false" outlineLevel="0" collapsed="false">
      <c r="A32116" s="2" t="s">
        <v>277</v>
      </c>
      <c r="G32116" s="17" t="n">
        <f aca="false">G32114-G32115</f>
        <v>291.9003831</v>
      </c>
      <c r="H32116" s="17" t="n">
        <f aca="false">H32114-H32115</f>
        <v>299.2174181082</v>
      </c>
      <c r="I32116" s="17" t="n">
        <f aca="false">I32114-I32115</f>
        <v>306.710374363488</v>
      </c>
      <c r="J32116" s="17" t="n">
        <f aca="false">J32114-J32115</f>
        <v>313.870435218082</v>
      </c>
      <c r="K32116" s="17" t="n">
        <f aca="false">K32114-K32115</f>
        <v>321.194214357115</v>
      </c>
    </row>
    <row r="32117" customFormat="false" ht="15" hidden="false" customHeight="false" outlineLevel="0" collapsed="false">
      <c r="A32117" s="3" t="s">
        <v>305</v>
      </c>
      <c r="G32117" s="16" t="n">
        <f aca="false">G32116-G32118</f>
        <v>35.72898</v>
      </c>
      <c r="H32117" s="16" t="n">
        <f aca="false">H32116-H32118</f>
        <v>36.4435596</v>
      </c>
      <c r="I32117" s="16" t="n">
        <f aca="false">I32116-I32118</f>
        <v>37.172430792</v>
      </c>
      <c r="J32117" s="16" t="n">
        <f aca="false">J32116-J32118</f>
        <v>37.91587940784</v>
      </c>
      <c r="K32117" s="16" t="n">
        <f aca="false">K32116-K32118</f>
        <v>38.6741969959968</v>
      </c>
    </row>
    <row r="32118" customFormat="false" ht="15" hidden="false" customHeight="false" outlineLevel="0" collapsed="false">
      <c r="A32118" s="2" t="s">
        <v>306</v>
      </c>
      <c r="G32118" s="17" t="n">
        <f aca="false">G32114*G32112</f>
        <v>256.1714031</v>
      </c>
      <c r="H32118" s="17" t="n">
        <f aca="false">H32114*H32112</f>
        <v>262.7738585082</v>
      </c>
      <c r="I32118" s="17" t="n">
        <f aca="false">I32114*I32112</f>
        <v>269.537943571488</v>
      </c>
      <c r="J32118" s="17" t="n">
        <f aca="false">J32114*J32112</f>
        <v>275.954555810242</v>
      </c>
      <c r="K32118" s="17" t="n">
        <f aca="false">K32114*K32112</f>
        <v>282.520017361118</v>
      </c>
    </row>
    <row r="32119" customFormat="false" ht="15" hidden="false" customHeight="false" outlineLevel="0" collapsed="false">
      <c r="A32119" s="3" t="s">
        <v>307</v>
      </c>
      <c r="G32119" s="16" t="n">
        <f aca="false">G32114*'Historical Financials'!G30/'Historical Financials'!G25</f>
        <v>179.73421</v>
      </c>
      <c r="H32119" s="16" t="n">
        <f aca="false">H32114*'Historical Financials'!G30/'Historical Financials'!G25</f>
        <v>183.3288942</v>
      </c>
      <c r="I32119" s="16" t="n">
        <f aca="false">I32114*'Historical Financials'!G30/'Historical Financials'!G25</f>
        <v>186.995472084</v>
      </c>
      <c r="J32119" s="16" t="n">
        <f aca="false">J32114*'Historical Financials'!G30/'Historical Financials'!G25</f>
        <v>190.73538152568</v>
      </c>
      <c r="K32119" s="16" t="n">
        <f aca="false">K32114*'Historical Financials'!G30/'Historical Financials'!G25</f>
        <v>194.550089156194</v>
      </c>
    </row>
    <row r="32120" customFormat="false" ht="15" hidden="false" customHeight="false" outlineLevel="0" collapsed="false">
      <c r="A32120" s="3" t="s">
        <v>308</v>
      </c>
      <c r="G32120" s="16" t="n">
        <f aca="false">G32114*'Historical Financials'!G31/'Historical Financials'!G25</f>
        <v>0</v>
      </c>
      <c r="H32120" s="16" t="n">
        <f aca="false">H32114*'Historical Financials'!G31/'Historical Financials'!G25</f>
        <v>0</v>
      </c>
      <c r="I32120" s="16" t="n">
        <f aca="false">I32114*'Historical Financials'!G31/'Historical Financials'!G25</f>
        <v>0</v>
      </c>
      <c r="J32120" s="16" t="n">
        <f aca="false">J32114*'Historical Financials'!G31/'Historical Financials'!G25</f>
        <v>0</v>
      </c>
      <c r="K32120" s="16" t="n">
        <f aca="false">K32114*'Historical Financials'!G31/'Historical Financials'!G25</f>
        <v>0</v>
      </c>
    </row>
    <row r="32121" customFormat="false" ht="15" hidden="false" customHeight="false" outlineLevel="0" collapsed="false">
      <c r="A32121" s="2" t="s">
        <v>309</v>
      </c>
      <c r="G32121" s="17" t="n">
        <f aca="false">G32118-G32119-G32120</f>
        <v>76.4371931</v>
      </c>
      <c r="H32121" s="17" t="n">
        <f aca="false">H32118-H32119-H32120</f>
        <v>79.4449643082</v>
      </c>
      <c r="I32121" s="17" t="n">
        <f aca="false">I32118-I32119-I32120</f>
        <v>82.542471487488</v>
      </c>
      <c r="J32121" s="17" t="n">
        <f aca="false">J32118-J32119-J32120</f>
        <v>85.2191742845621</v>
      </c>
      <c r="K32121" s="17" t="n">
        <f aca="false">K32118-K32119-K32120</f>
        <v>87.9699282049242</v>
      </c>
    </row>
    <row r="32122" customFormat="false" ht="15" hidden="false" customHeight="false" outlineLevel="0" collapsed="false">
      <c r="A32122" s="3" t="s">
        <v>310</v>
      </c>
      <c r="G32122" s="16" t="n">
        <f aca="false">G32148+G32161+G32174+G32187+G32200+G32213+G32226+G32239+G32252+G32265</f>
        <v>180.2096854</v>
      </c>
      <c r="H32122" s="16" t="n">
        <f aca="false">H32148+H32161+H32174+H32187+H32200+H32213+H32226+H32239+H32252+H32265</f>
        <v>179.1317704</v>
      </c>
      <c r="I32122" s="16" t="n">
        <f aca="false">I32148+I32161+I32174+I32187+I32200+I32213+I32226+I32239+I32252+I32265</f>
        <v>191.388017509904</v>
      </c>
      <c r="J32122" s="16" t="n">
        <f aca="false">J32148+J32161+J32174+J32187+J32200+J32213+J32226+J32239+J32252+J32265</f>
        <v>191.569272884469</v>
      </c>
      <c r="K32122" s="16" t="n">
        <f aca="false">K32148+K32161+K32174+K32187+K32200+K32213+K32226+K32239+K32252+K32265</f>
        <v>210.404714699088</v>
      </c>
    </row>
    <row r="32123" customFormat="false" ht="15" hidden="false" customHeight="false" outlineLevel="0" collapsed="false">
      <c r="A32123" s="3" t="s">
        <v>311</v>
      </c>
      <c r="G32123" s="16" t="n">
        <f aca="false">G32149+G32162+G32175+G32188+G32201+G32214+G32227+G32240+G32253+G32266</f>
        <v>0</v>
      </c>
      <c r="H32123" s="16" t="n">
        <f aca="false">H32149+H32162+H32175+H32188+H32201+H32214+H32227+H32240+H32253+H32266</f>
        <v>0</v>
      </c>
      <c r="I32123" s="16" t="n">
        <f aca="false">I32149+I32162+I32175+I32188+I32201+I32214+I32227+I32240+I32253+I32266</f>
        <v>0</v>
      </c>
      <c r="J32123" s="16" t="n">
        <f aca="false">J32149+J32162+J32175+J32188+J32201+J32214+J32227+J32240+J32253+J32266</f>
        <v>0</v>
      </c>
      <c r="K32123" s="16" t="n">
        <f aca="false">K32149+K32162+K32175+K32188+K32201+K32214+K32227+K32240+K32253+K32266</f>
        <v>0</v>
      </c>
    </row>
    <row r="32124" customFormat="false" ht="15" hidden="false" customHeight="false" outlineLevel="0" collapsed="false">
      <c r="A32124" s="3" t="s">
        <v>283</v>
      </c>
      <c r="G32124" s="16" t="n">
        <f aca="false">G32122+G32123</f>
        <v>180.2096854</v>
      </c>
      <c r="H32124" s="16" t="n">
        <f aca="false">H32122+H32123</f>
        <v>179.1317704</v>
      </c>
      <c r="I32124" s="16" t="n">
        <f aca="false">I32122+I32123</f>
        <v>191.388017509904</v>
      </c>
      <c r="J32124" s="16" t="n">
        <f aca="false">J32122+J32123</f>
        <v>191.569272884469</v>
      </c>
      <c r="K32124" s="16" t="n">
        <f aca="false">K32122+K32123</f>
        <v>210.404714699088</v>
      </c>
    </row>
    <row r="32125" customFormat="false" ht="15" hidden="false" customHeight="false" outlineLevel="0" collapsed="false">
      <c r="A32125" s="2" t="s">
        <v>284</v>
      </c>
      <c r="G32125" s="17" t="n">
        <f aca="false">G32121-G32124</f>
        <v>-103.7724923</v>
      </c>
      <c r="H32125" s="17" t="n">
        <f aca="false">H32121-H32124</f>
        <v>-99.6868060918</v>
      </c>
      <c r="I32125" s="17" t="n">
        <f aca="false">I32121-I32124</f>
        <v>-108.845546022416</v>
      </c>
      <c r="J32125" s="17" t="n">
        <f aca="false">J32121-J32124</f>
        <v>-106.350098599906</v>
      </c>
      <c r="K32125" s="17" t="n">
        <f aca="false">K32121-K32124</f>
        <v>-122.434786494163</v>
      </c>
    </row>
    <row r="32126" customFormat="false" ht="15" hidden="false" customHeight="false" outlineLevel="0" collapsed="false">
      <c r="A32126" s="3" t="s">
        <v>312</v>
      </c>
      <c r="G32126" s="16" t="n">
        <f aca="false">MAX(0,G32125)*Assumptions!$C$9</f>
        <v>0</v>
      </c>
      <c r="H32126" s="16" t="n">
        <f aca="false">MAX(0,H32125)*Assumptions!$C$9</f>
        <v>0</v>
      </c>
      <c r="I32126" s="16" t="n">
        <f aca="false">MAX(0,I32125)*Assumptions!$C$9</f>
        <v>0</v>
      </c>
      <c r="J32126" s="16" t="n">
        <f aca="false">MAX(0,J32125)*Assumptions!$C$9</f>
        <v>0</v>
      </c>
      <c r="K32126" s="16" t="n">
        <f aca="false">MAX(0,K32125)*Assumptions!$C$9</f>
        <v>0</v>
      </c>
    </row>
    <row r="32127" customFormat="false" ht="15" hidden="false" customHeight="false" outlineLevel="0" collapsed="false">
      <c r="A32127" s="2" t="s">
        <v>313</v>
      </c>
      <c r="G32127" s="17" t="n">
        <f aca="false">G32125-G32126</f>
        <v>-103.7724923</v>
      </c>
      <c r="H32127" s="17" t="n">
        <f aca="false">H32125-H32126</f>
        <v>-99.6868060918</v>
      </c>
      <c r="I32127" s="17" t="n">
        <f aca="false">I32125-I32126</f>
        <v>-108.845546022416</v>
      </c>
      <c r="J32127" s="17" t="n">
        <f aca="false">J32125-J32126</f>
        <v>-106.350098599906</v>
      </c>
      <c r="K32127" s="17" t="n">
        <f aca="false">K32125-K32126</f>
        <v>-122.434786494163</v>
      </c>
    </row>
    <row r="32128" customFormat="false" ht="15" hidden="false" customHeight="false" outlineLevel="0" collapsed="false">
      <c r="A32128" s="24" t="s">
        <v>314</v>
      </c>
      <c r="B32128" s="25"/>
      <c r="C32128" s="25"/>
      <c r="D32128" s="25"/>
      <c r="E32128" s="25"/>
      <c r="F32128" s="25"/>
      <c r="G32128" s="25"/>
      <c r="H32128" s="25"/>
      <c r="I32128" s="25"/>
      <c r="J32128" s="25"/>
      <c r="K32128" s="25"/>
    </row>
    <row r="32129" customFormat="false" ht="15" hidden="false" customHeight="false" outlineLevel="0" collapsed="false">
      <c r="A32129" s="3" t="s">
        <v>184</v>
      </c>
      <c r="G32129" s="16" t="n">
        <f aca="false">G32114*CHOOSE($C$32101,Assumptions!$C$83,Assumptions!$C$102,Assumptions!$C$121)</f>
        <v>106.3352994</v>
      </c>
      <c r="H32129" s="16" t="n">
        <f aca="false">H32114*CHOOSE($C$32101,Assumptions!$C$83,Assumptions!$C$102,Assumptions!$C$121)</f>
        <v>108.462005388</v>
      </c>
      <c r="I32129" s="16" t="n">
        <f aca="false">I32114*CHOOSE($C$32101,Assumptions!$C$83,Assumptions!$C$102,Assumptions!$C$121)</f>
        <v>110.63124549576</v>
      </c>
      <c r="J32129" s="16" t="n">
        <f aca="false">J32114*CHOOSE($C$32101,Assumptions!$C$83,Assumptions!$C$102,Assumptions!$C$121)</f>
        <v>112.843870405675</v>
      </c>
      <c r="K32129" s="16" t="n">
        <f aca="false">K32114*CHOOSE($C$32101,Assumptions!$C$83,Assumptions!$C$102,Assumptions!$C$121)</f>
        <v>115.100747813789</v>
      </c>
    </row>
    <row r="32130" customFormat="false" ht="15" hidden="false" customHeight="false" outlineLevel="0" collapsed="false">
      <c r="A32130" s="3" t="s">
        <v>315</v>
      </c>
      <c r="G32130" s="16" t="n">
        <f aca="false">CHOOSE($C$32101,Assumptions!$C$84,Assumptions!$C$103,Assumptions!$C$122)*(G32114-F32114)+CHOOSE($C$32101,Assumptions!$C$85,Assumptions!$C$104,Assumptions!$C$123)*G32114</f>
        <v>53.1676497</v>
      </c>
      <c r="H32130" s="16" t="n">
        <f aca="false">CHOOSE($C$32101,Assumptions!$C$84,Assumptions!$C$103,Assumptions!$C$122)*(H32114-G32114)+CHOOSE($C$32101,Assumptions!$C$85,Assumptions!$C$104,Assumptions!$C$123)*H32114</f>
        <v>54.231002694</v>
      </c>
      <c r="I32130" s="16" t="n">
        <f aca="false">CHOOSE($C$32101,Assumptions!$C$84,Assumptions!$C$103,Assumptions!$C$122)*(I32114-H32114)+CHOOSE($C$32101,Assumptions!$C$85,Assumptions!$C$104,Assumptions!$C$123)*I32114</f>
        <v>55.31562274788</v>
      </c>
      <c r="J32130" s="16" t="n">
        <f aca="false">CHOOSE($C$32101,Assumptions!$C$84,Assumptions!$C$103,Assumptions!$C$122)*(J32114-I32114)+CHOOSE($C$32101,Assumptions!$C$85,Assumptions!$C$104,Assumptions!$C$123)*J32114</f>
        <v>56.4219352028376</v>
      </c>
      <c r="K32130" s="16" t="n">
        <f aca="false">CHOOSE($C$32101,Assumptions!$C$84,Assumptions!$C$103,Assumptions!$C$122)*(K32114-J32114)+CHOOSE($C$32101,Assumptions!$C$85,Assumptions!$C$104,Assumptions!$C$123)*K32114</f>
        <v>57.5503739068944</v>
      </c>
    </row>
    <row r="32131" customFormat="false" ht="15" hidden="false" customHeight="false" outlineLevel="0" collapsed="false">
      <c r="A32131" s="2" t="s">
        <v>316</v>
      </c>
      <c r="G32131" s="17" t="n">
        <f aca="false">G32127+G32119+G32120+G32123-G32129-G32130</f>
        <v>-83.5412314</v>
      </c>
      <c r="H32131" s="17" t="n">
        <f aca="false">H32127+H32119+H32120+H32123-H32129-H32130</f>
        <v>-79.0509199738</v>
      </c>
      <c r="I32131" s="17" t="n">
        <f aca="false">I32127+I32119+I32120+I32123-I32129-I32130</f>
        <v>-87.796942182056</v>
      </c>
      <c r="J32131" s="17" t="n">
        <f aca="false">J32127+J32119+J32120+J32123-J32129-J32130</f>
        <v>-84.8805226827392</v>
      </c>
      <c r="K32131" s="17" t="n">
        <f aca="false">K32127+K32119+K32120+K32123-K32129-K32130</f>
        <v>-100.535819058653</v>
      </c>
    </row>
    <row r="32133" customFormat="false" ht="15" hidden="false" customHeight="false" outlineLevel="0" collapsed="false">
      <c r="A32133" s="24" t="s">
        <v>318</v>
      </c>
      <c r="B32133" s="25"/>
      <c r="C32133" s="25"/>
      <c r="D32133" s="25"/>
      <c r="E32133" s="25"/>
      <c r="F32133" s="25"/>
      <c r="G32133" s="25"/>
      <c r="H32133" s="25"/>
      <c r="I32133" s="25"/>
      <c r="J32133" s="25"/>
      <c r="K32133" s="25"/>
    </row>
    <row r="32134" customFormat="false" ht="15" hidden="false" customHeight="false" outlineLevel="0" collapsed="false">
      <c r="A32134" s="3" t="s">
        <v>319</v>
      </c>
      <c r="G32134" s="30" t="n">
        <f aca="false">Assumptions!$G$53</f>
        <v>0.039</v>
      </c>
      <c r="H32134" s="30" t="n">
        <f aca="false">Assumptions!$H$53</f>
        <v>0.0375</v>
      </c>
      <c r="I32134" s="30" t="n">
        <f aca="false">Assumptions!$I$53</f>
        <v>0.035</v>
      </c>
      <c r="J32134" s="30" t="n">
        <f aca="false">Assumptions!$J$53</f>
        <v>0.035</v>
      </c>
      <c r="K32134" s="30" t="n">
        <f aca="false">Assumptions!$K$53</f>
        <v>0.035</v>
      </c>
    </row>
    <row r="32135" customFormat="false" ht="15" hidden="false" customHeight="false" outlineLevel="0" collapsed="false">
      <c r="A32135" s="3" t="s">
        <v>320</v>
      </c>
      <c r="C32135" s="31" t="n">
        <f aca="false">CHOOSE($C$32101,Assumptions!$C$86,Assumptions!$C$105,Assumptions!$C$124)+$C$32104</f>
        <v>0</v>
      </c>
    </row>
    <row r="32136" customFormat="false" ht="15" hidden="false" customHeight="false" outlineLevel="0" collapsed="false">
      <c r="A32136" s="3" t="s">
        <v>321</v>
      </c>
      <c r="C32136" s="31" t="n">
        <f aca="false">CHOOSE($C$32101,Assumptions!$C$87,Assumptions!$C$106,Assumptions!$C$125)</f>
        <v>0.08</v>
      </c>
    </row>
    <row r="32137" customFormat="false" ht="15" hidden="false" customHeight="false" outlineLevel="0" collapsed="false">
      <c r="A32137" s="3" t="s">
        <v>322</v>
      </c>
      <c r="C32137" s="32" t="n">
        <f aca="false">CHOOSE($C$32101,Assumptions!$C$88,Assumptions!$C$107,Assumptions!$C$126)</f>
        <v>11</v>
      </c>
    </row>
    <row r="32138" customFormat="false" ht="15" hidden="false" customHeight="false" outlineLevel="0" collapsed="false">
      <c r="A32138" s="3" t="s">
        <v>323</v>
      </c>
      <c r="C32138" s="32" t="n">
        <f aca="false">CHOOSE($C$32101,Assumptions!$C$89,Assumptions!$C$108,Assumptions!$C$127)</f>
        <v>1.2</v>
      </c>
    </row>
    <row r="32139" customFormat="false" ht="15" hidden="false" customHeight="false" outlineLevel="0" collapsed="false">
      <c r="A32139" s="3" t="s">
        <v>324</v>
      </c>
      <c r="G32139" s="16" t="n">
        <f aca="false">G32144+G32157+G32170+G32183+G32196+G32209+G32222+G32235+G32248+G32261</f>
        <v>2625.934</v>
      </c>
      <c r="H32139" s="16" t="n">
        <f aca="false">H32144+H32157+H32170+H32183+H32196+H32209+H32222+H32235+H32248+H32261</f>
        <v>2621.934</v>
      </c>
      <c r="I32139" s="16" t="n">
        <f aca="false">I32144+I32157+I32170+I32183+I32196+I32209+I32222+I32235+I32248+I32261</f>
        <v>2575.6561513738</v>
      </c>
      <c r="J32139" s="16" t="n">
        <f aca="false">J32144+J32157+J32170+J32183+J32196+J32209+J32222+J32235+J32248+J32261</f>
        <v>2638.45309355586</v>
      </c>
      <c r="K32139" s="16" t="n">
        <f aca="false">K32144+K32157+K32170+K32183+K32196+K32209+K32222+K32235+K32248+K32261</f>
        <v>2723.3336162386</v>
      </c>
    </row>
    <row r="32140" customFormat="false" ht="15" hidden="false" customHeight="false" outlineLevel="0" collapsed="false">
      <c r="A32140" s="3" t="s">
        <v>325</v>
      </c>
      <c r="G32140" s="16" t="n">
        <f aca="false">F32332</f>
        <v>37.87</v>
      </c>
      <c r="H32140" s="16" t="n">
        <f aca="false">G32332</f>
        <v>150.3287686</v>
      </c>
      <c r="I32140" s="16" t="n">
        <f aca="false">H32332</f>
        <v>25</v>
      </c>
      <c r="J32140" s="16" t="n">
        <f aca="false">I32332</f>
        <v>0</v>
      </c>
      <c r="K32140" s="16" t="n">
        <f aca="false">J32332</f>
        <v>0</v>
      </c>
    </row>
    <row r="32141" customFormat="false" ht="15" hidden="false" customHeight="false" outlineLevel="0" collapsed="false">
      <c r="A32141" s="3" t="s">
        <v>326</v>
      </c>
      <c r="G32141" s="16" t="n">
        <f aca="false">G32144*IF(G32145=1,$C$32136,IF(Assumptions!$I$57=1,MAX(G32134,Assumptions!$G$57)+Assumptions!$F$57+$C$32135,Assumptions!$E$57))+G32157*IF(G32158=1,$C$32136,IF(Assumptions!$I$58=1,MAX(G32134,Assumptions!$G$58)+Assumptions!$F$58+$C$32135,Assumptions!$E$58))+G32170*IF(G32171=1,$C$32136,IF(Assumptions!$I$59=1,MAX(G32134,Assumptions!$G$59)+Assumptions!$F$59+$C$32135,Assumptions!$E$59))+G32183*IF(G32184=1,$C$32136,IF(Assumptions!$I$60=1,MAX(G32134,Assumptions!$G$60)+Assumptions!$F$60+$C$32135,Assumptions!$E$60))+G32196*IF(G32197=1,$C$32136,IF(Assumptions!$I$61=1,MAX(G32134,Assumptions!$G$61)+Assumptions!$F$61+$C$32135,Assumptions!$E$61))+G32209*IF(G32210=1,$C$32136,IF(Assumptions!$I$62=1,MAX(G32134,Assumptions!$G$62)+Assumptions!$F$62+$C$32135,Assumptions!$E$62))+G32222*IF(G32223=1,$C$32136,IF(Assumptions!$I$63=1,MAX(G32134,Assumptions!$G$63)+Assumptions!$F$63+$C$32135,Assumptions!$E$63))+G32235*IF(G32236=1,$C$32136,IF(Assumptions!$I$64=1,MAX(G32134,Assumptions!$G$64)+Assumptions!$F$64+$C$32135,Assumptions!$E$64))+G32248*IF(G32249=1,$C$32136,IF(Assumptions!$I$65=1,MAX(G32134,Assumptions!$G$65)+Assumptions!$F$65+$C$32135,Assumptions!$E$65))+G32261*IF(G32262=1,$C$32136,IF(Assumptions!$I$66=1,MAX(G32134,Assumptions!$G$66)+Assumptions!$F$66+$C$32135,Assumptions!$E$66))</f>
        <v>180.2096854</v>
      </c>
      <c r="H32141" s="16" t="n">
        <f aca="false">H32144*IF(OR(H32145=1,G32454=1),$C$32136,IF(Assumptions!$I$57=1,MAX(H32134,Assumptions!$G$57)+Assumptions!$F$57+$C$32135,Assumptions!$E$57))+H32157*IF(OR(H32158=1,G32455=1),$C$32136,IF(Assumptions!$I$58=1,MAX(H32134,Assumptions!$G$58)+Assumptions!$F$58+$C$32135,Assumptions!$E$58))+H32170*IF(OR(H32171=1,G32456=1),$C$32136,IF(Assumptions!$I$59=1,MAX(H32134,Assumptions!$G$59)+Assumptions!$F$59+$C$32135,Assumptions!$E$59))+H32183*IF(OR(H32184=1,G32457=1),$C$32136,IF(Assumptions!$I$60=1,MAX(H32134,Assumptions!$G$60)+Assumptions!$F$60+$C$32135,Assumptions!$E$60))+H32196*IF(OR(H32197=1,G32458=1),$C$32136,IF(Assumptions!$I$61=1,MAX(H32134,Assumptions!$G$61)+Assumptions!$F$61+$C$32135,Assumptions!$E$61))+H32209*IF(OR(H32210=1,G32459=1),$C$32136,IF(Assumptions!$I$62=1,MAX(H32134,Assumptions!$G$62)+Assumptions!$F$62+$C$32135,Assumptions!$E$62))+H32222*IF(OR(H32223=1,G32460=1),$C$32136,IF(Assumptions!$I$63=1,MAX(H32134,Assumptions!$G$63)+Assumptions!$F$63+$C$32135,Assumptions!$E$63))+H32235*IF(OR(H32236=1,G32461=1),$C$32136,IF(Assumptions!$I$64=1,MAX(H32134,Assumptions!$G$64)+Assumptions!$F$64+$C$32135,Assumptions!$E$64))+H32248*IF(OR(H32249=1,G32462=1),$C$32136,IF(Assumptions!$I$65=1,MAX(H32134,Assumptions!$G$65)+Assumptions!$F$65+$C$32135,Assumptions!$E$65))+H32261*IF(OR(H32262=1,G32463=1),$C$32136,IF(Assumptions!$I$66=1,MAX(H32134,Assumptions!$G$66)+Assumptions!$F$66+$C$32135,Assumptions!$E$66))</f>
        <v>196.3067704</v>
      </c>
      <c r="I32141" s="16" t="n">
        <f aca="false">I32144*IF(OR(I32145=1,H32454=1),$C$32136,IF(Assumptions!$I$57=1,MAX(I32134,Assumptions!$G$57)+Assumptions!$F$57+$C$32135,Assumptions!$E$57))+I32157*IF(OR(I32158=1,H32455=1),$C$32136,IF(Assumptions!$I$58=1,MAX(I32134,Assumptions!$G$58)+Assumptions!$F$58+$C$32135,Assumptions!$E$58))+I32170*IF(OR(I32171=1,H32456=1),$C$32136,IF(Assumptions!$I$59=1,MAX(I32134,Assumptions!$G$59)+Assumptions!$F$59+$C$32135,Assumptions!$E$59))+I32183*IF(OR(I32184=1,H32457=1),$C$32136,IF(Assumptions!$I$60=1,MAX(I32134,Assumptions!$G$60)+Assumptions!$F$60+$C$32135,Assumptions!$E$60))+I32196*IF(OR(I32197=1,H32458=1),$C$32136,IF(Assumptions!$I$61=1,MAX(I32134,Assumptions!$G$61)+Assumptions!$F$61+$C$32135,Assumptions!$E$61))+I32209*IF(OR(I32210=1,H32459=1),$C$32136,IF(Assumptions!$I$62=1,MAX(I32134,Assumptions!$G$62)+Assumptions!$F$62+$C$32135,Assumptions!$E$62))+I32222*IF(OR(I32223=1,H32460=1),$C$32136,IF(Assumptions!$I$63=1,MAX(I32134,Assumptions!$G$63)+Assumptions!$F$63+$C$32135,Assumptions!$E$63))+I32235*IF(OR(I32236=1,H32461=1),$C$32136,IF(Assumptions!$I$64=1,MAX(I32134,Assumptions!$G$64)+Assumptions!$F$64+$C$32135,Assumptions!$E$64))+I32248*IF(OR(I32249=1,H32462=1),$C$32136,IF(Assumptions!$I$65=1,MAX(I32134,Assumptions!$G$65)+Assumptions!$F$65+$C$32135,Assumptions!$E$65))+I32261*IF(OR(I32262=1,H32463=1),$C$32136,IF(Assumptions!$I$66=1,MAX(I32134,Assumptions!$G$66)+Assumptions!$F$66+$C$32135,Assumptions!$E$66))</f>
        <v>186.575517509904</v>
      </c>
      <c r="J32141" s="16" t="n">
        <f aca="false">J32144*IF(OR(J32145=1,I32454=1),$C$32136,IF(Assumptions!$I$57=1,MAX(J32134,Assumptions!$G$57)+Assumptions!$F$57+$C$32135,Assumptions!$E$57))+J32157*IF(OR(J32158=1,I32455=1),$C$32136,IF(Assumptions!$I$58=1,MAX(J32134,Assumptions!$G$58)+Assumptions!$F$58+$C$32135,Assumptions!$E$58))+J32170*IF(OR(J32171=1,I32456=1),$C$32136,IF(Assumptions!$I$59=1,MAX(J32134,Assumptions!$G$59)+Assumptions!$F$59+$C$32135,Assumptions!$E$59))+J32183*IF(OR(J32184=1,I32457=1),$C$32136,IF(Assumptions!$I$60=1,MAX(J32134,Assumptions!$G$60)+Assumptions!$F$60+$C$32135,Assumptions!$E$60))+J32196*IF(OR(J32197=1,I32458=1),$C$32136,IF(Assumptions!$I$61=1,MAX(J32134,Assumptions!$G$61)+Assumptions!$F$61+$C$32135,Assumptions!$E$61))+J32209*IF(OR(J32210=1,I32459=1),$C$32136,IF(Assumptions!$I$62=1,MAX(J32134,Assumptions!$G$62)+Assumptions!$F$62+$C$32135,Assumptions!$E$62))+J32222*IF(OR(J32223=1,I32460=1),$C$32136,IF(Assumptions!$I$63=1,MAX(J32134,Assumptions!$G$63)+Assumptions!$F$63+$C$32135,Assumptions!$E$63))+J32235*IF(OR(J32236=1,I32461=1),$C$32136,IF(Assumptions!$I$64=1,MAX(J32134,Assumptions!$G$64)+Assumptions!$F$64+$C$32135,Assumptions!$E$64))+J32248*IF(OR(J32249=1,I32462=1),$C$32136,IF(Assumptions!$I$65=1,MAX(J32134,Assumptions!$G$65)+Assumptions!$F$65+$C$32135,Assumptions!$E$65))+J32261*IF(OR(J32262=1,I32463=1),$C$32136,IF(Assumptions!$I$66=1,MAX(J32134,Assumptions!$G$66)+Assumptions!$F$66+$C$32135,Assumptions!$E$66))</f>
        <v>203.644272884468</v>
      </c>
      <c r="K32141" s="16" t="n">
        <f aca="false">K32144*IF(OR(K32145=1,J32454=1),$C$32136,IF(Assumptions!$I$57=1,MAX(K32134,Assumptions!$G$57)+Assumptions!$F$57+$C$32135,Assumptions!$E$57))+K32157*IF(OR(K32158=1,J32455=1),$C$32136,IF(Assumptions!$I$58=1,MAX(K32134,Assumptions!$G$58)+Assumptions!$F$58+$C$32135,Assumptions!$E$58))+K32170*IF(OR(K32171=1,J32456=1),$C$32136,IF(Assumptions!$I$59=1,MAX(K32134,Assumptions!$G$59)+Assumptions!$F$59+$C$32135,Assumptions!$E$59))+K32183*IF(OR(K32184=1,J32457=1),$C$32136,IF(Assumptions!$I$60=1,MAX(K32134,Assumptions!$G$60)+Assumptions!$F$60+$C$32135,Assumptions!$E$60))+K32196*IF(OR(K32197=1,J32458=1),$C$32136,IF(Assumptions!$I$61=1,MAX(K32134,Assumptions!$G$61)+Assumptions!$F$61+$C$32135,Assumptions!$E$61))+K32209*IF(OR(K32210=1,J32459=1),$C$32136,IF(Assumptions!$I$62=1,MAX(K32134,Assumptions!$G$62)+Assumptions!$F$62+$C$32135,Assumptions!$E$62))+K32222*IF(OR(K32223=1,J32460=1),$C$32136,IF(Assumptions!$I$63=1,MAX(K32134,Assumptions!$G$63)+Assumptions!$F$63+$C$32135,Assumptions!$E$63))+K32235*IF(OR(K32236=1,J32461=1),$C$32136,IF(Assumptions!$I$64=1,MAX(K32134,Assumptions!$G$64)+Assumptions!$F$64+$C$32135,Assumptions!$E$64))+K32248*IF(OR(K32249=1,J32462=1),$C$32136,IF(Assumptions!$I$65=1,MAX(K32134,Assumptions!$G$65)+Assumptions!$F$65+$C$32135,Assumptions!$E$65))+K32261*IF(OR(K32262=1,J32463=1),$C$32136,IF(Assumptions!$I$66=1,MAX(K32134,Assumptions!$G$66)+Assumptions!$F$66+$C$32135,Assumptions!$E$66))</f>
        <v>213.149714699088</v>
      </c>
    </row>
    <row r="32142" customFormat="false" ht="15" hidden="false" customHeight="false" outlineLevel="0" collapsed="false">
      <c r="A32142" s="3" t="s">
        <v>327</v>
      </c>
      <c r="G32142" s="21" t="n">
        <f aca="false">IF(G32118&lt;=0,0,IF(AND((G32139-G32140)/G32118&lt;=$C$32137,G32118/G32141&gt;=$C$32138),1,0))</f>
        <v>1</v>
      </c>
      <c r="H32142" s="21" t="n">
        <f aca="false">IF(H32118&lt;=0,0,IF(AND((H32139-H32140)/H32118&lt;=$C$32137,H32118/H32141&gt;=$C$32138),1,0))</f>
        <v>1</v>
      </c>
      <c r="I32142" s="21" t="n">
        <f aca="false">IF(I32118&lt;=0,0,IF(AND((I32139-I32140)/I32118&lt;=$C$32137,I32118/I32141&gt;=$C$32138),1,0))</f>
        <v>1</v>
      </c>
      <c r="J32142" s="21" t="n">
        <f aca="false">IF(J32118&lt;=0,0,IF(AND((J32139-J32140)/J32118&lt;=$C$32137,J32118/J32141&gt;=$C$32138),1,0))</f>
        <v>1</v>
      </c>
      <c r="K32142" s="21" t="n">
        <f aca="false">IF(K32118&lt;=0,0,IF(AND((K32139-K32140)/K32118&lt;=$C$32137,K32118/K32141&gt;=$C$32138),1,0))</f>
        <v>1</v>
      </c>
    </row>
    <row r="32143" customFormat="false" ht="15" hidden="false" customHeight="false" outlineLevel="0" collapsed="false">
      <c r="A32143" s="24" t="s">
        <v>328</v>
      </c>
      <c r="B32143" s="25"/>
      <c r="C32143" s="25"/>
      <c r="D32143" s="25"/>
      <c r="E32143" s="25"/>
      <c r="F32143" s="25"/>
      <c r="G32143" s="25"/>
      <c r="H32143" s="25"/>
      <c r="I32143" s="25"/>
      <c r="J32143" s="25"/>
      <c r="K32143" s="25"/>
    </row>
    <row r="32144" customFormat="false" ht="15" hidden="false" customHeight="false" outlineLevel="0" collapsed="false">
      <c r="A32144" s="3" t="s">
        <v>329</v>
      </c>
      <c r="G32144" s="16" t="n">
        <f aca="false">F32155</f>
        <v>400</v>
      </c>
      <c r="H32144" s="16" t="n">
        <f aca="false">G32155</f>
        <v>396</v>
      </c>
      <c r="I32144" s="16" t="n">
        <f aca="false">H32155</f>
        <v>392</v>
      </c>
      <c r="J32144" s="16" t="n">
        <f aca="false">I32155</f>
        <v>388</v>
      </c>
      <c r="K32144" s="16" t="n">
        <f aca="false">J32155</f>
        <v>384</v>
      </c>
    </row>
    <row r="32145" customFormat="false" ht="15" hidden="false" customHeight="false" outlineLevel="0" collapsed="false">
      <c r="A32145" s="3" t="s">
        <v>330</v>
      </c>
      <c r="G32145" s="21" t="n">
        <f aca="false">IF(G32108=Assumptions!$K$57,1,0)</f>
        <v>0</v>
      </c>
      <c r="H32145" s="21" t="n">
        <f aca="false">IF(H32108=Assumptions!$K$57,1,0)</f>
        <v>0</v>
      </c>
      <c r="I32145" s="21" t="n">
        <f aca="false">IF(I32108=Assumptions!$K$57,1,0)</f>
        <v>0</v>
      </c>
      <c r="J32145" s="21" t="n">
        <f aca="false">IF(J32108=Assumptions!$K$57,1,0)</f>
        <v>0</v>
      </c>
      <c r="K32145" s="21" t="n">
        <f aca="false">IF(K32108=Assumptions!$K$57,1,0)</f>
        <v>1</v>
      </c>
    </row>
    <row r="32147" customFormat="false" ht="15" hidden="false" customHeight="false" outlineLevel="0" collapsed="false">
      <c r="A32147" s="3" t="s">
        <v>331</v>
      </c>
      <c r="G32147" s="31" t="n">
        <f aca="false">IF(Assumptions!$I$57=1,MAX(G32134,Assumptions!$G$57)+Assumptions!$F$57+$C$32135,Assumptions!$E$57)</f>
        <v>0.0915</v>
      </c>
      <c r="H32147" s="31" t="n">
        <f aca="false">IF(G32454=1,$C$32136,IF(Assumptions!$I$57=1,MAX(H32134,Assumptions!$G$57)+Assumptions!$F$57+$C$32135,Assumptions!$E$57))</f>
        <v>0.09</v>
      </c>
      <c r="I32147" s="31" t="n">
        <f aca="false">IF(H32454=1,$C$32136,IF(Assumptions!$I$57=1,MAX(I32134,Assumptions!$G$57)+Assumptions!$F$57+$C$32135,Assumptions!$E$57))</f>
        <v>0.0875</v>
      </c>
      <c r="J32147" s="31" t="n">
        <f aca="false">IF(I32454=1,$C$32136,IF(Assumptions!$I$57=1,MAX(J32134,Assumptions!$G$57)+Assumptions!$F$57+$C$32135,Assumptions!$E$57))</f>
        <v>0.0875</v>
      </c>
      <c r="K32147" s="31" t="n">
        <f aca="false">IF(J32454=1,$C$32136,IF(Assumptions!$I$57=1,MAX(K32134,Assumptions!$G$57)+Assumptions!$F$57+$C$32135,Assumptions!$E$57))</f>
        <v>0.0875</v>
      </c>
    </row>
    <row r="32148" customFormat="false" ht="15" hidden="false" customHeight="false" outlineLevel="0" collapsed="false">
      <c r="A32148" s="3" t="s">
        <v>332</v>
      </c>
      <c r="G32148" s="16" t="n">
        <f aca="false">G32144*G32147</f>
        <v>36.6</v>
      </c>
      <c r="H32148" s="16" t="n">
        <f aca="false">H32144*H32147</f>
        <v>35.64</v>
      </c>
      <c r="I32148" s="16" t="n">
        <f aca="false">I32144*I32147</f>
        <v>34.3</v>
      </c>
      <c r="J32148" s="16" t="n">
        <f aca="false">J32144*J32147</f>
        <v>33.95</v>
      </c>
      <c r="K32148" s="16" t="n">
        <f aca="false">K32144*K32147</f>
        <v>33.6</v>
      </c>
    </row>
    <row r="32149" customFormat="false" ht="15" hidden="false" customHeight="false" outlineLevel="0" collapsed="false">
      <c r="A32149" s="3" t="s">
        <v>333</v>
      </c>
      <c r="G32149" s="16" t="n">
        <f aca="false">G32144*Assumptions!$H$57</f>
        <v>0</v>
      </c>
      <c r="H32149" s="16" t="n">
        <f aca="false">H32144*Assumptions!$H$57</f>
        <v>0</v>
      </c>
      <c r="I32149" s="16" t="n">
        <f aca="false">I32144*Assumptions!$H$57</f>
        <v>0</v>
      </c>
      <c r="J32149" s="16" t="n">
        <f aca="false">J32144*Assumptions!$H$57</f>
        <v>0</v>
      </c>
      <c r="K32149" s="16" t="n">
        <f aca="false">K32144*Assumptions!$H$57</f>
        <v>0</v>
      </c>
    </row>
    <row r="32150" customFormat="false" ht="15" hidden="false" customHeight="false" outlineLevel="0" collapsed="false">
      <c r="A32150" s="3" t="s">
        <v>334</v>
      </c>
      <c r="G32150" s="16" t="n">
        <f aca="false">MIN(G32144,Assumptions!$L$57*Assumptions!$C$57)</f>
        <v>4</v>
      </c>
      <c r="H32150" s="16" t="n">
        <f aca="false">MIN(H32144,Assumptions!$L$57*Assumptions!$C$57)</f>
        <v>4</v>
      </c>
      <c r="I32150" s="16" t="n">
        <f aca="false">MIN(I32144,Assumptions!$L$57*Assumptions!$C$57)</f>
        <v>4</v>
      </c>
      <c r="J32150" s="16" t="n">
        <f aca="false">MIN(J32144,Assumptions!$L$57*Assumptions!$C$57)</f>
        <v>4</v>
      </c>
      <c r="K32150" s="16" t="n">
        <f aca="false">MIN(K32144,Assumptions!$L$57*Assumptions!$C$57)</f>
        <v>4</v>
      </c>
    </row>
    <row r="32151" customFormat="false" ht="15" hidden="false" customHeight="false" outlineLevel="0" collapsed="false">
      <c r="A32151" s="3" t="s">
        <v>335</v>
      </c>
      <c r="G32151" s="16" t="n">
        <f aca="false">IF(AND(Assumptions!$P$57=1,G32108&lt;Assumptions!$K$57),MIN(MAX(0,-G32324),MAX(0,Assumptions!$D$57-G32144)),0)</f>
        <v>0</v>
      </c>
      <c r="H32151" s="16" t="n">
        <f aca="false">IF(AND(Assumptions!$P$57=1,OR(H32108&lt;Assumptions!$K$57,G32454=1)),MIN(MAX(0,-H32324),MAX(0,Assumptions!$D$57-H32144)),0)</f>
        <v>0</v>
      </c>
      <c r="I32151" s="16" t="n">
        <f aca="false">IF(AND(Assumptions!$P$57=1,OR(I32108&lt;Assumptions!$K$57,H32454=1)),MIN(MAX(0,-I32324),MAX(0,Assumptions!$D$57-I32144)),0)</f>
        <v>0</v>
      </c>
      <c r="J32151" s="16" t="n">
        <f aca="false">IF(AND(Assumptions!$P$57=1,OR(J32108&lt;Assumptions!$K$57,I32454=1)),MIN(MAX(0,-J32324),MAX(0,Assumptions!$D$57-J32144)),0)</f>
        <v>0</v>
      </c>
      <c r="K32151" s="16" t="n">
        <f aca="false">IF(AND(Assumptions!$P$57=1,OR(K32108&lt;Assumptions!$K$57,J32454=1)),MIN(MAX(0,-K32324),MAX(0,Assumptions!$D$57-K32144)),0)</f>
        <v>0</v>
      </c>
    </row>
    <row r="32152" customFormat="false" ht="15" hidden="false" customHeight="false" outlineLevel="0" collapsed="false">
      <c r="A32152" s="3" t="s">
        <v>336</v>
      </c>
      <c r="G32152" s="16" t="n">
        <f aca="false">G32145*MIN(G32144-G32150+G32149,MAX(0,G32326-Assumptions!$C$12*G32142))</f>
        <v>0</v>
      </c>
      <c r="H32152" s="16" t="n">
        <f aca="false">H32145*MIN(H32144-H32150+H32149,MAX(0,H32326-Assumptions!$C$12*H32142))</f>
        <v>0</v>
      </c>
      <c r="I32152" s="16" t="n">
        <f aca="false">I32145*MIN(I32144-I32150+I32149,MAX(0,I32326-Assumptions!$C$12*I32142))</f>
        <v>0</v>
      </c>
      <c r="J32152" s="16" t="n">
        <f aca="false">J32145*MIN(J32144-J32150+J32149,MAX(0,J32326-Assumptions!$C$12*J32142))</f>
        <v>0</v>
      </c>
      <c r="K32152" s="16" t="n">
        <f aca="false">K32145*MIN(K32144-K32150+K32149,MAX(0,K32326-Assumptions!$C$12*K32142))</f>
        <v>0</v>
      </c>
    </row>
    <row r="32153" customFormat="false" ht="15" hidden="false" customHeight="false" outlineLevel="0" collapsed="false">
      <c r="A32153" s="3" t="s">
        <v>337</v>
      </c>
      <c r="G32153" s="16" t="n">
        <f aca="false">Assumptions!$N$57*MIN(G32144+G32151+G32149-G32150-G32152,MAX(0,G32330))</f>
        <v>0</v>
      </c>
      <c r="H32153" s="16" t="n">
        <f aca="false">Assumptions!$N$57*MIN(H32144+H32151+H32149-H32150-H32152,MAX(0,H32330))</f>
        <v>0</v>
      </c>
      <c r="I32153" s="16" t="n">
        <f aca="false">Assumptions!$N$57*MIN(I32144+I32151+I32149-I32150-I32152,MAX(0,I32330))</f>
        <v>0</v>
      </c>
      <c r="J32153" s="16" t="n">
        <f aca="false">Assumptions!$N$57*MIN(J32144+J32151+J32149-J32150-J32152,MAX(0,J32330))</f>
        <v>0</v>
      </c>
      <c r="K32153" s="16" t="n">
        <f aca="false">Assumptions!$N$57*MIN(K32144+K32151+K32149-K32150-K32152,MAX(0,K32330))</f>
        <v>0</v>
      </c>
    </row>
    <row r="32154" customFormat="false" ht="15" hidden="false" customHeight="false" outlineLevel="0" collapsed="false">
      <c r="A32154" s="3" t="s">
        <v>338</v>
      </c>
      <c r="G32154" s="16" t="n">
        <f aca="false">G32145*(1-G32142)*(G32144-G32150+G32149-G32152)</f>
        <v>0</v>
      </c>
      <c r="H32154" s="16" t="n">
        <f aca="false">H32145*(1-H32142)*(H32144-H32150+H32149-H32152)</f>
        <v>0</v>
      </c>
      <c r="I32154" s="16" t="n">
        <f aca="false">I32145*(1-I32142)*(I32144-I32150+I32149-I32152)</f>
        <v>0</v>
      </c>
      <c r="J32154" s="16" t="n">
        <f aca="false">J32145*(1-J32142)*(J32144-J32150+J32149-J32152)</f>
        <v>0</v>
      </c>
      <c r="K32154" s="16" t="n">
        <f aca="false">K32145*(1-K32142)*(K32144-K32150+K32149-K32152)</f>
        <v>0</v>
      </c>
    </row>
    <row r="32155" customFormat="false" ht="15" hidden="false" customHeight="false" outlineLevel="0" collapsed="false">
      <c r="A32155" s="2" t="s">
        <v>339</v>
      </c>
      <c r="F32155" s="28" t="n">
        <f aca="false">Assumptions!$C$57</f>
        <v>400</v>
      </c>
      <c r="G32155" s="17" t="n">
        <f aca="false">G32144+G32151+G32149-G32150-G32152-G32153</f>
        <v>396</v>
      </c>
      <c r="H32155" s="17" t="n">
        <f aca="false">H32144+H32151+H32149-H32150-H32152-H32153</f>
        <v>392</v>
      </c>
      <c r="I32155" s="17" t="n">
        <f aca="false">I32144+I32151+I32149-I32150-I32152-I32153</f>
        <v>388</v>
      </c>
      <c r="J32155" s="17" t="n">
        <f aca="false">J32144+J32151+J32149-J32150-J32152-J32153</f>
        <v>384</v>
      </c>
      <c r="K32155" s="17" t="n">
        <f aca="false">K32144+K32151+K32149-K32150-K32152-K32153</f>
        <v>380</v>
      </c>
    </row>
    <row r="32156" customFormat="false" ht="15" hidden="false" customHeight="false" outlineLevel="0" collapsed="false">
      <c r="A32156" s="24" t="s">
        <v>340</v>
      </c>
      <c r="B32156" s="25"/>
      <c r="C32156" s="25"/>
      <c r="D32156" s="25"/>
      <c r="E32156" s="25"/>
      <c r="F32156" s="25"/>
      <c r="G32156" s="25"/>
      <c r="H32156" s="25"/>
      <c r="I32156" s="25"/>
      <c r="J32156" s="25"/>
      <c r="K32156" s="25"/>
    </row>
    <row r="32157" customFormat="false" ht="15" hidden="false" customHeight="false" outlineLevel="0" collapsed="false">
      <c r="A32157" s="3" t="s">
        <v>329</v>
      </c>
      <c r="G32157" s="16" t="n">
        <f aca="false">F32168</f>
        <v>90</v>
      </c>
      <c r="H32157" s="16" t="n">
        <f aca="false">G32168</f>
        <v>90</v>
      </c>
      <c r="I32157" s="16" t="n">
        <f aca="false">H32168</f>
        <v>90</v>
      </c>
      <c r="J32157" s="16" t="n">
        <f aca="false">I32168</f>
        <v>90</v>
      </c>
      <c r="K32157" s="16" t="n">
        <f aca="false">J32168</f>
        <v>90</v>
      </c>
    </row>
    <row r="32158" customFormat="false" ht="15" hidden="false" customHeight="false" outlineLevel="0" collapsed="false">
      <c r="A32158" s="3" t="s">
        <v>330</v>
      </c>
      <c r="G32158" s="21" t="n">
        <f aca="false">IF(G32108=Assumptions!$K$58,1,0)</f>
        <v>0</v>
      </c>
      <c r="H32158" s="21" t="n">
        <f aca="false">IF(H32108=Assumptions!$K$58,1,0)</f>
        <v>0</v>
      </c>
      <c r="I32158" s="21" t="n">
        <f aca="false">IF(I32108=Assumptions!$K$58,1,0)</f>
        <v>0</v>
      </c>
      <c r="J32158" s="21" t="n">
        <f aca="false">IF(J32108=Assumptions!$K$58,1,0)</f>
        <v>0</v>
      </c>
      <c r="K32158" s="21" t="n">
        <f aca="false">IF(K32108=Assumptions!$K$58,1,0)</f>
        <v>0</v>
      </c>
    </row>
    <row r="32160" customFormat="false" ht="15" hidden="false" customHeight="false" outlineLevel="0" collapsed="false">
      <c r="A32160" s="3" t="s">
        <v>331</v>
      </c>
      <c r="G32160" s="31" t="n">
        <f aca="false">IF(Assumptions!$I$58=1,MAX(G32134,Assumptions!$G$58)+Assumptions!$F$58+$C$32135,Assumptions!$E$58)</f>
        <v>0.0581</v>
      </c>
      <c r="H32160" s="31" t="n">
        <f aca="false">IF(G32455=1,$C$32136,IF(Assumptions!$I$58=1,MAX(H32134,Assumptions!$G$58)+Assumptions!$F$58+$C$32135,Assumptions!$E$58))</f>
        <v>0.0581</v>
      </c>
      <c r="I32160" s="31" t="n">
        <f aca="false">IF(H32455=1,$C$32136,IF(Assumptions!$I$58=1,MAX(I32134,Assumptions!$G$58)+Assumptions!$F$58+$C$32135,Assumptions!$E$58))</f>
        <v>0.0581</v>
      </c>
      <c r="J32160" s="31" t="n">
        <f aca="false">IF(I32455=1,$C$32136,IF(Assumptions!$I$58=1,MAX(J32134,Assumptions!$G$58)+Assumptions!$F$58+$C$32135,Assumptions!$E$58))</f>
        <v>0.0581</v>
      </c>
      <c r="K32160" s="31" t="n">
        <f aca="false">IF(J32455=1,$C$32136,IF(Assumptions!$I$58=1,MAX(K32134,Assumptions!$G$58)+Assumptions!$F$58+$C$32135,Assumptions!$E$58))</f>
        <v>0.0581</v>
      </c>
    </row>
    <row r="32161" customFormat="false" ht="15" hidden="false" customHeight="false" outlineLevel="0" collapsed="false">
      <c r="A32161" s="3" t="s">
        <v>332</v>
      </c>
      <c r="G32161" s="16" t="n">
        <f aca="false">G32157*G32160</f>
        <v>5.229</v>
      </c>
      <c r="H32161" s="16" t="n">
        <f aca="false">H32157*H32160</f>
        <v>5.229</v>
      </c>
      <c r="I32161" s="16" t="n">
        <f aca="false">I32157*I32160</f>
        <v>5.229</v>
      </c>
      <c r="J32161" s="16" t="n">
        <f aca="false">J32157*J32160</f>
        <v>5.229</v>
      </c>
      <c r="K32161" s="16" t="n">
        <f aca="false">K32157*K32160</f>
        <v>5.229</v>
      </c>
    </row>
    <row r="32162" customFormat="false" ht="15" hidden="false" customHeight="false" outlineLevel="0" collapsed="false">
      <c r="A32162" s="3" t="s">
        <v>333</v>
      </c>
      <c r="G32162" s="16" t="n">
        <f aca="false">G32157*Assumptions!$H$58</f>
        <v>0</v>
      </c>
      <c r="H32162" s="16" t="n">
        <f aca="false">H32157*Assumptions!$H$58</f>
        <v>0</v>
      </c>
      <c r="I32162" s="16" t="n">
        <f aca="false">I32157*Assumptions!$H$58</f>
        <v>0</v>
      </c>
      <c r="J32162" s="16" t="n">
        <f aca="false">J32157*Assumptions!$H$58</f>
        <v>0</v>
      </c>
      <c r="K32162" s="16" t="n">
        <f aca="false">K32157*Assumptions!$H$58</f>
        <v>0</v>
      </c>
    </row>
    <row r="32163" customFormat="false" ht="15" hidden="false" customHeight="false" outlineLevel="0" collapsed="false">
      <c r="A32163" s="3" t="s">
        <v>334</v>
      </c>
      <c r="G32163" s="16" t="n">
        <f aca="false">MIN(G32157,Assumptions!$L$58*Assumptions!$C$58)</f>
        <v>0</v>
      </c>
      <c r="H32163" s="16" t="n">
        <f aca="false">MIN(H32157,Assumptions!$L$58*Assumptions!$C$58)</f>
        <v>0</v>
      </c>
      <c r="I32163" s="16" t="n">
        <f aca="false">MIN(I32157,Assumptions!$L$58*Assumptions!$C$58)</f>
        <v>0</v>
      </c>
      <c r="J32163" s="16" t="n">
        <f aca="false">MIN(J32157,Assumptions!$L$58*Assumptions!$C$58)</f>
        <v>0</v>
      </c>
      <c r="K32163" s="16" t="n">
        <f aca="false">MIN(K32157,Assumptions!$L$58*Assumptions!$C$58)</f>
        <v>0</v>
      </c>
    </row>
    <row r="32164" customFormat="false" ht="15" hidden="false" customHeight="false" outlineLevel="0" collapsed="false">
      <c r="A32164" s="3" t="s">
        <v>335</v>
      </c>
      <c r="G32164" s="16" t="n">
        <f aca="false">IF(AND(Assumptions!$P$58=1,G32108&lt;Assumptions!$K$58),MIN(MAX(0,-G32324),MAX(0,Assumptions!$D$58-G32157)),0)</f>
        <v>0</v>
      </c>
      <c r="H32164" s="16" t="n">
        <f aca="false">IF(AND(Assumptions!$P$58=1,OR(H32108&lt;Assumptions!$K$58,G32455=1)),MIN(MAX(0,-H32324),MAX(0,Assumptions!$D$58-H32157)),0)</f>
        <v>0</v>
      </c>
      <c r="I32164" s="16" t="n">
        <f aca="false">IF(AND(Assumptions!$P$58=1,OR(I32108&lt;Assumptions!$K$58,H32455=1)),MIN(MAX(0,-I32324),MAX(0,Assumptions!$D$58-I32157)),0)</f>
        <v>0</v>
      </c>
      <c r="J32164" s="16" t="n">
        <f aca="false">IF(AND(Assumptions!$P$58=1,OR(J32108&lt;Assumptions!$K$58,I32455=1)),MIN(MAX(0,-J32324),MAX(0,Assumptions!$D$58-J32157)),0)</f>
        <v>0</v>
      </c>
      <c r="K32164" s="16" t="n">
        <f aca="false">IF(AND(Assumptions!$P$58=1,OR(K32108&lt;Assumptions!$K$58,J32455=1)),MIN(MAX(0,-K32324),MAX(0,Assumptions!$D$58-K32157)),0)</f>
        <v>0</v>
      </c>
    </row>
    <row r="32165" customFormat="false" ht="15" hidden="false" customHeight="false" outlineLevel="0" collapsed="false">
      <c r="A32165" s="3" t="s">
        <v>336</v>
      </c>
      <c r="G32165" s="16" t="n">
        <f aca="false">G32158*MIN(G32157-G32163+G32162,MAX(0,G32326-Assumptions!$C$12*G32142-G32152))</f>
        <v>0</v>
      </c>
      <c r="H32165" s="16" t="n">
        <f aca="false">H32158*MIN(H32157-H32163+H32162,MAX(0,H32326-Assumptions!$C$12*H32142-H32152))</f>
        <v>0</v>
      </c>
      <c r="I32165" s="16" t="n">
        <f aca="false">I32158*MIN(I32157-I32163+I32162,MAX(0,I32326-Assumptions!$C$12*I32142-I32152))</f>
        <v>0</v>
      </c>
      <c r="J32165" s="16" t="n">
        <f aca="false">J32158*MIN(J32157-J32163+J32162,MAX(0,J32326-Assumptions!$C$12*J32142-J32152))</f>
        <v>0</v>
      </c>
      <c r="K32165" s="16" t="n">
        <f aca="false">K32158*MIN(K32157-K32163+K32162,MAX(0,K32326-Assumptions!$C$12*K32142-K32152))</f>
        <v>0</v>
      </c>
    </row>
    <row r="32166" customFormat="false" ht="15" hidden="false" customHeight="false" outlineLevel="0" collapsed="false">
      <c r="A32166" s="3" t="s">
        <v>337</v>
      </c>
      <c r="G32166" s="16" t="n">
        <f aca="false">Assumptions!$N$58*MIN(G32157+G32164+G32162-G32163-G32165,MAX(0,G32330-G32153))</f>
        <v>0</v>
      </c>
      <c r="H32166" s="16" t="n">
        <f aca="false">Assumptions!$N$58*MIN(H32157+H32164+H32162-H32163-H32165,MAX(0,H32330-H32153))</f>
        <v>0</v>
      </c>
      <c r="I32166" s="16" t="n">
        <f aca="false">Assumptions!$N$58*MIN(I32157+I32164+I32162-I32163-I32165,MAX(0,I32330-I32153))</f>
        <v>0</v>
      </c>
      <c r="J32166" s="16" t="n">
        <f aca="false">Assumptions!$N$58*MIN(J32157+J32164+J32162-J32163-J32165,MAX(0,J32330-J32153))</f>
        <v>0</v>
      </c>
      <c r="K32166" s="16" t="n">
        <f aca="false">Assumptions!$N$58*MIN(K32157+K32164+K32162-K32163-K32165,MAX(0,K32330-K32153))</f>
        <v>0</v>
      </c>
    </row>
    <row r="32167" customFormat="false" ht="15" hidden="false" customHeight="false" outlineLevel="0" collapsed="false">
      <c r="A32167" s="3" t="s">
        <v>338</v>
      </c>
      <c r="G32167" s="16" t="n">
        <f aca="false">G32158*(1-G32142)*(G32157-G32163+G32162-G32165)</f>
        <v>0</v>
      </c>
      <c r="H32167" s="16" t="n">
        <f aca="false">H32158*(1-H32142)*(H32157-H32163+H32162-H32165)</f>
        <v>0</v>
      </c>
      <c r="I32167" s="16" t="n">
        <f aca="false">I32158*(1-I32142)*(I32157-I32163+I32162-I32165)</f>
        <v>0</v>
      </c>
      <c r="J32167" s="16" t="n">
        <f aca="false">J32158*(1-J32142)*(J32157-J32163+J32162-J32165)</f>
        <v>0</v>
      </c>
      <c r="K32167" s="16" t="n">
        <f aca="false">K32158*(1-K32142)*(K32157-K32163+K32162-K32165)</f>
        <v>0</v>
      </c>
    </row>
    <row r="32168" customFormat="false" ht="15" hidden="false" customHeight="false" outlineLevel="0" collapsed="false">
      <c r="A32168" s="2" t="s">
        <v>339</v>
      </c>
      <c r="F32168" s="28" t="n">
        <f aca="false">Assumptions!$C$58</f>
        <v>90</v>
      </c>
      <c r="G32168" s="17" t="n">
        <f aca="false">G32157+G32164+G32162-G32163-G32165-G32166</f>
        <v>90</v>
      </c>
      <c r="H32168" s="17" t="n">
        <f aca="false">H32157+H32164+H32162-H32163-H32165-H32166</f>
        <v>90</v>
      </c>
      <c r="I32168" s="17" t="n">
        <f aca="false">I32157+I32164+I32162-I32163-I32165-I32166</f>
        <v>90</v>
      </c>
      <c r="J32168" s="17" t="n">
        <f aca="false">J32157+J32164+J32162-J32163-J32165-J32166</f>
        <v>90</v>
      </c>
      <c r="K32168" s="17" t="n">
        <f aca="false">K32157+K32164+K32162-K32163-K32165-K32166</f>
        <v>90</v>
      </c>
    </row>
    <row r="32169" customFormat="false" ht="15" hidden="false" customHeight="false" outlineLevel="0" collapsed="false">
      <c r="A32169" s="24" t="s">
        <v>341</v>
      </c>
      <c r="B32169" s="25"/>
      <c r="C32169" s="25"/>
      <c r="D32169" s="25"/>
      <c r="E32169" s="25"/>
      <c r="F32169" s="25"/>
      <c r="G32169" s="25"/>
      <c r="H32169" s="25"/>
      <c r="I32169" s="25"/>
      <c r="J32169" s="25"/>
      <c r="K32169" s="25"/>
    </row>
    <row r="32170" customFormat="false" ht="15" hidden="false" customHeight="false" outlineLevel="0" collapsed="false">
      <c r="A32170" s="3" t="s">
        <v>329</v>
      </c>
      <c r="G32170" s="16" t="n">
        <f aca="false">F32181</f>
        <v>57.324</v>
      </c>
      <c r="H32170" s="16" t="n">
        <f aca="false">G32181</f>
        <v>57.324</v>
      </c>
      <c r="I32170" s="16" t="n">
        <f aca="false">H32181</f>
        <v>57.324</v>
      </c>
      <c r="J32170" s="16" t="n">
        <f aca="false">I32181</f>
        <v>57.324</v>
      </c>
      <c r="K32170" s="16" t="n">
        <f aca="false">J32181</f>
        <v>57.324</v>
      </c>
    </row>
    <row r="32171" customFormat="false" ht="15" hidden="false" customHeight="false" outlineLevel="0" collapsed="false">
      <c r="A32171" s="3" t="s">
        <v>330</v>
      </c>
      <c r="G32171" s="21" t="n">
        <f aca="false">IF(G32108=Assumptions!$K$59,1,0)</f>
        <v>0</v>
      </c>
      <c r="H32171" s="21" t="n">
        <f aca="false">IF(H32108=Assumptions!$K$59,1,0)</f>
        <v>0</v>
      </c>
      <c r="I32171" s="21" t="n">
        <f aca="false">IF(I32108=Assumptions!$K$59,1,0)</f>
        <v>0</v>
      </c>
      <c r="J32171" s="21" t="n">
        <f aca="false">IF(J32108=Assumptions!$K$59,1,0)</f>
        <v>0</v>
      </c>
      <c r="K32171" s="21" t="n">
        <f aca="false">IF(K32108=Assumptions!$K$59,1,0)</f>
        <v>0</v>
      </c>
    </row>
    <row r="32173" customFormat="false" ht="15" hidden="false" customHeight="false" outlineLevel="0" collapsed="false">
      <c r="A32173" s="3" t="s">
        <v>331</v>
      </c>
      <c r="G32173" s="31" t="n">
        <f aca="false">IF(Assumptions!$I$59=1,MAX(G32134,Assumptions!$G$59)+Assumptions!$F$59+$C$32135,Assumptions!$E$59)</f>
        <v>0.0731</v>
      </c>
      <c r="H32173" s="31" t="n">
        <f aca="false">IF(G32456=1,$C$32136,IF(Assumptions!$I$59=1,MAX(H32134,Assumptions!$G$59)+Assumptions!$F$59+$C$32135,Assumptions!$E$59))</f>
        <v>0.0731</v>
      </c>
      <c r="I32173" s="31" t="n">
        <f aca="false">IF(H32456=1,$C$32136,IF(Assumptions!$I$59=1,MAX(I32134,Assumptions!$G$59)+Assumptions!$F$59+$C$32135,Assumptions!$E$59))</f>
        <v>0.0731</v>
      </c>
      <c r="J32173" s="31" t="n">
        <f aca="false">IF(I32456=1,$C$32136,IF(Assumptions!$I$59=1,MAX(J32134,Assumptions!$G$59)+Assumptions!$F$59+$C$32135,Assumptions!$E$59))</f>
        <v>0.0731</v>
      </c>
      <c r="K32173" s="31" t="n">
        <f aca="false">IF(J32456=1,$C$32136,IF(Assumptions!$I$59=1,MAX(K32134,Assumptions!$G$59)+Assumptions!$F$59+$C$32135,Assumptions!$E$59))</f>
        <v>0.0731</v>
      </c>
    </row>
    <row r="32174" customFormat="false" ht="15" hidden="false" customHeight="false" outlineLevel="0" collapsed="false">
      <c r="A32174" s="3" t="s">
        <v>332</v>
      </c>
      <c r="G32174" s="16" t="n">
        <f aca="false">G32170*G32173</f>
        <v>4.1903844</v>
      </c>
      <c r="H32174" s="16" t="n">
        <f aca="false">H32170*H32173</f>
        <v>4.1903844</v>
      </c>
      <c r="I32174" s="16" t="n">
        <f aca="false">I32170*I32173</f>
        <v>4.1903844</v>
      </c>
      <c r="J32174" s="16" t="n">
        <f aca="false">J32170*J32173</f>
        <v>4.1903844</v>
      </c>
      <c r="K32174" s="16" t="n">
        <f aca="false">K32170*K32173</f>
        <v>4.1903844</v>
      </c>
    </row>
    <row r="32175" customFormat="false" ht="15" hidden="false" customHeight="false" outlineLevel="0" collapsed="false">
      <c r="A32175" s="3" t="s">
        <v>333</v>
      </c>
      <c r="G32175" s="16" t="n">
        <f aca="false">G32170*Assumptions!$H$59</f>
        <v>0</v>
      </c>
      <c r="H32175" s="16" t="n">
        <f aca="false">H32170*Assumptions!$H$59</f>
        <v>0</v>
      </c>
      <c r="I32175" s="16" t="n">
        <f aca="false">I32170*Assumptions!$H$59</f>
        <v>0</v>
      </c>
      <c r="J32175" s="16" t="n">
        <f aca="false">J32170*Assumptions!$H$59</f>
        <v>0</v>
      </c>
      <c r="K32175" s="16" t="n">
        <f aca="false">K32170*Assumptions!$H$59</f>
        <v>0</v>
      </c>
    </row>
    <row r="32176" customFormat="false" ht="15" hidden="false" customHeight="false" outlineLevel="0" collapsed="false">
      <c r="A32176" s="3" t="s">
        <v>334</v>
      </c>
      <c r="G32176" s="16" t="n">
        <f aca="false">MIN(G32170,Assumptions!$L$59*Assumptions!$C$59)</f>
        <v>0</v>
      </c>
      <c r="H32176" s="16" t="n">
        <f aca="false">MIN(H32170,Assumptions!$L$59*Assumptions!$C$59)</f>
        <v>0</v>
      </c>
      <c r="I32176" s="16" t="n">
        <f aca="false">MIN(I32170,Assumptions!$L$59*Assumptions!$C$59)</f>
        <v>0</v>
      </c>
      <c r="J32176" s="16" t="n">
        <f aca="false">MIN(J32170,Assumptions!$L$59*Assumptions!$C$59)</f>
        <v>0</v>
      </c>
      <c r="K32176" s="16" t="n">
        <f aca="false">MIN(K32170,Assumptions!$L$59*Assumptions!$C$59)</f>
        <v>0</v>
      </c>
    </row>
    <row r="32177" customFormat="false" ht="15" hidden="false" customHeight="false" outlineLevel="0" collapsed="false">
      <c r="A32177" s="3" t="s">
        <v>335</v>
      </c>
      <c r="G32177" s="16" t="n">
        <f aca="false">IF(AND(Assumptions!$P$59=1,G32108&lt;Assumptions!$K$59),MIN(MAX(0,-G32324),MAX(0,Assumptions!$D$59-G32170)),0)</f>
        <v>0</v>
      </c>
      <c r="H32177" s="16" t="n">
        <f aca="false">IF(AND(Assumptions!$P$59=1,OR(H32108&lt;Assumptions!$K$59,G32456=1)),MIN(MAX(0,-H32324),MAX(0,Assumptions!$D$59-H32170)),0)</f>
        <v>0</v>
      </c>
      <c r="I32177" s="16" t="n">
        <f aca="false">IF(AND(Assumptions!$P$59=1,OR(I32108&lt;Assumptions!$K$59,H32456=1)),MIN(MAX(0,-I32324),MAX(0,Assumptions!$D$59-I32170)),0)</f>
        <v>0</v>
      </c>
      <c r="J32177" s="16" t="n">
        <f aca="false">IF(AND(Assumptions!$P$59=1,OR(J32108&lt;Assumptions!$K$59,I32456=1)),MIN(MAX(0,-J32324),MAX(0,Assumptions!$D$59-J32170)),0)</f>
        <v>0</v>
      </c>
      <c r="K32177" s="16" t="n">
        <f aca="false">IF(AND(Assumptions!$P$59=1,OR(K32108&lt;Assumptions!$K$59,J32456=1)),MIN(MAX(0,-K32324),MAX(0,Assumptions!$D$59-K32170)),0)</f>
        <v>0</v>
      </c>
    </row>
    <row r="32178" customFormat="false" ht="15" hidden="false" customHeight="false" outlineLevel="0" collapsed="false">
      <c r="A32178" s="3" t="s">
        <v>336</v>
      </c>
      <c r="G32178" s="16" t="n">
        <f aca="false">G32171*MIN(G32170-G32176+G32175,MAX(0,G32326-Assumptions!$C$12*G32142-G32152-G32165))</f>
        <v>0</v>
      </c>
      <c r="H32178" s="16" t="n">
        <f aca="false">H32171*MIN(H32170-H32176+H32175,MAX(0,H32326-Assumptions!$C$12*H32142-H32152-H32165))</f>
        <v>0</v>
      </c>
      <c r="I32178" s="16" t="n">
        <f aca="false">I32171*MIN(I32170-I32176+I32175,MAX(0,I32326-Assumptions!$C$12*I32142-I32152-I32165))</f>
        <v>0</v>
      </c>
      <c r="J32178" s="16" t="n">
        <f aca="false">J32171*MIN(J32170-J32176+J32175,MAX(0,J32326-Assumptions!$C$12*J32142-J32152-J32165))</f>
        <v>0</v>
      </c>
      <c r="K32178" s="16" t="n">
        <f aca="false">K32171*MIN(K32170-K32176+K32175,MAX(0,K32326-Assumptions!$C$12*K32142-K32152-K32165))</f>
        <v>0</v>
      </c>
    </row>
    <row r="32179" customFormat="false" ht="15" hidden="false" customHeight="false" outlineLevel="0" collapsed="false">
      <c r="A32179" s="3" t="s">
        <v>337</v>
      </c>
      <c r="G32179" s="16" t="n">
        <f aca="false">Assumptions!$N$59*MIN(G32170+G32177+G32175-G32176-G32178,MAX(0,G32330-G32153-G32166))</f>
        <v>0</v>
      </c>
      <c r="H32179" s="16" t="n">
        <f aca="false">Assumptions!$N$59*MIN(H32170+H32177+H32175-H32176-H32178,MAX(0,H32330-H32153-H32166))</f>
        <v>0</v>
      </c>
      <c r="I32179" s="16" t="n">
        <f aca="false">Assumptions!$N$59*MIN(I32170+I32177+I32175-I32176-I32178,MAX(0,I32330-I32153-I32166))</f>
        <v>0</v>
      </c>
      <c r="J32179" s="16" t="n">
        <f aca="false">Assumptions!$N$59*MIN(J32170+J32177+J32175-J32176-J32178,MAX(0,J32330-J32153-J32166))</f>
        <v>0</v>
      </c>
      <c r="K32179" s="16" t="n">
        <f aca="false">Assumptions!$N$59*MIN(K32170+K32177+K32175-K32176-K32178,MAX(0,K32330-K32153-K32166))</f>
        <v>0</v>
      </c>
    </row>
    <row r="32180" customFormat="false" ht="15" hidden="false" customHeight="false" outlineLevel="0" collapsed="false">
      <c r="A32180" s="3" t="s">
        <v>338</v>
      </c>
      <c r="G32180" s="16" t="n">
        <f aca="false">G32171*(1-G32142)*(G32170-G32176+G32175-G32178)</f>
        <v>0</v>
      </c>
      <c r="H32180" s="16" t="n">
        <f aca="false">H32171*(1-H32142)*(H32170-H32176+H32175-H32178)</f>
        <v>0</v>
      </c>
      <c r="I32180" s="16" t="n">
        <f aca="false">I32171*(1-I32142)*(I32170-I32176+I32175-I32178)</f>
        <v>0</v>
      </c>
      <c r="J32180" s="16" t="n">
        <f aca="false">J32171*(1-J32142)*(J32170-J32176+J32175-J32178)</f>
        <v>0</v>
      </c>
      <c r="K32180" s="16" t="n">
        <f aca="false">K32171*(1-K32142)*(K32170-K32176+K32175-K32178)</f>
        <v>0</v>
      </c>
    </row>
    <row r="32181" customFormat="false" ht="15" hidden="false" customHeight="false" outlineLevel="0" collapsed="false">
      <c r="A32181" s="2" t="s">
        <v>339</v>
      </c>
      <c r="F32181" s="28" t="n">
        <f aca="false">Assumptions!$C$59</f>
        <v>57.324</v>
      </c>
      <c r="G32181" s="17" t="n">
        <f aca="false">G32170+G32177+G32175-G32176-G32178-G32179</f>
        <v>57.324</v>
      </c>
      <c r="H32181" s="17" t="n">
        <f aca="false">H32170+H32177+H32175-H32176-H32178-H32179</f>
        <v>57.324</v>
      </c>
      <c r="I32181" s="17" t="n">
        <f aca="false">I32170+I32177+I32175-I32176-I32178-I32179</f>
        <v>57.324</v>
      </c>
      <c r="J32181" s="17" t="n">
        <f aca="false">J32170+J32177+J32175-J32176-J32178-J32179</f>
        <v>57.324</v>
      </c>
      <c r="K32181" s="17" t="n">
        <f aca="false">K32170+K32177+K32175-K32176-K32178-K32179</f>
        <v>57.324</v>
      </c>
    </row>
    <row r="32182" customFormat="false" ht="15" hidden="false" customHeight="false" outlineLevel="0" collapsed="false">
      <c r="A32182" s="24" t="s">
        <v>342</v>
      </c>
      <c r="B32182" s="25"/>
      <c r="C32182" s="25"/>
      <c r="D32182" s="25"/>
      <c r="E32182" s="25"/>
      <c r="F32182" s="25"/>
      <c r="G32182" s="25"/>
      <c r="H32182" s="25"/>
      <c r="I32182" s="25"/>
      <c r="J32182" s="25"/>
      <c r="K32182" s="25"/>
    </row>
    <row r="32183" customFormat="false" ht="15" hidden="false" customHeight="false" outlineLevel="0" collapsed="false">
      <c r="A32183" s="3" t="s">
        <v>329</v>
      </c>
      <c r="G32183" s="16" t="n">
        <f aca="false">F32194</f>
        <v>0</v>
      </c>
      <c r="H32183" s="16" t="n">
        <f aca="false">G32194</f>
        <v>0</v>
      </c>
      <c r="I32183" s="16" t="n">
        <f aca="false">H32194</f>
        <v>0</v>
      </c>
      <c r="J32183" s="16" t="n">
        <f aca="false">I32194</f>
        <v>66.796942182056</v>
      </c>
      <c r="K32183" s="16" t="n">
        <f aca="false">J32194</f>
        <v>155.677464864795</v>
      </c>
    </row>
    <row r="32184" customFormat="false" ht="15" hidden="false" customHeight="false" outlineLevel="0" collapsed="false">
      <c r="A32184" s="3" t="s">
        <v>330</v>
      </c>
      <c r="G32184" s="21" t="n">
        <f aca="false">IF(G32108=Assumptions!$K$60,1,0)</f>
        <v>1</v>
      </c>
      <c r="H32184" s="21" t="n">
        <f aca="false">IF(H32108=Assumptions!$K$60,1,0)</f>
        <v>0</v>
      </c>
      <c r="I32184" s="21" t="n">
        <f aca="false">IF(I32108=Assumptions!$K$60,1,0)</f>
        <v>0</v>
      </c>
      <c r="J32184" s="21" t="n">
        <f aca="false">IF(J32108=Assumptions!$K$60,1,0)</f>
        <v>0</v>
      </c>
      <c r="K32184" s="21" t="n">
        <f aca="false">IF(K32108=Assumptions!$K$60,1,0)</f>
        <v>0</v>
      </c>
    </row>
    <row r="32186" customFormat="false" ht="15" hidden="false" customHeight="false" outlineLevel="0" collapsed="false">
      <c r="A32186" s="3" t="s">
        <v>331</v>
      </c>
      <c r="G32186" s="31" t="n">
        <f aca="false">IF(Assumptions!$I$60=1,MAX(G32134,Assumptions!$G$60)+Assumptions!$F$60+$C$32135,Assumptions!$E$60)</f>
        <v>0.054</v>
      </c>
      <c r="H32186" s="31" t="n">
        <f aca="false">IF(G32457=1,$C$32136,IF(Assumptions!$I$60=1,MAX(H32134,Assumptions!$G$60)+Assumptions!$F$60+$C$32135,Assumptions!$E$60))</f>
        <v>0.08</v>
      </c>
      <c r="I32186" s="31" t="n">
        <f aca="false">IF(H32457=1,$C$32136,IF(Assumptions!$I$60=1,MAX(I32134,Assumptions!$G$60)+Assumptions!$F$60+$C$32135,Assumptions!$E$60))</f>
        <v>0.08</v>
      </c>
      <c r="J32186" s="31" t="n">
        <f aca="false">IF(I32457=1,$C$32136,IF(Assumptions!$I$60=1,MAX(J32134,Assumptions!$G$60)+Assumptions!$F$60+$C$32135,Assumptions!$E$60))</f>
        <v>0.08</v>
      </c>
      <c r="K32186" s="31" t="n">
        <f aca="false">IF(J32457=1,$C$32136,IF(Assumptions!$I$60=1,MAX(K32134,Assumptions!$G$60)+Assumptions!$F$60+$C$32135,Assumptions!$E$60))</f>
        <v>0.08</v>
      </c>
    </row>
    <row r="32187" customFormat="false" ht="15" hidden="false" customHeight="false" outlineLevel="0" collapsed="false">
      <c r="A32187" s="3" t="s">
        <v>332</v>
      </c>
      <c r="G32187" s="16" t="n">
        <f aca="false">G32183*G32186</f>
        <v>0</v>
      </c>
      <c r="H32187" s="16" t="n">
        <f aca="false">H32183*H32186</f>
        <v>0</v>
      </c>
      <c r="I32187" s="16" t="n">
        <f aca="false">I32183*I32186</f>
        <v>0</v>
      </c>
      <c r="J32187" s="16" t="n">
        <f aca="false">J32183*J32186</f>
        <v>5.34375537456448</v>
      </c>
      <c r="K32187" s="16" t="n">
        <f aca="false">K32183*K32186</f>
        <v>12.4541971891836</v>
      </c>
    </row>
    <row r="32188" customFormat="false" ht="15" hidden="false" customHeight="false" outlineLevel="0" collapsed="false">
      <c r="A32188" s="3" t="s">
        <v>333</v>
      </c>
      <c r="G32188" s="16" t="n">
        <f aca="false">G32183*Assumptions!$H$60</f>
        <v>0</v>
      </c>
      <c r="H32188" s="16" t="n">
        <f aca="false">H32183*Assumptions!$H$60</f>
        <v>0</v>
      </c>
      <c r="I32188" s="16" t="n">
        <f aca="false">I32183*Assumptions!$H$60</f>
        <v>0</v>
      </c>
      <c r="J32188" s="16" t="n">
        <f aca="false">J32183*Assumptions!$H$60</f>
        <v>0</v>
      </c>
      <c r="K32188" s="16" t="n">
        <f aca="false">K32183*Assumptions!$H$60</f>
        <v>0</v>
      </c>
    </row>
    <row r="32189" customFormat="false" ht="15" hidden="false" customHeight="false" outlineLevel="0" collapsed="false">
      <c r="A32189" s="3" t="s">
        <v>334</v>
      </c>
      <c r="G32189" s="16" t="n">
        <f aca="false">MIN(G32183,Assumptions!$L$60*Assumptions!$C$60)</f>
        <v>0</v>
      </c>
      <c r="H32189" s="16" t="n">
        <f aca="false">MIN(H32183,Assumptions!$L$60*Assumptions!$C$60)</f>
        <v>0</v>
      </c>
      <c r="I32189" s="16" t="n">
        <f aca="false">MIN(I32183,Assumptions!$L$60*Assumptions!$C$60)</f>
        <v>0</v>
      </c>
      <c r="J32189" s="16" t="n">
        <f aca="false">MIN(J32183,Assumptions!$L$60*Assumptions!$C$60)</f>
        <v>0</v>
      </c>
      <c r="K32189" s="16" t="n">
        <f aca="false">MIN(K32183,Assumptions!$L$60*Assumptions!$C$60)</f>
        <v>0</v>
      </c>
    </row>
    <row r="32190" customFormat="false" ht="15" hidden="false" customHeight="false" outlineLevel="0" collapsed="false">
      <c r="A32190" s="3" t="s">
        <v>335</v>
      </c>
      <c r="G32190" s="16" t="n">
        <f aca="false">IF(AND(Assumptions!$P$60=1,G32108&lt;Assumptions!$K$60),MIN(MAX(0,-G32324),MAX(0,Assumptions!$D$60-G32183)),0)</f>
        <v>0</v>
      </c>
      <c r="H32190" s="16" t="n">
        <f aca="false">IF(AND(Assumptions!$P$60=1,OR(H32108&lt;Assumptions!$K$60,G32457=1)),MIN(MAX(0,-H32324),MAX(0,Assumptions!$D$60-H32183)),0)</f>
        <v>0</v>
      </c>
      <c r="I32190" s="16" t="n">
        <f aca="false">IF(AND(Assumptions!$P$60=1,OR(I32108&lt;Assumptions!$K$60,H32457=1)),MIN(MAX(0,-I32324),MAX(0,Assumptions!$D$60-I32183)),0)</f>
        <v>66.796942182056</v>
      </c>
      <c r="J32190" s="16" t="n">
        <f aca="false">IF(AND(Assumptions!$P$60=1,OR(J32108&lt;Assumptions!$K$60,I32457=1)),MIN(MAX(0,-J32324),MAX(0,Assumptions!$D$60-J32183)),0)</f>
        <v>88.8805226827392</v>
      </c>
      <c r="K32190" s="16" t="n">
        <f aca="false">IF(AND(Assumptions!$P$60=1,OR(K32108&lt;Assumptions!$K$60,J32457=1)),MIN(MAX(0,-K32324),MAX(0,Assumptions!$D$60-K32183)),0)</f>
        <v>104.535819058653</v>
      </c>
    </row>
    <row r="32191" customFormat="false" ht="15" hidden="false" customHeight="false" outlineLevel="0" collapsed="false">
      <c r="A32191" s="3" t="s">
        <v>336</v>
      </c>
      <c r="G32191" s="16" t="n">
        <f aca="false">G32184*MIN(G32183-G32189+G32188,MAX(0,G32326-Assumptions!$C$12*G32142-G32152-G32165-G32178))</f>
        <v>0</v>
      </c>
      <c r="H32191" s="16" t="n">
        <f aca="false">H32184*MIN(H32183-H32189+H32188,MAX(0,H32326-Assumptions!$C$12*H32142-H32152-H32165-H32178))</f>
        <v>0</v>
      </c>
      <c r="I32191" s="16" t="n">
        <f aca="false">I32184*MIN(I32183-I32189+I32188,MAX(0,I32326-Assumptions!$C$12*I32142-I32152-I32165-I32178))</f>
        <v>0</v>
      </c>
      <c r="J32191" s="16" t="n">
        <f aca="false">J32184*MIN(J32183-J32189+J32188,MAX(0,J32326-Assumptions!$C$12*J32142-J32152-J32165-J32178))</f>
        <v>0</v>
      </c>
      <c r="K32191" s="16" t="n">
        <f aca="false">K32184*MIN(K32183-K32189+K32188,MAX(0,K32326-Assumptions!$C$12*K32142-K32152-K32165-K32178))</f>
        <v>0</v>
      </c>
    </row>
    <row r="32192" customFormat="false" ht="15" hidden="false" customHeight="false" outlineLevel="0" collapsed="false">
      <c r="A32192" s="3" t="s">
        <v>337</v>
      </c>
      <c r="G32192" s="16" t="n">
        <f aca="false">Assumptions!$N$60*MIN(G32183+G32190+G32188-G32189-G32191,MAX(0,G32330-G32153-G32166-G32179))</f>
        <v>0</v>
      </c>
      <c r="H32192" s="16" t="n">
        <f aca="false">Assumptions!$N$60*MIN(H32183+H32190+H32188-H32189-H32191,MAX(0,H32330-H32153-H32166-H32179))</f>
        <v>0</v>
      </c>
      <c r="I32192" s="16" t="n">
        <f aca="false">Assumptions!$N$60*MIN(I32183+I32190+I32188-I32189-I32191,MAX(0,I32330-I32153-I32166-I32179))</f>
        <v>0</v>
      </c>
      <c r="J32192" s="16" t="n">
        <f aca="false">Assumptions!$N$60*MIN(J32183+J32190+J32188-J32189-J32191,MAX(0,J32330-J32153-J32166-J32179))</f>
        <v>0</v>
      </c>
      <c r="K32192" s="16" t="n">
        <f aca="false">Assumptions!$N$60*MIN(K32183+K32190+K32188-K32189-K32191,MAX(0,K32330-K32153-K32166-K32179))</f>
        <v>0</v>
      </c>
    </row>
    <row r="32193" customFormat="false" ht="15" hidden="false" customHeight="false" outlineLevel="0" collapsed="false">
      <c r="A32193" s="3" t="s">
        <v>338</v>
      </c>
      <c r="G32193" s="16" t="n">
        <f aca="false">G32184*(1-G32142)*(G32183-G32189+G32188-G32191)</f>
        <v>0</v>
      </c>
      <c r="H32193" s="16" t="n">
        <f aca="false">H32184*(1-H32142)*(H32183-H32189+H32188-H32191)</f>
        <v>0</v>
      </c>
      <c r="I32193" s="16" t="n">
        <f aca="false">I32184*(1-I32142)*(I32183-I32189+I32188-I32191)</f>
        <v>0</v>
      </c>
      <c r="J32193" s="16" t="n">
        <f aca="false">J32184*(1-J32142)*(J32183-J32189+J32188-J32191)</f>
        <v>0</v>
      </c>
      <c r="K32193" s="16" t="n">
        <f aca="false">K32184*(1-K32142)*(K32183-K32189+K32188-K32191)</f>
        <v>0</v>
      </c>
    </row>
    <row r="32194" customFormat="false" ht="15" hidden="false" customHeight="false" outlineLevel="0" collapsed="false">
      <c r="A32194" s="2" t="s">
        <v>339</v>
      </c>
      <c r="F32194" s="28" t="n">
        <f aca="false">Assumptions!$C$60</f>
        <v>0</v>
      </c>
      <c r="G32194" s="17" t="n">
        <f aca="false">G32183+G32190+G32188-G32189-G32191-G32192</f>
        <v>0</v>
      </c>
      <c r="H32194" s="17" t="n">
        <f aca="false">H32183+H32190+H32188-H32189-H32191-H32192</f>
        <v>0</v>
      </c>
      <c r="I32194" s="17" t="n">
        <f aca="false">I32183+I32190+I32188-I32189-I32191-I32192</f>
        <v>66.796942182056</v>
      </c>
      <c r="J32194" s="17" t="n">
        <f aca="false">J32183+J32190+J32188-J32189-J32191-J32192</f>
        <v>155.677464864795</v>
      </c>
      <c r="K32194" s="17" t="n">
        <f aca="false">K32183+K32190+K32188-K32189-K32191-K32192</f>
        <v>260.213283923448</v>
      </c>
    </row>
    <row r="32195" customFormat="false" ht="15" hidden="false" customHeight="false" outlineLevel="0" collapsed="false">
      <c r="A32195" s="24" t="s">
        <v>343</v>
      </c>
      <c r="B32195" s="25"/>
      <c r="C32195" s="25"/>
      <c r="D32195" s="25"/>
      <c r="E32195" s="25"/>
      <c r="F32195" s="25"/>
      <c r="G32195" s="25"/>
      <c r="H32195" s="25"/>
      <c r="I32195" s="25"/>
      <c r="J32195" s="25"/>
      <c r="K32195" s="25"/>
    </row>
    <row r="32196" customFormat="false" ht="15" hidden="false" customHeight="false" outlineLevel="0" collapsed="false">
      <c r="A32196" s="3" t="s">
        <v>329</v>
      </c>
      <c r="G32196" s="16" t="n">
        <f aca="false">F32207</f>
        <v>450</v>
      </c>
      <c r="H32196" s="16" t="n">
        <f aca="false">G32207</f>
        <v>450</v>
      </c>
      <c r="I32196" s="16" t="n">
        <f aca="false">H32207</f>
        <v>407.7221513738</v>
      </c>
      <c r="J32196" s="16" t="n">
        <f aca="false">I32207</f>
        <v>407.7221513738</v>
      </c>
      <c r="K32196" s="16" t="n">
        <f aca="false">J32207</f>
        <v>407.7221513738</v>
      </c>
    </row>
    <row r="32197" customFormat="false" ht="15" hidden="false" customHeight="false" outlineLevel="0" collapsed="false">
      <c r="A32197" s="3" t="s">
        <v>330</v>
      </c>
      <c r="G32197" s="21" t="n">
        <f aca="false">IF(G32108=Assumptions!$K$61,1,0)</f>
        <v>0</v>
      </c>
      <c r="H32197" s="21" t="n">
        <f aca="false">IF(H32108=Assumptions!$K$61,1,0)</f>
        <v>1</v>
      </c>
      <c r="I32197" s="21" t="n">
        <f aca="false">IF(I32108=Assumptions!$K$61,1,0)</f>
        <v>0</v>
      </c>
      <c r="J32197" s="21" t="n">
        <f aca="false">IF(J32108=Assumptions!$K$61,1,0)</f>
        <v>0</v>
      </c>
      <c r="K32197" s="21" t="n">
        <f aca="false">IF(K32108=Assumptions!$K$61,1,0)</f>
        <v>0</v>
      </c>
    </row>
    <row r="32199" customFormat="false" ht="15" hidden="false" customHeight="false" outlineLevel="0" collapsed="false">
      <c r="A32199" s="3" t="s">
        <v>331</v>
      </c>
      <c r="G32199" s="31" t="n">
        <f aca="false">IF(Assumptions!$I$61=1,MAX(G32134,Assumptions!$G$61)+Assumptions!$F$61+$C$32135,Assumptions!$E$61)</f>
        <v>0.0395</v>
      </c>
      <c r="H32199" s="31" t="n">
        <f aca="false">IF(G32458=1,$C$32136,IF(Assumptions!$I$61=1,MAX(H32134,Assumptions!$G$61)+Assumptions!$F$61+$C$32135,Assumptions!$E$61))</f>
        <v>0.0395</v>
      </c>
      <c r="I32199" s="31" t="n">
        <f aca="false">IF(H32458=1,$C$32136,IF(Assumptions!$I$61=1,MAX(I32134,Assumptions!$G$61)+Assumptions!$F$61+$C$32135,Assumptions!$E$61))</f>
        <v>0.08</v>
      </c>
      <c r="J32199" s="31" t="n">
        <f aca="false">IF(I32458=1,$C$32136,IF(Assumptions!$I$61=1,MAX(J32134,Assumptions!$G$61)+Assumptions!$F$61+$C$32135,Assumptions!$E$61))</f>
        <v>0.08</v>
      </c>
      <c r="K32199" s="31" t="n">
        <f aca="false">IF(J32458=1,$C$32136,IF(Assumptions!$I$61=1,MAX(K32134,Assumptions!$G$61)+Assumptions!$F$61+$C$32135,Assumptions!$E$61))</f>
        <v>0.08</v>
      </c>
    </row>
    <row r="32200" customFormat="false" ht="15" hidden="false" customHeight="false" outlineLevel="0" collapsed="false">
      <c r="A32200" s="3" t="s">
        <v>332</v>
      </c>
      <c r="G32200" s="16" t="n">
        <f aca="false">G32196*G32199</f>
        <v>17.775</v>
      </c>
      <c r="H32200" s="16" t="n">
        <f aca="false">H32196*H32199</f>
        <v>17.775</v>
      </c>
      <c r="I32200" s="16" t="n">
        <f aca="false">I32196*I32199</f>
        <v>32.617772109904</v>
      </c>
      <c r="J32200" s="16" t="n">
        <f aca="false">J32196*J32199</f>
        <v>32.617772109904</v>
      </c>
      <c r="K32200" s="16" t="n">
        <f aca="false">K32196*K32199</f>
        <v>32.617772109904</v>
      </c>
    </row>
    <row r="32201" customFormat="false" ht="15" hidden="false" customHeight="false" outlineLevel="0" collapsed="false">
      <c r="A32201" s="3" t="s">
        <v>333</v>
      </c>
      <c r="G32201" s="16" t="n">
        <f aca="false">G32196*Assumptions!$H$61</f>
        <v>0</v>
      </c>
      <c r="H32201" s="16" t="n">
        <f aca="false">H32196*Assumptions!$H$61</f>
        <v>0</v>
      </c>
      <c r="I32201" s="16" t="n">
        <f aca="false">I32196*Assumptions!$H$61</f>
        <v>0</v>
      </c>
      <c r="J32201" s="16" t="n">
        <f aca="false">J32196*Assumptions!$H$61</f>
        <v>0</v>
      </c>
      <c r="K32201" s="16" t="n">
        <f aca="false">K32196*Assumptions!$H$61</f>
        <v>0</v>
      </c>
    </row>
    <row r="32202" customFormat="false" ht="15" hidden="false" customHeight="false" outlineLevel="0" collapsed="false">
      <c r="A32202" s="3" t="s">
        <v>334</v>
      </c>
      <c r="G32202" s="16" t="n">
        <f aca="false">MIN(G32196,Assumptions!$L$61*Assumptions!$C$61)</f>
        <v>0</v>
      </c>
      <c r="H32202" s="16" t="n">
        <f aca="false">MIN(H32196,Assumptions!$L$61*Assumptions!$C$61)</f>
        <v>0</v>
      </c>
      <c r="I32202" s="16" t="n">
        <f aca="false">MIN(I32196,Assumptions!$L$61*Assumptions!$C$61)</f>
        <v>0</v>
      </c>
      <c r="J32202" s="16" t="n">
        <f aca="false">MIN(J32196,Assumptions!$L$61*Assumptions!$C$61)</f>
        <v>0</v>
      </c>
      <c r="K32202" s="16" t="n">
        <f aca="false">MIN(K32196,Assumptions!$L$61*Assumptions!$C$61)</f>
        <v>0</v>
      </c>
    </row>
    <row r="32203" customFormat="false" ht="15" hidden="false" customHeight="false" outlineLevel="0" collapsed="false">
      <c r="A32203" s="3" t="s">
        <v>335</v>
      </c>
      <c r="G32203" s="16" t="n">
        <f aca="false">IF(AND(Assumptions!$P$61=1,G32108&lt;Assumptions!$K$61),MIN(MAX(0,-G32324),MAX(0,Assumptions!$D$61-G32196)),0)</f>
        <v>0</v>
      </c>
      <c r="H32203" s="16" t="n">
        <f aca="false">IF(AND(Assumptions!$P$61=1,OR(H32108&lt;Assumptions!$K$61,G32458=1)),MIN(MAX(0,-H32324),MAX(0,Assumptions!$D$61-H32196)),0)</f>
        <v>0</v>
      </c>
      <c r="I32203" s="16" t="n">
        <f aca="false">IF(AND(Assumptions!$P$61=1,OR(I32108&lt;Assumptions!$K$61,H32458=1)),MIN(MAX(0,-I32324),MAX(0,Assumptions!$D$61-I32196)),0)</f>
        <v>0</v>
      </c>
      <c r="J32203" s="16" t="n">
        <f aca="false">IF(AND(Assumptions!$P$61=1,OR(J32108&lt;Assumptions!$K$61,I32458=1)),MIN(MAX(0,-J32324),MAX(0,Assumptions!$D$61-J32196)),0)</f>
        <v>0</v>
      </c>
      <c r="K32203" s="16" t="n">
        <f aca="false">IF(AND(Assumptions!$P$61=1,OR(K32108&lt;Assumptions!$K$61,J32458=1)),MIN(MAX(0,-K32324),MAX(0,Assumptions!$D$61-K32196)),0)</f>
        <v>0</v>
      </c>
    </row>
    <row r="32204" customFormat="false" ht="15" hidden="false" customHeight="false" outlineLevel="0" collapsed="false">
      <c r="A32204" s="3" t="s">
        <v>336</v>
      </c>
      <c r="G32204" s="16" t="n">
        <f aca="false">G32197*MIN(G32196-G32202+G32201,MAX(0,G32326-Assumptions!$C$12*G32142-G32152-G32165-G32178-G32191))</f>
        <v>0</v>
      </c>
      <c r="H32204" s="16" t="n">
        <f aca="false">H32197*MIN(H32196-H32202+H32201,MAX(0,H32326-Assumptions!$C$12*H32142-H32152-H32165-H32178-H32191))</f>
        <v>42.2778486262</v>
      </c>
      <c r="I32204" s="16" t="n">
        <f aca="false">I32197*MIN(I32196-I32202+I32201,MAX(0,I32326-Assumptions!$C$12*I32142-I32152-I32165-I32178-I32191))</f>
        <v>0</v>
      </c>
      <c r="J32204" s="16" t="n">
        <f aca="false">J32197*MIN(J32196-J32202+J32201,MAX(0,J32326-Assumptions!$C$12*J32142-J32152-J32165-J32178-J32191))</f>
        <v>0</v>
      </c>
      <c r="K32204" s="16" t="n">
        <f aca="false">K32197*MIN(K32196-K32202+K32201,MAX(0,K32326-Assumptions!$C$12*K32142-K32152-K32165-K32178-K32191))</f>
        <v>0</v>
      </c>
    </row>
    <row r="32205" customFormat="false" ht="15" hidden="false" customHeight="false" outlineLevel="0" collapsed="false">
      <c r="A32205" s="3" t="s">
        <v>337</v>
      </c>
      <c r="G32205" s="16" t="n">
        <f aca="false">Assumptions!$N$61*MIN(G32196+G32203+G32201-G32202-G32204,MAX(0,G32330-G32153-G32166-G32179-G32192))</f>
        <v>0</v>
      </c>
      <c r="H32205" s="16" t="n">
        <f aca="false">Assumptions!$N$61*MIN(H32196+H32203+H32201-H32202-H32204,MAX(0,H32330-H32153-H32166-H32179-H32192))</f>
        <v>0</v>
      </c>
      <c r="I32205" s="16" t="n">
        <f aca="false">Assumptions!$N$61*MIN(I32196+I32203+I32201-I32202-I32204,MAX(0,I32330-I32153-I32166-I32179-I32192))</f>
        <v>0</v>
      </c>
      <c r="J32205" s="16" t="n">
        <f aca="false">Assumptions!$N$61*MIN(J32196+J32203+J32201-J32202-J32204,MAX(0,J32330-J32153-J32166-J32179-J32192))</f>
        <v>0</v>
      </c>
      <c r="K32205" s="16" t="n">
        <f aca="false">Assumptions!$N$61*MIN(K32196+K32203+K32201-K32202-K32204,MAX(0,K32330-K32153-K32166-K32179-K32192))</f>
        <v>0</v>
      </c>
    </row>
    <row r="32206" customFormat="false" ht="15" hidden="false" customHeight="false" outlineLevel="0" collapsed="false">
      <c r="A32206" s="3" t="s">
        <v>338</v>
      </c>
      <c r="G32206" s="16" t="n">
        <f aca="false">G32197*(1-G32142)*(G32196-G32202+G32201-G32204)</f>
        <v>0</v>
      </c>
      <c r="H32206" s="16" t="n">
        <f aca="false">H32197*(1-H32142)*(H32196-H32202+H32201-H32204)</f>
        <v>0</v>
      </c>
      <c r="I32206" s="16" t="n">
        <f aca="false">I32197*(1-I32142)*(I32196-I32202+I32201-I32204)</f>
        <v>0</v>
      </c>
      <c r="J32206" s="16" t="n">
        <f aca="false">J32197*(1-J32142)*(J32196-J32202+J32201-J32204)</f>
        <v>0</v>
      </c>
      <c r="K32206" s="16" t="n">
        <f aca="false">K32197*(1-K32142)*(K32196-K32202+K32201-K32204)</f>
        <v>0</v>
      </c>
    </row>
    <row r="32207" customFormat="false" ht="15" hidden="false" customHeight="false" outlineLevel="0" collapsed="false">
      <c r="A32207" s="2" t="s">
        <v>339</v>
      </c>
      <c r="F32207" s="28" t="n">
        <f aca="false">Assumptions!$C$61</f>
        <v>450</v>
      </c>
      <c r="G32207" s="17" t="n">
        <f aca="false">G32196+G32203+G32201-G32202-G32204-G32205</f>
        <v>450</v>
      </c>
      <c r="H32207" s="17" t="n">
        <f aca="false">H32196+H32203+H32201-H32202-H32204-H32205</f>
        <v>407.7221513738</v>
      </c>
      <c r="I32207" s="17" t="n">
        <f aca="false">I32196+I32203+I32201-I32202-I32204-I32205</f>
        <v>407.7221513738</v>
      </c>
      <c r="J32207" s="17" t="n">
        <f aca="false">J32196+J32203+J32201-J32202-J32204-J32205</f>
        <v>407.7221513738</v>
      </c>
      <c r="K32207" s="17" t="n">
        <f aca="false">K32196+K32203+K32201-K32202-K32204-K32205</f>
        <v>407.7221513738</v>
      </c>
    </row>
    <row r="32208" customFormat="false" ht="15" hidden="false" customHeight="false" outlineLevel="0" collapsed="false">
      <c r="A32208" s="24" t="s">
        <v>344</v>
      </c>
      <c r="B32208" s="25"/>
      <c r="C32208" s="25"/>
      <c r="D32208" s="25"/>
      <c r="E32208" s="25"/>
      <c r="F32208" s="25"/>
      <c r="G32208" s="25"/>
      <c r="H32208" s="25"/>
      <c r="I32208" s="25"/>
      <c r="J32208" s="25"/>
      <c r="K32208" s="25"/>
    </row>
    <row r="32209" customFormat="false" ht="15" hidden="false" customHeight="false" outlineLevel="0" collapsed="false">
      <c r="A32209" s="3" t="s">
        <v>329</v>
      </c>
      <c r="G32209" s="16" t="n">
        <f aca="false">F32220</f>
        <v>350</v>
      </c>
      <c r="H32209" s="16" t="n">
        <f aca="false">G32220</f>
        <v>350</v>
      </c>
      <c r="I32209" s="16" t="n">
        <f aca="false">H32220</f>
        <v>350</v>
      </c>
      <c r="J32209" s="16" t="n">
        <f aca="false">I32220</f>
        <v>350</v>
      </c>
      <c r="K32209" s="16" t="n">
        <f aca="false">J32220</f>
        <v>350</v>
      </c>
    </row>
    <row r="32210" customFormat="false" ht="15" hidden="false" customHeight="false" outlineLevel="0" collapsed="false">
      <c r="A32210" s="3" t="s">
        <v>330</v>
      </c>
      <c r="G32210" s="21" t="n">
        <f aca="false">IF(G32108=Assumptions!$K$62,1,0)</f>
        <v>0</v>
      </c>
      <c r="H32210" s="21" t="n">
        <f aca="false">IF(H32108=Assumptions!$K$62,1,0)</f>
        <v>1</v>
      </c>
      <c r="I32210" s="21" t="n">
        <f aca="false">IF(I32108=Assumptions!$K$62,1,0)</f>
        <v>0</v>
      </c>
      <c r="J32210" s="21" t="n">
        <f aca="false">IF(J32108=Assumptions!$K$62,1,0)</f>
        <v>0</v>
      </c>
      <c r="K32210" s="21" t="n">
        <f aca="false">IF(K32108=Assumptions!$K$62,1,0)</f>
        <v>0</v>
      </c>
    </row>
    <row r="32212" customFormat="false" ht="15" hidden="false" customHeight="false" outlineLevel="0" collapsed="false">
      <c r="A32212" s="3" t="s">
        <v>331</v>
      </c>
      <c r="G32212" s="31" t="n">
        <f aca="false">IF(Assumptions!$I$62=1,MAX(G32134,Assumptions!$G$62)+Assumptions!$F$62+$C$32135,Assumptions!$E$62)</f>
        <v>0.083</v>
      </c>
      <c r="H32212" s="31" t="n">
        <f aca="false">IF(G32459=1,$C$32136,IF(Assumptions!$I$62=1,MAX(H32134,Assumptions!$G$62)+Assumptions!$F$62+$C$32135,Assumptions!$E$62))</f>
        <v>0.083</v>
      </c>
      <c r="I32212" s="31" t="n">
        <f aca="false">IF(H32459=1,$C$32136,IF(Assumptions!$I$62=1,MAX(I32134,Assumptions!$G$62)+Assumptions!$F$62+$C$32135,Assumptions!$E$62))</f>
        <v>0.08</v>
      </c>
      <c r="J32212" s="31" t="n">
        <f aca="false">IF(I32459=1,$C$32136,IF(Assumptions!$I$62=1,MAX(J32134,Assumptions!$G$62)+Assumptions!$F$62+$C$32135,Assumptions!$E$62))</f>
        <v>0.08</v>
      </c>
      <c r="K32212" s="31" t="n">
        <f aca="false">IF(J32459=1,$C$32136,IF(Assumptions!$I$62=1,MAX(K32134,Assumptions!$G$62)+Assumptions!$F$62+$C$32135,Assumptions!$E$62))</f>
        <v>0.08</v>
      </c>
    </row>
    <row r="32213" customFormat="false" ht="15" hidden="false" customHeight="false" outlineLevel="0" collapsed="false">
      <c r="A32213" s="3" t="s">
        <v>332</v>
      </c>
      <c r="G32213" s="16" t="n">
        <f aca="false">G32209*G32212</f>
        <v>29.05</v>
      </c>
      <c r="H32213" s="16" t="n">
        <f aca="false">H32209*H32212</f>
        <v>29.05</v>
      </c>
      <c r="I32213" s="16" t="n">
        <f aca="false">I32209*I32212</f>
        <v>28</v>
      </c>
      <c r="J32213" s="16" t="n">
        <f aca="false">J32209*J32212</f>
        <v>28</v>
      </c>
      <c r="K32213" s="16" t="n">
        <f aca="false">K32209*K32212</f>
        <v>28</v>
      </c>
    </row>
    <row r="32214" customFormat="false" ht="15" hidden="false" customHeight="false" outlineLevel="0" collapsed="false">
      <c r="A32214" s="3" t="s">
        <v>333</v>
      </c>
      <c r="G32214" s="16" t="n">
        <f aca="false">G32209*Assumptions!$H$62</f>
        <v>0</v>
      </c>
      <c r="H32214" s="16" t="n">
        <f aca="false">H32209*Assumptions!$H$62</f>
        <v>0</v>
      </c>
      <c r="I32214" s="16" t="n">
        <f aca="false">I32209*Assumptions!$H$62</f>
        <v>0</v>
      </c>
      <c r="J32214" s="16" t="n">
        <f aca="false">J32209*Assumptions!$H$62</f>
        <v>0</v>
      </c>
      <c r="K32214" s="16" t="n">
        <f aca="false">K32209*Assumptions!$H$62</f>
        <v>0</v>
      </c>
    </row>
    <row r="32215" customFormat="false" ht="15" hidden="false" customHeight="false" outlineLevel="0" collapsed="false">
      <c r="A32215" s="3" t="s">
        <v>334</v>
      </c>
      <c r="G32215" s="16" t="n">
        <f aca="false">MIN(G32209,Assumptions!$L$62*Assumptions!$C$62)</f>
        <v>0</v>
      </c>
      <c r="H32215" s="16" t="n">
        <f aca="false">MIN(H32209,Assumptions!$L$62*Assumptions!$C$62)</f>
        <v>0</v>
      </c>
      <c r="I32215" s="16" t="n">
        <f aca="false">MIN(I32209,Assumptions!$L$62*Assumptions!$C$62)</f>
        <v>0</v>
      </c>
      <c r="J32215" s="16" t="n">
        <f aca="false">MIN(J32209,Assumptions!$L$62*Assumptions!$C$62)</f>
        <v>0</v>
      </c>
      <c r="K32215" s="16" t="n">
        <f aca="false">MIN(K32209,Assumptions!$L$62*Assumptions!$C$62)</f>
        <v>0</v>
      </c>
    </row>
    <row r="32216" customFormat="false" ht="15" hidden="false" customHeight="false" outlineLevel="0" collapsed="false">
      <c r="A32216" s="3" t="s">
        <v>335</v>
      </c>
      <c r="G32216" s="16" t="n">
        <f aca="false">IF(AND(Assumptions!$P$62=1,G32108&lt;Assumptions!$K$62),MIN(MAX(0,-G32324),MAX(0,Assumptions!$D$62-G32209)),0)</f>
        <v>0</v>
      </c>
      <c r="H32216" s="16" t="n">
        <f aca="false">IF(AND(Assumptions!$P$62=1,OR(H32108&lt;Assumptions!$K$62,G32459=1)),MIN(MAX(0,-H32324),MAX(0,Assumptions!$D$62-H32209)),0)</f>
        <v>0</v>
      </c>
      <c r="I32216" s="16" t="n">
        <f aca="false">IF(AND(Assumptions!$P$62=1,OR(I32108&lt;Assumptions!$K$62,H32459=1)),MIN(MAX(0,-I32324),MAX(0,Assumptions!$D$62-I32209)),0)</f>
        <v>0</v>
      </c>
      <c r="J32216" s="16" t="n">
        <f aca="false">IF(AND(Assumptions!$P$62=1,OR(J32108&lt;Assumptions!$K$62,I32459=1)),MIN(MAX(0,-J32324),MAX(0,Assumptions!$D$62-J32209)),0)</f>
        <v>0</v>
      </c>
      <c r="K32216" s="16" t="n">
        <f aca="false">IF(AND(Assumptions!$P$62=1,OR(K32108&lt;Assumptions!$K$62,J32459=1)),MIN(MAX(0,-K32324),MAX(0,Assumptions!$D$62-K32209)),0)</f>
        <v>0</v>
      </c>
    </row>
    <row r="32217" customFormat="false" ht="15" hidden="false" customHeight="false" outlineLevel="0" collapsed="false">
      <c r="A32217" s="3" t="s">
        <v>336</v>
      </c>
      <c r="G32217" s="16" t="n">
        <f aca="false">G32210*MIN(G32209-G32215+G32214,MAX(0,G32326-Assumptions!$C$12*G32142-G32152-G32165-G32178-G32191-G32204))</f>
        <v>0</v>
      </c>
      <c r="H32217" s="16" t="n">
        <f aca="false">H32210*MIN(H32209-H32215+H32214,MAX(0,H32326-Assumptions!$C$12*H32142-H32152-H32165-H32178-H32191-H32204))</f>
        <v>0</v>
      </c>
      <c r="I32217" s="16" t="n">
        <f aca="false">I32210*MIN(I32209-I32215+I32214,MAX(0,I32326-Assumptions!$C$12*I32142-I32152-I32165-I32178-I32191-I32204))</f>
        <v>0</v>
      </c>
      <c r="J32217" s="16" t="n">
        <f aca="false">J32210*MIN(J32209-J32215+J32214,MAX(0,J32326-Assumptions!$C$12*J32142-J32152-J32165-J32178-J32191-J32204))</f>
        <v>0</v>
      </c>
      <c r="K32217" s="16" t="n">
        <f aca="false">K32210*MIN(K32209-K32215+K32214,MAX(0,K32326-Assumptions!$C$12*K32142-K32152-K32165-K32178-K32191-K32204))</f>
        <v>0</v>
      </c>
    </row>
    <row r="32218" customFormat="false" ht="15" hidden="false" customHeight="false" outlineLevel="0" collapsed="false">
      <c r="A32218" s="3" t="s">
        <v>337</v>
      </c>
      <c r="G32218" s="16" t="n">
        <f aca="false">Assumptions!$N$62*MIN(G32209+G32216+G32214-G32215-G32217,MAX(0,G32330-G32153-G32166-G32179-G32192-G32205))</f>
        <v>0</v>
      </c>
      <c r="H32218" s="16" t="n">
        <f aca="false">Assumptions!$N$62*MIN(H32209+H32216+H32214-H32215-H32217,MAX(0,H32330-H32153-H32166-H32179-H32192-H32205))</f>
        <v>0</v>
      </c>
      <c r="I32218" s="16" t="n">
        <f aca="false">Assumptions!$N$62*MIN(I32209+I32216+I32214-I32215-I32217,MAX(0,I32330-I32153-I32166-I32179-I32192-I32205))</f>
        <v>0</v>
      </c>
      <c r="J32218" s="16" t="n">
        <f aca="false">Assumptions!$N$62*MIN(J32209+J32216+J32214-J32215-J32217,MAX(0,J32330-J32153-J32166-J32179-J32192-J32205))</f>
        <v>0</v>
      </c>
      <c r="K32218" s="16" t="n">
        <f aca="false">Assumptions!$N$62*MIN(K32209+K32216+K32214-K32215-K32217,MAX(0,K32330-K32153-K32166-K32179-K32192-K32205))</f>
        <v>0</v>
      </c>
    </row>
    <row r="32219" customFormat="false" ht="15" hidden="false" customHeight="false" outlineLevel="0" collapsed="false">
      <c r="A32219" s="3" t="s">
        <v>338</v>
      </c>
      <c r="G32219" s="16" t="n">
        <f aca="false">G32210*(1-G32142)*(G32209-G32215+G32214-G32217)</f>
        <v>0</v>
      </c>
      <c r="H32219" s="16" t="n">
        <f aca="false">H32210*(1-H32142)*(H32209-H32215+H32214-H32217)</f>
        <v>0</v>
      </c>
      <c r="I32219" s="16" t="n">
        <f aca="false">I32210*(1-I32142)*(I32209-I32215+I32214-I32217)</f>
        <v>0</v>
      </c>
      <c r="J32219" s="16" t="n">
        <f aca="false">J32210*(1-J32142)*(J32209-J32215+J32214-J32217)</f>
        <v>0</v>
      </c>
      <c r="K32219" s="16" t="n">
        <f aca="false">K32210*(1-K32142)*(K32209-K32215+K32214-K32217)</f>
        <v>0</v>
      </c>
    </row>
    <row r="32220" customFormat="false" ht="15" hidden="false" customHeight="false" outlineLevel="0" collapsed="false">
      <c r="A32220" s="2" t="s">
        <v>339</v>
      </c>
      <c r="F32220" s="28" t="n">
        <f aca="false">Assumptions!$C$62</f>
        <v>350</v>
      </c>
      <c r="G32220" s="17" t="n">
        <f aca="false">G32209+G32216+G32214-G32215-G32217-G32218</f>
        <v>350</v>
      </c>
      <c r="H32220" s="17" t="n">
        <f aca="false">H32209+H32216+H32214-H32215-H32217-H32218</f>
        <v>350</v>
      </c>
      <c r="I32220" s="17" t="n">
        <f aca="false">I32209+I32216+I32214-I32215-I32217-I32218</f>
        <v>350</v>
      </c>
      <c r="J32220" s="17" t="n">
        <f aca="false">J32209+J32216+J32214-J32215-J32217-J32218</f>
        <v>350</v>
      </c>
      <c r="K32220" s="17" t="n">
        <f aca="false">K32209+K32216+K32214-K32215-K32217-K32218</f>
        <v>350</v>
      </c>
    </row>
    <row r="32221" customFormat="false" ht="15" hidden="false" customHeight="false" outlineLevel="0" collapsed="false">
      <c r="A32221" s="24" t="s">
        <v>345</v>
      </c>
      <c r="B32221" s="25"/>
      <c r="C32221" s="25"/>
      <c r="D32221" s="25"/>
      <c r="E32221" s="25"/>
      <c r="F32221" s="25"/>
      <c r="G32221" s="25"/>
      <c r="H32221" s="25"/>
      <c r="I32221" s="25"/>
      <c r="J32221" s="25"/>
      <c r="K32221" s="25"/>
    </row>
    <row r="32222" customFormat="false" ht="15" hidden="false" customHeight="false" outlineLevel="0" collapsed="false">
      <c r="A32222" s="3" t="s">
        <v>329</v>
      </c>
      <c r="G32222" s="16" t="n">
        <f aca="false">F32233</f>
        <v>550</v>
      </c>
      <c r="H32222" s="16" t="n">
        <f aca="false">G32233</f>
        <v>550</v>
      </c>
      <c r="I32222" s="16" t="n">
        <f aca="false">H32233</f>
        <v>550</v>
      </c>
      <c r="J32222" s="16" t="n">
        <f aca="false">I32233</f>
        <v>550</v>
      </c>
      <c r="K32222" s="16" t="n">
        <f aca="false">J32233</f>
        <v>550</v>
      </c>
    </row>
    <row r="32223" customFormat="false" ht="15" hidden="false" customHeight="false" outlineLevel="0" collapsed="false">
      <c r="A32223" s="3" t="s">
        <v>330</v>
      </c>
      <c r="G32223" s="21" t="n">
        <f aca="false">IF(G32108=Assumptions!$K$63,1,0)</f>
        <v>0</v>
      </c>
      <c r="H32223" s="21" t="n">
        <f aca="false">IF(H32108=Assumptions!$K$63,1,0)</f>
        <v>0</v>
      </c>
      <c r="I32223" s="21" t="n">
        <f aca="false">IF(I32108=Assumptions!$K$63,1,0)</f>
        <v>1</v>
      </c>
      <c r="J32223" s="21" t="n">
        <f aca="false">IF(J32108=Assumptions!$K$63,1,0)</f>
        <v>0</v>
      </c>
      <c r="K32223" s="21" t="n">
        <f aca="false">IF(K32108=Assumptions!$K$63,1,0)</f>
        <v>0</v>
      </c>
    </row>
    <row r="32225" customFormat="false" ht="15" hidden="false" customHeight="false" outlineLevel="0" collapsed="false">
      <c r="A32225" s="3" t="s">
        <v>331</v>
      </c>
      <c r="G32225" s="31" t="n">
        <f aca="false">IF(Assumptions!$I$63=1,MAX(G32134,Assumptions!$G$63)+Assumptions!$F$63+$C$32135,Assumptions!$E$63)</f>
        <v>0.08875</v>
      </c>
      <c r="H32225" s="31" t="n">
        <f aca="false">IF(G32460=1,$C$32136,IF(Assumptions!$I$63=1,MAX(H32134,Assumptions!$G$63)+Assumptions!$F$63+$C$32135,Assumptions!$E$63))</f>
        <v>0.08875</v>
      </c>
      <c r="I32225" s="31" t="n">
        <f aca="false">IF(H32460=1,$C$32136,IF(Assumptions!$I$63=1,MAX(I32134,Assumptions!$G$63)+Assumptions!$F$63+$C$32135,Assumptions!$E$63))</f>
        <v>0.08875</v>
      </c>
      <c r="J32225" s="31" t="n">
        <f aca="false">IF(I32460=1,$C$32136,IF(Assumptions!$I$63=1,MAX(J32134,Assumptions!$G$63)+Assumptions!$F$63+$C$32135,Assumptions!$E$63))</f>
        <v>0.08</v>
      </c>
      <c r="K32225" s="31" t="n">
        <f aca="false">IF(J32460=1,$C$32136,IF(Assumptions!$I$63=1,MAX(K32134,Assumptions!$G$63)+Assumptions!$F$63+$C$32135,Assumptions!$E$63))</f>
        <v>0.08</v>
      </c>
    </row>
    <row r="32226" customFormat="false" ht="15" hidden="false" customHeight="false" outlineLevel="0" collapsed="false">
      <c r="A32226" s="3" t="s">
        <v>332</v>
      </c>
      <c r="G32226" s="16" t="n">
        <f aca="false">G32222*G32225</f>
        <v>48.8125</v>
      </c>
      <c r="H32226" s="16" t="n">
        <f aca="false">H32222*H32225</f>
        <v>48.8125</v>
      </c>
      <c r="I32226" s="16" t="n">
        <f aca="false">I32222*I32225</f>
        <v>48.8125</v>
      </c>
      <c r="J32226" s="16" t="n">
        <f aca="false">J32222*J32225</f>
        <v>44</v>
      </c>
      <c r="K32226" s="16" t="n">
        <f aca="false">K32222*K32225</f>
        <v>44</v>
      </c>
    </row>
    <row r="32227" customFormat="false" ht="15" hidden="false" customHeight="false" outlineLevel="0" collapsed="false">
      <c r="A32227" s="3" t="s">
        <v>333</v>
      </c>
      <c r="G32227" s="16" t="n">
        <f aca="false">G32222*Assumptions!$H$63</f>
        <v>0</v>
      </c>
      <c r="H32227" s="16" t="n">
        <f aca="false">H32222*Assumptions!$H$63</f>
        <v>0</v>
      </c>
      <c r="I32227" s="16" t="n">
        <f aca="false">I32222*Assumptions!$H$63</f>
        <v>0</v>
      </c>
      <c r="J32227" s="16" t="n">
        <f aca="false">J32222*Assumptions!$H$63</f>
        <v>0</v>
      </c>
      <c r="K32227" s="16" t="n">
        <f aca="false">K32222*Assumptions!$H$63</f>
        <v>0</v>
      </c>
    </row>
    <row r="32228" customFormat="false" ht="15" hidden="false" customHeight="false" outlineLevel="0" collapsed="false">
      <c r="A32228" s="3" t="s">
        <v>334</v>
      </c>
      <c r="G32228" s="16" t="n">
        <f aca="false">MIN(G32222,Assumptions!$L$63*Assumptions!$C$63)</f>
        <v>0</v>
      </c>
      <c r="H32228" s="16" t="n">
        <f aca="false">MIN(H32222,Assumptions!$L$63*Assumptions!$C$63)</f>
        <v>0</v>
      </c>
      <c r="I32228" s="16" t="n">
        <f aca="false">MIN(I32222,Assumptions!$L$63*Assumptions!$C$63)</f>
        <v>0</v>
      </c>
      <c r="J32228" s="16" t="n">
        <f aca="false">MIN(J32222,Assumptions!$L$63*Assumptions!$C$63)</f>
        <v>0</v>
      </c>
      <c r="K32228" s="16" t="n">
        <f aca="false">MIN(K32222,Assumptions!$L$63*Assumptions!$C$63)</f>
        <v>0</v>
      </c>
    </row>
    <row r="32229" customFormat="false" ht="15" hidden="false" customHeight="false" outlineLevel="0" collapsed="false">
      <c r="A32229" s="3" t="s">
        <v>335</v>
      </c>
      <c r="G32229" s="16" t="n">
        <f aca="false">IF(AND(Assumptions!$P$63=1,G32108&lt;Assumptions!$K$63),MIN(MAX(0,-G32324),MAX(0,Assumptions!$D$63-G32222)),0)</f>
        <v>0</v>
      </c>
      <c r="H32229" s="16" t="n">
        <f aca="false">IF(AND(Assumptions!$P$63=1,OR(H32108&lt;Assumptions!$K$63,G32460=1)),MIN(MAX(0,-H32324),MAX(0,Assumptions!$D$63-H32222)),0)</f>
        <v>0</v>
      </c>
      <c r="I32229" s="16" t="n">
        <f aca="false">IF(AND(Assumptions!$P$63=1,OR(I32108&lt;Assumptions!$K$63,H32460=1)),MIN(MAX(0,-I32324),MAX(0,Assumptions!$D$63-I32222)),0)</f>
        <v>0</v>
      </c>
      <c r="J32229" s="16" t="n">
        <f aca="false">IF(AND(Assumptions!$P$63=1,OR(J32108&lt;Assumptions!$K$63,I32460=1)),MIN(MAX(0,-J32324),MAX(0,Assumptions!$D$63-J32222)),0)</f>
        <v>0</v>
      </c>
      <c r="K32229" s="16" t="n">
        <f aca="false">IF(AND(Assumptions!$P$63=1,OR(K32108&lt;Assumptions!$K$63,J32460=1)),MIN(MAX(0,-K32324),MAX(0,Assumptions!$D$63-K32222)),0)</f>
        <v>0</v>
      </c>
    </row>
    <row r="32230" customFormat="false" ht="15" hidden="false" customHeight="false" outlineLevel="0" collapsed="false">
      <c r="A32230" s="3" t="s">
        <v>336</v>
      </c>
      <c r="G32230" s="16" t="n">
        <f aca="false">G32223*MIN(G32222-G32228+G32227,MAX(0,G32326-Assumptions!$C$12*G32142-G32152-G32165-G32178-G32191-G32204-G32217))</f>
        <v>0</v>
      </c>
      <c r="H32230" s="16" t="n">
        <f aca="false">H32223*MIN(H32222-H32228+H32227,MAX(0,H32326-Assumptions!$C$12*H32142-H32152-H32165-H32178-H32191-H32204-H32217))</f>
        <v>0</v>
      </c>
      <c r="I32230" s="16" t="n">
        <f aca="false">I32223*MIN(I32222-I32228+I32227,MAX(0,I32326-Assumptions!$C$12*I32142-I32152-I32165-I32178-I32191-I32204-I32217))</f>
        <v>0</v>
      </c>
      <c r="J32230" s="16" t="n">
        <f aca="false">J32223*MIN(J32222-J32228+J32227,MAX(0,J32326-Assumptions!$C$12*J32142-J32152-J32165-J32178-J32191-J32204-J32217))</f>
        <v>0</v>
      </c>
      <c r="K32230" s="16" t="n">
        <f aca="false">K32223*MIN(K32222-K32228+K32227,MAX(0,K32326-Assumptions!$C$12*K32142-K32152-K32165-K32178-K32191-K32204-K32217))</f>
        <v>0</v>
      </c>
    </row>
    <row r="32231" customFormat="false" ht="15" hidden="false" customHeight="false" outlineLevel="0" collapsed="false">
      <c r="A32231" s="3" t="s">
        <v>337</v>
      </c>
      <c r="G32231" s="16" t="n">
        <f aca="false">Assumptions!$N$63*MIN(G32222+G32229+G32227-G32228-G32230,MAX(0,G32330-G32153-G32166-G32179-G32192-G32205-G32218))</f>
        <v>0</v>
      </c>
      <c r="H32231" s="16" t="n">
        <f aca="false">Assumptions!$N$63*MIN(H32222+H32229+H32227-H32228-H32230,MAX(0,H32330-H32153-H32166-H32179-H32192-H32205-H32218))</f>
        <v>0</v>
      </c>
      <c r="I32231" s="16" t="n">
        <f aca="false">Assumptions!$N$63*MIN(I32222+I32229+I32227-I32228-I32230,MAX(0,I32330-I32153-I32166-I32179-I32192-I32205-I32218))</f>
        <v>0</v>
      </c>
      <c r="J32231" s="16" t="n">
        <f aca="false">Assumptions!$N$63*MIN(J32222+J32229+J32227-J32228-J32230,MAX(0,J32330-J32153-J32166-J32179-J32192-J32205-J32218))</f>
        <v>0</v>
      </c>
      <c r="K32231" s="16" t="n">
        <f aca="false">Assumptions!$N$63*MIN(K32222+K32229+K32227-K32228-K32230,MAX(0,K32330-K32153-K32166-K32179-K32192-K32205-K32218))</f>
        <v>0</v>
      </c>
    </row>
    <row r="32232" customFormat="false" ht="15" hidden="false" customHeight="false" outlineLevel="0" collapsed="false">
      <c r="A32232" s="3" t="s">
        <v>338</v>
      </c>
      <c r="G32232" s="16" t="n">
        <f aca="false">G32223*(1-G32142)*(G32222-G32228+G32227-G32230)</f>
        <v>0</v>
      </c>
      <c r="H32232" s="16" t="n">
        <f aca="false">H32223*(1-H32142)*(H32222-H32228+H32227-H32230)</f>
        <v>0</v>
      </c>
      <c r="I32232" s="16" t="n">
        <f aca="false">I32223*(1-I32142)*(I32222-I32228+I32227-I32230)</f>
        <v>0</v>
      </c>
      <c r="J32232" s="16" t="n">
        <f aca="false">J32223*(1-J32142)*(J32222-J32228+J32227-J32230)</f>
        <v>0</v>
      </c>
      <c r="K32232" s="16" t="n">
        <f aca="false">K32223*(1-K32142)*(K32222-K32228+K32227-K32230)</f>
        <v>0</v>
      </c>
    </row>
    <row r="32233" customFormat="false" ht="15" hidden="false" customHeight="false" outlineLevel="0" collapsed="false">
      <c r="A32233" s="2" t="s">
        <v>339</v>
      </c>
      <c r="F32233" s="28" t="n">
        <f aca="false">Assumptions!$C$63</f>
        <v>550</v>
      </c>
      <c r="G32233" s="17" t="n">
        <f aca="false">G32222+G32229+G32227-G32228-G32230-G32231</f>
        <v>550</v>
      </c>
      <c r="H32233" s="17" t="n">
        <f aca="false">H32222+H32229+H32227-H32228-H32230-H32231</f>
        <v>550</v>
      </c>
      <c r="I32233" s="17" t="n">
        <f aca="false">I32222+I32229+I32227-I32228-I32230-I32231</f>
        <v>550</v>
      </c>
      <c r="J32233" s="17" t="n">
        <f aca="false">J32222+J32229+J32227-J32228-J32230-J32231</f>
        <v>550</v>
      </c>
      <c r="K32233" s="17" t="n">
        <f aca="false">K32222+K32229+K32227-K32228-K32230-K32231</f>
        <v>550</v>
      </c>
    </row>
    <row r="32234" customFormat="false" ht="15" hidden="false" customHeight="false" outlineLevel="0" collapsed="false">
      <c r="A32234" s="24" t="s">
        <v>346</v>
      </c>
      <c r="B32234" s="25"/>
      <c r="C32234" s="25"/>
      <c r="D32234" s="25"/>
      <c r="E32234" s="25"/>
      <c r="F32234" s="25"/>
      <c r="G32234" s="25"/>
      <c r="H32234" s="25"/>
      <c r="I32234" s="25"/>
      <c r="J32234" s="25"/>
      <c r="K32234" s="25"/>
    </row>
    <row r="32235" customFormat="false" ht="15" hidden="false" customHeight="false" outlineLevel="0" collapsed="false">
      <c r="A32235" s="3" t="s">
        <v>329</v>
      </c>
      <c r="G32235" s="16" t="n">
        <f aca="false">F32246</f>
        <v>350</v>
      </c>
      <c r="H32235" s="16" t="n">
        <f aca="false">G32246</f>
        <v>350</v>
      </c>
      <c r="I32235" s="16" t="n">
        <f aca="false">H32246</f>
        <v>350</v>
      </c>
      <c r="J32235" s="16" t="n">
        <f aca="false">I32246</f>
        <v>350</v>
      </c>
      <c r="K32235" s="16" t="n">
        <f aca="false">J32246</f>
        <v>350</v>
      </c>
    </row>
    <row r="32236" customFormat="false" ht="15" hidden="false" customHeight="false" outlineLevel="0" collapsed="false">
      <c r="A32236" s="3" t="s">
        <v>330</v>
      </c>
      <c r="G32236" s="21" t="n">
        <f aca="false">IF(G32108=Assumptions!$K$64,1,0)</f>
        <v>0</v>
      </c>
      <c r="H32236" s="21" t="n">
        <f aca="false">IF(H32108=Assumptions!$K$64,1,0)</f>
        <v>0</v>
      </c>
      <c r="I32236" s="21" t="n">
        <f aca="false">IF(I32108=Assumptions!$K$64,1,0)</f>
        <v>0</v>
      </c>
      <c r="J32236" s="21" t="n">
        <f aca="false">IF(J32108=Assumptions!$K$64,1,0)</f>
        <v>1</v>
      </c>
      <c r="K32236" s="21" t="n">
        <f aca="false">IF(K32108=Assumptions!$K$64,1,0)</f>
        <v>0</v>
      </c>
    </row>
    <row r="32238" customFormat="false" ht="15" hidden="false" customHeight="false" outlineLevel="0" collapsed="false">
      <c r="A32238" s="3" t="s">
        <v>331</v>
      </c>
      <c r="G32238" s="31" t="n">
        <f aca="false">IF(Assumptions!$I$64=1,MAX(G32134,Assumptions!$G$64)+Assumptions!$F$64+$C$32135,Assumptions!$E$64)</f>
        <v>0.0455</v>
      </c>
      <c r="H32238" s="31" t="n">
        <f aca="false">IF(G32461=1,$C$32136,IF(Assumptions!$I$64=1,MAX(H32134,Assumptions!$G$64)+Assumptions!$F$64+$C$32135,Assumptions!$E$64))</f>
        <v>0.0455</v>
      </c>
      <c r="I32238" s="31" t="n">
        <f aca="false">IF(H32461=1,$C$32136,IF(Assumptions!$I$64=1,MAX(I32134,Assumptions!$G$64)+Assumptions!$F$64+$C$32135,Assumptions!$E$64))</f>
        <v>0.0455</v>
      </c>
      <c r="J32238" s="31" t="n">
        <f aca="false">IF(I32461=1,$C$32136,IF(Assumptions!$I$64=1,MAX(J32134,Assumptions!$G$64)+Assumptions!$F$64+$C$32135,Assumptions!$E$64))</f>
        <v>0.0455</v>
      </c>
      <c r="K32238" s="31" t="n">
        <f aca="false">IF(J32461=1,$C$32136,IF(Assumptions!$I$64=1,MAX(K32134,Assumptions!$G$64)+Assumptions!$F$64+$C$32135,Assumptions!$E$64))</f>
        <v>0.08</v>
      </c>
    </row>
    <row r="32239" customFormat="false" ht="15" hidden="false" customHeight="false" outlineLevel="0" collapsed="false">
      <c r="A32239" s="3" t="s">
        <v>332</v>
      </c>
      <c r="G32239" s="16" t="n">
        <f aca="false">G32235*G32238</f>
        <v>15.925</v>
      </c>
      <c r="H32239" s="16" t="n">
        <f aca="false">H32235*H32238</f>
        <v>15.925</v>
      </c>
      <c r="I32239" s="16" t="n">
        <f aca="false">I32235*I32238</f>
        <v>15.925</v>
      </c>
      <c r="J32239" s="16" t="n">
        <f aca="false">J32235*J32238</f>
        <v>15.925</v>
      </c>
      <c r="K32239" s="16" t="n">
        <f aca="false">K32235*K32238</f>
        <v>28</v>
      </c>
    </row>
    <row r="32240" customFormat="false" ht="15" hidden="false" customHeight="false" outlineLevel="0" collapsed="false">
      <c r="A32240" s="3" t="s">
        <v>333</v>
      </c>
      <c r="G32240" s="16" t="n">
        <f aca="false">G32235*Assumptions!$H$64</f>
        <v>0</v>
      </c>
      <c r="H32240" s="16" t="n">
        <f aca="false">H32235*Assumptions!$H$64</f>
        <v>0</v>
      </c>
      <c r="I32240" s="16" t="n">
        <f aca="false">I32235*Assumptions!$H$64</f>
        <v>0</v>
      </c>
      <c r="J32240" s="16" t="n">
        <f aca="false">J32235*Assumptions!$H$64</f>
        <v>0</v>
      </c>
      <c r="K32240" s="16" t="n">
        <f aca="false">K32235*Assumptions!$H$64</f>
        <v>0</v>
      </c>
    </row>
    <row r="32241" customFormat="false" ht="15" hidden="false" customHeight="false" outlineLevel="0" collapsed="false">
      <c r="A32241" s="3" t="s">
        <v>334</v>
      </c>
      <c r="G32241" s="16" t="n">
        <f aca="false">MIN(G32235,Assumptions!$L$64*Assumptions!$C$64)</f>
        <v>0</v>
      </c>
      <c r="H32241" s="16" t="n">
        <f aca="false">MIN(H32235,Assumptions!$L$64*Assumptions!$C$64)</f>
        <v>0</v>
      </c>
      <c r="I32241" s="16" t="n">
        <f aca="false">MIN(I32235,Assumptions!$L$64*Assumptions!$C$64)</f>
        <v>0</v>
      </c>
      <c r="J32241" s="16" t="n">
        <f aca="false">MIN(J32235,Assumptions!$L$64*Assumptions!$C$64)</f>
        <v>0</v>
      </c>
      <c r="K32241" s="16" t="n">
        <f aca="false">MIN(K32235,Assumptions!$L$64*Assumptions!$C$64)</f>
        <v>0</v>
      </c>
    </row>
    <row r="32242" customFormat="false" ht="15" hidden="false" customHeight="false" outlineLevel="0" collapsed="false">
      <c r="A32242" s="3" t="s">
        <v>335</v>
      </c>
      <c r="G32242" s="16" t="n">
        <f aca="false">IF(AND(Assumptions!$P$64=1,G32108&lt;Assumptions!$K$64),MIN(MAX(0,-G32324),MAX(0,Assumptions!$D$64-G32235)),0)</f>
        <v>0</v>
      </c>
      <c r="H32242" s="16" t="n">
        <f aca="false">IF(AND(Assumptions!$P$64=1,OR(H32108&lt;Assumptions!$K$64,G32461=1)),MIN(MAX(0,-H32324),MAX(0,Assumptions!$D$64-H32235)),0)</f>
        <v>0</v>
      </c>
      <c r="I32242" s="16" t="n">
        <f aca="false">IF(AND(Assumptions!$P$64=1,OR(I32108&lt;Assumptions!$K$64,H32461=1)),MIN(MAX(0,-I32324),MAX(0,Assumptions!$D$64-I32235)),0)</f>
        <v>0</v>
      </c>
      <c r="J32242" s="16" t="n">
        <f aca="false">IF(AND(Assumptions!$P$64=1,OR(J32108&lt;Assumptions!$K$64,I32461=1)),MIN(MAX(0,-J32324),MAX(0,Assumptions!$D$64-J32235)),0)</f>
        <v>0</v>
      </c>
      <c r="K32242" s="16" t="n">
        <f aca="false">IF(AND(Assumptions!$P$64=1,OR(K32108&lt;Assumptions!$K$64,J32461=1)),MIN(MAX(0,-K32324),MAX(0,Assumptions!$D$64-K32235)),0)</f>
        <v>0</v>
      </c>
    </row>
    <row r="32243" customFormat="false" ht="15" hidden="false" customHeight="false" outlineLevel="0" collapsed="false">
      <c r="A32243" s="3" t="s">
        <v>336</v>
      </c>
      <c r="G32243" s="16" t="n">
        <f aca="false">G32236*MIN(G32235-G32241+G32240,MAX(0,G32326-Assumptions!$C$12*G32142-G32152-G32165-G32178-G32191-G32204-G32217-G32230))</f>
        <v>0</v>
      </c>
      <c r="H32243" s="16" t="n">
        <f aca="false">H32236*MIN(H32235-H32241+H32240,MAX(0,H32326-Assumptions!$C$12*H32142-H32152-H32165-H32178-H32191-H32204-H32217-H32230))</f>
        <v>0</v>
      </c>
      <c r="I32243" s="16" t="n">
        <f aca="false">I32236*MIN(I32235-I32241+I32240,MAX(0,I32326-Assumptions!$C$12*I32142-I32152-I32165-I32178-I32191-I32204-I32217-I32230))</f>
        <v>0</v>
      </c>
      <c r="J32243" s="16" t="n">
        <f aca="false">J32236*MIN(J32235-J32241+J32240,MAX(0,J32326-Assumptions!$C$12*J32142-J32152-J32165-J32178-J32191-J32204-J32217-J32230))</f>
        <v>0</v>
      </c>
      <c r="K32243" s="16" t="n">
        <f aca="false">K32236*MIN(K32235-K32241+K32240,MAX(0,K32326-Assumptions!$C$12*K32142-K32152-K32165-K32178-K32191-K32204-K32217-K32230))</f>
        <v>0</v>
      </c>
    </row>
    <row r="32244" customFormat="false" ht="15" hidden="false" customHeight="false" outlineLevel="0" collapsed="false">
      <c r="A32244" s="3" t="s">
        <v>337</v>
      </c>
      <c r="G32244" s="16" t="n">
        <f aca="false">Assumptions!$N$64*MIN(G32235+G32242+G32240-G32241-G32243,MAX(0,G32330-G32153-G32166-G32179-G32192-G32205-G32218-G32231))</f>
        <v>0</v>
      </c>
      <c r="H32244" s="16" t="n">
        <f aca="false">Assumptions!$N$64*MIN(H32235+H32242+H32240-H32241-H32243,MAX(0,H32330-H32153-H32166-H32179-H32192-H32205-H32218-H32231))</f>
        <v>0</v>
      </c>
      <c r="I32244" s="16" t="n">
        <f aca="false">Assumptions!$N$64*MIN(I32235+I32242+I32240-I32241-I32243,MAX(0,I32330-I32153-I32166-I32179-I32192-I32205-I32218-I32231))</f>
        <v>0</v>
      </c>
      <c r="J32244" s="16" t="n">
        <f aca="false">Assumptions!$N$64*MIN(J32235+J32242+J32240-J32241-J32243,MAX(0,J32330-J32153-J32166-J32179-J32192-J32205-J32218-J32231))</f>
        <v>0</v>
      </c>
      <c r="K32244" s="16" t="n">
        <f aca="false">Assumptions!$N$64*MIN(K32235+K32242+K32240-K32241-K32243,MAX(0,K32330-K32153-K32166-K32179-K32192-K32205-K32218-K32231))</f>
        <v>0</v>
      </c>
    </row>
    <row r="32245" customFormat="false" ht="15" hidden="false" customHeight="false" outlineLevel="0" collapsed="false">
      <c r="A32245" s="3" t="s">
        <v>338</v>
      </c>
      <c r="G32245" s="16" t="n">
        <f aca="false">G32236*(1-G32142)*(G32235-G32241+G32240-G32243)</f>
        <v>0</v>
      </c>
      <c r="H32245" s="16" t="n">
        <f aca="false">H32236*(1-H32142)*(H32235-H32241+H32240-H32243)</f>
        <v>0</v>
      </c>
      <c r="I32245" s="16" t="n">
        <f aca="false">I32236*(1-I32142)*(I32235-I32241+I32240-I32243)</f>
        <v>0</v>
      </c>
      <c r="J32245" s="16" t="n">
        <f aca="false">J32236*(1-J32142)*(J32235-J32241+J32240-J32243)</f>
        <v>0</v>
      </c>
      <c r="K32245" s="16" t="n">
        <f aca="false">K32236*(1-K32142)*(K32235-K32241+K32240-K32243)</f>
        <v>0</v>
      </c>
    </row>
    <row r="32246" customFormat="false" ht="15" hidden="false" customHeight="false" outlineLevel="0" collapsed="false">
      <c r="A32246" s="2" t="s">
        <v>339</v>
      </c>
      <c r="F32246" s="28" t="n">
        <f aca="false">Assumptions!$C$64</f>
        <v>350</v>
      </c>
      <c r="G32246" s="17" t="n">
        <f aca="false">G32235+G32242+G32240-G32241-G32243-G32244</f>
        <v>350</v>
      </c>
      <c r="H32246" s="17" t="n">
        <f aca="false">H32235+H32242+H32240-H32241-H32243-H32244</f>
        <v>350</v>
      </c>
      <c r="I32246" s="17" t="n">
        <f aca="false">I32235+I32242+I32240-I32241-I32243-I32244</f>
        <v>350</v>
      </c>
      <c r="J32246" s="17" t="n">
        <f aca="false">J32235+J32242+J32240-J32241-J32243-J32244</f>
        <v>350</v>
      </c>
      <c r="K32246" s="17" t="n">
        <f aca="false">K32235+K32242+K32240-K32241-K32243-K32244</f>
        <v>350</v>
      </c>
    </row>
    <row r="32247" customFormat="false" ht="15" hidden="false" customHeight="false" outlineLevel="0" collapsed="false">
      <c r="A32247" s="24" t="s">
        <v>347</v>
      </c>
      <c r="B32247" s="25"/>
      <c r="C32247" s="25"/>
      <c r="D32247" s="25"/>
      <c r="E32247" s="25"/>
      <c r="F32247" s="25"/>
      <c r="G32247" s="25"/>
      <c r="H32247" s="25"/>
      <c r="I32247" s="25"/>
      <c r="J32247" s="25"/>
      <c r="K32247" s="25"/>
    </row>
    <row r="32248" customFormat="false" ht="15" hidden="false" customHeight="false" outlineLevel="0" collapsed="false">
      <c r="A32248" s="3" t="s">
        <v>329</v>
      </c>
      <c r="G32248" s="16" t="n">
        <f aca="false">F32259</f>
        <v>300</v>
      </c>
      <c r="H32248" s="16" t="n">
        <f aca="false">G32259</f>
        <v>300</v>
      </c>
      <c r="I32248" s="16" t="n">
        <f aca="false">H32259</f>
        <v>300</v>
      </c>
      <c r="J32248" s="16" t="n">
        <f aca="false">I32259</f>
        <v>300</v>
      </c>
      <c r="K32248" s="16" t="n">
        <f aca="false">J32259</f>
        <v>300</v>
      </c>
    </row>
    <row r="32249" customFormat="false" ht="15" hidden="false" customHeight="false" outlineLevel="0" collapsed="false">
      <c r="A32249" s="3" t="s">
        <v>330</v>
      </c>
      <c r="G32249" s="21" t="n">
        <f aca="false">IF(G32108=Assumptions!$K$65,1,0)</f>
        <v>0</v>
      </c>
      <c r="H32249" s="21" t="n">
        <f aca="false">IF(H32108=Assumptions!$K$65,1,0)</f>
        <v>0</v>
      </c>
      <c r="I32249" s="21" t="n">
        <f aca="false">IF(I32108=Assumptions!$K$65,1,0)</f>
        <v>0</v>
      </c>
      <c r="J32249" s="21" t="n">
        <f aca="false">IF(J32108=Assumptions!$K$65,1,0)</f>
        <v>0</v>
      </c>
      <c r="K32249" s="21" t="n">
        <f aca="false">IF(K32108=Assumptions!$K$65,1,0)</f>
        <v>1</v>
      </c>
    </row>
    <row r="32251" customFormat="false" ht="15" hidden="false" customHeight="false" outlineLevel="0" collapsed="false">
      <c r="A32251" s="3" t="s">
        <v>331</v>
      </c>
      <c r="G32251" s="31" t="n">
        <f aca="false">IF(Assumptions!$I$65=1,MAX(G32134,Assumptions!$G$65)+Assumptions!$F$65+$C$32135,Assumptions!$E$65)</f>
        <v>0.06125</v>
      </c>
      <c r="H32251" s="31" t="n">
        <f aca="false">IF(G32462=1,$C$32136,IF(Assumptions!$I$65=1,MAX(H32134,Assumptions!$G$65)+Assumptions!$F$65+$C$32135,Assumptions!$E$65))</f>
        <v>0.06125</v>
      </c>
      <c r="I32251" s="31" t="n">
        <f aca="false">IF(H32462=1,$C$32136,IF(Assumptions!$I$65=1,MAX(I32134,Assumptions!$G$65)+Assumptions!$F$65+$C$32135,Assumptions!$E$65))</f>
        <v>0.06125</v>
      </c>
      <c r="J32251" s="31" t="n">
        <f aca="false">IF(I32462=1,$C$32136,IF(Assumptions!$I$65=1,MAX(J32134,Assumptions!$G$65)+Assumptions!$F$65+$C$32135,Assumptions!$E$65))</f>
        <v>0.06125</v>
      </c>
      <c r="K32251" s="31" t="n">
        <f aca="false">IF(J32462=1,$C$32136,IF(Assumptions!$I$65=1,MAX(K32134,Assumptions!$G$65)+Assumptions!$F$65+$C$32135,Assumptions!$E$65))</f>
        <v>0.06125</v>
      </c>
    </row>
    <row r="32252" customFormat="false" ht="15" hidden="false" customHeight="false" outlineLevel="0" collapsed="false">
      <c r="A32252" s="3" t="s">
        <v>332</v>
      </c>
      <c r="G32252" s="16" t="n">
        <f aca="false">G32248*G32251</f>
        <v>18.375</v>
      </c>
      <c r="H32252" s="16" t="n">
        <f aca="false">H32248*H32251</f>
        <v>18.375</v>
      </c>
      <c r="I32252" s="16" t="n">
        <f aca="false">I32248*I32251</f>
        <v>18.375</v>
      </c>
      <c r="J32252" s="16" t="n">
        <f aca="false">J32248*J32251</f>
        <v>18.375</v>
      </c>
      <c r="K32252" s="16" t="n">
        <f aca="false">K32248*K32251</f>
        <v>18.375</v>
      </c>
    </row>
    <row r="32253" customFormat="false" ht="15" hidden="false" customHeight="false" outlineLevel="0" collapsed="false">
      <c r="A32253" s="3" t="s">
        <v>333</v>
      </c>
      <c r="G32253" s="16" t="n">
        <f aca="false">G32248*Assumptions!$H$65</f>
        <v>0</v>
      </c>
      <c r="H32253" s="16" t="n">
        <f aca="false">H32248*Assumptions!$H$65</f>
        <v>0</v>
      </c>
      <c r="I32253" s="16" t="n">
        <f aca="false">I32248*Assumptions!$H$65</f>
        <v>0</v>
      </c>
      <c r="J32253" s="16" t="n">
        <f aca="false">J32248*Assumptions!$H$65</f>
        <v>0</v>
      </c>
      <c r="K32253" s="16" t="n">
        <f aca="false">K32248*Assumptions!$H$65</f>
        <v>0</v>
      </c>
    </row>
    <row r="32254" customFormat="false" ht="15" hidden="false" customHeight="false" outlineLevel="0" collapsed="false">
      <c r="A32254" s="3" t="s">
        <v>334</v>
      </c>
      <c r="G32254" s="16" t="n">
        <f aca="false">MIN(G32248,Assumptions!$L$65*Assumptions!$C$65)</f>
        <v>0</v>
      </c>
      <c r="H32254" s="16" t="n">
        <f aca="false">MIN(H32248,Assumptions!$L$65*Assumptions!$C$65)</f>
        <v>0</v>
      </c>
      <c r="I32254" s="16" t="n">
        <f aca="false">MIN(I32248,Assumptions!$L$65*Assumptions!$C$65)</f>
        <v>0</v>
      </c>
      <c r="J32254" s="16" t="n">
        <f aca="false">MIN(J32248,Assumptions!$L$65*Assumptions!$C$65)</f>
        <v>0</v>
      </c>
      <c r="K32254" s="16" t="n">
        <f aca="false">MIN(K32248,Assumptions!$L$65*Assumptions!$C$65)</f>
        <v>0</v>
      </c>
    </row>
    <row r="32255" customFormat="false" ht="15" hidden="false" customHeight="false" outlineLevel="0" collapsed="false">
      <c r="A32255" s="3" t="s">
        <v>335</v>
      </c>
      <c r="G32255" s="16" t="n">
        <f aca="false">IF(AND(Assumptions!$P$65=1,G32108&lt;Assumptions!$K$65),MIN(MAX(0,-G32324),MAX(0,Assumptions!$D$65-G32248)),0)</f>
        <v>0</v>
      </c>
      <c r="H32255" s="16" t="n">
        <f aca="false">IF(AND(Assumptions!$P$65=1,OR(H32108&lt;Assumptions!$K$65,G32462=1)),MIN(MAX(0,-H32324),MAX(0,Assumptions!$D$65-H32248)),0)</f>
        <v>0</v>
      </c>
      <c r="I32255" s="16" t="n">
        <f aca="false">IF(AND(Assumptions!$P$65=1,OR(I32108&lt;Assumptions!$K$65,H32462=1)),MIN(MAX(0,-I32324),MAX(0,Assumptions!$D$65-I32248)),0)</f>
        <v>0</v>
      </c>
      <c r="J32255" s="16" t="n">
        <f aca="false">IF(AND(Assumptions!$P$65=1,OR(J32108&lt;Assumptions!$K$65,I32462=1)),MIN(MAX(0,-J32324),MAX(0,Assumptions!$D$65-J32248)),0)</f>
        <v>0</v>
      </c>
      <c r="K32255" s="16" t="n">
        <f aca="false">IF(AND(Assumptions!$P$65=1,OR(K32108&lt;Assumptions!$K$65,J32462=1)),MIN(MAX(0,-K32324),MAX(0,Assumptions!$D$65-K32248)),0)</f>
        <v>0</v>
      </c>
    </row>
    <row r="32256" customFormat="false" ht="15" hidden="false" customHeight="false" outlineLevel="0" collapsed="false">
      <c r="A32256" s="3" t="s">
        <v>336</v>
      </c>
      <c r="G32256" s="16" t="n">
        <f aca="false">G32249*MIN(G32248-G32254+G32253,MAX(0,G32326-Assumptions!$C$12*G32142-G32152-G32165-G32178-G32191-G32204-G32217-G32230-G32243))</f>
        <v>0</v>
      </c>
      <c r="H32256" s="16" t="n">
        <f aca="false">H32249*MIN(H32248-H32254+H32253,MAX(0,H32326-Assumptions!$C$12*H32142-H32152-H32165-H32178-H32191-H32204-H32217-H32230-H32243))</f>
        <v>0</v>
      </c>
      <c r="I32256" s="16" t="n">
        <f aca="false">I32249*MIN(I32248-I32254+I32253,MAX(0,I32326-Assumptions!$C$12*I32142-I32152-I32165-I32178-I32191-I32204-I32217-I32230-I32243))</f>
        <v>0</v>
      </c>
      <c r="J32256" s="16" t="n">
        <f aca="false">J32249*MIN(J32248-J32254+J32253,MAX(0,J32326-Assumptions!$C$12*J32142-J32152-J32165-J32178-J32191-J32204-J32217-J32230-J32243))</f>
        <v>0</v>
      </c>
      <c r="K32256" s="16" t="n">
        <f aca="false">K32249*MIN(K32248-K32254+K32253,MAX(0,K32326-Assumptions!$C$12*K32142-K32152-K32165-K32178-K32191-K32204-K32217-K32230-K32243))</f>
        <v>0</v>
      </c>
    </row>
    <row r="32257" customFormat="false" ht="15" hidden="false" customHeight="false" outlineLevel="0" collapsed="false">
      <c r="A32257" s="3" t="s">
        <v>337</v>
      </c>
      <c r="G32257" s="16" t="n">
        <f aca="false">Assumptions!$N$65*MIN(G32248+G32255+G32253-G32254-G32256,MAX(0,G32330-G32153-G32166-G32179-G32192-G32205-G32218-G32231-G32244))</f>
        <v>0</v>
      </c>
      <c r="H32257" s="16" t="n">
        <f aca="false">Assumptions!$N$65*MIN(H32248+H32255+H32253-H32254-H32256,MAX(0,H32330-H32153-H32166-H32179-H32192-H32205-H32218-H32231-H32244))</f>
        <v>0</v>
      </c>
      <c r="I32257" s="16" t="n">
        <f aca="false">Assumptions!$N$65*MIN(I32248+I32255+I32253-I32254-I32256,MAX(0,I32330-I32153-I32166-I32179-I32192-I32205-I32218-I32231-I32244))</f>
        <v>0</v>
      </c>
      <c r="J32257" s="16" t="n">
        <f aca="false">Assumptions!$N$65*MIN(J32248+J32255+J32253-J32254-J32256,MAX(0,J32330-J32153-J32166-J32179-J32192-J32205-J32218-J32231-J32244))</f>
        <v>0</v>
      </c>
      <c r="K32257" s="16" t="n">
        <f aca="false">Assumptions!$N$65*MIN(K32248+K32255+K32253-K32254-K32256,MAX(0,K32330-K32153-K32166-K32179-K32192-K32205-K32218-K32231-K32244))</f>
        <v>0</v>
      </c>
    </row>
    <row r="32258" customFormat="false" ht="15" hidden="false" customHeight="false" outlineLevel="0" collapsed="false">
      <c r="A32258" s="3" t="s">
        <v>338</v>
      </c>
      <c r="G32258" s="16" t="n">
        <f aca="false">G32249*(1-G32142)*(G32248-G32254+G32253-G32256)</f>
        <v>0</v>
      </c>
      <c r="H32258" s="16" t="n">
        <f aca="false">H32249*(1-H32142)*(H32248-H32254+H32253-H32256)</f>
        <v>0</v>
      </c>
      <c r="I32258" s="16" t="n">
        <f aca="false">I32249*(1-I32142)*(I32248-I32254+I32253-I32256)</f>
        <v>0</v>
      </c>
      <c r="J32258" s="16" t="n">
        <f aca="false">J32249*(1-J32142)*(J32248-J32254+J32253-J32256)</f>
        <v>0</v>
      </c>
      <c r="K32258" s="16" t="n">
        <f aca="false">K32249*(1-K32142)*(K32248-K32254+K32253-K32256)</f>
        <v>0</v>
      </c>
    </row>
    <row r="32259" customFormat="false" ht="15" hidden="false" customHeight="false" outlineLevel="0" collapsed="false">
      <c r="A32259" s="2" t="s">
        <v>339</v>
      </c>
      <c r="F32259" s="28" t="n">
        <f aca="false">Assumptions!$C$65</f>
        <v>300</v>
      </c>
      <c r="G32259" s="17" t="n">
        <f aca="false">G32248+G32255+G32253-G32254-G32256-G32257</f>
        <v>300</v>
      </c>
      <c r="H32259" s="17" t="n">
        <f aca="false">H32248+H32255+H32253-H32254-H32256-H32257</f>
        <v>300</v>
      </c>
      <c r="I32259" s="17" t="n">
        <f aca="false">I32248+I32255+I32253-I32254-I32256-I32257</f>
        <v>300</v>
      </c>
      <c r="J32259" s="17" t="n">
        <f aca="false">J32248+J32255+J32253-J32254-J32256-J32257</f>
        <v>300</v>
      </c>
      <c r="K32259" s="17" t="n">
        <f aca="false">K32248+K32255+K32253-K32254-K32256-K32257</f>
        <v>300</v>
      </c>
    </row>
    <row r="32260" customFormat="false" ht="15" hidden="false" customHeight="false" outlineLevel="0" collapsed="false">
      <c r="A32260" s="24" t="s">
        <v>348</v>
      </c>
      <c r="B32260" s="25"/>
      <c r="C32260" s="25"/>
      <c r="D32260" s="25"/>
      <c r="E32260" s="25"/>
      <c r="F32260" s="25"/>
      <c r="G32260" s="25"/>
      <c r="H32260" s="25"/>
      <c r="I32260" s="25"/>
      <c r="J32260" s="25"/>
      <c r="K32260" s="25"/>
    </row>
    <row r="32261" customFormat="false" ht="15" hidden="false" customHeight="false" outlineLevel="0" collapsed="false">
      <c r="A32261" s="3" t="s">
        <v>329</v>
      </c>
      <c r="G32261" s="16" t="n">
        <f aca="false">F32272</f>
        <v>78.61</v>
      </c>
      <c r="H32261" s="16" t="n">
        <f aca="false">G32272</f>
        <v>78.61</v>
      </c>
      <c r="I32261" s="16" t="n">
        <f aca="false">H32272</f>
        <v>78.61</v>
      </c>
      <c r="J32261" s="16" t="n">
        <f aca="false">I32272</f>
        <v>78.61</v>
      </c>
      <c r="K32261" s="16" t="n">
        <f aca="false">J32272</f>
        <v>78.61</v>
      </c>
    </row>
    <row r="32262" customFormat="false" ht="15" hidden="false" customHeight="false" outlineLevel="0" collapsed="false">
      <c r="A32262" s="3" t="s">
        <v>330</v>
      </c>
      <c r="G32262" s="21" t="n">
        <f aca="false">IF(G32108=Assumptions!$K$66,1,0)</f>
        <v>0</v>
      </c>
      <c r="H32262" s="21" t="n">
        <f aca="false">IF(H32108=Assumptions!$K$66,1,0)</f>
        <v>0</v>
      </c>
      <c r="I32262" s="21" t="n">
        <f aca="false">IF(I32108=Assumptions!$K$66,1,0)</f>
        <v>0</v>
      </c>
      <c r="J32262" s="21" t="n">
        <f aca="false">IF(J32108=Assumptions!$K$66,1,0)</f>
        <v>0</v>
      </c>
      <c r="K32262" s="21" t="n">
        <f aca="false">IF(K32108=Assumptions!$K$66,1,0)</f>
        <v>0</v>
      </c>
    </row>
    <row r="32264" customFormat="false" ht="15" hidden="false" customHeight="false" outlineLevel="0" collapsed="false">
      <c r="A32264" s="3" t="s">
        <v>331</v>
      </c>
      <c r="G32264" s="31" t="n">
        <f aca="false">IF(Assumptions!$I$66=1,MAX(G32134,Assumptions!$G$66)+Assumptions!$F$66+$C$32135,Assumptions!$E$66)</f>
        <v>0.0541</v>
      </c>
      <c r="H32264" s="31" t="n">
        <f aca="false">IF(G32463=1,$C$32136,IF(Assumptions!$I$66=1,MAX(H32134,Assumptions!$G$66)+Assumptions!$F$66+$C$32135,Assumptions!$E$66))</f>
        <v>0.0526</v>
      </c>
      <c r="I32264" s="31" t="n">
        <f aca="false">IF(H32463=1,$C$32136,IF(Assumptions!$I$66=1,MAX(I32134,Assumptions!$G$66)+Assumptions!$F$66+$C$32135,Assumptions!$E$66))</f>
        <v>0.0501</v>
      </c>
      <c r="J32264" s="31" t="n">
        <f aca="false">IF(I32463=1,$C$32136,IF(Assumptions!$I$66=1,MAX(J32134,Assumptions!$G$66)+Assumptions!$F$66+$C$32135,Assumptions!$E$66))</f>
        <v>0.0501</v>
      </c>
      <c r="K32264" s="31" t="n">
        <f aca="false">IF(J32463=1,$C$32136,IF(Assumptions!$I$66=1,MAX(K32134,Assumptions!$G$66)+Assumptions!$F$66+$C$32135,Assumptions!$E$66))</f>
        <v>0.0501</v>
      </c>
    </row>
    <row r="32265" customFormat="false" ht="15" hidden="false" customHeight="false" outlineLevel="0" collapsed="false">
      <c r="A32265" s="3" t="s">
        <v>332</v>
      </c>
      <c r="G32265" s="16" t="n">
        <f aca="false">G32261*G32264</f>
        <v>4.252801</v>
      </c>
      <c r="H32265" s="16" t="n">
        <f aca="false">H32261*H32264</f>
        <v>4.134886</v>
      </c>
      <c r="I32265" s="16" t="n">
        <f aca="false">I32261*I32264</f>
        <v>3.938361</v>
      </c>
      <c r="J32265" s="16" t="n">
        <f aca="false">J32261*J32264</f>
        <v>3.938361</v>
      </c>
      <c r="K32265" s="16" t="n">
        <f aca="false">K32261*K32264</f>
        <v>3.938361</v>
      </c>
    </row>
    <row r="32266" customFormat="false" ht="15" hidden="false" customHeight="false" outlineLevel="0" collapsed="false">
      <c r="A32266" s="3" t="s">
        <v>333</v>
      </c>
      <c r="G32266" s="16" t="n">
        <f aca="false">G32261*Assumptions!$H$66</f>
        <v>0</v>
      </c>
      <c r="H32266" s="16" t="n">
        <f aca="false">H32261*Assumptions!$H$66</f>
        <v>0</v>
      </c>
      <c r="I32266" s="16" t="n">
        <f aca="false">I32261*Assumptions!$H$66</f>
        <v>0</v>
      </c>
      <c r="J32266" s="16" t="n">
        <f aca="false">J32261*Assumptions!$H$66</f>
        <v>0</v>
      </c>
      <c r="K32266" s="16" t="n">
        <f aca="false">K32261*Assumptions!$H$66</f>
        <v>0</v>
      </c>
    </row>
    <row r="32267" customFormat="false" ht="15" hidden="false" customHeight="false" outlineLevel="0" collapsed="false">
      <c r="A32267" s="3" t="s">
        <v>334</v>
      </c>
      <c r="G32267" s="16" t="n">
        <f aca="false">MIN(G32261,Assumptions!$L$66*Assumptions!$C$66)</f>
        <v>0</v>
      </c>
      <c r="H32267" s="16" t="n">
        <f aca="false">MIN(H32261,Assumptions!$L$66*Assumptions!$C$66)</f>
        <v>0</v>
      </c>
      <c r="I32267" s="16" t="n">
        <f aca="false">MIN(I32261,Assumptions!$L$66*Assumptions!$C$66)</f>
        <v>0</v>
      </c>
      <c r="J32267" s="16" t="n">
        <f aca="false">MIN(J32261,Assumptions!$L$66*Assumptions!$C$66)</f>
        <v>0</v>
      </c>
      <c r="K32267" s="16" t="n">
        <f aca="false">MIN(K32261,Assumptions!$L$66*Assumptions!$C$66)</f>
        <v>0</v>
      </c>
    </row>
    <row r="32268" customFormat="false" ht="15" hidden="false" customHeight="false" outlineLevel="0" collapsed="false">
      <c r="A32268" s="3" t="s">
        <v>335</v>
      </c>
      <c r="G32268" s="16" t="n">
        <f aca="false">IF(AND(Assumptions!$P$66=1,G32108&lt;Assumptions!$K$66),MIN(MAX(0,-G32324),MAX(0,Assumptions!$D$66-G32261)),0)</f>
        <v>0</v>
      </c>
      <c r="H32268" s="16" t="n">
        <f aca="false">IF(AND(Assumptions!$P$66=1,OR(H32108&lt;Assumptions!$K$66,G32463=1)),MIN(MAX(0,-H32324),MAX(0,Assumptions!$D$66-H32261)),0)</f>
        <v>0</v>
      </c>
      <c r="I32268" s="16" t="n">
        <f aca="false">IF(AND(Assumptions!$P$66=1,OR(I32108&lt;Assumptions!$K$66,H32463=1)),MIN(MAX(0,-I32324),MAX(0,Assumptions!$D$66-I32261)),0)</f>
        <v>0</v>
      </c>
      <c r="J32268" s="16" t="n">
        <f aca="false">IF(AND(Assumptions!$P$66=1,OR(J32108&lt;Assumptions!$K$66,I32463=1)),MIN(MAX(0,-J32324),MAX(0,Assumptions!$D$66-J32261)),0)</f>
        <v>0</v>
      </c>
      <c r="K32268" s="16" t="n">
        <f aca="false">IF(AND(Assumptions!$P$66=1,OR(K32108&lt;Assumptions!$K$66,J32463=1)),MIN(MAX(0,-K32324),MAX(0,Assumptions!$D$66-K32261)),0)</f>
        <v>0</v>
      </c>
    </row>
    <row r="32269" customFormat="false" ht="15" hidden="false" customHeight="false" outlineLevel="0" collapsed="false">
      <c r="A32269" s="3" t="s">
        <v>336</v>
      </c>
      <c r="G32269" s="16" t="n">
        <f aca="false">G32262*MIN(G32261-G32267+G32266,MAX(0,G32326-Assumptions!$C$12*G32142-G32152-G32165-G32178-G32191-G32204-G32217-G32230-G32243-G32256))</f>
        <v>0</v>
      </c>
      <c r="H32269" s="16" t="n">
        <f aca="false">H32262*MIN(H32261-H32267+H32266,MAX(0,H32326-Assumptions!$C$12*H32142-H32152-H32165-H32178-H32191-H32204-H32217-H32230-H32243-H32256))</f>
        <v>0</v>
      </c>
      <c r="I32269" s="16" t="n">
        <f aca="false">I32262*MIN(I32261-I32267+I32266,MAX(0,I32326-Assumptions!$C$12*I32142-I32152-I32165-I32178-I32191-I32204-I32217-I32230-I32243-I32256))</f>
        <v>0</v>
      </c>
      <c r="J32269" s="16" t="n">
        <f aca="false">J32262*MIN(J32261-J32267+J32266,MAX(0,J32326-Assumptions!$C$12*J32142-J32152-J32165-J32178-J32191-J32204-J32217-J32230-J32243-J32256))</f>
        <v>0</v>
      </c>
      <c r="K32269" s="16" t="n">
        <f aca="false">K32262*MIN(K32261-K32267+K32266,MAX(0,K32326-Assumptions!$C$12*K32142-K32152-K32165-K32178-K32191-K32204-K32217-K32230-K32243-K32256))</f>
        <v>0</v>
      </c>
    </row>
    <row r="32270" customFormat="false" ht="15" hidden="false" customHeight="false" outlineLevel="0" collapsed="false">
      <c r="A32270" s="3" t="s">
        <v>337</v>
      </c>
      <c r="G32270" s="16" t="n">
        <f aca="false">Assumptions!$N$66*MIN(G32261+G32268+G32266-G32267-G32269,MAX(0,G32330-G32153-G32166-G32179-G32192-G32205-G32218-G32231-G32244-G32257))</f>
        <v>0</v>
      </c>
      <c r="H32270" s="16" t="n">
        <f aca="false">Assumptions!$N$66*MIN(H32261+H32268+H32266-H32267-H32269,MAX(0,H32330-H32153-H32166-H32179-H32192-H32205-H32218-H32231-H32244-H32257))</f>
        <v>0</v>
      </c>
      <c r="I32270" s="16" t="n">
        <f aca="false">Assumptions!$N$66*MIN(I32261+I32268+I32266-I32267-I32269,MAX(0,I32330-I32153-I32166-I32179-I32192-I32205-I32218-I32231-I32244-I32257))</f>
        <v>0</v>
      </c>
      <c r="J32270" s="16" t="n">
        <f aca="false">Assumptions!$N$66*MIN(J32261+J32268+J32266-J32267-J32269,MAX(0,J32330-J32153-J32166-J32179-J32192-J32205-J32218-J32231-J32244-J32257))</f>
        <v>0</v>
      </c>
      <c r="K32270" s="16" t="n">
        <f aca="false">Assumptions!$N$66*MIN(K32261+K32268+K32266-K32267-K32269,MAX(0,K32330-K32153-K32166-K32179-K32192-K32205-K32218-K32231-K32244-K32257))</f>
        <v>0</v>
      </c>
    </row>
    <row r="32271" customFormat="false" ht="15" hidden="false" customHeight="false" outlineLevel="0" collapsed="false">
      <c r="A32271" s="3" t="s">
        <v>338</v>
      </c>
      <c r="G32271" s="16" t="n">
        <f aca="false">G32262*(1-G32142)*(G32261-G32267+G32266-G32269)</f>
        <v>0</v>
      </c>
      <c r="H32271" s="16" t="n">
        <f aca="false">H32262*(1-H32142)*(H32261-H32267+H32266-H32269)</f>
        <v>0</v>
      </c>
      <c r="I32271" s="16" t="n">
        <f aca="false">I32262*(1-I32142)*(I32261-I32267+I32266-I32269)</f>
        <v>0</v>
      </c>
      <c r="J32271" s="16" t="n">
        <f aca="false">J32262*(1-J32142)*(J32261-J32267+J32266-J32269)</f>
        <v>0</v>
      </c>
      <c r="K32271" s="16" t="n">
        <f aca="false">K32262*(1-K32142)*(K32261-K32267+K32266-K32269)</f>
        <v>0</v>
      </c>
    </row>
    <row r="32272" customFormat="false" ht="15" hidden="false" customHeight="false" outlineLevel="0" collapsed="false">
      <c r="A32272" s="2" t="s">
        <v>339</v>
      </c>
      <c r="F32272" s="28" t="n">
        <f aca="false">Assumptions!$C$66</f>
        <v>78.61</v>
      </c>
      <c r="G32272" s="17" t="n">
        <f aca="false">G32261+G32268+G32266-G32267-G32269-G32270</f>
        <v>78.61</v>
      </c>
      <c r="H32272" s="17" t="n">
        <f aca="false">H32261+H32268+H32266-H32267-H32269-H32270</f>
        <v>78.61</v>
      </c>
      <c r="I32272" s="17" t="n">
        <f aca="false">I32261+I32268+I32266-I32267-I32269-I32270</f>
        <v>78.61</v>
      </c>
      <c r="J32272" s="17" t="n">
        <f aca="false">J32261+J32268+J32266-J32267-J32269-J32270</f>
        <v>78.61</v>
      </c>
      <c r="K32272" s="17" t="n">
        <f aca="false">K32261+K32268+K32266-K32267-K32269-K32270</f>
        <v>78.61</v>
      </c>
    </row>
    <row r="32273" customFormat="false" ht="15" hidden="false" customHeight="false" outlineLevel="0" collapsed="false">
      <c r="A32273" s="24" t="s">
        <v>349</v>
      </c>
      <c r="B32273" s="25"/>
      <c r="C32273" s="25"/>
      <c r="D32273" s="25"/>
      <c r="E32273" s="25"/>
      <c r="F32273" s="25"/>
      <c r="G32273" s="25"/>
      <c r="H32273" s="25"/>
      <c r="I32273" s="25"/>
      <c r="J32273" s="25"/>
      <c r="K32273" s="25"/>
    </row>
    <row r="32274" customFormat="false" ht="15" hidden="false" customHeight="false" outlineLevel="0" collapsed="false">
      <c r="A32274" s="2" t="s">
        <v>350</v>
      </c>
      <c r="F32274" s="17" t="n">
        <f aca="false">F32155+F32168+F32181+F32194+F32207+F32220+F32233+F32246+F32259+F32272</f>
        <v>2625.934</v>
      </c>
      <c r="G32274" s="17" t="n">
        <f aca="false">G32155+G32168+G32181+G32194+G32207+G32220+G32233+G32246+G32259+G32272</f>
        <v>2621.934</v>
      </c>
      <c r="H32274" s="17" t="n">
        <f aca="false">H32155+H32168+H32181+H32194+H32207+H32220+H32233+H32246+H32259+H32272</f>
        <v>2575.6561513738</v>
      </c>
      <c r="I32274" s="17" t="n">
        <f aca="false">I32155+I32168+I32181+I32194+I32207+I32220+I32233+I32246+I32259+I32272</f>
        <v>2638.45309355586</v>
      </c>
      <c r="J32274" s="17" t="n">
        <f aca="false">J32155+J32168+J32181+J32194+J32207+J32220+J32233+J32246+J32259+J32272</f>
        <v>2723.3336162386</v>
      </c>
      <c r="K32274" s="17" t="n">
        <f aca="false">K32155+K32168+K32181+K32194+K32207+K32220+K32233+K32246+K32259+K32272</f>
        <v>2823.86943529725</v>
      </c>
    </row>
    <row r="32275" customFormat="false" ht="15" hidden="false" customHeight="false" outlineLevel="0" collapsed="false">
      <c r="A32275" s="3" t="s">
        <v>351</v>
      </c>
      <c r="G32275" s="16" t="n">
        <f aca="false">G32145*Assumptions!$C$57+G32158*Assumptions!$C$58+G32171*Assumptions!$C$59+G32184*Assumptions!$C$60+G32197*Assumptions!$C$61+G32210*Assumptions!$C$62+G32223*Assumptions!$C$63+G32236*Assumptions!$C$64+G32249*Assumptions!$C$65+G32262*Assumptions!$C$66</f>
        <v>0</v>
      </c>
      <c r="H32275" s="16" t="n">
        <f aca="false">H32145*Assumptions!$C$57+H32158*Assumptions!$C$58+H32171*Assumptions!$C$59+H32184*Assumptions!$C$60+H32197*Assumptions!$C$61+H32210*Assumptions!$C$62+H32223*Assumptions!$C$63+H32236*Assumptions!$C$64+H32249*Assumptions!$C$65+H32262*Assumptions!$C$66</f>
        <v>800</v>
      </c>
      <c r="I32275" s="16" t="n">
        <f aca="false">I32145*Assumptions!$C$57+I32158*Assumptions!$C$58+I32171*Assumptions!$C$59+I32184*Assumptions!$C$60+I32197*Assumptions!$C$61+I32210*Assumptions!$C$62+I32223*Assumptions!$C$63+I32236*Assumptions!$C$64+I32249*Assumptions!$C$65+I32262*Assumptions!$C$66</f>
        <v>550</v>
      </c>
      <c r="J32275" s="16" t="n">
        <f aca="false">J32145*Assumptions!$C$57+J32158*Assumptions!$C$58+J32171*Assumptions!$C$59+J32184*Assumptions!$C$60+J32197*Assumptions!$C$61+J32210*Assumptions!$C$62+J32223*Assumptions!$C$63+J32236*Assumptions!$C$64+J32249*Assumptions!$C$65+J32262*Assumptions!$C$66</f>
        <v>350</v>
      </c>
      <c r="K32275" s="16" t="n">
        <f aca="false">K32145*Assumptions!$C$57+K32158*Assumptions!$C$58+K32171*Assumptions!$C$59+K32184*Assumptions!$C$60+K32197*Assumptions!$C$61+K32210*Assumptions!$C$62+K32223*Assumptions!$C$63+K32236*Assumptions!$C$64+K32249*Assumptions!$C$65+K32262*Assumptions!$C$66</f>
        <v>700</v>
      </c>
    </row>
    <row r="32276" customFormat="false" ht="15" hidden="false" customHeight="false" outlineLevel="0" collapsed="false">
      <c r="A32276" s="24" t="s">
        <v>352</v>
      </c>
      <c r="B32276" s="25"/>
      <c r="C32276" s="25"/>
      <c r="D32276" s="25"/>
      <c r="E32276" s="25"/>
      <c r="F32276" s="25"/>
      <c r="G32276" s="25"/>
      <c r="H32276" s="25"/>
      <c r="I32276" s="25"/>
      <c r="J32276" s="25"/>
      <c r="K32276" s="25"/>
    </row>
    <row r="32277" customFormat="false" ht="15" hidden="false" customHeight="false" outlineLevel="0" collapsed="false">
      <c r="A32277" s="3" t="s">
        <v>353</v>
      </c>
      <c r="C32277" s="16" t="n">
        <f aca="false">SUMPRODUCT($G$32145:$K$32145,$G$32144:$K$32144-$G$32150:$K$32150+$G$32149:$K$32149)</f>
        <v>380</v>
      </c>
    </row>
    <row r="32278" customFormat="false" ht="15" hidden="false" customHeight="false" outlineLevel="0" collapsed="false">
      <c r="A32278" s="3" t="s">
        <v>354</v>
      </c>
      <c r="C32278" s="16" t="n">
        <f aca="false">SUMPRODUCT($G$32145:$K$32145,$G$32152:$K$32152)</f>
        <v>0</v>
      </c>
    </row>
    <row r="32279" customFormat="false" ht="15" hidden="false" customHeight="false" outlineLevel="0" collapsed="false">
      <c r="A32279" s="3" t="s">
        <v>355</v>
      </c>
      <c r="C32279" s="3" t="str">
        <f aca="false">IF(SUM($G$32145:$K$32145)=0,"n/a (beyond horizon)",IF(SUMPRODUCT($G$32145:$K$32145,$G$32142:$K$32142)&gt;0,"REFINANCING PASS","REFINANCING FAILURE"))</f>
        <v>REFINANCING PASS</v>
      </c>
    </row>
    <row r="32280" customFormat="false" ht="15" hidden="false" customHeight="false" outlineLevel="0" collapsed="false">
      <c r="A32280" s="3" t="s">
        <v>356</v>
      </c>
      <c r="C32280" s="3" t="str">
        <f aca="false">IF(SUM($G$32145:$K$32145)=0,"n/a",IF(C32278&gt;=C32277-0.001,"Repaid from cash",IF(SUMPRODUCT($G$32145:$K$32145,$G$32142:$K$32142)&gt;0,IF(C32278&gt;0,"Partly repaid; remainder refinanced","Refinanced"),IF(SUM($G$32154:$K$32154)&gt;0.001,IF(C32278&gt;0,"Partial repayment; PAYMENT DEFAULT","PAYMENT DEFAULT"),"Repaid from cash"))))</f>
        <v>Refinanced</v>
      </c>
    </row>
    <row r="32281" customFormat="false" ht="15" hidden="false" customHeight="false" outlineLevel="0" collapsed="false">
      <c r="A32281" s="3" t="s">
        <v>357</v>
      </c>
      <c r="C32281" s="16" t="n">
        <f aca="false">SUMPRODUCT($G$32158:$K$32158,$G$32157:$K$32157-$G$32163:$K$32163+$G$32162:$K$32162)</f>
        <v>0</v>
      </c>
    </row>
    <row r="32282" customFormat="false" ht="15" hidden="false" customHeight="false" outlineLevel="0" collapsed="false">
      <c r="A32282" s="3" t="s">
        <v>358</v>
      </c>
      <c r="C32282" s="16" t="n">
        <f aca="false">SUMPRODUCT($G$32158:$K$32158,$G$32165:$K$32165)</f>
        <v>0</v>
      </c>
    </row>
    <row r="32283" customFormat="false" ht="15" hidden="false" customHeight="false" outlineLevel="0" collapsed="false">
      <c r="A32283" s="3" t="s">
        <v>359</v>
      </c>
      <c r="C32283" s="3" t="str">
        <f aca="false">IF(SUM($G$32158:$K$32158)=0,"n/a (beyond horizon)",IF(SUMPRODUCT($G$32158:$K$32158,$G$32142:$K$32142)&gt;0,"REFINANCING PASS","REFINANCING FAILURE"))</f>
        <v>n/a (beyond horizon)</v>
      </c>
    </row>
    <row r="32284" customFormat="false" ht="15" hidden="false" customHeight="false" outlineLevel="0" collapsed="false">
      <c r="A32284" s="3" t="s">
        <v>360</v>
      </c>
      <c r="C32284" s="3" t="str">
        <f aca="false">IF(SUM($G$32158:$K$32158)=0,"n/a",IF(C32282&gt;=C32281-0.001,"Repaid from cash",IF(SUMPRODUCT($G$32158:$K$32158,$G$32142:$K$32142)&gt;0,IF(C32282&gt;0,"Partly repaid; remainder refinanced","Refinanced"),IF(SUM($G$32167:$K$32167)&gt;0.001,IF(C32282&gt;0,"Partial repayment; PAYMENT DEFAULT","PAYMENT DEFAULT"),"Repaid from cash"))))</f>
        <v>n/a</v>
      </c>
    </row>
    <row r="32285" customFormat="false" ht="15" hidden="false" customHeight="false" outlineLevel="0" collapsed="false">
      <c r="A32285" s="3" t="s">
        <v>361</v>
      </c>
      <c r="C32285" s="16" t="n">
        <f aca="false">SUMPRODUCT($G$32171:$K$32171,$G$32170:$K$32170-$G$32176:$K$32176+$G$32175:$K$32175)</f>
        <v>0</v>
      </c>
    </row>
    <row r="32286" customFormat="false" ht="15" hidden="false" customHeight="false" outlineLevel="0" collapsed="false">
      <c r="A32286" s="3" t="s">
        <v>362</v>
      </c>
      <c r="C32286" s="16" t="n">
        <f aca="false">SUMPRODUCT($G$32171:$K$32171,$G$32178:$K$32178)</f>
        <v>0</v>
      </c>
    </row>
    <row r="32287" customFormat="false" ht="15" hidden="false" customHeight="false" outlineLevel="0" collapsed="false">
      <c r="A32287" s="3" t="s">
        <v>363</v>
      </c>
      <c r="C32287" s="3" t="str">
        <f aca="false">IF(SUM($G$32171:$K$32171)=0,"n/a (beyond horizon)",IF(SUMPRODUCT($G$32171:$K$32171,$G$32142:$K$32142)&gt;0,"REFINANCING PASS","REFINANCING FAILURE"))</f>
        <v>n/a (beyond horizon)</v>
      </c>
    </row>
    <row r="32288" customFormat="false" ht="15" hidden="false" customHeight="false" outlineLevel="0" collapsed="false">
      <c r="A32288" s="3" t="s">
        <v>364</v>
      </c>
      <c r="C32288" s="3" t="str">
        <f aca="false">IF(SUM($G$32171:$K$32171)=0,"n/a",IF(C32286&gt;=C32285-0.001,"Repaid from cash",IF(SUMPRODUCT($G$32171:$K$32171,$G$32142:$K$32142)&gt;0,IF(C32286&gt;0,"Partly repaid; remainder refinanced","Refinanced"),IF(SUM($G$32180:$K$32180)&gt;0.001,IF(C32286&gt;0,"Partial repayment; PAYMENT DEFAULT","PAYMENT DEFAULT"),"Repaid from cash"))))</f>
        <v>n/a</v>
      </c>
    </row>
    <row r="32289" customFormat="false" ht="15" hidden="false" customHeight="false" outlineLevel="0" collapsed="false">
      <c r="A32289" s="3" t="s">
        <v>365</v>
      </c>
      <c r="C32289" s="16" t="n">
        <f aca="false">SUMPRODUCT($G$32184:$K$32184,$G$32183:$K$32183-$G$32189:$K$32189+$G$32188:$K$32188)</f>
        <v>0</v>
      </c>
    </row>
    <row r="32290" customFormat="false" ht="15" hidden="false" customHeight="false" outlineLevel="0" collapsed="false">
      <c r="A32290" s="3" t="s">
        <v>366</v>
      </c>
      <c r="C32290" s="16" t="n">
        <f aca="false">SUMPRODUCT($G$32184:$K$32184,$G$32191:$K$32191)</f>
        <v>0</v>
      </c>
    </row>
    <row r="32291" customFormat="false" ht="15" hidden="false" customHeight="false" outlineLevel="0" collapsed="false">
      <c r="A32291" s="3" t="s">
        <v>367</v>
      </c>
      <c r="C32291" s="3" t="str">
        <f aca="false">IF(SUM($G$32184:$K$32184)=0,"n/a (beyond horizon)",IF(SUMPRODUCT($G$32184:$K$32184,$G$32142:$K$32142)&gt;0,"REFINANCING PASS","REFINANCING FAILURE"))</f>
        <v>REFINANCING PASS</v>
      </c>
    </row>
    <row r="32292" customFormat="false" ht="15" hidden="false" customHeight="false" outlineLevel="0" collapsed="false">
      <c r="A32292" s="3" t="s">
        <v>368</v>
      </c>
      <c r="C32292" s="3" t="str">
        <f aca="false">IF(SUM($G$32184:$K$32184)=0,"n/a",IF(C32290&gt;=C32289-0.001,"Repaid from cash",IF(SUMPRODUCT($G$32184:$K$32184,$G$32142:$K$32142)&gt;0,IF(C32290&gt;0,"Partly repaid; remainder refinanced","Refinanced"),IF(SUM($G$32193:$K$32193)&gt;0.001,IF(C32290&gt;0,"Partial repayment; PAYMENT DEFAULT","PAYMENT DEFAULT"),"Repaid from cash"))))</f>
        <v>Repaid from cash</v>
      </c>
    </row>
    <row r="32293" customFormat="false" ht="15" hidden="false" customHeight="false" outlineLevel="0" collapsed="false">
      <c r="A32293" s="3" t="s">
        <v>369</v>
      </c>
      <c r="C32293" s="16" t="n">
        <f aca="false">SUMPRODUCT($G$32197:$K$32197,$G$32196:$K$32196-$G$32202:$K$32202+$G$32201:$K$32201)</f>
        <v>450</v>
      </c>
    </row>
    <row r="32294" customFormat="false" ht="15" hidden="false" customHeight="false" outlineLevel="0" collapsed="false">
      <c r="A32294" s="3" t="s">
        <v>370</v>
      </c>
      <c r="C32294" s="16" t="n">
        <f aca="false">SUMPRODUCT($G$32197:$K$32197,$G$32204:$K$32204)</f>
        <v>42.2778486262</v>
      </c>
    </row>
    <row r="32295" customFormat="false" ht="15" hidden="false" customHeight="false" outlineLevel="0" collapsed="false">
      <c r="A32295" s="3" t="s">
        <v>371</v>
      </c>
      <c r="C32295" s="3" t="str">
        <f aca="false">IF(SUM($G$32197:$K$32197)=0,"n/a (beyond horizon)",IF(SUMPRODUCT($G$32197:$K$32197,$G$32142:$K$32142)&gt;0,"REFINANCING PASS","REFINANCING FAILURE"))</f>
        <v>REFINANCING PASS</v>
      </c>
    </row>
    <row r="32296" customFormat="false" ht="15" hidden="false" customHeight="false" outlineLevel="0" collapsed="false">
      <c r="A32296" s="3" t="s">
        <v>372</v>
      </c>
      <c r="C32296" s="3" t="str">
        <f aca="false">IF(SUM($G$32197:$K$32197)=0,"n/a",IF(C32294&gt;=C32293-0.001,"Repaid from cash",IF(SUMPRODUCT($G$32197:$K$32197,$G$32142:$K$32142)&gt;0,IF(C32294&gt;0,"Partly repaid; remainder refinanced","Refinanced"),IF(SUM($G$32206:$K$32206)&gt;0.001,IF(C32294&gt;0,"Partial repayment; PAYMENT DEFAULT","PAYMENT DEFAULT"),"Repaid from cash"))))</f>
        <v>Partly repaid; remainder refinanced</v>
      </c>
    </row>
    <row r="32297" customFormat="false" ht="15" hidden="false" customHeight="false" outlineLevel="0" collapsed="false">
      <c r="A32297" s="3" t="s">
        <v>373</v>
      </c>
      <c r="C32297" s="16" t="n">
        <f aca="false">SUMPRODUCT($G$32210:$K$32210,$G$32209:$K$32209-$G$32215:$K$32215+$G$32214:$K$32214)</f>
        <v>350</v>
      </c>
    </row>
    <row r="32298" customFormat="false" ht="15" hidden="false" customHeight="false" outlineLevel="0" collapsed="false">
      <c r="A32298" s="3" t="s">
        <v>374</v>
      </c>
      <c r="C32298" s="16" t="n">
        <f aca="false">SUMPRODUCT($G$32210:$K$32210,$G$32217:$K$32217)</f>
        <v>0</v>
      </c>
    </row>
    <row r="32299" customFormat="false" ht="15" hidden="false" customHeight="false" outlineLevel="0" collapsed="false">
      <c r="A32299" s="3" t="s">
        <v>375</v>
      </c>
      <c r="C32299" s="3" t="str">
        <f aca="false">IF(SUM($G$32210:$K$32210)=0,"n/a (beyond horizon)",IF(SUMPRODUCT($G$32210:$K$32210,$G$32142:$K$32142)&gt;0,"REFINANCING PASS","REFINANCING FAILURE"))</f>
        <v>REFINANCING PASS</v>
      </c>
    </row>
    <row r="32300" customFormat="false" ht="15" hidden="false" customHeight="false" outlineLevel="0" collapsed="false">
      <c r="A32300" s="3" t="s">
        <v>376</v>
      </c>
      <c r="C32300" s="3" t="str">
        <f aca="false">IF(SUM($G$32210:$K$32210)=0,"n/a",IF(C32298&gt;=C32297-0.001,"Repaid from cash",IF(SUMPRODUCT($G$32210:$K$32210,$G$32142:$K$32142)&gt;0,IF(C32298&gt;0,"Partly repaid; remainder refinanced","Refinanced"),IF(SUM($G$32219:$K$32219)&gt;0.001,IF(C32298&gt;0,"Partial repayment; PAYMENT DEFAULT","PAYMENT DEFAULT"),"Repaid from cash"))))</f>
        <v>Refinanced</v>
      </c>
    </row>
    <row r="32301" customFormat="false" ht="15" hidden="false" customHeight="false" outlineLevel="0" collapsed="false">
      <c r="A32301" s="3" t="s">
        <v>377</v>
      </c>
      <c r="C32301" s="16" t="n">
        <f aca="false">SUMPRODUCT($G$32223:$K$32223,$G$32222:$K$32222-$G$32228:$K$32228+$G$32227:$K$32227)</f>
        <v>550</v>
      </c>
    </row>
    <row r="32302" customFormat="false" ht="15" hidden="false" customHeight="false" outlineLevel="0" collapsed="false">
      <c r="A32302" s="3" t="s">
        <v>378</v>
      </c>
      <c r="C32302" s="16" t="n">
        <f aca="false">SUMPRODUCT($G$32223:$K$32223,$G$32230:$K$32230)</f>
        <v>0</v>
      </c>
    </row>
    <row r="32303" customFormat="false" ht="15" hidden="false" customHeight="false" outlineLevel="0" collapsed="false">
      <c r="A32303" s="3" t="s">
        <v>379</v>
      </c>
      <c r="C32303" s="3" t="str">
        <f aca="false">IF(SUM($G$32223:$K$32223)=0,"n/a (beyond horizon)",IF(SUMPRODUCT($G$32223:$K$32223,$G$32142:$K$32142)&gt;0,"REFINANCING PASS","REFINANCING FAILURE"))</f>
        <v>REFINANCING PASS</v>
      </c>
    </row>
    <row r="32304" customFormat="false" ht="15" hidden="false" customHeight="false" outlineLevel="0" collapsed="false">
      <c r="A32304" s="3" t="s">
        <v>380</v>
      </c>
      <c r="C32304" s="3" t="str">
        <f aca="false">IF(SUM($G$32223:$K$32223)=0,"n/a",IF(C32302&gt;=C32301-0.001,"Repaid from cash",IF(SUMPRODUCT($G$32223:$K$32223,$G$32142:$K$32142)&gt;0,IF(C32302&gt;0,"Partly repaid; remainder refinanced","Refinanced"),IF(SUM($G$32232:$K$32232)&gt;0.001,IF(C32302&gt;0,"Partial repayment; PAYMENT DEFAULT","PAYMENT DEFAULT"),"Repaid from cash"))))</f>
        <v>Refinanced</v>
      </c>
    </row>
    <row r="32305" customFormat="false" ht="15" hidden="false" customHeight="false" outlineLevel="0" collapsed="false">
      <c r="A32305" s="3" t="s">
        <v>381</v>
      </c>
      <c r="C32305" s="16" t="n">
        <f aca="false">SUMPRODUCT($G$32236:$K$32236,$G$32235:$K$32235-$G$32241:$K$32241+$G$32240:$K$32240)</f>
        <v>350</v>
      </c>
    </row>
    <row r="32306" customFormat="false" ht="15" hidden="false" customHeight="false" outlineLevel="0" collapsed="false">
      <c r="A32306" s="3" t="s">
        <v>382</v>
      </c>
      <c r="C32306" s="16" t="n">
        <f aca="false">SUMPRODUCT($G$32236:$K$32236,$G$32243:$K$32243)</f>
        <v>0</v>
      </c>
    </row>
    <row r="32307" customFormat="false" ht="15" hidden="false" customHeight="false" outlineLevel="0" collapsed="false">
      <c r="A32307" s="3" t="s">
        <v>383</v>
      </c>
      <c r="C32307" s="3" t="str">
        <f aca="false">IF(SUM($G$32236:$K$32236)=0,"n/a (beyond horizon)",IF(SUMPRODUCT($G$32236:$K$32236,$G$32142:$K$32142)&gt;0,"REFINANCING PASS","REFINANCING FAILURE"))</f>
        <v>REFINANCING PASS</v>
      </c>
    </row>
    <row r="32308" customFormat="false" ht="15" hidden="false" customHeight="false" outlineLevel="0" collapsed="false">
      <c r="A32308" s="3" t="s">
        <v>384</v>
      </c>
      <c r="C32308" s="3" t="str">
        <f aca="false">IF(SUM($G$32236:$K$32236)=0,"n/a",IF(C32306&gt;=C32305-0.001,"Repaid from cash",IF(SUMPRODUCT($G$32236:$K$32236,$G$32142:$K$32142)&gt;0,IF(C32306&gt;0,"Partly repaid; remainder refinanced","Refinanced"),IF(SUM($G$32245:$K$32245)&gt;0.001,IF(C32306&gt;0,"Partial repayment; PAYMENT DEFAULT","PAYMENT DEFAULT"),"Repaid from cash"))))</f>
        <v>Refinanced</v>
      </c>
    </row>
    <row r="32309" customFormat="false" ht="15" hidden="false" customHeight="false" outlineLevel="0" collapsed="false">
      <c r="A32309" s="3" t="s">
        <v>385</v>
      </c>
      <c r="C32309" s="16" t="n">
        <f aca="false">SUMPRODUCT($G$32249:$K$32249,$G$32248:$K$32248-$G$32254:$K$32254+$G$32253:$K$32253)</f>
        <v>300</v>
      </c>
    </row>
    <row r="32310" customFormat="false" ht="15" hidden="false" customHeight="false" outlineLevel="0" collapsed="false">
      <c r="A32310" s="3" t="s">
        <v>386</v>
      </c>
      <c r="C32310" s="16" t="n">
        <f aca="false">SUMPRODUCT($G$32249:$K$32249,$G$32256:$K$32256)</f>
        <v>0</v>
      </c>
    </row>
    <row r="32311" customFormat="false" ht="15" hidden="false" customHeight="false" outlineLevel="0" collapsed="false">
      <c r="A32311" s="3" t="s">
        <v>387</v>
      </c>
      <c r="C32311" s="3" t="str">
        <f aca="false">IF(SUM($G$32249:$K$32249)=0,"n/a (beyond horizon)",IF(SUMPRODUCT($G$32249:$K$32249,$G$32142:$K$32142)&gt;0,"REFINANCING PASS","REFINANCING FAILURE"))</f>
        <v>REFINANCING PASS</v>
      </c>
    </row>
    <row r="32312" customFormat="false" ht="15" hidden="false" customHeight="false" outlineLevel="0" collapsed="false">
      <c r="A32312" s="3" t="s">
        <v>388</v>
      </c>
      <c r="C32312" s="3" t="str">
        <f aca="false">IF(SUM($G$32249:$K$32249)=0,"n/a",IF(C32310&gt;=C32309-0.001,"Repaid from cash",IF(SUMPRODUCT($G$32249:$K$32249,$G$32142:$K$32142)&gt;0,IF(C32310&gt;0,"Partly repaid; remainder refinanced","Refinanced"),IF(SUM($G$32258:$K$32258)&gt;0.001,IF(C32310&gt;0,"Partial repayment; PAYMENT DEFAULT","PAYMENT DEFAULT"),"Repaid from cash"))))</f>
        <v>Refinanced</v>
      </c>
    </row>
    <row r="32313" customFormat="false" ht="15" hidden="false" customHeight="false" outlineLevel="0" collapsed="false">
      <c r="A32313" s="3" t="s">
        <v>389</v>
      </c>
      <c r="C32313" s="16" t="n">
        <f aca="false">SUMPRODUCT($G$32262:$K$32262,$G$32261:$K$32261-$G$32267:$K$32267+$G$32266:$K$32266)</f>
        <v>0</v>
      </c>
    </row>
    <row r="32314" customFormat="false" ht="15" hidden="false" customHeight="false" outlineLevel="0" collapsed="false">
      <c r="A32314" s="3" t="s">
        <v>390</v>
      </c>
      <c r="C32314" s="16" t="n">
        <f aca="false">SUMPRODUCT($G$32262:$K$32262,$G$32269:$K$32269)</f>
        <v>0</v>
      </c>
    </row>
    <row r="32315" customFormat="false" ht="15" hidden="false" customHeight="false" outlineLevel="0" collapsed="false">
      <c r="A32315" s="3" t="s">
        <v>391</v>
      </c>
      <c r="C32315" s="3" t="str">
        <f aca="false">IF(SUM($G$32262:$K$32262)=0,"n/a (beyond horizon)",IF(SUMPRODUCT($G$32262:$K$32262,$G$32142:$K$32142)&gt;0,"REFINANCING PASS","REFINANCING FAILURE"))</f>
        <v>n/a (beyond horizon)</v>
      </c>
    </row>
    <row r="32316" customFormat="false" ht="15" hidden="false" customHeight="false" outlineLevel="0" collapsed="false">
      <c r="A32316" s="3" t="s">
        <v>392</v>
      </c>
      <c r="C32316" s="3" t="str">
        <f aca="false">IF(SUM($G$32262:$K$32262)=0,"n/a",IF(C32314&gt;=C32313-0.001,"Repaid from cash",IF(SUMPRODUCT($G$32262:$K$32262,$G$32142:$K$32142)&gt;0,IF(C32314&gt;0,"Partly repaid; remainder refinanced","Refinanced"),IF(SUM($G$32271:$K$32271)&gt;0.001,IF(C32314&gt;0,"Partial repayment; PAYMENT DEFAULT","PAYMENT DEFAULT"),"Repaid from cash"))))</f>
        <v>n/a</v>
      </c>
    </row>
    <row r="32317" customFormat="false" ht="15" hidden="false" customHeight="false" outlineLevel="0" collapsed="false">
      <c r="A32317" s="3" t="s">
        <v>393</v>
      </c>
      <c r="C32317" s="21" t="n">
        <f aca="false">IF(C32279="REFINANCING FAILURE",1,0)+IF(C32283="REFINANCING FAILURE",1,0)+IF(C32287="REFINANCING FAILURE",1,0)+IF(C32291="REFINANCING FAILURE",1,0)+IF(C32295="REFINANCING FAILURE",1,0)+IF(C32299="REFINANCING FAILURE",1,0)+IF(C32303="REFINANCING FAILURE",1,0)+IF(C32307="REFINANCING FAILURE",1,0)+IF(C32311="REFINANCING FAILURE",1,0)+IF(C32315="REFINANCING FAILURE",1,0)</f>
        <v>0</v>
      </c>
    </row>
    <row r="32319" customFormat="false" ht="15" hidden="false" customHeight="false" outlineLevel="0" collapsed="false">
      <c r="A32319" s="24" t="s">
        <v>395</v>
      </c>
      <c r="B32319" s="25"/>
      <c r="C32319" s="25"/>
      <c r="D32319" s="25"/>
      <c r="E32319" s="25"/>
      <c r="F32319" s="25"/>
      <c r="G32319" s="25"/>
      <c r="H32319" s="25"/>
      <c r="I32319" s="25"/>
      <c r="J32319" s="25"/>
      <c r="K32319" s="25"/>
    </row>
    <row r="32320" customFormat="false" ht="15" hidden="false" customHeight="false" outlineLevel="0" collapsed="false">
      <c r="A32320" s="3" t="s">
        <v>325</v>
      </c>
      <c r="G32320" s="16" t="n">
        <f aca="false">F32332</f>
        <v>37.87</v>
      </c>
      <c r="H32320" s="16" t="n">
        <f aca="false">G32332</f>
        <v>150.3287686</v>
      </c>
      <c r="I32320" s="16" t="n">
        <f aca="false">H32332</f>
        <v>25</v>
      </c>
      <c r="J32320" s="16" t="n">
        <f aca="false">I32332</f>
        <v>0</v>
      </c>
      <c r="K32320" s="16" t="n">
        <f aca="false">J32332</f>
        <v>0</v>
      </c>
    </row>
    <row r="32321" customFormat="false" ht="15" hidden="false" customHeight="false" outlineLevel="0" collapsed="false">
      <c r="A32321" s="3" t="s">
        <v>396</v>
      </c>
      <c r="G32321" s="16" t="n">
        <f aca="false">G32131</f>
        <v>-83.5412314</v>
      </c>
      <c r="H32321" s="16" t="n">
        <f aca="false">H32131</f>
        <v>-79.0509199738</v>
      </c>
      <c r="I32321" s="16" t="n">
        <f aca="false">I32131</f>
        <v>-87.796942182056</v>
      </c>
      <c r="J32321" s="16" t="n">
        <f aca="false">J32131</f>
        <v>-84.8805226827392</v>
      </c>
      <c r="K32321" s="16" t="n">
        <f aca="false">K32131</f>
        <v>-100.535819058653</v>
      </c>
    </row>
    <row r="32322" customFormat="false" ht="15" hidden="false" customHeight="false" outlineLevel="0" collapsed="false">
      <c r="A32322" s="3" t="s">
        <v>397</v>
      </c>
      <c r="G32322" s="16" t="n">
        <f aca="false">CHOOSE($C$32101,Assumptions!$G$82,Assumptions!$G$101,Assumptions!$G$120)</f>
        <v>200</v>
      </c>
      <c r="H32322" s="16" t="n">
        <f aca="false">CHOOSE($C$32101,Assumptions!$H$82,Assumptions!$H$101,Assumptions!$H$120)</f>
        <v>0</v>
      </c>
      <c r="I32322" s="16" t="n">
        <f aca="false">CHOOSE($C$32101,Assumptions!$I$82,Assumptions!$I$101,Assumptions!$I$120)</f>
        <v>0</v>
      </c>
      <c r="J32322" s="16" t="n">
        <f aca="false">CHOOSE($C$32101,Assumptions!$J$82,Assumptions!$J$101,Assumptions!$J$120)</f>
        <v>0</v>
      </c>
      <c r="K32322" s="16" t="n">
        <f aca="false">CHOOSE($C$32101,Assumptions!$K$82,Assumptions!$K$101,Assumptions!$K$120)</f>
        <v>0</v>
      </c>
    </row>
    <row r="32323" customFormat="false" ht="15" hidden="false" customHeight="false" outlineLevel="0" collapsed="false">
      <c r="A32323" s="3" t="s">
        <v>398</v>
      </c>
      <c r="G32323" s="16" t="n">
        <f aca="false">G32150+G32163+G32176+G32189+G32202+G32215+G32228+G32241+G32254+G32267</f>
        <v>4</v>
      </c>
      <c r="H32323" s="16" t="n">
        <f aca="false">H32150+H32163+H32176+H32189+H32202+H32215+H32228+H32241+H32254+H32267</f>
        <v>4</v>
      </c>
      <c r="I32323" s="16" t="n">
        <f aca="false">I32150+I32163+I32176+I32189+I32202+I32215+I32228+I32241+I32254+I32267</f>
        <v>4</v>
      </c>
      <c r="J32323" s="16" t="n">
        <f aca="false">J32150+J32163+J32176+J32189+J32202+J32215+J32228+J32241+J32254+J32267</f>
        <v>4</v>
      </c>
      <c r="K32323" s="16" t="n">
        <f aca="false">K32150+K32163+K32176+K32189+K32202+K32215+K32228+K32241+K32254+K32267</f>
        <v>4</v>
      </c>
    </row>
    <row r="32324" customFormat="false" ht="15" hidden="false" customHeight="false" outlineLevel="0" collapsed="false">
      <c r="A32324" s="2" t="s">
        <v>399</v>
      </c>
      <c r="G32324" s="17" t="n">
        <f aca="false">G32320+G32321+G32322-G32323</f>
        <v>150.3287686</v>
      </c>
      <c r="H32324" s="17" t="n">
        <f aca="false">H32320+H32321+H32322-H32323</f>
        <v>67.2778486262</v>
      </c>
      <c r="I32324" s="17" t="n">
        <f aca="false">I32320+I32321+I32322-I32323</f>
        <v>-66.796942182056</v>
      </c>
      <c r="J32324" s="17" t="n">
        <f aca="false">J32320+J32321+J32322-J32323</f>
        <v>-88.8805226827392</v>
      </c>
      <c r="K32324" s="17" t="n">
        <f aca="false">K32320+K32321+K32322-K32323</f>
        <v>-104.535819058653</v>
      </c>
    </row>
    <row r="32325" customFormat="false" ht="15" hidden="false" customHeight="false" outlineLevel="0" collapsed="false">
      <c r="A32325" s="3" t="s">
        <v>400</v>
      </c>
      <c r="G32325" s="16" t="n">
        <f aca="false">G32151+G32164+G32177+G32190+G32203+G32216+G32229+G32242+G32255+G32268</f>
        <v>0</v>
      </c>
      <c r="H32325" s="16" t="n">
        <f aca="false">H32151+H32164+H32177+H32190+H32203+H32216+H32229+H32242+H32255+H32268</f>
        <v>0</v>
      </c>
      <c r="I32325" s="16" t="n">
        <f aca="false">I32151+I32164+I32177+I32190+I32203+I32216+I32229+I32242+I32255+I32268</f>
        <v>66.796942182056</v>
      </c>
      <c r="J32325" s="16" t="n">
        <f aca="false">J32151+J32164+J32177+J32190+J32203+J32216+J32229+J32242+J32255+J32268</f>
        <v>88.8805226827392</v>
      </c>
      <c r="K32325" s="16" t="n">
        <f aca="false">K32151+K32164+K32177+K32190+K32203+K32216+K32229+K32242+K32255+K32268</f>
        <v>104.535819058653</v>
      </c>
    </row>
    <row r="32326" customFormat="false" ht="15" hidden="false" customHeight="false" outlineLevel="0" collapsed="false">
      <c r="A32326" s="2" t="s">
        <v>401</v>
      </c>
      <c r="G32326" s="17" t="n">
        <f aca="false">G32324+G32325</f>
        <v>150.3287686</v>
      </c>
      <c r="H32326" s="17" t="n">
        <f aca="false">H32324+H32325</f>
        <v>67.2778486262</v>
      </c>
      <c r="I32326" s="17" t="n">
        <f aca="false">I32324+I32325</f>
        <v>0</v>
      </c>
      <c r="J32326" s="17" t="n">
        <f aca="false">J32324+J32325</f>
        <v>0</v>
      </c>
      <c r="K32326" s="17" t="n">
        <f aca="false">K32324+K32325</f>
        <v>0</v>
      </c>
    </row>
    <row r="32327" customFormat="false" ht="15" hidden="false" customHeight="false" outlineLevel="0" collapsed="false">
      <c r="A32327" s="3" t="s">
        <v>402</v>
      </c>
      <c r="G32327" s="16" t="n">
        <f aca="false">G32152+G32165+G32178+G32191+G32204+G32217+G32230+G32243+G32256+G32269</f>
        <v>0</v>
      </c>
      <c r="H32327" s="16" t="n">
        <f aca="false">H32152+H32165+H32178+H32191+H32204+H32217+H32230+H32243+H32256+H32269</f>
        <v>42.2778486262</v>
      </c>
      <c r="I32327" s="16" t="n">
        <f aca="false">I32152+I32165+I32178+I32191+I32204+I32217+I32230+I32243+I32256+I32269</f>
        <v>0</v>
      </c>
      <c r="J32327" s="16" t="n">
        <f aca="false">J32152+J32165+J32178+J32191+J32204+J32217+J32230+J32243+J32256+J32269</f>
        <v>0</v>
      </c>
      <c r="K32327" s="16" t="n">
        <f aca="false">K32152+K32165+K32178+K32191+K32204+K32217+K32230+K32243+K32256+K32269</f>
        <v>0</v>
      </c>
    </row>
    <row r="32328" customFormat="false" ht="15" hidden="false" customHeight="false" outlineLevel="0" collapsed="false">
      <c r="A32328" s="2" t="s">
        <v>403</v>
      </c>
      <c r="G32328" s="17" t="n">
        <f aca="false">G32326-G32327</f>
        <v>150.3287686</v>
      </c>
      <c r="H32328" s="17" t="n">
        <f aca="false">H32326-H32327</f>
        <v>25</v>
      </c>
      <c r="I32328" s="17" t="n">
        <f aca="false">I32326-I32327</f>
        <v>0</v>
      </c>
      <c r="J32328" s="17" t="n">
        <f aca="false">J32326-J32327</f>
        <v>0</v>
      </c>
      <c r="K32328" s="17" t="n">
        <f aca="false">K32326-K32327</f>
        <v>0</v>
      </c>
    </row>
    <row r="32329" customFormat="false" ht="15" hidden="false" customHeight="false" outlineLevel="0" collapsed="false">
      <c r="A32329" s="3" t="s">
        <v>404</v>
      </c>
      <c r="G32329" s="16" t="n">
        <f aca="false">MAX(0,-G32328)</f>
        <v>0</v>
      </c>
      <c r="H32329" s="16" t="n">
        <f aca="false">MAX(0,-H32328)</f>
        <v>0</v>
      </c>
      <c r="I32329" s="16" t="n">
        <f aca="false">MAX(0,-I32328)</f>
        <v>-0</v>
      </c>
      <c r="J32329" s="16" t="n">
        <f aca="false">MAX(0,-J32328)</f>
        <v>-0</v>
      </c>
      <c r="K32329" s="16" t="n">
        <f aca="false">MAX(0,-K32328)</f>
        <v>-0</v>
      </c>
    </row>
    <row r="32330" customFormat="false" ht="15" hidden="false" customHeight="false" outlineLevel="0" collapsed="false">
      <c r="A32330" s="3" t="s">
        <v>405</v>
      </c>
      <c r="G32330" s="16" t="n">
        <f aca="false">MAX(0,G32328-Assumptions!$C$12)*Assumptions!$C$13</f>
        <v>0</v>
      </c>
      <c r="H32330" s="16" t="n">
        <f aca="false">MAX(0,H32328-Assumptions!$C$12)*Assumptions!$C$13</f>
        <v>0</v>
      </c>
      <c r="I32330" s="16" t="n">
        <f aca="false">MAX(0,I32328-Assumptions!$C$12)*Assumptions!$C$13</f>
        <v>0</v>
      </c>
      <c r="J32330" s="16" t="n">
        <f aca="false">MAX(0,J32328-Assumptions!$C$12)*Assumptions!$C$13</f>
        <v>0</v>
      </c>
      <c r="K32330" s="16" t="n">
        <f aca="false">MAX(0,K32328-Assumptions!$C$12)*Assumptions!$C$13</f>
        <v>0</v>
      </c>
    </row>
    <row r="32331" customFormat="false" ht="15" hidden="false" customHeight="false" outlineLevel="0" collapsed="false">
      <c r="A32331" s="3" t="s">
        <v>406</v>
      </c>
      <c r="G32331" s="16" t="n">
        <f aca="false">G32153+G32166+G32179+G32192+G32205+G32218+G32231+G32244+G32257+G32270</f>
        <v>0</v>
      </c>
      <c r="H32331" s="16" t="n">
        <f aca="false">H32153+H32166+H32179+H32192+H32205+H32218+H32231+H32244+H32257+H32270</f>
        <v>0</v>
      </c>
      <c r="I32331" s="16" t="n">
        <f aca="false">I32153+I32166+I32179+I32192+I32205+I32218+I32231+I32244+I32257+I32270</f>
        <v>0</v>
      </c>
      <c r="J32331" s="16" t="n">
        <f aca="false">J32153+J32166+J32179+J32192+J32205+J32218+J32231+J32244+J32257+J32270</f>
        <v>0</v>
      </c>
      <c r="K32331" s="16" t="n">
        <f aca="false">K32153+K32166+K32179+K32192+K32205+K32218+K32231+K32244+K32257+K32270</f>
        <v>0</v>
      </c>
    </row>
    <row r="32332" customFormat="false" ht="15" hidden="false" customHeight="false" outlineLevel="0" collapsed="false">
      <c r="A32332" s="2" t="s">
        <v>407</v>
      </c>
      <c r="F32332" s="28" t="n">
        <f aca="false">Assumptions!$C$11</f>
        <v>37.87</v>
      </c>
      <c r="G32332" s="17" t="n">
        <f aca="false">G32328-G32331</f>
        <v>150.3287686</v>
      </c>
      <c r="H32332" s="17" t="n">
        <f aca="false">H32328-H32331</f>
        <v>25</v>
      </c>
      <c r="I32332" s="17" t="n">
        <f aca="false">I32328-I32331</f>
        <v>0</v>
      </c>
      <c r="J32332" s="17" t="n">
        <f aca="false">J32328-J32331</f>
        <v>0</v>
      </c>
      <c r="K32332" s="17" t="n">
        <f aca="false">K32328-K32331</f>
        <v>0</v>
      </c>
    </row>
    <row r="32333" customFormat="false" ht="15" hidden="false" customHeight="false" outlineLevel="0" collapsed="false">
      <c r="A32333" s="3" t="s">
        <v>408</v>
      </c>
      <c r="G32333" s="16" t="n">
        <f aca="false">G32154+G32167+G32180+G32193+G32206+G32219+G32232+G32245+G32258+G32271</f>
        <v>0</v>
      </c>
      <c r="H32333" s="16" t="n">
        <f aca="false">H32154+H32167+H32180+H32193+H32206+H32219+H32232+H32245+H32258+H32271</f>
        <v>0</v>
      </c>
      <c r="I32333" s="16" t="n">
        <f aca="false">I32154+I32167+I32180+I32193+I32206+I32219+I32232+I32245+I32258+I32271</f>
        <v>0</v>
      </c>
      <c r="J32333" s="16" t="n">
        <f aca="false">J32154+J32167+J32180+J32193+J32206+J32219+J32232+J32245+J32258+J32271</f>
        <v>0</v>
      </c>
      <c r="K32333" s="16" t="n">
        <f aca="false">K32154+K32167+K32180+K32193+K32206+K32219+K32232+K32245+K32258+K32271</f>
        <v>0</v>
      </c>
    </row>
    <row r="32334" customFormat="false" ht="15" hidden="false" customHeight="false" outlineLevel="0" collapsed="false">
      <c r="A32334" s="3" t="s">
        <v>409</v>
      </c>
      <c r="G32334" s="21" t="n">
        <f aca="false">IF(OR(G32329&gt;0.001,G32333&gt;0.001),1,0)</f>
        <v>0</v>
      </c>
      <c r="H32334" s="21" t="n">
        <f aca="false">IF(OR(H32329&gt;0.001,H32333&gt;0.001),1,0)</f>
        <v>0</v>
      </c>
      <c r="I32334" s="21" t="n">
        <f aca="false">IF(OR(I32329&gt;0.001,I32333&gt;0.001),1,0)</f>
        <v>0</v>
      </c>
      <c r="J32334" s="21" t="n">
        <f aca="false">IF(OR(J32329&gt;0.001,J32333&gt;0.001),1,0)</f>
        <v>0</v>
      </c>
      <c r="K32334" s="21" t="n">
        <f aca="false">IF(OR(K32329&gt;0.001,K32333&gt;0.001),1,0)</f>
        <v>0</v>
      </c>
    </row>
    <row r="32335" customFormat="false" ht="15" hidden="false" customHeight="false" outlineLevel="0" collapsed="false">
      <c r="A32335" s="3" t="s">
        <v>410</v>
      </c>
      <c r="G32335" s="21" t="n">
        <f aca="false">IF(G32334=1,1,0)</f>
        <v>0</v>
      </c>
      <c r="H32335" s="21" t="n">
        <f aca="false">IF(AND(H32334=1,SUM($G$32334:G32334)=0),1,0)</f>
        <v>0</v>
      </c>
      <c r="I32335" s="21" t="n">
        <f aca="false">IF(AND(I32334=1,SUM($G$32334:H32334)=0),1,0)</f>
        <v>0</v>
      </c>
      <c r="J32335" s="21" t="n">
        <f aca="false">IF(AND(J32334=1,SUM($G$32334:I32334)=0),1,0)</f>
        <v>0</v>
      </c>
      <c r="K32335" s="21" t="n">
        <f aca="false">IF(AND(K32334=1,SUM($G$32334:J32334)=0),1,0)</f>
        <v>0</v>
      </c>
    </row>
    <row r="32336" customFormat="false" ht="15" hidden="false" customHeight="false" outlineLevel="0" collapsed="false">
      <c r="A32336" s="3" t="s">
        <v>411</v>
      </c>
      <c r="G32336" s="16" t="n">
        <f aca="false">(G32274-F32274)-(G32325+G32123-G32323-G32327-G32331)</f>
        <v>0</v>
      </c>
      <c r="H32336" s="16" t="n">
        <f aca="false">(H32274-G32274)-(H32325+H32123-H32323-H32327-H32331)</f>
        <v>0</v>
      </c>
      <c r="I32336" s="16" t="n">
        <f aca="false">(I32274-H32274)-(I32325+I32123-I32323-I32327-I32331)</f>
        <v>0</v>
      </c>
      <c r="J32336" s="16" t="n">
        <f aca="false">(J32274-I32274)-(J32325+J32123-J32323-J32327-J32331)</f>
        <v>0</v>
      </c>
      <c r="K32336" s="16" t="n">
        <f aca="false">(K32274-J32274)-(K32325+K32123-K32323-K32327-K32331)</f>
        <v>0</v>
      </c>
    </row>
    <row r="32338" customFormat="false" ht="15" hidden="false" customHeight="false" outlineLevel="0" collapsed="false">
      <c r="A32338" s="24" t="s">
        <v>413</v>
      </c>
      <c r="B32338" s="25"/>
      <c r="C32338" s="25"/>
      <c r="D32338" s="25"/>
      <c r="E32338" s="25"/>
      <c r="F32338" s="25"/>
      <c r="G32338" s="25"/>
      <c r="H32338" s="25"/>
      <c r="I32338" s="25"/>
      <c r="J32338" s="25"/>
      <c r="K32338" s="25"/>
    </row>
    <row r="32339" customFormat="false" ht="15" hidden="false" customHeight="false" outlineLevel="0" collapsed="false">
      <c r="A32339" s="3" t="s">
        <v>414</v>
      </c>
      <c r="G32339" s="16" t="n">
        <f aca="false">G32274</f>
        <v>2621.934</v>
      </c>
      <c r="H32339" s="16" t="n">
        <f aca="false">H32274</f>
        <v>2575.6561513738</v>
      </c>
      <c r="I32339" s="16" t="n">
        <f aca="false">I32274</f>
        <v>2638.45309355586</v>
      </c>
      <c r="J32339" s="16" t="n">
        <f aca="false">J32274</f>
        <v>2723.3336162386</v>
      </c>
      <c r="K32339" s="16" t="n">
        <f aca="false">K32274</f>
        <v>2823.86943529725</v>
      </c>
    </row>
    <row r="32340" customFormat="false" ht="15" hidden="false" customHeight="false" outlineLevel="0" collapsed="false">
      <c r="A32340" s="3" t="s">
        <v>415</v>
      </c>
      <c r="G32340" s="16" t="n">
        <f aca="false">Assumptions!$O$57*G32155+Assumptions!$O$58*G32168+Assumptions!$O$59*G32181+Assumptions!$O$60*G32194+Assumptions!$O$61*G32207+Assumptions!$O$62*G32220+Assumptions!$O$63*G32233+Assumptions!$O$64*G32246+Assumptions!$O$65*G32259+Assumptions!$O$66*G32272</f>
        <v>543.324</v>
      </c>
      <c r="H32340" s="16" t="n">
        <f aca="false">Assumptions!$O$57*H32155+Assumptions!$O$58*H32168+Assumptions!$O$59*H32181+Assumptions!$O$60*H32194+Assumptions!$O$61*H32207+Assumptions!$O$62*H32220+Assumptions!$O$63*H32233+Assumptions!$O$64*H32246+Assumptions!$O$65*H32259+Assumptions!$O$66*H32272</f>
        <v>539.324</v>
      </c>
      <c r="I32340" s="16" t="n">
        <f aca="false">Assumptions!$O$57*I32155+Assumptions!$O$58*I32168+Assumptions!$O$59*I32181+Assumptions!$O$60*I32194+Assumptions!$O$61*I32207+Assumptions!$O$62*I32220+Assumptions!$O$63*I32233+Assumptions!$O$64*I32246+Assumptions!$O$65*I32259+Assumptions!$O$66*I32272</f>
        <v>535.324</v>
      </c>
      <c r="J32340" s="16" t="n">
        <f aca="false">Assumptions!$O$57*J32155+Assumptions!$O$58*J32168+Assumptions!$O$59*J32181+Assumptions!$O$60*J32194+Assumptions!$O$61*J32207+Assumptions!$O$62*J32220+Assumptions!$O$63*J32233+Assumptions!$O$64*J32246+Assumptions!$O$65*J32259+Assumptions!$O$66*J32272</f>
        <v>531.324</v>
      </c>
      <c r="K32340" s="16" t="n">
        <f aca="false">Assumptions!$O$57*K32155+Assumptions!$O$58*K32168+Assumptions!$O$59*K32181+Assumptions!$O$60*K32194+Assumptions!$O$61*K32207+Assumptions!$O$62*K32220+Assumptions!$O$63*K32233+Assumptions!$O$64*K32246+Assumptions!$O$65*K32259+Assumptions!$O$66*K32272</f>
        <v>527.324</v>
      </c>
    </row>
    <row r="32341" customFormat="false" ht="15" hidden="false" customHeight="false" outlineLevel="0" collapsed="false">
      <c r="A32341" s="3" t="s">
        <v>416</v>
      </c>
      <c r="G32341" s="16" t="n">
        <f aca="false">G32339-G32332</f>
        <v>2471.6052314</v>
      </c>
      <c r="H32341" s="16" t="n">
        <f aca="false">H32339-H32332</f>
        <v>2550.6561513738</v>
      </c>
      <c r="I32341" s="16" t="n">
        <f aca="false">I32339-I32332</f>
        <v>2638.45309355586</v>
      </c>
      <c r="J32341" s="16" t="n">
        <f aca="false">J32339-J32332</f>
        <v>2723.3336162386</v>
      </c>
      <c r="K32341" s="16" t="n">
        <f aca="false">K32339-K32332</f>
        <v>2823.86943529725</v>
      </c>
    </row>
    <row r="32342" customFormat="false" ht="15" hidden="false" customHeight="false" outlineLevel="0" collapsed="false">
      <c r="A32342" s="3" t="s">
        <v>417</v>
      </c>
      <c r="G32342" s="32" t="n">
        <f aca="false">IF(G32118&gt;0,G32339/G32118,0)</f>
        <v>10.2350768597559</v>
      </c>
      <c r="H32342" s="32" t="n">
        <f aca="false">IF(H32118&gt;0,H32339/H32118,0)</f>
        <v>9.80179750754554</v>
      </c>
      <c r="I32342" s="32" t="n">
        <f aca="false">IF(I32118&gt;0,I32339/I32118,0)</f>
        <v>9.78880026535512</v>
      </c>
      <c r="J32342" s="32" t="n">
        <f aca="false">IF(J32118&gt;0,J32339/J32118,0)</f>
        <v>9.86877570563203</v>
      </c>
      <c r="K32342" s="32" t="n">
        <f aca="false">IF(K32118&gt;0,K32339/K32118,0)</f>
        <v>9.99528975565569</v>
      </c>
    </row>
    <row r="32343" customFormat="false" ht="15" hidden="false" customHeight="false" outlineLevel="0" collapsed="false">
      <c r="A32343" s="3" t="s">
        <v>418</v>
      </c>
      <c r="G32343" s="32" t="n">
        <f aca="false">IF(G32118&gt;0,G32341/G32118,0)</f>
        <v>9.64824801476836</v>
      </c>
      <c r="H32343" s="32" t="n">
        <f aca="false">IF(H32118&gt;0,H32341/H32118,0)</f>
        <v>9.70665866785301</v>
      </c>
      <c r="I32343" s="32" t="n">
        <f aca="false">IF(I32118&gt;0,I32341/I32118,0)</f>
        <v>9.78880026535512</v>
      </c>
      <c r="J32343" s="32" t="n">
        <f aca="false">IF(J32118&gt;0,J32341/J32118,0)</f>
        <v>9.86877570563203</v>
      </c>
      <c r="K32343" s="32" t="n">
        <f aca="false">IF(K32118&gt;0,K32341/K32118,0)</f>
        <v>9.99528975565569</v>
      </c>
    </row>
    <row r="32344" customFormat="false" ht="15" hidden="false" customHeight="false" outlineLevel="0" collapsed="false">
      <c r="A32344" s="3" t="s">
        <v>419</v>
      </c>
      <c r="G32344" s="32" t="n">
        <f aca="false">IF(G32122&gt;0,G32118/G32122,0)</f>
        <v>1.4215185079059</v>
      </c>
      <c r="H32344" s="32" t="n">
        <f aca="false">IF(H32122&gt;0,H32118/H32122,0)</f>
        <v>1.46693050552355</v>
      </c>
      <c r="I32344" s="32" t="n">
        <f aca="false">IF(I32122&gt;0,I32118/I32122,0)</f>
        <v>1.40833238714926</v>
      </c>
      <c r="J32344" s="32" t="n">
        <f aca="false">IF(J32122&gt;0,J32118/J32122,0)</f>
        <v>1.44049487506624</v>
      </c>
      <c r="K32344" s="32" t="n">
        <f aca="false">IF(K32122&gt;0,K32118/K32122,0)</f>
        <v>1.34274565931266</v>
      </c>
    </row>
    <row r="32345" customFormat="false" ht="15" hidden="false" customHeight="false" outlineLevel="0" collapsed="false">
      <c r="A32345" s="3" t="s">
        <v>420</v>
      </c>
      <c r="G32345" s="32" t="n">
        <f aca="false">IF(G32122&gt;0,G32121/G32122,0)</f>
        <v>0.42415696431819</v>
      </c>
      <c r="H32345" s="32" t="n">
        <f aca="false">IF(H32122&gt;0,H32121/H32122,0)</f>
        <v>0.443500134737685</v>
      </c>
      <c r="I32345" s="32" t="n">
        <f aca="false">IF(I32122&gt;0,I32121/I32122,0)</f>
        <v>0.431283382112554</v>
      </c>
      <c r="J32345" s="32" t="n">
        <f aca="false">IF(J32122&gt;0,J32121/J32122,0)</f>
        <v>0.444847824504487</v>
      </c>
      <c r="K32345" s="32" t="n">
        <f aca="false">IF(K32122&gt;0,K32121/K32122,0)</f>
        <v>0.418098654921945</v>
      </c>
    </row>
    <row r="32346" customFormat="false" ht="15" hidden="false" customHeight="false" outlineLevel="0" collapsed="false">
      <c r="A32346" s="3" t="s">
        <v>213</v>
      </c>
      <c r="G32346" s="22" t="n">
        <f aca="false">IF(G32339&gt;0,G32131/G32339,0)</f>
        <v>-0.0318624463468569</v>
      </c>
      <c r="H32346" s="22" t="n">
        <f aca="false">IF(H32339&gt;0,H32131/H32339,0)</f>
        <v>-0.0306915656935169</v>
      </c>
      <c r="I32346" s="22" t="n">
        <f aca="false">IF(I32339&gt;0,I32131/I32339,0)</f>
        <v>-0.0332759154962773</v>
      </c>
      <c r="J32346" s="22" t="n">
        <f aca="false">IF(J32339&gt;0,J32131/J32339,0)</f>
        <v>-0.0311678753482925</v>
      </c>
      <c r="K32346" s="22" t="n">
        <f aca="false">IF(K32339&gt;0,K32131/K32339,0)</f>
        <v>-0.0356021485278303</v>
      </c>
    </row>
    <row r="32347" customFormat="false" ht="15" hidden="false" customHeight="false" outlineLevel="0" collapsed="false">
      <c r="A32347" s="3" t="s">
        <v>421</v>
      </c>
      <c r="G32347" s="32" t="n">
        <f aca="false">IF(G32122+G32323&gt;0,(G32118-G32129-G32126)/(G32122+G32323),0)</f>
        <v>0.813399704660698</v>
      </c>
      <c r="H32347" s="32" t="n">
        <f aca="false">IF(H32122+H32323&gt;0,(H32118-H32129-H32126)/(H32122+H32323),0)</f>
        <v>0.842627430418813</v>
      </c>
      <c r="I32347" s="32" t="n">
        <f aca="false">IF(I32122+I32323&gt;0,(I32118-I32129-I32126)/(I32122+I32323),0)</f>
        <v>0.813287836689746</v>
      </c>
      <c r="J32347" s="32" t="n">
        <f aca="false">IF(J32122+J32323&gt;0,(J32118-J32129-J32126)/(J32122+J32323),0)</f>
        <v>0.834030228771795</v>
      </c>
      <c r="K32347" s="32" t="n">
        <f aca="false">IF(K32122+K32323&gt;0,(K32118-K32129-K32126)/(K32122+K32323),0)</f>
        <v>0.780856287522867</v>
      </c>
    </row>
    <row r="32348" customFormat="false" ht="15" hidden="false" customHeight="false" outlineLevel="0" collapsed="false">
      <c r="A32348" s="3" t="s">
        <v>422</v>
      </c>
      <c r="G32348" s="16" t="n">
        <f aca="false">MAX(0,G32332)+Assumptions!$P$57*MAX(0,Assumptions!$D$57-G32155)+Assumptions!$P$58*MAX(0,Assumptions!$D$58-G32168)+Assumptions!$P$59*MAX(0,Assumptions!$D$59-G32181)+Assumptions!$P$60*MAX(0,Assumptions!$D$60-G32194)+Assumptions!$P$61*MAX(0,Assumptions!$D$61-G32207)+Assumptions!$P$62*MAX(0,Assumptions!$D$62-G32220)+Assumptions!$P$63*MAX(0,Assumptions!$D$63-G32233)+Assumptions!$P$64*MAX(0,Assumptions!$D$64-G32246)+Assumptions!$P$65*MAX(0,Assumptions!$D$65-G32259)+Assumptions!$P$66*MAX(0,Assumptions!$D$66-G32272)</f>
        <v>724.8287686</v>
      </c>
      <c r="H32348" s="16" t="n">
        <f aca="false">MAX(0,H32332)+Assumptions!$P$57*MAX(0,Assumptions!$D$57-H32155)+Assumptions!$P$58*MAX(0,Assumptions!$D$58-H32168)+Assumptions!$P$59*MAX(0,Assumptions!$D$59-H32181)+Assumptions!$P$60*MAX(0,Assumptions!$D$60-H32194)+Assumptions!$P$61*MAX(0,Assumptions!$D$61-H32207)+Assumptions!$P$62*MAX(0,Assumptions!$D$62-H32220)+Assumptions!$P$63*MAX(0,Assumptions!$D$63-H32233)+Assumptions!$P$64*MAX(0,Assumptions!$D$64-H32246)+Assumptions!$P$65*MAX(0,Assumptions!$D$65-H32259)+Assumptions!$P$66*MAX(0,Assumptions!$D$66-H32272)</f>
        <v>599.5</v>
      </c>
      <c r="I32348" s="16" t="n">
        <f aca="false">MAX(0,I32332)+Assumptions!$P$57*MAX(0,Assumptions!$D$57-I32155)+Assumptions!$P$58*MAX(0,Assumptions!$D$58-I32168)+Assumptions!$P$59*MAX(0,Assumptions!$D$59-I32181)+Assumptions!$P$60*MAX(0,Assumptions!$D$60-I32194)+Assumptions!$P$61*MAX(0,Assumptions!$D$61-I32207)+Assumptions!$P$62*MAX(0,Assumptions!$D$62-I32220)+Assumptions!$P$63*MAX(0,Assumptions!$D$63-I32233)+Assumptions!$P$64*MAX(0,Assumptions!$D$64-I32246)+Assumptions!$P$65*MAX(0,Assumptions!$D$65-I32259)+Assumptions!$P$66*MAX(0,Assumptions!$D$66-I32272)</f>
        <v>507.703057817944</v>
      </c>
      <c r="J32348" s="16" t="n">
        <f aca="false">MAX(0,J32332)+Assumptions!$P$57*MAX(0,Assumptions!$D$57-J32155)+Assumptions!$P$58*MAX(0,Assumptions!$D$58-J32168)+Assumptions!$P$59*MAX(0,Assumptions!$D$59-J32181)+Assumptions!$P$60*MAX(0,Assumptions!$D$60-J32194)+Assumptions!$P$61*MAX(0,Assumptions!$D$61-J32207)+Assumptions!$P$62*MAX(0,Assumptions!$D$62-J32220)+Assumptions!$P$63*MAX(0,Assumptions!$D$63-J32233)+Assumptions!$P$64*MAX(0,Assumptions!$D$64-J32246)+Assumptions!$P$65*MAX(0,Assumptions!$D$65-J32259)+Assumptions!$P$66*MAX(0,Assumptions!$D$66-J32272)</f>
        <v>418.822535135205</v>
      </c>
      <c r="K32348" s="16" t="n">
        <f aca="false">MAX(0,K32332)+Assumptions!$P$57*MAX(0,Assumptions!$D$57-K32155)+Assumptions!$P$58*MAX(0,Assumptions!$D$58-K32168)+Assumptions!$P$59*MAX(0,Assumptions!$D$59-K32181)+Assumptions!$P$60*MAX(0,Assumptions!$D$60-K32194)+Assumptions!$P$61*MAX(0,Assumptions!$D$61-K32207)+Assumptions!$P$62*MAX(0,Assumptions!$D$62-K32220)+Assumptions!$P$63*MAX(0,Assumptions!$D$63-K32233)+Assumptions!$P$64*MAX(0,Assumptions!$D$64-K32246)+Assumptions!$P$65*MAX(0,Assumptions!$D$65-K32259)+Assumptions!$P$66*MAX(0,Assumptions!$D$66-K32272)</f>
        <v>314.286716076552</v>
      </c>
    </row>
    <row r="32349" customFormat="false" ht="15" hidden="false" customHeight="false" outlineLevel="0" collapsed="false">
      <c r="A32349" s="3" t="s">
        <v>423</v>
      </c>
      <c r="G32349" s="22" t="n">
        <f aca="false">IF(G32339&gt;0,G32339/(G32339+MAX(0,G32118*CHOOSE($C$32101,Assumptions!$C$90,Assumptions!$C$109,Assumptions!$C$128)-G32341)),0)</f>
        <v>0.782089915058077</v>
      </c>
      <c r="H32349" s="22" t="n">
        <f aca="false">IF(H32339&gt;0,H32339/(H32339+MAX(0,H32118*CHOOSE($C$32101,Assumptions!$C$90,Assumptions!$C$109,Assumptions!$C$128)-H32341)),0)</f>
        <v>0.778220679605055</v>
      </c>
      <c r="I32349" s="22" t="n">
        <f aca="false">IF(I32339&gt;0,I32339/(I32339+MAX(0,I32118*CHOOSE($C$32101,Assumptions!$C$90,Assumptions!$C$109,Assumptions!$C$128)-I32341)),0)</f>
        <v>0.78310402122841</v>
      </c>
      <c r="J32349" s="22" t="n">
        <f aca="false">IF(J32339&gt;0,J32339/(J32339+MAX(0,J32118*CHOOSE($C$32101,Assumptions!$C$90,Assumptions!$C$109,Assumptions!$C$128)-J32341)),0)</f>
        <v>0.789502056450562</v>
      </c>
      <c r="K32349" s="22" t="n">
        <f aca="false">IF(K32339&gt;0,K32339/(K32339+MAX(0,K32118*CHOOSE($C$32101,Assumptions!$C$90,Assumptions!$C$109,Assumptions!$C$128)-K32341)),0)</f>
        <v>0.799623180452455</v>
      </c>
    </row>
    <row r="32350" customFormat="false" ht="15" hidden="false" customHeight="false" outlineLevel="0" collapsed="false">
      <c r="A32350" s="3" t="s">
        <v>424</v>
      </c>
      <c r="G32350" s="22" t="n">
        <f aca="false">IF(G32339&gt;0,MAX(0,G32332)/G32339,0)</f>
        <v>0.0573350696852018</v>
      </c>
      <c r="H32350" s="22" t="n">
        <f aca="false">IF(H32339&gt;0,MAX(0,H32332)/H32339,0)</f>
        <v>0.00970626455191448</v>
      </c>
      <c r="I32350" s="22" t="n">
        <f aca="false">IF(I32339&gt;0,MAX(0,I32332)/I32339,0)</f>
        <v>0</v>
      </c>
      <c r="J32350" s="22" t="n">
        <f aca="false">IF(J32339&gt;0,MAX(0,J32332)/J32339,0)</f>
        <v>0</v>
      </c>
      <c r="K32350" s="22" t="n">
        <f aca="false">IF(K32339&gt;0,MAX(0,K32332)/K32339,0)</f>
        <v>0</v>
      </c>
    </row>
    <row r="32351" customFormat="false" ht="15" hidden="false" customHeight="false" outlineLevel="0" collapsed="false">
      <c r="A32351" s="3" t="s">
        <v>425</v>
      </c>
      <c r="G32351" s="16" t="n">
        <f aca="false">Assumptions!$C$31*(1-CHOOSE($C$32101,Assumptions!$C$93,Assumptions!$C$112,Assumptions!$C$131))</f>
        <v>4517.70066666667</v>
      </c>
      <c r="H32351" s="16" t="n">
        <f aca="false">Assumptions!$C$31*(1-CHOOSE($C$32101,Assumptions!$C$93,Assumptions!$C$112,Assumptions!$C$131))</f>
        <v>4517.70066666667</v>
      </c>
      <c r="I32351" s="16" t="n">
        <f aca="false">Assumptions!$C$31*(1-CHOOSE($C$32101,Assumptions!$C$93,Assumptions!$C$112,Assumptions!$C$131))</f>
        <v>4517.70066666667</v>
      </c>
      <c r="J32351" s="16" t="n">
        <f aca="false">Assumptions!$C$31*(1-CHOOSE($C$32101,Assumptions!$C$93,Assumptions!$C$112,Assumptions!$C$131))</f>
        <v>4517.70066666667</v>
      </c>
      <c r="K32351" s="16" t="n">
        <f aca="false">Assumptions!$C$31*(1-CHOOSE($C$32101,Assumptions!$C$93,Assumptions!$C$112,Assumptions!$C$131))</f>
        <v>4517.70066666667</v>
      </c>
    </row>
    <row r="32352" customFormat="false" ht="15" hidden="false" customHeight="false" outlineLevel="0" collapsed="false">
      <c r="A32352" s="24" t="s">
        <v>426</v>
      </c>
      <c r="B32352" s="25"/>
      <c r="C32352" s="25"/>
      <c r="D32352" s="25"/>
      <c r="E32352" s="25"/>
      <c r="F32352" s="25"/>
      <c r="G32352" s="25"/>
      <c r="H32352" s="25"/>
      <c r="I32352" s="25"/>
      <c r="J32352" s="25"/>
      <c r="K32352" s="25"/>
    </row>
    <row r="32353" customFormat="false" ht="15" hidden="false" customHeight="false" outlineLevel="0" collapsed="false">
      <c r="A32353" s="24" t="s">
        <v>427</v>
      </c>
      <c r="B32353" s="25"/>
      <c r="C32353" s="25"/>
      <c r="D32353" s="25"/>
      <c r="E32353" s="25"/>
      <c r="F32353" s="25"/>
      <c r="G32353" s="25"/>
      <c r="H32353" s="25"/>
      <c r="I32353" s="25"/>
      <c r="J32353" s="25"/>
      <c r="K32353" s="25"/>
    </row>
    <row r="32354" customFormat="false" ht="15" hidden="false" customHeight="false" outlineLevel="0" collapsed="false">
      <c r="A32354" s="3" t="s">
        <v>428</v>
      </c>
      <c r="G32354" s="22" t="n">
        <f aca="false">IF(G32351&gt;0,G32339/G32351,99)</f>
        <v>0.580369128779522</v>
      </c>
      <c r="H32354" s="22" t="n">
        <f aca="false">IF(H32351&gt;0,H32339/H32351,99)</f>
        <v>0.570125455716441</v>
      </c>
      <c r="I32354" s="22" t="n">
        <f aca="false">IF(I32351&gt;0,I32339/I32351,99)</f>
        <v>0.584025655578152</v>
      </c>
      <c r="J32354" s="22" t="n">
        <f aca="false">IF(J32351&gt;0,J32339/J32351,99)</f>
        <v>0.602814089993257</v>
      </c>
      <c r="K32354" s="22" t="n">
        <f aca="false">IF(K32351&gt;0,K32339/K32351,99)</f>
        <v>0.62506784837093</v>
      </c>
    </row>
    <row r="32355" customFormat="false" ht="15" hidden="false" customHeight="false" outlineLevel="0" collapsed="false">
      <c r="A32355" s="3" t="s">
        <v>429</v>
      </c>
      <c r="G32355" s="33" t="n">
        <f aca="false">Assumptions!$G$71</f>
        <v>0.6</v>
      </c>
      <c r="H32355" s="33" t="n">
        <f aca="false">Assumptions!$H$71</f>
        <v>0.6</v>
      </c>
      <c r="I32355" s="33" t="n">
        <f aca="false">Assumptions!$I$71</f>
        <v>0.6</v>
      </c>
      <c r="J32355" s="33" t="n">
        <f aca="false">Assumptions!$J$71</f>
        <v>0.6</v>
      </c>
      <c r="K32355" s="33" t="n">
        <f aca="false">Assumptions!$K$71</f>
        <v>0.6</v>
      </c>
    </row>
    <row r="32356" customFormat="false" ht="15" hidden="false" customHeight="false" outlineLevel="0" collapsed="false">
      <c r="A32356" s="3" t="s">
        <v>430</v>
      </c>
      <c r="G32356" s="22" t="n">
        <f aca="false">G32355-G32354</f>
        <v>0.0196308712204777</v>
      </c>
      <c r="H32356" s="22" t="n">
        <f aca="false">H32355-H32354</f>
        <v>0.0298745442835595</v>
      </c>
      <c r="I32356" s="22" t="n">
        <f aca="false">I32355-I32354</f>
        <v>0.0159743444218476</v>
      </c>
      <c r="J32356" s="22" t="n">
        <f aca="false">J32355-J32354</f>
        <v>-0.00281408999325661</v>
      </c>
      <c r="K32356" s="22" t="n">
        <f aca="false">K32355-K32354</f>
        <v>-0.0250678483709297</v>
      </c>
    </row>
    <row r="32357" customFormat="false" ht="15" hidden="false" customHeight="false" outlineLevel="0" collapsed="false">
      <c r="A32357" s="3" t="s">
        <v>431</v>
      </c>
      <c r="G32357" s="22" t="n">
        <f aca="false">IF(G32355=0,0,G32356/ABS(G32355))</f>
        <v>0.0327181187007962</v>
      </c>
      <c r="H32357" s="22" t="n">
        <f aca="false">IF(H32355=0,0,H32356/ABS(H32355))</f>
        <v>0.0497909071392659</v>
      </c>
      <c r="I32357" s="22" t="n">
        <f aca="false">IF(I32355=0,0,I32356/ABS(I32355))</f>
        <v>0.0266239073697461</v>
      </c>
      <c r="J32357" s="22" t="n">
        <f aca="false">IF(J32355=0,0,J32356/ABS(J32355))</f>
        <v>-0.00469014998876101</v>
      </c>
      <c r="K32357" s="22" t="n">
        <f aca="false">IF(K32355=0,0,K32356/ABS(K32355))</f>
        <v>-0.0417797472848828</v>
      </c>
    </row>
    <row r="32358" customFormat="false" ht="15" hidden="false" customHeight="false" outlineLevel="0" collapsed="false">
      <c r="A32358" s="3" t="s">
        <v>432</v>
      </c>
      <c r="G32358" s="21" t="n">
        <f aca="false">IF(G32356&lt;0,1,0)</f>
        <v>0</v>
      </c>
      <c r="H32358" s="21" t="n">
        <f aca="false">IF(H32356&lt;0,1,0)</f>
        <v>0</v>
      </c>
      <c r="I32358" s="21" t="n">
        <f aca="false">IF(I32356&lt;0,1,0)</f>
        <v>0</v>
      </c>
      <c r="J32358" s="21" t="n">
        <f aca="false">IF(J32356&lt;0,1,0)</f>
        <v>1</v>
      </c>
      <c r="K32358" s="21" t="n">
        <f aca="false">IF(K32356&lt;0,1,0)</f>
        <v>1</v>
      </c>
    </row>
    <row r="32359" customFormat="false" ht="15" hidden="false" customHeight="false" outlineLevel="0" collapsed="false">
      <c r="A32359" s="3" t="s">
        <v>433</v>
      </c>
      <c r="C32359" s="21" t="n">
        <f aca="false">IFERROR(INDEX($G$32108:$K$32108,MATCH(1,$G$32358:$K$32358,0)),0)</f>
        <v>2030</v>
      </c>
    </row>
    <row r="32360" customFormat="false" ht="15" hidden="false" customHeight="false" outlineLevel="0" collapsed="false">
      <c r="A32360" s="3" t="s">
        <v>434</v>
      </c>
      <c r="C32360" s="22" t="n">
        <f aca="false">MIN($G$32357:$K$32357)</f>
        <v>-0.0417797472848828</v>
      </c>
    </row>
    <row r="32361" customFormat="false" ht="15" hidden="false" customHeight="false" outlineLevel="0" collapsed="false">
      <c r="A32361" s="24" t="s">
        <v>435</v>
      </c>
      <c r="B32361" s="25"/>
      <c r="C32361" s="25"/>
      <c r="D32361" s="25"/>
      <c r="E32361" s="25"/>
      <c r="F32361" s="25"/>
      <c r="G32361" s="25"/>
      <c r="H32361" s="25"/>
      <c r="I32361" s="25"/>
      <c r="J32361" s="25"/>
      <c r="K32361" s="25"/>
    </row>
    <row r="32362" customFormat="false" ht="15" hidden="false" customHeight="false" outlineLevel="0" collapsed="false">
      <c r="A32362" s="3" t="s">
        <v>428</v>
      </c>
      <c r="G32362" s="32" t="n">
        <f aca="false">IF(G32122&gt;0,G32118/G32122,99)</f>
        <v>1.4215185079059</v>
      </c>
      <c r="H32362" s="32" t="n">
        <f aca="false">IF(H32122&gt;0,H32118/H32122,99)</f>
        <v>1.46693050552355</v>
      </c>
      <c r="I32362" s="32" t="n">
        <f aca="false">IF(I32122&gt;0,I32118/I32122,99)</f>
        <v>1.40833238714926</v>
      </c>
      <c r="J32362" s="32" t="n">
        <f aca="false">IF(J32122&gt;0,J32118/J32122,99)</f>
        <v>1.44049487506624</v>
      </c>
      <c r="K32362" s="32" t="n">
        <f aca="false">IF(K32122&gt;0,K32118/K32122,99)</f>
        <v>1.34274565931266</v>
      </c>
    </row>
    <row r="32363" customFormat="false" ht="15" hidden="false" customHeight="false" outlineLevel="0" collapsed="false">
      <c r="A32363" s="3" t="s">
        <v>429</v>
      </c>
      <c r="G32363" s="34" t="n">
        <f aca="false">Assumptions!$G$72</f>
        <v>1.5</v>
      </c>
      <c r="H32363" s="34" t="n">
        <f aca="false">Assumptions!$H$72</f>
        <v>1.5</v>
      </c>
      <c r="I32363" s="34" t="n">
        <f aca="false">Assumptions!$I$72</f>
        <v>1.5</v>
      </c>
      <c r="J32363" s="34" t="n">
        <f aca="false">Assumptions!$J$72</f>
        <v>1.5</v>
      </c>
      <c r="K32363" s="34" t="n">
        <f aca="false">Assumptions!$K$72</f>
        <v>1.5</v>
      </c>
    </row>
    <row r="32364" customFormat="false" ht="15" hidden="false" customHeight="false" outlineLevel="0" collapsed="false">
      <c r="A32364" s="3" t="s">
        <v>430</v>
      </c>
      <c r="G32364" s="32" t="n">
        <f aca="false">G32362-G32363</f>
        <v>-0.0784814920940982</v>
      </c>
      <c r="H32364" s="32" t="n">
        <f aca="false">H32362-H32363</f>
        <v>-0.0330694944764525</v>
      </c>
      <c r="I32364" s="32" t="n">
        <f aca="false">I32362-I32363</f>
        <v>-0.091667612850737</v>
      </c>
      <c r="J32364" s="32" t="n">
        <f aca="false">J32362-J32363</f>
        <v>-0.0595051249337639</v>
      </c>
      <c r="K32364" s="32" t="n">
        <f aca="false">K32362-K32363</f>
        <v>-0.157254340687343</v>
      </c>
    </row>
    <row r="32365" customFormat="false" ht="15" hidden="false" customHeight="false" outlineLevel="0" collapsed="false">
      <c r="A32365" s="3" t="s">
        <v>431</v>
      </c>
      <c r="G32365" s="22" t="n">
        <f aca="false">IF(G32363=0,0,G32364/ABS(G32363))</f>
        <v>-0.0523209947293988</v>
      </c>
      <c r="H32365" s="22" t="n">
        <f aca="false">IF(H32363=0,0,H32364/ABS(H32363))</f>
        <v>-0.0220463296509683</v>
      </c>
      <c r="I32365" s="22" t="n">
        <f aca="false">IF(I32363=0,0,I32364/ABS(I32363))</f>
        <v>-0.0611117419004913</v>
      </c>
      <c r="J32365" s="22" t="n">
        <f aca="false">IF(J32363=0,0,J32364/ABS(J32363))</f>
        <v>-0.039670083289176</v>
      </c>
      <c r="K32365" s="22" t="n">
        <f aca="false">IF(K32363=0,0,K32364/ABS(K32363))</f>
        <v>-0.104836227124896</v>
      </c>
    </row>
    <row r="32366" customFormat="false" ht="15" hidden="false" customHeight="false" outlineLevel="0" collapsed="false">
      <c r="A32366" s="3" t="s">
        <v>432</v>
      </c>
      <c r="G32366" s="21" t="n">
        <f aca="false">IF(G32364&lt;0,1,0)</f>
        <v>1</v>
      </c>
      <c r="H32366" s="21" t="n">
        <f aca="false">IF(H32364&lt;0,1,0)</f>
        <v>1</v>
      </c>
      <c r="I32366" s="21" t="n">
        <f aca="false">IF(I32364&lt;0,1,0)</f>
        <v>1</v>
      </c>
      <c r="J32366" s="21" t="n">
        <f aca="false">IF(J32364&lt;0,1,0)</f>
        <v>1</v>
      </c>
      <c r="K32366" s="21" t="n">
        <f aca="false">IF(K32364&lt;0,1,0)</f>
        <v>1</v>
      </c>
    </row>
    <row r="32367" customFormat="false" ht="15" hidden="false" customHeight="false" outlineLevel="0" collapsed="false">
      <c r="A32367" s="3" t="s">
        <v>433</v>
      </c>
      <c r="C32367" s="21" t="n">
        <f aca="false">IFERROR(INDEX($G$32108:$K$32108,MATCH(1,$G$32366:$K$32366,0)),0)</f>
        <v>2027</v>
      </c>
    </row>
    <row r="32368" customFormat="false" ht="15" hidden="false" customHeight="false" outlineLevel="0" collapsed="false">
      <c r="A32368" s="3" t="s">
        <v>434</v>
      </c>
      <c r="C32368" s="22" t="n">
        <f aca="false">MIN($G$32365:$K$32365)</f>
        <v>-0.104836227124896</v>
      </c>
    </row>
    <row r="32369" customFormat="false" ht="15" hidden="false" customHeight="false" outlineLevel="0" collapsed="false">
      <c r="A32369" s="24" t="s">
        <v>436</v>
      </c>
      <c r="B32369" s="25"/>
      <c r="C32369" s="25"/>
      <c r="D32369" s="25"/>
      <c r="E32369" s="25"/>
      <c r="F32369" s="25"/>
      <c r="G32369" s="25"/>
      <c r="H32369" s="25"/>
      <c r="I32369" s="25"/>
      <c r="J32369" s="25"/>
      <c r="K32369" s="25"/>
    </row>
    <row r="32370" customFormat="false" ht="15" hidden="false" customHeight="false" outlineLevel="0" collapsed="false">
      <c r="A32370" s="3" t="s">
        <v>428</v>
      </c>
      <c r="G32370" s="22" t="n">
        <f aca="false">IF(G32351&gt;0,G32340/G32351,99)</f>
        <v>0.120265604139923</v>
      </c>
      <c r="H32370" s="22" t="n">
        <f aca="false">IF(H32351&gt;0,H32340/H32351,99)</f>
        <v>0.119380197979769</v>
      </c>
      <c r="I32370" s="22" t="n">
        <f aca="false">IF(I32351&gt;0,I32340/I32351,99)</f>
        <v>0.118494791819614</v>
      </c>
      <c r="J32370" s="22" t="n">
        <f aca="false">IF(J32351&gt;0,J32340/J32351,99)</f>
        <v>0.11760938565946</v>
      </c>
      <c r="K32370" s="22" t="n">
        <f aca="false">IF(K32351&gt;0,K32340/K32351,99)</f>
        <v>0.116723979499306</v>
      </c>
    </row>
    <row r="32371" customFormat="false" ht="15" hidden="false" customHeight="false" outlineLevel="0" collapsed="false">
      <c r="A32371" s="3" t="s">
        <v>429</v>
      </c>
      <c r="G32371" s="33" t="n">
        <f aca="false">Assumptions!$G$73</f>
        <v>0.4</v>
      </c>
      <c r="H32371" s="33" t="n">
        <f aca="false">Assumptions!$H$73</f>
        <v>0.4</v>
      </c>
      <c r="I32371" s="33" t="n">
        <f aca="false">Assumptions!$I$73</f>
        <v>0.4</v>
      </c>
      <c r="J32371" s="33" t="n">
        <f aca="false">Assumptions!$J$73</f>
        <v>0.4</v>
      </c>
      <c r="K32371" s="33" t="n">
        <f aca="false">Assumptions!$K$73</f>
        <v>0.4</v>
      </c>
    </row>
    <row r="32372" customFormat="false" ht="15" hidden="false" customHeight="false" outlineLevel="0" collapsed="false">
      <c r="A32372" s="3" t="s">
        <v>430</v>
      </c>
      <c r="G32372" s="22" t="n">
        <f aca="false">G32371-G32370</f>
        <v>0.279734395860077</v>
      </c>
      <c r="H32372" s="22" t="n">
        <f aca="false">H32371-H32370</f>
        <v>0.280619802020231</v>
      </c>
      <c r="I32372" s="22" t="n">
        <f aca="false">I32371-I32370</f>
        <v>0.281505208180386</v>
      </c>
      <c r="J32372" s="22" t="n">
        <f aca="false">J32371-J32370</f>
        <v>0.28239061434054</v>
      </c>
      <c r="K32372" s="22" t="n">
        <f aca="false">K32371-K32370</f>
        <v>0.283276020500694</v>
      </c>
    </row>
    <row r="32373" customFormat="false" ht="15" hidden="false" customHeight="false" outlineLevel="0" collapsed="false">
      <c r="A32373" s="3" t="s">
        <v>431</v>
      </c>
      <c r="G32373" s="22" t="n">
        <f aca="false">IF(G32371=0,0,G32372/ABS(G32371))</f>
        <v>0.699335989650192</v>
      </c>
      <c r="H32373" s="22" t="n">
        <f aca="false">IF(H32371=0,0,H32372/ABS(H32371))</f>
        <v>0.701549505050578</v>
      </c>
      <c r="I32373" s="22" t="n">
        <f aca="false">IF(I32371=0,0,I32372/ABS(I32371))</f>
        <v>0.703763020450964</v>
      </c>
      <c r="J32373" s="22" t="n">
        <f aca="false">IF(J32371=0,0,J32372/ABS(J32371))</f>
        <v>0.70597653585135</v>
      </c>
      <c r="K32373" s="22" t="n">
        <f aca="false">IF(K32371=0,0,K32372/ABS(K32371))</f>
        <v>0.708190051251736</v>
      </c>
    </row>
    <row r="32374" customFormat="false" ht="15" hidden="false" customHeight="false" outlineLevel="0" collapsed="false">
      <c r="A32374" s="3" t="s">
        <v>432</v>
      </c>
      <c r="G32374" s="21" t="n">
        <f aca="false">IF(G32372&lt;0,1,0)</f>
        <v>0</v>
      </c>
      <c r="H32374" s="21" t="n">
        <f aca="false">IF(H32372&lt;0,1,0)</f>
        <v>0</v>
      </c>
      <c r="I32374" s="21" t="n">
        <f aca="false">IF(I32372&lt;0,1,0)</f>
        <v>0</v>
      </c>
      <c r="J32374" s="21" t="n">
        <f aca="false">IF(J32372&lt;0,1,0)</f>
        <v>0</v>
      </c>
      <c r="K32374" s="21" t="n">
        <f aca="false">IF(K32372&lt;0,1,0)</f>
        <v>0</v>
      </c>
    </row>
    <row r="32375" customFormat="false" ht="15" hidden="false" customHeight="false" outlineLevel="0" collapsed="false">
      <c r="A32375" s="3" t="s">
        <v>433</v>
      </c>
      <c r="C32375" s="21" t="n">
        <f aca="false">IFERROR(INDEX($G$32108:$K$32108,MATCH(1,$G$32374:$K$32374,0)),0)</f>
        <v>0</v>
      </c>
    </row>
    <row r="32376" customFormat="false" ht="15" hidden="false" customHeight="false" outlineLevel="0" collapsed="false">
      <c r="A32376" s="3" t="s">
        <v>434</v>
      </c>
      <c r="C32376" s="22" t="n">
        <f aca="false">MIN($G$32373:$K$32373)</f>
        <v>0.699335989650192</v>
      </c>
    </row>
    <row r="32377" customFormat="false" ht="15" hidden="false" customHeight="false" outlineLevel="0" collapsed="false">
      <c r="A32377" s="24" t="s">
        <v>437</v>
      </c>
      <c r="B32377" s="25"/>
      <c r="C32377" s="25"/>
      <c r="D32377" s="25"/>
      <c r="E32377" s="25"/>
      <c r="F32377" s="25"/>
      <c r="G32377" s="25"/>
      <c r="H32377" s="25"/>
      <c r="I32377" s="25"/>
      <c r="J32377" s="25"/>
      <c r="K32377" s="25"/>
    </row>
    <row r="32378" customFormat="false" ht="15" hidden="false" customHeight="false" outlineLevel="0" collapsed="false">
      <c r="A32378" s="3" t="s">
        <v>428</v>
      </c>
      <c r="G32378" s="16" t="n">
        <f aca="false">G32348</f>
        <v>724.8287686</v>
      </c>
      <c r="H32378" s="16" t="n">
        <f aca="false">H32348</f>
        <v>599.5</v>
      </c>
      <c r="I32378" s="16" t="n">
        <f aca="false">I32348</f>
        <v>507.703057817944</v>
      </c>
      <c r="J32378" s="16" t="n">
        <f aca="false">J32348</f>
        <v>418.822535135205</v>
      </c>
      <c r="K32378" s="16" t="n">
        <f aca="false">K32348</f>
        <v>314.286716076552</v>
      </c>
    </row>
    <row r="32379" customFormat="false" ht="15" hidden="false" customHeight="false" outlineLevel="0" collapsed="false">
      <c r="A32379" s="3" t="s">
        <v>429</v>
      </c>
      <c r="G32379" s="29" t="n">
        <f aca="false">Assumptions!$G$74</f>
        <v>100</v>
      </c>
      <c r="H32379" s="29" t="n">
        <f aca="false">Assumptions!$H$74</f>
        <v>100</v>
      </c>
      <c r="I32379" s="29" t="n">
        <f aca="false">Assumptions!$I$74</f>
        <v>100</v>
      </c>
      <c r="J32379" s="29" t="n">
        <f aca="false">Assumptions!$J$74</f>
        <v>100</v>
      </c>
      <c r="K32379" s="29" t="n">
        <f aca="false">Assumptions!$K$74</f>
        <v>100</v>
      </c>
    </row>
    <row r="32380" customFormat="false" ht="15" hidden="false" customHeight="false" outlineLevel="0" collapsed="false">
      <c r="A32380" s="3" t="s">
        <v>430</v>
      </c>
      <c r="G32380" s="16" t="n">
        <f aca="false">G32378-G32379</f>
        <v>624.8287686</v>
      </c>
      <c r="H32380" s="16" t="n">
        <f aca="false">H32378-H32379</f>
        <v>499.5</v>
      </c>
      <c r="I32380" s="16" t="n">
        <f aca="false">I32378-I32379</f>
        <v>407.703057817944</v>
      </c>
      <c r="J32380" s="16" t="n">
        <f aca="false">J32378-J32379</f>
        <v>318.822535135205</v>
      </c>
      <c r="K32380" s="16" t="n">
        <f aca="false">K32378-K32379</f>
        <v>214.286716076552</v>
      </c>
    </row>
    <row r="32381" customFormat="false" ht="15" hidden="false" customHeight="false" outlineLevel="0" collapsed="false">
      <c r="A32381" s="3" t="s">
        <v>431</v>
      </c>
      <c r="G32381" s="22" t="n">
        <f aca="false">IF(G32379=0,0,G32380/ABS(G32379))</f>
        <v>6.248287686</v>
      </c>
      <c r="H32381" s="22" t="n">
        <f aca="false">IF(H32379=0,0,H32380/ABS(H32379))</f>
        <v>4.995</v>
      </c>
      <c r="I32381" s="22" t="n">
        <f aca="false">IF(I32379=0,0,I32380/ABS(I32379))</f>
        <v>4.07703057817944</v>
      </c>
      <c r="J32381" s="22" t="n">
        <f aca="false">IF(J32379=0,0,J32380/ABS(J32379))</f>
        <v>3.18822535135205</v>
      </c>
      <c r="K32381" s="22" t="n">
        <f aca="false">IF(K32379=0,0,K32380/ABS(K32379))</f>
        <v>2.14286716076552</v>
      </c>
    </row>
    <row r="32382" customFormat="false" ht="15" hidden="false" customHeight="false" outlineLevel="0" collapsed="false">
      <c r="A32382" s="3" t="s">
        <v>432</v>
      </c>
      <c r="G32382" s="21" t="n">
        <f aca="false">IF(G32380&lt;0,1,0)</f>
        <v>0</v>
      </c>
      <c r="H32382" s="21" t="n">
        <f aca="false">IF(H32380&lt;0,1,0)</f>
        <v>0</v>
      </c>
      <c r="I32382" s="21" t="n">
        <f aca="false">IF(I32380&lt;0,1,0)</f>
        <v>0</v>
      </c>
      <c r="J32382" s="21" t="n">
        <f aca="false">IF(J32380&lt;0,1,0)</f>
        <v>0</v>
      </c>
      <c r="K32382" s="21" t="n">
        <f aca="false">IF(K32380&lt;0,1,0)</f>
        <v>0</v>
      </c>
    </row>
    <row r="32383" customFormat="false" ht="15" hidden="false" customHeight="false" outlineLevel="0" collapsed="false">
      <c r="A32383" s="3" t="s">
        <v>433</v>
      </c>
      <c r="C32383" s="21" t="n">
        <f aca="false">IFERROR(INDEX($G$32108:$K$32108,MATCH(1,$G$32382:$K$32382,0)),0)</f>
        <v>0</v>
      </c>
    </row>
    <row r="32384" customFormat="false" ht="15" hidden="false" customHeight="false" outlineLevel="0" collapsed="false">
      <c r="A32384" s="3" t="s">
        <v>434</v>
      </c>
      <c r="C32384" s="22" t="n">
        <f aca="false">MIN($G$32381:$K$32381)</f>
        <v>2.14286716076552</v>
      </c>
    </row>
    <row r="32385" customFormat="false" ht="15" hidden="false" customHeight="false" outlineLevel="0" collapsed="false">
      <c r="A32385" s="24" t="s">
        <v>438</v>
      </c>
      <c r="B32385" s="25"/>
      <c r="C32385" s="25"/>
      <c r="D32385" s="25"/>
      <c r="E32385" s="25"/>
      <c r="F32385" s="25"/>
      <c r="G32385" s="25"/>
      <c r="H32385" s="25"/>
      <c r="I32385" s="25"/>
      <c r="J32385" s="25"/>
      <c r="K32385" s="25"/>
    </row>
    <row r="32386" customFormat="false" ht="15" hidden="false" customHeight="false" outlineLevel="0" collapsed="false">
      <c r="A32386" s="3" t="s">
        <v>428</v>
      </c>
      <c r="G32386" s="32" t="n">
        <f aca="false">IF(G32118&gt;0,G32341/G32118,99)</f>
        <v>9.64824801476836</v>
      </c>
      <c r="H32386" s="32" t="n">
        <f aca="false">IF(H32118&gt;0,H32341/H32118,99)</f>
        <v>9.70665866785301</v>
      </c>
      <c r="I32386" s="32" t="n">
        <f aca="false">IF(I32118&gt;0,I32341/I32118,99)</f>
        <v>9.78880026535512</v>
      </c>
      <c r="J32386" s="32" t="n">
        <f aca="false">IF(J32118&gt;0,J32341/J32118,99)</f>
        <v>9.86877570563203</v>
      </c>
      <c r="K32386" s="32" t="n">
        <f aca="false">IF(K32118&gt;0,K32341/K32118,99)</f>
        <v>9.99528975565569</v>
      </c>
    </row>
    <row r="32387" customFormat="false" ht="15" hidden="false" customHeight="false" outlineLevel="0" collapsed="false">
      <c r="A32387" s="3" t="s">
        <v>429</v>
      </c>
      <c r="G32387" s="34" t="n">
        <f aca="false">Assumptions!$G$75</f>
        <v>10.5</v>
      </c>
      <c r="H32387" s="34" t="n">
        <f aca="false">Assumptions!$H$75</f>
        <v>10.5</v>
      </c>
      <c r="I32387" s="34" t="n">
        <f aca="false">Assumptions!$I$75</f>
        <v>10</v>
      </c>
      <c r="J32387" s="34" t="n">
        <f aca="false">Assumptions!$J$75</f>
        <v>10</v>
      </c>
      <c r="K32387" s="34" t="n">
        <f aca="false">Assumptions!$K$75</f>
        <v>9.5</v>
      </c>
    </row>
    <row r="32388" customFormat="false" ht="15" hidden="false" customHeight="false" outlineLevel="0" collapsed="false">
      <c r="A32388" s="3" t="s">
        <v>430</v>
      </c>
      <c r="G32388" s="32" t="n">
        <f aca="false">G32387-G32386</f>
        <v>0.85175198523164</v>
      </c>
      <c r="H32388" s="32" t="n">
        <f aca="false">H32387-H32386</f>
        <v>0.793341332146991</v>
      </c>
      <c r="I32388" s="32" t="n">
        <f aca="false">I32387-I32386</f>
        <v>0.211199734644877</v>
      </c>
      <c r="J32388" s="32" t="n">
        <f aca="false">J32387-J32386</f>
        <v>0.131224294367971</v>
      </c>
      <c r="K32388" s="32" t="n">
        <f aca="false">K32387-K32386</f>
        <v>-0.495289755655689</v>
      </c>
    </row>
    <row r="32389" customFormat="false" ht="15" hidden="false" customHeight="false" outlineLevel="0" collapsed="false">
      <c r="A32389" s="3" t="s">
        <v>431</v>
      </c>
      <c r="G32389" s="22" t="n">
        <f aca="false">IF(G32387=0,0,G32388/ABS(G32387))</f>
        <v>0.0811192366887277</v>
      </c>
      <c r="H32389" s="22" t="n">
        <f aca="false">IF(H32387=0,0,H32388/ABS(H32387))</f>
        <v>0.0755563173473324</v>
      </c>
      <c r="I32389" s="22" t="n">
        <f aca="false">IF(I32387=0,0,I32388/ABS(I32387))</f>
        <v>0.0211199734644877</v>
      </c>
      <c r="J32389" s="22" t="n">
        <f aca="false">IF(J32387=0,0,J32388/ABS(J32387))</f>
        <v>0.0131224294367971</v>
      </c>
      <c r="K32389" s="22" t="n">
        <f aca="false">IF(K32387=0,0,K32388/ABS(K32387))</f>
        <v>-0.0521357637532304</v>
      </c>
    </row>
    <row r="32390" customFormat="false" ht="15" hidden="false" customHeight="false" outlineLevel="0" collapsed="false">
      <c r="A32390" s="3" t="s">
        <v>432</v>
      </c>
      <c r="G32390" s="21" t="n">
        <f aca="false">IF(G32388&lt;0,1,0)</f>
        <v>0</v>
      </c>
      <c r="H32390" s="21" t="n">
        <f aca="false">IF(H32388&lt;0,1,0)</f>
        <v>0</v>
      </c>
      <c r="I32390" s="21" t="n">
        <f aca="false">IF(I32388&lt;0,1,0)</f>
        <v>0</v>
      </c>
      <c r="J32390" s="21" t="n">
        <f aca="false">IF(J32388&lt;0,1,0)</f>
        <v>0</v>
      </c>
      <c r="K32390" s="21" t="n">
        <f aca="false">IF(K32388&lt;0,1,0)</f>
        <v>1</v>
      </c>
    </row>
    <row r="32391" customFormat="false" ht="15" hidden="false" customHeight="false" outlineLevel="0" collapsed="false">
      <c r="A32391" s="3" t="s">
        <v>433</v>
      </c>
      <c r="C32391" s="21" t="n">
        <f aca="false">IFERROR(INDEX($G$32108:$K$32108,MATCH(1,$G$32390:$K$32390,0)),0)</f>
        <v>2031</v>
      </c>
    </row>
    <row r="32392" customFormat="false" ht="15" hidden="false" customHeight="false" outlineLevel="0" collapsed="false">
      <c r="A32392" s="3" t="s">
        <v>434</v>
      </c>
      <c r="C32392" s="22" t="n">
        <f aca="false">MIN($G$32389:$K$32389)</f>
        <v>-0.0521357637532304</v>
      </c>
    </row>
    <row r="32393" customFormat="false" ht="15" hidden="false" customHeight="false" outlineLevel="0" collapsed="false">
      <c r="A32393" s="3" t="s">
        <v>439</v>
      </c>
      <c r="G32393" s="21" t="n">
        <f aca="false">G32358+G32366+G32374+G32382+G32390</f>
        <v>1</v>
      </c>
      <c r="H32393" s="21" t="n">
        <f aca="false">H32358+H32366+H32374+H32382+H32390</f>
        <v>1</v>
      </c>
      <c r="I32393" s="21" t="n">
        <f aca="false">I32358+I32366+I32374+I32382+I32390</f>
        <v>1</v>
      </c>
      <c r="J32393" s="21" t="n">
        <f aca="false">J32358+J32366+J32374+J32382+J32390</f>
        <v>2</v>
      </c>
      <c r="K32393" s="21" t="n">
        <f aca="false">K32358+K32366+K32374+K32382+K32390</f>
        <v>3</v>
      </c>
    </row>
    <row r="32394" customFormat="false" ht="15" hidden="false" customHeight="false" outlineLevel="0" collapsed="false">
      <c r="A32394" s="3" t="s">
        <v>440</v>
      </c>
      <c r="C32394" s="21" t="n">
        <f aca="false">SUM($G$32393:$K$32393)</f>
        <v>8</v>
      </c>
    </row>
    <row r="32395" customFormat="false" ht="15" hidden="false" customHeight="false" outlineLevel="0" collapsed="false">
      <c r="A32395" s="3" t="s">
        <v>441</v>
      </c>
      <c r="C32395" s="22" t="n">
        <f aca="false">MIN(C32360,C32368,C32376,C32384,C32392)</f>
        <v>-0.104836227124896</v>
      </c>
    </row>
    <row r="32397" customFormat="false" ht="15" hidden="false" customHeight="false" outlineLevel="0" collapsed="false">
      <c r="A32397" s="24" t="s">
        <v>543</v>
      </c>
      <c r="B32397" s="25"/>
      <c r="C32397" s="25"/>
      <c r="D32397" s="25"/>
      <c r="E32397" s="25"/>
      <c r="F32397" s="25"/>
      <c r="G32397" s="25"/>
      <c r="H32397" s="25"/>
      <c r="I32397" s="25"/>
      <c r="J32397" s="25"/>
      <c r="K32397" s="25"/>
    </row>
    <row r="32398" customFormat="false" ht="15" hidden="false" customHeight="false" outlineLevel="0" collapsed="false">
      <c r="A32398" s="3" t="s">
        <v>544</v>
      </c>
      <c r="G32398" s="21" t="n">
        <f aca="false">IF($C$32399=1,G32335,IF(G32118=MIN($G$32118:$K$32118),1,0))</f>
        <v>1</v>
      </c>
      <c r="H32398" s="21" t="n">
        <f aca="false">IF($C$32399=1,H32335,IF(AND(H32118=MIN($G$32118:$K$32118),SUM($G$32398:G32398)=0),1,0))</f>
        <v>0</v>
      </c>
      <c r="I32398" s="21" t="n">
        <f aca="false">IF($C$32399=1,I32335,IF(AND(I32118=MIN($G$32118:$K$32118),SUM($G$32398:H32398)=0),1,0))</f>
        <v>0</v>
      </c>
      <c r="J32398" s="21" t="n">
        <f aca="false">IF($C$32399=1,J32335,IF(AND(J32118=MIN($G$32118:$K$32118),SUM($G$32398:I32398)=0),1,0))</f>
        <v>0</v>
      </c>
      <c r="K32398" s="21" t="n">
        <f aca="false">IF($C$32399=1,K32335,IF(AND(K32118=MIN($G$32118:$K$32118),SUM($G$32398:J32398)=0),1,0))</f>
        <v>0</v>
      </c>
    </row>
    <row r="32399" customFormat="false" ht="15" hidden="false" customHeight="false" outlineLevel="0" collapsed="false">
      <c r="A32399" s="3" t="s">
        <v>545</v>
      </c>
      <c r="C32399" s="21" t="n">
        <f aca="false">IF(SUM($G$32335:$K$32335)&gt;0,1,0)</f>
        <v>0</v>
      </c>
    </row>
    <row r="32400" customFormat="false" ht="15" hidden="false" customHeight="false" outlineLevel="0" collapsed="false">
      <c r="A32400" s="3" t="s">
        <v>546</v>
      </c>
      <c r="C32400" s="21" t="n">
        <f aca="false">SUMPRODUCT($G$32398:$K$32398,$G$32108:$K$32108)</f>
        <v>2027</v>
      </c>
    </row>
    <row r="32401" customFormat="false" ht="15" hidden="false" customHeight="false" outlineLevel="0" collapsed="false">
      <c r="A32401" s="3" t="s">
        <v>547</v>
      </c>
      <c r="C32401" s="16" t="n">
        <f aca="false">SUMPRODUCT($G$32398:$K$32398,$G$32118:$K$32118)</f>
        <v>256.1714031</v>
      </c>
    </row>
    <row r="32402" customFormat="false" ht="15" hidden="false" customHeight="false" outlineLevel="0" collapsed="false">
      <c r="A32402" s="3" t="s">
        <v>548</v>
      </c>
      <c r="C32402" s="16" t="n">
        <f aca="false">MAX(0,SUMPRODUCT($G$32398:$K$32398,$G$32332:$K$32332))</f>
        <v>150.3287686</v>
      </c>
    </row>
    <row r="32403" customFormat="false" ht="15" hidden="false" customHeight="false" outlineLevel="0" collapsed="false">
      <c r="A32403" s="3" t="s">
        <v>549</v>
      </c>
      <c r="C32403" s="16" t="n">
        <f aca="false">(CHOOSE($C$32101,Assumptions!$C$92,Assumptions!$C$111,Assumptions!$C$130)+$C$32105)*C32401</f>
        <v>2305.5426279</v>
      </c>
    </row>
    <row r="32404" customFormat="false" ht="15" hidden="false" customHeight="false" outlineLevel="0" collapsed="false">
      <c r="A32404" s="3" t="s">
        <v>550</v>
      </c>
      <c r="C32404" s="16" t="n">
        <f aca="false">Assumptions!$C$31*(1-CHOOSE($C$32101,Assumptions!$C$93,Assumptions!$C$112,Assumptions!$C$131))*CHOOSE($C$32101,Assumptions!$C$94,Assumptions!$C$113,Assumptions!$C$132)</f>
        <v>3840.04556666667</v>
      </c>
    </row>
    <row r="32405" customFormat="false" ht="15" hidden="false" customHeight="false" outlineLevel="0" collapsed="false">
      <c r="A32405" s="3" t="s">
        <v>551</v>
      </c>
      <c r="C32405" s="16" t="n">
        <f aca="false">MAX(C32403,C32404)+C32402</f>
        <v>3990.37433526667</v>
      </c>
    </row>
    <row r="32406" customFormat="false" ht="15" hidden="false" customHeight="false" outlineLevel="0" collapsed="false">
      <c r="A32406" s="2" t="s">
        <v>552</v>
      </c>
      <c r="C32406" s="17" t="n">
        <f aca="false">IF(ISNUMBER(Assumptions!$C$14),Assumptions!$C$14,C32405)</f>
        <v>3990.37433526667</v>
      </c>
    </row>
    <row r="32407" customFormat="false" ht="15" hidden="false" customHeight="false" outlineLevel="0" collapsed="false">
      <c r="A32407" s="3" t="s">
        <v>553</v>
      </c>
      <c r="C32407" s="16" t="n">
        <f aca="false">C32406*Assumptions!$C$15</f>
        <v>159.614973410667</v>
      </c>
    </row>
    <row r="32408" customFormat="false" ht="15" hidden="false" customHeight="false" outlineLevel="0" collapsed="false">
      <c r="A32408" s="2" t="s">
        <v>554</v>
      </c>
      <c r="C32408" s="17" t="n">
        <f aca="false">C32406-C32407</f>
        <v>3830.759361856</v>
      </c>
    </row>
    <row r="32409" customFormat="false" ht="15" hidden="false" customHeight="false" outlineLevel="0" collapsed="false">
      <c r="A32409" s="24" t="s">
        <v>555</v>
      </c>
      <c r="B32409" s="25"/>
      <c r="C32409" s="25"/>
      <c r="D32409" s="25"/>
      <c r="E32409" s="25"/>
      <c r="F32409" s="25"/>
      <c r="G32409" s="25"/>
      <c r="H32409" s="25"/>
      <c r="I32409" s="25"/>
      <c r="J32409" s="25"/>
      <c r="K32409" s="25"/>
    </row>
    <row r="32410" customFormat="false" ht="15" hidden="false" customHeight="false" outlineLevel="0" collapsed="false">
      <c r="A32410" s="3" t="s">
        <v>556</v>
      </c>
      <c r="C32410" s="16" t="n">
        <f aca="false">SUMPRODUCT($G$32398:$K$32398,$G$32155:$K$32155)*(1+SUMPRODUCT($G$32398:$K$32398,$G$32147:$K$32147)*Assumptions!$C$16/12)</f>
        <v>405.0585</v>
      </c>
    </row>
    <row r="32411" customFormat="false" ht="15" hidden="false" customHeight="false" outlineLevel="0" collapsed="false">
      <c r="A32411" s="3" t="s">
        <v>557</v>
      </c>
      <c r="C32411" s="16" t="n">
        <f aca="false">SUMPRODUCT($G$32398:$K$32398,$G$32168:$K$32168)*(1+SUMPRODUCT($G$32398:$K$32398,$G$32160:$K$32160)*Assumptions!$C$16/12)</f>
        <v>91.30725</v>
      </c>
    </row>
    <row r="32412" customFormat="false" ht="15" hidden="false" customHeight="false" outlineLevel="0" collapsed="false">
      <c r="A32412" s="3" t="s">
        <v>558</v>
      </c>
      <c r="C32412" s="16" t="n">
        <f aca="false">SUMPRODUCT($G$32398:$K$32398,$G$32181:$K$32181)*(1+SUMPRODUCT($G$32398:$K$32398,$G$32173:$K$32173)*Assumptions!$C$16/12)</f>
        <v>58.3715961</v>
      </c>
    </row>
    <row r="32413" customFormat="false" ht="15" hidden="false" customHeight="false" outlineLevel="0" collapsed="false">
      <c r="A32413" s="3" t="s">
        <v>559</v>
      </c>
      <c r="C32413" s="16" t="n">
        <f aca="false">SUMPRODUCT($G$32398:$K$32398,$G$32194:$K$32194)*(1+SUMPRODUCT($G$32398:$K$32398,$G$32186:$K$32186)*Assumptions!$C$16/12)</f>
        <v>0</v>
      </c>
    </row>
    <row r="32414" customFormat="false" ht="15" hidden="false" customHeight="false" outlineLevel="0" collapsed="false">
      <c r="A32414" s="3" t="s">
        <v>560</v>
      </c>
      <c r="C32414" s="16" t="n">
        <f aca="false">SUMPRODUCT($G$32398:$K$32398,$G$32207:$K$32207)*(1+SUMPRODUCT($G$32398:$K$32398,$G$32199:$K$32199)*Assumptions!$C$16/12)</f>
        <v>454.44375</v>
      </c>
    </row>
    <row r="32415" customFormat="false" ht="15" hidden="false" customHeight="false" outlineLevel="0" collapsed="false">
      <c r="A32415" s="3" t="s">
        <v>561</v>
      </c>
      <c r="C32415" s="16" t="n">
        <f aca="false">SUMPRODUCT($G$32398:$K$32398,$G$32220:$K$32220)*(1+SUMPRODUCT($G$32398:$K$32398,$G$32212:$K$32212)*Assumptions!$C$16/12)</f>
        <v>357.2625</v>
      </c>
    </row>
    <row r="32416" customFormat="false" ht="15" hidden="false" customHeight="false" outlineLevel="0" collapsed="false">
      <c r="A32416" s="3" t="s">
        <v>562</v>
      </c>
      <c r="C32416" s="16" t="n">
        <f aca="false">SUMPRODUCT($G$32398:$K$32398,$G$32233:$K$32233)*(1+SUMPRODUCT($G$32398:$K$32398,$G$32225:$K$32225)*Assumptions!$C$16/12)</f>
        <v>562.203125</v>
      </c>
    </row>
    <row r="32417" customFormat="false" ht="15" hidden="false" customHeight="false" outlineLevel="0" collapsed="false">
      <c r="A32417" s="3" t="s">
        <v>563</v>
      </c>
      <c r="C32417" s="16" t="n">
        <f aca="false">SUMPRODUCT($G$32398:$K$32398,$G$32246:$K$32246)*(1+SUMPRODUCT($G$32398:$K$32398,$G$32238:$K$32238)*Assumptions!$C$16/12)</f>
        <v>353.98125</v>
      </c>
    </row>
    <row r="32418" customFormat="false" ht="15" hidden="false" customHeight="false" outlineLevel="0" collapsed="false">
      <c r="A32418" s="3" t="s">
        <v>564</v>
      </c>
      <c r="C32418" s="16" t="n">
        <f aca="false">SUMPRODUCT($G$32398:$K$32398,$G$32259:$K$32259)*(1+SUMPRODUCT($G$32398:$K$32398,$G$32251:$K$32251)*Assumptions!$C$16/12)</f>
        <v>304.59375</v>
      </c>
    </row>
    <row r="32419" customFormat="false" ht="15" hidden="false" customHeight="false" outlineLevel="0" collapsed="false">
      <c r="A32419" s="3" t="s">
        <v>565</v>
      </c>
      <c r="C32419" s="16" t="n">
        <f aca="false">SUMPRODUCT($G$32398:$K$32398,$G$32272:$K$32272)*(1+SUMPRODUCT($G$32398:$K$32398,$G$32264:$K$32264)*Assumptions!$C$16/12)</f>
        <v>79.67320025</v>
      </c>
    </row>
    <row r="32420" customFormat="false" ht="15" hidden="false" customHeight="false" outlineLevel="0" collapsed="false">
      <c r="A32420" s="24" t="s">
        <v>566</v>
      </c>
      <c r="B32420" s="25"/>
      <c r="C32420" s="25"/>
      <c r="D32420" s="25"/>
      <c r="E32420" s="25"/>
      <c r="F32420" s="25"/>
      <c r="G32420" s="25"/>
      <c r="H32420" s="25"/>
      <c r="I32420" s="25"/>
      <c r="J32420" s="25"/>
      <c r="K32420" s="25"/>
    </row>
    <row r="32421" customFormat="false" ht="15" hidden="false" customHeight="false" outlineLevel="0" collapsed="false">
      <c r="A32421" s="3" t="s">
        <v>556</v>
      </c>
      <c r="C32421" s="27" t="n">
        <f aca="false">Assumptions!$M$57</f>
        <v>1</v>
      </c>
    </row>
    <row r="32422" customFormat="false" ht="15" hidden="false" customHeight="false" outlineLevel="0" collapsed="false">
      <c r="A32422" s="3" t="s">
        <v>557</v>
      </c>
      <c r="C32422" s="27" t="n">
        <f aca="false">Assumptions!$M$58</f>
        <v>1</v>
      </c>
    </row>
    <row r="32423" customFormat="false" ht="15" hidden="false" customHeight="false" outlineLevel="0" collapsed="false">
      <c r="A32423" s="3" t="s">
        <v>558</v>
      </c>
      <c r="C32423" s="27" t="n">
        <f aca="false">Assumptions!$M$59</f>
        <v>1</v>
      </c>
    </row>
    <row r="32424" customFormat="false" ht="15" hidden="false" customHeight="false" outlineLevel="0" collapsed="false">
      <c r="A32424" s="3" t="s">
        <v>559</v>
      </c>
      <c r="C32424" s="27" t="n">
        <f aca="false">Assumptions!$M$60</f>
        <v>2</v>
      </c>
    </row>
    <row r="32425" customFormat="false" ht="15" hidden="false" customHeight="false" outlineLevel="0" collapsed="false">
      <c r="A32425" s="3" t="s">
        <v>560</v>
      </c>
      <c r="C32425" s="27" t="n">
        <f aca="false">Assumptions!$M$61</f>
        <v>2</v>
      </c>
    </row>
    <row r="32426" customFormat="false" ht="15" hidden="false" customHeight="false" outlineLevel="0" collapsed="false">
      <c r="A32426" s="3" t="s">
        <v>561</v>
      </c>
      <c r="C32426" s="27" t="n">
        <f aca="false">Assumptions!$M$62</f>
        <v>2</v>
      </c>
    </row>
    <row r="32427" customFormat="false" ht="15" hidden="false" customHeight="false" outlineLevel="0" collapsed="false">
      <c r="A32427" s="3" t="s">
        <v>562</v>
      </c>
      <c r="C32427" s="27" t="n">
        <f aca="false">Assumptions!$M$63</f>
        <v>2</v>
      </c>
    </row>
    <row r="32428" customFormat="false" ht="15" hidden="false" customHeight="false" outlineLevel="0" collapsed="false">
      <c r="A32428" s="3" t="s">
        <v>563</v>
      </c>
      <c r="C32428" s="27" t="n">
        <f aca="false">Assumptions!$M$64</f>
        <v>2</v>
      </c>
    </row>
    <row r="32429" customFormat="false" ht="15" hidden="false" customHeight="false" outlineLevel="0" collapsed="false">
      <c r="A32429" s="3" t="s">
        <v>564</v>
      </c>
      <c r="C32429" s="27" t="n">
        <f aca="false">Assumptions!$M$65</f>
        <v>2</v>
      </c>
    </row>
    <row r="32430" customFormat="false" ht="15" hidden="false" customHeight="false" outlineLevel="0" collapsed="false">
      <c r="A32430" s="3" t="s">
        <v>565</v>
      </c>
      <c r="C32430" s="27" t="n">
        <f aca="false">Assumptions!$M$66</f>
        <v>3</v>
      </c>
    </row>
    <row r="32431" customFormat="false" ht="15" hidden="false" customHeight="false" outlineLevel="0" collapsed="false">
      <c r="A32431" s="24" t="s">
        <v>567</v>
      </c>
      <c r="B32431" s="25"/>
      <c r="C32431" s="25"/>
      <c r="D32431" s="25"/>
      <c r="E32431" s="25"/>
      <c r="F32431" s="25"/>
      <c r="G32431" s="25"/>
      <c r="H32431" s="25"/>
      <c r="I32431" s="25"/>
      <c r="J32431" s="25"/>
      <c r="K32431" s="25"/>
    </row>
    <row r="32432" customFormat="false" ht="15" hidden="false" customHeight="false" outlineLevel="0" collapsed="false">
      <c r="A32432" s="3" t="s">
        <v>556</v>
      </c>
      <c r="C32432" s="33" t="n">
        <f aca="false">Assumptions!$Q$57</f>
        <v>0.3</v>
      </c>
    </row>
    <row r="32433" customFormat="false" ht="15" hidden="false" customHeight="false" outlineLevel="0" collapsed="false">
      <c r="A32433" s="3" t="s">
        <v>557</v>
      </c>
      <c r="C32433" s="33" t="n">
        <f aca="false">Assumptions!$Q$58</f>
        <v>0.033</v>
      </c>
    </row>
    <row r="32434" customFormat="false" ht="15" hidden="false" customHeight="false" outlineLevel="0" collapsed="false">
      <c r="A32434" s="3" t="s">
        <v>558</v>
      </c>
      <c r="C32434" s="33" t="n">
        <f aca="false">Assumptions!$Q$59</f>
        <v>0.021</v>
      </c>
    </row>
    <row r="32435" customFormat="false" ht="15" hidden="false" customHeight="false" outlineLevel="0" collapsed="false">
      <c r="A32435" s="3" t="s">
        <v>559</v>
      </c>
      <c r="C32435" s="33" t="n">
        <f aca="false">Assumptions!$Q$60</f>
        <v>0</v>
      </c>
    </row>
    <row r="32436" customFormat="false" ht="15" hidden="false" customHeight="false" outlineLevel="0" collapsed="false">
      <c r="A32436" s="3" t="s">
        <v>560</v>
      </c>
      <c r="C32436" s="33" t="n">
        <f aca="false">Assumptions!$Q$61</f>
        <v>0</v>
      </c>
    </row>
    <row r="32437" customFormat="false" ht="15" hidden="false" customHeight="false" outlineLevel="0" collapsed="false">
      <c r="A32437" s="3" t="s">
        <v>561</v>
      </c>
      <c r="C32437" s="33" t="n">
        <f aca="false">Assumptions!$Q$62</f>
        <v>0</v>
      </c>
    </row>
    <row r="32438" customFormat="false" ht="15" hidden="false" customHeight="false" outlineLevel="0" collapsed="false">
      <c r="A32438" s="3" t="s">
        <v>562</v>
      </c>
      <c r="C32438" s="33" t="n">
        <f aca="false">Assumptions!$Q$63</f>
        <v>0</v>
      </c>
    </row>
    <row r="32439" customFormat="false" ht="15" hidden="false" customHeight="false" outlineLevel="0" collapsed="false">
      <c r="A32439" s="3" t="s">
        <v>563</v>
      </c>
      <c r="C32439" s="33" t="n">
        <f aca="false">Assumptions!$Q$64</f>
        <v>0</v>
      </c>
    </row>
    <row r="32440" customFormat="false" ht="15" hidden="false" customHeight="false" outlineLevel="0" collapsed="false">
      <c r="A32440" s="3" t="s">
        <v>564</v>
      </c>
      <c r="C32440" s="33" t="n">
        <f aca="false">Assumptions!$Q$65</f>
        <v>0</v>
      </c>
    </row>
    <row r="32441" customFormat="false" ht="15" hidden="false" customHeight="false" outlineLevel="0" collapsed="false">
      <c r="A32441" s="3" t="s">
        <v>565</v>
      </c>
      <c r="C32441" s="33" t="n">
        <f aca="false">Assumptions!$Q$66</f>
        <v>0</v>
      </c>
    </row>
    <row r="32442" customFormat="false" ht="15" hidden="false" customHeight="false" outlineLevel="0" collapsed="false">
      <c r="A32442" s="24" t="s">
        <v>568</v>
      </c>
      <c r="B32442" s="25"/>
      <c r="C32442" s="25"/>
      <c r="D32442" s="25"/>
      <c r="E32442" s="25"/>
      <c r="F32442" s="25"/>
      <c r="G32442" s="25"/>
      <c r="H32442" s="25"/>
      <c r="I32442" s="25"/>
      <c r="J32442" s="25"/>
      <c r="K32442" s="25"/>
    </row>
    <row r="32443" customFormat="false" ht="15" hidden="false" customHeight="false" outlineLevel="0" collapsed="false">
      <c r="A32443" s="3" t="s">
        <v>556</v>
      </c>
      <c r="C32443" s="16" t="n">
        <f aca="false">IF(C32432&gt;0,MIN(C32410,C32432*$C$32408),0)</f>
        <v>405.0585</v>
      </c>
    </row>
    <row r="32444" customFormat="false" ht="15" hidden="false" customHeight="false" outlineLevel="0" collapsed="false">
      <c r="A32444" s="3" t="s">
        <v>557</v>
      </c>
      <c r="C32444" s="16" t="n">
        <f aca="false">IF(C32433&gt;0,MIN(C32411,C32433*$C$32408),0)</f>
        <v>91.30725</v>
      </c>
    </row>
    <row r="32445" customFormat="false" ht="15" hidden="false" customHeight="false" outlineLevel="0" collapsed="false">
      <c r="A32445" s="3" t="s">
        <v>558</v>
      </c>
      <c r="C32445" s="16" t="n">
        <f aca="false">IF(C32434&gt;0,MIN(C32412,C32434*$C$32408),0)</f>
        <v>58.3715961</v>
      </c>
    </row>
    <row r="32446" customFormat="false" ht="15" hidden="false" customHeight="false" outlineLevel="0" collapsed="false">
      <c r="A32446" s="3" t="s">
        <v>559</v>
      </c>
      <c r="C32446" s="16" t="n">
        <f aca="false">IF(C32435&gt;0,MIN(C32413,C32435*$C$32408),0)</f>
        <v>0</v>
      </c>
    </row>
    <row r="32447" customFormat="false" ht="15" hidden="false" customHeight="false" outlineLevel="0" collapsed="false">
      <c r="A32447" s="3" t="s">
        <v>560</v>
      </c>
      <c r="C32447" s="16" t="n">
        <f aca="false">IF(C32436&gt;0,MIN(C32414,C32436*$C$32408),0)</f>
        <v>0</v>
      </c>
    </row>
    <row r="32448" customFormat="false" ht="15" hidden="false" customHeight="false" outlineLevel="0" collapsed="false">
      <c r="A32448" s="3" t="s">
        <v>561</v>
      </c>
      <c r="C32448" s="16" t="n">
        <f aca="false">IF(C32437&gt;0,MIN(C32415,C32437*$C$32408),0)</f>
        <v>0</v>
      </c>
    </row>
    <row r="32449" customFormat="false" ht="15" hidden="false" customHeight="false" outlineLevel="0" collapsed="false">
      <c r="A32449" s="3" t="s">
        <v>562</v>
      </c>
      <c r="C32449" s="16" t="n">
        <f aca="false">IF(C32438&gt;0,MIN(C32416,C32438*$C$32408),0)</f>
        <v>0</v>
      </c>
    </row>
    <row r="32450" customFormat="false" ht="15" hidden="false" customHeight="false" outlineLevel="0" collapsed="false">
      <c r="A32450" s="3" t="s">
        <v>563</v>
      </c>
      <c r="C32450" s="16" t="n">
        <f aca="false">IF(C32439&gt;0,MIN(C32417,C32439*$C$32408),0)</f>
        <v>0</v>
      </c>
    </row>
    <row r="32451" customFormat="false" ht="15" hidden="false" customHeight="false" outlineLevel="0" collapsed="false">
      <c r="A32451" s="3" t="s">
        <v>564</v>
      </c>
      <c r="C32451" s="16" t="n">
        <f aca="false">IF(C32440&gt;0,MIN(C32418,C32440*$C$32408),0)</f>
        <v>0</v>
      </c>
    </row>
    <row r="32452" customFormat="false" ht="15" hidden="false" customHeight="false" outlineLevel="0" collapsed="false">
      <c r="A32452" s="3" t="s">
        <v>565</v>
      </c>
      <c r="C32452" s="16" t="n">
        <f aca="false">IF(C32441&gt;0,MIN(C32419,C32441*$C$32408),0)</f>
        <v>0</v>
      </c>
    </row>
    <row r="32453" customFormat="false" ht="15" hidden="false" customHeight="false" outlineLevel="0" collapsed="false">
      <c r="A32453" s="24" t="s">
        <v>569</v>
      </c>
      <c r="B32453" s="25"/>
      <c r="C32453" s="25"/>
      <c r="D32453" s="25"/>
      <c r="E32453" s="25"/>
      <c r="F32453" s="25"/>
      <c r="G32453" s="25"/>
      <c r="H32453" s="25"/>
      <c r="I32453" s="25"/>
      <c r="J32453" s="25"/>
      <c r="K32453" s="25"/>
    </row>
    <row r="32454" customFormat="false" ht="15" hidden="false" customHeight="false" outlineLevel="0" collapsed="false">
      <c r="A32454" s="3" t="s">
        <v>556</v>
      </c>
      <c r="C32454" s="16" t="n">
        <f aca="false">IF(C32432&gt;0,C32410-C32443,0)</f>
        <v>0</v>
      </c>
      <c r="G32454" s="21" t="n">
        <f aca="false">IF(AND(G32145=1,G32142=1),1,0)</f>
        <v>0</v>
      </c>
      <c r="H32454" s="21" t="n">
        <f aca="false">IF(G32454=1,1,IF(AND(H32145=1,H32142=1),1,0))</f>
        <v>0</v>
      </c>
      <c r="I32454" s="21" t="n">
        <f aca="false">IF(H32454=1,1,IF(AND(I32145=1,I32142=1),1,0))</f>
        <v>0</v>
      </c>
      <c r="J32454" s="21" t="n">
        <f aca="false">IF(I32454=1,1,IF(AND(J32145=1,J32142=1),1,0))</f>
        <v>0</v>
      </c>
      <c r="K32454" s="21" t="n">
        <f aca="false">IF(J32454=1,1,IF(AND(K32145=1,K32142=1),1,0))</f>
        <v>1</v>
      </c>
    </row>
    <row r="32455" customFormat="false" ht="15" hidden="false" customHeight="false" outlineLevel="0" collapsed="false">
      <c r="A32455" s="3" t="s">
        <v>557</v>
      </c>
      <c r="C32455" s="16" t="n">
        <f aca="false">IF(C32433&gt;0,C32411-C32444,0)</f>
        <v>0</v>
      </c>
      <c r="G32455" s="21" t="n">
        <f aca="false">IF(AND(G32158=1,G32142=1),1,0)</f>
        <v>0</v>
      </c>
      <c r="H32455" s="21" t="n">
        <f aca="false">IF(G32455=1,1,IF(AND(H32158=1,H32142=1),1,0))</f>
        <v>0</v>
      </c>
      <c r="I32455" s="21" t="n">
        <f aca="false">IF(H32455=1,1,IF(AND(I32158=1,I32142=1),1,0))</f>
        <v>0</v>
      </c>
      <c r="J32455" s="21" t="n">
        <f aca="false">IF(I32455=1,1,IF(AND(J32158=1,J32142=1),1,0))</f>
        <v>0</v>
      </c>
      <c r="K32455" s="21" t="n">
        <f aca="false">IF(J32455=1,1,IF(AND(K32158=1,K32142=1),1,0))</f>
        <v>0</v>
      </c>
    </row>
    <row r="32456" customFormat="false" ht="15" hidden="false" customHeight="false" outlineLevel="0" collapsed="false">
      <c r="A32456" s="3" t="s">
        <v>558</v>
      </c>
      <c r="C32456" s="16" t="n">
        <f aca="false">IF(C32434&gt;0,C32412-C32445,0)</f>
        <v>0</v>
      </c>
      <c r="G32456" s="21" t="n">
        <f aca="false">IF(AND(G32171=1,G32142=1),1,0)</f>
        <v>0</v>
      </c>
      <c r="H32456" s="21" t="n">
        <f aca="false">IF(G32456=1,1,IF(AND(H32171=1,H32142=1),1,0))</f>
        <v>0</v>
      </c>
      <c r="I32456" s="21" t="n">
        <f aca="false">IF(H32456=1,1,IF(AND(I32171=1,I32142=1),1,0))</f>
        <v>0</v>
      </c>
      <c r="J32456" s="21" t="n">
        <f aca="false">IF(I32456=1,1,IF(AND(J32171=1,J32142=1),1,0))</f>
        <v>0</v>
      </c>
      <c r="K32456" s="21" t="n">
        <f aca="false">IF(J32456=1,1,IF(AND(K32171=1,K32142=1),1,0))</f>
        <v>0</v>
      </c>
    </row>
    <row r="32457" customFormat="false" ht="15" hidden="false" customHeight="false" outlineLevel="0" collapsed="false">
      <c r="A32457" s="3" t="s">
        <v>559</v>
      </c>
      <c r="C32457" s="16" t="n">
        <f aca="false">IF(C32435&gt;0,C32413-C32446,0)</f>
        <v>0</v>
      </c>
      <c r="G32457" s="21" t="n">
        <f aca="false">IF(AND(G32184=1,G32142=1),1,0)</f>
        <v>1</v>
      </c>
      <c r="H32457" s="21" t="n">
        <f aca="false">IF(G32457=1,1,IF(AND(H32184=1,H32142=1),1,0))</f>
        <v>1</v>
      </c>
      <c r="I32457" s="21" t="n">
        <f aca="false">IF(H32457=1,1,IF(AND(I32184=1,I32142=1),1,0))</f>
        <v>1</v>
      </c>
      <c r="J32457" s="21" t="n">
        <f aca="false">IF(I32457=1,1,IF(AND(J32184=1,J32142=1),1,0))</f>
        <v>1</v>
      </c>
      <c r="K32457" s="21" t="n">
        <f aca="false">IF(J32457=1,1,IF(AND(K32184=1,K32142=1),1,0))</f>
        <v>1</v>
      </c>
    </row>
    <row r="32458" customFormat="false" ht="15" hidden="false" customHeight="false" outlineLevel="0" collapsed="false">
      <c r="A32458" s="3" t="s">
        <v>560</v>
      </c>
      <c r="C32458" s="16" t="n">
        <f aca="false">IF(C32436&gt;0,C32414-C32447,0)</f>
        <v>0</v>
      </c>
      <c r="G32458" s="21" t="n">
        <f aca="false">IF(AND(G32197=1,G32142=1),1,0)</f>
        <v>0</v>
      </c>
      <c r="H32458" s="21" t="n">
        <f aca="false">IF(G32458=1,1,IF(AND(H32197=1,H32142=1),1,0))</f>
        <v>1</v>
      </c>
      <c r="I32458" s="21" t="n">
        <f aca="false">IF(H32458=1,1,IF(AND(I32197=1,I32142=1),1,0))</f>
        <v>1</v>
      </c>
      <c r="J32458" s="21" t="n">
        <f aca="false">IF(I32458=1,1,IF(AND(J32197=1,J32142=1),1,0))</f>
        <v>1</v>
      </c>
      <c r="K32458" s="21" t="n">
        <f aca="false">IF(J32458=1,1,IF(AND(K32197=1,K32142=1),1,0))</f>
        <v>1</v>
      </c>
    </row>
    <row r="32459" customFormat="false" ht="15" hidden="false" customHeight="false" outlineLevel="0" collapsed="false">
      <c r="A32459" s="3" t="s">
        <v>561</v>
      </c>
      <c r="C32459" s="16" t="n">
        <f aca="false">IF(C32437&gt;0,C32415-C32448,0)</f>
        <v>0</v>
      </c>
      <c r="G32459" s="21" t="n">
        <f aca="false">IF(AND(G32210=1,G32142=1),1,0)</f>
        <v>0</v>
      </c>
      <c r="H32459" s="21" t="n">
        <f aca="false">IF(G32459=1,1,IF(AND(H32210=1,H32142=1),1,0))</f>
        <v>1</v>
      </c>
      <c r="I32459" s="21" t="n">
        <f aca="false">IF(H32459=1,1,IF(AND(I32210=1,I32142=1),1,0))</f>
        <v>1</v>
      </c>
      <c r="J32459" s="21" t="n">
        <f aca="false">IF(I32459=1,1,IF(AND(J32210=1,J32142=1),1,0))</f>
        <v>1</v>
      </c>
      <c r="K32459" s="21" t="n">
        <f aca="false">IF(J32459=1,1,IF(AND(K32210=1,K32142=1),1,0))</f>
        <v>1</v>
      </c>
    </row>
    <row r="32460" customFormat="false" ht="15" hidden="false" customHeight="false" outlineLevel="0" collapsed="false">
      <c r="A32460" s="3" t="s">
        <v>562</v>
      </c>
      <c r="C32460" s="16" t="n">
        <f aca="false">IF(C32438&gt;0,C32416-C32449,0)</f>
        <v>0</v>
      </c>
      <c r="G32460" s="21" t="n">
        <f aca="false">IF(AND(G32223=1,G32142=1),1,0)</f>
        <v>0</v>
      </c>
      <c r="H32460" s="21" t="n">
        <f aca="false">IF(G32460=1,1,IF(AND(H32223=1,H32142=1),1,0))</f>
        <v>0</v>
      </c>
      <c r="I32460" s="21" t="n">
        <f aca="false">IF(H32460=1,1,IF(AND(I32223=1,I32142=1),1,0))</f>
        <v>1</v>
      </c>
      <c r="J32460" s="21" t="n">
        <f aca="false">IF(I32460=1,1,IF(AND(J32223=1,J32142=1),1,0))</f>
        <v>1</v>
      </c>
      <c r="K32460" s="21" t="n">
        <f aca="false">IF(J32460=1,1,IF(AND(K32223=1,K32142=1),1,0))</f>
        <v>1</v>
      </c>
    </row>
    <row r="32461" customFormat="false" ht="15" hidden="false" customHeight="false" outlineLevel="0" collapsed="false">
      <c r="A32461" s="3" t="s">
        <v>563</v>
      </c>
      <c r="C32461" s="16" t="n">
        <f aca="false">IF(C32439&gt;0,C32417-C32450,0)</f>
        <v>0</v>
      </c>
      <c r="G32461" s="21" t="n">
        <f aca="false">IF(AND(G32236=1,G32142=1),1,0)</f>
        <v>0</v>
      </c>
      <c r="H32461" s="21" t="n">
        <f aca="false">IF(G32461=1,1,IF(AND(H32236=1,H32142=1),1,0))</f>
        <v>0</v>
      </c>
      <c r="I32461" s="21" t="n">
        <f aca="false">IF(H32461=1,1,IF(AND(I32236=1,I32142=1),1,0))</f>
        <v>0</v>
      </c>
      <c r="J32461" s="21" t="n">
        <f aca="false">IF(I32461=1,1,IF(AND(J32236=1,J32142=1),1,0))</f>
        <v>1</v>
      </c>
      <c r="K32461" s="21" t="n">
        <f aca="false">IF(J32461=1,1,IF(AND(K32236=1,K32142=1),1,0))</f>
        <v>1</v>
      </c>
    </row>
    <row r="32462" customFormat="false" ht="15" hidden="false" customHeight="false" outlineLevel="0" collapsed="false">
      <c r="A32462" s="3" t="s">
        <v>564</v>
      </c>
      <c r="C32462" s="16" t="n">
        <f aca="false">IF(C32440&gt;0,C32418-C32451,0)</f>
        <v>0</v>
      </c>
      <c r="G32462" s="21" t="n">
        <f aca="false">IF(AND(G32249=1,G32142=1),1,0)</f>
        <v>0</v>
      </c>
      <c r="H32462" s="21" t="n">
        <f aca="false">IF(G32462=1,1,IF(AND(H32249=1,H32142=1),1,0))</f>
        <v>0</v>
      </c>
      <c r="I32462" s="21" t="n">
        <f aca="false">IF(H32462=1,1,IF(AND(I32249=1,I32142=1),1,0))</f>
        <v>0</v>
      </c>
      <c r="J32462" s="21" t="n">
        <f aca="false">IF(I32462=1,1,IF(AND(J32249=1,J32142=1),1,0))</f>
        <v>0</v>
      </c>
      <c r="K32462" s="21" t="n">
        <f aca="false">IF(J32462=1,1,IF(AND(K32249=1,K32142=1),1,0))</f>
        <v>1</v>
      </c>
    </row>
    <row r="32463" customFormat="false" ht="15" hidden="false" customHeight="false" outlineLevel="0" collapsed="false">
      <c r="A32463" s="3" t="s">
        <v>565</v>
      </c>
      <c r="C32463" s="16" t="n">
        <f aca="false">IF(C32441&gt;0,C32419-C32452,0)</f>
        <v>0</v>
      </c>
      <c r="G32463" s="21" t="n">
        <f aca="false">IF(AND(G32262=1,G32142=1),1,0)</f>
        <v>0</v>
      </c>
      <c r="H32463" s="21" t="n">
        <f aca="false">IF(G32463=1,1,IF(AND(H32262=1,H32142=1),1,0))</f>
        <v>0</v>
      </c>
      <c r="I32463" s="21" t="n">
        <f aca="false">IF(H32463=1,1,IF(AND(I32262=1,I32142=1),1,0))</f>
        <v>0</v>
      </c>
      <c r="J32463" s="21" t="n">
        <f aca="false">IF(I32463=1,1,IF(AND(J32262=1,J32142=1),1,0))</f>
        <v>0</v>
      </c>
      <c r="K32463" s="21" t="n">
        <f aca="false">IF(J32463=1,1,IF(AND(K32262=1,K32142=1),1,0))</f>
        <v>0</v>
      </c>
    </row>
    <row r="32464" customFormat="false" ht="15" hidden="false" customHeight="false" outlineLevel="0" collapsed="false">
      <c r="A32464" s="24" t="s">
        <v>570</v>
      </c>
      <c r="B32464" s="25"/>
      <c r="C32464" s="25"/>
      <c r="D32464" s="25"/>
      <c r="E32464" s="25"/>
      <c r="F32464" s="25"/>
      <c r="G32464" s="25"/>
      <c r="H32464" s="25"/>
      <c r="I32464" s="25"/>
      <c r="J32464" s="25"/>
      <c r="K32464" s="25"/>
    </row>
    <row r="32465" customFormat="false" ht="15" hidden="false" customHeight="false" outlineLevel="0" collapsed="false">
      <c r="A32465" s="3" t="s">
        <v>556</v>
      </c>
      <c r="C32465" s="16" t="n">
        <f aca="false">IF(C32432&gt;0,C32454,C32410)</f>
        <v>0</v>
      </c>
    </row>
    <row r="32466" customFormat="false" ht="15" hidden="false" customHeight="false" outlineLevel="0" collapsed="false">
      <c r="A32466" s="3" t="s">
        <v>557</v>
      </c>
      <c r="C32466" s="16" t="n">
        <f aca="false">IF(C32433&gt;0,C32455,C32411)</f>
        <v>0</v>
      </c>
    </row>
    <row r="32467" customFormat="false" ht="15" hidden="false" customHeight="false" outlineLevel="0" collapsed="false">
      <c r="A32467" s="3" t="s">
        <v>558</v>
      </c>
      <c r="C32467" s="16" t="n">
        <f aca="false">IF(C32434&gt;0,C32456,C32412)</f>
        <v>0</v>
      </c>
    </row>
    <row r="32468" customFormat="false" ht="15" hidden="false" customHeight="false" outlineLevel="0" collapsed="false">
      <c r="A32468" s="3" t="s">
        <v>559</v>
      </c>
      <c r="C32468" s="16" t="n">
        <f aca="false">IF(C32435&gt;0,C32457,C32413)</f>
        <v>0</v>
      </c>
    </row>
    <row r="32469" customFormat="false" ht="15" hidden="false" customHeight="false" outlineLevel="0" collapsed="false">
      <c r="A32469" s="3" t="s">
        <v>560</v>
      </c>
      <c r="C32469" s="16" t="n">
        <f aca="false">IF(C32436&gt;0,C32458,C32414)</f>
        <v>454.44375</v>
      </c>
    </row>
    <row r="32470" customFormat="false" ht="15" hidden="false" customHeight="false" outlineLevel="0" collapsed="false">
      <c r="A32470" s="3" t="s">
        <v>561</v>
      </c>
      <c r="C32470" s="16" t="n">
        <f aca="false">IF(C32437&gt;0,C32459,C32415)</f>
        <v>357.2625</v>
      </c>
    </row>
    <row r="32471" customFormat="false" ht="15" hidden="false" customHeight="false" outlineLevel="0" collapsed="false">
      <c r="A32471" s="3" t="s">
        <v>562</v>
      </c>
      <c r="C32471" s="16" t="n">
        <f aca="false">IF(C32438&gt;0,C32460,C32416)</f>
        <v>562.203125</v>
      </c>
    </row>
    <row r="32472" customFormat="false" ht="15" hidden="false" customHeight="false" outlineLevel="0" collapsed="false">
      <c r="A32472" s="3" t="s">
        <v>563</v>
      </c>
      <c r="C32472" s="16" t="n">
        <f aca="false">IF(C32439&gt;0,C32461,C32417)</f>
        <v>353.98125</v>
      </c>
    </row>
    <row r="32473" customFormat="false" ht="15" hidden="false" customHeight="false" outlineLevel="0" collapsed="false">
      <c r="A32473" s="3" t="s">
        <v>564</v>
      </c>
      <c r="C32473" s="16" t="n">
        <f aca="false">IF(C32440&gt;0,C32462,C32418)</f>
        <v>304.59375</v>
      </c>
    </row>
    <row r="32474" customFormat="false" ht="15" hidden="false" customHeight="false" outlineLevel="0" collapsed="false">
      <c r="A32474" s="3" t="s">
        <v>565</v>
      </c>
      <c r="C32474" s="16" t="n">
        <f aca="false">IF(C32441&gt;0,C32463,C32419)</f>
        <v>79.67320025</v>
      </c>
    </row>
    <row r="32475" customFormat="false" ht="15" hidden="false" customHeight="false" outlineLevel="0" collapsed="false">
      <c r="A32475" s="24" t="s">
        <v>571</v>
      </c>
      <c r="B32475" s="25"/>
      <c r="C32475" s="25"/>
      <c r="D32475" s="25"/>
      <c r="E32475" s="25"/>
      <c r="F32475" s="25"/>
      <c r="G32475" s="25"/>
      <c r="H32475" s="25"/>
      <c r="I32475" s="25"/>
      <c r="J32475" s="25"/>
      <c r="K32475" s="25"/>
    </row>
    <row r="32476" customFormat="false" ht="15" hidden="false" customHeight="false" outlineLevel="0" collapsed="false">
      <c r="A32476" s="3" t="s">
        <v>556</v>
      </c>
      <c r="C32476" s="21" t="n">
        <f aca="false">IF(C32432&gt;0,Assumptions!$C$17,C32421)</f>
        <v>99</v>
      </c>
    </row>
    <row r="32477" customFormat="false" ht="15" hidden="false" customHeight="false" outlineLevel="0" collapsed="false">
      <c r="A32477" s="3" t="s">
        <v>557</v>
      </c>
      <c r="C32477" s="21" t="n">
        <f aca="false">IF(C32433&gt;0,Assumptions!$C$17,C32422)</f>
        <v>99</v>
      </c>
    </row>
    <row r="32478" customFormat="false" ht="15" hidden="false" customHeight="false" outlineLevel="0" collapsed="false">
      <c r="A32478" s="3" t="s">
        <v>558</v>
      </c>
      <c r="C32478" s="21" t="n">
        <f aca="false">IF(C32434&gt;0,Assumptions!$C$17,C32423)</f>
        <v>99</v>
      </c>
    </row>
    <row r="32479" customFormat="false" ht="15" hidden="false" customHeight="false" outlineLevel="0" collapsed="false">
      <c r="A32479" s="3" t="s">
        <v>559</v>
      </c>
      <c r="C32479" s="21" t="n">
        <f aca="false">IF(C32435&gt;0,Assumptions!$C$17,C32424)</f>
        <v>2</v>
      </c>
    </row>
    <row r="32480" customFormat="false" ht="15" hidden="false" customHeight="false" outlineLevel="0" collapsed="false">
      <c r="A32480" s="3" t="s">
        <v>560</v>
      </c>
      <c r="C32480" s="21" t="n">
        <f aca="false">IF(C32436&gt;0,Assumptions!$C$17,C32425)</f>
        <v>2</v>
      </c>
    </row>
    <row r="32481" customFormat="false" ht="15" hidden="false" customHeight="false" outlineLevel="0" collapsed="false">
      <c r="A32481" s="3" t="s">
        <v>561</v>
      </c>
      <c r="C32481" s="21" t="n">
        <f aca="false">IF(C32437&gt;0,Assumptions!$C$17,C32426)</f>
        <v>2</v>
      </c>
    </row>
    <row r="32482" customFormat="false" ht="15" hidden="false" customHeight="false" outlineLevel="0" collapsed="false">
      <c r="A32482" s="3" t="s">
        <v>562</v>
      </c>
      <c r="C32482" s="21" t="n">
        <f aca="false">IF(C32438&gt;0,Assumptions!$C$17,C32427)</f>
        <v>2</v>
      </c>
    </row>
    <row r="32483" customFormat="false" ht="15" hidden="false" customHeight="false" outlineLevel="0" collapsed="false">
      <c r="A32483" s="3" t="s">
        <v>563</v>
      </c>
      <c r="C32483" s="21" t="n">
        <f aca="false">IF(C32439&gt;0,Assumptions!$C$17,C32428)</f>
        <v>2</v>
      </c>
    </row>
    <row r="32484" customFormat="false" ht="15" hidden="false" customHeight="false" outlineLevel="0" collapsed="false">
      <c r="A32484" s="3" t="s">
        <v>564</v>
      </c>
      <c r="C32484" s="21" t="n">
        <f aca="false">IF(C32440&gt;0,Assumptions!$C$17,C32429)</f>
        <v>2</v>
      </c>
    </row>
    <row r="32485" customFormat="false" ht="15" hidden="false" customHeight="false" outlineLevel="0" collapsed="false">
      <c r="A32485" s="3" t="s">
        <v>565</v>
      </c>
      <c r="C32485" s="21" t="n">
        <f aca="false">IF(C32441&gt;0,Assumptions!$C$17,C32430)</f>
        <v>3</v>
      </c>
    </row>
    <row r="32486" customFormat="false" ht="15" hidden="false" customHeight="false" outlineLevel="0" collapsed="false">
      <c r="A32486" s="24" t="s">
        <v>572</v>
      </c>
      <c r="B32486" s="25"/>
      <c r="C32486" s="25"/>
      <c r="D32486" s="25"/>
      <c r="E32486" s="25"/>
      <c r="F32486" s="25"/>
      <c r="G32486" s="25"/>
      <c r="H32486" s="25"/>
      <c r="I32486" s="25"/>
      <c r="J32486" s="25"/>
      <c r="K32486" s="25"/>
    </row>
    <row r="32487" customFormat="false" ht="15" hidden="false" customHeight="false" outlineLevel="0" collapsed="false">
      <c r="A32487" s="3" t="s">
        <v>556</v>
      </c>
      <c r="C32487" s="16" t="n">
        <f aca="false">SUMPRODUCT(($C$32476:$C$32485&lt;C32476)*$C$32465:$C$32474)</f>
        <v>2112.15757525</v>
      </c>
    </row>
    <row r="32488" customFormat="false" ht="15" hidden="false" customHeight="false" outlineLevel="0" collapsed="false">
      <c r="A32488" s="3" t="s">
        <v>557</v>
      </c>
      <c r="C32488" s="16" t="n">
        <f aca="false">SUMPRODUCT(($C$32476:$C$32485&lt;C32477)*$C$32465:$C$32474)</f>
        <v>2112.15757525</v>
      </c>
    </row>
    <row r="32489" customFormat="false" ht="15" hidden="false" customHeight="false" outlineLevel="0" collapsed="false">
      <c r="A32489" s="3" t="s">
        <v>558</v>
      </c>
      <c r="C32489" s="16" t="n">
        <f aca="false">SUMPRODUCT(($C$32476:$C$32485&lt;C32478)*$C$32465:$C$32474)</f>
        <v>2112.15757525</v>
      </c>
    </row>
    <row r="32490" customFormat="false" ht="15" hidden="false" customHeight="false" outlineLevel="0" collapsed="false">
      <c r="A32490" s="3" t="s">
        <v>559</v>
      </c>
      <c r="C32490" s="16" t="n">
        <f aca="false">SUMPRODUCT(($C$32476:$C$32485&lt;C32479)*$C$32465:$C$32474)</f>
        <v>0</v>
      </c>
    </row>
    <row r="32491" customFormat="false" ht="15" hidden="false" customHeight="false" outlineLevel="0" collapsed="false">
      <c r="A32491" s="3" t="s">
        <v>560</v>
      </c>
      <c r="C32491" s="16" t="n">
        <f aca="false">SUMPRODUCT(($C$32476:$C$32485&lt;C32480)*$C$32465:$C$32474)</f>
        <v>0</v>
      </c>
    </row>
    <row r="32492" customFormat="false" ht="15" hidden="false" customHeight="false" outlineLevel="0" collapsed="false">
      <c r="A32492" s="3" t="s">
        <v>561</v>
      </c>
      <c r="C32492" s="16" t="n">
        <f aca="false">SUMPRODUCT(($C$32476:$C$32485&lt;C32481)*$C$32465:$C$32474)</f>
        <v>0</v>
      </c>
    </row>
    <row r="32493" customFormat="false" ht="15" hidden="false" customHeight="false" outlineLevel="0" collapsed="false">
      <c r="A32493" s="3" t="s">
        <v>562</v>
      </c>
      <c r="C32493" s="16" t="n">
        <f aca="false">SUMPRODUCT(($C$32476:$C$32485&lt;C32482)*$C$32465:$C$32474)</f>
        <v>0</v>
      </c>
    </row>
    <row r="32494" customFormat="false" ht="15" hidden="false" customHeight="false" outlineLevel="0" collapsed="false">
      <c r="A32494" s="3" t="s">
        <v>563</v>
      </c>
      <c r="C32494" s="16" t="n">
        <f aca="false">SUMPRODUCT(($C$32476:$C$32485&lt;C32483)*$C$32465:$C$32474)</f>
        <v>0</v>
      </c>
    </row>
    <row r="32495" customFormat="false" ht="15" hidden="false" customHeight="false" outlineLevel="0" collapsed="false">
      <c r="A32495" s="3" t="s">
        <v>564</v>
      </c>
      <c r="C32495" s="16" t="n">
        <f aca="false">SUMPRODUCT(($C$32476:$C$32485&lt;C32484)*$C$32465:$C$32474)</f>
        <v>0</v>
      </c>
    </row>
    <row r="32496" customFormat="false" ht="15" hidden="false" customHeight="false" outlineLevel="0" collapsed="false">
      <c r="A32496" s="3" t="s">
        <v>565</v>
      </c>
      <c r="C32496" s="16" t="n">
        <f aca="false">SUMPRODUCT(($C$32476:$C$32485&lt;C32485)*$C$32465:$C$32474)</f>
        <v>2032.484375</v>
      </c>
    </row>
    <row r="32497" customFormat="false" ht="15" hidden="false" customHeight="false" outlineLevel="0" collapsed="false">
      <c r="A32497" s="24" t="s">
        <v>573</v>
      </c>
      <c r="B32497" s="25"/>
      <c r="C32497" s="25"/>
      <c r="D32497" s="25"/>
      <c r="E32497" s="25"/>
      <c r="F32497" s="25"/>
      <c r="G32497" s="25"/>
      <c r="H32497" s="25"/>
      <c r="I32497" s="25"/>
      <c r="J32497" s="25"/>
      <c r="K32497" s="25"/>
    </row>
    <row r="32498" customFormat="false" ht="15" hidden="false" customHeight="false" outlineLevel="0" collapsed="false">
      <c r="A32498" s="3" t="s">
        <v>556</v>
      </c>
      <c r="C32498" s="16" t="n">
        <f aca="false">SUMPRODUCT(($C$32476:$C$32485=C32476)*$C$32465:$C$32474)</f>
        <v>0</v>
      </c>
    </row>
    <row r="32499" customFormat="false" ht="15" hidden="false" customHeight="false" outlineLevel="0" collapsed="false">
      <c r="A32499" s="3" t="s">
        <v>557</v>
      </c>
      <c r="C32499" s="16" t="n">
        <f aca="false">SUMPRODUCT(($C$32476:$C$32485=C32477)*$C$32465:$C$32474)</f>
        <v>0</v>
      </c>
    </row>
    <row r="32500" customFormat="false" ht="15" hidden="false" customHeight="false" outlineLevel="0" collapsed="false">
      <c r="A32500" s="3" t="s">
        <v>558</v>
      </c>
      <c r="C32500" s="16" t="n">
        <f aca="false">SUMPRODUCT(($C$32476:$C$32485=C32478)*$C$32465:$C$32474)</f>
        <v>0</v>
      </c>
    </row>
    <row r="32501" customFormat="false" ht="15" hidden="false" customHeight="false" outlineLevel="0" collapsed="false">
      <c r="A32501" s="3" t="s">
        <v>559</v>
      </c>
      <c r="C32501" s="16" t="n">
        <f aca="false">SUMPRODUCT(($C$32476:$C$32485=C32479)*$C$32465:$C$32474)</f>
        <v>2032.484375</v>
      </c>
    </row>
    <row r="32502" customFormat="false" ht="15" hidden="false" customHeight="false" outlineLevel="0" collapsed="false">
      <c r="A32502" s="3" t="s">
        <v>560</v>
      </c>
      <c r="C32502" s="16" t="n">
        <f aca="false">SUMPRODUCT(($C$32476:$C$32485=C32480)*$C$32465:$C$32474)</f>
        <v>2032.484375</v>
      </c>
    </row>
    <row r="32503" customFormat="false" ht="15" hidden="false" customHeight="false" outlineLevel="0" collapsed="false">
      <c r="A32503" s="3" t="s">
        <v>561</v>
      </c>
      <c r="C32503" s="16" t="n">
        <f aca="false">SUMPRODUCT(($C$32476:$C$32485=C32481)*$C$32465:$C$32474)</f>
        <v>2032.484375</v>
      </c>
    </row>
    <row r="32504" customFormat="false" ht="15" hidden="false" customHeight="false" outlineLevel="0" collapsed="false">
      <c r="A32504" s="3" t="s">
        <v>562</v>
      </c>
      <c r="C32504" s="16" t="n">
        <f aca="false">SUMPRODUCT(($C$32476:$C$32485=C32482)*$C$32465:$C$32474)</f>
        <v>2032.484375</v>
      </c>
    </row>
    <row r="32505" customFormat="false" ht="15" hidden="false" customHeight="false" outlineLevel="0" collapsed="false">
      <c r="A32505" s="3" t="s">
        <v>563</v>
      </c>
      <c r="C32505" s="16" t="n">
        <f aca="false">SUMPRODUCT(($C$32476:$C$32485=C32483)*$C$32465:$C$32474)</f>
        <v>2032.484375</v>
      </c>
    </row>
    <row r="32506" customFormat="false" ht="15" hidden="false" customHeight="false" outlineLevel="0" collapsed="false">
      <c r="A32506" s="3" t="s">
        <v>564</v>
      </c>
      <c r="C32506" s="16" t="n">
        <f aca="false">SUMPRODUCT(($C$32476:$C$32485=C32484)*$C$32465:$C$32474)</f>
        <v>2032.484375</v>
      </c>
    </row>
    <row r="32507" customFormat="false" ht="15" hidden="false" customHeight="false" outlineLevel="0" collapsed="false">
      <c r="A32507" s="3" t="s">
        <v>565</v>
      </c>
      <c r="C32507" s="16" t="n">
        <f aca="false">SUMPRODUCT(($C$32476:$C$32485=C32485)*$C$32465:$C$32474)</f>
        <v>79.67320025</v>
      </c>
    </row>
    <row r="32508" customFormat="false" ht="15" hidden="false" customHeight="false" outlineLevel="0" collapsed="false">
      <c r="A32508" s="24" t="s">
        <v>574</v>
      </c>
      <c r="B32508" s="25"/>
      <c r="C32508" s="25"/>
      <c r="D32508" s="25"/>
      <c r="E32508" s="25"/>
      <c r="F32508" s="25"/>
      <c r="G32508" s="25"/>
      <c r="H32508" s="25"/>
      <c r="I32508" s="25"/>
      <c r="J32508" s="25"/>
      <c r="K32508" s="25"/>
    </row>
    <row r="32509" customFormat="false" ht="15" hidden="false" customHeight="false" outlineLevel="0" collapsed="false">
      <c r="A32509" s="3" t="s">
        <v>556</v>
      </c>
      <c r="C32509" s="16" t="n">
        <f aca="false">IF(C32498=0,0,C32465/C32498*MAX(0,MIN(C32498,$C$32408-SUM($C$32443:$C$32452)-C32487)))</f>
        <v>0</v>
      </c>
    </row>
    <row r="32510" customFormat="false" ht="15" hidden="false" customHeight="false" outlineLevel="0" collapsed="false">
      <c r="A32510" s="3" t="s">
        <v>557</v>
      </c>
      <c r="C32510" s="16" t="n">
        <f aca="false">IF(C32499=0,0,C32466/C32499*MAX(0,MIN(C32499,$C$32408-SUM($C$32443:$C$32452)-C32488)))</f>
        <v>0</v>
      </c>
    </row>
    <row r="32511" customFormat="false" ht="15" hidden="false" customHeight="false" outlineLevel="0" collapsed="false">
      <c r="A32511" s="3" t="s">
        <v>558</v>
      </c>
      <c r="C32511" s="16" t="n">
        <f aca="false">IF(C32500=0,0,C32467/C32500*MAX(0,MIN(C32500,$C$32408-SUM($C$32443:$C$32452)-C32489)))</f>
        <v>0</v>
      </c>
    </row>
    <row r="32512" customFormat="false" ht="15" hidden="false" customHeight="false" outlineLevel="0" collapsed="false">
      <c r="A32512" s="3" t="s">
        <v>559</v>
      </c>
      <c r="C32512" s="16" t="n">
        <f aca="false">IF(C32501=0,0,C32468/C32501*MAX(0,MIN(C32501,$C$32408-SUM($C$32443:$C$32452)-C32490)))</f>
        <v>0</v>
      </c>
    </row>
    <row r="32513" customFormat="false" ht="15" hidden="false" customHeight="false" outlineLevel="0" collapsed="false">
      <c r="A32513" s="3" t="s">
        <v>560</v>
      </c>
      <c r="C32513" s="16" t="n">
        <f aca="false">IF(C32502=0,0,C32469/C32502*MAX(0,MIN(C32502,$C$32408-SUM($C$32443:$C$32452)-C32491)))</f>
        <v>454.44375</v>
      </c>
    </row>
    <row r="32514" customFormat="false" ht="15" hidden="false" customHeight="false" outlineLevel="0" collapsed="false">
      <c r="A32514" s="3" t="s">
        <v>561</v>
      </c>
      <c r="C32514" s="16" t="n">
        <f aca="false">IF(C32503=0,0,C32470/C32503*MAX(0,MIN(C32503,$C$32408-SUM($C$32443:$C$32452)-C32492)))</f>
        <v>357.2625</v>
      </c>
    </row>
    <row r="32515" customFormat="false" ht="15" hidden="false" customHeight="false" outlineLevel="0" collapsed="false">
      <c r="A32515" s="3" t="s">
        <v>562</v>
      </c>
      <c r="C32515" s="16" t="n">
        <f aca="false">IF(C32504=0,0,C32471/C32504*MAX(0,MIN(C32504,$C$32408-SUM($C$32443:$C$32452)-C32493)))</f>
        <v>562.203125</v>
      </c>
    </row>
    <row r="32516" customFormat="false" ht="15" hidden="false" customHeight="false" outlineLevel="0" collapsed="false">
      <c r="A32516" s="3" t="s">
        <v>563</v>
      </c>
      <c r="C32516" s="16" t="n">
        <f aca="false">IF(C32505=0,0,C32472/C32505*MAX(0,MIN(C32505,$C$32408-SUM($C$32443:$C$32452)-C32494)))</f>
        <v>353.98125</v>
      </c>
    </row>
    <row r="32517" customFormat="false" ht="15" hidden="false" customHeight="false" outlineLevel="0" collapsed="false">
      <c r="A32517" s="3" t="s">
        <v>564</v>
      </c>
      <c r="C32517" s="16" t="n">
        <f aca="false">IF(C32506=0,0,C32473/C32506*MAX(0,MIN(C32506,$C$32408-SUM($C$32443:$C$32452)-C32495)))</f>
        <v>304.59375</v>
      </c>
    </row>
    <row r="32518" customFormat="false" ht="15" hidden="false" customHeight="false" outlineLevel="0" collapsed="false">
      <c r="A32518" s="3" t="s">
        <v>565</v>
      </c>
      <c r="C32518" s="16" t="n">
        <f aca="false">IF(C32507=0,0,C32474/C32507*MAX(0,MIN(C32507,$C$32408-SUM($C$32443:$C$32452)-C32496)))</f>
        <v>79.67320025</v>
      </c>
    </row>
    <row r="32519" customFormat="false" ht="15" hidden="false" customHeight="false" outlineLevel="0" collapsed="false">
      <c r="A32519" s="24" t="s">
        <v>575</v>
      </c>
      <c r="B32519" s="25"/>
      <c r="C32519" s="25"/>
      <c r="D32519" s="25"/>
      <c r="E32519" s="25"/>
      <c r="F32519" s="25"/>
      <c r="G32519" s="25"/>
      <c r="H32519" s="25"/>
      <c r="I32519" s="25"/>
      <c r="J32519" s="25"/>
      <c r="K32519" s="25"/>
    </row>
    <row r="32520" customFormat="false" ht="15" hidden="false" customHeight="false" outlineLevel="0" collapsed="false">
      <c r="A32520" s="2" t="s">
        <v>556</v>
      </c>
      <c r="C32520" s="17" t="n">
        <f aca="false">C32443+C32509</f>
        <v>405.0585</v>
      </c>
    </row>
    <row r="32521" customFormat="false" ht="15" hidden="false" customHeight="false" outlineLevel="0" collapsed="false">
      <c r="A32521" s="2" t="s">
        <v>557</v>
      </c>
      <c r="C32521" s="17" t="n">
        <f aca="false">C32444+C32510</f>
        <v>91.30725</v>
      </c>
    </row>
    <row r="32522" customFormat="false" ht="15" hidden="false" customHeight="false" outlineLevel="0" collapsed="false">
      <c r="A32522" s="2" t="s">
        <v>558</v>
      </c>
      <c r="C32522" s="17" t="n">
        <f aca="false">C32445+C32511</f>
        <v>58.3715961</v>
      </c>
    </row>
    <row r="32523" customFormat="false" ht="15" hidden="false" customHeight="false" outlineLevel="0" collapsed="false">
      <c r="A32523" s="2" t="s">
        <v>559</v>
      </c>
      <c r="C32523" s="17" t="n">
        <f aca="false">C32446+C32512</f>
        <v>0</v>
      </c>
    </row>
    <row r="32524" customFormat="false" ht="15" hidden="false" customHeight="false" outlineLevel="0" collapsed="false">
      <c r="A32524" s="2" t="s">
        <v>560</v>
      </c>
      <c r="C32524" s="17" t="n">
        <f aca="false">C32447+C32513</f>
        <v>454.44375</v>
      </c>
    </row>
    <row r="32525" customFormat="false" ht="15" hidden="false" customHeight="false" outlineLevel="0" collapsed="false">
      <c r="A32525" s="2" t="s">
        <v>561</v>
      </c>
      <c r="C32525" s="17" t="n">
        <f aca="false">C32448+C32514</f>
        <v>357.2625</v>
      </c>
    </row>
    <row r="32526" customFormat="false" ht="15" hidden="false" customHeight="false" outlineLevel="0" collapsed="false">
      <c r="A32526" s="2" t="s">
        <v>562</v>
      </c>
      <c r="C32526" s="17" t="n">
        <f aca="false">C32449+C32515</f>
        <v>562.203125</v>
      </c>
    </row>
    <row r="32527" customFormat="false" ht="15" hidden="false" customHeight="false" outlineLevel="0" collapsed="false">
      <c r="A32527" s="2" t="s">
        <v>563</v>
      </c>
      <c r="C32527" s="17" t="n">
        <f aca="false">C32450+C32516</f>
        <v>353.98125</v>
      </c>
    </row>
    <row r="32528" customFormat="false" ht="15" hidden="false" customHeight="false" outlineLevel="0" collapsed="false">
      <c r="A32528" s="2" t="s">
        <v>564</v>
      </c>
      <c r="C32528" s="17" t="n">
        <f aca="false">C32451+C32517</f>
        <v>304.59375</v>
      </c>
    </row>
    <row r="32529" customFormat="false" ht="15" hidden="false" customHeight="false" outlineLevel="0" collapsed="false">
      <c r="A32529" s="2" t="s">
        <v>565</v>
      </c>
      <c r="C32529" s="17" t="n">
        <f aca="false">C32452+C32518</f>
        <v>79.67320025</v>
      </c>
    </row>
    <row r="32530" customFormat="false" ht="15" hidden="false" customHeight="false" outlineLevel="0" collapsed="false">
      <c r="A32530" s="24" t="s">
        <v>576</v>
      </c>
      <c r="B32530" s="25"/>
      <c r="C32530" s="25"/>
      <c r="D32530" s="25"/>
      <c r="E32530" s="25"/>
      <c r="F32530" s="25"/>
      <c r="G32530" s="25"/>
      <c r="H32530" s="25"/>
      <c r="I32530" s="25"/>
      <c r="J32530" s="25"/>
      <c r="K32530" s="25"/>
    </row>
    <row r="32531" customFormat="false" ht="15" hidden="false" customHeight="false" outlineLevel="0" collapsed="false">
      <c r="A32531" s="3" t="s">
        <v>556</v>
      </c>
      <c r="C32531" s="22" t="n">
        <f aca="false">IF(C32410=0,1,C32520/C32410)</f>
        <v>1</v>
      </c>
    </row>
    <row r="32532" customFormat="false" ht="15" hidden="false" customHeight="false" outlineLevel="0" collapsed="false">
      <c r="A32532" s="3" t="s">
        <v>557</v>
      </c>
      <c r="C32532" s="22" t="n">
        <f aca="false">IF(C32411=0,1,C32521/C32411)</f>
        <v>1</v>
      </c>
    </row>
    <row r="32533" customFormat="false" ht="15" hidden="false" customHeight="false" outlineLevel="0" collapsed="false">
      <c r="A32533" s="3" t="s">
        <v>558</v>
      </c>
      <c r="C32533" s="22" t="n">
        <f aca="false">IF(C32412=0,1,C32522/C32412)</f>
        <v>1</v>
      </c>
    </row>
    <row r="32534" customFormat="false" ht="15" hidden="false" customHeight="false" outlineLevel="0" collapsed="false">
      <c r="A32534" s="3" t="s">
        <v>559</v>
      </c>
      <c r="C32534" s="22" t="n">
        <f aca="false">IF(C32413=0,1,C32523/C32413)</f>
        <v>1</v>
      </c>
    </row>
    <row r="32535" customFormat="false" ht="15" hidden="false" customHeight="false" outlineLevel="0" collapsed="false">
      <c r="A32535" s="3" t="s">
        <v>560</v>
      </c>
      <c r="C32535" s="22" t="n">
        <f aca="false">IF(C32414=0,1,C32524/C32414)</f>
        <v>1</v>
      </c>
    </row>
    <row r="32536" customFormat="false" ht="15" hidden="false" customHeight="false" outlineLevel="0" collapsed="false">
      <c r="A32536" s="3" t="s">
        <v>561</v>
      </c>
      <c r="C32536" s="22" t="n">
        <f aca="false">IF(C32415=0,1,C32525/C32415)</f>
        <v>1</v>
      </c>
    </row>
    <row r="32537" customFormat="false" ht="15" hidden="false" customHeight="false" outlineLevel="0" collapsed="false">
      <c r="A32537" s="3" t="s">
        <v>562</v>
      </c>
      <c r="C32537" s="22" t="n">
        <f aca="false">IF(C32416=0,1,C32526/C32416)</f>
        <v>1</v>
      </c>
    </row>
    <row r="32538" customFormat="false" ht="15" hidden="false" customHeight="false" outlineLevel="0" collapsed="false">
      <c r="A32538" s="3" t="s">
        <v>563</v>
      </c>
      <c r="C32538" s="22" t="n">
        <f aca="false">IF(C32417=0,1,C32527/C32417)</f>
        <v>1</v>
      </c>
    </row>
    <row r="32539" customFormat="false" ht="15" hidden="false" customHeight="false" outlineLevel="0" collapsed="false">
      <c r="A32539" s="3" t="s">
        <v>564</v>
      </c>
      <c r="C32539" s="22" t="n">
        <f aca="false">IF(C32418=0,1,C32528/C32418)</f>
        <v>1</v>
      </c>
    </row>
    <row r="32540" customFormat="false" ht="15" hidden="false" customHeight="false" outlineLevel="0" collapsed="false">
      <c r="A32540" s="3" t="s">
        <v>565</v>
      </c>
      <c r="C32540" s="22" t="n">
        <f aca="false">IF(C32419=0,1,C32529/C32419)</f>
        <v>1</v>
      </c>
    </row>
    <row r="32541" customFormat="false" ht="15" hidden="false" customHeight="false" outlineLevel="0" collapsed="false">
      <c r="A32541" s="24" t="s">
        <v>577</v>
      </c>
      <c r="B32541" s="25"/>
      <c r="C32541" s="25"/>
      <c r="D32541" s="25"/>
      <c r="E32541" s="25"/>
      <c r="F32541" s="25"/>
      <c r="G32541" s="25"/>
      <c r="H32541" s="25"/>
      <c r="I32541" s="25"/>
      <c r="J32541" s="25"/>
      <c r="K32541" s="25"/>
    </row>
    <row r="32542" customFormat="false" ht="15" hidden="false" customHeight="false" outlineLevel="0" collapsed="false">
      <c r="A32542" s="3" t="s">
        <v>556</v>
      </c>
      <c r="C32542" s="16" t="n">
        <f aca="false">C32410-C32520</f>
        <v>0</v>
      </c>
    </row>
    <row r="32543" customFormat="false" ht="15" hidden="false" customHeight="false" outlineLevel="0" collapsed="false">
      <c r="A32543" s="3" t="s">
        <v>557</v>
      </c>
      <c r="C32543" s="16" t="n">
        <f aca="false">C32411-C32521</f>
        <v>0</v>
      </c>
    </row>
    <row r="32544" customFormat="false" ht="15" hidden="false" customHeight="false" outlineLevel="0" collapsed="false">
      <c r="A32544" s="3" t="s">
        <v>558</v>
      </c>
      <c r="C32544" s="16" t="n">
        <f aca="false">C32412-C32522</f>
        <v>0</v>
      </c>
    </row>
    <row r="32545" customFormat="false" ht="15" hidden="false" customHeight="false" outlineLevel="0" collapsed="false">
      <c r="A32545" s="3" t="s">
        <v>559</v>
      </c>
      <c r="C32545" s="16" t="n">
        <f aca="false">C32413-C32523</f>
        <v>0</v>
      </c>
    </row>
    <row r="32546" customFormat="false" ht="15" hidden="false" customHeight="false" outlineLevel="0" collapsed="false">
      <c r="A32546" s="3" t="s">
        <v>560</v>
      </c>
      <c r="C32546" s="16" t="n">
        <f aca="false">C32414-C32524</f>
        <v>0</v>
      </c>
    </row>
    <row r="32547" customFormat="false" ht="15" hidden="false" customHeight="false" outlineLevel="0" collapsed="false">
      <c r="A32547" s="3" t="s">
        <v>561</v>
      </c>
      <c r="C32547" s="16" t="n">
        <f aca="false">C32415-C32525</f>
        <v>0</v>
      </c>
    </row>
    <row r="32548" customFormat="false" ht="15" hidden="false" customHeight="false" outlineLevel="0" collapsed="false">
      <c r="A32548" s="3" t="s">
        <v>562</v>
      </c>
      <c r="C32548" s="16" t="n">
        <f aca="false">C32416-C32526</f>
        <v>0</v>
      </c>
    </row>
    <row r="32549" customFormat="false" ht="15" hidden="false" customHeight="false" outlineLevel="0" collapsed="false">
      <c r="A32549" s="3" t="s">
        <v>563</v>
      </c>
      <c r="C32549" s="16" t="n">
        <f aca="false">C32417-C32527</f>
        <v>0</v>
      </c>
    </row>
    <row r="32550" customFormat="false" ht="15" hidden="false" customHeight="false" outlineLevel="0" collapsed="false">
      <c r="A32550" s="3" t="s">
        <v>564</v>
      </c>
      <c r="C32550" s="16" t="n">
        <f aca="false">C32418-C32528</f>
        <v>0</v>
      </c>
    </row>
    <row r="32551" customFormat="false" ht="15" hidden="false" customHeight="false" outlineLevel="0" collapsed="false">
      <c r="A32551" s="3" t="s">
        <v>565</v>
      </c>
      <c r="C32551" s="16" t="n">
        <f aca="false">C32419-C32529</f>
        <v>0</v>
      </c>
    </row>
    <row r="32552" customFormat="false" ht="15" hidden="false" customHeight="false" outlineLevel="0" collapsed="false">
      <c r="A32552" s="24" t="s">
        <v>578</v>
      </c>
      <c r="B32552" s="25"/>
      <c r="C32552" s="25"/>
      <c r="D32552" s="25"/>
      <c r="E32552" s="25"/>
      <c r="F32552" s="25"/>
      <c r="G32552" s="25"/>
      <c r="H32552" s="25"/>
      <c r="I32552" s="25"/>
      <c r="J32552" s="25"/>
      <c r="K32552" s="25"/>
    </row>
    <row r="32553" customFormat="false" ht="15" hidden="false" customHeight="false" outlineLevel="0" collapsed="false">
      <c r="A32553" s="3" t="s">
        <v>556</v>
      </c>
      <c r="C32553" s="22" t="n">
        <f aca="false">IF(C32410=0,0,C32542/C32410)</f>
        <v>0</v>
      </c>
    </row>
    <row r="32554" customFormat="false" ht="15" hidden="false" customHeight="false" outlineLevel="0" collapsed="false">
      <c r="A32554" s="3" t="s">
        <v>557</v>
      </c>
      <c r="C32554" s="22" t="n">
        <f aca="false">IF(C32411=0,0,C32543/C32411)</f>
        <v>0</v>
      </c>
    </row>
    <row r="32555" customFormat="false" ht="15" hidden="false" customHeight="false" outlineLevel="0" collapsed="false">
      <c r="A32555" s="3" t="s">
        <v>558</v>
      </c>
      <c r="C32555" s="22" t="n">
        <f aca="false">IF(C32412=0,0,C32544/C32412)</f>
        <v>0</v>
      </c>
    </row>
    <row r="32556" customFormat="false" ht="15" hidden="false" customHeight="false" outlineLevel="0" collapsed="false">
      <c r="A32556" s="3" t="s">
        <v>559</v>
      </c>
      <c r="C32556" s="22" t="n">
        <f aca="false">IF(C32413=0,0,C32545/C32413)</f>
        <v>0</v>
      </c>
    </row>
    <row r="32557" customFormat="false" ht="15" hidden="false" customHeight="false" outlineLevel="0" collapsed="false">
      <c r="A32557" s="3" t="s">
        <v>560</v>
      </c>
      <c r="C32557" s="22" t="n">
        <f aca="false">IF(C32414=0,0,C32546/C32414)</f>
        <v>0</v>
      </c>
    </row>
    <row r="32558" customFormat="false" ht="15" hidden="false" customHeight="false" outlineLevel="0" collapsed="false">
      <c r="A32558" s="3" t="s">
        <v>561</v>
      </c>
      <c r="C32558" s="22" t="n">
        <f aca="false">IF(C32415=0,0,C32547/C32415)</f>
        <v>0</v>
      </c>
    </row>
    <row r="32559" customFormat="false" ht="15" hidden="false" customHeight="false" outlineLevel="0" collapsed="false">
      <c r="A32559" s="3" t="s">
        <v>562</v>
      </c>
      <c r="C32559" s="22" t="n">
        <f aca="false">IF(C32416=0,0,C32548/C32416)</f>
        <v>0</v>
      </c>
    </row>
    <row r="32560" customFormat="false" ht="15" hidden="false" customHeight="false" outlineLevel="0" collapsed="false">
      <c r="A32560" s="3" t="s">
        <v>563</v>
      </c>
      <c r="C32560" s="22" t="n">
        <f aca="false">IF(C32417=0,0,C32549/C32417)</f>
        <v>0</v>
      </c>
    </row>
    <row r="32561" customFormat="false" ht="15" hidden="false" customHeight="false" outlineLevel="0" collapsed="false">
      <c r="A32561" s="3" t="s">
        <v>564</v>
      </c>
      <c r="C32561" s="22" t="n">
        <f aca="false">IF(C32418=0,0,C32550/C32418)</f>
        <v>0</v>
      </c>
    </row>
    <row r="32562" customFormat="false" ht="15" hidden="false" customHeight="false" outlineLevel="0" collapsed="false">
      <c r="A32562" s="3" t="s">
        <v>565</v>
      </c>
      <c r="C32562" s="22" t="n">
        <f aca="false">IF(C32419=0,0,C32551/C32419)</f>
        <v>0</v>
      </c>
    </row>
    <row r="32563" customFormat="false" ht="15" hidden="false" customHeight="false" outlineLevel="0" collapsed="false">
      <c r="A32563" s="2" t="s">
        <v>579</v>
      </c>
      <c r="C32563" s="17" t="n">
        <f aca="false">MAX(0,$C$32408-SUM($C$32443:$C$32452)-SUM($C$32465:$C$32474))</f>
        <v>1163.864440506</v>
      </c>
    </row>
    <row r="32564" customFormat="false" ht="15" hidden="false" customHeight="false" outlineLevel="0" collapsed="false">
      <c r="A32564" s="3" t="s">
        <v>580</v>
      </c>
      <c r="C32564" s="16" t="n">
        <f aca="false">SUM($C$32520:$C$32529)+C32563+C32407-C32406</f>
        <v>0</v>
      </c>
    </row>
    <row r="32566" customFormat="false" ht="15" hidden="false" customHeight="false" outlineLevel="0" collapsed="false">
      <c r="A32566" s="24" t="s">
        <v>583</v>
      </c>
      <c r="B32566" s="25"/>
      <c r="C32566" s="25"/>
      <c r="D32566" s="25"/>
      <c r="E32566" s="25"/>
      <c r="F32566" s="25"/>
      <c r="G32566" s="25"/>
      <c r="H32566" s="25"/>
      <c r="I32566" s="25"/>
      <c r="J32566" s="25"/>
      <c r="K32566" s="25"/>
    </row>
    <row r="32567" customFormat="false" ht="15" hidden="false" customHeight="false" outlineLevel="0" collapsed="false">
      <c r="A32567" s="3" t="s">
        <v>584</v>
      </c>
      <c r="C32567" s="27" t="n">
        <f aca="false">Assumptions!$C$34</f>
        <v>1</v>
      </c>
    </row>
    <row r="32568" customFormat="false" ht="15" hidden="false" customHeight="false" outlineLevel="0" collapsed="false">
      <c r="A32568" s="3" t="s">
        <v>585</v>
      </c>
      <c r="C32568" s="29" t="n">
        <f aca="false">Assumptions!$C$35</f>
        <v>100</v>
      </c>
    </row>
    <row r="32569" customFormat="false" ht="15" hidden="false" customHeight="false" outlineLevel="0" collapsed="false">
      <c r="A32569" s="3" t="s">
        <v>586</v>
      </c>
      <c r="C32569" s="40" t="n">
        <f aca="false">Assumptions!$C$36</f>
        <v>98</v>
      </c>
    </row>
    <row r="32570" customFormat="false" ht="15" hidden="false" customHeight="false" outlineLevel="0" collapsed="false">
      <c r="A32570" s="3" t="s">
        <v>587</v>
      </c>
      <c r="C32570" s="16" t="n">
        <f aca="false">C32568*C32569/100*(1+Assumptions!$C$37)</f>
        <v>98.49</v>
      </c>
    </row>
    <row r="32571" customFormat="false" ht="15" hidden="false" customHeight="false" outlineLevel="0" collapsed="false">
      <c r="A32571" s="3" t="s">
        <v>588</v>
      </c>
      <c r="C32571" s="27" t="n">
        <f aca="false">Assumptions!$C$38</f>
        <v>3</v>
      </c>
    </row>
    <row r="32572" customFormat="false" ht="15" hidden="false" customHeight="false" outlineLevel="0" collapsed="false">
      <c r="A32572" s="3" t="s">
        <v>589</v>
      </c>
      <c r="C32572" s="21" t="n">
        <f aca="false">IF(C32399=1,SUMPRODUCT($G$32335:$K$32335,$G$32109:$K$32109),0)</f>
        <v>0</v>
      </c>
    </row>
    <row r="32573" customFormat="false" ht="15" hidden="false" customHeight="false" outlineLevel="0" collapsed="false">
      <c r="A32573" s="3" t="s">
        <v>590</v>
      </c>
      <c r="C32573" s="22" t="n">
        <f aca="false">IFERROR(C32568/CHOOSE(C32567,SUMPRODUCT($G$32398:$K$32398,$G$32155:$K$32155),SUMPRODUCT($G$32398:$K$32398,$G$32168:$K$32168),SUMPRODUCT($G$32398:$K$32398,$G$32181:$K$32181),SUMPRODUCT($G$32398:$K$32398,$G$32194:$K$32194),SUMPRODUCT($G$32398:$K$32398,$G$32207:$K$32207),SUMPRODUCT($G$32398:$K$32398,$G$32220:$K$32220),SUMPRODUCT($G$32398:$K$32398,$G$32233:$K$32233),SUMPRODUCT($G$32398:$K$32398,$G$32246:$K$32246),SUMPRODUCT($G$32398:$K$32398,$G$32259:$K$32259),SUMPRODUCT($G$32398:$K$32398,$G$32272:$K$32272)),0)</f>
        <v>0.252525252525253</v>
      </c>
    </row>
    <row r="32574" customFormat="false" ht="15" hidden="false" customHeight="false" outlineLevel="0" collapsed="false">
      <c r="A32574" s="3" t="s">
        <v>591</v>
      </c>
      <c r="C32574" s="16" t="n">
        <f aca="false">CHOOSE(C32567,C32520,C32521,C32522,C32523,C32524,C32525,C32526,C32527,C32528,C32529)*C32573</f>
        <v>102.2875</v>
      </c>
    </row>
    <row r="32575" customFormat="false" ht="15" hidden="false" customHeight="false" outlineLevel="0" collapsed="false">
      <c r="A32575" s="3" t="s">
        <v>592</v>
      </c>
      <c r="C32575" s="22" t="n">
        <f aca="false">CHOOSE(C32567,C32531,C32532,C32533,C32534,C32535,C32536,C32537,C32538,C32539,C32540)</f>
        <v>1</v>
      </c>
    </row>
    <row r="32576" customFormat="false" ht="15" hidden="false" customHeight="false" outlineLevel="0" collapsed="false">
      <c r="A32576" s="3" t="s">
        <v>593</v>
      </c>
      <c r="C32576" s="21" t="n">
        <f aca="false">IF(C32399=1,C32572,C32571)</f>
        <v>3</v>
      </c>
    </row>
    <row r="32577" customFormat="false" ht="15" hidden="false" customHeight="false" outlineLevel="0" collapsed="false">
      <c r="A32577" s="3" t="s">
        <v>594</v>
      </c>
      <c r="C32577" s="35" t="n">
        <f aca="false">CHOOSE($C$32101,Assumptions!$C$91,Assumptions!$C$110,Assumptions!$C$129)</f>
        <v>100</v>
      </c>
    </row>
    <row r="32578" customFormat="false" ht="15" hidden="false" customHeight="false" outlineLevel="0" collapsed="false">
      <c r="A32578" s="3" t="s">
        <v>595</v>
      </c>
      <c r="C32578" s="16" t="n">
        <f aca="false">INDEX($G$32118:$K$32118,C32571)*CHOOSE($C$32101,Assumptions!$C$90,Assumptions!$C$109,Assumptions!$C$128)+MAX(0,INDEX($G$32332:$K$32332,C32571))</f>
        <v>3369.2242946436</v>
      </c>
    </row>
    <row r="32579" customFormat="false" ht="15" hidden="false" customHeight="false" outlineLevel="0" collapsed="false">
      <c r="A32579" s="24" t="s">
        <v>596</v>
      </c>
      <c r="B32579" s="25"/>
      <c r="C32579" s="25"/>
      <c r="D32579" s="25"/>
      <c r="E32579" s="25"/>
      <c r="F32579" s="25"/>
      <c r="G32579" s="25"/>
      <c r="H32579" s="25"/>
      <c r="I32579" s="25"/>
      <c r="J32579" s="25"/>
      <c r="K32579" s="25"/>
    </row>
    <row r="32580" customFormat="false" ht="15" hidden="false" customHeight="false" outlineLevel="0" collapsed="false">
      <c r="A32580" s="3" t="s">
        <v>556</v>
      </c>
      <c r="C32580" s="16" t="n">
        <f aca="false">INDEX($G$32155:$K$32155,C32571)</f>
        <v>388</v>
      </c>
    </row>
    <row r="32581" customFormat="false" ht="15" hidden="false" customHeight="false" outlineLevel="0" collapsed="false">
      <c r="A32581" s="3" t="s">
        <v>557</v>
      </c>
      <c r="C32581" s="16" t="n">
        <f aca="false">INDEX($G$32168:$K$32168,C32571)</f>
        <v>90</v>
      </c>
    </row>
    <row r="32582" customFormat="false" ht="15" hidden="false" customHeight="false" outlineLevel="0" collapsed="false">
      <c r="A32582" s="3" t="s">
        <v>558</v>
      </c>
      <c r="C32582" s="16" t="n">
        <f aca="false">INDEX($G$32181:$K$32181,C32571)</f>
        <v>57.324</v>
      </c>
    </row>
    <row r="32583" customFormat="false" ht="15" hidden="false" customHeight="false" outlineLevel="0" collapsed="false">
      <c r="A32583" s="3" t="s">
        <v>559</v>
      </c>
      <c r="C32583" s="16" t="n">
        <f aca="false">INDEX($G$32194:$K$32194,C32571)</f>
        <v>66.796942182056</v>
      </c>
    </row>
    <row r="32584" customFormat="false" ht="15" hidden="false" customHeight="false" outlineLevel="0" collapsed="false">
      <c r="A32584" s="3" t="s">
        <v>560</v>
      </c>
      <c r="C32584" s="16" t="n">
        <f aca="false">INDEX($G$32207:$K$32207,C32571)</f>
        <v>407.7221513738</v>
      </c>
    </row>
    <row r="32585" customFormat="false" ht="15" hidden="false" customHeight="false" outlineLevel="0" collapsed="false">
      <c r="A32585" s="3" t="s">
        <v>561</v>
      </c>
      <c r="C32585" s="16" t="n">
        <f aca="false">INDEX($G$32220:$K$32220,C32571)</f>
        <v>350</v>
      </c>
    </row>
    <row r="32586" customFormat="false" ht="15" hidden="false" customHeight="false" outlineLevel="0" collapsed="false">
      <c r="A32586" s="3" t="s">
        <v>562</v>
      </c>
      <c r="C32586" s="16" t="n">
        <f aca="false">INDEX($G$32233:$K$32233,C32571)</f>
        <v>550</v>
      </c>
    </row>
    <row r="32587" customFormat="false" ht="15" hidden="false" customHeight="false" outlineLevel="0" collapsed="false">
      <c r="A32587" s="3" t="s">
        <v>563</v>
      </c>
      <c r="C32587" s="16" t="n">
        <f aca="false">INDEX($G$32246:$K$32246,C32571)</f>
        <v>350</v>
      </c>
    </row>
    <row r="32588" customFormat="false" ht="15" hidden="false" customHeight="false" outlineLevel="0" collapsed="false">
      <c r="A32588" s="3" t="s">
        <v>564</v>
      </c>
      <c r="C32588" s="16" t="n">
        <f aca="false">INDEX($G$32259:$K$32259,C32571)</f>
        <v>300</v>
      </c>
    </row>
    <row r="32589" customFormat="false" ht="15" hidden="false" customHeight="false" outlineLevel="0" collapsed="false">
      <c r="A32589" s="3" t="s">
        <v>565</v>
      </c>
      <c r="C32589" s="16" t="n">
        <f aca="false">INDEX($G$32272:$K$32272,C32571)</f>
        <v>78.61</v>
      </c>
    </row>
    <row r="32590" customFormat="false" ht="15" hidden="false" customHeight="false" outlineLevel="0" collapsed="false">
      <c r="A32590" s="24" t="s">
        <v>566</v>
      </c>
      <c r="B32590" s="25"/>
      <c r="C32590" s="25"/>
      <c r="D32590" s="25"/>
      <c r="E32590" s="25"/>
      <c r="F32590" s="25"/>
      <c r="G32590" s="25"/>
      <c r="H32590" s="25"/>
      <c r="I32590" s="25"/>
      <c r="J32590" s="25"/>
      <c r="K32590" s="25"/>
    </row>
    <row r="32591" customFormat="false" ht="15" hidden="false" customHeight="false" outlineLevel="0" collapsed="false">
      <c r="A32591" s="3" t="s">
        <v>556</v>
      </c>
      <c r="C32591" s="27" t="n">
        <f aca="false">Assumptions!$M$57</f>
        <v>1</v>
      </c>
    </row>
    <row r="32592" customFormat="false" ht="15" hidden="false" customHeight="false" outlineLevel="0" collapsed="false">
      <c r="A32592" s="3" t="s">
        <v>557</v>
      </c>
      <c r="C32592" s="27" t="n">
        <f aca="false">Assumptions!$M$58</f>
        <v>1</v>
      </c>
    </row>
    <row r="32593" customFormat="false" ht="15" hidden="false" customHeight="false" outlineLevel="0" collapsed="false">
      <c r="A32593" s="3" t="s">
        <v>558</v>
      </c>
      <c r="C32593" s="27" t="n">
        <f aca="false">Assumptions!$M$59</f>
        <v>1</v>
      </c>
    </row>
    <row r="32594" customFormat="false" ht="15" hidden="false" customHeight="false" outlineLevel="0" collapsed="false">
      <c r="A32594" s="3" t="s">
        <v>559</v>
      </c>
      <c r="C32594" s="27" t="n">
        <f aca="false">Assumptions!$M$60</f>
        <v>2</v>
      </c>
    </row>
    <row r="32595" customFormat="false" ht="15" hidden="false" customHeight="false" outlineLevel="0" collapsed="false">
      <c r="A32595" s="3" t="s">
        <v>560</v>
      </c>
      <c r="C32595" s="27" t="n">
        <f aca="false">Assumptions!$M$61</f>
        <v>2</v>
      </c>
    </row>
    <row r="32596" customFormat="false" ht="15" hidden="false" customHeight="false" outlineLevel="0" collapsed="false">
      <c r="A32596" s="3" t="s">
        <v>561</v>
      </c>
      <c r="C32596" s="27" t="n">
        <f aca="false">Assumptions!$M$62</f>
        <v>2</v>
      </c>
    </row>
    <row r="32597" customFormat="false" ht="15" hidden="false" customHeight="false" outlineLevel="0" collapsed="false">
      <c r="A32597" s="3" t="s">
        <v>562</v>
      </c>
      <c r="C32597" s="27" t="n">
        <f aca="false">Assumptions!$M$63</f>
        <v>2</v>
      </c>
    </row>
    <row r="32598" customFormat="false" ht="15" hidden="false" customHeight="false" outlineLevel="0" collapsed="false">
      <c r="A32598" s="3" t="s">
        <v>563</v>
      </c>
      <c r="C32598" s="27" t="n">
        <f aca="false">Assumptions!$M$64</f>
        <v>2</v>
      </c>
    </row>
    <row r="32599" customFormat="false" ht="15" hidden="false" customHeight="false" outlineLevel="0" collapsed="false">
      <c r="A32599" s="3" t="s">
        <v>564</v>
      </c>
      <c r="C32599" s="27" t="n">
        <f aca="false">Assumptions!$M$65</f>
        <v>2</v>
      </c>
    </row>
    <row r="32600" customFormat="false" ht="15" hidden="false" customHeight="false" outlineLevel="0" collapsed="false">
      <c r="A32600" s="3" t="s">
        <v>565</v>
      </c>
      <c r="C32600" s="27" t="n">
        <f aca="false">Assumptions!$M$66</f>
        <v>3</v>
      </c>
    </row>
    <row r="32601" customFormat="false" ht="15" hidden="false" customHeight="false" outlineLevel="0" collapsed="false">
      <c r="A32601" s="24" t="s">
        <v>567</v>
      </c>
      <c r="B32601" s="25"/>
      <c r="C32601" s="25"/>
      <c r="D32601" s="25"/>
      <c r="E32601" s="25"/>
      <c r="F32601" s="25"/>
      <c r="G32601" s="25"/>
      <c r="H32601" s="25"/>
      <c r="I32601" s="25"/>
      <c r="J32601" s="25"/>
      <c r="K32601" s="25"/>
    </row>
    <row r="32602" customFormat="false" ht="15" hidden="false" customHeight="false" outlineLevel="0" collapsed="false">
      <c r="A32602" s="3" t="s">
        <v>556</v>
      </c>
      <c r="C32602" s="33" t="n">
        <f aca="false">Assumptions!$Q$57</f>
        <v>0.3</v>
      </c>
    </row>
    <row r="32603" customFormat="false" ht="15" hidden="false" customHeight="false" outlineLevel="0" collapsed="false">
      <c r="A32603" s="3" t="s">
        <v>557</v>
      </c>
      <c r="C32603" s="33" t="n">
        <f aca="false">Assumptions!$Q$58</f>
        <v>0.033</v>
      </c>
    </row>
    <row r="32604" customFormat="false" ht="15" hidden="false" customHeight="false" outlineLevel="0" collapsed="false">
      <c r="A32604" s="3" t="s">
        <v>558</v>
      </c>
      <c r="C32604" s="33" t="n">
        <f aca="false">Assumptions!$Q$59</f>
        <v>0.021</v>
      </c>
    </row>
    <row r="32605" customFormat="false" ht="15" hidden="false" customHeight="false" outlineLevel="0" collapsed="false">
      <c r="A32605" s="3" t="s">
        <v>559</v>
      </c>
      <c r="C32605" s="33" t="n">
        <f aca="false">Assumptions!$Q$60</f>
        <v>0</v>
      </c>
    </row>
    <row r="32606" customFormat="false" ht="15" hidden="false" customHeight="false" outlineLevel="0" collapsed="false">
      <c r="A32606" s="3" t="s">
        <v>560</v>
      </c>
      <c r="C32606" s="33" t="n">
        <f aca="false">Assumptions!$Q$61</f>
        <v>0</v>
      </c>
    </row>
    <row r="32607" customFormat="false" ht="15" hidden="false" customHeight="false" outlineLevel="0" collapsed="false">
      <c r="A32607" s="3" t="s">
        <v>561</v>
      </c>
      <c r="C32607" s="33" t="n">
        <f aca="false">Assumptions!$Q$62</f>
        <v>0</v>
      </c>
    </row>
    <row r="32608" customFormat="false" ht="15" hidden="false" customHeight="false" outlineLevel="0" collapsed="false">
      <c r="A32608" s="3" t="s">
        <v>562</v>
      </c>
      <c r="C32608" s="33" t="n">
        <f aca="false">Assumptions!$Q$63</f>
        <v>0</v>
      </c>
    </row>
    <row r="32609" customFormat="false" ht="15" hidden="false" customHeight="false" outlineLevel="0" collapsed="false">
      <c r="A32609" s="3" t="s">
        <v>563</v>
      </c>
      <c r="C32609" s="33" t="n">
        <f aca="false">Assumptions!$Q$64</f>
        <v>0</v>
      </c>
    </row>
    <row r="32610" customFormat="false" ht="15" hidden="false" customHeight="false" outlineLevel="0" collapsed="false">
      <c r="A32610" s="3" t="s">
        <v>564</v>
      </c>
      <c r="C32610" s="33" t="n">
        <f aca="false">Assumptions!$Q$65</f>
        <v>0</v>
      </c>
    </row>
    <row r="32611" customFormat="false" ht="15" hidden="false" customHeight="false" outlineLevel="0" collapsed="false">
      <c r="A32611" s="3" t="s">
        <v>565</v>
      </c>
      <c r="C32611" s="33" t="n">
        <f aca="false">Assumptions!$Q$66</f>
        <v>0</v>
      </c>
    </row>
    <row r="32612" customFormat="false" ht="15" hidden="false" customHeight="false" outlineLevel="0" collapsed="false">
      <c r="A32612" s="24" t="s">
        <v>568</v>
      </c>
      <c r="B32612" s="25"/>
      <c r="C32612" s="25"/>
      <c r="D32612" s="25"/>
      <c r="E32612" s="25"/>
      <c r="F32612" s="25"/>
      <c r="G32612" s="25"/>
      <c r="H32612" s="25"/>
      <c r="I32612" s="25"/>
      <c r="J32612" s="25"/>
      <c r="K32612" s="25"/>
    </row>
    <row r="32613" customFormat="false" ht="15" hidden="false" customHeight="false" outlineLevel="0" collapsed="false">
      <c r="A32613" s="3" t="s">
        <v>556</v>
      </c>
      <c r="C32613" s="16" t="n">
        <f aca="false">IF(C32602&gt;0,MIN(C32580,C32602*$C$32578),0)</f>
        <v>388</v>
      </c>
    </row>
    <row r="32614" customFormat="false" ht="15" hidden="false" customHeight="false" outlineLevel="0" collapsed="false">
      <c r="A32614" s="3" t="s">
        <v>557</v>
      </c>
      <c r="C32614" s="16" t="n">
        <f aca="false">IF(C32603&gt;0,MIN(C32581,C32603*$C$32578),0)</f>
        <v>90</v>
      </c>
    </row>
    <row r="32615" customFormat="false" ht="15" hidden="false" customHeight="false" outlineLevel="0" collapsed="false">
      <c r="A32615" s="3" t="s">
        <v>558</v>
      </c>
      <c r="C32615" s="16" t="n">
        <f aca="false">IF(C32604&gt;0,MIN(C32582,C32604*$C$32578),0)</f>
        <v>57.324</v>
      </c>
    </row>
    <row r="32616" customFormat="false" ht="15" hidden="false" customHeight="false" outlineLevel="0" collapsed="false">
      <c r="A32616" s="3" t="s">
        <v>559</v>
      </c>
      <c r="C32616" s="16" t="n">
        <f aca="false">IF(C32605&gt;0,MIN(C32583,C32605*$C$32578),0)</f>
        <v>0</v>
      </c>
    </row>
    <row r="32617" customFormat="false" ht="15" hidden="false" customHeight="false" outlineLevel="0" collapsed="false">
      <c r="A32617" s="3" t="s">
        <v>560</v>
      </c>
      <c r="C32617" s="16" t="n">
        <f aca="false">IF(C32606&gt;0,MIN(C32584,C32606*$C$32578),0)</f>
        <v>0</v>
      </c>
    </row>
    <row r="32618" customFormat="false" ht="15" hidden="false" customHeight="false" outlineLevel="0" collapsed="false">
      <c r="A32618" s="3" t="s">
        <v>561</v>
      </c>
      <c r="C32618" s="16" t="n">
        <f aca="false">IF(C32607&gt;0,MIN(C32585,C32607*$C$32578),0)</f>
        <v>0</v>
      </c>
    </row>
    <row r="32619" customFormat="false" ht="15" hidden="false" customHeight="false" outlineLevel="0" collapsed="false">
      <c r="A32619" s="3" t="s">
        <v>562</v>
      </c>
      <c r="C32619" s="16" t="n">
        <f aca="false">IF(C32608&gt;0,MIN(C32586,C32608*$C$32578),0)</f>
        <v>0</v>
      </c>
    </row>
    <row r="32620" customFormat="false" ht="15" hidden="false" customHeight="false" outlineLevel="0" collapsed="false">
      <c r="A32620" s="3" t="s">
        <v>563</v>
      </c>
      <c r="C32620" s="16" t="n">
        <f aca="false">IF(C32609&gt;0,MIN(C32587,C32609*$C$32578),0)</f>
        <v>0</v>
      </c>
    </row>
    <row r="32621" customFormat="false" ht="15" hidden="false" customHeight="false" outlineLevel="0" collapsed="false">
      <c r="A32621" s="3" t="s">
        <v>564</v>
      </c>
      <c r="C32621" s="16" t="n">
        <f aca="false">IF(C32610&gt;0,MIN(C32588,C32610*$C$32578),0)</f>
        <v>0</v>
      </c>
    </row>
    <row r="32622" customFormat="false" ht="15" hidden="false" customHeight="false" outlineLevel="0" collapsed="false">
      <c r="A32622" s="3" t="s">
        <v>565</v>
      </c>
      <c r="C32622" s="16" t="n">
        <f aca="false">IF(C32611&gt;0,MIN(C32589,C32611*$C$32578),0)</f>
        <v>0</v>
      </c>
    </row>
    <row r="32623" customFormat="false" ht="15" hidden="false" customHeight="false" outlineLevel="0" collapsed="false">
      <c r="A32623" s="24" t="s">
        <v>569</v>
      </c>
      <c r="B32623" s="25"/>
      <c r="C32623" s="25"/>
      <c r="D32623" s="25"/>
      <c r="E32623" s="25"/>
      <c r="F32623" s="25"/>
      <c r="G32623" s="25"/>
      <c r="H32623" s="25"/>
      <c r="I32623" s="25"/>
      <c r="J32623" s="25"/>
      <c r="K32623" s="25"/>
    </row>
    <row r="32624" customFormat="false" ht="15" hidden="false" customHeight="false" outlineLevel="0" collapsed="false">
      <c r="A32624" s="3" t="s">
        <v>556</v>
      </c>
      <c r="C32624" s="16" t="n">
        <f aca="false">IF(C32602&gt;0,C32580-C32613,0)</f>
        <v>0</v>
      </c>
    </row>
    <row r="32625" customFormat="false" ht="15" hidden="false" customHeight="false" outlineLevel="0" collapsed="false">
      <c r="A32625" s="3" t="s">
        <v>557</v>
      </c>
      <c r="C32625" s="16" t="n">
        <f aca="false">IF(C32603&gt;0,C32581-C32614,0)</f>
        <v>0</v>
      </c>
    </row>
    <row r="32626" customFormat="false" ht="15" hidden="false" customHeight="false" outlineLevel="0" collapsed="false">
      <c r="A32626" s="3" t="s">
        <v>558</v>
      </c>
      <c r="C32626" s="16" t="n">
        <f aca="false">IF(C32604&gt;0,C32582-C32615,0)</f>
        <v>0</v>
      </c>
    </row>
    <row r="32627" customFormat="false" ht="15" hidden="false" customHeight="false" outlineLevel="0" collapsed="false">
      <c r="A32627" s="3" t="s">
        <v>559</v>
      </c>
      <c r="C32627" s="16" t="n">
        <f aca="false">IF(C32605&gt;0,C32583-C32616,0)</f>
        <v>0</v>
      </c>
    </row>
    <row r="32628" customFormat="false" ht="15" hidden="false" customHeight="false" outlineLevel="0" collapsed="false">
      <c r="A32628" s="3" t="s">
        <v>560</v>
      </c>
      <c r="C32628" s="16" t="n">
        <f aca="false">IF(C32606&gt;0,C32584-C32617,0)</f>
        <v>0</v>
      </c>
    </row>
    <row r="32629" customFormat="false" ht="15" hidden="false" customHeight="false" outlineLevel="0" collapsed="false">
      <c r="A32629" s="3" t="s">
        <v>561</v>
      </c>
      <c r="C32629" s="16" t="n">
        <f aca="false">IF(C32607&gt;0,C32585-C32618,0)</f>
        <v>0</v>
      </c>
    </row>
    <row r="32630" customFormat="false" ht="15" hidden="false" customHeight="false" outlineLevel="0" collapsed="false">
      <c r="A32630" s="3" t="s">
        <v>562</v>
      </c>
      <c r="C32630" s="16" t="n">
        <f aca="false">IF(C32608&gt;0,C32586-C32619,0)</f>
        <v>0</v>
      </c>
    </row>
    <row r="32631" customFormat="false" ht="15" hidden="false" customHeight="false" outlineLevel="0" collapsed="false">
      <c r="A32631" s="3" t="s">
        <v>563</v>
      </c>
      <c r="C32631" s="16" t="n">
        <f aca="false">IF(C32609&gt;0,C32587-C32620,0)</f>
        <v>0</v>
      </c>
    </row>
    <row r="32632" customFormat="false" ht="15" hidden="false" customHeight="false" outlineLevel="0" collapsed="false">
      <c r="A32632" s="3" t="s">
        <v>564</v>
      </c>
      <c r="C32632" s="16" t="n">
        <f aca="false">IF(C32610&gt;0,C32588-C32621,0)</f>
        <v>0</v>
      </c>
    </row>
    <row r="32633" customFormat="false" ht="15" hidden="false" customHeight="false" outlineLevel="0" collapsed="false">
      <c r="A32633" s="3" t="s">
        <v>565</v>
      </c>
      <c r="C32633" s="16" t="n">
        <f aca="false">IF(C32611&gt;0,C32589-C32622,0)</f>
        <v>0</v>
      </c>
    </row>
    <row r="32634" customFormat="false" ht="15" hidden="false" customHeight="false" outlineLevel="0" collapsed="false">
      <c r="A32634" s="24" t="s">
        <v>570</v>
      </c>
      <c r="B32634" s="25"/>
      <c r="C32634" s="25"/>
      <c r="D32634" s="25"/>
      <c r="E32634" s="25"/>
      <c r="F32634" s="25"/>
      <c r="G32634" s="25"/>
      <c r="H32634" s="25"/>
      <c r="I32634" s="25"/>
      <c r="J32634" s="25"/>
      <c r="K32634" s="25"/>
    </row>
    <row r="32635" customFormat="false" ht="15" hidden="false" customHeight="false" outlineLevel="0" collapsed="false">
      <c r="A32635" s="3" t="s">
        <v>556</v>
      </c>
      <c r="C32635" s="16" t="n">
        <f aca="false">IF(C32602&gt;0,C32624,C32580)</f>
        <v>0</v>
      </c>
    </row>
    <row r="32636" customFormat="false" ht="15" hidden="false" customHeight="false" outlineLevel="0" collapsed="false">
      <c r="A32636" s="3" t="s">
        <v>557</v>
      </c>
      <c r="C32636" s="16" t="n">
        <f aca="false">IF(C32603&gt;0,C32625,C32581)</f>
        <v>0</v>
      </c>
    </row>
    <row r="32637" customFormat="false" ht="15" hidden="false" customHeight="false" outlineLevel="0" collapsed="false">
      <c r="A32637" s="3" t="s">
        <v>558</v>
      </c>
      <c r="C32637" s="16" t="n">
        <f aca="false">IF(C32604&gt;0,C32626,C32582)</f>
        <v>0</v>
      </c>
    </row>
    <row r="32638" customFormat="false" ht="15" hidden="false" customHeight="false" outlineLevel="0" collapsed="false">
      <c r="A32638" s="3" t="s">
        <v>559</v>
      </c>
      <c r="C32638" s="16" t="n">
        <f aca="false">IF(C32605&gt;0,C32627,C32583)</f>
        <v>66.796942182056</v>
      </c>
    </row>
    <row r="32639" customFormat="false" ht="15" hidden="false" customHeight="false" outlineLevel="0" collapsed="false">
      <c r="A32639" s="3" t="s">
        <v>560</v>
      </c>
      <c r="C32639" s="16" t="n">
        <f aca="false">IF(C32606&gt;0,C32628,C32584)</f>
        <v>407.7221513738</v>
      </c>
    </row>
    <row r="32640" customFormat="false" ht="15" hidden="false" customHeight="false" outlineLevel="0" collapsed="false">
      <c r="A32640" s="3" t="s">
        <v>561</v>
      </c>
      <c r="C32640" s="16" t="n">
        <f aca="false">IF(C32607&gt;0,C32629,C32585)</f>
        <v>350</v>
      </c>
    </row>
    <row r="32641" customFormat="false" ht="15" hidden="false" customHeight="false" outlineLevel="0" collapsed="false">
      <c r="A32641" s="3" t="s">
        <v>562</v>
      </c>
      <c r="C32641" s="16" t="n">
        <f aca="false">IF(C32608&gt;0,C32630,C32586)</f>
        <v>550</v>
      </c>
    </row>
    <row r="32642" customFormat="false" ht="15" hidden="false" customHeight="false" outlineLevel="0" collapsed="false">
      <c r="A32642" s="3" t="s">
        <v>563</v>
      </c>
      <c r="C32642" s="16" t="n">
        <f aca="false">IF(C32609&gt;0,C32631,C32587)</f>
        <v>350</v>
      </c>
    </row>
    <row r="32643" customFormat="false" ht="15" hidden="false" customHeight="false" outlineLevel="0" collapsed="false">
      <c r="A32643" s="3" t="s">
        <v>564</v>
      </c>
      <c r="C32643" s="16" t="n">
        <f aca="false">IF(C32610&gt;0,C32632,C32588)</f>
        <v>300</v>
      </c>
    </row>
    <row r="32644" customFormat="false" ht="15" hidden="false" customHeight="false" outlineLevel="0" collapsed="false">
      <c r="A32644" s="3" t="s">
        <v>565</v>
      </c>
      <c r="C32644" s="16" t="n">
        <f aca="false">IF(C32611&gt;0,C32633,C32589)</f>
        <v>78.61</v>
      </c>
    </row>
    <row r="32645" customFormat="false" ht="15" hidden="false" customHeight="false" outlineLevel="0" collapsed="false">
      <c r="A32645" s="24" t="s">
        <v>571</v>
      </c>
      <c r="B32645" s="25"/>
      <c r="C32645" s="25"/>
      <c r="D32645" s="25"/>
      <c r="E32645" s="25"/>
      <c r="F32645" s="25"/>
      <c r="G32645" s="25"/>
      <c r="H32645" s="25"/>
      <c r="I32645" s="25"/>
      <c r="J32645" s="25"/>
      <c r="K32645" s="25"/>
    </row>
    <row r="32646" customFormat="false" ht="15" hidden="false" customHeight="false" outlineLevel="0" collapsed="false">
      <c r="A32646" s="3" t="s">
        <v>556</v>
      </c>
      <c r="C32646" s="21" t="n">
        <f aca="false">IF(C32602&gt;0,Assumptions!$C$17,C32591)</f>
        <v>99</v>
      </c>
    </row>
    <row r="32647" customFormat="false" ht="15" hidden="false" customHeight="false" outlineLevel="0" collapsed="false">
      <c r="A32647" s="3" t="s">
        <v>557</v>
      </c>
      <c r="C32647" s="21" t="n">
        <f aca="false">IF(C32603&gt;0,Assumptions!$C$17,C32592)</f>
        <v>99</v>
      </c>
    </row>
    <row r="32648" customFormat="false" ht="15" hidden="false" customHeight="false" outlineLevel="0" collapsed="false">
      <c r="A32648" s="3" t="s">
        <v>558</v>
      </c>
      <c r="C32648" s="21" t="n">
        <f aca="false">IF(C32604&gt;0,Assumptions!$C$17,C32593)</f>
        <v>99</v>
      </c>
    </row>
    <row r="32649" customFormat="false" ht="15" hidden="false" customHeight="false" outlineLevel="0" collapsed="false">
      <c r="A32649" s="3" t="s">
        <v>559</v>
      </c>
      <c r="C32649" s="21" t="n">
        <f aca="false">IF(C32605&gt;0,Assumptions!$C$17,C32594)</f>
        <v>2</v>
      </c>
    </row>
    <row r="32650" customFormat="false" ht="15" hidden="false" customHeight="false" outlineLevel="0" collapsed="false">
      <c r="A32650" s="3" t="s">
        <v>560</v>
      </c>
      <c r="C32650" s="21" t="n">
        <f aca="false">IF(C32606&gt;0,Assumptions!$C$17,C32595)</f>
        <v>2</v>
      </c>
    </row>
    <row r="32651" customFormat="false" ht="15" hidden="false" customHeight="false" outlineLevel="0" collapsed="false">
      <c r="A32651" s="3" t="s">
        <v>561</v>
      </c>
      <c r="C32651" s="21" t="n">
        <f aca="false">IF(C32607&gt;0,Assumptions!$C$17,C32596)</f>
        <v>2</v>
      </c>
    </row>
    <row r="32652" customFormat="false" ht="15" hidden="false" customHeight="false" outlineLevel="0" collapsed="false">
      <c r="A32652" s="3" t="s">
        <v>562</v>
      </c>
      <c r="C32652" s="21" t="n">
        <f aca="false">IF(C32608&gt;0,Assumptions!$C$17,C32597)</f>
        <v>2</v>
      </c>
    </row>
    <row r="32653" customFormat="false" ht="15" hidden="false" customHeight="false" outlineLevel="0" collapsed="false">
      <c r="A32653" s="3" t="s">
        <v>563</v>
      </c>
      <c r="C32653" s="21" t="n">
        <f aca="false">IF(C32609&gt;0,Assumptions!$C$17,C32598)</f>
        <v>2</v>
      </c>
    </row>
    <row r="32654" customFormat="false" ht="15" hidden="false" customHeight="false" outlineLevel="0" collapsed="false">
      <c r="A32654" s="3" t="s">
        <v>564</v>
      </c>
      <c r="C32654" s="21" t="n">
        <f aca="false">IF(C32610&gt;0,Assumptions!$C$17,C32599)</f>
        <v>2</v>
      </c>
    </row>
    <row r="32655" customFormat="false" ht="15" hidden="false" customHeight="false" outlineLevel="0" collapsed="false">
      <c r="A32655" s="3" t="s">
        <v>565</v>
      </c>
      <c r="C32655" s="21" t="n">
        <f aca="false">IF(C32611&gt;0,Assumptions!$C$17,C32600)</f>
        <v>3</v>
      </c>
    </row>
    <row r="32656" customFormat="false" ht="15" hidden="false" customHeight="false" outlineLevel="0" collapsed="false">
      <c r="A32656" s="24" t="s">
        <v>572</v>
      </c>
      <c r="B32656" s="25"/>
      <c r="C32656" s="25"/>
      <c r="D32656" s="25"/>
      <c r="E32656" s="25"/>
      <c r="F32656" s="25"/>
      <c r="G32656" s="25"/>
      <c r="H32656" s="25"/>
      <c r="I32656" s="25"/>
      <c r="J32656" s="25"/>
      <c r="K32656" s="25"/>
    </row>
    <row r="32657" customFormat="false" ht="15" hidden="false" customHeight="false" outlineLevel="0" collapsed="false">
      <c r="A32657" s="3" t="s">
        <v>556</v>
      </c>
      <c r="C32657" s="16" t="n">
        <f aca="false">SUMPRODUCT(($C$32646:$C$32655&lt;C32646)*$C$32635:$C$32644)</f>
        <v>2103.12909355586</v>
      </c>
    </row>
    <row r="32658" customFormat="false" ht="15" hidden="false" customHeight="false" outlineLevel="0" collapsed="false">
      <c r="A32658" s="3" t="s">
        <v>557</v>
      </c>
      <c r="C32658" s="16" t="n">
        <f aca="false">SUMPRODUCT(($C$32646:$C$32655&lt;C32647)*$C$32635:$C$32644)</f>
        <v>2103.12909355586</v>
      </c>
    </row>
    <row r="32659" customFormat="false" ht="15" hidden="false" customHeight="false" outlineLevel="0" collapsed="false">
      <c r="A32659" s="3" t="s">
        <v>558</v>
      </c>
      <c r="C32659" s="16" t="n">
        <f aca="false">SUMPRODUCT(($C$32646:$C$32655&lt;C32648)*$C$32635:$C$32644)</f>
        <v>2103.12909355586</v>
      </c>
    </row>
    <row r="32660" customFormat="false" ht="15" hidden="false" customHeight="false" outlineLevel="0" collapsed="false">
      <c r="A32660" s="3" t="s">
        <v>559</v>
      </c>
      <c r="C32660" s="16" t="n">
        <f aca="false">SUMPRODUCT(($C$32646:$C$32655&lt;C32649)*$C$32635:$C$32644)</f>
        <v>0</v>
      </c>
    </row>
    <row r="32661" customFormat="false" ht="15" hidden="false" customHeight="false" outlineLevel="0" collapsed="false">
      <c r="A32661" s="3" t="s">
        <v>560</v>
      </c>
      <c r="C32661" s="16" t="n">
        <f aca="false">SUMPRODUCT(($C$32646:$C$32655&lt;C32650)*$C$32635:$C$32644)</f>
        <v>0</v>
      </c>
    </row>
    <row r="32662" customFormat="false" ht="15" hidden="false" customHeight="false" outlineLevel="0" collapsed="false">
      <c r="A32662" s="3" t="s">
        <v>561</v>
      </c>
      <c r="C32662" s="16" t="n">
        <f aca="false">SUMPRODUCT(($C$32646:$C$32655&lt;C32651)*$C$32635:$C$32644)</f>
        <v>0</v>
      </c>
    </row>
    <row r="32663" customFormat="false" ht="15" hidden="false" customHeight="false" outlineLevel="0" collapsed="false">
      <c r="A32663" s="3" t="s">
        <v>562</v>
      </c>
      <c r="C32663" s="16" t="n">
        <f aca="false">SUMPRODUCT(($C$32646:$C$32655&lt;C32652)*$C$32635:$C$32644)</f>
        <v>0</v>
      </c>
    </row>
    <row r="32664" customFormat="false" ht="15" hidden="false" customHeight="false" outlineLevel="0" collapsed="false">
      <c r="A32664" s="3" t="s">
        <v>563</v>
      </c>
      <c r="C32664" s="16" t="n">
        <f aca="false">SUMPRODUCT(($C$32646:$C$32655&lt;C32653)*$C$32635:$C$32644)</f>
        <v>0</v>
      </c>
    </row>
    <row r="32665" customFormat="false" ht="15" hidden="false" customHeight="false" outlineLevel="0" collapsed="false">
      <c r="A32665" s="3" t="s">
        <v>564</v>
      </c>
      <c r="C32665" s="16" t="n">
        <f aca="false">SUMPRODUCT(($C$32646:$C$32655&lt;C32654)*$C$32635:$C$32644)</f>
        <v>0</v>
      </c>
    </row>
    <row r="32666" customFormat="false" ht="15" hidden="false" customHeight="false" outlineLevel="0" collapsed="false">
      <c r="A32666" s="3" t="s">
        <v>565</v>
      </c>
      <c r="C32666" s="16" t="n">
        <f aca="false">SUMPRODUCT(($C$32646:$C$32655&lt;C32655)*$C$32635:$C$32644)</f>
        <v>2024.51909355586</v>
      </c>
    </row>
    <row r="32667" customFormat="false" ht="15" hidden="false" customHeight="false" outlineLevel="0" collapsed="false">
      <c r="A32667" s="24" t="s">
        <v>573</v>
      </c>
      <c r="B32667" s="25"/>
      <c r="C32667" s="25"/>
      <c r="D32667" s="25"/>
      <c r="E32667" s="25"/>
      <c r="F32667" s="25"/>
      <c r="G32667" s="25"/>
      <c r="H32667" s="25"/>
      <c r="I32667" s="25"/>
      <c r="J32667" s="25"/>
      <c r="K32667" s="25"/>
    </row>
    <row r="32668" customFormat="false" ht="15" hidden="false" customHeight="false" outlineLevel="0" collapsed="false">
      <c r="A32668" s="3" t="s">
        <v>556</v>
      </c>
      <c r="C32668" s="16" t="n">
        <f aca="false">SUMPRODUCT(($C$32646:$C$32655=C32646)*$C$32635:$C$32644)</f>
        <v>0</v>
      </c>
    </row>
    <row r="32669" customFormat="false" ht="15" hidden="false" customHeight="false" outlineLevel="0" collapsed="false">
      <c r="A32669" s="3" t="s">
        <v>557</v>
      </c>
      <c r="C32669" s="16" t="n">
        <f aca="false">SUMPRODUCT(($C$32646:$C$32655=C32647)*$C$32635:$C$32644)</f>
        <v>0</v>
      </c>
    </row>
    <row r="32670" customFormat="false" ht="15" hidden="false" customHeight="false" outlineLevel="0" collapsed="false">
      <c r="A32670" s="3" t="s">
        <v>558</v>
      </c>
      <c r="C32670" s="16" t="n">
        <f aca="false">SUMPRODUCT(($C$32646:$C$32655=C32648)*$C$32635:$C$32644)</f>
        <v>0</v>
      </c>
    </row>
    <row r="32671" customFormat="false" ht="15" hidden="false" customHeight="false" outlineLevel="0" collapsed="false">
      <c r="A32671" s="3" t="s">
        <v>559</v>
      </c>
      <c r="C32671" s="16" t="n">
        <f aca="false">SUMPRODUCT(($C$32646:$C$32655=C32649)*$C$32635:$C$32644)</f>
        <v>2024.51909355586</v>
      </c>
    </row>
    <row r="32672" customFormat="false" ht="15" hidden="false" customHeight="false" outlineLevel="0" collapsed="false">
      <c r="A32672" s="3" t="s">
        <v>560</v>
      </c>
      <c r="C32672" s="16" t="n">
        <f aca="false">SUMPRODUCT(($C$32646:$C$32655=C32650)*$C$32635:$C$32644)</f>
        <v>2024.51909355586</v>
      </c>
    </row>
    <row r="32673" customFormat="false" ht="15" hidden="false" customHeight="false" outlineLevel="0" collapsed="false">
      <c r="A32673" s="3" t="s">
        <v>561</v>
      </c>
      <c r="C32673" s="16" t="n">
        <f aca="false">SUMPRODUCT(($C$32646:$C$32655=C32651)*$C$32635:$C$32644)</f>
        <v>2024.51909355586</v>
      </c>
    </row>
    <row r="32674" customFormat="false" ht="15" hidden="false" customHeight="false" outlineLevel="0" collapsed="false">
      <c r="A32674" s="3" t="s">
        <v>562</v>
      </c>
      <c r="C32674" s="16" t="n">
        <f aca="false">SUMPRODUCT(($C$32646:$C$32655=C32652)*$C$32635:$C$32644)</f>
        <v>2024.51909355586</v>
      </c>
    </row>
    <row r="32675" customFormat="false" ht="15" hidden="false" customHeight="false" outlineLevel="0" collapsed="false">
      <c r="A32675" s="3" t="s">
        <v>563</v>
      </c>
      <c r="C32675" s="16" t="n">
        <f aca="false">SUMPRODUCT(($C$32646:$C$32655=C32653)*$C$32635:$C$32644)</f>
        <v>2024.51909355586</v>
      </c>
    </row>
    <row r="32676" customFormat="false" ht="15" hidden="false" customHeight="false" outlineLevel="0" collapsed="false">
      <c r="A32676" s="3" t="s">
        <v>564</v>
      </c>
      <c r="C32676" s="16" t="n">
        <f aca="false">SUMPRODUCT(($C$32646:$C$32655=C32654)*$C$32635:$C$32644)</f>
        <v>2024.51909355586</v>
      </c>
    </row>
    <row r="32677" customFormat="false" ht="15" hidden="false" customHeight="false" outlineLevel="0" collapsed="false">
      <c r="A32677" s="3" t="s">
        <v>565</v>
      </c>
      <c r="C32677" s="16" t="n">
        <f aca="false">SUMPRODUCT(($C$32646:$C$32655=C32655)*$C$32635:$C$32644)</f>
        <v>78.61</v>
      </c>
    </row>
    <row r="32678" customFormat="false" ht="15" hidden="false" customHeight="false" outlineLevel="0" collapsed="false">
      <c r="A32678" s="24" t="s">
        <v>574</v>
      </c>
      <c r="B32678" s="25"/>
      <c r="C32678" s="25"/>
      <c r="D32678" s="25"/>
      <c r="E32678" s="25"/>
      <c r="F32678" s="25"/>
      <c r="G32678" s="25"/>
      <c r="H32678" s="25"/>
      <c r="I32678" s="25"/>
      <c r="J32678" s="25"/>
      <c r="K32678" s="25"/>
    </row>
    <row r="32679" customFormat="false" ht="15" hidden="false" customHeight="false" outlineLevel="0" collapsed="false">
      <c r="A32679" s="3" t="s">
        <v>556</v>
      </c>
      <c r="C32679" s="16" t="n">
        <f aca="false">IF(C32668=0,0,C32635/C32668*MAX(0,MIN(C32668,$C$32578-SUM($C$32613:$C$32622)-C32657)))</f>
        <v>0</v>
      </c>
    </row>
    <row r="32680" customFormat="false" ht="15" hidden="false" customHeight="false" outlineLevel="0" collapsed="false">
      <c r="A32680" s="3" t="s">
        <v>557</v>
      </c>
      <c r="C32680" s="16" t="n">
        <f aca="false">IF(C32669=0,0,C32636/C32669*MAX(0,MIN(C32669,$C$32578-SUM($C$32613:$C$32622)-C32658)))</f>
        <v>0</v>
      </c>
    </row>
    <row r="32681" customFormat="false" ht="15" hidden="false" customHeight="false" outlineLevel="0" collapsed="false">
      <c r="A32681" s="3" t="s">
        <v>558</v>
      </c>
      <c r="C32681" s="16" t="n">
        <f aca="false">IF(C32670=0,0,C32637/C32670*MAX(0,MIN(C32670,$C$32578-SUM($C$32613:$C$32622)-C32659)))</f>
        <v>0</v>
      </c>
    </row>
    <row r="32682" customFormat="false" ht="15" hidden="false" customHeight="false" outlineLevel="0" collapsed="false">
      <c r="A32682" s="3" t="s">
        <v>559</v>
      </c>
      <c r="C32682" s="16" t="n">
        <f aca="false">IF(C32671=0,0,C32638/C32671*MAX(0,MIN(C32671,$C$32578-SUM($C$32613:$C$32622)-C32660)))</f>
        <v>66.796942182056</v>
      </c>
    </row>
    <row r="32683" customFormat="false" ht="15" hidden="false" customHeight="false" outlineLevel="0" collapsed="false">
      <c r="A32683" s="3" t="s">
        <v>560</v>
      </c>
      <c r="C32683" s="16" t="n">
        <f aca="false">IF(C32672=0,0,C32639/C32672*MAX(0,MIN(C32672,$C$32578-SUM($C$32613:$C$32622)-C32661)))</f>
        <v>407.7221513738</v>
      </c>
    </row>
    <row r="32684" customFormat="false" ht="15" hidden="false" customHeight="false" outlineLevel="0" collapsed="false">
      <c r="A32684" s="3" t="s">
        <v>561</v>
      </c>
      <c r="C32684" s="16" t="n">
        <f aca="false">IF(C32673=0,0,C32640/C32673*MAX(0,MIN(C32673,$C$32578-SUM($C$32613:$C$32622)-C32662)))</f>
        <v>350</v>
      </c>
    </row>
    <row r="32685" customFormat="false" ht="15" hidden="false" customHeight="false" outlineLevel="0" collapsed="false">
      <c r="A32685" s="3" t="s">
        <v>562</v>
      </c>
      <c r="C32685" s="16" t="n">
        <f aca="false">IF(C32674=0,0,C32641/C32674*MAX(0,MIN(C32674,$C$32578-SUM($C$32613:$C$32622)-C32663)))</f>
        <v>550</v>
      </c>
    </row>
    <row r="32686" customFormat="false" ht="15" hidden="false" customHeight="false" outlineLevel="0" collapsed="false">
      <c r="A32686" s="3" t="s">
        <v>563</v>
      </c>
      <c r="C32686" s="16" t="n">
        <f aca="false">IF(C32675=0,0,C32642/C32675*MAX(0,MIN(C32675,$C$32578-SUM($C$32613:$C$32622)-C32664)))</f>
        <v>350</v>
      </c>
    </row>
    <row r="32687" customFormat="false" ht="15" hidden="false" customHeight="false" outlineLevel="0" collapsed="false">
      <c r="A32687" s="3" t="s">
        <v>564</v>
      </c>
      <c r="C32687" s="16" t="n">
        <f aca="false">IF(C32676=0,0,C32643/C32676*MAX(0,MIN(C32676,$C$32578-SUM($C$32613:$C$32622)-C32665)))</f>
        <v>300</v>
      </c>
    </row>
    <row r="32688" customFormat="false" ht="15" hidden="false" customHeight="false" outlineLevel="0" collapsed="false">
      <c r="A32688" s="3" t="s">
        <v>565</v>
      </c>
      <c r="C32688" s="16" t="n">
        <f aca="false">IF(C32677=0,0,C32644/C32677*MAX(0,MIN(C32677,$C$32578-SUM($C$32613:$C$32622)-C32666)))</f>
        <v>78.61</v>
      </c>
    </row>
    <row r="32689" customFormat="false" ht="15" hidden="false" customHeight="false" outlineLevel="0" collapsed="false">
      <c r="A32689" s="24" t="s">
        <v>575</v>
      </c>
      <c r="B32689" s="25"/>
      <c r="C32689" s="25"/>
      <c r="D32689" s="25"/>
      <c r="E32689" s="25"/>
      <c r="F32689" s="25"/>
      <c r="G32689" s="25"/>
      <c r="H32689" s="25"/>
      <c r="I32689" s="25"/>
      <c r="J32689" s="25"/>
      <c r="K32689" s="25"/>
    </row>
    <row r="32690" customFormat="false" ht="15" hidden="false" customHeight="false" outlineLevel="0" collapsed="false">
      <c r="A32690" s="2" t="s">
        <v>556</v>
      </c>
      <c r="C32690" s="17" t="n">
        <f aca="false">C32613+C32679</f>
        <v>388</v>
      </c>
    </row>
    <row r="32691" customFormat="false" ht="15" hidden="false" customHeight="false" outlineLevel="0" collapsed="false">
      <c r="A32691" s="2" t="s">
        <v>557</v>
      </c>
      <c r="C32691" s="17" t="n">
        <f aca="false">C32614+C32680</f>
        <v>90</v>
      </c>
    </row>
    <row r="32692" customFormat="false" ht="15" hidden="false" customHeight="false" outlineLevel="0" collapsed="false">
      <c r="A32692" s="2" t="s">
        <v>558</v>
      </c>
      <c r="C32692" s="17" t="n">
        <f aca="false">C32615+C32681</f>
        <v>57.324</v>
      </c>
    </row>
    <row r="32693" customFormat="false" ht="15" hidden="false" customHeight="false" outlineLevel="0" collapsed="false">
      <c r="A32693" s="2" t="s">
        <v>559</v>
      </c>
      <c r="C32693" s="17" t="n">
        <f aca="false">C32616+C32682</f>
        <v>66.796942182056</v>
      </c>
    </row>
    <row r="32694" customFormat="false" ht="15" hidden="false" customHeight="false" outlineLevel="0" collapsed="false">
      <c r="A32694" s="2" t="s">
        <v>560</v>
      </c>
      <c r="C32694" s="17" t="n">
        <f aca="false">C32617+C32683</f>
        <v>407.7221513738</v>
      </c>
    </row>
    <row r="32695" customFormat="false" ht="15" hidden="false" customHeight="false" outlineLevel="0" collapsed="false">
      <c r="A32695" s="2" t="s">
        <v>561</v>
      </c>
      <c r="C32695" s="17" t="n">
        <f aca="false">C32618+C32684</f>
        <v>350</v>
      </c>
    </row>
    <row r="32696" customFormat="false" ht="15" hidden="false" customHeight="false" outlineLevel="0" collapsed="false">
      <c r="A32696" s="2" t="s">
        <v>562</v>
      </c>
      <c r="C32696" s="17" t="n">
        <f aca="false">C32619+C32685</f>
        <v>550</v>
      </c>
    </row>
    <row r="32697" customFormat="false" ht="15" hidden="false" customHeight="false" outlineLevel="0" collapsed="false">
      <c r="A32697" s="2" t="s">
        <v>563</v>
      </c>
      <c r="C32697" s="17" t="n">
        <f aca="false">C32620+C32686</f>
        <v>350</v>
      </c>
    </row>
    <row r="32698" customFormat="false" ht="15" hidden="false" customHeight="false" outlineLevel="0" collapsed="false">
      <c r="A32698" s="2" t="s">
        <v>564</v>
      </c>
      <c r="C32698" s="17" t="n">
        <f aca="false">C32621+C32687</f>
        <v>300</v>
      </c>
    </row>
    <row r="32699" customFormat="false" ht="15" hidden="false" customHeight="false" outlineLevel="0" collapsed="false">
      <c r="A32699" s="2" t="s">
        <v>565</v>
      </c>
      <c r="C32699" s="17" t="n">
        <f aca="false">C32622+C32688</f>
        <v>78.61</v>
      </c>
    </row>
    <row r="32700" customFormat="false" ht="15" hidden="false" customHeight="false" outlineLevel="0" collapsed="false">
      <c r="A32700" s="24" t="s">
        <v>576</v>
      </c>
      <c r="B32700" s="25"/>
      <c r="C32700" s="25"/>
      <c r="D32700" s="25"/>
      <c r="E32700" s="25"/>
      <c r="F32700" s="25"/>
      <c r="G32700" s="25"/>
      <c r="H32700" s="25"/>
      <c r="I32700" s="25"/>
      <c r="J32700" s="25"/>
      <c r="K32700" s="25"/>
    </row>
    <row r="32701" customFormat="false" ht="15" hidden="false" customHeight="false" outlineLevel="0" collapsed="false">
      <c r="A32701" s="3" t="s">
        <v>556</v>
      </c>
      <c r="C32701" s="22" t="n">
        <f aca="false">IF(C32580=0,1,C32690/C32580)</f>
        <v>1</v>
      </c>
    </row>
    <row r="32702" customFormat="false" ht="15" hidden="false" customHeight="false" outlineLevel="0" collapsed="false">
      <c r="A32702" s="3" t="s">
        <v>557</v>
      </c>
      <c r="C32702" s="22" t="n">
        <f aca="false">IF(C32581=0,1,C32691/C32581)</f>
        <v>1</v>
      </c>
    </row>
    <row r="32703" customFormat="false" ht="15" hidden="false" customHeight="false" outlineLevel="0" collapsed="false">
      <c r="A32703" s="3" t="s">
        <v>558</v>
      </c>
      <c r="C32703" s="22" t="n">
        <f aca="false">IF(C32582=0,1,C32692/C32582)</f>
        <v>1</v>
      </c>
    </row>
    <row r="32704" customFormat="false" ht="15" hidden="false" customHeight="false" outlineLevel="0" collapsed="false">
      <c r="A32704" s="3" t="s">
        <v>559</v>
      </c>
      <c r="C32704" s="22" t="n">
        <f aca="false">IF(C32583=0,1,C32693/C32583)</f>
        <v>1</v>
      </c>
    </row>
    <row r="32705" customFormat="false" ht="15" hidden="false" customHeight="false" outlineLevel="0" collapsed="false">
      <c r="A32705" s="3" t="s">
        <v>560</v>
      </c>
      <c r="C32705" s="22" t="n">
        <f aca="false">IF(C32584=0,1,C32694/C32584)</f>
        <v>1</v>
      </c>
    </row>
    <row r="32706" customFormat="false" ht="15" hidden="false" customHeight="false" outlineLevel="0" collapsed="false">
      <c r="A32706" s="3" t="s">
        <v>561</v>
      </c>
      <c r="C32706" s="22" t="n">
        <f aca="false">IF(C32585=0,1,C32695/C32585)</f>
        <v>1</v>
      </c>
    </row>
    <row r="32707" customFormat="false" ht="15" hidden="false" customHeight="false" outlineLevel="0" collapsed="false">
      <c r="A32707" s="3" t="s">
        <v>562</v>
      </c>
      <c r="C32707" s="22" t="n">
        <f aca="false">IF(C32586=0,1,C32696/C32586)</f>
        <v>1</v>
      </c>
    </row>
    <row r="32708" customFormat="false" ht="15" hidden="false" customHeight="false" outlineLevel="0" collapsed="false">
      <c r="A32708" s="3" t="s">
        <v>563</v>
      </c>
      <c r="C32708" s="22" t="n">
        <f aca="false">IF(C32587=0,1,C32697/C32587)</f>
        <v>1</v>
      </c>
    </row>
    <row r="32709" customFormat="false" ht="15" hidden="false" customHeight="false" outlineLevel="0" collapsed="false">
      <c r="A32709" s="3" t="s">
        <v>564</v>
      </c>
      <c r="C32709" s="22" t="n">
        <f aca="false">IF(C32588=0,1,C32698/C32588)</f>
        <v>1</v>
      </c>
    </row>
    <row r="32710" customFormat="false" ht="15" hidden="false" customHeight="false" outlineLevel="0" collapsed="false">
      <c r="A32710" s="3" t="s">
        <v>565</v>
      </c>
      <c r="C32710" s="22" t="n">
        <f aca="false">IF(C32589=0,1,C32699/C32589)</f>
        <v>1</v>
      </c>
    </row>
    <row r="32711" customFormat="false" ht="15" hidden="false" customHeight="false" outlineLevel="0" collapsed="false">
      <c r="A32711" s="24" t="s">
        <v>577</v>
      </c>
      <c r="B32711" s="25"/>
      <c r="C32711" s="25"/>
      <c r="D32711" s="25"/>
      <c r="E32711" s="25"/>
      <c r="F32711" s="25"/>
      <c r="G32711" s="25"/>
      <c r="H32711" s="25"/>
      <c r="I32711" s="25"/>
      <c r="J32711" s="25"/>
      <c r="K32711" s="25"/>
    </row>
    <row r="32712" customFormat="false" ht="15" hidden="false" customHeight="false" outlineLevel="0" collapsed="false">
      <c r="A32712" s="3" t="s">
        <v>556</v>
      </c>
      <c r="C32712" s="16" t="n">
        <f aca="false">C32580-C32690</f>
        <v>0</v>
      </c>
    </row>
    <row r="32713" customFormat="false" ht="15" hidden="false" customHeight="false" outlineLevel="0" collapsed="false">
      <c r="A32713" s="3" t="s">
        <v>557</v>
      </c>
      <c r="C32713" s="16" t="n">
        <f aca="false">C32581-C32691</f>
        <v>0</v>
      </c>
    </row>
    <row r="32714" customFormat="false" ht="15" hidden="false" customHeight="false" outlineLevel="0" collapsed="false">
      <c r="A32714" s="3" t="s">
        <v>558</v>
      </c>
      <c r="C32714" s="16" t="n">
        <f aca="false">C32582-C32692</f>
        <v>0</v>
      </c>
    </row>
    <row r="32715" customFormat="false" ht="15" hidden="false" customHeight="false" outlineLevel="0" collapsed="false">
      <c r="A32715" s="3" t="s">
        <v>559</v>
      </c>
      <c r="C32715" s="16" t="n">
        <f aca="false">C32583-C32693</f>
        <v>0</v>
      </c>
    </row>
    <row r="32716" customFormat="false" ht="15" hidden="false" customHeight="false" outlineLevel="0" collapsed="false">
      <c r="A32716" s="3" t="s">
        <v>560</v>
      </c>
      <c r="C32716" s="16" t="n">
        <f aca="false">C32584-C32694</f>
        <v>0</v>
      </c>
    </row>
    <row r="32717" customFormat="false" ht="15" hidden="false" customHeight="false" outlineLevel="0" collapsed="false">
      <c r="A32717" s="3" t="s">
        <v>561</v>
      </c>
      <c r="C32717" s="16" t="n">
        <f aca="false">C32585-C32695</f>
        <v>0</v>
      </c>
    </row>
    <row r="32718" customFormat="false" ht="15" hidden="false" customHeight="false" outlineLevel="0" collapsed="false">
      <c r="A32718" s="3" t="s">
        <v>562</v>
      </c>
      <c r="C32718" s="16" t="n">
        <f aca="false">C32586-C32696</f>
        <v>0</v>
      </c>
    </row>
    <row r="32719" customFormat="false" ht="15" hidden="false" customHeight="false" outlineLevel="0" collapsed="false">
      <c r="A32719" s="3" t="s">
        <v>563</v>
      </c>
      <c r="C32719" s="16" t="n">
        <f aca="false">C32587-C32697</f>
        <v>0</v>
      </c>
    </row>
    <row r="32720" customFormat="false" ht="15" hidden="false" customHeight="false" outlineLevel="0" collapsed="false">
      <c r="A32720" s="3" t="s">
        <v>564</v>
      </c>
      <c r="C32720" s="16" t="n">
        <f aca="false">C32588-C32698</f>
        <v>0</v>
      </c>
    </row>
    <row r="32721" customFormat="false" ht="15" hidden="false" customHeight="false" outlineLevel="0" collapsed="false">
      <c r="A32721" s="3" t="s">
        <v>565</v>
      </c>
      <c r="C32721" s="16" t="n">
        <f aca="false">C32589-C32699</f>
        <v>0</v>
      </c>
    </row>
    <row r="32722" customFormat="false" ht="15" hidden="false" customHeight="false" outlineLevel="0" collapsed="false">
      <c r="A32722" s="24" t="s">
        <v>578</v>
      </c>
      <c r="B32722" s="25"/>
      <c r="C32722" s="25"/>
      <c r="D32722" s="25"/>
      <c r="E32722" s="25"/>
      <c r="F32722" s="25"/>
      <c r="G32722" s="25"/>
      <c r="H32722" s="25"/>
      <c r="I32722" s="25"/>
      <c r="J32722" s="25"/>
      <c r="K32722" s="25"/>
    </row>
    <row r="32723" customFormat="false" ht="15" hidden="false" customHeight="false" outlineLevel="0" collapsed="false">
      <c r="A32723" s="3" t="s">
        <v>556</v>
      </c>
      <c r="C32723" s="22" t="n">
        <f aca="false">IF(C32580=0,0,C32712/C32580)</f>
        <v>0</v>
      </c>
    </row>
    <row r="32724" customFormat="false" ht="15" hidden="false" customHeight="false" outlineLevel="0" collapsed="false">
      <c r="A32724" s="3" t="s">
        <v>557</v>
      </c>
      <c r="C32724" s="22" t="n">
        <f aca="false">IF(C32581=0,0,C32713/C32581)</f>
        <v>0</v>
      </c>
    </row>
    <row r="32725" customFormat="false" ht="15" hidden="false" customHeight="false" outlineLevel="0" collapsed="false">
      <c r="A32725" s="3" t="s">
        <v>558</v>
      </c>
      <c r="C32725" s="22" t="n">
        <f aca="false">IF(C32582=0,0,C32714/C32582)</f>
        <v>0</v>
      </c>
    </row>
    <row r="32726" customFormat="false" ht="15" hidden="false" customHeight="false" outlineLevel="0" collapsed="false">
      <c r="A32726" s="3" t="s">
        <v>559</v>
      </c>
      <c r="C32726" s="22" t="n">
        <f aca="false">IF(C32583=0,0,C32715/C32583)</f>
        <v>0</v>
      </c>
    </row>
    <row r="32727" customFormat="false" ht="15" hidden="false" customHeight="false" outlineLevel="0" collapsed="false">
      <c r="A32727" s="3" t="s">
        <v>560</v>
      </c>
      <c r="C32727" s="22" t="n">
        <f aca="false">IF(C32584=0,0,C32716/C32584)</f>
        <v>0</v>
      </c>
    </row>
    <row r="32728" customFormat="false" ht="15" hidden="false" customHeight="false" outlineLevel="0" collapsed="false">
      <c r="A32728" s="3" t="s">
        <v>561</v>
      </c>
      <c r="C32728" s="22" t="n">
        <f aca="false">IF(C32585=0,0,C32717/C32585)</f>
        <v>0</v>
      </c>
    </row>
    <row r="32729" customFormat="false" ht="15" hidden="false" customHeight="false" outlineLevel="0" collapsed="false">
      <c r="A32729" s="3" t="s">
        <v>562</v>
      </c>
      <c r="C32729" s="22" t="n">
        <f aca="false">IF(C32586=0,0,C32718/C32586)</f>
        <v>0</v>
      </c>
    </row>
    <row r="32730" customFormat="false" ht="15" hidden="false" customHeight="false" outlineLevel="0" collapsed="false">
      <c r="A32730" s="3" t="s">
        <v>563</v>
      </c>
      <c r="C32730" s="22" t="n">
        <f aca="false">IF(C32587=0,0,C32719/C32587)</f>
        <v>0</v>
      </c>
    </row>
    <row r="32731" customFormat="false" ht="15" hidden="false" customHeight="false" outlineLevel="0" collapsed="false">
      <c r="A32731" s="3" t="s">
        <v>564</v>
      </c>
      <c r="C32731" s="22" t="n">
        <f aca="false">IF(C32588=0,0,C32720/C32588)</f>
        <v>0</v>
      </c>
    </row>
    <row r="32732" customFormat="false" ht="15" hidden="false" customHeight="false" outlineLevel="0" collapsed="false">
      <c r="A32732" s="3" t="s">
        <v>565</v>
      </c>
      <c r="C32732" s="22" t="n">
        <f aca="false">IF(C32589=0,0,C32721/C32589)</f>
        <v>0</v>
      </c>
    </row>
    <row r="32733" customFormat="false" ht="15" hidden="false" customHeight="false" outlineLevel="0" collapsed="false">
      <c r="A32733" s="2" t="s">
        <v>579</v>
      </c>
      <c r="C32733" s="17" t="n">
        <f aca="false">MAX(0,$C$32578-SUM($C$32613:$C$32622)-SUM($C$32635:$C$32644))</f>
        <v>730.771201087744</v>
      </c>
    </row>
    <row r="32734" customFormat="false" ht="15" hidden="false" customHeight="false" outlineLevel="0" collapsed="false">
      <c r="A32734" s="3" t="s">
        <v>597</v>
      </c>
      <c r="C32734" s="35" t="n">
        <f aca="false">MIN(C32577,100*CHOOSE(C32567,C32701,C32702,C32703,C32704,C32705,C32706,C32707,C32708,C32709,C32710))</f>
        <v>100</v>
      </c>
    </row>
    <row r="32735" customFormat="false" ht="15" hidden="false" customHeight="false" outlineLevel="0" collapsed="false">
      <c r="A32735" s="3" t="s">
        <v>598</v>
      </c>
      <c r="C32735" s="21" t="n">
        <f aca="false">IF(C32399=1,C32572+Assumptions!$C$40,C32571)</f>
        <v>3</v>
      </c>
    </row>
    <row r="32736" customFormat="false" ht="15" hidden="false" customHeight="false" outlineLevel="0" collapsed="false">
      <c r="A32736" s="24" t="s">
        <v>599</v>
      </c>
      <c r="B32736" s="25"/>
      <c r="C32736" s="25"/>
      <c r="D32736" s="25"/>
      <c r="E32736" s="25"/>
      <c r="F32736" s="25"/>
      <c r="G32736" s="25"/>
      <c r="H32736" s="25"/>
      <c r="I32736" s="25"/>
      <c r="J32736" s="25"/>
      <c r="K32736" s="25"/>
    </row>
    <row r="32737" customFormat="false" ht="15" hidden="false" customHeight="false" outlineLevel="0" collapsed="false">
      <c r="A32737" s="3" t="s">
        <v>600</v>
      </c>
      <c r="C32737" s="21" t="n">
        <f aca="false">COLUMN()-COLUMN($C$1)</f>
        <v>0</v>
      </c>
      <c r="D32737" s="21" t="n">
        <f aca="false">COLUMN()-COLUMN($C$1)</f>
        <v>1</v>
      </c>
      <c r="E32737" s="21" t="n">
        <f aca="false">COLUMN()-COLUMN($C$1)</f>
        <v>2</v>
      </c>
      <c r="F32737" s="21" t="n">
        <f aca="false">COLUMN()-COLUMN($C$1)</f>
        <v>3</v>
      </c>
      <c r="G32737" s="21" t="n">
        <f aca="false">COLUMN()-COLUMN($C$1)</f>
        <v>4</v>
      </c>
      <c r="H32737" s="21" t="n">
        <f aca="false">COLUMN()-COLUMN($C$1)</f>
        <v>5</v>
      </c>
      <c r="I32737" s="21" t="n">
        <f aca="false">COLUMN()-COLUMN($C$1)</f>
        <v>6</v>
      </c>
    </row>
    <row r="32738" customFormat="false" ht="15" hidden="false" customHeight="false" outlineLevel="0" collapsed="false">
      <c r="A32738" s="3" t="s">
        <v>601</v>
      </c>
      <c r="D32738" s="31" t="n">
        <f aca="false">CHOOSE($C$32567,G32147,G32160,G32173,G32186,G32199,G32212,G32225,G32238,G32251,G32264)</f>
        <v>0.0915</v>
      </c>
      <c r="E32738" s="31" t="n">
        <f aca="false">CHOOSE($C$32567,H32147,H32160,H32173,H32186,H32199,H32212,H32225,H32238,H32251,H32264)</f>
        <v>0.09</v>
      </c>
      <c r="F32738" s="31" t="n">
        <f aca="false">CHOOSE($C$32567,I32147,I32160,I32173,I32186,I32199,I32212,I32225,I32238,I32251,I32264)</f>
        <v>0.0875</v>
      </c>
      <c r="G32738" s="31" t="n">
        <f aca="false">CHOOSE($C$32567,J32147,J32160,J32173,J32186,J32199,J32212,J32225,J32238,J32251,J32264)</f>
        <v>0.0875</v>
      </c>
      <c r="H32738" s="31" t="n">
        <f aca="false">CHOOSE($C$32567,K32147,K32160,K32173,K32186,K32199,K32212,K32225,K32238,K32251,K32264)</f>
        <v>0.0875</v>
      </c>
    </row>
    <row r="32739" customFormat="false" ht="15" hidden="false" customHeight="false" outlineLevel="0" collapsed="false">
      <c r="A32739" s="3" t="s">
        <v>602</v>
      </c>
      <c r="D32739" s="16" t="n">
        <f aca="false">IF(D32737&lt;=$C$32576,$C$32568*D32738,0)</f>
        <v>9.15</v>
      </c>
      <c r="E32739" s="16" t="n">
        <f aca="false">IF(E32737&lt;=$C$32576,$C$32568*E32738,0)</f>
        <v>9</v>
      </c>
      <c r="F32739" s="16" t="n">
        <f aca="false">IF(F32737&lt;=$C$32576,$C$32568*F32738,0)</f>
        <v>8.75</v>
      </c>
      <c r="G32739" s="16" t="n">
        <f aca="false">IF(G32737&lt;=$C$32576,$C$32568*G32738,0)</f>
        <v>0</v>
      </c>
      <c r="H32739" s="16" t="n">
        <f aca="false">IF(H32737&lt;=$C$32576,$C$32568*H32738,0)</f>
        <v>0</v>
      </c>
    </row>
    <row r="32740" customFormat="false" ht="15" hidden="false" customHeight="false" outlineLevel="0" collapsed="false">
      <c r="A32740" s="3" t="s">
        <v>603</v>
      </c>
      <c r="D32740" s="16" t="n">
        <f aca="false">IF(AND($C$32399=0,D32737=$C$32571),$C$32568*$C$32734/100,0)+IF(AND($C$32399=1,D32737=$C$32735),$C$32574,0)</f>
        <v>0</v>
      </c>
      <c r="E32740" s="16" t="n">
        <f aca="false">IF(AND($C$32399=0,E32737=$C$32571),$C$32568*$C$32734/100,0)+IF(AND($C$32399=1,E32737=$C$32735),$C$32574,0)</f>
        <v>0</v>
      </c>
      <c r="F32740" s="16" t="n">
        <f aca="false">IF(AND($C$32399=0,F32737=$C$32571),$C$32568*$C$32734/100,0)+IF(AND($C$32399=1,F32737=$C$32735),$C$32574,0)</f>
        <v>100</v>
      </c>
      <c r="G32740" s="16" t="n">
        <f aca="false">IF(AND($C$32399=0,G32737=$C$32571),$C$32568*$C$32734/100,0)+IF(AND($C$32399=1,G32737=$C$32735),$C$32574,0)</f>
        <v>0</v>
      </c>
      <c r="H32740" s="16" t="n">
        <f aca="false">IF(AND($C$32399=0,H32737=$C$32571),$C$32568*$C$32734/100,0)+IF(AND($C$32399=1,H32737=$C$32735),$C$32574,0)</f>
        <v>0</v>
      </c>
      <c r="I32740" s="16" t="n">
        <f aca="false">IF(AND($C$32399=0,I32737=$C$32571),$C$32568*$C$32734/100,0)+IF(AND($C$32399=1,I32737=$C$32735),$C$32574,0)</f>
        <v>0</v>
      </c>
    </row>
    <row r="32741" customFormat="false" ht="15" hidden="false" customHeight="false" outlineLevel="0" collapsed="false">
      <c r="A32741" s="2" t="s">
        <v>604</v>
      </c>
      <c r="C32741" s="17" t="n">
        <f aca="false">-$C$32570</f>
        <v>-98.49</v>
      </c>
      <c r="D32741" s="17" t="n">
        <f aca="false">D32739+D32740</f>
        <v>9.15</v>
      </c>
      <c r="E32741" s="17" t="n">
        <f aca="false">E32739+E32740</f>
        <v>9</v>
      </c>
      <c r="F32741" s="17" t="n">
        <f aca="false">F32739+F32740</f>
        <v>108.75</v>
      </c>
      <c r="G32741" s="17" t="n">
        <f aca="false">G32739+G32740</f>
        <v>0</v>
      </c>
      <c r="H32741" s="17" t="n">
        <f aca="false">H32739+H32740</f>
        <v>0</v>
      </c>
      <c r="I32741" s="17" t="n">
        <f aca="false">I32739+I32740</f>
        <v>0</v>
      </c>
    </row>
    <row r="32742" customFormat="false" ht="15" hidden="false" customHeight="false" outlineLevel="0" collapsed="false">
      <c r="A32742" s="3" t="s">
        <v>605</v>
      </c>
      <c r="C32742" s="16" t="n">
        <f aca="false">SUM($C$32739:$I$32739)</f>
        <v>26.9</v>
      </c>
    </row>
    <row r="32743" customFormat="false" ht="15" hidden="false" customHeight="false" outlineLevel="0" collapsed="false">
      <c r="A32743" s="3" t="s">
        <v>606</v>
      </c>
      <c r="C32743" s="16" t="n">
        <f aca="false">SUM($C$32740:$I$32740)</f>
        <v>100</v>
      </c>
    </row>
    <row r="32744" customFormat="false" ht="15" hidden="false" customHeight="false" outlineLevel="0" collapsed="false">
      <c r="A32744" s="3" t="s">
        <v>607</v>
      </c>
      <c r="C32744" s="16" t="n">
        <f aca="false">C32742+C32743</f>
        <v>126.9</v>
      </c>
    </row>
    <row r="32745" customFormat="false" ht="15" hidden="false" customHeight="false" outlineLevel="0" collapsed="false">
      <c r="A32745" s="3" t="s">
        <v>608</v>
      </c>
      <c r="C32745" s="16" t="n">
        <f aca="false">C32743-C32568*C32569/100</f>
        <v>2</v>
      </c>
    </row>
    <row r="32746" customFormat="false" ht="15" hidden="false" customHeight="false" outlineLevel="0" collapsed="false">
      <c r="A32746" s="3" t="s">
        <v>609</v>
      </c>
      <c r="C32746" s="16" t="n">
        <f aca="false">C32744-C32570</f>
        <v>28.41</v>
      </c>
    </row>
    <row r="32747" customFormat="false" ht="15" hidden="false" customHeight="false" outlineLevel="0" collapsed="false">
      <c r="A32747" s="2" t="s">
        <v>484</v>
      </c>
      <c r="C32747" s="44" t="n">
        <f aca="false">C32744/C32570</f>
        <v>1.28845568077977</v>
      </c>
    </row>
    <row r="32748" customFormat="false" ht="15" hidden="false" customHeight="false" outlineLevel="0" collapsed="false">
      <c r="A32748" s="2" t="s">
        <v>483</v>
      </c>
      <c r="C32748" s="42" t="n">
        <f aca="false">IF(C32744&lt;=0,-1,IFERROR(IRR($C$32741:$I$32741,MAX(-0.9,C32747^(1/C32735)-1)),IRR($C$32741:$I$32741,0.1)))</f>
        <v>0.0958152816969216</v>
      </c>
    </row>
    <row r="32749" customFormat="false" ht="15" hidden="false" customHeight="false" outlineLevel="0" collapsed="false">
      <c r="A32749" s="3" t="s">
        <v>610</v>
      </c>
      <c r="C32749" s="32" t="n">
        <f aca="false">MAX($G$32343:$K$32343)</f>
        <v>9.99528975565569</v>
      </c>
    </row>
    <row r="32750" customFormat="false" ht="15" hidden="false" customHeight="false" outlineLevel="0" collapsed="false">
      <c r="A32750" s="3" t="s">
        <v>611</v>
      </c>
      <c r="C32750" s="32" t="n">
        <f aca="false">MIN($G$32344:$K$32344)</f>
        <v>1.34274565931266</v>
      </c>
    </row>
    <row r="32751" customFormat="false" ht="15" hidden="false" customHeight="false" outlineLevel="0" collapsed="false">
      <c r="A32751" s="3" t="s">
        <v>612</v>
      </c>
      <c r="C32751" s="16" t="n">
        <f aca="false">SUM($G$32131:$K$32131)</f>
        <v>-435.805435297248</v>
      </c>
    </row>
    <row r="32755" customFormat="false" ht="15" hidden="false" customHeight="false" outlineLevel="0" collapsed="false">
      <c r="A32755" s="9" t="s">
        <v>1180</v>
      </c>
      <c r="B32755" s="10"/>
      <c r="C32755" s="10"/>
      <c r="D32755" s="10"/>
      <c r="E32755" s="10"/>
      <c r="F32755" s="10"/>
      <c r="G32755" s="10"/>
      <c r="H32755" s="10"/>
      <c r="I32755" s="10"/>
      <c r="J32755" s="10"/>
      <c r="K32755" s="10"/>
    </row>
    <row r="32756" customFormat="false" ht="15" hidden="false" customHeight="false" outlineLevel="0" collapsed="false">
      <c r="A32756" s="3" t="s">
        <v>1126</v>
      </c>
      <c r="C32756" s="11" t="n">
        <v>1</v>
      </c>
    </row>
    <row r="32757" customFormat="false" ht="15" hidden="false" customHeight="false" outlineLevel="0" collapsed="false">
      <c r="A32757" s="3" t="s">
        <v>1127</v>
      </c>
      <c r="C32757" s="19" t="n">
        <v>0</v>
      </c>
    </row>
    <row r="32758" customFormat="false" ht="15" hidden="false" customHeight="false" outlineLevel="0" collapsed="false">
      <c r="A32758" s="3" t="s">
        <v>1128</v>
      </c>
      <c r="C32758" s="19" t="n">
        <v>0</v>
      </c>
    </row>
    <row r="32759" customFormat="false" ht="15" hidden="false" customHeight="false" outlineLevel="0" collapsed="false">
      <c r="A32759" s="3" t="s">
        <v>1129</v>
      </c>
      <c r="C32759" s="19" t="n">
        <v>0</v>
      </c>
    </row>
    <row r="32760" customFormat="false" ht="15" hidden="false" customHeight="false" outlineLevel="0" collapsed="false">
      <c r="A32760" s="3" t="s">
        <v>1130</v>
      </c>
      <c r="C32760" s="34" t="n">
        <f aca="false">Sensitivities!$A$62</f>
        <v>0</v>
      </c>
    </row>
    <row r="32762" customFormat="false" ht="15" hidden="false" customHeight="false" outlineLevel="0" collapsed="false">
      <c r="A32762" s="24" t="s">
        <v>301</v>
      </c>
      <c r="B32762" s="25"/>
      <c r="C32762" s="25"/>
      <c r="D32762" s="25"/>
      <c r="E32762" s="25"/>
      <c r="F32762" s="25"/>
      <c r="G32762" s="25"/>
      <c r="H32762" s="25"/>
      <c r="I32762" s="25"/>
      <c r="J32762" s="25"/>
      <c r="K32762" s="25"/>
    </row>
    <row r="32763" customFormat="false" ht="15" hidden="false" customHeight="false" outlineLevel="0" collapsed="false">
      <c r="A32763" s="3" t="s">
        <v>302</v>
      </c>
      <c r="F32763" s="27" t="n">
        <f aca="false">Assumptions!$C$6</f>
        <v>2026</v>
      </c>
      <c r="G32763" s="21" t="n">
        <f aca="false">F32763+1</f>
        <v>2027</v>
      </c>
      <c r="H32763" s="21" t="n">
        <f aca="false">G32763+1</f>
        <v>2028</v>
      </c>
      <c r="I32763" s="21" t="n">
        <f aca="false">H32763+1</f>
        <v>2029</v>
      </c>
      <c r="J32763" s="21" t="n">
        <f aca="false">I32763+1</f>
        <v>2030</v>
      </c>
      <c r="K32763" s="21" t="n">
        <f aca="false">J32763+1</f>
        <v>2031</v>
      </c>
    </row>
    <row r="32764" customFormat="false" ht="15" hidden="false" customHeight="false" outlineLevel="0" collapsed="false">
      <c r="A32764" s="3" t="s">
        <v>303</v>
      </c>
      <c r="G32764" s="21" t="n">
        <f aca="false">G32763-Assumptions!$C$6</f>
        <v>1</v>
      </c>
      <c r="H32764" s="21" t="n">
        <f aca="false">H32763-Assumptions!$C$6</f>
        <v>2</v>
      </c>
      <c r="I32764" s="21" t="n">
        <f aca="false">I32763-Assumptions!$C$6</f>
        <v>3</v>
      </c>
      <c r="J32764" s="21" t="n">
        <f aca="false">J32763-Assumptions!$C$6</f>
        <v>4</v>
      </c>
      <c r="K32764" s="21" t="n">
        <f aca="false">K32763-Assumptions!$C$6</f>
        <v>5</v>
      </c>
    </row>
    <row r="32765" customFormat="false" ht="15" hidden="false" customHeight="false" outlineLevel="0" collapsed="false">
      <c r="A32765" s="3" t="s">
        <v>180</v>
      </c>
      <c r="G32765" s="22" t="n">
        <f aca="false">CHOOSE($C$32756,Assumptions!$G$79,Assumptions!$G$98,Assumptions!$G$117)+$C$32757</f>
        <v>-0.03</v>
      </c>
      <c r="H32765" s="22" t="n">
        <f aca="false">CHOOSE($C$32756,Assumptions!$H$79,Assumptions!$H$98,Assumptions!$H$117)+$C$32757</f>
        <v>0.02</v>
      </c>
      <c r="I32765" s="22" t="n">
        <f aca="false">CHOOSE($C$32756,Assumptions!$I$79,Assumptions!$I$98,Assumptions!$I$117)+$C$32757</f>
        <v>0.02</v>
      </c>
      <c r="J32765" s="22" t="n">
        <f aca="false">CHOOSE($C$32756,Assumptions!$J$79,Assumptions!$J$98,Assumptions!$J$117)+$C$32757</f>
        <v>0.02</v>
      </c>
      <c r="K32765" s="22" t="n">
        <f aca="false">CHOOSE($C$32756,Assumptions!$K$79,Assumptions!$K$98,Assumptions!$K$117)+$C$32757</f>
        <v>0.02</v>
      </c>
    </row>
    <row r="32766" customFormat="false" ht="15" hidden="false" customHeight="false" outlineLevel="0" collapsed="false">
      <c r="A32766" s="3" t="s">
        <v>181</v>
      </c>
      <c r="G32766" s="22" t="n">
        <f aca="false">CHOOSE($C$32756,Assumptions!$G$80,Assumptions!$G$99,Assumptions!$G$118)</f>
        <v>0.603920660818678</v>
      </c>
      <c r="H32766" s="22" t="n">
        <f aca="false">CHOOSE($C$32756,Assumptions!$H$80,Assumptions!$H$99,Assumptions!$H$118)</f>
        <v>0.606920660818678</v>
      </c>
      <c r="I32766" s="22" t="n">
        <f aca="false">CHOOSE($C$32756,Assumptions!$I$80,Assumptions!$I$99,Assumptions!$I$118)</f>
        <v>0.609920660818678</v>
      </c>
      <c r="J32766" s="22" t="n">
        <f aca="false">CHOOSE($C$32756,Assumptions!$J$80,Assumptions!$J$99,Assumptions!$J$118)</f>
        <v>0.611920660818678</v>
      </c>
      <c r="K32766" s="22" t="n">
        <f aca="false">CHOOSE($C$32756,Assumptions!$K$80,Assumptions!$K$99,Assumptions!$K$118)</f>
        <v>0.613920660818678</v>
      </c>
    </row>
    <row r="32767" customFormat="false" ht="15" hidden="false" customHeight="false" outlineLevel="0" collapsed="false">
      <c r="A32767" s="3" t="s">
        <v>182</v>
      </c>
      <c r="G32767" s="22" t="n">
        <f aca="false">CHOOSE($C$32756,Assumptions!$G$81,Assumptions!$G$100,Assumptions!$G$119)+$C$32758</f>
        <v>0.53</v>
      </c>
      <c r="H32767" s="22" t="n">
        <f aca="false">CHOOSE($C$32756,Assumptions!$H$81,Assumptions!$H$100,Assumptions!$H$119)+$C$32758</f>
        <v>0.533</v>
      </c>
      <c r="I32767" s="22" t="n">
        <f aca="false">CHOOSE($C$32756,Assumptions!$I$81,Assumptions!$I$100,Assumptions!$I$119)+$C$32758</f>
        <v>0.536</v>
      </c>
      <c r="J32767" s="22" t="n">
        <f aca="false">CHOOSE($C$32756,Assumptions!$J$81,Assumptions!$J$100,Assumptions!$J$119)+$C$32758</f>
        <v>0.538</v>
      </c>
      <c r="K32767" s="22" t="n">
        <f aca="false">CHOOSE($C$32756,Assumptions!$K$81,Assumptions!$K$100,Assumptions!$K$119)+$C$32758</f>
        <v>0.54</v>
      </c>
    </row>
    <row r="32768" customFormat="false" ht="15" hidden="false" customHeight="false" outlineLevel="0" collapsed="false">
      <c r="A32768" s="24" t="s">
        <v>304</v>
      </c>
      <c r="B32768" s="25"/>
      <c r="C32768" s="25"/>
      <c r="D32768" s="25"/>
      <c r="E32768" s="25"/>
      <c r="F32768" s="25"/>
      <c r="G32768" s="25"/>
      <c r="H32768" s="25"/>
      <c r="I32768" s="25"/>
      <c r="J32768" s="25"/>
      <c r="K32768" s="25"/>
    </row>
    <row r="32769" customFormat="false" ht="15" hidden="false" customHeight="false" outlineLevel="0" collapsed="false">
      <c r="A32769" s="2" t="s">
        <v>275</v>
      </c>
      <c r="F32769" s="28" t="n">
        <f aca="false">'Historical Financials'!G25</f>
        <v>498.291</v>
      </c>
      <c r="G32769" s="17" t="n">
        <f aca="false">F32769*(1+G32765)</f>
        <v>483.34227</v>
      </c>
      <c r="H32769" s="17" t="n">
        <f aca="false">G32769*(1+H32765)</f>
        <v>493.0091154</v>
      </c>
      <c r="I32769" s="17" t="n">
        <f aca="false">H32769*(1+I32765)</f>
        <v>502.869297708</v>
      </c>
      <c r="J32769" s="17" t="n">
        <f aca="false">I32769*(1+J32765)</f>
        <v>512.92668366216</v>
      </c>
      <c r="K32769" s="17" t="n">
        <f aca="false">J32769*(1+K32765)</f>
        <v>523.185217335403</v>
      </c>
    </row>
    <row r="32770" customFormat="false" ht="15" hidden="false" customHeight="false" outlineLevel="0" collapsed="false">
      <c r="A32770" s="3" t="s">
        <v>276</v>
      </c>
      <c r="G32770" s="16" t="n">
        <f aca="false">G32769*(1-G32766)</f>
        <v>191.4418869</v>
      </c>
      <c r="H32770" s="16" t="n">
        <f aca="false">H32769*(1-H32766)</f>
        <v>193.7916972918</v>
      </c>
      <c r="I32770" s="16" t="n">
        <f aca="false">I32769*(1-I32766)</f>
        <v>196.158923344512</v>
      </c>
      <c r="J32770" s="16" t="n">
        <f aca="false">J32769*(1-J32766)</f>
        <v>199.056248444078</v>
      </c>
      <c r="K32770" s="16" t="n">
        <f aca="false">K32769*(1-K32766)</f>
        <v>201.991002978289</v>
      </c>
    </row>
    <row r="32771" customFormat="false" ht="15" hidden="false" customHeight="false" outlineLevel="0" collapsed="false">
      <c r="A32771" s="2" t="s">
        <v>277</v>
      </c>
      <c r="G32771" s="17" t="n">
        <f aca="false">G32769-G32770</f>
        <v>291.9003831</v>
      </c>
      <c r="H32771" s="17" t="n">
        <f aca="false">H32769-H32770</f>
        <v>299.2174181082</v>
      </c>
      <c r="I32771" s="17" t="n">
        <f aca="false">I32769-I32770</f>
        <v>306.710374363488</v>
      </c>
      <c r="J32771" s="17" t="n">
        <f aca="false">J32769-J32770</f>
        <v>313.870435218082</v>
      </c>
      <c r="K32771" s="17" t="n">
        <f aca="false">K32769-K32770</f>
        <v>321.194214357115</v>
      </c>
    </row>
    <row r="32772" customFormat="false" ht="15" hidden="false" customHeight="false" outlineLevel="0" collapsed="false">
      <c r="A32772" s="3" t="s">
        <v>305</v>
      </c>
      <c r="G32772" s="16" t="n">
        <f aca="false">G32771-G32773</f>
        <v>35.72898</v>
      </c>
      <c r="H32772" s="16" t="n">
        <f aca="false">H32771-H32773</f>
        <v>36.4435596</v>
      </c>
      <c r="I32772" s="16" t="n">
        <f aca="false">I32771-I32773</f>
        <v>37.172430792</v>
      </c>
      <c r="J32772" s="16" t="n">
        <f aca="false">J32771-J32773</f>
        <v>37.91587940784</v>
      </c>
      <c r="K32772" s="16" t="n">
        <f aca="false">K32771-K32773</f>
        <v>38.6741969959968</v>
      </c>
    </row>
    <row r="32773" customFormat="false" ht="15" hidden="false" customHeight="false" outlineLevel="0" collapsed="false">
      <c r="A32773" s="2" t="s">
        <v>306</v>
      </c>
      <c r="G32773" s="17" t="n">
        <f aca="false">G32769*G32767</f>
        <v>256.1714031</v>
      </c>
      <c r="H32773" s="17" t="n">
        <f aca="false">H32769*H32767</f>
        <v>262.7738585082</v>
      </c>
      <c r="I32773" s="17" t="n">
        <f aca="false">I32769*I32767</f>
        <v>269.537943571488</v>
      </c>
      <c r="J32773" s="17" t="n">
        <f aca="false">J32769*J32767</f>
        <v>275.954555810242</v>
      </c>
      <c r="K32773" s="17" t="n">
        <f aca="false">K32769*K32767</f>
        <v>282.520017361118</v>
      </c>
    </row>
    <row r="32774" customFormat="false" ht="15" hidden="false" customHeight="false" outlineLevel="0" collapsed="false">
      <c r="A32774" s="3" t="s">
        <v>307</v>
      </c>
      <c r="G32774" s="16" t="n">
        <f aca="false">G32769*'Historical Financials'!G30/'Historical Financials'!G25</f>
        <v>179.73421</v>
      </c>
      <c r="H32774" s="16" t="n">
        <f aca="false">H32769*'Historical Financials'!G30/'Historical Financials'!G25</f>
        <v>183.3288942</v>
      </c>
      <c r="I32774" s="16" t="n">
        <f aca="false">I32769*'Historical Financials'!G30/'Historical Financials'!G25</f>
        <v>186.995472084</v>
      </c>
      <c r="J32774" s="16" t="n">
        <f aca="false">J32769*'Historical Financials'!G30/'Historical Financials'!G25</f>
        <v>190.73538152568</v>
      </c>
      <c r="K32774" s="16" t="n">
        <f aca="false">K32769*'Historical Financials'!G30/'Historical Financials'!G25</f>
        <v>194.550089156194</v>
      </c>
    </row>
    <row r="32775" customFormat="false" ht="15" hidden="false" customHeight="false" outlineLevel="0" collapsed="false">
      <c r="A32775" s="3" t="s">
        <v>308</v>
      </c>
      <c r="G32775" s="16" t="n">
        <f aca="false">G32769*'Historical Financials'!G31/'Historical Financials'!G25</f>
        <v>0</v>
      </c>
      <c r="H32775" s="16" t="n">
        <f aca="false">H32769*'Historical Financials'!G31/'Historical Financials'!G25</f>
        <v>0</v>
      </c>
      <c r="I32775" s="16" t="n">
        <f aca="false">I32769*'Historical Financials'!G31/'Historical Financials'!G25</f>
        <v>0</v>
      </c>
      <c r="J32775" s="16" t="n">
        <f aca="false">J32769*'Historical Financials'!G31/'Historical Financials'!G25</f>
        <v>0</v>
      </c>
      <c r="K32775" s="16" t="n">
        <f aca="false">K32769*'Historical Financials'!G31/'Historical Financials'!G25</f>
        <v>0</v>
      </c>
    </row>
    <row r="32776" customFormat="false" ht="15" hidden="false" customHeight="false" outlineLevel="0" collapsed="false">
      <c r="A32776" s="2" t="s">
        <v>309</v>
      </c>
      <c r="G32776" s="17" t="n">
        <f aca="false">G32773-G32774-G32775</f>
        <v>76.4371931</v>
      </c>
      <c r="H32776" s="17" t="n">
        <f aca="false">H32773-H32774-H32775</f>
        <v>79.4449643082</v>
      </c>
      <c r="I32776" s="17" t="n">
        <f aca="false">I32773-I32774-I32775</f>
        <v>82.542471487488</v>
      </c>
      <c r="J32776" s="17" t="n">
        <f aca="false">J32773-J32774-J32775</f>
        <v>85.2191742845621</v>
      </c>
      <c r="K32776" s="17" t="n">
        <f aca="false">K32773-K32774-K32775</f>
        <v>87.9699282049242</v>
      </c>
    </row>
    <row r="32777" customFormat="false" ht="15" hidden="false" customHeight="false" outlineLevel="0" collapsed="false">
      <c r="A32777" s="3" t="s">
        <v>310</v>
      </c>
      <c r="G32777" s="16" t="n">
        <f aca="false">G32803+G32816+G32829+G32842+G32855+G32868+G32881+G32894+G32907+G32920</f>
        <v>180.2096854</v>
      </c>
      <c r="H32777" s="16" t="n">
        <f aca="false">H32803+H32816+H32829+H32842+H32855+H32868+H32881+H32894+H32907+H32920</f>
        <v>179.1317704</v>
      </c>
      <c r="I32777" s="16" t="n">
        <f aca="false">I32803+I32816+I32829+I32842+I32855+I32868+I32881+I32894+I32907+I32920</f>
        <v>191.388017509904</v>
      </c>
      <c r="J32777" s="16" t="n">
        <f aca="false">J32803+J32816+J32829+J32842+J32855+J32868+J32881+J32894+J32907+J32920</f>
        <v>191.569272884469</v>
      </c>
      <c r="K32777" s="16" t="n">
        <f aca="false">K32803+K32816+K32829+K32842+K32855+K32868+K32881+K32894+K32907+K32920</f>
        <v>210.404714699088</v>
      </c>
    </row>
    <row r="32778" customFormat="false" ht="15" hidden="false" customHeight="false" outlineLevel="0" collapsed="false">
      <c r="A32778" s="3" t="s">
        <v>311</v>
      </c>
      <c r="G32778" s="16" t="n">
        <f aca="false">G32804+G32817+G32830+G32843+G32856+G32869+G32882+G32895+G32908+G32921</f>
        <v>0</v>
      </c>
      <c r="H32778" s="16" t="n">
        <f aca="false">H32804+H32817+H32830+H32843+H32856+H32869+H32882+H32895+H32908+H32921</f>
        <v>0</v>
      </c>
      <c r="I32778" s="16" t="n">
        <f aca="false">I32804+I32817+I32830+I32843+I32856+I32869+I32882+I32895+I32908+I32921</f>
        <v>0</v>
      </c>
      <c r="J32778" s="16" t="n">
        <f aca="false">J32804+J32817+J32830+J32843+J32856+J32869+J32882+J32895+J32908+J32921</f>
        <v>0</v>
      </c>
      <c r="K32778" s="16" t="n">
        <f aca="false">K32804+K32817+K32830+K32843+K32856+K32869+K32882+K32895+K32908+K32921</f>
        <v>0</v>
      </c>
    </row>
    <row r="32779" customFormat="false" ht="15" hidden="false" customHeight="false" outlineLevel="0" collapsed="false">
      <c r="A32779" s="3" t="s">
        <v>283</v>
      </c>
      <c r="G32779" s="16" t="n">
        <f aca="false">G32777+G32778</f>
        <v>180.2096854</v>
      </c>
      <c r="H32779" s="16" t="n">
        <f aca="false">H32777+H32778</f>
        <v>179.1317704</v>
      </c>
      <c r="I32779" s="16" t="n">
        <f aca="false">I32777+I32778</f>
        <v>191.388017509904</v>
      </c>
      <c r="J32779" s="16" t="n">
        <f aca="false">J32777+J32778</f>
        <v>191.569272884469</v>
      </c>
      <c r="K32779" s="16" t="n">
        <f aca="false">K32777+K32778</f>
        <v>210.404714699088</v>
      </c>
    </row>
    <row r="32780" customFormat="false" ht="15" hidden="false" customHeight="false" outlineLevel="0" collapsed="false">
      <c r="A32780" s="2" t="s">
        <v>284</v>
      </c>
      <c r="G32780" s="17" t="n">
        <f aca="false">G32776-G32779</f>
        <v>-103.7724923</v>
      </c>
      <c r="H32780" s="17" t="n">
        <f aca="false">H32776-H32779</f>
        <v>-99.6868060918</v>
      </c>
      <c r="I32780" s="17" t="n">
        <f aca="false">I32776-I32779</f>
        <v>-108.845546022416</v>
      </c>
      <c r="J32780" s="17" t="n">
        <f aca="false">J32776-J32779</f>
        <v>-106.350098599906</v>
      </c>
      <c r="K32780" s="17" t="n">
        <f aca="false">K32776-K32779</f>
        <v>-122.434786494163</v>
      </c>
    </row>
    <row r="32781" customFormat="false" ht="15" hidden="false" customHeight="false" outlineLevel="0" collapsed="false">
      <c r="A32781" s="3" t="s">
        <v>312</v>
      </c>
      <c r="G32781" s="16" t="n">
        <f aca="false">MAX(0,G32780)*Assumptions!$C$9</f>
        <v>0</v>
      </c>
      <c r="H32781" s="16" t="n">
        <f aca="false">MAX(0,H32780)*Assumptions!$C$9</f>
        <v>0</v>
      </c>
      <c r="I32781" s="16" t="n">
        <f aca="false">MAX(0,I32780)*Assumptions!$C$9</f>
        <v>0</v>
      </c>
      <c r="J32781" s="16" t="n">
        <f aca="false">MAX(0,J32780)*Assumptions!$C$9</f>
        <v>0</v>
      </c>
      <c r="K32781" s="16" t="n">
        <f aca="false">MAX(0,K32780)*Assumptions!$C$9</f>
        <v>0</v>
      </c>
    </row>
    <row r="32782" customFormat="false" ht="15" hidden="false" customHeight="false" outlineLevel="0" collapsed="false">
      <c r="A32782" s="2" t="s">
        <v>313</v>
      </c>
      <c r="G32782" s="17" t="n">
        <f aca="false">G32780-G32781</f>
        <v>-103.7724923</v>
      </c>
      <c r="H32782" s="17" t="n">
        <f aca="false">H32780-H32781</f>
        <v>-99.6868060918</v>
      </c>
      <c r="I32782" s="17" t="n">
        <f aca="false">I32780-I32781</f>
        <v>-108.845546022416</v>
      </c>
      <c r="J32782" s="17" t="n">
        <f aca="false">J32780-J32781</f>
        <v>-106.350098599906</v>
      </c>
      <c r="K32782" s="17" t="n">
        <f aca="false">K32780-K32781</f>
        <v>-122.434786494163</v>
      </c>
    </row>
    <row r="32783" customFormat="false" ht="15" hidden="false" customHeight="false" outlineLevel="0" collapsed="false">
      <c r="A32783" s="24" t="s">
        <v>314</v>
      </c>
      <c r="B32783" s="25"/>
      <c r="C32783" s="25"/>
      <c r="D32783" s="25"/>
      <c r="E32783" s="25"/>
      <c r="F32783" s="25"/>
      <c r="G32783" s="25"/>
      <c r="H32783" s="25"/>
      <c r="I32783" s="25"/>
      <c r="J32783" s="25"/>
      <c r="K32783" s="25"/>
    </row>
    <row r="32784" customFormat="false" ht="15" hidden="false" customHeight="false" outlineLevel="0" collapsed="false">
      <c r="A32784" s="3" t="s">
        <v>184</v>
      </c>
      <c r="G32784" s="16" t="n">
        <f aca="false">G32769*CHOOSE($C$32756,Assumptions!$C$83,Assumptions!$C$102,Assumptions!$C$121)</f>
        <v>106.3352994</v>
      </c>
      <c r="H32784" s="16" t="n">
        <f aca="false">H32769*CHOOSE($C$32756,Assumptions!$C$83,Assumptions!$C$102,Assumptions!$C$121)</f>
        <v>108.462005388</v>
      </c>
      <c r="I32784" s="16" t="n">
        <f aca="false">I32769*CHOOSE($C$32756,Assumptions!$C$83,Assumptions!$C$102,Assumptions!$C$121)</f>
        <v>110.63124549576</v>
      </c>
      <c r="J32784" s="16" t="n">
        <f aca="false">J32769*CHOOSE($C$32756,Assumptions!$C$83,Assumptions!$C$102,Assumptions!$C$121)</f>
        <v>112.843870405675</v>
      </c>
      <c r="K32784" s="16" t="n">
        <f aca="false">K32769*CHOOSE($C$32756,Assumptions!$C$83,Assumptions!$C$102,Assumptions!$C$121)</f>
        <v>115.100747813789</v>
      </c>
    </row>
    <row r="32785" customFormat="false" ht="15" hidden="false" customHeight="false" outlineLevel="0" collapsed="false">
      <c r="A32785" s="3" t="s">
        <v>315</v>
      </c>
      <c r="G32785" s="16" t="n">
        <f aca="false">CHOOSE($C$32756,Assumptions!$C$84,Assumptions!$C$103,Assumptions!$C$122)*(G32769-F32769)+CHOOSE($C$32756,Assumptions!$C$85,Assumptions!$C$104,Assumptions!$C$123)*G32769</f>
        <v>53.1676497</v>
      </c>
      <c r="H32785" s="16" t="n">
        <f aca="false">CHOOSE($C$32756,Assumptions!$C$84,Assumptions!$C$103,Assumptions!$C$122)*(H32769-G32769)+CHOOSE($C$32756,Assumptions!$C$85,Assumptions!$C$104,Assumptions!$C$123)*H32769</f>
        <v>54.231002694</v>
      </c>
      <c r="I32785" s="16" t="n">
        <f aca="false">CHOOSE($C$32756,Assumptions!$C$84,Assumptions!$C$103,Assumptions!$C$122)*(I32769-H32769)+CHOOSE($C$32756,Assumptions!$C$85,Assumptions!$C$104,Assumptions!$C$123)*I32769</f>
        <v>55.31562274788</v>
      </c>
      <c r="J32785" s="16" t="n">
        <f aca="false">CHOOSE($C$32756,Assumptions!$C$84,Assumptions!$C$103,Assumptions!$C$122)*(J32769-I32769)+CHOOSE($C$32756,Assumptions!$C$85,Assumptions!$C$104,Assumptions!$C$123)*J32769</f>
        <v>56.4219352028376</v>
      </c>
      <c r="K32785" s="16" t="n">
        <f aca="false">CHOOSE($C$32756,Assumptions!$C$84,Assumptions!$C$103,Assumptions!$C$122)*(K32769-J32769)+CHOOSE($C$32756,Assumptions!$C$85,Assumptions!$C$104,Assumptions!$C$123)*K32769</f>
        <v>57.5503739068944</v>
      </c>
    </row>
    <row r="32786" customFormat="false" ht="15" hidden="false" customHeight="false" outlineLevel="0" collapsed="false">
      <c r="A32786" s="2" t="s">
        <v>316</v>
      </c>
      <c r="G32786" s="17" t="n">
        <f aca="false">G32782+G32774+G32775+G32778-G32784-G32785</f>
        <v>-83.5412314</v>
      </c>
      <c r="H32786" s="17" t="n">
        <f aca="false">H32782+H32774+H32775+H32778-H32784-H32785</f>
        <v>-79.0509199738</v>
      </c>
      <c r="I32786" s="17" t="n">
        <f aca="false">I32782+I32774+I32775+I32778-I32784-I32785</f>
        <v>-87.796942182056</v>
      </c>
      <c r="J32786" s="17" t="n">
        <f aca="false">J32782+J32774+J32775+J32778-J32784-J32785</f>
        <v>-84.8805226827392</v>
      </c>
      <c r="K32786" s="17" t="n">
        <f aca="false">K32782+K32774+K32775+K32778-K32784-K32785</f>
        <v>-100.535819058653</v>
      </c>
    </row>
    <row r="32788" customFormat="false" ht="15" hidden="false" customHeight="false" outlineLevel="0" collapsed="false">
      <c r="A32788" s="24" t="s">
        <v>318</v>
      </c>
      <c r="B32788" s="25"/>
      <c r="C32788" s="25"/>
      <c r="D32788" s="25"/>
      <c r="E32788" s="25"/>
      <c r="F32788" s="25"/>
      <c r="G32788" s="25"/>
      <c r="H32788" s="25"/>
      <c r="I32788" s="25"/>
      <c r="J32788" s="25"/>
      <c r="K32788" s="25"/>
    </row>
    <row r="32789" customFormat="false" ht="15" hidden="false" customHeight="false" outlineLevel="0" collapsed="false">
      <c r="A32789" s="3" t="s">
        <v>319</v>
      </c>
      <c r="G32789" s="30" t="n">
        <f aca="false">Assumptions!$G$53</f>
        <v>0.039</v>
      </c>
      <c r="H32789" s="30" t="n">
        <f aca="false">Assumptions!$H$53</f>
        <v>0.0375</v>
      </c>
      <c r="I32789" s="30" t="n">
        <f aca="false">Assumptions!$I$53</f>
        <v>0.035</v>
      </c>
      <c r="J32789" s="30" t="n">
        <f aca="false">Assumptions!$J$53</f>
        <v>0.035</v>
      </c>
      <c r="K32789" s="30" t="n">
        <f aca="false">Assumptions!$K$53</f>
        <v>0.035</v>
      </c>
    </row>
    <row r="32790" customFormat="false" ht="15" hidden="false" customHeight="false" outlineLevel="0" collapsed="false">
      <c r="A32790" s="3" t="s">
        <v>320</v>
      </c>
      <c r="C32790" s="31" t="n">
        <f aca="false">CHOOSE($C$32756,Assumptions!$C$86,Assumptions!$C$105,Assumptions!$C$124)+$C$32759</f>
        <v>0</v>
      </c>
    </row>
    <row r="32791" customFormat="false" ht="15" hidden="false" customHeight="false" outlineLevel="0" collapsed="false">
      <c r="A32791" s="3" t="s">
        <v>321</v>
      </c>
      <c r="C32791" s="31" t="n">
        <f aca="false">CHOOSE($C$32756,Assumptions!$C$87,Assumptions!$C$106,Assumptions!$C$125)</f>
        <v>0.08</v>
      </c>
    </row>
    <row r="32792" customFormat="false" ht="15" hidden="false" customHeight="false" outlineLevel="0" collapsed="false">
      <c r="A32792" s="3" t="s">
        <v>322</v>
      </c>
      <c r="C32792" s="32" t="n">
        <f aca="false">CHOOSE($C$32756,Assumptions!$C$88,Assumptions!$C$107,Assumptions!$C$126)</f>
        <v>11</v>
      </c>
    </row>
    <row r="32793" customFormat="false" ht="15" hidden="false" customHeight="false" outlineLevel="0" collapsed="false">
      <c r="A32793" s="3" t="s">
        <v>323</v>
      </c>
      <c r="C32793" s="32" t="n">
        <f aca="false">CHOOSE($C$32756,Assumptions!$C$89,Assumptions!$C$108,Assumptions!$C$127)</f>
        <v>1.2</v>
      </c>
    </row>
    <row r="32794" customFormat="false" ht="15" hidden="false" customHeight="false" outlineLevel="0" collapsed="false">
      <c r="A32794" s="3" t="s">
        <v>324</v>
      </c>
      <c r="G32794" s="16" t="n">
        <f aca="false">G32799+G32812+G32825+G32838+G32851+G32864+G32877+G32890+G32903+G32916</f>
        <v>2625.934</v>
      </c>
      <c r="H32794" s="16" t="n">
        <f aca="false">H32799+H32812+H32825+H32838+H32851+H32864+H32877+H32890+H32903+H32916</f>
        <v>2621.934</v>
      </c>
      <c r="I32794" s="16" t="n">
        <f aca="false">I32799+I32812+I32825+I32838+I32851+I32864+I32877+I32890+I32903+I32916</f>
        <v>2575.6561513738</v>
      </c>
      <c r="J32794" s="16" t="n">
        <f aca="false">J32799+J32812+J32825+J32838+J32851+J32864+J32877+J32890+J32903+J32916</f>
        <v>2638.45309355586</v>
      </c>
      <c r="K32794" s="16" t="n">
        <f aca="false">K32799+K32812+K32825+K32838+K32851+K32864+K32877+K32890+K32903+K32916</f>
        <v>2723.3336162386</v>
      </c>
    </row>
    <row r="32795" customFormat="false" ht="15" hidden="false" customHeight="false" outlineLevel="0" collapsed="false">
      <c r="A32795" s="3" t="s">
        <v>325</v>
      </c>
      <c r="G32795" s="16" t="n">
        <f aca="false">F32987</f>
        <v>37.87</v>
      </c>
      <c r="H32795" s="16" t="n">
        <f aca="false">G32987</f>
        <v>150.3287686</v>
      </c>
      <c r="I32795" s="16" t="n">
        <f aca="false">H32987</f>
        <v>25</v>
      </c>
      <c r="J32795" s="16" t="n">
        <f aca="false">I32987</f>
        <v>0</v>
      </c>
      <c r="K32795" s="16" t="n">
        <f aca="false">J32987</f>
        <v>0</v>
      </c>
    </row>
    <row r="32796" customFormat="false" ht="15" hidden="false" customHeight="false" outlineLevel="0" collapsed="false">
      <c r="A32796" s="3" t="s">
        <v>326</v>
      </c>
      <c r="G32796" s="16" t="n">
        <f aca="false">G32799*IF(G32800=1,$C$32791,IF(Assumptions!$I$57=1,MAX(G32789,Assumptions!$G$57)+Assumptions!$F$57+$C$32790,Assumptions!$E$57))+G32812*IF(G32813=1,$C$32791,IF(Assumptions!$I$58=1,MAX(G32789,Assumptions!$G$58)+Assumptions!$F$58+$C$32790,Assumptions!$E$58))+G32825*IF(G32826=1,$C$32791,IF(Assumptions!$I$59=1,MAX(G32789,Assumptions!$G$59)+Assumptions!$F$59+$C$32790,Assumptions!$E$59))+G32838*IF(G32839=1,$C$32791,IF(Assumptions!$I$60=1,MAX(G32789,Assumptions!$G$60)+Assumptions!$F$60+$C$32790,Assumptions!$E$60))+G32851*IF(G32852=1,$C$32791,IF(Assumptions!$I$61=1,MAX(G32789,Assumptions!$G$61)+Assumptions!$F$61+$C$32790,Assumptions!$E$61))+G32864*IF(G32865=1,$C$32791,IF(Assumptions!$I$62=1,MAX(G32789,Assumptions!$G$62)+Assumptions!$F$62+$C$32790,Assumptions!$E$62))+G32877*IF(G32878=1,$C$32791,IF(Assumptions!$I$63=1,MAX(G32789,Assumptions!$G$63)+Assumptions!$F$63+$C$32790,Assumptions!$E$63))+G32890*IF(G32891=1,$C$32791,IF(Assumptions!$I$64=1,MAX(G32789,Assumptions!$G$64)+Assumptions!$F$64+$C$32790,Assumptions!$E$64))+G32903*IF(G32904=1,$C$32791,IF(Assumptions!$I$65=1,MAX(G32789,Assumptions!$G$65)+Assumptions!$F$65+$C$32790,Assumptions!$E$65))+G32916*IF(G32917=1,$C$32791,IF(Assumptions!$I$66=1,MAX(G32789,Assumptions!$G$66)+Assumptions!$F$66+$C$32790,Assumptions!$E$66))</f>
        <v>180.2096854</v>
      </c>
      <c r="H32796" s="16" t="n">
        <f aca="false">H32799*IF(OR(H32800=1,G33109=1),$C$32791,IF(Assumptions!$I$57=1,MAX(H32789,Assumptions!$G$57)+Assumptions!$F$57+$C$32790,Assumptions!$E$57))+H32812*IF(OR(H32813=1,G33110=1),$C$32791,IF(Assumptions!$I$58=1,MAX(H32789,Assumptions!$G$58)+Assumptions!$F$58+$C$32790,Assumptions!$E$58))+H32825*IF(OR(H32826=1,G33111=1),$C$32791,IF(Assumptions!$I$59=1,MAX(H32789,Assumptions!$G$59)+Assumptions!$F$59+$C$32790,Assumptions!$E$59))+H32838*IF(OR(H32839=1,G33112=1),$C$32791,IF(Assumptions!$I$60=1,MAX(H32789,Assumptions!$G$60)+Assumptions!$F$60+$C$32790,Assumptions!$E$60))+H32851*IF(OR(H32852=1,G33113=1),$C$32791,IF(Assumptions!$I$61=1,MAX(H32789,Assumptions!$G$61)+Assumptions!$F$61+$C$32790,Assumptions!$E$61))+H32864*IF(OR(H32865=1,G33114=1),$C$32791,IF(Assumptions!$I$62=1,MAX(H32789,Assumptions!$G$62)+Assumptions!$F$62+$C$32790,Assumptions!$E$62))+H32877*IF(OR(H32878=1,G33115=1),$C$32791,IF(Assumptions!$I$63=1,MAX(H32789,Assumptions!$G$63)+Assumptions!$F$63+$C$32790,Assumptions!$E$63))+H32890*IF(OR(H32891=1,G33116=1),$C$32791,IF(Assumptions!$I$64=1,MAX(H32789,Assumptions!$G$64)+Assumptions!$F$64+$C$32790,Assumptions!$E$64))+H32903*IF(OR(H32904=1,G33117=1),$C$32791,IF(Assumptions!$I$65=1,MAX(H32789,Assumptions!$G$65)+Assumptions!$F$65+$C$32790,Assumptions!$E$65))+H32916*IF(OR(H32917=1,G33118=1),$C$32791,IF(Assumptions!$I$66=1,MAX(H32789,Assumptions!$G$66)+Assumptions!$F$66+$C$32790,Assumptions!$E$66))</f>
        <v>196.3067704</v>
      </c>
      <c r="I32796" s="16" t="n">
        <f aca="false">I32799*IF(OR(I32800=1,H33109=1),$C$32791,IF(Assumptions!$I$57=1,MAX(I32789,Assumptions!$G$57)+Assumptions!$F$57+$C$32790,Assumptions!$E$57))+I32812*IF(OR(I32813=1,H33110=1),$C$32791,IF(Assumptions!$I$58=1,MAX(I32789,Assumptions!$G$58)+Assumptions!$F$58+$C$32790,Assumptions!$E$58))+I32825*IF(OR(I32826=1,H33111=1),$C$32791,IF(Assumptions!$I$59=1,MAX(I32789,Assumptions!$G$59)+Assumptions!$F$59+$C$32790,Assumptions!$E$59))+I32838*IF(OR(I32839=1,H33112=1),$C$32791,IF(Assumptions!$I$60=1,MAX(I32789,Assumptions!$G$60)+Assumptions!$F$60+$C$32790,Assumptions!$E$60))+I32851*IF(OR(I32852=1,H33113=1),$C$32791,IF(Assumptions!$I$61=1,MAX(I32789,Assumptions!$G$61)+Assumptions!$F$61+$C$32790,Assumptions!$E$61))+I32864*IF(OR(I32865=1,H33114=1),$C$32791,IF(Assumptions!$I$62=1,MAX(I32789,Assumptions!$G$62)+Assumptions!$F$62+$C$32790,Assumptions!$E$62))+I32877*IF(OR(I32878=1,H33115=1),$C$32791,IF(Assumptions!$I$63=1,MAX(I32789,Assumptions!$G$63)+Assumptions!$F$63+$C$32790,Assumptions!$E$63))+I32890*IF(OR(I32891=1,H33116=1),$C$32791,IF(Assumptions!$I$64=1,MAX(I32789,Assumptions!$G$64)+Assumptions!$F$64+$C$32790,Assumptions!$E$64))+I32903*IF(OR(I32904=1,H33117=1),$C$32791,IF(Assumptions!$I$65=1,MAX(I32789,Assumptions!$G$65)+Assumptions!$F$65+$C$32790,Assumptions!$E$65))+I32916*IF(OR(I32917=1,H33118=1),$C$32791,IF(Assumptions!$I$66=1,MAX(I32789,Assumptions!$G$66)+Assumptions!$F$66+$C$32790,Assumptions!$E$66))</f>
        <v>186.575517509904</v>
      </c>
      <c r="J32796" s="16" t="n">
        <f aca="false">J32799*IF(OR(J32800=1,I33109=1),$C$32791,IF(Assumptions!$I$57=1,MAX(J32789,Assumptions!$G$57)+Assumptions!$F$57+$C$32790,Assumptions!$E$57))+J32812*IF(OR(J32813=1,I33110=1),$C$32791,IF(Assumptions!$I$58=1,MAX(J32789,Assumptions!$G$58)+Assumptions!$F$58+$C$32790,Assumptions!$E$58))+J32825*IF(OR(J32826=1,I33111=1),$C$32791,IF(Assumptions!$I$59=1,MAX(J32789,Assumptions!$G$59)+Assumptions!$F$59+$C$32790,Assumptions!$E$59))+J32838*IF(OR(J32839=1,I33112=1),$C$32791,IF(Assumptions!$I$60=1,MAX(J32789,Assumptions!$G$60)+Assumptions!$F$60+$C$32790,Assumptions!$E$60))+J32851*IF(OR(J32852=1,I33113=1),$C$32791,IF(Assumptions!$I$61=1,MAX(J32789,Assumptions!$G$61)+Assumptions!$F$61+$C$32790,Assumptions!$E$61))+J32864*IF(OR(J32865=1,I33114=1),$C$32791,IF(Assumptions!$I$62=1,MAX(J32789,Assumptions!$G$62)+Assumptions!$F$62+$C$32790,Assumptions!$E$62))+J32877*IF(OR(J32878=1,I33115=1),$C$32791,IF(Assumptions!$I$63=1,MAX(J32789,Assumptions!$G$63)+Assumptions!$F$63+$C$32790,Assumptions!$E$63))+J32890*IF(OR(J32891=1,I33116=1),$C$32791,IF(Assumptions!$I$64=1,MAX(J32789,Assumptions!$G$64)+Assumptions!$F$64+$C$32790,Assumptions!$E$64))+J32903*IF(OR(J32904=1,I33117=1),$C$32791,IF(Assumptions!$I$65=1,MAX(J32789,Assumptions!$G$65)+Assumptions!$F$65+$C$32790,Assumptions!$E$65))+J32916*IF(OR(J32917=1,I33118=1),$C$32791,IF(Assumptions!$I$66=1,MAX(J32789,Assumptions!$G$66)+Assumptions!$F$66+$C$32790,Assumptions!$E$66))</f>
        <v>203.644272884468</v>
      </c>
      <c r="K32796" s="16" t="n">
        <f aca="false">K32799*IF(OR(K32800=1,J33109=1),$C$32791,IF(Assumptions!$I$57=1,MAX(K32789,Assumptions!$G$57)+Assumptions!$F$57+$C$32790,Assumptions!$E$57))+K32812*IF(OR(K32813=1,J33110=1),$C$32791,IF(Assumptions!$I$58=1,MAX(K32789,Assumptions!$G$58)+Assumptions!$F$58+$C$32790,Assumptions!$E$58))+K32825*IF(OR(K32826=1,J33111=1),$C$32791,IF(Assumptions!$I$59=1,MAX(K32789,Assumptions!$G$59)+Assumptions!$F$59+$C$32790,Assumptions!$E$59))+K32838*IF(OR(K32839=1,J33112=1),$C$32791,IF(Assumptions!$I$60=1,MAX(K32789,Assumptions!$G$60)+Assumptions!$F$60+$C$32790,Assumptions!$E$60))+K32851*IF(OR(K32852=1,J33113=1),$C$32791,IF(Assumptions!$I$61=1,MAX(K32789,Assumptions!$G$61)+Assumptions!$F$61+$C$32790,Assumptions!$E$61))+K32864*IF(OR(K32865=1,J33114=1),$C$32791,IF(Assumptions!$I$62=1,MAX(K32789,Assumptions!$G$62)+Assumptions!$F$62+$C$32790,Assumptions!$E$62))+K32877*IF(OR(K32878=1,J33115=1),$C$32791,IF(Assumptions!$I$63=1,MAX(K32789,Assumptions!$G$63)+Assumptions!$F$63+$C$32790,Assumptions!$E$63))+K32890*IF(OR(K32891=1,J33116=1),$C$32791,IF(Assumptions!$I$64=1,MAX(K32789,Assumptions!$G$64)+Assumptions!$F$64+$C$32790,Assumptions!$E$64))+K32903*IF(OR(K32904=1,J33117=1),$C$32791,IF(Assumptions!$I$65=1,MAX(K32789,Assumptions!$G$65)+Assumptions!$F$65+$C$32790,Assumptions!$E$65))+K32916*IF(OR(K32917=1,J33118=1),$C$32791,IF(Assumptions!$I$66=1,MAX(K32789,Assumptions!$G$66)+Assumptions!$F$66+$C$32790,Assumptions!$E$66))</f>
        <v>213.149714699088</v>
      </c>
    </row>
    <row r="32797" customFormat="false" ht="15" hidden="false" customHeight="false" outlineLevel="0" collapsed="false">
      <c r="A32797" s="3" t="s">
        <v>327</v>
      </c>
      <c r="G32797" s="21" t="n">
        <f aca="false">IF(G32773&lt;=0,0,IF(AND((G32794-G32795)/G32773&lt;=$C$32792,G32773/G32796&gt;=$C$32793),1,0))</f>
        <v>1</v>
      </c>
      <c r="H32797" s="21" t="n">
        <f aca="false">IF(H32773&lt;=0,0,IF(AND((H32794-H32795)/H32773&lt;=$C$32792,H32773/H32796&gt;=$C$32793),1,0))</f>
        <v>1</v>
      </c>
      <c r="I32797" s="21" t="n">
        <f aca="false">IF(I32773&lt;=0,0,IF(AND((I32794-I32795)/I32773&lt;=$C$32792,I32773/I32796&gt;=$C$32793),1,0))</f>
        <v>1</v>
      </c>
      <c r="J32797" s="21" t="n">
        <f aca="false">IF(J32773&lt;=0,0,IF(AND((J32794-J32795)/J32773&lt;=$C$32792,J32773/J32796&gt;=$C$32793),1,0))</f>
        <v>1</v>
      </c>
      <c r="K32797" s="21" t="n">
        <f aca="false">IF(K32773&lt;=0,0,IF(AND((K32794-K32795)/K32773&lt;=$C$32792,K32773/K32796&gt;=$C$32793),1,0))</f>
        <v>1</v>
      </c>
    </row>
    <row r="32798" customFormat="false" ht="15" hidden="false" customHeight="false" outlineLevel="0" collapsed="false">
      <c r="A32798" s="24" t="s">
        <v>328</v>
      </c>
      <c r="B32798" s="25"/>
      <c r="C32798" s="25"/>
      <c r="D32798" s="25"/>
      <c r="E32798" s="25"/>
      <c r="F32798" s="25"/>
      <c r="G32798" s="25"/>
      <c r="H32798" s="25"/>
      <c r="I32798" s="25"/>
      <c r="J32798" s="25"/>
      <c r="K32798" s="25"/>
    </row>
    <row r="32799" customFormat="false" ht="15" hidden="false" customHeight="false" outlineLevel="0" collapsed="false">
      <c r="A32799" s="3" t="s">
        <v>329</v>
      </c>
      <c r="G32799" s="16" t="n">
        <f aca="false">F32810</f>
        <v>400</v>
      </c>
      <c r="H32799" s="16" t="n">
        <f aca="false">G32810</f>
        <v>396</v>
      </c>
      <c r="I32799" s="16" t="n">
        <f aca="false">H32810</f>
        <v>392</v>
      </c>
      <c r="J32799" s="16" t="n">
        <f aca="false">I32810</f>
        <v>388</v>
      </c>
      <c r="K32799" s="16" t="n">
        <f aca="false">J32810</f>
        <v>384</v>
      </c>
    </row>
    <row r="32800" customFormat="false" ht="15" hidden="false" customHeight="false" outlineLevel="0" collapsed="false">
      <c r="A32800" s="3" t="s">
        <v>330</v>
      </c>
      <c r="G32800" s="21" t="n">
        <f aca="false">IF(G32763=Assumptions!$K$57,1,0)</f>
        <v>0</v>
      </c>
      <c r="H32800" s="21" t="n">
        <f aca="false">IF(H32763=Assumptions!$K$57,1,0)</f>
        <v>0</v>
      </c>
      <c r="I32800" s="21" t="n">
        <f aca="false">IF(I32763=Assumptions!$K$57,1,0)</f>
        <v>0</v>
      </c>
      <c r="J32800" s="21" t="n">
        <f aca="false">IF(J32763=Assumptions!$K$57,1,0)</f>
        <v>0</v>
      </c>
      <c r="K32800" s="21" t="n">
        <f aca="false">IF(K32763=Assumptions!$K$57,1,0)</f>
        <v>1</v>
      </c>
    </row>
    <row r="32802" customFormat="false" ht="15" hidden="false" customHeight="false" outlineLevel="0" collapsed="false">
      <c r="A32802" s="3" t="s">
        <v>331</v>
      </c>
      <c r="G32802" s="31" t="n">
        <f aca="false">IF(Assumptions!$I$57=1,MAX(G32789,Assumptions!$G$57)+Assumptions!$F$57+$C$32790,Assumptions!$E$57)</f>
        <v>0.0915</v>
      </c>
      <c r="H32802" s="31" t="n">
        <f aca="false">IF(G33109=1,$C$32791,IF(Assumptions!$I$57=1,MAX(H32789,Assumptions!$G$57)+Assumptions!$F$57+$C$32790,Assumptions!$E$57))</f>
        <v>0.09</v>
      </c>
      <c r="I32802" s="31" t="n">
        <f aca="false">IF(H33109=1,$C$32791,IF(Assumptions!$I$57=1,MAX(I32789,Assumptions!$G$57)+Assumptions!$F$57+$C$32790,Assumptions!$E$57))</f>
        <v>0.0875</v>
      </c>
      <c r="J32802" s="31" t="n">
        <f aca="false">IF(I33109=1,$C$32791,IF(Assumptions!$I$57=1,MAX(J32789,Assumptions!$G$57)+Assumptions!$F$57+$C$32790,Assumptions!$E$57))</f>
        <v>0.0875</v>
      </c>
      <c r="K32802" s="31" t="n">
        <f aca="false">IF(J33109=1,$C$32791,IF(Assumptions!$I$57=1,MAX(K32789,Assumptions!$G$57)+Assumptions!$F$57+$C$32790,Assumptions!$E$57))</f>
        <v>0.0875</v>
      </c>
    </row>
    <row r="32803" customFormat="false" ht="15" hidden="false" customHeight="false" outlineLevel="0" collapsed="false">
      <c r="A32803" s="3" t="s">
        <v>332</v>
      </c>
      <c r="G32803" s="16" t="n">
        <f aca="false">G32799*G32802</f>
        <v>36.6</v>
      </c>
      <c r="H32803" s="16" t="n">
        <f aca="false">H32799*H32802</f>
        <v>35.64</v>
      </c>
      <c r="I32803" s="16" t="n">
        <f aca="false">I32799*I32802</f>
        <v>34.3</v>
      </c>
      <c r="J32803" s="16" t="n">
        <f aca="false">J32799*J32802</f>
        <v>33.95</v>
      </c>
      <c r="K32803" s="16" t="n">
        <f aca="false">K32799*K32802</f>
        <v>33.6</v>
      </c>
    </row>
    <row r="32804" customFormat="false" ht="15" hidden="false" customHeight="false" outlineLevel="0" collapsed="false">
      <c r="A32804" s="3" t="s">
        <v>333</v>
      </c>
      <c r="G32804" s="16" t="n">
        <f aca="false">G32799*Assumptions!$H$57</f>
        <v>0</v>
      </c>
      <c r="H32804" s="16" t="n">
        <f aca="false">H32799*Assumptions!$H$57</f>
        <v>0</v>
      </c>
      <c r="I32804" s="16" t="n">
        <f aca="false">I32799*Assumptions!$H$57</f>
        <v>0</v>
      </c>
      <c r="J32804" s="16" t="n">
        <f aca="false">J32799*Assumptions!$H$57</f>
        <v>0</v>
      </c>
      <c r="K32804" s="16" t="n">
        <f aca="false">K32799*Assumptions!$H$57</f>
        <v>0</v>
      </c>
    </row>
    <row r="32805" customFormat="false" ht="15" hidden="false" customHeight="false" outlineLevel="0" collapsed="false">
      <c r="A32805" s="3" t="s">
        <v>334</v>
      </c>
      <c r="G32805" s="16" t="n">
        <f aca="false">MIN(G32799,Assumptions!$L$57*Assumptions!$C$57)</f>
        <v>4</v>
      </c>
      <c r="H32805" s="16" t="n">
        <f aca="false">MIN(H32799,Assumptions!$L$57*Assumptions!$C$57)</f>
        <v>4</v>
      </c>
      <c r="I32805" s="16" t="n">
        <f aca="false">MIN(I32799,Assumptions!$L$57*Assumptions!$C$57)</f>
        <v>4</v>
      </c>
      <c r="J32805" s="16" t="n">
        <f aca="false">MIN(J32799,Assumptions!$L$57*Assumptions!$C$57)</f>
        <v>4</v>
      </c>
      <c r="K32805" s="16" t="n">
        <f aca="false">MIN(K32799,Assumptions!$L$57*Assumptions!$C$57)</f>
        <v>4</v>
      </c>
    </row>
    <row r="32806" customFormat="false" ht="15" hidden="false" customHeight="false" outlineLevel="0" collapsed="false">
      <c r="A32806" s="3" t="s">
        <v>335</v>
      </c>
      <c r="G32806" s="16" t="n">
        <f aca="false">IF(AND(Assumptions!$P$57=1,G32763&lt;Assumptions!$K$57),MIN(MAX(0,-G32979),MAX(0,Assumptions!$D$57-G32799)),0)</f>
        <v>0</v>
      </c>
      <c r="H32806" s="16" t="n">
        <f aca="false">IF(AND(Assumptions!$P$57=1,OR(H32763&lt;Assumptions!$K$57,G33109=1)),MIN(MAX(0,-H32979),MAX(0,Assumptions!$D$57-H32799)),0)</f>
        <v>0</v>
      </c>
      <c r="I32806" s="16" t="n">
        <f aca="false">IF(AND(Assumptions!$P$57=1,OR(I32763&lt;Assumptions!$K$57,H33109=1)),MIN(MAX(0,-I32979),MAX(0,Assumptions!$D$57-I32799)),0)</f>
        <v>0</v>
      </c>
      <c r="J32806" s="16" t="n">
        <f aca="false">IF(AND(Assumptions!$P$57=1,OR(J32763&lt;Assumptions!$K$57,I33109=1)),MIN(MAX(0,-J32979),MAX(0,Assumptions!$D$57-J32799)),0)</f>
        <v>0</v>
      </c>
      <c r="K32806" s="16" t="n">
        <f aca="false">IF(AND(Assumptions!$P$57=1,OR(K32763&lt;Assumptions!$K$57,J33109=1)),MIN(MAX(0,-K32979),MAX(0,Assumptions!$D$57-K32799)),0)</f>
        <v>0</v>
      </c>
    </row>
    <row r="32807" customFormat="false" ht="15" hidden="false" customHeight="false" outlineLevel="0" collapsed="false">
      <c r="A32807" s="3" t="s">
        <v>336</v>
      </c>
      <c r="G32807" s="16" t="n">
        <f aca="false">G32800*MIN(G32799-G32805+G32804,MAX(0,G32981-Assumptions!$C$12*G32797))</f>
        <v>0</v>
      </c>
      <c r="H32807" s="16" t="n">
        <f aca="false">H32800*MIN(H32799-H32805+H32804,MAX(0,H32981-Assumptions!$C$12*H32797))</f>
        <v>0</v>
      </c>
      <c r="I32807" s="16" t="n">
        <f aca="false">I32800*MIN(I32799-I32805+I32804,MAX(0,I32981-Assumptions!$C$12*I32797))</f>
        <v>0</v>
      </c>
      <c r="J32807" s="16" t="n">
        <f aca="false">J32800*MIN(J32799-J32805+J32804,MAX(0,J32981-Assumptions!$C$12*J32797))</f>
        <v>0</v>
      </c>
      <c r="K32807" s="16" t="n">
        <f aca="false">K32800*MIN(K32799-K32805+K32804,MAX(0,K32981-Assumptions!$C$12*K32797))</f>
        <v>0</v>
      </c>
    </row>
    <row r="32808" customFormat="false" ht="15" hidden="false" customHeight="false" outlineLevel="0" collapsed="false">
      <c r="A32808" s="3" t="s">
        <v>337</v>
      </c>
      <c r="G32808" s="16" t="n">
        <f aca="false">Assumptions!$N$57*MIN(G32799+G32806+G32804-G32805-G32807,MAX(0,G32985))</f>
        <v>0</v>
      </c>
      <c r="H32808" s="16" t="n">
        <f aca="false">Assumptions!$N$57*MIN(H32799+H32806+H32804-H32805-H32807,MAX(0,H32985))</f>
        <v>0</v>
      </c>
      <c r="I32808" s="16" t="n">
        <f aca="false">Assumptions!$N$57*MIN(I32799+I32806+I32804-I32805-I32807,MAX(0,I32985))</f>
        <v>0</v>
      </c>
      <c r="J32808" s="16" t="n">
        <f aca="false">Assumptions!$N$57*MIN(J32799+J32806+J32804-J32805-J32807,MAX(0,J32985))</f>
        <v>0</v>
      </c>
      <c r="K32808" s="16" t="n">
        <f aca="false">Assumptions!$N$57*MIN(K32799+K32806+K32804-K32805-K32807,MAX(0,K32985))</f>
        <v>0</v>
      </c>
    </row>
    <row r="32809" customFormat="false" ht="15" hidden="false" customHeight="false" outlineLevel="0" collapsed="false">
      <c r="A32809" s="3" t="s">
        <v>338</v>
      </c>
      <c r="G32809" s="16" t="n">
        <f aca="false">G32800*(1-G32797)*(G32799-G32805+G32804-G32807)</f>
        <v>0</v>
      </c>
      <c r="H32809" s="16" t="n">
        <f aca="false">H32800*(1-H32797)*(H32799-H32805+H32804-H32807)</f>
        <v>0</v>
      </c>
      <c r="I32809" s="16" t="n">
        <f aca="false">I32800*(1-I32797)*(I32799-I32805+I32804-I32807)</f>
        <v>0</v>
      </c>
      <c r="J32809" s="16" t="n">
        <f aca="false">J32800*(1-J32797)*(J32799-J32805+J32804-J32807)</f>
        <v>0</v>
      </c>
      <c r="K32809" s="16" t="n">
        <f aca="false">K32800*(1-K32797)*(K32799-K32805+K32804-K32807)</f>
        <v>0</v>
      </c>
    </row>
    <row r="32810" customFormat="false" ht="15" hidden="false" customHeight="false" outlineLevel="0" collapsed="false">
      <c r="A32810" s="2" t="s">
        <v>339</v>
      </c>
      <c r="F32810" s="28" t="n">
        <f aca="false">Assumptions!$C$57</f>
        <v>400</v>
      </c>
      <c r="G32810" s="17" t="n">
        <f aca="false">G32799+G32806+G32804-G32805-G32807-G32808</f>
        <v>396</v>
      </c>
      <c r="H32810" s="17" t="n">
        <f aca="false">H32799+H32806+H32804-H32805-H32807-H32808</f>
        <v>392</v>
      </c>
      <c r="I32810" s="17" t="n">
        <f aca="false">I32799+I32806+I32804-I32805-I32807-I32808</f>
        <v>388</v>
      </c>
      <c r="J32810" s="17" t="n">
        <f aca="false">J32799+J32806+J32804-J32805-J32807-J32808</f>
        <v>384</v>
      </c>
      <c r="K32810" s="17" t="n">
        <f aca="false">K32799+K32806+K32804-K32805-K32807-K32808</f>
        <v>380</v>
      </c>
    </row>
    <row r="32811" customFormat="false" ht="15" hidden="false" customHeight="false" outlineLevel="0" collapsed="false">
      <c r="A32811" s="24" t="s">
        <v>340</v>
      </c>
      <c r="B32811" s="25"/>
      <c r="C32811" s="25"/>
      <c r="D32811" s="25"/>
      <c r="E32811" s="25"/>
      <c r="F32811" s="25"/>
      <c r="G32811" s="25"/>
      <c r="H32811" s="25"/>
      <c r="I32811" s="25"/>
      <c r="J32811" s="25"/>
      <c r="K32811" s="25"/>
    </row>
    <row r="32812" customFormat="false" ht="15" hidden="false" customHeight="false" outlineLevel="0" collapsed="false">
      <c r="A32812" s="3" t="s">
        <v>329</v>
      </c>
      <c r="G32812" s="16" t="n">
        <f aca="false">F32823</f>
        <v>90</v>
      </c>
      <c r="H32812" s="16" t="n">
        <f aca="false">G32823</f>
        <v>90</v>
      </c>
      <c r="I32812" s="16" t="n">
        <f aca="false">H32823</f>
        <v>90</v>
      </c>
      <c r="J32812" s="16" t="n">
        <f aca="false">I32823</f>
        <v>90</v>
      </c>
      <c r="K32812" s="16" t="n">
        <f aca="false">J32823</f>
        <v>90</v>
      </c>
    </row>
    <row r="32813" customFormat="false" ht="15" hidden="false" customHeight="false" outlineLevel="0" collapsed="false">
      <c r="A32813" s="3" t="s">
        <v>330</v>
      </c>
      <c r="G32813" s="21" t="n">
        <f aca="false">IF(G32763=Assumptions!$K$58,1,0)</f>
        <v>0</v>
      </c>
      <c r="H32813" s="21" t="n">
        <f aca="false">IF(H32763=Assumptions!$K$58,1,0)</f>
        <v>0</v>
      </c>
      <c r="I32813" s="21" t="n">
        <f aca="false">IF(I32763=Assumptions!$K$58,1,0)</f>
        <v>0</v>
      </c>
      <c r="J32813" s="21" t="n">
        <f aca="false">IF(J32763=Assumptions!$K$58,1,0)</f>
        <v>0</v>
      </c>
      <c r="K32813" s="21" t="n">
        <f aca="false">IF(K32763=Assumptions!$K$58,1,0)</f>
        <v>0</v>
      </c>
    </row>
    <row r="32815" customFormat="false" ht="15" hidden="false" customHeight="false" outlineLevel="0" collapsed="false">
      <c r="A32815" s="3" t="s">
        <v>331</v>
      </c>
      <c r="G32815" s="31" t="n">
        <f aca="false">IF(Assumptions!$I$58=1,MAX(G32789,Assumptions!$G$58)+Assumptions!$F$58+$C$32790,Assumptions!$E$58)</f>
        <v>0.0581</v>
      </c>
      <c r="H32815" s="31" t="n">
        <f aca="false">IF(G33110=1,$C$32791,IF(Assumptions!$I$58=1,MAX(H32789,Assumptions!$G$58)+Assumptions!$F$58+$C$32790,Assumptions!$E$58))</f>
        <v>0.0581</v>
      </c>
      <c r="I32815" s="31" t="n">
        <f aca="false">IF(H33110=1,$C$32791,IF(Assumptions!$I$58=1,MAX(I32789,Assumptions!$G$58)+Assumptions!$F$58+$C$32790,Assumptions!$E$58))</f>
        <v>0.0581</v>
      </c>
      <c r="J32815" s="31" t="n">
        <f aca="false">IF(I33110=1,$C$32791,IF(Assumptions!$I$58=1,MAX(J32789,Assumptions!$G$58)+Assumptions!$F$58+$C$32790,Assumptions!$E$58))</f>
        <v>0.0581</v>
      </c>
      <c r="K32815" s="31" t="n">
        <f aca="false">IF(J33110=1,$C$32791,IF(Assumptions!$I$58=1,MAX(K32789,Assumptions!$G$58)+Assumptions!$F$58+$C$32790,Assumptions!$E$58))</f>
        <v>0.0581</v>
      </c>
    </row>
    <row r="32816" customFormat="false" ht="15" hidden="false" customHeight="false" outlineLevel="0" collapsed="false">
      <c r="A32816" s="3" t="s">
        <v>332</v>
      </c>
      <c r="G32816" s="16" t="n">
        <f aca="false">G32812*G32815</f>
        <v>5.229</v>
      </c>
      <c r="H32816" s="16" t="n">
        <f aca="false">H32812*H32815</f>
        <v>5.229</v>
      </c>
      <c r="I32816" s="16" t="n">
        <f aca="false">I32812*I32815</f>
        <v>5.229</v>
      </c>
      <c r="J32816" s="16" t="n">
        <f aca="false">J32812*J32815</f>
        <v>5.229</v>
      </c>
      <c r="K32816" s="16" t="n">
        <f aca="false">K32812*K32815</f>
        <v>5.229</v>
      </c>
    </row>
    <row r="32817" customFormat="false" ht="15" hidden="false" customHeight="false" outlineLevel="0" collapsed="false">
      <c r="A32817" s="3" t="s">
        <v>333</v>
      </c>
      <c r="G32817" s="16" t="n">
        <f aca="false">G32812*Assumptions!$H$58</f>
        <v>0</v>
      </c>
      <c r="H32817" s="16" t="n">
        <f aca="false">H32812*Assumptions!$H$58</f>
        <v>0</v>
      </c>
      <c r="I32817" s="16" t="n">
        <f aca="false">I32812*Assumptions!$H$58</f>
        <v>0</v>
      </c>
      <c r="J32817" s="16" t="n">
        <f aca="false">J32812*Assumptions!$H$58</f>
        <v>0</v>
      </c>
      <c r="K32817" s="16" t="n">
        <f aca="false">K32812*Assumptions!$H$58</f>
        <v>0</v>
      </c>
    </row>
    <row r="32818" customFormat="false" ht="15" hidden="false" customHeight="false" outlineLevel="0" collapsed="false">
      <c r="A32818" s="3" t="s">
        <v>334</v>
      </c>
      <c r="G32818" s="16" t="n">
        <f aca="false">MIN(G32812,Assumptions!$L$58*Assumptions!$C$58)</f>
        <v>0</v>
      </c>
      <c r="H32818" s="16" t="n">
        <f aca="false">MIN(H32812,Assumptions!$L$58*Assumptions!$C$58)</f>
        <v>0</v>
      </c>
      <c r="I32818" s="16" t="n">
        <f aca="false">MIN(I32812,Assumptions!$L$58*Assumptions!$C$58)</f>
        <v>0</v>
      </c>
      <c r="J32818" s="16" t="n">
        <f aca="false">MIN(J32812,Assumptions!$L$58*Assumptions!$C$58)</f>
        <v>0</v>
      </c>
      <c r="K32818" s="16" t="n">
        <f aca="false">MIN(K32812,Assumptions!$L$58*Assumptions!$C$58)</f>
        <v>0</v>
      </c>
    </row>
    <row r="32819" customFormat="false" ht="15" hidden="false" customHeight="false" outlineLevel="0" collapsed="false">
      <c r="A32819" s="3" t="s">
        <v>335</v>
      </c>
      <c r="G32819" s="16" t="n">
        <f aca="false">IF(AND(Assumptions!$P$58=1,G32763&lt;Assumptions!$K$58),MIN(MAX(0,-G32979),MAX(0,Assumptions!$D$58-G32812)),0)</f>
        <v>0</v>
      </c>
      <c r="H32819" s="16" t="n">
        <f aca="false">IF(AND(Assumptions!$P$58=1,OR(H32763&lt;Assumptions!$K$58,G33110=1)),MIN(MAX(0,-H32979),MAX(0,Assumptions!$D$58-H32812)),0)</f>
        <v>0</v>
      </c>
      <c r="I32819" s="16" t="n">
        <f aca="false">IF(AND(Assumptions!$P$58=1,OR(I32763&lt;Assumptions!$K$58,H33110=1)),MIN(MAX(0,-I32979),MAX(0,Assumptions!$D$58-I32812)),0)</f>
        <v>0</v>
      </c>
      <c r="J32819" s="16" t="n">
        <f aca="false">IF(AND(Assumptions!$P$58=1,OR(J32763&lt;Assumptions!$K$58,I33110=1)),MIN(MAX(0,-J32979),MAX(0,Assumptions!$D$58-J32812)),0)</f>
        <v>0</v>
      </c>
      <c r="K32819" s="16" t="n">
        <f aca="false">IF(AND(Assumptions!$P$58=1,OR(K32763&lt;Assumptions!$K$58,J33110=1)),MIN(MAX(0,-K32979),MAX(0,Assumptions!$D$58-K32812)),0)</f>
        <v>0</v>
      </c>
    </row>
    <row r="32820" customFormat="false" ht="15" hidden="false" customHeight="false" outlineLevel="0" collapsed="false">
      <c r="A32820" s="3" t="s">
        <v>336</v>
      </c>
      <c r="G32820" s="16" t="n">
        <f aca="false">G32813*MIN(G32812-G32818+G32817,MAX(0,G32981-Assumptions!$C$12*G32797-G32807))</f>
        <v>0</v>
      </c>
      <c r="H32820" s="16" t="n">
        <f aca="false">H32813*MIN(H32812-H32818+H32817,MAX(0,H32981-Assumptions!$C$12*H32797-H32807))</f>
        <v>0</v>
      </c>
      <c r="I32820" s="16" t="n">
        <f aca="false">I32813*MIN(I32812-I32818+I32817,MAX(0,I32981-Assumptions!$C$12*I32797-I32807))</f>
        <v>0</v>
      </c>
      <c r="J32820" s="16" t="n">
        <f aca="false">J32813*MIN(J32812-J32818+J32817,MAX(0,J32981-Assumptions!$C$12*J32797-J32807))</f>
        <v>0</v>
      </c>
      <c r="K32820" s="16" t="n">
        <f aca="false">K32813*MIN(K32812-K32818+K32817,MAX(0,K32981-Assumptions!$C$12*K32797-K32807))</f>
        <v>0</v>
      </c>
    </row>
    <row r="32821" customFormat="false" ht="15" hidden="false" customHeight="false" outlineLevel="0" collapsed="false">
      <c r="A32821" s="3" t="s">
        <v>337</v>
      </c>
      <c r="G32821" s="16" t="n">
        <f aca="false">Assumptions!$N$58*MIN(G32812+G32819+G32817-G32818-G32820,MAX(0,G32985-G32808))</f>
        <v>0</v>
      </c>
      <c r="H32821" s="16" t="n">
        <f aca="false">Assumptions!$N$58*MIN(H32812+H32819+H32817-H32818-H32820,MAX(0,H32985-H32808))</f>
        <v>0</v>
      </c>
      <c r="I32821" s="16" t="n">
        <f aca="false">Assumptions!$N$58*MIN(I32812+I32819+I32817-I32818-I32820,MAX(0,I32985-I32808))</f>
        <v>0</v>
      </c>
      <c r="J32821" s="16" t="n">
        <f aca="false">Assumptions!$N$58*MIN(J32812+J32819+J32817-J32818-J32820,MAX(0,J32985-J32808))</f>
        <v>0</v>
      </c>
      <c r="K32821" s="16" t="n">
        <f aca="false">Assumptions!$N$58*MIN(K32812+K32819+K32817-K32818-K32820,MAX(0,K32985-K32808))</f>
        <v>0</v>
      </c>
    </row>
    <row r="32822" customFormat="false" ht="15" hidden="false" customHeight="false" outlineLevel="0" collapsed="false">
      <c r="A32822" s="3" t="s">
        <v>338</v>
      </c>
      <c r="G32822" s="16" t="n">
        <f aca="false">G32813*(1-G32797)*(G32812-G32818+G32817-G32820)</f>
        <v>0</v>
      </c>
      <c r="H32822" s="16" t="n">
        <f aca="false">H32813*(1-H32797)*(H32812-H32818+H32817-H32820)</f>
        <v>0</v>
      </c>
      <c r="I32822" s="16" t="n">
        <f aca="false">I32813*(1-I32797)*(I32812-I32818+I32817-I32820)</f>
        <v>0</v>
      </c>
      <c r="J32822" s="16" t="n">
        <f aca="false">J32813*(1-J32797)*(J32812-J32818+J32817-J32820)</f>
        <v>0</v>
      </c>
      <c r="K32822" s="16" t="n">
        <f aca="false">K32813*(1-K32797)*(K32812-K32818+K32817-K32820)</f>
        <v>0</v>
      </c>
    </row>
    <row r="32823" customFormat="false" ht="15" hidden="false" customHeight="false" outlineLevel="0" collapsed="false">
      <c r="A32823" s="2" t="s">
        <v>339</v>
      </c>
      <c r="F32823" s="28" t="n">
        <f aca="false">Assumptions!$C$58</f>
        <v>90</v>
      </c>
      <c r="G32823" s="17" t="n">
        <f aca="false">G32812+G32819+G32817-G32818-G32820-G32821</f>
        <v>90</v>
      </c>
      <c r="H32823" s="17" t="n">
        <f aca="false">H32812+H32819+H32817-H32818-H32820-H32821</f>
        <v>90</v>
      </c>
      <c r="I32823" s="17" t="n">
        <f aca="false">I32812+I32819+I32817-I32818-I32820-I32821</f>
        <v>90</v>
      </c>
      <c r="J32823" s="17" t="n">
        <f aca="false">J32812+J32819+J32817-J32818-J32820-J32821</f>
        <v>90</v>
      </c>
      <c r="K32823" s="17" t="n">
        <f aca="false">K32812+K32819+K32817-K32818-K32820-K32821</f>
        <v>90</v>
      </c>
    </row>
    <row r="32824" customFormat="false" ht="15" hidden="false" customHeight="false" outlineLevel="0" collapsed="false">
      <c r="A32824" s="24" t="s">
        <v>341</v>
      </c>
      <c r="B32824" s="25"/>
      <c r="C32824" s="25"/>
      <c r="D32824" s="25"/>
      <c r="E32824" s="25"/>
      <c r="F32824" s="25"/>
      <c r="G32824" s="25"/>
      <c r="H32824" s="25"/>
      <c r="I32824" s="25"/>
      <c r="J32824" s="25"/>
      <c r="K32824" s="25"/>
    </row>
    <row r="32825" customFormat="false" ht="15" hidden="false" customHeight="false" outlineLevel="0" collapsed="false">
      <c r="A32825" s="3" t="s">
        <v>329</v>
      </c>
      <c r="G32825" s="16" t="n">
        <f aca="false">F32836</f>
        <v>57.324</v>
      </c>
      <c r="H32825" s="16" t="n">
        <f aca="false">G32836</f>
        <v>57.324</v>
      </c>
      <c r="I32825" s="16" t="n">
        <f aca="false">H32836</f>
        <v>57.324</v>
      </c>
      <c r="J32825" s="16" t="n">
        <f aca="false">I32836</f>
        <v>57.324</v>
      </c>
      <c r="K32825" s="16" t="n">
        <f aca="false">J32836</f>
        <v>57.324</v>
      </c>
    </row>
    <row r="32826" customFormat="false" ht="15" hidden="false" customHeight="false" outlineLevel="0" collapsed="false">
      <c r="A32826" s="3" t="s">
        <v>330</v>
      </c>
      <c r="G32826" s="21" t="n">
        <f aca="false">IF(G32763=Assumptions!$K$59,1,0)</f>
        <v>0</v>
      </c>
      <c r="H32826" s="21" t="n">
        <f aca="false">IF(H32763=Assumptions!$K$59,1,0)</f>
        <v>0</v>
      </c>
      <c r="I32826" s="21" t="n">
        <f aca="false">IF(I32763=Assumptions!$K$59,1,0)</f>
        <v>0</v>
      </c>
      <c r="J32826" s="21" t="n">
        <f aca="false">IF(J32763=Assumptions!$K$59,1,0)</f>
        <v>0</v>
      </c>
      <c r="K32826" s="21" t="n">
        <f aca="false">IF(K32763=Assumptions!$K$59,1,0)</f>
        <v>0</v>
      </c>
    </row>
    <row r="32828" customFormat="false" ht="15" hidden="false" customHeight="false" outlineLevel="0" collapsed="false">
      <c r="A32828" s="3" t="s">
        <v>331</v>
      </c>
      <c r="G32828" s="31" t="n">
        <f aca="false">IF(Assumptions!$I$59=1,MAX(G32789,Assumptions!$G$59)+Assumptions!$F$59+$C$32790,Assumptions!$E$59)</f>
        <v>0.0731</v>
      </c>
      <c r="H32828" s="31" t="n">
        <f aca="false">IF(G33111=1,$C$32791,IF(Assumptions!$I$59=1,MAX(H32789,Assumptions!$G$59)+Assumptions!$F$59+$C$32790,Assumptions!$E$59))</f>
        <v>0.0731</v>
      </c>
      <c r="I32828" s="31" t="n">
        <f aca="false">IF(H33111=1,$C$32791,IF(Assumptions!$I$59=1,MAX(I32789,Assumptions!$G$59)+Assumptions!$F$59+$C$32790,Assumptions!$E$59))</f>
        <v>0.0731</v>
      </c>
      <c r="J32828" s="31" t="n">
        <f aca="false">IF(I33111=1,$C$32791,IF(Assumptions!$I$59=1,MAX(J32789,Assumptions!$G$59)+Assumptions!$F$59+$C$32790,Assumptions!$E$59))</f>
        <v>0.0731</v>
      </c>
      <c r="K32828" s="31" t="n">
        <f aca="false">IF(J33111=1,$C$32791,IF(Assumptions!$I$59=1,MAX(K32789,Assumptions!$G$59)+Assumptions!$F$59+$C$32790,Assumptions!$E$59))</f>
        <v>0.0731</v>
      </c>
    </row>
    <row r="32829" customFormat="false" ht="15" hidden="false" customHeight="false" outlineLevel="0" collapsed="false">
      <c r="A32829" s="3" t="s">
        <v>332</v>
      </c>
      <c r="G32829" s="16" t="n">
        <f aca="false">G32825*G32828</f>
        <v>4.1903844</v>
      </c>
      <c r="H32829" s="16" t="n">
        <f aca="false">H32825*H32828</f>
        <v>4.1903844</v>
      </c>
      <c r="I32829" s="16" t="n">
        <f aca="false">I32825*I32828</f>
        <v>4.1903844</v>
      </c>
      <c r="J32829" s="16" t="n">
        <f aca="false">J32825*J32828</f>
        <v>4.1903844</v>
      </c>
      <c r="K32829" s="16" t="n">
        <f aca="false">K32825*K32828</f>
        <v>4.1903844</v>
      </c>
    </row>
    <row r="32830" customFormat="false" ht="15" hidden="false" customHeight="false" outlineLevel="0" collapsed="false">
      <c r="A32830" s="3" t="s">
        <v>333</v>
      </c>
      <c r="G32830" s="16" t="n">
        <f aca="false">G32825*Assumptions!$H$59</f>
        <v>0</v>
      </c>
      <c r="H32830" s="16" t="n">
        <f aca="false">H32825*Assumptions!$H$59</f>
        <v>0</v>
      </c>
      <c r="I32830" s="16" t="n">
        <f aca="false">I32825*Assumptions!$H$59</f>
        <v>0</v>
      </c>
      <c r="J32830" s="16" t="n">
        <f aca="false">J32825*Assumptions!$H$59</f>
        <v>0</v>
      </c>
      <c r="K32830" s="16" t="n">
        <f aca="false">K32825*Assumptions!$H$59</f>
        <v>0</v>
      </c>
    </row>
    <row r="32831" customFormat="false" ht="15" hidden="false" customHeight="false" outlineLevel="0" collapsed="false">
      <c r="A32831" s="3" t="s">
        <v>334</v>
      </c>
      <c r="G32831" s="16" t="n">
        <f aca="false">MIN(G32825,Assumptions!$L$59*Assumptions!$C$59)</f>
        <v>0</v>
      </c>
      <c r="H32831" s="16" t="n">
        <f aca="false">MIN(H32825,Assumptions!$L$59*Assumptions!$C$59)</f>
        <v>0</v>
      </c>
      <c r="I32831" s="16" t="n">
        <f aca="false">MIN(I32825,Assumptions!$L$59*Assumptions!$C$59)</f>
        <v>0</v>
      </c>
      <c r="J32831" s="16" t="n">
        <f aca="false">MIN(J32825,Assumptions!$L$59*Assumptions!$C$59)</f>
        <v>0</v>
      </c>
      <c r="K32831" s="16" t="n">
        <f aca="false">MIN(K32825,Assumptions!$L$59*Assumptions!$C$59)</f>
        <v>0</v>
      </c>
    </row>
    <row r="32832" customFormat="false" ht="15" hidden="false" customHeight="false" outlineLevel="0" collapsed="false">
      <c r="A32832" s="3" t="s">
        <v>335</v>
      </c>
      <c r="G32832" s="16" t="n">
        <f aca="false">IF(AND(Assumptions!$P$59=1,G32763&lt;Assumptions!$K$59),MIN(MAX(0,-G32979),MAX(0,Assumptions!$D$59-G32825)),0)</f>
        <v>0</v>
      </c>
      <c r="H32832" s="16" t="n">
        <f aca="false">IF(AND(Assumptions!$P$59=1,OR(H32763&lt;Assumptions!$K$59,G33111=1)),MIN(MAX(0,-H32979),MAX(0,Assumptions!$D$59-H32825)),0)</f>
        <v>0</v>
      </c>
      <c r="I32832" s="16" t="n">
        <f aca="false">IF(AND(Assumptions!$P$59=1,OR(I32763&lt;Assumptions!$K$59,H33111=1)),MIN(MAX(0,-I32979),MAX(0,Assumptions!$D$59-I32825)),0)</f>
        <v>0</v>
      </c>
      <c r="J32832" s="16" t="n">
        <f aca="false">IF(AND(Assumptions!$P$59=1,OR(J32763&lt;Assumptions!$K$59,I33111=1)),MIN(MAX(0,-J32979),MAX(0,Assumptions!$D$59-J32825)),0)</f>
        <v>0</v>
      </c>
      <c r="K32832" s="16" t="n">
        <f aca="false">IF(AND(Assumptions!$P$59=1,OR(K32763&lt;Assumptions!$K$59,J33111=1)),MIN(MAX(0,-K32979),MAX(0,Assumptions!$D$59-K32825)),0)</f>
        <v>0</v>
      </c>
    </row>
    <row r="32833" customFormat="false" ht="15" hidden="false" customHeight="false" outlineLevel="0" collapsed="false">
      <c r="A32833" s="3" t="s">
        <v>336</v>
      </c>
      <c r="G32833" s="16" t="n">
        <f aca="false">G32826*MIN(G32825-G32831+G32830,MAX(0,G32981-Assumptions!$C$12*G32797-G32807-G32820))</f>
        <v>0</v>
      </c>
      <c r="H32833" s="16" t="n">
        <f aca="false">H32826*MIN(H32825-H32831+H32830,MAX(0,H32981-Assumptions!$C$12*H32797-H32807-H32820))</f>
        <v>0</v>
      </c>
      <c r="I32833" s="16" t="n">
        <f aca="false">I32826*MIN(I32825-I32831+I32830,MAX(0,I32981-Assumptions!$C$12*I32797-I32807-I32820))</f>
        <v>0</v>
      </c>
      <c r="J32833" s="16" t="n">
        <f aca="false">J32826*MIN(J32825-J32831+J32830,MAX(0,J32981-Assumptions!$C$12*J32797-J32807-J32820))</f>
        <v>0</v>
      </c>
      <c r="K32833" s="16" t="n">
        <f aca="false">K32826*MIN(K32825-K32831+K32830,MAX(0,K32981-Assumptions!$C$12*K32797-K32807-K32820))</f>
        <v>0</v>
      </c>
    </row>
    <row r="32834" customFormat="false" ht="15" hidden="false" customHeight="false" outlineLevel="0" collapsed="false">
      <c r="A32834" s="3" t="s">
        <v>337</v>
      </c>
      <c r="G32834" s="16" t="n">
        <f aca="false">Assumptions!$N$59*MIN(G32825+G32832+G32830-G32831-G32833,MAX(0,G32985-G32808-G32821))</f>
        <v>0</v>
      </c>
      <c r="H32834" s="16" t="n">
        <f aca="false">Assumptions!$N$59*MIN(H32825+H32832+H32830-H32831-H32833,MAX(0,H32985-H32808-H32821))</f>
        <v>0</v>
      </c>
      <c r="I32834" s="16" t="n">
        <f aca="false">Assumptions!$N$59*MIN(I32825+I32832+I32830-I32831-I32833,MAX(0,I32985-I32808-I32821))</f>
        <v>0</v>
      </c>
      <c r="J32834" s="16" t="n">
        <f aca="false">Assumptions!$N$59*MIN(J32825+J32832+J32830-J32831-J32833,MAX(0,J32985-J32808-J32821))</f>
        <v>0</v>
      </c>
      <c r="K32834" s="16" t="n">
        <f aca="false">Assumptions!$N$59*MIN(K32825+K32832+K32830-K32831-K32833,MAX(0,K32985-K32808-K32821))</f>
        <v>0</v>
      </c>
    </row>
    <row r="32835" customFormat="false" ht="15" hidden="false" customHeight="false" outlineLevel="0" collapsed="false">
      <c r="A32835" s="3" t="s">
        <v>338</v>
      </c>
      <c r="G32835" s="16" t="n">
        <f aca="false">G32826*(1-G32797)*(G32825-G32831+G32830-G32833)</f>
        <v>0</v>
      </c>
      <c r="H32835" s="16" t="n">
        <f aca="false">H32826*(1-H32797)*(H32825-H32831+H32830-H32833)</f>
        <v>0</v>
      </c>
      <c r="I32835" s="16" t="n">
        <f aca="false">I32826*(1-I32797)*(I32825-I32831+I32830-I32833)</f>
        <v>0</v>
      </c>
      <c r="J32835" s="16" t="n">
        <f aca="false">J32826*(1-J32797)*(J32825-J32831+J32830-J32833)</f>
        <v>0</v>
      </c>
      <c r="K32835" s="16" t="n">
        <f aca="false">K32826*(1-K32797)*(K32825-K32831+K32830-K32833)</f>
        <v>0</v>
      </c>
    </row>
    <row r="32836" customFormat="false" ht="15" hidden="false" customHeight="false" outlineLevel="0" collapsed="false">
      <c r="A32836" s="2" t="s">
        <v>339</v>
      </c>
      <c r="F32836" s="28" t="n">
        <f aca="false">Assumptions!$C$59</f>
        <v>57.324</v>
      </c>
      <c r="G32836" s="17" t="n">
        <f aca="false">G32825+G32832+G32830-G32831-G32833-G32834</f>
        <v>57.324</v>
      </c>
      <c r="H32836" s="17" t="n">
        <f aca="false">H32825+H32832+H32830-H32831-H32833-H32834</f>
        <v>57.324</v>
      </c>
      <c r="I32836" s="17" t="n">
        <f aca="false">I32825+I32832+I32830-I32831-I32833-I32834</f>
        <v>57.324</v>
      </c>
      <c r="J32836" s="17" t="n">
        <f aca="false">J32825+J32832+J32830-J32831-J32833-J32834</f>
        <v>57.324</v>
      </c>
      <c r="K32836" s="17" t="n">
        <f aca="false">K32825+K32832+K32830-K32831-K32833-K32834</f>
        <v>57.324</v>
      </c>
    </row>
    <row r="32837" customFormat="false" ht="15" hidden="false" customHeight="false" outlineLevel="0" collapsed="false">
      <c r="A32837" s="24" t="s">
        <v>342</v>
      </c>
      <c r="B32837" s="25"/>
      <c r="C32837" s="25"/>
      <c r="D32837" s="25"/>
      <c r="E32837" s="25"/>
      <c r="F32837" s="25"/>
      <c r="G32837" s="25"/>
      <c r="H32837" s="25"/>
      <c r="I32837" s="25"/>
      <c r="J32837" s="25"/>
      <c r="K32837" s="25"/>
    </row>
    <row r="32838" customFormat="false" ht="15" hidden="false" customHeight="false" outlineLevel="0" collapsed="false">
      <c r="A32838" s="3" t="s">
        <v>329</v>
      </c>
      <c r="G32838" s="16" t="n">
        <f aca="false">F32849</f>
        <v>0</v>
      </c>
      <c r="H32838" s="16" t="n">
        <f aca="false">G32849</f>
        <v>0</v>
      </c>
      <c r="I32838" s="16" t="n">
        <f aca="false">H32849</f>
        <v>0</v>
      </c>
      <c r="J32838" s="16" t="n">
        <f aca="false">I32849</f>
        <v>66.796942182056</v>
      </c>
      <c r="K32838" s="16" t="n">
        <f aca="false">J32849</f>
        <v>155.677464864795</v>
      </c>
    </row>
    <row r="32839" customFormat="false" ht="15" hidden="false" customHeight="false" outlineLevel="0" collapsed="false">
      <c r="A32839" s="3" t="s">
        <v>330</v>
      </c>
      <c r="G32839" s="21" t="n">
        <f aca="false">IF(G32763=Assumptions!$K$60,1,0)</f>
        <v>1</v>
      </c>
      <c r="H32839" s="21" t="n">
        <f aca="false">IF(H32763=Assumptions!$K$60,1,0)</f>
        <v>0</v>
      </c>
      <c r="I32839" s="21" t="n">
        <f aca="false">IF(I32763=Assumptions!$K$60,1,0)</f>
        <v>0</v>
      </c>
      <c r="J32839" s="21" t="n">
        <f aca="false">IF(J32763=Assumptions!$K$60,1,0)</f>
        <v>0</v>
      </c>
      <c r="K32839" s="21" t="n">
        <f aca="false">IF(K32763=Assumptions!$K$60,1,0)</f>
        <v>0</v>
      </c>
    </row>
    <row r="32841" customFormat="false" ht="15" hidden="false" customHeight="false" outlineLevel="0" collapsed="false">
      <c r="A32841" s="3" t="s">
        <v>331</v>
      </c>
      <c r="G32841" s="31" t="n">
        <f aca="false">IF(Assumptions!$I$60=1,MAX(G32789,Assumptions!$G$60)+Assumptions!$F$60+$C$32790,Assumptions!$E$60)</f>
        <v>0.054</v>
      </c>
      <c r="H32841" s="31" t="n">
        <f aca="false">IF(G33112=1,$C$32791,IF(Assumptions!$I$60=1,MAX(H32789,Assumptions!$G$60)+Assumptions!$F$60+$C$32790,Assumptions!$E$60))</f>
        <v>0.08</v>
      </c>
      <c r="I32841" s="31" t="n">
        <f aca="false">IF(H33112=1,$C$32791,IF(Assumptions!$I$60=1,MAX(I32789,Assumptions!$G$60)+Assumptions!$F$60+$C$32790,Assumptions!$E$60))</f>
        <v>0.08</v>
      </c>
      <c r="J32841" s="31" t="n">
        <f aca="false">IF(I33112=1,$C$32791,IF(Assumptions!$I$60=1,MAX(J32789,Assumptions!$G$60)+Assumptions!$F$60+$C$32790,Assumptions!$E$60))</f>
        <v>0.08</v>
      </c>
      <c r="K32841" s="31" t="n">
        <f aca="false">IF(J33112=1,$C$32791,IF(Assumptions!$I$60=1,MAX(K32789,Assumptions!$G$60)+Assumptions!$F$60+$C$32790,Assumptions!$E$60))</f>
        <v>0.08</v>
      </c>
    </row>
    <row r="32842" customFormat="false" ht="15" hidden="false" customHeight="false" outlineLevel="0" collapsed="false">
      <c r="A32842" s="3" t="s">
        <v>332</v>
      </c>
      <c r="G32842" s="16" t="n">
        <f aca="false">G32838*G32841</f>
        <v>0</v>
      </c>
      <c r="H32842" s="16" t="n">
        <f aca="false">H32838*H32841</f>
        <v>0</v>
      </c>
      <c r="I32842" s="16" t="n">
        <f aca="false">I32838*I32841</f>
        <v>0</v>
      </c>
      <c r="J32842" s="16" t="n">
        <f aca="false">J32838*J32841</f>
        <v>5.34375537456448</v>
      </c>
      <c r="K32842" s="16" t="n">
        <f aca="false">K32838*K32841</f>
        <v>12.4541971891836</v>
      </c>
    </row>
    <row r="32843" customFormat="false" ht="15" hidden="false" customHeight="false" outlineLevel="0" collapsed="false">
      <c r="A32843" s="3" t="s">
        <v>333</v>
      </c>
      <c r="G32843" s="16" t="n">
        <f aca="false">G32838*Assumptions!$H$60</f>
        <v>0</v>
      </c>
      <c r="H32843" s="16" t="n">
        <f aca="false">H32838*Assumptions!$H$60</f>
        <v>0</v>
      </c>
      <c r="I32843" s="16" t="n">
        <f aca="false">I32838*Assumptions!$H$60</f>
        <v>0</v>
      </c>
      <c r="J32843" s="16" t="n">
        <f aca="false">J32838*Assumptions!$H$60</f>
        <v>0</v>
      </c>
      <c r="K32843" s="16" t="n">
        <f aca="false">K32838*Assumptions!$H$60</f>
        <v>0</v>
      </c>
    </row>
    <row r="32844" customFormat="false" ht="15" hidden="false" customHeight="false" outlineLevel="0" collapsed="false">
      <c r="A32844" s="3" t="s">
        <v>334</v>
      </c>
      <c r="G32844" s="16" t="n">
        <f aca="false">MIN(G32838,Assumptions!$L$60*Assumptions!$C$60)</f>
        <v>0</v>
      </c>
      <c r="H32844" s="16" t="n">
        <f aca="false">MIN(H32838,Assumptions!$L$60*Assumptions!$C$60)</f>
        <v>0</v>
      </c>
      <c r="I32844" s="16" t="n">
        <f aca="false">MIN(I32838,Assumptions!$L$60*Assumptions!$C$60)</f>
        <v>0</v>
      </c>
      <c r="J32844" s="16" t="n">
        <f aca="false">MIN(J32838,Assumptions!$L$60*Assumptions!$C$60)</f>
        <v>0</v>
      </c>
      <c r="K32844" s="16" t="n">
        <f aca="false">MIN(K32838,Assumptions!$L$60*Assumptions!$C$60)</f>
        <v>0</v>
      </c>
    </row>
    <row r="32845" customFormat="false" ht="15" hidden="false" customHeight="false" outlineLevel="0" collapsed="false">
      <c r="A32845" s="3" t="s">
        <v>335</v>
      </c>
      <c r="G32845" s="16" t="n">
        <f aca="false">IF(AND(Assumptions!$P$60=1,G32763&lt;Assumptions!$K$60),MIN(MAX(0,-G32979),MAX(0,Assumptions!$D$60-G32838)),0)</f>
        <v>0</v>
      </c>
      <c r="H32845" s="16" t="n">
        <f aca="false">IF(AND(Assumptions!$P$60=1,OR(H32763&lt;Assumptions!$K$60,G33112=1)),MIN(MAX(0,-H32979),MAX(0,Assumptions!$D$60-H32838)),0)</f>
        <v>0</v>
      </c>
      <c r="I32845" s="16" t="n">
        <f aca="false">IF(AND(Assumptions!$P$60=1,OR(I32763&lt;Assumptions!$K$60,H33112=1)),MIN(MAX(0,-I32979),MAX(0,Assumptions!$D$60-I32838)),0)</f>
        <v>66.796942182056</v>
      </c>
      <c r="J32845" s="16" t="n">
        <f aca="false">IF(AND(Assumptions!$P$60=1,OR(J32763&lt;Assumptions!$K$60,I33112=1)),MIN(MAX(0,-J32979),MAX(0,Assumptions!$D$60-J32838)),0)</f>
        <v>88.8805226827392</v>
      </c>
      <c r="K32845" s="16" t="n">
        <f aca="false">IF(AND(Assumptions!$P$60=1,OR(K32763&lt;Assumptions!$K$60,J33112=1)),MIN(MAX(0,-K32979),MAX(0,Assumptions!$D$60-K32838)),0)</f>
        <v>104.535819058653</v>
      </c>
    </row>
    <row r="32846" customFormat="false" ht="15" hidden="false" customHeight="false" outlineLevel="0" collapsed="false">
      <c r="A32846" s="3" t="s">
        <v>336</v>
      </c>
      <c r="G32846" s="16" t="n">
        <f aca="false">G32839*MIN(G32838-G32844+G32843,MAX(0,G32981-Assumptions!$C$12*G32797-G32807-G32820-G32833))</f>
        <v>0</v>
      </c>
      <c r="H32846" s="16" t="n">
        <f aca="false">H32839*MIN(H32838-H32844+H32843,MAX(0,H32981-Assumptions!$C$12*H32797-H32807-H32820-H32833))</f>
        <v>0</v>
      </c>
      <c r="I32846" s="16" t="n">
        <f aca="false">I32839*MIN(I32838-I32844+I32843,MAX(0,I32981-Assumptions!$C$12*I32797-I32807-I32820-I32833))</f>
        <v>0</v>
      </c>
      <c r="J32846" s="16" t="n">
        <f aca="false">J32839*MIN(J32838-J32844+J32843,MAX(0,J32981-Assumptions!$C$12*J32797-J32807-J32820-J32833))</f>
        <v>0</v>
      </c>
      <c r="K32846" s="16" t="n">
        <f aca="false">K32839*MIN(K32838-K32844+K32843,MAX(0,K32981-Assumptions!$C$12*K32797-K32807-K32820-K32833))</f>
        <v>0</v>
      </c>
    </row>
    <row r="32847" customFormat="false" ht="15" hidden="false" customHeight="false" outlineLevel="0" collapsed="false">
      <c r="A32847" s="3" t="s">
        <v>337</v>
      </c>
      <c r="G32847" s="16" t="n">
        <f aca="false">Assumptions!$N$60*MIN(G32838+G32845+G32843-G32844-G32846,MAX(0,G32985-G32808-G32821-G32834))</f>
        <v>0</v>
      </c>
      <c r="H32847" s="16" t="n">
        <f aca="false">Assumptions!$N$60*MIN(H32838+H32845+H32843-H32844-H32846,MAX(0,H32985-H32808-H32821-H32834))</f>
        <v>0</v>
      </c>
      <c r="I32847" s="16" t="n">
        <f aca="false">Assumptions!$N$60*MIN(I32838+I32845+I32843-I32844-I32846,MAX(0,I32985-I32808-I32821-I32834))</f>
        <v>0</v>
      </c>
      <c r="J32847" s="16" t="n">
        <f aca="false">Assumptions!$N$60*MIN(J32838+J32845+J32843-J32844-J32846,MAX(0,J32985-J32808-J32821-J32834))</f>
        <v>0</v>
      </c>
      <c r="K32847" s="16" t="n">
        <f aca="false">Assumptions!$N$60*MIN(K32838+K32845+K32843-K32844-K32846,MAX(0,K32985-K32808-K32821-K32834))</f>
        <v>0</v>
      </c>
    </row>
    <row r="32848" customFormat="false" ht="15" hidden="false" customHeight="false" outlineLevel="0" collapsed="false">
      <c r="A32848" s="3" t="s">
        <v>338</v>
      </c>
      <c r="G32848" s="16" t="n">
        <f aca="false">G32839*(1-G32797)*(G32838-G32844+G32843-G32846)</f>
        <v>0</v>
      </c>
      <c r="H32848" s="16" t="n">
        <f aca="false">H32839*(1-H32797)*(H32838-H32844+H32843-H32846)</f>
        <v>0</v>
      </c>
      <c r="I32848" s="16" t="n">
        <f aca="false">I32839*(1-I32797)*(I32838-I32844+I32843-I32846)</f>
        <v>0</v>
      </c>
      <c r="J32848" s="16" t="n">
        <f aca="false">J32839*(1-J32797)*(J32838-J32844+J32843-J32846)</f>
        <v>0</v>
      </c>
      <c r="K32848" s="16" t="n">
        <f aca="false">K32839*(1-K32797)*(K32838-K32844+K32843-K32846)</f>
        <v>0</v>
      </c>
    </row>
    <row r="32849" customFormat="false" ht="15" hidden="false" customHeight="false" outlineLevel="0" collapsed="false">
      <c r="A32849" s="2" t="s">
        <v>339</v>
      </c>
      <c r="F32849" s="28" t="n">
        <f aca="false">Assumptions!$C$60</f>
        <v>0</v>
      </c>
      <c r="G32849" s="17" t="n">
        <f aca="false">G32838+G32845+G32843-G32844-G32846-G32847</f>
        <v>0</v>
      </c>
      <c r="H32849" s="17" t="n">
        <f aca="false">H32838+H32845+H32843-H32844-H32846-H32847</f>
        <v>0</v>
      </c>
      <c r="I32849" s="17" t="n">
        <f aca="false">I32838+I32845+I32843-I32844-I32846-I32847</f>
        <v>66.796942182056</v>
      </c>
      <c r="J32849" s="17" t="n">
        <f aca="false">J32838+J32845+J32843-J32844-J32846-J32847</f>
        <v>155.677464864795</v>
      </c>
      <c r="K32849" s="17" t="n">
        <f aca="false">K32838+K32845+K32843-K32844-K32846-K32847</f>
        <v>260.213283923448</v>
      </c>
    </row>
    <row r="32850" customFormat="false" ht="15" hidden="false" customHeight="false" outlineLevel="0" collapsed="false">
      <c r="A32850" s="24" t="s">
        <v>343</v>
      </c>
      <c r="B32850" s="25"/>
      <c r="C32850" s="25"/>
      <c r="D32850" s="25"/>
      <c r="E32850" s="25"/>
      <c r="F32850" s="25"/>
      <c r="G32850" s="25"/>
      <c r="H32850" s="25"/>
      <c r="I32850" s="25"/>
      <c r="J32850" s="25"/>
      <c r="K32850" s="25"/>
    </row>
    <row r="32851" customFormat="false" ht="15" hidden="false" customHeight="false" outlineLevel="0" collapsed="false">
      <c r="A32851" s="3" t="s">
        <v>329</v>
      </c>
      <c r="G32851" s="16" t="n">
        <f aca="false">F32862</f>
        <v>450</v>
      </c>
      <c r="H32851" s="16" t="n">
        <f aca="false">G32862</f>
        <v>450</v>
      </c>
      <c r="I32851" s="16" t="n">
        <f aca="false">H32862</f>
        <v>407.7221513738</v>
      </c>
      <c r="J32851" s="16" t="n">
        <f aca="false">I32862</f>
        <v>407.7221513738</v>
      </c>
      <c r="K32851" s="16" t="n">
        <f aca="false">J32862</f>
        <v>407.7221513738</v>
      </c>
    </row>
    <row r="32852" customFormat="false" ht="15" hidden="false" customHeight="false" outlineLevel="0" collapsed="false">
      <c r="A32852" s="3" t="s">
        <v>330</v>
      </c>
      <c r="G32852" s="21" t="n">
        <f aca="false">IF(G32763=Assumptions!$K$61,1,0)</f>
        <v>0</v>
      </c>
      <c r="H32852" s="21" t="n">
        <f aca="false">IF(H32763=Assumptions!$K$61,1,0)</f>
        <v>1</v>
      </c>
      <c r="I32852" s="21" t="n">
        <f aca="false">IF(I32763=Assumptions!$K$61,1,0)</f>
        <v>0</v>
      </c>
      <c r="J32852" s="21" t="n">
        <f aca="false">IF(J32763=Assumptions!$K$61,1,0)</f>
        <v>0</v>
      </c>
      <c r="K32852" s="21" t="n">
        <f aca="false">IF(K32763=Assumptions!$K$61,1,0)</f>
        <v>0</v>
      </c>
    </row>
    <row r="32854" customFormat="false" ht="15" hidden="false" customHeight="false" outlineLevel="0" collapsed="false">
      <c r="A32854" s="3" t="s">
        <v>331</v>
      </c>
      <c r="G32854" s="31" t="n">
        <f aca="false">IF(Assumptions!$I$61=1,MAX(G32789,Assumptions!$G$61)+Assumptions!$F$61+$C$32790,Assumptions!$E$61)</f>
        <v>0.0395</v>
      </c>
      <c r="H32854" s="31" t="n">
        <f aca="false">IF(G33113=1,$C$32791,IF(Assumptions!$I$61=1,MAX(H32789,Assumptions!$G$61)+Assumptions!$F$61+$C$32790,Assumptions!$E$61))</f>
        <v>0.0395</v>
      </c>
      <c r="I32854" s="31" t="n">
        <f aca="false">IF(H33113=1,$C$32791,IF(Assumptions!$I$61=1,MAX(I32789,Assumptions!$G$61)+Assumptions!$F$61+$C$32790,Assumptions!$E$61))</f>
        <v>0.08</v>
      </c>
      <c r="J32854" s="31" t="n">
        <f aca="false">IF(I33113=1,$C$32791,IF(Assumptions!$I$61=1,MAX(J32789,Assumptions!$G$61)+Assumptions!$F$61+$C$32790,Assumptions!$E$61))</f>
        <v>0.08</v>
      </c>
      <c r="K32854" s="31" t="n">
        <f aca="false">IF(J33113=1,$C$32791,IF(Assumptions!$I$61=1,MAX(K32789,Assumptions!$G$61)+Assumptions!$F$61+$C$32790,Assumptions!$E$61))</f>
        <v>0.08</v>
      </c>
    </row>
    <row r="32855" customFormat="false" ht="15" hidden="false" customHeight="false" outlineLevel="0" collapsed="false">
      <c r="A32855" s="3" t="s">
        <v>332</v>
      </c>
      <c r="G32855" s="16" t="n">
        <f aca="false">G32851*G32854</f>
        <v>17.775</v>
      </c>
      <c r="H32855" s="16" t="n">
        <f aca="false">H32851*H32854</f>
        <v>17.775</v>
      </c>
      <c r="I32855" s="16" t="n">
        <f aca="false">I32851*I32854</f>
        <v>32.617772109904</v>
      </c>
      <c r="J32855" s="16" t="n">
        <f aca="false">J32851*J32854</f>
        <v>32.617772109904</v>
      </c>
      <c r="K32855" s="16" t="n">
        <f aca="false">K32851*K32854</f>
        <v>32.617772109904</v>
      </c>
    </row>
    <row r="32856" customFormat="false" ht="15" hidden="false" customHeight="false" outlineLevel="0" collapsed="false">
      <c r="A32856" s="3" t="s">
        <v>333</v>
      </c>
      <c r="G32856" s="16" t="n">
        <f aca="false">G32851*Assumptions!$H$61</f>
        <v>0</v>
      </c>
      <c r="H32856" s="16" t="n">
        <f aca="false">H32851*Assumptions!$H$61</f>
        <v>0</v>
      </c>
      <c r="I32856" s="16" t="n">
        <f aca="false">I32851*Assumptions!$H$61</f>
        <v>0</v>
      </c>
      <c r="J32856" s="16" t="n">
        <f aca="false">J32851*Assumptions!$H$61</f>
        <v>0</v>
      </c>
      <c r="K32856" s="16" t="n">
        <f aca="false">K32851*Assumptions!$H$61</f>
        <v>0</v>
      </c>
    </row>
    <row r="32857" customFormat="false" ht="15" hidden="false" customHeight="false" outlineLevel="0" collapsed="false">
      <c r="A32857" s="3" t="s">
        <v>334</v>
      </c>
      <c r="G32857" s="16" t="n">
        <f aca="false">MIN(G32851,Assumptions!$L$61*Assumptions!$C$61)</f>
        <v>0</v>
      </c>
      <c r="H32857" s="16" t="n">
        <f aca="false">MIN(H32851,Assumptions!$L$61*Assumptions!$C$61)</f>
        <v>0</v>
      </c>
      <c r="I32857" s="16" t="n">
        <f aca="false">MIN(I32851,Assumptions!$L$61*Assumptions!$C$61)</f>
        <v>0</v>
      </c>
      <c r="J32857" s="16" t="n">
        <f aca="false">MIN(J32851,Assumptions!$L$61*Assumptions!$C$61)</f>
        <v>0</v>
      </c>
      <c r="K32857" s="16" t="n">
        <f aca="false">MIN(K32851,Assumptions!$L$61*Assumptions!$C$61)</f>
        <v>0</v>
      </c>
    </row>
    <row r="32858" customFormat="false" ht="15" hidden="false" customHeight="false" outlineLevel="0" collapsed="false">
      <c r="A32858" s="3" t="s">
        <v>335</v>
      </c>
      <c r="G32858" s="16" t="n">
        <f aca="false">IF(AND(Assumptions!$P$61=1,G32763&lt;Assumptions!$K$61),MIN(MAX(0,-G32979),MAX(0,Assumptions!$D$61-G32851)),0)</f>
        <v>0</v>
      </c>
      <c r="H32858" s="16" t="n">
        <f aca="false">IF(AND(Assumptions!$P$61=1,OR(H32763&lt;Assumptions!$K$61,G33113=1)),MIN(MAX(0,-H32979),MAX(0,Assumptions!$D$61-H32851)),0)</f>
        <v>0</v>
      </c>
      <c r="I32858" s="16" t="n">
        <f aca="false">IF(AND(Assumptions!$P$61=1,OR(I32763&lt;Assumptions!$K$61,H33113=1)),MIN(MAX(0,-I32979),MAX(0,Assumptions!$D$61-I32851)),0)</f>
        <v>0</v>
      </c>
      <c r="J32858" s="16" t="n">
        <f aca="false">IF(AND(Assumptions!$P$61=1,OR(J32763&lt;Assumptions!$K$61,I33113=1)),MIN(MAX(0,-J32979),MAX(0,Assumptions!$D$61-J32851)),0)</f>
        <v>0</v>
      </c>
      <c r="K32858" s="16" t="n">
        <f aca="false">IF(AND(Assumptions!$P$61=1,OR(K32763&lt;Assumptions!$K$61,J33113=1)),MIN(MAX(0,-K32979),MAX(0,Assumptions!$D$61-K32851)),0)</f>
        <v>0</v>
      </c>
    </row>
    <row r="32859" customFormat="false" ht="15" hidden="false" customHeight="false" outlineLevel="0" collapsed="false">
      <c r="A32859" s="3" t="s">
        <v>336</v>
      </c>
      <c r="G32859" s="16" t="n">
        <f aca="false">G32852*MIN(G32851-G32857+G32856,MAX(0,G32981-Assumptions!$C$12*G32797-G32807-G32820-G32833-G32846))</f>
        <v>0</v>
      </c>
      <c r="H32859" s="16" t="n">
        <f aca="false">H32852*MIN(H32851-H32857+H32856,MAX(0,H32981-Assumptions!$C$12*H32797-H32807-H32820-H32833-H32846))</f>
        <v>42.2778486262</v>
      </c>
      <c r="I32859" s="16" t="n">
        <f aca="false">I32852*MIN(I32851-I32857+I32856,MAX(0,I32981-Assumptions!$C$12*I32797-I32807-I32820-I32833-I32846))</f>
        <v>0</v>
      </c>
      <c r="J32859" s="16" t="n">
        <f aca="false">J32852*MIN(J32851-J32857+J32856,MAX(0,J32981-Assumptions!$C$12*J32797-J32807-J32820-J32833-J32846))</f>
        <v>0</v>
      </c>
      <c r="K32859" s="16" t="n">
        <f aca="false">K32852*MIN(K32851-K32857+K32856,MAX(0,K32981-Assumptions!$C$12*K32797-K32807-K32820-K32833-K32846))</f>
        <v>0</v>
      </c>
    </row>
    <row r="32860" customFormat="false" ht="15" hidden="false" customHeight="false" outlineLevel="0" collapsed="false">
      <c r="A32860" s="3" t="s">
        <v>337</v>
      </c>
      <c r="G32860" s="16" t="n">
        <f aca="false">Assumptions!$N$61*MIN(G32851+G32858+G32856-G32857-G32859,MAX(0,G32985-G32808-G32821-G32834-G32847))</f>
        <v>0</v>
      </c>
      <c r="H32860" s="16" t="n">
        <f aca="false">Assumptions!$N$61*MIN(H32851+H32858+H32856-H32857-H32859,MAX(0,H32985-H32808-H32821-H32834-H32847))</f>
        <v>0</v>
      </c>
      <c r="I32860" s="16" t="n">
        <f aca="false">Assumptions!$N$61*MIN(I32851+I32858+I32856-I32857-I32859,MAX(0,I32985-I32808-I32821-I32834-I32847))</f>
        <v>0</v>
      </c>
      <c r="J32860" s="16" t="n">
        <f aca="false">Assumptions!$N$61*MIN(J32851+J32858+J32856-J32857-J32859,MAX(0,J32985-J32808-J32821-J32834-J32847))</f>
        <v>0</v>
      </c>
      <c r="K32860" s="16" t="n">
        <f aca="false">Assumptions!$N$61*MIN(K32851+K32858+K32856-K32857-K32859,MAX(0,K32985-K32808-K32821-K32834-K32847))</f>
        <v>0</v>
      </c>
    </row>
    <row r="32861" customFormat="false" ht="15" hidden="false" customHeight="false" outlineLevel="0" collapsed="false">
      <c r="A32861" s="3" t="s">
        <v>338</v>
      </c>
      <c r="G32861" s="16" t="n">
        <f aca="false">G32852*(1-G32797)*(G32851-G32857+G32856-G32859)</f>
        <v>0</v>
      </c>
      <c r="H32861" s="16" t="n">
        <f aca="false">H32852*(1-H32797)*(H32851-H32857+H32856-H32859)</f>
        <v>0</v>
      </c>
      <c r="I32861" s="16" t="n">
        <f aca="false">I32852*(1-I32797)*(I32851-I32857+I32856-I32859)</f>
        <v>0</v>
      </c>
      <c r="J32861" s="16" t="n">
        <f aca="false">J32852*(1-J32797)*(J32851-J32857+J32856-J32859)</f>
        <v>0</v>
      </c>
      <c r="K32861" s="16" t="n">
        <f aca="false">K32852*(1-K32797)*(K32851-K32857+K32856-K32859)</f>
        <v>0</v>
      </c>
    </row>
    <row r="32862" customFormat="false" ht="15" hidden="false" customHeight="false" outlineLevel="0" collapsed="false">
      <c r="A32862" s="2" t="s">
        <v>339</v>
      </c>
      <c r="F32862" s="28" t="n">
        <f aca="false">Assumptions!$C$61</f>
        <v>450</v>
      </c>
      <c r="G32862" s="17" t="n">
        <f aca="false">G32851+G32858+G32856-G32857-G32859-G32860</f>
        <v>450</v>
      </c>
      <c r="H32862" s="17" t="n">
        <f aca="false">H32851+H32858+H32856-H32857-H32859-H32860</f>
        <v>407.7221513738</v>
      </c>
      <c r="I32862" s="17" t="n">
        <f aca="false">I32851+I32858+I32856-I32857-I32859-I32860</f>
        <v>407.7221513738</v>
      </c>
      <c r="J32862" s="17" t="n">
        <f aca="false">J32851+J32858+J32856-J32857-J32859-J32860</f>
        <v>407.7221513738</v>
      </c>
      <c r="K32862" s="17" t="n">
        <f aca="false">K32851+K32858+K32856-K32857-K32859-K32860</f>
        <v>407.7221513738</v>
      </c>
    </row>
    <row r="32863" customFormat="false" ht="15" hidden="false" customHeight="false" outlineLevel="0" collapsed="false">
      <c r="A32863" s="24" t="s">
        <v>344</v>
      </c>
      <c r="B32863" s="25"/>
      <c r="C32863" s="25"/>
      <c r="D32863" s="25"/>
      <c r="E32863" s="25"/>
      <c r="F32863" s="25"/>
      <c r="G32863" s="25"/>
      <c r="H32863" s="25"/>
      <c r="I32863" s="25"/>
      <c r="J32863" s="25"/>
      <c r="K32863" s="25"/>
    </row>
    <row r="32864" customFormat="false" ht="15" hidden="false" customHeight="false" outlineLevel="0" collapsed="false">
      <c r="A32864" s="3" t="s">
        <v>329</v>
      </c>
      <c r="G32864" s="16" t="n">
        <f aca="false">F32875</f>
        <v>350</v>
      </c>
      <c r="H32864" s="16" t="n">
        <f aca="false">G32875</f>
        <v>350</v>
      </c>
      <c r="I32864" s="16" t="n">
        <f aca="false">H32875</f>
        <v>350</v>
      </c>
      <c r="J32864" s="16" t="n">
        <f aca="false">I32875</f>
        <v>350</v>
      </c>
      <c r="K32864" s="16" t="n">
        <f aca="false">J32875</f>
        <v>350</v>
      </c>
    </row>
    <row r="32865" customFormat="false" ht="15" hidden="false" customHeight="false" outlineLevel="0" collapsed="false">
      <c r="A32865" s="3" t="s">
        <v>330</v>
      </c>
      <c r="G32865" s="21" t="n">
        <f aca="false">IF(G32763=Assumptions!$K$62,1,0)</f>
        <v>0</v>
      </c>
      <c r="H32865" s="21" t="n">
        <f aca="false">IF(H32763=Assumptions!$K$62,1,0)</f>
        <v>1</v>
      </c>
      <c r="I32865" s="21" t="n">
        <f aca="false">IF(I32763=Assumptions!$K$62,1,0)</f>
        <v>0</v>
      </c>
      <c r="J32865" s="21" t="n">
        <f aca="false">IF(J32763=Assumptions!$K$62,1,0)</f>
        <v>0</v>
      </c>
      <c r="K32865" s="21" t="n">
        <f aca="false">IF(K32763=Assumptions!$K$62,1,0)</f>
        <v>0</v>
      </c>
    </row>
    <row r="32867" customFormat="false" ht="15" hidden="false" customHeight="false" outlineLevel="0" collapsed="false">
      <c r="A32867" s="3" t="s">
        <v>331</v>
      </c>
      <c r="G32867" s="31" t="n">
        <f aca="false">IF(Assumptions!$I$62=1,MAX(G32789,Assumptions!$G$62)+Assumptions!$F$62+$C$32790,Assumptions!$E$62)</f>
        <v>0.083</v>
      </c>
      <c r="H32867" s="31" t="n">
        <f aca="false">IF(G33114=1,$C$32791,IF(Assumptions!$I$62=1,MAX(H32789,Assumptions!$G$62)+Assumptions!$F$62+$C$32790,Assumptions!$E$62))</f>
        <v>0.083</v>
      </c>
      <c r="I32867" s="31" t="n">
        <f aca="false">IF(H33114=1,$C$32791,IF(Assumptions!$I$62=1,MAX(I32789,Assumptions!$G$62)+Assumptions!$F$62+$C$32790,Assumptions!$E$62))</f>
        <v>0.08</v>
      </c>
      <c r="J32867" s="31" t="n">
        <f aca="false">IF(I33114=1,$C$32791,IF(Assumptions!$I$62=1,MAX(J32789,Assumptions!$G$62)+Assumptions!$F$62+$C$32790,Assumptions!$E$62))</f>
        <v>0.08</v>
      </c>
      <c r="K32867" s="31" t="n">
        <f aca="false">IF(J33114=1,$C$32791,IF(Assumptions!$I$62=1,MAX(K32789,Assumptions!$G$62)+Assumptions!$F$62+$C$32790,Assumptions!$E$62))</f>
        <v>0.08</v>
      </c>
    </row>
    <row r="32868" customFormat="false" ht="15" hidden="false" customHeight="false" outlineLevel="0" collapsed="false">
      <c r="A32868" s="3" t="s">
        <v>332</v>
      </c>
      <c r="G32868" s="16" t="n">
        <f aca="false">G32864*G32867</f>
        <v>29.05</v>
      </c>
      <c r="H32868" s="16" t="n">
        <f aca="false">H32864*H32867</f>
        <v>29.05</v>
      </c>
      <c r="I32868" s="16" t="n">
        <f aca="false">I32864*I32867</f>
        <v>28</v>
      </c>
      <c r="J32868" s="16" t="n">
        <f aca="false">J32864*J32867</f>
        <v>28</v>
      </c>
      <c r="K32868" s="16" t="n">
        <f aca="false">K32864*K32867</f>
        <v>28</v>
      </c>
    </row>
    <row r="32869" customFormat="false" ht="15" hidden="false" customHeight="false" outlineLevel="0" collapsed="false">
      <c r="A32869" s="3" t="s">
        <v>333</v>
      </c>
      <c r="G32869" s="16" t="n">
        <f aca="false">G32864*Assumptions!$H$62</f>
        <v>0</v>
      </c>
      <c r="H32869" s="16" t="n">
        <f aca="false">H32864*Assumptions!$H$62</f>
        <v>0</v>
      </c>
      <c r="I32869" s="16" t="n">
        <f aca="false">I32864*Assumptions!$H$62</f>
        <v>0</v>
      </c>
      <c r="J32869" s="16" t="n">
        <f aca="false">J32864*Assumptions!$H$62</f>
        <v>0</v>
      </c>
      <c r="K32869" s="16" t="n">
        <f aca="false">K32864*Assumptions!$H$62</f>
        <v>0</v>
      </c>
    </row>
    <row r="32870" customFormat="false" ht="15" hidden="false" customHeight="false" outlineLevel="0" collapsed="false">
      <c r="A32870" s="3" t="s">
        <v>334</v>
      </c>
      <c r="G32870" s="16" t="n">
        <f aca="false">MIN(G32864,Assumptions!$L$62*Assumptions!$C$62)</f>
        <v>0</v>
      </c>
      <c r="H32870" s="16" t="n">
        <f aca="false">MIN(H32864,Assumptions!$L$62*Assumptions!$C$62)</f>
        <v>0</v>
      </c>
      <c r="I32870" s="16" t="n">
        <f aca="false">MIN(I32864,Assumptions!$L$62*Assumptions!$C$62)</f>
        <v>0</v>
      </c>
      <c r="J32870" s="16" t="n">
        <f aca="false">MIN(J32864,Assumptions!$L$62*Assumptions!$C$62)</f>
        <v>0</v>
      </c>
      <c r="K32870" s="16" t="n">
        <f aca="false">MIN(K32864,Assumptions!$L$62*Assumptions!$C$62)</f>
        <v>0</v>
      </c>
    </row>
    <row r="32871" customFormat="false" ht="15" hidden="false" customHeight="false" outlineLevel="0" collapsed="false">
      <c r="A32871" s="3" t="s">
        <v>335</v>
      </c>
      <c r="G32871" s="16" t="n">
        <f aca="false">IF(AND(Assumptions!$P$62=1,G32763&lt;Assumptions!$K$62),MIN(MAX(0,-G32979),MAX(0,Assumptions!$D$62-G32864)),0)</f>
        <v>0</v>
      </c>
      <c r="H32871" s="16" t="n">
        <f aca="false">IF(AND(Assumptions!$P$62=1,OR(H32763&lt;Assumptions!$K$62,G33114=1)),MIN(MAX(0,-H32979),MAX(0,Assumptions!$D$62-H32864)),0)</f>
        <v>0</v>
      </c>
      <c r="I32871" s="16" t="n">
        <f aca="false">IF(AND(Assumptions!$P$62=1,OR(I32763&lt;Assumptions!$K$62,H33114=1)),MIN(MAX(0,-I32979),MAX(0,Assumptions!$D$62-I32864)),0)</f>
        <v>0</v>
      </c>
      <c r="J32871" s="16" t="n">
        <f aca="false">IF(AND(Assumptions!$P$62=1,OR(J32763&lt;Assumptions!$K$62,I33114=1)),MIN(MAX(0,-J32979),MAX(0,Assumptions!$D$62-J32864)),0)</f>
        <v>0</v>
      </c>
      <c r="K32871" s="16" t="n">
        <f aca="false">IF(AND(Assumptions!$P$62=1,OR(K32763&lt;Assumptions!$K$62,J33114=1)),MIN(MAX(0,-K32979),MAX(0,Assumptions!$D$62-K32864)),0)</f>
        <v>0</v>
      </c>
    </row>
    <row r="32872" customFormat="false" ht="15" hidden="false" customHeight="false" outlineLevel="0" collapsed="false">
      <c r="A32872" s="3" t="s">
        <v>336</v>
      </c>
      <c r="G32872" s="16" t="n">
        <f aca="false">G32865*MIN(G32864-G32870+G32869,MAX(0,G32981-Assumptions!$C$12*G32797-G32807-G32820-G32833-G32846-G32859))</f>
        <v>0</v>
      </c>
      <c r="H32872" s="16" t="n">
        <f aca="false">H32865*MIN(H32864-H32870+H32869,MAX(0,H32981-Assumptions!$C$12*H32797-H32807-H32820-H32833-H32846-H32859))</f>
        <v>0</v>
      </c>
      <c r="I32872" s="16" t="n">
        <f aca="false">I32865*MIN(I32864-I32870+I32869,MAX(0,I32981-Assumptions!$C$12*I32797-I32807-I32820-I32833-I32846-I32859))</f>
        <v>0</v>
      </c>
      <c r="J32872" s="16" t="n">
        <f aca="false">J32865*MIN(J32864-J32870+J32869,MAX(0,J32981-Assumptions!$C$12*J32797-J32807-J32820-J32833-J32846-J32859))</f>
        <v>0</v>
      </c>
      <c r="K32872" s="16" t="n">
        <f aca="false">K32865*MIN(K32864-K32870+K32869,MAX(0,K32981-Assumptions!$C$12*K32797-K32807-K32820-K32833-K32846-K32859))</f>
        <v>0</v>
      </c>
    </row>
    <row r="32873" customFormat="false" ht="15" hidden="false" customHeight="false" outlineLevel="0" collapsed="false">
      <c r="A32873" s="3" t="s">
        <v>337</v>
      </c>
      <c r="G32873" s="16" t="n">
        <f aca="false">Assumptions!$N$62*MIN(G32864+G32871+G32869-G32870-G32872,MAX(0,G32985-G32808-G32821-G32834-G32847-G32860))</f>
        <v>0</v>
      </c>
      <c r="H32873" s="16" t="n">
        <f aca="false">Assumptions!$N$62*MIN(H32864+H32871+H32869-H32870-H32872,MAX(0,H32985-H32808-H32821-H32834-H32847-H32860))</f>
        <v>0</v>
      </c>
      <c r="I32873" s="16" t="n">
        <f aca="false">Assumptions!$N$62*MIN(I32864+I32871+I32869-I32870-I32872,MAX(0,I32985-I32808-I32821-I32834-I32847-I32860))</f>
        <v>0</v>
      </c>
      <c r="J32873" s="16" t="n">
        <f aca="false">Assumptions!$N$62*MIN(J32864+J32871+J32869-J32870-J32872,MAX(0,J32985-J32808-J32821-J32834-J32847-J32860))</f>
        <v>0</v>
      </c>
      <c r="K32873" s="16" t="n">
        <f aca="false">Assumptions!$N$62*MIN(K32864+K32871+K32869-K32870-K32872,MAX(0,K32985-K32808-K32821-K32834-K32847-K32860))</f>
        <v>0</v>
      </c>
    </row>
    <row r="32874" customFormat="false" ht="15" hidden="false" customHeight="false" outlineLevel="0" collapsed="false">
      <c r="A32874" s="3" t="s">
        <v>338</v>
      </c>
      <c r="G32874" s="16" t="n">
        <f aca="false">G32865*(1-G32797)*(G32864-G32870+G32869-G32872)</f>
        <v>0</v>
      </c>
      <c r="H32874" s="16" t="n">
        <f aca="false">H32865*(1-H32797)*(H32864-H32870+H32869-H32872)</f>
        <v>0</v>
      </c>
      <c r="I32874" s="16" t="n">
        <f aca="false">I32865*(1-I32797)*(I32864-I32870+I32869-I32872)</f>
        <v>0</v>
      </c>
      <c r="J32874" s="16" t="n">
        <f aca="false">J32865*(1-J32797)*(J32864-J32870+J32869-J32872)</f>
        <v>0</v>
      </c>
      <c r="K32874" s="16" t="n">
        <f aca="false">K32865*(1-K32797)*(K32864-K32870+K32869-K32872)</f>
        <v>0</v>
      </c>
    </row>
    <row r="32875" customFormat="false" ht="15" hidden="false" customHeight="false" outlineLevel="0" collapsed="false">
      <c r="A32875" s="2" t="s">
        <v>339</v>
      </c>
      <c r="F32875" s="28" t="n">
        <f aca="false">Assumptions!$C$62</f>
        <v>350</v>
      </c>
      <c r="G32875" s="17" t="n">
        <f aca="false">G32864+G32871+G32869-G32870-G32872-G32873</f>
        <v>350</v>
      </c>
      <c r="H32875" s="17" t="n">
        <f aca="false">H32864+H32871+H32869-H32870-H32872-H32873</f>
        <v>350</v>
      </c>
      <c r="I32875" s="17" t="n">
        <f aca="false">I32864+I32871+I32869-I32870-I32872-I32873</f>
        <v>350</v>
      </c>
      <c r="J32875" s="17" t="n">
        <f aca="false">J32864+J32871+J32869-J32870-J32872-J32873</f>
        <v>350</v>
      </c>
      <c r="K32875" s="17" t="n">
        <f aca="false">K32864+K32871+K32869-K32870-K32872-K32873</f>
        <v>350</v>
      </c>
    </row>
    <row r="32876" customFormat="false" ht="15" hidden="false" customHeight="false" outlineLevel="0" collapsed="false">
      <c r="A32876" s="24" t="s">
        <v>345</v>
      </c>
      <c r="B32876" s="25"/>
      <c r="C32876" s="25"/>
      <c r="D32876" s="25"/>
      <c r="E32876" s="25"/>
      <c r="F32876" s="25"/>
      <c r="G32876" s="25"/>
      <c r="H32876" s="25"/>
      <c r="I32876" s="25"/>
      <c r="J32876" s="25"/>
      <c r="K32876" s="25"/>
    </row>
    <row r="32877" customFormat="false" ht="15" hidden="false" customHeight="false" outlineLevel="0" collapsed="false">
      <c r="A32877" s="3" t="s">
        <v>329</v>
      </c>
      <c r="G32877" s="16" t="n">
        <f aca="false">F32888</f>
        <v>550</v>
      </c>
      <c r="H32877" s="16" t="n">
        <f aca="false">G32888</f>
        <v>550</v>
      </c>
      <c r="I32877" s="16" t="n">
        <f aca="false">H32888</f>
        <v>550</v>
      </c>
      <c r="J32877" s="16" t="n">
        <f aca="false">I32888</f>
        <v>550</v>
      </c>
      <c r="K32877" s="16" t="n">
        <f aca="false">J32888</f>
        <v>550</v>
      </c>
    </row>
    <row r="32878" customFormat="false" ht="15" hidden="false" customHeight="false" outlineLevel="0" collapsed="false">
      <c r="A32878" s="3" t="s">
        <v>330</v>
      </c>
      <c r="G32878" s="21" t="n">
        <f aca="false">IF(G32763=Assumptions!$K$63,1,0)</f>
        <v>0</v>
      </c>
      <c r="H32878" s="21" t="n">
        <f aca="false">IF(H32763=Assumptions!$K$63,1,0)</f>
        <v>0</v>
      </c>
      <c r="I32878" s="21" t="n">
        <f aca="false">IF(I32763=Assumptions!$K$63,1,0)</f>
        <v>1</v>
      </c>
      <c r="J32878" s="21" t="n">
        <f aca="false">IF(J32763=Assumptions!$K$63,1,0)</f>
        <v>0</v>
      </c>
      <c r="K32878" s="21" t="n">
        <f aca="false">IF(K32763=Assumptions!$K$63,1,0)</f>
        <v>0</v>
      </c>
    </row>
    <row r="32880" customFormat="false" ht="15" hidden="false" customHeight="false" outlineLevel="0" collapsed="false">
      <c r="A32880" s="3" t="s">
        <v>331</v>
      </c>
      <c r="G32880" s="31" t="n">
        <f aca="false">IF(Assumptions!$I$63=1,MAX(G32789,Assumptions!$G$63)+Assumptions!$F$63+$C$32790,Assumptions!$E$63)</f>
        <v>0.08875</v>
      </c>
      <c r="H32880" s="31" t="n">
        <f aca="false">IF(G33115=1,$C$32791,IF(Assumptions!$I$63=1,MAX(H32789,Assumptions!$G$63)+Assumptions!$F$63+$C$32790,Assumptions!$E$63))</f>
        <v>0.08875</v>
      </c>
      <c r="I32880" s="31" t="n">
        <f aca="false">IF(H33115=1,$C$32791,IF(Assumptions!$I$63=1,MAX(I32789,Assumptions!$G$63)+Assumptions!$F$63+$C$32790,Assumptions!$E$63))</f>
        <v>0.08875</v>
      </c>
      <c r="J32880" s="31" t="n">
        <f aca="false">IF(I33115=1,$C$32791,IF(Assumptions!$I$63=1,MAX(J32789,Assumptions!$G$63)+Assumptions!$F$63+$C$32790,Assumptions!$E$63))</f>
        <v>0.08</v>
      </c>
      <c r="K32880" s="31" t="n">
        <f aca="false">IF(J33115=1,$C$32791,IF(Assumptions!$I$63=1,MAX(K32789,Assumptions!$G$63)+Assumptions!$F$63+$C$32790,Assumptions!$E$63))</f>
        <v>0.08</v>
      </c>
    </row>
    <row r="32881" customFormat="false" ht="15" hidden="false" customHeight="false" outlineLevel="0" collapsed="false">
      <c r="A32881" s="3" t="s">
        <v>332</v>
      </c>
      <c r="G32881" s="16" t="n">
        <f aca="false">G32877*G32880</f>
        <v>48.8125</v>
      </c>
      <c r="H32881" s="16" t="n">
        <f aca="false">H32877*H32880</f>
        <v>48.8125</v>
      </c>
      <c r="I32881" s="16" t="n">
        <f aca="false">I32877*I32880</f>
        <v>48.8125</v>
      </c>
      <c r="J32881" s="16" t="n">
        <f aca="false">J32877*J32880</f>
        <v>44</v>
      </c>
      <c r="K32881" s="16" t="n">
        <f aca="false">K32877*K32880</f>
        <v>44</v>
      </c>
    </row>
    <row r="32882" customFormat="false" ht="15" hidden="false" customHeight="false" outlineLevel="0" collapsed="false">
      <c r="A32882" s="3" t="s">
        <v>333</v>
      </c>
      <c r="G32882" s="16" t="n">
        <f aca="false">G32877*Assumptions!$H$63</f>
        <v>0</v>
      </c>
      <c r="H32882" s="16" t="n">
        <f aca="false">H32877*Assumptions!$H$63</f>
        <v>0</v>
      </c>
      <c r="I32882" s="16" t="n">
        <f aca="false">I32877*Assumptions!$H$63</f>
        <v>0</v>
      </c>
      <c r="J32882" s="16" t="n">
        <f aca="false">J32877*Assumptions!$H$63</f>
        <v>0</v>
      </c>
      <c r="K32882" s="16" t="n">
        <f aca="false">K32877*Assumptions!$H$63</f>
        <v>0</v>
      </c>
    </row>
    <row r="32883" customFormat="false" ht="15" hidden="false" customHeight="false" outlineLevel="0" collapsed="false">
      <c r="A32883" s="3" t="s">
        <v>334</v>
      </c>
      <c r="G32883" s="16" t="n">
        <f aca="false">MIN(G32877,Assumptions!$L$63*Assumptions!$C$63)</f>
        <v>0</v>
      </c>
      <c r="H32883" s="16" t="n">
        <f aca="false">MIN(H32877,Assumptions!$L$63*Assumptions!$C$63)</f>
        <v>0</v>
      </c>
      <c r="I32883" s="16" t="n">
        <f aca="false">MIN(I32877,Assumptions!$L$63*Assumptions!$C$63)</f>
        <v>0</v>
      </c>
      <c r="J32883" s="16" t="n">
        <f aca="false">MIN(J32877,Assumptions!$L$63*Assumptions!$C$63)</f>
        <v>0</v>
      </c>
      <c r="K32883" s="16" t="n">
        <f aca="false">MIN(K32877,Assumptions!$L$63*Assumptions!$C$63)</f>
        <v>0</v>
      </c>
    </row>
    <row r="32884" customFormat="false" ht="15" hidden="false" customHeight="false" outlineLevel="0" collapsed="false">
      <c r="A32884" s="3" t="s">
        <v>335</v>
      </c>
      <c r="G32884" s="16" t="n">
        <f aca="false">IF(AND(Assumptions!$P$63=1,G32763&lt;Assumptions!$K$63),MIN(MAX(0,-G32979),MAX(0,Assumptions!$D$63-G32877)),0)</f>
        <v>0</v>
      </c>
      <c r="H32884" s="16" t="n">
        <f aca="false">IF(AND(Assumptions!$P$63=1,OR(H32763&lt;Assumptions!$K$63,G33115=1)),MIN(MAX(0,-H32979),MAX(0,Assumptions!$D$63-H32877)),0)</f>
        <v>0</v>
      </c>
      <c r="I32884" s="16" t="n">
        <f aca="false">IF(AND(Assumptions!$P$63=1,OR(I32763&lt;Assumptions!$K$63,H33115=1)),MIN(MAX(0,-I32979),MAX(0,Assumptions!$D$63-I32877)),0)</f>
        <v>0</v>
      </c>
      <c r="J32884" s="16" t="n">
        <f aca="false">IF(AND(Assumptions!$P$63=1,OR(J32763&lt;Assumptions!$K$63,I33115=1)),MIN(MAX(0,-J32979),MAX(0,Assumptions!$D$63-J32877)),0)</f>
        <v>0</v>
      </c>
      <c r="K32884" s="16" t="n">
        <f aca="false">IF(AND(Assumptions!$P$63=1,OR(K32763&lt;Assumptions!$K$63,J33115=1)),MIN(MAX(0,-K32979),MAX(0,Assumptions!$D$63-K32877)),0)</f>
        <v>0</v>
      </c>
    </row>
    <row r="32885" customFormat="false" ht="15" hidden="false" customHeight="false" outlineLevel="0" collapsed="false">
      <c r="A32885" s="3" t="s">
        <v>336</v>
      </c>
      <c r="G32885" s="16" t="n">
        <f aca="false">G32878*MIN(G32877-G32883+G32882,MAX(0,G32981-Assumptions!$C$12*G32797-G32807-G32820-G32833-G32846-G32859-G32872))</f>
        <v>0</v>
      </c>
      <c r="H32885" s="16" t="n">
        <f aca="false">H32878*MIN(H32877-H32883+H32882,MAX(0,H32981-Assumptions!$C$12*H32797-H32807-H32820-H32833-H32846-H32859-H32872))</f>
        <v>0</v>
      </c>
      <c r="I32885" s="16" t="n">
        <f aca="false">I32878*MIN(I32877-I32883+I32882,MAX(0,I32981-Assumptions!$C$12*I32797-I32807-I32820-I32833-I32846-I32859-I32872))</f>
        <v>0</v>
      </c>
      <c r="J32885" s="16" t="n">
        <f aca="false">J32878*MIN(J32877-J32883+J32882,MAX(0,J32981-Assumptions!$C$12*J32797-J32807-J32820-J32833-J32846-J32859-J32872))</f>
        <v>0</v>
      </c>
      <c r="K32885" s="16" t="n">
        <f aca="false">K32878*MIN(K32877-K32883+K32882,MAX(0,K32981-Assumptions!$C$12*K32797-K32807-K32820-K32833-K32846-K32859-K32872))</f>
        <v>0</v>
      </c>
    </row>
    <row r="32886" customFormat="false" ht="15" hidden="false" customHeight="false" outlineLevel="0" collapsed="false">
      <c r="A32886" s="3" t="s">
        <v>337</v>
      </c>
      <c r="G32886" s="16" t="n">
        <f aca="false">Assumptions!$N$63*MIN(G32877+G32884+G32882-G32883-G32885,MAX(0,G32985-G32808-G32821-G32834-G32847-G32860-G32873))</f>
        <v>0</v>
      </c>
      <c r="H32886" s="16" t="n">
        <f aca="false">Assumptions!$N$63*MIN(H32877+H32884+H32882-H32883-H32885,MAX(0,H32985-H32808-H32821-H32834-H32847-H32860-H32873))</f>
        <v>0</v>
      </c>
      <c r="I32886" s="16" t="n">
        <f aca="false">Assumptions!$N$63*MIN(I32877+I32884+I32882-I32883-I32885,MAX(0,I32985-I32808-I32821-I32834-I32847-I32860-I32873))</f>
        <v>0</v>
      </c>
      <c r="J32886" s="16" t="n">
        <f aca="false">Assumptions!$N$63*MIN(J32877+J32884+J32882-J32883-J32885,MAX(0,J32985-J32808-J32821-J32834-J32847-J32860-J32873))</f>
        <v>0</v>
      </c>
      <c r="K32886" s="16" t="n">
        <f aca="false">Assumptions!$N$63*MIN(K32877+K32884+K32882-K32883-K32885,MAX(0,K32985-K32808-K32821-K32834-K32847-K32860-K32873))</f>
        <v>0</v>
      </c>
    </row>
    <row r="32887" customFormat="false" ht="15" hidden="false" customHeight="false" outlineLevel="0" collapsed="false">
      <c r="A32887" s="3" t="s">
        <v>338</v>
      </c>
      <c r="G32887" s="16" t="n">
        <f aca="false">G32878*(1-G32797)*(G32877-G32883+G32882-G32885)</f>
        <v>0</v>
      </c>
      <c r="H32887" s="16" t="n">
        <f aca="false">H32878*(1-H32797)*(H32877-H32883+H32882-H32885)</f>
        <v>0</v>
      </c>
      <c r="I32887" s="16" t="n">
        <f aca="false">I32878*(1-I32797)*(I32877-I32883+I32882-I32885)</f>
        <v>0</v>
      </c>
      <c r="J32887" s="16" t="n">
        <f aca="false">J32878*(1-J32797)*(J32877-J32883+J32882-J32885)</f>
        <v>0</v>
      </c>
      <c r="K32887" s="16" t="n">
        <f aca="false">K32878*(1-K32797)*(K32877-K32883+K32882-K32885)</f>
        <v>0</v>
      </c>
    </row>
    <row r="32888" customFormat="false" ht="15" hidden="false" customHeight="false" outlineLevel="0" collapsed="false">
      <c r="A32888" s="2" t="s">
        <v>339</v>
      </c>
      <c r="F32888" s="28" t="n">
        <f aca="false">Assumptions!$C$63</f>
        <v>550</v>
      </c>
      <c r="G32888" s="17" t="n">
        <f aca="false">G32877+G32884+G32882-G32883-G32885-G32886</f>
        <v>550</v>
      </c>
      <c r="H32888" s="17" t="n">
        <f aca="false">H32877+H32884+H32882-H32883-H32885-H32886</f>
        <v>550</v>
      </c>
      <c r="I32888" s="17" t="n">
        <f aca="false">I32877+I32884+I32882-I32883-I32885-I32886</f>
        <v>550</v>
      </c>
      <c r="J32888" s="17" t="n">
        <f aca="false">J32877+J32884+J32882-J32883-J32885-J32886</f>
        <v>550</v>
      </c>
      <c r="K32888" s="17" t="n">
        <f aca="false">K32877+K32884+K32882-K32883-K32885-K32886</f>
        <v>550</v>
      </c>
    </row>
    <row r="32889" customFormat="false" ht="15" hidden="false" customHeight="false" outlineLevel="0" collapsed="false">
      <c r="A32889" s="24" t="s">
        <v>346</v>
      </c>
      <c r="B32889" s="25"/>
      <c r="C32889" s="25"/>
      <c r="D32889" s="25"/>
      <c r="E32889" s="25"/>
      <c r="F32889" s="25"/>
      <c r="G32889" s="25"/>
      <c r="H32889" s="25"/>
      <c r="I32889" s="25"/>
      <c r="J32889" s="25"/>
      <c r="K32889" s="25"/>
    </row>
    <row r="32890" customFormat="false" ht="15" hidden="false" customHeight="false" outlineLevel="0" collapsed="false">
      <c r="A32890" s="3" t="s">
        <v>329</v>
      </c>
      <c r="G32890" s="16" t="n">
        <f aca="false">F32901</f>
        <v>350</v>
      </c>
      <c r="H32890" s="16" t="n">
        <f aca="false">G32901</f>
        <v>350</v>
      </c>
      <c r="I32890" s="16" t="n">
        <f aca="false">H32901</f>
        <v>350</v>
      </c>
      <c r="J32890" s="16" t="n">
        <f aca="false">I32901</f>
        <v>350</v>
      </c>
      <c r="K32890" s="16" t="n">
        <f aca="false">J32901</f>
        <v>350</v>
      </c>
    </row>
    <row r="32891" customFormat="false" ht="15" hidden="false" customHeight="false" outlineLevel="0" collapsed="false">
      <c r="A32891" s="3" t="s">
        <v>330</v>
      </c>
      <c r="G32891" s="21" t="n">
        <f aca="false">IF(G32763=Assumptions!$K$64,1,0)</f>
        <v>0</v>
      </c>
      <c r="H32891" s="21" t="n">
        <f aca="false">IF(H32763=Assumptions!$K$64,1,0)</f>
        <v>0</v>
      </c>
      <c r="I32891" s="21" t="n">
        <f aca="false">IF(I32763=Assumptions!$K$64,1,0)</f>
        <v>0</v>
      </c>
      <c r="J32891" s="21" t="n">
        <f aca="false">IF(J32763=Assumptions!$K$64,1,0)</f>
        <v>1</v>
      </c>
      <c r="K32891" s="21" t="n">
        <f aca="false">IF(K32763=Assumptions!$K$64,1,0)</f>
        <v>0</v>
      </c>
    </row>
    <row r="32893" customFormat="false" ht="15" hidden="false" customHeight="false" outlineLevel="0" collapsed="false">
      <c r="A32893" s="3" t="s">
        <v>331</v>
      </c>
      <c r="G32893" s="31" t="n">
        <f aca="false">IF(Assumptions!$I$64=1,MAX(G32789,Assumptions!$G$64)+Assumptions!$F$64+$C$32790,Assumptions!$E$64)</f>
        <v>0.0455</v>
      </c>
      <c r="H32893" s="31" t="n">
        <f aca="false">IF(G33116=1,$C$32791,IF(Assumptions!$I$64=1,MAX(H32789,Assumptions!$G$64)+Assumptions!$F$64+$C$32790,Assumptions!$E$64))</f>
        <v>0.0455</v>
      </c>
      <c r="I32893" s="31" t="n">
        <f aca="false">IF(H33116=1,$C$32791,IF(Assumptions!$I$64=1,MAX(I32789,Assumptions!$G$64)+Assumptions!$F$64+$C$32790,Assumptions!$E$64))</f>
        <v>0.0455</v>
      </c>
      <c r="J32893" s="31" t="n">
        <f aca="false">IF(I33116=1,$C$32791,IF(Assumptions!$I$64=1,MAX(J32789,Assumptions!$G$64)+Assumptions!$F$64+$C$32790,Assumptions!$E$64))</f>
        <v>0.0455</v>
      </c>
      <c r="K32893" s="31" t="n">
        <f aca="false">IF(J33116=1,$C$32791,IF(Assumptions!$I$64=1,MAX(K32789,Assumptions!$G$64)+Assumptions!$F$64+$C$32790,Assumptions!$E$64))</f>
        <v>0.08</v>
      </c>
    </row>
    <row r="32894" customFormat="false" ht="15" hidden="false" customHeight="false" outlineLevel="0" collapsed="false">
      <c r="A32894" s="3" t="s">
        <v>332</v>
      </c>
      <c r="G32894" s="16" t="n">
        <f aca="false">G32890*G32893</f>
        <v>15.925</v>
      </c>
      <c r="H32894" s="16" t="n">
        <f aca="false">H32890*H32893</f>
        <v>15.925</v>
      </c>
      <c r="I32894" s="16" t="n">
        <f aca="false">I32890*I32893</f>
        <v>15.925</v>
      </c>
      <c r="J32894" s="16" t="n">
        <f aca="false">J32890*J32893</f>
        <v>15.925</v>
      </c>
      <c r="K32894" s="16" t="n">
        <f aca="false">K32890*K32893</f>
        <v>28</v>
      </c>
    </row>
    <row r="32895" customFormat="false" ht="15" hidden="false" customHeight="false" outlineLevel="0" collapsed="false">
      <c r="A32895" s="3" t="s">
        <v>333</v>
      </c>
      <c r="G32895" s="16" t="n">
        <f aca="false">G32890*Assumptions!$H$64</f>
        <v>0</v>
      </c>
      <c r="H32895" s="16" t="n">
        <f aca="false">H32890*Assumptions!$H$64</f>
        <v>0</v>
      </c>
      <c r="I32895" s="16" t="n">
        <f aca="false">I32890*Assumptions!$H$64</f>
        <v>0</v>
      </c>
      <c r="J32895" s="16" t="n">
        <f aca="false">J32890*Assumptions!$H$64</f>
        <v>0</v>
      </c>
      <c r="K32895" s="16" t="n">
        <f aca="false">K32890*Assumptions!$H$64</f>
        <v>0</v>
      </c>
    </row>
    <row r="32896" customFormat="false" ht="15" hidden="false" customHeight="false" outlineLevel="0" collapsed="false">
      <c r="A32896" s="3" t="s">
        <v>334</v>
      </c>
      <c r="G32896" s="16" t="n">
        <f aca="false">MIN(G32890,Assumptions!$L$64*Assumptions!$C$64)</f>
        <v>0</v>
      </c>
      <c r="H32896" s="16" t="n">
        <f aca="false">MIN(H32890,Assumptions!$L$64*Assumptions!$C$64)</f>
        <v>0</v>
      </c>
      <c r="I32896" s="16" t="n">
        <f aca="false">MIN(I32890,Assumptions!$L$64*Assumptions!$C$64)</f>
        <v>0</v>
      </c>
      <c r="J32896" s="16" t="n">
        <f aca="false">MIN(J32890,Assumptions!$L$64*Assumptions!$C$64)</f>
        <v>0</v>
      </c>
      <c r="K32896" s="16" t="n">
        <f aca="false">MIN(K32890,Assumptions!$L$64*Assumptions!$C$64)</f>
        <v>0</v>
      </c>
    </row>
    <row r="32897" customFormat="false" ht="15" hidden="false" customHeight="false" outlineLevel="0" collapsed="false">
      <c r="A32897" s="3" t="s">
        <v>335</v>
      </c>
      <c r="G32897" s="16" t="n">
        <f aca="false">IF(AND(Assumptions!$P$64=1,G32763&lt;Assumptions!$K$64),MIN(MAX(0,-G32979),MAX(0,Assumptions!$D$64-G32890)),0)</f>
        <v>0</v>
      </c>
      <c r="H32897" s="16" t="n">
        <f aca="false">IF(AND(Assumptions!$P$64=1,OR(H32763&lt;Assumptions!$K$64,G33116=1)),MIN(MAX(0,-H32979),MAX(0,Assumptions!$D$64-H32890)),0)</f>
        <v>0</v>
      </c>
      <c r="I32897" s="16" t="n">
        <f aca="false">IF(AND(Assumptions!$P$64=1,OR(I32763&lt;Assumptions!$K$64,H33116=1)),MIN(MAX(0,-I32979),MAX(0,Assumptions!$D$64-I32890)),0)</f>
        <v>0</v>
      </c>
      <c r="J32897" s="16" t="n">
        <f aca="false">IF(AND(Assumptions!$P$64=1,OR(J32763&lt;Assumptions!$K$64,I33116=1)),MIN(MAX(0,-J32979),MAX(0,Assumptions!$D$64-J32890)),0)</f>
        <v>0</v>
      </c>
      <c r="K32897" s="16" t="n">
        <f aca="false">IF(AND(Assumptions!$P$64=1,OR(K32763&lt;Assumptions!$K$64,J33116=1)),MIN(MAX(0,-K32979),MAX(0,Assumptions!$D$64-K32890)),0)</f>
        <v>0</v>
      </c>
    </row>
    <row r="32898" customFormat="false" ht="15" hidden="false" customHeight="false" outlineLevel="0" collapsed="false">
      <c r="A32898" s="3" t="s">
        <v>336</v>
      </c>
      <c r="G32898" s="16" t="n">
        <f aca="false">G32891*MIN(G32890-G32896+G32895,MAX(0,G32981-Assumptions!$C$12*G32797-G32807-G32820-G32833-G32846-G32859-G32872-G32885))</f>
        <v>0</v>
      </c>
      <c r="H32898" s="16" t="n">
        <f aca="false">H32891*MIN(H32890-H32896+H32895,MAX(0,H32981-Assumptions!$C$12*H32797-H32807-H32820-H32833-H32846-H32859-H32872-H32885))</f>
        <v>0</v>
      </c>
      <c r="I32898" s="16" t="n">
        <f aca="false">I32891*MIN(I32890-I32896+I32895,MAX(0,I32981-Assumptions!$C$12*I32797-I32807-I32820-I32833-I32846-I32859-I32872-I32885))</f>
        <v>0</v>
      </c>
      <c r="J32898" s="16" t="n">
        <f aca="false">J32891*MIN(J32890-J32896+J32895,MAX(0,J32981-Assumptions!$C$12*J32797-J32807-J32820-J32833-J32846-J32859-J32872-J32885))</f>
        <v>0</v>
      </c>
      <c r="K32898" s="16" t="n">
        <f aca="false">K32891*MIN(K32890-K32896+K32895,MAX(0,K32981-Assumptions!$C$12*K32797-K32807-K32820-K32833-K32846-K32859-K32872-K32885))</f>
        <v>0</v>
      </c>
    </row>
    <row r="32899" customFormat="false" ht="15" hidden="false" customHeight="false" outlineLevel="0" collapsed="false">
      <c r="A32899" s="3" t="s">
        <v>337</v>
      </c>
      <c r="G32899" s="16" t="n">
        <f aca="false">Assumptions!$N$64*MIN(G32890+G32897+G32895-G32896-G32898,MAX(0,G32985-G32808-G32821-G32834-G32847-G32860-G32873-G32886))</f>
        <v>0</v>
      </c>
      <c r="H32899" s="16" t="n">
        <f aca="false">Assumptions!$N$64*MIN(H32890+H32897+H32895-H32896-H32898,MAX(0,H32985-H32808-H32821-H32834-H32847-H32860-H32873-H32886))</f>
        <v>0</v>
      </c>
      <c r="I32899" s="16" t="n">
        <f aca="false">Assumptions!$N$64*MIN(I32890+I32897+I32895-I32896-I32898,MAX(0,I32985-I32808-I32821-I32834-I32847-I32860-I32873-I32886))</f>
        <v>0</v>
      </c>
      <c r="J32899" s="16" t="n">
        <f aca="false">Assumptions!$N$64*MIN(J32890+J32897+J32895-J32896-J32898,MAX(0,J32985-J32808-J32821-J32834-J32847-J32860-J32873-J32886))</f>
        <v>0</v>
      </c>
      <c r="K32899" s="16" t="n">
        <f aca="false">Assumptions!$N$64*MIN(K32890+K32897+K32895-K32896-K32898,MAX(0,K32985-K32808-K32821-K32834-K32847-K32860-K32873-K32886))</f>
        <v>0</v>
      </c>
    </row>
    <row r="32900" customFormat="false" ht="15" hidden="false" customHeight="false" outlineLevel="0" collapsed="false">
      <c r="A32900" s="3" t="s">
        <v>338</v>
      </c>
      <c r="G32900" s="16" t="n">
        <f aca="false">G32891*(1-G32797)*(G32890-G32896+G32895-G32898)</f>
        <v>0</v>
      </c>
      <c r="H32900" s="16" t="n">
        <f aca="false">H32891*(1-H32797)*(H32890-H32896+H32895-H32898)</f>
        <v>0</v>
      </c>
      <c r="I32900" s="16" t="n">
        <f aca="false">I32891*(1-I32797)*(I32890-I32896+I32895-I32898)</f>
        <v>0</v>
      </c>
      <c r="J32900" s="16" t="n">
        <f aca="false">J32891*(1-J32797)*(J32890-J32896+J32895-J32898)</f>
        <v>0</v>
      </c>
      <c r="K32900" s="16" t="n">
        <f aca="false">K32891*(1-K32797)*(K32890-K32896+K32895-K32898)</f>
        <v>0</v>
      </c>
    </row>
    <row r="32901" customFormat="false" ht="15" hidden="false" customHeight="false" outlineLevel="0" collapsed="false">
      <c r="A32901" s="2" t="s">
        <v>339</v>
      </c>
      <c r="F32901" s="28" t="n">
        <f aca="false">Assumptions!$C$64</f>
        <v>350</v>
      </c>
      <c r="G32901" s="17" t="n">
        <f aca="false">G32890+G32897+G32895-G32896-G32898-G32899</f>
        <v>350</v>
      </c>
      <c r="H32901" s="17" t="n">
        <f aca="false">H32890+H32897+H32895-H32896-H32898-H32899</f>
        <v>350</v>
      </c>
      <c r="I32901" s="17" t="n">
        <f aca="false">I32890+I32897+I32895-I32896-I32898-I32899</f>
        <v>350</v>
      </c>
      <c r="J32901" s="17" t="n">
        <f aca="false">J32890+J32897+J32895-J32896-J32898-J32899</f>
        <v>350</v>
      </c>
      <c r="K32901" s="17" t="n">
        <f aca="false">K32890+K32897+K32895-K32896-K32898-K32899</f>
        <v>350</v>
      </c>
    </row>
    <row r="32902" customFormat="false" ht="15" hidden="false" customHeight="false" outlineLevel="0" collapsed="false">
      <c r="A32902" s="24" t="s">
        <v>347</v>
      </c>
      <c r="B32902" s="25"/>
      <c r="C32902" s="25"/>
      <c r="D32902" s="25"/>
      <c r="E32902" s="25"/>
      <c r="F32902" s="25"/>
      <c r="G32902" s="25"/>
      <c r="H32902" s="25"/>
      <c r="I32902" s="25"/>
      <c r="J32902" s="25"/>
      <c r="K32902" s="25"/>
    </row>
    <row r="32903" customFormat="false" ht="15" hidden="false" customHeight="false" outlineLevel="0" collapsed="false">
      <c r="A32903" s="3" t="s">
        <v>329</v>
      </c>
      <c r="G32903" s="16" t="n">
        <f aca="false">F32914</f>
        <v>300</v>
      </c>
      <c r="H32903" s="16" t="n">
        <f aca="false">G32914</f>
        <v>300</v>
      </c>
      <c r="I32903" s="16" t="n">
        <f aca="false">H32914</f>
        <v>300</v>
      </c>
      <c r="J32903" s="16" t="n">
        <f aca="false">I32914</f>
        <v>300</v>
      </c>
      <c r="K32903" s="16" t="n">
        <f aca="false">J32914</f>
        <v>300</v>
      </c>
    </row>
    <row r="32904" customFormat="false" ht="15" hidden="false" customHeight="false" outlineLevel="0" collapsed="false">
      <c r="A32904" s="3" t="s">
        <v>330</v>
      </c>
      <c r="G32904" s="21" t="n">
        <f aca="false">IF(G32763=Assumptions!$K$65,1,0)</f>
        <v>0</v>
      </c>
      <c r="H32904" s="21" t="n">
        <f aca="false">IF(H32763=Assumptions!$K$65,1,0)</f>
        <v>0</v>
      </c>
      <c r="I32904" s="21" t="n">
        <f aca="false">IF(I32763=Assumptions!$K$65,1,0)</f>
        <v>0</v>
      </c>
      <c r="J32904" s="21" t="n">
        <f aca="false">IF(J32763=Assumptions!$K$65,1,0)</f>
        <v>0</v>
      </c>
      <c r="K32904" s="21" t="n">
        <f aca="false">IF(K32763=Assumptions!$K$65,1,0)</f>
        <v>1</v>
      </c>
    </row>
    <row r="32906" customFormat="false" ht="15" hidden="false" customHeight="false" outlineLevel="0" collapsed="false">
      <c r="A32906" s="3" t="s">
        <v>331</v>
      </c>
      <c r="G32906" s="31" t="n">
        <f aca="false">IF(Assumptions!$I$65=1,MAX(G32789,Assumptions!$G$65)+Assumptions!$F$65+$C$32790,Assumptions!$E$65)</f>
        <v>0.06125</v>
      </c>
      <c r="H32906" s="31" t="n">
        <f aca="false">IF(G33117=1,$C$32791,IF(Assumptions!$I$65=1,MAX(H32789,Assumptions!$G$65)+Assumptions!$F$65+$C$32790,Assumptions!$E$65))</f>
        <v>0.06125</v>
      </c>
      <c r="I32906" s="31" t="n">
        <f aca="false">IF(H33117=1,$C$32791,IF(Assumptions!$I$65=1,MAX(I32789,Assumptions!$G$65)+Assumptions!$F$65+$C$32790,Assumptions!$E$65))</f>
        <v>0.06125</v>
      </c>
      <c r="J32906" s="31" t="n">
        <f aca="false">IF(I33117=1,$C$32791,IF(Assumptions!$I$65=1,MAX(J32789,Assumptions!$G$65)+Assumptions!$F$65+$C$32790,Assumptions!$E$65))</f>
        <v>0.06125</v>
      </c>
      <c r="K32906" s="31" t="n">
        <f aca="false">IF(J33117=1,$C$32791,IF(Assumptions!$I$65=1,MAX(K32789,Assumptions!$G$65)+Assumptions!$F$65+$C$32790,Assumptions!$E$65))</f>
        <v>0.06125</v>
      </c>
    </row>
    <row r="32907" customFormat="false" ht="15" hidden="false" customHeight="false" outlineLevel="0" collapsed="false">
      <c r="A32907" s="3" t="s">
        <v>332</v>
      </c>
      <c r="G32907" s="16" t="n">
        <f aca="false">G32903*G32906</f>
        <v>18.375</v>
      </c>
      <c r="H32907" s="16" t="n">
        <f aca="false">H32903*H32906</f>
        <v>18.375</v>
      </c>
      <c r="I32907" s="16" t="n">
        <f aca="false">I32903*I32906</f>
        <v>18.375</v>
      </c>
      <c r="J32907" s="16" t="n">
        <f aca="false">J32903*J32906</f>
        <v>18.375</v>
      </c>
      <c r="K32907" s="16" t="n">
        <f aca="false">K32903*K32906</f>
        <v>18.375</v>
      </c>
    </row>
    <row r="32908" customFormat="false" ht="15" hidden="false" customHeight="false" outlineLevel="0" collapsed="false">
      <c r="A32908" s="3" t="s">
        <v>333</v>
      </c>
      <c r="G32908" s="16" t="n">
        <f aca="false">G32903*Assumptions!$H$65</f>
        <v>0</v>
      </c>
      <c r="H32908" s="16" t="n">
        <f aca="false">H32903*Assumptions!$H$65</f>
        <v>0</v>
      </c>
      <c r="I32908" s="16" t="n">
        <f aca="false">I32903*Assumptions!$H$65</f>
        <v>0</v>
      </c>
      <c r="J32908" s="16" t="n">
        <f aca="false">J32903*Assumptions!$H$65</f>
        <v>0</v>
      </c>
      <c r="K32908" s="16" t="n">
        <f aca="false">K32903*Assumptions!$H$65</f>
        <v>0</v>
      </c>
    </row>
    <row r="32909" customFormat="false" ht="15" hidden="false" customHeight="false" outlineLevel="0" collapsed="false">
      <c r="A32909" s="3" t="s">
        <v>334</v>
      </c>
      <c r="G32909" s="16" t="n">
        <f aca="false">MIN(G32903,Assumptions!$L$65*Assumptions!$C$65)</f>
        <v>0</v>
      </c>
      <c r="H32909" s="16" t="n">
        <f aca="false">MIN(H32903,Assumptions!$L$65*Assumptions!$C$65)</f>
        <v>0</v>
      </c>
      <c r="I32909" s="16" t="n">
        <f aca="false">MIN(I32903,Assumptions!$L$65*Assumptions!$C$65)</f>
        <v>0</v>
      </c>
      <c r="J32909" s="16" t="n">
        <f aca="false">MIN(J32903,Assumptions!$L$65*Assumptions!$C$65)</f>
        <v>0</v>
      </c>
      <c r="K32909" s="16" t="n">
        <f aca="false">MIN(K32903,Assumptions!$L$65*Assumptions!$C$65)</f>
        <v>0</v>
      </c>
    </row>
    <row r="32910" customFormat="false" ht="15" hidden="false" customHeight="false" outlineLevel="0" collapsed="false">
      <c r="A32910" s="3" t="s">
        <v>335</v>
      </c>
      <c r="G32910" s="16" t="n">
        <f aca="false">IF(AND(Assumptions!$P$65=1,G32763&lt;Assumptions!$K$65),MIN(MAX(0,-G32979),MAX(0,Assumptions!$D$65-G32903)),0)</f>
        <v>0</v>
      </c>
      <c r="H32910" s="16" t="n">
        <f aca="false">IF(AND(Assumptions!$P$65=1,OR(H32763&lt;Assumptions!$K$65,G33117=1)),MIN(MAX(0,-H32979),MAX(0,Assumptions!$D$65-H32903)),0)</f>
        <v>0</v>
      </c>
      <c r="I32910" s="16" t="n">
        <f aca="false">IF(AND(Assumptions!$P$65=1,OR(I32763&lt;Assumptions!$K$65,H33117=1)),MIN(MAX(0,-I32979),MAX(0,Assumptions!$D$65-I32903)),0)</f>
        <v>0</v>
      </c>
      <c r="J32910" s="16" t="n">
        <f aca="false">IF(AND(Assumptions!$P$65=1,OR(J32763&lt;Assumptions!$K$65,I33117=1)),MIN(MAX(0,-J32979),MAX(0,Assumptions!$D$65-J32903)),0)</f>
        <v>0</v>
      </c>
      <c r="K32910" s="16" t="n">
        <f aca="false">IF(AND(Assumptions!$P$65=1,OR(K32763&lt;Assumptions!$K$65,J33117=1)),MIN(MAX(0,-K32979),MAX(0,Assumptions!$D$65-K32903)),0)</f>
        <v>0</v>
      </c>
    </row>
    <row r="32911" customFormat="false" ht="15" hidden="false" customHeight="false" outlineLevel="0" collapsed="false">
      <c r="A32911" s="3" t="s">
        <v>336</v>
      </c>
      <c r="G32911" s="16" t="n">
        <f aca="false">G32904*MIN(G32903-G32909+G32908,MAX(0,G32981-Assumptions!$C$12*G32797-G32807-G32820-G32833-G32846-G32859-G32872-G32885-G32898))</f>
        <v>0</v>
      </c>
      <c r="H32911" s="16" t="n">
        <f aca="false">H32904*MIN(H32903-H32909+H32908,MAX(0,H32981-Assumptions!$C$12*H32797-H32807-H32820-H32833-H32846-H32859-H32872-H32885-H32898))</f>
        <v>0</v>
      </c>
      <c r="I32911" s="16" t="n">
        <f aca="false">I32904*MIN(I32903-I32909+I32908,MAX(0,I32981-Assumptions!$C$12*I32797-I32807-I32820-I32833-I32846-I32859-I32872-I32885-I32898))</f>
        <v>0</v>
      </c>
      <c r="J32911" s="16" t="n">
        <f aca="false">J32904*MIN(J32903-J32909+J32908,MAX(0,J32981-Assumptions!$C$12*J32797-J32807-J32820-J32833-J32846-J32859-J32872-J32885-J32898))</f>
        <v>0</v>
      </c>
      <c r="K32911" s="16" t="n">
        <f aca="false">K32904*MIN(K32903-K32909+K32908,MAX(0,K32981-Assumptions!$C$12*K32797-K32807-K32820-K32833-K32846-K32859-K32872-K32885-K32898))</f>
        <v>0</v>
      </c>
    </row>
    <row r="32912" customFormat="false" ht="15" hidden="false" customHeight="false" outlineLevel="0" collapsed="false">
      <c r="A32912" s="3" t="s">
        <v>337</v>
      </c>
      <c r="G32912" s="16" t="n">
        <f aca="false">Assumptions!$N$65*MIN(G32903+G32910+G32908-G32909-G32911,MAX(0,G32985-G32808-G32821-G32834-G32847-G32860-G32873-G32886-G32899))</f>
        <v>0</v>
      </c>
      <c r="H32912" s="16" t="n">
        <f aca="false">Assumptions!$N$65*MIN(H32903+H32910+H32908-H32909-H32911,MAX(0,H32985-H32808-H32821-H32834-H32847-H32860-H32873-H32886-H32899))</f>
        <v>0</v>
      </c>
      <c r="I32912" s="16" t="n">
        <f aca="false">Assumptions!$N$65*MIN(I32903+I32910+I32908-I32909-I32911,MAX(0,I32985-I32808-I32821-I32834-I32847-I32860-I32873-I32886-I32899))</f>
        <v>0</v>
      </c>
      <c r="J32912" s="16" t="n">
        <f aca="false">Assumptions!$N$65*MIN(J32903+J32910+J32908-J32909-J32911,MAX(0,J32985-J32808-J32821-J32834-J32847-J32860-J32873-J32886-J32899))</f>
        <v>0</v>
      </c>
      <c r="K32912" s="16" t="n">
        <f aca="false">Assumptions!$N$65*MIN(K32903+K32910+K32908-K32909-K32911,MAX(0,K32985-K32808-K32821-K32834-K32847-K32860-K32873-K32886-K32899))</f>
        <v>0</v>
      </c>
    </row>
    <row r="32913" customFormat="false" ht="15" hidden="false" customHeight="false" outlineLevel="0" collapsed="false">
      <c r="A32913" s="3" t="s">
        <v>338</v>
      </c>
      <c r="G32913" s="16" t="n">
        <f aca="false">G32904*(1-G32797)*(G32903-G32909+G32908-G32911)</f>
        <v>0</v>
      </c>
      <c r="H32913" s="16" t="n">
        <f aca="false">H32904*(1-H32797)*(H32903-H32909+H32908-H32911)</f>
        <v>0</v>
      </c>
      <c r="I32913" s="16" t="n">
        <f aca="false">I32904*(1-I32797)*(I32903-I32909+I32908-I32911)</f>
        <v>0</v>
      </c>
      <c r="J32913" s="16" t="n">
        <f aca="false">J32904*(1-J32797)*(J32903-J32909+J32908-J32911)</f>
        <v>0</v>
      </c>
      <c r="K32913" s="16" t="n">
        <f aca="false">K32904*(1-K32797)*(K32903-K32909+K32908-K32911)</f>
        <v>0</v>
      </c>
    </row>
    <row r="32914" customFormat="false" ht="15" hidden="false" customHeight="false" outlineLevel="0" collapsed="false">
      <c r="A32914" s="2" t="s">
        <v>339</v>
      </c>
      <c r="F32914" s="28" t="n">
        <f aca="false">Assumptions!$C$65</f>
        <v>300</v>
      </c>
      <c r="G32914" s="17" t="n">
        <f aca="false">G32903+G32910+G32908-G32909-G32911-G32912</f>
        <v>300</v>
      </c>
      <c r="H32914" s="17" t="n">
        <f aca="false">H32903+H32910+H32908-H32909-H32911-H32912</f>
        <v>300</v>
      </c>
      <c r="I32914" s="17" t="n">
        <f aca="false">I32903+I32910+I32908-I32909-I32911-I32912</f>
        <v>300</v>
      </c>
      <c r="J32914" s="17" t="n">
        <f aca="false">J32903+J32910+J32908-J32909-J32911-J32912</f>
        <v>300</v>
      </c>
      <c r="K32914" s="17" t="n">
        <f aca="false">K32903+K32910+K32908-K32909-K32911-K32912</f>
        <v>300</v>
      </c>
    </row>
    <row r="32915" customFormat="false" ht="15" hidden="false" customHeight="false" outlineLevel="0" collapsed="false">
      <c r="A32915" s="24" t="s">
        <v>348</v>
      </c>
      <c r="B32915" s="25"/>
      <c r="C32915" s="25"/>
      <c r="D32915" s="25"/>
      <c r="E32915" s="25"/>
      <c r="F32915" s="25"/>
      <c r="G32915" s="25"/>
      <c r="H32915" s="25"/>
      <c r="I32915" s="25"/>
      <c r="J32915" s="25"/>
      <c r="K32915" s="25"/>
    </row>
    <row r="32916" customFormat="false" ht="15" hidden="false" customHeight="false" outlineLevel="0" collapsed="false">
      <c r="A32916" s="3" t="s">
        <v>329</v>
      </c>
      <c r="G32916" s="16" t="n">
        <f aca="false">F32927</f>
        <v>78.61</v>
      </c>
      <c r="H32916" s="16" t="n">
        <f aca="false">G32927</f>
        <v>78.61</v>
      </c>
      <c r="I32916" s="16" t="n">
        <f aca="false">H32927</f>
        <v>78.61</v>
      </c>
      <c r="J32916" s="16" t="n">
        <f aca="false">I32927</f>
        <v>78.61</v>
      </c>
      <c r="K32916" s="16" t="n">
        <f aca="false">J32927</f>
        <v>78.61</v>
      </c>
    </row>
    <row r="32917" customFormat="false" ht="15" hidden="false" customHeight="false" outlineLevel="0" collapsed="false">
      <c r="A32917" s="3" t="s">
        <v>330</v>
      </c>
      <c r="G32917" s="21" t="n">
        <f aca="false">IF(G32763=Assumptions!$K$66,1,0)</f>
        <v>0</v>
      </c>
      <c r="H32917" s="21" t="n">
        <f aca="false">IF(H32763=Assumptions!$K$66,1,0)</f>
        <v>0</v>
      </c>
      <c r="I32917" s="21" t="n">
        <f aca="false">IF(I32763=Assumptions!$K$66,1,0)</f>
        <v>0</v>
      </c>
      <c r="J32917" s="21" t="n">
        <f aca="false">IF(J32763=Assumptions!$K$66,1,0)</f>
        <v>0</v>
      </c>
      <c r="K32917" s="21" t="n">
        <f aca="false">IF(K32763=Assumptions!$K$66,1,0)</f>
        <v>0</v>
      </c>
    </row>
    <row r="32919" customFormat="false" ht="15" hidden="false" customHeight="false" outlineLevel="0" collapsed="false">
      <c r="A32919" s="3" t="s">
        <v>331</v>
      </c>
      <c r="G32919" s="31" t="n">
        <f aca="false">IF(Assumptions!$I$66=1,MAX(G32789,Assumptions!$G$66)+Assumptions!$F$66+$C$32790,Assumptions!$E$66)</f>
        <v>0.0541</v>
      </c>
      <c r="H32919" s="31" t="n">
        <f aca="false">IF(G33118=1,$C$32791,IF(Assumptions!$I$66=1,MAX(H32789,Assumptions!$G$66)+Assumptions!$F$66+$C$32790,Assumptions!$E$66))</f>
        <v>0.0526</v>
      </c>
      <c r="I32919" s="31" t="n">
        <f aca="false">IF(H33118=1,$C$32791,IF(Assumptions!$I$66=1,MAX(I32789,Assumptions!$G$66)+Assumptions!$F$66+$C$32790,Assumptions!$E$66))</f>
        <v>0.0501</v>
      </c>
      <c r="J32919" s="31" t="n">
        <f aca="false">IF(I33118=1,$C$32791,IF(Assumptions!$I$66=1,MAX(J32789,Assumptions!$G$66)+Assumptions!$F$66+$C$32790,Assumptions!$E$66))</f>
        <v>0.0501</v>
      </c>
      <c r="K32919" s="31" t="n">
        <f aca="false">IF(J33118=1,$C$32791,IF(Assumptions!$I$66=1,MAX(K32789,Assumptions!$G$66)+Assumptions!$F$66+$C$32790,Assumptions!$E$66))</f>
        <v>0.0501</v>
      </c>
    </row>
    <row r="32920" customFormat="false" ht="15" hidden="false" customHeight="false" outlineLevel="0" collapsed="false">
      <c r="A32920" s="3" t="s">
        <v>332</v>
      </c>
      <c r="G32920" s="16" t="n">
        <f aca="false">G32916*G32919</f>
        <v>4.252801</v>
      </c>
      <c r="H32920" s="16" t="n">
        <f aca="false">H32916*H32919</f>
        <v>4.134886</v>
      </c>
      <c r="I32920" s="16" t="n">
        <f aca="false">I32916*I32919</f>
        <v>3.938361</v>
      </c>
      <c r="J32920" s="16" t="n">
        <f aca="false">J32916*J32919</f>
        <v>3.938361</v>
      </c>
      <c r="K32920" s="16" t="n">
        <f aca="false">K32916*K32919</f>
        <v>3.938361</v>
      </c>
    </row>
    <row r="32921" customFormat="false" ht="15" hidden="false" customHeight="false" outlineLevel="0" collapsed="false">
      <c r="A32921" s="3" t="s">
        <v>333</v>
      </c>
      <c r="G32921" s="16" t="n">
        <f aca="false">G32916*Assumptions!$H$66</f>
        <v>0</v>
      </c>
      <c r="H32921" s="16" t="n">
        <f aca="false">H32916*Assumptions!$H$66</f>
        <v>0</v>
      </c>
      <c r="I32921" s="16" t="n">
        <f aca="false">I32916*Assumptions!$H$66</f>
        <v>0</v>
      </c>
      <c r="J32921" s="16" t="n">
        <f aca="false">J32916*Assumptions!$H$66</f>
        <v>0</v>
      </c>
      <c r="K32921" s="16" t="n">
        <f aca="false">K32916*Assumptions!$H$66</f>
        <v>0</v>
      </c>
    </row>
    <row r="32922" customFormat="false" ht="15" hidden="false" customHeight="false" outlineLevel="0" collapsed="false">
      <c r="A32922" s="3" t="s">
        <v>334</v>
      </c>
      <c r="G32922" s="16" t="n">
        <f aca="false">MIN(G32916,Assumptions!$L$66*Assumptions!$C$66)</f>
        <v>0</v>
      </c>
      <c r="H32922" s="16" t="n">
        <f aca="false">MIN(H32916,Assumptions!$L$66*Assumptions!$C$66)</f>
        <v>0</v>
      </c>
      <c r="I32922" s="16" t="n">
        <f aca="false">MIN(I32916,Assumptions!$L$66*Assumptions!$C$66)</f>
        <v>0</v>
      </c>
      <c r="J32922" s="16" t="n">
        <f aca="false">MIN(J32916,Assumptions!$L$66*Assumptions!$C$66)</f>
        <v>0</v>
      </c>
      <c r="K32922" s="16" t="n">
        <f aca="false">MIN(K32916,Assumptions!$L$66*Assumptions!$C$66)</f>
        <v>0</v>
      </c>
    </row>
    <row r="32923" customFormat="false" ht="15" hidden="false" customHeight="false" outlineLevel="0" collapsed="false">
      <c r="A32923" s="3" t="s">
        <v>335</v>
      </c>
      <c r="G32923" s="16" t="n">
        <f aca="false">IF(AND(Assumptions!$P$66=1,G32763&lt;Assumptions!$K$66),MIN(MAX(0,-G32979),MAX(0,Assumptions!$D$66-G32916)),0)</f>
        <v>0</v>
      </c>
      <c r="H32923" s="16" t="n">
        <f aca="false">IF(AND(Assumptions!$P$66=1,OR(H32763&lt;Assumptions!$K$66,G33118=1)),MIN(MAX(0,-H32979),MAX(0,Assumptions!$D$66-H32916)),0)</f>
        <v>0</v>
      </c>
      <c r="I32923" s="16" t="n">
        <f aca="false">IF(AND(Assumptions!$P$66=1,OR(I32763&lt;Assumptions!$K$66,H33118=1)),MIN(MAX(0,-I32979),MAX(0,Assumptions!$D$66-I32916)),0)</f>
        <v>0</v>
      </c>
      <c r="J32923" s="16" t="n">
        <f aca="false">IF(AND(Assumptions!$P$66=1,OR(J32763&lt;Assumptions!$K$66,I33118=1)),MIN(MAX(0,-J32979),MAX(0,Assumptions!$D$66-J32916)),0)</f>
        <v>0</v>
      </c>
      <c r="K32923" s="16" t="n">
        <f aca="false">IF(AND(Assumptions!$P$66=1,OR(K32763&lt;Assumptions!$K$66,J33118=1)),MIN(MAX(0,-K32979),MAX(0,Assumptions!$D$66-K32916)),0)</f>
        <v>0</v>
      </c>
    </row>
    <row r="32924" customFormat="false" ht="15" hidden="false" customHeight="false" outlineLevel="0" collapsed="false">
      <c r="A32924" s="3" t="s">
        <v>336</v>
      </c>
      <c r="G32924" s="16" t="n">
        <f aca="false">G32917*MIN(G32916-G32922+G32921,MAX(0,G32981-Assumptions!$C$12*G32797-G32807-G32820-G32833-G32846-G32859-G32872-G32885-G32898-G32911))</f>
        <v>0</v>
      </c>
      <c r="H32924" s="16" t="n">
        <f aca="false">H32917*MIN(H32916-H32922+H32921,MAX(0,H32981-Assumptions!$C$12*H32797-H32807-H32820-H32833-H32846-H32859-H32872-H32885-H32898-H32911))</f>
        <v>0</v>
      </c>
      <c r="I32924" s="16" t="n">
        <f aca="false">I32917*MIN(I32916-I32922+I32921,MAX(0,I32981-Assumptions!$C$12*I32797-I32807-I32820-I32833-I32846-I32859-I32872-I32885-I32898-I32911))</f>
        <v>0</v>
      </c>
      <c r="J32924" s="16" t="n">
        <f aca="false">J32917*MIN(J32916-J32922+J32921,MAX(0,J32981-Assumptions!$C$12*J32797-J32807-J32820-J32833-J32846-J32859-J32872-J32885-J32898-J32911))</f>
        <v>0</v>
      </c>
      <c r="K32924" s="16" t="n">
        <f aca="false">K32917*MIN(K32916-K32922+K32921,MAX(0,K32981-Assumptions!$C$12*K32797-K32807-K32820-K32833-K32846-K32859-K32872-K32885-K32898-K32911))</f>
        <v>0</v>
      </c>
    </row>
    <row r="32925" customFormat="false" ht="15" hidden="false" customHeight="false" outlineLevel="0" collapsed="false">
      <c r="A32925" s="3" t="s">
        <v>337</v>
      </c>
      <c r="G32925" s="16" t="n">
        <f aca="false">Assumptions!$N$66*MIN(G32916+G32923+G32921-G32922-G32924,MAX(0,G32985-G32808-G32821-G32834-G32847-G32860-G32873-G32886-G32899-G32912))</f>
        <v>0</v>
      </c>
      <c r="H32925" s="16" t="n">
        <f aca="false">Assumptions!$N$66*MIN(H32916+H32923+H32921-H32922-H32924,MAX(0,H32985-H32808-H32821-H32834-H32847-H32860-H32873-H32886-H32899-H32912))</f>
        <v>0</v>
      </c>
      <c r="I32925" s="16" t="n">
        <f aca="false">Assumptions!$N$66*MIN(I32916+I32923+I32921-I32922-I32924,MAX(0,I32985-I32808-I32821-I32834-I32847-I32860-I32873-I32886-I32899-I32912))</f>
        <v>0</v>
      </c>
      <c r="J32925" s="16" t="n">
        <f aca="false">Assumptions!$N$66*MIN(J32916+J32923+J32921-J32922-J32924,MAX(0,J32985-J32808-J32821-J32834-J32847-J32860-J32873-J32886-J32899-J32912))</f>
        <v>0</v>
      </c>
      <c r="K32925" s="16" t="n">
        <f aca="false">Assumptions!$N$66*MIN(K32916+K32923+K32921-K32922-K32924,MAX(0,K32985-K32808-K32821-K32834-K32847-K32860-K32873-K32886-K32899-K32912))</f>
        <v>0</v>
      </c>
    </row>
    <row r="32926" customFormat="false" ht="15" hidden="false" customHeight="false" outlineLevel="0" collapsed="false">
      <c r="A32926" s="3" t="s">
        <v>338</v>
      </c>
      <c r="G32926" s="16" t="n">
        <f aca="false">G32917*(1-G32797)*(G32916-G32922+G32921-G32924)</f>
        <v>0</v>
      </c>
      <c r="H32926" s="16" t="n">
        <f aca="false">H32917*(1-H32797)*(H32916-H32922+H32921-H32924)</f>
        <v>0</v>
      </c>
      <c r="I32926" s="16" t="n">
        <f aca="false">I32917*(1-I32797)*(I32916-I32922+I32921-I32924)</f>
        <v>0</v>
      </c>
      <c r="J32926" s="16" t="n">
        <f aca="false">J32917*(1-J32797)*(J32916-J32922+J32921-J32924)</f>
        <v>0</v>
      </c>
      <c r="K32926" s="16" t="n">
        <f aca="false">K32917*(1-K32797)*(K32916-K32922+K32921-K32924)</f>
        <v>0</v>
      </c>
    </row>
    <row r="32927" customFormat="false" ht="15" hidden="false" customHeight="false" outlineLevel="0" collapsed="false">
      <c r="A32927" s="2" t="s">
        <v>339</v>
      </c>
      <c r="F32927" s="28" t="n">
        <f aca="false">Assumptions!$C$66</f>
        <v>78.61</v>
      </c>
      <c r="G32927" s="17" t="n">
        <f aca="false">G32916+G32923+G32921-G32922-G32924-G32925</f>
        <v>78.61</v>
      </c>
      <c r="H32927" s="17" t="n">
        <f aca="false">H32916+H32923+H32921-H32922-H32924-H32925</f>
        <v>78.61</v>
      </c>
      <c r="I32927" s="17" t="n">
        <f aca="false">I32916+I32923+I32921-I32922-I32924-I32925</f>
        <v>78.61</v>
      </c>
      <c r="J32927" s="17" t="n">
        <f aca="false">J32916+J32923+J32921-J32922-J32924-J32925</f>
        <v>78.61</v>
      </c>
      <c r="K32927" s="17" t="n">
        <f aca="false">K32916+K32923+K32921-K32922-K32924-K32925</f>
        <v>78.61</v>
      </c>
    </row>
    <row r="32928" customFormat="false" ht="15" hidden="false" customHeight="false" outlineLevel="0" collapsed="false">
      <c r="A32928" s="24" t="s">
        <v>349</v>
      </c>
      <c r="B32928" s="25"/>
      <c r="C32928" s="25"/>
      <c r="D32928" s="25"/>
      <c r="E32928" s="25"/>
      <c r="F32928" s="25"/>
      <c r="G32928" s="25"/>
      <c r="H32928" s="25"/>
      <c r="I32928" s="25"/>
      <c r="J32928" s="25"/>
      <c r="K32928" s="25"/>
    </row>
    <row r="32929" customFormat="false" ht="15" hidden="false" customHeight="false" outlineLevel="0" collapsed="false">
      <c r="A32929" s="2" t="s">
        <v>350</v>
      </c>
      <c r="F32929" s="17" t="n">
        <f aca="false">F32810+F32823+F32836+F32849+F32862+F32875+F32888+F32901+F32914+F32927</f>
        <v>2625.934</v>
      </c>
      <c r="G32929" s="17" t="n">
        <f aca="false">G32810+G32823+G32836+G32849+G32862+G32875+G32888+G32901+G32914+G32927</f>
        <v>2621.934</v>
      </c>
      <c r="H32929" s="17" t="n">
        <f aca="false">H32810+H32823+H32836+H32849+H32862+H32875+H32888+H32901+H32914+H32927</f>
        <v>2575.6561513738</v>
      </c>
      <c r="I32929" s="17" t="n">
        <f aca="false">I32810+I32823+I32836+I32849+I32862+I32875+I32888+I32901+I32914+I32927</f>
        <v>2638.45309355586</v>
      </c>
      <c r="J32929" s="17" t="n">
        <f aca="false">J32810+J32823+J32836+J32849+J32862+J32875+J32888+J32901+J32914+J32927</f>
        <v>2723.3336162386</v>
      </c>
      <c r="K32929" s="17" t="n">
        <f aca="false">K32810+K32823+K32836+K32849+K32862+K32875+K32888+K32901+K32914+K32927</f>
        <v>2823.86943529725</v>
      </c>
    </row>
    <row r="32930" customFormat="false" ht="15" hidden="false" customHeight="false" outlineLevel="0" collapsed="false">
      <c r="A32930" s="3" t="s">
        <v>351</v>
      </c>
      <c r="G32930" s="16" t="n">
        <f aca="false">G32800*Assumptions!$C$57+G32813*Assumptions!$C$58+G32826*Assumptions!$C$59+G32839*Assumptions!$C$60+G32852*Assumptions!$C$61+G32865*Assumptions!$C$62+G32878*Assumptions!$C$63+G32891*Assumptions!$C$64+G32904*Assumptions!$C$65+G32917*Assumptions!$C$66</f>
        <v>0</v>
      </c>
      <c r="H32930" s="16" t="n">
        <f aca="false">H32800*Assumptions!$C$57+H32813*Assumptions!$C$58+H32826*Assumptions!$C$59+H32839*Assumptions!$C$60+H32852*Assumptions!$C$61+H32865*Assumptions!$C$62+H32878*Assumptions!$C$63+H32891*Assumptions!$C$64+H32904*Assumptions!$C$65+H32917*Assumptions!$C$66</f>
        <v>800</v>
      </c>
      <c r="I32930" s="16" t="n">
        <f aca="false">I32800*Assumptions!$C$57+I32813*Assumptions!$C$58+I32826*Assumptions!$C$59+I32839*Assumptions!$C$60+I32852*Assumptions!$C$61+I32865*Assumptions!$C$62+I32878*Assumptions!$C$63+I32891*Assumptions!$C$64+I32904*Assumptions!$C$65+I32917*Assumptions!$C$66</f>
        <v>550</v>
      </c>
      <c r="J32930" s="16" t="n">
        <f aca="false">J32800*Assumptions!$C$57+J32813*Assumptions!$C$58+J32826*Assumptions!$C$59+J32839*Assumptions!$C$60+J32852*Assumptions!$C$61+J32865*Assumptions!$C$62+J32878*Assumptions!$C$63+J32891*Assumptions!$C$64+J32904*Assumptions!$C$65+J32917*Assumptions!$C$66</f>
        <v>350</v>
      </c>
      <c r="K32930" s="16" t="n">
        <f aca="false">K32800*Assumptions!$C$57+K32813*Assumptions!$C$58+K32826*Assumptions!$C$59+K32839*Assumptions!$C$60+K32852*Assumptions!$C$61+K32865*Assumptions!$C$62+K32878*Assumptions!$C$63+K32891*Assumptions!$C$64+K32904*Assumptions!$C$65+K32917*Assumptions!$C$66</f>
        <v>700</v>
      </c>
    </row>
    <row r="32931" customFormat="false" ht="15" hidden="false" customHeight="false" outlineLevel="0" collapsed="false">
      <c r="A32931" s="24" t="s">
        <v>352</v>
      </c>
      <c r="B32931" s="25"/>
      <c r="C32931" s="25"/>
      <c r="D32931" s="25"/>
      <c r="E32931" s="25"/>
      <c r="F32931" s="25"/>
      <c r="G32931" s="25"/>
      <c r="H32931" s="25"/>
      <c r="I32931" s="25"/>
      <c r="J32931" s="25"/>
      <c r="K32931" s="25"/>
    </row>
    <row r="32932" customFormat="false" ht="15" hidden="false" customHeight="false" outlineLevel="0" collapsed="false">
      <c r="A32932" s="3" t="s">
        <v>353</v>
      </c>
      <c r="C32932" s="16" t="n">
        <f aca="false">SUMPRODUCT($G$32800:$K$32800,$G$32799:$K$32799-$G$32805:$K$32805+$G$32804:$K$32804)</f>
        <v>380</v>
      </c>
    </row>
    <row r="32933" customFormat="false" ht="15" hidden="false" customHeight="false" outlineLevel="0" collapsed="false">
      <c r="A32933" s="3" t="s">
        <v>354</v>
      </c>
      <c r="C32933" s="16" t="n">
        <f aca="false">SUMPRODUCT($G$32800:$K$32800,$G$32807:$K$32807)</f>
        <v>0</v>
      </c>
    </row>
    <row r="32934" customFormat="false" ht="15" hidden="false" customHeight="false" outlineLevel="0" collapsed="false">
      <c r="A32934" s="3" t="s">
        <v>355</v>
      </c>
      <c r="C32934" s="3" t="str">
        <f aca="false">IF(SUM($G$32800:$K$32800)=0,"n/a (beyond horizon)",IF(SUMPRODUCT($G$32800:$K$32800,$G$32797:$K$32797)&gt;0,"REFINANCING PASS","REFINANCING FAILURE"))</f>
        <v>REFINANCING PASS</v>
      </c>
    </row>
    <row r="32935" customFormat="false" ht="15" hidden="false" customHeight="false" outlineLevel="0" collapsed="false">
      <c r="A32935" s="3" t="s">
        <v>356</v>
      </c>
      <c r="C32935" s="3" t="str">
        <f aca="false">IF(SUM($G$32800:$K$32800)=0,"n/a",IF(C32933&gt;=C32932-0.001,"Repaid from cash",IF(SUMPRODUCT($G$32800:$K$32800,$G$32797:$K$32797)&gt;0,IF(C32933&gt;0,"Partly repaid; remainder refinanced","Refinanced"),IF(SUM($G$32809:$K$32809)&gt;0.001,IF(C32933&gt;0,"Partial repayment; PAYMENT DEFAULT","PAYMENT DEFAULT"),"Repaid from cash"))))</f>
        <v>Refinanced</v>
      </c>
    </row>
    <row r="32936" customFormat="false" ht="15" hidden="false" customHeight="false" outlineLevel="0" collapsed="false">
      <c r="A32936" s="3" t="s">
        <v>357</v>
      </c>
      <c r="C32936" s="16" t="n">
        <f aca="false">SUMPRODUCT($G$32813:$K$32813,$G$32812:$K$32812-$G$32818:$K$32818+$G$32817:$K$32817)</f>
        <v>0</v>
      </c>
    </row>
    <row r="32937" customFormat="false" ht="15" hidden="false" customHeight="false" outlineLevel="0" collapsed="false">
      <c r="A32937" s="3" t="s">
        <v>358</v>
      </c>
      <c r="C32937" s="16" t="n">
        <f aca="false">SUMPRODUCT($G$32813:$K$32813,$G$32820:$K$32820)</f>
        <v>0</v>
      </c>
    </row>
    <row r="32938" customFormat="false" ht="15" hidden="false" customHeight="false" outlineLevel="0" collapsed="false">
      <c r="A32938" s="3" t="s">
        <v>359</v>
      </c>
      <c r="C32938" s="3" t="str">
        <f aca="false">IF(SUM($G$32813:$K$32813)=0,"n/a (beyond horizon)",IF(SUMPRODUCT($G$32813:$K$32813,$G$32797:$K$32797)&gt;0,"REFINANCING PASS","REFINANCING FAILURE"))</f>
        <v>n/a (beyond horizon)</v>
      </c>
    </row>
    <row r="32939" customFormat="false" ht="15" hidden="false" customHeight="false" outlineLevel="0" collapsed="false">
      <c r="A32939" s="3" t="s">
        <v>360</v>
      </c>
      <c r="C32939" s="3" t="str">
        <f aca="false">IF(SUM($G$32813:$K$32813)=0,"n/a",IF(C32937&gt;=C32936-0.001,"Repaid from cash",IF(SUMPRODUCT($G$32813:$K$32813,$G$32797:$K$32797)&gt;0,IF(C32937&gt;0,"Partly repaid; remainder refinanced","Refinanced"),IF(SUM($G$32822:$K$32822)&gt;0.001,IF(C32937&gt;0,"Partial repayment; PAYMENT DEFAULT","PAYMENT DEFAULT"),"Repaid from cash"))))</f>
        <v>n/a</v>
      </c>
    </row>
    <row r="32940" customFormat="false" ht="15" hidden="false" customHeight="false" outlineLevel="0" collapsed="false">
      <c r="A32940" s="3" t="s">
        <v>361</v>
      </c>
      <c r="C32940" s="16" t="n">
        <f aca="false">SUMPRODUCT($G$32826:$K$32826,$G$32825:$K$32825-$G$32831:$K$32831+$G$32830:$K$32830)</f>
        <v>0</v>
      </c>
    </row>
    <row r="32941" customFormat="false" ht="15" hidden="false" customHeight="false" outlineLevel="0" collapsed="false">
      <c r="A32941" s="3" t="s">
        <v>362</v>
      </c>
      <c r="C32941" s="16" t="n">
        <f aca="false">SUMPRODUCT($G$32826:$K$32826,$G$32833:$K$32833)</f>
        <v>0</v>
      </c>
    </row>
    <row r="32942" customFormat="false" ht="15" hidden="false" customHeight="false" outlineLevel="0" collapsed="false">
      <c r="A32942" s="3" t="s">
        <v>363</v>
      </c>
      <c r="C32942" s="3" t="str">
        <f aca="false">IF(SUM($G$32826:$K$32826)=0,"n/a (beyond horizon)",IF(SUMPRODUCT($G$32826:$K$32826,$G$32797:$K$32797)&gt;0,"REFINANCING PASS","REFINANCING FAILURE"))</f>
        <v>n/a (beyond horizon)</v>
      </c>
    </row>
    <row r="32943" customFormat="false" ht="15" hidden="false" customHeight="false" outlineLevel="0" collapsed="false">
      <c r="A32943" s="3" t="s">
        <v>364</v>
      </c>
      <c r="C32943" s="3" t="str">
        <f aca="false">IF(SUM($G$32826:$K$32826)=0,"n/a",IF(C32941&gt;=C32940-0.001,"Repaid from cash",IF(SUMPRODUCT($G$32826:$K$32826,$G$32797:$K$32797)&gt;0,IF(C32941&gt;0,"Partly repaid; remainder refinanced","Refinanced"),IF(SUM($G$32835:$K$32835)&gt;0.001,IF(C32941&gt;0,"Partial repayment; PAYMENT DEFAULT","PAYMENT DEFAULT"),"Repaid from cash"))))</f>
        <v>n/a</v>
      </c>
    </row>
    <row r="32944" customFormat="false" ht="15" hidden="false" customHeight="false" outlineLevel="0" collapsed="false">
      <c r="A32944" s="3" t="s">
        <v>365</v>
      </c>
      <c r="C32944" s="16" t="n">
        <f aca="false">SUMPRODUCT($G$32839:$K$32839,$G$32838:$K$32838-$G$32844:$K$32844+$G$32843:$K$32843)</f>
        <v>0</v>
      </c>
    </row>
    <row r="32945" customFormat="false" ht="15" hidden="false" customHeight="false" outlineLevel="0" collapsed="false">
      <c r="A32945" s="3" t="s">
        <v>366</v>
      </c>
      <c r="C32945" s="16" t="n">
        <f aca="false">SUMPRODUCT($G$32839:$K$32839,$G$32846:$K$32846)</f>
        <v>0</v>
      </c>
    </row>
    <row r="32946" customFormat="false" ht="15" hidden="false" customHeight="false" outlineLevel="0" collapsed="false">
      <c r="A32946" s="3" t="s">
        <v>367</v>
      </c>
      <c r="C32946" s="3" t="str">
        <f aca="false">IF(SUM($G$32839:$K$32839)=0,"n/a (beyond horizon)",IF(SUMPRODUCT($G$32839:$K$32839,$G$32797:$K$32797)&gt;0,"REFINANCING PASS","REFINANCING FAILURE"))</f>
        <v>REFINANCING PASS</v>
      </c>
    </row>
    <row r="32947" customFormat="false" ht="15" hidden="false" customHeight="false" outlineLevel="0" collapsed="false">
      <c r="A32947" s="3" t="s">
        <v>368</v>
      </c>
      <c r="C32947" s="3" t="str">
        <f aca="false">IF(SUM($G$32839:$K$32839)=0,"n/a",IF(C32945&gt;=C32944-0.001,"Repaid from cash",IF(SUMPRODUCT($G$32839:$K$32839,$G$32797:$K$32797)&gt;0,IF(C32945&gt;0,"Partly repaid; remainder refinanced","Refinanced"),IF(SUM($G$32848:$K$32848)&gt;0.001,IF(C32945&gt;0,"Partial repayment; PAYMENT DEFAULT","PAYMENT DEFAULT"),"Repaid from cash"))))</f>
        <v>Repaid from cash</v>
      </c>
    </row>
    <row r="32948" customFormat="false" ht="15" hidden="false" customHeight="false" outlineLevel="0" collapsed="false">
      <c r="A32948" s="3" t="s">
        <v>369</v>
      </c>
      <c r="C32948" s="16" t="n">
        <f aca="false">SUMPRODUCT($G$32852:$K$32852,$G$32851:$K$32851-$G$32857:$K$32857+$G$32856:$K$32856)</f>
        <v>450</v>
      </c>
    </row>
    <row r="32949" customFormat="false" ht="15" hidden="false" customHeight="false" outlineLevel="0" collapsed="false">
      <c r="A32949" s="3" t="s">
        <v>370</v>
      </c>
      <c r="C32949" s="16" t="n">
        <f aca="false">SUMPRODUCT($G$32852:$K$32852,$G$32859:$K$32859)</f>
        <v>42.2778486262</v>
      </c>
    </row>
    <row r="32950" customFormat="false" ht="15" hidden="false" customHeight="false" outlineLevel="0" collapsed="false">
      <c r="A32950" s="3" t="s">
        <v>371</v>
      </c>
      <c r="C32950" s="3" t="str">
        <f aca="false">IF(SUM($G$32852:$K$32852)=0,"n/a (beyond horizon)",IF(SUMPRODUCT($G$32852:$K$32852,$G$32797:$K$32797)&gt;0,"REFINANCING PASS","REFINANCING FAILURE"))</f>
        <v>REFINANCING PASS</v>
      </c>
    </row>
    <row r="32951" customFormat="false" ht="15" hidden="false" customHeight="false" outlineLevel="0" collapsed="false">
      <c r="A32951" s="3" t="s">
        <v>372</v>
      </c>
      <c r="C32951" s="3" t="str">
        <f aca="false">IF(SUM($G$32852:$K$32852)=0,"n/a",IF(C32949&gt;=C32948-0.001,"Repaid from cash",IF(SUMPRODUCT($G$32852:$K$32852,$G$32797:$K$32797)&gt;0,IF(C32949&gt;0,"Partly repaid; remainder refinanced","Refinanced"),IF(SUM($G$32861:$K$32861)&gt;0.001,IF(C32949&gt;0,"Partial repayment; PAYMENT DEFAULT","PAYMENT DEFAULT"),"Repaid from cash"))))</f>
        <v>Partly repaid; remainder refinanced</v>
      </c>
    </row>
    <row r="32952" customFormat="false" ht="15" hidden="false" customHeight="false" outlineLevel="0" collapsed="false">
      <c r="A32952" s="3" t="s">
        <v>373</v>
      </c>
      <c r="C32952" s="16" t="n">
        <f aca="false">SUMPRODUCT($G$32865:$K$32865,$G$32864:$K$32864-$G$32870:$K$32870+$G$32869:$K$32869)</f>
        <v>350</v>
      </c>
    </row>
    <row r="32953" customFormat="false" ht="15" hidden="false" customHeight="false" outlineLevel="0" collapsed="false">
      <c r="A32953" s="3" t="s">
        <v>374</v>
      </c>
      <c r="C32953" s="16" t="n">
        <f aca="false">SUMPRODUCT($G$32865:$K$32865,$G$32872:$K$32872)</f>
        <v>0</v>
      </c>
    </row>
    <row r="32954" customFormat="false" ht="15" hidden="false" customHeight="false" outlineLevel="0" collapsed="false">
      <c r="A32954" s="3" t="s">
        <v>375</v>
      </c>
      <c r="C32954" s="3" t="str">
        <f aca="false">IF(SUM($G$32865:$K$32865)=0,"n/a (beyond horizon)",IF(SUMPRODUCT($G$32865:$K$32865,$G$32797:$K$32797)&gt;0,"REFINANCING PASS","REFINANCING FAILURE"))</f>
        <v>REFINANCING PASS</v>
      </c>
    </row>
    <row r="32955" customFormat="false" ht="15" hidden="false" customHeight="false" outlineLevel="0" collapsed="false">
      <c r="A32955" s="3" t="s">
        <v>376</v>
      </c>
      <c r="C32955" s="3" t="str">
        <f aca="false">IF(SUM($G$32865:$K$32865)=0,"n/a",IF(C32953&gt;=C32952-0.001,"Repaid from cash",IF(SUMPRODUCT($G$32865:$K$32865,$G$32797:$K$32797)&gt;0,IF(C32953&gt;0,"Partly repaid; remainder refinanced","Refinanced"),IF(SUM($G$32874:$K$32874)&gt;0.001,IF(C32953&gt;0,"Partial repayment; PAYMENT DEFAULT","PAYMENT DEFAULT"),"Repaid from cash"))))</f>
        <v>Refinanced</v>
      </c>
    </row>
    <row r="32956" customFormat="false" ht="15" hidden="false" customHeight="false" outlineLevel="0" collapsed="false">
      <c r="A32956" s="3" t="s">
        <v>377</v>
      </c>
      <c r="C32956" s="16" t="n">
        <f aca="false">SUMPRODUCT($G$32878:$K$32878,$G$32877:$K$32877-$G$32883:$K$32883+$G$32882:$K$32882)</f>
        <v>550</v>
      </c>
    </row>
    <row r="32957" customFormat="false" ht="15" hidden="false" customHeight="false" outlineLevel="0" collapsed="false">
      <c r="A32957" s="3" t="s">
        <v>378</v>
      </c>
      <c r="C32957" s="16" t="n">
        <f aca="false">SUMPRODUCT($G$32878:$K$32878,$G$32885:$K$32885)</f>
        <v>0</v>
      </c>
    </row>
    <row r="32958" customFormat="false" ht="15" hidden="false" customHeight="false" outlineLevel="0" collapsed="false">
      <c r="A32958" s="3" t="s">
        <v>379</v>
      </c>
      <c r="C32958" s="3" t="str">
        <f aca="false">IF(SUM($G$32878:$K$32878)=0,"n/a (beyond horizon)",IF(SUMPRODUCT($G$32878:$K$32878,$G$32797:$K$32797)&gt;0,"REFINANCING PASS","REFINANCING FAILURE"))</f>
        <v>REFINANCING PASS</v>
      </c>
    </row>
    <row r="32959" customFormat="false" ht="15" hidden="false" customHeight="false" outlineLevel="0" collapsed="false">
      <c r="A32959" s="3" t="s">
        <v>380</v>
      </c>
      <c r="C32959" s="3" t="str">
        <f aca="false">IF(SUM($G$32878:$K$32878)=0,"n/a",IF(C32957&gt;=C32956-0.001,"Repaid from cash",IF(SUMPRODUCT($G$32878:$K$32878,$G$32797:$K$32797)&gt;0,IF(C32957&gt;0,"Partly repaid; remainder refinanced","Refinanced"),IF(SUM($G$32887:$K$32887)&gt;0.001,IF(C32957&gt;0,"Partial repayment; PAYMENT DEFAULT","PAYMENT DEFAULT"),"Repaid from cash"))))</f>
        <v>Refinanced</v>
      </c>
    </row>
    <row r="32960" customFormat="false" ht="15" hidden="false" customHeight="false" outlineLevel="0" collapsed="false">
      <c r="A32960" s="3" t="s">
        <v>381</v>
      </c>
      <c r="C32960" s="16" t="n">
        <f aca="false">SUMPRODUCT($G$32891:$K$32891,$G$32890:$K$32890-$G$32896:$K$32896+$G$32895:$K$32895)</f>
        <v>350</v>
      </c>
    </row>
    <row r="32961" customFormat="false" ht="15" hidden="false" customHeight="false" outlineLevel="0" collapsed="false">
      <c r="A32961" s="3" t="s">
        <v>382</v>
      </c>
      <c r="C32961" s="16" t="n">
        <f aca="false">SUMPRODUCT($G$32891:$K$32891,$G$32898:$K$32898)</f>
        <v>0</v>
      </c>
    </row>
    <row r="32962" customFormat="false" ht="15" hidden="false" customHeight="false" outlineLevel="0" collapsed="false">
      <c r="A32962" s="3" t="s">
        <v>383</v>
      </c>
      <c r="C32962" s="3" t="str">
        <f aca="false">IF(SUM($G$32891:$K$32891)=0,"n/a (beyond horizon)",IF(SUMPRODUCT($G$32891:$K$32891,$G$32797:$K$32797)&gt;0,"REFINANCING PASS","REFINANCING FAILURE"))</f>
        <v>REFINANCING PASS</v>
      </c>
    </row>
    <row r="32963" customFormat="false" ht="15" hidden="false" customHeight="false" outlineLevel="0" collapsed="false">
      <c r="A32963" s="3" t="s">
        <v>384</v>
      </c>
      <c r="C32963" s="3" t="str">
        <f aca="false">IF(SUM($G$32891:$K$32891)=0,"n/a",IF(C32961&gt;=C32960-0.001,"Repaid from cash",IF(SUMPRODUCT($G$32891:$K$32891,$G$32797:$K$32797)&gt;0,IF(C32961&gt;0,"Partly repaid; remainder refinanced","Refinanced"),IF(SUM($G$32900:$K$32900)&gt;0.001,IF(C32961&gt;0,"Partial repayment; PAYMENT DEFAULT","PAYMENT DEFAULT"),"Repaid from cash"))))</f>
        <v>Refinanced</v>
      </c>
    </row>
    <row r="32964" customFormat="false" ht="15" hidden="false" customHeight="false" outlineLevel="0" collapsed="false">
      <c r="A32964" s="3" t="s">
        <v>385</v>
      </c>
      <c r="C32964" s="16" t="n">
        <f aca="false">SUMPRODUCT($G$32904:$K$32904,$G$32903:$K$32903-$G$32909:$K$32909+$G$32908:$K$32908)</f>
        <v>300</v>
      </c>
    </row>
    <row r="32965" customFormat="false" ht="15" hidden="false" customHeight="false" outlineLevel="0" collapsed="false">
      <c r="A32965" s="3" t="s">
        <v>386</v>
      </c>
      <c r="C32965" s="16" t="n">
        <f aca="false">SUMPRODUCT($G$32904:$K$32904,$G$32911:$K$32911)</f>
        <v>0</v>
      </c>
    </row>
    <row r="32966" customFormat="false" ht="15" hidden="false" customHeight="false" outlineLevel="0" collapsed="false">
      <c r="A32966" s="3" t="s">
        <v>387</v>
      </c>
      <c r="C32966" s="3" t="str">
        <f aca="false">IF(SUM($G$32904:$K$32904)=0,"n/a (beyond horizon)",IF(SUMPRODUCT($G$32904:$K$32904,$G$32797:$K$32797)&gt;0,"REFINANCING PASS","REFINANCING FAILURE"))</f>
        <v>REFINANCING PASS</v>
      </c>
    </row>
    <row r="32967" customFormat="false" ht="15" hidden="false" customHeight="false" outlineLevel="0" collapsed="false">
      <c r="A32967" s="3" t="s">
        <v>388</v>
      </c>
      <c r="C32967" s="3" t="str">
        <f aca="false">IF(SUM($G$32904:$K$32904)=0,"n/a",IF(C32965&gt;=C32964-0.001,"Repaid from cash",IF(SUMPRODUCT($G$32904:$K$32904,$G$32797:$K$32797)&gt;0,IF(C32965&gt;0,"Partly repaid; remainder refinanced","Refinanced"),IF(SUM($G$32913:$K$32913)&gt;0.001,IF(C32965&gt;0,"Partial repayment; PAYMENT DEFAULT","PAYMENT DEFAULT"),"Repaid from cash"))))</f>
        <v>Refinanced</v>
      </c>
    </row>
    <row r="32968" customFormat="false" ht="15" hidden="false" customHeight="false" outlineLevel="0" collapsed="false">
      <c r="A32968" s="3" t="s">
        <v>389</v>
      </c>
      <c r="C32968" s="16" t="n">
        <f aca="false">SUMPRODUCT($G$32917:$K$32917,$G$32916:$K$32916-$G$32922:$K$32922+$G$32921:$K$32921)</f>
        <v>0</v>
      </c>
    </row>
    <row r="32969" customFormat="false" ht="15" hidden="false" customHeight="false" outlineLevel="0" collapsed="false">
      <c r="A32969" s="3" t="s">
        <v>390</v>
      </c>
      <c r="C32969" s="16" t="n">
        <f aca="false">SUMPRODUCT($G$32917:$K$32917,$G$32924:$K$32924)</f>
        <v>0</v>
      </c>
    </row>
    <row r="32970" customFormat="false" ht="15" hidden="false" customHeight="false" outlineLevel="0" collapsed="false">
      <c r="A32970" s="3" t="s">
        <v>391</v>
      </c>
      <c r="C32970" s="3" t="str">
        <f aca="false">IF(SUM($G$32917:$K$32917)=0,"n/a (beyond horizon)",IF(SUMPRODUCT($G$32917:$K$32917,$G$32797:$K$32797)&gt;0,"REFINANCING PASS","REFINANCING FAILURE"))</f>
        <v>n/a (beyond horizon)</v>
      </c>
    </row>
    <row r="32971" customFormat="false" ht="15" hidden="false" customHeight="false" outlineLevel="0" collapsed="false">
      <c r="A32971" s="3" t="s">
        <v>392</v>
      </c>
      <c r="C32971" s="3" t="str">
        <f aca="false">IF(SUM($G$32917:$K$32917)=0,"n/a",IF(C32969&gt;=C32968-0.001,"Repaid from cash",IF(SUMPRODUCT($G$32917:$K$32917,$G$32797:$K$32797)&gt;0,IF(C32969&gt;0,"Partly repaid; remainder refinanced","Refinanced"),IF(SUM($G$32926:$K$32926)&gt;0.001,IF(C32969&gt;0,"Partial repayment; PAYMENT DEFAULT","PAYMENT DEFAULT"),"Repaid from cash"))))</f>
        <v>n/a</v>
      </c>
    </row>
    <row r="32972" customFormat="false" ht="15" hidden="false" customHeight="false" outlineLevel="0" collapsed="false">
      <c r="A32972" s="3" t="s">
        <v>393</v>
      </c>
      <c r="C32972" s="21" t="n">
        <f aca="false">IF(C32934="REFINANCING FAILURE",1,0)+IF(C32938="REFINANCING FAILURE",1,0)+IF(C32942="REFINANCING FAILURE",1,0)+IF(C32946="REFINANCING FAILURE",1,0)+IF(C32950="REFINANCING FAILURE",1,0)+IF(C32954="REFINANCING FAILURE",1,0)+IF(C32958="REFINANCING FAILURE",1,0)+IF(C32962="REFINANCING FAILURE",1,0)+IF(C32966="REFINANCING FAILURE",1,0)+IF(C32970="REFINANCING FAILURE",1,0)</f>
        <v>0</v>
      </c>
    </row>
    <row r="32974" customFormat="false" ht="15" hidden="false" customHeight="false" outlineLevel="0" collapsed="false">
      <c r="A32974" s="24" t="s">
        <v>395</v>
      </c>
      <c r="B32974" s="25"/>
      <c r="C32974" s="25"/>
      <c r="D32974" s="25"/>
      <c r="E32974" s="25"/>
      <c r="F32974" s="25"/>
      <c r="G32974" s="25"/>
      <c r="H32974" s="25"/>
      <c r="I32974" s="25"/>
      <c r="J32974" s="25"/>
      <c r="K32974" s="25"/>
    </row>
    <row r="32975" customFormat="false" ht="15" hidden="false" customHeight="false" outlineLevel="0" collapsed="false">
      <c r="A32975" s="3" t="s">
        <v>325</v>
      </c>
      <c r="G32975" s="16" t="n">
        <f aca="false">F32987</f>
        <v>37.87</v>
      </c>
      <c r="H32975" s="16" t="n">
        <f aca="false">G32987</f>
        <v>150.3287686</v>
      </c>
      <c r="I32975" s="16" t="n">
        <f aca="false">H32987</f>
        <v>25</v>
      </c>
      <c r="J32975" s="16" t="n">
        <f aca="false">I32987</f>
        <v>0</v>
      </c>
      <c r="K32975" s="16" t="n">
        <f aca="false">J32987</f>
        <v>0</v>
      </c>
    </row>
    <row r="32976" customFormat="false" ht="15" hidden="false" customHeight="false" outlineLevel="0" collapsed="false">
      <c r="A32976" s="3" t="s">
        <v>396</v>
      </c>
      <c r="G32976" s="16" t="n">
        <f aca="false">G32786</f>
        <v>-83.5412314</v>
      </c>
      <c r="H32976" s="16" t="n">
        <f aca="false">H32786</f>
        <v>-79.0509199738</v>
      </c>
      <c r="I32976" s="16" t="n">
        <f aca="false">I32786</f>
        <v>-87.796942182056</v>
      </c>
      <c r="J32976" s="16" t="n">
        <f aca="false">J32786</f>
        <v>-84.8805226827392</v>
      </c>
      <c r="K32976" s="16" t="n">
        <f aca="false">K32786</f>
        <v>-100.535819058653</v>
      </c>
    </row>
    <row r="32977" customFormat="false" ht="15" hidden="false" customHeight="false" outlineLevel="0" collapsed="false">
      <c r="A32977" s="3" t="s">
        <v>397</v>
      </c>
      <c r="G32977" s="16" t="n">
        <f aca="false">CHOOSE($C$32756,Assumptions!$G$82,Assumptions!$G$101,Assumptions!$G$120)</f>
        <v>200</v>
      </c>
      <c r="H32977" s="16" t="n">
        <f aca="false">CHOOSE($C$32756,Assumptions!$H$82,Assumptions!$H$101,Assumptions!$H$120)</f>
        <v>0</v>
      </c>
      <c r="I32977" s="16" t="n">
        <f aca="false">CHOOSE($C$32756,Assumptions!$I$82,Assumptions!$I$101,Assumptions!$I$120)</f>
        <v>0</v>
      </c>
      <c r="J32977" s="16" t="n">
        <f aca="false">CHOOSE($C$32756,Assumptions!$J$82,Assumptions!$J$101,Assumptions!$J$120)</f>
        <v>0</v>
      </c>
      <c r="K32977" s="16" t="n">
        <f aca="false">CHOOSE($C$32756,Assumptions!$K$82,Assumptions!$K$101,Assumptions!$K$120)</f>
        <v>0</v>
      </c>
    </row>
    <row r="32978" customFormat="false" ht="15" hidden="false" customHeight="false" outlineLevel="0" collapsed="false">
      <c r="A32978" s="3" t="s">
        <v>398</v>
      </c>
      <c r="G32978" s="16" t="n">
        <f aca="false">G32805+G32818+G32831+G32844+G32857+G32870+G32883+G32896+G32909+G32922</f>
        <v>4</v>
      </c>
      <c r="H32978" s="16" t="n">
        <f aca="false">H32805+H32818+H32831+H32844+H32857+H32870+H32883+H32896+H32909+H32922</f>
        <v>4</v>
      </c>
      <c r="I32978" s="16" t="n">
        <f aca="false">I32805+I32818+I32831+I32844+I32857+I32870+I32883+I32896+I32909+I32922</f>
        <v>4</v>
      </c>
      <c r="J32978" s="16" t="n">
        <f aca="false">J32805+J32818+J32831+J32844+J32857+J32870+J32883+J32896+J32909+J32922</f>
        <v>4</v>
      </c>
      <c r="K32978" s="16" t="n">
        <f aca="false">K32805+K32818+K32831+K32844+K32857+K32870+K32883+K32896+K32909+K32922</f>
        <v>4</v>
      </c>
    </row>
    <row r="32979" customFormat="false" ht="15" hidden="false" customHeight="false" outlineLevel="0" collapsed="false">
      <c r="A32979" s="2" t="s">
        <v>399</v>
      </c>
      <c r="G32979" s="17" t="n">
        <f aca="false">G32975+G32976+G32977-G32978</f>
        <v>150.3287686</v>
      </c>
      <c r="H32979" s="17" t="n">
        <f aca="false">H32975+H32976+H32977-H32978</f>
        <v>67.2778486262</v>
      </c>
      <c r="I32979" s="17" t="n">
        <f aca="false">I32975+I32976+I32977-I32978</f>
        <v>-66.796942182056</v>
      </c>
      <c r="J32979" s="17" t="n">
        <f aca="false">J32975+J32976+J32977-J32978</f>
        <v>-88.8805226827392</v>
      </c>
      <c r="K32979" s="17" t="n">
        <f aca="false">K32975+K32976+K32977-K32978</f>
        <v>-104.535819058653</v>
      </c>
    </row>
    <row r="32980" customFormat="false" ht="15" hidden="false" customHeight="false" outlineLevel="0" collapsed="false">
      <c r="A32980" s="3" t="s">
        <v>400</v>
      </c>
      <c r="G32980" s="16" t="n">
        <f aca="false">G32806+G32819+G32832+G32845+G32858+G32871+G32884+G32897+G32910+G32923</f>
        <v>0</v>
      </c>
      <c r="H32980" s="16" t="n">
        <f aca="false">H32806+H32819+H32832+H32845+H32858+H32871+H32884+H32897+H32910+H32923</f>
        <v>0</v>
      </c>
      <c r="I32980" s="16" t="n">
        <f aca="false">I32806+I32819+I32832+I32845+I32858+I32871+I32884+I32897+I32910+I32923</f>
        <v>66.796942182056</v>
      </c>
      <c r="J32980" s="16" t="n">
        <f aca="false">J32806+J32819+J32832+J32845+J32858+J32871+J32884+J32897+J32910+J32923</f>
        <v>88.8805226827392</v>
      </c>
      <c r="K32980" s="16" t="n">
        <f aca="false">K32806+K32819+K32832+K32845+K32858+K32871+K32884+K32897+K32910+K32923</f>
        <v>104.535819058653</v>
      </c>
    </row>
    <row r="32981" customFormat="false" ht="15" hidden="false" customHeight="false" outlineLevel="0" collapsed="false">
      <c r="A32981" s="2" t="s">
        <v>401</v>
      </c>
      <c r="G32981" s="17" t="n">
        <f aca="false">G32979+G32980</f>
        <v>150.3287686</v>
      </c>
      <c r="H32981" s="17" t="n">
        <f aca="false">H32979+H32980</f>
        <v>67.2778486262</v>
      </c>
      <c r="I32981" s="17" t="n">
        <f aca="false">I32979+I32980</f>
        <v>0</v>
      </c>
      <c r="J32981" s="17" t="n">
        <f aca="false">J32979+J32980</f>
        <v>0</v>
      </c>
      <c r="K32981" s="17" t="n">
        <f aca="false">K32979+K32980</f>
        <v>0</v>
      </c>
    </row>
    <row r="32982" customFormat="false" ht="15" hidden="false" customHeight="false" outlineLevel="0" collapsed="false">
      <c r="A32982" s="3" t="s">
        <v>402</v>
      </c>
      <c r="G32982" s="16" t="n">
        <f aca="false">G32807+G32820+G32833+G32846+G32859+G32872+G32885+G32898+G32911+G32924</f>
        <v>0</v>
      </c>
      <c r="H32982" s="16" t="n">
        <f aca="false">H32807+H32820+H32833+H32846+H32859+H32872+H32885+H32898+H32911+H32924</f>
        <v>42.2778486262</v>
      </c>
      <c r="I32982" s="16" t="n">
        <f aca="false">I32807+I32820+I32833+I32846+I32859+I32872+I32885+I32898+I32911+I32924</f>
        <v>0</v>
      </c>
      <c r="J32982" s="16" t="n">
        <f aca="false">J32807+J32820+J32833+J32846+J32859+J32872+J32885+J32898+J32911+J32924</f>
        <v>0</v>
      </c>
      <c r="K32982" s="16" t="n">
        <f aca="false">K32807+K32820+K32833+K32846+K32859+K32872+K32885+K32898+K32911+K32924</f>
        <v>0</v>
      </c>
    </row>
    <row r="32983" customFormat="false" ht="15" hidden="false" customHeight="false" outlineLevel="0" collapsed="false">
      <c r="A32983" s="2" t="s">
        <v>403</v>
      </c>
      <c r="G32983" s="17" t="n">
        <f aca="false">G32981-G32982</f>
        <v>150.3287686</v>
      </c>
      <c r="H32983" s="17" t="n">
        <f aca="false">H32981-H32982</f>
        <v>25</v>
      </c>
      <c r="I32983" s="17" t="n">
        <f aca="false">I32981-I32982</f>
        <v>0</v>
      </c>
      <c r="J32983" s="17" t="n">
        <f aca="false">J32981-J32982</f>
        <v>0</v>
      </c>
      <c r="K32983" s="17" t="n">
        <f aca="false">K32981-K32982</f>
        <v>0</v>
      </c>
    </row>
    <row r="32984" customFormat="false" ht="15" hidden="false" customHeight="false" outlineLevel="0" collapsed="false">
      <c r="A32984" s="3" t="s">
        <v>404</v>
      </c>
      <c r="G32984" s="16" t="n">
        <f aca="false">MAX(0,-G32983)</f>
        <v>0</v>
      </c>
      <c r="H32984" s="16" t="n">
        <f aca="false">MAX(0,-H32983)</f>
        <v>0</v>
      </c>
      <c r="I32984" s="16" t="n">
        <f aca="false">MAX(0,-I32983)</f>
        <v>-0</v>
      </c>
      <c r="J32984" s="16" t="n">
        <f aca="false">MAX(0,-J32983)</f>
        <v>-0</v>
      </c>
      <c r="K32984" s="16" t="n">
        <f aca="false">MAX(0,-K32983)</f>
        <v>-0</v>
      </c>
    </row>
    <row r="32985" customFormat="false" ht="15" hidden="false" customHeight="false" outlineLevel="0" collapsed="false">
      <c r="A32985" s="3" t="s">
        <v>405</v>
      </c>
      <c r="G32985" s="16" t="n">
        <f aca="false">MAX(0,G32983-Assumptions!$C$12)*Assumptions!$C$13</f>
        <v>0</v>
      </c>
      <c r="H32985" s="16" t="n">
        <f aca="false">MAX(0,H32983-Assumptions!$C$12)*Assumptions!$C$13</f>
        <v>0</v>
      </c>
      <c r="I32985" s="16" t="n">
        <f aca="false">MAX(0,I32983-Assumptions!$C$12)*Assumptions!$C$13</f>
        <v>0</v>
      </c>
      <c r="J32985" s="16" t="n">
        <f aca="false">MAX(0,J32983-Assumptions!$C$12)*Assumptions!$C$13</f>
        <v>0</v>
      </c>
      <c r="K32985" s="16" t="n">
        <f aca="false">MAX(0,K32983-Assumptions!$C$12)*Assumptions!$C$13</f>
        <v>0</v>
      </c>
    </row>
    <row r="32986" customFormat="false" ht="15" hidden="false" customHeight="false" outlineLevel="0" collapsed="false">
      <c r="A32986" s="3" t="s">
        <v>406</v>
      </c>
      <c r="G32986" s="16" t="n">
        <f aca="false">G32808+G32821+G32834+G32847+G32860+G32873+G32886+G32899+G32912+G32925</f>
        <v>0</v>
      </c>
      <c r="H32986" s="16" t="n">
        <f aca="false">H32808+H32821+H32834+H32847+H32860+H32873+H32886+H32899+H32912+H32925</f>
        <v>0</v>
      </c>
      <c r="I32986" s="16" t="n">
        <f aca="false">I32808+I32821+I32834+I32847+I32860+I32873+I32886+I32899+I32912+I32925</f>
        <v>0</v>
      </c>
      <c r="J32986" s="16" t="n">
        <f aca="false">J32808+J32821+J32834+J32847+J32860+J32873+J32886+J32899+J32912+J32925</f>
        <v>0</v>
      </c>
      <c r="K32986" s="16" t="n">
        <f aca="false">K32808+K32821+K32834+K32847+K32860+K32873+K32886+K32899+K32912+K32925</f>
        <v>0</v>
      </c>
    </row>
    <row r="32987" customFormat="false" ht="15" hidden="false" customHeight="false" outlineLevel="0" collapsed="false">
      <c r="A32987" s="2" t="s">
        <v>407</v>
      </c>
      <c r="F32987" s="28" t="n">
        <f aca="false">Assumptions!$C$11</f>
        <v>37.87</v>
      </c>
      <c r="G32987" s="17" t="n">
        <f aca="false">G32983-G32986</f>
        <v>150.3287686</v>
      </c>
      <c r="H32987" s="17" t="n">
        <f aca="false">H32983-H32986</f>
        <v>25</v>
      </c>
      <c r="I32987" s="17" t="n">
        <f aca="false">I32983-I32986</f>
        <v>0</v>
      </c>
      <c r="J32987" s="17" t="n">
        <f aca="false">J32983-J32986</f>
        <v>0</v>
      </c>
      <c r="K32987" s="17" t="n">
        <f aca="false">K32983-K32986</f>
        <v>0</v>
      </c>
    </row>
    <row r="32988" customFormat="false" ht="15" hidden="false" customHeight="false" outlineLevel="0" collapsed="false">
      <c r="A32988" s="3" t="s">
        <v>408</v>
      </c>
      <c r="G32988" s="16" t="n">
        <f aca="false">G32809+G32822+G32835+G32848+G32861+G32874+G32887+G32900+G32913+G32926</f>
        <v>0</v>
      </c>
      <c r="H32988" s="16" t="n">
        <f aca="false">H32809+H32822+H32835+H32848+H32861+H32874+H32887+H32900+H32913+H32926</f>
        <v>0</v>
      </c>
      <c r="I32988" s="16" t="n">
        <f aca="false">I32809+I32822+I32835+I32848+I32861+I32874+I32887+I32900+I32913+I32926</f>
        <v>0</v>
      </c>
      <c r="J32988" s="16" t="n">
        <f aca="false">J32809+J32822+J32835+J32848+J32861+J32874+J32887+J32900+J32913+J32926</f>
        <v>0</v>
      </c>
      <c r="K32988" s="16" t="n">
        <f aca="false">K32809+K32822+K32835+K32848+K32861+K32874+K32887+K32900+K32913+K32926</f>
        <v>0</v>
      </c>
    </row>
    <row r="32989" customFormat="false" ht="15" hidden="false" customHeight="false" outlineLevel="0" collapsed="false">
      <c r="A32989" s="3" t="s">
        <v>409</v>
      </c>
      <c r="G32989" s="21" t="n">
        <f aca="false">IF(OR(G32984&gt;0.001,G32988&gt;0.001),1,0)</f>
        <v>0</v>
      </c>
      <c r="H32989" s="21" t="n">
        <f aca="false">IF(OR(H32984&gt;0.001,H32988&gt;0.001),1,0)</f>
        <v>0</v>
      </c>
      <c r="I32989" s="21" t="n">
        <f aca="false">IF(OR(I32984&gt;0.001,I32988&gt;0.001),1,0)</f>
        <v>0</v>
      </c>
      <c r="J32989" s="21" t="n">
        <f aca="false">IF(OR(J32984&gt;0.001,J32988&gt;0.001),1,0)</f>
        <v>0</v>
      </c>
      <c r="K32989" s="21" t="n">
        <f aca="false">IF(OR(K32984&gt;0.001,K32988&gt;0.001),1,0)</f>
        <v>0</v>
      </c>
    </row>
    <row r="32990" customFormat="false" ht="15" hidden="false" customHeight="false" outlineLevel="0" collapsed="false">
      <c r="A32990" s="3" t="s">
        <v>410</v>
      </c>
      <c r="G32990" s="21" t="n">
        <f aca="false">IF(G32989=1,1,0)</f>
        <v>0</v>
      </c>
      <c r="H32990" s="21" t="n">
        <f aca="false">IF(AND(H32989=1,SUM($G$32989:G32989)=0),1,0)</f>
        <v>0</v>
      </c>
      <c r="I32990" s="21" t="n">
        <f aca="false">IF(AND(I32989=1,SUM($G$32989:H32989)=0),1,0)</f>
        <v>0</v>
      </c>
      <c r="J32990" s="21" t="n">
        <f aca="false">IF(AND(J32989=1,SUM($G$32989:I32989)=0),1,0)</f>
        <v>0</v>
      </c>
      <c r="K32990" s="21" t="n">
        <f aca="false">IF(AND(K32989=1,SUM($G$32989:J32989)=0),1,0)</f>
        <v>0</v>
      </c>
    </row>
    <row r="32991" customFormat="false" ht="15" hidden="false" customHeight="false" outlineLevel="0" collapsed="false">
      <c r="A32991" s="3" t="s">
        <v>411</v>
      </c>
      <c r="G32991" s="16" t="n">
        <f aca="false">(G32929-F32929)-(G32980+G32778-G32978-G32982-G32986)</f>
        <v>0</v>
      </c>
      <c r="H32991" s="16" t="n">
        <f aca="false">(H32929-G32929)-(H32980+H32778-H32978-H32982-H32986)</f>
        <v>0</v>
      </c>
      <c r="I32991" s="16" t="n">
        <f aca="false">(I32929-H32929)-(I32980+I32778-I32978-I32982-I32986)</f>
        <v>0</v>
      </c>
      <c r="J32991" s="16" t="n">
        <f aca="false">(J32929-I32929)-(J32980+J32778-J32978-J32982-J32986)</f>
        <v>0</v>
      </c>
      <c r="K32991" s="16" t="n">
        <f aca="false">(K32929-J32929)-(K32980+K32778-K32978-K32982-K32986)</f>
        <v>0</v>
      </c>
    </row>
    <row r="32993" customFormat="false" ht="15" hidden="false" customHeight="false" outlineLevel="0" collapsed="false">
      <c r="A32993" s="24" t="s">
        <v>413</v>
      </c>
      <c r="B32993" s="25"/>
      <c r="C32993" s="25"/>
      <c r="D32993" s="25"/>
      <c r="E32993" s="25"/>
      <c r="F32993" s="25"/>
      <c r="G32993" s="25"/>
      <c r="H32993" s="25"/>
      <c r="I32993" s="25"/>
      <c r="J32993" s="25"/>
      <c r="K32993" s="25"/>
    </row>
    <row r="32994" customFormat="false" ht="15" hidden="false" customHeight="false" outlineLevel="0" collapsed="false">
      <c r="A32994" s="3" t="s">
        <v>414</v>
      </c>
      <c r="G32994" s="16" t="n">
        <f aca="false">G32929</f>
        <v>2621.934</v>
      </c>
      <c r="H32994" s="16" t="n">
        <f aca="false">H32929</f>
        <v>2575.6561513738</v>
      </c>
      <c r="I32994" s="16" t="n">
        <f aca="false">I32929</f>
        <v>2638.45309355586</v>
      </c>
      <c r="J32994" s="16" t="n">
        <f aca="false">J32929</f>
        <v>2723.3336162386</v>
      </c>
      <c r="K32994" s="16" t="n">
        <f aca="false">K32929</f>
        <v>2823.86943529725</v>
      </c>
    </row>
    <row r="32995" customFormat="false" ht="15" hidden="false" customHeight="false" outlineLevel="0" collapsed="false">
      <c r="A32995" s="3" t="s">
        <v>415</v>
      </c>
      <c r="G32995" s="16" t="n">
        <f aca="false">Assumptions!$O$57*G32810+Assumptions!$O$58*G32823+Assumptions!$O$59*G32836+Assumptions!$O$60*G32849+Assumptions!$O$61*G32862+Assumptions!$O$62*G32875+Assumptions!$O$63*G32888+Assumptions!$O$64*G32901+Assumptions!$O$65*G32914+Assumptions!$O$66*G32927</f>
        <v>543.324</v>
      </c>
      <c r="H32995" s="16" t="n">
        <f aca="false">Assumptions!$O$57*H32810+Assumptions!$O$58*H32823+Assumptions!$O$59*H32836+Assumptions!$O$60*H32849+Assumptions!$O$61*H32862+Assumptions!$O$62*H32875+Assumptions!$O$63*H32888+Assumptions!$O$64*H32901+Assumptions!$O$65*H32914+Assumptions!$O$66*H32927</f>
        <v>539.324</v>
      </c>
      <c r="I32995" s="16" t="n">
        <f aca="false">Assumptions!$O$57*I32810+Assumptions!$O$58*I32823+Assumptions!$O$59*I32836+Assumptions!$O$60*I32849+Assumptions!$O$61*I32862+Assumptions!$O$62*I32875+Assumptions!$O$63*I32888+Assumptions!$O$64*I32901+Assumptions!$O$65*I32914+Assumptions!$O$66*I32927</f>
        <v>535.324</v>
      </c>
      <c r="J32995" s="16" t="n">
        <f aca="false">Assumptions!$O$57*J32810+Assumptions!$O$58*J32823+Assumptions!$O$59*J32836+Assumptions!$O$60*J32849+Assumptions!$O$61*J32862+Assumptions!$O$62*J32875+Assumptions!$O$63*J32888+Assumptions!$O$64*J32901+Assumptions!$O$65*J32914+Assumptions!$O$66*J32927</f>
        <v>531.324</v>
      </c>
      <c r="K32995" s="16" t="n">
        <f aca="false">Assumptions!$O$57*K32810+Assumptions!$O$58*K32823+Assumptions!$O$59*K32836+Assumptions!$O$60*K32849+Assumptions!$O$61*K32862+Assumptions!$O$62*K32875+Assumptions!$O$63*K32888+Assumptions!$O$64*K32901+Assumptions!$O$65*K32914+Assumptions!$O$66*K32927</f>
        <v>527.324</v>
      </c>
    </row>
    <row r="32996" customFormat="false" ht="15" hidden="false" customHeight="false" outlineLevel="0" collapsed="false">
      <c r="A32996" s="3" t="s">
        <v>416</v>
      </c>
      <c r="G32996" s="16" t="n">
        <f aca="false">G32994-G32987</f>
        <v>2471.6052314</v>
      </c>
      <c r="H32996" s="16" t="n">
        <f aca="false">H32994-H32987</f>
        <v>2550.6561513738</v>
      </c>
      <c r="I32996" s="16" t="n">
        <f aca="false">I32994-I32987</f>
        <v>2638.45309355586</v>
      </c>
      <c r="J32996" s="16" t="n">
        <f aca="false">J32994-J32987</f>
        <v>2723.3336162386</v>
      </c>
      <c r="K32996" s="16" t="n">
        <f aca="false">K32994-K32987</f>
        <v>2823.86943529725</v>
      </c>
    </row>
    <row r="32997" customFormat="false" ht="15" hidden="false" customHeight="false" outlineLevel="0" collapsed="false">
      <c r="A32997" s="3" t="s">
        <v>417</v>
      </c>
      <c r="G32997" s="32" t="n">
        <f aca="false">IF(G32773&gt;0,G32994/G32773,0)</f>
        <v>10.2350768597559</v>
      </c>
      <c r="H32997" s="32" t="n">
        <f aca="false">IF(H32773&gt;0,H32994/H32773,0)</f>
        <v>9.80179750754554</v>
      </c>
      <c r="I32997" s="32" t="n">
        <f aca="false">IF(I32773&gt;0,I32994/I32773,0)</f>
        <v>9.78880026535512</v>
      </c>
      <c r="J32997" s="32" t="n">
        <f aca="false">IF(J32773&gt;0,J32994/J32773,0)</f>
        <v>9.86877570563203</v>
      </c>
      <c r="K32997" s="32" t="n">
        <f aca="false">IF(K32773&gt;0,K32994/K32773,0)</f>
        <v>9.99528975565569</v>
      </c>
    </row>
    <row r="32998" customFormat="false" ht="15" hidden="false" customHeight="false" outlineLevel="0" collapsed="false">
      <c r="A32998" s="3" t="s">
        <v>418</v>
      </c>
      <c r="G32998" s="32" t="n">
        <f aca="false">IF(G32773&gt;0,G32996/G32773,0)</f>
        <v>9.64824801476836</v>
      </c>
      <c r="H32998" s="32" t="n">
        <f aca="false">IF(H32773&gt;0,H32996/H32773,0)</f>
        <v>9.70665866785301</v>
      </c>
      <c r="I32998" s="32" t="n">
        <f aca="false">IF(I32773&gt;0,I32996/I32773,0)</f>
        <v>9.78880026535512</v>
      </c>
      <c r="J32998" s="32" t="n">
        <f aca="false">IF(J32773&gt;0,J32996/J32773,0)</f>
        <v>9.86877570563203</v>
      </c>
      <c r="K32998" s="32" t="n">
        <f aca="false">IF(K32773&gt;0,K32996/K32773,0)</f>
        <v>9.99528975565569</v>
      </c>
    </row>
    <row r="32999" customFormat="false" ht="15" hidden="false" customHeight="false" outlineLevel="0" collapsed="false">
      <c r="A32999" s="3" t="s">
        <v>419</v>
      </c>
      <c r="G32999" s="32" t="n">
        <f aca="false">IF(G32777&gt;0,G32773/G32777,0)</f>
        <v>1.4215185079059</v>
      </c>
      <c r="H32999" s="32" t="n">
        <f aca="false">IF(H32777&gt;0,H32773/H32777,0)</f>
        <v>1.46693050552355</v>
      </c>
      <c r="I32999" s="32" t="n">
        <f aca="false">IF(I32777&gt;0,I32773/I32777,0)</f>
        <v>1.40833238714926</v>
      </c>
      <c r="J32999" s="32" t="n">
        <f aca="false">IF(J32777&gt;0,J32773/J32777,0)</f>
        <v>1.44049487506624</v>
      </c>
      <c r="K32999" s="32" t="n">
        <f aca="false">IF(K32777&gt;0,K32773/K32777,0)</f>
        <v>1.34274565931266</v>
      </c>
    </row>
    <row r="33000" customFormat="false" ht="15" hidden="false" customHeight="false" outlineLevel="0" collapsed="false">
      <c r="A33000" s="3" t="s">
        <v>420</v>
      </c>
      <c r="G33000" s="32" t="n">
        <f aca="false">IF(G32777&gt;0,G32776/G32777,0)</f>
        <v>0.42415696431819</v>
      </c>
      <c r="H33000" s="32" t="n">
        <f aca="false">IF(H32777&gt;0,H32776/H32777,0)</f>
        <v>0.443500134737685</v>
      </c>
      <c r="I33000" s="32" t="n">
        <f aca="false">IF(I32777&gt;0,I32776/I32777,0)</f>
        <v>0.431283382112554</v>
      </c>
      <c r="J33000" s="32" t="n">
        <f aca="false">IF(J32777&gt;0,J32776/J32777,0)</f>
        <v>0.444847824504487</v>
      </c>
      <c r="K33000" s="32" t="n">
        <f aca="false">IF(K32777&gt;0,K32776/K32777,0)</f>
        <v>0.418098654921945</v>
      </c>
    </row>
    <row r="33001" customFormat="false" ht="15" hidden="false" customHeight="false" outlineLevel="0" collapsed="false">
      <c r="A33001" s="3" t="s">
        <v>213</v>
      </c>
      <c r="G33001" s="22" t="n">
        <f aca="false">IF(G32994&gt;0,G32786/G32994,0)</f>
        <v>-0.0318624463468569</v>
      </c>
      <c r="H33001" s="22" t="n">
        <f aca="false">IF(H32994&gt;0,H32786/H32994,0)</f>
        <v>-0.0306915656935169</v>
      </c>
      <c r="I33001" s="22" t="n">
        <f aca="false">IF(I32994&gt;0,I32786/I32994,0)</f>
        <v>-0.0332759154962773</v>
      </c>
      <c r="J33001" s="22" t="n">
        <f aca="false">IF(J32994&gt;0,J32786/J32994,0)</f>
        <v>-0.0311678753482925</v>
      </c>
      <c r="K33001" s="22" t="n">
        <f aca="false">IF(K32994&gt;0,K32786/K32994,0)</f>
        <v>-0.0356021485278303</v>
      </c>
    </row>
    <row r="33002" customFormat="false" ht="15" hidden="false" customHeight="false" outlineLevel="0" collapsed="false">
      <c r="A33002" s="3" t="s">
        <v>421</v>
      </c>
      <c r="G33002" s="32" t="n">
        <f aca="false">IF(G32777+G32978&gt;0,(G32773-G32784-G32781)/(G32777+G32978),0)</f>
        <v>0.813399704660698</v>
      </c>
      <c r="H33002" s="32" t="n">
        <f aca="false">IF(H32777+H32978&gt;0,(H32773-H32784-H32781)/(H32777+H32978),0)</f>
        <v>0.842627430418813</v>
      </c>
      <c r="I33002" s="32" t="n">
        <f aca="false">IF(I32777+I32978&gt;0,(I32773-I32784-I32781)/(I32777+I32978),0)</f>
        <v>0.813287836689746</v>
      </c>
      <c r="J33002" s="32" t="n">
        <f aca="false">IF(J32777+J32978&gt;0,(J32773-J32784-J32781)/(J32777+J32978),0)</f>
        <v>0.834030228771795</v>
      </c>
      <c r="K33002" s="32" t="n">
        <f aca="false">IF(K32777+K32978&gt;0,(K32773-K32784-K32781)/(K32777+K32978),0)</f>
        <v>0.780856287522867</v>
      </c>
    </row>
    <row r="33003" customFormat="false" ht="15" hidden="false" customHeight="false" outlineLevel="0" collapsed="false">
      <c r="A33003" s="3" t="s">
        <v>422</v>
      </c>
      <c r="G33003" s="16" t="n">
        <f aca="false">MAX(0,G32987)+Assumptions!$P$57*MAX(0,Assumptions!$D$57-G32810)+Assumptions!$P$58*MAX(0,Assumptions!$D$58-G32823)+Assumptions!$P$59*MAX(0,Assumptions!$D$59-G32836)+Assumptions!$P$60*MAX(0,Assumptions!$D$60-G32849)+Assumptions!$P$61*MAX(0,Assumptions!$D$61-G32862)+Assumptions!$P$62*MAX(0,Assumptions!$D$62-G32875)+Assumptions!$P$63*MAX(0,Assumptions!$D$63-G32888)+Assumptions!$P$64*MAX(0,Assumptions!$D$64-G32901)+Assumptions!$P$65*MAX(0,Assumptions!$D$65-G32914)+Assumptions!$P$66*MAX(0,Assumptions!$D$66-G32927)</f>
        <v>724.8287686</v>
      </c>
      <c r="H33003" s="16" t="n">
        <f aca="false">MAX(0,H32987)+Assumptions!$P$57*MAX(0,Assumptions!$D$57-H32810)+Assumptions!$P$58*MAX(0,Assumptions!$D$58-H32823)+Assumptions!$P$59*MAX(0,Assumptions!$D$59-H32836)+Assumptions!$P$60*MAX(0,Assumptions!$D$60-H32849)+Assumptions!$P$61*MAX(0,Assumptions!$D$61-H32862)+Assumptions!$P$62*MAX(0,Assumptions!$D$62-H32875)+Assumptions!$P$63*MAX(0,Assumptions!$D$63-H32888)+Assumptions!$P$64*MAX(0,Assumptions!$D$64-H32901)+Assumptions!$P$65*MAX(0,Assumptions!$D$65-H32914)+Assumptions!$P$66*MAX(0,Assumptions!$D$66-H32927)</f>
        <v>599.5</v>
      </c>
      <c r="I33003" s="16" t="n">
        <f aca="false">MAX(0,I32987)+Assumptions!$P$57*MAX(0,Assumptions!$D$57-I32810)+Assumptions!$P$58*MAX(0,Assumptions!$D$58-I32823)+Assumptions!$P$59*MAX(0,Assumptions!$D$59-I32836)+Assumptions!$P$60*MAX(0,Assumptions!$D$60-I32849)+Assumptions!$P$61*MAX(0,Assumptions!$D$61-I32862)+Assumptions!$P$62*MAX(0,Assumptions!$D$62-I32875)+Assumptions!$P$63*MAX(0,Assumptions!$D$63-I32888)+Assumptions!$P$64*MAX(0,Assumptions!$D$64-I32901)+Assumptions!$P$65*MAX(0,Assumptions!$D$65-I32914)+Assumptions!$P$66*MAX(0,Assumptions!$D$66-I32927)</f>
        <v>507.703057817944</v>
      </c>
      <c r="J33003" s="16" t="n">
        <f aca="false">MAX(0,J32987)+Assumptions!$P$57*MAX(0,Assumptions!$D$57-J32810)+Assumptions!$P$58*MAX(0,Assumptions!$D$58-J32823)+Assumptions!$P$59*MAX(0,Assumptions!$D$59-J32836)+Assumptions!$P$60*MAX(0,Assumptions!$D$60-J32849)+Assumptions!$P$61*MAX(0,Assumptions!$D$61-J32862)+Assumptions!$P$62*MAX(0,Assumptions!$D$62-J32875)+Assumptions!$P$63*MAX(0,Assumptions!$D$63-J32888)+Assumptions!$P$64*MAX(0,Assumptions!$D$64-J32901)+Assumptions!$P$65*MAX(0,Assumptions!$D$65-J32914)+Assumptions!$P$66*MAX(0,Assumptions!$D$66-J32927)</f>
        <v>418.822535135205</v>
      </c>
      <c r="K33003" s="16" t="n">
        <f aca="false">MAX(0,K32987)+Assumptions!$P$57*MAX(0,Assumptions!$D$57-K32810)+Assumptions!$P$58*MAX(0,Assumptions!$D$58-K32823)+Assumptions!$P$59*MAX(0,Assumptions!$D$59-K32836)+Assumptions!$P$60*MAX(0,Assumptions!$D$60-K32849)+Assumptions!$P$61*MAX(0,Assumptions!$D$61-K32862)+Assumptions!$P$62*MAX(0,Assumptions!$D$62-K32875)+Assumptions!$P$63*MAX(0,Assumptions!$D$63-K32888)+Assumptions!$P$64*MAX(0,Assumptions!$D$64-K32901)+Assumptions!$P$65*MAX(0,Assumptions!$D$65-K32914)+Assumptions!$P$66*MAX(0,Assumptions!$D$66-K32927)</f>
        <v>314.286716076552</v>
      </c>
    </row>
    <row r="33004" customFormat="false" ht="15" hidden="false" customHeight="false" outlineLevel="0" collapsed="false">
      <c r="A33004" s="3" t="s">
        <v>423</v>
      </c>
      <c r="G33004" s="22" t="n">
        <f aca="false">IF(G32994&gt;0,G32994/(G32994+MAX(0,G32773*CHOOSE($C$32756,Assumptions!$C$90,Assumptions!$C$109,Assumptions!$C$128)-G32996)),0)</f>
        <v>0.782089915058077</v>
      </c>
      <c r="H33004" s="22" t="n">
        <f aca="false">IF(H32994&gt;0,H32994/(H32994+MAX(0,H32773*CHOOSE($C$32756,Assumptions!$C$90,Assumptions!$C$109,Assumptions!$C$128)-H32996)),0)</f>
        <v>0.778220679605055</v>
      </c>
      <c r="I33004" s="22" t="n">
        <f aca="false">IF(I32994&gt;0,I32994/(I32994+MAX(0,I32773*CHOOSE($C$32756,Assumptions!$C$90,Assumptions!$C$109,Assumptions!$C$128)-I32996)),0)</f>
        <v>0.78310402122841</v>
      </c>
      <c r="J33004" s="22" t="n">
        <f aca="false">IF(J32994&gt;0,J32994/(J32994+MAX(0,J32773*CHOOSE($C$32756,Assumptions!$C$90,Assumptions!$C$109,Assumptions!$C$128)-J32996)),0)</f>
        <v>0.789502056450562</v>
      </c>
      <c r="K33004" s="22" t="n">
        <f aca="false">IF(K32994&gt;0,K32994/(K32994+MAX(0,K32773*CHOOSE($C$32756,Assumptions!$C$90,Assumptions!$C$109,Assumptions!$C$128)-K32996)),0)</f>
        <v>0.799623180452455</v>
      </c>
    </row>
    <row r="33005" customFormat="false" ht="15" hidden="false" customHeight="false" outlineLevel="0" collapsed="false">
      <c r="A33005" s="3" t="s">
        <v>424</v>
      </c>
      <c r="G33005" s="22" t="n">
        <f aca="false">IF(G32994&gt;0,MAX(0,G32987)/G32994,0)</f>
        <v>0.0573350696852018</v>
      </c>
      <c r="H33005" s="22" t="n">
        <f aca="false">IF(H32994&gt;0,MAX(0,H32987)/H32994,0)</f>
        <v>0.00970626455191448</v>
      </c>
      <c r="I33005" s="22" t="n">
        <f aca="false">IF(I32994&gt;0,MAX(0,I32987)/I32994,0)</f>
        <v>0</v>
      </c>
      <c r="J33005" s="22" t="n">
        <f aca="false">IF(J32994&gt;0,MAX(0,J32987)/J32994,0)</f>
        <v>0</v>
      </c>
      <c r="K33005" s="22" t="n">
        <f aca="false">IF(K32994&gt;0,MAX(0,K32987)/K32994,0)</f>
        <v>0</v>
      </c>
    </row>
    <row r="33006" customFormat="false" ht="15" hidden="false" customHeight="false" outlineLevel="0" collapsed="false">
      <c r="A33006" s="3" t="s">
        <v>425</v>
      </c>
      <c r="G33006" s="16" t="n">
        <f aca="false">Assumptions!$C$31*(1-CHOOSE($C$32756,Assumptions!$C$93,Assumptions!$C$112,Assumptions!$C$131))</f>
        <v>4517.70066666667</v>
      </c>
      <c r="H33006" s="16" t="n">
        <f aca="false">Assumptions!$C$31*(1-CHOOSE($C$32756,Assumptions!$C$93,Assumptions!$C$112,Assumptions!$C$131))</f>
        <v>4517.70066666667</v>
      </c>
      <c r="I33006" s="16" t="n">
        <f aca="false">Assumptions!$C$31*(1-CHOOSE($C$32756,Assumptions!$C$93,Assumptions!$C$112,Assumptions!$C$131))</f>
        <v>4517.70066666667</v>
      </c>
      <c r="J33006" s="16" t="n">
        <f aca="false">Assumptions!$C$31*(1-CHOOSE($C$32756,Assumptions!$C$93,Assumptions!$C$112,Assumptions!$C$131))</f>
        <v>4517.70066666667</v>
      </c>
      <c r="K33006" s="16" t="n">
        <f aca="false">Assumptions!$C$31*(1-CHOOSE($C$32756,Assumptions!$C$93,Assumptions!$C$112,Assumptions!$C$131))</f>
        <v>4517.70066666667</v>
      </c>
    </row>
    <row r="33007" customFormat="false" ht="15" hidden="false" customHeight="false" outlineLevel="0" collapsed="false">
      <c r="A33007" s="24" t="s">
        <v>426</v>
      </c>
      <c r="B33007" s="25"/>
      <c r="C33007" s="25"/>
      <c r="D33007" s="25"/>
      <c r="E33007" s="25"/>
      <c r="F33007" s="25"/>
      <c r="G33007" s="25"/>
      <c r="H33007" s="25"/>
      <c r="I33007" s="25"/>
      <c r="J33007" s="25"/>
      <c r="K33007" s="25"/>
    </row>
    <row r="33008" customFormat="false" ht="15" hidden="false" customHeight="false" outlineLevel="0" collapsed="false">
      <c r="A33008" s="24" t="s">
        <v>427</v>
      </c>
      <c r="B33008" s="25"/>
      <c r="C33008" s="25"/>
      <c r="D33008" s="25"/>
      <c r="E33008" s="25"/>
      <c r="F33008" s="25"/>
      <c r="G33008" s="25"/>
      <c r="H33008" s="25"/>
      <c r="I33008" s="25"/>
      <c r="J33008" s="25"/>
      <c r="K33008" s="25"/>
    </row>
    <row r="33009" customFormat="false" ht="15" hidden="false" customHeight="false" outlineLevel="0" collapsed="false">
      <c r="A33009" s="3" t="s">
        <v>428</v>
      </c>
      <c r="G33009" s="22" t="n">
        <f aca="false">IF(G33006&gt;0,G32994/G33006,99)</f>
        <v>0.580369128779522</v>
      </c>
      <c r="H33009" s="22" t="n">
        <f aca="false">IF(H33006&gt;0,H32994/H33006,99)</f>
        <v>0.570125455716441</v>
      </c>
      <c r="I33009" s="22" t="n">
        <f aca="false">IF(I33006&gt;0,I32994/I33006,99)</f>
        <v>0.584025655578152</v>
      </c>
      <c r="J33009" s="22" t="n">
        <f aca="false">IF(J33006&gt;0,J32994/J33006,99)</f>
        <v>0.602814089993257</v>
      </c>
      <c r="K33009" s="22" t="n">
        <f aca="false">IF(K33006&gt;0,K32994/K33006,99)</f>
        <v>0.62506784837093</v>
      </c>
    </row>
    <row r="33010" customFormat="false" ht="15" hidden="false" customHeight="false" outlineLevel="0" collapsed="false">
      <c r="A33010" s="3" t="s">
        <v>429</v>
      </c>
      <c r="G33010" s="33" t="n">
        <f aca="false">Assumptions!$G$71</f>
        <v>0.6</v>
      </c>
      <c r="H33010" s="33" t="n">
        <f aca="false">Assumptions!$H$71</f>
        <v>0.6</v>
      </c>
      <c r="I33010" s="33" t="n">
        <f aca="false">Assumptions!$I$71</f>
        <v>0.6</v>
      </c>
      <c r="J33010" s="33" t="n">
        <f aca="false">Assumptions!$J$71</f>
        <v>0.6</v>
      </c>
      <c r="K33010" s="33" t="n">
        <f aca="false">Assumptions!$K$71</f>
        <v>0.6</v>
      </c>
    </row>
    <row r="33011" customFormat="false" ht="15" hidden="false" customHeight="false" outlineLevel="0" collapsed="false">
      <c r="A33011" s="3" t="s">
        <v>430</v>
      </c>
      <c r="G33011" s="22" t="n">
        <f aca="false">G33010-G33009</f>
        <v>0.0196308712204777</v>
      </c>
      <c r="H33011" s="22" t="n">
        <f aca="false">H33010-H33009</f>
        <v>0.0298745442835595</v>
      </c>
      <c r="I33011" s="22" t="n">
        <f aca="false">I33010-I33009</f>
        <v>0.0159743444218476</v>
      </c>
      <c r="J33011" s="22" t="n">
        <f aca="false">J33010-J33009</f>
        <v>-0.00281408999325661</v>
      </c>
      <c r="K33011" s="22" t="n">
        <f aca="false">K33010-K33009</f>
        <v>-0.0250678483709297</v>
      </c>
    </row>
    <row r="33012" customFormat="false" ht="15" hidden="false" customHeight="false" outlineLevel="0" collapsed="false">
      <c r="A33012" s="3" t="s">
        <v>431</v>
      </c>
      <c r="G33012" s="22" t="n">
        <f aca="false">IF(G33010=0,0,G33011/ABS(G33010))</f>
        <v>0.0327181187007962</v>
      </c>
      <c r="H33012" s="22" t="n">
        <f aca="false">IF(H33010=0,0,H33011/ABS(H33010))</f>
        <v>0.0497909071392659</v>
      </c>
      <c r="I33012" s="22" t="n">
        <f aca="false">IF(I33010=0,0,I33011/ABS(I33010))</f>
        <v>0.0266239073697461</v>
      </c>
      <c r="J33012" s="22" t="n">
        <f aca="false">IF(J33010=0,0,J33011/ABS(J33010))</f>
        <v>-0.00469014998876101</v>
      </c>
      <c r="K33012" s="22" t="n">
        <f aca="false">IF(K33010=0,0,K33011/ABS(K33010))</f>
        <v>-0.0417797472848828</v>
      </c>
    </row>
    <row r="33013" customFormat="false" ht="15" hidden="false" customHeight="false" outlineLevel="0" collapsed="false">
      <c r="A33013" s="3" t="s">
        <v>432</v>
      </c>
      <c r="G33013" s="21" t="n">
        <f aca="false">IF(G33011&lt;0,1,0)</f>
        <v>0</v>
      </c>
      <c r="H33013" s="21" t="n">
        <f aca="false">IF(H33011&lt;0,1,0)</f>
        <v>0</v>
      </c>
      <c r="I33013" s="21" t="n">
        <f aca="false">IF(I33011&lt;0,1,0)</f>
        <v>0</v>
      </c>
      <c r="J33013" s="21" t="n">
        <f aca="false">IF(J33011&lt;0,1,0)</f>
        <v>1</v>
      </c>
      <c r="K33013" s="21" t="n">
        <f aca="false">IF(K33011&lt;0,1,0)</f>
        <v>1</v>
      </c>
    </row>
    <row r="33014" customFormat="false" ht="15" hidden="false" customHeight="false" outlineLevel="0" collapsed="false">
      <c r="A33014" s="3" t="s">
        <v>433</v>
      </c>
      <c r="C33014" s="21" t="n">
        <f aca="false">IFERROR(INDEX($G$32763:$K$32763,MATCH(1,$G$33013:$K$33013,0)),0)</f>
        <v>2030</v>
      </c>
    </row>
    <row r="33015" customFormat="false" ht="15" hidden="false" customHeight="false" outlineLevel="0" collapsed="false">
      <c r="A33015" s="3" t="s">
        <v>434</v>
      </c>
      <c r="C33015" s="22" t="n">
        <f aca="false">MIN($G$33012:$K$33012)</f>
        <v>-0.0417797472848828</v>
      </c>
    </row>
    <row r="33016" customFormat="false" ht="15" hidden="false" customHeight="false" outlineLevel="0" collapsed="false">
      <c r="A33016" s="24" t="s">
        <v>435</v>
      </c>
      <c r="B33016" s="25"/>
      <c r="C33016" s="25"/>
      <c r="D33016" s="25"/>
      <c r="E33016" s="25"/>
      <c r="F33016" s="25"/>
      <c r="G33016" s="25"/>
      <c r="H33016" s="25"/>
      <c r="I33016" s="25"/>
      <c r="J33016" s="25"/>
      <c r="K33016" s="25"/>
    </row>
    <row r="33017" customFormat="false" ht="15" hidden="false" customHeight="false" outlineLevel="0" collapsed="false">
      <c r="A33017" s="3" t="s">
        <v>428</v>
      </c>
      <c r="G33017" s="32" t="n">
        <f aca="false">IF(G32777&gt;0,G32773/G32777,99)</f>
        <v>1.4215185079059</v>
      </c>
      <c r="H33017" s="32" t="n">
        <f aca="false">IF(H32777&gt;0,H32773/H32777,99)</f>
        <v>1.46693050552355</v>
      </c>
      <c r="I33017" s="32" t="n">
        <f aca="false">IF(I32777&gt;0,I32773/I32777,99)</f>
        <v>1.40833238714926</v>
      </c>
      <c r="J33017" s="32" t="n">
        <f aca="false">IF(J32777&gt;0,J32773/J32777,99)</f>
        <v>1.44049487506624</v>
      </c>
      <c r="K33017" s="32" t="n">
        <f aca="false">IF(K32777&gt;0,K32773/K32777,99)</f>
        <v>1.34274565931266</v>
      </c>
    </row>
    <row r="33018" customFormat="false" ht="15" hidden="false" customHeight="false" outlineLevel="0" collapsed="false">
      <c r="A33018" s="3" t="s">
        <v>429</v>
      </c>
      <c r="G33018" s="34" t="n">
        <f aca="false">Assumptions!$G$72</f>
        <v>1.5</v>
      </c>
      <c r="H33018" s="34" t="n">
        <f aca="false">Assumptions!$H$72</f>
        <v>1.5</v>
      </c>
      <c r="I33018" s="34" t="n">
        <f aca="false">Assumptions!$I$72</f>
        <v>1.5</v>
      </c>
      <c r="J33018" s="34" t="n">
        <f aca="false">Assumptions!$J$72</f>
        <v>1.5</v>
      </c>
      <c r="K33018" s="34" t="n">
        <f aca="false">Assumptions!$K$72</f>
        <v>1.5</v>
      </c>
    </row>
    <row r="33019" customFormat="false" ht="15" hidden="false" customHeight="false" outlineLevel="0" collapsed="false">
      <c r="A33019" s="3" t="s">
        <v>430</v>
      </c>
      <c r="G33019" s="32" t="n">
        <f aca="false">G33017-G33018</f>
        <v>-0.0784814920940982</v>
      </c>
      <c r="H33019" s="32" t="n">
        <f aca="false">H33017-H33018</f>
        <v>-0.0330694944764525</v>
      </c>
      <c r="I33019" s="32" t="n">
        <f aca="false">I33017-I33018</f>
        <v>-0.091667612850737</v>
      </c>
      <c r="J33019" s="32" t="n">
        <f aca="false">J33017-J33018</f>
        <v>-0.0595051249337639</v>
      </c>
      <c r="K33019" s="32" t="n">
        <f aca="false">K33017-K33018</f>
        <v>-0.157254340687343</v>
      </c>
    </row>
    <row r="33020" customFormat="false" ht="15" hidden="false" customHeight="false" outlineLevel="0" collapsed="false">
      <c r="A33020" s="3" t="s">
        <v>431</v>
      </c>
      <c r="G33020" s="22" t="n">
        <f aca="false">IF(G33018=0,0,G33019/ABS(G33018))</f>
        <v>-0.0523209947293988</v>
      </c>
      <c r="H33020" s="22" t="n">
        <f aca="false">IF(H33018=0,0,H33019/ABS(H33018))</f>
        <v>-0.0220463296509683</v>
      </c>
      <c r="I33020" s="22" t="n">
        <f aca="false">IF(I33018=0,0,I33019/ABS(I33018))</f>
        <v>-0.0611117419004913</v>
      </c>
      <c r="J33020" s="22" t="n">
        <f aca="false">IF(J33018=0,0,J33019/ABS(J33018))</f>
        <v>-0.039670083289176</v>
      </c>
      <c r="K33020" s="22" t="n">
        <f aca="false">IF(K33018=0,0,K33019/ABS(K33018))</f>
        <v>-0.104836227124896</v>
      </c>
    </row>
    <row r="33021" customFormat="false" ht="15" hidden="false" customHeight="false" outlineLevel="0" collapsed="false">
      <c r="A33021" s="3" t="s">
        <v>432</v>
      </c>
      <c r="G33021" s="21" t="n">
        <f aca="false">IF(G33019&lt;0,1,0)</f>
        <v>1</v>
      </c>
      <c r="H33021" s="21" t="n">
        <f aca="false">IF(H33019&lt;0,1,0)</f>
        <v>1</v>
      </c>
      <c r="I33021" s="21" t="n">
        <f aca="false">IF(I33019&lt;0,1,0)</f>
        <v>1</v>
      </c>
      <c r="J33021" s="21" t="n">
        <f aca="false">IF(J33019&lt;0,1,0)</f>
        <v>1</v>
      </c>
      <c r="K33021" s="21" t="n">
        <f aca="false">IF(K33019&lt;0,1,0)</f>
        <v>1</v>
      </c>
    </row>
    <row r="33022" customFormat="false" ht="15" hidden="false" customHeight="false" outlineLevel="0" collapsed="false">
      <c r="A33022" s="3" t="s">
        <v>433</v>
      </c>
      <c r="C33022" s="21" t="n">
        <f aca="false">IFERROR(INDEX($G$32763:$K$32763,MATCH(1,$G$33021:$K$33021,0)),0)</f>
        <v>2027</v>
      </c>
    </row>
    <row r="33023" customFormat="false" ht="15" hidden="false" customHeight="false" outlineLevel="0" collapsed="false">
      <c r="A33023" s="3" t="s">
        <v>434</v>
      </c>
      <c r="C33023" s="22" t="n">
        <f aca="false">MIN($G$33020:$K$33020)</f>
        <v>-0.104836227124896</v>
      </c>
    </row>
    <row r="33024" customFormat="false" ht="15" hidden="false" customHeight="false" outlineLevel="0" collapsed="false">
      <c r="A33024" s="24" t="s">
        <v>436</v>
      </c>
      <c r="B33024" s="25"/>
      <c r="C33024" s="25"/>
      <c r="D33024" s="25"/>
      <c r="E33024" s="25"/>
      <c r="F33024" s="25"/>
      <c r="G33024" s="25"/>
      <c r="H33024" s="25"/>
      <c r="I33024" s="25"/>
      <c r="J33024" s="25"/>
      <c r="K33024" s="25"/>
    </row>
    <row r="33025" customFormat="false" ht="15" hidden="false" customHeight="false" outlineLevel="0" collapsed="false">
      <c r="A33025" s="3" t="s">
        <v>428</v>
      </c>
      <c r="G33025" s="22" t="n">
        <f aca="false">IF(G33006&gt;0,G32995/G33006,99)</f>
        <v>0.120265604139923</v>
      </c>
      <c r="H33025" s="22" t="n">
        <f aca="false">IF(H33006&gt;0,H32995/H33006,99)</f>
        <v>0.119380197979769</v>
      </c>
      <c r="I33025" s="22" t="n">
        <f aca="false">IF(I33006&gt;0,I32995/I33006,99)</f>
        <v>0.118494791819614</v>
      </c>
      <c r="J33025" s="22" t="n">
        <f aca="false">IF(J33006&gt;0,J32995/J33006,99)</f>
        <v>0.11760938565946</v>
      </c>
      <c r="K33025" s="22" t="n">
        <f aca="false">IF(K33006&gt;0,K32995/K33006,99)</f>
        <v>0.116723979499306</v>
      </c>
    </row>
    <row r="33026" customFormat="false" ht="15" hidden="false" customHeight="false" outlineLevel="0" collapsed="false">
      <c r="A33026" s="3" t="s">
        <v>429</v>
      </c>
      <c r="G33026" s="33" t="n">
        <f aca="false">Assumptions!$G$73</f>
        <v>0.4</v>
      </c>
      <c r="H33026" s="33" t="n">
        <f aca="false">Assumptions!$H$73</f>
        <v>0.4</v>
      </c>
      <c r="I33026" s="33" t="n">
        <f aca="false">Assumptions!$I$73</f>
        <v>0.4</v>
      </c>
      <c r="J33026" s="33" t="n">
        <f aca="false">Assumptions!$J$73</f>
        <v>0.4</v>
      </c>
      <c r="K33026" s="33" t="n">
        <f aca="false">Assumptions!$K$73</f>
        <v>0.4</v>
      </c>
    </row>
    <row r="33027" customFormat="false" ht="15" hidden="false" customHeight="false" outlineLevel="0" collapsed="false">
      <c r="A33027" s="3" t="s">
        <v>430</v>
      </c>
      <c r="G33027" s="22" t="n">
        <f aca="false">G33026-G33025</f>
        <v>0.279734395860077</v>
      </c>
      <c r="H33027" s="22" t="n">
        <f aca="false">H33026-H33025</f>
        <v>0.280619802020231</v>
      </c>
      <c r="I33027" s="22" t="n">
        <f aca="false">I33026-I33025</f>
        <v>0.281505208180386</v>
      </c>
      <c r="J33027" s="22" t="n">
        <f aca="false">J33026-J33025</f>
        <v>0.28239061434054</v>
      </c>
      <c r="K33027" s="22" t="n">
        <f aca="false">K33026-K33025</f>
        <v>0.283276020500694</v>
      </c>
    </row>
    <row r="33028" customFormat="false" ht="15" hidden="false" customHeight="false" outlineLevel="0" collapsed="false">
      <c r="A33028" s="3" t="s">
        <v>431</v>
      </c>
      <c r="G33028" s="22" t="n">
        <f aca="false">IF(G33026=0,0,G33027/ABS(G33026))</f>
        <v>0.699335989650192</v>
      </c>
      <c r="H33028" s="22" t="n">
        <f aca="false">IF(H33026=0,0,H33027/ABS(H33026))</f>
        <v>0.701549505050578</v>
      </c>
      <c r="I33028" s="22" t="n">
        <f aca="false">IF(I33026=0,0,I33027/ABS(I33026))</f>
        <v>0.703763020450964</v>
      </c>
      <c r="J33028" s="22" t="n">
        <f aca="false">IF(J33026=0,0,J33027/ABS(J33026))</f>
        <v>0.70597653585135</v>
      </c>
      <c r="K33028" s="22" t="n">
        <f aca="false">IF(K33026=0,0,K33027/ABS(K33026))</f>
        <v>0.708190051251736</v>
      </c>
    </row>
    <row r="33029" customFormat="false" ht="15" hidden="false" customHeight="false" outlineLevel="0" collapsed="false">
      <c r="A33029" s="3" t="s">
        <v>432</v>
      </c>
      <c r="G33029" s="21" t="n">
        <f aca="false">IF(G33027&lt;0,1,0)</f>
        <v>0</v>
      </c>
      <c r="H33029" s="21" t="n">
        <f aca="false">IF(H33027&lt;0,1,0)</f>
        <v>0</v>
      </c>
      <c r="I33029" s="21" t="n">
        <f aca="false">IF(I33027&lt;0,1,0)</f>
        <v>0</v>
      </c>
      <c r="J33029" s="21" t="n">
        <f aca="false">IF(J33027&lt;0,1,0)</f>
        <v>0</v>
      </c>
      <c r="K33029" s="21" t="n">
        <f aca="false">IF(K33027&lt;0,1,0)</f>
        <v>0</v>
      </c>
    </row>
    <row r="33030" customFormat="false" ht="15" hidden="false" customHeight="false" outlineLevel="0" collapsed="false">
      <c r="A33030" s="3" t="s">
        <v>433</v>
      </c>
      <c r="C33030" s="21" t="n">
        <f aca="false">IFERROR(INDEX($G$32763:$K$32763,MATCH(1,$G$33029:$K$33029,0)),0)</f>
        <v>0</v>
      </c>
    </row>
    <row r="33031" customFormat="false" ht="15" hidden="false" customHeight="false" outlineLevel="0" collapsed="false">
      <c r="A33031" s="3" t="s">
        <v>434</v>
      </c>
      <c r="C33031" s="22" t="n">
        <f aca="false">MIN($G$33028:$K$33028)</f>
        <v>0.699335989650192</v>
      </c>
    </row>
    <row r="33032" customFormat="false" ht="15" hidden="false" customHeight="false" outlineLevel="0" collapsed="false">
      <c r="A33032" s="24" t="s">
        <v>437</v>
      </c>
      <c r="B33032" s="25"/>
      <c r="C33032" s="25"/>
      <c r="D33032" s="25"/>
      <c r="E33032" s="25"/>
      <c r="F33032" s="25"/>
      <c r="G33032" s="25"/>
      <c r="H33032" s="25"/>
      <c r="I33032" s="25"/>
      <c r="J33032" s="25"/>
      <c r="K33032" s="25"/>
    </row>
    <row r="33033" customFormat="false" ht="15" hidden="false" customHeight="false" outlineLevel="0" collapsed="false">
      <c r="A33033" s="3" t="s">
        <v>428</v>
      </c>
      <c r="G33033" s="16" t="n">
        <f aca="false">G33003</f>
        <v>724.8287686</v>
      </c>
      <c r="H33033" s="16" t="n">
        <f aca="false">H33003</f>
        <v>599.5</v>
      </c>
      <c r="I33033" s="16" t="n">
        <f aca="false">I33003</f>
        <v>507.703057817944</v>
      </c>
      <c r="J33033" s="16" t="n">
        <f aca="false">J33003</f>
        <v>418.822535135205</v>
      </c>
      <c r="K33033" s="16" t="n">
        <f aca="false">K33003</f>
        <v>314.286716076552</v>
      </c>
    </row>
    <row r="33034" customFormat="false" ht="15" hidden="false" customHeight="false" outlineLevel="0" collapsed="false">
      <c r="A33034" s="3" t="s">
        <v>429</v>
      </c>
      <c r="G33034" s="29" t="n">
        <f aca="false">Assumptions!$G$74</f>
        <v>100</v>
      </c>
      <c r="H33034" s="29" t="n">
        <f aca="false">Assumptions!$H$74</f>
        <v>100</v>
      </c>
      <c r="I33034" s="29" t="n">
        <f aca="false">Assumptions!$I$74</f>
        <v>100</v>
      </c>
      <c r="J33034" s="29" t="n">
        <f aca="false">Assumptions!$J$74</f>
        <v>100</v>
      </c>
      <c r="K33034" s="29" t="n">
        <f aca="false">Assumptions!$K$74</f>
        <v>100</v>
      </c>
    </row>
    <row r="33035" customFormat="false" ht="15" hidden="false" customHeight="false" outlineLevel="0" collapsed="false">
      <c r="A33035" s="3" t="s">
        <v>430</v>
      </c>
      <c r="G33035" s="16" t="n">
        <f aca="false">G33033-G33034</f>
        <v>624.8287686</v>
      </c>
      <c r="H33035" s="16" t="n">
        <f aca="false">H33033-H33034</f>
        <v>499.5</v>
      </c>
      <c r="I33035" s="16" t="n">
        <f aca="false">I33033-I33034</f>
        <v>407.703057817944</v>
      </c>
      <c r="J33035" s="16" t="n">
        <f aca="false">J33033-J33034</f>
        <v>318.822535135205</v>
      </c>
      <c r="K33035" s="16" t="n">
        <f aca="false">K33033-K33034</f>
        <v>214.286716076552</v>
      </c>
    </row>
    <row r="33036" customFormat="false" ht="15" hidden="false" customHeight="false" outlineLevel="0" collapsed="false">
      <c r="A33036" s="3" t="s">
        <v>431</v>
      </c>
      <c r="G33036" s="22" t="n">
        <f aca="false">IF(G33034=0,0,G33035/ABS(G33034))</f>
        <v>6.248287686</v>
      </c>
      <c r="H33036" s="22" t="n">
        <f aca="false">IF(H33034=0,0,H33035/ABS(H33034))</f>
        <v>4.995</v>
      </c>
      <c r="I33036" s="22" t="n">
        <f aca="false">IF(I33034=0,0,I33035/ABS(I33034))</f>
        <v>4.07703057817944</v>
      </c>
      <c r="J33036" s="22" t="n">
        <f aca="false">IF(J33034=0,0,J33035/ABS(J33034))</f>
        <v>3.18822535135205</v>
      </c>
      <c r="K33036" s="22" t="n">
        <f aca="false">IF(K33034=0,0,K33035/ABS(K33034))</f>
        <v>2.14286716076552</v>
      </c>
    </row>
    <row r="33037" customFormat="false" ht="15" hidden="false" customHeight="false" outlineLevel="0" collapsed="false">
      <c r="A33037" s="3" t="s">
        <v>432</v>
      </c>
      <c r="G33037" s="21" t="n">
        <f aca="false">IF(G33035&lt;0,1,0)</f>
        <v>0</v>
      </c>
      <c r="H33037" s="21" t="n">
        <f aca="false">IF(H33035&lt;0,1,0)</f>
        <v>0</v>
      </c>
      <c r="I33037" s="21" t="n">
        <f aca="false">IF(I33035&lt;0,1,0)</f>
        <v>0</v>
      </c>
      <c r="J33037" s="21" t="n">
        <f aca="false">IF(J33035&lt;0,1,0)</f>
        <v>0</v>
      </c>
      <c r="K33037" s="21" t="n">
        <f aca="false">IF(K33035&lt;0,1,0)</f>
        <v>0</v>
      </c>
    </row>
    <row r="33038" customFormat="false" ht="15" hidden="false" customHeight="false" outlineLevel="0" collapsed="false">
      <c r="A33038" s="3" t="s">
        <v>433</v>
      </c>
      <c r="C33038" s="21" t="n">
        <f aca="false">IFERROR(INDEX($G$32763:$K$32763,MATCH(1,$G$33037:$K$33037,0)),0)</f>
        <v>0</v>
      </c>
    </row>
    <row r="33039" customFormat="false" ht="15" hidden="false" customHeight="false" outlineLevel="0" collapsed="false">
      <c r="A33039" s="3" t="s">
        <v>434</v>
      </c>
      <c r="C33039" s="22" t="n">
        <f aca="false">MIN($G$33036:$K$33036)</f>
        <v>2.14286716076552</v>
      </c>
    </row>
    <row r="33040" customFormat="false" ht="15" hidden="false" customHeight="false" outlineLevel="0" collapsed="false">
      <c r="A33040" s="24" t="s">
        <v>438</v>
      </c>
      <c r="B33040" s="25"/>
      <c r="C33040" s="25"/>
      <c r="D33040" s="25"/>
      <c r="E33040" s="25"/>
      <c r="F33040" s="25"/>
      <c r="G33040" s="25"/>
      <c r="H33040" s="25"/>
      <c r="I33040" s="25"/>
      <c r="J33040" s="25"/>
      <c r="K33040" s="25"/>
    </row>
    <row r="33041" customFormat="false" ht="15" hidden="false" customHeight="false" outlineLevel="0" collapsed="false">
      <c r="A33041" s="3" t="s">
        <v>428</v>
      </c>
      <c r="G33041" s="32" t="n">
        <f aca="false">IF(G32773&gt;0,G32996/G32773,99)</f>
        <v>9.64824801476836</v>
      </c>
      <c r="H33041" s="32" t="n">
        <f aca="false">IF(H32773&gt;0,H32996/H32773,99)</f>
        <v>9.70665866785301</v>
      </c>
      <c r="I33041" s="32" t="n">
        <f aca="false">IF(I32773&gt;0,I32996/I32773,99)</f>
        <v>9.78880026535512</v>
      </c>
      <c r="J33041" s="32" t="n">
        <f aca="false">IF(J32773&gt;0,J32996/J32773,99)</f>
        <v>9.86877570563203</v>
      </c>
      <c r="K33041" s="32" t="n">
        <f aca="false">IF(K32773&gt;0,K32996/K32773,99)</f>
        <v>9.99528975565569</v>
      </c>
    </row>
    <row r="33042" customFormat="false" ht="15" hidden="false" customHeight="false" outlineLevel="0" collapsed="false">
      <c r="A33042" s="3" t="s">
        <v>429</v>
      </c>
      <c r="G33042" s="34" t="n">
        <f aca="false">Assumptions!$G$75</f>
        <v>10.5</v>
      </c>
      <c r="H33042" s="34" t="n">
        <f aca="false">Assumptions!$H$75</f>
        <v>10.5</v>
      </c>
      <c r="I33042" s="34" t="n">
        <f aca="false">Assumptions!$I$75</f>
        <v>10</v>
      </c>
      <c r="J33042" s="34" t="n">
        <f aca="false">Assumptions!$J$75</f>
        <v>10</v>
      </c>
      <c r="K33042" s="34" t="n">
        <f aca="false">Assumptions!$K$75</f>
        <v>9.5</v>
      </c>
    </row>
    <row r="33043" customFormat="false" ht="15" hidden="false" customHeight="false" outlineLevel="0" collapsed="false">
      <c r="A33043" s="3" t="s">
        <v>430</v>
      </c>
      <c r="G33043" s="32" t="n">
        <f aca="false">G33042-G33041</f>
        <v>0.85175198523164</v>
      </c>
      <c r="H33043" s="32" t="n">
        <f aca="false">H33042-H33041</f>
        <v>0.793341332146991</v>
      </c>
      <c r="I33043" s="32" t="n">
        <f aca="false">I33042-I33041</f>
        <v>0.211199734644877</v>
      </c>
      <c r="J33043" s="32" t="n">
        <f aca="false">J33042-J33041</f>
        <v>0.131224294367971</v>
      </c>
      <c r="K33043" s="32" t="n">
        <f aca="false">K33042-K33041</f>
        <v>-0.495289755655689</v>
      </c>
    </row>
    <row r="33044" customFormat="false" ht="15" hidden="false" customHeight="false" outlineLevel="0" collapsed="false">
      <c r="A33044" s="3" t="s">
        <v>431</v>
      </c>
      <c r="G33044" s="22" t="n">
        <f aca="false">IF(G33042=0,0,G33043/ABS(G33042))</f>
        <v>0.0811192366887277</v>
      </c>
      <c r="H33044" s="22" t="n">
        <f aca="false">IF(H33042=0,0,H33043/ABS(H33042))</f>
        <v>0.0755563173473324</v>
      </c>
      <c r="I33044" s="22" t="n">
        <f aca="false">IF(I33042=0,0,I33043/ABS(I33042))</f>
        <v>0.0211199734644877</v>
      </c>
      <c r="J33044" s="22" t="n">
        <f aca="false">IF(J33042=0,0,J33043/ABS(J33042))</f>
        <v>0.0131224294367971</v>
      </c>
      <c r="K33044" s="22" t="n">
        <f aca="false">IF(K33042=0,0,K33043/ABS(K33042))</f>
        <v>-0.0521357637532304</v>
      </c>
    </row>
    <row r="33045" customFormat="false" ht="15" hidden="false" customHeight="false" outlineLevel="0" collapsed="false">
      <c r="A33045" s="3" t="s">
        <v>432</v>
      </c>
      <c r="G33045" s="21" t="n">
        <f aca="false">IF(G33043&lt;0,1,0)</f>
        <v>0</v>
      </c>
      <c r="H33045" s="21" t="n">
        <f aca="false">IF(H33043&lt;0,1,0)</f>
        <v>0</v>
      </c>
      <c r="I33045" s="21" t="n">
        <f aca="false">IF(I33043&lt;0,1,0)</f>
        <v>0</v>
      </c>
      <c r="J33045" s="21" t="n">
        <f aca="false">IF(J33043&lt;0,1,0)</f>
        <v>0</v>
      </c>
      <c r="K33045" s="21" t="n">
        <f aca="false">IF(K33043&lt;0,1,0)</f>
        <v>1</v>
      </c>
    </row>
    <row r="33046" customFormat="false" ht="15" hidden="false" customHeight="false" outlineLevel="0" collapsed="false">
      <c r="A33046" s="3" t="s">
        <v>433</v>
      </c>
      <c r="C33046" s="21" t="n">
        <f aca="false">IFERROR(INDEX($G$32763:$K$32763,MATCH(1,$G$33045:$K$33045,0)),0)</f>
        <v>2031</v>
      </c>
    </row>
    <row r="33047" customFormat="false" ht="15" hidden="false" customHeight="false" outlineLevel="0" collapsed="false">
      <c r="A33047" s="3" t="s">
        <v>434</v>
      </c>
      <c r="C33047" s="22" t="n">
        <f aca="false">MIN($G$33044:$K$33044)</f>
        <v>-0.0521357637532304</v>
      </c>
    </row>
    <row r="33048" customFormat="false" ht="15" hidden="false" customHeight="false" outlineLevel="0" collapsed="false">
      <c r="A33048" s="3" t="s">
        <v>439</v>
      </c>
      <c r="G33048" s="21" t="n">
        <f aca="false">G33013+G33021+G33029+G33037+G33045</f>
        <v>1</v>
      </c>
      <c r="H33048" s="21" t="n">
        <f aca="false">H33013+H33021+H33029+H33037+H33045</f>
        <v>1</v>
      </c>
      <c r="I33048" s="21" t="n">
        <f aca="false">I33013+I33021+I33029+I33037+I33045</f>
        <v>1</v>
      </c>
      <c r="J33048" s="21" t="n">
        <f aca="false">J33013+J33021+J33029+J33037+J33045</f>
        <v>2</v>
      </c>
      <c r="K33048" s="21" t="n">
        <f aca="false">K33013+K33021+K33029+K33037+K33045</f>
        <v>3</v>
      </c>
    </row>
    <row r="33049" customFormat="false" ht="15" hidden="false" customHeight="false" outlineLevel="0" collapsed="false">
      <c r="A33049" s="3" t="s">
        <v>440</v>
      </c>
      <c r="C33049" s="21" t="n">
        <f aca="false">SUM($G$33048:$K$33048)</f>
        <v>8</v>
      </c>
    </row>
    <row r="33050" customFormat="false" ht="15" hidden="false" customHeight="false" outlineLevel="0" collapsed="false">
      <c r="A33050" s="3" t="s">
        <v>441</v>
      </c>
      <c r="C33050" s="22" t="n">
        <f aca="false">MIN(C33015,C33023,C33031,C33039,C33047)</f>
        <v>-0.104836227124896</v>
      </c>
    </row>
    <row r="33052" customFormat="false" ht="15" hidden="false" customHeight="false" outlineLevel="0" collapsed="false">
      <c r="A33052" s="24" t="s">
        <v>543</v>
      </c>
      <c r="B33052" s="25"/>
      <c r="C33052" s="25"/>
      <c r="D33052" s="25"/>
      <c r="E33052" s="25"/>
      <c r="F33052" s="25"/>
      <c r="G33052" s="25"/>
      <c r="H33052" s="25"/>
      <c r="I33052" s="25"/>
      <c r="J33052" s="25"/>
      <c r="K33052" s="25"/>
    </row>
    <row r="33053" customFormat="false" ht="15" hidden="false" customHeight="false" outlineLevel="0" collapsed="false">
      <c r="A33053" s="3" t="s">
        <v>544</v>
      </c>
      <c r="G33053" s="21" t="n">
        <f aca="false">IF($C$33054=1,G32990,IF(G32773=MIN($G$32773:$K$32773),1,0))</f>
        <v>1</v>
      </c>
      <c r="H33053" s="21" t="n">
        <f aca="false">IF($C$33054=1,H32990,IF(AND(H32773=MIN($G$32773:$K$32773),SUM($G$33053:G33053)=0),1,0))</f>
        <v>0</v>
      </c>
      <c r="I33053" s="21" t="n">
        <f aca="false">IF($C$33054=1,I32990,IF(AND(I32773=MIN($G$32773:$K$32773),SUM($G$33053:H33053)=0),1,0))</f>
        <v>0</v>
      </c>
      <c r="J33053" s="21" t="n">
        <f aca="false">IF($C$33054=1,J32990,IF(AND(J32773=MIN($G$32773:$K$32773),SUM($G$33053:I33053)=0),1,0))</f>
        <v>0</v>
      </c>
      <c r="K33053" s="21" t="n">
        <f aca="false">IF($C$33054=1,K32990,IF(AND(K32773=MIN($G$32773:$K$32773),SUM($G$33053:J33053)=0),1,0))</f>
        <v>0</v>
      </c>
    </row>
    <row r="33054" customFormat="false" ht="15" hidden="false" customHeight="false" outlineLevel="0" collapsed="false">
      <c r="A33054" s="3" t="s">
        <v>545</v>
      </c>
      <c r="C33054" s="21" t="n">
        <f aca="false">IF(SUM($G$32990:$K$32990)&gt;0,1,0)</f>
        <v>0</v>
      </c>
    </row>
    <row r="33055" customFormat="false" ht="15" hidden="false" customHeight="false" outlineLevel="0" collapsed="false">
      <c r="A33055" s="3" t="s">
        <v>546</v>
      </c>
      <c r="C33055" s="21" t="n">
        <f aca="false">SUMPRODUCT($G$33053:$K$33053,$G$32763:$K$32763)</f>
        <v>2027</v>
      </c>
    </row>
    <row r="33056" customFormat="false" ht="15" hidden="false" customHeight="false" outlineLevel="0" collapsed="false">
      <c r="A33056" s="3" t="s">
        <v>547</v>
      </c>
      <c r="C33056" s="16" t="n">
        <f aca="false">SUMPRODUCT($G$33053:$K$33053,$G$32773:$K$32773)</f>
        <v>256.1714031</v>
      </c>
    </row>
    <row r="33057" customFormat="false" ht="15" hidden="false" customHeight="false" outlineLevel="0" collapsed="false">
      <c r="A33057" s="3" t="s">
        <v>548</v>
      </c>
      <c r="C33057" s="16" t="n">
        <f aca="false">MAX(0,SUMPRODUCT($G$33053:$K$33053,$G$32987:$K$32987))</f>
        <v>150.3287686</v>
      </c>
    </row>
    <row r="33058" customFormat="false" ht="15" hidden="false" customHeight="false" outlineLevel="0" collapsed="false">
      <c r="A33058" s="3" t="s">
        <v>549</v>
      </c>
      <c r="C33058" s="16" t="n">
        <f aca="false">(CHOOSE($C$32756,Assumptions!$C$92,Assumptions!$C$111,Assumptions!$C$130)+$C$32760)*C33056</f>
        <v>2561.714031</v>
      </c>
    </row>
    <row r="33059" customFormat="false" ht="15" hidden="false" customHeight="false" outlineLevel="0" collapsed="false">
      <c r="A33059" s="3" t="s">
        <v>550</v>
      </c>
      <c r="C33059" s="16" t="n">
        <f aca="false">Assumptions!$C$31*(1-CHOOSE($C$32756,Assumptions!$C$93,Assumptions!$C$112,Assumptions!$C$131))*CHOOSE($C$32756,Assumptions!$C$94,Assumptions!$C$113,Assumptions!$C$132)</f>
        <v>3840.04556666667</v>
      </c>
    </row>
    <row r="33060" customFormat="false" ht="15" hidden="false" customHeight="false" outlineLevel="0" collapsed="false">
      <c r="A33060" s="3" t="s">
        <v>551</v>
      </c>
      <c r="C33060" s="16" t="n">
        <f aca="false">MAX(C33058,C33059)+C33057</f>
        <v>3990.37433526667</v>
      </c>
    </row>
    <row r="33061" customFormat="false" ht="15" hidden="false" customHeight="false" outlineLevel="0" collapsed="false">
      <c r="A33061" s="2" t="s">
        <v>552</v>
      </c>
      <c r="C33061" s="17" t="n">
        <f aca="false">IF(ISNUMBER(Assumptions!$C$14),Assumptions!$C$14,C33060)</f>
        <v>3990.37433526667</v>
      </c>
    </row>
    <row r="33062" customFormat="false" ht="15" hidden="false" customHeight="false" outlineLevel="0" collapsed="false">
      <c r="A33062" s="3" t="s">
        <v>553</v>
      </c>
      <c r="C33062" s="16" t="n">
        <f aca="false">C33061*Assumptions!$C$15</f>
        <v>159.614973410667</v>
      </c>
    </row>
    <row r="33063" customFormat="false" ht="15" hidden="false" customHeight="false" outlineLevel="0" collapsed="false">
      <c r="A33063" s="2" t="s">
        <v>554</v>
      </c>
      <c r="C33063" s="17" t="n">
        <f aca="false">C33061-C33062</f>
        <v>3830.759361856</v>
      </c>
    </row>
    <row r="33064" customFormat="false" ht="15" hidden="false" customHeight="false" outlineLevel="0" collapsed="false">
      <c r="A33064" s="24" t="s">
        <v>555</v>
      </c>
      <c r="B33064" s="25"/>
      <c r="C33064" s="25"/>
      <c r="D33064" s="25"/>
      <c r="E33064" s="25"/>
      <c r="F33064" s="25"/>
      <c r="G33064" s="25"/>
      <c r="H33064" s="25"/>
      <c r="I33064" s="25"/>
      <c r="J33064" s="25"/>
      <c r="K33064" s="25"/>
    </row>
    <row r="33065" customFormat="false" ht="15" hidden="false" customHeight="false" outlineLevel="0" collapsed="false">
      <c r="A33065" s="3" t="s">
        <v>556</v>
      </c>
      <c r="C33065" s="16" t="n">
        <f aca="false">SUMPRODUCT($G$33053:$K$33053,$G$32810:$K$32810)*(1+SUMPRODUCT($G$33053:$K$33053,$G$32802:$K$32802)*Assumptions!$C$16/12)</f>
        <v>405.0585</v>
      </c>
    </row>
    <row r="33066" customFormat="false" ht="15" hidden="false" customHeight="false" outlineLevel="0" collapsed="false">
      <c r="A33066" s="3" t="s">
        <v>557</v>
      </c>
      <c r="C33066" s="16" t="n">
        <f aca="false">SUMPRODUCT($G$33053:$K$33053,$G$32823:$K$32823)*(1+SUMPRODUCT($G$33053:$K$33053,$G$32815:$K$32815)*Assumptions!$C$16/12)</f>
        <v>91.30725</v>
      </c>
    </row>
    <row r="33067" customFormat="false" ht="15" hidden="false" customHeight="false" outlineLevel="0" collapsed="false">
      <c r="A33067" s="3" t="s">
        <v>558</v>
      </c>
      <c r="C33067" s="16" t="n">
        <f aca="false">SUMPRODUCT($G$33053:$K$33053,$G$32836:$K$32836)*(1+SUMPRODUCT($G$33053:$K$33053,$G$32828:$K$32828)*Assumptions!$C$16/12)</f>
        <v>58.3715961</v>
      </c>
    </row>
    <row r="33068" customFormat="false" ht="15" hidden="false" customHeight="false" outlineLevel="0" collapsed="false">
      <c r="A33068" s="3" t="s">
        <v>559</v>
      </c>
      <c r="C33068" s="16" t="n">
        <f aca="false">SUMPRODUCT($G$33053:$K$33053,$G$32849:$K$32849)*(1+SUMPRODUCT($G$33053:$K$33053,$G$32841:$K$32841)*Assumptions!$C$16/12)</f>
        <v>0</v>
      </c>
    </row>
    <row r="33069" customFormat="false" ht="15" hidden="false" customHeight="false" outlineLevel="0" collapsed="false">
      <c r="A33069" s="3" t="s">
        <v>560</v>
      </c>
      <c r="C33069" s="16" t="n">
        <f aca="false">SUMPRODUCT($G$33053:$K$33053,$G$32862:$K$32862)*(1+SUMPRODUCT($G$33053:$K$33053,$G$32854:$K$32854)*Assumptions!$C$16/12)</f>
        <v>454.44375</v>
      </c>
    </row>
    <row r="33070" customFormat="false" ht="15" hidden="false" customHeight="false" outlineLevel="0" collapsed="false">
      <c r="A33070" s="3" t="s">
        <v>561</v>
      </c>
      <c r="C33070" s="16" t="n">
        <f aca="false">SUMPRODUCT($G$33053:$K$33053,$G$32875:$K$32875)*(1+SUMPRODUCT($G$33053:$K$33053,$G$32867:$K$32867)*Assumptions!$C$16/12)</f>
        <v>357.2625</v>
      </c>
    </row>
    <row r="33071" customFormat="false" ht="15" hidden="false" customHeight="false" outlineLevel="0" collapsed="false">
      <c r="A33071" s="3" t="s">
        <v>562</v>
      </c>
      <c r="C33071" s="16" t="n">
        <f aca="false">SUMPRODUCT($G$33053:$K$33053,$G$32888:$K$32888)*(1+SUMPRODUCT($G$33053:$K$33053,$G$32880:$K$32880)*Assumptions!$C$16/12)</f>
        <v>562.203125</v>
      </c>
    </row>
    <row r="33072" customFormat="false" ht="15" hidden="false" customHeight="false" outlineLevel="0" collapsed="false">
      <c r="A33072" s="3" t="s">
        <v>563</v>
      </c>
      <c r="C33072" s="16" t="n">
        <f aca="false">SUMPRODUCT($G$33053:$K$33053,$G$32901:$K$32901)*(1+SUMPRODUCT($G$33053:$K$33053,$G$32893:$K$32893)*Assumptions!$C$16/12)</f>
        <v>353.98125</v>
      </c>
    </row>
    <row r="33073" customFormat="false" ht="15" hidden="false" customHeight="false" outlineLevel="0" collapsed="false">
      <c r="A33073" s="3" t="s">
        <v>564</v>
      </c>
      <c r="C33073" s="16" t="n">
        <f aca="false">SUMPRODUCT($G$33053:$K$33053,$G$32914:$K$32914)*(1+SUMPRODUCT($G$33053:$K$33053,$G$32906:$K$32906)*Assumptions!$C$16/12)</f>
        <v>304.59375</v>
      </c>
    </row>
    <row r="33074" customFormat="false" ht="15" hidden="false" customHeight="false" outlineLevel="0" collapsed="false">
      <c r="A33074" s="3" t="s">
        <v>565</v>
      </c>
      <c r="C33074" s="16" t="n">
        <f aca="false">SUMPRODUCT($G$33053:$K$33053,$G$32927:$K$32927)*(1+SUMPRODUCT($G$33053:$K$33053,$G$32919:$K$32919)*Assumptions!$C$16/12)</f>
        <v>79.67320025</v>
      </c>
    </row>
    <row r="33075" customFormat="false" ht="15" hidden="false" customHeight="false" outlineLevel="0" collapsed="false">
      <c r="A33075" s="24" t="s">
        <v>566</v>
      </c>
      <c r="B33075" s="25"/>
      <c r="C33075" s="25"/>
      <c r="D33075" s="25"/>
      <c r="E33075" s="25"/>
      <c r="F33075" s="25"/>
      <c r="G33075" s="25"/>
      <c r="H33075" s="25"/>
      <c r="I33075" s="25"/>
      <c r="J33075" s="25"/>
      <c r="K33075" s="25"/>
    </row>
    <row r="33076" customFormat="false" ht="15" hidden="false" customHeight="false" outlineLevel="0" collapsed="false">
      <c r="A33076" s="3" t="s">
        <v>556</v>
      </c>
      <c r="C33076" s="27" t="n">
        <f aca="false">Assumptions!$M$57</f>
        <v>1</v>
      </c>
    </row>
    <row r="33077" customFormat="false" ht="15" hidden="false" customHeight="false" outlineLevel="0" collapsed="false">
      <c r="A33077" s="3" t="s">
        <v>557</v>
      </c>
      <c r="C33077" s="27" t="n">
        <f aca="false">Assumptions!$M$58</f>
        <v>1</v>
      </c>
    </row>
    <row r="33078" customFormat="false" ht="15" hidden="false" customHeight="false" outlineLevel="0" collapsed="false">
      <c r="A33078" s="3" t="s">
        <v>558</v>
      </c>
      <c r="C33078" s="27" t="n">
        <f aca="false">Assumptions!$M$59</f>
        <v>1</v>
      </c>
    </row>
    <row r="33079" customFormat="false" ht="15" hidden="false" customHeight="false" outlineLevel="0" collapsed="false">
      <c r="A33079" s="3" t="s">
        <v>559</v>
      </c>
      <c r="C33079" s="27" t="n">
        <f aca="false">Assumptions!$M$60</f>
        <v>2</v>
      </c>
    </row>
    <row r="33080" customFormat="false" ht="15" hidden="false" customHeight="false" outlineLevel="0" collapsed="false">
      <c r="A33080" s="3" t="s">
        <v>560</v>
      </c>
      <c r="C33080" s="27" t="n">
        <f aca="false">Assumptions!$M$61</f>
        <v>2</v>
      </c>
    </row>
    <row r="33081" customFormat="false" ht="15" hidden="false" customHeight="false" outlineLevel="0" collapsed="false">
      <c r="A33081" s="3" t="s">
        <v>561</v>
      </c>
      <c r="C33081" s="27" t="n">
        <f aca="false">Assumptions!$M$62</f>
        <v>2</v>
      </c>
    </row>
    <row r="33082" customFormat="false" ht="15" hidden="false" customHeight="false" outlineLevel="0" collapsed="false">
      <c r="A33082" s="3" t="s">
        <v>562</v>
      </c>
      <c r="C33082" s="27" t="n">
        <f aca="false">Assumptions!$M$63</f>
        <v>2</v>
      </c>
    </row>
    <row r="33083" customFormat="false" ht="15" hidden="false" customHeight="false" outlineLevel="0" collapsed="false">
      <c r="A33083" s="3" t="s">
        <v>563</v>
      </c>
      <c r="C33083" s="27" t="n">
        <f aca="false">Assumptions!$M$64</f>
        <v>2</v>
      </c>
    </row>
    <row r="33084" customFormat="false" ht="15" hidden="false" customHeight="false" outlineLevel="0" collapsed="false">
      <c r="A33084" s="3" t="s">
        <v>564</v>
      </c>
      <c r="C33084" s="27" t="n">
        <f aca="false">Assumptions!$M$65</f>
        <v>2</v>
      </c>
    </row>
    <row r="33085" customFormat="false" ht="15" hidden="false" customHeight="false" outlineLevel="0" collapsed="false">
      <c r="A33085" s="3" t="s">
        <v>565</v>
      </c>
      <c r="C33085" s="27" t="n">
        <f aca="false">Assumptions!$M$66</f>
        <v>3</v>
      </c>
    </row>
    <row r="33086" customFormat="false" ht="15" hidden="false" customHeight="false" outlineLevel="0" collapsed="false">
      <c r="A33086" s="24" t="s">
        <v>567</v>
      </c>
      <c r="B33086" s="25"/>
      <c r="C33086" s="25"/>
      <c r="D33086" s="25"/>
      <c r="E33086" s="25"/>
      <c r="F33086" s="25"/>
      <c r="G33086" s="25"/>
      <c r="H33086" s="25"/>
      <c r="I33086" s="25"/>
      <c r="J33086" s="25"/>
      <c r="K33086" s="25"/>
    </row>
    <row r="33087" customFormat="false" ht="15" hidden="false" customHeight="false" outlineLevel="0" collapsed="false">
      <c r="A33087" s="3" t="s">
        <v>556</v>
      </c>
      <c r="C33087" s="33" t="n">
        <f aca="false">Assumptions!$Q$57</f>
        <v>0.3</v>
      </c>
    </row>
    <row r="33088" customFormat="false" ht="15" hidden="false" customHeight="false" outlineLevel="0" collapsed="false">
      <c r="A33088" s="3" t="s">
        <v>557</v>
      </c>
      <c r="C33088" s="33" t="n">
        <f aca="false">Assumptions!$Q$58</f>
        <v>0.033</v>
      </c>
    </row>
    <row r="33089" customFormat="false" ht="15" hidden="false" customHeight="false" outlineLevel="0" collapsed="false">
      <c r="A33089" s="3" t="s">
        <v>558</v>
      </c>
      <c r="C33089" s="33" t="n">
        <f aca="false">Assumptions!$Q$59</f>
        <v>0.021</v>
      </c>
    </row>
    <row r="33090" customFormat="false" ht="15" hidden="false" customHeight="false" outlineLevel="0" collapsed="false">
      <c r="A33090" s="3" t="s">
        <v>559</v>
      </c>
      <c r="C33090" s="33" t="n">
        <f aca="false">Assumptions!$Q$60</f>
        <v>0</v>
      </c>
    </row>
    <row r="33091" customFormat="false" ht="15" hidden="false" customHeight="false" outlineLevel="0" collapsed="false">
      <c r="A33091" s="3" t="s">
        <v>560</v>
      </c>
      <c r="C33091" s="33" t="n">
        <f aca="false">Assumptions!$Q$61</f>
        <v>0</v>
      </c>
    </row>
    <row r="33092" customFormat="false" ht="15" hidden="false" customHeight="false" outlineLevel="0" collapsed="false">
      <c r="A33092" s="3" t="s">
        <v>561</v>
      </c>
      <c r="C33092" s="33" t="n">
        <f aca="false">Assumptions!$Q$62</f>
        <v>0</v>
      </c>
    </row>
    <row r="33093" customFormat="false" ht="15" hidden="false" customHeight="false" outlineLevel="0" collapsed="false">
      <c r="A33093" s="3" t="s">
        <v>562</v>
      </c>
      <c r="C33093" s="33" t="n">
        <f aca="false">Assumptions!$Q$63</f>
        <v>0</v>
      </c>
    </row>
    <row r="33094" customFormat="false" ht="15" hidden="false" customHeight="false" outlineLevel="0" collapsed="false">
      <c r="A33094" s="3" t="s">
        <v>563</v>
      </c>
      <c r="C33094" s="33" t="n">
        <f aca="false">Assumptions!$Q$64</f>
        <v>0</v>
      </c>
    </row>
    <row r="33095" customFormat="false" ht="15" hidden="false" customHeight="false" outlineLevel="0" collapsed="false">
      <c r="A33095" s="3" t="s">
        <v>564</v>
      </c>
      <c r="C33095" s="33" t="n">
        <f aca="false">Assumptions!$Q$65</f>
        <v>0</v>
      </c>
    </row>
    <row r="33096" customFormat="false" ht="15" hidden="false" customHeight="false" outlineLevel="0" collapsed="false">
      <c r="A33096" s="3" t="s">
        <v>565</v>
      </c>
      <c r="C33096" s="33" t="n">
        <f aca="false">Assumptions!$Q$66</f>
        <v>0</v>
      </c>
    </row>
    <row r="33097" customFormat="false" ht="15" hidden="false" customHeight="false" outlineLevel="0" collapsed="false">
      <c r="A33097" s="24" t="s">
        <v>568</v>
      </c>
      <c r="B33097" s="25"/>
      <c r="C33097" s="25"/>
      <c r="D33097" s="25"/>
      <c r="E33097" s="25"/>
      <c r="F33097" s="25"/>
      <c r="G33097" s="25"/>
      <c r="H33097" s="25"/>
      <c r="I33097" s="25"/>
      <c r="J33097" s="25"/>
      <c r="K33097" s="25"/>
    </row>
    <row r="33098" customFormat="false" ht="15" hidden="false" customHeight="false" outlineLevel="0" collapsed="false">
      <c r="A33098" s="3" t="s">
        <v>556</v>
      </c>
      <c r="C33098" s="16" t="n">
        <f aca="false">IF(C33087&gt;0,MIN(C33065,C33087*$C$33063),0)</f>
        <v>405.0585</v>
      </c>
    </row>
    <row r="33099" customFormat="false" ht="15" hidden="false" customHeight="false" outlineLevel="0" collapsed="false">
      <c r="A33099" s="3" t="s">
        <v>557</v>
      </c>
      <c r="C33099" s="16" t="n">
        <f aca="false">IF(C33088&gt;0,MIN(C33066,C33088*$C$33063),0)</f>
        <v>91.30725</v>
      </c>
    </row>
    <row r="33100" customFormat="false" ht="15" hidden="false" customHeight="false" outlineLevel="0" collapsed="false">
      <c r="A33100" s="3" t="s">
        <v>558</v>
      </c>
      <c r="C33100" s="16" t="n">
        <f aca="false">IF(C33089&gt;0,MIN(C33067,C33089*$C$33063),0)</f>
        <v>58.3715961</v>
      </c>
    </row>
    <row r="33101" customFormat="false" ht="15" hidden="false" customHeight="false" outlineLevel="0" collapsed="false">
      <c r="A33101" s="3" t="s">
        <v>559</v>
      </c>
      <c r="C33101" s="16" t="n">
        <f aca="false">IF(C33090&gt;0,MIN(C33068,C33090*$C$33063),0)</f>
        <v>0</v>
      </c>
    </row>
    <row r="33102" customFormat="false" ht="15" hidden="false" customHeight="false" outlineLevel="0" collapsed="false">
      <c r="A33102" s="3" t="s">
        <v>560</v>
      </c>
      <c r="C33102" s="16" t="n">
        <f aca="false">IF(C33091&gt;0,MIN(C33069,C33091*$C$33063),0)</f>
        <v>0</v>
      </c>
    </row>
    <row r="33103" customFormat="false" ht="15" hidden="false" customHeight="false" outlineLevel="0" collapsed="false">
      <c r="A33103" s="3" t="s">
        <v>561</v>
      </c>
      <c r="C33103" s="16" t="n">
        <f aca="false">IF(C33092&gt;0,MIN(C33070,C33092*$C$33063),0)</f>
        <v>0</v>
      </c>
    </row>
    <row r="33104" customFormat="false" ht="15" hidden="false" customHeight="false" outlineLevel="0" collapsed="false">
      <c r="A33104" s="3" t="s">
        <v>562</v>
      </c>
      <c r="C33104" s="16" t="n">
        <f aca="false">IF(C33093&gt;0,MIN(C33071,C33093*$C$33063),0)</f>
        <v>0</v>
      </c>
    </row>
    <row r="33105" customFormat="false" ht="15" hidden="false" customHeight="false" outlineLevel="0" collapsed="false">
      <c r="A33105" s="3" t="s">
        <v>563</v>
      </c>
      <c r="C33105" s="16" t="n">
        <f aca="false">IF(C33094&gt;0,MIN(C33072,C33094*$C$33063),0)</f>
        <v>0</v>
      </c>
    </row>
    <row r="33106" customFormat="false" ht="15" hidden="false" customHeight="false" outlineLevel="0" collapsed="false">
      <c r="A33106" s="3" t="s">
        <v>564</v>
      </c>
      <c r="C33106" s="16" t="n">
        <f aca="false">IF(C33095&gt;0,MIN(C33073,C33095*$C$33063),0)</f>
        <v>0</v>
      </c>
    </row>
    <row r="33107" customFormat="false" ht="15" hidden="false" customHeight="false" outlineLevel="0" collapsed="false">
      <c r="A33107" s="3" t="s">
        <v>565</v>
      </c>
      <c r="C33107" s="16" t="n">
        <f aca="false">IF(C33096&gt;0,MIN(C33074,C33096*$C$33063),0)</f>
        <v>0</v>
      </c>
    </row>
    <row r="33108" customFormat="false" ht="15" hidden="false" customHeight="false" outlineLevel="0" collapsed="false">
      <c r="A33108" s="24" t="s">
        <v>569</v>
      </c>
      <c r="B33108" s="25"/>
      <c r="C33108" s="25"/>
      <c r="D33108" s="25"/>
      <c r="E33108" s="25"/>
      <c r="F33108" s="25"/>
      <c r="G33108" s="25"/>
      <c r="H33108" s="25"/>
      <c r="I33108" s="25"/>
      <c r="J33108" s="25"/>
      <c r="K33108" s="25"/>
    </row>
    <row r="33109" customFormat="false" ht="15" hidden="false" customHeight="false" outlineLevel="0" collapsed="false">
      <c r="A33109" s="3" t="s">
        <v>556</v>
      </c>
      <c r="C33109" s="16" t="n">
        <f aca="false">IF(C33087&gt;0,C33065-C33098,0)</f>
        <v>0</v>
      </c>
      <c r="G33109" s="21" t="n">
        <f aca="false">IF(AND(G32800=1,G32797=1),1,0)</f>
        <v>0</v>
      </c>
      <c r="H33109" s="21" t="n">
        <f aca="false">IF(G33109=1,1,IF(AND(H32800=1,H32797=1),1,0))</f>
        <v>0</v>
      </c>
      <c r="I33109" s="21" t="n">
        <f aca="false">IF(H33109=1,1,IF(AND(I32800=1,I32797=1),1,0))</f>
        <v>0</v>
      </c>
      <c r="J33109" s="21" t="n">
        <f aca="false">IF(I33109=1,1,IF(AND(J32800=1,J32797=1),1,0))</f>
        <v>0</v>
      </c>
      <c r="K33109" s="21" t="n">
        <f aca="false">IF(J33109=1,1,IF(AND(K32800=1,K32797=1),1,0))</f>
        <v>1</v>
      </c>
    </row>
    <row r="33110" customFormat="false" ht="15" hidden="false" customHeight="false" outlineLevel="0" collapsed="false">
      <c r="A33110" s="3" t="s">
        <v>557</v>
      </c>
      <c r="C33110" s="16" t="n">
        <f aca="false">IF(C33088&gt;0,C33066-C33099,0)</f>
        <v>0</v>
      </c>
      <c r="G33110" s="21" t="n">
        <f aca="false">IF(AND(G32813=1,G32797=1),1,0)</f>
        <v>0</v>
      </c>
      <c r="H33110" s="21" t="n">
        <f aca="false">IF(G33110=1,1,IF(AND(H32813=1,H32797=1),1,0))</f>
        <v>0</v>
      </c>
      <c r="I33110" s="21" t="n">
        <f aca="false">IF(H33110=1,1,IF(AND(I32813=1,I32797=1),1,0))</f>
        <v>0</v>
      </c>
      <c r="J33110" s="21" t="n">
        <f aca="false">IF(I33110=1,1,IF(AND(J32813=1,J32797=1),1,0))</f>
        <v>0</v>
      </c>
      <c r="K33110" s="21" t="n">
        <f aca="false">IF(J33110=1,1,IF(AND(K32813=1,K32797=1),1,0))</f>
        <v>0</v>
      </c>
    </row>
    <row r="33111" customFormat="false" ht="15" hidden="false" customHeight="false" outlineLevel="0" collapsed="false">
      <c r="A33111" s="3" t="s">
        <v>558</v>
      </c>
      <c r="C33111" s="16" t="n">
        <f aca="false">IF(C33089&gt;0,C33067-C33100,0)</f>
        <v>0</v>
      </c>
      <c r="G33111" s="21" t="n">
        <f aca="false">IF(AND(G32826=1,G32797=1),1,0)</f>
        <v>0</v>
      </c>
      <c r="H33111" s="21" t="n">
        <f aca="false">IF(G33111=1,1,IF(AND(H32826=1,H32797=1),1,0))</f>
        <v>0</v>
      </c>
      <c r="I33111" s="21" t="n">
        <f aca="false">IF(H33111=1,1,IF(AND(I32826=1,I32797=1),1,0))</f>
        <v>0</v>
      </c>
      <c r="J33111" s="21" t="n">
        <f aca="false">IF(I33111=1,1,IF(AND(J32826=1,J32797=1),1,0))</f>
        <v>0</v>
      </c>
      <c r="K33111" s="21" t="n">
        <f aca="false">IF(J33111=1,1,IF(AND(K32826=1,K32797=1),1,0))</f>
        <v>0</v>
      </c>
    </row>
    <row r="33112" customFormat="false" ht="15" hidden="false" customHeight="false" outlineLevel="0" collapsed="false">
      <c r="A33112" s="3" t="s">
        <v>559</v>
      </c>
      <c r="C33112" s="16" t="n">
        <f aca="false">IF(C33090&gt;0,C33068-C33101,0)</f>
        <v>0</v>
      </c>
      <c r="G33112" s="21" t="n">
        <f aca="false">IF(AND(G32839=1,G32797=1),1,0)</f>
        <v>1</v>
      </c>
      <c r="H33112" s="21" t="n">
        <f aca="false">IF(G33112=1,1,IF(AND(H32839=1,H32797=1),1,0))</f>
        <v>1</v>
      </c>
      <c r="I33112" s="21" t="n">
        <f aca="false">IF(H33112=1,1,IF(AND(I32839=1,I32797=1),1,0))</f>
        <v>1</v>
      </c>
      <c r="J33112" s="21" t="n">
        <f aca="false">IF(I33112=1,1,IF(AND(J32839=1,J32797=1),1,0))</f>
        <v>1</v>
      </c>
      <c r="K33112" s="21" t="n">
        <f aca="false">IF(J33112=1,1,IF(AND(K32839=1,K32797=1),1,0))</f>
        <v>1</v>
      </c>
    </row>
    <row r="33113" customFormat="false" ht="15" hidden="false" customHeight="false" outlineLevel="0" collapsed="false">
      <c r="A33113" s="3" t="s">
        <v>560</v>
      </c>
      <c r="C33113" s="16" t="n">
        <f aca="false">IF(C33091&gt;0,C33069-C33102,0)</f>
        <v>0</v>
      </c>
      <c r="G33113" s="21" t="n">
        <f aca="false">IF(AND(G32852=1,G32797=1),1,0)</f>
        <v>0</v>
      </c>
      <c r="H33113" s="21" t="n">
        <f aca="false">IF(G33113=1,1,IF(AND(H32852=1,H32797=1),1,0))</f>
        <v>1</v>
      </c>
      <c r="I33113" s="21" t="n">
        <f aca="false">IF(H33113=1,1,IF(AND(I32852=1,I32797=1),1,0))</f>
        <v>1</v>
      </c>
      <c r="J33113" s="21" t="n">
        <f aca="false">IF(I33113=1,1,IF(AND(J32852=1,J32797=1),1,0))</f>
        <v>1</v>
      </c>
      <c r="K33113" s="21" t="n">
        <f aca="false">IF(J33113=1,1,IF(AND(K32852=1,K32797=1),1,0))</f>
        <v>1</v>
      </c>
    </row>
    <row r="33114" customFormat="false" ht="15" hidden="false" customHeight="false" outlineLevel="0" collapsed="false">
      <c r="A33114" s="3" t="s">
        <v>561</v>
      </c>
      <c r="C33114" s="16" t="n">
        <f aca="false">IF(C33092&gt;0,C33070-C33103,0)</f>
        <v>0</v>
      </c>
      <c r="G33114" s="21" t="n">
        <f aca="false">IF(AND(G32865=1,G32797=1),1,0)</f>
        <v>0</v>
      </c>
      <c r="H33114" s="21" t="n">
        <f aca="false">IF(G33114=1,1,IF(AND(H32865=1,H32797=1),1,0))</f>
        <v>1</v>
      </c>
      <c r="I33114" s="21" t="n">
        <f aca="false">IF(H33114=1,1,IF(AND(I32865=1,I32797=1),1,0))</f>
        <v>1</v>
      </c>
      <c r="J33114" s="21" t="n">
        <f aca="false">IF(I33114=1,1,IF(AND(J32865=1,J32797=1),1,0))</f>
        <v>1</v>
      </c>
      <c r="K33114" s="21" t="n">
        <f aca="false">IF(J33114=1,1,IF(AND(K32865=1,K32797=1),1,0))</f>
        <v>1</v>
      </c>
    </row>
    <row r="33115" customFormat="false" ht="15" hidden="false" customHeight="false" outlineLevel="0" collapsed="false">
      <c r="A33115" s="3" t="s">
        <v>562</v>
      </c>
      <c r="C33115" s="16" t="n">
        <f aca="false">IF(C33093&gt;0,C33071-C33104,0)</f>
        <v>0</v>
      </c>
      <c r="G33115" s="21" t="n">
        <f aca="false">IF(AND(G32878=1,G32797=1),1,0)</f>
        <v>0</v>
      </c>
      <c r="H33115" s="21" t="n">
        <f aca="false">IF(G33115=1,1,IF(AND(H32878=1,H32797=1),1,0))</f>
        <v>0</v>
      </c>
      <c r="I33115" s="21" t="n">
        <f aca="false">IF(H33115=1,1,IF(AND(I32878=1,I32797=1),1,0))</f>
        <v>1</v>
      </c>
      <c r="J33115" s="21" t="n">
        <f aca="false">IF(I33115=1,1,IF(AND(J32878=1,J32797=1),1,0))</f>
        <v>1</v>
      </c>
      <c r="K33115" s="21" t="n">
        <f aca="false">IF(J33115=1,1,IF(AND(K32878=1,K32797=1),1,0))</f>
        <v>1</v>
      </c>
    </row>
    <row r="33116" customFormat="false" ht="15" hidden="false" customHeight="false" outlineLevel="0" collapsed="false">
      <c r="A33116" s="3" t="s">
        <v>563</v>
      </c>
      <c r="C33116" s="16" t="n">
        <f aca="false">IF(C33094&gt;0,C33072-C33105,0)</f>
        <v>0</v>
      </c>
      <c r="G33116" s="21" t="n">
        <f aca="false">IF(AND(G32891=1,G32797=1),1,0)</f>
        <v>0</v>
      </c>
      <c r="H33116" s="21" t="n">
        <f aca="false">IF(G33116=1,1,IF(AND(H32891=1,H32797=1),1,0))</f>
        <v>0</v>
      </c>
      <c r="I33116" s="21" t="n">
        <f aca="false">IF(H33116=1,1,IF(AND(I32891=1,I32797=1),1,0))</f>
        <v>0</v>
      </c>
      <c r="J33116" s="21" t="n">
        <f aca="false">IF(I33116=1,1,IF(AND(J32891=1,J32797=1),1,0))</f>
        <v>1</v>
      </c>
      <c r="K33116" s="21" t="n">
        <f aca="false">IF(J33116=1,1,IF(AND(K32891=1,K32797=1),1,0))</f>
        <v>1</v>
      </c>
    </row>
    <row r="33117" customFormat="false" ht="15" hidden="false" customHeight="false" outlineLevel="0" collapsed="false">
      <c r="A33117" s="3" t="s">
        <v>564</v>
      </c>
      <c r="C33117" s="16" t="n">
        <f aca="false">IF(C33095&gt;0,C33073-C33106,0)</f>
        <v>0</v>
      </c>
      <c r="G33117" s="21" t="n">
        <f aca="false">IF(AND(G32904=1,G32797=1),1,0)</f>
        <v>0</v>
      </c>
      <c r="H33117" s="21" t="n">
        <f aca="false">IF(G33117=1,1,IF(AND(H32904=1,H32797=1),1,0))</f>
        <v>0</v>
      </c>
      <c r="I33117" s="21" t="n">
        <f aca="false">IF(H33117=1,1,IF(AND(I32904=1,I32797=1),1,0))</f>
        <v>0</v>
      </c>
      <c r="J33117" s="21" t="n">
        <f aca="false">IF(I33117=1,1,IF(AND(J32904=1,J32797=1),1,0))</f>
        <v>0</v>
      </c>
      <c r="K33117" s="21" t="n">
        <f aca="false">IF(J33117=1,1,IF(AND(K32904=1,K32797=1),1,0))</f>
        <v>1</v>
      </c>
    </row>
    <row r="33118" customFormat="false" ht="15" hidden="false" customHeight="false" outlineLevel="0" collapsed="false">
      <c r="A33118" s="3" t="s">
        <v>565</v>
      </c>
      <c r="C33118" s="16" t="n">
        <f aca="false">IF(C33096&gt;0,C33074-C33107,0)</f>
        <v>0</v>
      </c>
      <c r="G33118" s="21" t="n">
        <f aca="false">IF(AND(G32917=1,G32797=1),1,0)</f>
        <v>0</v>
      </c>
      <c r="H33118" s="21" t="n">
        <f aca="false">IF(G33118=1,1,IF(AND(H32917=1,H32797=1),1,0))</f>
        <v>0</v>
      </c>
      <c r="I33118" s="21" t="n">
        <f aca="false">IF(H33118=1,1,IF(AND(I32917=1,I32797=1),1,0))</f>
        <v>0</v>
      </c>
      <c r="J33118" s="21" t="n">
        <f aca="false">IF(I33118=1,1,IF(AND(J32917=1,J32797=1),1,0))</f>
        <v>0</v>
      </c>
      <c r="K33118" s="21" t="n">
        <f aca="false">IF(J33118=1,1,IF(AND(K32917=1,K32797=1),1,0))</f>
        <v>0</v>
      </c>
    </row>
    <row r="33119" customFormat="false" ht="15" hidden="false" customHeight="false" outlineLevel="0" collapsed="false">
      <c r="A33119" s="24" t="s">
        <v>570</v>
      </c>
      <c r="B33119" s="25"/>
      <c r="C33119" s="25"/>
      <c r="D33119" s="25"/>
      <c r="E33119" s="25"/>
      <c r="F33119" s="25"/>
      <c r="G33119" s="25"/>
      <c r="H33119" s="25"/>
      <c r="I33119" s="25"/>
      <c r="J33119" s="25"/>
      <c r="K33119" s="25"/>
    </row>
    <row r="33120" customFormat="false" ht="15" hidden="false" customHeight="false" outlineLevel="0" collapsed="false">
      <c r="A33120" s="3" t="s">
        <v>556</v>
      </c>
      <c r="C33120" s="16" t="n">
        <f aca="false">IF(C33087&gt;0,C33109,C33065)</f>
        <v>0</v>
      </c>
    </row>
    <row r="33121" customFormat="false" ht="15" hidden="false" customHeight="false" outlineLevel="0" collapsed="false">
      <c r="A33121" s="3" t="s">
        <v>557</v>
      </c>
      <c r="C33121" s="16" t="n">
        <f aca="false">IF(C33088&gt;0,C33110,C33066)</f>
        <v>0</v>
      </c>
    </row>
    <row r="33122" customFormat="false" ht="15" hidden="false" customHeight="false" outlineLevel="0" collapsed="false">
      <c r="A33122" s="3" t="s">
        <v>558</v>
      </c>
      <c r="C33122" s="16" t="n">
        <f aca="false">IF(C33089&gt;0,C33111,C33067)</f>
        <v>0</v>
      </c>
    </row>
    <row r="33123" customFormat="false" ht="15" hidden="false" customHeight="false" outlineLevel="0" collapsed="false">
      <c r="A33123" s="3" t="s">
        <v>559</v>
      </c>
      <c r="C33123" s="16" t="n">
        <f aca="false">IF(C33090&gt;0,C33112,C33068)</f>
        <v>0</v>
      </c>
    </row>
    <row r="33124" customFormat="false" ht="15" hidden="false" customHeight="false" outlineLevel="0" collapsed="false">
      <c r="A33124" s="3" t="s">
        <v>560</v>
      </c>
      <c r="C33124" s="16" t="n">
        <f aca="false">IF(C33091&gt;0,C33113,C33069)</f>
        <v>454.44375</v>
      </c>
    </row>
    <row r="33125" customFormat="false" ht="15" hidden="false" customHeight="false" outlineLevel="0" collapsed="false">
      <c r="A33125" s="3" t="s">
        <v>561</v>
      </c>
      <c r="C33125" s="16" t="n">
        <f aca="false">IF(C33092&gt;0,C33114,C33070)</f>
        <v>357.2625</v>
      </c>
    </row>
    <row r="33126" customFormat="false" ht="15" hidden="false" customHeight="false" outlineLevel="0" collapsed="false">
      <c r="A33126" s="3" t="s">
        <v>562</v>
      </c>
      <c r="C33126" s="16" t="n">
        <f aca="false">IF(C33093&gt;0,C33115,C33071)</f>
        <v>562.203125</v>
      </c>
    </row>
    <row r="33127" customFormat="false" ht="15" hidden="false" customHeight="false" outlineLevel="0" collapsed="false">
      <c r="A33127" s="3" t="s">
        <v>563</v>
      </c>
      <c r="C33127" s="16" t="n">
        <f aca="false">IF(C33094&gt;0,C33116,C33072)</f>
        <v>353.98125</v>
      </c>
    </row>
    <row r="33128" customFormat="false" ht="15" hidden="false" customHeight="false" outlineLevel="0" collapsed="false">
      <c r="A33128" s="3" t="s">
        <v>564</v>
      </c>
      <c r="C33128" s="16" t="n">
        <f aca="false">IF(C33095&gt;0,C33117,C33073)</f>
        <v>304.59375</v>
      </c>
    </row>
    <row r="33129" customFormat="false" ht="15" hidden="false" customHeight="false" outlineLevel="0" collapsed="false">
      <c r="A33129" s="3" t="s">
        <v>565</v>
      </c>
      <c r="C33129" s="16" t="n">
        <f aca="false">IF(C33096&gt;0,C33118,C33074)</f>
        <v>79.67320025</v>
      </c>
    </row>
    <row r="33130" customFormat="false" ht="15" hidden="false" customHeight="false" outlineLevel="0" collapsed="false">
      <c r="A33130" s="24" t="s">
        <v>571</v>
      </c>
      <c r="B33130" s="25"/>
      <c r="C33130" s="25"/>
      <c r="D33130" s="25"/>
      <c r="E33130" s="25"/>
      <c r="F33130" s="25"/>
      <c r="G33130" s="25"/>
      <c r="H33130" s="25"/>
      <c r="I33130" s="25"/>
      <c r="J33130" s="25"/>
      <c r="K33130" s="25"/>
    </row>
    <row r="33131" customFormat="false" ht="15" hidden="false" customHeight="false" outlineLevel="0" collapsed="false">
      <c r="A33131" s="3" t="s">
        <v>556</v>
      </c>
      <c r="C33131" s="21" t="n">
        <f aca="false">IF(C33087&gt;0,Assumptions!$C$17,C33076)</f>
        <v>99</v>
      </c>
    </row>
    <row r="33132" customFormat="false" ht="15" hidden="false" customHeight="false" outlineLevel="0" collapsed="false">
      <c r="A33132" s="3" t="s">
        <v>557</v>
      </c>
      <c r="C33132" s="21" t="n">
        <f aca="false">IF(C33088&gt;0,Assumptions!$C$17,C33077)</f>
        <v>99</v>
      </c>
    </row>
    <row r="33133" customFormat="false" ht="15" hidden="false" customHeight="false" outlineLevel="0" collapsed="false">
      <c r="A33133" s="3" t="s">
        <v>558</v>
      </c>
      <c r="C33133" s="21" t="n">
        <f aca="false">IF(C33089&gt;0,Assumptions!$C$17,C33078)</f>
        <v>99</v>
      </c>
    </row>
    <row r="33134" customFormat="false" ht="15" hidden="false" customHeight="false" outlineLevel="0" collapsed="false">
      <c r="A33134" s="3" t="s">
        <v>559</v>
      </c>
      <c r="C33134" s="21" t="n">
        <f aca="false">IF(C33090&gt;0,Assumptions!$C$17,C33079)</f>
        <v>2</v>
      </c>
    </row>
    <row r="33135" customFormat="false" ht="15" hidden="false" customHeight="false" outlineLevel="0" collapsed="false">
      <c r="A33135" s="3" t="s">
        <v>560</v>
      </c>
      <c r="C33135" s="21" t="n">
        <f aca="false">IF(C33091&gt;0,Assumptions!$C$17,C33080)</f>
        <v>2</v>
      </c>
    </row>
    <row r="33136" customFormat="false" ht="15" hidden="false" customHeight="false" outlineLevel="0" collapsed="false">
      <c r="A33136" s="3" t="s">
        <v>561</v>
      </c>
      <c r="C33136" s="21" t="n">
        <f aca="false">IF(C33092&gt;0,Assumptions!$C$17,C33081)</f>
        <v>2</v>
      </c>
    </row>
    <row r="33137" customFormat="false" ht="15" hidden="false" customHeight="false" outlineLevel="0" collapsed="false">
      <c r="A33137" s="3" t="s">
        <v>562</v>
      </c>
      <c r="C33137" s="21" t="n">
        <f aca="false">IF(C33093&gt;0,Assumptions!$C$17,C33082)</f>
        <v>2</v>
      </c>
    </row>
    <row r="33138" customFormat="false" ht="15" hidden="false" customHeight="false" outlineLevel="0" collapsed="false">
      <c r="A33138" s="3" t="s">
        <v>563</v>
      </c>
      <c r="C33138" s="21" t="n">
        <f aca="false">IF(C33094&gt;0,Assumptions!$C$17,C33083)</f>
        <v>2</v>
      </c>
    </row>
    <row r="33139" customFormat="false" ht="15" hidden="false" customHeight="false" outlineLevel="0" collapsed="false">
      <c r="A33139" s="3" t="s">
        <v>564</v>
      </c>
      <c r="C33139" s="21" t="n">
        <f aca="false">IF(C33095&gt;0,Assumptions!$C$17,C33084)</f>
        <v>2</v>
      </c>
    </row>
    <row r="33140" customFormat="false" ht="15" hidden="false" customHeight="false" outlineLevel="0" collapsed="false">
      <c r="A33140" s="3" t="s">
        <v>565</v>
      </c>
      <c r="C33140" s="21" t="n">
        <f aca="false">IF(C33096&gt;0,Assumptions!$C$17,C33085)</f>
        <v>3</v>
      </c>
    </row>
    <row r="33141" customFormat="false" ht="15" hidden="false" customHeight="false" outlineLevel="0" collapsed="false">
      <c r="A33141" s="24" t="s">
        <v>572</v>
      </c>
      <c r="B33141" s="25"/>
      <c r="C33141" s="25"/>
      <c r="D33141" s="25"/>
      <c r="E33141" s="25"/>
      <c r="F33141" s="25"/>
      <c r="G33141" s="25"/>
      <c r="H33141" s="25"/>
      <c r="I33141" s="25"/>
      <c r="J33141" s="25"/>
      <c r="K33141" s="25"/>
    </row>
    <row r="33142" customFormat="false" ht="15" hidden="false" customHeight="false" outlineLevel="0" collapsed="false">
      <c r="A33142" s="3" t="s">
        <v>556</v>
      </c>
      <c r="C33142" s="16" t="n">
        <f aca="false">SUMPRODUCT(($C$33131:$C$33140&lt;C33131)*$C$33120:$C$33129)</f>
        <v>2112.15757525</v>
      </c>
    </row>
    <row r="33143" customFormat="false" ht="15" hidden="false" customHeight="false" outlineLevel="0" collapsed="false">
      <c r="A33143" s="3" t="s">
        <v>557</v>
      </c>
      <c r="C33143" s="16" t="n">
        <f aca="false">SUMPRODUCT(($C$33131:$C$33140&lt;C33132)*$C$33120:$C$33129)</f>
        <v>2112.15757525</v>
      </c>
    </row>
    <row r="33144" customFormat="false" ht="15" hidden="false" customHeight="false" outlineLevel="0" collapsed="false">
      <c r="A33144" s="3" t="s">
        <v>558</v>
      </c>
      <c r="C33144" s="16" t="n">
        <f aca="false">SUMPRODUCT(($C$33131:$C$33140&lt;C33133)*$C$33120:$C$33129)</f>
        <v>2112.15757525</v>
      </c>
    </row>
    <row r="33145" customFormat="false" ht="15" hidden="false" customHeight="false" outlineLevel="0" collapsed="false">
      <c r="A33145" s="3" t="s">
        <v>559</v>
      </c>
      <c r="C33145" s="16" t="n">
        <f aca="false">SUMPRODUCT(($C$33131:$C$33140&lt;C33134)*$C$33120:$C$33129)</f>
        <v>0</v>
      </c>
    </row>
    <row r="33146" customFormat="false" ht="15" hidden="false" customHeight="false" outlineLevel="0" collapsed="false">
      <c r="A33146" s="3" t="s">
        <v>560</v>
      </c>
      <c r="C33146" s="16" t="n">
        <f aca="false">SUMPRODUCT(($C$33131:$C$33140&lt;C33135)*$C$33120:$C$33129)</f>
        <v>0</v>
      </c>
    </row>
    <row r="33147" customFormat="false" ht="15" hidden="false" customHeight="false" outlineLevel="0" collapsed="false">
      <c r="A33147" s="3" t="s">
        <v>561</v>
      </c>
      <c r="C33147" s="16" t="n">
        <f aca="false">SUMPRODUCT(($C$33131:$C$33140&lt;C33136)*$C$33120:$C$33129)</f>
        <v>0</v>
      </c>
    </row>
    <row r="33148" customFormat="false" ht="15" hidden="false" customHeight="false" outlineLevel="0" collapsed="false">
      <c r="A33148" s="3" t="s">
        <v>562</v>
      </c>
      <c r="C33148" s="16" t="n">
        <f aca="false">SUMPRODUCT(($C$33131:$C$33140&lt;C33137)*$C$33120:$C$33129)</f>
        <v>0</v>
      </c>
    </row>
    <row r="33149" customFormat="false" ht="15" hidden="false" customHeight="false" outlineLevel="0" collapsed="false">
      <c r="A33149" s="3" t="s">
        <v>563</v>
      </c>
      <c r="C33149" s="16" t="n">
        <f aca="false">SUMPRODUCT(($C$33131:$C$33140&lt;C33138)*$C$33120:$C$33129)</f>
        <v>0</v>
      </c>
    </row>
    <row r="33150" customFormat="false" ht="15" hidden="false" customHeight="false" outlineLevel="0" collapsed="false">
      <c r="A33150" s="3" t="s">
        <v>564</v>
      </c>
      <c r="C33150" s="16" t="n">
        <f aca="false">SUMPRODUCT(($C$33131:$C$33140&lt;C33139)*$C$33120:$C$33129)</f>
        <v>0</v>
      </c>
    </row>
    <row r="33151" customFormat="false" ht="15" hidden="false" customHeight="false" outlineLevel="0" collapsed="false">
      <c r="A33151" s="3" t="s">
        <v>565</v>
      </c>
      <c r="C33151" s="16" t="n">
        <f aca="false">SUMPRODUCT(($C$33131:$C$33140&lt;C33140)*$C$33120:$C$33129)</f>
        <v>2032.484375</v>
      </c>
    </row>
    <row r="33152" customFormat="false" ht="15" hidden="false" customHeight="false" outlineLevel="0" collapsed="false">
      <c r="A33152" s="24" t="s">
        <v>573</v>
      </c>
      <c r="B33152" s="25"/>
      <c r="C33152" s="25"/>
      <c r="D33152" s="25"/>
      <c r="E33152" s="25"/>
      <c r="F33152" s="25"/>
      <c r="G33152" s="25"/>
      <c r="H33152" s="25"/>
      <c r="I33152" s="25"/>
      <c r="J33152" s="25"/>
      <c r="K33152" s="25"/>
    </row>
    <row r="33153" customFormat="false" ht="15" hidden="false" customHeight="false" outlineLevel="0" collapsed="false">
      <c r="A33153" s="3" t="s">
        <v>556</v>
      </c>
      <c r="C33153" s="16" t="n">
        <f aca="false">SUMPRODUCT(($C$33131:$C$33140=C33131)*$C$33120:$C$33129)</f>
        <v>0</v>
      </c>
    </row>
    <row r="33154" customFormat="false" ht="15" hidden="false" customHeight="false" outlineLevel="0" collapsed="false">
      <c r="A33154" s="3" t="s">
        <v>557</v>
      </c>
      <c r="C33154" s="16" t="n">
        <f aca="false">SUMPRODUCT(($C$33131:$C$33140=C33132)*$C$33120:$C$33129)</f>
        <v>0</v>
      </c>
    </row>
    <row r="33155" customFormat="false" ht="15" hidden="false" customHeight="false" outlineLevel="0" collapsed="false">
      <c r="A33155" s="3" t="s">
        <v>558</v>
      </c>
      <c r="C33155" s="16" t="n">
        <f aca="false">SUMPRODUCT(($C$33131:$C$33140=C33133)*$C$33120:$C$33129)</f>
        <v>0</v>
      </c>
    </row>
    <row r="33156" customFormat="false" ht="15" hidden="false" customHeight="false" outlineLevel="0" collapsed="false">
      <c r="A33156" s="3" t="s">
        <v>559</v>
      </c>
      <c r="C33156" s="16" t="n">
        <f aca="false">SUMPRODUCT(($C$33131:$C$33140=C33134)*$C$33120:$C$33129)</f>
        <v>2032.484375</v>
      </c>
    </row>
    <row r="33157" customFormat="false" ht="15" hidden="false" customHeight="false" outlineLevel="0" collapsed="false">
      <c r="A33157" s="3" t="s">
        <v>560</v>
      </c>
      <c r="C33157" s="16" t="n">
        <f aca="false">SUMPRODUCT(($C$33131:$C$33140=C33135)*$C$33120:$C$33129)</f>
        <v>2032.484375</v>
      </c>
    </row>
    <row r="33158" customFormat="false" ht="15" hidden="false" customHeight="false" outlineLevel="0" collapsed="false">
      <c r="A33158" s="3" t="s">
        <v>561</v>
      </c>
      <c r="C33158" s="16" t="n">
        <f aca="false">SUMPRODUCT(($C$33131:$C$33140=C33136)*$C$33120:$C$33129)</f>
        <v>2032.484375</v>
      </c>
    </row>
    <row r="33159" customFormat="false" ht="15" hidden="false" customHeight="false" outlineLevel="0" collapsed="false">
      <c r="A33159" s="3" t="s">
        <v>562</v>
      </c>
      <c r="C33159" s="16" t="n">
        <f aca="false">SUMPRODUCT(($C$33131:$C$33140=C33137)*$C$33120:$C$33129)</f>
        <v>2032.484375</v>
      </c>
    </row>
    <row r="33160" customFormat="false" ht="15" hidden="false" customHeight="false" outlineLevel="0" collapsed="false">
      <c r="A33160" s="3" t="s">
        <v>563</v>
      </c>
      <c r="C33160" s="16" t="n">
        <f aca="false">SUMPRODUCT(($C$33131:$C$33140=C33138)*$C$33120:$C$33129)</f>
        <v>2032.484375</v>
      </c>
    </row>
    <row r="33161" customFormat="false" ht="15" hidden="false" customHeight="false" outlineLevel="0" collapsed="false">
      <c r="A33161" s="3" t="s">
        <v>564</v>
      </c>
      <c r="C33161" s="16" t="n">
        <f aca="false">SUMPRODUCT(($C$33131:$C$33140=C33139)*$C$33120:$C$33129)</f>
        <v>2032.484375</v>
      </c>
    </row>
    <row r="33162" customFormat="false" ht="15" hidden="false" customHeight="false" outlineLevel="0" collapsed="false">
      <c r="A33162" s="3" t="s">
        <v>565</v>
      </c>
      <c r="C33162" s="16" t="n">
        <f aca="false">SUMPRODUCT(($C$33131:$C$33140=C33140)*$C$33120:$C$33129)</f>
        <v>79.67320025</v>
      </c>
    </row>
    <row r="33163" customFormat="false" ht="15" hidden="false" customHeight="false" outlineLevel="0" collapsed="false">
      <c r="A33163" s="24" t="s">
        <v>574</v>
      </c>
      <c r="B33163" s="25"/>
      <c r="C33163" s="25"/>
      <c r="D33163" s="25"/>
      <c r="E33163" s="25"/>
      <c r="F33163" s="25"/>
      <c r="G33163" s="25"/>
      <c r="H33163" s="25"/>
      <c r="I33163" s="25"/>
      <c r="J33163" s="25"/>
      <c r="K33163" s="25"/>
    </row>
    <row r="33164" customFormat="false" ht="15" hidden="false" customHeight="false" outlineLevel="0" collapsed="false">
      <c r="A33164" s="3" t="s">
        <v>556</v>
      </c>
      <c r="C33164" s="16" t="n">
        <f aca="false">IF(C33153=0,0,C33120/C33153*MAX(0,MIN(C33153,$C$33063-SUM($C$33098:$C$33107)-C33142)))</f>
        <v>0</v>
      </c>
    </row>
    <row r="33165" customFormat="false" ht="15" hidden="false" customHeight="false" outlineLevel="0" collapsed="false">
      <c r="A33165" s="3" t="s">
        <v>557</v>
      </c>
      <c r="C33165" s="16" t="n">
        <f aca="false">IF(C33154=0,0,C33121/C33154*MAX(0,MIN(C33154,$C$33063-SUM($C$33098:$C$33107)-C33143)))</f>
        <v>0</v>
      </c>
    </row>
    <row r="33166" customFormat="false" ht="15" hidden="false" customHeight="false" outlineLevel="0" collapsed="false">
      <c r="A33166" s="3" t="s">
        <v>558</v>
      </c>
      <c r="C33166" s="16" t="n">
        <f aca="false">IF(C33155=0,0,C33122/C33155*MAX(0,MIN(C33155,$C$33063-SUM($C$33098:$C$33107)-C33144)))</f>
        <v>0</v>
      </c>
    </row>
    <row r="33167" customFormat="false" ht="15" hidden="false" customHeight="false" outlineLevel="0" collapsed="false">
      <c r="A33167" s="3" t="s">
        <v>559</v>
      </c>
      <c r="C33167" s="16" t="n">
        <f aca="false">IF(C33156=0,0,C33123/C33156*MAX(0,MIN(C33156,$C$33063-SUM($C$33098:$C$33107)-C33145)))</f>
        <v>0</v>
      </c>
    </row>
    <row r="33168" customFormat="false" ht="15" hidden="false" customHeight="false" outlineLevel="0" collapsed="false">
      <c r="A33168" s="3" t="s">
        <v>560</v>
      </c>
      <c r="C33168" s="16" t="n">
        <f aca="false">IF(C33157=0,0,C33124/C33157*MAX(0,MIN(C33157,$C$33063-SUM($C$33098:$C$33107)-C33146)))</f>
        <v>454.44375</v>
      </c>
    </row>
    <row r="33169" customFormat="false" ht="15" hidden="false" customHeight="false" outlineLevel="0" collapsed="false">
      <c r="A33169" s="3" t="s">
        <v>561</v>
      </c>
      <c r="C33169" s="16" t="n">
        <f aca="false">IF(C33158=0,0,C33125/C33158*MAX(0,MIN(C33158,$C$33063-SUM($C$33098:$C$33107)-C33147)))</f>
        <v>357.2625</v>
      </c>
    </row>
    <row r="33170" customFormat="false" ht="15" hidden="false" customHeight="false" outlineLevel="0" collapsed="false">
      <c r="A33170" s="3" t="s">
        <v>562</v>
      </c>
      <c r="C33170" s="16" t="n">
        <f aca="false">IF(C33159=0,0,C33126/C33159*MAX(0,MIN(C33159,$C$33063-SUM($C$33098:$C$33107)-C33148)))</f>
        <v>562.203125</v>
      </c>
    </row>
    <row r="33171" customFormat="false" ht="15" hidden="false" customHeight="false" outlineLevel="0" collapsed="false">
      <c r="A33171" s="3" t="s">
        <v>563</v>
      </c>
      <c r="C33171" s="16" t="n">
        <f aca="false">IF(C33160=0,0,C33127/C33160*MAX(0,MIN(C33160,$C$33063-SUM($C$33098:$C$33107)-C33149)))</f>
        <v>353.98125</v>
      </c>
    </row>
    <row r="33172" customFormat="false" ht="15" hidden="false" customHeight="false" outlineLevel="0" collapsed="false">
      <c r="A33172" s="3" t="s">
        <v>564</v>
      </c>
      <c r="C33172" s="16" t="n">
        <f aca="false">IF(C33161=0,0,C33128/C33161*MAX(0,MIN(C33161,$C$33063-SUM($C$33098:$C$33107)-C33150)))</f>
        <v>304.59375</v>
      </c>
    </row>
    <row r="33173" customFormat="false" ht="15" hidden="false" customHeight="false" outlineLevel="0" collapsed="false">
      <c r="A33173" s="3" t="s">
        <v>565</v>
      </c>
      <c r="C33173" s="16" t="n">
        <f aca="false">IF(C33162=0,0,C33129/C33162*MAX(0,MIN(C33162,$C$33063-SUM($C$33098:$C$33107)-C33151)))</f>
        <v>79.67320025</v>
      </c>
    </row>
    <row r="33174" customFormat="false" ht="15" hidden="false" customHeight="false" outlineLevel="0" collapsed="false">
      <c r="A33174" s="24" t="s">
        <v>575</v>
      </c>
      <c r="B33174" s="25"/>
      <c r="C33174" s="25"/>
      <c r="D33174" s="25"/>
      <c r="E33174" s="25"/>
      <c r="F33174" s="25"/>
      <c r="G33174" s="25"/>
      <c r="H33174" s="25"/>
      <c r="I33174" s="25"/>
      <c r="J33174" s="25"/>
      <c r="K33174" s="25"/>
    </row>
    <row r="33175" customFormat="false" ht="15" hidden="false" customHeight="false" outlineLevel="0" collapsed="false">
      <c r="A33175" s="2" t="s">
        <v>556</v>
      </c>
      <c r="C33175" s="17" t="n">
        <f aca="false">C33098+C33164</f>
        <v>405.0585</v>
      </c>
    </row>
    <row r="33176" customFormat="false" ht="15" hidden="false" customHeight="false" outlineLevel="0" collapsed="false">
      <c r="A33176" s="2" t="s">
        <v>557</v>
      </c>
      <c r="C33176" s="17" t="n">
        <f aca="false">C33099+C33165</f>
        <v>91.30725</v>
      </c>
    </row>
    <row r="33177" customFormat="false" ht="15" hidden="false" customHeight="false" outlineLevel="0" collapsed="false">
      <c r="A33177" s="2" t="s">
        <v>558</v>
      </c>
      <c r="C33177" s="17" t="n">
        <f aca="false">C33100+C33166</f>
        <v>58.3715961</v>
      </c>
    </row>
    <row r="33178" customFormat="false" ht="15" hidden="false" customHeight="false" outlineLevel="0" collapsed="false">
      <c r="A33178" s="2" t="s">
        <v>559</v>
      </c>
      <c r="C33178" s="17" t="n">
        <f aca="false">C33101+C33167</f>
        <v>0</v>
      </c>
    </row>
    <row r="33179" customFormat="false" ht="15" hidden="false" customHeight="false" outlineLevel="0" collapsed="false">
      <c r="A33179" s="2" t="s">
        <v>560</v>
      </c>
      <c r="C33179" s="17" t="n">
        <f aca="false">C33102+C33168</f>
        <v>454.44375</v>
      </c>
    </row>
    <row r="33180" customFormat="false" ht="15" hidden="false" customHeight="false" outlineLevel="0" collapsed="false">
      <c r="A33180" s="2" t="s">
        <v>561</v>
      </c>
      <c r="C33180" s="17" t="n">
        <f aca="false">C33103+C33169</f>
        <v>357.2625</v>
      </c>
    </row>
    <row r="33181" customFormat="false" ht="15" hidden="false" customHeight="false" outlineLevel="0" collapsed="false">
      <c r="A33181" s="2" t="s">
        <v>562</v>
      </c>
      <c r="C33181" s="17" t="n">
        <f aca="false">C33104+C33170</f>
        <v>562.203125</v>
      </c>
    </row>
    <row r="33182" customFormat="false" ht="15" hidden="false" customHeight="false" outlineLevel="0" collapsed="false">
      <c r="A33182" s="2" t="s">
        <v>563</v>
      </c>
      <c r="C33182" s="17" t="n">
        <f aca="false">C33105+C33171</f>
        <v>353.98125</v>
      </c>
    </row>
    <row r="33183" customFormat="false" ht="15" hidden="false" customHeight="false" outlineLevel="0" collapsed="false">
      <c r="A33183" s="2" t="s">
        <v>564</v>
      </c>
      <c r="C33183" s="17" t="n">
        <f aca="false">C33106+C33172</f>
        <v>304.59375</v>
      </c>
    </row>
    <row r="33184" customFormat="false" ht="15" hidden="false" customHeight="false" outlineLevel="0" collapsed="false">
      <c r="A33184" s="2" t="s">
        <v>565</v>
      </c>
      <c r="C33184" s="17" t="n">
        <f aca="false">C33107+C33173</f>
        <v>79.67320025</v>
      </c>
    </row>
    <row r="33185" customFormat="false" ht="15" hidden="false" customHeight="false" outlineLevel="0" collapsed="false">
      <c r="A33185" s="24" t="s">
        <v>576</v>
      </c>
      <c r="B33185" s="25"/>
      <c r="C33185" s="25"/>
      <c r="D33185" s="25"/>
      <c r="E33185" s="25"/>
      <c r="F33185" s="25"/>
      <c r="G33185" s="25"/>
      <c r="H33185" s="25"/>
      <c r="I33185" s="25"/>
      <c r="J33185" s="25"/>
      <c r="K33185" s="25"/>
    </row>
    <row r="33186" customFormat="false" ht="15" hidden="false" customHeight="false" outlineLevel="0" collapsed="false">
      <c r="A33186" s="3" t="s">
        <v>556</v>
      </c>
      <c r="C33186" s="22" t="n">
        <f aca="false">IF(C33065=0,1,C33175/C33065)</f>
        <v>1</v>
      </c>
    </row>
    <row r="33187" customFormat="false" ht="15" hidden="false" customHeight="false" outlineLevel="0" collapsed="false">
      <c r="A33187" s="3" t="s">
        <v>557</v>
      </c>
      <c r="C33187" s="22" t="n">
        <f aca="false">IF(C33066=0,1,C33176/C33066)</f>
        <v>1</v>
      </c>
    </row>
    <row r="33188" customFormat="false" ht="15" hidden="false" customHeight="false" outlineLevel="0" collapsed="false">
      <c r="A33188" s="3" t="s">
        <v>558</v>
      </c>
      <c r="C33188" s="22" t="n">
        <f aca="false">IF(C33067=0,1,C33177/C33067)</f>
        <v>1</v>
      </c>
    </row>
    <row r="33189" customFormat="false" ht="15" hidden="false" customHeight="false" outlineLevel="0" collapsed="false">
      <c r="A33189" s="3" t="s">
        <v>559</v>
      </c>
      <c r="C33189" s="22" t="n">
        <f aca="false">IF(C33068=0,1,C33178/C33068)</f>
        <v>1</v>
      </c>
    </row>
    <row r="33190" customFormat="false" ht="15" hidden="false" customHeight="false" outlineLevel="0" collapsed="false">
      <c r="A33190" s="3" t="s">
        <v>560</v>
      </c>
      <c r="C33190" s="22" t="n">
        <f aca="false">IF(C33069=0,1,C33179/C33069)</f>
        <v>1</v>
      </c>
    </row>
    <row r="33191" customFormat="false" ht="15" hidden="false" customHeight="false" outlineLevel="0" collapsed="false">
      <c r="A33191" s="3" t="s">
        <v>561</v>
      </c>
      <c r="C33191" s="22" t="n">
        <f aca="false">IF(C33070=0,1,C33180/C33070)</f>
        <v>1</v>
      </c>
    </row>
    <row r="33192" customFormat="false" ht="15" hidden="false" customHeight="false" outlineLevel="0" collapsed="false">
      <c r="A33192" s="3" t="s">
        <v>562</v>
      </c>
      <c r="C33192" s="22" t="n">
        <f aca="false">IF(C33071=0,1,C33181/C33071)</f>
        <v>1</v>
      </c>
    </row>
    <row r="33193" customFormat="false" ht="15" hidden="false" customHeight="false" outlineLevel="0" collapsed="false">
      <c r="A33193" s="3" t="s">
        <v>563</v>
      </c>
      <c r="C33193" s="22" t="n">
        <f aca="false">IF(C33072=0,1,C33182/C33072)</f>
        <v>1</v>
      </c>
    </row>
    <row r="33194" customFormat="false" ht="15" hidden="false" customHeight="false" outlineLevel="0" collapsed="false">
      <c r="A33194" s="3" t="s">
        <v>564</v>
      </c>
      <c r="C33194" s="22" t="n">
        <f aca="false">IF(C33073=0,1,C33183/C33073)</f>
        <v>1</v>
      </c>
    </row>
    <row r="33195" customFormat="false" ht="15" hidden="false" customHeight="false" outlineLevel="0" collapsed="false">
      <c r="A33195" s="3" t="s">
        <v>565</v>
      </c>
      <c r="C33195" s="22" t="n">
        <f aca="false">IF(C33074=0,1,C33184/C33074)</f>
        <v>1</v>
      </c>
    </row>
    <row r="33196" customFormat="false" ht="15" hidden="false" customHeight="false" outlineLevel="0" collapsed="false">
      <c r="A33196" s="24" t="s">
        <v>577</v>
      </c>
      <c r="B33196" s="25"/>
      <c r="C33196" s="25"/>
      <c r="D33196" s="25"/>
      <c r="E33196" s="25"/>
      <c r="F33196" s="25"/>
      <c r="G33196" s="25"/>
      <c r="H33196" s="25"/>
      <c r="I33196" s="25"/>
      <c r="J33196" s="25"/>
      <c r="K33196" s="25"/>
    </row>
    <row r="33197" customFormat="false" ht="15" hidden="false" customHeight="false" outlineLevel="0" collapsed="false">
      <c r="A33197" s="3" t="s">
        <v>556</v>
      </c>
      <c r="C33197" s="16" t="n">
        <f aca="false">C33065-C33175</f>
        <v>0</v>
      </c>
    </row>
    <row r="33198" customFormat="false" ht="15" hidden="false" customHeight="false" outlineLevel="0" collapsed="false">
      <c r="A33198" s="3" t="s">
        <v>557</v>
      </c>
      <c r="C33198" s="16" t="n">
        <f aca="false">C33066-C33176</f>
        <v>0</v>
      </c>
    </row>
    <row r="33199" customFormat="false" ht="15" hidden="false" customHeight="false" outlineLevel="0" collapsed="false">
      <c r="A33199" s="3" t="s">
        <v>558</v>
      </c>
      <c r="C33199" s="16" t="n">
        <f aca="false">C33067-C33177</f>
        <v>0</v>
      </c>
    </row>
    <row r="33200" customFormat="false" ht="15" hidden="false" customHeight="false" outlineLevel="0" collapsed="false">
      <c r="A33200" s="3" t="s">
        <v>559</v>
      </c>
      <c r="C33200" s="16" t="n">
        <f aca="false">C33068-C33178</f>
        <v>0</v>
      </c>
    </row>
    <row r="33201" customFormat="false" ht="15" hidden="false" customHeight="false" outlineLevel="0" collapsed="false">
      <c r="A33201" s="3" t="s">
        <v>560</v>
      </c>
      <c r="C33201" s="16" t="n">
        <f aca="false">C33069-C33179</f>
        <v>0</v>
      </c>
    </row>
    <row r="33202" customFormat="false" ht="15" hidden="false" customHeight="false" outlineLevel="0" collapsed="false">
      <c r="A33202" s="3" t="s">
        <v>561</v>
      </c>
      <c r="C33202" s="16" t="n">
        <f aca="false">C33070-C33180</f>
        <v>0</v>
      </c>
    </row>
    <row r="33203" customFormat="false" ht="15" hidden="false" customHeight="false" outlineLevel="0" collapsed="false">
      <c r="A33203" s="3" t="s">
        <v>562</v>
      </c>
      <c r="C33203" s="16" t="n">
        <f aca="false">C33071-C33181</f>
        <v>0</v>
      </c>
    </row>
    <row r="33204" customFormat="false" ht="15" hidden="false" customHeight="false" outlineLevel="0" collapsed="false">
      <c r="A33204" s="3" t="s">
        <v>563</v>
      </c>
      <c r="C33204" s="16" t="n">
        <f aca="false">C33072-C33182</f>
        <v>0</v>
      </c>
    </row>
    <row r="33205" customFormat="false" ht="15" hidden="false" customHeight="false" outlineLevel="0" collapsed="false">
      <c r="A33205" s="3" t="s">
        <v>564</v>
      </c>
      <c r="C33205" s="16" t="n">
        <f aca="false">C33073-C33183</f>
        <v>0</v>
      </c>
    </row>
    <row r="33206" customFormat="false" ht="15" hidden="false" customHeight="false" outlineLevel="0" collapsed="false">
      <c r="A33206" s="3" t="s">
        <v>565</v>
      </c>
      <c r="C33206" s="16" t="n">
        <f aca="false">C33074-C33184</f>
        <v>0</v>
      </c>
    </row>
    <row r="33207" customFormat="false" ht="15" hidden="false" customHeight="false" outlineLevel="0" collapsed="false">
      <c r="A33207" s="24" t="s">
        <v>578</v>
      </c>
      <c r="B33207" s="25"/>
      <c r="C33207" s="25"/>
      <c r="D33207" s="25"/>
      <c r="E33207" s="25"/>
      <c r="F33207" s="25"/>
      <c r="G33207" s="25"/>
      <c r="H33207" s="25"/>
      <c r="I33207" s="25"/>
      <c r="J33207" s="25"/>
      <c r="K33207" s="25"/>
    </row>
    <row r="33208" customFormat="false" ht="15" hidden="false" customHeight="false" outlineLevel="0" collapsed="false">
      <c r="A33208" s="3" t="s">
        <v>556</v>
      </c>
      <c r="C33208" s="22" t="n">
        <f aca="false">IF(C33065=0,0,C33197/C33065)</f>
        <v>0</v>
      </c>
    </row>
    <row r="33209" customFormat="false" ht="15" hidden="false" customHeight="false" outlineLevel="0" collapsed="false">
      <c r="A33209" s="3" t="s">
        <v>557</v>
      </c>
      <c r="C33209" s="22" t="n">
        <f aca="false">IF(C33066=0,0,C33198/C33066)</f>
        <v>0</v>
      </c>
    </row>
    <row r="33210" customFormat="false" ht="15" hidden="false" customHeight="false" outlineLevel="0" collapsed="false">
      <c r="A33210" s="3" t="s">
        <v>558</v>
      </c>
      <c r="C33210" s="22" t="n">
        <f aca="false">IF(C33067=0,0,C33199/C33067)</f>
        <v>0</v>
      </c>
    </row>
    <row r="33211" customFormat="false" ht="15" hidden="false" customHeight="false" outlineLevel="0" collapsed="false">
      <c r="A33211" s="3" t="s">
        <v>559</v>
      </c>
      <c r="C33211" s="22" t="n">
        <f aca="false">IF(C33068=0,0,C33200/C33068)</f>
        <v>0</v>
      </c>
    </row>
    <row r="33212" customFormat="false" ht="15" hidden="false" customHeight="false" outlineLevel="0" collapsed="false">
      <c r="A33212" s="3" t="s">
        <v>560</v>
      </c>
      <c r="C33212" s="22" t="n">
        <f aca="false">IF(C33069=0,0,C33201/C33069)</f>
        <v>0</v>
      </c>
    </row>
    <row r="33213" customFormat="false" ht="15" hidden="false" customHeight="false" outlineLevel="0" collapsed="false">
      <c r="A33213" s="3" t="s">
        <v>561</v>
      </c>
      <c r="C33213" s="22" t="n">
        <f aca="false">IF(C33070=0,0,C33202/C33070)</f>
        <v>0</v>
      </c>
    </row>
    <row r="33214" customFormat="false" ht="15" hidden="false" customHeight="false" outlineLevel="0" collapsed="false">
      <c r="A33214" s="3" t="s">
        <v>562</v>
      </c>
      <c r="C33214" s="22" t="n">
        <f aca="false">IF(C33071=0,0,C33203/C33071)</f>
        <v>0</v>
      </c>
    </row>
    <row r="33215" customFormat="false" ht="15" hidden="false" customHeight="false" outlineLevel="0" collapsed="false">
      <c r="A33215" s="3" t="s">
        <v>563</v>
      </c>
      <c r="C33215" s="22" t="n">
        <f aca="false">IF(C33072=0,0,C33204/C33072)</f>
        <v>0</v>
      </c>
    </row>
    <row r="33216" customFormat="false" ht="15" hidden="false" customHeight="false" outlineLevel="0" collapsed="false">
      <c r="A33216" s="3" t="s">
        <v>564</v>
      </c>
      <c r="C33216" s="22" t="n">
        <f aca="false">IF(C33073=0,0,C33205/C33073)</f>
        <v>0</v>
      </c>
    </row>
    <row r="33217" customFormat="false" ht="15" hidden="false" customHeight="false" outlineLevel="0" collapsed="false">
      <c r="A33217" s="3" t="s">
        <v>565</v>
      </c>
      <c r="C33217" s="22" t="n">
        <f aca="false">IF(C33074=0,0,C33206/C33074)</f>
        <v>0</v>
      </c>
    </row>
    <row r="33218" customFormat="false" ht="15" hidden="false" customHeight="false" outlineLevel="0" collapsed="false">
      <c r="A33218" s="2" t="s">
        <v>579</v>
      </c>
      <c r="C33218" s="17" t="n">
        <f aca="false">MAX(0,$C$33063-SUM($C$33098:$C$33107)-SUM($C$33120:$C$33129))</f>
        <v>1163.864440506</v>
      </c>
    </row>
    <row r="33219" customFormat="false" ht="15" hidden="false" customHeight="false" outlineLevel="0" collapsed="false">
      <c r="A33219" s="3" t="s">
        <v>580</v>
      </c>
      <c r="C33219" s="16" t="n">
        <f aca="false">SUM($C$33175:$C$33184)+C33218+C33062-C33061</f>
        <v>0</v>
      </c>
    </row>
    <row r="33221" customFormat="false" ht="15" hidden="false" customHeight="false" outlineLevel="0" collapsed="false">
      <c r="A33221" s="24" t="s">
        <v>583</v>
      </c>
      <c r="B33221" s="25"/>
      <c r="C33221" s="25"/>
      <c r="D33221" s="25"/>
      <c r="E33221" s="25"/>
      <c r="F33221" s="25"/>
      <c r="G33221" s="25"/>
      <c r="H33221" s="25"/>
      <c r="I33221" s="25"/>
      <c r="J33221" s="25"/>
      <c r="K33221" s="25"/>
    </row>
    <row r="33222" customFormat="false" ht="15" hidden="false" customHeight="false" outlineLevel="0" collapsed="false">
      <c r="A33222" s="3" t="s">
        <v>584</v>
      </c>
      <c r="C33222" s="27" t="n">
        <f aca="false">Assumptions!$C$34</f>
        <v>1</v>
      </c>
    </row>
    <row r="33223" customFormat="false" ht="15" hidden="false" customHeight="false" outlineLevel="0" collapsed="false">
      <c r="A33223" s="3" t="s">
        <v>585</v>
      </c>
      <c r="C33223" s="29" t="n">
        <f aca="false">Assumptions!$C$35</f>
        <v>100</v>
      </c>
    </row>
    <row r="33224" customFormat="false" ht="15" hidden="false" customHeight="false" outlineLevel="0" collapsed="false">
      <c r="A33224" s="3" t="s">
        <v>586</v>
      </c>
      <c r="C33224" s="40" t="n">
        <f aca="false">Assumptions!$C$36</f>
        <v>98</v>
      </c>
    </row>
    <row r="33225" customFormat="false" ht="15" hidden="false" customHeight="false" outlineLevel="0" collapsed="false">
      <c r="A33225" s="3" t="s">
        <v>587</v>
      </c>
      <c r="C33225" s="16" t="n">
        <f aca="false">C33223*C33224/100*(1+Assumptions!$C$37)</f>
        <v>98.49</v>
      </c>
    </row>
    <row r="33226" customFormat="false" ht="15" hidden="false" customHeight="false" outlineLevel="0" collapsed="false">
      <c r="A33226" s="3" t="s">
        <v>588</v>
      </c>
      <c r="C33226" s="27" t="n">
        <f aca="false">Assumptions!$C$38</f>
        <v>3</v>
      </c>
    </row>
    <row r="33227" customFormat="false" ht="15" hidden="false" customHeight="false" outlineLevel="0" collapsed="false">
      <c r="A33227" s="3" t="s">
        <v>589</v>
      </c>
      <c r="C33227" s="21" t="n">
        <f aca="false">IF(C33054=1,SUMPRODUCT($G$32990:$K$32990,$G$32764:$K$32764),0)</f>
        <v>0</v>
      </c>
    </row>
    <row r="33228" customFormat="false" ht="15" hidden="false" customHeight="false" outlineLevel="0" collapsed="false">
      <c r="A33228" s="3" t="s">
        <v>590</v>
      </c>
      <c r="C33228" s="22" t="n">
        <f aca="false">IFERROR(C33223/CHOOSE(C33222,SUMPRODUCT($G$33053:$K$33053,$G$32810:$K$32810),SUMPRODUCT($G$33053:$K$33053,$G$32823:$K$32823),SUMPRODUCT($G$33053:$K$33053,$G$32836:$K$32836),SUMPRODUCT($G$33053:$K$33053,$G$32849:$K$32849),SUMPRODUCT($G$33053:$K$33053,$G$32862:$K$32862),SUMPRODUCT($G$33053:$K$33053,$G$32875:$K$32875),SUMPRODUCT($G$33053:$K$33053,$G$32888:$K$32888),SUMPRODUCT($G$33053:$K$33053,$G$32901:$K$32901),SUMPRODUCT($G$33053:$K$33053,$G$32914:$K$32914),SUMPRODUCT($G$33053:$K$33053,$G$32927:$K$32927)),0)</f>
        <v>0.252525252525253</v>
      </c>
    </row>
    <row r="33229" customFormat="false" ht="15" hidden="false" customHeight="false" outlineLevel="0" collapsed="false">
      <c r="A33229" s="3" t="s">
        <v>591</v>
      </c>
      <c r="C33229" s="16" t="n">
        <f aca="false">CHOOSE(C33222,C33175,C33176,C33177,C33178,C33179,C33180,C33181,C33182,C33183,C33184)*C33228</f>
        <v>102.2875</v>
      </c>
    </row>
    <row r="33230" customFormat="false" ht="15" hidden="false" customHeight="false" outlineLevel="0" collapsed="false">
      <c r="A33230" s="3" t="s">
        <v>592</v>
      </c>
      <c r="C33230" s="22" t="n">
        <f aca="false">CHOOSE(C33222,C33186,C33187,C33188,C33189,C33190,C33191,C33192,C33193,C33194,C33195)</f>
        <v>1</v>
      </c>
    </row>
    <row r="33231" customFormat="false" ht="15" hidden="false" customHeight="false" outlineLevel="0" collapsed="false">
      <c r="A33231" s="3" t="s">
        <v>593</v>
      </c>
      <c r="C33231" s="21" t="n">
        <f aca="false">IF(C33054=1,C33227,C33226)</f>
        <v>3</v>
      </c>
    </row>
    <row r="33232" customFormat="false" ht="15" hidden="false" customHeight="false" outlineLevel="0" collapsed="false">
      <c r="A33232" s="3" t="s">
        <v>594</v>
      </c>
      <c r="C33232" s="35" t="n">
        <f aca="false">CHOOSE($C$32756,Assumptions!$C$91,Assumptions!$C$110,Assumptions!$C$129)</f>
        <v>100</v>
      </c>
    </row>
    <row r="33233" customFormat="false" ht="15" hidden="false" customHeight="false" outlineLevel="0" collapsed="false">
      <c r="A33233" s="3" t="s">
        <v>595</v>
      </c>
      <c r="C33233" s="16" t="n">
        <f aca="false">INDEX($G$32773:$K$32773,C33226)*CHOOSE($C$32756,Assumptions!$C$90,Assumptions!$C$109,Assumptions!$C$128)+MAX(0,INDEX($G$32987:$K$32987,C33226))</f>
        <v>3369.2242946436</v>
      </c>
    </row>
    <row r="33234" customFormat="false" ht="15" hidden="false" customHeight="false" outlineLevel="0" collapsed="false">
      <c r="A33234" s="24" t="s">
        <v>596</v>
      </c>
      <c r="B33234" s="25"/>
      <c r="C33234" s="25"/>
      <c r="D33234" s="25"/>
      <c r="E33234" s="25"/>
      <c r="F33234" s="25"/>
      <c r="G33234" s="25"/>
      <c r="H33234" s="25"/>
      <c r="I33234" s="25"/>
      <c r="J33234" s="25"/>
      <c r="K33234" s="25"/>
    </row>
    <row r="33235" customFormat="false" ht="15" hidden="false" customHeight="false" outlineLevel="0" collapsed="false">
      <c r="A33235" s="3" t="s">
        <v>556</v>
      </c>
      <c r="C33235" s="16" t="n">
        <f aca="false">INDEX($G$32810:$K$32810,C33226)</f>
        <v>388</v>
      </c>
    </row>
    <row r="33236" customFormat="false" ht="15" hidden="false" customHeight="false" outlineLevel="0" collapsed="false">
      <c r="A33236" s="3" t="s">
        <v>557</v>
      </c>
      <c r="C33236" s="16" t="n">
        <f aca="false">INDEX($G$32823:$K$32823,C33226)</f>
        <v>90</v>
      </c>
    </row>
    <row r="33237" customFormat="false" ht="15" hidden="false" customHeight="false" outlineLevel="0" collapsed="false">
      <c r="A33237" s="3" t="s">
        <v>558</v>
      </c>
      <c r="C33237" s="16" t="n">
        <f aca="false">INDEX($G$32836:$K$32836,C33226)</f>
        <v>57.324</v>
      </c>
    </row>
    <row r="33238" customFormat="false" ht="15" hidden="false" customHeight="false" outlineLevel="0" collapsed="false">
      <c r="A33238" s="3" t="s">
        <v>559</v>
      </c>
      <c r="C33238" s="16" t="n">
        <f aca="false">INDEX($G$32849:$K$32849,C33226)</f>
        <v>66.796942182056</v>
      </c>
    </row>
    <row r="33239" customFormat="false" ht="15" hidden="false" customHeight="false" outlineLevel="0" collapsed="false">
      <c r="A33239" s="3" t="s">
        <v>560</v>
      </c>
      <c r="C33239" s="16" t="n">
        <f aca="false">INDEX($G$32862:$K$32862,C33226)</f>
        <v>407.7221513738</v>
      </c>
    </row>
    <row r="33240" customFormat="false" ht="15" hidden="false" customHeight="false" outlineLevel="0" collapsed="false">
      <c r="A33240" s="3" t="s">
        <v>561</v>
      </c>
      <c r="C33240" s="16" t="n">
        <f aca="false">INDEX($G$32875:$K$32875,C33226)</f>
        <v>350</v>
      </c>
    </row>
    <row r="33241" customFormat="false" ht="15" hidden="false" customHeight="false" outlineLevel="0" collapsed="false">
      <c r="A33241" s="3" t="s">
        <v>562</v>
      </c>
      <c r="C33241" s="16" t="n">
        <f aca="false">INDEX($G$32888:$K$32888,C33226)</f>
        <v>550</v>
      </c>
    </row>
    <row r="33242" customFormat="false" ht="15" hidden="false" customHeight="false" outlineLevel="0" collapsed="false">
      <c r="A33242" s="3" t="s">
        <v>563</v>
      </c>
      <c r="C33242" s="16" t="n">
        <f aca="false">INDEX($G$32901:$K$32901,C33226)</f>
        <v>350</v>
      </c>
    </row>
    <row r="33243" customFormat="false" ht="15" hidden="false" customHeight="false" outlineLevel="0" collapsed="false">
      <c r="A33243" s="3" t="s">
        <v>564</v>
      </c>
      <c r="C33243" s="16" t="n">
        <f aca="false">INDEX($G$32914:$K$32914,C33226)</f>
        <v>300</v>
      </c>
    </row>
    <row r="33244" customFormat="false" ht="15" hidden="false" customHeight="false" outlineLevel="0" collapsed="false">
      <c r="A33244" s="3" t="s">
        <v>565</v>
      </c>
      <c r="C33244" s="16" t="n">
        <f aca="false">INDEX($G$32927:$K$32927,C33226)</f>
        <v>78.61</v>
      </c>
    </row>
    <row r="33245" customFormat="false" ht="15" hidden="false" customHeight="false" outlineLevel="0" collapsed="false">
      <c r="A33245" s="24" t="s">
        <v>566</v>
      </c>
      <c r="B33245" s="25"/>
      <c r="C33245" s="25"/>
      <c r="D33245" s="25"/>
      <c r="E33245" s="25"/>
      <c r="F33245" s="25"/>
      <c r="G33245" s="25"/>
      <c r="H33245" s="25"/>
      <c r="I33245" s="25"/>
      <c r="J33245" s="25"/>
      <c r="K33245" s="25"/>
    </row>
    <row r="33246" customFormat="false" ht="15" hidden="false" customHeight="false" outlineLevel="0" collapsed="false">
      <c r="A33246" s="3" t="s">
        <v>556</v>
      </c>
      <c r="C33246" s="27" t="n">
        <f aca="false">Assumptions!$M$57</f>
        <v>1</v>
      </c>
    </row>
    <row r="33247" customFormat="false" ht="15" hidden="false" customHeight="false" outlineLevel="0" collapsed="false">
      <c r="A33247" s="3" t="s">
        <v>557</v>
      </c>
      <c r="C33247" s="27" t="n">
        <f aca="false">Assumptions!$M$58</f>
        <v>1</v>
      </c>
    </row>
    <row r="33248" customFormat="false" ht="15" hidden="false" customHeight="false" outlineLevel="0" collapsed="false">
      <c r="A33248" s="3" t="s">
        <v>558</v>
      </c>
      <c r="C33248" s="27" t="n">
        <f aca="false">Assumptions!$M$59</f>
        <v>1</v>
      </c>
    </row>
    <row r="33249" customFormat="false" ht="15" hidden="false" customHeight="false" outlineLevel="0" collapsed="false">
      <c r="A33249" s="3" t="s">
        <v>559</v>
      </c>
      <c r="C33249" s="27" t="n">
        <f aca="false">Assumptions!$M$60</f>
        <v>2</v>
      </c>
    </row>
    <row r="33250" customFormat="false" ht="15" hidden="false" customHeight="false" outlineLevel="0" collapsed="false">
      <c r="A33250" s="3" t="s">
        <v>560</v>
      </c>
      <c r="C33250" s="27" t="n">
        <f aca="false">Assumptions!$M$61</f>
        <v>2</v>
      </c>
    </row>
    <row r="33251" customFormat="false" ht="15" hidden="false" customHeight="false" outlineLevel="0" collapsed="false">
      <c r="A33251" s="3" t="s">
        <v>561</v>
      </c>
      <c r="C33251" s="27" t="n">
        <f aca="false">Assumptions!$M$62</f>
        <v>2</v>
      </c>
    </row>
    <row r="33252" customFormat="false" ht="15" hidden="false" customHeight="false" outlineLevel="0" collapsed="false">
      <c r="A33252" s="3" t="s">
        <v>562</v>
      </c>
      <c r="C33252" s="27" t="n">
        <f aca="false">Assumptions!$M$63</f>
        <v>2</v>
      </c>
    </row>
    <row r="33253" customFormat="false" ht="15" hidden="false" customHeight="false" outlineLevel="0" collapsed="false">
      <c r="A33253" s="3" t="s">
        <v>563</v>
      </c>
      <c r="C33253" s="27" t="n">
        <f aca="false">Assumptions!$M$64</f>
        <v>2</v>
      </c>
    </row>
    <row r="33254" customFormat="false" ht="15" hidden="false" customHeight="false" outlineLevel="0" collapsed="false">
      <c r="A33254" s="3" t="s">
        <v>564</v>
      </c>
      <c r="C33254" s="27" t="n">
        <f aca="false">Assumptions!$M$65</f>
        <v>2</v>
      </c>
    </row>
    <row r="33255" customFormat="false" ht="15" hidden="false" customHeight="false" outlineLevel="0" collapsed="false">
      <c r="A33255" s="3" t="s">
        <v>565</v>
      </c>
      <c r="C33255" s="27" t="n">
        <f aca="false">Assumptions!$M$66</f>
        <v>3</v>
      </c>
    </row>
    <row r="33256" customFormat="false" ht="15" hidden="false" customHeight="false" outlineLevel="0" collapsed="false">
      <c r="A33256" s="24" t="s">
        <v>567</v>
      </c>
      <c r="B33256" s="25"/>
      <c r="C33256" s="25"/>
      <c r="D33256" s="25"/>
      <c r="E33256" s="25"/>
      <c r="F33256" s="25"/>
      <c r="G33256" s="25"/>
      <c r="H33256" s="25"/>
      <c r="I33256" s="25"/>
      <c r="J33256" s="25"/>
      <c r="K33256" s="25"/>
    </row>
    <row r="33257" customFormat="false" ht="15" hidden="false" customHeight="false" outlineLevel="0" collapsed="false">
      <c r="A33257" s="3" t="s">
        <v>556</v>
      </c>
      <c r="C33257" s="33" t="n">
        <f aca="false">Assumptions!$Q$57</f>
        <v>0.3</v>
      </c>
    </row>
    <row r="33258" customFormat="false" ht="15" hidden="false" customHeight="false" outlineLevel="0" collapsed="false">
      <c r="A33258" s="3" t="s">
        <v>557</v>
      </c>
      <c r="C33258" s="33" t="n">
        <f aca="false">Assumptions!$Q$58</f>
        <v>0.033</v>
      </c>
    </row>
    <row r="33259" customFormat="false" ht="15" hidden="false" customHeight="false" outlineLevel="0" collapsed="false">
      <c r="A33259" s="3" t="s">
        <v>558</v>
      </c>
      <c r="C33259" s="33" t="n">
        <f aca="false">Assumptions!$Q$59</f>
        <v>0.021</v>
      </c>
    </row>
    <row r="33260" customFormat="false" ht="15" hidden="false" customHeight="false" outlineLevel="0" collapsed="false">
      <c r="A33260" s="3" t="s">
        <v>559</v>
      </c>
      <c r="C33260" s="33" t="n">
        <f aca="false">Assumptions!$Q$60</f>
        <v>0</v>
      </c>
    </row>
    <row r="33261" customFormat="false" ht="15" hidden="false" customHeight="false" outlineLevel="0" collapsed="false">
      <c r="A33261" s="3" t="s">
        <v>560</v>
      </c>
      <c r="C33261" s="33" t="n">
        <f aca="false">Assumptions!$Q$61</f>
        <v>0</v>
      </c>
    </row>
    <row r="33262" customFormat="false" ht="15" hidden="false" customHeight="false" outlineLevel="0" collapsed="false">
      <c r="A33262" s="3" t="s">
        <v>561</v>
      </c>
      <c r="C33262" s="33" t="n">
        <f aca="false">Assumptions!$Q$62</f>
        <v>0</v>
      </c>
    </row>
    <row r="33263" customFormat="false" ht="15" hidden="false" customHeight="false" outlineLevel="0" collapsed="false">
      <c r="A33263" s="3" t="s">
        <v>562</v>
      </c>
      <c r="C33263" s="33" t="n">
        <f aca="false">Assumptions!$Q$63</f>
        <v>0</v>
      </c>
    </row>
    <row r="33264" customFormat="false" ht="15" hidden="false" customHeight="false" outlineLevel="0" collapsed="false">
      <c r="A33264" s="3" t="s">
        <v>563</v>
      </c>
      <c r="C33264" s="33" t="n">
        <f aca="false">Assumptions!$Q$64</f>
        <v>0</v>
      </c>
    </row>
    <row r="33265" customFormat="false" ht="15" hidden="false" customHeight="false" outlineLevel="0" collapsed="false">
      <c r="A33265" s="3" t="s">
        <v>564</v>
      </c>
      <c r="C33265" s="33" t="n">
        <f aca="false">Assumptions!$Q$65</f>
        <v>0</v>
      </c>
    </row>
    <row r="33266" customFormat="false" ht="15" hidden="false" customHeight="false" outlineLevel="0" collapsed="false">
      <c r="A33266" s="3" t="s">
        <v>565</v>
      </c>
      <c r="C33266" s="33" t="n">
        <f aca="false">Assumptions!$Q$66</f>
        <v>0</v>
      </c>
    </row>
    <row r="33267" customFormat="false" ht="15" hidden="false" customHeight="false" outlineLevel="0" collapsed="false">
      <c r="A33267" s="24" t="s">
        <v>568</v>
      </c>
      <c r="B33267" s="25"/>
      <c r="C33267" s="25"/>
      <c r="D33267" s="25"/>
      <c r="E33267" s="25"/>
      <c r="F33267" s="25"/>
      <c r="G33267" s="25"/>
      <c r="H33267" s="25"/>
      <c r="I33267" s="25"/>
      <c r="J33267" s="25"/>
      <c r="K33267" s="25"/>
    </row>
    <row r="33268" customFormat="false" ht="15" hidden="false" customHeight="false" outlineLevel="0" collapsed="false">
      <c r="A33268" s="3" t="s">
        <v>556</v>
      </c>
      <c r="C33268" s="16" t="n">
        <f aca="false">IF(C33257&gt;0,MIN(C33235,C33257*$C$33233),0)</f>
        <v>388</v>
      </c>
    </row>
    <row r="33269" customFormat="false" ht="15" hidden="false" customHeight="false" outlineLevel="0" collapsed="false">
      <c r="A33269" s="3" t="s">
        <v>557</v>
      </c>
      <c r="C33269" s="16" t="n">
        <f aca="false">IF(C33258&gt;0,MIN(C33236,C33258*$C$33233),0)</f>
        <v>90</v>
      </c>
    </row>
    <row r="33270" customFormat="false" ht="15" hidden="false" customHeight="false" outlineLevel="0" collapsed="false">
      <c r="A33270" s="3" t="s">
        <v>558</v>
      </c>
      <c r="C33270" s="16" t="n">
        <f aca="false">IF(C33259&gt;0,MIN(C33237,C33259*$C$33233),0)</f>
        <v>57.324</v>
      </c>
    </row>
    <row r="33271" customFormat="false" ht="15" hidden="false" customHeight="false" outlineLevel="0" collapsed="false">
      <c r="A33271" s="3" t="s">
        <v>559</v>
      </c>
      <c r="C33271" s="16" t="n">
        <f aca="false">IF(C33260&gt;0,MIN(C33238,C33260*$C$33233),0)</f>
        <v>0</v>
      </c>
    </row>
    <row r="33272" customFormat="false" ht="15" hidden="false" customHeight="false" outlineLevel="0" collapsed="false">
      <c r="A33272" s="3" t="s">
        <v>560</v>
      </c>
      <c r="C33272" s="16" t="n">
        <f aca="false">IF(C33261&gt;0,MIN(C33239,C33261*$C$33233),0)</f>
        <v>0</v>
      </c>
    </row>
    <row r="33273" customFormat="false" ht="15" hidden="false" customHeight="false" outlineLevel="0" collapsed="false">
      <c r="A33273" s="3" t="s">
        <v>561</v>
      </c>
      <c r="C33273" s="16" t="n">
        <f aca="false">IF(C33262&gt;0,MIN(C33240,C33262*$C$33233),0)</f>
        <v>0</v>
      </c>
    </row>
    <row r="33274" customFormat="false" ht="15" hidden="false" customHeight="false" outlineLevel="0" collapsed="false">
      <c r="A33274" s="3" t="s">
        <v>562</v>
      </c>
      <c r="C33274" s="16" t="n">
        <f aca="false">IF(C33263&gt;0,MIN(C33241,C33263*$C$33233),0)</f>
        <v>0</v>
      </c>
    </row>
    <row r="33275" customFormat="false" ht="15" hidden="false" customHeight="false" outlineLevel="0" collapsed="false">
      <c r="A33275" s="3" t="s">
        <v>563</v>
      </c>
      <c r="C33275" s="16" t="n">
        <f aca="false">IF(C33264&gt;0,MIN(C33242,C33264*$C$33233),0)</f>
        <v>0</v>
      </c>
    </row>
    <row r="33276" customFormat="false" ht="15" hidden="false" customHeight="false" outlineLevel="0" collapsed="false">
      <c r="A33276" s="3" t="s">
        <v>564</v>
      </c>
      <c r="C33276" s="16" t="n">
        <f aca="false">IF(C33265&gt;0,MIN(C33243,C33265*$C$33233),0)</f>
        <v>0</v>
      </c>
    </row>
    <row r="33277" customFormat="false" ht="15" hidden="false" customHeight="false" outlineLevel="0" collapsed="false">
      <c r="A33277" s="3" t="s">
        <v>565</v>
      </c>
      <c r="C33277" s="16" t="n">
        <f aca="false">IF(C33266&gt;0,MIN(C33244,C33266*$C$33233),0)</f>
        <v>0</v>
      </c>
    </row>
    <row r="33278" customFormat="false" ht="15" hidden="false" customHeight="false" outlineLevel="0" collapsed="false">
      <c r="A33278" s="24" t="s">
        <v>569</v>
      </c>
      <c r="B33278" s="25"/>
      <c r="C33278" s="25"/>
      <c r="D33278" s="25"/>
      <c r="E33278" s="25"/>
      <c r="F33278" s="25"/>
      <c r="G33278" s="25"/>
      <c r="H33278" s="25"/>
      <c r="I33278" s="25"/>
      <c r="J33278" s="25"/>
      <c r="K33278" s="25"/>
    </row>
    <row r="33279" customFormat="false" ht="15" hidden="false" customHeight="false" outlineLevel="0" collapsed="false">
      <c r="A33279" s="3" t="s">
        <v>556</v>
      </c>
      <c r="C33279" s="16" t="n">
        <f aca="false">IF(C33257&gt;0,C33235-C33268,0)</f>
        <v>0</v>
      </c>
    </row>
    <row r="33280" customFormat="false" ht="15" hidden="false" customHeight="false" outlineLevel="0" collapsed="false">
      <c r="A33280" s="3" t="s">
        <v>557</v>
      </c>
      <c r="C33280" s="16" t="n">
        <f aca="false">IF(C33258&gt;0,C33236-C33269,0)</f>
        <v>0</v>
      </c>
    </row>
    <row r="33281" customFormat="false" ht="15" hidden="false" customHeight="false" outlineLevel="0" collapsed="false">
      <c r="A33281" s="3" t="s">
        <v>558</v>
      </c>
      <c r="C33281" s="16" t="n">
        <f aca="false">IF(C33259&gt;0,C33237-C33270,0)</f>
        <v>0</v>
      </c>
    </row>
    <row r="33282" customFormat="false" ht="15" hidden="false" customHeight="false" outlineLevel="0" collapsed="false">
      <c r="A33282" s="3" t="s">
        <v>559</v>
      </c>
      <c r="C33282" s="16" t="n">
        <f aca="false">IF(C33260&gt;0,C33238-C33271,0)</f>
        <v>0</v>
      </c>
    </row>
    <row r="33283" customFormat="false" ht="15" hidden="false" customHeight="false" outlineLevel="0" collapsed="false">
      <c r="A33283" s="3" t="s">
        <v>560</v>
      </c>
      <c r="C33283" s="16" t="n">
        <f aca="false">IF(C33261&gt;0,C33239-C33272,0)</f>
        <v>0</v>
      </c>
    </row>
    <row r="33284" customFormat="false" ht="15" hidden="false" customHeight="false" outlineLevel="0" collapsed="false">
      <c r="A33284" s="3" t="s">
        <v>561</v>
      </c>
      <c r="C33284" s="16" t="n">
        <f aca="false">IF(C33262&gt;0,C33240-C33273,0)</f>
        <v>0</v>
      </c>
    </row>
    <row r="33285" customFormat="false" ht="15" hidden="false" customHeight="false" outlineLevel="0" collapsed="false">
      <c r="A33285" s="3" t="s">
        <v>562</v>
      </c>
      <c r="C33285" s="16" t="n">
        <f aca="false">IF(C33263&gt;0,C33241-C33274,0)</f>
        <v>0</v>
      </c>
    </row>
    <row r="33286" customFormat="false" ht="15" hidden="false" customHeight="false" outlineLevel="0" collapsed="false">
      <c r="A33286" s="3" t="s">
        <v>563</v>
      </c>
      <c r="C33286" s="16" t="n">
        <f aca="false">IF(C33264&gt;0,C33242-C33275,0)</f>
        <v>0</v>
      </c>
    </row>
    <row r="33287" customFormat="false" ht="15" hidden="false" customHeight="false" outlineLevel="0" collapsed="false">
      <c r="A33287" s="3" t="s">
        <v>564</v>
      </c>
      <c r="C33287" s="16" t="n">
        <f aca="false">IF(C33265&gt;0,C33243-C33276,0)</f>
        <v>0</v>
      </c>
    </row>
    <row r="33288" customFormat="false" ht="15" hidden="false" customHeight="false" outlineLevel="0" collapsed="false">
      <c r="A33288" s="3" t="s">
        <v>565</v>
      </c>
      <c r="C33288" s="16" t="n">
        <f aca="false">IF(C33266&gt;0,C33244-C33277,0)</f>
        <v>0</v>
      </c>
    </row>
    <row r="33289" customFormat="false" ht="15" hidden="false" customHeight="false" outlineLevel="0" collapsed="false">
      <c r="A33289" s="24" t="s">
        <v>570</v>
      </c>
      <c r="B33289" s="25"/>
      <c r="C33289" s="25"/>
      <c r="D33289" s="25"/>
      <c r="E33289" s="25"/>
      <c r="F33289" s="25"/>
      <c r="G33289" s="25"/>
      <c r="H33289" s="25"/>
      <c r="I33289" s="25"/>
      <c r="J33289" s="25"/>
      <c r="K33289" s="25"/>
    </row>
    <row r="33290" customFormat="false" ht="15" hidden="false" customHeight="false" outlineLevel="0" collapsed="false">
      <c r="A33290" s="3" t="s">
        <v>556</v>
      </c>
      <c r="C33290" s="16" t="n">
        <f aca="false">IF(C33257&gt;0,C33279,C33235)</f>
        <v>0</v>
      </c>
    </row>
    <row r="33291" customFormat="false" ht="15" hidden="false" customHeight="false" outlineLevel="0" collapsed="false">
      <c r="A33291" s="3" t="s">
        <v>557</v>
      </c>
      <c r="C33291" s="16" t="n">
        <f aca="false">IF(C33258&gt;0,C33280,C33236)</f>
        <v>0</v>
      </c>
    </row>
    <row r="33292" customFormat="false" ht="15" hidden="false" customHeight="false" outlineLevel="0" collapsed="false">
      <c r="A33292" s="3" t="s">
        <v>558</v>
      </c>
      <c r="C33292" s="16" t="n">
        <f aca="false">IF(C33259&gt;0,C33281,C33237)</f>
        <v>0</v>
      </c>
    </row>
    <row r="33293" customFormat="false" ht="15" hidden="false" customHeight="false" outlineLevel="0" collapsed="false">
      <c r="A33293" s="3" t="s">
        <v>559</v>
      </c>
      <c r="C33293" s="16" t="n">
        <f aca="false">IF(C33260&gt;0,C33282,C33238)</f>
        <v>66.796942182056</v>
      </c>
    </row>
    <row r="33294" customFormat="false" ht="15" hidden="false" customHeight="false" outlineLevel="0" collapsed="false">
      <c r="A33294" s="3" t="s">
        <v>560</v>
      </c>
      <c r="C33294" s="16" t="n">
        <f aca="false">IF(C33261&gt;0,C33283,C33239)</f>
        <v>407.7221513738</v>
      </c>
    </row>
    <row r="33295" customFormat="false" ht="15" hidden="false" customHeight="false" outlineLevel="0" collapsed="false">
      <c r="A33295" s="3" t="s">
        <v>561</v>
      </c>
      <c r="C33295" s="16" t="n">
        <f aca="false">IF(C33262&gt;0,C33284,C33240)</f>
        <v>350</v>
      </c>
    </row>
    <row r="33296" customFormat="false" ht="15" hidden="false" customHeight="false" outlineLevel="0" collapsed="false">
      <c r="A33296" s="3" t="s">
        <v>562</v>
      </c>
      <c r="C33296" s="16" t="n">
        <f aca="false">IF(C33263&gt;0,C33285,C33241)</f>
        <v>550</v>
      </c>
    </row>
    <row r="33297" customFormat="false" ht="15" hidden="false" customHeight="false" outlineLevel="0" collapsed="false">
      <c r="A33297" s="3" t="s">
        <v>563</v>
      </c>
      <c r="C33297" s="16" t="n">
        <f aca="false">IF(C33264&gt;0,C33286,C33242)</f>
        <v>350</v>
      </c>
    </row>
    <row r="33298" customFormat="false" ht="15" hidden="false" customHeight="false" outlineLevel="0" collapsed="false">
      <c r="A33298" s="3" t="s">
        <v>564</v>
      </c>
      <c r="C33298" s="16" t="n">
        <f aca="false">IF(C33265&gt;0,C33287,C33243)</f>
        <v>300</v>
      </c>
    </row>
    <row r="33299" customFormat="false" ht="15" hidden="false" customHeight="false" outlineLevel="0" collapsed="false">
      <c r="A33299" s="3" t="s">
        <v>565</v>
      </c>
      <c r="C33299" s="16" t="n">
        <f aca="false">IF(C33266&gt;0,C33288,C33244)</f>
        <v>78.61</v>
      </c>
    </row>
    <row r="33300" customFormat="false" ht="15" hidden="false" customHeight="false" outlineLevel="0" collapsed="false">
      <c r="A33300" s="24" t="s">
        <v>571</v>
      </c>
      <c r="B33300" s="25"/>
      <c r="C33300" s="25"/>
      <c r="D33300" s="25"/>
      <c r="E33300" s="25"/>
      <c r="F33300" s="25"/>
      <c r="G33300" s="25"/>
      <c r="H33300" s="25"/>
      <c r="I33300" s="25"/>
      <c r="J33300" s="25"/>
      <c r="K33300" s="25"/>
    </row>
    <row r="33301" customFormat="false" ht="15" hidden="false" customHeight="false" outlineLevel="0" collapsed="false">
      <c r="A33301" s="3" t="s">
        <v>556</v>
      </c>
      <c r="C33301" s="21" t="n">
        <f aca="false">IF(C33257&gt;0,Assumptions!$C$17,C33246)</f>
        <v>99</v>
      </c>
    </row>
    <row r="33302" customFormat="false" ht="15" hidden="false" customHeight="false" outlineLevel="0" collapsed="false">
      <c r="A33302" s="3" t="s">
        <v>557</v>
      </c>
      <c r="C33302" s="21" t="n">
        <f aca="false">IF(C33258&gt;0,Assumptions!$C$17,C33247)</f>
        <v>99</v>
      </c>
    </row>
    <row r="33303" customFormat="false" ht="15" hidden="false" customHeight="false" outlineLevel="0" collapsed="false">
      <c r="A33303" s="3" t="s">
        <v>558</v>
      </c>
      <c r="C33303" s="21" t="n">
        <f aca="false">IF(C33259&gt;0,Assumptions!$C$17,C33248)</f>
        <v>99</v>
      </c>
    </row>
    <row r="33304" customFormat="false" ht="15" hidden="false" customHeight="false" outlineLevel="0" collapsed="false">
      <c r="A33304" s="3" t="s">
        <v>559</v>
      </c>
      <c r="C33304" s="21" t="n">
        <f aca="false">IF(C33260&gt;0,Assumptions!$C$17,C33249)</f>
        <v>2</v>
      </c>
    </row>
    <row r="33305" customFormat="false" ht="15" hidden="false" customHeight="false" outlineLevel="0" collapsed="false">
      <c r="A33305" s="3" t="s">
        <v>560</v>
      </c>
      <c r="C33305" s="21" t="n">
        <f aca="false">IF(C33261&gt;0,Assumptions!$C$17,C33250)</f>
        <v>2</v>
      </c>
    </row>
    <row r="33306" customFormat="false" ht="15" hidden="false" customHeight="false" outlineLevel="0" collapsed="false">
      <c r="A33306" s="3" t="s">
        <v>561</v>
      </c>
      <c r="C33306" s="21" t="n">
        <f aca="false">IF(C33262&gt;0,Assumptions!$C$17,C33251)</f>
        <v>2</v>
      </c>
    </row>
    <row r="33307" customFormat="false" ht="15" hidden="false" customHeight="false" outlineLevel="0" collapsed="false">
      <c r="A33307" s="3" t="s">
        <v>562</v>
      </c>
      <c r="C33307" s="21" t="n">
        <f aca="false">IF(C33263&gt;0,Assumptions!$C$17,C33252)</f>
        <v>2</v>
      </c>
    </row>
    <row r="33308" customFormat="false" ht="15" hidden="false" customHeight="false" outlineLevel="0" collapsed="false">
      <c r="A33308" s="3" t="s">
        <v>563</v>
      </c>
      <c r="C33308" s="21" t="n">
        <f aca="false">IF(C33264&gt;0,Assumptions!$C$17,C33253)</f>
        <v>2</v>
      </c>
    </row>
    <row r="33309" customFormat="false" ht="15" hidden="false" customHeight="false" outlineLevel="0" collapsed="false">
      <c r="A33309" s="3" t="s">
        <v>564</v>
      </c>
      <c r="C33309" s="21" t="n">
        <f aca="false">IF(C33265&gt;0,Assumptions!$C$17,C33254)</f>
        <v>2</v>
      </c>
    </row>
    <row r="33310" customFormat="false" ht="15" hidden="false" customHeight="false" outlineLevel="0" collapsed="false">
      <c r="A33310" s="3" t="s">
        <v>565</v>
      </c>
      <c r="C33310" s="21" t="n">
        <f aca="false">IF(C33266&gt;0,Assumptions!$C$17,C33255)</f>
        <v>3</v>
      </c>
    </row>
    <row r="33311" customFormat="false" ht="15" hidden="false" customHeight="false" outlineLevel="0" collapsed="false">
      <c r="A33311" s="24" t="s">
        <v>572</v>
      </c>
      <c r="B33311" s="25"/>
      <c r="C33311" s="25"/>
      <c r="D33311" s="25"/>
      <c r="E33311" s="25"/>
      <c r="F33311" s="25"/>
      <c r="G33311" s="25"/>
      <c r="H33311" s="25"/>
      <c r="I33311" s="25"/>
      <c r="J33311" s="25"/>
      <c r="K33311" s="25"/>
    </row>
    <row r="33312" customFormat="false" ht="15" hidden="false" customHeight="false" outlineLevel="0" collapsed="false">
      <c r="A33312" s="3" t="s">
        <v>556</v>
      </c>
      <c r="C33312" s="16" t="n">
        <f aca="false">SUMPRODUCT(($C$33301:$C$33310&lt;C33301)*$C$33290:$C$33299)</f>
        <v>2103.12909355586</v>
      </c>
    </row>
    <row r="33313" customFormat="false" ht="15" hidden="false" customHeight="false" outlineLevel="0" collapsed="false">
      <c r="A33313" s="3" t="s">
        <v>557</v>
      </c>
      <c r="C33313" s="16" t="n">
        <f aca="false">SUMPRODUCT(($C$33301:$C$33310&lt;C33302)*$C$33290:$C$33299)</f>
        <v>2103.12909355586</v>
      </c>
    </row>
    <row r="33314" customFormat="false" ht="15" hidden="false" customHeight="false" outlineLevel="0" collapsed="false">
      <c r="A33314" s="3" t="s">
        <v>558</v>
      </c>
      <c r="C33314" s="16" t="n">
        <f aca="false">SUMPRODUCT(($C$33301:$C$33310&lt;C33303)*$C$33290:$C$33299)</f>
        <v>2103.12909355586</v>
      </c>
    </row>
    <row r="33315" customFormat="false" ht="15" hidden="false" customHeight="false" outlineLevel="0" collapsed="false">
      <c r="A33315" s="3" t="s">
        <v>559</v>
      </c>
      <c r="C33315" s="16" t="n">
        <f aca="false">SUMPRODUCT(($C$33301:$C$33310&lt;C33304)*$C$33290:$C$33299)</f>
        <v>0</v>
      </c>
    </row>
    <row r="33316" customFormat="false" ht="15" hidden="false" customHeight="false" outlineLevel="0" collapsed="false">
      <c r="A33316" s="3" t="s">
        <v>560</v>
      </c>
      <c r="C33316" s="16" t="n">
        <f aca="false">SUMPRODUCT(($C$33301:$C$33310&lt;C33305)*$C$33290:$C$33299)</f>
        <v>0</v>
      </c>
    </row>
    <row r="33317" customFormat="false" ht="15" hidden="false" customHeight="false" outlineLevel="0" collapsed="false">
      <c r="A33317" s="3" t="s">
        <v>561</v>
      </c>
      <c r="C33317" s="16" t="n">
        <f aca="false">SUMPRODUCT(($C$33301:$C$33310&lt;C33306)*$C$33290:$C$33299)</f>
        <v>0</v>
      </c>
    </row>
    <row r="33318" customFormat="false" ht="15" hidden="false" customHeight="false" outlineLevel="0" collapsed="false">
      <c r="A33318" s="3" t="s">
        <v>562</v>
      </c>
      <c r="C33318" s="16" t="n">
        <f aca="false">SUMPRODUCT(($C$33301:$C$33310&lt;C33307)*$C$33290:$C$33299)</f>
        <v>0</v>
      </c>
    </row>
    <row r="33319" customFormat="false" ht="15" hidden="false" customHeight="false" outlineLevel="0" collapsed="false">
      <c r="A33319" s="3" t="s">
        <v>563</v>
      </c>
      <c r="C33319" s="16" t="n">
        <f aca="false">SUMPRODUCT(($C$33301:$C$33310&lt;C33308)*$C$33290:$C$33299)</f>
        <v>0</v>
      </c>
    </row>
    <row r="33320" customFormat="false" ht="15" hidden="false" customHeight="false" outlineLevel="0" collapsed="false">
      <c r="A33320" s="3" t="s">
        <v>564</v>
      </c>
      <c r="C33320" s="16" t="n">
        <f aca="false">SUMPRODUCT(($C$33301:$C$33310&lt;C33309)*$C$33290:$C$33299)</f>
        <v>0</v>
      </c>
    </row>
    <row r="33321" customFormat="false" ht="15" hidden="false" customHeight="false" outlineLevel="0" collapsed="false">
      <c r="A33321" s="3" t="s">
        <v>565</v>
      </c>
      <c r="C33321" s="16" t="n">
        <f aca="false">SUMPRODUCT(($C$33301:$C$33310&lt;C33310)*$C$33290:$C$33299)</f>
        <v>2024.51909355586</v>
      </c>
    </row>
    <row r="33322" customFormat="false" ht="15" hidden="false" customHeight="false" outlineLevel="0" collapsed="false">
      <c r="A33322" s="24" t="s">
        <v>573</v>
      </c>
      <c r="B33322" s="25"/>
      <c r="C33322" s="25"/>
      <c r="D33322" s="25"/>
      <c r="E33322" s="25"/>
      <c r="F33322" s="25"/>
      <c r="G33322" s="25"/>
      <c r="H33322" s="25"/>
      <c r="I33322" s="25"/>
      <c r="J33322" s="25"/>
      <c r="K33322" s="25"/>
    </row>
    <row r="33323" customFormat="false" ht="15" hidden="false" customHeight="false" outlineLevel="0" collapsed="false">
      <c r="A33323" s="3" t="s">
        <v>556</v>
      </c>
      <c r="C33323" s="16" t="n">
        <f aca="false">SUMPRODUCT(($C$33301:$C$33310=C33301)*$C$33290:$C$33299)</f>
        <v>0</v>
      </c>
    </row>
    <row r="33324" customFormat="false" ht="15" hidden="false" customHeight="false" outlineLevel="0" collapsed="false">
      <c r="A33324" s="3" t="s">
        <v>557</v>
      </c>
      <c r="C33324" s="16" t="n">
        <f aca="false">SUMPRODUCT(($C$33301:$C$33310=C33302)*$C$33290:$C$33299)</f>
        <v>0</v>
      </c>
    </row>
    <row r="33325" customFormat="false" ht="15" hidden="false" customHeight="false" outlineLevel="0" collapsed="false">
      <c r="A33325" s="3" t="s">
        <v>558</v>
      </c>
      <c r="C33325" s="16" t="n">
        <f aca="false">SUMPRODUCT(($C$33301:$C$33310=C33303)*$C$33290:$C$33299)</f>
        <v>0</v>
      </c>
    </row>
    <row r="33326" customFormat="false" ht="15" hidden="false" customHeight="false" outlineLevel="0" collapsed="false">
      <c r="A33326" s="3" t="s">
        <v>559</v>
      </c>
      <c r="C33326" s="16" t="n">
        <f aca="false">SUMPRODUCT(($C$33301:$C$33310=C33304)*$C$33290:$C$33299)</f>
        <v>2024.51909355586</v>
      </c>
    </row>
    <row r="33327" customFormat="false" ht="15" hidden="false" customHeight="false" outlineLevel="0" collapsed="false">
      <c r="A33327" s="3" t="s">
        <v>560</v>
      </c>
      <c r="C33327" s="16" t="n">
        <f aca="false">SUMPRODUCT(($C$33301:$C$33310=C33305)*$C$33290:$C$33299)</f>
        <v>2024.51909355586</v>
      </c>
    </row>
    <row r="33328" customFormat="false" ht="15" hidden="false" customHeight="false" outlineLevel="0" collapsed="false">
      <c r="A33328" s="3" t="s">
        <v>561</v>
      </c>
      <c r="C33328" s="16" t="n">
        <f aca="false">SUMPRODUCT(($C$33301:$C$33310=C33306)*$C$33290:$C$33299)</f>
        <v>2024.51909355586</v>
      </c>
    </row>
    <row r="33329" customFormat="false" ht="15" hidden="false" customHeight="false" outlineLevel="0" collapsed="false">
      <c r="A33329" s="3" t="s">
        <v>562</v>
      </c>
      <c r="C33329" s="16" t="n">
        <f aca="false">SUMPRODUCT(($C$33301:$C$33310=C33307)*$C$33290:$C$33299)</f>
        <v>2024.51909355586</v>
      </c>
    </row>
    <row r="33330" customFormat="false" ht="15" hidden="false" customHeight="false" outlineLevel="0" collapsed="false">
      <c r="A33330" s="3" t="s">
        <v>563</v>
      </c>
      <c r="C33330" s="16" t="n">
        <f aca="false">SUMPRODUCT(($C$33301:$C$33310=C33308)*$C$33290:$C$33299)</f>
        <v>2024.51909355586</v>
      </c>
    </row>
    <row r="33331" customFormat="false" ht="15" hidden="false" customHeight="false" outlineLevel="0" collapsed="false">
      <c r="A33331" s="3" t="s">
        <v>564</v>
      </c>
      <c r="C33331" s="16" t="n">
        <f aca="false">SUMPRODUCT(($C$33301:$C$33310=C33309)*$C$33290:$C$33299)</f>
        <v>2024.51909355586</v>
      </c>
    </row>
    <row r="33332" customFormat="false" ht="15" hidden="false" customHeight="false" outlineLevel="0" collapsed="false">
      <c r="A33332" s="3" t="s">
        <v>565</v>
      </c>
      <c r="C33332" s="16" t="n">
        <f aca="false">SUMPRODUCT(($C$33301:$C$33310=C33310)*$C$33290:$C$33299)</f>
        <v>78.61</v>
      </c>
    </row>
    <row r="33333" customFormat="false" ht="15" hidden="false" customHeight="false" outlineLevel="0" collapsed="false">
      <c r="A33333" s="24" t="s">
        <v>574</v>
      </c>
      <c r="B33333" s="25"/>
      <c r="C33333" s="25"/>
      <c r="D33333" s="25"/>
      <c r="E33333" s="25"/>
      <c r="F33333" s="25"/>
      <c r="G33333" s="25"/>
      <c r="H33333" s="25"/>
      <c r="I33333" s="25"/>
      <c r="J33333" s="25"/>
      <c r="K33333" s="25"/>
    </row>
    <row r="33334" customFormat="false" ht="15" hidden="false" customHeight="false" outlineLevel="0" collapsed="false">
      <c r="A33334" s="3" t="s">
        <v>556</v>
      </c>
      <c r="C33334" s="16" t="n">
        <f aca="false">IF(C33323=0,0,C33290/C33323*MAX(0,MIN(C33323,$C$33233-SUM($C$33268:$C$33277)-C33312)))</f>
        <v>0</v>
      </c>
    </row>
    <row r="33335" customFormat="false" ht="15" hidden="false" customHeight="false" outlineLevel="0" collapsed="false">
      <c r="A33335" s="3" t="s">
        <v>557</v>
      </c>
      <c r="C33335" s="16" t="n">
        <f aca="false">IF(C33324=0,0,C33291/C33324*MAX(0,MIN(C33324,$C$33233-SUM($C$33268:$C$33277)-C33313)))</f>
        <v>0</v>
      </c>
    </row>
    <row r="33336" customFormat="false" ht="15" hidden="false" customHeight="false" outlineLevel="0" collapsed="false">
      <c r="A33336" s="3" t="s">
        <v>558</v>
      </c>
      <c r="C33336" s="16" t="n">
        <f aca="false">IF(C33325=0,0,C33292/C33325*MAX(0,MIN(C33325,$C$33233-SUM($C$33268:$C$33277)-C33314)))</f>
        <v>0</v>
      </c>
    </row>
    <row r="33337" customFormat="false" ht="15" hidden="false" customHeight="false" outlineLevel="0" collapsed="false">
      <c r="A33337" s="3" t="s">
        <v>559</v>
      </c>
      <c r="C33337" s="16" t="n">
        <f aca="false">IF(C33326=0,0,C33293/C33326*MAX(0,MIN(C33326,$C$33233-SUM($C$33268:$C$33277)-C33315)))</f>
        <v>66.796942182056</v>
      </c>
    </row>
    <row r="33338" customFormat="false" ht="15" hidden="false" customHeight="false" outlineLevel="0" collapsed="false">
      <c r="A33338" s="3" t="s">
        <v>560</v>
      </c>
      <c r="C33338" s="16" t="n">
        <f aca="false">IF(C33327=0,0,C33294/C33327*MAX(0,MIN(C33327,$C$33233-SUM($C$33268:$C$33277)-C33316)))</f>
        <v>407.7221513738</v>
      </c>
    </row>
    <row r="33339" customFormat="false" ht="15" hidden="false" customHeight="false" outlineLevel="0" collapsed="false">
      <c r="A33339" s="3" t="s">
        <v>561</v>
      </c>
      <c r="C33339" s="16" t="n">
        <f aca="false">IF(C33328=0,0,C33295/C33328*MAX(0,MIN(C33328,$C$33233-SUM($C$33268:$C$33277)-C33317)))</f>
        <v>350</v>
      </c>
    </row>
    <row r="33340" customFormat="false" ht="15" hidden="false" customHeight="false" outlineLevel="0" collapsed="false">
      <c r="A33340" s="3" t="s">
        <v>562</v>
      </c>
      <c r="C33340" s="16" t="n">
        <f aca="false">IF(C33329=0,0,C33296/C33329*MAX(0,MIN(C33329,$C$33233-SUM($C$33268:$C$33277)-C33318)))</f>
        <v>550</v>
      </c>
    </row>
    <row r="33341" customFormat="false" ht="15" hidden="false" customHeight="false" outlineLevel="0" collapsed="false">
      <c r="A33341" s="3" t="s">
        <v>563</v>
      </c>
      <c r="C33341" s="16" t="n">
        <f aca="false">IF(C33330=0,0,C33297/C33330*MAX(0,MIN(C33330,$C$33233-SUM($C$33268:$C$33277)-C33319)))</f>
        <v>350</v>
      </c>
    </row>
    <row r="33342" customFormat="false" ht="15" hidden="false" customHeight="false" outlineLevel="0" collapsed="false">
      <c r="A33342" s="3" t="s">
        <v>564</v>
      </c>
      <c r="C33342" s="16" t="n">
        <f aca="false">IF(C33331=0,0,C33298/C33331*MAX(0,MIN(C33331,$C$33233-SUM($C$33268:$C$33277)-C33320)))</f>
        <v>300</v>
      </c>
    </row>
    <row r="33343" customFormat="false" ht="15" hidden="false" customHeight="false" outlineLevel="0" collapsed="false">
      <c r="A33343" s="3" t="s">
        <v>565</v>
      </c>
      <c r="C33343" s="16" t="n">
        <f aca="false">IF(C33332=0,0,C33299/C33332*MAX(0,MIN(C33332,$C$33233-SUM($C$33268:$C$33277)-C33321)))</f>
        <v>78.61</v>
      </c>
    </row>
    <row r="33344" customFormat="false" ht="15" hidden="false" customHeight="false" outlineLevel="0" collapsed="false">
      <c r="A33344" s="24" t="s">
        <v>575</v>
      </c>
      <c r="B33344" s="25"/>
      <c r="C33344" s="25"/>
      <c r="D33344" s="25"/>
      <c r="E33344" s="25"/>
      <c r="F33344" s="25"/>
      <c r="G33344" s="25"/>
      <c r="H33344" s="25"/>
      <c r="I33344" s="25"/>
      <c r="J33344" s="25"/>
      <c r="K33344" s="25"/>
    </row>
    <row r="33345" customFormat="false" ht="15" hidden="false" customHeight="false" outlineLevel="0" collapsed="false">
      <c r="A33345" s="2" t="s">
        <v>556</v>
      </c>
      <c r="C33345" s="17" t="n">
        <f aca="false">C33268+C33334</f>
        <v>388</v>
      </c>
    </row>
    <row r="33346" customFormat="false" ht="15" hidden="false" customHeight="false" outlineLevel="0" collapsed="false">
      <c r="A33346" s="2" t="s">
        <v>557</v>
      </c>
      <c r="C33346" s="17" t="n">
        <f aca="false">C33269+C33335</f>
        <v>90</v>
      </c>
    </row>
    <row r="33347" customFormat="false" ht="15" hidden="false" customHeight="false" outlineLevel="0" collapsed="false">
      <c r="A33347" s="2" t="s">
        <v>558</v>
      </c>
      <c r="C33347" s="17" t="n">
        <f aca="false">C33270+C33336</f>
        <v>57.324</v>
      </c>
    </row>
    <row r="33348" customFormat="false" ht="15" hidden="false" customHeight="false" outlineLevel="0" collapsed="false">
      <c r="A33348" s="2" t="s">
        <v>559</v>
      </c>
      <c r="C33348" s="17" t="n">
        <f aca="false">C33271+C33337</f>
        <v>66.796942182056</v>
      </c>
    </row>
    <row r="33349" customFormat="false" ht="15" hidden="false" customHeight="false" outlineLevel="0" collapsed="false">
      <c r="A33349" s="2" t="s">
        <v>560</v>
      </c>
      <c r="C33349" s="17" t="n">
        <f aca="false">C33272+C33338</f>
        <v>407.7221513738</v>
      </c>
    </row>
    <row r="33350" customFormat="false" ht="15" hidden="false" customHeight="false" outlineLevel="0" collapsed="false">
      <c r="A33350" s="2" t="s">
        <v>561</v>
      </c>
      <c r="C33350" s="17" t="n">
        <f aca="false">C33273+C33339</f>
        <v>350</v>
      </c>
    </row>
    <row r="33351" customFormat="false" ht="15" hidden="false" customHeight="false" outlineLevel="0" collapsed="false">
      <c r="A33351" s="2" t="s">
        <v>562</v>
      </c>
      <c r="C33351" s="17" t="n">
        <f aca="false">C33274+C33340</f>
        <v>550</v>
      </c>
    </row>
    <row r="33352" customFormat="false" ht="15" hidden="false" customHeight="false" outlineLevel="0" collapsed="false">
      <c r="A33352" s="2" t="s">
        <v>563</v>
      </c>
      <c r="C33352" s="17" t="n">
        <f aca="false">C33275+C33341</f>
        <v>350</v>
      </c>
    </row>
    <row r="33353" customFormat="false" ht="15" hidden="false" customHeight="false" outlineLevel="0" collapsed="false">
      <c r="A33353" s="2" t="s">
        <v>564</v>
      </c>
      <c r="C33353" s="17" t="n">
        <f aca="false">C33276+C33342</f>
        <v>300</v>
      </c>
    </row>
    <row r="33354" customFormat="false" ht="15" hidden="false" customHeight="false" outlineLevel="0" collapsed="false">
      <c r="A33354" s="2" t="s">
        <v>565</v>
      </c>
      <c r="C33354" s="17" t="n">
        <f aca="false">C33277+C33343</f>
        <v>78.61</v>
      </c>
    </row>
    <row r="33355" customFormat="false" ht="15" hidden="false" customHeight="false" outlineLevel="0" collapsed="false">
      <c r="A33355" s="24" t="s">
        <v>576</v>
      </c>
      <c r="B33355" s="25"/>
      <c r="C33355" s="25"/>
      <c r="D33355" s="25"/>
      <c r="E33355" s="25"/>
      <c r="F33355" s="25"/>
      <c r="G33355" s="25"/>
      <c r="H33355" s="25"/>
      <c r="I33355" s="25"/>
      <c r="J33355" s="25"/>
      <c r="K33355" s="25"/>
    </row>
    <row r="33356" customFormat="false" ht="15" hidden="false" customHeight="false" outlineLevel="0" collapsed="false">
      <c r="A33356" s="3" t="s">
        <v>556</v>
      </c>
      <c r="C33356" s="22" t="n">
        <f aca="false">IF(C33235=0,1,C33345/C33235)</f>
        <v>1</v>
      </c>
    </row>
    <row r="33357" customFormat="false" ht="15" hidden="false" customHeight="false" outlineLevel="0" collapsed="false">
      <c r="A33357" s="3" t="s">
        <v>557</v>
      </c>
      <c r="C33357" s="22" t="n">
        <f aca="false">IF(C33236=0,1,C33346/C33236)</f>
        <v>1</v>
      </c>
    </row>
    <row r="33358" customFormat="false" ht="15" hidden="false" customHeight="false" outlineLevel="0" collapsed="false">
      <c r="A33358" s="3" t="s">
        <v>558</v>
      </c>
      <c r="C33358" s="22" t="n">
        <f aca="false">IF(C33237=0,1,C33347/C33237)</f>
        <v>1</v>
      </c>
    </row>
    <row r="33359" customFormat="false" ht="15" hidden="false" customHeight="false" outlineLevel="0" collapsed="false">
      <c r="A33359" s="3" t="s">
        <v>559</v>
      </c>
      <c r="C33359" s="22" t="n">
        <f aca="false">IF(C33238=0,1,C33348/C33238)</f>
        <v>1</v>
      </c>
    </row>
    <row r="33360" customFormat="false" ht="15" hidden="false" customHeight="false" outlineLevel="0" collapsed="false">
      <c r="A33360" s="3" t="s">
        <v>560</v>
      </c>
      <c r="C33360" s="22" t="n">
        <f aca="false">IF(C33239=0,1,C33349/C33239)</f>
        <v>1</v>
      </c>
    </row>
    <row r="33361" customFormat="false" ht="15" hidden="false" customHeight="false" outlineLevel="0" collapsed="false">
      <c r="A33361" s="3" t="s">
        <v>561</v>
      </c>
      <c r="C33361" s="22" t="n">
        <f aca="false">IF(C33240=0,1,C33350/C33240)</f>
        <v>1</v>
      </c>
    </row>
    <row r="33362" customFormat="false" ht="15" hidden="false" customHeight="false" outlineLevel="0" collapsed="false">
      <c r="A33362" s="3" t="s">
        <v>562</v>
      </c>
      <c r="C33362" s="22" t="n">
        <f aca="false">IF(C33241=0,1,C33351/C33241)</f>
        <v>1</v>
      </c>
    </row>
    <row r="33363" customFormat="false" ht="15" hidden="false" customHeight="false" outlineLevel="0" collapsed="false">
      <c r="A33363" s="3" t="s">
        <v>563</v>
      </c>
      <c r="C33363" s="22" t="n">
        <f aca="false">IF(C33242=0,1,C33352/C33242)</f>
        <v>1</v>
      </c>
    </row>
    <row r="33364" customFormat="false" ht="15" hidden="false" customHeight="false" outlineLevel="0" collapsed="false">
      <c r="A33364" s="3" t="s">
        <v>564</v>
      </c>
      <c r="C33364" s="22" t="n">
        <f aca="false">IF(C33243=0,1,C33353/C33243)</f>
        <v>1</v>
      </c>
    </row>
    <row r="33365" customFormat="false" ht="15" hidden="false" customHeight="false" outlineLevel="0" collapsed="false">
      <c r="A33365" s="3" t="s">
        <v>565</v>
      </c>
      <c r="C33365" s="22" t="n">
        <f aca="false">IF(C33244=0,1,C33354/C33244)</f>
        <v>1</v>
      </c>
    </row>
    <row r="33366" customFormat="false" ht="15" hidden="false" customHeight="false" outlineLevel="0" collapsed="false">
      <c r="A33366" s="24" t="s">
        <v>577</v>
      </c>
      <c r="B33366" s="25"/>
      <c r="C33366" s="25"/>
      <c r="D33366" s="25"/>
      <c r="E33366" s="25"/>
      <c r="F33366" s="25"/>
      <c r="G33366" s="25"/>
      <c r="H33366" s="25"/>
      <c r="I33366" s="25"/>
      <c r="J33366" s="25"/>
      <c r="K33366" s="25"/>
    </row>
    <row r="33367" customFormat="false" ht="15" hidden="false" customHeight="false" outlineLevel="0" collapsed="false">
      <c r="A33367" s="3" t="s">
        <v>556</v>
      </c>
      <c r="C33367" s="16" t="n">
        <f aca="false">C33235-C33345</f>
        <v>0</v>
      </c>
    </row>
    <row r="33368" customFormat="false" ht="15" hidden="false" customHeight="false" outlineLevel="0" collapsed="false">
      <c r="A33368" s="3" t="s">
        <v>557</v>
      </c>
      <c r="C33368" s="16" t="n">
        <f aca="false">C33236-C33346</f>
        <v>0</v>
      </c>
    </row>
    <row r="33369" customFormat="false" ht="15" hidden="false" customHeight="false" outlineLevel="0" collapsed="false">
      <c r="A33369" s="3" t="s">
        <v>558</v>
      </c>
      <c r="C33369" s="16" t="n">
        <f aca="false">C33237-C33347</f>
        <v>0</v>
      </c>
    </row>
    <row r="33370" customFormat="false" ht="15" hidden="false" customHeight="false" outlineLevel="0" collapsed="false">
      <c r="A33370" s="3" t="s">
        <v>559</v>
      </c>
      <c r="C33370" s="16" t="n">
        <f aca="false">C33238-C33348</f>
        <v>0</v>
      </c>
    </row>
    <row r="33371" customFormat="false" ht="15" hidden="false" customHeight="false" outlineLevel="0" collapsed="false">
      <c r="A33371" s="3" t="s">
        <v>560</v>
      </c>
      <c r="C33371" s="16" t="n">
        <f aca="false">C33239-C33349</f>
        <v>0</v>
      </c>
    </row>
    <row r="33372" customFormat="false" ht="15" hidden="false" customHeight="false" outlineLevel="0" collapsed="false">
      <c r="A33372" s="3" t="s">
        <v>561</v>
      </c>
      <c r="C33372" s="16" t="n">
        <f aca="false">C33240-C33350</f>
        <v>0</v>
      </c>
    </row>
    <row r="33373" customFormat="false" ht="15" hidden="false" customHeight="false" outlineLevel="0" collapsed="false">
      <c r="A33373" s="3" t="s">
        <v>562</v>
      </c>
      <c r="C33373" s="16" t="n">
        <f aca="false">C33241-C33351</f>
        <v>0</v>
      </c>
    </row>
    <row r="33374" customFormat="false" ht="15" hidden="false" customHeight="false" outlineLevel="0" collapsed="false">
      <c r="A33374" s="3" t="s">
        <v>563</v>
      </c>
      <c r="C33374" s="16" t="n">
        <f aca="false">C33242-C33352</f>
        <v>0</v>
      </c>
    </row>
    <row r="33375" customFormat="false" ht="15" hidden="false" customHeight="false" outlineLevel="0" collapsed="false">
      <c r="A33375" s="3" t="s">
        <v>564</v>
      </c>
      <c r="C33375" s="16" t="n">
        <f aca="false">C33243-C33353</f>
        <v>0</v>
      </c>
    </row>
    <row r="33376" customFormat="false" ht="15" hidden="false" customHeight="false" outlineLevel="0" collapsed="false">
      <c r="A33376" s="3" t="s">
        <v>565</v>
      </c>
      <c r="C33376" s="16" t="n">
        <f aca="false">C33244-C33354</f>
        <v>0</v>
      </c>
    </row>
    <row r="33377" customFormat="false" ht="15" hidden="false" customHeight="false" outlineLevel="0" collapsed="false">
      <c r="A33377" s="24" t="s">
        <v>578</v>
      </c>
      <c r="B33377" s="25"/>
      <c r="C33377" s="25"/>
      <c r="D33377" s="25"/>
      <c r="E33377" s="25"/>
      <c r="F33377" s="25"/>
      <c r="G33377" s="25"/>
      <c r="H33377" s="25"/>
      <c r="I33377" s="25"/>
      <c r="J33377" s="25"/>
      <c r="K33377" s="25"/>
    </row>
    <row r="33378" customFormat="false" ht="15" hidden="false" customHeight="false" outlineLevel="0" collapsed="false">
      <c r="A33378" s="3" t="s">
        <v>556</v>
      </c>
      <c r="C33378" s="22" t="n">
        <f aca="false">IF(C33235=0,0,C33367/C33235)</f>
        <v>0</v>
      </c>
    </row>
    <row r="33379" customFormat="false" ht="15" hidden="false" customHeight="false" outlineLevel="0" collapsed="false">
      <c r="A33379" s="3" t="s">
        <v>557</v>
      </c>
      <c r="C33379" s="22" t="n">
        <f aca="false">IF(C33236=0,0,C33368/C33236)</f>
        <v>0</v>
      </c>
    </row>
    <row r="33380" customFormat="false" ht="15" hidden="false" customHeight="false" outlineLevel="0" collapsed="false">
      <c r="A33380" s="3" t="s">
        <v>558</v>
      </c>
      <c r="C33380" s="22" t="n">
        <f aca="false">IF(C33237=0,0,C33369/C33237)</f>
        <v>0</v>
      </c>
    </row>
    <row r="33381" customFormat="false" ht="15" hidden="false" customHeight="false" outlineLevel="0" collapsed="false">
      <c r="A33381" s="3" t="s">
        <v>559</v>
      </c>
      <c r="C33381" s="22" t="n">
        <f aca="false">IF(C33238=0,0,C33370/C33238)</f>
        <v>0</v>
      </c>
    </row>
    <row r="33382" customFormat="false" ht="15" hidden="false" customHeight="false" outlineLevel="0" collapsed="false">
      <c r="A33382" s="3" t="s">
        <v>560</v>
      </c>
      <c r="C33382" s="22" t="n">
        <f aca="false">IF(C33239=0,0,C33371/C33239)</f>
        <v>0</v>
      </c>
    </row>
    <row r="33383" customFormat="false" ht="15" hidden="false" customHeight="false" outlineLevel="0" collapsed="false">
      <c r="A33383" s="3" t="s">
        <v>561</v>
      </c>
      <c r="C33383" s="22" t="n">
        <f aca="false">IF(C33240=0,0,C33372/C33240)</f>
        <v>0</v>
      </c>
    </row>
    <row r="33384" customFormat="false" ht="15" hidden="false" customHeight="false" outlineLevel="0" collapsed="false">
      <c r="A33384" s="3" t="s">
        <v>562</v>
      </c>
      <c r="C33384" s="22" t="n">
        <f aca="false">IF(C33241=0,0,C33373/C33241)</f>
        <v>0</v>
      </c>
    </row>
    <row r="33385" customFormat="false" ht="15" hidden="false" customHeight="false" outlineLevel="0" collapsed="false">
      <c r="A33385" s="3" t="s">
        <v>563</v>
      </c>
      <c r="C33385" s="22" t="n">
        <f aca="false">IF(C33242=0,0,C33374/C33242)</f>
        <v>0</v>
      </c>
    </row>
    <row r="33386" customFormat="false" ht="15" hidden="false" customHeight="false" outlineLevel="0" collapsed="false">
      <c r="A33386" s="3" t="s">
        <v>564</v>
      </c>
      <c r="C33386" s="22" t="n">
        <f aca="false">IF(C33243=0,0,C33375/C33243)</f>
        <v>0</v>
      </c>
    </row>
    <row r="33387" customFormat="false" ht="15" hidden="false" customHeight="false" outlineLevel="0" collapsed="false">
      <c r="A33387" s="3" t="s">
        <v>565</v>
      </c>
      <c r="C33387" s="22" t="n">
        <f aca="false">IF(C33244=0,0,C33376/C33244)</f>
        <v>0</v>
      </c>
    </row>
    <row r="33388" customFormat="false" ht="15" hidden="false" customHeight="false" outlineLevel="0" collapsed="false">
      <c r="A33388" s="2" t="s">
        <v>579</v>
      </c>
      <c r="C33388" s="17" t="n">
        <f aca="false">MAX(0,$C$33233-SUM($C$33268:$C$33277)-SUM($C$33290:$C$33299))</f>
        <v>730.771201087744</v>
      </c>
    </row>
    <row r="33389" customFormat="false" ht="15" hidden="false" customHeight="false" outlineLevel="0" collapsed="false">
      <c r="A33389" s="3" t="s">
        <v>597</v>
      </c>
      <c r="C33389" s="35" t="n">
        <f aca="false">MIN(C33232,100*CHOOSE(C33222,C33356,C33357,C33358,C33359,C33360,C33361,C33362,C33363,C33364,C33365))</f>
        <v>100</v>
      </c>
    </row>
    <row r="33390" customFormat="false" ht="15" hidden="false" customHeight="false" outlineLevel="0" collapsed="false">
      <c r="A33390" s="3" t="s">
        <v>598</v>
      </c>
      <c r="C33390" s="21" t="n">
        <f aca="false">IF(C33054=1,C33227+Assumptions!$C$40,C33226)</f>
        <v>3</v>
      </c>
    </row>
    <row r="33391" customFormat="false" ht="15" hidden="false" customHeight="false" outlineLevel="0" collapsed="false">
      <c r="A33391" s="24" t="s">
        <v>599</v>
      </c>
      <c r="B33391" s="25"/>
      <c r="C33391" s="25"/>
      <c r="D33391" s="25"/>
      <c r="E33391" s="25"/>
      <c r="F33391" s="25"/>
      <c r="G33391" s="25"/>
      <c r="H33391" s="25"/>
      <c r="I33391" s="25"/>
      <c r="J33391" s="25"/>
      <c r="K33391" s="25"/>
    </row>
    <row r="33392" customFormat="false" ht="15" hidden="false" customHeight="false" outlineLevel="0" collapsed="false">
      <c r="A33392" s="3" t="s">
        <v>600</v>
      </c>
      <c r="C33392" s="21" t="n">
        <f aca="false">COLUMN()-COLUMN($C$1)</f>
        <v>0</v>
      </c>
      <c r="D33392" s="21" t="n">
        <f aca="false">COLUMN()-COLUMN($C$1)</f>
        <v>1</v>
      </c>
      <c r="E33392" s="21" t="n">
        <f aca="false">COLUMN()-COLUMN($C$1)</f>
        <v>2</v>
      </c>
      <c r="F33392" s="21" t="n">
        <f aca="false">COLUMN()-COLUMN($C$1)</f>
        <v>3</v>
      </c>
      <c r="G33392" s="21" t="n">
        <f aca="false">COLUMN()-COLUMN($C$1)</f>
        <v>4</v>
      </c>
      <c r="H33392" s="21" t="n">
        <f aca="false">COLUMN()-COLUMN($C$1)</f>
        <v>5</v>
      </c>
      <c r="I33392" s="21" t="n">
        <f aca="false">COLUMN()-COLUMN($C$1)</f>
        <v>6</v>
      </c>
    </row>
    <row r="33393" customFormat="false" ht="15" hidden="false" customHeight="false" outlineLevel="0" collapsed="false">
      <c r="A33393" s="3" t="s">
        <v>601</v>
      </c>
      <c r="D33393" s="31" t="n">
        <f aca="false">CHOOSE($C$33222,G32802,G32815,G32828,G32841,G32854,G32867,G32880,G32893,G32906,G32919)</f>
        <v>0.0915</v>
      </c>
      <c r="E33393" s="31" t="n">
        <f aca="false">CHOOSE($C$33222,H32802,H32815,H32828,H32841,H32854,H32867,H32880,H32893,H32906,H32919)</f>
        <v>0.09</v>
      </c>
      <c r="F33393" s="31" t="n">
        <f aca="false">CHOOSE($C$33222,I32802,I32815,I32828,I32841,I32854,I32867,I32880,I32893,I32906,I32919)</f>
        <v>0.0875</v>
      </c>
      <c r="G33393" s="31" t="n">
        <f aca="false">CHOOSE($C$33222,J32802,J32815,J32828,J32841,J32854,J32867,J32880,J32893,J32906,J32919)</f>
        <v>0.0875</v>
      </c>
      <c r="H33393" s="31" t="n">
        <f aca="false">CHOOSE($C$33222,K32802,K32815,K32828,K32841,K32854,K32867,K32880,K32893,K32906,K32919)</f>
        <v>0.0875</v>
      </c>
    </row>
    <row r="33394" customFormat="false" ht="15" hidden="false" customHeight="false" outlineLevel="0" collapsed="false">
      <c r="A33394" s="3" t="s">
        <v>602</v>
      </c>
      <c r="D33394" s="16" t="n">
        <f aca="false">IF(D33392&lt;=$C$33231,$C$33223*D33393,0)</f>
        <v>9.15</v>
      </c>
      <c r="E33394" s="16" t="n">
        <f aca="false">IF(E33392&lt;=$C$33231,$C$33223*E33393,0)</f>
        <v>9</v>
      </c>
      <c r="F33394" s="16" t="n">
        <f aca="false">IF(F33392&lt;=$C$33231,$C$33223*F33393,0)</f>
        <v>8.75</v>
      </c>
      <c r="G33394" s="16" t="n">
        <f aca="false">IF(G33392&lt;=$C$33231,$C$33223*G33393,0)</f>
        <v>0</v>
      </c>
      <c r="H33394" s="16" t="n">
        <f aca="false">IF(H33392&lt;=$C$33231,$C$33223*H33393,0)</f>
        <v>0</v>
      </c>
    </row>
    <row r="33395" customFormat="false" ht="15" hidden="false" customHeight="false" outlineLevel="0" collapsed="false">
      <c r="A33395" s="3" t="s">
        <v>603</v>
      </c>
      <c r="D33395" s="16" t="n">
        <f aca="false">IF(AND($C$33054=0,D33392=$C$33226),$C$33223*$C$33389/100,0)+IF(AND($C$33054=1,D33392=$C$33390),$C$33229,0)</f>
        <v>0</v>
      </c>
      <c r="E33395" s="16" t="n">
        <f aca="false">IF(AND($C$33054=0,E33392=$C$33226),$C$33223*$C$33389/100,0)+IF(AND($C$33054=1,E33392=$C$33390),$C$33229,0)</f>
        <v>0</v>
      </c>
      <c r="F33395" s="16" t="n">
        <f aca="false">IF(AND($C$33054=0,F33392=$C$33226),$C$33223*$C$33389/100,0)+IF(AND($C$33054=1,F33392=$C$33390),$C$33229,0)</f>
        <v>100</v>
      </c>
      <c r="G33395" s="16" t="n">
        <f aca="false">IF(AND($C$33054=0,G33392=$C$33226),$C$33223*$C$33389/100,0)+IF(AND($C$33054=1,G33392=$C$33390),$C$33229,0)</f>
        <v>0</v>
      </c>
      <c r="H33395" s="16" t="n">
        <f aca="false">IF(AND($C$33054=0,H33392=$C$33226),$C$33223*$C$33389/100,0)+IF(AND($C$33054=1,H33392=$C$33390),$C$33229,0)</f>
        <v>0</v>
      </c>
      <c r="I33395" s="16" t="n">
        <f aca="false">IF(AND($C$33054=0,I33392=$C$33226),$C$33223*$C$33389/100,0)+IF(AND($C$33054=1,I33392=$C$33390),$C$33229,0)</f>
        <v>0</v>
      </c>
    </row>
    <row r="33396" customFormat="false" ht="15" hidden="false" customHeight="false" outlineLevel="0" collapsed="false">
      <c r="A33396" s="2" t="s">
        <v>604</v>
      </c>
      <c r="C33396" s="17" t="n">
        <f aca="false">-$C$33225</f>
        <v>-98.49</v>
      </c>
      <c r="D33396" s="17" t="n">
        <f aca="false">D33394+D33395</f>
        <v>9.15</v>
      </c>
      <c r="E33396" s="17" t="n">
        <f aca="false">E33394+E33395</f>
        <v>9</v>
      </c>
      <c r="F33396" s="17" t="n">
        <f aca="false">F33394+F33395</f>
        <v>108.75</v>
      </c>
      <c r="G33396" s="17" t="n">
        <f aca="false">G33394+G33395</f>
        <v>0</v>
      </c>
      <c r="H33396" s="17" t="n">
        <f aca="false">H33394+H33395</f>
        <v>0</v>
      </c>
      <c r="I33396" s="17" t="n">
        <f aca="false">I33394+I33395</f>
        <v>0</v>
      </c>
    </row>
    <row r="33397" customFormat="false" ht="15" hidden="false" customHeight="false" outlineLevel="0" collapsed="false">
      <c r="A33397" s="3" t="s">
        <v>605</v>
      </c>
      <c r="C33397" s="16" t="n">
        <f aca="false">SUM($C$33394:$I$33394)</f>
        <v>26.9</v>
      </c>
    </row>
    <row r="33398" customFormat="false" ht="15" hidden="false" customHeight="false" outlineLevel="0" collapsed="false">
      <c r="A33398" s="3" t="s">
        <v>606</v>
      </c>
      <c r="C33398" s="16" t="n">
        <f aca="false">SUM($C$33395:$I$33395)</f>
        <v>100</v>
      </c>
    </row>
    <row r="33399" customFormat="false" ht="15" hidden="false" customHeight="false" outlineLevel="0" collapsed="false">
      <c r="A33399" s="3" t="s">
        <v>607</v>
      </c>
      <c r="C33399" s="16" t="n">
        <f aca="false">C33397+C33398</f>
        <v>126.9</v>
      </c>
    </row>
    <row r="33400" customFormat="false" ht="15" hidden="false" customHeight="false" outlineLevel="0" collapsed="false">
      <c r="A33400" s="3" t="s">
        <v>608</v>
      </c>
      <c r="C33400" s="16" t="n">
        <f aca="false">C33398-C33223*C33224/100</f>
        <v>2</v>
      </c>
    </row>
    <row r="33401" customFormat="false" ht="15" hidden="false" customHeight="false" outlineLevel="0" collapsed="false">
      <c r="A33401" s="3" t="s">
        <v>609</v>
      </c>
      <c r="C33401" s="16" t="n">
        <f aca="false">C33399-C33225</f>
        <v>28.41</v>
      </c>
    </row>
    <row r="33402" customFormat="false" ht="15" hidden="false" customHeight="false" outlineLevel="0" collapsed="false">
      <c r="A33402" s="2" t="s">
        <v>484</v>
      </c>
      <c r="C33402" s="44" t="n">
        <f aca="false">C33399/C33225</f>
        <v>1.28845568077977</v>
      </c>
    </row>
    <row r="33403" customFormat="false" ht="15" hidden="false" customHeight="false" outlineLevel="0" collapsed="false">
      <c r="A33403" s="2" t="s">
        <v>483</v>
      </c>
      <c r="C33403" s="42" t="n">
        <f aca="false">IF(C33399&lt;=0,-1,IFERROR(IRR($C$33396:$I$33396,MAX(-0.9,C33402^(1/C33390)-1)),IRR($C$33396:$I$33396,0.1)))</f>
        <v>0.0958152816969216</v>
      </c>
    </row>
    <row r="33404" customFormat="false" ht="15" hidden="false" customHeight="false" outlineLevel="0" collapsed="false">
      <c r="A33404" s="3" t="s">
        <v>610</v>
      </c>
      <c r="C33404" s="32" t="n">
        <f aca="false">MAX($G$32998:$K$32998)</f>
        <v>9.99528975565569</v>
      </c>
    </row>
    <row r="33405" customFormat="false" ht="15" hidden="false" customHeight="false" outlineLevel="0" collapsed="false">
      <c r="A33405" s="3" t="s">
        <v>611</v>
      </c>
      <c r="C33405" s="32" t="n">
        <f aca="false">MIN($G$32999:$K$32999)</f>
        <v>1.34274565931266</v>
      </c>
    </row>
    <row r="33406" customFormat="false" ht="15" hidden="false" customHeight="false" outlineLevel="0" collapsed="false">
      <c r="A33406" s="3" t="s">
        <v>612</v>
      </c>
      <c r="C33406" s="16" t="n">
        <f aca="false">SUM($G$32786:$K$32786)</f>
        <v>-435.805435297248</v>
      </c>
    </row>
    <row r="33410" customFormat="false" ht="15" hidden="false" customHeight="false" outlineLevel="0" collapsed="false">
      <c r="A33410" s="9" t="s">
        <v>1181</v>
      </c>
      <c r="B33410" s="10"/>
      <c r="C33410" s="10"/>
      <c r="D33410" s="10"/>
      <c r="E33410" s="10"/>
      <c r="F33410" s="10"/>
      <c r="G33410" s="10"/>
      <c r="H33410" s="10"/>
      <c r="I33410" s="10"/>
      <c r="J33410" s="10"/>
      <c r="K33410" s="10"/>
    </row>
    <row r="33411" customFormat="false" ht="15" hidden="false" customHeight="false" outlineLevel="0" collapsed="false">
      <c r="A33411" s="3" t="s">
        <v>1126</v>
      </c>
      <c r="C33411" s="11" t="n">
        <v>1</v>
      </c>
    </row>
    <row r="33412" customFormat="false" ht="15" hidden="false" customHeight="false" outlineLevel="0" collapsed="false">
      <c r="A33412" s="3" t="s">
        <v>1127</v>
      </c>
      <c r="C33412" s="19" t="n">
        <v>0</v>
      </c>
    </row>
    <row r="33413" customFormat="false" ht="15" hidden="false" customHeight="false" outlineLevel="0" collapsed="false">
      <c r="A33413" s="3" t="s">
        <v>1128</v>
      </c>
      <c r="C33413" s="19" t="n">
        <v>0</v>
      </c>
    </row>
    <row r="33414" customFormat="false" ht="15" hidden="false" customHeight="false" outlineLevel="0" collapsed="false">
      <c r="A33414" s="3" t="s">
        <v>1129</v>
      </c>
      <c r="C33414" s="19" t="n">
        <v>0</v>
      </c>
    </row>
    <row r="33415" customFormat="false" ht="15" hidden="false" customHeight="false" outlineLevel="0" collapsed="false">
      <c r="A33415" s="3" t="s">
        <v>1130</v>
      </c>
      <c r="C33415" s="34" t="n">
        <f aca="false">Sensitivities!$A$63</f>
        <v>1</v>
      </c>
    </row>
    <row r="33417" customFormat="false" ht="15" hidden="false" customHeight="false" outlineLevel="0" collapsed="false">
      <c r="A33417" s="24" t="s">
        <v>301</v>
      </c>
      <c r="B33417" s="25"/>
      <c r="C33417" s="25"/>
      <c r="D33417" s="25"/>
      <c r="E33417" s="25"/>
      <c r="F33417" s="25"/>
      <c r="G33417" s="25"/>
      <c r="H33417" s="25"/>
      <c r="I33417" s="25"/>
      <c r="J33417" s="25"/>
      <c r="K33417" s="25"/>
    </row>
    <row r="33418" customFormat="false" ht="15" hidden="false" customHeight="false" outlineLevel="0" collapsed="false">
      <c r="A33418" s="3" t="s">
        <v>302</v>
      </c>
      <c r="F33418" s="27" t="n">
        <f aca="false">Assumptions!$C$6</f>
        <v>2026</v>
      </c>
      <c r="G33418" s="21" t="n">
        <f aca="false">F33418+1</f>
        <v>2027</v>
      </c>
      <c r="H33418" s="21" t="n">
        <f aca="false">G33418+1</f>
        <v>2028</v>
      </c>
      <c r="I33418" s="21" t="n">
        <f aca="false">H33418+1</f>
        <v>2029</v>
      </c>
      <c r="J33418" s="21" t="n">
        <f aca="false">I33418+1</f>
        <v>2030</v>
      </c>
      <c r="K33418" s="21" t="n">
        <f aca="false">J33418+1</f>
        <v>2031</v>
      </c>
    </row>
    <row r="33419" customFormat="false" ht="15" hidden="false" customHeight="false" outlineLevel="0" collapsed="false">
      <c r="A33419" s="3" t="s">
        <v>303</v>
      </c>
      <c r="G33419" s="21" t="n">
        <f aca="false">G33418-Assumptions!$C$6</f>
        <v>1</v>
      </c>
      <c r="H33419" s="21" t="n">
        <f aca="false">H33418-Assumptions!$C$6</f>
        <v>2</v>
      </c>
      <c r="I33419" s="21" t="n">
        <f aca="false">I33418-Assumptions!$C$6</f>
        <v>3</v>
      </c>
      <c r="J33419" s="21" t="n">
        <f aca="false">J33418-Assumptions!$C$6</f>
        <v>4</v>
      </c>
      <c r="K33419" s="21" t="n">
        <f aca="false">K33418-Assumptions!$C$6</f>
        <v>5</v>
      </c>
    </row>
    <row r="33420" customFormat="false" ht="15" hidden="false" customHeight="false" outlineLevel="0" collapsed="false">
      <c r="A33420" s="3" t="s">
        <v>180</v>
      </c>
      <c r="G33420" s="22" t="n">
        <f aca="false">CHOOSE($C$33411,Assumptions!$G$79,Assumptions!$G$98,Assumptions!$G$117)+$C$33412</f>
        <v>-0.03</v>
      </c>
      <c r="H33420" s="22" t="n">
        <f aca="false">CHOOSE($C$33411,Assumptions!$H$79,Assumptions!$H$98,Assumptions!$H$117)+$C$33412</f>
        <v>0.02</v>
      </c>
      <c r="I33420" s="22" t="n">
        <f aca="false">CHOOSE($C$33411,Assumptions!$I$79,Assumptions!$I$98,Assumptions!$I$117)+$C$33412</f>
        <v>0.02</v>
      </c>
      <c r="J33420" s="22" t="n">
        <f aca="false">CHOOSE($C$33411,Assumptions!$J$79,Assumptions!$J$98,Assumptions!$J$117)+$C$33412</f>
        <v>0.02</v>
      </c>
      <c r="K33420" s="22" t="n">
        <f aca="false">CHOOSE($C$33411,Assumptions!$K$79,Assumptions!$K$98,Assumptions!$K$117)+$C$33412</f>
        <v>0.02</v>
      </c>
    </row>
    <row r="33421" customFormat="false" ht="15" hidden="false" customHeight="false" outlineLevel="0" collapsed="false">
      <c r="A33421" s="3" t="s">
        <v>181</v>
      </c>
      <c r="G33421" s="22" t="n">
        <f aca="false">CHOOSE($C$33411,Assumptions!$G$80,Assumptions!$G$99,Assumptions!$G$118)</f>
        <v>0.603920660818678</v>
      </c>
      <c r="H33421" s="22" t="n">
        <f aca="false">CHOOSE($C$33411,Assumptions!$H$80,Assumptions!$H$99,Assumptions!$H$118)</f>
        <v>0.606920660818678</v>
      </c>
      <c r="I33421" s="22" t="n">
        <f aca="false">CHOOSE($C$33411,Assumptions!$I$80,Assumptions!$I$99,Assumptions!$I$118)</f>
        <v>0.609920660818678</v>
      </c>
      <c r="J33421" s="22" t="n">
        <f aca="false">CHOOSE($C$33411,Assumptions!$J$80,Assumptions!$J$99,Assumptions!$J$118)</f>
        <v>0.611920660818678</v>
      </c>
      <c r="K33421" s="22" t="n">
        <f aca="false">CHOOSE($C$33411,Assumptions!$K$80,Assumptions!$K$99,Assumptions!$K$118)</f>
        <v>0.613920660818678</v>
      </c>
    </row>
    <row r="33422" customFormat="false" ht="15" hidden="false" customHeight="false" outlineLevel="0" collapsed="false">
      <c r="A33422" s="3" t="s">
        <v>182</v>
      </c>
      <c r="G33422" s="22" t="n">
        <f aca="false">CHOOSE($C$33411,Assumptions!$G$81,Assumptions!$G$100,Assumptions!$G$119)+$C$33413</f>
        <v>0.53</v>
      </c>
      <c r="H33422" s="22" t="n">
        <f aca="false">CHOOSE($C$33411,Assumptions!$H$81,Assumptions!$H$100,Assumptions!$H$119)+$C$33413</f>
        <v>0.533</v>
      </c>
      <c r="I33422" s="22" t="n">
        <f aca="false">CHOOSE($C$33411,Assumptions!$I$81,Assumptions!$I$100,Assumptions!$I$119)+$C$33413</f>
        <v>0.536</v>
      </c>
      <c r="J33422" s="22" t="n">
        <f aca="false">CHOOSE($C$33411,Assumptions!$J$81,Assumptions!$J$100,Assumptions!$J$119)+$C$33413</f>
        <v>0.538</v>
      </c>
      <c r="K33422" s="22" t="n">
        <f aca="false">CHOOSE($C$33411,Assumptions!$K$81,Assumptions!$K$100,Assumptions!$K$119)+$C$33413</f>
        <v>0.54</v>
      </c>
    </row>
    <row r="33423" customFormat="false" ht="15" hidden="false" customHeight="false" outlineLevel="0" collapsed="false">
      <c r="A33423" s="24" t="s">
        <v>304</v>
      </c>
      <c r="B33423" s="25"/>
      <c r="C33423" s="25"/>
      <c r="D33423" s="25"/>
      <c r="E33423" s="25"/>
      <c r="F33423" s="25"/>
      <c r="G33423" s="25"/>
      <c r="H33423" s="25"/>
      <c r="I33423" s="25"/>
      <c r="J33423" s="25"/>
      <c r="K33423" s="25"/>
    </row>
    <row r="33424" customFormat="false" ht="15" hidden="false" customHeight="false" outlineLevel="0" collapsed="false">
      <c r="A33424" s="2" t="s">
        <v>275</v>
      </c>
      <c r="F33424" s="28" t="n">
        <f aca="false">'Historical Financials'!G25</f>
        <v>498.291</v>
      </c>
      <c r="G33424" s="17" t="n">
        <f aca="false">F33424*(1+G33420)</f>
        <v>483.34227</v>
      </c>
      <c r="H33424" s="17" t="n">
        <f aca="false">G33424*(1+H33420)</f>
        <v>493.0091154</v>
      </c>
      <c r="I33424" s="17" t="n">
        <f aca="false">H33424*(1+I33420)</f>
        <v>502.869297708</v>
      </c>
      <c r="J33424" s="17" t="n">
        <f aca="false">I33424*(1+J33420)</f>
        <v>512.92668366216</v>
      </c>
      <c r="K33424" s="17" t="n">
        <f aca="false">J33424*(1+K33420)</f>
        <v>523.185217335403</v>
      </c>
    </row>
    <row r="33425" customFormat="false" ht="15" hidden="false" customHeight="false" outlineLevel="0" collapsed="false">
      <c r="A33425" s="3" t="s">
        <v>276</v>
      </c>
      <c r="G33425" s="16" t="n">
        <f aca="false">G33424*(1-G33421)</f>
        <v>191.4418869</v>
      </c>
      <c r="H33425" s="16" t="n">
        <f aca="false">H33424*(1-H33421)</f>
        <v>193.7916972918</v>
      </c>
      <c r="I33425" s="16" t="n">
        <f aca="false">I33424*(1-I33421)</f>
        <v>196.158923344512</v>
      </c>
      <c r="J33425" s="16" t="n">
        <f aca="false">J33424*(1-J33421)</f>
        <v>199.056248444078</v>
      </c>
      <c r="K33425" s="16" t="n">
        <f aca="false">K33424*(1-K33421)</f>
        <v>201.991002978289</v>
      </c>
    </row>
    <row r="33426" customFormat="false" ht="15" hidden="false" customHeight="false" outlineLevel="0" collapsed="false">
      <c r="A33426" s="2" t="s">
        <v>277</v>
      </c>
      <c r="G33426" s="17" t="n">
        <f aca="false">G33424-G33425</f>
        <v>291.9003831</v>
      </c>
      <c r="H33426" s="17" t="n">
        <f aca="false">H33424-H33425</f>
        <v>299.2174181082</v>
      </c>
      <c r="I33426" s="17" t="n">
        <f aca="false">I33424-I33425</f>
        <v>306.710374363488</v>
      </c>
      <c r="J33426" s="17" t="n">
        <f aca="false">J33424-J33425</f>
        <v>313.870435218082</v>
      </c>
      <c r="K33426" s="17" t="n">
        <f aca="false">K33424-K33425</f>
        <v>321.194214357115</v>
      </c>
    </row>
    <row r="33427" customFormat="false" ht="15" hidden="false" customHeight="false" outlineLevel="0" collapsed="false">
      <c r="A33427" s="3" t="s">
        <v>305</v>
      </c>
      <c r="G33427" s="16" t="n">
        <f aca="false">G33426-G33428</f>
        <v>35.72898</v>
      </c>
      <c r="H33427" s="16" t="n">
        <f aca="false">H33426-H33428</f>
        <v>36.4435596</v>
      </c>
      <c r="I33427" s="16" t="n">
        <f aca="false">I33426-I33428</f>
        <v>37.172430792</v>
      </c>
      <c r="J33427" s="16" t="n">
        <f aca="false">J33426-J33428</f>
        <v>37.91587940784</v>
      </c>
      <c r="K33427" s="16" t="n">
        <f aca="false">K33426-K33428</f>
        <v>38.6741969959968</v>
      </c>
    </row>
    <row r="33428" customFormat="false" ht="15" hidden="false" customHeight="false" outlineLevel="0" collapsed="false">
      <c r="A33428" s="2" t="s">
        <v>306</v>
      </c>
      <c r="G33428" s="17" t="n">
        <f aca="false">G33424*G33422</f>
        <v>256.1714031</v>
      </c>
      <c r="H33428" s="17" t="n">
        <f aca="false">H33424*H33422</f>
        <v>262.7738585082</v>
      </c>
      <c r="I33428" s="17" t="n">
        <f aca="false">I33424*I33422</f>
        <v>269.537943571488</v>
      </c>
      <c r="J33428" s="17" t="n">
        <f aca="false">J33424*J33422</f>
        <v>275.954555810242</v>
      </c>
      <c r="K33428" s="17" t="n">
        <f aca="false">K33424*K33422</f>
        <v>282.520017361118</v>
      </c>
    </row>
    <row r="33429" customFormat="false" ht="15" hidden="false" customHeight="false" outlineLevel="0" collapsed="false">
      <c r="A33429" s="3" t="s">
        <v>307</v>
      </c>
      <c r="G33429" s="16" t="n">
        <f aca="false">G33424*'Historical Financials'!G30/'Historical Financials'!G25</f>
        <v>179.73421</v>
      </c>
      <c r="H33429" s="16" t="n">
        <f aca="false">H33424*'Historical Financials'!G30/'Historical Financials'!G25</f>
        <v>183.3288942</v>
      </c>
      <c r="I33429" s="16" t="n">
        <f aca="false">I33424*'Historical Financials'!G30/'Historical Financials'!G25</f>
        <v>186.995472084</v>
      </c>
      <c r="J33429" s="16" t="n">
        <f aca="false">J33424*'Historical Financials'!G30/'Historical Financials'!G25</f>
        <v>190.73538152568</v>
      </c>
      <c r="K33429" s="16" t="n">
        <f aca="false">K33424*'Historical Financials'!G30/'Historical Financials'!G25</f>
        <v>194.550089156194</v>
      </c>
    </row>
    <row r="33430" customFormat="false" ht="15" hidden="false" customHeight="false" outlineLevel="0" collapsed="false">
      <c r="A33430" s="3" t="s">
        <v>308</v>
      </c>
      <c r="G33430" s="16" t="n">
        <f aca="false">G33424*'Historical Financials'!G31/'Historical Financials'!G25</f>
        <v>0</v>
      </c>
      <c r="H33430" s="16" t="n">
        <f aca="false">H33424*'Historical Financials'!G31/'Historical Financials'!G25</f>
        <v>0</v>
      </c>
      <c r="I33430" s="16" t="n">
        <f aca="false">I33424*'Historical Financials'!G31/'Historical Financials'!G25</f>
        <v>0</v>
      </c>
      <c r="J33430" s="16" t="n">
        <f aca="false">J33424*'Historical Financials'!G31/'Historical Financials'!G25</f>
        <v>0</v>
      </c>
      <c r="K33430" s="16" t="n">
        <f aca="false">K33424*'Historical Financials'!G31/'Historical Financials'!G25</f>
        <v>0</v>
      </c>
    </row>
    <row r="33431" customFormat="false" ht="15" hidden="false" customHeight="false" outlineLevel="0" collapsed="false">
      <c r="A33431" s="2" t="s">
        <v>309</v>
      </c>
      <c r="G33431" s="17" t="n">
        <f aca="false">G33428-G33429-G33430</f>
        <v>76.4371931</v>
      </c>
      <c r="H33431" s="17" t="n">
        <f aca="false">H33428-H33429-H33430</f>
        <v>79.4449643082</v>
      </c>
      <c r="I33431" s="17" t="n">
        <f aca="false">I33428-I33429-I33430</f>
        <v>82.542471487488</v>
      </c>
      <c r="J33431" s="17" t="n">
        <f aca="false">J33428-J33429-J33430</f>
        <v>85.2191742845621</v>
      </c>
      <c r="K33431" s="17" t="n">
        <f aca="false">K33428-K33429-K33430</f>
        <v>87.9699282049242</v>
      </c>
    </row>
    <row r="33432" customFormat="false" ht="15" hidden="false" customHeight="false" outlineLevel="0" collapsed="false">
      <c r="A33432" s="3" t="s">
        <v>310</v>
      </c>
      <c r="G33432" s="16" t="n">
        <f aca="false">G33458+G33471+G33484+G33497+G33510+G33523+G33536+G33549+G33562+G33575</f>
        <v>180.2096854</v>
      </c>
      <c r="H33432" s="16" t="n">
        <f aca="false">H33458+H33471+H33484+H33497+H33510+H33523+H33536+H33549+H33562+H33575</f>
        <v>179.1317704</v>
      </c>
      <c r="I33432" s="16" t="n">
        <f aca="false">I33458+I33471+I33484+I33497+I33510+I33523+I33536+I33549+I33562+I33575</f>
        <v>191.388017509904</v>
      </c>
      <c r="J33432" s="16" t="n">
        <f aca="false">J33458+J33471+J33484+J33497+J33510+J33523+J33536+J33549+J33562+J33575</f>
        <v>191.569272884469</v>
      </c>
      <c r="K33432" s="16" t="n">
        <f aca="false">K33458+K33471+K33484+K33497+K33510+K33523+K33536+K33549+K33562+K33575</f>
        <v>210.404714699088</v>
      </c>
    </row>
    <row r="33433" customFormat="false" ht="15" hidden="false" customHeight="false" outlineLevel="0" collapsed="false">
      <c r="A33433" s="3" t="s">
        <v>311</v>
      </c>
      <c r="G33433" s="16" t="n">
        <f aca="false">G33459+G33472+G33485+G33498+G33511+G33524+G33537+G33550+G33563+G33576</f>
        <v>0</v>
      </c>
      <c r="H33433" s="16" t="n">
        <f aca="false">H33459+H33472+H33485+H33498+H33511+H33524+H33537+H33550+H33563+H33576</f>
        <v>0</v>
      </c>
      <c r="I33433" s="16" t="n">
        <f aca="false">I33459+I33472+I33485+I33498+I33511+I33524+I33537+I33550+I33563+I33576</f>
        <v>0</v>
      </c>
      <c r="J33433" s="16" t="n">
        <f aca="false">J33459+J33472+J33485+J33498+J33511+J33524+J33537+J33550+J33563+J33576</f>
        <v>0</v>
      </c>
      <c r="K33433" s="16" t="n">
        <f aca="false">K33459+K33472+K33485+K33498+K33511+K33524+K33537+K33550+K33563+K33576</f>
        <v>0</v>
      </c>
    </row>
    <row r="33434" customFormat="false" ht="15" hidden="false" customHeight="false" outlineLevel="0" collapsed="false">
      <c r="A33434" s="3" t="s">
        <v>283</v>
      </c>
      <c r="G33434" s="16" t="n">
        <f aca="false">G33432+G33433</f>
        <v>180.2096854</v>
      </c>
      <c r="H33434" s="16" t="n">
        <f aca="false">H33432+H33433</f>
        <v>179.1317704</v>
      </c>
      <c r="I33434" s="16" t="n">
        <f aca="false">I33432+I33433</f>
        <v>191.388017509904</v>
      </c>
      <c r="J33434" s="16" t="n">
        <f aca="false">J33432+J33433</f>
        <v>191.569272884469</v>
      </c>
      <c r="K33434" s="16" t="n">
        <f aca="false">K33432+K33433</f>
        <v>210.404714699088</v>
      </c>
    </row>
    <row r="33435" customFormat="false" ht="15" hidden="false" customHeight="false" outlineLevel="0" collapsed="false">
      <c r="A33435" s="2" t="s">
        <v>284</v>
      </c>
      <c r="G33435" s="17" t="n">
        <f aca="false">G33431-G33434</f>
        <v>-103.7724923</v>
      </c>
      <c r="H33435" s="17" t="n">
        <f aca="false">H33431-H33434</f>
        <v>-99.6868060918</v>
      </c>
      <c r="I33435" s="17" t="n">
        <f aca="false">I33431-I33434</f>
        <v>-108.845546022416</v>
      </c>
      <c r="J33435" s="17" t="n">
        <f aca="false">J33431-J33434</f>
        <v>-106.350098599906</v>
      </c>
      <c r="K33435" s="17" t="n">
        <f aca="false">K33431-K33434</f>
        <v>-122.434786494163</v>
      </c>
    </row>
    <row r="33436" customFormat="false" ht="15" hidden="false" customHeight="false" outlineLevel="0" collapsed="false">
      <c r="A33436" s="3" t="s">
        <v>312</v>
      </c>
      <c r="G33436" s="16" t="n">
        <f aca="false">MAX(0,G33435)*Assumptions!$C$9</f>
        <v>0</v>
      </c>
      <c r="H33436" s="16" t="n">
        <f aca="false">MAX(0,H33435)*Assumptions!$C$9</f>
        <v>0</v>
      </c>
      <c r="I33436" s="16" t="n">
        <f aca="false">MAX(0,I33435)*Assumptions!$C$9</f>
        <v>0</v>
      </c>
      <c r="J33436" s="16" t="n">
        <f aca="false">MAX(0,J33435)*Assumptions!$C$9</f>
        <v>0</v>
      </c>
      <c r="K33436" s="16" t="n">
        <f aca="false">MAX(0,K33435)*Assumptions!$C$9</f>
        <v>0</v>
      </c>
    </row>
    <row r="33437" customFormat="false" ht="15" hidden="false" customHeight="false" outlineLevel="0" collapsed="false">
      <c r="A33437" s="2" t="s">
        <v>313</v>
      </c>
      <c r="G33437" s="17" t="n">
        <f aca="false">G33435-G33436</f>
        <v>-103.7724923</v>
      </c>
      <c r="H33437" s="17" t="n">
        <f aca="false">H33435-H33436</f>
        <v>-99.6868060918</v>
      </c>
      <c r="I33437" s="17" t="n">
        <f aca="false">I33435-I33436</f>
        <v>-108.845546022416</v>
      </c>
      <c r="J33437" s="17" t="n">
        <f aca="false">J33435-J33436</f>
        <v>-106.350098599906</v>
      </c>
      <c r="K33437" s="17" t="n">
        <f aca="false">K33435-K33436</f>
        <v>-122.434786494163</v>
      </c>
    </row>
    <row r="33438" customFormat="false" ht="15" hidden="false" customHeight="false" outlineLevel="0" collapsed="false">
      <c r="A33438" s="24" t="s">
        <v>314</v>
      </c>
      <c r="B33438" s="25"/>
      <c r="C33438" s="25"/>
      <c r="D33438" s="25"/>
      <c r="E33438" s="25"/>
      <c r="F33438" s="25"/>
      <c r="G33438" s="25"/>
      <c r="H33438" s="25"/>
      <c r="I33438" s="25"/>
      <c r="J33438" s="25"/>
      <c r="K33438" s="25"/>
    </row>
    <row r="33439" customFormat="false" ht="15" hidden="false" customHeight="false" outlineLevel="0" collapsed="false">
      <c r="A33439" s="3" t="s">
        <v>184</v>
      </c>
      <c r="G33439" s="16" t="n">
        <f aca="false">G33424*CHOOSE($C$33411,Assumptions!$C$83,Assumptions!$C$102,Assumptions!$C$121)</f>
        <v>106.3352994</v>
      </c>
      <c r="H33439" s="16" t="n">
        <f aca="false">H33424*CHOOSE($C$33411,Assumptions!$C$83,Assumptions!$C$102,Assumptions!$C$121)</f>
        <v>108.462005388</v>
      </c>
      <c r="I33439" s="16" t="n">
        <f aca="false">I33424*CHOOSE($C$33411,Assumptions!$C$83,Assumptions!$C$102,Assumptions!$C$121)</f>
        <v>110.63124549576</v>
      </c>
      <c r="J33439" s="16" t="n">
        <f aca="false">J33424*CHOOSE($C$33411,Assumptions!$C$83,Assumptions!$C$102,Assumptions!$C$121)</f>
        <v>112.843870405675</v>
      </c>
      <c r="K33439" s="16" t="n">
        <f aca="false">K33424*CHOOSE($C$33411,Assumptions!$C$83,Assumptions!$C$102,Assumptions!$C$121)</f>
        <v>115.100747813789</v>
      </c>
    </row>
    <row r="33440" customFormat="false" ht="15" hidden="false" customHeight="false" outlineLevel="0" collapsed="false">
      <c r="A33440" s="3" t="s">
        <v>315</v>
      </c>
      <c r="G33440" s="16" t="n">
        <f aca="false">CHOOSE($C$33411,Assumptions!$C$84,Assumptions!$C$103,Assumptions!$C$122)*(G33424-F33424)+CHOOSE($C$33411,Assumptions!$C$85,Assumptions!$C$104,Assumptions!$C$123)*G33424</f>
        <v>53.1676497</v>
      </c>
      <c r="H33440" s="16" t="n">
        <f aca="false">CHOOSE($C$33411,Assumptions!$C$84,Assumptions!$C$103,Assumptions!$C$122)*(H33424-G33424)+CHOOSE($C$33411,Assumptions!$C$85,Assumptions!$C$104,Assumptions!$C$123)*H33424</f>
        <v>54.231002694</v>
      </c>
      <c r="I33440" s="16" t="n">
        <f aca="false">CHOOSE($C$33411,Assumptions!$C$84,Assumptions!$C$103,Assumptions!$C$122)*(I33424-H33424)+CHOOSE($C$33411,Assumptions!$C$85,Assumptions!$C$104,Assumptions!$C$123)*I33424</f>
        <v>55.31562274788</v>
      </c>
      <c r="J33440" s="16" t="n">
        <f aca="false">CHOOSE($C$33411,Assumptions!$C$84,Assumptions!$C$103,Assumptions!$C$122)*(J33424-I33424)+CHOOSE($C$33411,Assumptions!$C$85,Assumptions!$C$104,Assumptions!$C$123)*J33424</f>
        <v>56.4219352028376</v>
      </c>
      <c r="K33440" s="16" t="n">
        <f aca="false">CHOOSE($C$33411,Assumptions!$C$84,Assumptions!$C$103,Assumptions!$C$122)*(K33424-J33424)+CHOOSE($C$33411,Assumptions!$C$85,Assumptions!$C$104,Assumptions!$C$123)*K33424</f>
        <v>57.5503739068944</v>
      </c>
    </row>
    <row r="33441" customFormat="false" ht="15" hidden="false" customHeight="false" outlineLevel="0" collapsed="false">
      <c r="A33441" s="2" t="s">
        <v>316</v>
      </c>
      <c r="G33441" s="17" t="n">
        <f aca="false">G33437+G33429+G33430+G33433-G33439-G33440</f>
        <v>-83.5412314</v>
      </c>
      <c r="H33441" s="17" t="n">
        <f aca="false">H33437+H33429+H33430+H33433-H33439-H33440</f>
        <v>-79.0509199738</v>
      </c>
      <c r="I33441" s="17" t="n">
        <f aca="false">I33437+I33429+I33430+I33433-I33439-I33440</f>
        <v>-87.796942182056</v>
      </c>
      <c r="J33441" s="17" t="n">
        <f aca="false">J33437+J33429+J33430+J33433-J33439-J33440</f>
        <v>-84.8805226827392</v>
      </c>
      <c r="K33441" s="17" t="n">
        <f aca="false">K33437+K33429+K33430+K33433-K33439-K33440</f>
        <v>-100.535819058653</v>
      </c>
    </row>
    <row r="33443" customFormat="false" ht="15" hidden="false" customHeight="false" outlineLevel="0" collapsed="false">
      <c r="A33443" s="24" t="s">
        <v>318</v>
      </c>
      <c r="B33443" s="25"/>
      <c r="C33443" s="25"/>
      <c r="D33443" s="25"/>
      <c r="E33443" s="25"/>
      <c r="F33443" s="25"/>
      <c r="G33443" s="25"/>
      <c r="H33443" s="25"/>
      <c r="I33443" s="25"/>
      <c r="J33443" s="25"/>
      <c r="K33443" s="25"/>
    </row>
    <row r="33444" customFormat="false" ht="15" hidden="false" customHeight="false" outlineLevel="0" collapsed="false">
      <c r="A33444" s="3" t="s">
        <v>319</v>
      </c>
      <c r="G33444" s="30" t="n">
        <f aca="false">Assumptions!$G$53</f>
        <v>0.039</v>
      </c>
      <c r="H33444" s="30" t="n">
        <f aca="false">Assumptions!$H$53</f>
        <v>0.0375</v>
      </c>
      <c r="I33444" s="30" t="n">
        <f aca="false">Assumptions!$I$53</f>
        <v>0.035</v>
      </c>
      <c r="J33444" s="30" t="n">
        <f aca="false">Assumptions!$J$53</f>
        <v>0.035</v>
      </c>
      <c r="K33444" s="30" t="n">
        <f aca="false">Assumptions!$K$53</f>
        <v>0.035</v>
      </c>
    </row>
    <row r="33445" customFormat="false" ht="15" hidden="false" customHeight="false" outlineLevel="0" collapsed="false">
      <c r="A33445" s="3" t="s">
        <v>320</v>
      </c>
      <c r="C33445" s="31" t="n">
        <f aca="false">CHOOSE($C$33411,Assumptions!$C$86,Assumptions!$C$105,Assumptions!$C$124)+$C$33414</f>
        <v>0</v>
      </c>
    </row>
    <row r="33446" customFormat="false" ht="15" hidden="false" customHeight="false" outlineLevel="0" collapsed="false">
      <c r="A33446" s="3" t="s">
        <v>321</v>
      </c>
      <c r="C33446" s="31" t="n">
        <f aca="false">CHOOSE($C$33411,Assumptions!$C$87,Assumptions!$C$106,Assumptions!$C$125)</f>
        <v>0.08</v>
      </c>
    </row>
    <row r="33447" customFormat="false" ht="15" hidden="false" customHeight="false" outlineLevel="0" collapsed="false">
      <c r="A33447" s="3" t="s">
        <v>322</v>
      </c>
      <c r="C33447" s="32" t="n">
        <f aca="false">CHOOSE($C$33411,Assumptions!$C$88,Assumptions!$C$107,Assumptions!$C$126)</f>
        <v>11</v>
      </c>
    </row>
    <row r="33448" customFormat="false" ht="15" hidden="false" customHeight="false" outlineLevel="0" collapsed="false">
      <c r="A33448" s="3" t="s">
        <v>323</v>
      </c>
      <c r="C33448" s="32" t="n">
        <f aca="false">CHOOSE($C$33411,Assumptions!$C$89,Assumptions!$C$108,Assumptions!$C$127)</f>
        <v>1.2</v>
      </c>
    </row>
    <row r="33449" customFormat="false" ht="15" hidden="false" customHeight="false" outlineLevel="0" collapsed="false">
      <c r="A33449" s="3" t="s">
        <v>324</v>
      </c>
      <c r="G33449" s="16" t="n">
        <f aca="false">G33454+G33467+G33480+G33493+G33506+G33519+G33532+G33545+G33558+G33571</f>
        <v>2625.934</v>
      </c>
      <c r="H33449" s="16" t="n">
        <f aca="false">H33454+H33467+H33480+H33493+H33506+H33519+H33532+H33545+H33558+H33571</f>
        <v>2621.934</v>
      </c>
      <c r="I33449" s="16" t="n">
        <f aca="false">I33454+I33467+I33480+I33493+I33506+I33519+I33532+I33545+I33558+I33571</f>
        <v>2575.6561513738</v>
      </c>
      <c r="J33449" s="16" t="n">
        <f aca="false">J33454+J33467+J33480+J33493+J33506+J33519+J33532+J33545+J33558+J33571</f>
        <v>2638.45309355586</v>
      </c>
      <c r="K33449" s="16" t="n">
        <f aca="false">K33454+K33467+K33480+K33493+K33506+K33519+K33532+K33545+K33558+K33571</f>
        <v>2723.3336162386</v>
      </c>
    </row>
    <row r="33450" customFormat="false" ht="15" hidden="false" customHeight="false" outlineLevel="0" collapsed="false">
      <c r="A33450" s="3" t="s">
        <v>325</v>
      </c>
      <c r="G33450" s="16" t="n">
        <f aca="false">F33642</f>
        <v>37.87</v>
      </c>
      <c r="H33450" s="16" t="n">
        <f aca="false">G33642</f>
        <v>150.3287686</v>
      </c>
      <c r="I33450" s="16" t="n">
        <f aca="false">H33642</f>
        <v>25</v>
      </c>
      <c r="J33450" s="16" t="n">
        <f aca="false">I33642</f>
        <v>0</v>
      </c>
      <c r="K33450" s="16" t="n">
        <f aca="false">J33642</f>
        <v>0</v>
      </c>
    </row>
    <row r="33451" customFormat="false" ht="15" hidden="false" customHeight="false" outlineLevel="0" collapsed="false">
      <c r="A33451" s="3" t="s">
        <v>326</v>
      </c>
      <c r="G33451" s="16" t="n">
        <f aca="false">G33454*IF(G33455=1,$C$33446,IF(Assumptions!$I$57=1,MAX(G33444,Assumptions!$G$57)+Assumptions!$F$57+$C$33445,Assumptions!$E$57))+G33467*IF(G33468=1,$C$33446,IF(Assumptions!$I$58=1,MAX(G33444,Assumptions!$G$58)+Assumptions!$F$58+$C$33445,Assumptions!$E$58))+G33480*IF(G33481=1,$C$33446,IF(Assumptions!$I$59=1,MAX(G33444,Assumptions!$G$59)+Assumptions!$F$59+$C$33445,Assumptions!$E$59))+G33493*IF(G33494=1,$C$33446,IF(Assumptions!$I$60=1,MAX(G33444,Assumptions!$G$60)+Assumptions!$F$60+$C$33445,Assumptions!$E$60))+G33506*IF(G33507=1,$C$33446,IF(Assumptions!$I$61=1,MAX(G33444,Assumptions!$G$61)+Assumptions!$F$61+$C$33445,Assumptions!$E$61))+G33519*IF(G33520=1,$C$33446,IF(Assumptions!$I$62=1,MAX(G33444,Assumptions!$G$62)+Assumptions!$F$62+$C$33445,Assumptions!$E$62))+G33532*IF(G33533=1,$C$33446,IF(Assumptions!$I$63=1,MAX(G33444,Assumptions!$G$63)+Assumptions!$F$63+$C$33445,Assumptions!$E$63))+G33545*IF(G33546=1,$C$33446,IF(Assumptions!$I$64=1,MAX(G33444,Assumptions!$G$64)+Assumptions!$F$64+$C$33445,Assumptions!$E$64))+G33558*IF(G33559=1,$C$33446,IF(Assumptions!$I$65=1,MAX(G33444,Assumptions!$G$65)+Assumptions!$F$65+$C$33445,Assumptions!$E$65))+G33571*IF(G33572=1,$C$33446,IF(Assumptions!$I$66=1,MAX(G33444,Assumptions!$G$66)+Assumptions!$F$66+$C$33445,Assumptions!$E$66))</f>
        <v>180.2096854</v>
      </c>
      <c r="H33451" s="16" t="n">
        <f aca="false">H33454*IF(OR(H33455=1,G33764=1),$C$33446,IF(Assumptions!$I$57=1,MAX(H33444,Assumptions!$G$57)+Assumptions!$F$57+$C$33445,Assumptions!$E$57))+H33467*IF(OR(H33468=1,G33765=1),$C$33446,IF(Assumptions!$I$58=1,MAX(H33444,Assumptions!$G$58)+Assumptions!$F$58+$C$33445,Assumptions!$E$58))+H33480*IF(OR(H33481=1,G33766=1),$C$33446,IF(Assumptions!$I$59=1,MAX(H33444,Assumptions!$G$59)+Assumptions!$F$59+$C$33445,Assumptions!$E$59))+H33493*IF(OR(H33494=1,G33767=1),$C$33446,IF(Assumptions!$I$60=1,MAX(H33444,Assumptions!$G$60)+Assumptions!$F$60+$C$33445,Assumptions!$E$60))+H33506*IF(OR(H33507=1,G33768=1),$C$33446,IF(Assumptions!$I$61=1,MAX(H33444,Assumptions!$G$61)+Assumptions!$F$61+$C$33445,Assumptions!$E$61))+H33519*IF(OR(H33520=1,G33769=1),$C$33446,IF(Assumptions!$I$62=1,MAX(H33444,Assumptions!$G$62)+Assumptions!$F$62+$C$33445,Assumptions!$E$62))+H33532*IF(OR(H33533=1,G33770=1),$C$33446,IF(Assumptions!$I$63=1,MAX(H33444,Assumptions!$G$63)+Assumptions!$F$63+$C$33445,Assumptions!$E$63))+H33545*IF(OR(H33546=1,G33771=1),$C$33446,IF(Assumptions!$I$64=1,MAX(H33444,Assumptions!$G$64)+Assumptions!$F$64+$C$33445,Assumptions!$E$64))+H33558*IF(OR(H33559=1,G33772=1),$C$33446,IF(Assumptions!$I$65=1,MAX(H33444,Assumptions!$G$65)+Assumptions!$F$65+$C$33445,Assumptions!$E$65))+H33571*IF(OR(H33572=1,G33773=1),$C$33446,IF(Assumptions!$I$66=1,MAX(H33444,Assumptions!$G$66)+Assumptions!$F$66+$C$33445,Assumptions!$E$66))</f>
        <v>196.3067704</v>
      </c>
      <c r="I33451" s="16" t="n">
        <f aca="false">I33454*IF(OR(I33455=1,H33764=1),$C$33446,IF(Assumptions!$I$57=1,MAX(I33444,Assumptions!$G$57)+Assumptions!$F$57+$C$33445,Assumptions!$E$57))+I33467*IF(OR(I33468=1,H33765=1),$C$33446,IF(Assumptions!$I$58=1,MAX(I33444,Assumptions!$G$58)+Assumptions!$F$58+$C$33445,Assumptions!$E$58))+I33480*IF(OR(I33481=1,H33766=1),$C$33446,IF(Assumptions!$I$59=1,MAX(I33444,Assumptions!$G$59)+Assumptions!$F$59+$C$33445,Assumptions!$E$59))+I33493*IF(OR(I33494=1,H33767=1),$C$33446,IF(Assumptions!$I$60=1,MAX(I33444,Assumptions!$G$60)+Assumptions!$F$60+$C$33445,Assumptions!$E$60))+I33506*IF(OR(I33507=1,H33768=1),$C$33446,IF(Assumptions!$I$61=1,MAX(I33444,Assumptions!$G$61)+Assumptions!$F$61+$C$33445,Assumptions!$E$61))+I33519*IF(OR(I33520=1,H33769=1),$C$33446,IF(Assumptions!$I$62=1,MAX(I33444,Assumptions!$G$62)+Assumptions!$F$62+$C$33445,Assumptions!$E$62))+I33532*IF(OR(I33533=1,H33770=1),$C$33446,IF(Assumptions!$I$63=1,MAX(I33444,Assumptions!$G$63)+Assumptions!$F$63+$C$33445,Assumptions!$E$63))+I33545*IF(OR(I33546=1,H33771=1),$C$33446,IF(Assumptions!$I$64=1,MAX(I33444,Assumptions!$G$64)+Assumptions!$F$64+$C$33445,Assumptions!$E$64))+I33558*IF(OR(I33559=1,H33772=1),$C$33446,IF(Assumptions!$I$65=1,MAX(I33444,Assumptions!$G$65)+Assumptions!$F$65+$C$33445,Assumptions!$E$65))+I33571*IF(OR(I33572=1,H33773=1),$C$33446,IF(Assumptions!$I$66=1,MAX(I33444,Assumptions!$G$66)+Assumptions!$F$66+$C$33445,Assumptions!$E$66))</f>
        <v>186.575517509904</v>
      </c>
      <c r="J33451" s="16" t="n">
        <f aca="false">J33454*IF(OR(J33455=1,I33764=1),$C$33446,IF(Assumptions!$I$57=1,MAX(J33444,Assumptions!$G$57)+Assumptions!$F$57+$C$33445,Assumptions!$E$57))+J33467*IF(OR(J33468=1,I33765=1),$C$33446,IF(Assumptions!$I$58=1,MAX(J33444,Assumptions!$G$58)+Assumptions!$F$58+$C$33445,Assumptions!$E$58))+J33480*IF(OR(J33481=1,I33766=1),$C$33446,IF(Assumptions!$I$59=1,MAX(J33444,Assumptions!$G$59)+Assumptions!$F$59+$C$33445,Assumptions!$E$59))+J33493*IF(OR(J33494=1,I33767=1),$C$33446,IF(Assumptions!$I$60=1,MAX(J33444,Assumptions!$G$60)+Assumptions!$F$60+$C$33445,Assumptions!$E$60))+J33506*IF(OR(J33507=1,I33768=1),$C$33446,IF(Assumptions!$I$61=1,MAX(J33444,Assumptions!$G$61)+Assumptions!$F$61+$C$33445,Assumptions!$E$61))+J33519*IF(OR(J33520=1,I33769=1),$C$33446,IF(Assumptions!$I$62=1,MAX(J33444,Assumptions!$G$62)+Assumptions!$F$62+$C$33445,Assumptions!$E$62))+J33532*IF(OR(J33533=1,I33770=1),$C$33446,IF(Assumptions!$I$63=1,MAX(J33444,Assumptions!$G$63)+Assumptions!$F$63+$C$33445,Assumptions!$E$63))+J33545*IF(OR(J33546=1,I33771=1),$C$33446,IF(Assumptions!$I$64=1,MAX(J33444,Assumptions!$G$64)+Assumptions!$F$64+$C$33445,Assumptions!$E$64))+J33558*IF(OR(J33559=1,I33772=1),$C$33446,IF(Assumptions!$I$65=1,MAX(J33444,Assumptions!$G$65)+Assumptions!$F$65+$C$33445,Assumptions!$E$65))+J33571*IF(OR(J33572=1,I33773=1),$C$33446,IF(Assumptions!$I$66=1,MAX(J33444,Assumptions!$G$66)+Assumptions!$F$66+$C$33445,Assumptions!$E$66))</f>
        <v>203.644272884468</v>
      </c>
      <c r="K33451" s="16" t="n">
        <f aca="false">K33454*IF(OR(K33455=1,J33764=1),$C$33446,IF(Assumptions!$I$57=1,MAX(K33444,Assumptions!$G$57)+Assumptions!$F$57+$C$33445,Assumptions!$E$57))+K33467*IF(OR(K33468=1,J33765=1),$C$33446,IF(Assumptions!$I$58=1,MAX(K33444,Assumptions!$G$58)+Assumptions!$F$58+$C$33445,Assumptions!$E$58))+K33480*IF(OR(K33481=1,J33766=1),$C$33446,IF(Assumptions!$I$59=1,MAX(K33444,Assumptions!$G$59)+Assumptions!$F$59+$C$33445,Assumptions!$E$59))+K33493*IF(OR(K33494=1,J33767=1),$C$33446,IF(Assumptions!$I$60=1,MAX(K33444,Assumptions!$G$60)+Assumptions!$F$60+$C$33445,Assumptions!$E$60))+K33506*IF(OR(K33507=1,J33768=1),$C$33446,IF(Assumptions!$I$61=1,MAX(K33444,Assumptions!$G$61)+Assumptions!$F$61+$C$33445,Assumptions!$E$61))+K33519*IF(OR(K33520=1,J33769=1),$C$33446,IF(Assumptions!$I$62=1,MAX(K33444,Assumptions!$G$62)+Assumptions!$F$62+$C$33445,Assumptions!$E$62))+K33532*IF(OR(K33533=1,J33770=1),$C$33446,IF(Assumptions!$I$63=1,MAX(K33444,Assumptions!$G$63)+Assumptions!$F$63+$C$33445,Assumptions!$E$63))+K33545*IF(OR(K33546=1,J33771=1),$C$33446,IF(Assumptions!$I$64=1,MAX(K33444,Assumptions!$G$64)+Assumptions!$F$64+$C$33445,Assumptions!$E$64))+K33558*IF(OR(K33559=1,J33772=1),$C$33446,IF(Assumptions!$I$65=1,MAX(K33444,Assumptions!$G$65)+Assumptions!$F$65+$C$33445,Assumptions!$E$65))+K33571*IF(OR(K33572=1,J33773=1),$C$33446,IF(Assumptions!$I$66=1,MAX(K33444,Assumptions!$G$66)+Assumptions!$F$66+$C$33445,Assumptions!$E$66))</f>
        <v>213.149714699088</v>
      </c>
    </row>
    <row r="33452" customFormat="false" ht="15" hidden="false" customHeight="false" outlineLevel="0" collapsed="false">
      <c r="A33452" s="3" t="s">
        <v>327</v>
      </c>
      <c r="G33452" s="21" t="n">
        <f aca="false">IF(G33428&lt;=0,0,IF(AND((G33449-G33450)/G33428&lt;=$C$33447,G33428/G33451&gt;=$C$33448),1,0))</f>
        <v>1</v>
      </c>
      <c r="H33452" s="21" t="n">
        <f aca="false">IF(H33428&lt;=0,0,IF(AND((H33449-H33450)/H33428&lt;=$C$33447,H33428/H33451&gt;=$C$33448),1,0))</f>
        <v>1</v>
      </c>
      <c r="I33452" s="21" t="n">
        <f aca="false">IF(I33428&lt;=0,0,IF(AND((I33449-I33450)/I33428&lt;=$C$33447,I33428/I33451&gt;=$C$33448),1,0))</f>
        <v>1</v>
      </c>
      <c r="J33452" s="21" t="n">
        <f aca="false">IF(J33428&lt;=0,0,IF(AND((J33449-J33450)/J33428&lt;=$C$33447,J33428/J33451&gt;=$C$33448),1,0))</f>
        <v>1</v>
      </c>
      <c r="K33452" s="21" t="n">
        <f aca="false">IF(K33428&lt;=0,0,IF(AND((K33449-K33450)/K33428&lt;=$C$33447,K33428/K33451&gt;=$C$33448),1,0))</f>
        <v>1</v>
      </c>
    </row>
    <row r="33453" customFormat="false" ht="15" hidden="false" customHeight="false" outlineLevel="0" collapsed="false">
      <c r="A33453" s="24" t="s">
        <v>328</v>
      </c>
      <c r="B33453" s="25"/>
      <c r="C33453" s="25"/>
      <c r="D33453" s="25"/>
      <c r="E33453" s="25"/>
      <c r="F33453" s="25"/>
      <c r="G33453" s="25"/>
      <c r="H33453" s="25"/>
      <c r="I33453" s="25"/>
      <c r="J33453" s="25"/>
      <c r="K33453" s="25"/>
    </row>
    <row r="33454" customFormat="false" ht="15" hidden="false" customHeight="false" outlineLevel="0" collapsed="false">
      <c r="A33454" s="3" t="s">
        <v>329</v>
      </c>
      <c r="G33454" s="16" t="n">
        <f aca="false">F33465</f>
        <v>400</v>
      </c>
      <c r="H33454" s="16" t="n">
        <f aca="false">G33465</f>
        <v>396</v>
      </c>
      <c r="I33454" s="16" t="n">
        <f aca="false">H33465</f>
        <v>392</v>
      </c>
      <c r="J33454" s="16" t="n">
        <f aca="false">I33465</f>
        <v>388</v>
      </c>
      <c r="K33454" s="16" t="n">
        <f aca="false">J33465</f>
        <v>384</v>
      </c>
    </row>
    <row r="33455" customFormat="false" ht="15" hidden="false" customHeight="false" outlineLevel="0" collapsed="false">
      <c r="A33455" s="3" t="s">
        <v>330</v>
      </c>
      <c r="G33455" s="21" t="n">
        <f aca="false">IF(G33418=Assumptions!$K$57,1,0)</f>
        <v>0</v>
      </c>
      <c r="H33455" s="21" t="n">
        <f aca="false">IF(H33418=Assumptions!$K$57,1,0)</f>
        <v>0</v>
      </c>
      <c r="I33455" s="21" t="n">
        <f aca="false">IF(I33418=Assumptions!$K$57,1,0)</f>
        <v>0</v>
      </c>
      <c r="J33455" s="21" t="n">
        <f aca="false">IF(J33418=Assumptions!$K$57,1,0)</f>
        <v>0</v>
      </c>
      <c r="K33455" s="21" t="n">
        <f aca="false">IF(K33418=Assumptions!$K$57,1,0)</f>
        <v>1</v>
      </c>
    </row>
    <row r="33457" customFormat="false" ht="15" hidden="false" customHeight="false" outlineLevel="0" collapsed="false">
      <c r="A33457" s="3" t="s">
        <v>331</v>
      </c>
      <c r="G33457" s="31" t="n">
        <f aca="false">IF(Assumptions!$I$57=1,MAX(G33444,Assumptions!$G$57)+Assumptions!$F$57+$C$33445,Assumptions!$E$57)</f>
        <v>0.0915</v>
      </c>
      <c r="H33457" s="31" t="n">
        <f aca="false">IF(G33764=1,$C$33446,IF(Assumptions!$I$57=1,MAX(H33444,Assumptions!$G$57)+Assumptions!$F$57+$C$33445,Assumptions!$E$57))</f>
        <v>0.09</v>
      </c>
      <c r="I33457" s="31" t="n">
        <f aca="false">IF(H33764=1,$C$33446,IF(Assumptions!$I$57=1,MAX(I33444,Assumptions!$G$57)+Assumptions!$F$57+$C$33445,Assumptions!$E$57))</f>
        <v>0.0875</v>
      </c>
      <c r="J33457" s="31" t="n">
        <f aca="false">IF(I33764=1,$C$33446,IF(Assumptions!$I$57=1,MAX(J33444,Assumptions!$G$57)+Assumptions!$F$57+$C$33445,Assumptions!$E$57))</f>
        <v>0.0875</v>
      </c>
      <c r="K33457" s="31" t="n">
        <f aca="false">IF(J33764=1,$C$33446,IF(Assumptions!$I$57=1,MAX(K33444,Assumptions!$G$57)+Assumptions!$F$57+$C$33445,Assumptions!$E$57))</f>
        <v>0.0875</v>
      </c>
    </row>
    <row r="33458" customFormat="false" ht="15" hidden="false" customHeight="false" outlineLevel="0" collapsed="false">
      <c r="A33458" s="3" t="s">
        <v>332</v>
      </c>
      <c r="G33458" s="16" t="n">
        <f aca="false">G33454*G33457</f>
        <v>36.6</v>
      </c>
      <c r="H33458" s="16" t="n">
        <f aca="false">H33454*H33457</f>
        <v>35.64</v>
      </c>
      <c r="I33458" s="16" t="n">
        <f aca="false">I33454*I33457</f>
        <v>34.3</v>
      </c>
      <c r="J33458" s="16" t="n">
        <f aca="false">J33454*J33457</f>
        <v>33.95</v>
      </c>
      <c r="K33458" s="16" t="n">
        <f aca="false">K33454*K33457</f>
        <v>33.6</v>
      </c>
    </row>
    <row r="33459" customFormat="false" ht="15" hidden="false" customHeight="false" outlineLevel="0" collapsed="false">
      <c r="A33459" s="3" t="s">
        <v>333</v>
      </c>
      <c r="G33459" s="16" t="n">
        <f aca="false">G33454*Assumptions!$H$57</f>
        <v>0</v>
      </c>
      <c r="H33459" s="16" t="n">
        <f aca="false">H33454*Assumptions!$H$57</f>
        <v>0</v>
      </c>
      <c r="I33459" s="16" t="n">
        <f aca="false">I33454*Assumptions!$H$57</f>
        <v>0</v>
      </c>
      <c r="J33459" s="16" t="n">
        <f aca="false">J33454*Assumptions!$H$57</f>
        <v>0</v>
      </c>
      <c r="K33459" s="16" t="n">
        <f aca="false">K33454*Assumptions!$H$57</f>
        <v>0</v>
      </c>
    </row>
    <row r="33460" customFormat="false" ht="15" hidden="false" customHeight="false" outlineLevel="0" collapsed="false">
      <c r="A33460" s="3" t="s">
        <v>334</v>
      </c>
      <c r="G33460" s="16" t="n">
        <f aca="false">MIN(G33454,Assumptions!$L$57*Assumptions!$C$57)</f>
        <v>4</v>
      </c>
      <c r="H33460" s="16" t="n">
        <f aca="false">MIN(H33454,Assumptions!$L$57*Assumptions!$C$57)</f>
        <v>4</v>
      </c>
      <c r="I33460" s="16" t="n">
        <f aca="false">MIN(I33454,Assumptions!$L$57*Assumptions!$C$57)</f>
        <v>4</v>
      </c>
      <c r="J33460" s="16" t="n">
        <f aca="false">MIN(J33454,Assumptions!$L$57*Assumptions!$C$57)</f>
        <v>4</v>
      </c>
      <c r="K33460" s="16" t="n">
        <f aca="false">MIN(K33454,Assumptions!$L$57*Assumptions!$C$57)</f>
        <v>4</v>
      </c>
    </row>
    <row r="33461" customFormat="false" ht="15" hidden="false" customHeight="false" outlineLevel="0" collapsed="false">
      <c r="A33461" s="3" t="s">
        <v>335</v>
      </c>
      <c r="G33461" s="16" t="n">
        <f aca="false">IF(AND(Assumptions!$P$57=1,G33418&lt;Assumptions!$K$57),MIN(MAX(0,-G33634),MAX(0,Assumptions!$D$57-G33454)),0)</f>
        <v>0</v>
      </c>
      <c r="H33461" s="16" t="n">
        <f aca="false">IF(AND(Assumptions!$P$57=1,OR(H33418&lt;Assumptions!$K$57,G33764=1)),MIN(MAX(0,-H33634),MAX(0,Assumptions!$D$57-H33454)),0)</f>
        <v>0</v>
      </c>
      <c r="I33461" s="16" t="n">
        <f aca="false">IF(AND(Assumptions!$P$57=1,OR(I33418&lt;Assumptions!$K$57,H33764=1)),MIN(MAX(0,-I33634),MAX(0,Assumptions!$D$57-I33454)),0)</f>
        <v>0</v>
      </c>
      <c r="J33461" s="16" t="n">
        <f aca="false">IF(AND(Assumptions!$P$57=1,OR(J33418&lt;Assumptions!$K$57,I33764=1)),MIN(MAX(0,-J33634),MAX(0,Assumptions!$D$57-J33454)),0)</f>
        <v>0</v>
      </c>
      <c r="K33461" s="16" t="n">
        <f aca="false">IF(AND(Assumptions!$P$57=1,OR(K33418&lt;Assumptions!$K$57,J33764=1)),MIN(MAX(0,-K33634),MAX(0,Assumptions!$D$57-K33454)),0)</f>
        <v>0</v>
      </c>
    </row>
    <row r="33462" customFormat="false" ht="15" hidden="false" customHeight="false" outlineLevel="0" collapsed="false">
      <c r="A33462" s="3" t="s">
        <v>336</v>
      </c>
      <c r="G33462" s="16" t="n">
        <f aca="false">G33455*MIN(G33454-G33460+G33459,MAX(0,G33636-Assumptions!$C$12*G33452))</f>
        <v>0</v>
      </c>
      <c r="H33462" s="16" t="n">
        <f aca="false">H33455*MIN(H33454-H33460+H33459,MAX(0,H33636-Assumptions!$C$12*H33452))</f>
        <v>0</v>
      </c>
      <c r="I33462" s="16" t="n">
        <f aca="false">I33455*MIN(I33454-I33460+I33459,MAX(0,I33636-Assumptions!$C$12*I33452))</f>
        <v>0</v>
      </c>
      <c r="J33462" s="16" t="n">
        <f aca="false">J33455*MIN(J33454-J33460+J33459,MAX(0,J33636-Assumptions!$C$12*J33452))</f>
        <v>0</v>
      </c>
      <c r="K33462" s="16" t="n">
        <f aca="false">K33455*MIN(K33454-K33460+K33459,MAX(0,K33636-Assumptions!$C$12*K33452))</f>
        <v>0</v>
      </c>
    </row>
    <row r="33463" customFormat="false" ht="15" hidden="false" customHeight="false" outlineLevel="0" collapsed="false">
      <c r="A33463" s="3" t="s">
        <v>337</v>
      </c>
      <c r="G33463" s="16" t="n">
        <f aca="false">Assumptions!$N$57*MIN(G33454+G33461+G33459-G33460-G33462,MAX(0,G33640))</f>
        <v>0</v>
      </c>
      <c r="H33463" s="16" t="n">
        <f aca="false">Assumptions!$N$57*MIN(H33454+H33461+H33459-H33460-H33462,MAX(0,H33640))</f>
        <v>0</v>
      </c>
      <c r="I33463" s="16" t="n">
        <f aca="false">Assumptions!$N$57*MIN(I33454+I33461+I33459-I33460-I33462,MAX(0,I33640))</f>
        <v>0</v>
      </c>
      <c r="J33463" s="16" t="n">
        <f aca="false">Assumptions!$N$57*MIN(J33454+J33461+J33459-J33460-J33462,MAX(0,J33640))</f>
        <v>0</v>
      </c>
      <c r="K33463" s="16" t="n">
        <f aca="false">Assumptions!$N$57*MIN(K33454+K33461+K33459-K33460-K33462,MAX(0,K33640))</f>
        <v>0</v>
      </c>
    </row>
    <row r="33464" customFormat="false" ht="15" hidden="false" customHeight="false" outlineLevel="0" collapsed="false">
      <c r="A33464" s="3" t="s">
        <v>338</v>
      </c>
      <c r="G33464" s="16" t="n">
        <f aca="false">G33455*(1-G33452)*(G33454-G33460+G33459-G33462)</f>
        <v>0</v>
      </c>
      <c r="H33464" s="16" t="n">
        <f aca="false">H33455*(1-H33452)*(H33454-H33460+H33459-H33462)</f>
        <v>0</v>
      </c>
      <c r="I33464" s="16" t="n">
        <f aca="false">I33455*(1-I33452)*(I33454-I33460+I33459-I33462)</f>
        <v>0</v>
      </c>
      <c r="J33464" s="16" t="n">
        <f aca="false">J33455*(1-J33452)*(J33454-J33460+J33459-J33462)</f>
        <v>0</v>
      </c>
      <c r="K33464" s="16" t="n">
        <f aca="false">K33455*(1-K33452)*(K33454-K33460+K33459-K33462)</f>
        <v>0</v>
      </c>
    </row>
    <row r="33465" customFormat="false" ht="15" hidden="false" customHeight="false" outlineLevel="0" collapsed="false">
      <c r="A33465" s="2" t="s">
        <v>339</v>
      </c>
      <c r="F33465" s="28" t="n">
        <f aca="false">Assumptions!$C$57</f>
        <v>400</v>
      </c>
      <c r="G33465" s="17" t="n">
        <f aca="false">G33454+G33461+G33459-G33460-G33462-G33463</f>
        <v>396</v>
      </c>
      <c r="H33465" s="17" t="n">
        <f aca="false">H33454+H33461+H33459-H33460-H33462-H33463</f>
        <v>392</v>
      </c>
      <c r="I33465" s="17" t="n">
        <f aca="false">I33454+I33461+I33459-I33460-I33462-I33463</f>
        <v>388</v>
      </c>
      <c r="J33465" s="17" t="n">
        <f aca="false">J33454+J33461+J33459-J33460-J33462-J33463</f>
        <v>384</v>
      </c>
      <c r="K33465" s="17" t="n">
        <f aca="false">K33454+K33461+K33459-K33460-K33462-K33463</f>
        <v>380</v>
      </c>
    </row>
    <row r="33466" customFormat="false" ht="15" hidden="false" customHeight="false" outlineLevel="0" collapsed="false">
      <c r="A33466" s="24" t="s">
        <v>340</v>
      </c>
      <c r="B33466" s="25"/>
      <c r="C33466" s="25"/>
      <c r="D33466" s="25"/>
      <c r="E33466" s="25"/>
      <c r="F33466" s="25"/>
      <c r="G33466" s="25"/>
      <c r="H33466" s="25"/>
      <c r="I33466" s="25"/>
      <c r="J33466" s="25"/>
      <c r="K33466" s="25"/>
    </row>
    <row r="33467" customFormat="false" ht="15" hidden="false" customHeight="false" outlineLevel="0" collapsed="false">
      <c r="A33467" s="3" t="s">
        <v>329</v>
      </c>
      <c r="G33467" s="16" t="n">
        <f aca="false">F33478</f>
        <v>90</v>
      </c>
      <c r="H33467" s="16" t="n">
        <f aca="false">G33478</f>
        <v>90</v>
      </c>
      <c r="I33467" s="16" t="n">
        <f aca="false">H33478</f>
        <v>90</v>
      </c>
      <c r="J33467" s="16" t="n">
        <f aca="false">I33478</f>
        <v>90</v>
      </c>
      <c r="K33467" s="16" t="n">
        <f aca="false">J33478</f>
        <v>90</v>
      </c>
    </row>
    <row r="33468" customFormat="false" ht="15" hidden="false" customHeight="false" outlineLevel="0" collapsed="false">
      <c r="A33468" s="3" t="s">
        <v>330</v>
      </c>
      <c r="G33468" s="21" t="n">
        <f aca="false">IF(G33418=Assumptions!$K$58,1,0)</f>
        <v>0</v>
      </c>
      <c r="H33468" s="21" t="n">
        <f aca="false">IF(H33418=Assumptions!$K$58,1,0)</f>
        <v>0</v>
      </c>
      <c r="I33468" s="21" t="n">
        <f aca="false">IF(I33418=Assumptions!$K$58,1,0)</f>
        <v>0</v>
      </c>
      <c r="J33468" s="21" t="n">
        <f aca="false">IF(J33418=Assumptions!$K$58,1,0)</f>
        <v>0</v>
      </c>
      <c r="K33468" s="21" t="n">
        <f aca="false">IF(K33418=Assumptions!$K$58,1,0)</f>
        <v>0</v>
      </c>
    </row>
    <row r="33470" customFormat="false" ht="15" hidden="false" customHeight="false" outlineLevel="0" collapsed="false">
      <c r="A33470" s="3" t="s">
        <v>331</v>
      </c>
      <c r="G33470" s="31" t="n">
        <f aca="false">IF(Assumptions!$I$58=1,MAX(G33444,Assumptions!$G$58)+Assumptions!$F$58+$C$33445,Assumptions!$E$58)</f>
        <v>0.0581</v>
      </c>
      <c r="H33470" s="31" t="n">
        <f aca="false">IF(G33765=1,$C$33446,IF(Assumptions!$I$58=1,MAX(H33444,Assumptions!$G$58)+Assumptions!$F$58+$C$33445,Assumptions!$E$58))</f>
        <v>0.0581</v>
      </c>
      <c r="I33470" s="31" t="n">
        <f aca="false">IF(H33765=1,$C$33446,IF(Assumptions!$I$58=1,MAX(I33444,Assumptions!$G$58)+Assumptions!$F$58+$C$33445,Assumptions!$E$58))</f>
        <v>0.0581</v>
      </c>
      <c r="J33470" s="31" t="n">
        <f aca="false">IF(I33765=1,$C$33446,IF(Assumptions!$I$58=1,MAX(J33444,Assumptions!$G$58)+Assumptions!$F$58+$C$33445,Assumptions!$E$58))</f>
        <v>0.0581</v>
      </c>
      <c r="K33470" s="31" t="n">
        <f aca="false">IF(J33765=1,$C$33446,IF(Assumptions!$I$58=1,MAX(K33444,Assumptions!$G$58)+Assumptions!$F$58+$C$33445,Assumptions!$E$58))</f>
        <v>0.0581</v>
      </c>
    </row>
    <row r="33471" customFormat="false" ht="15" hidden="false" customHeight="false" outlineLevel="0" collapsed="false">
      <c r="A33471" s="3" t="s">
        <v>332</v>
      </c>
      <c r="G33471" s="16" t="n">
        <f aca="false">G33467*G33470</f>
        <v>5.229</v>
      </c>
      <c r="H33471" s="16" t="n">
        <f aca="false">H33467*H33470</f>
        <v>5.229</v>
      </c>
      <c r="I33471" s="16" t="n">
        <f aca="false">I33467*I33470</f>
        <v>5.229</v>
      </c>
      <c r="J33471" s="16" t="n">
        <f aca="false">J33467*J33470</f>
        <v>5.229</v>
      </c>
      <c r="K33471" s="16" t="n">
        <f aca="false">K33467*K33470</f>
        <v>5.229</v>
      </c>
    </row>
    <row r="33472" customFormat="false" ht="15" hidden="false" customHeight="false" outlineLevel="0" collapsed="false">
      <c r="A33472" s="3" t="s">
        <v>333</v>
      </c>
      <c r="G33472" s="16" t="n">
        <f aca="false">G33467*Assumptions!$H$58</f>
        <v>0</v>
      </c>
      <c r="H33472" s="16" t="n">
        <f aca="false">H33467*Assumptions!$H$58</f>
        <v>0</v>
      </c>
      <c r="I33472" s="16" t="n">
        <f aca="false">I33467*Assumptions!$H$58</f>
        <v>0</v>
      </c>
      <c r="J33472" s="16" t="n">
        <f aca="false">J33467*Assumptions!$H$58</f>
        <v>0</v>
      </c>
      <c r="K33472" s="16" t="n">
        <f aca="false">K33467*Assumptions!$H$58</f>
        <v>0</v>
      </c>
    </row>
    <row r="33473" customFormat="false" ht="15" hidden="false" customHeight="false" outlineLevel="0" collapsed="false">
      <c r="A33473" s="3" t="s">
        <v>334</v>
      </c>
      <c r="G33473" s="16" t="n">
        <f aca="false">MIN(G33467,Assumptions!$L$58*Assumptions!$C$58)</f>
        <v>0</v>
      </c>
      <c r="H33473" s="16" t="n">
        <f aca="false">MIN(H33467,Assumptions!$L$58*Assumptions!$C$58)</f>
        <v>0</v>
      </c>
      <c r="I33473" s="16" t="n">
        <f aca="false">MIN(I33467,Assumptions!$L$58*Assumptions!$C$58)</f>
        <v>0</v>
      </c>
      <c r="J33473" s="16" t="n">
        <f aca="false">MIN(J33467,Assumptions!$L$58*Assumptions!$C$58)</f>
        <v>0</v>
      </c>
      <c r="K33473" s="16" t="n">
        <f aca="false">MIN(K33467,Assumptions!$L$58*Assumptions!$C$58)</f>
        <v>0</v>
      </c>
    </row>
    <row r="33474" customFormat="false" ht="15" hidden="false" customHeight="false" outlineLevel="0" collapsed="false">
      <c r="A33474" s="3" t="s">
        <v>335</v>
      </c>
      <c r="G33474" s="16" t="n">
        <f aca="false">IF(AND(Assumptions!$P$58=1,G33418&lt;Assumptions!$K$58),MIN(MAX(0,-G33634),MAX(0,Assumptions!$D$58-G33467)),0)</f>
        <v>0</v>
      </c>
      <c r="H33474" s="16" t="n">
        <f aca="false">IF(AND(Assumptions!$P$58=1,OR(H33418&lt;Assumptions!$K$58,G33765=1)),MIN(MAX(0,-H33634),MAX(0,Assumptions!$D$58-H33467)),0)</f>
        <v>0</v>
      </c>
      <c r="I33474" s="16" t="n">
        <f aca="false">IF(AND(Assumptions!$P$58=1,OR(I33418&lt;Assumptions!$K$58,H33765=1)),MIN(MAX(0,-I33634),MAX(0,Assumptions!$D$58-I33467)),0)</f>
        <v>0</v>
      </c>
      <c r="J33474" s="16" t="n">
        <f aca="false">IF(AND(Assumptions!$P$58=1,OR(J33418&lt;Assumptions!$K$58,I33765=1)),MIN(MAX(0,-J33634),MAX(0,Assumptions!$D$58-J33467)),0)</f>
        <v>0</v>
      </c>
      <c r="K33474" s="16" t="n">
        <f aca="false">IF(AND(Assumptions!$P$58=1,OR(K33418&lt;Assumptions!$K$58,J33765=1)),MIN(MAX(0,-K33634),MAX(0,Assumptions!$D$58-K33467)),0)</f>
        <v>0</v>
      </c>
    </row>
    <row r="33475" customFormat="false" ht="15" hidden="false" customHeight="false" outlineLevel="0" collapsed="false">
      <c r="A33475" s="3" t="s">
        <v>336</v>
      </c>
      <c r="G33475" s="16" t="n">
        <f aca="false">G33468*MIN(G33467-G33473+G33472,MAX(0,G33636-Assumptions!$C$12*G33452-G33462))</f>
        <v>0</v>
      </c>
      <c r="H33475" s="16" t="n">
        <f aca="false">H33468*MIN(H33467-H33473+H33472,MAX(0,H33636-Assumptions!$C$12*H33452-H33462))</f>
        <v>0</v>
      </c>
      <c r="I33475" s="16" t="n">
        <f aca="false">I33468*MIN(I33467-I33473+I33472,MAX(0,I33636-Assumptions!$C$12*I33452-I33462))</f>
        <v>0</v>
      </c>
      <c r="J33475" s="16" t="n">
        <f aca="false">J33468*MIN(J33467-J33473+J33472,MAX(0,J33636-Assumptions!$C$12*J33452-J33462))</f>
        <v>0</v>
      </c>
      <c r="K33475" s="16" t="n">
        <f aca="false">K33468*MIN(K33467-K33473+K33472,MAX(0,K33636-Assumptions!$C$12*K33452-K33462))</f>
        <v>0</v>
      </c>
    </row>
    <row r="33476" customFormat="false" ht="15" hidden="false" customHeight="false" outlineLevel="0" collapsed="false">
      <c r="A33476" s="3" t="s">
        <v>337</v>
      </c>
      <c r="G33476" s="16" t="n">
        <f aca="false">Assumptions!$N$58*MIN(G33467+G33474+G33472-G33473-G33475,MAX(0,G33640-G33463))</f>
        <v>0</v>
      </c>
      <c r="H33476" s="16" t="n">
        <f aca="false">Assumptions!$N$58*MIN(H33467+H33474+H33472-H33473-H33475,MAX(0,H33640-H33463))</f>
        <v>0</v>
      </c>
      <c r="I33476" s="16" t="n">
        <f aca="false">Assumptions!$N$58*MIN(I33467+I33474+I33472-I33473-I33475,MAX(0,I33640-I33463))</f>
        <v>0</v>
      </c>
      <c r="J33476" s="16" t="n">
        <f aca="false">Assumptions!$N$58*MIN(J33467+J33474+J33472-J33473-J33475,MAX(0,J33640-J33463))</f>
        <v>0</v>
      </c>
      <c r="K33476" s="16" t="n">
        <f aca="false">Assumptions!$N$58*MIN(K33467+K33474+K33472-K33473-K33475,MAX(0,K33640-K33463))</f>
        <v>0</v>
      </c>
    </row>
    <row r="33477" customFormat="false" ht="15" hidden="false" customHeight="false" outlineLevel="0" collapsed="false">
      <c r="A33477" s="3" t="s">
        <v>338</v>
      </c>
      <c r="G33477" s="16" t="n">
        <f aca="false">G33468*(1-G33452)*(G33467-G33473+G33472-G33475)</f>
        <v>0</v>
      </c>
      <c r="H33477" s="16" t="n">
        <f aca="false">H33468*(1-H33452)*(H33467-H33473+H33472-H33475)</f>
        <v>0</v>
      </c>
      <c r="I33477" s="16" t="n">
        <f aca="false">I33468*(1-I33452)*(I33467-I33473+I33472-I33475)</f>
        <v>0</v>
      </c>
      <c r="J33477" s="16" t="n">
        <f aca="false">J33468*(1-J33452)*(J33467-J33473+J33472-J33475)</f>
        <v>0</v>
      </c>
      <c r="K33477" s="16" t="n">
        <f aca="false">K33468*(1-K33452)*(K33467-K33473+K33472-K33475)</f>
        <v>0</v>
      </c>
    </row>
    <row r="33478" customFormat="false" ht="15" hidden="false" customHeight="false" outlineLevel="0" collapsed="false">
      <c r="A33478" s="2" t="s">
        <v>339</v>
      </c>
      <c r="F33478" s="28" t="n">
        <f aca="false">Assumptions!$C$58</f>
        <v>90</v>
      </c>
      <c r="G33478" s="17" t="n">
        <f aca="false">G33467+G33474+G33472-G33473-G33475-G33476</f>
        <v>90</v>
      </c>
      <c r="H33478" s="17" t="n">
        <f aca="false">H33467+H33474+H33472-H33473-H33475-H33476</f>
        <v>90</v>
      </c>
      <c r="I33478" s="17" t="n">
        <f aca="false">I33467+I33474+I33472-I33473-I33475-I33476</f>
        <v>90</v>
      </c>
      <c r="J33478" s="17" t="n">
        <f aca="false">J33467+J33474+J33472-J33473-J33475-J33476</f>
        <v>90</v>
      </c>
      <c r="K33478" s="17" t="n">
        <f aca="false">K33467+K33474+K33472-K33473-K33475-K33476</f>
        <v>90</v>
      </c>
    </row>
    <row r="33479" customFormat="false" ht="15" hidden="false" customHeight="false" outlineLevel="0" collapsed="false">
      <c r="A33479" s="24" t="s">
        <v>341</v>
      </c>
      <c r="B33479" s="25"/>
      <c r="C33479" s="25"/>
      <c r="D33479" s="25"/>
      <c r="E33479" s="25"/>
      <c r="F33479" s="25"/>
      <c r="G33479" s="25"/>
      <c r="H33479" s="25"/>
      <c r="I33479" s="25"/>
      <c r="J33479" s="25"/>
      <c r="K33479" s="25"/>
    </row>
    <row r="33480" customFormat="false" ht="15" hidden="false" customHeight="false" outlineLevel="0" collapsed="false">
      <c r="A33480" s="3" t="s">
        <v>329</v>
      </c>
      <c r="G33480" s="16" t="n">
        <f aca="false">F33491</f>
        <v>57.324</v>
      </c>
      <c r="H33480" s="16" t="n">
        <f aca="false">G33491</f>
        <v>57.324</v>
      </c>
      <c r="I33480" s="16" t="n">
        <f aca="false">H33491</f>
        <v>57.324</v>
      </c>
      <c r="J33480" s="16" t="n">
        <f aca="false">I33491</f>
        <v>57.324</v>
      </c>
      <c r="K33480" s="16" t="n">
        <f aca="false">J33491</f>
        <v>57.324</v>
      </c>
    </row>
    <row r="33481" customFormat="false" ht="15" hidden="false" customHeight="false" outlineLevel="0" collapsed="false">
      <c r="A33481" s="3" t="s">
        <v>330</v>
      </c>
      <c r="G33481" s="21" t="n">
        <f aca="false">IF(G33418=Assumptions!$K$59,1,0)</f>
        <v>0</v>
      </c>
      <c r="H33481" s="21" t="n">
        <f aca="false">IF(H33418=Assumptions!$K$59,1,0)</f>
        <v>0</v>
      </c>
      <c r="I33481" s="21" t="n">
        <f aca="false">IF(I33418=Assumptions!$K$59,1,0)</f>
        <v>0</v>
      </c>
      <c r="J33481" s="21" t="n">
        <f aca="false">IF(J33418=Assumptions!$K$59,1,0)</f>
        <v>0</v>
      </c>
      <c r="K33481" s="21" t="n">
        <f aca="false">IF(K33418=Assumptions!$K$59,1,0)</f>
        <v>0</v>
      </c>
    </row>
    <row r="33483" customFormat="false" ht="15" hidden="false" customHeight="false" outlineLevel="0" collapsed="false">
      <c r="A33483" s="3" t="s">
        <v>331</v>
      </c>
      <c r="G33483" s="31" t="n">
        <f aca="false">IF(Assumptions!$I$59=1,MAX(G33444,Assumptions!$G$59)+Assumptions!$F$59+$C$33445,Assumptions!$E$59)</f>
        <v>0.0731</v>
      </c>
      <c r="H33483" s="31" t="n">
        <f aca="false">IF(G33766=1,$C$33446,IF(Assumptions!$I$59=1,MAX(H33444,Assumptions!$G$59)+Assumptions!$F$59+$C$33445,Assumptions!$E$59))</f>
        <v>0.0731</v>
      </c>
      <c r="I33483" s="31" t="n">
        <f aca="false">IF(H33766=1,$C$33446,IF(Assumptions!$I$59=1,MAX(I33444,Assumptions!$G$59)+Assumptions!$F$59+$C$33445,Assumptions!$E$59))</f>
        <v>0.0731</v>
      </c>
      <c r="J33483" s="31" t="n">
        <f aca="false">IF(I33766=1,$C$33446,IF(Assumptions!$I$59=1,MAX(J33444,Assumptions!$G$59)+Assumptions!$F$59+$C$33445,Assumptions!$E$59))</f>
        <v>0.0731</v>
      </c>
      <c r="K33483" s="31" t="n">
        <f aca="false">IF(J33766=1,$C$33446,IF(Assumptions!$I$59=1,MAX(K33444,Assumptions!$G$59)+Assumptions!$F$59+$C$33445,Assumptions!$E$59))</f>
        <v>0.0731</v>
      </c>
    </row>
    <row r="33484" customFormat="false" ht="15" hidden="false" customHeight="false" outlineLevel="0" collapsed="false">
      <c r="A33484" s="3" t="s">
        <v>332</v>
      </c>
      <c r="G33484" s="16" t="n">
        <f aca="false">G33480*G33483</f>
        <v>4.1903844</v>
      </c>
      <c r="H33484" s="16" t="n">
        <f aca="false">H33480*H33483</f>
        <v>4.1903844</v>
      </c>
      <c r="I33484" s="16" t="n">
        <f aca="false">I33480*I33483</f>
        <v>4.1903844</v>
      </c>
      <c r="J33484" s="16" t="n">
        <f aca="false">J33480*J33483</f>
        <v>4.1903844</v>
      </c>
      <c r="K33484" s="16" t="n">
        <f aca="false">K33480*K33483</f>
        <v>4.1903844</v>
      </c>
    </row>
    <row r="33485" customFormat="false" ht="15" hidden="false" customHeight="false" outlineLevel="0" collapsed="false">
      <c r="A33485" s="3" t="s">
        <v>333</v>
      </c>
      <c r="G33485" s="16" t="n">
        <f aca="false">G33480*Assumptions!$H$59</f>
        <v>0</v>
      </c>
      <c r="H33485" s="16" t="n">
        <f aca="false">H33480*Assumptions!$H$59</f>
        <v>0</v>
      </c>
      <c r="I33485" s="16" t="n">
        <f aca="false">I33480*Assumptions!$H$59</f>
        <v>0</v>
      </c>
      <c r="J33485" s="16" t="n">
        <f aca="false">J33480*Assumptions!$H$59</f>
        <v>0</v>
      </c>
      <c r="K33485" s="16" t="n">
        <f aca="false">K33480*Assumptions!$H$59</f>
        <v>0</v>
      </c>
    </row>
    <row r="33486" customFormat="false" ht="15" hidden="false" customHeight="false" outlineLevel="0" collapsed="false">
      <c r="A33486" s="3" t="s">
        <v>334</v>
      </c>
      <c r="G33486" s="16" t="n">
        <f aca="false">MIN(G33480,Assumptions!$L$59*Assumptions!$C$59)</f>
        <v>0</v>
      </c>
      <c r="H33486" s="16" t="n">
        <f aca="false">MIN(H33480,Assumptions!$L$59*Assumptions!$C$59)</f>
        <v>0</v>
      </c>
      <c r="I33486" s="16" t="n">
        <f aca="false">MIN(I33480,Assumptions!$L$59*Assumptions!$C$59)</f>
        <v>0</v>
      </c>
      <c r="J33486" s="16" t="n">
        <f aca="false">MIN(J33480,Assumptions!$L$59*Assumptions!$C$59)</f>
        <v>0</v>
      </c>
      <c r="K33486" s="16" t="n">
        <f aca="false">MIN(K33480,Assumptions!$L$59*Assumptions!$C$59)</f>
        <v>0</v>
      </c>
    </row>
    <row r="33487" customFormat="false" ht="15" hidden="false" customHeight="false" outlineLevel="0" collapsed="false">
      <c r="A33487" s="3" t="s">
        <v>335</v>
      </c>
      <c r="G33487" s="16" t="n">
        <f aca="false">IF(AND(Assumptions!$P$59=1,G33418&lt;Assumptions!$K$59),MIN(MAX(0,-G33634),MAX(0,Assumptions!$D$59-G33480)),0)</f>
        <v>0</v>
      </c>
      <c r="H33487" s="16" t="n">
        <f aca="false">IF(AND(Assumptions!$P$59=1,OR(H33418&lt;Assumptions!$K$59,G33766=1)),MIN(MAX(0,-H33634),MAX(0,Assumptions!$D$59-H33480)),0)</f>
        <v>0</v>
      </c>
      <c r="I33487" s="16" t="n">
        <f aca="false">IF(AND(Assumptions!$P$59=1,OR(I33418&lt;Assumptions!$K$59,H33766=1)),MIN(MAX(0,-I33634),MAX(0,Assumptions!$D$59-I33480)),0)</f>
        <v>0</v>
      </c>
      <c r="J33487" s="16" t="n">
        <f aca="false">IF(AND(Assumptions!$P$59=1,OR(J33418&lt;Assumptions!$K$59,I33766=1)),MIN(MAX(0,-J33634),MAX(0,Assumptions!$D$59-J33480)),0)</f>
        <v>0</v>
      </c>
      <c r="K33487" s="16" t="n">
        <f aca="false">IF(AND(Assumptions!$P$59=1,OR(K33418&lt;Assumptions!$K$59,J33766=1)),MIN(MAX(0,-K33634),MAX(0,Assumptions!$D$59-K33480)),0)</f>
        <v>0</v>
      </c>
    </row>
    <row r="33488" customFormat="false" ht="15" hidden="false" customHeight="false" outlineLevel="0" collapsed="false">
      <c r="A33488" s="3" t="s">
        <v>336</v>
      </c>
      <c r="G33488" s="16" t="n">
        <f aca="false">G33481*MIN(G33480-G33486+G33485,MAX(0,G33636-Assumptions!$C$12*G33452-G33462-G33475))</f>
        <v>0</v>
      </c>
      <c r="H33488" s="16" t="n">
        <f aca="false">H33481*MIN(H33480-H33486+H33485,MAX(0,H33636-Assumptions!$C$12*H33452-H33462-H33475))</f>
        <v>0</v>
      </c>
      <c r="I33488" s="16" t="n">
        <f aca="false">I33481*MIN(I33480-I33486+I33485,MAX(0,I33636-Assumptions!$C$12*I33452-I33462-I33475))</f>
        <v>0</v>
      </c>
      <c r="J33488" s="16" t="n">
        <f aca="false">J33481*MIN(J33480-J33486+J33485,MAX(0,J33636-Assumptions!$C$12*J33452-J33462-J33475))</f>
        <v>0</v>
      </c>
      <c r="K33488" s="16" t="n">
        <f aca="false">K33481*MIN(K33480-K33486+K33485,MAX(0,K33636-Assumptions!$C$12*K33452-K33462-K33475))</f>
        <v>0</v>
      </c>
    </row>
    <row r="33489" customFormat="false" ht="15" hidden="false" customHeight="false" outlineLevel="0" collapsed="false">
      <c r="A33489" s="3" t="s">
        <v>337</v>
      </c>
      <c r="G33489" s="16" t="n">
        <f aca="false">Assumptions!$N$59*MIN(G33480+G33487+G33485-G33486-G33488,MAX(0,G33640-G33463-G33476))</f>
        <v>0</v>
      </c>
      <c r="H33489" s="16" t="n">
        <f aca="false">Assumptions!$N$59*MIN(H33480+H33487+H33485-H33486-H33488,MAX(0,H33640-H33463-H33476))</f>
        <v>0</v>
      </c>
      <c r="I33489" s="16" t="n">
        <f aca="false">Assumptions!$N$59*MIN(I33480+I33487+I33485-I33486-I33488,MAX(0,I33640-I33463-I33476))</f>
        <v>0</v>
      </c>
      <c r="J33489" s="16" t="n">
        <f aca="false">Assumptions!$N$59*MIN(J33480+J33487+J33485-J33486-J33488,MAX(0,J33640-J33463-J33476))</f>
        <v>0</v>
      </c>
      <c r="K33489" s="16" t="n">
        <f aca="false">Assumptions!$N$59*MIN(K33480+K33487+K33485-K33486-K33488,MAX(0,K33640-K33463-K33476))</f>
        <v>0</v>
      </c>
    </row>
    <row r="33490" customFormat="false" ht="15" hidden="false" customHeight="false" outlineLevel="0" collapsed="false">
      <c r="A33490" s="3" t="s">
        <v>338</v>
      </c>
      <c r="G33490" s="16" t="n">
        <f aca="false">G33481*(1-G33452)*(G33480-G33486+G33485-G33488)</f>
        <v>0</v>
      </c>
      <c r="H33490" s="16" t="n">
        <f aca="false">H33481*(1-H33452)*(H33480-H33486+H33485-H33488)</f>
        <v>0</v>
      </c>
      <c r="I33490" s="16" t="n">
        <f aca="false">I33481*(1-I33452)*(I33480-I33486+I33485-I33488)</f>
        <v>0</v>
      </c>
      <c r="J33490" s="16" t="n">
        <f aca="false">J33481*(1-J33452)*(J33480-J33486+J33485-J33488)</f>
        <v>0</v>
      </c>
      <c r="K33490" s="16" t="n">
        <f aca="false">K33481*(1-K33452)*(K33480-K33486+K33485-K33488)</f>
        <v>0</v>
      </c>
    </row>
    <row r="33491" customFormat="false" ht="15" hidden="false" customHeight="false" outlineLevel="0" collapsed="false">
      <c r="A33491" s="2" t="s">
        <v>339</v>
      </c>
      <c r="F33491" s="28" t="n">
        <f aca="false">Assumptions!$C$59</f>
        <v>57.324</v>
      </c>
      <c r="G33491" s="17" t="n">
        <f aca="false">G33480+G33487+G33485-G33486-G33488-G33489</f>
        <v>57.324</v>
      </c>
      <c r="H33491" s="17" t="n">
        <f aca="false">H33480+H33487+H33485-H33486-H33488-H33489</f>
        <v>57.324</v>
      </c>
      <c r="I33491" s="17" t="n">
        <f aca="false">I33480+I33487+I33485-I33486-I33488-I33489</f>
        <v>57.324</v>
      </c>
      <c r="J33491" s="17" t="n">
        <f aca="false">J33480+J33487+J33485-J33486-J33488-J33489</f>
        <v>57.324</v>
      </c>
      <c r="K33491" s="17" t="n">
        <f aca="false">K33480+K33487+K33485-K33486-K33488-K33489</f>
        <v>57.324</v>
      </c>
    </row>
    <row r="33492" customFormat="false" ht="15" hidden="false" customHeight="false" outlineLevel="0" collapsed="false">
      <c r="A33492" s="24" t="s">
        <v>342</v>
      </c>
      <c r="B33492" s="25"/>
      <c r="C33492" s="25"/>
      <c r="D33492" s="25"/>
      <c r="E33492" s="25"/>
      <c r="F33492" s="25"/>
      <c r="G33492" s="25"/>
      <c r="H33492" s="25"/>
      <c r="I33492" s="25"/>
      <c r="J33492" s="25"/>
      <c r="K33492" s="25"/>
    </row>
    <row r="33493" customFormat="false" ht="15" hidden="false" customHeight="false" outlineLevel="0" collapsed="false">
      <c r="A33493" s="3" t="s">
        <v>329</v>
      </c>
      <c r="G33493" s="16" t="n">
        <f aca="false">F33504</f>
        <v>0</v>
      </c>
      <c r="H33493" s="16" t="n">
        <f aca="false">G33504</f>
        <v>0</v>
      </c>
      <c r="I33493" s="16" t="n">
        <f aca="false">H33504</f>
        <v>0</v>
      </c>
      <c r="J33493" s="16" t="n">
        <f aca="false">I33504</f>
        <v>66.796942182056</v>
      </c>
      <c r="K33493" s="16" t="n">
        <f aca="false">J33504</f>
        <v>155.677464864795</v>
      </c>
    </row>
    <row r="33494" customFormat="false" ht="15" hidden="false" customHeight="false" outlineLevel="0" collapsed="false">
      <c r="A33494" s="3" t="s">
        <v>330</v>
      </c>
      <c r="G33494" s="21" t="n">
        <f aca="false">IF(G33418=Assumptions!$K$60,1,0)</f>
        <v>1</v>
      </c>
      <c r="H33494" s="21" t="n">
        <f aca="false">IF(H33418=Assumptions!$K$60,1,0)</f>
        <v>0</v>
      </c>
      <c r="I33494" s="21" t="n">
        <f aca="false">IF(I33418=Assumptions!$K$60,1,0)</f>
        <v>0</v>
      </c>
      <c r="J33494" s="21" t="n">
        <f aca="false">IF(J33418=Assumptions!$K$60,1,0)</f>
        <v>0</v>
      </c>
      <c r="K33494" s="21" t="n">
        <f aca="false">IF(K33418=Assumptions!$K$60,1,0)</f>
        <v>0</v>
      </c>
    </row>
    <row r="33496" customFormat="false" ht="15" hidden="false" customHeight="false" outlineLevel="0" collapsed="false">
      <c r="A33496" s="3" t="s">
        <v>331</v>
      </c>
      <c r="G33496" s="31" t="n">
        <f aca="false">IF(Assumptions!$I$60=1,MAX(G33444,Assumptions!$G$60)+Assumptions!$F$60+$C$33445,Assumptions!$E$60)</f>
        <v>0.054</v>
      </c>
      <c r="H33496" s="31" t="n">
        <f aca="false">IF(G33767=1,$C$33446,IF(Assumptions!$I$60=1,MAX(H33444,Assumptions!$G$60)+Assumptions!$F$60+$C$33445,Assumptions!$E$60))</f>
        <v>0.08</v>
      </c>
      <c r="I33496" s="31" t="n">
        <f aca="false">IF(H33767=1,$C$33446,IF(Assumptions!$I$60=1,MAX(I33444,Assumptions!$G$60)+Assumptions!$F$60+$C$33445,Assumptions!$E$60))</f>
        <v>0.08</v>
      </c>
      <c r="J33496" s="31" t="n">
        <f aca="false">IF(I33767=1,$C$33446,IF(Assumptions!$I$60=1,MAX(J33444,Assumptions!$G$60)+Assumptions!$F$60+$C$33445,Assumptions!$E$60))</f>
        <v>0.08</v>
      </c>
      <c r="K33496" s="31" t="n">
        <f aca="false">IF(J33767=1,$C$33446,IF(Assumptions!$I$60=1,MAX(K33444,Assumptions!$G$60)+Assumptions!$F$60+$C$33445,Assumptions!$E$60))</f>
        <v>0.08</v>
      </c>
    </row>
    <row r="33497" customFormat="false" ht="15" hidden="false" customHeight="false" outlineLevel="0" collapsed="false">
      <c r="A33497" s="3" t="s">
        <v>332</v>
      </c>
      <c r="G33497" s="16" t="n">
        <f aca="false">G33493*G33496</f>
        <v>0</v>
      </c>
      <c r="H33497" s="16" t="n">
        <f aca="false">H33493*H33496</f>
        <v>0</v>
      </c>
      <c r="I33497" s="16" t="n">
        <f aca="false">I33493*I33496</f>
        <v>0</v>
      </c>
      <c r="J33497" s="16" t="n">
        <f aca="false">J33493*J33496</f>
        <v>5.34375537456448</v>
      </c>
      <c r="K33497" s="16" t="n">
        <f aca="false">K33493*K33496</f>
        <v>12.4541971891836</v>
      </c>
    </row>
    <row r="33498" customFormat="false" ht="15" hidden="false" customHeight="false" outlineLevel="0" collapsed="false">
      <c r="A33498" s="3" t="s">
        <v>333</v>
      </c>
      <c r="G33498" s="16" t="n">
        <f aca="false">G33493*Assumptions!$H$60</f>
        <v>0</v>
      </c>
      <c r="H33498" s="16" t="n">
        <f aca="false">H33493*Assumptions!$H$60</f>
        <v>0</v>
      </c>
      <c r="I33498" s="16" t="n">
        <f aca="false">I33493*Assumptions!$H$60</f>
        <v>0</v>
      </c>
      <c r="J33498" s="16" t="n">
        <f aca="false">J33493*Assumptions!$H$60</f>
        <v>0</v>
      </c>
      <c r="K33498" s="16" t="n">
        <f aca="false">K33493*Assumptions!$H$60</f>
        <v>0</v>
      </c>
    </row>
    <row r="33499" customFormat="false" ht="15" hidden="false" customHeight="false" outlineLevel="0" collapsed="false">
      <c r="A33499" s="3" t="s">
        <v>334</v>
      </c>
      <c r="G33499" s="16" t="n">
        <f aca="false">MIN(G33493,Assumptions!$L$60*Assumptions!$C$60)</f>
        <v>0</v>
      </c>
      <c r="H33499" s="16" t="n">
        <f aca="false">MIN(H33493,Assumptions!$L$60*Assumptions!$C$60)</f>
        <v>0</v>
      </c>
      <c r="I33499" s="16" t="n">
        <f aca="false">MIN(I33493,Assumptions!$L$60*Assumptions!$C$60)</f>
        <v>0</v>
      </c>
      <c r="J33499" s="16" t="n">
        <f aca="false">MIN(J33493,Assumptions!$L$60*Assumptions!$C$60)</f>
        <v>0</v>
      </c>
      <c r="K33499" s="16" t="n">
        <f aca="false">MIN(K33493,Assumptions!$L$60*Assumptions!$C$60)</f>
        <v>0</v>
      </c>
    </row>
    <row r="33500" customFormat="false" ht="15" hidden="false" customHeight="false" outlineLevel="0" collapsed="false">
      <c r="A33500" s="3" t="s">
        <v>335</v>
      </c>
      <c r="G33500" s="16" t="n">
        <f aca="false">IF(AND(Assumptions!$P$60=1,G33418&lt;Assumptions!$K$60),MIN(MAX(0,-G33634),MAX(0,Assumptions!$D$60-G33493)),0)</f>
        <v>0</v>
      </c>
      <c r="H33500" s="16" t="n">
        <f aca="false">IF(AND(Assumptions!$P$60=1,OR(H33418&lt;Assumptions!$K$60,G33767=1)),MIN(MAX(0,-H33634),MAX(0,Assumptions!$D$60-H33493)),0)</f>
        <v>0</v>
      </c>
      <c r="I33500" s="16" t="n">
        <f aca="false">IF(AND(Assumptions!$P$60=1,OR(I33418&lt;Assumptions!$K$60,H33767=1)),MIN(MAX(0,-I33634),MAX(0,Assumptions!$D$60-I33493)),0)</f>
        <v>66.796942182056</v>
      </c>
      <c r="J33500" s="16" t="n">
        <f aca="false">IF(AND(Assumptions!$P$60=1,OR(J33418&lt;Assumptions!$K$60,I33767=1)),MIN(MAX(0,-J33634),MAX(0,Assumptions!$D$60-J33493)),0)</f>
        <v>88.8805226827392</v>
      </c>
      <c r="K33500" s="16" t="n">
        <f aca="false">IF(AND(Assumptions!$P$60=1,OR(K33418&lt;Assumptions!$K$60,J33767=1)),MIN(MAX(0,-K33634),MAX(0,Assumptions!$D$60-K33493)),0)</f>
        <v>104.535819058653</v>
      </c>
    </row>
    <row r="33501" customFormat="false" ht="15" hidden="false" customHeight="false" outlineLevel="0" collapsed="false">
      <c r="A33501" s="3" t="s">
        <v>336</v>
      </c>
      <c r="G33501" s="16" t="n">
        <f aca="false">G33494*MIN(G33493-G33499+G33498,MAX(0,G33636-Assumptions!$C$12*G33452-G33462-G33475-G33488))</f>
        <v>0</v>
      </c>
      <c r="H33501" s="16" t="n">
        <f aca="false">H33494*MIN(H33493-H33499+H33498,MAX(0,H33636-Assumptions!$C$12*H33452-H33462-H33475-H33488))</f>
        <v>0</v>
      </c>
      <c r="I33501" s="16" t="n">
        <f aca="false">I33494*MIN(I33493-I33499+I33498,MAX(0,I33636-Assumptions!$C$12*I33452-I33462-I33475-I33488))</f>
        <v>0</v>
      </c>
      <c r="J33501" s="16" t="n">
        <f aca="false">J33494*MIN(J33493-J33499+J33498,MAX(0,J33636-Assumptions!$C$12*J33452-J33462-J33475-J33488))</f>
        <v>0</v>
      </c>
      <c r="K33501" s="16" t="n">
        <f aca="false">K33494*MIN(K33493-K33499+K33498,MAX(0,K33636-Assumptions!$C$12*K33452-K33462-K33475-K33488))</f>
        <v>0</v>
      </c>
    </row>
    <row r="33502" customFormat="false" ht="15" hidden="false" customHeight="false" outlineLevel="0" collapsed="false">
      <c r="A33502" s="3" t="s">
        <v>337</v>
      </c>
      <c r="G33502" s="16" t="n">
        <f aca="false">Assumptions!$N$60*MIN(G33493+G33500+G33498-G33499-G33501,MAX(0,G33640-G33463-G33476-G33489))</f>
        <v>0</v>
      </c>
      <c r="H33502" s="16" t="n">
        <f aca="false">Assumptions!$N$60*MIN(H33493+H33500+H33498-H33499-H33501,MAX(0,H33640-H33463-H33476-H33489))</f>
        <v>0</v>
      </c>
      <c r="I33502" s="16" t="n">
        <f aca="false">Assumptions!$N$60*MIN(I33493+I33500+I33498-I33499-I33501,MAX(0,I33640-I33463-I33476-I33489))</f>
        <v>0</v>
      </c>
      <c r="J33502" s="16" t="n">
        <f aca="false">Assumptions!$N$60*MIN(J33493+J33500+J33498-J33499-J33501,MAX(0,J33640-J33463-J33476-J33489))</f>
        <v>0</v>
      </c>
      <c r="K33502" s="16" t="n">
        <f aca="false">Assumptions!$N$60*MIN(K33493+K33500+K33498-K33499-K33501,MAX(0,K33640-K33463-K33476-K33489))</f>
        <v>0</v>
      </c>
    </row>
    <row r="33503" customFormat="false" ht="15" hidden="false" customHeight="false" outlineLevel="0" collapsed="false">
      <c r="A33503" s="3" t="s">
        <v>338</v>
      </c>
      <c r="G33503" s="16" t="n">
        <f aca="false">G33494*(1-G33452)*(G33493-G33499+G33498-G33501)</f>
        <v>0</v>
      </c>
      <c r="H33503" s="16" t="n">
        <f aca="false">H33494*(1-H33452)*(H33493-H33499+H33498-H33501)</f>
        <v>0</v>
      </c>
      <c r="I33503" s="16" t="n">
        <f aca="false">I33494*(1-I33452)*(I33493-I33499+I33498-I33501)</f>
        <v>0</v>
      </c>
      <c r="J33503" s="16" t="n">
        <f aca="false">J33494*(1-J33452)*(J33493-J33499+J33498-J33501)</f>
        <v>0</v>
      </c>
      <c r="K33503" s="16" t="n">
        <f aca="false">K33494*(1-K33452)*(K33493-K33499+K33498-K33501)</f>
        <v>0</v>
      </c>
    </row>
    <row r="33504" customFormat="false" ht="15" hidden="false" customHeight="false" outlineLevel="0" collapsed="false">
      <c r="A33504" s="2" t="s">
        <v>339</v>
      </c>
      <c r="F33504" s="28" t="n">
        <f aca="false">Assumptions!$C$60</f>
        <v>0</v>
      </c>
      <c r="G33504" s="17" t="n">
        <f aca="false">G33493+G33500+G33498-G33499-G33501-G33502</f>
        <v>0</v>
      </c>
      <c r="H33504" s="17" t="n">
        <f aca="false">H33493+H33500+H33498-H33499-H33501-H33502</f>
        <v>0</v>
      </c>
      <c r="I33504" s="17" t="n">
        <f aca="false">I33493+I33500+I33498-I33499-I33501-I33502</f>
        <v>66.796942182056</v>
      </c>
      <c r="J33504" s="17" t="n">
        <f aca="false">J33493+J33500+J33498-J33499-J33501-J33502</f>
        <v>155.677464864795</v>
      </c>
      <c r="K33504" s="17" t="n">
        <f aca="false">K33493+K33500+K33498-K33499-K33501-K33502</f>
        <v>260.213283923448</v>
      </c>
    </row>
    <row r="33505" customFormat="false" ht="15" hidden="false" customHeight="false" outlineLevel="0" collapsed="false">
      <c r="A33505" s="24" t="s">
        <v>343</v>
      </c>
      <c r="B33505" s="25"/>
      <c r="C33505" s="25"/>
      <c r="D33505" s="25"/>
      <c r="E33505" s="25"/>
      <c r="F33505" s="25"/>
      <c r="G33505" s="25"/>
      <c r="H33505" s="25"/>
      <c r="I33505" s="25"/>
      <c r="J33505" s="25"/>
      <c r="K33505" s="25"/>
    </row>
    <row r="33506" customFormat="false" ht="15" hidden="false" customHeight="false" outlineLevel="0" collapsed="false">
      <c r="A33506" s="3" t="s">
        <v>329</v>
      </c>
      <c r="G33506" s="16" t="n">
        <f aca="false">F33517</f>
        <v>450</v>
      </c>
      <c r="H33506" s="16" t="n">
        <f aca="false">G33517</f>
        <v>450</v>
      </c>
      <c r="I33506" s="16" t="n">
        <f aca="false">H33517</f>
        <v>407.7221513738</v>
      </c>
      <c r="J33506" s="16" t="n">
        <f aca="false">I33517</f>
        <v>407.7221513738</v>
      </c>
      <c r="K33506" s="16" t="n">
        <f aca="false">J33517</f>
        <v>407.7221513738</v>
      </c>
    </row>
    <row r="33507" customFormat="false" ht="15" hidden="false" customHeight="false" outlineLevel="0" collapsed="false">
      <c r="A33507" s="3" t="s">
        <v>330</v>
      </c>
      <c r="G33507" s="21" t="n">
        <f aca="false">IF(G33418=Assumptions!$K$61,1,0)</f>
        <v>0</v>
      </c>
      <c r="H33507" s="21" t="n">
        <f aca="false">IF(H33418=Assumptions!$K$61,1,0)</f>
        <v>1</v>
      </c>
      <c r="I33507" s="21" t="n">
        <f aca="false">IF(I33418=Assumptions!$K$61,1,0)</f>
        <v>0</v>
      </c>
      <c r="J33507" s="21" t="n">
        <f aca="false">IF(J33418=Assumptions!$K$61,1,0)</f>
        <v>0</v>
      </c>
      <c r="K33507" s="21" t="n">
        <f aca="false">IF(K33418=Assumptions!$K$61,1,0)</f>
        <v>0</v>
      </c>
    </row>
    <row r="33509" customFormat="false" ht="15" hidden="false" customHeight="false" outlineLevel="0" collapsed="false">
      <c r="A33509" s="3" t="s">
        <v>331</v>
      </c>
      <c r="G33509" s="31" t="n">
        <f aca="false">IF(Assumptions!$I$61=1,MAX(G33444,Assumptions!$G$61)+Assumptions!$F$61+$C$33445,Assumptions!$E$61)</f>
        <v>0.0395</v>
      </c>
      <c r="H33509" s="31" t="n">
        <f aca="false">IF(G33768=1,$C$33446,IF(Assumptions!$I$61=1,MAX(H33444,Assumptions!$G$61)+Assumptions!$F$61+$C$33445,Assumptions!$E$61))</f>
        <v>0.0395</v>
      </c>
      <c r="I33509" s="31" t="n">
        <f aca="false">IF(H33768=1,$C$33446,IF(Assumptions!$I$61=1,MAX(I33444,Assumptions!$G$61)+Assumptions!$F$61+$C$33445,Assumptions!$E$61))</f>
        <v>0.08</v>
      </c>
      <c r="J33509" s="31" t="n">
        <f aca="false">IF(I33768=1,$C$33446,IF(Assumptions!$I$61=1,MAX(J33444,Assumptions!$G$61)+Assumptions!$F$61+$C$33445,Assumptions!$E$61))</f>
        <v>0.08</v>
      </c>
      <c r="K33509" s="31" t="n">
        <f aca="false">IF(J33768=1,$C$33446,IF(Assumptions!$I$61=1,MAX(K33444,Assumptions!$G$61)+Assumptions!$F$61+$C$33445,Assumptions!$E$61))</f>
        <v>0.08</v>
      </c>
    </row>
    <row r="33510" customFormat="false" ht="15" hidden="false" customHeight="false" outlineLevel="0" collapsed="false">
      <c r="A33510" s="3" t="s">
        <v>332</v>
      </c>
      <c r="G33510" s="16" t="n">
        <f aca="false">G33506*G33509</f>
        <v>17.775</v>
      </c>
      <c r="H33510" s="16" t="n">
        <f aca="false">H33506*H33509</f>
        <v>17.775</v>
      </c>
      <c r="I33510" s="16" t="n">
        <f aca="false">I33506*I33509</f>
        <v>32.617772109904</v>
      </c>
      <c r="J33510" s="16" t="n">
        <f aca="false">J33506*J33509</f>
        <v>32.617772109904</v>
      </c>
      <c r="K33510" s="16" t="n">
        <f aca="false">K33506*K33509</f>
        <v>32.617772109904</v>
      </c>
    </row>
    <row r="33511" customFormat="false" ht="15" hidden="false" customHeight="false" outlineLevel="0" collapsed="false">
      <c r="A33511" s="3" t="s">
        <v>333</v>
      </c>
      <c r="G33511" s="16" t="n">
        <f aca="false">G33506*Assumptions!$H$61</f>
        <v>0</v>
      </c>
      <c r="H33511" s="16" t="n">
        <f aca="false">H33506*Assumptions!$H$61</f>
        <v>0</v>
      </c>
      <c r="I33511" s="16" t="n">
        <f aca="false">I33506*Assumptions!$H$61</f>
        <v>0</v>
      </c>
      <c r="J33511" s="16" t="n">
        <f aca="false">J33506*Assumptions!$H$61</f>
        <v>0</v>
      </c>
      <c r="K33511" s="16" t="n">
        <f aca="false">K33506*Assumptions!$H$61</f>
        <v>0</v>
      </c>
    </row>
    <row r="33512" customFormat="false" ht="15" hidden="false" customHeight="false" outlineLevel="0" collapsed="false">
      <c r="A33512" s="3" t="s">
        <v>334</v>
      </c>
      <c r="G33512" s="16" t="n">
        <f aca="false">MIN(G33506,Assumptions!$L$61*Assumptions!$C$61)</f>
        <v>0</v>
      </c>
      <c r="H33512" s="16" t="n">
        <f aca="false">MIN(H33506,Assumptions!$L$61*Assumptions!$C$61)</f>
        <v>0</v>
      </c>
      <c r="I33512" s="16" t="n">
        <f aca="false">MIN(I33506,Assumptions!$L$61*Assumptions!$C$61)</f>
        <v>0</v>
      </c>
      <c r="J33512" s="16" t="n">
        <f aca="false">MIN(J33506,Assumptions!$L$61*Assumptions!$C$61)</f>
        <v>0</v>
      </c>
      <c r="K33512" s="16" t="n">
        <f aca="false">MIN(K33506,Assumptions!$L$61*Assumptions!$C$61)</f>
        <v>0</v>
      </c>
    </row>
    <row r="33513" customFormat="false" ht="15" hidden="false" customHeight="false" outlineLevel="0" collapsed="false">
      <c r="A33513" s="3" t="s">
        <v>335</v>
      </c>
      <c r="G33513" s="16" t="n">
        <f aca="false">IF(AND(Assumptions!$P$61=1,G33418&lt;Assumptions!$K$61),MIN(MAX(0,-G33634),MAX(0,Assumptions!$D$61-G33506)),0)</f>
        <v>0</v>
      </c>
      <c r="H33513" s="16" t="n">
        <f aca="false">IF(AND(Assumptions!$P$61=1,OR(H33418&lt;Assumptions!$K$61,G33768=1)),MIN(MAX(0,-H33634),MAX(0,Assumptions!$D$61-H33506)),0)</f>
        <v>0</v>
      </c>
      <c r="I33513" s="16" t="n">
        <f aca="false">IF(AND(Assumptions!$P$61=1,OR(I33418&lt;Assumptions!$K$61,H33768=1)),MIN(MAX(0,-I33634),MAX(0,Assumptions!$D$61-I33506)),0)</f>
        <v>0</v>
      </c>
      <c r="J33513" s="16" t="n">
        <f aca="false">IF(AND(Assumptions!$P$61=1,OR(J33418&lt;Assumptions!$K$61,I33768=1)),MIN(MAX(0,-J33634),MAX(0,Assumptions!$D$61-J33506)),0)</f>
        <v>0</v>
      </c>
      <c r="K33513" s="16" t="n">
        <f aca="false">IF(AND(Assumptions!$P$61=1,OR(K33418&lt;Assumptions!$K$61,J33768=1)),MIN(MAX(0,-K33634),MAX(0,Assumptions!$D$61-K33506)),0)</f>
        <v>0</v>
      </c>
    </row>
    <row r="33514" customFormat="false" ht="15" hidden="false" customHeight="false" outlineLevel="0" collapsed="false">
      <c r="A33514" s="3" t="s">
        <v>336</v>
      </c>
      <c r="G33514" s="16" t="n">
        <f aca="false">G33507*MIN(G33506-G33512+G33511,MAX(0,G33636-Assumptions!$C$12*G33452-G33462-G33475-G33488-G33501))</f>
        <v>0</v>
      </c>
      <c r="H33514" s="16" t="n">
        <f aca="false">H33507*MIN(H33506-H33512+H33511,MAX(0,H33636-Assumptions!$C$12*H33452-H33462-H33475-H33488-H33501))</f>
        <v>42.2778486262</v>
      </c>
      <c r="I33514" s="16" t="n">
        <f aca="false">I33507*MIN(I33506-I33512+I33511,MAX(0,I33636-Assumptions!$C$12*I33452-I33462-I33475-I33488-I33501))</f>
        <v>0</v>
      </c>
      <c r="J33514" s="16" t="n">
        <f aca="false">J33507*MIN(J33506-J33512+J33511,MAX(0,J33636-Assumptions!$C$12*J33452-J33462-J33475-J33488-J33501))</f>
        <v>0</v>
      </c>
      <c r="K33514" s="16" t="n">
        <f aca="false">K33507*MIN(K33506-K33512+K33511,MAX(0,K33636-Assumptions!$C$12*K33452-K33462-K33475-K33488-K33501))</f>
        <v>0</v>
      </c>
    </row>
    <row r="33515" customFormat="false" ht="15" hidden="false" customHeight="false" outlineLevel="0" collapsed="false">
      <c r="A33515" s="3" t="s">
        <v>337</v>
      </c>
      <c r="G33515" s="16" t="n">
        <f aca="false">Assumptions!$N$61*MIN(G33506+G33513+G33511-G33512-G33514,MAX(0,G33640-G33463-G33476-G33489-G33502))</f>
        <v>0</v>
      </c>
      <c r="H33515" s="16" t="n">
        <f aca="false">Assumptions!$N$61*MIN(H33506+H33513+H33511-H33512-H33514,MAX(0,H33640-H33463-H33476-H33489-H33502))</f>
        <v>0</v>
      </c>
      <c r="I33515" s="16" t="n">
        <f aca="false">Assumptions!$N$61*MIN(I33506+I33513+I33511-I33512-I33514,MAX(0,I33640-I33463-I33476-I33489-I33502))</f>
        <v>0</v>
      </c>
      <c r="J33515" s="16" t="n">
        <f aca="false">Assumptions!$N$61*MIN(J33506+J33513+J33511-J33512-J33514,MAX(0,J33640-J33463-J33476-J33489-J33502))</f>
        <v>0</v>
      </c>
      <c r="K33515" s="16" t="n">
        <f aca="false">Assumptions!$N$61*MIN(K33506+K33513+K33511-K33512-K33514,MAX(0,K33640-K33463-K33476-K33489-K33502))</f>
        <v>0</v>
      </c>
    </row>
    <row r="33516" customFormat="false" ht="15" hidden="false" customHeight="false" outlineLevel="0" collapsed="false">
      <c r="A33516" s="3" t="s">
        <v>338</v>
      </c>
      <c r="G33516" s="16" t="n">
        <f aca="false">G33507*(1-G33452)*(G33506-G33512+G33511-G33514)</f>
        <v>0</v>
      </c>
      <c r="H33516" s="16" t="n">
        <f aca="false">H33507*(1-H33452)*(H33506-H33512+H33511-H33514)</f>
        <v>0</v>
      </c>
      <c r="I33516" s="16" t="n">
        <f aca="false">I33507*(1-I33452)*(I33506-I33512+I33511-I33514)</f>
        <v>0</v>
      </c>
      <c r="J33516" s="16" t="n">
        <f aca="false">J33507*(1-J33452)*(J33506-J33512+J33511-J33514)</f>
        <v>0</v>
      </c>
      <c r="K33516" s="16" t="n">
        <f aca="false">K33507*(1-K33452)*(K33506-K33512+K33511-K33514)</f>
        <v>0</v>
      </c>
    </row>
    <row r="33517" customFormat="false" ht="15" hidden="false" customHeight="false" outlineLevel="0" collapsed="false">
      <c r="A33517" s="2" t="s">
        <v>339</v>
      </c>
      <c r="F33517" s="28" t="n">
        <f aca="false">Assumptions!$C$61</f>
        <v>450</v>
      </c>
      <c r="G33517" s="17" t="n">
        <f aca="false">G33506+G33513+G33511-G33512-G33514-G33515</f>
        <v>450</v>
      </c>
      <c r="H33517" s="17" t="n">
        <f aca="false">H33506+H33513+H33511-H33512-H33514-H33515</f>
        <v>407.7221513738</v>
      </c>
      <c r="I33517" s="17" t="n">
        <f aca="false">I33506+I33513+I33511-I33512-I33514-I33515</f>
        <v>407.7221513738</v>
      </c>
      <c r="J33517" s="17" t="n">
        <f aca="false">J33506+J33513+J33511-J33512-J33514-J33515</f>
        <v>407.7221513738</v>
      </c>
      <c r="K33517" s="17" t="n">
        <f aca="false">K33506+K33513+K33511-K33512-K33514-K33515</f>
        <v>407.7221513738</v>
      </c>
    </row>
    <row r="33518" customFormat="false" ht="15" hidden="false" customHeight="false" outlineLevel="0" collapsed="false">
      <c r="A33518" s="24" t="s">
        <v>344</v>
      </c>
      <c r="B33518" s="25"/>
      <c r="C33518" s="25"/>
      <c r="D33518" s="25"/>
      <c r="E33518" s="25"/>
      <c r="F33518" s="25"/>
      <c r="G33518" s="25"/>
      <c r="H33518" s="25"/>
      <c r="I33518" s="25"/>
      <c r="J33518" s="25"/>
      <c r="K33518" s="25"/>
    </row>
    <row r="33519" customFormat="false" ht="15" hidden="false" customHeight="false" outlineLevel="0" collapsed="false">
      <c r="A33519" s="3" t="s">
        <v>329</v>
      </c>
      <c r="G33519" s="16" t="n">
        <f aca="false">F33530</f>
        <v>350</v>
      </c>
      <c r="H33519" s="16" t="n">
        <f aca="false">G33530</f>
        <v>350</v>
      </c>
      <c r="I33519" s="16" t="n">
        <f aca="false">H33530</f>
        <v>350</v>
      </c>
      <c r="J33519" s="16" t="n">
        <f aca="false">I33530</f>
        <v>350</v>
      </c>
      <c r="K33519" s="16" t="n">
        <f aca="false">J33530</f>
        <v>350</v>
      </c>
    </row>
    <row r="33520" customFormat="false" ht="15" hidden="false" customHeight="false" outlineLevel="0" collapsed="false">
      <c r="A33520" s="3" t="s">
        <v>330</v>
      </c>
      <c r="G33520" s="21" t="n">
        <f aca="false">IF(G33418=Assumptions!$K$62,1,0)</f>
        <v>0</v>
      </c>
      <c r="H33520" s="21" t="n">
        <f aca="false">IF(H33418=Assumptions!$K$62,1,0)</f>
        <v>1</v>
      </c>
      <c r="I33520" s="21" t="n">
        <f aca="false">IF(I33418=Assumptions!$K$62,1,0)</f>
        <v>0</v>
      </c>
      <c r="J33520" s="21" t="n">
        <f aca="false">IF(J33418=Assumptions!$K$62,1,0)</f>
        <v>0</v>
      </c>
      <c r="K33520" s="21" t="n">
        <f aca="false">IF(K33418=Assumptions!$K$62,1,0)</f>
        <v>0</v>
      </c>
    </row>
    <row r="33522" customFormat="false" ht="15" hidden="false" customHeight="false" outlineLevel="0" collapsed="false">
      <c r="A33522" s="3" t="s">
        <v>331</v>
      </c>
      <c r="G33522" s="31" t="n">
        <f aca="false">IF(Assumptions!$I$62=1,MAX(G33444,Assumptions!$G$62)+Assumptions!$F$62+$C$33445,Assumptions!$E$62)</f>
        <v>0.083</v>
      </c>
      <c r="H33522" s="31" t="n">
        <f aca="false">IF(G33769=1,$C$33446,IF(Assumptions!$I$62=1,MAX(H33444,Assumptions!$G$62)+Assumptions!$F$62+$C$33445,Assumptions!$E$62))</f>
        <v>0.083</v>
      </c>
      <c r="I33522" s="31" t="n">
        <f aca="false">IF(H33769=1,$C$33446,IF(Assumptions!$I$62=1,MAX(I33444,Assumptions!$G$62)+Assumptions!$F$62+$C$33445,Assumptions!$E$62))</f>
        <v>0.08</v>
      </c>
      <c r="J33522" s="31" t="n">
        <f aca="false">IF(I33769=1,$C$33446,IF(Assumptions!$I$62=1,MAX(J33444,Assumptions!$G$62)+Assumptions!$F$62+$C$33445,Assumptions!$E$62))</f>
        <v>0.08</v>
      </c>
      <c r="K33522" s="31" t="n">
        <f aca="false">IF(J33769=1,$C$33446,IF(Assumptions!$I$62=1,MAX(K33444,Assumptions!$G$62)+Assumptions!$F$62+$C$33445,Assumptions!$E$62))</f>
        <v>0.08</v>
      </c>
    </row>
    <row r="33523" customFormat="false" ht="15" hidden="false" customHeight="false" outlineLevel="0" collapsed="false">
      <c r="A33523" s="3" t="s">
        <v>332</v>
      </c>
      <c r="G33523" s="16" t="n">
        <f aca="false">G33519*G33522</f>
        <v>29.05</v>
      </c>
      <c r="H33523" s="16" t="n">
        <f aca="false">H33519*H33522</f>
        <v>29.05</v>
      </c>
      <c r="I33523" s="16" t="n">
        <f aca="false">I33519*I33522</f>
        <v>28</v>
      </c>
      <c r="J33523" s="16" t="n">
        <f aca="false">J33519*J33522</f>
        <v>28</v>
      </c>
      <c r="K33523" s="16" t="n">
        <f aca="false">K33519*K33522</f>
        <v>28</v>
      </c>
    </row>
    <row r="33524" customFormat="false" ht="15" hidden="false" customHeight="false" outlineLevel="0" collapsed="false">
      <c r="A33524" s="3" t="s">
        <v>333</v>
      </c>
      <c r="G33524" s="16" t="n">
        <f aca="false">G33519*Assumptions!$H$62</f>
        <v>0</v>
      </c>
      <c r="H33524" s="16" t="n">
        <f aca="false">H33519*Assumptions!$H$62</f>
        <v>0</v>
      </c>
      <c r="I33524" s="16" t="n">
        <f aca="false">I33519*Assumptions!$H$62</f>
        <v>0</v>
      </c>
      <c r="J33524" s="16" t="n">
        <f aca="false">J33519*Assumptions!$H$62</f>
        <v>0</v>
      </c>
      <c r="K33524" s="16" t="n">
        <f aca="false">K33519*Assumptions!$H$62</f>
        <v>0</v>
      </c>
    </row>
    <row r="33525" customFormat="false" ht="15" hidden="false" customHeight="false" outlineLevel="0" collapsed="false">
      <c r="A33525" s="3" t="s">
        <v>334</v>
      </c>
      <c r="G33525" s="16" t="n">
        <f aca="false">MIN(G33519,Assumptions!$L$62*Assumptions!$C$62)</f>
        <v>0</v>
      </c>
      <c r="H33525" s="16" t="n">
        <f aca="false">MIN(H33519,Assumptions!$L$62*Assumptions!$C$62)</f>
        <v>0</v>
      </c>
      <c r="I33525" s="16" t="n">
        <f aca="false">MIN(I33519,Assumptions!$L$62*Assumptions!$C$62)</f>
        <v>0</v>
      </c>
      <c r="J33525" s="16" t="n">
        <f aca="false">MIN(J33519,Assumptions!$L$62*Assumptions!$C$62)</f>
        <v>0</v>
      </c>
      <c r="K33525" s="16" t="n">
        <f aca="false">MIN(K33519,Assumptions!$L$62*Assumptions!$C$62)</f>
        <v>0</v>
      </c>
    </row>
    <row r="33526" customFormat="false" ht="15" hidden="false" customHeight="false" outlineLevel="0" collapsed="false">
      <c r="A33526" s="3" t="s">
        <v>335</v>
      </c>
      <c r="G33526" s="16" t="n">
        <f aca="false">IF(AND(Assumptions!$P$62=1,G33418&lt;Assumptions!$K$62),MIN(MAX(0,-G33634),MAX(0,Assumptions!$D$62-G33519)),0)</f>
        <v>0</v>
      </c>
      <c r="H33526" s="16" t="n">
        <f aca="false">IF(AND(Assumptions!$P$62=1,OR(H33418&lt;Assumptions!$K$62,G33769=1)),MIN(MAX(0,-H33634),MAX(0,Assumptions!$D$62-H33519)),0)</f>
        <v>0</v>
      </c>
      <c r="I33526" s="16" t="n">
        <f aca="false">IF(AND(Assumptions!$P$62=1,OR(I33418&lt;Assumptions!$K$62,H33769=1)),MIN(MAX(0,-I33634),MAX(0,Assumptions!$D$62-I33519)),0)</f>
        <v>0</v>
      </c>
      <c r="J33526" s="16" t="n">
        <f aca="false">IF(AND(Assumptions!$P$62=1,OR(J33418&lt;Assumptions!$K$62,I33769=1)),MIN(MAX(0,-J33634),MAX(0,Assumptions!$D$62-J33519)),0)</f>
        <v>0</v>
      </c>
      <c r="K33526" s="16" t="n">
        <f aca="false">IF(AND(Assumptions!$P$62=1,OR(K33418&lt;Assumptions!$K$62,J33769=1)),MIN(MAX(0,-K33634),MAX(0,Assumptions!$D$62-K33519)),0)</f>
        <v>0</v>
      </c>
    </row>
    <row r="33527" customFormat="false" ht="15" hidden="false" customHeight="false" outlineLevel="0" collapsed="false">
      <c r="A33527" s="3" t="s">
        <v>336</v>
      </c>
      <c r="G33527" s="16" t="n">
        <f aca="false">G33520*MIN(G33519-G33525+G33524,MAX(0,G33636-Assumptions!$C$12*G33452-G33462-G33475-G33488-G33501-G33514))</f>
        <v>0</v>
      </c>
      <c r="H33527" s="16" t="n">
        <f aca="false">H33520*MIN(H33519-H33525+H33524,MAX(0,H33636-Assumptions!$C$12*H33452-H33462-H33475-H33488-H33501-H33514))</f>
        <v>0</v>
      </c>
      <c r="I33527" s="16" t="n">
        <f aca="false">I33520*MIN(I33519-I33525+I33524,MAX(0,I33636-Assumptions!$C$12*I33452-I33462-I33475-I33488-I33501-I33514))</f>
        <v>0</v>
      </c>
      <c r="J33527" s="16" t="n">
        <f aca="false">J33520*MIN(J33519-J33525+J33524,MAX(0,J33636-Assumptions!$C$12*J33452-J33462-J33475-J33488-J33501-J33514))</f>
        <v>0</v>
      </c>
      <c r="K33527" s="16" t="n">
        <f aca="false">K33520*MIN(K33519-K33525+K33524,MAX(0,K33636-Assumptions!$C$12*K33452-K33462-K33475-K33488-K33501-K33514))</f>
        <v>0</v>
      </c>
    </row>
    <row r="33528" customFormat="false" ht="15" hidden="false" customHeight="false" outlineLevel="0" collapsed="false">
      <c r="A33528" s="3" t="s">
        <v>337</v>
      </c>
      <c r="G33528" s="16" t="n">
        <f aca="false">Assumptions!$N$62*MIN(G33519+G33526+G33524-G33525-G33527,MAX(0,G33640-G33463-G33476-G33489-G33502-G33515))</f>
        <v>0</v>
      </c>
      <c r="H33528" s="16" t="n">
        <f aca="false">Assumptions!$N$62*MIN(H33519+H33526+H33524-H33525-H33527,MAX(0,H33640-H33463-H33476-H33489-H33502-H33515))</f>
        <v>0</v>
      </c>
      <c r="I33528" s="16" t="n">
        <f aca="false">Assumptions!$N$62*MIN(I33519+I33526+I33524-I33525-I33527,MAX(0,I33640-I33463-I33476-I33489-I33502-I33515))</f>
        <v>0</v>
      </c>
      <c r="J33528" s="16" t="n">
        <f aca="false">Assumptions!$N$62*MIN(J33519+J33526+J33524-J33525-J33527,MAX(0,J33640-J33463-J33476-J33489-J33502-J33515))</f>
        <v>0</v>
      </c>
      <c r="K33528" s="16" t="n">
        <f aca="false">Assumptions!$N$62*MIN(K33519+K33526+K33524-K33525-K33527,MAX(0,K33640-K33463-K33476-K33489-K33502-K33515))</f>
        <v>0</v>
      </c>
    </row>
    <row r="33529" customFormat="false" ht="15" hidden="false" customHeight="false" outlineLevel="0" collapsed="false">
      <c r="A33529" s="3" t="s">
        <v>338</v>
      </c>
      <c r="G33529" s="16" t="n">
        <f aca="false">G33520*(1-G33452)*(G33519-G33525+G33524-G33527)</f>
        <v>0</v>
      </c>
      <c r="H33529" s="16" t="n">
        <f aca="false">H33520*(1-H33452)*(H33519-H33525+H33524-H33527)</f>
        <v>0</v>
      </c>
      <c r="I33529" s="16" t="n">
        <f aca="false">I33520*(1-I33452)*(I33519-I33525+I33524-I33527)</f>
        <v>0</v>
      </c>
      <c r="J33529" s="16" t="n">
        <f aca="false">J33520*(1-J33452)*(J33519-J33525+J33524-J33527)</f>
        <v>0</v>
      </c>
      <c r="K33529" s="16" t="n">
        <f aca="false">K33520*(1-K33452)*(K33519-K33525+K33524-K33527)</f>
        <v>0</v>
      </c>
    </row>
    <row r="33530" customFormat="false" ht="15" hidden="false" customHeight="false" outlineLevel="0" collapsed="false">
      <c r="A33530" s="2" t="s">
        <v>339</v>
      </c>
      <c r="F33530" s="28" t="n">
        <f aca="false">Assumptions!$C$62</f>
        <v>350</v>
      </c>
      <c r="G33530" s="17" t="n">
        <f aca="false">G33519+G33526+G33524-G33525-G33527-G33528</f>
        <v>350</v>
      </c>
      <c r="H33530" s="17" t="n">
        <f aca="false">H33519+H33526+H33524-H33525-H33527-H33528</f>
        <v>350</v>
      </c>
      <c r="I33530" s="17" t="n">
        <f aca="false">I33519+I33526+I33524-I33525-I33527-I33528</f>
        <v>350</v>
      </c>
      <c r="J33530" s="17" t="n">
        <f aca="false">J33519+J33526+J33524-J33525-J33527-J33528</f>
        <v>350</v>
      </c>
      <c r="K33530" s="17" t="n">
        <f aca="false">K33519+K33526+K33524-K33525-K33527-K33528</f>
        <v>350</v>
      </c>
    </row>
    <row r="33531" customFormat="false" ht="15" hidden="false" customHeight="false" outlineLevel="0" collapsed="false">
      <c r="A33531" s="24" t="s">
        <v>345</v>
      </c>
      <c r="B33531" s="25"/>
      <c r="C33531" s="25"/>
      <c r="D33531" s="25"/>
      <c r="E33531" s="25"/>
      <c r="F33531" s="25"/>
      <c r="G33531" s="25"/>
      <c r="H33531" s="25"/>
      <c r="I33531" s="25"/>
      <c r="J33531" s="25"/>
      <c r="K33531" s="25"/>
    </row>
    <row r="33532" customFormat="false" ht="15" hidden="false" customHeight="false" outlineLevel="0" collapsed="false">
      <c r="A33532" s="3" t="s">
        <v>329</v>
      </c>
      <c r="G33532" s="16" t="n">
        <f aca="false">F33543</f>
        <v>550</v>
      </c>
      <c r="H33532" s="16" t="n">
        <f aca="false">G33543</f>
        <v>550</v>
      </c>
      <c r="I33532" s="16" t="n">
        <f aca="false">H33543</f>
        <v>550</v>
      </c>
      <c r="J33532" s="16" t="n">
        <f aca="false">I33543</f>
        <v>550</v>
      </c>
      <c r="K33532" s="16" t="n">
        <f aca="false">J33543</f>
        <v>550</v>
      </c>
    </row>
    <row r="33533" customFormat="false" ht="15" hidden="false" customHeight="false" outlineLevel="0" collapsed="false">
      <c r="A33533" s="3" t="s">
        <v>330</v>
      </c>
      <c r="G33533" s="21" t="n">
        <f aca="false">IF(G33418=Assumptions!$K$63,1,0)</f>
        <v>0</v>
      </c>
      <c r="H33533" s="21" t="n">
        <f aca="false">IF(H33418=Assumptions!$K$63,1,0)</f>
        <v>0</v>
      </c>
      <c r="I33533" s="21" t="n">
        <f aca="false">IF(I33418=Assumptions!$K$63,1,0)</f>
        <v>1</v>
      </c>
      <c r="J33533" s="21" t="n">
        <f aca="false">IF(J33418=Assumptions!$K$63,1,0)</f>
        <v>0</v>
      </c>
      <c r="K33533" s="21" t="n">
        <f aca="false">IF(K33418=Assumptions!$K$63,1,0)</f>
        <v>0</v>
      </c>
    </row>
    <row r="33535" customFormat="false" ht="15" hidden="false" customHeight="false" outlineLevel="0" collapsed="false">
      <c r="A33535" s="3" t="s">
        <v>331</v>
      </c>
      <c r="G33535" s="31" t="n">
        <f aca="false">IF(Assumptions!$I$63=1,MAX(G33444,Assumptions!$G$63)+Assumptions!$F$63+$C$33445,Assumptions!$E$63)</f>
        <v>0.08875</v>
      </c>
      <c r="H33535" s="31" t="n">
        <f aca="false">IF(G33770=1,$C$33446,IF(Assumptions!$I$63=1,MAX(H33444,Assumptions!$G$63)+Assumptions!$F$63+$C$33445,Assumptions!$E$63))</f>
        <v>0.08875</v>
      </c>
      <c r="I33535" s="31" t="n">
        <f aca="false">IF(H33770=1,$C$33446,IF(Assumptions!$I$63=1,MAX(I33444,Assumptions!$G$63)+Assumptions!$F$63+$C$33445,Assumptions!$E$63))</f>
        <v>0.08875</v>
      </c>
      <c r="J33535" s="31" t="n">
        <f aca="false">IF(I33770=1,$C$33446,IF(Assumptions!$I$63=1,MAX(J33444,Assumptions!$G$63)+Assumptions!$F$63+$C$33445,Assumptions!$E$63))</f>
        <v>0.08</v>
      </c>
      <c r="K33535" s="31" t="n">
        <f aca="false">IF(J33770=1,$C$33446,IF(Assumptions!$I$63=1,MAX(K33444,Assumptions!$G$63)+Assumptions!$F$63+$C$33445,Assumptions!$E$63))</f>
        <v>0.08</v>
      </c>
    </row>
    <row r="33536" customFormat="false" ht="15" hidden="false" customHeight="false" outlineLevel="0" collapsed="false">
      <c r="A33536" s="3" t="s">
        <v>332</v>
      </c>
      <c r="G33536" s="16" t="n">
        <f aca="false">G33532*G33535</f>
        <v>48.8125</v>
      </c>
      <c r="H33536" s="16" t="n">
        <f aca="false">H33532*H33535</f>
        <v>48.8125</v>
      </c>
      <c r="I33536" s="16" t="n">
        <f aca="false">I33532*I33535</f>
        <v>48.8125</v>
      </c>
      <c r="J33536" s="16" t="n">
        <f aca="false">J33532*J33535</f>
        <v>44</v>
      </c>
      <c r="K33536" s="16" t="n">
        <f aca="false">K33532*K33535</f>
        <v>44</v>
      </c>
    </row>
    <row r="33537" customFormat="false" ht="15" hidden="false" customHeight="false" outlineLevel="0" collapsed="false">
      <c r="A33537" s="3" t="s">
        <v>333</v>
      </c>
      <c r="G33537" s="16" t="n">
        <f aca="false">G33532*Assumptions!$H$63</f>
        <v>0</v>
      </c>
      <c r="H33537" s="16" t="n">
        <f aca="false">H33532*Assumptions!$H$63</f>
        <v>0</v>
      </c>
      <c r="I33537" s="16" t="n">
        <f aca="false">I33532*Assumptions!$H$63</f>
        <v>0</v>
      </c>
      <c r="J33537" s="16" t="n">
        <f aca="false">J33532*Assumptions!$H$63</f>
        <v>0</v>
      </c>
      <c r="K33537" s="16" t="n">
        <f aca="false">K33532*Assumptions!$H$63</f>
        <v>0</v>
      </c>
    </row>
    <row r="33538" customFormat="false" ht="15" hidden="false" customHeight="false" outlineLevel="0" collapsed="false">
      <c r="A33538" s="3" t="s">
        <v>334</v>
      </c>
      <c r="G33538" s="16" t="n">
        <f aca="false">MIN(G33532,Assumptions!$L$63*Assumptions!$C$63)</f>
        <v>0</v>
      </c>
      <c r="H33538" s="16" t="n">
        <f aca="false">MIN(H33532,Assumptions!$L$63*Assumptions!$C$63)</f>
        <v>0</v>
      </c>
      <c r="I33538" s="16" t="n">
        <f aca="false">MIN(I33532,Assumptions!$L$63*Assumptions!$C$63)</f>
        <v>0</v>
      </c>
      <c r="J33538" s="16" t="n">
        <f aca="false">MIN(J33532,Assumptions!$L$63*Assumptions!$C$63)</f>
        <v>0</v>
      </c>
      <c r="K33538" s="16" t="n">
        <f aca="false">MIN(K33532,Assumptions!$L$63*Assumptions!$C$63)</f>
        <v>0</v>
      </c>
    </row>
    <row r="33539" customFormat="false" ht="15" hidden="false" customHeight="false" outlineLevel="0" collapsed="false">
      <c r="A33539" s="3" t="s">
        <v>335</v>
      </c>
      <c r="G33539" s="16" t="n">
        <f aca="false">IF(AND(Assumptions!$P$63=1,G33418&lt;Assumptions!$K$63),MIN(MAX(0,-G33634),MAX(0,Assumptions!$D$63-G33532)),0)</f>
        <v>0</v>
      </c>
      <c r="H33539" s="16" t="n">
        <f aca="false">IF(AND(Assumptions!$P$63=1,OR(H33418&lt;Assumptions!$K$63,G33770=1)),MIN(MAX(0,-H33634),MAX(0,Assumptions!$D$63-H33532)),0)</f>
        <v>0</v>
      </c>
      <c r="I33539" s="16" t="n">
        <f aca="false">IF(AND(Assumptions!$P$63=1,OR(I33418&lt;Assumptions!$K$63,H33770=1)),MIN(MAX(0,-I33634),MAX(0,Assumptions!$D$63-I33532)),0)</f>
        <v>0</v>
      </c>
      <c r="J33539" s="16" t="n">
        <f aca="false">IF(AND(Assumptions!$P$63=1,OR(J33418&lt;Assumptions!$K$63,I33770=1)),MIN(MAX(0,-J33634),MAX(0,Assumptions!$D$63-J33532)),0)</f>
        <v>0</v>
      </c>
      <c r="K33539" s="16" t="n">
        <f aca="false">IF(AND(Assumptions!$P$63=1,OR(K33418&lt;Assumptions!$K$63,J33770=1)),MIN(MAX(0,-K33634),MAX(0,Assumptions!$D$63-K33532)),0)</f>
        <v>0</v>
      </c>
    </row>
    <row r="33540" customFormat="false" ht="15" hidden="false" customHeight="false" outlineLevel="0" collapsed="false">
      <c r="A33540" s="3" t="s">
        <v>336</v>
      </c>
      <c r="G33540" s="16" t="n">
        <f aca="false">G33533*MIN(G33532-G33538+G33537,MAX(0,G33636-Assumptions!$C$12*G33452-G33462-G33475-G33488-G33501-G33514-G33527))</f>
        <v>0</v>
      </c>
      <c r="H33540" s="16" t="n">
        <f aca="false">H33533*MIN(H33532-H33538+H33537,MAX(0,H33636-Assumptions!$C$12*H33452-H33462-H33475-H33488-H33501-H33514-H33527))</f>
        <v>0</v>
      </c>
      <c r="I33540" s="16" t="n">
        <f aca="false">I33533*MIN(I33532-I33538+I33537,MAX(0,I33636-Assumptions!$C$12*I33452-I33462-I33475-I33488-I33501-I33514-I33527))</f>
        <v>0</v>
      </c>
      <c r="J33540" s="16" t="n">
        <f aca="false">J33533*MIN(J33532-J33538+J33537,MAX(0,J33636-Assumptions!$C$12*J33452-J33462-J33475-J33488-J33501-J33514-J33527))</f>
        <v>0</v>
      </c>
      <c r="K33540" s="16" t="n">
        <f aca="false">K33533*MIN(K33532-K33538+K33537,MAX(0,K33636-Assumptions!$C$12*K33452-K33462-K33475-K33488-K33501-K33514-K33527))</f>
        <v>0</v>
      </c>
    </row>
    <row r="33541" customFormat="false" ht="15" hidden="false" customHeight="false" outlineLevel="0" collapsed="false">
      <c r="A33541" s="3" t="s">
        <v>337</v>
      </c>
      <c r="G33541" s="16" t="n">
        <f aca="false">Assumptions!$N$63*MIN(G33532+G33539+G33537-G33538-G33540,MAX(0,G33640-G33463-G33476-G33489-G33502-G33515-G33528))</f>
        <v>0</v>
      </c>
      <c r="H33541" s="16" t="n">
        <f aca="false">Assumptions!$N$63*MIN(H33532+H33539+H33537-H33538-H33540,MAX(0,H33640-H33463-H33476-H33489-H33502-H33515-H33528))</f>
        <v>0</v>
      </c>
      <c r="I33541" s="16" t="n">
        <f aca="false">Assumptions!$N$63*MIN(I33532+I33539+I33537-I33538-I33540,MAX(0,I33640-I33463-I33476-I33489-I33502-I33515-I33528))</f>
        <v>0</v>
      </c>
      <c r="J33541" s="16" t="n">
        <f aca="false">Assumptions!$N$63*MIN(J33532+J33539+J33537-J33538-J33540,MAX(0,J33640-J33463-J33476-J33489-J33502-J33515-J33528))</f>
        <v>0</v>
      </c>
      <c r="K33541" s="16" t="n">
        <f aca="false">Assumptions!$N$63*MIN(K33532+K33539+K33537-K33538-K33540,MAX(0,K33640-K33463-K33476-K33489-K33502-K33515-K33528))</f>
        <v>0</v>
      </c>
    </row>
    <row r="33542" customFormat="false" ht="15" hidden="false" customHeight="false" outlineLevel="0" collapsed="false">
      <c r="A33542" s="3" t="s">
        <v>338</v>
      </c>
      <c r="G33542" s="16" t="n">
        <f aca="false">G33533*(1-G33452)*(G33532-G33538+G33537-G33540)</f>
        <v>0</v>
      </c>
      <c r="H33542" s="16" t="n">
        <f aca="false">H33533*(1-H33452)*(H33532-H33538+H33537-H33540)</f>
        <v>0</v>
      </c>
      <c r="I33542" s="16" t="n">
        <f aca="false">I33533*(1-I33452)*(I33532-I33538+I33537-I33540)</f>
        <v>0</v>
      </c>
      <c r="J33542" s="16" t="n">
        <f aca="false">J33533*(1-J33452)*(J33532-J33538+J33537-J33540)</f>
        <v>0</v>
      </c>
      <c r="K33542" s="16" t="n">
        <f aca="false">K33533*(1-K33452)*(K33532-K33538+K33537-K33540)</f>
        <v>0</v>
      </c>
    </row>
    <row r="33543" customFormat="false" ht="15" hidden="false" customHeight="false" outlineLevel="0" collapsed="false">
      <c r="A33543" s="2" t="s">
        <v>339</v>
      </c>
      <c r="F33543" s="28" t="n">
        <f aca="false">Assumptions!$C$63</f>
        <v>550</v>
      </c>
      <c r="G33543" s="17" t="n">
        <f aca="false">G33532+G33539+G33537-G33538-G33540-G33541</f>
        <v>550</v>
      </c>
      <c r="H33543" s="17" t="n">
        <f aca="false">H33532+H33539+H33537-H33538-H33540-H33541</f>
        <v>550</v>
      </c>
      <c r="I33543" s="17" t="n">
        <f aca="false">I33532+I33539+I33537-I33538-I33540-I33541</f>
        <v>550</v>
      </c>
      <c r="J33543" s="17" t="n">
        <f aca="false">J33532+J33539+J33537-J33538-J33540-J33541</f>
        <v>550</v>
      </c>
      <c r="K33543" s="17" t="n">
        <f aca="false">K33532+K33539+K33537-K33538-K33540-K33541</f>
        <v>550</v>
      </c>
    </row>
    <row r="33544" customFormat="false" ht="15" hidden="false" customHeight="false" outlineLevel="0" collapsed="false">
      <c r="A33544" s="24" t="s">
        <v>346</v>
      </c>
      <c r="B33544" s="25"/>
      <c r="C33544" s="25"/>
      <c r="D33544" s="25"/>
      <c r="E33544" s="25"/>
      <c r="F33544" s="25"/>
      <c r="G33544" s="25"/>
      <c r="H33544" s="25"/>
      <c r="I33544" s="25"/>
      <c r="J33544" s="25"/>
      <c r="K33544" s="25"/>
    </row>
    <row r="33545" customFormat="false" ht="15" hidden="false" customHeight="false" outlineLevel="0" collapsed="false">
      <c r="A33545" s="3" t="s">
        <v>329</v>
      </c>
      <c r="G33545" s="16" t="n">
        <f aca="false">F33556</f>
        <v>350</v>
      </c>
      <c r="H33545" s="16" t="n">
        <f aca="false">G33556</f>
        <v>350</v>
      </c>
      <c r="I33545" s="16" t="n">
        <f aca="false">H33556</f>
        <v>350</v>
      </c>
      <c r="J33545" s="16" t="n">
        <f aca="false">I33556</f>
        <v>350</v>
      </c>
      <c r="K33545" s="16" t="n">
        <f aca="false">J33556</f>
        <v>350</v>
      </c>
    </row>
    <row r="33546" customFormat="false" ht="15" hidden="false" customHeight="false" outlineLevel="0" collapsed="false">
      <c r="A33546" s="3" t="s">
        <v>330</v>
      </c>
      <c r="G33546" s="21" t="n">
        <f aca="false">IF(G33418=Assumptions!$K$64,1,0)</f>
        <v>0</v>
      </c>
      <c r="H33546" s="21" t="n">
        <f aca="false">IF(H33418=Assumptions!$K$64,1,0)</f>
        <v>0</v>
      </c>
      <c r="I33546" s="21" t="n">
        <f aca="false">IF(I33418=Assumptions!$K$64,1,0)</f>
        <v>0</v>
      </c>
      <c r="J33546" s="21" t="n">
        <f aca="false">IF(J33418=Assumptions!$K$64,1,0)</f>
        <v>1</v>
      </c>
      <c r="K33546" s="21" t="n">
        <f aca="false">IF(K33418=Assumptions!$K$64,1,0)</f>
        <v>0</v>
      </c>
    </row>
    <row r="33548" customFormat="false" ht="15" hidden="false" customHeight="false" outlineLevel="0" collapsed="false">
      <c r="A33548" s="3" t="s">
        <v>331</v>
      </c>
      <c r="G33548" s="31" t="n">
        <f aca="false">IF(Assumptions!$I$64=1,MAX(G33444,Assumptions!$G$64)+Assumptions!$F$64+$C$33445,Assumptions!$E$64)</f>
        <v>0.0455</v>
      </c>
      <c r="H33548" s="31" t="n">
        <f aca="false">IF(G33771=1,$C$33446,IF(Assumptions!$I$64=1,MAX(H33444,Assumptions!$G$64)+Assumptions!$F$64+$C$33445,Assumptions!$E$64))</f>
        <v>0.0455</v>
      </c>
      <c r="I33548" s="31" t="n">
        <f aca="false">IF(H33771=1,$C$33446,IF(Assumptions!$I$64=1,MAX(I33444,Assumptions!$G$64)+Assumptions!$F$64+$C$33445,Assumptions!$E$64))</f>
        <v>0.0455</v>
      </c>
      <c r="J33548" s="31" t="n">
        <f aca="false">IF(I33771=1,$C$33446,IF(Assumptions!$I$64=1,MAX(J33444,Assumptions!$G$64)+Assumptions!$F$64+$C$33445,Assumptions!$E$64))</f>
        <v>0.0455</v>
      </c>
      <c r="K33548" s="31" t="n">
        <f aca="false">IF(J33771=1,$C$33446,IF(Assumptions!$I$64=1,MAX(K33444,Assumptions!$G$64)+Assumptions!$F$64+$C$33445,Assumptions!$E$64))</f>
        <v>0.08</v>
      </c>
    </row>
    <row r="33549" customFormat="false" ht="15" hidden="false" customHeight="false" outlineLevel="0" collapsed="false">
      <c r="A33549" s="3" t="s">
        <v>332</v>
      </c>
      <c r="G33549" s="16" t="n">
        <f aca="false">G33545*G33548</f>
        <v>15.925</v>
      </c>
      <c r="H33549" s="16" t="n">
        <f aca="false">H33545*H33548</f>
        <v>15.925</v>
      </c>
      <c r="I33549" s="16" t="n">
        <f aca="false">I33545*I33548</f>
        <v>15.925</v>
      </c>
      <c r="J33549" s="16" t="n">
        <f aca="false">J33545*J33548</f>
        <v>15.925</v>
      </c>
      <c r="K33549" s="16" t="n">
        <f aca="false">K33545*K33548</f>
        <v>28</v>
      </c>
    </row>
    <row r="33550" customFormat="false" ht="15" hidden="false" customHeight="false" outlineLevel="0" collapsed="false">
      <c r="A33550" s="3" t="s">
        <v>333</v>
      </c>
      <c r="G33550" s="16" t="n">
        <f aca="false">G33545*Assumptions!$H$64</f>
        <v>0</v>
      </c>
      <c r="H33550" s="16" t="n">
        <f aca="false">H33545*Assumptions!$H$64</f>
        <v>0</v>
      </c>
      <c r="I33550" s="16" t="n">
        <f aca="false">I33545*Assumptions!$H$64</f>
        <v>0</v>
      </c>
      <c r="J33550" s="16" t="n">
        <f aca="false">J33545*Assumptions!$H$64</f>
        <v>0</v>
      </c>
      <c r="K33550" s="16" t="n">
        <f aca="false">K33545*Assumptions!$H$64</f>
        <v>0</v>
      </c>
    </row>
    <row r="33551" customFormat="false" ht="15" hidden="false" customHeight="false" outlineLevel="0" collapsed="false">
      <c r="A33551" s="3" t="s">
        <v>334</v>
      </c>
      <c r="G33551" s="16" t="n">
        <f aca="false">MIN(G33545,Assumptions!$L$64*Assumptions!$C$64)</f>
        <v>0</v>
      </c>
      <c r="H33551" s="16" t="n">
        <f aca="false">MIN(H33545,Assumptions!$L$64*Assumptions!$C$64)</f>
        <v>0</v>
      </c>
      <c r="I33551" s="16" t="n">
        <f aca="false">MIN(I33545,Assumptions!$L$64*Assumptions!$C$64)</f>
        <v>0</v>
      </c>
      <c r="J33551" s="16" t="n">
        <f aca="false">MIN(J33545,Assumptions!$L$64*Assumptions!$C$64)</f>
        <v>0</v>
      </c>
      <c r="K33551" s="16" t="n">
        <f aca="false">MIN(K33545,Assumptions!$L$64*Assumptions!$C$64)</f>
        <v>0</v>
      </c>
    </row>
    <row r="33552" customFormat="false" ht="15" hidden="false" customHeight="false" outlineLevel="0" collapsed="false">
      <c r="A33552" s="3" t="s">
        <v>335</v>
      </c>
      <c r="G33552" s="16" t="n">
        <f aca="false">IF(AND(Assumptions!$P$64=1,G33418&lt;Assumptions!$K$64),MIN(MAX(0,-G33634),MAX(0,Assumptions!$D$64-G33545)),0)</f>
        <v>0</v>
      </c>
      <c r="H33552" s="16" t="n">
        <f aca="false">IF(AND(Assumptions!$P$64=1,OR(H33418&lt;Assumptions!$K$64,G33771=1)),MIN(MAX(0,-H33634),MAX(0,Assumptions!$D$64-H33545)),0)</f>
        <v>0</v>
      </c>
      <c r="I33552" s="16" t="n">
        <f aca="false">IF(AND(Assumptions!$P$64=1,OR(I33418&lt;Assumptions!$K$64,H33771=1)),MIN(MAX(0,-I33634),MAX(0,Assumptions!$D$64-I33545)),0)</f>
        <v>0</v>
      </c>
      <c r="J33552" s="16" t="n">
        <f aca="false">IF(AND(Assumptions!$P$64=1,OR(J33418&lt;Assumptions!$K$64,I33771=1)),MIN(MAX(0,-J33634),MAX(0,Assumptions!$D$64-J33545)),0)</f>
        <v>0</v>
      </c>
      <c r="K33552" s="16" t="n">
        <f aca="false">IF(AND(Assumptions!$P$64=1,OR(K33418&lt;Assumptions!$K$64,J33771=1)),MIN(MAX(0,-K33634),MAX(0,Assumptions!$D$64-K33545)),0)</f>
        <v>0</v>
      </c>
    </row>
    <row r="33553" customFormat="false" ht="15" hidden="false" customHeight="false" outlineLevel="0" collapsed="false">
      <c r="A33553" s="3" t="s">
        <v>336</v>
      </c>
      <c r="G33553" s="16" t="n">
        <f aca="false">G33546*MIN(G33545-G33551+G33550,MAX(0,G33636-Assumptions!$C$12*G33452-G33462-G33475-G33488-G33501-G33514-G33527-G33540))</f>
        <v>0</v>
      </c>
      <c r="H33553" s="16" t="n">
        <f aca="false">H33546*MIN(H33545-H33551+H33550,MAX(0,H33636-Assumptions!$C$12*H33452-H33462-H33475-H33488-H33501-H33514-H33527-H33540))</f>
        <v>0</v>
      </c>
      <c r="I33553" s="16" t="n">
        <f aca="false">I33546*MIN(I33545-I33551+I33550,MAX(0,I33636-Assumptions!$C$12*I33452-I33462-I33475-I33488-I33501-I33514-I33527-I33540))</f>
        <v>0</v>
      </c>
      <c r="J33553" s="16" t="n">
        <f aca="false">J33546*MIN(J33545-J33551+J33550,MAX(0,J33636-Assumptions!$C$12*J33452-J33462-J33475-J33488-J33501-J33514-J33527-J33540))</f>
        <v>0</v>
      </c>
      <c r="K33553" s="16" t="n">
        <f aca="false">K33546*MIN(K33545-K33551+K33550,MAX(0,K33636-Assumptions!$C$12*K33452-K33462-K33475-K33488-K33501-K33514-K33527-K33540))</f>
        <v>0</v>
      </c>
    </row>
    <row r="33554" customFormat="false" ht="15" hidden="false" customHeight="false" outlineLevel="0" collapsed="false">
      <c r="A33554" s="3" t="s">
        <v>337</v>
      </c>
      <c r="G33554" s="16" t="n">
        <f aca="false">Assumptions!$N$64*MIN(G33545+G33552+G33550-G33551-G33553,MAX(0,G33640-G33463-G33476-G33489-G33502-G33515-G33528-G33541))</f>
        <v>0</v>
      </c>
      <c r="H33554" s="16" t="n">
        <f aca="false">Assumptions!$N$64*MIN(H33545+H33552+H33550-H33551-H33553,MAX(0,H33640-H33463-H33476-H33489-H33502-H33515-H33528-H33541))</f>
        <v>0</v>
      </c>
      <c r="I33554" s="16" t="n">
        <f aca="false">Assumptions!$N$64*MIN(I33545+I33552+I33550-I33551-I33553,MAX(0,I33640-I33463-I33476-I33489-I33502-I33515-I33528-I33541))</f>
        <v>0</v>
      </c>
      <c r="J33554" s="16" t="n">
        <f aca="false">Assumptions!$N$64*MIN(J33545+J33552+J33550-J33551-J33553,MAX(0,J33640-J33463-J33476-J33489-J33502-J33515-J33528-J33541))</f>
        <v>0</v>
      </c>
      <c r="K33554" s="16" t="n">
        <f aca="false">Assumptions!$N$64*MIN(K33545+K33552+K33550-K33551-K33553,MAX(0,K33640-K33463-K33476-K33489-K33502-K33515-K33528-K33541))</f>
        <v>0</v>
      </c>
    </row>
    <row r="33555" customFormat="false" ht="15" hidden="false" customHeight="false" outlineLevel="0" collapsed="false">
      <c r="A33555" s="3" t="s">
        <v>338</v>
      </c>
      <c r="G33555" s="16" t="n">
        <f aca="false">G33546*(1-G33452)*(G33545-G33551+G33550-G33553)</f>
        <v>0</v>
      </c>
      <c r="H33555" s="16" t="n">
        <f aca="false">H33546*(1-H33452)*(H33545-H33551+H33550-H33553)</f>
        <v>0</v>
      </c>
      <c r="I33555" s="16" t="n">
        <f aca="false">I33546*(1-I33452)*(I33545-I33551+I33550-I33553)</f>
        <v>0</v>
      </c>
      <c r="J33555" s="16" t="n">
        <f aca="false">J33546*(1-J33452)*(J33545-J33551+J33550-J33553)</f>
        <v>0</v>
      </c>
      <c r="K33555" s="16" t="n">
        <f aca="false">K33546*(1-K33452)*(K33545-K33551+K33550-K33553)</f>
        <v>0</v>
      </c>
    </row>
    <row r="33556" customFormat="false" ht="15" hidden="false" customHeight="false" outlineLevel="0" collapsed="false">
      <c r="A33556" s="2" t="s">
        <v>339</v>
      </c>
      <c r="F33556" s="28" t="n">
        <f aca="false">Assumptions!$C$64</f>
        <v>350</v>
      </c>
      <c r="G33556" s="17" t="n">
        <f aca="false">G33545+G33552+G33550-G33551-G33553-G33554</f>
        <v>350</v>
      </c>
      <c r="H33556" s="17" t="n">
        <f aca="false">H33545+H33552+H33550-H33551-H33553-H33554</f>
        <v>350</v>
      </c>
      <c r="I33556" s="17" t="n">
        <f aca="false">I33545+I33552+I33550-I33551-I33553-I33554</f>
        <v>350</v>
      </c>
      <c r="J33556" s="17" t="n">
        <f aca="false">J33545+J33552+J33550-J33551-J33553-J33554</f>
        <v>350</v>
      </c>
      <c r="K33556" s="17" t="n">
        <f aca="false">K33545+K33552+K33550-K33551-K33553-K33554</f>
        <v>350</v>
      </c>
    </row>
    <row r="33557" customFormat="false" ht="15" hidden="false" customHeight="false" outlineLevel="0" collapsed="false">
      <c r="A33557" s="24" t="s">
        <v>347</v>
      </c>
      <c r="B33557" s="25"/>
      <c r="C33557" s="25"/>
      <c r="D33557" s="25"/>
      <c r="E33557" s="25"/>
      <c r="F33557" s="25"/>
      <c r="G33557" s="25"/>
      <c r="H33557" s="25"/>
      <c r="I33557" s="25"/>
      <c r="J33557" s="25"/>
      <c r="K33557" s="25"/>
    </row>
    <row r="33558" customFormat="false" ht="15" hidden="false" customHeight="false" outlineLevel="0" collapsed="false">
      <c r="A33558" s="3" t="s">
        <v>329</v>
      </c>
      <c r="G33558" s="16" t="n">
        <f aca="false">F33569</f>
        <v>300</v>
      </c>
      <c r="H33558" s="16" t="n">
        <f aca="false">G33569</f>
        <v>300</v>
      </c>
      <c r="I33558" s="16" t="n">
        <f aca="false">H33569</f>
        <v>300</v>
      </c>
      <c r="J33558" s="16" t="n">
        <f aca="false">I33569</f>
        <v>300</v>
      </c>
      <c r="K33558" s="16" t="n">
        <f aca="false">J33569</f>
        <v>300</v>
      </c>
    </row>
    <row r="33559" customFormat="false" ht="15" hidden="false" customHeight="false" outlineLevel="0" collapsed="false">
      <c r="A33559" s="3" t="s">
        <v>330</v>
      </c>
      <c r="G33559" s="21" t="n">
        <f aca="false">IF(G33418=Assumptions!$K$65,1,0)</f>
        <v>0</v>
      </c>
      <c r="H33559" s="21" t="n">
        <f aca="false">IF(H33418=Assumptions!$K$65,1,0)</f>
        <v>0</v>
      </c>
      <c r="I33559" s="21" t="n">
        <f aca="false">IF(I33418=Assumptions!$K$65,1,0)</f>
        <v>0</v>
      </c>
      <c r="J33559" s="21" t="n">
        <f aca="false">IF(J33418=Assumptions!$K$65,1,0)</f>
        <v>0</v>
      </c>
      <c r="K33559" s="21" t="n">
        <f aca="false">IF(K33418=Assumptions!$K$65,1,0)</f>
        <v>1</v>
      </c>
    </row>
    <row r="33561" customFormat="false" ht="15" hidden="false" customHeight="false" outlineLevel="0" collapsed="false">
      <c r="A33561" s="3" t="s">
        <v>331</v>
      </c>
      <c r="G33561" s="31" t="n">
        <f aca="false">IF(Assumptions!$I$65=1,MAX(G33444,Assumptions!$G$65)+Assumptions!$F$65+$C$33445,Assumptions!$E$65)</f>
        <v>0.06125</v>
      </c>
      <c r="H33561" s="31" t="n">
        <f aca="false">IF(G33772=1,$C$33446,IF(Assumptions!$I$65=1,MAX(H33444,Assumptions!$G$65)+Assumptions!$F$65+$C$33445,Assumptions!$E$65))</f>
        <v>0.06125</v>
      </c>
      <c r="I33561" s="31" t="n">
        <f aca="false">IF(H33772=1,$C$33446,IF(Assumptions!$I$65=1,MAX(I33444,Assumptions!$G$65)+Assumptions!$F$65+$C$33445,Assumptions!$E$65))</f>
        <v>0.06125</v>
      </c>
      <c r="J33561" s="31" t="n">
        <f aca="false">IF(I33772=1,$C$33446,IF(Assumptions!$I$65=1,MAX(J33444,Assumptions!$G$65)+Assumptions!$F$65+$C$33445,Assumptions!$E$65))</f>
        <v>0.06125</v>
      </c>
      <c r="K33561" s="31" t="n">
        <f aca="false">IF(J33772=1,$C$33446,IF(Assumptions!$I$65=1,MAX(K33444,Assumptions!$G$65)+Assumptions!$F$65+$C$33445,Assumptions!$E$65))</f>
        <v>0.06125</v>
      </c>
    </row>
    <row r="33562" customFormat="false" ht="15" hidden="false" customHeight="false" outlineLevel="0" collapsed="false">
      <c r="A33562" s="3" t="s">
        <v>332</v>
      </c>
      <c r="G33562" s="16" t="n">
        <f aca="false">G33558*G33561</f>
        <v>18.375</v>
      </c>
      <c r="H33562" s="16" t="n">
        <f aca="false">H33558*H33561</f>
        <v>18.375</v>
      </c>
      <c r="I33562" s="16" t="n">
        <f aca="false">I33558*I33561</f>
        <v>18.375</v>
      </c>
      <c r="J33562" s="16" t="n">
        <f aca="false">J33558*J33561</f>
        <v>18.375</v>
      </c>
      <c r="K33562" s="16" t="n">
        <f aca="false">K33558*K33561</f>
        <v>18.375</v>
      </c>
    </row>
    <row r="33563" customFormat="false" ht="15" hidden="false" customHeight="false" outlineLevel="0" collapsed="false">
      <c r="A33563" s="3" t="s">
        <v>333</v>
      </c>
      <c r="G33563" s="16" t="n">
        <f aca="false">G33558*Assumptions!$H$65</f>
        <v>0</v>
      </c>
      <c r="H33563" s="16" t="n">
        <f aca="false">H33558*Assumptions!$H$65</f>
        <v>0</v>
      </c>
      <c r="I33563" s="16" t="n">
        <f aca="false">I33558*Assumptions!$H$65</f>
        <v>0</v>
      </c>
      <c r="J33563" s="16" t="n">
        <f aca="false">J33558*Assumptions!$H$65</f>
        <v>0</v>
      </c>
      <c r="K33563" s="16" t="n">
        <f aca="false">K33558*Assumptions!$H$65</f>
        <v>0</v>
      </c>
    </row>
    <row r="33564" customFormat="false" ht="15" hidden="false" customHeight="false" outlineLevel="0" collapsed="false">
      <c r="A33564" s="3" t="s">
        <v>334</v>
      </c>
      <c r="G33564" s="16" t="n">
        <f aca="false">MIN(G33558,Assumptions!$L$65*Assumptions!$C$65)</f>
        <v>0</v>
      </c>
      <c r="H33564" s="16" t="n">
        <f aca="false">MIN(H33558,Assumptions!$L$65*Assumptions!$C$65)</f>
        <v>0</v>
      </c>
      <c r="I33564" s="16" t="n">
        <f aca="false">MIN(I33558,Assumptions!$L$65*Assumptions!$C$65)</f>
        <v>0</v>
      </c>
      <c r="J33564" s="16" t="n">
        <f aca="false">MIN(J33558,Assumptions!$L$65*Assumptions!$C$65)</f>
        <v>0</v>
      </c>
      <c r="K33564" s="16" t="n">
        <f aca="false">MIN(K33558,Assumptions!$L$65*Assumptions!$C$65)</f>
        <v>0</v>
      </c>
    </row>
    <row r="33565" customFormat="false" ht="15" hidden="false" customHeight="false" outlineLevel="0" collapsed="false">
      <c r="A33565" s="3" t="s">
        <v>335</v>
      </c>
      <c r="G33565" s="16" t="n">
        <f aca="false">IF(AND(Assumptions!$P$65=1,G33418&lt;Assumptions!$K$65),MIN(MAX(0,-G33634),MAX(0,Assumptions!$D$65-G33558)),0)</f>
        <v>0</v>
      </c>
      <c r="H33565" s="16" t="n">
        <f aca="false">IF(AND(Assumptions!$P$65=1,OR(H33418&lt;Assumptions!$K$65,G33772=1)),MIN(MAX(0,-H33634),MAX(0,Assumptions!$D$65-H33558)),0)</f>
        <v>0</v>
      </c>
      <c r="I33565" s="16" t="n">
        <f aca="false">IF(AND(Assumptions!$P$65=1,OR(I33418&lt;Assumptions!$K$65,H33772=1)),MIN(MAX(0,-I33634),MAX(0,Assumptions!$D$65-I33558)),0)</f>
        <v>0</v>
      </c>
      <c r="J33565" s="16" t="n">
        <f aca="false">IF(AND(Assumptions!$P$65=1,OR(J33418&lt;Assumptions!$K$65,I33772=1)),MIN(MAX(0,-J33634),MAX(0,Assumptions!$D$65-J33558)),0)</f>
        <v>0</v>
      </c>
      <c r="K33565" s="16" t="n">
        <f aca="false">IF(AND(Assumptions!$P$65=1,OR(K33418&lt;Assumptions!$K$65,J33772=1)),MIN(MAX(0,-K33634),MAX(0,Assumptions!$D$65-K33558)),0)</f>
        <v>0</v>
      </c>
    </row>
    <row r="33566" customFormat="false" ht="15" hidden="false" customHeight="false" outlineLevel="0" collapsed="false">
      <c r="A33566" s="3" t="s">
        <v>336</v>
      </c>
      <c r="G33566" s="16" t="n">
        <f aca="false">G33559*MIN(G33558-G33564+G33563,MAX(0,G33636-Assumptions!$C$12*G33452-G33462-G33475-G33488-G33501-G33514-G33527-G33540-G33553))</f>
        <v>0</v>
      </c>
      <c r="H33566" s="16" t="n">
        <f aca="false">H33559*MIN(H33558-H33564+H33563,MAX(0,H33636-Assumptions!$C$12*H33452-H33462-H33475-H33488-H33501-H33514-H33527-H33540-H33553))</f>
        <v>0</v>
      </c>
      <c r="I33566" s="16" t="n">
        <f aca="false">I33559*MIN(I33558-I33564+I33563,MAX(0,I33636-Assumptions!$C$12*I33452-I33462-I33475-I33488-I33501-I33514-I33527-I33540-I33553))</f>
        <v>0</v>
      </c>
      <c r="J33566" s="16" t="n">
        <f aca="false">J33559*MIN(J33558-J33564+J33563,MAX(0,J33636-Assumptions!$C$12*J33452-J33462-J33475-J33488-J33501-J33514-J33527-J33540-J33553))</f>
        <v>0</v>
      </c>
      <c r="K33566" s="16" t="n">
        <f aca="false">K33559*MIN(K33558-K33564+K33563,MAX(0,K33636-Assumptions!$C$12*K33452-K33462-K33475-K33488-K33501-K33514-K33527-K33540-K33553))</f>
        <v>0</v>
      </c>
    </row>
    <row r="33567" customFormat="false" ht="15" hidden="false" customHeight="false" outlineLevel="0" collapsed="false">
      <c r="A33567" s="3" t="s">
        <v>337</v>
      </c>
      <c r="G33567" s="16" t="n">
        <f aca="false">Assumptions!$N$65*MIN(G33558+G33565+G33563-G33564-G33566,MAX(0,G33640-G33463-G33476-G33489-G33502-G33515-G33528-G33541-G33554))</f>
        <v>0</v>
      </c>
      <c r="H33567" s="16" t="n">
        <f aca="false">Assumptions!$N$65*MIN(H33558+H33565+H33563-H33564-H33566,MAX(0,H33640-H33463-H33476-H33489-H33502-H33515-H33528-H33541-H33554))</f>
        <v>0</v>
      </c>
      <c r="I33567" s="16" t="n">
        <f aca="false">Assumptions!$N$65*MIN(I33558+I33565+I33563-I33564-I33566,MAX(0,I33640-I33463-I33476-I33489-I33502-I33515-I33528-I33541-I33554))</f>
        <v>0</v>
      </c>
      <c r="J33567" s="16" t="n">
        <f aca="false">Assumptions!$N$65*MIN(J33558+J33565+J33563-J33564-J33566,MAX(0,J33640-J33463-J33476-J33489-J33502-J33515-J33528-J33541-J33554))</f>
        <v>0</v>
      </c>
      <c r="K33567" s="16" t="n">
        <f aca="false">Assumptions!$N$65*MIN(K33558+K33565+K33563-K33564-K33566,MAX(0,K33640-K33463-K33476-K33489-K33502-K33515-K33528-K33541-K33554))</f>
        <v>0</v>
      </c>
    </row>
    <row r="33568" customFormat="false" ht="15" hidden="false" customHeight="false" outlineLevel="0" collapsed="false">
      <c r="A33568" s="3" t="s">
        <v>338</v>
      </c>
      <c r="G33568" s="16" t="n">
        <f aca="false">G33559*(1-G33452)*(G33558-G33564+G33563-G33566)</f>
        <v>0</v>
      </c>
      <c r="H33568" s="16" t="n">
        <f aca="false">H33559*(1-H33452)*(H33558-H33564+H33563-H33566)</f>
        <v>0</v>
      </c>
      <c r="I33568" s="16" t="n">
        <f aca="false">I33559*(1-I33452)*(I33558-I33564+I33563-I33566)</f>
        <v>0</v>
      </c>
      <c r="J33568" s="16" t="n">
        <f aca="false">J33559*(1-J33452)*(J33558-J33564+J33563-J33566)</f>
        <v>0</v>
      </c>
      <c r="K33568" s="16" t="n">
        <f aca="false">K33559*(1-K33452)*(K33558-K33564+K33563-K33566)</f>
        <v>0</v>
      </c>
    </row>
    <row r="33569" customFormat="false" ht="15" hidden="false" customHeight="false" outlineLevel="0" collapsed="false">
      <c r="A33569" s="2" t="s">
        <v>339</v>
      </c>
      <c r="F33569" s="28" t="n">
        <f aca="false">Assumptions!$C$65</f>
        <v>300</v>
      </c>
      <c r="G33569" s="17" t="n">
        <f aca="false">G33558+G33565+G33563-G33564-G33566-G33567</f>
        <v>300</v>
      </c>
      <c r="H33569" s="17" t="n">
        <f aca="false">H33558+H33565+H33563-H33564-H33566-H33567</f>
        <v>300</v>
      </c>
      <c r="I33569" s="17" t="n">
        <f aca="false">I33558+I33565+I33563-I33564-I33566-I33567</f>
        <v>300</v>
      </c>
      <c r="J33569" s="17" t="n">
        <f aca="false">J33558+J33565+J33563-J33564-J33566-J33567</f>
        <v>300</v>
      </c>
      <c r="K33569" s="17" t="n">
        <f aca="false">K33558+K33565+K33563-K33564-K33566-K33567</f>
        <v>300</v>
      </c>
    </row>
    <row r="33570" customFormat="false" ht="15" hidden="false" customHeight="false" outlineLevel="0" collapsed="false">
      <c r="A33570" s="24" t="s">
        <v>348</v>
      </c>
      <c r="B33570" s="25"/>
      <c r="C33570" s="25"/>
      <c r="D33570" s="25"/>
      <c r="E33570" s="25"/>
      <c r="F33570" s="25"/>
      <c r="G33570" s="25"/>
      <c r="H33570" s="25"/>
      <c r="I33570" s="25"/>
      <c r="J33570" s="25"/>
      <c r="K33570" s="25"/>
    </row>
    <row r="33571" customFormat="false" ht="15" hidden="false" customHeight="false" outlineLevel="0" collapsed="false">
      <c r="A33571" s="3" t="s">
        <v>329</v>
      </c>
      <c r="G33571" s="16" t="n">
        <f aca="false">F33582</f>
        <v>78.61</v>
      </c>
      <c r="H33571" s="16" t="n">
        <f aca="false">G33582</f>
        <v>78.61</v>
      </c>
      <c r="I33571" s="16" t="n">
        <f aca="false">H33582</f>
        <v>78.61</v>
      </c>
      <c r="J33571" s="16" t="n">
        <f aca="false">I33582</f>
        <v>78.61</v>
      </c>
      <c r="K33571" s="16" t="n">
        <f aca="false">J33582</f>
        <v>78.61</v>
      </c>
    </row>
    <row r="33572" customFormat="false" ht="15" hidden="false" customHeight="false" outlineLevel="0" collapsed="false">
      <c r="A33572" s="3" t="s">
        <v>330</v>
      </c>
      <c r="G33572" s="21" t="n">
        <f aca="false">IF(G33418=Assumptions!$K$66,1,0)</f>
        <v>0</v>
      </c>
      <c r="H33572" s="21" t="n">
        <f aca="false">IF(H33418=Assumptions!$K$66,1,0)</f>
        <v>0</v>
      </c>
      <c r="I33572" s="21" t="n">
        <f aca="false">IF(I33418=Assumptions!$K$66,1,0)</f>
        <v>0</v>
      </c>
      <c r="J33572" s="21" t="n">
        <f aca="false">IF(J33418=Assumptions!$K$66,1,0)</f>
        <v>0</v>
      </c>
      <c r="K33572" s="21" t="n">
        <f aca="false">IF(K33418=Assumptions!$K$66,1,0)</f>
        <v>0</v>
      </c>
    </row>
    <row r="33574" customFormat="false" ht="15" hidden="false" customHeight="false" outlineLevel="0" collapsed="false">
      <c r="A33574" s="3" t="s">
        <v>331</v>
      </c>
      <c r="G33574" s="31" t="n">
        <f aca="false">IF(Assumptions!$I$66=1,MAX(G33444,Assumptions!$G$66)+Assumptions!$F$66+$C$33445,Assumptions!$E$66)</f>
        <v>0.0541</v>
      </c>
      <c r="H33574" s="31" t="n">
        <f aca="false">IF(G33773=1,$C$33446,IF(Assumptions!$I$66=1,MAX(H33444,Assumptions!$G$66)+Assumptions!$F$66+$C$33445,Assumptions!$E$66))</f>
        <v>0.0526</v>
      </c>
      <c r="I33574" s="31" t="n">
        <f aca="false">IF(H33773=1,$C$33446,IF(Assumptions!$I$66=1,MAX(I33444,Assumptions!$G$66)+Assumptions!$F$66+$C$33445,Assumptions!$E$66))</f>
        <v>0.0501</v>
      </c>
      <c r="J33574" s="31" t="n">
        <f aca="false">IF(I33773=1,$C$33446,IF(Assumptions!$I$66=1,MAX(J33444,Assumptions!$G$66)+Assumptions!$F$66+$C$33445,Assumptions!$E$66))</f>
        <v>0.0501</v>
      </c>
      <c r="K33574" s="31" t="n">
        <f aca="false">IF(J33773=1,$C$33446,IF(Assumptions!$I$66=1,MAX(K33444,Assumptions!$G$66)+Assumptions!$F$66+$C$33445,Assumptions!$E$66))</f>
        <v>0.0501</v>
      </c>
    </row>
    <row r="33575" customFormat="false" ht="15" hidden="false" customHeight="false" outlineLevel="0" collapsed="false">
      <c r="A33575" s="3" t="s">
        <v>332</v>
      </c>
      <c r="G33575" s="16" t="n">
        <f aca="false">G33571*G33574</f>
        <v>4.252801</v>
      </c>
      <c r="H33575" s="16" t="n">
        <f aca="false">H33571*H33574</f>
        <v>4.134886</v>
      </c>
      <c r="I33575" s="16" t="n">
        <f aca="false">I33571*I33574</f>
        <v>3.938361</v>
      </c>
      <c r="J33575" s="16" t="n">
        <f aca="false">J33571*J33574</f>
        <v>3.938361</v>
      </c>
      <c r="K33575" s="16" t="n">
        <f aca="false">K33571*K33574</f>
        <v>3.938361</v>
      </c>
    </row>
    <row r="33576" customFormat="false" ht="15" hidden="false" customHeight="false" outlineLevel="0" collapsed="false">
      <c r="A33576" s="3" t="s">
        <v>333</v>
      </c>
      <c r="G33576" s="16" t="n">
        <f aca="false">G33571*Assumptions!$H$66</f>
        <v>0</v>
      </c>
      <c r="H33576" s="16" t="n">
        <f aca="false">H33571*Assumptions!$H$66</f>
        <v>0</v>
      </c>
      <c r="I33576" s="16" t="n">
        <f aca="false">I33571*Assumptions!$H$66</f>
        <v>0</v>
      </c>
      <c r="J33576" s="16" t="n">
        <f aca="false">J33571*Assumptions!$H$66</f>
        <v>0</v>
      </c>
      <c r="K33576" s="16" t="n">
        <f aca="false">K33571*Assumptions!$H$66</f>
        <v>0</v>
      </c>
    </row>
    <row r="33577" customFormat="false" ht="15" hidden="false" customHeight="false" outlineLevel="0" collapsed="false">
      <c r="A33577" s="3" t="s">
        <v>334</v>
      </c>
      <c r="G33577" s="16" t="n">
        <f aca="false">MIN(G33571,Assumptions!$L$66*Assumptions!$C$66)</f>
        <v>0</v>
      </c>
      <c r="H33577" s="16" t="n">
        <f aca="false">MIN(H33571,Assumptions!$L$66*Assumptions!$C$66)</f>
        <v>0</v>
      </c>
      <c r="I33577" s="16" t="n">
        <f aca="false">MIN(I33571,Assumptions!$L$66*Assumptions!$C$66)</f>
        <v>0</v>
      </c>
      <c r="J33577" s="16" t="n">
        <f aca="false">MIN(J33571,Assumptions!$L$66*Assumptions!$C$66)</f>
        <v>0</v>
      </c>
      <c r="K33577" s="16" t="n">
        <f aca="false">MIN(K33571,Assumptions!$L$66*Assumptions!$C$66)</f>
        <v>0</v>
      </c>
    </row>
    <row r="33578" customFormat="false" ht="15" hidden="false" customHeight="false" outlineLevel="0" collapsed="false">
      <c r="A33578" s="3" t="s">
        <v>335</v>
      </c>
      <c r="G33578" s="16" t="n">
        <f aca="false">IF(AND(Assumptions!$P$66=1,G33418&lt;Assumptions!$K$66),MIN(MAX(0,-G33634),MAX(0,Assumptions!$D$66-G33571)),0)</f>
        <v>0</v>
      </c>
      <c r="H33578" s="16" t="n">
        <f aca="false">IF(AND(Assumptions!$P$66=1,OR(H33418&lt;Assumptions!$K$66,G33773=1)),MIN(MAX(0,-H33634),MAX(0,Assumptions!$D$66-H33571)),0)</f>
        <v>0</v>
      </c>
      <c r="I33578" s="16" t="n">
        <f aca="false">IF(AND(Assumptions!$P$66=1,OR(I33418&lt;Assumptions!$K$66,H33773=1)),MIN(MAX(0,-I33634),MAX(0,Assumptions!$D$66-I33571)),0)</f>
        <v>0</v>
      </c>
      <c r="J33578" s="16" t="n">
        <f aca="false">IF(AND(Assumptions!$P$66=1,OR(J33418&lt;Assumptions!$K$66,I33773=1)),MIN(MAX(0,-J33634),MAX(0,Assumptions!$D$66-J33571)),0)</f>
        <v>0</v>
      </c>
      <c r="K33578" s="16" t="n">
        <f aca="false">IF(AND(Assumptions!$P$66=1,OR(K33418&lt;Assumptions!$K$66,J33773=1)),MIN(MAX(0,-K33634),MAX(0,Assumptions!$D$66-K33571)),0)</f>
        <v>0</v>
      </c>
    </row>
    <row r="33579" customFormat="false" ht="15" hidden="false" customHeight="false" outlineLevel="0" collapsed="false">
      <c r="A33579" s="3" t="s">
        <v>336</v>
      </c>
      <c r="G33579" s="16" t="n">
        <f aca="false">G33572*MIN(G33571-G33577+G33576,MAX(0,G33636-Assumptions!$C$12*G33452-G33462-G33475-G33488-G33501-G33514-G33527-G33540-G33553-G33566))</f>
        <v>0</v>
      </c>
      <c r="H33579" s="16" t="n">
        <f aca="false">H33572*MIN(H33571-H33577+H33576,MAX(0,H33636-Assumptions!$C$12*H33452-H33462-H33475-H33488-H33501-H33514-H33527-H33540-H33553-H33566))</f>
        <v>0</v>
      </c>
      <c r="I33579" s="16" t="n">
        <f aca="false">I33572*MIN(I33571-I33577+I33576,MAX(0,I33636-Assumptions!$C$12*I33452-I33462-I33475-I33488-I33501-I33514-I33527-I33540-I33553-I33566))</f>
        <v>0</v>
      </c>
      <c r="J33579" s="16" t="n">
        <f aca="false">J33572*MIN(J33571-J33577+J33576,MAX(0,J33636-Assumptions!$C$12*J33452-J33462-J33475-J33488-J33501-J33514-J33527-J33540-J33553-J33566))</f>
        <v>0</v>
      </c>
      <c r="K33579" s="16" t="n">
        <f aca="false">K33572*MIN(K33571-K33577+K33576,MAX(0,K33636-Assumptions!$C$12*K33452-K33462-K33475-K33488-K33501-K33514-K33527-K33540-K33553-K33566))</f>
        <v>0</v>
      </c>
    </row>
    <row r="33580" customFormat="false" ht="15" hidden="false" customHeight="false" outlineLevel="0" collapsed="false">
      <c r="A33580" s="3" t="s">
        <v>337</v>
      </c>
      <c r="G33580" s="16" t="n">
        <f aca="false">Assumptions!$N$66*MIN(G33571+G33578+G33576-G33577-G33579,MAX(0,G33640-G33463-G33476-G33489-G33502-G33515-G33528-G33541-G33554-G33567))</f>
        <v>0</v>
      </c>
      <c r="H33580" s="16" t="n">
        <f aca="false">Assumptions!$N$66*MIN(H33571+H33578+H33576-H33577-H33579,MAX(0,H33640-H33463-H33476-H33489-H33502-H33515-H33528-H33541-H33554-H33567))</f>
        <v>0</v>
      </c>
      <c r="I33580" s="16" t="n">
        <f aca="false">Assumptions!$N$66*MIN(I33571+I33578+I33576-I33577-I33579,MAX(0,I33640-I33463-I33476-I33489-I33502-I33515-I33528-I33541-I33554-I33567))</f>
        <v>0</v>
      </c>
      <c r="J33580" s="16" t="n">
        <f aca="false">Assumptions!$N$66*MIN(J33571+J33578+J33576-J33577-J33579,MAX(0,J33640-J33463-J33476-J33489-J33502-J33515-J33528-J33541-J33554-J33567))</f>
        <v>0</v>
      </c>
      <c r="K33580" s="16" t="n">
        <f aca="false">Assumptions!$N$66*MIN(K33571+K33578+K33576-K33577-K33579,MAX(0,K33640-K33463-K33476-K33489-K33502-K33515-K33528-K33541-K33554-K33567))</f>
        <v>0</v>
      </c>
    </row>
    <row r="33581" customFormat="false" ht="15" hidden="false" customHeight="false" outlineLevel="0" collapsed="false">
      <c r="A33581" s="3" t="s">
        <v>338</v>
      </c>
      <c r="G33581" s="16" t="n">
        <f aca="false">G33572*(1-G33452)*(G33571-G33577+G33576-G33579)</f>
        <v>0</v>
      </c>
      <c r="H33581" s="16" t="n">
        <f aca="false">H33572*(1-H33452)*(H33571-H33577+H33576-H33579)</f>
        <v>0</v>
      </c>
      <c r="I33581" s="16" t="n">
        <f aca="false">I33572*(1-I33452)*(I33571-I33577+I33576-I33579)</f>
        <v>0</v>
      </c>
      <c r="J33581" s="16" t="n">
        <f aca="false">J33572*(1-J33452)*(J33571-J33577+J33576-J33579)</f>
        <v>0</v>
      </c>
      <c r="K33581" s="16" t="n">
        <f aca="false">K33572*(1-K33452)*(K33571-K33577+K33576-K33579)</f>
        <v>0</v>
      </c>
    </row>
    <row r="33582" customFormat="false" ht="15" hidden="false" customHeight="false" outlineLevel="0" collapsed="false">
      <c r="A33582" s="2" t="s">
        <v>339</v>
      </c>
      <c r="F33582" s="28" t="n">
        <f aca="false">Assumptions!$C$66</f>
        <v>78.61</v>
      </c>
      <c r="G33582" s="17" t="n">
        <f aca="false">G33571+G33578+G33576-G33577-G33579-G33580</f>
        <v>78.61</v>
      </c>
      <c r="H33582" s="17" t="n">
        <f aca="false">H33571+H33578+H33576-H33577-H33579-H33580</f>
        <v>78.61</v>
      </c>
      <c r="I33582" s="17" t="n">
        <f aca="false">I33571+I33578+I33576-I33577-I33579-I33580</f>
        <v>78.61</v>
      </c>
      <c r="J33582" s="17" t="n">
        <f aca="false">J33571+J33578+J33576-J33577-J33579-J33580</f>
        <v>78.61</v>
      </c>
      <c r="K33582" s="17" t="n">
        <f aca="false">K33571+K33578+K33576-K33577-K33579-K33580</f>
        <v>78.61</v>
      </c>
    </row>
    <row r="33583" customFormat="false" ht="15" hidden="false" customHeight="false" outlineLevel="0" collapsed="false">
      <c r="A33583" s="24" t="s">
        <v>349</v>
      </c>
      <c r="B33583" s="25"/>
      <c r="C33583" s="25"/>
      <c r="D33583" s="25"/>
      <c r="E33583" s="25"/>
      <c r="F33583" s="25"/>
      <c r="G33583" s="25"/>
      <c r="H33583" s="25"/>
      <c r="I33583" s="25"/>
      <c r="J33583" s="25"/>
      <c r="K33583" s="25"/>
    </row>
    <row r="33584" customFormat="false" ht="15" hidden="false" customHeight="false" outlineLevel="0" collapsed="false">
      <c r="A33584" s="2" t="s">
        <v>350</v>
      </c>
      <c r="F33584" s="17" t="n">
        <f aca="false">F33465+F33478+F33491+F33504+F33517+F33530+F33543+F33556+F33569+F33582</f>
        <v>2625.934</v>
      </c>
      <c r="G33584" s="17" t="n">
        <f aca="false">G33465+G33478+G33491+G33504+G33517+G33530+G33543+G33556+G33569+G33582</f>
        <v>2621.934</v>
      </c>
      <c r="H33584" s="17" t="n">
        <f aca="false">H33465+H33478+H33491+H33504+H33517+H33530+H33543+H33556+H33569+H33582</f>
        <v>2575.6561513738</v>
      </c>
      <c r="I33584" s="17" t="n">
        <f aca="false">I33465+I33478+I33491+I33504+I33517+I33530+I33543+I33556+I33569+I33582</f>
        <v>2638.45309355586</v>
      </c>
      <c r="J33584" s="17" t="n">
        <f aca="false">J33465+J33478+J33491+J33504+J33517+J33530+J33543+J33556+J33569+J33582</f>
        <v>2723.3336162386</v>
      </c>
      <c r="K33584" s="17" t="n">
        <f aca="false">K33465+K33478+K33491+K33504+K33517+K33530+K33543+K33556+K33569+K33582</f>
        <v>2823.86943529725</v>
      </c>
    </row>
    <row r="33585" customFormat="false" ht="15" hidden="false" customHeight="false" outlineLevel="0" collapsed="false">
      <c r="A33585" s="3" t="s">
        <v>351</v>
      </c>
      <c r="G33585" s="16" t="n">
        <f aca="false">G33455*Assumptions!$C$57+G33468*Assumptions!$C$58+G33481*Assumptions!$C$59+G33494*Assumptions!$C$60+G33507*Assumptions!$C$61+G33520*Assumptions!$C$62+G33533*Assumptions!$C$63+G33546*Assumptions!$C$64+G33559*Assumptions!$C$65+G33572*Assumptions!$C$66</f>
        <v>0</v>
      </c>
      <c r="H33585" s="16" t="n">
        <f aca="false">H33455*Assumptions!$C$57+H33468*Assumptions!$C$58+H33481*Assumptions!$C$59+H33494*Assumptions!$C$60+H33507*Assumptions!$C$61+H33520*Assumptions!$C$62+H33533*Assumptions!$C$63+H33546*Assumptions!$C$64+H33559*Assumptions!$C$65+H33572*Assumptions!$C$66</f>
        <v>800</v>
      </c>
      <c r="I33585" s="16" t="n">
        <f aca="false">I33455*Assumptions!$C$57+I33468*Assumptions!$C$58+I33481*Assumptions!$C$59+I33494*Assumptions!$C$60+I33507*Assumptions!$C$61+I33520*Assumptions!$C$62+I33533*Assumptions!$C$63+I33546*Assumptions!$C$64+I33559*Assumptions!$C$65+I33572*Assumptions!$C$66</f>
        <v>550</v>
      </c>
      <c r="J33585" s="16" t="n">
        <f aca="false">J33455*Assumptions!$C$57+J33468*Assumptions!$C$58+J33481*Assumptions!$C$59+J33494*Assumptions!$C$60+J33507*Assumptions!$C$61+J33520*Assumptions!$C$62+J33533*Assumptions!$C$63+J33546*Assumptions!$C$64+J33559*Assumptions!$C$65+J33572*Assumptions!$C$66</f>
        <v>350</v>
      </c>
      <c r="K33585" s="16" t="n">
        <f aca="false">K33455*Assumptions!$C$57+K33468*Assumptions!$C$58+K33481*Assumptions!$C$59+K33494*Assumptions!$C$60+K33507*Assumptions!$C$61+K33520*Assumptions!$C$62+K33533*Assumptions!$C$63+K33546*Assumptions!$C$64+K33559*Assumptions!$C$65+K33572*Assumptions!$C$66</f>
        <v>700</v>
      </c>
    </row>
    <row r="33586" customFormat="false" ht="15" hidden="false" customHeight="false" outlineLevel="0" collapsed="false">
      <c r="A33586" s="24" t="s">
        <v>352</v>
      </c>
      <c r="B33586" s="25"/>
      <c r="C33586" s="25"/>
      <c r="D33586" s="25"/>
      <c r="E33586" s="25"/>
      <c r="F33586" s="25"/>
      <c r="G33586" s="25"/>
      <c r="H33586" s="25"/>
      <c r="I33586" s="25"/>
      <c r="J33586" s="25"/>
      <c r="K33586" s="25"/>
    </row>
    <row r="33587" customFormat="false" ht="15" hidden="false" customHeight="false" outlineLevel="0" collapsed="false">
      <c r="A33587" s="3" t="s">
        <v>353</v>
      </c>
      <c r="C33587" s="16" t="n">
        <f aca="false">SUMPRODUCT($G$33455:$K$33455,$G$33454:$K$33454-$G$33460:$K$33460+$G$33459:$K$33459)</f>
        <v>380</v>
      </c>
    </row>
    <row r="33588" customFormat="false" ht="15" hidden="false" customHeight="false" outlineLevel="0" collapsed="false">
      <c r="A33588" s="3" t="s">
        <v>354</v>
      </c>
      <c r="C33588" s="16" t="n">
        <f aca="false">SUMPRODUCT($G$33455:$K$33455,$G$33462:$K$33462)</f>
        <v>0</v>
      </c>
    </row>
    <row r="33589" customFormat="false" ht="15" hidden="false" customHeight="false" outlineLevel="0" collapsed="false">
      <c r="A33589" s="3" t="s">
        <v>355</v>
      </c>
      <c r="C33589" s="3" t="str">
        <f aca="false">IF(SUM($G$33455:$K$33455)=0,"n/a (beyond horizon)",IF(SUMPRODUCT($G$33455:$K$33455,$G$33452:$K$33452)&gt;0,"REFINANCING PASS","REFINANCING FAILURE"))</f>
        <v>REFINANCING PASS</v>
      </c>
    </row>
    <row r="33590" customFormat="false" ht="15" hidden="false" customHeight="false" outlineLevel="0" collapsed="false">
      <c r="A33590" s="3" t="s">
        <v>356</v>
      </c>
      <c r="C33590" s="3" t="str">
        <f aca="false">IF(SUM($G$33455:$K$33455)=0,"n/a",IF(C33588&gt;=C33587-0.001,"Repaid from cash",IF(SUMPRODUCT($G$33455:$K$33455,$G$33452:$K$33452)&gt;0,IF(C33588&gt;0,"Partly repaid; remainder refinanced","Refinanced"),IF(SUM($G$33464:$K$33464)&gt;0.001,IF(C33588&gt;0,"Partial repayment; PAYMENT DEFAULT","PAYMENT DEFAULT"),"Repaid from cash"))))</f>
        <v>Refinanced</v>
      </c>
    </row>
    <row r="33591" customFormat="false" ht="15" hidden="false" customHeight="false" outlineLevel="0" collapsed="false">
      <c r="A33591" s="3" t="s">
        <v>357</v>
      </c>
      <c r="C33591" s="16" t="n">
        <f aca="false">SUMPRODUCT($G$33468:$K$33468,$G$33467:$K$33467-$G$33473:$K$33473+$G$33472:$K$33472)</f>
        <v>0</v>
      </c>
    </row>
    <row r="33592" customFormat="false" ht="15" hidden="false" customHeight="false" outlineLevel="0" collapsed="false">
      <c r="A33592" s="3" t="s">
        <v>358</v>
      </c>
      <c r="C33592" s="16" t="n">
        <f aca="false">SUMPRODUCT($G$33468:$K$33468,$G$33475:$K$33475)</f>
        <v>0</v>
      </c>
    </row>
    <row r="33593" customFormat="false" ht="15" hidden="false" customHeight="false" outlineLevel="0" collapsed="false">
      <c r="A33593" s="3" t="s">
        <v>359</v>
      </c>
      <c r="C33593" s="3" t="str">
        <f aca="false">IF(SUM($G$33468:$K$33468)=0,"n/a (beyond horizon)",IF(SUMPRODUCT($G$33468:$K$33468,$G$33452:$K$33452)&gt;0,"REFINANCING PASS","REFINANCING FAILURE"))</f>
        <v>n/a (beyond horizon)</v>
      </c>
    </row>
    <row r="33594" customFormat="false" ht="15" hidden="false" customHeight="false" outlineLevel="0" collapsed="false">
      <c r="A33594" s="3" t="s">
        <v>360</v>
      </c>
      <c r="C33594" s="3" t="str">
        <f aca="false">IF(SUM($G$33468:$K$33468)=0,"n/a",IF(C33592&gt;=C33591-0.001,"Repaid from cash",IF(SUMPRODUCT($G$33468:$K$33468,$G$33452:$K$33452)&gt;0,IF(C33592&gt;0,"Partly repaid; remainder refinanced","Refinanced"),IF(SUM($G$33477:$K$33477)&gt;0.001,IF(C33592&gt;0,"Partial repayment; PAYMENT DEFAULT","PAYMENT DEFAULT"),"Repaid from cash"))))</f>
        <v>n/a</v>
      </c>
    </row>
    <row r="33595" customFormat="false" ht="15" hidden="false" customHeight="false" outlineLevel="0" collapsed="false">
      <c r="A33595" s="3" t="s">
        <v>361</v>
      </c>
      <c r="C33595" s="16" t="n">
        <f aca="false">SUMPRODUCT($G$33481:$K$33481,$G$33480:$K$33480-$G$33486:$K$33486+$G$33485:$K$33485)</f>
        <v>0</v>
      </c>
    </row>
    <row r="33596" customFormat="false" ht="15" hidden="false" customHeight="false" outlineLevel="0" collapsed="false">
      <c r="A33596" s="3" t="s">
        <v>362</v>
      </c>
      <c r="C33596" s="16" t="n">
        <f aca="false">SUMPRODUCT($G$33481:$K$33481,$G$33488:$K$33488)</f>
        <v>0</v>
      </c>
    </row>
    <row r="33597" customFormat="false" ht="15" hidden="false" customHeight="false" outlineLevel="0" collapsed="false">
      <c r="A33597" s="3" t="s">
        <v>363</v>
      </c>
      <c r="C33597" s="3" t="str">
        <f aca="false">IF(SUM($G$33481:$K$33481)=0,"n/a (beyond horizon)",IF(SUMPRODUCT($G$33481:$K$33481,$G$33452:$K$33452)&gt;0,"REFINANCING PASS","REFINANCING FAILURE"))</f>
        <v>n/a (beyond horizon)</v>
      </c>
    </row>
    <row r="33598" customFormat="false" ht="15" hidden="false" customHeight="false" outlineLevel="0" collapsed="false">
      <c r="A33598" s="3" t="s">
        <v>364</v>
      </c>
      <c r="C33598" s="3" t="str">
        <f aca="false">IF(SUM($G$33481:$K$33481)=0,"n/a",IF(C33596&gt;=C33595-0.001,"Repaid from cash",IF(SUMPRODUCT($G$33481:$K$33481,$G$33452:$K$33452)&gt;0,IF(C33596&gt;0,"Partly repaid; remainder refinanced","Refinanced"),IF(SUM($G$33490:$K$33490)&gt;0.001,IF(C33596&gt;0,"Partial repayment; PAYMENT DEFAULT","PAYMENT DEFAULT"),"Repaid from cash"))))</f>
        <v>n/a</v>
      </c>
    </row>
    <row r="33599" customFormat="false" ht="15" hidden="false" customHeight="false" outlineLevel="0" collapsed="false">
      <c r="A33599" s="3" t="s">
        <v>365</v>
      </c>
      <c r="C33599" s="16" t="n">
        <f aca="false">SUMPRODUCT($G$33494:$K$33494,$G$33493:$K$33493-$G$33499:$K$33499+$G$33498:$K$33498)</f>
        <v>0</v>
      </c>
    </row>
    <row r="33600" customFormat="false" ht="15" hidden="false" customHeight="false" outlineLevel="0" collapsed="false">
      <c r="A33600" s="3" t="s">
        <v>366</v>
      </c>
      <c r="C33600" s="16" t="n">
        <f aca="false">SUMPRODUCT($G$33494:$K$33494,$G$33501:$K$33501)</f>
        <v>0</v>
      </c>
    </row>
    <row r="33601" customFormat="false" ht="15" hidden="false" customHeight="false" outlineLevel="0" collapsed="false">
      <c r="A33601" s="3" t="s">
        <v>367</v>
      </c>
      <c r="C33601" s="3" t="str">
        <f aca="false">IF(SUM($G$33494:$K$33494)=0,"n/a (beyond horizon)",IF(SUMPRODUCT($G$33494:$K$33494,$G$33452:$K$33452)&gt;0,"REFINANCING PASS","REFINANCING FAILURE"))</f>
        <v>REFINANCING PASS</v>
      </c>
    </row>
    <row r="33602" customFormat="false" ht="15" hidden="false" customHeight="false" outlineLevel="0" collapsed="false">
      <c r="A33602" s="3" t="s">
        <v>368</v>
      </c>
      <c r="C33602" s="3" t="str">
        <f aca="false">IF(SUM($G$33494:$K$33494)=0,"n/a",IF(C33600&gt;=C33599-0.001,"Repaid from cash",IF(SUMPRODUCT($G$33494:$K$33494,$G$33452:$K$33452)&gt;0,IF(C33600&gt;0,"Partly repaid; remainder refinanced","Refinanced"),IF(SUM($G$33503:$K$33503)&gt;0.001,IF(C33600&gt;0,"Partial repayment; PAYMENT DEFAULT","PAYMENT DEFAULT"),"Repaid from cash"))))</f>
        <v>Repaid from cash</v>
      </c>
    </row>
    <row r="33603" customFormat="false" ht="15" hidden="false" customHeight="false" outlineLevel="0" collapsed="false">
      <c r="A33603" s="3" t="s">
        <v>369</v>
      </c>
      <c r="C33603" s="16" t="n">
        <f aca="false">SUMPRODUCT($G$33507:$K$33507,$G$33506:$K$33506-$G$33512:$K$33512+$G$33511:$K$33511)</f>
        <v>450</v>
      </c>
    </row>
    <row r="33604" customFormat="false" ht="15" hidden="false" customHeight="false" outlineLevel="0" collapsed="false">
      <c r="A33604" s="3" t="s">
        <v>370</v>
      </c>
      <c r="C33604" s="16" t="n">
        <f aca="false">SUMPRODUCT($G$33507:$K$33507,$G$33514:$K$33514)</f>
        <v>42.2778486262</v>
      </c>
    </row>
    <row r="33605" customFormat="false" ht="15" hidden="false" customHeight="false" outlineLevel="0" collapsed="false">
      <c r="A33605" s="3" t="s">
        <v>371</v>
      </c>
      <c r="C33605" s="3" t="str">
        <f aca="false">IF(SUM($G$33507:$K$33507)=0,"n/a (beyond horizon)",IF(SUMPRODUCT($G$33507:$K$33507,$G$33452:$K$33452)&gt;0,"REFINANCING PASS","REFINANCING FAILURE"))</f>
        <v>REFINANCING PASS</v>
      </c>
    </row>
    <row r="33606" customFormat="false" ht="15" hidden="false" customHeight="false" outlineLevel="0" collapsed="false">
      <c r="A33606" s="3" t="s">
        <v>372</v>
      </c>
      <c r="C33606" s="3" t="str">
        <f aca="false">IF(SUM($G$33507:$K$33507)=0,"n/a",IF(C33604&gt;=C33603-0.001,"Repaid from cash",IF(SUMPRODUCT($G$33507:$K$33507,$G$33452:$K$33452)&gt;0,IF(C33604&gt;0,"Partly repaid; remainder refinanced","Refinanced"),IF(SUM($G$33516:$K$33516)&gt;0.001,IF(C33604&gt;0,"Partial repayment; PAYMENT DEFAULT","PAYMENT DEFAULT"),"Repaid from cash"))))</f>
        <v>Partly repaid; remainder refinanced</v>
      </c>
    </row>
    <row r="33607" customFormat="false" ht="15" hidden="false" customHeight="false" outlineLevel="0" collapsed="false">
      <c r="A33607" s="3" t="s">
        <v>373</v>
      </c>
      <c r="C33607" s="16" t="n">
        <f aca="false">SUMPRODUCT($G$33520:$K$33520,$G$33519:$K$33519-$G$33525:$K$33525+$G$33524:$K$33524)</f>
        <v>350</v>
      </c>
    </row>
    <row r="33608" customFormat="false" ht="15" hidden="false" customHeight="false" outlineLevel="0" collapsed="false">
      <c r="A33608" s="3" t="s">
        <v>374</v>
      </c>
      <c r="C33608" s="16" t="n">
        <f aca="false">SUMPRODUCT($G$33520:$K$33520,$G$33527:$K$33527)</f>
        <v>0</v>
      </c>
    </row>
    <row r="33609" customFormat="false" ht="15" hidden="false" customHeight="false" outlineLevel="0" collapsed="false">
      <c r="A33609" s="3" t="s">
        <v>375</v>
      </c>
      <c r="C33609" s="3" t="str">
        <f aca="false">IF(SUM($G$33520:$K$33520)=0,"n/a (beyond horizon)",IF(SUMPRODUCT($G$33520:$K$33520,$G$33452:$K$33452)&gt;0,"REFINANCING PASS","REFINANCING FAILURE"))</f>
        <v>REFINANCING PASS</v>
      </c>
    </row>
    <row r="33610" customFormat="false" ht="15" hidden="false" customHeight="false" outlineLevel="0" collapsed="false">
      <c r="A33610" s="3" t="s">
        <v>376</v>
      </c>
      <c r="C33610" s="3" t="str">
        <f aca="false">IF(SUM($G$33520:$K$33520)=0,"n/a",IF(C33608&gt;=C33607-0.001,"Repaid from cash",IF(SUMPRODUCT($G$33520:$K$33520,$G$33452:$K$33452)&gt;0,IF(C33608&gt;0,"Partly repaid; remainder refinanced","Refinanced"),IF(SUM($G$33529:$K$33529)&gt;0.001,IF(C33608&gt;0,"Partial repayment; PAYMENT DEFAULT","PAYMENT DEFAULT"),"Repaid from cash"))))</f>
        <v>Refinanced</v>
      </c>
    </row>
    <row r="33611" customFormat="false" ht="15" hidden="false" customHeight="false" outlineLevel="0" collapsed="false">
      <c r="A33611" s="3" t="s">
        <v>377</v>
      </c>
      <c r="C33611" s="16" t="n">
        <f aca="false">SUMPRODUCT($G$33533:$K$33533,$G$33532:$K$33532-$G$33538:$K$33538+$G$33537:$K$33537)</f>
        <v>550</v>
      </c>
    </row>
    <row r="33612" customFormat="false" ht="15" hidden="false" customHeight="false" outlineLevel="0" collapsed="false">
      <c r="A33612" s="3" t="s">
        <v>378</v>
      </c>
      <c r="C33612" s="16" t="n">
        <f aca="false">SUMPRODUCT($G$33533:$K$33533,$G$33540:$K$33540)</f>
        <v>0</v>
      </c>
    </row>
    <row r="33613" customFormat="false" ht="15" hidden="false" customHeight="false" outlineLevel="0" collapsed="false">
      <c r="A33613" s="3" t="s">
        <v>379</v>
      </c>
      <c r="C33613" s="3" t="str">
        <f aca="false">IF(SUM($G$33533:$K$33533)=0,"n/a (beyond horizon)",IF(SUMPRODUCT($G$33533:$K$33533,$G$33452:$K$33452)&gt;0,"REFINANCING PASS","REFINANCING FAILURE"))</f>
        <v>REFINANCING PASS</v>
      </c>
    </row>
    <row r="33614" customFormat="false" ht="15" hidden="false" customHeight="false" outlineLevel="0" collapsed="false">
      <c r="A33614" s="3" t="s">
        <v>380</v>
      </c>
      <c r="C33614" s="3" t="str">
        <f aca="false">IF(SUM($G$33533:$K$33533)=0,"n/a",IF(C33612&gt;=C33611-0.001,"Repaid from cash",IF(SUMPRODUCT($G$33533:$K$33533,$G$33452:$K$33452)&gt;0,IF(C33612&gt;0,"Partly repaid; remainder refinanced","Refinanced"),IF(SUM($G$33542:$K$33542)&gt;0.001,IF(C33612&gt;0,"Partial repayment; PAYMENT DEFAULT","PAYMENT DEFAULT"),"Repaid from cash"))))</f>
        <v>Refinanced</v>
      </c>
    </row>
    <row r="33615" customFormat="false" ht="15" hidden="false" customHeight="false" outlineLevel="0" collapsed="false">
      <c r="A33615" s="3" t="s">
        <v>381</v>
      </c>
      <c r="C33615" s="16" t="n">
        <f aca="false">SUMPRODUCT($G$33546:$K$33546,$G$33545:$K$33545-$G$33551:$K$33551+$G$33550:$K$33550)</f>
        <v>350</v>
      </c>
    </row>
    <row r="33616" customFormat="false" ht="15" hidden="false" customHeight="false" outlineLevel="0" collapsed="false">
      <c r="A33616" s="3" t="s">
        <v>382</v>
      </c>
      <c r="C33616" s="16" t="n">
        <f aca="false">SUMPRODUCT($G$33546:$K$33546,$G$33553:$K$33553)</f>
        <v>0</v>
      </c>
    </row>
    <row r="33617" customFormat="false" ht="15" hidden="false" customHeight="false" outlineLevel="0" collapsed="false">
      <c r="A33617" s="3" t="s">
        <v>383</v>
      </c>
      <c r="C33617" s="3" t="str">
        <f aca="false">IF(SUM($G$33546:$K$33546)=0,"n/a (beyond horizon)",IF(SUMPRODUCT($G$33546:$K$33546,$G$33452:$K$33452)&gt;0,"REFINANCING PASS","REFINANCING FAILURE"))</f>
        <v>REFINANCING PASS</v>
      </c>
    </row>
    <row r="33618" customFormat="false" ht="15" hidden="false" customHeight="false" outlineLevel="0" collapsed="false">
      <c r="A33618" s="3" t="s">
        <v>384</v>
      </c>
      <c r="C33618" s="3" t="str">
        <f aca="false">IF(SUM($G$33546:$K$33546)=0,"n/a",IF(C33616&gt;=C33615-0.001,"Repaid from cash",IF(SUMPRODUCT($G$33546:$K$33546,$G$33452:$K$33452)&gt;0,IF(C33616&gt;0,"Partly repaid; remainder refinanced","Refinanced"),IF(SUM($G$33555:$K$33555)&gt;0.001,IF(C33616&gt;0,"Partial repayment; PAYMENT DEFAULT","PAYMENT DEFAULT"),"Repaid from cash"))))</f>
        <v>Refinanced</v>
      </c>
    </row>
    <row r="33619" customFormat="false" ht="15" hidden="false" customHeight="false" outlineLevel="0" collapsed="false">
      <c r="A33619" s="3" t="s">
        <v>385</v>
      </c>
      <c r="C33619" s="16" t="n">
        <f aca="false">SUMPRODUCT($G$33559:$K$33559,$G$33558:$K$33558-$G$33564:$K$33564+$G$33563:$K$33563)</f>
        <v>300</v>
      </c>
    </row>
    <row r="33620" customFormat="false" ht="15" hidden="false" customHeight="false" outlineLevel="0" collapsed="false">
      <c r="A33620" s="3" t="s">
        <v>386</v>
      </c>
      <c r="C33620" s="16" t="n">
        <f aca="false">SUMPRODUCT($G$33559:$K$33559,$G$33566:$K$33566)</f>
        <v>0</v>
      </c>
    </row>
    <row r="33621" customFormat="false" ht="15" hidden="false" customHeight="false" outlineLevel="0" collapsed="false">
      <c r="A33621" s="3" t="s">
        <v>387</v>
      </c>
      <c r="C33621" s="3" t="str">
        <f aca="false">IF(SUM($G$33559:$K$33559)=0,"n/a (beyond horizon)",IF(SUMPRODUCT($G$33559:$K$33559,$G$33452:$K$33452)&gt;0,"REFINANCING PASS","REFINANCING FAILURE"))</f>
        <v>REFINANCING PASS</v>
      </c>
    </row>
    <row r="33622" customFormat="false" ht="15" hidden="false" customHeight="false" outlineLevel="0" collapsed="false">
      <c r="A33622" s="3" t="s">
        <v>388</v>
      </c>
      <c r="C33622" s="3" t="str">
        <f aca="false">IF(SUM($G$33559:$K$33559)=0,"n/a",IF(C33620&gt;=C33619-0.001,"Repaid from cash",IF(SUMPRODUCT($G$33559:$K$33559,$G$33452:$K$33452)&gt;0,IF(C33620&gt;0,"Partly repaid; remainder refinanced","Refinanced"),IF(SUM($G$33568:$K$33568)&gt;0.001,IF(C33620&gt;0,"Partial repayment; PAYMENT DEFAULT","PAYMENT DEFAULT"),"Repaid from cash"))))</f>
        <v>Refinanced</v>
      </c>
    </row>
    <row r="33623" customFormat="false" ht="15" hidden="false" customHeight="false" outlineLevel="0" collapsed="false">
      <c r="A33623" s="3" t="s">
        <v>389</v>
      </c>
      <c r="C33623" s="16" t="n">
        <f aca="false">SUMPRODUCT($G$33572:$K$33572,$G$33571:$K$33571-$G$33577:$K$33577+$G$33576:$K$33576)</f>
        <v>0</v>
      </c>
    </row>
    <row r="33624" customFormat="false" ht="15" hidden="false" customHeight="false" outlineLevel="0" collapsed="false">
      <c r="A33624" s="3" t="s">
        <v>390</v>
      </c>
      <c r="C33624" s="16" t="n">
        <f aca="false">SUMPRODUCT($G$33572:$K$33572,$G$33579:$K$33579)</f>
        <v>0</v>
      </c>
    </row>
    <row r="33625" customFormat="false" ht="15" hidden="false" customHeight="false" outlineLevel="0" collapsed="false">
      <c r="A33625" s="3" t="s">
        <v>391</v>
      </c>
      <c r="C33625" s="3" t="str">
        <f aca="false">IF(SUM($G$33572:$K$33572)=0,"n/a (beyond horizon)",IF(SUMPRODUCT($G$33572:$K$33572,$G$33452:$K$33452)&gt;0,"REFINANCING PASS","REFINANCING FAILURE"))</f>
        <v>n/a (beyond horizon)</v>
      </c>
    </row>
    <row r="33626" customFormat="false" ht="15" hidden="false" customHeight="false" outlineLevel="0" collapsed="false">
      <c r="A33626" s="3" t="s">
        <v>392</v>
      </c>
      <c r="C33626" s="3" t="str">
        <f aca="false">IF(SUM($G$33572:$K$33572)=0,"n/a",IF(C33624&gt;=C33623-0.001,"Repaid from cash",IF(SUMPRODUCT($G$33572:$K$33572,$G$33452:$K$33452)&gt;0,IF(C33624&gt;0,"Partly repaid; remainder refinanced","Refinanced"),IF(SUM($G$33581:$K$33581)&gt;0.001,IF(C33624&gt;0,"Partial repayment; PAYMENT DEFAULT","PAYMENT DEFAULT"),"Repaid from cash"))))</f>
        <v>n/a</v>
      </c>
    </row>
    <row r="33627" customFormat="false" ht="15" hidden="false" customHeight="false" outlineLevel="0" collapsed="false">
      <c r="A33627" s="3" t="s">
        <v>393</v>
      </c>
      <c r="C33627" s="21" t="n">
        <f aca="false">IF(C33589="REFINANCING FAILURE",1,0)+IF(C33593="REFINANCING FAILURE",1,0)+IF(C33597="REFINANCING FAILURE",1,0)+IF(C33601="REFINANCING FAILURE",1,0)+IF(C33605="REFINANCING FAILURE",1,0)+IF(C33609="REFINANCING FAILURE",1,0)+IF(C33613="REFINANCING FAILURE",1,0)+IF(C33617="REFINANCING FAILURE",1,0)+IF(C33621="REFINANCING FAILURE",1,0)+IF(C33625="REFINANCING FAILURE",1,0)</f>
        <v>0</v>
      </c>
    </row>
    <row r="33629" customFormat="false" ht="15" hidden="false" customHeight="false" outlineLevel="0" collapsed="false">
      <c r="A33629" s="24" t="s">
        <v>395</v>
      </c>
      <c r="B33629" s="25"/>
      <c r="C33629" s="25"/>
      <c r="D33629" s="25"/>
      <c r="E33629" s="25"/>
      <c r="F33629" s="25"/>
      <c r="G33629" s="25"/>
      <c r="H33629" s="25"/>
      <c r="I33629" s="25"/>
      <c r="J33629" s="25"/>
      <c r="K33629" s="25"/>
    </row>
    <row r="33630" customFormat="false" ht="15" hidden="false" customHeight="false" outlineLevel="0" collapsed="false">
      <c r="A33630" s="3" t="s">
        <v>325</v>
      </c>
      <c r="G33630" s="16" t="n">
        <f aca="false">F33642</f>
        <v>37.87</v>
      </c>
      <c r="H33630" s="16" t="n">
        <f aca="false">G33642</f>
        <v>150.3287686</v>
      </c>
      <c r="I33630" s="16" t="n">
        <f aca="false">H33642</f>
        <v>25</v>
      </c>
      <c r="J33630" s="16" t="n">
        <f aca="false">I33642</f>
        <v>0</v>
      </c>
      <c r="K33630" s="16" t="n">
        <f aca="false">J33642</f>
        <v>0</v>
      </c>
    </row>
    <row r="33631" customFormat="false" ht="15" hidden="false" customHeight="false" outlineLevel="0" collapsed="false">
      <c r="A33631" s="3" t="s">
        <v>396</v>
      </c>
      <c r="G33631" s="16" t="n">
        <f aca="false">G33441</f>
        <v>-83.5412314</v>
      </c>
      <c r="H33631" s="16" t="n">
        <f aca="false">H33441</f>
        <v>-79.0509199738</v>
      </c>
      <c r="I33631" s="16" t="n">
        <f aca="false">I33441</f>
        <v>-87.796942182056</v>
      </c>
      <c r="J33631" s="16" t="n">
        <f aca="false">J33441</f>
        <v>-84.8805226827392</v>
      </c>
      <c r="K33631" s="16" t="n">
        <f aca="false">K33441</f>
        <v>-100.535819058653</v>
      </c>
    </row>
    <row r="33632" customFormat="false" ht="15" hidden="false" customHeight="false" outlineLevel="0" collapsed="false">
      <c r="A33632" s="3" t="s">
        <v>397</v>
      </c>
      <c r="G33632" s="16" t="n">
        <f aca="false">CHOOSE($C$33411,Assumptions!$G$82,Assumptions!$G$101,Assumptions!$G$120)</f>
        <v>200</v>
      </c>
      <c r="H33632" s="16" t="n">
        <f aca="false">CHOOSE($C$33411,Assumptions!$H$82,Assumptions!$H$101,Assumptions!$H$120)</f>
        <v>0</v>
      </c>
      <c r="I33632" s="16" t="n">
        <f aca="false">CHOOSE($C$33411,Assumptions!$I$82,Assumptions!$I$101,Assumptions!$I$120)</f>
        <v>0</v>
      </c>
      <c r="J33632" s="16" t="n">
        <f aca="false">CHOOSE($C$33411,Assumptions!$J$82,Assumptions!$J$101,Assumptions!$J$120)</f>
        <v>0</v>
      </c>
      <c r="K33632" s="16" t="n">
        <f aca="false">CHOOSE($C$33411,Assumptions!$K$82,Assumptions!$K$101,Assumptions!$K$120)</f>
        <v>0</v>
      </c>
    </row>
    <row r="33633" customFormat="false" ht="15" hidden="false" customHeight="false" outlineLevel="0" collapsed="false">
      <c r="A33633" s="3" t="s">
        <v>398</v>
      </c>
      <c r="G33633" s="16" t="n">
        <f aca="false">G33460+G33473+G33486+G33499+G33512+G33525+G33538+G33551+G33564+G33577</f>
        <v>4</v>
      </c>
      <c r="H33633" s="16" t="n">
        <f aca="false">H33460+H33473+H33486+H33499+H33512+H33525+H33538+H33551+H33564+H33577</f>
        <v>4</v>
      </c>
      <c r="I33633" s="16" t="n">
        <f aca="false">I33460+I33473+I33486+I33499+I33512+I33525+I33538+I33551+I33564+I33577</f>
        <v>4</v>
      </c>
      <c r="J33633" s="16" t="n">
        <f aca="false">J33460+J33473+J33486+J33499+J33512+J33525+J33538+J33551+J33564+J33577</f>
        <v>4</v>
      </c>
      <c r="K33633" s="16" t="n">
        <f aca="false">K33460+K33473+K33486+K33499+K33512+K33525+K33538+K33551+K33564+K33577</f>
        <v>4</v>
      </c>
    </row>
    <row r="33634" customFormat="false" ht="15" hidden="false" customHeight="false" outlineLevel="0" collapsed="false">
      <c r="A33634" s="2" t="s">
        <v>399</v>
      </c>
      <c r="G33634" s="17" t="n">
        <f aca="false">G33630+G33631+G33632-G33633</f>
        <v>150.3287686</v>
      </c>
      <c r="H33634" s="17" t="n">
        <f aca="false">H33630+H33631+H33632-H33633</f>
        <v>67.2778486262</v>
      </c>
      <c r="I33634" s="17" t="n">
        <f aca="false">I33630+I33631+I33632-I33633</f>
        <v>-66.796942182056</v>
      </c>
      <c r="J33634" s="17" t="n">
        <f aca="false">J33630+J33631+J33632-J33633</f>
        <v>-88.8805226827392</v>
      </c>
      <c r="K33634" s="17" t="n">
        <f aca="false">K33630+K33631+K33632-K33633</f>
        <v>-104.535819058653</v>
      </c>
    </row>
    <row r="33635" customFormat="false" ht="15" hidden="false" customHeight="false" outlineLevel="0" collapsed="false">
      <c r="A33635" s="3" t="s">
        <v>400</v>
      </c>
      <c r="G33635" s="16" t="n">
        <f aca="false">G33461+G33474+G33487+G33500+G33513+G33526+G33539+G33552+G33565+G33578</f>
        <v>0</v>
      </c>
      <c r="H33635" s="16" t="n">
        <f aca="false">H33461+H33474+H33487+H33500+H33513+H33526+H33539+H33552+H33565+H33578</f>
        <v>0</v>
      </c>
      <c r="I33635" s="16" t="n">
        <f aca="false">I33461+I33474+I33487+I33500+I33513+I33526+I33539+I33552+I33565+I33578</f>
        <v>66.796942182056</v>
      </c>
      <c r="J33635" s="16" t="n">
        <f aca="false">J33461+J33474+J33487+J33500+J33513+J33526+J33539+J33552+J33565+J33578</f>
        <v>88.8805226827392</v>
      </c>
      <c r="K33635" s="16" t="n">
        <f aca="false">K33461+K33474+K33487+K33500+K33513+K33526+K33539+K33552+K33565+K33578</f>
        <v>104.535819058653</v>
      </c>
    </row>
    <row r="33636" customFormat="false" ht="15" hidden="false" customHeight="false" outlineLevel="0" collapsed="false">
      <c r="A33636" s="2" t="s">
        <v>401</v>
      </c>
      <c r="G33636" s="17" t="n">
        <f aca="false">G33634+G33635</f>
        <v>150.3287686</v>
      </c>
      <c r="H33636" s="17" t="n">
        <f aca="false">H33634+H33635</f>
        <v>67.2778486262</v>
      </c>
      <c r="I33636" s="17" t="n">
        <f aca="false">I33634+I33635</f>
        <v>0</v>
      </c>
      <c r="J33636" s="17" t="n">
        <f aca="false">J33634+J33635</f>
        <v>0</v>
      </c>
      <c r="K33636" s="17" t="n">
        <f aca="false">K33634+K33635</f>
        <v>0</v>
      </c>
    </row>
    <row r="33637" customFormat="false" ht="15" hidden="false" customHeight="false" outlineLevel="0" collapsed="false">
      <c r="A33637" s="3" t="s">
        <v>402</v>
      </c>
      <c r="G33637" s="16" t="n">
        <f aca="false">G33462+G33475+G33488+G33501+G33514+G33527+G33540+G33553+G33566+G33579</f>
        <v>0</v>
      </c>
      <c r="H33637" s="16" t="n">
        <f aca="false">H33462+H33475+H33488+H33501+H33514+H33527+H33540+H33553+H33566+H33579</f>
        <v>42.2778486262</v>
      </c>
      <c r="I33637" s="16" t="n">
        <f aca="false">I33462+I33475+I33488+I33501+I33514+I33527+I33540+I33553+I33566+I33579</f>
        <v>0</v>
      </c>
      <c r="J33637" s="16" t="n">
        <f aca="false">J33462+J33475+J33488+J33501+J33514+J33527+J33540+J33553+J33566+J33579</f>
        <v>0</v>
      </c>
      <c r="K33637" s="16" t="n">
        <f aca="false">K33462+K33475+K33488+K33501+K33514+K33527+K33540+K33553+K33566+K33579</f>
        <v>0</v>
      </c>
    </row>
    <row r="33638" customFormat="false" ht="15" hidden="false" customHeight="false" outlineLevel="0" collapsed="false">
      <c r="A33638" s="2" t="s">
        <v>403</v>
      </c>
      <c r="G33638" s="17" t="n">
        <f aca="false">G33636-G33637</f>
        <v>150.3287686</v>
      </c>
      <c r="H33638" s="17" t="n">
        <f aca="false">H33636-H33637</f>
        <v>25</v>
      </c>
      <c r="I33638" s="17" t="n">
        <f aca="false">I33636-I33637</f>
        <v>0</v>
      </c>
      <c r="J33638" s="17" t="n">
        <f aca="false">J33636-J33637</f>
        <v>0</v>
      </c>
      <c r="K33638" s="17" t="n">
        <f aca="false">K33636-K33637</f>
        <v>0</v>
      </c>
    </row>
    <row r="33639" customFormat="false" ht="15" hidden="false" customHeight="false" outlineLevel="0" collapsed="false">
      <c r="A33639" s="3" t="s">
        <v>404</v>
      </c>
      <c r="G33639" s="16" t="n">
        <f aca="false">MAX(0,-G33638)</f>
        <v>0</v>
      </c>
      <c r="H33639" s="16" t="n">
        <f aca="false">MAX(0,-H33638)</f>
        <v>0</v>
      </c>
      <c r="I33639" s="16" t="n">
        <f aca="false">MAX(0,-I33638)</f>
        <v>-0</v>
      </c>
      <c r="J33639" s="16" t="n">
        <f aca="false">MAX(0,-J33638)</f>
        <v>-0</v>
      </c>
      <c r="K33639" s="16" t="n">
        <f aca="false">MAX(0,-K33638)</f>
        <v>-0</v>
      </c>
    </row>
    <row r="33640" customFormat="false" ht="15" hidden="false" customHeight="false" outlineLevel="0" collapsed="false">
      <c r="A33640" s="3" t="s">
        <v>405</v>
      </c>
      <c r="G33640" s="16" t="n">
        <f aca="false">MAX(0,G33638-Assumptions!$C$12)*Assumptions!$C$13</f>
        <v>0</v>
      </c>
      <c r="H33640" s="16" t="n">
        <f aca="false">MAX(0,H33638-Assumptions!$C$12)*Assumptions!$C$13</f>
        <v>0</v>
      </c>
      <c r="I33640" s="16" t="n">
        <f aca="false">MAX(0,I33638-Assumptions!$C$12)*Assumptions!$C$13</f>
        <v>0</v>
      </c>
      <c r="J33640" s="16" t="n">
        <f aca="false">MAX(0,J33638-Assumptions!$C$12)*Assumptions!$C$13</f>
        <v>0</v>
      </c>
      <c r="K33640" s="16" t="n">
        <f aca="false">MAX(0,K33638-Assumptions!$C$12)*Assumptions!$C$13</f>
        <v>0</v>
      </c>
    </row>
    <row r="33641" customFormat="false" ht="15" hidden="false" customHeight="false" outlineLevel="0" collapsed="false">
      <c r="A33641" s="3" t="s">
        <v>406</v>
      </c>
      <c r="G33641" s="16" t="n">
        <f aca="false">G33463+G33476+G33489+G33502+G33515+G33528+G33541+G33554+G33567+G33580</f>
        <v>0</v>
      </c>
      <c r="H33641" s="16" t="n">
        <f aca="false">H33463+H33476+H33489+H33502+H33515+H33528+H33541+H33554+H33567+H33580</f>
        <v>0</v>
      </c>
      <c r="I33641" s="16" t="n">
        <f aca="false">I33463+I33476+I33489+I33502+I33515+I33528+I33541+I33554+I33567+I33580</f>
        <v>0</v>
      </c>
      <c r="J33641" s="16" t="n">
        <f aca="false">J33463+J33476+J33489+J33502+J33515+J33528+J33541+J33554+J33567+J33580</f>
        <v>0</v>
      </c>
      <c r="K33641" s="16" t="n">
        <f aca="false">K33463+K33476+K33489+K33502+K33515+K33528+K33541+K33554+K33567+K33580</f>
        <v>0</v>
      </c>
    </row>
    <row r="33642" customFormat="false" ht="15" hidden="false" customHeight="false" outlineLevel="0" collapsed="false">
      <c r="A33642" s="2" t="s">
        <v>407</v>
      </c>
      <c r="F33642" s="28" t="n">
        <f aca="false">Assumptions!$C$11</f>
        <v>37.87</v>
      </c>
      <c r="G33642" s="17" t="n">
        <f aca="false">G33638-G33641</f>
        <v>150.3287686</v>
      </c>
      <c r="H33642" s="17" t="n">
        <f aca="false">H33638-H33641</f>
        <v>25</v>
      </c>
      <c r="I33642" s="17" t="n">
        <f aca="false">I33638-I33641</f>
        <v>0</v>
      </c>
      <c r="J33642" s="17" t="n">
        <f aca="false">J33638-J33641</f>
        <v>0</v>
      </c>
      <c r="K33642" s="17" t="n">
        <f aca="false">K33638-K33641</f>
        <v>0</v>
      </c>
    </row>
    <row r="33643" customFormat="false" ht="15" hidden="false" customHeight="false" outlineLevel="0" collapsed="false">
      <c r="A33643" s="3" t="s">
        <v>408</v>
      </c>
      <c r="G33643" s="16" t="n">
        <f aca="false">G33464+G33477+G33490+G33503+G33516+G33529+G33542+G33555+G33568+G33581</f>
        <v>0</v>
      </c>
      <c r="H33643" s="16" t="n">
        <f aca="false">H33464+H33477+H33490+H33503+H33516+H33529+H33542+H33555+H33568+H33581</f>
        <v>0</v>
      </c>
      <c r="I33643" s="16" t="n">
        <f aca="false">I33464+I33477+I33490+I33503+I33516+I33529+I33542+I33555+I33568+I33581</f>
        <v>0</v>
      </c>
      <c r="J33643" s="16" t="n">
        <f aca="false">J33464+J33477+J33490+J33503+J33516+J33529+J33542+J33555+J33568+J33581</f>
        <v>0</v>
      </c>
      <c r="K33643" s="16" t="n">
        <f aca="false">K33464+K33477+K33490+K33503+K33516+K33529+K33542+K33555+K33568+K33581</f>
        <v>0</v>
      </c>
    </row>
    <row r="33644" customFormat="false" ht="15" hidden="false" customHeight="false" outlineLevel="0" collapsed="false">
      <c r="A33644" s="3" t="s">
        <v>409</v>
      </c>
      <c r="G33644" s="21" t="n">
        <f aca="false">IF(OR(G33639&gt;0.001,G33643&gt;0.001),1,0)</f>
        <v>0</v>
      </c>
      <c r="H33644" s="21" t="n">
        <f aca="false">IF(OR(H33639&gt;0.001,H33643&gt;0.001),1,0)</f>
        <v>0</v>
      </c>
      <c r="I33644" s="21" t="n">
        <f aca="false">IF(OR(I33639&gt;0.001,I33643&gt;0.001),1,0)</f>
        <v>0</v>
      </c>
      <c r="J33644" s="21" t="n">
        <f aca="false">IF(OR(J33639&gt;0.001,J33643&gt;0.001),1,0)</f>
        <v>0</v>
      </c>
      <c r="K33644" s="21" t="n">
        <f aca="false">IF(OR(K33639&gt;0.001,K33643&gt;0.001),1,0)</f>
        <v>0</v>
      </c>
    </row>
    <row r="33645" customFormat="false" ht="15" hidden="false" customHeight="false" outlineLevel="0" collapsed="false">
      <c r="A33645" s="3" t="s">
        <v>410</v>
      </c>
      <c r="G33645" s="21" t="n">
        <f aca="false">IF(G33644=1,1,0)</f>
        <v>0</v>
      </c>
      <c r="H33645" s="21" t="n">
        <f aca="false">IF(AND(H33644=1,SUM($G$33644:G33644)=0),1,0)</f>
        <v>0</v>
      </c>
      <c r="I33645" s="21" t="n">
        <f aca="false">IF(AND(I33644=1,SUM($G$33644:H33644)=0),1,0)</f>
        <v>0</v>
      </c>
      <c r="J33645" s="21" t="n">
        <f aca="false">IF(AND(J33644=1,SUM($G$33644:I33644)=0),1,0)</f>
        <v>0</v>
      </c>
      <c r="K33645" s="21" t="n">
        <f aca="false">IF(AND(K33644=1,SUM($G$33644:J33644)=0),1,0)</f>
        <v>0</v>
      </c>
    </row>
    <row r="33646" customFormat="false" ht="15" hidden="false" customHeight="false" outlineLevel="0" collapsed="false">
      <c r="A33646" s="3" t="s">
        <v>411</v>
      </c>
      <c r="G33646" s="16" t="n">
        <f aca="false">(G33584-F33584)-(G33635+G33433-G33633-G33637-G33641)</f>
        <v>0</v>
      </c>
      <c r="H33646" s="16" t="n">
        <f aca="false">(H33584-G33584)-(H33635+H33433-H33633-H33637-H33641)</f>
        <v>0</v>
      </c>
      <c r="I33646" s="16" t="n">
        <f aca="false">(I33584-H33584)-(I33635+I33433-I33633-I33637-I33641)</f>
        <v>0</v>
      </c>
      <c r="J33646" s="16" t="n">
        <f aca="false">(J33584-I33584)-(J33635+J33433-J33633-J33637-J33641)</f>
        <v>0</v>
      </c>
      <c r="K33646" s="16" t="n">
        <f aca="false">(K33584-J33584)-(K33635+K33433-K33633-K33637-K33641)</f>
        <v>0</v>
      </c>
    </row>
    <row r="33648" customFormat="false" ht="15" hidden="false" customHeight="false" outlineLevel="0" collapsed="false">
      <c r="A33648" s="24" t="s">
        <v>413</v>
      </c>
      <c r="B33648" s="25"/>
      <c r="C33648" s="25"/>
      <c r="D33648" s="25"/>
      <c r="E33648" s="25"/>
      <c r="F33648" s="25"/>
      <c r="G33648" s="25"/>
      <c r="H33648" s="25"/>
      <c r="I33648" s="25"/>
      <c r="J33648" s="25"/>
      <c r="K33648" s="25"/>
    </row>
    <row r="33649" customFormat="false" ht="15" hidden="false" customHeight="false" outlineLevel="0" collapsed="false">
      <c r="A33649" s="3" t="s">
        <v>414</v>
      </c>
      <c r="G33649" s="16" t="n">
        <f aca="false">G33584</f>
        <v>2621.934</v>
      </c>
      <c r="H33649" s="16" t="n">
        <f aca="false">H33584</f>
        <v>2575.6561513738</v>
      </c>
      <c r="I33649" s="16" t="n">
        <f aca="false">I33584</f>
        <v>2638.45309355586</v>
      </c>
      <c r="J33649" s="16" t="n">
        <f aca="false">J33584</f>
        <v>2723.3336162386</v>
      </c>
      <c r="K33649" s="16" t="n">
        <f aca="false">K33584</f>
        <v>2823.86943529725</v>
      </c>
    </row>
    <row r="33650" customFormat="false" ht="15" hidden="false" customHeight="false" outlineLevel="0" collapsed="false">
      <c r="A33650" s="3" t="s">
        <v>415</v>
      </c>
      <c r="G33650" s="16" t="n">
        <f aca="false">Assumptions!$O$57*G33465+Assumptions!$O$58*G33478+Assumptions!$O$59*G33491+Assumptions!$O$60*G33504+Assumptions!$O$61*G33517+Assumptions!$O$62*G33530+Assumptions!$O$63*G33543+Assumptions!$O$64*G33556+Assumptions!$O$65*G33569+Assumptions!$O$66*G33582</f>
        <v>543.324</v>
      </c>
      <c r="H33650" s="16" t="n">
        <f aca="false">Assumptions!$O$57*H33465+Assumptions!$O$58*H33478+Assumptions!$O$59*H33491+Assumptions!$O$60*H33504+Assumptions!$O$61*H33517+Assumptions!$O$62*H33530+Assumptions!$O$63*H33543+Assumptions!$O$64*H33556+Assumptions!$O$65*H33569+Assumptions!$O$66*H33582</f>
        <v>539.324</v>
      </c>
      <c r="I33650" s="16" t="n">
        <f aca="false">Assumptions!$O$57*I33465+Assumptions!$O$58*I33478+Assumptions!$O$59*I33491+Assumptions!$O$60*I33504+Assumptions!$O$61*I33517+Assumptions!$O$62*I33530+Assumptions!$O$63*I33543+Assumptions!$O$64*I33556+Assumptions!$O$65*I33569+Assumptions!$O$66*I33582</f>
        <v>535.324</v>
      </c>
      <c r="J33650" s="16" t="n">
        <f aca="false">Assumptions!$O$57*J33465+Assumptions!$O$58*J33478+Assumptions!$O$59*J33491+Assumptions!$O$60*J33504+Assumptions!$O$61*J33517+Assumptions!$O$62*J33530+Assumptions!$O$63*J33543+Assumptions!$O$64*J33556+Assumptions!$O$65*J33569+Assumptions!$O$66*J33582</f>
        <v>531.324</v>
      </c>
      <c r="K33650" s="16" t="n">
        <f aca="false">Assumptions!$O$57*K33465+Assumptions!$O$58*K33478+Assumptions!$O$59*K33491+Assumptions!$O$60*K33504+Assumptions!$O$61*K33517+Assumptions!$O$62*K33530+Assumptions!$O$63*K33543+Assumptions!$O$64*K33556+Assumptions!$O$65*K33569+Assumptions!$O$66*K33582</f>
        <v>527.324</v>
      </c>
    </row>
    <row r="33651" customFormat="false" ht="15" hidden="false" customHeight="false" outlineLevel="0" collapsed="false">
      <c r="A33651" s="3" t="s">
        <v>416</v>
      </c>
      <c r="G33651" s="16" t="n">
        <f aca="false">G33649-G33642</f>
        <v>2471.6052314</v>
      </c>
      <c r="H33651" s="16" t="n">
        <f aca="false">H33649-H33642</f>
        <v>2550.6561513738</v>
      </c>
      <c r="I33651" s="16" t="n">
        <f aca="false">I33649-I33642</f>
        <v>2638.45309355586</v>
      </c>
      <c r="J33651" s="16" t="n">
        <f aca="false">J33649-J33642</f>
        <v>2723.3336162386</v>
      </c>
      <c r="K33651" s="16" t="n">
        <f aca="false">K33649-K33642</f>
        <v>2823.86943529725</v>
      </c>
    </row>
    <row r="33652" customFormat="false" ht="15" hidden="false" customHeight="false" outlineLevel="0" collapsed="false">
      <c r="A33652" s="3" t="s">
        <v>417</v>
      </c>
      <c r="G33652" s="32" t="n">
        <f aca="false">IF(G33428&gt;0,G33649/G33428,0)</f>
        <v>10.2350768597559</v>
      </c>
      <c r="H33652" s="32" t="n">
        <f aca="false">IF(H33428&gt;0,H33649/H33428,0)</f>
        <v>9.80179750754554</v>
      </c>
      <c r="I33652" s="32" t="n">
        <f aca="false">IF(I33428&gt;0,I33649/I33428,0)</f>
        <v>9.78880026535512</v>
      </c>
      <c r="J33652" s="32" t="n">
        <f aca="false">IF(J33428&gt;0,J33649/J33428,0)</f>
        <v>9.86877570563203</v>
      </c>
      <c r="K33652" s="32" t="n">
        <f aca="false">IF(K33428&gt;0,K33649/K33428,0)</f>
        <v>9.99528975565569</v>
      </c>
    </row>
    <row r="33653" customFormat="false" ht="15" hidden="false" customHeight="false" outlineLevel="0" collapsed="false">
      <c r="A33653" s="3" t="s">
        <v>418</v>
      </c>
      <c r="G33653" s="32" t="n">
        <f aca="false">IF(G33428&gt;0,G33651/G33428,0)</f>
        <v>9.64824801476836</v>
      </c>
      <c r="H33653" s="32" t="n">
        <f aca="false">IF(H33428&gt;0,H33651/H33428,0)</f>
        <v>9.70665866785301</v>
      </c>
      <c r="I33653" s="32" t="n">
        <f aca="false">IF(I33428&gt;0,I33651/I33428,0)</f>
        <v>9.78880026535512</v>
      </c>
      <c r="J33653" s="32" t="n">
        <f aca="false">IF(J33428&gt;0,J33651/J33428,0)</f>
        <v>9.86877570563203</v>
      </c>
      <c r="K33653" s="32" t="n">
        <f aca="false">IF(K33428&gt;0,K33651/K33428,0)</f>
        <v>9.99528975565569</v>
      </c>
    </row>
    <row r="33654" customFormat="false" ht="15" hidden="false" customHeight="false" outlineLevel="0" collapsed="false">
      <c r="A33654" s="3" t="s">
        <v>419</v>
      </c>
      <c r="G33654" s="32" t="n">
        <f aca="false">IF(G33432&gt;0,G33428/G33432,0)</f>
        <v>1.4215185079059</v>
      </c>
      <c r="H33654" s="32" t="n">
        <f aca="false">IF(H33432&gt;0,H33428/H33432,0)</f>
        <v>1.46693050552355</v>
      </c>
      <c r="I33654" s="32" t="n">
        <f aca="false">IF(I33432&gt;0,I33428/I33432,0)</f>
        <v>1.40833238714926</v>
      </c>
      <c r="J33654" s="32" t="n">
        <f aca="false">IF(J33432&gt;0,J33428/J33432,0)</f>
        <v>1.44049487506624</v>
      </c>
      <c r="K33654" s="32" t="n">
        <f aca="false">IF(K33432&gt;0,K33428/K33432,0)</f>
        <v>1.34274565931266</v>
      </c>
    </row>
    <row r="33655" customFormat="false" ht="15" hidden="false" customHeight="false" outlineLevel="0" collapsed="false">
      <c r="A33655" s="3" t="s">
        <v>420</v>
      </c>
      <c r="G33655" s="32" t="n">
        <f aca="false">IF(G33432&gt;0,G33431/G33432,0)</f>
        <v>0.42415696431819</v>
      </c>
      <c r="H33655" s="32" t="n">
        <f aca="false">IF(H33432&gt;0,H33431/H33432,0)</f>
        <v>0.443500134737685</v>
      </c>
      <c r="I33655" s="32" t="n">
        <f aca="false">IF(I33432&gt;0,I33431/I33432,0)</f>
        <v>0.431283382112554</v>
      </c>
      <c r="J33655" s="32" t="n">
        <f aca="false">IF(J33432&gt;0,J33431/J33432,0)</f>
        <v>0.444847824504487</v>
      </c>
      <c r="K33655" s="32" t="n">
        <f aca="false">IF(K33432&gt;0,K33431/K33432,0)</f>
        <v>0.418098654921945</v>
      </c>
    </row>
    <row r="33656" customFormat="false" ht="15" hidden="false" customHeight="false" outlineLevel="0" collapsed="false">
      <c r="A33656" s="3" t="s">
        <v>213</v>
      </c>
      <c r="G33656" s="22" t="n">
        <f aca="false">IF(G33649&gt;0,G33441/G33649,0)</f>
        <v>-0.0318624463468569</v>
      </c>
      <c r="H33656" s="22" t="n">
        <f aca="false">IF(H33649&gt;0,H33441/H33649,0)</f>
        <v>-0.0306915656935169</v>
      </c>
      <c r="I33656" s="22" t="n">
        <f aca="false">IF(I33649&gt;0,I33441/I33649,0)</f>
        <v>-0.0332759154962773</v>
      </c>
      <c r="J33656" s="22" t="n">
        <f aca="false">IF(J33649&gt;0,J33441/J33649,0)</f>
        <v>-0.0311678753482925</v>
      </c>
      <c r="K33656" s="22" t="n">
        <f aca="false">IF(K33649&gt;0,K33441/K33649,0)</f>
        <v>-0.0356021485278303</v>
      </c>
    </row>
    <row r="33657" customFormat="false" ht="15" hidden="false" customHeight="false" outlineLevel="0" collapsed="false">
      <c r="A33657" s="3" t="s">
        <v>421</v>
      </c>
      <c r="G33657" s="32" t="n">
        <f aca="false">IF(G33432+G33633&gt;0,(G33428-G33439-G33436)/(G33432+G33633),0)</f>
        <v>0.813399704660698</v>
      </c>
      <c r="H33657" s="32" t="n">
        <f aca="false">IF(H33432+H33633&gt;0,(H33428-H33439-H33436)/(H33432+H33633),0)</f>
        <v>0.842627430418813</v>
      </c>
      <c r="I33657" s="32" t="n">
        <f aca="false">IF(I33432+I33633&gt;0,(I33428-I33439-I33436)/(I33432+I33633),0)</f>
        <v>0.813287836689746</v>
      </c>
      <c r="J33657" s="32" t="n">
        <f aca="false">IF(J33432+J33633&gt;0,(J33428-J33439-J33436)/(J33432+J33633),0)</f>
        <v>0.834030228771795</v>
      </c>
      <c r="K33657" s="32" t="n">
        <f aca="false">IF(K33432+K33633&gt;0,(K33428-K33439-K33436)/(K33432+K33633),0)</f>
        <v>0.780856287522867</v>
      </c>
    </row>
    <row r="33658" customFormat="false" ht="15" hidden="false" customHeight="false" outlineLevel="0" collapsed="false">
      <c r="A33658" s="3" t="s">
        <v>422</v>
      </c>
      <c r="G33658" s="16" t="n">
        <f aca="false">MAX(0,G33642)+Assumptions!$P$57*MAX(0,Assumptions!$D$57-G33465)+Assumptions!$P$58*MAX(0,Assumptions!$D$58-G33478)+Assumptions!$P$59*MAX(0,Assumptions!$D$59-G33491)+Assumptions!$P$60*MAX(0,Assumptions!$D$60-G33504)+Assumptions!$P$61*MAX(0,Assumptions!$D$61-G33517)+Assumptions!$P$62*MAX(0,Assumptions!$D$62-G33530)+Assumptions!$P$63*MAX(0,Assumptions!$D$63-G33543)+Assumptions!$P$64*MAX(0,Assumptions!$D$64-G33556)+Assumptions!$P$65*MAX(0,Assumptions!$D$65-G33569)+Assumptions!$P$66*MAX(0,Assumptions!$D$66-G33582)</f>
        <v>724.8287686</v>
      </c>
      <c r="H33658" s="16" t="n">
        <f aca="false">MAX(0,H33642)+Assumptions!$P$57*MAX(0,Assumptions!$D$57-H33465)+Assumptions!$P$58*MAX(0,Assumptions!$D$58-H33478)+Assumptions!$P$59*MAX(0,Assumptions!$D$59-H33491)+Assumptions!$P$60*MAX(0,Assumptions!$D$60-H33504)+Assumptions!$P$61*MAX(0,Assumptions!$D$61-H33517)+Assumptions!$P$62*MAX(0,Assumptions!$D$62-H33530)+Assumptions!$P$63*MAX(0,Assumptions!$D$63-H33543)+Assumptions!$P$64*MAX(0,Assumptions!$D$64-H33556)+Assumptions!$P$65*MAX(0,Assumptions!$D$65-H33569)+Assumptions!$P$66*MAX(0,Assumptions!$D$66-H33582)</f>
        <v>599.5</v>
      </c>
      <c r="I33658" s="16" t="n">
        <f aca="false">MAX(0,I33642)+Assumptions!$P$57*MAX(0,Assumptions!$D$57-I33465)+Assumptions!$P$58*MAX(0,Assumptions!$D$58-I33478)+Assumptions!$P$59*MAX(0,Assumptions!$D$59-I33491)+Assumptions!$P$60*MAX(0,Assumptions!$D$60-I33504)+Assumptions!$P$61*MAX(0,Assumptions!$D$61-I33517)+Assumptions!$P$62*MAX(0,Assumptions!$D$62-I33530)+Assumptions!$P$63*MAX(0,Assumptions!$D$63-I33543)+Assumptions!$P$64*MAX(0,Assumptions!$D$64-I33556)+Assumptions!$P$65*MAX(0,Assumptions!$D$65-I33569)+Assumptions!$P$66*MAX(0,Assumptions!$D$66-I33582)</f>
        <v>507.703057817944</v>
      </c>
      <c r="J33658" s="16" t="n">
        <f aca="false">MAX(0,J33642)+Assumptions!$P$57*MAX(0,Assumptions!$D$57-J33465)+Assumptions!$P$58*MAX(0,Assumptions!$D$58-J33478)+Assumptions!$P$59*MAX(0,Assumptions!$D$59-J33491)+Assumptions!$P$60*MAX(0,Assumptions!$D$60-J33504)+Assumptions!$P$61*MAX(0,Assumptions!$D$61-J33517)+Assumptions!$P$62*MAX(0,Assumptions!$D$62-J33530)+Assumptions!$P$63*MAX(0,Assumptions!$D$63-J33543)+Assumptions!$P$64*MAX(0,Assumptions!$D$64-J33556)+Assumptions!$P$65*MAX(0,Assumptions!$D$65-J33569)+Assumptions!$P$66*MAX(0,Assumptions!$D$66-J33582)</f>
        <v>418.822535135205</v>
      </c>
      <c r="K33658" s="16" t="n">
        <f aca="false">MAX(0,K33642)+Assumptions!$P$57*MAX(0,Assumptions!$D$57-K33465)+Assumptions!$P$58*MAX(0,Assumptions!$D$58-K33478)+Assumptions!$P$59*MAX(0,Assumptions!$D$59-K33491)+Assumptions!$P$60*MAX(0,Assumptions!$D$60-K33504)+Assumptions!$P$61*MAX(0,Assumptions!$D$61-K33517)+Assumptions!$P$62*MAX(0,Assumptions!$D$62-K33530)+Assumptions!$P$63*MAX(0,Assumptions!$D$63-K33543)+Assumptions!$P$64*MAX(0,Assumptions!$D$64-K33556)+Assumptions!$P$65*MAX(0,Assumptions!$D$65-K33569)+Assumptions!$P$66*MAX(0,Assumptions!$D$66-K33582)</f>
        <v>314.286716076552</v>
      </c>
    </row>
    <row r="33659" customFormat="false" ht="15" hidden="false" customHeight="false" outlineLevel="0" collapsed="false">
      <c r="A33659" s="3" t="s">
        <v>423</v>
      </c>
      <c r="G33659" s="22" t="n">
        <f aca="false">IF(G33649&gt;0,G33649/(G33649+MAX(0,G33428*CHOOSE($C$33411,Assumptions!$C$90,Assumptions!$C$109,Assumptions!$C$128)-G33651)),0)</f>
        <v>0.782089915058077</v>
      </c>
      <c r="H33659" s="22" t="n">
        <f aca="false">IF(H33649&gt;0,H33649/(H33649+MAX(0,H33428*CHOOSE($C$33411,Assumptions!$C$90,Assumptions!$C$109,Assumptions!$C$128)-H33651)),0)</f>
        <v>0.778220679605055</v>
      </c>
      <c r="I33659" s="22" t="n">
        <f aca="false">IF(I33649&gt;0,I33649/(I33649+MAX(0,I33428*CHOOSE($C$33411,Assumptions!$C$90,Assumptions!$C$109,Assumptions!$C$128)-I33651)),0)</f>
        <v>0.78310402122841</v>
      </c>
      <c r="J33659" s="22" t="n">
        <f aca="false">IF(J33649&gt;0,J33649/(J33649+MAX(0,J33428*CHOOSE($C$33411,Assumptions!$C$90,Assumptions!$C$109,Assumptions!$C$128)-J33651)),0)</f>
        <v>0.789502056450562</v>
      </c>
      <c r="K33659" s="22" t="n">
        <f aca="false">IF(K33649&gt;0,K33649/(K33649+MAX(0,K33428*CHOOSE($C$33411,Assumptions!$C$90,Assumptions!$C$109,Assumptions!$C$128)-K33651)),0)</f>
        <v>0.799623180452455</v>
      </c>
    </row>
    <row r="33660" customFormat="false" ht="15" hidden="false" customHeight="false" outlineLevel="0" collapsed="false">
      <c r="A33660" s="3" t="s">
        <v>424</v>
      </c>
      <c r="G33660" s="22" t="n">
        <f aca="false">IF(G33649&gt;0,MAX(0,G33642)/G33649,0)</f>
        <v>0.0573350696852018</v>
      </c>
      <c r="H33660" s="22" t="n">
        <f aca="false">IF(H33649&gt;0,MAX(0,H33642)/H33649,0)</f>
        <v>0.00970626455191448</v>
      </c>
      <c r="I33660" s="22" t="n">
        <f aca="false">IF(I33649&gt;0,MAX(0,I33642)/I33649,0)</f>
        <v>0</v>
      </c>
      <c r="J33660" s="22" t="n">
        <f aca="false">IF(J33649&gt;0,MAX(0,J33642)/J33649,0)</f>
        <v>0</v>
      </c>
      <c r="K33660" s="22" t="n">
        <f aca="false">IF(K33649&gt;0,MAX(0,K33642)/K33649,0)</f>
        <v>0</v>
      </c>
    </row>
    <row r="33661" customFormat="false" ht="15" hidden="false" customHeight="false" outlineLevel="0" collapsed="false">
      <c r="A33661" s="3" t="s">
        <v>425</v>
      </c>
      <c r="G33661" s="16" t="n">
        <f aca="false">Assumptions!$C$31*(1-CHOOSE($C$33411,Assumptions!$C$93,Assumptions!$C$112,Assumptions!$C$131))</f>
        <v>4517.70066666667</v>
      </c>
      <c r="H33661" s="16" t="n">
        <f aca="false">Assumptions!$C$31*(1-CHOOSE($C$33411,Assumptions!$C$93,Assumptions!$C$112,Assumptions!$C$131))</f>
        <v>4517.70066666667</v>
      </c>
      <c r="I33661" s="16" t="n">
        <f aca="false">Assumptions!$C$31*(1-CHOOSE($C$33411,Assumptions!$C$93,Assumptions!$C$112,Assumptions!$C$131))</f>
        <v>4517.70066666667</v>
      </c>
      <c r="J33661" s="16" t="n">
        <f aca="false">Assumptions!$C$31*(1-CHOOSE($C$33411,Assumptions!$C$93,Assumptions!$C$112,Assumptions!$C$131))</f>
        <v>4517.70066666667</v>
      </c>
      <c r="K33661" s="16" t="n">
        <f aca="false">Assumptions!$C$31*(1-CHOOSE($C$33411,Assumptions!$C$93,Assumptions!$C$112,Assumptions!$C$131))</f>
        <v>4517.70066666667</v>
      </c>
    </row>
    <row r="33662" customFormat="false" ht="15" hidden="false" customHeight="false" outlineLevel="0" collapsed="false">
      <c r="A33662" s="24" t="s">
        <v>426</v>
      </c>
      <c r="B33662" s="25"/>
      <c r="C33662" s="25"/>
      <c r="D33662" s="25"/>
      <c r="E33662" s="25"/>
      <c r="F33662" s="25"/>
      <c r="G33662" s="25"/>
      <c r="H33662" s="25"/>
      <c r="I33662" s="25"/>
      <c r="J33662" s="25"/>
      <c r="K33662" s="25"/>
    </row>
    <row r="33663" customFormat="false" ht="15" hidden="false" customHeight="false" outlineLevel="0" collapsed="false">
      <c r="A33663" s="24" t="s">
        <v>427</v>
      </c>
      <c r="B33663" s="25"/>
      <c r="C33663" s="25"/>
      <c r="D33663" s="25"/>
      <c r="E33663" s="25"/>
      <c r="F33663" s="25"/>
      <c r="G33663" s="25"/>
      <c r="H33663" s="25"/>
      <c r="I33663" s="25"/>
      <c r="J33663" s="25"/>
      <c r="K33663" s="25"/>
    </row>
    <row r="33664" customFormat="false" ht="15" hidden="false" customHeight="false" outlineLevel="0" collapsed="false">
      <c r="A33664" s="3" t="s">
        <v>428</v>
      </c>
      <c r="G33664" s="22" t="n">
        <f aca="false">IF(G33661&gt;0,G33649/G33661,99)</f>
        <v>0.580369128779522</v>
      </c>
      <c r="H33664" s="22" t="n">
        <f aca="false">IF(H33661&gt;0,H33649/H33661,99)</f>
        <v>0.570125455716441</v>
      </c>
      <c r="I33664" s="22" t="n">
        <f aca="false">IF(I33661&gt;0,I33649/I33661,99)</f>
        <v>0.584025655578152</v>
      </c>
      <c r="J33664" s="22" t="n">
        <f aca="false">IF(J33661&gt;0,J33649/J33661,99)</f>
        <v>0.602814089993257</v>
      </c>
      <c r="K33664" s="22" t="n">
        <f aca="false">IF(K33661&gt;0,K33649/K33661,99)</f>
        <v>0.62506784837093</v>
      </c>
    </row>
    <row r="33665" customFormat="false" ht="15" hidden="false" customHeight="false" outlineLevel="0" collapsed="false">
      <c r="A33665" s="3" t="s">
        <v>429</v>
      </c>
      <c r="G33665" s="33" t="n">
        <f aca="false">Assumptions!$G$71</f>
        <v>0.6</v>
      </c>
      <c r="H33665" s="33" t="n">
        <f aca="false">Assumptions!$H$71</f>
        <v>0.6</v>
      </c>
      <c r="I33665" s="33" t="n">
        <f aca="false">Assumptions!$I$71</f>
        <v>0.6</v>
      </c>
      <c r="J33665" s="33" t="n">
        <f aca="false">Assumptions!$J$71</f>
        <v>0.6</v>
      </c>
      <c r="K33665" s="33" t="n">
        <f aca="false">Assumptions!$K$71</f>
        <v>0.6</v>
      </c>
    </row>
    <row r="33666" customFormat="false" ht="15" hidden="false" customHeight="false" outlineLevel="0" collapsed="false">
      <c r="A33666" s="3" t="s">
        <v>430</v>
      </c>
      <c r="G33666" s="22" t="n">
        <f aca="false">G33665-G33664</f>
        <v>0.0196308712204777</v>
      </c>
      <c r="H33666" s="22" t="n">
        <f aca="false">H33665-H33664</f>
        <v>0.0298745442835595</v>
      </c>
      <c r="I33666" s="22" t="n">
        <f aca="false">I33665-I33664</f>
        <v>0.0159743444218476</v>
      </c>
      <c r="J33666" s="22" t="n">
        <f aca="false">J33665-J33664</f>
        <v>-0.00281408999325661</v>
      </c>
      <c r="K33666" s="22" t="n">
        <f aca="false">K33665-K33664</f>
        <v>-0.0250678483709297</v>
      </c>
    </row>
    <row r="33667" customFormat="false" ht="15" hidden="false" customHeight="false" outlineLevel="0" collapsed="false">
      <c r="A33667" s="3" t="s">
        <v>431</v>
      </c>
      <c r="G33667" s="22" t="n">
        <f aca="false">IF(G33665=0,0,G33666/ABS(G33665))</f>
        <v>0.0327181187007962</v>
      </c>
      <c r="H33667" s="22" t="n">
        <f aca="false">IF(H33665=0,0,H33666/ABS(H33665))</f>
        <v>0.0497909071392659</v>
      </c>
      <c r="I33667" s="22" t="n">
        <f aca="false">IF(I33665=0,0,I33666/ABS(I33665))</f>
        <v>0.0266239073697461</v>
      </c>
      <c r="J33667" s="22" t="n">
        <f aca="false">IF(J33665=0,0,J33666/ABS(J33665))</f>
        <v>-0.00469014998876101</v>
      </c>
      <c r="K33667" s="22" t="n">
        <f aca="false">IF(K33665=0,0,K33666/ABS(K33665))</f>
        <v>-0.0417797472848828</v>
      </c>
    </row>
    <row r="33668" customFormat="false" ht="15" hidden="false" customHeight="false" outlineLevel="0" collapsed="false">
      <c r="A33668" s="3" t="s">
        <v>432</v>
      </c>
      <c r="G33668" s="21" t="n">
        <f aca="false">IF(G33666&lt;0,1,0)</f>
        <v>0</v>
      </c>
      <c r="H33668" s="21" t="n">
        <f aca="false">IF(H33666&lt;0,1,0)</f>
        <v>0</v>
      </c>
      <c r="I33668" s="21" t="n">
        <f aca="false">IF(I33666&lt;0,1,0)</f>
        <v>0</v>
      </c>
      <c r="J33668" s="21" t="n">
        <f aca="false">IF(J33666&lt;0,1,0)</f>
        <v>1</v>
      </c>
      <c r="K33668" s="21" t="n">
        <f aca="false">IF(K33666&lt;0,1,0)</f>
        <v>1</v>
      </c>
    </row>
    <row r="33669" customFormat="false" ht="15" hidden="false" customHeight="false" outlineLevel="0" collapsed="false">
      <c r="A33669" s="3" t="s">
        <v>433</v>
      </c>
      <c r="C33669" s="21" t="n">
        <f aca="false">IFERROR(INDEX($G$33418:$K$33418,MATCH(1,$G$33668:$K$33668,0)),0)</f>
        <v>2030</v>
      </c>
    </row>
    <row r="33670" customFormat="false" ht="15" hidden="false" customHeight="false" outlineLevel="0" collapsed="false">
      <c r="A33670" s="3" t="s">
        <v>434</v>
      </c>
      <c r="C33670" s="22" t="n">
        <f aca="false">MIN($G$33667:$K$33667)</f>
        <v>-0.0417797472848828</v>
      </c>
    </row>
    <row r="33671" customFormat="false" ht="15" hidden="false" customHeight="false" outlineLevel="0" collapsed="false">
      <c r="A33671" s="24" t="s">
        <v>435</v>
      </c>
      <c r="B33671" s="25"/>
      <c r="C33671" s="25"/>
      <c r="D33671" s="25"/>
      <c r="E33671" s="25"/>
      <c r="F33671" s="25"/>
      <c r="G33671" s="25"/>
      <c r="H33671" s="25"/>
      <c r="I33671" s="25"/>
      <c r="J33671" s="25"/>
      <c r="K33671" s="25"/>
    </row>
    <row r="33672" customFormat="false" ht="15" hidden="false" customHeight="false" outlineLevel="0" collapsed="false">
      <c r="A33672" s="3" t="s">
        <v>428</v>
      </c>
      <c r="G33672" s="32" t="n">
        <f aca="false">IF(G33432&gt;0,G33428/G33432,99)</f>
        <v>1.4215185079059</v>
      </c>
      <c r="H33672" s="32" t="n">
        <f aca="false">IF(H33432&gt;0,H33428/H33432,99)</f>
        <v>1.46693050552355</v>
      </c>
      <c r="I33672" s="32" t="n">
        <f aca="false">IF(I33432&gt;0,I33428/I33432,99)</f>
        <v>1.40833238714926</v>
      </c>
      <c r="J33672" s="32" t="n">
        <f aca="false">IF(J33432&gt;0,J33428/J33432,99)</f>
        <v>1.44049487506624</v>
      </c>
      <c r="K33672" s="32" t="n">
        <f aca="false">IF(K33432&gt;0,K33428/K33432,99)</f>
        <v>1.34274565931266</v>
      </c>
    </row>
    <row r="33673" customFormat="false" ht="15" hidden="false" customHeight="false" outlineLevel="0" collapsed="false">
      <c r="A33673" s="3" t="s">
        <v>429</v>
      </c>
      <c r="G33673" s="34" t="n">
        <f aca="false">Assumptions!$G$72</f>
        <v>1.5</v>
      </c>
      <c r="H33673" s="34" t="n">
        <f aca="false">Assumptions!$H$72</f>
        <v>1.5</v>
      </c>
      <c r="I33673" s="34" t="n">
        <f aca="false">Assumptions!$I$72</f>
        <v>1.5</v>
      </c>
      <c r="J33673" s="34" t="n">
        <f aca="false">Assumptions!$J$72</f>
        <v>1.5</v>
      </c>
      <c r="K33673" s="34" t="n">
        <f aca="false">Assumptions!$K$72</f>
        <v>1.5</v>
      </c>
    </row>
    <row r="33674" customFormat="false" ht="15" hidden="false" customHeight="false" outlineLevel="0" collapsed="false">
      <c r="A33674" s="3" t="s">
        <v>430</v>
      </c>
      <c r="G33674" s="32" t="n">
        <f aca="false">G33672-G33673</f>
        <v>-0.0784814920940982</v>
      </c>
      <c r="H33674" s="32" t="n">
        <f aca="false">H33672-H33673</f>
        <v>-0.0330694944764525</v>
      </c>
      <c r="I33674" s="32" t="n">
        <f aca="false">I33672-I33673</f>
        <v>-0.091667612850737</v>
      </c>
      <c r="J33674" s="32" t="n">
        <f aca="false">J33672-J33673</f>
        <v>-0.0595051249337639</v>
      </c>
      <c r="K33674" s="32" t="n">
        <f aca="false">K33672-K33673</f>
        <v>-0.157254340687343</v>
      </c>
    </row>
    <row r="33675" customFormat="false" ht="15" hidden="false" customHeight="false" outlineLevel="0" collapsed="false">
      <c r="A33675" s="3" t="s">
        <v>431</v>
      </c>
      <c r="G33675" s="22" t="n">
        <f aca="false">IF(G33673=0,0,G33674/ABS(G33673))</f>
        <v>-0.0523209947293988</v>
      </c>
      <c r="H33675" s="22" t="n">
        <f aca="false">IF(H33673=0,0,H33674/ABS(H33673))</f>
        <v>-0.0220463296509683</v>
      </c>
      <c r="I33675" s="22" t="n">
        <f aca="false">IF(I33673=0,0,I33674/ABS(I33673))</f>
        <v>-0.0611117419004913</v>
      </c>
      <c r="J33675" s="22" t="n">
        <f aca="false">IF(J33673=0,0,J33674/ABS(J33673))</f>
        <v>-0.039670083289176</v>
      </c>
      <c r="K33675" s="22" t="n">
        <f aca="false">IF(K33673=0,0,K33674/ABS(K33673))</f>
        <v>-0.104836227124896</v>
      </c>
    </row>
    <row r="33676" customFormat="false" ht="15" hidden="false" customHeight="false" outlineLevel="0" collapsed="false">
      <c r="A33676" s="3" t="s">
        <v>432</v>
      </c>
      <c r="G33676" s="21" t="n">
        <f aca="false">IF(G33674&lt;0,1,0)</f>
        <v>1</v>
      </c>
      <c r="H33676" s="21" t="n">
        <f aca="false">IF(H33674&lt;0,1,0)</f>
        <v>1</v>
      </c>
      <c r="I33676" s="21" t="n">
        <f aca="false">IF(I33674&lt;0,1,0)</f>
        <v>1</v>
      </c>
      <c r="J33676" s="21" t="n">
        <f aca="false">IF(J33674&lt;0,1,0)</f>
        <v>1</v>
      </c>
      <c r="K33676" s="21" t="n">
        <f aca="false">IF(K33674&lt;0,1,0)</f>
        <v>1</v>
      </c>
    </row>
    <row r="33677" customFormat="false" ht="15" hidden="false" customHeight="false" outlineLevel="0" collapsed="false">
      <c r="A33677" s="3" t="s">
        <v>433</v>
      </c>
      <c r="C33677" s="21" t="n">
        <f aca="false">IFERROR(INDEX($G$33418:$K$33418,MATCH(1,$G$33676:$K$33676,0)),0)</f>
        <v>2027</v>
      </c>
    </row>
    <row r="33678" customFormat="false" ht="15" hidden="false" customHeight="false" outlineLevel="0" collapsed="false">
      <c r="A33678" s="3" t="s">
        <v>434</v>
      </c>
      <c r="C33678" s="22" t="n">
        <f aca="false">MIN($G$33675:$K$33675)</f>
        <v>-0.104836227124896</v>
      </c>
    </row>
    <row r="33679" customFormat="false" ht="15" hidden="false" customHeight="false" outlineLevel="0" collapsed="false">
      <c r="A33679" s="24" t="s">
        <v>436</v>
      </c>
      <c r="B33679" s="25"/>
      <c r="C33679" s="25"/>
      <c r="D33679" s="25"/>
      <c r="E33679" s="25"/>
      <c r="F33679" s="25"/>
      <c r="G33679" s="25"/>
      <c r="H33679" s="25"/>
      <c r="I33679" s="25"/>
      <c r="J33679" s="25"/>
      <c r="K33679" s="25"/>
    </row>
    <row r="33680" customFormat="false" ht="15" hidden="false" customHeight="false" outlineLevel="0" collapsed="false">
      <c r="A33680" s="3" t="s">
        <v>428</v>
      </c>
      <c r="G33680" s="22" t="n">
        <f aca="false">IF(G33661&gt;0,G33650/G33661,99)</f>
        <v>0.120265604139923</v>
      </c>
      <c r="H33680" s="22" t="n">
        <f aca="false">IF(H33661&gt;0,H33650/H33661,99)</f>
        <v>0.119380197979769</v>
      </c>
      <c r="I33680" s="22" t="n">
        <f aca="false">IF(I33661&gt;0,I33650/I33661,99)</f>
        <v>0.118494791819614</v>
      </c>
      <c r="J33680" s="22" t="n">
        <f aca="false">IF(J33661&gt;0,J33650/J33661,99)</f>
        <v>0.11760938565946</v>
      </c>
      <c r="K33680" s="22" t="n">
        <f aca="false">IF(K33661&gt;0,K33650/K33661,99)</f>
        <v>0.116723979499306</v>
      </c>
    </row>
    <row r="33681" customFormat="false" ht="15" hidden="false" customHeight="false" outlineLevel="0" collapsed="false">
      <c r="A33681" s="3" t="s">
        <v>429</v>
      </c>
      <c r="G33681" s="33" t="n">
        <f aca="false">Assumptions!$G$73</f>
        <v>0.4</v>
      </c>
      <c r="H33681" s="33" t="n">
        <f aca="false">Assumptions!$H$73</f>
        <v>0.4</v>
      </c>
      <c r="I33681" s="33" t="n">
        <f aca="false">Assumptions!$I$73</f>
        <v>0.4</v>
      </c>
      <c r="J33681" s="33" t="n">
        <f aca="false">Assumptions!$J$73</f>
        <v>0.4</v>
      </c>
      <c r="K33681" s="33" t="n">
        <f aca="false">Assumptions!$K$73</f>
        <v>0.4</v>
      </c>
    </row>
    <row r="33682" customFormat="false" ht="15" hidden="false" customHeight="false" outlineLevel="0" collapsed="false">
      <c r="A33682" s="3" t="s">
        <v>430</v>
      </c>
      <c r="G33682" s="22" t="n">
        <f aca="false">G33681-G33680</f>
        <v>0.279734395860077</v>
      </c>
      <c r="H33682" s="22" t="n">
        <f aca="false">H33681-H33680</f>
        <v>0.280619802020231</v>
      </c>
      <c r="I33682" s="22" t="n">
        <f aca="false">I33681-I33680</f>
        <v>0.281505208180386</v>
      </c>
      <c r="J33682" s="22" t="n">
        <f aca="false">J33681-J33680</f>
        <v>0.28239061434054</v>
      </c>
      <c r="K33682" s="22" t="n">
        <f aca="false">K33681-K33680</f>
        <v>0.283276020500694</v>
      </c>
    </row>
    <row r="33683" customFormat="false" ht="15" hidden="false" customHeight="false" outlineLevel="0" collapsed="false">
      <c r="A33683" s="3" t="s">
        <v>431</v>
      </c>
      <c r="G33683" s="22" t="n">
        <f aca="false">IF(G33681=0,0,G33682/ABS(G33681))</f>
        <v>0.699335989650192</v>
      </c>
      <c r="H33683" s="22" t="n">
        <f aca="false">IF(H33681=0,0,H33682/ABS(H33681))</f>
        <v>0.701549505050578</v>
      </c>
      <c r="I33683" s="22" t="n">
        <f aca="false">IF(I33681=0,0,I33682/ABS(I33681))</f>
        <v>0.703763020450964</v>
      </c>
      <c r="J33683" s="22" t="n">
        <f aca="false">IF(J33681=0,0,J33682/ABS(J33681))</f>
        <v>0.70597653585135</v>
      </c>
      <c r="K33683" s="22" t="n">
        <f aca="false">IF(K33681=0,0,K33682/ABS(K33681))</f>
        <v>0.708190051251736</v>
      </c>
    </row>
    <row r="33684" customFormat="false" ht="15" hidden="false" customHeight="false" outlineLevel="0" collapsed="false">
      <c r="A33684" s="3" t="s">
        <v>432</v>
      </c>
      <c r="G33684" s="21" t="n">
        <f aca="false">IF(G33682&lt;0,1,0)</f>
        <v>0</v>
      </c>
      <c r="H33684" s="21" t="n">
        <f aca="false">IF(H33682&lt;0,1,0)</f>
        <v>0</v>
      </c>
      <c r="I33684" s="21" t="n">
        <f aca="false">IF(I33682&lt;0,1,0)</f>
        <v>0</v>
      </c>
      <c r="J33684" s="21" t="n">
        <f aca="false">IF(J33682&lt;0,1,0)</f>
        <v>0</v>
      </c>
      <c r="K33684" s="21" t="n">
        <f aca="false">IF(K33682&lt;0,1,0)</f>
        <v>0</v>
      </c>
    </row>
    <row r="33685" customFormat="false" ht="15" hidden="false" customHeight="false" outlineLevel="0" collapsed="false">
      <c r="A33685" s="3" t="s">
        <v>433</v>
      </c>
      <c r="C33685" s="21" t="n">
        <f aca="false">IFERROR(INDEX($G$33418:$K$33418,MATCH(1,$G$33684:$K$33684,0)),0)</f>
        <v>0</v>
      </c>
    </row>
    <row r="33686" customFormat="false" ht="15" hidden="false" customHeight="false" outlineLevel="0" collapsed="false">
      <c r="A33686" s="3" t="s">
        <v>434</v>
      </c>
      <c r="C33686" s="22" t="n">
        <f aca="false">MIN($G$33683:$K$33683)</f>
        <v>0.699335989650192</v>
      </c>
    </row>
    <row r="33687" customFormat="false" ht="15" hidden="false" customHeight="false" outlineLevel="0" collapsed="false">
      <c r="A33687" s="24" t="s">
        <v>437</v>
      </c>
      <c r="B33687" s="25"/>
      <c r="C33687" s="25"/>
      <c r="D33687" s="25"/>
      <c r="E33687" s="25"/>
      <c r="F33687" s="25"/>
      <c r="G33687" s="25"/>
      <c r="H33687" s="25"/>
      <c r="I33687" s="25"/>
      <c r="J33687" s="25"/>
      <c r="K33687" s="25"/>
    </row>
    <row r="33688" customFormat="false" ht="15" hidden="false" customHeight="false" outlineLevel="0" collapsed="false">
      <c r="A33688" s="3" t="s">
        <v>428</v>
      </c>
      <c r="G33688" s="16" t="n">
        <f aca="false">G33658</f>
        <v>724.8287686</v>
      </c>
      <c r="H33688" s="16" t="n">
        <f aca="false">H33658</f>
        <v>599.5</v>
      </c>
      <c r="I33688" s="16" t="n">
        <f aca="false">I33658</f>
        <v>507.703057817944</v>
      </c>
      <c r="J33688" s="16" t="n">
        <f aca="false">J33658</f>
        <v>418.822535135205</v>
      </c>
      <c r="K33688" s="16" t="n">
        <f aca="false">K33658</f>
        <v>314.286716076552</v>
      </c>
    </row>
    <row r="33689" customFormat="false" ht="15" hidden="false" customHeight="false" outlineLevel="0" collapsed="false">
      <c r="A33689" s="3" t="s">
        <v>429</v>
      </c>
      <c r="G33689" s="29" t="n">
        <f aca="false">Assumptions!$G$74</f>
        <v>100</v>
      </c>
      <c r="H33689" s="29" t="n">
        <f aca="false">Assumptions!$H$74</f>
        <v>100</v>
      </c>
      <c r="I33689" s="29" t="n">
        <f aca="false">Assumptions!$I$74</f>
        <v>100</v>
      </c>
      <c r="J33689" s="29" t="n">
        <f aca="false">Assumptions!$J$74</f>
        <v>100</v>
      </c>
      <c r="K33689" s="29" t="n">
        <f aca="false">Assumptions!$K$74</f>
        <v>100</v>
      </c>
    </row>
    <row r="33690" customFormat="false" ht="15" hidden="false" customHeight="false" outlineLevel="0" collapsed="false">
      <c r="A33690" s="3" t="s">
        <v>430</v>
      </c>
      <c r="G33690" s="16" t="n">
        <f aca="false">G33688-G33689</f>
        <v>624.8287686</v>
      </c>
      <c r="H33690" s="16" t="n">
        <f aca="false">H33688-H33689</f>
        <v>499.5</v>
      </c>
      <c r="I33690" s="16" t="n">
        <f aca="false">I33688-I33689</f>
        <v>407.703057817944</v>
      </c>
      <c r="J33690" s="16" t="n">
        <f aca="false">J33688-J33689</f>
        <v>318.822535135205</v>
      </c>
      <c r="K33690" s="16" t="n">
        <f aca="false">K33688-K33689</f>
        <v>214.286716076552</v>
      </c>
    </row>
    <row r="33691" customFormat="false" ht="15" hidden="false" customHeight="false" outlineLevel="0" collapsed="false">
      <c r="A33691" s="3" t="s">
        <v>431</v>
      </c>
      <c r="G33691" s="22" t="n">
        <f aca="false">IF(G33689=0,0,G33690/ABS(G33689))</f>
        <v>6.248287686</v>
      </c>
      <c r="H33691" s="22" t="n">
        <f aca="false">IF(H33689=0,0,H33690/ABS(H33689))</f>
        <v>4.995</v>
      </c>
      <c r="I33691" s="22" t="n">
        <f aca="false">IF(I33689=0,0,I33690/ABS(I33689))</f>
        <v>4.07703057817944</v>
      </c>
      <c r="J33691" s="22" t="n">
        <f aca="false">IF(J33689=0,0,J33690/ABS(J33689))</f>
        <v>3.18822535135205</v>
      </c>
      <c r="K33691" s="22" t="n">
        <f aca="false">IF(K33689=0,0,K33690/ABS(K33689))</f>
        <v>2.14286716076552</v>
      </c>
    </row>
    <row r="33692" customFormat="false" ht="15" hidden="false" customHeight="false" outlineLevel="0" collapsed="false">
      <c r="A33692" s="3" t="s">
        <v>432</v>
      </c>
      <c r="G33692" s="21" t="n">
        <f aca="false">IF(G33690&lt;0,1,0)</f>
        <v>0</v>
      </c>
      <c r="H33692" s="21" t="n">
        <f aca="false">IF(H33690&lt;0,1,0)</f>
        <v>0</v>
      </c>
      <c r="I33692" s="21" t="n">
        <f aca="false">IF(I33690&lt;0,1,0)</f>
        <v>0</v>
      </c>
      <c r="J33692" s="21" t="n">
        <f aca="false">IF(J33690&lt;0,1,0)</f>
        <v>0</v>
      </c>
      <c r="K33692" s="21" t="n">
        <f aca="false">IF(K33690&lt;0,1,0)</f>
        <v>0</v>
      </c>
    </row>
    <row r="33693" customFormat="false" ht="15" hidden="false" customHeight="false" outlineLevel="0" collapsed="false">
      <c r="A33693" s="3" t="s">
        <v>433</v>
      </c>
      <c r="C33693" s="21" t="n">
        <f aca="false">IFERROR(INDEX($G$33418:$K$33418,MATCH(1,$G$33692:$K$33692,0)),0)</f>
        <v>0</v>
      </c>
    </row>
    <row r="33694" customFormat="false" ht="15" hidden="false" customHeight="false" outlineLevel="0" collapsed="false">
      <c r="A33694" s="3" t="s">
        <v>434</v>
      </c>
      <c r="C33694" s="22" t="n">
        <f aca="false">MIN($G$33691:$K$33691)</f>
        <v>2.14286716076552</v>
      </c>
    </row>
    <row r="33695" customFormat="false" ht="15" hidden="false" customHeight="false" outlineLevel="0" collapsed="false">
      <c r="A33695" s="24" t="s">
        <v>438</v>
      </c>
      <c r="B33695" s="25"/>
      <c r="C33695" s="25"/>
      <c r="D33695" s="25"/>
      <c r="E33695" s="25"/>
      <c r="F33695" s="25"/>
      <c r="G33695" s="25"/>
      <c r="H33695" s="25"/>
      <c r="I33695" s="25"/>
      <c r="J33695" s="25"/>
      <c r="K33695" s="25"/>
    </row>
    <row r="33696" customFormat="false" ht="15" hidden="false" customHeight="false" outlineLevel="0" collapsed="false">
      <c r="A33696" s="3" t="s">
        <v>428</v>
      </c>
      <c r="G33696" s="32" t="n">
        <f aca="false">IF(G33428&gt;0,G33651/G33428,99)</f>
        <v>9.64824801476836</v>
      </c>
      <c r="H33696" s="32" t="n">
        <f aca="false">IF(H33428&gt;0,H33651/H33428,99)</f>
        <v>9.70665866785301</v>
      </c>
      <c r="I33696" s="32" t="n">
        <f aca="false">IF(I33428&gt;0,I33651/I33428,99)</f>
        <v>9.78880026535512</v>
      </c>
      <c r="J33696" s="32" t="n">
        <f aca="false">IF(J33428&gt;0,J33651/J33428,99)</f>
        <v>9.86877570563203</v>
      </c>
      <c r="K33696" s="32" t="n">
        <f aca="false">IF(K33428&gt;0,K33651/K33428,99)</f>
        <v>9.99528975565569</v>
      </c>
    </row>
    <row r="33697" customFormat="false" ht="15" hidden="false" customHeight="false" outlineLevel="0" collapsed="false">
      <c r="A33697" s="3" t="s">
        <v>429</v>
      </c>
      <c r="G33697" s="34" t="n">
        <f aca="false">Assumptions!$G$75</f>
        <v>10.5</v>
      </c>
      <c r="H33697" s="34" t="n">
        <f aca="false">Assumptions!$H$75</f>
        <v>10.5</v>
      </c>
      <c r="I33697" s="34" t="n">
        <f aca="false">Assumptions!$I$75</f>
        <v>10</v>
      </c>
      <c r="J33697" s="34" t="n">
        <f aca="false">Assumptions!$J$75</f>
        <v>10</v>
      </c>
      <c r="K33697" s="34" t="n">
        <f aca="false">Assumptions!$K$75</f>
        <v>9.5</v>
      </c>
    </row>
    <row r="33698" customFormat="false" ht="15" hidden="false" customHeight="false" outlineLevel="0" collapsed="false">
      <c r="A33698" s="3" t="s">
        <v>430</v>
      </c>
      <c r="G33698" s="32" t="n">
        <f aca="false">G33697-G33696</f>
        <v>0.85175198523164</v>
      </c>
      <c r="H33698" s="32" t="n">
        <f aca="false">H33697-H33696</f>
        <v>0.793341332146991</v>
      </c>
      <c r="I33698" s="32" t="n">
        <f aca="false">I33697-I33696</f>
        <v>0.211199734644877</v>
      </c>
      <c r="J33698" s="32" t="n">
        <f aca="false">J33697-J33696</f>
        <v>0.131224294367971</v>
      </c>
      <c r="K33698" s="32" t="n">
        <f aca="false">K33697-K33696</f>
        <v>-0.495289755655689</v>
      </c>
    </row>
    <row r="33699" customFormat="false" ht="15" hidden="false" customHeight="false" outlineLevel="0" collapsed="false">
      <c r="A33699" s="3" t="s">
        <v>431</v>
      </c>
      <c r="G33699" s="22" t="n">
        <f aca="false">IF(G33697=0,0,G33698/ABS(G33697))</f>
        <v>0.0811192366887277</v>
      </c>
      <c r="H33699" s="22" t="n">
        <f aca="false">IF(H33697=0,0,H33698/ABS(H33697))</f>
        <v>0.0755563173473324</v>
      </c>
      <c r="I33699" s="22" t="n">
        <f aca="false">IF(I33697=0,0,I33698/ABS(I33697))</f>
        <v>0.0211199734644877</v>
      </c>
      <c r="J33699" s="22" t="n">
        <f aca="false">IF(J33697=0,0,J33698/ABS(J33697))</f>
        <v>0.0131224294367971</v>
      </c>
      <c r="K33699" s="22" t="n">
        <f aca="false">IF(K33697=0,0,K33698/ABS(K33697))</f>
        <v>-0.0521357637532304</v>
      </c>
    </row>
    <row r="33700" customFormat="false" ht="15" hidden="false" customHeight="false" outlineLevel="0" collapsed="false">
      <c r="A33700" s="3" t="s">
        <v>432</v>
      </c>
      <c r="G33700" s="21" t="n">
        <f aca="false">IF(G33698&lt;0,1,0)</f>
        <v>0</v>
      </c>
      <c r="H33700" s="21" t="n">
        <f aca="false">IF(H33698&lt;0,1,0)</f>
        <v>0</v>
      </c>
      <c r="I33700" s="21" t="n">
        <f aca="false">IF(I33698&lt;0,1,0)</f>
        <v>0</v>
      </c>
      <c r="J33700" s="21" t="n">
        <f aca="false">IF(J33698&lt;0,1,0)</f>
        <v>0</v>
      </c>
      <c r="K33700" s="21" t="n">
        <f aca="false">IF(K33698&lt;0,1,0)</f>
        <v>1</v>
      </c>
    </row>
    <row r="33701" customFormat="false" ht="15" hidden="false" customHeight="false" outlineLevel="0" collapsed="false">
      <c r="A33701" s="3" t="s">
        <v>433</v>
      </c>
      <c r="C33701" s="21" t="n">
        <f aca="false">IFERROR(INDEX($G$33418:$K$33418,MATCH(1,$G$33700:$K$33700,0)),0)</f>
        <v>2031</v>
      </c>
    </row>
    <row r="33702" customFormat="false" ht="15" hidden="false" customHeight="false" outlineLevel="0" collapsed="false">
      <c r="A33702" s="3" t="s">
        <v>434</v>
      </c>
      <c r="C33702" s="22" t="n">
        <f aca="false">MIN($G$33699:$K$33699)</f>
        <v>-0.0521357637532304</v>
      </c>
    </row>
    <row r="33703" customFormat="false" ht="15" hidden="false" customHeight="false" outlineLevel="0" collapsed="false">
      <c r="A33703" s="3" t="s">
        <v>439</v>
      </c>
      <c r="G33703" s="21" t="n">
        <f aca="false">G33668+G33676+G33684+G33692+G33700</f>
        <v>1</v>
      </c>
      <c r="H33703" s="21" t="n">
        <f aca="false">H33668+H33676+H33684+H33692+H33700</f>
        <v>1</v>
      </c>
      <c r="I33703" s="21" t="n">
        <f aca="false">I33668+I33676+I33684+I33692+I33700</f>
        <v>1</v>
      </c>
      <c r="J33703" s="21" t="n">
        <f aca="false">J33668+J33676+J33684+J33692+J33700</f>
        <v>2</v>
      </c>
      <c r="K33703" s="21" t="n">
        <f aca="false">K33668+K33676+K33684+K33692+K33700</f>
        <v>3</v>
      </c>
    </row>
    <row r="33704" customFormat="false" ht="15" hidden="false" customHeight="false" outlineLevel="0" collapsed="false">
      <c r="A33704" s="3" t="s">
        <v>440</v>
      </c>
      <c r="C33704" s="21" t="n">
        <f aca="false">SUM($G$33703:$K$33703)</f>
        <v>8</v>
      </c>
    </row>
    <row r="33705" customFormat="false" ht="15" hidden="false" customHeight="false" outlineLevel="0" collapsed="false">
      <c r="A33705" s="3" t="s">
        <v>441</v>
      </c>
      <c r="C33705" s="22" t="n">
        <f aca="false">MIN(C33670,C33678,C33686,C33694,C33702)</f>
        <v>-0.104836227124896</v>
      </c>
    </row>
    <row r="33707" customFormat="false" ht="15" hidden="false" customHeight="false" outlineLevel="0" collapsed="false">
      <c r="A33707" s="24" t="s">
        <v>543</v>
      </c>
      <c r="B33707" s="25"/>
      <c r="C33707" s="25"/>
      <c r="D33707" s="25"/>
      <c r="E33707" s="25"/>
      <c r="F33707" s="25"/>
      <c r="G33707" s="25"/>
      <c r="H33707" s="25"/>
      <c r="I33707" s="25"/>
      <c r="J33707" s="25"/>
      <c r="K33707" s="25"/>
    </row>
    <row r="33708" customFormat="false" ht="15" hidden="false" customHeight="false" outlineLevel="0" collapsed="false">
      <c r="A33708" s="3" t="s">
        <v>544</v>
      </c>
      <c r="G33708" s="21" t="n">
        <f aca="false">IF($C$33709=1,G33645,IF(G33428=MIN($G$33428:$K$33428),1,0))</f>
        <v>1</v>
      </c>
      <c r="H33708" s="21" t="n">
        <f aca="false">IF($C$33709=1,H33645,IF(AND(H33428=MIN($G$33428:$K$33428),SUM($G$33708:G33708)=0),1,0))</f>
        <v>0</v>
      </c>
      <c r="I33708" s="21" t="n">
        <f aca="false">IF($C$33709=1,I33645,IF(AND(I33428=MIN($G$33428:$K$33428),SUM($G$33708:H33708)=0),1,0))</f>
        <v>0</v>
      </c>
      <c r="J33708" s="21" t="n">
        <f aca="false">IF($C$33709=1,J33645,IF(AND(J33428=MIN($G$33428:$K$33428),SUM($G$33708:I33708)=0),1,0))</f>
        <v>0</v>
      </c>
      <c r="K33708" s="21" t="n">
        <f aca="false">IF($C$33709=1,K33645,IF(AND(K33428=MIN($G$33428:$K$33428),SUM($G$33708:J33708)=0),1,0))</f>
        <v>0</v>
      </c>
    </row>
    <row r="33709" customFormat="false" ht="15" hidden="false" customHeight="false" outlineLevel="0" collapsed="false">
      <c r="A33709" s="3" t="s">
        <v>545</v>
      </c>
      <c r="C33709" s="21" t="n">
        <f aca="false">IF(SUM($G$33645:$K$33645)&gt;0,1,0)</f>
        <v>0</v>
      </c>
    </row>
    <row r="33710" customFormat="false" ht="15" hidden="false" customHeight="false" outlineLevel="0" collapsed="false">
      <c r="A33710" s="3" t="s">
        <v>546</v>
      </c>
      <c r="C33710" s="21" t="n">
        <f aca="false">SUMPRODUCT($G$33708:$K$33708,$G$33418:$K$33418)</f>
        <v>2027</v>
      </c>
    </row>
    <row r="33711" customFormat="false" ht="15" hidden="false" customHeight="false" outlineLevel="0" collapsed="false">
      <c r="A33711" s="3" t="s">
        <v>547</v>
      </c>
      <c r="C33711" s="16" t="n">
        <f aca="false">SUMPRODUCT($G$33708:$K$33708,$G$33428:$K$33428)</f>
        <v>256.1714031</v>
      </c>
    </row>
    <row r="33712" customFormat="false" ht="15" hidden="false" customHeight="false" outlineLevel="0" collapsed="false">
      <c r="A33712" s="3" t="s">
        <v>548</v>
      </c>
      <c r="C33712" s="16" t="n">
        <f aca="false">MAX(0,SUMPRODUCT($G$33708:$K$33708,$G$33642:$K$33642))</f>
        <v>150.3287686</v>
      </c>
    </row>
    <row r="33713" customFormat="false" ht="15" hidden="false" customHeight="false" outlineLevel="0" collapsed="false">
      <c r="A33713" s="3" t="s">
        <v>549</v>
      </c>
      <c r="C33713" s="16" t="n">
        <f aca="false">(CHOOSE($C$33411,Assumptions!$C$92,Assumptions!$C$111,Assumptions!$C$130)+$C$33415)*C33711</f>
        <v>2817.8854341</v>
      </c>
    </row>
    <row r="33714" customFormat="false" ht="15" hidden="false" customHeight="false" outlineLevel="0" collapsed="false">
      <c r="A33714" s="3" t="s">
        <v>550</v>
      </c>
      <c r="C33714" s="16" t="n">
        <f aca="false">Assumptions!$C$31*(1-CHOOSE($C$33411,Assumptions!$C$93,Assumptions!$C$112,Assumptions!$C$131))*CHOOSE($C$33411,Assumptions!$C$94,Assumptions!$C$113,Assumptions!$C$132)</f>
        <v>3840.04556666667</v>
      </c>
    </row>
    <row r="33715" customFormat="false" ht="15" hidden="false" customHeight="false" outlineLevel="0" collapsed="false">
      <c r="A33715" s="3" t="s">
        <v>551</v>
      </c>
      <c r="C33715" s="16" t="n">
        <f aca="false">MAX(C33713,C33714)+C33712</f>
        <v>3990.37433526667</v>
      </c>
    </row>
    <row r="33716" customFormat="false" ht="15" hidden="false" customHeight="false" outlineLevel="0" collapsed="false">
      <c r="A33716" s="2" t="s">
        <v>552</v>
      </c>
      <c r="C33716" s="17" t="n">
        <f aca="false">IF(ISNUMBER(Assumptions!$C$14),Assumptions!$C$14,C33715)</f>
        <v>3990.37433526667</v>
      </c>
    </row>
    <row r="33717" customFormat="false" ht="15" hidden="false" customHeight="false" outlineLevel="0" collapsed="false">
      <c r="A33717" s="3" t="s">
        <v>553</v>
      </c>
      <c r="C33717" s="16" t="n">
        <f aca="false">C33716*Assumptions!$C$15</f>
        <v>159.614973410667</v>
      </c>
    </row>
    <row r="33718" customFormat="false" ht="15" hidden="false" customHeight="false" outlineLevel="0" collapsed="false">
      <c r="A33718" s="2" t="s">
        <v>554</v>
      </c>
      <c r="C33718" s="17" t="n">
        <f aca="false">C33716-C33717</f>
        <v>3830.759361856</v>
      </c>
    </row>
    <row r="33719" customFormat="false" ht="15" hidden="false" customHeight="false" outlineLevel="0" collapsed="false">
      <c r="A33719" s="24" t="s">
        <v>555</v>
      </c>
      <c r="B33719" s="25"/>
      <c r="C33719" s="25"/>
      <c r="D33719" s="25"/>
      <c r="E33719" s="25"/>
      <c r="F33719" s="25"/>
      <c r="G33719" s="25"/>
      <c r="H33719" s="25"/>
      <c r="I33719" s="25"/>
      <c r="J33719" s="25"/>
      <c r="K33719" s="25"/>
    </row>
    <row r="33720" customFormat="false" ht="15" hidden="false" customHeight="false" outlineLevel="0" collapsed="false">
      <c r="A33720" s="3" t="s">
        <v>556</v>
      </c>
      <c r="C33720" s="16" t="n">
        <f aca="false">SUMPRODUCT($G$33708:$K$33708,$G$33465:$K$33465)*(1+SUMPRODUCT($G$33708:$K$33708,$G$33457:$K$33457)*Assumptions!$C$16/12)</f>
        <v>405.0585</v>
      </c>
    </row>
    <row r="33721" customFormat="false" ht="15" hidden="false" customHeight="false" outlineLevel="0" collapsed="false">
      <c r="A33721" s="3" t="s">
        <v>557</v>
      </c>
      <c r="C33721" s="16" t="n">
        <f aca="false">SUMPRODUCT($G$33708:$K$33708,$G$33478:$K$33478)*(1+SUMPRODUCT($G$33708:$K$33708,$G$33470:$K$33470)*Assumptions!$C$16/12)</f>
        <v>91.30725</v>
      </c>
    </row>
    <row r="33722" customFormat="false" ht="15" hidden="false" customHeight="false" outlineLevel="0" collapsed="false">
      <c r="A33722" s="3" t="s">
        <v>558</v>
      </c>
      <c r="C33722" s="16" t="n">
        <f aca="false">SUMPRODUCT($G$33708:$K$33708,$G$33491:$K$33491)*(1+SUMPRODUCT($G$33708:$K$33708,$G$33483:$K$33483)*Assumptions!$C$16/12)</f>
        <v>58.3715961</v>
      </c>
    </row>
    <row r="33723" customFormat="false" ht="15" hidden="false" customHeight="false" outlineLevel="0" collapsed="false">
      <c r="A33723" s="3" t="s">
        <v>559</v>
      </c>
      <c r="C33723" s="16" t="n">
        <f aca="false">SUMPRODUCT($G$33708:$K$33708,$G$33504:$K$33504)*(1+SUMPRODUCT($G$33708:$K$33708,$G$33496:$K$33496)*Assumptions!$C$16/12)</f>
        <v>0</v>
      </c>
    </row>
    <row r="33724" customFormat="false" ht="15" hidden="false" customHeight="false" outlineLevel="0" collapsed="false">
      <c r="A33724" s="3" t="s">
        <v>560</v>
      </c>
      <c r="C33724" s="16" t="n">
        <f aca="false">SUMPRODUCT($G$33708:$K$33708,$G$33517:$K$33517)*(1+SUMPRODUCT($G$33708:$K$33708,$G$33509:$K$33509)*Assumptions!$C$16/12)</f>
        <v>454.44375</v>
      </c>
    </row>
    <row r="33725" customFormat="false" ht="15" hidden="false" customHeight="false" outlineLevel="0" collapsed="false">
      <c r="A33725" s="3" t="s">
        <v>561</v>
      </c>
      <c r="C33725" s="16" t="n">
        <f aca="false">SUMPRODUCT($G$33708:$K$33708,$G$33530:$K$33530)*(1+SUMPRODUCT($G$33708:$K$33708,$G$33522:$K$33522)*Assumptions!$C$16/12)</f>
        <v>357.2625</v>
      </c>
    </row>
    <row r="33726" customFormat="false" ht="15" hidden="false" customHeight="false" outlineLevel="0" collapsed="false">
      <c r="A33726" s="3" t="s">
        <v>562</v>
      </c>
      <c r="C33726" s="16" t="n">
        <f aca="false">SUMPRODUCT($G$33708:$K$33708,$G$33543:$K$33543)*(1+SUMPRODUCT($G$33708:$K$33708,$G$33535:$K$33535)*Assumptions!$C$16/12)</f>
        <v>562.203125</v>
      </c>
    </row>
    <row r="33727" customFormat="false" ht="15" hidden="false" customHeight="false" outlineLevel="0" collapsed="false">
      <c r="A33727" s="3" t="s">
        <v>563</v>
      </c>
      <c r="C33727" s="16" t="n">
        <f aca="false">SUMPRODUCT($G$33708:$K$33708,$G$33556:$K$33556)*(1+SUMPRODUCT($G$33708:$K$33708,$G$33548:$K$33548)*Assumptions!$C$16/12)</f>
        <v>353.98125</v>
      </c>
    </row>
    <row r="33728" customFormat="false" ht="15" hidden="false" customHeight="false" outlineLevel="0" collapsed="false">
      <c r="A33728" s="3" t="s">
        <v>564</v>
      </c>
      <c r="C33728" s="16" t="n">
        <f aca="false">SUMPRODUCT($G$33708:$K$33708,$G$33569:$K$33569)*(1+SUMPRODUCT($G$33708:$K$33708,$G$33561:$K$33561)*Assumptions!$C$16/12)</f>
        <v>304.59375</v>
      </c>
    </row>
    <row r="33729" customFormat="false" ht="15" hidden="false" customHeight="false" outlineLevel="0" collapsed="false">
      <c r="A33729" s="3" t="s">
        <v>565</v>
      </c>
      <c r="C33729" s="16" t="n">
        <f aca="false">SUMPRODUCT($G$33708:$K$33708,$G$33582:$K$33582)*(1+SUMPRODUCT($G$33708:$K$33708,$G$33574:$K$33574)*Assumptions!$C$16/12)</f>
        <v>79.67320025</v>
      </c>
    </row>
    <row r="33730" customFormat="false" ht="15" hidden="false" customHeight="false" outlineLevel="0" collapsed="false">
      <c r="A33730" s="24" t="s">
        <v>566</v>
      </c>
      <c r="B33730" s="25"/>
      <c r="C33730" s="25"/>
      <c r="D33730" s="25"/>
      <c r="E33730" s="25"/>
      <c r="F33730" s="25"/>
      <c r="G33730" s="25"/>
      <c r="H33730" s="25"/>
      <c r="I33730" s="25"/>
      <c r="J33730" s="25"/>
      <c r="K33730" s="25"/>
    </row>
    <row r="33731" customFormat="false" ht="15" hidden="false" customHeight="false" outlineLevel="0" collapsed="false">
      <c r="A33731" s="3" t="s">
        <v>556</v>
      </c>
      <c r="C33731" s="27" t="n">
        <f aca="false">Assumptions!$M$57</f>
        <v>1</v>
      </c>
    </row>
    <row r="33732" customFormat="false" ht="15" hidden="false" customHeight="false" outlineLevel="0" collapsed="false">
      <c r="A33732" s="3" t="s">
        <v>557</v>
      </c>
      <c r="C33732" s="27" t="n">
        <f aca="false">Assumptions!$M$58</f>
        <v>1</v>
      </c>
    </row>
    <row r="33733" customFormat="false" ht="15" hidden="false" customHeight="false" outlineLevel="0" collapsed="false">
      <c r="A33733" s="3" t="s">
        <v>558</v>
      </c>
      <c r="C33733" s="27" t="n">
        <f aca="false">Assumptions!$M$59</f>
        <v>1</v>
      </c>
    </row>
    <row r="33734" customFormat="false" ht="15" hidden="false" customHeight="false" outlineLevel="0" collapsed="false">
      <c r="A33734" s="3" t="s">
        <v>559</v>
      </c>
      <c r="C33734" s="27" t="n">
        <f aca="false">Assumptions!$M$60</f>
        <v>2</v>
      </c>
    </row>
    <row r="33735" customFormat="false" ht="15" hidden="false" customHeight="false" outlineLevel="0" collapsed="false">
      <c r="A33735" s="3" t="s">
        <v>560</v>
      </c>
      <c r="C33735" s="27" t="n">
        <f aca="false">Assumptions!$M$61</f>
        <v>2</v>
      </c>
    </row>
    <row r="33736" customFormat="false" ht="15" hidden="false" customHeight="false" outlineLevel="0" collapsed="false">
      <c r="A33736" s="3" t="s">
        <v>561</v>
      </c>
      <c r="C33736" s="27" t="n">
        <f aca="false">Assumptions!$M$62</f>
        <v>2</v>
      </c>
    </row>
    <row r="33737" customFormat="false" ht="15" hidden="false" customHeight="false" outlineLevel="0" collapsed="false">
      <c r="A33737" s="3" t="s">
        <v>562</v>
      </c>
      <c r="C33737" s="27" t="n">
        <f aca="false">Assumptions!$M$63</f>
        <v>2</v>
      </c>
    </row>
    <row r="33738" customFormat="false" ht="15" hidden="false" customHeight="false" outlineLevel="0" collapsed="false">
      <c r="A33738" s="3" t="s">
        <v>563</v>
      </c>
      <c r="C33738" s="27" t="n">
        <f aca="false">Assumptions!$M$64</f>
        <v>2</v>
      </c>
    </row>
    <row r="33739" customFormat="false" ht="15" hidden="false" customHeight="false" outlineLevel="0" collapsed="false">
      <c r="A33739" s="3" t="s">
        <v>564</v>
      </c>
      <c r="C33739" s="27" t="n">
        <f aca="false">Assumptions!$M$65</f>
        <v>2</v>
      </c>
    </row>
    <row r="33740" customFormat="false" ht="15" hidden="false" customHeight="false" outlineLevel="0" collapsed="false">
      <c r="A33740" s="3" t="s">
        <v>565</v>
      </c>
      <c r="C33740" s="27" t="n">
        <f aca="false">Assumptions!$M$66</f>
        <v>3</v>
      </c>
    </row>
    <row r="33741" customFormat="false" ht="15" hidden="false" customHeight="false" outlineLevel="0" collapsed="false">
      <c r="A33741" s="24" t="s">
        <v>567</v>
      </c>
      <c r="B33741" s="25"/>
      <c r="C33741" s="25"/>
      <c r="D33741" s="25"/>
      <c r="E33741" s="25"/>
      <c r="F33741" s="25"/>
      <c r="G33741" s="25"/>
      <c r="H33741" s="25"/>
      <c r="I33741" s="25"/>
      <c r="J33741" s="25"/>
      <c r="K33741" s="25"/>
    </row>
    <row r="33742" customFormat="false" ht="15" hidden="false" customHeight="false" outlineLevel="0" collapsed="false">
      <c r="A33742" s="3" t="s">
        <v>556</v>
      </c>
      <c r="C33742" s="33" t="n">
        <f aca="false">Assumptions!$Q$57</f>
        <v>0.3</v>
      </c>
    </row>
    <row r="33743" customFormat="false" ht="15" hidden="false" customHeight="false" outlineLevel="0" collapsed="false">
      <c r="A33743" s="3" t="s">
        <v>557</v>
      </c>
      <c r="C33743" s="33" t="n">
        <f aca="false">Assumptions!$Q$58</f>
        <v>0.033</v>
      </c>
    </row>
    <row r="33744" customFormat="false" ht="15" hidden="false" customHeight="false" outlineLevel="0" collapsed="false">
      <c r="A33744" s="3" t="s">
        <v>558</v>
      </c>
      <c r="C33744" s="33" t="n">
        <f aca="false">Assumptions!$Q$59</f>
        <v>0.021</v>
      </c>
    </row>
    <row r="33745" customFormat="false" ht="15" hidden="false" customHeight="false" outlineLevel="0" collapsed="false">
      <c r="A33745" s="3" t="s">
        <v>559</v>
      </c>
      <c r="C33745" s="33" t="n">
        <f aca="false">Assumptions!$Q$60</f>
        <v>0</v>
      </c>
    </row>
    <row r="33746" customFormat="false" ht="15" hidden="false" customHeight="false" outlineLevel="0" collapsed="false">
      <c r="A33746" s="3" t="s">
        <v>560</v>
      </c>
      <c r="C33746" s="33" t="n">
        <f aca="false">Assumptions!$Q$61</f>
        <v>0</v>
      </c>
    </row>
    <row r="33747" customFormat="false" ht="15" hidden="false" customHeight="false" outlineLevel="0" collapsed="false">
      <c r="A33747" s="3" t="s">
        <v>561</v>
      </c>
      <c r="C33747" s="33" t="n">
        <f aca="false">Assumptions!$Q$62</f>
        <v>0</v>
      </c>
    </row>
    <row r="33748" customFormat="false" ht="15" hidden="false" customHeight="false" outlineLevel="0" collapsed="false">
      <c r="A33748" s="3" t="s">
        <v>562</v>
      </c>
      <c r="C33748" s="33" t="n">
        <f aca="false">Assumptions!$Q$63</f>
        <v>0</v>
      </c>
    </row>
    <row r="33749" customFormat="false" ht="15" hidden="false" customHeight="false" outlineLevel="0" collapsed="false">
      <c r="A33749" s="3" t="s">
        <v>563</v>
      </c>
      <c r="C33749" s="33" t="n">
        <f aca="false">Assumptions!$Q$64</f>
        <v>0</v>
      </c>
    </row>
    <row r="33750" customFormat="false" ht="15" hidden="false" customHeight="false" outlineLevel="0" collapsed="false">
      <c r="A33750" s="3" t="s">
        <v>564</v>
      </c>
      <c r="C33750" s="33" t="n">
        <f aca="false">Assumptions!$Q$65</f>
        <v>0</v>
      </c>
    </row>
    <row r="33751" customFormat="false" ht="15" hidden="false" customHeight="false" outlineLevel="0" collapsed="false">
      <c r="A33751" s="3" t="s">
        <v>565</v>
      </c>
      <c r="C33751" s="33" t="n">
        <f aca="false">Assumptions!$Q$66</f>
        <v>0</v>
      </c>
    </row>
    <row r="33752" customFormat="false" ht="15" hidden="false" customHeight="false" outlineLevel="0" collapsed="false">
      <c r="A33752" s="24" t="s">
        <v>568</v>
      </c>
      <c r="B33752" s="25"/>
      <c r="C33752" s="25"/>
      <c r="D33752" s="25"/>
      <c r="E33752" s="25"/>
      <c r="F33752" s="25"/>
      <c r="G33752" s="25"/>
      <c r="H33752" s="25"/>
      <c r="I33752" s="25"/>
      <c r="J33752" s="25"/>
      <c r="K33752" s="25"/>
    </row>
    <row r="33753" customFormat="false" ht="15" hidden="false" customHeight="false" outlineLevel="0" collapsed="false">
      <c r="A33753" s="3" t="s">
        <v>556</v>
      </c>
      <c r="C33753" s="16" t="n">
        <f aca="false">IF(C33742&gt;0,MIN(C33720,C33742*$C$33718),0)</f>
        <v>405.0585</v>
      </c>
    </row>
    <row r="33754" customFormat="false" ht="15" hidden="false" customHeight="false" outlineLevel="0" collapsed="false">
      <c r="A33754" s="3" t="s">
        <v>557</v>
      </c>
      <c r="C33754" s="16" t="n">
        <f aca="false">IF(C33743&gt;0,MIN(C33721,C33743*$C$33718),0)</f>
        <v>91.30725</v>
      </c>
    </row>
    <row r="33755" customFormat="false" ht="15" hidden="false" customHeight="false" outlineLevel="0" collapsed="false">
      <c r="A33755" s="3" t="s">
        <v>558</v>
      </c>
      <c r="C33755" s="16" t="n">
        <f aca="false">IF(C33744&gt;0,MIN(C33722,C33744*$C$33718),0)</f>
        <v>58.3715961</v>
      </c>
    </row>
    <row r="33756" customFormat="false" ht="15" hidden="false" customHeight="false" outlineLevel="0" collapsed="false">
      <c r="A33756" s="3" t="s">
        <v>559</v>
      </c>
      <c r="C33756" s="16" t="n">
        <f aca="false">IF(C33745&gt;0,MIN(C33723,C33745*$C$33718),0)</f>
        <v>0</v>
      </c>
    </row>
    <row r="33757" customFormat="false" ht="15" hidden="false" customHeight="false" outlineLevel="0" collapsed="false">
      <c r="A33757" s="3" t="s">
        <v>560</v>
      </c>
      <c r="C33757" s="16" t="n">
        <f aca="false">IF(C33746&gt;0,MIN(C33724,C33746*$C$33718),0)</f>
        <v>0</v>
      </c>
    </row>
    <row r="33758" customFormat="false" ht="15" hidden="false" customHeight="false" outlineLevel="0" collapsed="false">
      <c r="A33758" s="3" t="s">
        <v>561</v>
      </c>
      <c r="C33758" s="16" t="n">
        <f aca="false">IF(C33747&gt;0,MIN(C33725,C33747*$C$33718),0)</f>
        <v>0</v>
      </c>
    </row>
    <row r="33759" customFormat="false" ht="15" hidden="false" customHeight="false" outlineLevel="0" collapsed="false">
      <c r="A33759" s="3" t="s">
        <v>562</v>
      </c>
      <c r="C33759" s="16" t="n">
        <f aca="false">IF(C33748&gt;0,MIN(C33726,C33748*$C$33718),0)</f>
        <v>0</v>
      </c>
    </row>
    <row r="33760" customFormat="false" ht="15" hidden="false" customHeight="false" outlineLevel="0" collapsed="false">
      <c r="A33760" s="3" t="s">
        <v>563</v>
      </c>
      <c r="C33760" s="16" t="n">
        <f aca="false">IF(C33749&gt;0,MIN(C33727,C33749*$C$33718),0)</f>
        <v>0</v>
      </c>
    </row>
    <row r="33761" customFormat="false" ht="15" hidden="false" customHeight="false" outlineLevel="0" collapsed="false">
      <c r="A33761" s="3" t="s">
        <v>564</v>
      </c>
      <c r="C33761" s="16" t="n">
        <f aca="false">IF(C33750&gt;0,MIN(C33728,C33750*$C$33718),0)</f>
        <v>0</v>
      </c>
    </row>
    <row r="33762" customFormat="false" ht="15" hidden="false" customHeight="false" outlineLevel="0" collapsed="false">
      <c r="A33762" s="3" t="s">
        <v>565</v>
      </c>
      <c r="C33762" s="16" t="n">
        <f aca="false">IF(C33751&gt;0,MIN(C33729,C33751*$C$33718),0)</f>
        <v>0</v>
      </c>
    </row>
    <row r="33763" customFormat="false" ht="15" hidden="false" customHeight="false" outlineLevel="0" collapsed="false">
      <c r="A33763" s="24" t="s">
        <v>569</v>
      </c>
      <c r="B33763" s="25"/>
      <c r="C33763" s="25"/>
      <c r="D33763" s="25"/>
      <c r="E33763" s="25"/>
      <c r="F33763" s="25"/>
      <c r="G33763" s="25"/>
      <c r="H33763" s="25"/>
      <c r="I33763" s="25"/>
      <c r="J33763" s="25"/>
      <c r="K33763" s="25"/>
    </row>
    <row r="33764" customFormat="false" ht="15" hidden="false" customHeight="false" outlineLevel="0" collapsed="false">
      <c r="A33764" s="3" t="s">
        <v>556</v>
      </c>
      <c r="C33764" s="16" t="n">
        <f aca="false">IF(C33742&gt;0,C33720-C33753,0)</f>
        <v>0</v>
      </c>
      <c r="G33764" s="21" t="n">
        <f aca="false">IF(AND(G33455=1,G33452=1),1,0)</f>
        <v>0</v>
      </c>
      <c r="H33764" s="21" t="n">
        <f aca="false">IF(G33764=1,1,IF(AND(H33455=1,H33452=1),1,0))</f>
        <v>0</v>
      </c>
      <c r="I33764" s="21" t="n">
        <f aca="false">IF(H33764=1,1,IF(AND(I33455=1,I33452=1),1,0))</f>
        <v>0</v>
      </c>
      <c r="J33764" s="21" t="n">
        <f aca="false">IF(I33764=1,1,IF(AND(J33455=1,J33452=1),1,0))</f>
        <v>0</v>
      </c>
      <c r="K33764" s="21" t="n">
        <f aca="false">IF(J33764=1,1,IF(AND(K33455=1,K33452=1),1,0))</f>
        <v>1</v>
      </c>
    </row>
    <row r="33765" customFormat="false" ht="15" hidden="false" customHeight="false" outlineLevel="0" collapsed="false">
      <c r="A33765" s="3" t="s">
        <v>557</v>
      </c>
      <c r="C33765" s="16" t="n">
        <f aca="false">IF(C33743&gt;0,C33721-C33754,0)</f>
        <v>0</v>
      </c>
      <c r="G33765" s="21" t="n">
        <f aca="false">IF(AND(G33468=1,G33452=1),1,0)</f>
        <v>0</v>
      </c>
      <c r="H33765" s="21" t="n">
        <f aca="false">IF(G33765=1,1,IF(AND(H33468=1,H33452=1),1,0))</f>
        <v>0</v>
      </c>
      <c r="I33765" s="21" t="n">
        <f aca="false">IF(H33765=1,1,IF(AND(I33468=1,I33452=1),1,0))</f>
        <v>0</v>
      </c>
      <c r="J33765" s="21" t="n">
        <f aca="false">IF(I33765=1,1,IF(AND(J33468=1,J33452=1),1,0))</f>
        <v>0</v>
      </c>
      <c r="K33765" s="21" t="n">
        <f aca="false">IF(J33765=1,1,IF(AND(K33468=1,K33452=1),1,0))</f>
        <v>0</v>
      </c>
    </row>
    <row r="33766" customFormat="false" ht="15" hidden="false" customHeight="false" outlineLevel="0" collapsed="false">
      <c r="A33766" s="3" t="s">
        <v>558</v>
      </c>
      <c r="C33766" s="16" t="n">
        <f aca="false">IF(C33744&gt;0,C33722-C33755,0)</f>
        <v>0</v>
      </c>
      <c r="G33766" s="21" t="n">
        <f aca="false">IF(AND(G33481=1,G33452=1),1,0)</f>
        <v>0</v>
      </c>
      <c r="H33766" s="21" t="n">
        <f aca="false">IF(G33766=1,1,IF(AND(H33481=1,H33452=1),1,0))</f>
        <v>0</v>
      </c>
      <c r="I33766" s="21" t="n">
        <f aca="false">IF(H33766=1,1,IF(AND(I33481=1,I33452=1),1,0))</f>
        <v>0</v>
      </c>
      <c r="J33766" s="21" t="n">
        <f aca="false">IF(I33766=1,1,IF(AND(J33481=1,J33452=1),1,0))</f>
        <v>0</v>
      </c>
      <c r="K33766" s="21" t="n">
        <f aca="false">IF(J33766=1,1,IF(AND(K33481=1,K33452=1),1,0))</f>
        <v>0</v>
      </c>
    </row>
    <row r="33767" customFormat="false" ht="15" hidden="false" customHeight="false" outlineLevel="0" collapsed="false">
      <c r="A33767" s="3" t="s">
        <v>559</v>
      </c>
      <c r="C33767" s="16" t="n">
        <f aca="false">IF(C33745&gt;0,C33723-C33756,0)</f>
        <v>0</v>
      </c>
      <c r="G33767" s="21" t="n">
        <f aca="false">IF(AND(G33494=1,G33452=1),1,0)</f>
        <v>1</v>
      </c>
      <c r="H33767" s="21" t="n">
        <f aca="false">IF(G33767=1,1,IF(AND(H33494=1,H33452=1),1,0))</f>
        <v>1</v>
      </c>
      <c r="I33767" s="21" t="n">
        <f aca="false">IF(H33767=1,1,IF(AND(I33494=1,I33452=1),1,0))</f>
        <v>1</v>
      </c>
      <c r="J33767" s="21" t="n">
        <f aca="false">IF(I33767=1,1,IF(AND(J33494=1,J33452=1),1,0))</f>
        <v>1</v>
      </c>
      <c r="K33767" s="21" t="n">
        <f aca="false">IF(J33767=1,1,IF(AND(K33494=1,K33452=1),1,0))</f>
        <v>1</v>
      </c>
    </row>
    <row r="33768" customFormat="false" ht="15" hidden="false" customHeight="false" outlineLevel="0" collapsed="false">
      <c r="A33768" s="3" t="s">
        <v>560</v>
      </c>
      <c r="C33768" s="16" t="n">
        <f aca="false">IF(C33746&gt;0,C33724-C33757,0)</f>
        <v>0</v>
      </c>
      <c r="G33768" s="21" t="n">
        <f aca="false">IF(AND(G33507=1,G33452=1),1,0)</f>
        <v>0</v>
      </c>
      <c r="H33768" s="21" t="n">
        <f aca="false">IF(G33768=1,1,IF(AND(H33507=1,H33452=1),1,0))</f>
        <v>1</v>
      </c>
      <c r="I33768" s="21" t="n">
        <f aca="false">IF(H33768=1,1,IF(AND(I33507=1,I33452=1),1,0))</f>
        <v>1</v>
      </c>
      <c r="J33768" s="21" t="n">
        <f aca="false">IF(I33768=1,1,IF(AND(J33507=1,J33452=1),1,0))</f>
        <v>1</v>
      </c>
      <c r="K33768" s="21" t="n">
        <f aca="false">IF(J33768=1,1,IF(AND(K33507=1,K33452=1),1,0))</f>
        <v>1</v>
      </c>
    </row>
    <row r="33769" customFormat="false" ht="15" hidden="false" customHeight="false" outlineLevel="0" collapsed="false">
      <c r="A33769" s="3" t="s">
        <v>561</v>
      </c>
      <c r="C33769" s="16" t="n">
        <f aca="false">IF(C33747&gt;0,C33725-C33758,0)</f>
        <v>0</v>
      </c>
      <c r="G33769" s="21" t="n">
        <f aca="false">IF(AND(G33520=1,G33452=1),1,0)</f>
        <v>0</v>
      </c>
      <c r="H33769" s="21" t="n">
        <f aca="false">IF(G33769=1,1,IF(AND(H33520=1,H33452=1),1,0))</f>
        <v>1</v>
      </c>
      <c r="I33769" s="21" t="n">
        <f aca="false">IF(H33769=1,1,IF(AND(I33520=1,I33452=1),1,0))</f>
        <v>1</v>
      </c>
      <c r="J33769" s="21" t="n">
        <f aca="false">IF(I33769=1,1,IF(AND(J33520=1,J33452=1),1,0))</f>
        <v>1</v>
      </c>
      <c r="K33769" s="21" t="n">
        <f aca="false">IF(J33769=1,1,IF(AND(K33520=1,K33452=1),1,0))</f>
        <v>1</v>
      </c>
    </row>
    <row r="33770" customFormat="false" ht="15" hidden="false" customHeight="false" outlineLevel="0" collapsed="false">
      <c r="A33770" s="3" t="s">
        <v>562</v>
      </c>
      <c r="C33770" s="16" t="n">
        <f aca="false">IF(C33748&gt;0,C33726-C33759,0)</f>
        <v>0</v>
      </c>
      <c r="G33770" s="21" t="n">
        <f aca="false">IF(AND(G33533=1,G33452=1),1,0)</f>
        <v>0</v>
      </c>
      <c r="H33770" s="21" t="n">
        <f aca="false">IF(G33770=1,1,IF(AND(H33533=1,H33452=1),1,0))</f>
        <v>0</v>
      </c>
      <c r="I33770" s="21" t="n">
        <f aca="false">IF(H33770=1,1,IF(AND(I33533=1,I33452=1),1,0))</f>
        <v>1</v>
      </c>
      <c r="J33770" s="21" t="n">
        <f aca="false">IF(I33770=1,1,IF(AND(J33533=1,J33452=1),1,0))</f>
        <v>1</v>
      </c>
      <c r="K33770" s="21" t="n">
        <f aca="false">IF(J33770=1,1,IF(AND(K33533=1,K33452=1),1,0))</f>
        <v>1</v>
      </c>
    </row>
    <row r="33771" customFormat="false" ht="15" hidden="false" customHeight="false" outlineLevel="0" collapsed="false">
      <c r="A33771" s="3" t="s">
        <v>563</v>
      </c>
      <c r="C33771" s="16" t="n">
        <f aca="false">IF(C33749&gt;0,C33727-C33760,0)</f>
        <v>0</v>
      </c>
      <c r="G33771" s="21" t="n">
        <f aca="false">IF(AND(G33546=1,G33452=1),1,0)</f>
        <v>0</v>
      </c>
      <c r="H33771" s="21" t="n">
        <f aca="false">IF(G33771=1,1,IF(AND(H33546=1,H33452=1),1,0))</f>
        <v>0</v>
      </c>
      <c r="I33771" s="21" t="n">
        <f aca="false">IF(H33771=1,1,IF(AND(I33546=1,I33452=1),1,0))</f>
        <v>0</v>
      </c>
      <c r="J33771" s="21" t="n">
        <f aca="false">IF(I33771=1,1,IF(AND(J33546=1,J33452=1),1,0))</f>
        <v>1</v>
      </c>
      <c r="K33771" s="21" t="n">
        <f aca="false">IF(J33771=1,1,IF(AND(K33546=1,K33452=1),1,0))</f>
        <v>1</v>
      </c>
    </row>
    <row r="33772" customFormat="false" ht="15" hidden="false" customHeight="false" outlineLevel="0" collapsed="false">
      <c r="A33772" s="3" t="s">
        <v>564</v>
      </c>
      <c r="C33772" s="16" t="n">
        <f aca="false">IF(C33750&gt;0,C33728-C33761,0)</f>
        <v>0</v>
      </c>
      <c r="G33772" s="21" t="n">
        <f aca="false">IF(AND(G33559=1,G33452=1),1,0)</f>
        <v>0</v>
      </c>
      <c r="H33772" s="21" t="n">
        <f aca="false">IF(G33772=1,1,IF(AND(H33559=1,H33452=1),1,0))</f>
        <v>0</v>
      </c>
      <c r="I33772" s="21" t="n">
        <f aca="false">IF(H33772=1,1,IF(AND(I33559=1,I33452=1),1,0))</f>
        <v>0</v>
      </c>
      <c r="J33772" s="21" t="n">
        <f aca="false">IF(I33772=1,1,IF(AND(J33559=1,J33452=1),1,0))</f>
        <v>0</v>
      </c>
      <c r="K33772" s="21" t="n">
        <f aca="false">IF(J33772=1,1,IF(AND(K33559=1,K33452=1),1,0))</f>
        <v>1</v>
      </c>
    </row>
    <row r="33773" customFormat="false" ht="15" hidden="false" customHeight="false" outlineLevel="0" collapsed="false">
      <c r="A33773" s="3" t="s">
        <v>565</v>
      </c>
      <c r="C33773" s="16" t="n">
        <f aca="false">IF(C33751&gt;0,C33729-C33762,0)</f>
        <v>0</v>
      </c>
      <c r="G33773" s="21" t="n">
        <f aca="false">IF(AND(G33572=1,G33452=1),1,0)</f>
        <v>0</v>
      </c>
      <c r="H33773" s="21" t="n">
        <f aca="false">IF(G33773=1,1,IF(AND(H33572=1,H33452=1),1,0))</f>
        <v>0</v>
      </c>
      <c r="I33773" s="21" t="n">
        <f aca="false">IF(H33773=1,1,IF(AND(I33572=1,I33452=1),1,0))</f>
        <v>0</v>
      </c>
      <c r="J33773" s="21" t="n">
        <f aca="false">IF(I33773=1,1,IF(AND(J33572=1,J33452=1),1,0))</f>
        <v>0</v>
      </c>
      <c r="K33773" s="21" t="n">
        <f aca="false">IF(J33773=1,1,IF(AND(K33572=1,K33452=1),1,0))</f>
        <v>0</v>
      </c>
    </row>
    <row r="33774" customFormat="false" ht="15" hidden="false" customHeight="false" outlineLevel="0" collapsed="false">
      <c r="A33774" s="24" t="s">
        <v>570</v>
      </c>
      <c r="B33774" s="25"/>
      <c r="C33774" s="25"/>
      <c r="D33774" s="25"/>
      <c r="E33774" s="25"/>
      <c r="F33774" s="25"/>
      <c r="G33774" s="25"/>
      <c r="H33774" s="25"/>
      <c r="I33774" s="25"/>
      <c r="J33774" s="25"/>
      <c r="K33774" s="25"/>
    </row>
    <row r="33775" customFormat="false" ht="15" hidden="false" customHeight="false" outlineLevel="0" collapsed="false">
      <c r="A33775" s="3" t="s">
        <v>556</v>
      </c>
      <c r="C33775" s="16" t="n">
        <f aca="false">IF(C33742&gt;0,C33764,C33720)</f>
        <v>0</v>
      </c>
    </row>
    <row r="33776" customFormat="false" ht="15" hidden="false" customHeight="false" outlineLevel="0" collapsed="false">
      <c r="A33776" s="3" t="s">
        <v>557</v>
      </c>
      <c r="C33776" s="16" t="n">
        <f aca="false">IF(C33743&gt;0,C33765,C33721)</f>
        <v>0</v>
      </c>
    </row>
    <row r="33777" customFormat="false" ht="15" hidden="false" customHeight="false" outlineLevel="0" collapsed="false">
      <c r="A33777" s="3" t="s">
        <v>558</v>
      </c>
      <c r="C33777" s="16" t="n">
        <f aca="false">IF(C33744&gt;0,C33766,C33722)</f>
        <v>0</v>
      </c>
    </row>
    <row r="33778" customFormat="false" ht="15" hidden="false" customHeight="false" outlineLevel="0" collapsed="false">
      <c r="A33778" s="3" t="s">
        <v>559</v>
      </c>
      <c r="C33778" s="16" t="n">
        <f aca="false">IF(C33745&gt;0,C33767,C33723)</f>
        <v>0</v>
      </c>
    </row>
    <row r="33779" customFormat="false" ht="15" hidden="false" customHeight="false" outlineLevel="0" collapsed="false">
      <c r="A33779" s="3" t="s">
        <v>560</v>
      </c>
      <c r="C33779" s="16" t="n">
        <f aca="false">IF(C33746&gt;0,C33768,C33724)</f>
        <v>454.44375</v>
      </c>
    </row>
    <row r="33780" customFormat="false" ht="15" hidden="false" customHeight="false" outlineLevel="0" collapsed="false">
      <c r="A33780" s="3" t="s">
        <v>561</v>
      </c>
      <c r="C33780" s="16" t="n">
        <f aca="false">IF(C33747&gt;0,C33769,C33725)</f>
        <v>357.2625</v>
      </c>
    </row>
    <row r="33781" customFormat="false" ht="15" hidden="false" customHeight="false" outlineLevel="0" collapsed="false">
      <c r="A33781" s="3" t="s">
        <v>562</v>
      </c>
      <c r="C33781" s="16" t="n">
        <f aca="false">IF(C33748&gt;0,C33770,C33726)</f>
        <v>562.203125</v>
      </c>
    </row>
    <row r="33782" customFormat="false" ht="15" hidden="false" customHeight="false" outlineLevel="0" collapsed="false">
      <c r="A33782" s="3" t="s">
        <v>563</v>
      </c>
      <c r="C33782" s="16" t="n">
        <f aca="false">IF(C33749&gt;0,C33771,C33727)</f>
        <v>353.98125</v>
      </c>
    </row>
    <row r="33783" customFormat="false" ht="15" hidden="false" customHeight="false" outlineLevel="0" collapsed="false">
      <c r="A33783" s="3" t="s">
        <v>564</v>
      </c>
      <c r="C33783" s="16" t="n">
        <f aca="false">IF(C33750&gt;0,C33772,C33728)</f>
        <v>304.59375</v>
      </c>
    </row>
    <row r="33784" customFormat="false" ht="15" hidden="false" customHeight="false" outlineLevel="0" collapsed="false">
      <c r="A33784" s="3" t="s">
        <v>565</v>
      </c>
      <c r="C33784" s="16" t="n">
        <f aca="false">IF(C33751&gt;0,C33773,C33729)</f>
        <v>79.67320025</v>
      </c>
    </row>
    <row r="33785" customFormat="false" ht="15" hidden="false" customHeight="false" outlineLevel="0" collapsed="false">
      <c r="A33785" s="24" t="s">
        <v>571</v>
      </c>
      <c r="B33785" s="25"/>
      <c r="C33785" s="25"/>
      <c r="D33785" s="25"/>
      <c r="E33785" s="25"/>
      <c r="F33785" s="25"/>
      <c r="G33785" s="25"/>
      <c r="H33785" s="25"/>
      <c r="I33785" s="25"/>
      <c r="J33785" s="25"/>
      <c r="K33785" s="25"/>
    </row>
    <row r="33786" customFormat="false" ht="15" hidden="false" customHeight="false" outlineLevel="0" collapsed="false">
      <c r="A33786" s="3" t="s">
        <v>556</v>
      </c>
      <c r="C33786" s="21" t="n">
        <f aca="false">IF(C33742&gt;0,Assumptions!$C$17,C33731)</f>
        <v>99</v>
      </c>
    </row>
    <row r="33787" customFormat="false" ht="15" hidden="false" customHeight="false" outlineLevel="0" collapsed="false">
      <c r="A33787" s="3" t="s">
        <v>557</v>
      </c>
      <c r="C33787" s="21" t="n">
        <f aca="false">IF(C33743&gt;0,Assumptions!$C$17,C33732)</f>
        <v>99</v>
      </c>
    </row>
    <row r="33788" customFormat="false" ht="15" hidden="false" customHeight="false" outlineLevel="0" collapsed="false">
      <c r="A33788" s="3" t="s">
        <v>558</v>
      </c>
      <c r="C33788" s="21" t="n">
        <f aca="false">IF(C33744&gt;0,Assumptions!$C$17,C33733)</f>
        <v>99</v>
      </c>
    </row>
    <row r="33789" customFormat="false" ht="15" hidden="false" customHeight="false" outlineLevel="0" collapsed="false">
      <c r="A33789" s="3" t="s">
        <v>559</v>
      </c>
      <c r="C33789" s="21" t="n">
        <f aca="false">IF(C33745&gt;0,Assumptions!$C$17,C33734)</f>
        <v>2</v>
      </c>
    </row>
    <row r="33790" customFormat="false" ht="15" hidden="false" customHeight="false" outlineLevel="0" collapsed="false">
      <c r="A33790" s="3" t="s">
        <v>560</v>
      </c>
      <c r="C33790" s="21" t="n">
        <f aca="false">IF(C33746&gt;0,Assumptions!$C$17,C33735)</f>
        <v>2</v>
      </c>
    </row>
    <row r="33791" customFormat="false" ht="15" hidden="false" customHeight="false" outlineLevel="0" collapsed="false">
      <c r="A33791" s="3" t="s">
        <v>561</v>
      </c>
      <c r="C33791" s="21" t="n">
        <f aca="false">IF(C33747&gt;0,Assumptions!$C$17,C33736)</f>
        <v>2</v>
      </c>
    </row>
    <row r="33792" customFormat="false" ht="15" hidden="false" customHeight="false" outlineLevel="0" collapsed="false">
      <c r="A33792" s="3" t="s">
        <v>562</v>
      </c>
      <c r="C33792" s="21" t="n">
        <f aca="false">IF(C33748&gt;0,Assumptions!$C$17,C33737)</f>
        <v>2</v>
      </c>
    </row>
    <row r="33793" customFormat="false" ht="15" hidden="false" customHeight="false" outlineLevel="0" collapsed="false">
      <c r="A33793" s="3" t="s">
        <v>563</v>
      </c>
      <c r="C33793" s="21" t="n">
        <f aca="false">IF(C33749&gt;0,Assumptions!$C$17,C33738)</f>
        <v>2</v>
      </c>
    </row>
    <row r="33794" customFormat="false" ht="15" hidden="false" customHeight="false" outlineLevel="0" collapsed="false">
      <c r="A33794" s="3" t="s">
        <v>564</v>
      </c>
      <c r="C33794" s="21" t="n">
        <f aca="false">IF(C33750&gt;0,Assumptions!$C$17,C33739)</f>
        <v>2</v>
      </c>
    </row>
    <row r="33795" customFormat="false" ht="15" hidden="false" customHeight="false" outlineLevel="0" collapsed="false">
      <c r="A33795" s="3" t="s">
        <v>565</v>
      </c>
      <c r="C33795" s="21" t="n">
        <f aca="false">IF(C33751&gt;0,Assumptions!$C$17,C33740)</f>
        <v>3</v>
      </c>
    </row>
    <row r="33796" customFormat="false" ht="15" hidden="false" customHeight="false" outlineLevel="0" collapsed="false">
      <c r="A33796" s="24" t="s">
        <v>572</v>
      </c>
      <c r="B33796" s="25"/>
      <c r="C33796" s="25"/>
      <c r="D33796" s="25"/>
      <c r="E33796" s="25"/>
      <c r="F33796" s="25"/>
      <c r="G33796" s="25"/>
      <c r="H33796" s="25"/>
      <c r="I33796" s="25"/>
      <c r="J33796" s="25"/>
      <c r="K33796" s="25"/>
    </row>
    <row r="33797" customFormat="false" ht="15" hidden="false" customHeight="false" outlineLevel="0" collapsed="false">
      <c r="A33797" s="3" t="s">
        <v>556</v>
      </c>
      <c r="C33797" s="16" t="n">
        <f aca="false">SUMPRODUCT(($C$33786:$C$33795&lt;C33786)*$C$33775:$C$33784)</f>
        <v>2112.15757525</v>
      </c>
    </row>
    <row r="33798" customFormat="false" ht="15" hidden="false" customHeight="false" outlineLevel="0" collapsed="false">
      <c r="A33798" s="3" t="s">
        <v>557</v>
      </c>
      <c r="C33798" s="16" t="n">
        <f aca="false">SUMPRODUCT(($C$33786:$C$33795&lt;C33787)*$C$33775:$C$33784)</f>
        <v>2112.15757525</v>
      </c>
    </row>
    <row r="33799" customFormat="false" ht="15" hidden="false" customHeight="false" outlineLevel="0" collapsed="false">
      <c r="A33799" s="3" t="s">
        <v>558</v>
      </c>
      <c r="C33799" s="16" t="n">
        <f aca="false">SUMPRODUCT(($C$33786:$C$33795&lt;C33788)*$C$33775:$C$33784)</f>
        <v>2112.15757525</v>
      </c>
    </row>
    <row r="33800" customFormat="false" ht="15" hidden="false" customHeight="false" outlineLevel="0" collapsed="false">
      <c r="A33800" s="3" t="s">
        <v>559</v>
      </c>
      <c r="C33800" s="16" t="n">
        <f aca="false">SUMPRODUCT(($C$33786:$C$33795&lt;C33789)*$C$33775:$C$33784)</f>
        <v>0</v>
      </c>
    </row>
    <row r="33801" customFormat="false" ht="15" hidden="false" customHeight="false" outlineLevel="0" collapsed="false">
      <c r="A33801" s="3" t="s">
        <v>560</v>
      </c>
      <c r="C33801" s="16" t="n">
        <f aca="false">SUMPRODUCT(($C$33786:$C$33795&lt;C33790)*$C$33775:$C$33784)</f>
        <v>0</v>
      </c>
    </row>
    <row r="33802" customFormat="false" ht="15" hidden="false" customHeight="false" outlineLevel="0" collapsed="false">
      <c r="A33802" s="3" t="s">
        <v>561</v>
      </c>
      <c r="C33802" s="16" t="n">
        <f aca="false">SUMPRODUCT(($C$33786:$C$33795&lt;C33791)*$C$33775:$C$33784)</f>
        <v>0</v>
      </c>
    </row>
    <row r="33803" customFormat="false" ht="15" hidden="false" customHeight="false" outlineLevel="0" collapsed="false">
      <c r="A33803" s="3" t="s">
        <v>562</v>
      </c>
      <c r="C33803" s="16" t="n">
        <f aca="false">SUMPRODUCT(($C$33786:$C$33795&lt;C33792)*$C$33775:$C$33784)</f>
        <v>0</v>
      </c>
    </row>
    <row r="33804" customFormat="false" ht="15" hidden="false" customHeight="false" outlineLevel="0" collapsed="false">
      <c r="A33804" s="3" t="s">
        <v>563</v>
      </c>
      <c r="C33804" s="16" t="n">
        <f aca="false">SUMPRODUCT(($C$33786:$C$33795&lt;C33793)*$C$33775:$C$33784)</f>
        <v>0</v>
      </c>
    </row>
    <row r="33805" customFormat="false" ht="15" hidden="false" customHeight="false" outlineLevel="0" collapsed="false">
      <c r="A33805" s="3" t="s">
        <v>564</v>
      </c>
      <c r="C33805" s="16" t="n">
        <f aca="false">SUMPRODUCT(($C$33786:$C$33795&lt;C33794)*$C$33775:$C$33784)</f>
        <v>0</v>
      </c>
    </row>
    <row r="33806" customFormat="false" ht="15" hidden="false" customHeight="false" outlineLevel="0" collapsed="false">
      <c r="A33806" s="3" t="s">
        <v>565</v>
      </c>
      <c r="C33806" s="16" t="n">
        <f aca="false">SUMPRODUCT(($C$33786:$C$33795&lt;C33795)*$C$33775:$C$33784)</f>
        <v>2032.484375</v>
      </c>
    </row>
    <row r="33807" customFormat="false" ht="15" hidden="false" customHeight="false" outlineLevel="0" collapsed="false">
      <c r="A33807" s="24" t="s">
        <v>573</v>
      </c>
      <c r="B33807" s="25"/>
      <c r="C33807" s="25"/>
      <c r="D33807" s="25"/>
      <c r="E33807" s="25"/>
      <c r="F33807" s="25"/>
      <c r="G33807" s="25"/>
      <c r="H33807" s="25"/>
      <c r="I33807" s="25"/>
      <c r="J33807" s="25"/>
      <c r="K33807" s="25"/>
    </row>
    <row r="33808" customFormat="false" ht="15" hidden="false" customHeight="false" outlineLevel="0" collapsed="false">
      <c r="A33808" s="3" t="s">
        <v>556</v>
      </c>
      <c r="C33808" s="16" t="n">
        <f aca="false">SUMPRODUCT(($C$33786:$C$33795=C33786)*$C$33775:$C$33784)</f>
        <v>0</v>
      </c>
    </row>
    <row r="33809" customFormat="false" ht="15" hidden="false" customHeight="false" outlineLevel="0" collapsed="false">
      <c r="A33809" s="3" t="s">
        <v>557</v>
      </c>
      <c r="C33809" s="16" t="n">
        <f aca="false">SUMPRODUCT(($C$33786:$C$33795=C33787)*$C$33775:$C$33784)</f>
        <v>0</v>
      </c>
    </row>
    <row r="33810" customFormat="false" ht="15" hidden="false" customHeight="false" outlineLevel="0" collapsed="false">
      <c r="A33810" s="3" t="s">
        <v>558</v>
      </c>
      <c r="C33810" s="16" t="n">
        <f aca="false">SUMPRODUCT(($C$33786:$C$33795=C33788)*$C$33775:$C$33784)</f>
        <v>0</v>
      </c>
    </row>
    <row r="33811" customFormat="false" ht="15" hidden="false" customHeight="false" outlineLevel="0" collapsed="false">
      <c r="A33811" s="3" t="s">
        <v>559</v>
      </c>
      <c r="C33811" s="16" t="n">
        <f aca="false">SUMPRODUCT(($C$33786:$C$33795=C33789)*$C$33775:$C$33784)</f>
        <v>2032.484375</v>
      </c>
    </row>
    <row r="33812" customFormat="false" ht="15" hidden="false" customHeight="false" outlineLevel="0" collapsed="false">
      <c r="A33812" s="3" t="s">
        <v>560</v>
      </c>
      <c r="C33812" s="16" t="n">
        <f aca="false">SUMPRODUCT(($C$33786:$C$33795=C33790)*$C$33775:$C$33784)</f>
        <v>2032.484375</v>
      </c>
    </row>
    <row r="33813" customFormat="false" ht="15" hidden="false" customHeight="false" outlineLevel="0" collapsed="false">
      <c r="A33813" s="3" t="s">
        <v>561</v>
      </c>
      <c r="C33813" s="16" t="n">
        <f aca="false">SUMPRODUCT(($C$33786:$C$33795=C33791)*$C$33775:$C$33784)</f>
        <v>2032.484375</v>
      </c>
    </row>
    <row r="33814" customFormat="false" ht="15" hidden="false" customHeight="false" outlineLevel="0" collapsed="false">
      <c r="A33814" s="3" t="s">
        <v>562</v>
      </c>
      <c r="C33814" s="16" t="n">
        <f aca="false">SUMPRODUCT(($C$33786:$C$33795=C33792)*$C$33775:$C$33784)</f>
        <v>2032.484375</v>
      </c>
    </row>
    <row r="33815" customFormat="false" ht="15" hidden="false" customHeight="false" outlineLevel="0" collapsed="false">
      <c r="A33815" s="3" t="s">
        <v>563</v>
      </c>
      <c r="C33815" s="16" t="n">
        <f aca="false">SUMPRODUCT(($C$33786:$C$33795=C33793)*$C$33775:$C$33784)</f>
        <v>2032.484375</v>
      </c>
    </row>
    <row r="33816" customFormat="false" ht="15" hidden="false" customHeight="false" outlineLevel="0" collapsed="false">
      <c r="A33816" s="3" t="s">
        <v>564</v>
      </c>
      <c r="C33816" s="16" t="n">
        <f aca="false">SUMPRODUCT(($C$33786:$C$33795=C33794)*$C$33775:$C$33784)</f>
        <v>2032.484375</v>
      </c>
    </row>
    <row r="33817" customFormat="false" ht="15" hidden="false" customHeight="false" outlineLevel="0" collapsed="false">
      <c r="A33817" s="3" t="s">
        <v>565</v>
      </c>
      <c r="C33817" s="16" t="n">
        <f aca="false">SUMPRODUCT(($C$33786:$C$33795=C33795)*$C$33775:$C$33784)</f>
        <v>79.67320025</v>
      </c>
    </row>
    <row r="33818" customFormat="false" ht="15" hidden="false" customHeight="false" outlineLevel="0" collapsed="false">
      <c r="A33818" s="24" t="s">
        <v>574</v>
      </c>
      <c r="B33818" s="25"/>
      <c r="C33818" s="25"/>
      <c r="D33818" s="25"/>
      <c r="E33818" s="25"/>
      <c r="F33818" s="25"/>
      <c r="G33818" s="25"/>
      <c r="H33818" s="25"/>
      <c r="I33818" s="25"/>
      <c r="J33818" s="25"/>
      <c r="K33818" s="25"/>
    </row>
    <row r="33819" customFormat="false" ht="15" hidden="false" customHeight="false" outlineLevel="0" collapsed="false">
      <c r="A33819" s="3" t="s">
        <v>556</v>
      </c>
      <c r="C33819" s="16" t="n">
        <f aca="false">IF(C33808=0,0,C33775/C33808*MAX(0,MIN(C33808,$C$33718-SUM($C$33753:$C$33762)-C33797)))</f>
        <v>0</v>
      </c>
    </row>
    <row r="33820" customFormat="false" ht="15" hidden="false" customHeight="false" outlineLevel="0" collapsed="false">
      <c r="A33820" s="3" t="s">
        <v>557</v>
      </c>
      <c r="C33820" s="16" t="n">
        <f aca="false">IF(C33809=0,0,C33776/C33809*MAX(0,MIN(C33809,$C$33718-SUM($C$33753:$C$33762)-C33798)))</f>
        <v>0</v>
      </c>
    </row>
    <row r="33821" customFormat="false" ht="15" hidden="false" customHeight="false" outlineLevel="0" collapsed="false">
      <c r="A33821" s="3" t="s">
        <v>558</v>
      </c>
      <c r="C33821" s="16" t="n">
        <f aca="false">IF(C33810=0,0,C33777/C33810*MAX(0,MIN(C33810,$C$33718-SUM($C$33753:$C$33762)-C33799)))</f>
        <v>0</v>
      </c>
    </row>
    <row r="33822" customFormat="false" ht="15" hidden="false" customHeight="false" outlineLevel="0" collapsed="false">
      <c r="A33822" s="3" t="s">
        <v>559</v>
      </c>
      <c r="C33822" s="16" t="n">
        <f aca="false">IF(C33811=0,0,C33778/C33811*MAX(0,MIN(C33811,$C$33718-SUM($C$33753:$C$33762)-C33800)))</f>
        <v>0</v>
      </c>
    </row>
    <row r="33823" customFormat="false" ht="15" hidden="false" customHeight="false" outlineLevel="0" collapsed="false">
      <c r="A33823" s="3" t="s">
        <v>560</v>
      </c>
      <c r="C33823" s="16" t="n">
        <f aca="false">IF(C33812=0,0,C33779/C33812*MAX(0,MIN(C33812,$C$33718-SUM($C$33753:$C$33762)-C33801)))</f>
        <v>454.44375</v>
      </c>
    </row>
    <row r="33824" customFormat="false" ht="15" hidden="false" customHeight="false" outlineLevel="0" collapsed="false">
      <c r="A33824" s="3" t="s">
        <v>561</v>
      </c>
      <c r="C33824" s="16" t="n">
        <f aca="false">IF(C33813=0,0,C33780/C33813*MAX(0,MIN(C33813,$C$33718-SUM($C$33753:$C$33762)-C33802)))</f>
        <v>357.2625</v>
      </c>
    </row>
    <row r="33825" customFormat="false" ht="15" hidden="false" customHeight="false" outlineLevel="0" collapsed="false">
      <c r="A33825" s="3" t="s">
        <v>562</v>
      </c>
      <c r="C33825" s="16" t="n">
        <f aca="false">IF(C33814=0,0,C33781/C33814*MAX(0,MIN(C33814,$C$33718-SUM($C$33753:$C$33762)-C33803)))</f>
        <v>562.203125</v>
      </c>
    </row>
    <row r="33826" customFormat="false" ht="15" hidden="false" customHeight="false" outlineLevel="0" collapsed="false">
      <c r="A33826" s="3" t="s">
        <v>563</v>
      </c>
      <c r="C33826" s="16" t="n">
        <f aca="false">IF(C33815=0,0,C33782/C33815*MAX(0,MIN(C33815,$C$33718-SUM($C$33753:$C$33762)-C33804)))</f>
        <v>353.98125</v>
      </c>
    </row>
    <row r="33827" customFormat="false" ht="15" hidden="false" customHeight="false" outlineLevel="0" collapsed="false">
      <c r="A33827" s="3" t="s">
        <v>564</v>
      </c>
      <c r="C33827" s="16" t="n">
        <f aca="false">IF(C33816=0,0,C33783/C33816*MAX(0,MIN(C33816,$C$33718-SUM($C$33753:$C$33762)-C33805)))</f>
        <v>304.59375</v>
      </c>
    </row>
    <row r="33828" customFormat="false" ht="15" hidden="false" customHeight="false" outlineLevel="0" collapsed="false">
      <c r="A33828" s="3" t="s">
        <v>565</v>
      </c>
      <c r="C33828" s="16" t="n">
        <f aca="false">IF(C33817=0,0,C33784/C33817*MAX(0,MIN(C33817,$C$33718-SUM($C$33753:$C$33762)-C33806)))</f>
        <v>79.67320025</v>
      </c>
    </row>
    <row r="33829" customFormat="false" ht="15" hidden="false" customHeight="false" outlineLevel="0" collapsed="false">
      <c r="A33829" s="24" t="s">
        <v>575</v>
      </c>
      <c r="B33829" s="25"/>
      <c r="C33829" s="25"/>
      <c r="D33829" s="25"/>
      <c r="E33829" s="25"/>
      <c r="F33829" s="25"/>
      <c r="G33829" s="25"/>
      <c r="H33829" s="25"/>
      <c r="I33829" s="25"/>
      <c r="J33829" s="25"/>
      <c r="K33829" s="25"/>
    </row>
    <row r="33830" customFormat="false" ht="15" hidden="false" customHeight="false" outlineLevel="0" collapsed="false">
      <c r="A33830" s="2" t="s">
        <v>556</v>
      </c>
      <c r="C33830" s="17" t="n">
        <f aca="false">C33753+C33819</f>
        <v>405.0585</v>
      </c>
    </row>
    <row r="33831" customFormat="false" ht="15" hidden="false" customHeight="false" outlineLevel="0" collapsed="false">
      <c r="A33831" s="2" t="s">
        <v>557</v>
      </c>
      <c r="C33831" s="17" t="n">
        <f aca="false">C33754+C33820</f>
        <v>91.30725</v>
      </c>
    </row>
    <row r="33832" customFormat="false" ht="15" hidden="false" customHeight="false" outlineLevel="0" collapsed="false">
      <c r="A33832" s="2" t="s">
        <v>558</v>
      </c>
      <c r="C33832" s="17" t="n">
        <f aca="false">C33755+C33821</f>
        <v>58.3715961</v>
      </c>
    </row>
    <row r="33833" customFormat="false" ht="15" hidden="false" customHeight="false" outlineLevel="0" collapsed="false">
      <c r="A33833" s="2" t="s">
        <v>559</v>
      </c>
      <c r="C33833" s="17" t="n">
        <f aca="false">C33756+C33822</f>
        <v>0</v>
      </c>
    </row>
    <row r="33834" customFormat="false" ht="15" hidden="false" customHeight="false" outlineLevel="0" collapsed="false">
      <c r="A33834" s="2" t="s">
        <v>560</v>
      </c>
      <c r="C33834" s="17" t="n">
        <f aca="false">C33757+C33823</f>
        <v>454.44375</v>
      </c>
    </row>
    <row r="33835" customFormat="false" ht="15" hidden="false" customHeight="false" outlineLevel="0" collapsed="false">
      <c r="A33835" s="2" t="s">
        <v>561</v>
      </c>
      <c r="C33835" s="17" t="n">
        <f aca="false">C33758+C33824</f>
        <v>357.2625</v>
      </c>
    </row>
    <row r="33836" customFormat="false" ht="15" hidden="false" customHeight="false" outlineLevel="0" collapsed="false">
      <c r="A33836" s="2" t="s">
        <v>562</v>
      </c>
      <c r="C33836" s="17" t="n">
        <f aca="false">C33759+C33825</f>
        <v>562.203125</v>
      </c>
    </row>
    <row r="33837" customFormat="false" ht="15" hidden="false" customHeight="false" outlineLevel="0" collapsed="false">
      <c r="A33837" s="2" t="s">
        <v>563</v>
      </c>
      <c r="C33837" s="17" t="n">
        <f aca="false">C33760+C33826</f>
        <v>353.98125</v>
      </c>
    </row>
    <row r="33838" customFormat="false" ht="15" hidden="false" customHeight="false" outlineLevel="0" collapsed="false">
      <c r="A33838" s="2" t="s">
        <v>564</v>
      </c>
      <c r="C33838" s="17" t="n">
        <f aca="false">C33761+C33827</f>
        <v>304.59375</v>
      </c>
    </row>
    <row r="33839" customFormat="false" ht="15" hidden="false" customHeight="false" outlineLevel="0" collapsed="false">
      <c r="A33839" s="2" t="s">
        <v>565</v>
      </c>
      <c r="C33839" s="17" t="n">
        <f aca="false">C33762+C33828</f>
        <v>79.67320025</v>
      </c>
    </row>
    <row r="33840" customFormat="false" ht="15" hidden="false" customHeight="false" outlineLevel="0" collapsed="false">
      <c r="A33840" s="24" t="s">
        <v>576</v>
      </c>
      <c r="B33840" s="25"/>
      <c r="C33840" s="25"/>
      <c r="D33840" s="25"/>
      <c r="E33840" s="25"/>
      <c r="F33840" s="25"/>
      <c r="G33840" s="25"/>
      <c r="H33840" s="25"/>
      <c r="I33840" s="25"/>
      <c r="J33840" s="25"/>
      <c r="K33840" s="25"/>
    </row>
    <row r="33841" customFormat="false" ht="15" hidden="false" customHeight="false" outlineLevel="0" collapsed="false">
      <c r="A33841" s="3" t="s">
        <v>556</v>
      </c>
      <c r="C33841" s="22" t="n">
        <f aca="false">IF(C33720=0,1,C33830/C33720)</f>
        <v>1</v>
      </c>
    </row>
    <row r="33842" customFormat="false" ht="15" hidden="false" customHeight="false" outlineLevel="0" collapsed="false">
      <c r="A33842" s="3" t="s">
        <v>557</v>
      </c>
      <c r="C33842" s="22" t="n">
        <f aca="false">IF(C33721=0,1,C33831/C33721)</f>
        <v>1</v>
      </c>
    </row>
    <row r="33843" customFormat="false" ht="15" hidden="false" customHeight="false" outlineLevel="0" collapsed="false">
      <c r="A33843" s="3" t="s">
        <v>558</v>
      </c>
      <c r="C33843" s="22" t="n">
        <f aca="false">IF(C33722=0,1,C33832/C33722)</f>
        <v>1</v>
      </c>
    </row>
    <row r="33844" customFormat="false" ht="15" hidden="false" customHeight="false" outlineLevel="0" collapsed="false">
      <c r="A33844" s="3" t="s">
        <v>559</v>
      </c>
      <c r="C33844" s="22" t="n">
        <f aca="false">IF(C33723=0,1,C33833/C33723)</f>
        <v>1</v>
      </c>
    </row>
    <row r="33845" customFormat="false" ht="15" hidden="false" customHeight="false" outlineLevel="0" collapsed="false">
      <c r="A33845" s="3" t="s">
        <v>560</v>
      </c>
      <c r="C33845" s="22" t="n">
        <f aca="false">IF(C33724=0,1,C33834/C33724)</f>
        <v>1</v>
      </c>
    </row>
    <row r="33846" customFormat="false" ht="15" hidden="false" customHeight="false" outlineLevel="0" collapsed="false">
      <c r="A33846" s="3" t="s">
        <v>561</v>
      </c>
      <c r="C33846" s="22" t="n">
        <f aca="false">IF(C33725=0,1,C33835/C33725)</f>
        <v>1</v>
      </c>
    </row>
    <row r="33847" customFormat="false" ht="15" hidden="false" customHeight="false" outlineLevel="0" collapsed="false">
      <c r="A33847" s="3" t="s">
        <v>562</v>
      </c>
      <c r="C33847" s="22" t="n">
        <f aca="false">IF(C33726=0,1,C33836/C33726)</f>
        <v>1</v>
      </c>
    </row>
    <row r="33848" customFormat="false" ht="15" hidden="false" customHeight="false" outlineLevel="0" collapsed="false">
      <c r="A33848" s="3" t="s">
        <v>563</v>
      </c>
      <c r="C33848" s="22" t="n">
        <f aca="false">IF(C33727=0,1,C33837/C33727)</f>
        <v>1</v>
      </c>
    </row>
    <row r="33849" customFormat="false" ht="15" hidden="false" customHeight="false" outlineLevel="0" collapsed="false">
      <c r="A33849" s="3" t="s">
        <v>564</v>
      </c>
      <c r="C33849" s="22" t="n">
        <f aca="false">IF(C33728=0,1,C33838/C33728)</f>
        <v>1</v>
      </c>
    </row>
    <row r="33850" customFormat="false" ht="15" hidden="false" customHeight="false" outlineLevel="0" collapsed="false">
      <c r="A33850" s="3" t="s">
        <v>565</v>
      </c>
      <c r="C33850" s="22" t="n">
        <f aca="false">IF(C33729=0,1,C33839/C33729)</f>
        <v>1</v>
      </c>
    </row>
    <row r="33851" customFormat="false" ht="15" hidden="false" customHeight="false" outlineLevel="0" collapsed="false">
      <c r="A33851" s="24" t="s">
        <v>577</v>
      </c>
      <c r="B33851" s="25"/>
      <c r="C33851" s="25"/>
      <c r="D33851" s="25"/>
      <c r="E33851" s="25"/>
      <c r="F33851" s="25"/>
      <c r="G33851" s="25"/>
      <c r="H33851" s="25"/>
      <c r="I33851" s="25"/>
      <c r="J33851" s="25"/>
      <c r="K33851" s="25"/>
    </row>
    <row r="33852" customFormat="false" ht="15" hidden="false" customHeight="false" outlineLevel="0" collapsed="false">
      <c r="A33852" s="3" t="s">
        <v>556</v>
      </c>
      <c r="C33852" s="16" t="n">
        <f aca="false">C33720-C33830</f>
        <v>0</v>
      </c>
    </row>
    <row r="33853" customFormat="false" ht="15" hidden="false" customHeight="false" outlineLevel="0" collapsed="false">
      <c r="A33853" s="3" t="s">
        <v>557</v>
      </c>
      <c r="C33853" s="16" t="n">
        <f aca="false">C33721-C33831</f>
        <v>0</v>
      </c>
    </row>
    <row r="33854" customFormat="false" ht="15" hidden="false" customHeight="false" outlineLevel="0" collapsed="false">
      <c r="A33854" s="3" t="s">
        <v>558</v>
      </c>
      <c r="C33854" s="16" t="n">
        <f aca="false">C33722-C33832</f>
        <v>0</v>
      </c>
    </row>
    <row r="33855" customFormat="false" ht="15" hidden="false" customHeight="false" outlineLevel="0" collapsed="false">
      <c r="A33855" s="3" t="s">
        <v>559</v>
      </c>
      <c r="C33855" s="16" t="n">
        <f aca="false">C33723-C33833</f>
        <v>0</v>
      </c>
    </row>
    <row r="33856" customFormat="false" ht="15" hidden="false" customHeight="false" outlineLevel="0" collapsed="false">
      <c r="A33856" s="3" t="s">
        <v>560</v>
      </c>
      <c r="C33856" s="16" t="n">
        <f aca="false">C33724-C33834</f>
        <v>0</v>
      </c>
    </row>
    <row r="33857" customFormat="false" ht="15" hidden="false" customHeight="false" outlineLevel="0" collapsed="false">
      <c r="A33857" s="3" t="s">
        <v>561</v>
      </c>
      <c r="C33857" s="16" t="n">
        <f aca="false">C33725-C33835</f>
        <v>0</v>
      </c>
    </row>
    <row r="33858" customFormat="false" ht="15" hidden="false" customHeight="false" outlineLevel="0" collapsed="false">
      <c r="A33858" s="3" t="s">
        <v>562</v>
      </c>
      <c r="C33858" s="16" t="n">
        <f aca="false">C33726-C33836</f>
        <v>0</v>
      </c>
    </row>
    <row r="33859" customFormat="false" ht="15" hidden="false" customHeight="false" outlineLevel="0" collapsed="false">
      <c r="A33859" s="3" t="s">
        <v>563</v>
      </c>
      <c r="C33859" s="16" t="n">
        <f aca="false">C33727-C33837</f>
        <v>0</v>
      </c>
    </row>
    <row r="33860" customFormat="false" ht="15" hidden="false" customHeight="false" outlineLevel="0" collapsed="false">
      <c r="A33860" s="3" t="s">
        <v>564</v>
      </c>
      <c r="C33860" s="16" t="n">
        <f aca="false">C33728-C33838</f>
        <v>0</v>
      </c>
    </row>
    <row r="33861" customFormat="false" ht="15" hidden="false" customHeight="false" outlineLevel="0" collapsed="false">
      <c r="A33861" s="3" t="s">
        <v>565</v>
      </c>
      <c r="C33861" s="16" t="n">
        <f aca="false">C33729-C33839</f>
        <v>0</v>
      </c>
    </row>
    <row r="33862" customFormat="false" ht="15" hidden="false" customHeight="false" outlineLevel="0" collapsed="false">
      <c r="A33862" s="24" t="s">
        <v>578</v>
      </c>
      <c r="B33862" s="25"/>
      <c r="C33862" s="25"/>
      <c r="D33862" s="25"/>
      <c r="E33862" s="25"/>
      <c r="F33862" s="25"/>
      <c r="G33862" s="25"/>
      <c r="H33862" s="25"/>
      <c r="I33862" s="25"/>
      <c r="J33862" s="25"/>
      <c r="K33862" s="25"/>
    </row>
    <row r="33863" customFormat="false" ht="15" hidden="false" customHeight="false" outlineLevel="0" collapsed="false">
      <c r="A33863" s="3" t="s">
        <v>556</v>
      </c>
      <c r="C33863" s="22" t="n">
        <f aca="false">IF(C33720=0,0,C33852/C33720)</f>
        <v>0</v>
      </c>
    </row>
    <row r="33864" customFormat="false" ht="15" hidden="false" customHeight="false" outlineLevel="0" collapsed="false">
      <c r="A33864" s="3" t="s">
        <v>557</v>
      </c>
      <c r="C33864" s="22" t="n">
        <f aca="false">IF(C33721=0,0,C33853/C33721)</f>
        <v>0</v>
      </c>
    </row>
    <row r="33865" customFormat="false" ht="15" hidden="false" customHeight="false" outlineLevel="0" collapsed="false">
      <c r="A33865" s="3" t="s">
        <v>558</v>
      </c>
      <c r="C33865" s="22" t="n">
        <f aca="false">IF(C33722=0,0,C33854/C33722)</f>
        <v>0</v>
      </c>
    </row>
    <row r="33866" customFormat="false" ht="15" hidden="false" customHeight="false" outlineLevel="0" collapsed="false">
      <c r="A33866" s="3" t="s">
        <v>559</v>
      </c>
      <c r="C33866" s="22" t="n">
        <f aca="false">IF(C33723=0,0,C33855/C33723)</f>
        <v>0</v>
      </c>
    </row>
    <row r="33867" customFormat="false" ht="15" hidden="false" customHeight="false" outlineLevel="0" collapsed="false">
      <c r="A33867" s="3" t="s">
        <v>560</v>
      </c>
      <c r="C33867" s="22" t="n">
        <f aca="false">IF(C33724=0,0,C33856/C33724)</f>
        <v>0</v>
      </c>
    </row>
    <row r="33868" customFormat="false" ht="15" hidden="false" customHeight="false" outlineLevel="0" collapsed="false">
      <c r="A33868" s="3" t="s">
        <v>561</v>
      </c>
      <c r="C33868" s="22" t="n">
        <f aca="false">IF(C33725=0,0,C33857/C33725)</f>
        <v>0</v>
      </c>
    </row>
    <row r="33869" customFormat="false" ht="15" hidden="false" customHeight="false" outlineLevel="0" collapsed="false">
      <c r="A33869" s="3" t="s">
        <v>562</v>
      </c>
      <c r="C33869" s="22" t="n">
        <f aca="false">IF(C33726=0,0,C33858/C33726)</f>
        <v>0</v>
      </c>
    </row>
    <row r="33870" customFormat="false" ht="15" hidden="false" customHeight="false" outlineLevel="0" collapsed="false">
      <c r="A33870" s="3" t="s">
        <v>563</v>
      </c>
      <c r="C33870" s="22" t="n">
        <f aca="false">IF(C33727=0,0,C33859/C33727)</f>
        <v>0</v>
      </c>
    </row>
    <row r="33871" customFormat="false" ht="15" hidden="false" customHeight="false" outlineLevel="0" collapsed="false">
      <c r="A33871" s="3" t="s">
        <v>564</v>
      </c>
      <c r="C33871" s="22" t="n">
        <f aca="false">IF(C33728=0,0,C33860/C33728)</f>
        <v>0</v>
      </c>
    </row>
    <row r="33872" customFormat="false" ht="15" hidden="false" customHeight="false" outlineLevel="0" collapsed="false">
      <c r="A33872" s="3" t="s">
        <v>565</v>
      </c>
      <c r="C33872" s="22" t="n">
        <f aca="false">IF(C33729=0,0,C33861/C33729)</f>
        <v>0</v>
      </c>
    </row>
    <row r="33873" customFormat="false" ht="15" hidden="false" customHeight="false" outlineLevel="0" collapsed="false">
      <c r="A33873" s="2" t="s">
        <v>579</v>
      </c>
      <c r="C33873" s="17" t="n">
        <f aca="false">MAX(0,$C$33718-SUM($C$33753:$C$33762)-SUM($C$33775:$C$33784))</f>
        <v>1163.864440506</v>
      </c>
    </row>
    <row r="33874" customFormat="false" ht="15" hidden="false" customHeight="false" outlineLevel="0" collapsed="false">
      <c r="A33874" s="3" t="s">
        <v>580</v>
      </c>
      <c r="C33874" s="16" t="n">
        <f aca="false">SUM($C$33830:$C$33839)+C33873+C33717-C33716</f>
        <v>0</v>
      </c>
    </row>
    <row r="33876" customFormat="false" ht="15" hidden="false" customHeight="false" outlineLevel="0" collapsed="false">
      <c r="A33876" s="24" t="s">
        <v>583</v>
      </c>
      <c r="B33876" s="25"/>
      <c r="C33876" s="25"/>
      <c r="D33876" s="25"/>
      <c r="E33876" s="25"/>
      <c r="F33876" s="25"/>
      <c r="G33876" s="25"/>
      <c r="H33876" s="25"/>
      <c r="I33876" s="25"/>
      <c r="J33876" s="25"/>
      <c r="K33876" s="25"/>
    </row>
    <row r="33877" customFormat="false" ht="15" hidden="false" customHeight="false" outlineLevel="0" collapsed="false">
      <c r="A33877" s="3" t="s">
        <v>584</v>
      </c>
      <c r="C33877" s="27" t="n">
        <f aca="false">Assumptions!$C$34</f>
        <v>1</v>
      </c>
    </row>
    <row r="33878" customFormat="false" ht="15" hidden="false" customHeight="false" outlineLevel="0" collapsed="false">
      <c r="A33878" s="3" t="s">
        <v>585</v>
      </c>
      <c r="C33878" s="29" t="n">
        <f aca="false">Assumptions!$C$35</f>
        <v>100</v>
      </c>
    </row>
    <row r="33879" customFormat="false" ht="15" hidden="false" customHeight="false" outlineLevel="0" collapsed="false">
      <c r="A33879" s="3" t="s">
        <v>586</v>
      </c>
      <c r="C33879" s="40" t="n">
        <f aca="false">Assumptions!$C$36</f>
        <v>98</v>
      </c>
    </row>
    <row r="33880" customFormat="false" ht="15" hidden="false" customHeight="false" outlineLevel="0" collapsed="false">
      <c r="A33880" s="3" t="s">
        <v>587</v>
      </c>
      <c r="C33880" s="16" t="n">
        <f aca="false">C33878*C33879/100*(1+Assumptions!$C$37)</f>
        <v>98.49</v>
      </c>
    </row>
    <row r="33881" customFormat="false" ht="15" hidden="false" customHeight="false" outlineLevel="0" collapsed="false">
      <c r="A33881" s="3" t="s">
        <v>588</v>
      </c>
      <c r="C33881" s="27" t="n">
        <f aca="false">Assumptions!$C$38</f>
        <v>3</v>
      </c>
    </row>
    <row r="33882" customFormat="false" ht="15" hidden="false" customHeight="false" outlineLevel="0" collapsed="false">
      <c r="A33882" s="3" t="s">
        <v>589</v>
      </c>
      <c r="C33882" s="21" t="n">
        <f aca="false">IF(C33709=1,SUMPRODUCT($G$33645:$K$33645,$G$33419:$K$33419),0)</f>
        <v>0</v>
      </c>
    </row>
    <row r="33883" customFormat="false" ht="15" hidden="false" customHeight="false" outlineLevel="0" collapsed="false">
      <c r="A33883" s="3" t="s">
        <v>590</v>
      </c>
      <c r="C33883" s="22" t="n">
        <f aca="false">IFERROR(C33878/CHOOSE(C33877,SUMPRODUCT($G$33708:$K$33708,$G$33465:$K$33465),SUMPRODUCT($G$33708:$K$33708,$G$33478:$K$33478),SUMPRODUCT($G$33708:$K$33708,$G$33491:$K$33491),SUMPRODUCT($G$33708:$K$33708,$G$33504:$K$33504),SUMPRODUCT($G$33708:$K$33708,$G$33517:$K$33517),SUMPRODUCT($G$33708:$K$33708,$G$33530:$K$33530),SUMPRODUCT($G$33708:$K$33708,$G$33543:$K$33543),SUMPRODUCT($G$33708:$K$33708,$G$33556:$K$33556),SUMPRODUCT($G$33708:$K$33708,$G$33569:$K$33569),SUMPRODUCT($G$33708:$K$33708,$G$33582:$K$33582)),0)</f>
        <v>0.252525252525253</v>
      </c>
    </row>
    <row r="33884" customFormat="false" ht="15" hidden="false" customHeight="false" outlineLevel="0" collapsed="false">
      <c r="A33884" s="3" t="s">
        <v>591</v>
      </c>
      <c r="C33884" s="16" t="n">
        <f aca="false">CHOOSE(C33877,C33830,C33831,C33832,C33833,C33834,C33835,C33836,C33837,C33838,C33839)*C33883</f>
        <v>102.2875</v>
      </c>
    </row>
    <row r="33885" customFormat="false" ht="15" hidden="false" customHeight="false" outlineLevel="0" collapsed="false">
      <c r="A33885" s="3" t="s">
        <v>592</v>
      </c>
      <c r="C33885" s="22" t="n">
        <f aca="false">CHOOSE(C33877,C33841,C33842,C33843,C33844,C33845,C33846,C33847,C33848,C33849,C33850)</f>
        <v>1</v>
      </c>
    </row>
    <row r="33886" customFormat="false" ht="15" hidden="false" customHeight="false" outlineLevel="0" collapsed="false">
      <c r="A33886" s="3" t="s">
        <v>593</v>
      </c>
      <c r="C33886" s="21" t="n">
        <f aca="false">IF(C33709=1,C33882,C33881)</f>
        <v>3</v>
      </c>
    </row>
    <row r="33887" customFormat="false" ht="15" hidden="false" customHeight="false" outlineLevel="0" collapsed="false">
      <c r="A33887" s="3" t="s">
        <v>594</v>
      </c>
      <c r="C33887" s="35" t="n">
        <f aca="false">CHOOSE($C$33411,Assumptions!$C$91,Assumptions!$C$110,Assumptions!$C$129)</f>
        <v>100</v>
      </c>
    </row>
    <row r="33888" customFormat="false" ht="15" hidden="false" customHeight="false" outlineLevel="0" collapsed="false">
      <c r="A33888" s="3" t="s">
        <v>595</v>
      </c>
      <c r="C33888" s="16" t="n">
        <f aca="false">INDEX($G$33428:$K$33428,C33881)*CHOOSE($C$33411,Assumptions!$C$90,Assumptions!$C$109,Assumptions!$C$128)+MAX(0,INDEX($G$33642:$K$33642,C33881))</f>
        <v>3369.2242946436</v>
      </c>
    </row>
    <row r="33889" customFormat="false" ht="15" hidden="false" customHeight="false" outlineLevel="0" collapsed="false">
      <c r="A33889" s="24" t="s">
        <v>596</v>
      </c>
      <c r="B33889" s="25"/>
      <c r="C33889" s="25"/>
      <c r="D33889" s="25"/>
      <c r="E33889" s="25"/>
      <c r="F33889" s="25"/>
      <c r="G33889" s="25"/>
      <c r="H33889" s="25"/>
      <c r="I33889" s="25"/>
      <c r="J33889" s="25"/>
      <c r="K33889" s="25"/>
    </row>
    <row r="33890" customFormat="false" ht="15" hidden="false" customHeight="false" outlineLevel="0" collapsed="false">
      <c r="A33890" s="3" t="s">
        <v>556</v>
      </c>
      <c r="C33890" s="16" t="n">
        <f aca="false">INDEX($G$33465:$K$33465,C33881)</f>
        <v>388</v>
      </c>
    </row>
    <row r="33891" customFormat="false" ht="15" hidden="false" customHeight="false" outlineLevel="0" collapsed="false">
      <c r="A33891" s="3" t="s">
        <v>557</v>
      </c>
      <c r="C33891" s="16" t="n">
        <f aca="false">INDEX($G$33478:$K$33478,C33881)</f>
        <v>90</v>
      </c>
    </row>
    <row r="33892" customFormat="false" ht="15" hidden="false" customHeight="false" outlineLevel="0" collapsed="false">
      <c r="A33892" s="3" t="s">
        <v>558</v>
      </c>
      <c r="C33892" s="16" t="n">
        <f aca="false">INDEX($G$33491:$K$33491,C33881)</f>
        <v>57.324</v>
      </c>
    </row>
    <row r="33893" customFormat="false" ht="15" hidden="false" customHeight="false" outlineLevel="0" collapsed="false">
      <c r="A33893" s="3" t="s">
        <v>559</v>
      </c>
      <c r="C33893" s="16" t="n">
        <f aca="false">INDEX($G$33504:$K$33504,C33881)</f>
        <v>66.796942182056</v>
      </c>
    </row>
    <row r="33894" customFormat="false" ht="15" hidden="false" customHeight="false" outlineLevel="0" collapsed="false">
      <c r="A33894" s="3" t="s">
        <v>560</v>
      </c>
      <c r="C33894" s="16" t="n">
        <f aca="false">INDEX($G$33517:$K$33517,C33881)</f>
        <v>407.7221513738</v>
      </c>
    </row>
    <row r="33895" customFormat="false" ht="15" hidden="false" customHeight="false" outlineLevel="0" collapsed="false">
      <c r="A33895" s="3" t="s">
        <v>561</v>
      </c>
      <c r="C33895" s="16" t="n">
        <f aca="false">INDEX($G$33530:$K$33530,C33881)</f>
        <v>350</v>
      </c>
    </row>
    <row r="33896" customFormat="false" ht="15" hidden="false" customHeight="false" outlineLevel="0" collapsed="false">
      <c r="A33896" s="3" t="s">
        <v>562</v>
      </c>
      <c r="C33896" s="16" t="n">
        <f aca="false">INDEX($G$33543:$K$33543,C33881)</f>
        <v>550</v>
      </c>
    </row>
    <row r="33897" customFormat="false" ht="15" hidden="false" customHeight="false" outlineLevel="0" collapsed="false">
      <c r="A33897" s="3" t="s">
        <v>563</v>
      </c>
      <c r="C33897" s="16" t="n">
        <f aca="false">INDEX($G$33556:$K$33556,C33881)</f>
        <v>350</v>
      </c>
    </row>
    <row r="33898" customFormat="false" ht="15" hidden="false" customHeight="false" outlineLevel="0" collapsed="false">
      <c r="A33898" s="3" t="s">
        <v>564</v>
      </c>
      <c r="C33898" s="16" t="n">
        <f aca="false">INDEX($G$33569:$K$33569,C33881)</f>
        <v>300</v>
      </c>
    </row>
    <row r="33899" customFormat="false" ht="15" hidden="false" customHeight="false" outlineLevel="0" collapsed="false">
      <c r="A33899" s="3" t="s">
        <v>565</v>
      </c>
      <c r="C33899" s="16" t="n">
        <f aca="false">INDEX($G$33582:$K$33582,C33881)</f>
        <v>78.61</v>
      </c>
    </row>
    <row r="33900" customFormat="false" ht="15" hidden="false" customHeight="false" outlineLevel="0" collapsed="false">
      <c r="A33900" s="24" t="s">
        <v>566</v>
      </c>
      <c r="B33900" s="25"/>
      <c r="C33900" s="25"/>
      <c r="D33900" s="25"/>
      <c r="E33900" s="25"/>
      <c r="F33900" s="25"/>
      <c r="G33900" s="25"/>
      <c r="H33900" s="25"/>
      <c r="I33900" s="25"/>
      <c r="J33900" s="25"/>
      <c r="K33900" s="25"/>
    </row>
    <row r="33901" customFormat="false" ht="15" hidden="false" customHeight="false" outlineLevel="0" collapsed="false">
      <c r="A33901" s="3" t="s">
        <v>556</v>
      </c>
      <c r="C33901" s="27" t="n">
        <f aca="false">Assumptions!$M$57</f>
        <v>1</v>
      </c>
    </row>
    <row r="33902" customFormat="false" ht="15" hidden="false" customHeight="false" outlineLevel="0" collapsed="false">
      <c r="A33902" s="3" t="s">
        <v>557</v>
      </c>
      <c r="C33902" s="27" t="n">
        <f aca="false">Assumptions!$M$58</f>
        <v>1</v>
      </c>
    </row>
    <row r="33903" customFormat="false" ht="15" hidden="false" customHeight="false" outlineLevel="0" collapsed="false">
      <c r="A33903" s="3" t="s">
        <v>558</v>
      </c>
      <c r="C33903" s="27" t="n">
        <f aca="false">Assumptions!$M$59</f>
        <v>1</v>
      </c>
    </row>
    <row r="33904" customFormat="false" ht="15" hidden="false" customHeight="false" outlineLevel="0" collapsed="false">
      <c r="A33904" s="3" t="s">
        <v>559</v>
      </c>
      <c r="C33904" s="27" t="n">
        <f aca="false">Assumptions!$M$60</f>
        <v>2</v>
      </c>
    </row>
    <row r="33905" customFormat="false" ht="15" hidden="false" customHeight="false" outlineLevel="0" collapsed="false">
      <c r="A33905" s="3" t="s">
        <v>560</v>
      </c>
      <c r="C33905" s="27" t="n">
        <f aca="false">Assumptions!$M$61</f>
        <v>2</v>
      </c>
    </row>
    <row r="33906" customFormat="false" ht="15" hidden="false" customHeight="false" outlineLevel="0" collapsed="false">
      <c r="A33906" s="3" t="s">
        <v>561</v>
      </c>
      <c r="C33906" s="27" t="n">
        <f aca="false">Assumptions!$M$62</f>
        <v>2</v>
      </c>
    </row>
    <row r="33907" customFormat="false" ht="15" hidden="false" customHeight="false" outlineLevel="0" collapsed="false">
      <c r="A33907" s="3" t="s">
        <v>562</v>
      </c>
      <c r="C33907" s="27" t="n">
        <f aca="false">Assumptions!$M$63</f>
        <v>2</v>
      </c>
    </row>
    <row r="33908" customFormat="false" ht="15" hidden="false" customHeight="false" outlineLevel="0" collapsed="false">
      <c r="A33908" s="3" t="s">
        <v>563</v>
      </c>
      <c r="C33908" s="27" t="n">
        <f aca="false">Assumptions!$M$64</f>
        <v>2</v>
      </c>
    </row>
    <row r="33909" customFormat="false" ht="15" hidden="false" customHeight="false" outlineLevel="0" collapsed="false">
      <c r="A33909" s="3" t="s">
        <v>564</v>
      </c>
      <c r="C33909" s="27" t="n">
        <f aca="false">Assumptions!$M$65</f>
        <v>2</v>
      </c>
    </row>
    <row r="33910" customFormat="false" ht="15" hidden="false" customHeight="false" outlineLevel="0" collapsed="false">
      <c r="A33910" s="3" t="s">
        <v>565</v>
      </c>
      <c r="C33910" s="27" t="n">
        <f aca="false">Assumptions!$M$66</f>
        <v>3</v>
      </c>
    </row>
    <row r="33911" customFormat="false" ht="15" hidden="false" customHeight="false" outlineLevel="0" collapsed="false">
      <c r="A33911" s="24" t="s">
        <v>567</v>
      </c>
      <c r="B33911" s="25"/>
      <c r="C33911" s="25"/>
      <c r="D33911" s="25"/>
      <c r="E33911" s="25"/>
      <c r="F33911" s="25"/>
      <c r="G33911" s="25"/>
      <c r="H33911" s="25"/>
      <c r="I33911" s="25"/>
      <c r="J33911" s="25"/>
      <c r="K33911" s="25"/>
    </row>
    <row r="33912" customFormat="false" ht="15" hidden="false" customHeight="false" outlineLevel="0" collapsed="false">
      <c r="A33912" s="3" t="s">
        <v>556</v>
      </c>
      <c r="C33912" s="33" t="n">
        <f aca="false">Assumptions!$Q$57</f>
        <v>0.3</v>
      </c>
    </row>
    <row r="33913" customFormat="false" ht="15" hidden="false" customHeight="false" outlineLevel="0" collapsed="false">
      <c r="A33913" s="3" t="s">
        <v>557</v>
      </c>
      <c r="C33913" s="33" t="n">
        <f aca="false">Assumptions!$Q$58</f>
        <v>0.033</v>
      </c>
    </row>
    <row r="33914" customFormat="false" ht="15" hidden="false" customHeight="false" outlineLevel="0" collapsed="false">
      <c r="A33914" s="3" t="s">
        <v>558</v>
      </c>
      <c r="C33914" s="33" t="n">
        <f aca="false">Assumptions!$Q$59</f>
        <v>0.021</v>
      </c>
    </row>
    <row r="33915" customFormat="false" ht="15" hidden="false" customHeight="false" outlineLevel="0" collapsed="false">
      <c r="A33915" s="3" t="s">
        <v>559</v>
      </c>
      <c r="C33915" s="33" t="n">
        <f aca="false">Assumptions!$Q$60</f>
        <v>0</v>
      </c>
    </row>
    <row r="33916" customFormat="false" ht="15" hidden="false" customHeight="false" outlineLevel="0" collapsed="false">
      <c r="A33916" s="3" t="s">
        <v>560</v>
      </c>
      <c r="C33916" s="33" t="n">
        <f aca="false">Assumptions!$Q$61</f>
        <v>0</v>
      </c>
    </row>
    <row r="33917" customFormat="false" ht="15" hidden="false" customHeight="false" outlineLevel="0" collapsed="false">
      <c r="A33917" s="3" t="s">
        <v>561</v>
      </c>
      <c r="C33917" s="33" t="n">
        <f aca="false">Assumptions!$Q$62</f>
        <v>0</v>
      </c>
    </row>
    <row r="33918" customFormat="false" ht="15" hidden="false" customHeight="false" outlineLevel="0" collapsed="false">
      <c r="A33918" s="3" t="s">
        <v>562</v>
      </c>
      <c r="C33918" s="33" t="n">
        <f aca="false">Assumptions!$Q$63</f>
        <v>0</v>
      </c>
    </row>
    <row r="33919" customFormat="false" ht="15" hidden="false" customHeight="false" outlineLevel="0" collapsed="false">
      <c r="A33919" s="3" t="s">
        <v>563</v>
      </c>
      <c r="C33919" s="33" t="n">
        <f aca="false">Assumptions!$Q$64</f>
        <v>0</v>
      </c>
    </row>
    <row r="33920" customFormat="false" ht="15" hidden="false" customHeight="false" outlineLevel="0" collapsed="false">
      <c r="A33920" s="3" t="s">
        <v>564</v>
      </c>
      <c r="C33920" s="33" t="n">
        <f aca="false">Assumptions!$Q$65</f>
        <v>0</v>
      </c>
    </row>
    <row r="33921" customFormat="false" ht="15" hidden="false" customHeight="false" outlineLevel="0" collapsed="false">
      <c r="A33921" s="3" t="s">
        <v>565</v>
      </c>
      <c r="C33921" s="33" t="n">
        <f aca="false">Assumptions!$Q$66</f>
        <v>0</v>
      </c>
    </row>
    <row r="33922" customFormat="false" ht="15" hidden="false" customHeight="false" outlineLevel="0" collapsed="false">
      <c r="A33922" s="24" t="s">
        <v>568</v>
      </c>
      <c r="B33922" s="25"/>
      <c r="C33922" s="25"/>
      <c r="D33922" s="25"/>
      <c r="E33922" s="25"/>
      <c r="F33922" s="25"/>
      <c r="G33922" s="25"/>
      <c r="H33922" s="25"/>
      <c r="I33922" s="25"/>
      <c r="J33922" s="25"/>
      <c r="K33922" s="25"/>
    </row>
    <row r="33923" customFormat="false" ht="15" hidden="false" customHeight="false" outlineLevel="0" collapsed="false">
      <c r="A33923" s="3" t="s">
        <v>556</v>
      </c>
      <c r="C33923" s="16" t="n">
        <f aca="false">IF(C33912&gt;0,MIN(C33890,C33912*$C$33888),0)</f>
        <v>388</v>
      </c>
    </row>
    <row r="33924" customFormat="false" ht="15" hidden="false" customHeight="false" outlineLevel="0" collapsed="false">
      <c r="A33924" s="3" t="s">
        <v>557</v>
      </c>
      <c r="C33924" s="16" t="n">
        <f aca="false">IF(C33913&gt;0,MIN(C33891,C33913*$C$33888),0)</f>
        <v>90</v>
      </c>
    </row>
    <row r="33925" customFormat="false" ht="15" hidden="false" customHeight="false" outlineLevel="0" collapsed="false">
      <c r="A33925" s="3" t="s">
        <v>558</v>
      </c>
      <c r="C33925" s="16" t="n">
        <f aca="false">IF(C33914&gt;0,MIN(C33892,C33914*$C$33888),0)</f>
        <v>57.324</v>
      </c>
    </row>
    <row r="33926" customFormat="false" ht="15" hidden="false" customHeight="false" outlineLevel="0" collapsed="false">
      <c r="A33926" s="3" t="s">
        <v>559</v>
      </c>
      <c r="C33926" s="16" t="n">
        <f aca="false">IF(C33915&gt;0,MIN(C33893,C33915*$C$33888),0)</f>
        <v>0</v>
      </c>
    </row>
    <row r="33927" customFormat="false" ht="15" hidden="false" customHeight="false" outlineLevel="0" collapsed="false">
      <c r="A33927" s="3" t="s">
        <v>560</v>
      </c>
      <c r="C33927" s="16" t="n">
        <f aca="false">IF(C33916&gt;0,MIN(C33894,C33916*$C$33888),0)</f>
        <v>0</v>
      </c>
    </row>
    <row r="33928" customFormat="false" ht="15" hidden="false" customHeight="false" outlineLevel="0" collapsed="false">
      <c r="A33928" s="3" t="s">
        <v>561</v>
      </c>
      <c r="C33928" s="16" t="n">
        <f aca="false">IF(C33917&gt;0,MIN(C33895,C33917*$C$33888),0)</f>
        <v>0</v>
      </c>
    </row>
    <row r="33929" customFormat="false" ht="15" hidden="false" customHeight="false" outlineLevel="0" collapsed="false">
      <c r="A33929" s="3" t="s">
        <v>562</v>
      </c>
      <c r="C33929" s="16" t="n">
        <f aca="false">IF(C33918&gt;0,MIN(C33896,C33918*$C$33888),0)</f>
        <v>0</v>
      </c>
    </row>
    <row r="33930" customFormat="false" ht="15" hidden="false" customHeight="false" outlineLevel="0" collapsed="false">
      <c r="A33930" s="3" t="s">
        <v>563</v>
      </c>
      <c r="C33930" s="16" t="n">
        <f aca="false">IF(C33919&gt;0,MIN(C33897,C33919*$C$33888),0)</f>
        <v>0</v>
      </c>
    </row>
    <row r="33931" customFormat="false" ht="15" hidden="false" customHeight="false" outlineLevel="0" collapsed="false">
      <c r="A33931" s="3" t="s">
        <v>564</v>
      </c>
      <c r="C33931" s="16" t="n">
        <f aca="false">IF(C33920&gt;0,MIN(C33898,C33920*$C$33888),0)</f>
        <v>0</v>
      </c>
    </row>
    <row r="33932" customFormat="false" ht="15" hidden="false" customHeight="false" outlineLevel="0" collapsed="false">
      <c r="A33932" s="3" t="s">
        <v>565</v>
      </c>
      <c r="C33932" s="16" t="n">
        <f aca="false">IF(C33921&gt;0,MIN(C33899,C33921*$C$33888),0)</f>
        <v>0</v>
      </c>
    </row>
    <row r="33933" customFormat="false" ht="15" hidden="false" customHeight="false" outlineLevel="0" collapsed="false">
      <c r="A33933" s="24" t="s">
        <v>569</v>
      </c>
      <c r="B33933" s="25"/>
      <c r="C33933" s="25"/>
      <c r="D33933" s="25"/>
      <c r="E33933" s="25"/>
      <c r="F33933" s="25"/>
      <c r="G33933" s="25"/>
      <c r="H33933" s="25"/>
      <c r="I33933" s="25"/>
      <c r="J33933" s="25"/>
      <c r="K33933" s="25"/>
    </row>
    <row r="33934" customFormat="false" ht="15" hidden="false" customHeight="false" outlineLevel="0" collapsed="false">
      <c r="A33934" s="3" t="s">
        <v>556</v>
      </c>
      <c r="C33934" s="16" t="n">
        <f aca="false">IF(C33912&gt;0,C33890-C33923,0)</f>
        <v>0</v>
      </c>
    </row>
    <row r="33935" customFormat="false" ht="15" hidden="false" customHeight="false" outlineLevel="0" collapsed="false">
      <c r="A33935" s="3" t="s">
        <v>557</v>
      </c>
      <c r="C33935" s="16" t="n">
        <f aca="false">IF(C33913&gt;0,C33891-C33924,0)</f>
        <v>0</v>
      </c>
    </row>
    <row r="33936" customFormat="false" ht="15" hidden="false" customHeight="false" outlineLevel="0" collapsed="false">
      <c r="A33936" s="3" t="s">
        <v>558</v>
      </c>
      <c r="C33936" s="16" t="n">
        <f aca="false">IF(C33914&gt;0,C33892-C33925,0)</f>
        <v>0</v>
      </c>
    </row>
    <row r="33937" customFormat="false" ht="15" hidden="false" customHeight="false" outlineLevel="0" collapsed="false">
      <c r="A33937" s="3" t="s">
        <v>559</v>
      </c>
      <c r="C33937" s="16" t="n">
        <f aca="false">IF(C33915&gt;0,C33893-C33926,0)</f>
        <v>0</v>
      </c>
    </row>
    <row r="33938" customFormat="false" ht="15" hidden="false" customHeight="false" outlineLevel="0" collapsed="false">
      <c r="A33938" s="3" t="s">
        <v>560</v>
      </c>
      <c r="C33938" s="16" t="n">
        <f aca="false">IF(C33916&gt;0,C33894-C33927,0)</f>
        <v>0</v>
      </c>
    </row>
    <row r="33939" customFormat="false" ht="15" hidden="false" customHeight="false" outlineLevel="0" collapsed="false">
      <c r="A33939" s="3" t="s">
        <v>561</v>
      </c>
      <c r="C33939" s="16" t="n">
        <f aca="false">IF(C33917&gt;0,C33895-C33928,0)</f>
        <v>0</v>
      </c>
    </row>
    <row r="33940" customFormat="false" ht="15" hidden="false" customHeight="false" outlineLevel="0" collapsed="false">
      <c r="A33940" s="3" t="s">
        <v>562</v>
      </c>
      <c r="C33940" s="16" t="n">
        <f aca="false">IF(C33918&gt;0,C33896-C33929,0)</f>
        <v>0</v>
      </c>
    </row>
    <row r="33941" customFormat="false" ht="15" hidden="false" customHeight="false" outlineLevel="0" collapsed="false">
      <c r="A33941" s="3" t="s">
        <v>563</v>
      </c>
      <c r="C33941" s="16" t="n">
        <f aca="false">IF(C33919&gt;0,C33897-C33930,0)</f>
        <v>0</v>
      </c>
    </row>
    <row r="33942" customFormat="false" ht="15" hidden="false" customHeight="false" outlineLevel="0" collapsed="false">
      <c r="A33942" s="3" t="s">
        <v>564</v>
      </c>
      <c r="C33942" s="16" t="n">
        <f aca="false">IF(C33920&gt;0,C33898-C33931,0)</f>
        <v>0</v>
      </c>
    </row>
    <row r="33943" customFormat="false" ht="15" hidden="false" customHeight="false" outlineLevel="0" collapsed="false">
      <c r="A33943" s="3" t="s">
        <v>565</v>
      </c>
      <c r="C33943" s="16" t="n">
        <f aca="false">IF(C33921&gt;0,C33899-C33932,0)</f>
        <v>0</v>
      </c>
    </row>
    <row r="33944" customFormat="false" ht="15" hidden="false" customHeight="false" outlineLevel="0" collapsed="false">
      <c r="A33944" s="24" t="s">
        <v>570</v>
      </c>
      <c r="B33944" s="25"/>
      <c r="C33944" s="25"/>
      <c r="D33944" s="25"/>
      <c r="E33944" s="25"/>
      <c r="F33944" s="25"/>
      <c r="G33944" s="25"/>
      <c r="H33944" s="25"/>
      <c r="I33944" s="25"/>
      <c r="J33944" s="25"/>
      <c r="K33944" s="25"/>
    </row>
    <row r="33945" customFormat="false" ht="15" hidden="false" customHeight="false" outlineLevel="0" collapsed="false">
      <c r="A33945" s="3" t="s">
        <v>556</v>
      </c>
      <c r="C33945" s="16" t="n">
        <f aca="false">IF(C33912&gt;0,C33934,C33890)</f>
        <v>0</v>
      </c>
    </row>
    <row r="33946" customFormat="false" ht="15" hidden="false" customHeight="false" outlineLevel="0" collapsed="false">
      <c r="A33946" s="3" t="s">
        <v>557</v>
      </c>
      <c r="C33946" s="16" t="n">
        <f aca="false">IF(C33913&gt;0,C33935,C33891)</f>
        <v>0</v>
      </c>
    </row>
    <row r="33947" customFormat="false" ht="15" hidden="false" customHeight="false" outlineLevel="0" collapsed="false">
      <c r="A33947" s="3" t="s">
        <v>558</v>
      </c>
      <c r="C33947" s="16" t="n">
        <f aca="false">IF(C33914&gt;0,C33936,C33892)</f>
        <v>0</v>
      </c>
    </row>
    <row r="33948" customFormat="false" ht="15" hidden="false" customHeight="false" outlineLevel="0" collapsed="false">
      <c r="A33948" s="3" t="s">
        <v>559</v>
      </c>
      <c r="C33948" s="16" t="n">
        <f aca="false">IF(C33915&gt;0,C33937,C33893)</f>
        <v>66.796942182056</v>
      </c>
    </row>
    <row r="33949" customFormat="false" ht="15" hidden="false" customHeight="false" outlineLevel="0" collapsed="false">
      <c r="A33949" s="3" t="s">
        <v>560</v>
      </c>
      <c r="C33949" s="16" t="n">
        <f aca="false">IF(C33916&gt;0,C33938,C33894)</f>
        <v>407.7221513738</v>
      </c>
    </row>
    <row r="33950" customFormat="false" ht="15" hidden="false" customHeight="false" outlineLevel="0" collapsed="false">
      <c r="A33950" s="3" t="s">
        <v>561</v>
      </c>
      <c r="C33950" s="16" t="n">
        <f aca="false">IF(C33917&gt;0,C33939,C33895)</f>
        <v>350</v>
      </c>
    </row>
    <row r="33951" customFormat="false" ht="15" hidden="false" customHeight="false" outlineLevel="0" collapsed="false">
      <c r="A33951" s="3" t="s">
        <v>562</v>
      </c>
      <c r="C33951" s="16" t="n">
        <f aca="false">IF(C33918&gt;0,C33940,C33896)</f>
        <v>550</v>
      </c>
    </row>
    <row r="33952" customFormat="false" ht="15" hidden="false" customHeight="false" outlineLevel="0" collapsed="false">
      <c r="A33952" s="3" t="s">
        <v>563</v>
      </c>
      <c r="C33952" s="16" t="n">
        <f aca="false">IF(C33919&gt;0,C33941,C33897)</f>
        <v>350</v>
      </c>
    </row>
    <row r="33953" customFormat="false" ht="15" hidden="false" customHeight="false" outlineLevel="0" collapsed="false">
      <c r="A33953" s="3" t="s">
        <v>564</v>
      </c>
      <c r="C33953" s="16" t="n">
        <f aca="false">IF(C33920&gt;0,C33942,C33898)</f>
        <v>300</v>
      </c>
    </row>
    <row r="33954" customFormat="false" ht="15" hidden="false" customHeight="false" outlineLevel="0" collapsed="false">
      <c r="A33954" s="3" t="s">
        <v>565</v>
      </c>
      <c r="C33954" s="16" t="n">
        <f aca="false">IF(C33921&gt;0,C33943,C33899)</f>
        <v>78.61</v>
      </c>
    </row>
    <row r="33955" customFormat="false" ht="15" hidden="false" customHeight="false" outlineLevel="0" collapsed="false">
      <c r="A33955" s="24" t="s">
        <v>571</v>
      </c>
      <c r="B33955" s="25"/>
      <c r="C33955" s="25"/>
      <c r="D33955" s="25"/>
      <c r="E33955" s="25"/>
      <c r="F33955" s="25"/>
      <c r="G33955" s="25"/>
      <c r="H33955" s="25"/>
      <c r="I33955" s="25"/>
      <c r="J33955" s="25"/>
      <c r="K33955" s="25"/>
    </row>
    <row r="33956" customFormat="false" ht="15" hidden="false" customHeight="false" outlineLevel="0" collapsed="false">
      <c r="A33956" s="3" t="s">
        <v>556</v>
      </c>
      <c r="C33956" s="21" t="n">
        <f aca="false">IF(C33912&gt;0,Assumptions!$C$17,C33901)</f>
        <v>99</v>
      </c>
    </row>
    <row r="33957" customFormat="false" ht="15" hidden="false" customHeight="false" outlineLevel="0" collapsed="false">
      <c r="A33957" s="3" t="s">
        <v>557</v>
      </c>
      <c r="C33957" s="21" t="n">
        <f aca="false">IF(C33913&gt;0,Assumptions!$C$17,C33902)</f>
        <v>99</v>
      </c>
    </row>
    <row r="33958" customFormat="false" ht="15" hidden="false" customHeight="false" outlineLevel="0" collapsed="false">
      <c r="A33958" s="3" t="s">
        <v>558</v>
      </c>
      <c r="C33958" s="21" t="n">
        <f aca="false">IF(C33914&gt;0,Assumptions!$C$17,C33903)</f>
        <v>99</v>
      </c>
    </row>
    <row r="33959" customFormat="false" ht="15" hidden="false" customHeight="false" outlineLevel="0" collapsed="false">
      <c r="A33959" s="3" t="s">
        <v>559</v>
      </c>
      <c r="C33959" s="21" t="n">
        <f aca="false">IF(C33915&gt;0,Assumptions!$C$17,C33904)</f>
        <v>2</v>
      </c>
    </row>
    <row r="33960" customFormat="false" ht="15" hidden="false" customHeight="false" outlineLevel="0" collapsed="false">
      <c r="A33960" s="3" t="s">
        <v>560</v>
      </c>
      <c r="C33960" s="21" t="n">
        <f aca="false">IF(C33916&gt;0,Assumptions!$C$17,C33905)</f>
        <v>2</v>
      </c>
    </row>
    <row r="33961" customFormat="false" ht="15" hidden="false" customHeight="false" outlineLevel="0" collapsed="false">
      <c r="A33961" s="3" t="s">
        <v>561</v>
      </c>
      <c r="C33961" s="21" t="n">
        <f aca="false">IF(C33917&gt;0,Assumptions!$C$17,C33906)</f>
        <v>2</v>
      </c>
    </row>
    <row r="33962" customFormat="false" ht="15" hidden="false" customHeight="false" outlineLevel="0" collapsed="false">
      <c r="A33962" s="3" t="s">
        <v>562</v>
      </c>
      <c r="C33962" s="21" t="n">
        <f aca="false">IF(C33918&gt;0,Assumptions!$C$17,C33907)</f>
        <v>2</v>
      </c>
    </row>
    <row r="33963" customFormat="false" ht="15" hidden="false" customHeight="false" outlineLevel="0" collapsed="false">
      <c r="A33963" s="3" t="s">
        <v>563</v>
      </c>
      <c r="C33963" s="21" t="n">
        <f aca="false">IF(C33919&gt;0,Assumptions!$C$17,C33908)</f>
        <v>2</v>
      </c>
    </row>
    <row r="33964" customFormat="false" ht="15" hidden="false" customHeight="false" outlineLevel="0" collapsed="false">
      <c r="A33964" s="3" t="s">
        <v>564</v>
      </c>
      <c r="C33964" s="21" t="n">
        <f aca="false">IF(C33920&gt;0,Assumptions!$C$17,C33909)</f>
        <v>2</v>
      </c>
    </row>
    <row r="33965" customFormat="false" ht="15" hidden="false" customHeight="false" outlineLevel="0" collapsed="false">
      <c r="A33965" s="3" t="s">
        <v>565</v>
      </c>
      <c r="C33965" s="21" t="n">
        <f aca="false">IF(C33921&gt;0,Assumptions!$C$17,C33910)</f>
        <v>3</v>
      </c>
    </row>
    <row r="33966" customFormat="false" ht="15" hidden="false" customHeight="false" outlineLevel="0" collapsed="false">
      <c r="A33966" s="24" t="s">
        <v>572</v>
      </c>
      <c r="B33966" s="25"/>
      <c r="C33966" s="25"/>
      <c r="D33966" s="25"/>
      <c r="E33966" s="25"/>
      <c r="F33966" s="25"/>
      <c r="G33966" s="25"/>
      <c r="H33966" s="25"/>
      <c r="I33966" s="25"/>
      <c r="J33966" s="25"/>
      <c r="K33966" s="25"/>
    </row>
    <row r="33967" customFormat="false" ht="15" hidden="false" customHeight="false" outlineLevel="0" collapsed="false">
      <c r="A33967" s="3" t="s">
        <v>556</v>
      </c>
      <c r="C33967" s="16" t="n">
        <f aca="false">SUMPRODUCT(($C$33956:$C$33965&lt;C33956)*$C$33945:$C$33954)</f>
        <v>2103.12909355586</v>
      </c>
    </row>
    <row r="33968" customFormat="false" ht="15" hidden="false" customHeight="false" outlineLevel="0" collapsed="false">
      <c r="A33968" s="3" t="s">
        <v>557</v>
      </c>
      <c r="C33968" s="16" t="n">
        <f aca="false">SUMPRODUCT(($C$33956:$C$33965&lt;C33957)*$C$33945:$C$33954)</f>
        <v>2103.12909355586</v>
      </c>
    </row>
    <row r="33969" customFormat="false" ht="15" hidden="false" customHeight="false" outlineLevel="0" collapsed="false">
      <c r="A33969" s="3" t="s">
        <v>558</v>
      </c>
      <c r="C33969" s="16" t="n">
        <f aca="false">SUMPRODUCT(($C$33956:$C$33965&lt;C33958)*$C$33945:$C$33954)</f>
        <v>2103.12909355586</v>
      </c>
    </row>
    <row r="33970" customFormat="false" ht="15" hidden="false" customHeight="false" outlineLevel="0" collapsed="false">
      <c r="A33970" s="3" t="s">
        <v>559</v>
      </c>
      <c r="C33970" s="16" t="n">
        <f aca="false">SUMPRODUCT(($C$33956:$C$33965&lt;C33959)*$C$33945:$C$33954)</f>
        <v>0</v>
      </c>
    </row>
    <row r="33971" customFormat="false" ht="15" hidden="false" customHeight="false" outlineLevel="0" collapsed="false">
      <c r="A33971" s="3" t="s">
        <v>560</v>
      </c>
      <c r="C33971" s="16" t="n">
        <f aca="false">SUMPRODUCT(($C$33956:$C$33965&lt;C33960)*$C$33945:$C$33954)</f>
        <v>0</v>
      </c>
    </row>
    <row r="33972" customFormat="false" ht="15" hidden="false" customHeight="false" outlineLevel="0" collapsed="false">
      <c r="A33972" s="3" t="s">
        <v>561</v>
      </c>
      <c r="C33972" s="16" t="n">
        <f aca="false">SUMPRODUCT(($C$33956:$C$33965&lt;C33961)*$C$33945:$C$33954)</f>
        <v>0</v>
      </c>
    </row>
    <row r="33973" customFormat="false" ht="15" hidden="false" customHeight="false" outlineLevel="0" collapsed="false">
      <c r="A33973" s="3" t="s">
        <v>562</v>
      </c>
      <c r="C33973" s="16" t="n">
        <f aca="false">SUMPRODUCT(($C$33956:$C$33965&lt;C33962)*$C$33945:$C$33954)</f>
        <v>0</v>
      </c>
    </row>
    <row r="33974" customFormat="false" ht="15" hidden="false" customHeight="false" outlineLevel="0" collapsed="false">
      <c r="A33974" s="3" t="s">
        <v>563</v>
      </c>
      <c r="C33974" s="16" t="n">
        <f aca="false">SUMPRODUCT(($C$33956:$C$33965&lt;C33963)*$C$33945:$C$33954)</f>
        <v>0</v>
      </c>
    </row>
    <row r="33975" customFormat="false" ht="15" hidden="false" customHeight="false" outlineLevel="0" collapsed="false">
      <c r="A33975" s="3" t="s">
        <v>564</v>
      </c>
      <c r="C33975" s="16" t="n">
        <f aca="false">SUMPRODUCT(($C$33956:$C$33965&lt;C33964)*$C$33945:$C$33954)</f>
        <v>0</v>
      </c>
    </row>
    <row r="33976" customFormat="false" ht="15" hidden="false" customHeight="false" outlineLevel="0" collapsed="false">
      <c r="A33976" s="3" t="s">
        <v>565</v>
      </c>
      <c r="C33976" s="16" t="n">
        <f aca="false">SUMPRODUCT(($C$33956:$C$33965&lt;C33965)*$C$33945:$C$33954)</f>
        <v>2024.51909355586</v>
      </c>
    </row>
    <row r="33977" customFormat="false" ht="15" hidden="false" customHeight="false" outlineLevel="0" collapsed="false">
      <c r="A33977" s="24" t="s">
        <v>573</v>
      </c>
      <c r="B33977" s="25"/>
      <c r="C33977" s="25"/>
      <c r="D33977" s="25"/>
      <c r="E33977" s="25"/>
      <c r="F33977" s="25"/>
      <c r="G33977" s="25"/>
      <c r="H33977" s="25"/>
      <c r="I33977" s="25"/>
      <c r="J33977" s="25"/>
      <c r="K33977" s="25"/>
    </row>
    <row r="33978" customFormat="false" ht="15" hidden="false" customHeight="false" outlineLevel="0" collapsed="false">
      <c r="A33978" s="3" t="s">
        <v>556</v>
      </c>
      <c r="C33978" s="16" t="n">
        <f aca="false">SUMPRODUCT(($C$33956:$C$33965=C33956)*$C$33945:$C$33954)</f>
        <v>0</v>
      </c>
    </row>
    <row r="33979" customFormat="false" ht="15" hidden="false" customHeight="false" outlineLevel="0" collapsed="false">
      <c r="A33979" s="3" t="s">
        <v>557</v>
      </c>
      <c r="C33979" s="16" t="n">
        <f aca="false">SUMPRODUCT(($C$33956:$C$33965=C33957)*$C$33945:$C$33954)</f>
        <v>0</v>
      </c>
    </row>
    <row r="33980" customFormat="false" ht="15" hidden="false" customHeight="false" outlineLevel="0" collapsed="false">
      <c r="A33980" s="3" t="s">
        <v>558</v>
      </c>
      <c r="C33980" s="16" t="n">
        <f aca="false">SUMPRODUCT(($C$33956:$C$33965=C33958)*$C$33945:$C$33954)</f>
        <v>0</v>
      </c>
    </row>
    <row r="33981" customFormat="false" ht="15" hidden="false" customHeight="false" outlineLevel="0" collapsed="false">
      <c r="A33981" s="3" t="s">
        <v>559</v>
      </c>
      <c r="C33981" s="16" t="n">
        <f aca="false">SUMPRODUCT(($C$33956:$C$33965=C33959)*$C$33945:$C$33954)</f>
        <v>2024.51909355586</v>
      </c>
    </row>
    <row r="33982" customFormat="false" ht="15" hidden="false" customHeight="false" outlineLevel="0" collapsed="false">
      <c r="A33982" s="3" t="s">
        <v>560</v>
      </c>
      <c r="C33982" s="16" t="n">
        <f aca="false">SUMPRODUCT(($C$33956:$C$33965=C33960)*$C$33945:$C$33954)</f>
        <v>2024.51909355586</v>
      </c>
    </row>
    <row r="33983" customFormat="false" ht="15" hidden="false" customHeight="false" outlineLevel="0" collapsed="false">
      <c r="A33983" s="3" t="s">
        <v>561</v>
      </c>
      <c r="C33983" s="16" t="n">
        <f aca="false">SUMPRODUCT(($C$33956:$C$33965=C33961)*$C$33945:$C$33954)</f>
        <v>2024.51909355586</v>
      </c>
    </row>
    <row r="33984" customFormat="false" ht="15" hidden="false" customHeight="false" outlineLevel="0" collapsed="false">
      <c r="A33984" s="3" t="s">
        <v>562</v>
      </c>
      <c r="C33984" s="16" t="n">
        <f aca="false">SUMPRODUCT(($C$33956:$C$33965=C33962)*$C$33945:$C$33954)</f>
        <v>2024.51909355586</v>
      </c>
    </row>
    <row r="33985" customFormat="false" ht="15" hidden="false" customHeight="false" outlineLevel="0" collapsed="false">
      <c r="A33985" s="3" t="s">
        <v>563</v>
      </c>
      <c r="C33985" s="16" t="n">
        <f aca="false">SUMPRODUCT(($C$33956:$C$33965=C33963)*$C$33945:$C$33954)</f>
        <v>2024.51909355586</v>
      </c>
    </row>
    <row r="33986" customFormat="false" ht="15" hidden="false" customHeight="false" outlineLevel="0" collapsed="false">
      <c r="A33986" s="3" t="s">
        <v>564</v>
      </c>
      <c r="C33986" s="16" t="n">
        <f aca="false">SUMPRODUCT(($C$33956:$C$33965=C33964)*$C$33945:$C$33954)</f>
        <v>2024.51909355586</v>
      </c>
    </row>
    <row r="33987" customFormat="false" ht="15" hidden="false" customHeight="false" outlineLevel="0" collapsed="false">
      <c r="A33987" s="3" t="s">
        <v>565</v>
      </c>
      <c r="C33987" s="16" t="n">
        <f aca="false">SUMPRODUCT(($C$33956:$C$33965=C33965)*$C$33945:$C$33954)</f>
        <v>78.61</v>
      </c>
    </row>
    <row r="33988" customFormat="false" ht="15" hidden="false" customHeight="false" outlineLevel="0" collapsed="false">
      <c r="A33988" s="24" t="s">
        <v>574</v>
      </c>
      <c r="B33988" s="25"/>
      <c r="C33988" s="25"/>
      <c r="D33988" s="25"/>
      <c r="E33988" s="25"/>
      <c r="F33988" s="25"/>
      <c r="G33988" s="25"/>
      <c r="H33988" s="25"/>
      <c r="I33988" s="25"/>
      <c r="J33988" s="25"/>
      <c r="K33988" s="25"/>
    </row>
    <row r="33989" customFormat="false" ht="15" hidden="false" customHeight="false" outlineLevel="0" collapsed="false">
      <c r="A33989" s="3" t="s">
        <v>556</v>
      </c>
      <c r="C33989" s="16" t="n">
        <f aca="false">IF(C33978=0,0,C33945/C33978*MAX(0,MIN(C33978,$C$33888-SUM($C$33923:$C$33932)-C33967)))</f>
        <v>0</v>
      </c>
    </row>
    <row r="33990" customFormat="false" ht="15" hidden="false" customHeight="false" outlineLevel="0" collapsed="false">
      <c r="A33990" s="3" t="s">
        <v>557</v>
      </c>
      <c r="C33990" s="16" t="n">
        <f aca="false">IF(C33979=0,0,C33946/C33979*MAX(0,MIN(C33979,$C$33888-SUM($C$33923:$C$33932)-C33968)))</f>
        <v>0</v>
      </c>
    </row>
    <row r="33991" customFormat="false" ht="15" hidden="false" customHeight="false" outlineLevel="0" collapsed="false">
      <c r="A33991" s="3" t="s">
        <v>558</v>
      </c>
      <c r="C33991" s="16" t="n">
        <f aca="false">IF(C33980=0,0,C33947/C33980*MAX(0,MIN(C33980,$C$33888-SUM($C$33923:$C$33932)-C33969)))</f>
        <v>0</v>
      </c>
    </row>
    <row r="33992" customFormat="false" ht="15" hidden="false" customHeight="false" outlineLevel="0" collapsed="false">
      <c r="A33992" s="3" t="s">
        <v>559</v>
      </c>
      <c r="C33992" s="16" t="n">
        <f aca="false">IF(C33981=0,0,C33948/C33981*MAX(0,MIN(C33981,$C$33888-SUM($C$33923:$C$33932)-C33970)))</f>
        <v>66.796942182056</v>
      </c>
    </row>
    <row r="33993" customFormat="false" ht="15" hidden="false" customHeight="false" outlineLevel="0" collapsed="false">
      <c r="A33993" s="3" t="s">
        <v>560</v>
      </c>
      <c r="C33993" s="16" t="n">
        <f aca="false">IF(C33982=0,0,C33949/C33982*MAX(0,MIN(C33982,$C$33888-SUM($C$33923:$C$33932)-C33971)))</f>
        <v>407.7221513738</v>
      </c>
    </row>
    <row r="33994" customFormat="false" ht="15" hidden="false" customHeight="false" outlineLevel="0" collapsed="false">
      <c r="A33994" s="3" t="s">
        <v>561</v>
      </c>
      <c r="C33994" s="16" t="n">
        <f aca="false">IF(C33983=0,0,C33950/C33983*MAX(0,MIN(C33983,$C$33888-SUM($C$33923:$C$33932)-C33972)))</f>
        <v>350</v>
      </c>
    </row>
    <row r="33995" customFormat="false" ht="15" hidden="false" customHeight="false" outlineLevel="0" collapsed="false">
      <c r="A33995" s="3" t="s">
        <v>562</v>
      </c>
      <c r="C33995" s="16" t="n">
        <f aca="false">IF(C33984=0,0,C33951/C33984*MAX(0,MIN(C33984,$C$33888-SUM($C$33923:$C$33932)-C33973)))</f>
        <v>550</v>
      </c>
    </row>
    <row r="33996" customFormat="false" ht="15" hidden="false" customHeight="false" outlineLevel="0" collapsed="false">
      <c r="A33996" s="3" t="s">
        <v>563</v>
      </c>
      <c r="C33996" s="16" t="n">
        <f aca="false">IF(C33985=0,0,C33952/C33985*MAX(0,MIN(C33985,$C$33888-SUM($C$33923:$C$33932)-C33974)))</f>
        <v>350</v>
      </c>
    </row>
    <row r="33997" customFormat="false" ht="15" hidden="false" customHeight="false" outlineLevel="0" collapsed="false">
      <c r="A33997" s="3" t="s">
        <v>564</v>
      </c>
      <c r="C33997" s="16" t="n">
        <f aca="false">IF(C33986=0,0,C33953/C33986*MAX(0,MIN(C33986,$C$33888-SUM($C$33923:$C$33932)-C33975)))</f>
        <v>300</v>
      </c>
    </row>
    <row r="33998" customFormat="false" ht="15" hidden="false" customHeight="false" outlineLevel="0" collapsed="false">
      <c r="A33998" s="3" t="s">
        <v>565</v>
      </c>
      <c r="C33998" s="16" t="n">
        <f aca="false">IF(C33987=0,0,C33954/C33987*MAX(0,MIN(C33987,$C$33888-SUM($C$33923:$C$33932)-C33976)))</f>
        <v>78.61</v>
      </c>
    </row>
    <row r="33999" customFormat="false" ht="15" hidden="false" customHeight="false" outlineLevel="0" collapsed="false">
      <c r="A33999" s="24" t="s">
        <v>575</v>
      </c>
      <c r="B33999" s="25"/>
      <c r="C33999" s="25"/>
      <c r="D33999" s="25"/>
      <c r="E33999" s="25"/>
      <c r="F33999" s="25"/>
      <c r="G33999" s="25"/>
      <c r="H33999" s="25"/>
      <c r="I33999" s="25"/>
      <c r="J33999" s="25"/>
      <c r="K33999" s="25"/>
    </row>
    <row r="34000" customFormat="false" ht="15" hidden="false" customHeight="false" outlineLevel="0" collapsed="false">
      <c r="A34000" s="2" t="s">
        <v>556</v>
      </c>
      <c r="C34000" s="17" t="n">
        <f aca="false">C33923+C33989</f>
        <v>388</v>
      </c>
    </row>
    <row r="34001" customFormat="false" ht="15" hidden="false" customHeight="false" outlineLevel="0" collapsed="false">
      <c r="A34001" s="2" t="s">
        <v>557</v>
      </c>
      <c r="C34001" s="17" t="n">
        <f aca="false">C33924+C33990</f>
        <v>90</v>
      </c>
    </row>
    <row r="34002" customFormat="false" ht="15" hidden="false" customHeight="false" outlineLevel="0" collapsed="false">
      <c r="A34002" s="2" t="s">
        <v>558</v>
      </c>
      <c r="C34002" s="17" t="n">
        <f aca="false">C33925+C33991</f>
        <v>57.324</v>
      </c>
    </row>
    <row r="34003" customFormat="false" ht="15" hidden="false" customHeight="false" outlineLevel="0" collapsed="false">
      <c r="A34003" s="2" t="s">
        <v>559</v>
      </c>
      <c r="C34003" s="17" t="n">
        <f aca="false">C33926+C33992</f>
        <v>66.796942182056</v>
      </c>
    </row>
    <row r="34004" customFormat="false" ht="15" hidden="false" customHeight="false" outlineLevel="0" collapsed="false">
      <c r="A34004" s="2" t="s">
        <v>560</v>
      </c>
      <c r="C34004" s="17" t="n">
        <f aca="false">C33927+C33993</f>
        <v>407.7221513738</v>
      </c>
    </row>
    <row r="34005" customFormat="false" ht="15" hidden="false" customHeight="false" outlineLevel="0" collapsed="false">
      <c r="A34005" s="2" t="s">
        <v>561</v>
      </c>
      <c r="C34005" s="17" t="n">
        <f aca="false">C33928+C33994</f>
        <v>350</v>
      </c>
    </row>
    <row r="34006" customFormat="false" ht="15" hidden="false" customHeight="false" outlineLevel="0" collapsed="false">
      <c r="A34006" s="2" t="s">
        <v>562</v>
      </c>
      <c r="C34006" s="17" t="n">
        <f aca="false">C33929+C33995</f>
        <v>550</v>
      </c>
    </row>
    <row r="34007" customFormat="false" ht="15" hidden="false" customHeight="false" outlineLevel="0" collapsed="false">
      <c r="A34007" s="2" t="s">
        <v>563</v>
      </c>
      <c r="C34007" s="17" t="n">
        <f aca="false">C33930+C33996</f>
        <v>350</v>
      </c>
    </row>
    <row r="34008" customFormat="false" ht="15" hidden="false" customHeight="false" outlineLevel="0" collapsed="false">
      <c r="A34008" s="2" t="s">
        <v>564</v>
      </c>
      <c r="C34008" s="17" t="n">
        <f aca="false">C33931+C33997</f>
        <v>300</v>
      </c>
    </row>
    <row r="34009" customFormat="false" ht="15" hidden="false" customHeight="false" outlineLevel="0" collapsed="false">
      <c r="A34009" s="2" t="s">
        <v>565</v>
      </c>
      <c r="C34009" s="17" t="n">
        <f aca="false">C33932+C33998</f>
        <v>78.61</v>
      </c>
    </row>
    <row r="34010" customFormat="false" ht="15" hidden="false" customHeight="false" outlineLevel="0" collapsed="false">
      <c r="A34010" s="24" t="s">
        <v>576</v>
      </c>
      <c r="B34010" s="25"/>
      <c r="C34010" s="25"/>
      <c r="D34010" s="25"/>
      <c r="E34010" s="25"/>
      <c r="F34010" s="25"/>
      <c r="G34010" s="25"/>
      <c r="H34010" s="25"/>
      <c r="I34010" s="25"/>
      <c r="J34010" s="25"/>
      <c r="K34010" s="25"/>
    </row>
    <row r="34011" customFormat="false" ht="15" hidden="false" customHeight="false" outlineLevel="0" collapsed="false">
      <c r="A34011" s="3" t="s">
        <v>556</v>
      </c>
      <c r="C34011" s="22" t="n">
        <f aca="false">IF(C33890=0,1,C34000/C33890)</f>
        <v>1</v>
      </c>
    </row>
    <row r="34012" customFormat="false" ht="15" hidden="false" customHeight="false" outlineLevel="0" collapsed="false">
      <c r="A34012" s="3" t="s">
        <v>557</v>
      </c>
      <c r="C34012" s="22" t="n">
        <f aca="false">IF(C33891=0,1,C34001/C33891)</f>
        <v>1</v>
      </c>
    </row>
    <row r="34013" customFormat="false" ht="15" hidden="false" customHeight="false" outlineLevel="0" collapsed="false">
      <c r="A34013" s="3" t="s">
        <v>558</v>
      </c>
      <c r="C34013" s="22" t="n">
        <f aca="false">IF(C33892=0,1,C34002/C33892)</f>
        <v>1</v>
      </c>
    </row>
    <row r="34014" customFormat="false" ht="15" hidden="false" customHeight="false" outlineLevel="0" collapsed="false">
      <c r="A34014" s="3" t="s">
        <v>559</v>
      </c>
      <c r="C34014" s="22" t="n">
        <f aca="false">IF(C33893=0,1,C34003/C33893)</f>
        <v>1</v>
      </c>
    </row>
    <row r="34015" customFormat="false" ht="15" hidden="false" customHeight="false" outlineLevel="0" collapsed="false">
      <c r="A34015" s="3" t="s">
        <v>560</v>
      </c>
      <c r="C34015" s="22" t="n">
        <f aca="false">IF(C33894=0,1,C34004/C33894)</f>
        <v>1</v>
      </c>
    </row>
    <row r="34016" customFormat="false" ht="15" hidden="false" customHeight="false" outlineLevel="0" collapsed="false">
      <c r="A34016" s="3" t="s">
        <v>561</v>
      </c>
      <c r="C34016" s="22" t="n">
        <f aca="false">IF(C33895=0,1,C34005/C33895)</f>
        <v>1</v>
      </c>
    </row>
    <row r="34017" customFormat="false" ht="15" hidden="false" customHeight="false" outlineLevel="0" collapsed="false">
      <c r="A34017" s="3" t="s">
        <v>562</v>
      </c>
      <c r="C34017" s="22" t="n">
        <f aca="false">IF(C33896=0,1,C34006/C33896)</f>
        <v>1</v>
      </c>
    </row>
    <row r="34018" customFormat="false" ht="15" hidden="false" customHeight="false" outlineLevel="0" collapsed="false">
      <c r="A34018" s="3" t="s">
        <v>563</v>
      </c>
      <c r="C34018" s="22" t="n">
        <f aca="false">IF(C33897=0,1,C34007/C33897)</f>
        <v>1</v>
      </c>
    </row>
    <row r="34019" customFormat="false" ht="15" hidden="false" customHeight="false" outlineLevel="0" collapsed="false">
      <c r="A34019" s="3" t="s">
        <v>564</v>
      </c>
      <c r="C34019" s="22" t="n">
        <f aca="false">IF(C33898=0,1,C34008/C33898)</f>
        <v>1</v>
      </c>
    </row>
    <row r="34020" customFormat="false" ht="15" hidden="false" customHeight="false" outlineLevel="0" collapsed="false">
      <c r="A34020" s="3" t="s">
        <v>565</v>
      </c>
      <c r="C34020" s="22" t="n">
        <f aca="false">IF(C33899=0,1,C34009/C33899)</f>
        <v>1</v>
      </c>
    </row>
    <row r="34021" customFormat="false" ht="15" hidden="false" customHeight="false" outlineLevel="0" collapsed="false">
      <c r="A34021" s="24" t="s">
        <v>577</v>
      </c>
      <c r="B34021" s="25"/>
      <c r="C34021" s="25"/>
      <c r="D34021" s="25"/>
      <c r="E34021" s="25"/>
      <c r="F34021" s="25"/>
      <c r="G34021" s="25"/>
      <c r="H34021" s="25"/>
      <c r="I34021" s="25"/>
      <c r="J34021" s="25"/>
      <c r="K34021" s="25"/>
    </row>
    <row r="34022" customFormat="false" ht="15" hidden="false" customHeight="false" outlineLevel="0" collapsed="false">
      <c r="A34022" s="3" t="s">
        <v>556</v>
      </c>
      <c r="C34022" s="16" t="n">
        <f aca="false">C33890-C34000</f>
        <v>0</v>
      </c>
    </row>
    <row r="34023" customFormat="false" ht="15" hidden="false" customHeight="false" outlineLevel="0" collapsed="false">
      <c r="A34023" s="3" t="s">
        <v>557</v>
      </c>
      <c r="C34023" s="16" t="n">
        <f aca="false">C33891-C34001</f>
        <v>0</v>
      </c>
    </row>
    <row r="34024" customFormat="false" ht="15" hidden="false" customHeight="false" outlineLevel="0" collapsed="false">
      <c r="A34024" s="3" t="s">
        <v>558</v>
      </c>
      <c r="C34024" s="16" t="n">
        <f aca="false">C33892-C34002</f>
        <v>0</v>
      </c>
    </row>
    <row r="34025" customFormat="false" ht="15" hidden="false" customHeight="false" outlineLevel="0" collapsed="false">
      <c r="A34025" s="3" t="s">
        <v>559</v>
      </c>
      <c r="C34025" s="16" t="n">
        <f aca="false">C33893-C34003</f>
        <v>0</v>
      </c>
    </row>
    <row r="34026" customFormat="false" ht="15" hidden="false" customHeight="false" outlineLevel="0" collapsed="false">
      <c r="A34026" s="3" t="s">
        <v>560</v>
      </c>
      <c r="C34026" s="16" t="n">
        <f aca="false">C33894-C34004</f>
        <v>0</v>
      </c>
    </row>
    <row r="34027" customFormat="false" ht="15" hidden="false" customHeight="false" outlineLevel="0" collapsed="false">
      <c r="A34027" s="3" t="s">
        <v>561</v>
      </c>
      <c r="C34027" s="16" t="n">
        <f aca="false">C33895-C34005</f>
        <v>0</v>
      </c>
    </row>
    <row r="34028" customFormat="false" ht="15" hidden="false" customHeight="false" outlineLevel="0" collapsed="false">
      <c r="A34028" s="3" t="s">
        <v>562</v>
      </c>
      <c r="C34028" s="16" t="n">
        <f aca="false">C33896-C34006</f>
        <v>0</v>
      </c>
    </row>
    <row r="34029" customFormat="false" ht="15" hidden="false" customHeight="false" outlineLevel="0" collapsed="false">
      <c r="A34029" s="3" t="s">
        <v>563</v>
      </c>
      <c r="C34029" s="16" t="n">
        <f aca="false">C33897-C34007</f>
        <v>0</v>
      </c>
    </row>
    <row r="34030" customFormat="false" ht="15" hidden="false" customHeight="false" outlineLevel="0" collapsed="false">
      <c r="A34030" s="3" t="s">
        <v>564</v>
      </c>
      <c r="C34030" s="16" t="n">
        <f aca="false">C33898-C34008</f>
        <v>0</v>
      </c>
    </row>
    <row r="34031" customFormat="false" ht="15" hidden="false" customHeight="false" outlineLevel="0" collapsed="false">
      <c r="A34031" s="3" t="s">
        <v>565</v>
      </c>
      <c r="C34031" s="16" t="n">
        <f aca="false">C33899-C34009</f>
        <v>0</v>
      </c>
    </row>
    <row r="34032" customFormat="false" ht="15" hidden="false" customHeight="false" outlineLevel="0" collapsed="false">
      <c r="A34032" s="24" t="s">
        <v>578</v>
      </c>
      <c r="B34032" s="25"/>
      <c r="C34032" s="25"/>
      <c r="D34032" s="25"/>
      <c r="E34032" s="25"/>
      <c r="F34032" s="25"/>
      <c r="G34032" s="25"/>
      <c r="H34032" s="25"/>
      <c r="I34032" s="25"/>
      <c r="J34032" s="25"/>
      <c r="K34032" s="25"/>
    </row>
    <row r="34033" customFormat="false" ht="15" hidden="false" customHeight="false" outlineLevel="0" collapsed="false">
      <c r="A34033" s="3" t="s">
        <v>556</v>
      </c>
      <c r="C34033" s="22" t="n">
        <f aca="false">IF(C33890=0,0,C34022/C33890)</f>
        <v>0</v>
      </c>
    </row>
    <row r="34034" customFormat="false" ht="15" hidden="false" customHeight="false" outlineLevel="0" collapsed="false">
      <c r="A34034" s="3" t="s">
        <v>557</v>
      </c>
      <c r="C34034" s="22" t="n">
        <f aca="false">IF(C33891=0,0,C34023/C33891)</f>
        <v>0</v>
      </c>
    </row>
    <row r="34035" customFormat="false" ht="15" hidden="false" customHeight="false" outlineLevel="0" collapsed="false">
      <c r="A34035" s="3" t="s">
        <v>558</v>
      </c>
      <c r="C34035" s="22" t="n">
        <f aca="false">IF(C33892=0,0,C34024/C33892)</f>
        <v>0</v>
      </c>
    </row>
    <row r="34036" customFormat="false" ht="15" hidden="false" customHeight="false" outlineLevel="0" collapsed="false">
      <c r="A34036" s="3" t="s">
        <v>559</v>
      </c>
      <c r="C34036" s="22" t="n">
        <f aca="false">IF(C33893=0,0,C34025/C33893)</f>
        <v>0</v>
      </c>
    </row>
    <row r="34037" customFormat="false" ht="15" hidden="false" customHeight="false" outlineLevel="0" collapsed="false">
      <c r="A34037" s="3" t="s">
        <v>560</v>
      </c>
      <c r="C34037" s="22" t="n">
        <f aca="false">IF(C33894=0,0,C34026/C33894)</f>
        <v>0</v>
      </c>
    </row>
    <row r="34038" customFormat="false" ht="15" hidden="false" customHeight="false" outlineLevel="0" collapsed="false">
      <c r="A34038" s="3" t="s">
        <v>561</v>
      </c>
      <c r="C34038" s="22" t="n">
        <f aca="false">IF(C33895=0,0,C34027/C33895)</f>
        <v>0</v>
      </c>
    </row>
    <row r="34039" customFormat="false" ht="15" hidden="false" customHeight="false" outlineLevel="0" collapsed="false">
      <c r="A34039" s="3" t="s">
        <v>562</v>
      </c>
      <c r="C34039" s="22" t="n">
        <f aca="false">IF(C33896=0,0,C34028/C33896)</f>
        <v>0</v>
      </c>
    </row>
    <row r="34040" customFormat="false" ht="15" hidden="false" customHeight="false" outlineLevel="0" collapsed="false">
      <c r="A34040" s="3" t="s">
        <v>563</v>
      </c>
      <c r="C34040" s="22" t="n">
        <f aca="false">IF(C33897=0,0,C34029/C33897)</f>
        <v>0</v>
      </c>
    </row>
    <row r="34041" customFormat="false" ht="15" hidden="false" customHeight="false" outlineLevel="0" collapsed="false">
      <c r="A34041" s="3" t="s">
        <v>564</v>
      </c>
      <c r="C34041" s="22" t="n">
        <f aca="false">IF(C33898=0,0,C34030/C33898)</f>
        <v>0</v>
      </c>
    </row>
    <row r="34042" customFormat="false" ht="15" hidden="false" customHeight="false" outlineLevel="0" collapsed="false">
      <c r="A34042" s="3" t="s">
        <v>565</v>
      </c>
      <c r="C34042" s="22" t="n">
        <f aca="false">IF(C33899=0,0,C34031/C33899)</f>
        <v>0</v>
      </c>
    </row>
    <row r="34043" customFormat="false" ht="15" hidden="false" customHeight="false" outlineLevel="0" collapsed="false">
      <c r="A34043" s="2" t="s">
        <v>579</v>
      </c>
      <c r="C34043" s="17" t="n">
        <f aca="false">MAX(0,$C$33888-SUM($C$33923:$C$33932)-SUM($C$33945:$C$33954))</f>
        <v>730.771201087744</v>
      </c>
    </row>
    <row r="34044" customFormat="false" ht="15" hidden="false" customHeight="false" outlineLevel="0" collapsed="false">
      <c r="A34044" s="3" t="s">
        <v>597</v>
      </c>
      <c r="C34044" s="35" t="n">
        <f aca="false">MIN(C33887,100*CHOOSE(C33877,C34011,C34012,C34013,C34014,C34015,C34016,C34017,C34018,C34019,C34020))</f>
        <v>100</v>
      </c>
    </row>
    <row r="34045" customFormat="false" ht="15" hidden="false" customHeight="false" outlineLevel="0" collapsed="false">
      <c r="A34045" s="3" t="s">
        <v>598</v>
      </c>
      <c r="C34045" s="21" t="n">
        <f aca="false">IF(C33709=1,C33882+Assumptions!$C$40,C33881)</f>
        <v>3</v>
      </c>
    </row>
    <row r="34046" customFormat="false" ht="15" hidden="false" customHeight="false" outlineLevel="0" collapsed="false">
      <c r="A34046" s="24" t="s">
        <v>599</v>
      </c>
      <c r="B34046" s="25"/>
      <c r="C34046" s="25"/>
      <c r="D34046" s="25"/>
      <c r="E34046" s="25"/>
      <c r="F34046" s="25"/>
      <c r="G34046" s="25"/>
      <c r="H34046" s="25"/>
      <c r="I34046" s="25"/>
      <c r="J34046" s="25"/>
      <c r="K34046" s="25"/>
    </row>
    <row r="34047" customFormat="false" ht="15" hidden="false" customHeight="false" outlineLevel="0" collapsed="false">
      <c r="A34047" s="3" t="s">
        <v>600</v>
      </c>
      <c r="C34047" s="21" t="n">
        <f aca="false">COLUMN()-COLUMN($C$1)</f>
        <v>0</v>
      </c>
      <c r="D34047" s="21" t="n">
        <f aca="false">COLUMN()-COLUMN($C$1)</f>
        <v>1</v>
      </c>
      <c r="E34047" s="21" t="n">
        <f aca="false">COLUMN()-COLUMN($C$1)</f>
        <v>2</v>
      </c>
      <c r="F34047" s="21" t="n">
        <f aca="false">COLUMN()-COLUMN($C$1)</f>
        <v>3</v>
      </c>
      <c r="G34047" s="21" t="n">
        <f aca="false">COLUMN()-COLUMN($C$1)</f>
        <v>4</v>
      </c>
      <c r="H34047" s="21" t="n">
        <f aca="false">COLUMN()-COLUMN($C$1)</f>
        <v>5</v>
      </c>
      <c r="I34047" s="21" t="n">
        <f aca="false">COLUMN()-COLUMN($C$1)</f>
        <v>6</v>
      </c>
    </row>
    <row r="34048" customFormat="false" ht="15" hidden="false" customHeight="false" outlineLevel="0" collapsed="false">
      <c r="A34048" s="3" t="s">
        <v>601</v>
      </c>
      <c r="D34048" s="31" t="n">
        <f aca="false">CHOOSE($C$33877,G33457,G33470,G33483,G33496,G33509,G33522,G33535,G33548,G33561,G33574)</f>
        <v>0.0915</v>
      </c>
      <c r="E34048" s="31" t="n">
        <f aca="false">CHOOSE($C$33877,H33457,H33470,H33483,H33496,H33509,H33522,H33535,H33548,H33561,H33574)</f>
        <v>0.09</v>
      </c>
      <c r="F34048" s="31" t="n">
        <f aca="false">CHOOSE($C$33877,I33457,I33470,I33483,I33496,I33509,I33522,I33535,I33548,I33561,I33574)</f>
        <v>0.0875</v>
      </c>
      <c r="G34048" s="31" t="n">
        <f aca="false">CHOOSE($C$33877,J33457,J33470,J33483,J33496,J33509,J33522,J33535,J33548,J33561,J33574)</f>
        <v>0.0875</v>
      </c>
      <c r="H34048" s="31" t="n">
        <f aca="false">CHOOSE($C$33877,K33457,K33470,K33483,K33496,K33509,K33522,K33535,K33548,K33561,K33574)</f>
        <v>0.0875</v>
      </c>
    </row>
    <row r="34049" customFormat="false" ht="15" hidden="false" customHeight="false" outlineLevel="0" collapsed="false">
      <c r="A34049" s="3" t="s">
        <v>602</v>
      </c>
      <c r="D34049" s="16" t="n">
        <f aca="false">IF(D34047&lt;=$C$33886,$C$33878*D34048,0)</f>
        <v>9.15</v>
      </c>
      <c r="E34049" s="16" t="n">
        <f aca="false">IF(E34047&lt;=$C$33886,$C$33878*E34048,0)</f>
        <v>9</v>
      </c>
      <c r="F34049" s="16" t="n">
        <f aca="false">IF(F34047&lt;=$C$33886,$C$33878*F34048,0)</f>
        <v>8.75</v>
      </c>
      <c r="G34049" s="16" t="n">
        <f aca="false">IF(G34047&lt;=$C$33886,$C$33878*G34048,0)</f>
        <v>0</v>
      </c>
      <c r="H34049" s="16" t="n">
        <f aca="false">IF(H34047&lt;=$C$33886,$C$33878*H34048,0)</f>
        <v>0</v>
      </c>
    </row>
    <row r="34050" customFormat="false" ht="15" hidden="false" customHeight="false" outlineLevel="0" collapsed="false">
      <c r="A34050" s="3" t="s">
        <v>603</v>
      </c>
      <c r="D34050" s="16" t="n">
        <f aca="false">IF(AND($C$33709=0,D34047=$C$33881),$C$33878*$C$34044/100,0)+IF(AND($C$33709=1,D34047=$C$34045),$C$33884,0)</f>
        <v>0</v>
      </c>
      <c r="E34050" s="16" t="n">
        <f aca="false">IF(AND($C$33709=0,E34047=$C$33881),$C$33878*$C$34044/100,0)+IF(AND($C$33709=1,E34047=$C$34045),$C$33884,0)</f>
        <v>0</v>
      </c>
      <c r="F34050" s="16" t="n">
        <f aca="false">IF(AND($C$33709=0,F34047=$C$33881),$C$33878*$C$34044/100,0)+IF(AND($C$33709=1,F34047=$C$34045),$C$33884,0)</f>
        <v>100</v>
      </c>
      <c r="G34050" s="16" t="n">
        <f aca="false">IF(AND($C$33709=0,G34047=$C$33881),$C$33878*$C$34044/100,0)+IF(AND($C$33709=1,G34047=$C$34045),$C$33884,0)</f>
        <v>0</v>
      </c>
      <c r="H34050" s="16" t="n">
        <f aca="false">IF(AND($C$33709=0,H34047=$C$33881),$C$33878*$C$34044/100,0)+IF(AND($C$33709=1,H34047=$C$34045),$C$33884,0)</f>
        <v>0</v>
      </c>
      <c r="I34050" s="16" t="n">
        <f aca="false">IF(AND($C$33709=0,I34047=$C$33881),$C$33878*$C$34044/100,0)+IF(AND($C$33709=1,I34047=$C$34045),$C$33884,0)</f>
        <v>0</v>
      </c>
    </row>
    <row r="34051" customFormat="false" ht="15" hidden="false" customHeight="false" outlineLevel="0" collapsed="false">
      <c r="A34051" s="2" t="s">
        <v>604</v>
      </c>
      <c r="C34051" s="17" t="n">
        <f aca="false">-$C$33880</f>
        <v>-98.49</v>
      </c>
      <c r="D34051" s="17" t="n">
        <f aca="false">D34049+D34050</f>
        <v>9.15</v>
      </c>
      <c r="E34051" s="17" t="n">
        <f aca="false">E34049+E34050</f>
        <v>9</v>
      </c>
      <c r="F34051" s="17" t="n">
        <f aca="false">F34049+F34050</f>
        <v>108.75</v>
      </c>
      <c r="G34051" s="17" t="n">
        <f aca="false">G34049+G34050</f>
        <v>0</v>
      </c>
      <c r="H34051" s="17" t="n">
        <f aca="false">H34049+H34050</f>
        <v>0</v>
      </c>
      <c r="I34051" s="17" t="n">
        <f aca="false">I34049+I34050</f>
        <v>0</v>
      </c>
    </row>
    <row r="34052" customFormat="false" ht="15" hidden="false" customHeight="false" outlineLevel="0" collapsed="false">
      <c r="A34052" s="3" t="s">
        <v>605</v>
      </c>
      <c r="C34052" s="16" t="n">
        <f aca="false">SUM($C$34049:$I$34049)</f>
        <v>26.9</v>
      </c>
    </row>
    <row r="34053" customFormat="false" ht="15" hidden="false" customHeight="false" outlineLevel="0" collapsed="false">
      <c r="A34053" s="3" t="s">
        <v>606</v>
      </c>
      <c r="C34053" s="16" t="n">
        <f aca="false">SUM($C$34050:$I$34050)</f>
        <v>100</v>
      </c>
    </row>
    <row r="34054" customFormat="false" ht="15" hidden="false" customHeight="false" outlineLevel="0" collapsed="false">
      <c r="A34054" s="3" t="s">
        <v>607</v>
      </c>
      <c r="C34054" s="16" t="n">
        <f aca="false">C34052+C34053</f>
        <v>126.9</v>
      </c>
    </row>
    <row r="34055" customFormat="false" ht="15" hidden="false" customHeight="false" outlineLevel="0" collapsed="false">
      <c r="A34055" s="3" t="s">
        <v>608</v>
      </c>
      <c r="C34055" s="16" t="n">
        <f aca="false">C34053-C33878*C33879/100</f>
        <v>2</v>
      </c>
    </row>
    <row r="34056" customFormat="false" ht="15" hidden="false" customHeight="false" outlineLevel="0" collapsed="false">
      <c r="A34056" s="3" t="s">
        <v>609</v>
      </c>
      <c r="C34056" s="16" t="n">
        <f aca="false">C34054-C33880</f>
        <v>28.41</v>
      </c>
    </row>
    <row r="34057" customFormat="false" ht="15" hidden="false" customHeight="false" outlineLevel="0" collapsed="false">
      <c r="A34057" s="2" t="s">
        <v>484</v>
      </c>
      <c r="C34057" s="44" t="n">
        <f aca="false">C34054/C33880</f>
        <v>1.28845568077977</v>
      </c>
    </row>
    <row r="34058" customFormat="false" ht="15" hidden="false" customHeight="false" outlineLevel="0" collapsed="false">
      <c r="A34058" s="2" t="s">
        <v>483</v>
      </c>
      <c r="C34058" s="42" t="n">
        <f aca="false">IF(C34054&lt;=0,-1,IFERROR(IRR($C$34051:$I$34051,MAX(-0.9,C34057^(1/C34045)-1)),IRR($C$34051:$I$34051,0.1)))</f>
        <v>0.0958152816969216</v>
      </c>
    </row>
    <row r="34059" customFormat="false" ht="15" hidden="false" customHeight="false" outlineLevel="0" collapsed="false">
      <c r="A34059" s="3" t="s">
        <v>610</v>
      </c>
      <c r="C34059" s="32" t="n">
        <f aca="false">MAX($G$33653:$K$33653)</f>
        <v>9.99528975565569</v>
      </c>
    </row>
    <row r="34060" customFormat="false" ht="15" hidden="false" customHeight="false" outlineLevel="0" collapsed="false">
      <c r="A34060" s="3" t="s">
        <v>611</v>
      </c>
      <c r="C34060" s="32" t="n">
        <f aca="false">MIN($G$33654:$K$33654)</f>
        <v>1.34274565931266</v>
      </c>
    </row>
    <row r="34061" customFormat="false" ht="15" hidden="false" customHeight="false" outlineLevel="0" collapsed="false">
      <c r="A34061" s="3" t="s">
        <v>612</v>
      </c>
      <c r="C34061" s="16" t="n">
        <f aca="false">SUM($G$33441:$K$33441)</f>
        <v>-435.805435297248</v>
      </c>
    </row>
    <row r="34065" customFormat="false" ht="15" hidden="false" customHeight="false" outlineLevel="0" collapsed="false">
      <c r="A34065" s="9" t="s">
        <v>1182</v>
      </c>
      <c r="B34065" s="10"/>
      <c r="C34065" s="10"/>
      <c r="D34065" s="10"/>
      <c r="E34065" s="10"/>
      <c r="F34065" s="10"/>
      <c r="G34065" s="10"/>
      <c r="H34065" s="10"/>
      <c r="I34065" s="10"/>
      <c r="J34065" s="10"/>
      <c r="K34065" s="10"/>
    </row>
    <row r="34066" customFormat="false" ht="15" hidden="false" customHeight="false" outlineLevel="0" collapsed="false">
      <c r="A34066" s="3" t="s">
        <v>1126</v>
      </c>
      <c r="C34066" s="11" t="n">
        <v>1</v>
      </c>
    </row>
    <row r="34067" customFormat="false" ht="15" hidden="false" customHeight="false" outlineLevel="0" collapsed="false">
      <c r="A34067" s="3" t="s">
        <v>1127</v>
      </c>
      <c r="C34067" s="19" t="n">
        <v>0</v>
      </c>
    </row>
    <row r="34068" customFormat="false" ht="15" hidden="false" customHeight="false" outlineLevel="0" collapsed="false">
      <c r="A34068" s="3" t="s">
        <v>1128</v>
      </c>
      <c r="C34068" s="19" t="n">
        <v>0</v>
      </c>
    </row>
    <row r="34069" customFormat="false" ht="15" hidden="false" customHeight="false" outlineLevel="0" collapsed="false">
      <c r="A34069" s="3" t="s">
        <v>1129</v>
      </c>
      <c r="C34069" s="19" t="n">
        <v>0</v>
      </c>
    </row>
    <row r="34070" customFormat="false" ht="15" hidden="false" customHeight="false" outlineLevel="0" collapsed="false">
      <c r="A34070" s="3" t="s">
        <v>1130</v>
      </c>
      <c r="C34070" s="34" t="n">
        <f aca="false">Sensitivities!$A$64</f>
        <v>2</v>
      </c>
    </row>
    <row r="34072" customFormat="false" ht="15" hidden="false" customHeight="false" outlineLevel="0" collapsed="false">
      <c r="A34072" s="24" t="s">
        <v>301</v>
      </c>
      <c r="B34072" s="25"/>
      <c r="C34072" s="25"/>
      <c r="D34072" s="25"/>
      <c r="E34072" s="25"/>
      <c r="F34072" s="25"/>
      <c r="G34072" s="25"/>
      <c r="H34072" s="25"/>
      <c r="I34072" s="25"/>
      <c r="J34072" s="25"/>
      <c r="K34072" s="25"/>
    </row>
    <row r="34073" customFormat="false" ht="15" hidden="false" customHeight="false" outlineLevel="0" collapsed="false">
      <c r="A34073" s="3" t="s">
        <v>302</v>
      </c>
      <c r="F34073" s="27" t="n">
        <f aca="false">Assumptions!$C$6</f>
        <v>2026</v>
      </c>
      <c r="G34073" s="21" t="n">
        <f aca="false">F34073+1</f>
        <v>2027</v>
      </c>
      <c r="H34073" s="21" t="n">
        <f aca="false">G34073+1</f>
        <v>2028</v>
      </c>
      <c r="I34073" s="21" t="n">
        <f aca="false">H34073+1</f>
        <v>2029</v>
      </c>
      <c r="J34073" s="21" t="n">
        <f aca="false">I34073+1</f>
        <v>2030</v>
      </c>
      <c r="K34073" s="21" t="n">
        <f aca="false">J34073+1</f>
        <v>2031</v>
      </c>
    </row>
    <row r="34074" customFormat="false" ht="15" hidden="false" customHeight="false" outlineLevel="0" collapsed="false">
      <c r="A34074" s="3" t="s">
        <v>303</v>
      </c>
      <c r="G34074" s="21" t="n">
        <f aca="false">G34073-Assumptions!$C$6</f>
        <v>1</v>
      </c>
      <c r="H34074" s="21" t="n">
        <f aca="false">H34073-Assumptions!$C$6</f>
        <v>2</v>
      </c>
      <c r="I34074" s="21" t="n">
        <f aca="false">I34073-Assumptions!$C$6</f>
        <v>3</v>
      </c>
      <c r="J34074" s="21" t="n">
        <f aca="false">J34073-Assumptions!$C$6</f>
        <v>4</v>
      </c>
      <c r="K34074" s="21" t="n">
        <f aca="false">K34073-Assumptions!$C$6</f>
        <v>5</v>
      </c>
    </row>
    <row r="34075" customFormat="false" ht="15" hidden="false" customHeight="false" outlineLevel="0" collapsed="false">
      <c r="A34075" s="3" t="s">
        <v>180</v>
      </c>
      <c r="G34075" s="22" t="n">
        <f aca="false">CHOOSE($C$34066,Assumptions!$G$79,Assumptions!$G$98,Assumptions!$G$117)+$C$34067</f>
        <v>-0.03</v>
      </c>
      <c r="H34075" s="22" t="n">
        <f aca="false">CHOOSE($C$34066,Assumptions!$H$79,Assumptions!$H$98,Assumptions!$H$117)+$C$34067</f>
        <v>0.02</v>
      </c>
      <c r="I34075" s="22" t="n">
        <f aca="false">CHOOSE($C$34066,Assumptions!$I$79,Assumptions!$I$98,Assumptions!$I$117)+$C$34067</f>
        <v>0.02</v>
      </c>
      <c r="J34075" s="22" t="n">
        <f aca="false">CHOOSE($C$34066,Assumptions!$J$79,Assumptions!$J$98,Assumptions!$J$117)+$C$34067</f>
        <v>0.02</v>
      </c>
      <c r="K34075" s="22" t="n">
        <f aca="false">CHOOSE($C$34066,Assumptions!$K$79,Assumptions!$K$98,Assumptions!$K$117)+$C$34067</f>
        <v>0.02</v>
      </c>
    </row>
    <row r="34076" customFormat="false" ht="15" hidden="false" customHeight="false" outlineLevel="0" collapsed="false">
      <c r="A34076" s="3" t="s">
        <v>181</v>
      </c>
      <c r="G34076" s="22" t="n">
        <f aca="false">CHOOSE($C$34066,Assumptions!$G$80,Assumptions!$G$99,Assumptions!$G$118)</f>
        <v>0.603920660818678</v>
      </c>
      <c r="H34076" s="22" t="n">
        <f aca="false">CHOOSE($C$34066,Assumptions!$H$80,Assumptions!$H$99,Assumptions!$H$118)</f>
        <v>0.606920660818678</v>
      </c>
      <c r="I34076" s="22" t="n">
        <f aca="false">CHOOSE($C$34066,Assumptions!$I$80,Assumptions!$I$99,Assumptions!$I$118)</f>
        <v>0.609920660818678</v>
      </c>
      <c r="J34076" s="22" t="n">
        <f aca="false">CHOOSE($C$34066,Assumptions!$J$80,Assumptions!$J$99,Assumptions!$J$118)</f>
        <v>0.611920660818678</v>
      </c>
      <c r="K34076" s="22" t="n">
        <f aca="false">CHOOSE($C$34066,Assumptions!$K$80,Assumptions!$K$99,Assumptions!$K$118)</f>
        <v>0.613920660818678</v>
      </c>
    </row>
    <row r="34077" customFormat="false" ht="15" hidden="false" customHeight="false" outlineLevel="0" collapsed="false">
      <c r="A34077" s="3" t="s">
        <v>182</v>
      </c>
      <c r="G34077" s="22" t="n">
        <f aca="false">CHOOSE($C$34066,Assumptions!$G$81,Assumptions!$G$100,Assumptions!$G$119)+$C$34068</f>
        <v>0.53</v>
      </c>
      <c r="H34077" s="22" t="n">
        <f aca="false">CHOOSE($C$34066,Assumptions!$H$81,Assumptions!$H$100,Assumptions!$H$119)+$C$34068</f>
        <v>0.533</v>
      </c>
      <c r="I34077" s="22" t="n">
        <f aca="false">CHOOSE($C$34066,Assumptions!$I$81,Assumptions!$I$100,Assumptions!$I$119)+$C$34068</f>
        <v>0.536</v>
      </c>
      <c r="J34077" s="22" t="n">
        <f aca="false">CHOOSE($C$34066,Assumptions!$J$81,Assumptions!$J$100,Assumptions!$J$119)+$C$34068</f>
        <v>0.538</v>
      </c>
      <c r="K34077" s="22" t="n">
        <f aca="false">CHOOSE($C$34066,Assumptions!$K$81,Assumptions!$K$100,Assumptions!$K$119)+$C$34068</f>
        <v>0.54</v>
      </c>
    </row>
    <row r="34078" customFormat="false" ht="15" hidden="false" customHeight="false" outlineLevel="0" collapsed="false">
      <c r="A34078" s="24" t="s">
        <v>304</v>
      </c>
      <c r="B34078" s="25"/>
      <c r="C34078" s="25"/>
      <c r="D34078" s="25"/>
      <c r="E34078" s="25"/>
      <c r="F34078" s="25"/>
      <c r="G34078" s="25"/>
      <c r="H34078" s="25"/>
      <c r="I34078" s="25"/>
      <c r="J34078" s="25"/>
      <c r="K34078" s="25"/>
    </row>
    <row r="34079" customFormat="false" ht="15" hidden="false" customHeight="false" outlineLevel="0" collapsed="false">
      <c r="A34079" s="2" t="s">
        <v>275</v>
      </c>
      <c r="F34079" s="28" t="n">
        <f aca="false">'Historical Financials'!G25</f>
        <v>498.291</v>
      </c>
      <c r="G34079" s="17" t="n">
        <f aca="false">F34079*(1+G34075)</f>
        <v>483.34227</v>
      </c>
      <c r="H34079" s="17" t="n">
        <f aca="false">G34079*(1+H34075)</f>
        <v>493.0091154</v>
      </c>
      <c r="I34079" s="17" t="n">
        <f aca="false">H34079*(1+I34075)</f>
        <v>502.869297708</v>
      </c>
      <c r="J34079" s="17" t="n">
        <f aca="false">I34079*(1+J34075)</f>
        <v>512.92668366216</v>
      </c>
      <c r="K34079" s="17" t="n">
        <f aca="false">J34079*(1+K34075)</f>
        <v>523.185217335403</v>
      </c>
    </row>
    <row r="34080" customFormat="false" ht="15" hidden="false" customHeight="false" outlineLevel="0" collapsed="false">
      <c r="A34080" s="3" t="s">
        <v>276</v>
      </c>
      <c r="G34080" s="16" t="n">
        <f aca="false">G34079*(1-G34076)</f>
        <v>191.4418869</v>
      </c>
      <c r="H34080" s="16" t="n">
        <f aca="false">H34079*(1-H34076)</f>
        <v>193.7916972918</v>
      </c>
      <c r="I34080" s="16" t="n">
        <f aca="false">I34079*(1-I34076)</f>
        <v>196.158923344512</v>
      </c>
      <c r="J34080" s="16" t="n">
        <f aca="false">J34079*(1-J34076)</f>
        <v>199.056248444078</v>
      </c>
      <c r="K34080" s="16" t="n">
        <f aca="false">K34079*(1-K34076)</f>
        <v>201.991002978289</v>
      </c>
    </row>
    <row r="34081" customFormat="false" ht="15" hidden="false" customHeight="false" outlineLevel="0" collapsed="false">
      <c r="A34081" s="2" t="s">
        <v>277</v>
      </c>
      <c r="G34081" s="17" t="n">
        <f aca="false">G34079-G34080</f>
        <v>291.9003831</v>
      </c>
      <c r="H34081" s="17" t="n">
        <f aca="false">H34079-H34080</f>
        <v>299.2174181082</v>
      </c>
      <c r="I34081" s="17" t="n">
        <f aca="false">I34079-I34080</f>
        <v>306.710374363488</v>
      </c>
      <c r="J34081" s="17" t="n">
        <f aca="false">J34079-J34080</f>
        <v>313.870435218082</v>
      </c>
      <c r="K34081" s="17" t="n">
        <f aca="false">K34079-K34080</f>
        <v>321.194214357115</v>
      </c>
    </row>
    <row r="34082" customFormat="false" ht="15" hidden="false" customHeight="false" outlineLevel="0" collapsed="false">
      <c r="A34082" s="3" t="s">
        <v>305</v>
      </c>
      <c r="G34082" s="16" t="n">
        <f aca="false">G34081-G34083</f>
        <v>35.72898</v>
      </c>
      <c r="H34082" s="16" t="n">
        <f aca="false">H34081-H34083</f>
        <v>36.4435596</v>
      </c>
      <c r="I34082" s="16" t="n">
        <f aca="false">I34081-I34083</f>
        <v>37.172430792</v>
      </c>
      <c r="J34082" s="16" t="n">
        <f aca="false">J34081-J34083</f>
        <v>37.91587940784</v>
      </c>
      <c r="K34082" s="16" t="n">
        <f aca="false">K34081-K34083</f>
        <v>38.6741969959968</v>
      </c>
    </row>
    <row r="34083" customFormat="false" ht="15" hidden="false" customHeight="false" outlineLevel="0" collapsed="false">
      <c r="A34083" s="2" t="s">
        <v>306</v>
      </c>
      <c r="G34083" s="17" t="n">
        <f aca="false">G34079*G34077</f>
        <v>256.1714031</v>
      </c>
      <c r="H34083" s="17" t="n">
        <f aca="false">H34079*H34077</f>
        <v>262.7738585082</v>
      </c>
      <c r="I34083" s="17" t="n">
        <f aca="false">I34079*I34077</f>
        <v>269.537943571488</v>
      </c>
      <c r="J34083" s="17" t="n">
        <f aca="false">J34079*J34077</f>
        <v>275.954555810242</v>
      </c>
      <c r="K34083" s="17" t="n">
        <f aca="false">K34079*K34077</f>
        <v>282.520017361118</v>
      </c>
    </row>
    <row r="34084" customFormat="false" ht="15" hidden="false" customHeight="false" outlineLevel="0" collapsed="false">
      <c r="A34084" s="3" t="s">
        <v>307</v>
      </c>
      <c r="G34084" s="16" t="n">
        <f aca="false">G34079*'Historical Financials'!G30/'Historical Financials'!G25</f>
        <v>179.73421</v>
      </c>
      <c r="H34084" s="16" t="n">
        <f aca="false">H34079*'Historical Financials'!G30/'Historical Financials'!G25</f>
        <v>183.3288942</v>
      </c>
      <c r="I34084" s="16" t="n">
        <f aca="false">I34079*'Historical Financials'!G30/'Historical Financials'!G25</f>
        <v>186.995472084</v>
      </c>
      <c r="J34084" s="16" t="n">
        <f aca="false">J34079*'Historical Financials'!G30/'Historical Financials'!G25</f>
        <v>190.73538152568</v>
      </c>
      <c r="K34084" s="16" t="n">
        <f aca="false">K34079*'Historical Financials'!G30/'Historical Financials'!G25</f>
        <v>194.550089156194</v>
      </c>
    </row>
    <row r="34085" customFormat="false" ht="15" hidden="false" customHeight="false" outlineLevel="0" collapsed="false">
      <c r="A34085" s="3" t="s">
        <v>308</v>
      </c>
      <c r="G34085" s="16" t="n">
        <f aca="false">G34079*'Historical Financials'!G31/'Historical Financials'!G25</f>
        <v>0</v>
      </c>
      <c r="H34085" s="16" t="n">
        <f aca="false">H34079*'Historical Financials'!G31/'Historical Financials'!G25</f>
        <v>0</v>
      </c>
      <c r="I34085" s="16" t="n">
        <f aca="false">I34079*'Historical Financials'!G31/'Historical Financials'!G25</f>
        <v>0</v>
      </c>
      <c r="J34085" s="16" t="n">
        <f aca="false">J34079*'Historical Financials'!G31/'Historical Financials'!G25</f>
        <v>0</v>
      </c>
      <c r="K34085" s="16" t="n">
        <f aca="false">K34079*'Historical Financials'!G31/'Historical Financials'!G25</f>
        <v>0</v>
      </c>
    </row>
    <row r="34086" customFormat="false" ht="15" hidden="false" customHeight="false" outlineLevel="0" collapsed="false">
      <c r="A34086" s="2" t="s">
        <v>309</v>
      </c>
      <c r="G34086" s="17" t="n">
        <f aca="false">G34083-G34084-G34085</f>
        <v>76.4371931</v>
      </c>
      <c r="H34086" s="17" t="n">
        <f aca="false">H34083-H34084-H34085</f>
        <v>79.4449643082</v>
      </c>
      <c r="I34086" s="17" t="n">
        <f aca="false">I34083-I34084-I34085</f>
        <v>82.542471487488</v>
      </c>
      <c r="J34086" s="17" t="n">
        <f aca="false">J34083-J34084-J34085</f>
        <v>85.2191742845621</v>
      </c>
      <c r="K34086" s="17" t="n">
        <f aca="false">K34083-K34084-K34085</f>
        <v>87.9699282049242</v>
      </c>
    </row>
    <row r="34087" customFormat="false" ht="15" hidden="false" customHeight="false" outlineLevel="0" collapsed="false">
      <c r="A34087" s="3" t="s">
        <v>310</v>
      </c>
      <c r="G34087" s="16" t="n">
        <f aca="false">G34113+G34126+G34139+G34152+G34165+G34178+G34191+G34204+G34217+G34230</f>
        <v>180.2096854</v>
      </c>
      <c r="H34087" s="16" t="n">
        <f aca="false">H34113+H34126+H34139+H34152+H34165+H34178+H34191+H34204+H34217+H34230</f>
        <v>179.1317704</v>
      </c>
      <c r="I34087" s="16" t="n">
        <f aca="false">I34113+I34126+I34139+I34152+I34165+I34178+I34191+I34204+I34217+I34230</f>
        <v>191.388017509904</v>
      </c>
      <c r="J34087" s="16" t="n">
        <f aca="false">J34113+J34126+J34139+J34152+J34165+J34178+J34191+J34204+J34217+J34230</f>
        <v>191.569272884469</v>
      </c>
      <c r="K34087" s="16" t="n">
        <f aca="false">K34113+K34126+K34139+K34152+K34165+K34178+K34191+K34204+K34217+K34230</f>
        <v>210.404714699088</v>
      </c>
    </row>
    <row r="34088" customFormat="false" ht="15" hidden="false" customHeight="false" outlineLevel="0" collapsed="false">
      <c r="A34088" s="3" t="s">
        <v>311</v>
      </c>
      <c r="G34088" s="16" t="n">
        <f aca="false">G34114+G34127+G34140+G34153+G34166+G34179+G34192+G34205+G34218+G34231</f>
        <v>0</v>
      </c>
      <c r="H34088" s="16" t="n">
        <f aca="false">H34114+H34127+H34140+H34153+H34166+H34179+H34192+H34205+H34218+H34231</f>
        <v>0</v>
      </c>
      <c r="I34088" s="16" t="n">
        <f aca="false">I34114+I34127+I34140+I34153+I34166+I34179+I34192+I34205+I34218+I34231</f>
        <v>0</v>
      </c>
      <c r="J34088" s="16" t="n">
        <f aca="false">J34114+J34127+J34140+J34153+J34166+J34179+J34192+J34205+J34218+J34231</f>
        <v>0</v>
      </c>
      <c r="K34088" s="16" t="n">
        <f aca="false">K34114+K34127+K34140+K34153+K34166+K34179+K34192+K34205+K34218+K34231</f>
        <v>0</v>
      </c>
    </row>
    <row r="34089" customFormat="false" ht="15" hidden="false" customHeight="false" outlineLevel="0" collapsed="false">
      <c r="A34089" s="3" t="s">
        <v>283</v>
      </c>
      <c r="G34089" s="16" t="n">
        <f aca="false">G34087+G34088</f>
        <v>180.2096854</v>
      </c>
      <c r="H34089" s="16" t="n">
        <f aca="false">H34087+H34088</f>
        <v>179.1317704</v>
      </c>
      <c r="I34089" s="16" t="n">
        <f aca="false">I34087+I34088</f>
        <v>191.388017509904</v>
      </c>
      <c r="J34089" s="16" t="n">
        <f aca="false">J34087+J34088</f>
        <v>191.569272884469</v>
      </c>
      <c r="K34089" s="16" t="n">
        <f aca="false">K34087+K34088</f>
        <v>210.404714699088</v>
      </c>
    </row>
    <row r="34090" customFormat="false" ht="15" hidden="false" customHeight="false" outlineLevel="0" collapsed="false">
      <c r="A34090" s="2" t="s">
        <v>284</v>
      </c>
      <c r="G34090" s="17" t="n">
        <f aca="false">G34086-G34089</f>
        <v>-103.7724923</v>
      </c>
      <c r="H34090" s="17" t="n">
        <f aca="false">H34086-H34089</f>
        <v>-99.6868060918</v>
      </c>
      <c r="I34090" s="17" t="n">
        <f aca="false">I34086-I34089</f>
        <v>-108.845546022416</v>
      </c>
      <c r="J34090" s="17" t="n">
        <f aca="false">J34086-J34089</f>
        <v>-106.350098599906</v>
      </c>
      <c r="K34090" s="17" t="n">
        <f aca="false">K34086-K34089</f>
        <v>-122.434786494163</v>
      </c>
    </row>
    <row r="34091" customFormat="false" ht="15" hidden="false" customHeight="false" outlineLevel="0" collapsed="false">
      <c r="A34091" s="3" t="s">
        <v>312</v>
      </c>
      <c r="G34091" s="16" t="n">
        <f aca="false">MAX(0,G34090)*Assumptions!$C$9</f>
        <v>0</v>
      </c>
      <c r="H34091" s="16" t="n">
        <f aca="false">MAX(0,H34090)*Assumptions!$C$9</f>
        <v>0</v>
      </c>
      <c r="I34091" s="16" t="n">
        <f aca="false">MAX(0,I34090)*Assumptions!$C$9</f>
        <v>0</v>
      </c>
      <c r="J34091" s="16" t="n">
        <f aca="false">MAX(0,J34090)*Assumptions!$C$9</f>
        <v>0</v>
      </c>
      <c r="K34091" s="16" t="n">
        <f aca="false">MAX(0,K34090)*Assumptions!$C$9</f>
        <v>0</v>
      </c>
    </row>
    <row r="34092" customFormat="false" ht="15" hidden="false" customHeight="false" outlineLevel="0" collapsed="false">
      <c r="A34092" s="2" t="s">
        <v>313</v>
      </c>
      <c r="G34092" s="17" t="n">
        <f aca="false">G34090-G34091</f>
        <v>-103.7724923</v>
      </c>
      <c r="H34092" s="17" t="n">
        <f aca="false">H34090-H34091</f>
        <v>-99.6868060918</v>
      </c>
      <c r="I34092" s="17" t="n">
        <f aca="false">I34090-I34091</f>
        <v>-108.845546022416</v>
      </c>
      <c r="J34092" s="17" t="n">
        <f aca="false">J34090-J34091</f>
        <v>-106.350098599906</v>
      </c>
      <c r="K34092" s="17" t="n">
        <f aca="false">K34090-K34091</f>
        <v>-122.434786494163</v>
      </c>
    </row>
    <row r="34093" customFormat="false" ht="15" hidden="false" customHeight="false" outlineLevel="0" collapsed="false">
      <c r="A34093" s="24" t="s">
        <v>314</v>
      </c>
      <c r="B34093" s="25"/>
      <c r="C34093" s="25"/>
      <c r="D34093" s="25"/>
      <c r="E34093" s="25"/>
      <c r="F34093" s="25"/>
      <c r="G34093" s="25"/>
      <c r="H34093" s="25"/>
      <c r="I34093" s="25"/>
      <c r="J34093" s="25"/>
      <c r="K34093" s="25"/>
    </row>
    <row r="34094" customFormat="false" ht="15" hidden="false" customHeight="false" outlineLevel="0" collapsed="false">
      <c r="A34094" s="3" t="s">
        <v>184</v>
      </c>
      <c r="G34094" s="16" t="n">
        <f aca="false">G34079*CHOOSE($C$34066,Assumptions!$C$83,Assumptions!$C$102,Assumptions!$C$121)</f>
        <v>106.3352994</v>
      </c>
      <c r="H34094" s="16" t="n">
        <f aca="false">H34079*CHOOSE($C$34066,Assumptions!$C$83,Assumptions!$C$102,Assumptions!$C$121)</f>
        <v>108.462005388</v>
      </c>
      <c r="I34094" s="16" t="n">
        <f aca="false">I34079*CHOOSE($C$34066,Assumptions!$C$83,Assumptions!$C$102,Assumptions!$C$121)</f>
        <v>110.63124549576</v>
      </c>
      <c r="J34094" s="16" t="n">
        <f aca="false">J34079*CHOOSE($C$34066,Assumptions!$C$83,Assumptions!$C$102,Assumptions!$C$121)</f>
        <v>112.843870405675</v>
      </c>
      <c r="K34094" s="16" t="n">
        <f aca="false">K34079*CHOOSE($C$34066,Assumptions!$C$83,Assumptions!$C$102,Assumptions!$C$121)</f>
        <v>115.100747813789</v>
      </c>
    </row>
    <row r="34095" customFormat="false" ht="15" hidden="false" customHeight="false" outlineLevel="0" collapsed="false">
      <c r="A34095" s="3" t="s">
        <v>315</v>
      </c>
      <c r="G34095" s="16" t="n">
        <f aca="false">CHOOSE($C$34066,Assumptions!$C$84,Assumptions!$C$103,Assumptions!$C$122)*(G34079-F34079)+CHOOSE($C$34066,Assumptions!$C$85,Assumptions!$C$104,Assumptions!$C$123)*G34079</f>
        <v>53.1676497</v>
      </c>
      <c r="H34095" s="16" t="n">
        <f aca="false">CHOOSE($C$34066,Assumptions!$C$84,Assumptions!$C$103,Assumptions!$C$122)*(H34079-G34079)+CHOOSE($C$34066,Assumptions!$C$85,Assumptions!$C$104,Assumptions!$C$123)*H34079</f>
        <v>54.231002694</v>
      </c>
      <c r="I34095" s="16" t="n">
        <f aca="false">CHOOSE($C$34066,Assumptions!$C$84,Assumptions!$C$103,Assumptions!$C$122)*(I34079-H34079)+CHOOSE($C$34066,Assumptions!$C$85,Assumptions!$C$104,Assumptions!$C$123)*I34079</f>
        <v>55.31562274788</v>
      </c>
      <c r="J34095" s="16" t="n">
        <f aca="false">CHOOSE($C$34066,Assumptions!$C$84,Assumptions!$C$103,Assumptions!$C$122)*(J34079-I34079)+CHOOSE($C$34066,Assumptions!$C$85,Assumptions!$C$104,Assumptions!$C$123)*J34079</f>
        <v>56.4219352028376</v>
      </c>
      <c r="K34095" s="16" t="n">
        <f aca="false">CHOOSE($C$34066,Assumptions!$C$84,Assumptions!$C$103,Assumptions!$C$122)*(K34079-J34079)+CHOOSE($C$34066,Assumptions!$C$85,Assumptions!$C$104,Assumptions!$C$123)*K34079</f>
        <v>57.5503739068944</v>
      </c>
    </row>
    <row r="34096" customFormat="false" ht="15" hidden="false" customHeight="false" outlineLevel="0" collapsed="false">
      <c r="A34096" s="2" t="s">
        <v>316</v>
      </c>
      <c r="G34096" s="17" t="n">
        <f aca="false">G34092+G34084+G34085+G34088-G34094-G34095</f>
        <v>-83.5412314</v>
      </c>
      <c r="H34096" s="17" t="n">
        <f aca="false">H34092+H34084+H34085+H34088-H34094-H34095</f>
        <v>-79.0509199738</v>
      </c>
      <c r="I34096" s="17" t="n">
        <f aca="false">I34092+I34084+I34085+I34088-I34094-I34095</f>
        <v>-87.796942182056</v>
      </c>
      <c r="J34096" s="17" t="n">
        <f aca="false">J34092+J34084+J34085+J34088-J34094-J34095</f>
        <v>-84.8805226827392</v>
      </c>
      <c r="K34096" s="17" t="n">
        <f aca="false">K34092+K34084+K34085+K34088-K34094-K34095</f>
        <v>-100.535819058653</v>
      </c>
    </row>
    <row r="34098" customFormat="false" ht="15" hidden="false" customHeight="false" outlineLevel="0" collapsed="false">
      <c r="A34098" s="24" t="s">
        <v>318</v>
      </c>
      <c r="B34098" s="25"/>
      <c r="C34098" s="25"/>
      <c r="D34098" s="25"/>
      <c r="E34098" s="25"/>
      <c r="F34098" s="25"/>
      <c r="G34098" s="25"/>
      <c r="H34098" s="25"/>
      <c r="I34098" s="25"/>
      <c r="J34098" s="25"/>
      <c r="K34098" s="25"/>
    </row>
    <row r="34099" customFormat="false" ht="15" hidden="false" customHeight="false" outlineLevel="0" collapsed="false">
      <c r="A34099" s="3" t="s">
        <v>319</v>
      </c>
      <c r="G34099" s="30" t="n">
        <f aca="false">Assumptions!$G$53</f>
        <v>0.039</v>
      </c>
      <c r="H34099" s="30" t="n">
        <f aca="false">Assumptions!$H$53</f>
        <v>0.0375</v>
      </c>
      <c r="I34099" s="30" t="n">
        <f aca="false">Assumptions!$I$53</f>
        <v>0.035</v>
      </c>
      <c r="J34099" s="30" t="n">
        <f aca="false">Assumptions!$J$53</f>
        <v>0.035</v>
      </c>
      <c r="K34099" s="30" t="n">
        <f aca="false">Assumptions!$K$53</f>
        <v>0.035</v>
      </c>
    </row>
    <row r="34100" customFormat="false" ht="15" hidden="false" customHeight="false" outlineLevel="0" collapsed="false">
      <c r="A34100" s="3" t="s">
        <v>320</v>
      </c>
      <c r="C34100" s="31" t="n">
        <f aca="false">CHOOSE($C$34066,Assumptions!$C$86,Assumptions!$C$105,Assumptions!$C$124)+$C$34069</f>
        <v>0</v>
      </c>
    </row>
    <row r="34101" customFormat="false" ht="15" hidden="false" customHeight="false" outlineLevel="0" collapsed="false">
      <c r="A34101" s="3" t="s">
        <v>321</v>
      </c>
      <c r="C34101" s="31" t="n">
        <f aca="false">CHOOSE($C$34066,Assumptions!$C$87,Assumptions!$C$106,Assumptions!$C$125)</f>
        <v>0.08</v>
      </c>
    </row>
    <row r="34102" customFormat="false" ht="15" hidden="false" customHeight="false" outlineLevel="0" collapsed="false">
      <c r="A34102" s="3" t="s">
        <v>322</v>
      </c>
      <c r="C34102" s="32" t="n">
        <f aca="false">CHOOSE($C$34066,Assumptions!$C$88,Assumptions!$C$107,Assumptions!$C$126)</f>
        <v>11</v>
      </c>
    </row>
    <row r="34103" customFormat="false" ht="15" hidden="false" customHeight="false" outlineLevel="0" collapsed="false">
      <c r="A34103" s="3" t="s">
        <v>323</v>
      </c>
      <c r="C34103" s="32" t="n">
        <f aca="false">CHOOSE($C$34066,Assumptions!$C$89,Assumptions!$C$108,Assumptions!$C$127)</f>
        <v>1.2</v>
      </c>
    </row>
    <row r="34104" customFormat="false" ht="15" hidden="false" customHeight="false" outlineLevel="0" collapsed="false">
      <c r="A34104" s="3" t="s">
        <v>324</v>
      </c>
      <c r="G34104" s="16" t="n">
        <f aca="false">G34109+G34122+G34135+G34148+G34161+G34174+G34187+G34200+G34213+G34226</f>
        <v>2625.934</v>
      </c>
      <c r="H34104" s="16" t="n">
        <f aca="false">H34109+H34122+H34135+H34148+H34161+H34174+H34187+H34200+H34213+H34226</f>
        <v>2621.934</v>
      </c>
      <c r="I34104" s="16" t="n">
        <f aca="false">I34109+I34122+I34135+I34148+I34161+I34174+I34187+I34200+I34213+I34226</f>
        <v>2575.6561513738</v>
      </c>
      <c r="J34104" s="16" t="n">
        <f aca="false">J34109+J34122+J34135+J34148+J34161+J34174+J34187+J34200+J34213+J34226</f>
        <v>2638.45309355586</v>
      </c>
      <c r="K34104" s="16" t="n">
        <f aca="false">K34109+K34122+K34135+K34148+K34161+K34174+K34187+K34200+K34213+K34226</f>
        <v>2723.3336162386</v>
      </c>
    </row>
    <row r="34105" customFormat="false" ht="15" hidden="false" customHeight="false" outlineLevel="0" collapsed="false">
      <c r="A34105" s="3" t="s">
        <v>325</v>
      </c>
      <c r="G34105" s="16" t="n">
        <f aca="false">F34297</f>
        <v>37.87</v>
      </c>
      <c r="H34105" s="16" t="n">
        <f aca="false">G34297</f>
        <v>150.3287686</v>
      </c>
      <c r="I34105" s="16" t="n">
        <f aca="false">H34297</f>
        <v>25</v>
      </c>
      <c r="J34105" s="16" t="n">
        <f aca="false">I34297</f>
        <v>0</v>
      </c>
      <c r="K34105" s="16" t="n">
        <f aca="false">J34297</f>
        <v>0</v>
      </c>
    </row>
    <row r="34106" customFormat="false" ht="15" hidden="false" customHeight="false" outlineLevel="0" collapsed="false">
      <c r="A34106" s="3" t="s">
        <v>326</v>
      </c>
      <c r="G34106" s="16" t="n">
        <f aca="false">G34109*IF(G34110=1,$C$34101,IF(Assumptions!$I$57=1,MAX(G34099,Assumptions!$G$57)+Assumptions!$F$57+$C$34100,Assumptions!$E$57))+G34122*IF(G34123=1,$C$34101,IF(Assumptions!$I$58=1,MAX(G34099,Assumptions!$G$58)+Assumptions!$F$58+$C$34100,Assumptions!$E$58))+G34135*IF(G34136=1,$C$34101,IF(Assumptions!$I$59=1,MAX(G34099,Assumptions!$G$59)+Assumptions!$F$59+$C$34100,Assumptions!$E$59))+G34148*IF(G34149=1,$C$34101,IF(Assumptions!$I$60=1,MAX(G34099,Assumptions!$G$60)+Assumptions!$F$60+$C$34100,Assumptions!$E$60))+G34161*IF(G34162=1,$C$34101,IF(Assumptions!$I$61=1,MAX(G34099,Assumptions!$G$61)+Assumptions!$F$61+$C$34100,Assumptions!$E$61))+G34174*IF(G34175=1,$C$34101,IF(Assumptions!$I$62=1,MAX(G34099,Assumptions!$G$62)+Assumptions!$F$62+$C$34100,Assumptions!$E$62))+G34187*IF(G34188=1,$C$34101,IF(Assumptions!$I$63=1,MAX(G34099,Assumptions!$G$63)+Assumptions!$F$63+$C$34100,Assumptions!$E$63))+G34200*IF(G34201=1,$C$34101,IF(Assumptions!$I$64=1,MAX(G34099,Assumptions!$G$64)+Assumptions!$F$64+$C$34100,Assumptions!$E$64))+G34213*IF(G34214=1,$C$34101,IF(Assumptions!$I$65=1,MAX(G34099,Assumptions!$G$65)+Assumptions!$F$65+$C$34100,Assumptions!$E$65))+G34226*IF(G34227=1,$C$34101,IF(Assumptions!$I$66=1,MAX(G34099,Assumptions!$G$66)+Assumptions!$F$66+$C$34100,Assumptions!$E$66))</f>
        <v>180.2096854</v>
      </c>
      <c r="H34106" s="16" t="n">
        <f aca="false">H34109*IF(OR(H34110=1,G34419=1),$C$34101,IF(Assumptions!$I$57=1,MAX(H34099,Assumptions!$G$57)+Assumptions!$F$57+$C$34100,Assumptions!$E$57))+H34122*IF(OR(H34123=1,G34420=1),$C$34101,IF(Assumptions!$I$58=1,MAX(H34099,Assumptions!$G$58)+Assumptions!$F$58+$C$34100,Assumptions!$E$58))+H34135*IF(OR(H34136=1,G34421=1),$C$34101,IF(Assumptions!$I$59=1,MAX(H34099,Assumptions!$G$59)+Assumptions!$F$59+$C$34100,Assumptions!$E$59))+H34148*IF(OR(H34149=1,G34422=1),$C$34101,IF(Assumptions!$I$60=1,MAX(H34099,Assumptions!$G$60)+Assumptions!$F$60+$C$34100,Assumptions!$E$60))+H34161*IF(OR(H34162=1,G34423=1),$C$34101,IF(Assumptions!$I$61=1,MAX(H34099,Assumptions!$G$61)+Assumptions!$F$61+$C$34100,Assumptions!$E$61))+H34174*IF(OR(H34175=1,G34424=1),$C$34101,IF(Assumptions!$I$62=1,MAX(H34099,Assumptions!$G$62)+Assumptions!$F$62+$C$34100,Assumptions!$E$62))+H34187*IF(OR(H34188=1,G34425=1),$C$34101,IF(Assumptions!$I$63=1,MAX(H34099,Assumptions!$G$63)+Assumptions!$F$63+$C$34100,Assumptions!$E$63))+H34200*IF(OR(H34201=1,G34426=1),$C$34101,IF(Assumptions!$I$64=1,MAX(H34099,Assumptions!$G$64)+Assumptions!$F$64+$C$34100,Assumptions!$E$64))+H34213*IF(OR(H34214=1,G34427=1),$C$34101,IF(Assumptions!$I$65=1,MAX(H34099,Assumptions!$G$65)+Assumptions!$F$65+$C$34100,Assumptions!$E$65))+H34226*IF(OR(H34227=1,G34428=1),$C$34101,IF(Assumptions!$I$66=1,MAX(H34099,Assumptions!$G$66)+Assumptions!$F$66+$C$34100,Assumptions!$E$66))</f>
        <v>196.3067704</v>
      </c>
      <c r="I34106" s="16" t="n">
        <f aca="false">I34109*IF(OR(I34110=1,H34419=1),$C$34101,IF(Assumptions!$I$57=1,MAX(I34099,Assumptions!$G$57)+Assumptions!$F$57+$C$34100,Assumptions!$E$57))+I34122*IF(OR(I34123=1,H34420=1),$C$34101,IF(Assumptions!$I$58=1,MAX(I34099,Assumptions!$G$58)+Assumptions!$F$58+$C$34100,Assumptions!$E$58))+I34135*IF(OR(I34136=1,H34421=1),$C$34101,IF(Assumptions!$I$59=1,MAX(I34099,Assumptions!$G$59)+Assumptions!$F$59+$C$34100,Assumptions!$E$59))+I34148*IF(OR(I34149=1,H34422=1),$C$34101,IF(Assumptions!$I$60=1,MAX(I34099,Assumptions!$G$60)+Assumptions!$F$60+$C$34100,Assumptions!$E$60))+I34161*IF(OR(I34162=1,H34423=1),$C$34101,IF(Assumptions!$I$61=1,MAX(I34099,Assumptions!$G$61)+Assumptions!$F$61+$C$34100,Assumptions!$E$61))+I34174*IF(OR(I34175=1,H34424=1),$C$34101,IF(Assumptions!$I$62=1,MAX(I34099,Assumptions!$G$62)+Assumptions!$F$62+$C$34100,Assumptions!$E$62))+I34187*IF(OR(I34188=1,H34425=1),$C$34101,IF(Assumptions!$I$63=1,MAX(I34099,Assumptions!$G$63)+Assumptions!$F$63+$C$34100,Assumptions!$E$63))+I34200*IF(OR(I34201=1,H34426=1),$C$34101,IF(Assumptions!$I$64=1,MAX(I34099,Assumptions!$G$64)+Assumptions!$F$64+$C$34100,Assumptions!$E$64))+I34213*IF(OR(I34214=1,H34427=1),$C$34101,IF(Assumptions!$I$65=1,MAX(I34099,Assumptions!$G$65)+Assumptions!$F$65+$C$34100,Assumptions!$E$65))+I34226*IF(OR(I34227=1,H34428=1),$C$34101,IF(Assumptions!$I$66=1,MAX(I34099,Assumptions!$G$66)+Assumptions!$F$66+$C$34100,Assumptions!$E$66))</f>
        <v>186.575517509904</v>
      </c>
      <c r="J34106" s="16" t="n">
        <f aca="false">J34109*IF(OR(J34110=1,I34419=1),$C$34101,IF(Assumptions!$I$57=1,MAX(J34099,Assumptions!$G$57)+Assumptions!$F$57+$C$34100,Assumptions!$E$57))+J34122*IF(OR(J34123=1,I34420=1),$C$34101,IF(Assumptions!$I$58=1,MAX(J34099,Assumptions!$G$58)+Assumptions!$F$58+$C$34100,Assumptions!$E$58))+J34135*IF(OR(J34136=1,I34421=1),$C$34101,IF(Assumptions!$I$59=1,MAX(J34099,Assumptions!$G$59)+Assumptions!$F$59+$C$34100,Assumptions!$E$59))+J34148*IF(OR(J34149=1,I34422=1),$C$34101,IF(Assumptions!$I$60=1,MAX(J34099,Assumptions!$G$60)+Assumptions!$F$60+$C$34100,Assumptions!$E$60))+J34161*IF(OR(J34162=1,I34423=1),$C$34101,IF(Assumptions!$I$61=1,MAX(J34099,Assumptions!$G$61)+Assumptions!$F$61+$C$34100,Assumptions!$E$61))+J34174*IF(OR(J34175=1,I34424=1),$C$34101,IF(Assumptions!$I$62=1,MAX(J34099,Assumptions!$G$62)+Assumptions!$F$62+$C$34100,Assumptions!$E$62))+J34187*IF(OR(J34188=1,I34425=1),$C$34101,IF(Assumptions!$I$63=1,MAX(J34099,Assumptions!$G$63)+Assumptions!$F$63+$C$34100,Assumptions!$E$63))+J34200*IF(OR(J34201=1,I34426=1),$C$34101,IF(Assumptions!$I$64=1,MAX(J34099,Assumptions!$G$64)+Assumptions!$F$64+$C$34100,Assumptions!$E$64))+J34213*IF(OR(J34214=1,I34427=1),$C$34101,IF(Assumptions!$I$65=1,MAX(J34099,Assumptions!$G$65)+Assumptions!$F$65+$C$34100,Assumptions!$E$65))+J34226*IF(OR(J34227=1,I34428=1),$C$34101,IF(Assumptions!$I$66=1,MAX(J34099,Assumptions!$G$66)+Assumptions!$F$66+$C$34100,Assumptions!$E$66))</f>
        <v>203.644272884468</v>
      </c>
      <c r="K34106" s="16" t="n">
        <f aca="false">K34109*IF(OR(K34110=1,J34419=1),$C$34101,IF(Assumptions!$I$57=1,MAX(K34099,Assumptions!$G$57)+Assumptions!$F$57+$C$34100,Assumptions!$E$57))+K34122*IF(OR(K34123=1,J34420=1),$C$34101,IF(Assumptions!$I$58=1,MAX(K34099,Assumptions!$G$58)+Assumptions!$F$58+$C$34100,Assumptions!$E$58))+K34135*IF(OR(K34136=1,J34421=1),$C$34101,IF(Assumptions!$I$59=1,MAX(K34099,Assumptions!$G$59)+Assumptions!$F$59+$C$34100,Assumptions!$E$59))+K34148*IF(OR(K34149=1,J34422=1),$C$34101,IF(Assumptions!$I$60=1,MAX(K34099,Assumptions!$G$60)+Assumptions!$F$60+$C$34100,Assumptions!$E$60))+K34161*IF(OR(K34162=1,J34423=1),$C$34101,IF(Assumptions!$I$61=1,MAX(K34099,Assumptions!$G$61)+Assumptions!$F$61+$C$34100,Assumptions!$E$61))+K34174*IF(OR(K34175=1,J34424=1),$C$34101,IF(Assumptions!$I$62=1,MAX(K34099,Assumptions!$G$62)+Assumptions!$F$62+$C$34100,Assumptions!$E$62))+K34187*IF(OR(K34188=1,J34425=1),$C$34101,IF(Assumptions!$I$63=1,MAX(K34099,Assumptions!$G$63)+Assumptions!$F$63+$C$34100,Assumptions!$E$63))+K34200*IF(OR(K34201=1,J34426=1),$C$34101,IF(Assumptions!$I$64=1,MAX(K34099,Assumptions!$G$64)+Assumptions!$F$64+$C$34100,Assumptions!$E$64))+K34213*IF(OR(K34214=1,J34427=1),$C$34101,IF(Assumptions!$I$65=1,MAX(K34099,Assumptions!$G$65)+Assumptions!$F$65+$C$34100,Assumptions!$E$65))+K34226*IF(OR(K34227=1,J34428=1),$C$34101,IF(Assumptions!$I$66=1,MAX(K34099,Assumptions!$G$66)+Assumptions!$F$66+$C$34100,Assumptions!$E$66))</f>
        <v>213.149714699088</v>
      </c>
    </row>
    <row r="34107" customFormat="false" ht="15" hidden="false" customHeight="false" outlineLevel="0" collapsed="false">
      <c r="A34107" s="3" t="s">
        <v>327</v>
      </c>
      <c r="G34107" s="21" t="n">
        <f aca="false">IF(G34083&lt;=0,0,IF(AND((G34104-G34105)/G34083&lt;=$C$34102,G34083/G34106&gt;=$C$34103),1,0))</f>
        <v>1</v>
      </c>
      <c r="H34107" s="21" t="n">
        <f aca="false">IF(H34083&lt;=0,0,IF(AND((H34104-H34105)/H34083&lt;=$C$34102,H34083/H34106&gt;=$C$34103),1,0))</f>
        <v>1</v>
      </c>
      <c r="I34107" s="21" t="n">
        <f aca="false">IF(I34083&lt;=0,0,IF(AND((I34104-I34105)/I34083&lt;=$C$34102,I34083/I34106&gt;=$C$34103),1,0))</f>
        <v>1</v>
      </c>
      <c r="J34107" s="21" t="n">
        <f aca="false">IF(J34083&lt;=0,0,IF(AND((J34104-J34105)/J34083&lt;=$C$34102,J34083/J34106&gt;=$C$34103),1,0))</f>
        <v>1</v>
      </c>
      <c r="K34107" s="21" t="n">
        <f aca="false">IF(K34083&lt;=0,0,IF(AND((K34104-K34105)/K34083&lt;=$C$34102,K34083/K34106&gt;=$C$34103),1,0))</f>
        <v>1</v>
      </c>
    </row>
    <row r="34108" customFormat="false" ht="15" hidden="false" customHeight="false" outlineLevel="0" collapsed="false">
      <c r="A34108" s="24" t="s">
        <v>328</v>
      </c>
      <c r="B34108" s="25"/>
      <c r="C34108" s="25"/>
      <c r="D34108" s="25"/>
      <c r="E34108" s="25"/>
      <c r="F34108" s="25"/>
      <c r="G34108" s="25"/>
      <c r="H34108" s="25"/>
      <c r="I34108" s="25"/>
      <c r="J34108" s="25"/>
      <c r="K34108" s="25"/>
    </row>
    <row r="34109" customFormat="false" ht="15" hidden="false" customHeight="false" outlineLevel="0" collapsed="false">
      <c r="A34109" s="3" t="s">
        <v>329</v>
      </c>
      <c r="G34109" s="16" t="n">
        <f aca="false">F34120</f>
        <v>400</v>
      </c>
      <c r="H34109" s="16" t="n">
        <f aca="false">G34120</f>
        <v>396</v>
      </c>
      <c r="I34109" s="16" t="n">
        <f aca="false">H34120</f>
        <v>392</v>
      </c>
      <c r="J34109" s="16" t="n">
        <f aca="false">I34120</f>
        <v>388</v>
      </c>
      <c r="K34109" s="16" t="n">
        <f aca="false">J34120</f>
        <v>384</v>
      </c>
    </row>
    <row r="34110" customFormat="false" ht="15" hidden="false" customHeight="false" outlineLevel="0" collapsed="false">
      <c r="A34110" s="3" t="s">
        <v>330</v>
      </c>
      <c r="G34110" s="21" t="n">
        <f aca="false">IF(G34073=Assumptions!$K$57,1,0)</f>
        <v>0</v>
      </c>
      <c r="H34110" s="21" t="n">
        <f aca="false">IF(H34073=Assumptions!$K$57,1,0)</f>
        <v>0</v>
      </c>
      <c r="I34110" s="21" t="n">
        <f aca="false">IF(I34073=Assumptions!$K$57,1,0)</f>
        <v>0</v>
      </c>
      <c r="J34110" s="21" t="n">
        <f aca="false">IF(J34073=Assumptions!$K$57,1,0)</f>
        <v>0</v>
      </c>
      <c r="K34110" s="21" t="n">
        <f aca="false">IF(K34073=Assumptions!$K$57,1,0)</f>
        <v>1</v>
      </c>
    </row>
    <row r="34112" customFormat="false" ht="15" hidden="false" customHeight="false" outlineLevel="0" collapsed="false">
      <c r="A34112" s="3" t="s">
        <v>331</v>
      </c>
      <c r="G34112" s="31" t="n">
        <f aca="false">IF(Assumptions!$I$57=1,MAX(G34099,Assumptions!$G$57)+Assumptions!$F$57+$C$34100,Assumptions!$E$57)</f>
        <v>0.0915</v>
      </c>
      <c r="H34112" s="31" t="n">
        <f aca="false">IF(G34419=1,$C$34101,IF(Assumptions!$I$57=1,MAX(H34099,Assumptions!$G$57)+Assumptions!$F$57+$C$34100,Assumptions!$E$57))</f>
        <v>0.09</v>
      </c>
      <c r="I34112" s="31" t="n">
        <f aca="false">IF(H34419=1,$C$34101,IF(Assumptions!$I$57=1,MAX(I34099,Assumptions!$G$57)+Assumptions!$F$57+$C$34100,Assumptions!$E$57))</f>
        <v>0.0875</v>
      </c>
      <c r="J34112" s="31" t="n">
        <f aca="false">IF(I34419=1,$C$34101,IF(Assumptions!$I$57=1,MAX(J34099,Assumptions!$G$57)+Assumptions!$F$57+$C$34100,Assumptions!$E$57))</f>
        <v>0.0875</v>
      </c>
      <c r="K34112" s="31" t="n">
        <f aca="false">IF(J34419=1,$C$34101,IF(Assumptions!$I$57=1,MAX(K34099,Assumptions!$G$57)+Assumptions!$F$57+$C$34100,Assumptions!$E$57))</f>
        <v>0.0875</v>
      </c>
    </row>
    <row r="34113" customFormat="false" ht="15" hidden="false" customHeight="false" outlineLevel="0" collapsed="false">
      <c r="A34113" s="3" t="s">
        <v>332</v>
      </c>
      <c r="G34113" s="16" t="n">
        <f aca="false">G34109*G34112</f>
        <v>36.6</v>
      </c>
      <c r="H34113" s="16" t="n">
        <f aca="false">H34109*H34112</f>
        <v>35.64</v>
      </c>
      <c r="I34113" s="16" t="n">
        <f aca="false">I34109*I34112</f>
        <v>34.3</v>
      </c>
      <c r="J34113" s="16" t="n">
        <f aca="false">J34109*J34112</f>
        <v>33.95</v>
      </c>
      <c r="K34113" s="16" t="n">
        <f aca="false">K34109*K34112</f>
        <v>33.6</v>
      </c>
    </row>
    <row r="34114" customFormat="false" ht="15" hidden="false" customHeight="false" outlineLevel="0" collapsed="false">
      <c r="A34114" s="3" t="s">
        <v>333</v>
      </c>
      <c r="G34114" s="16" t="n">
        <f aca="false">G34109*Assumptions!$H$57</f>
        <v>0</v>
      </c>
      <c r="H34114" s="16" t="n">
        <f aca="false">H34109*Assumptions!$H$57</f>
        <v>0</v>
      </c>
      <c r="I34114" s="16" t="n">
        <f aca="false">I34109*Assumptions!$H$57</f>
        <v>0</v>
      </c>
      <c r="J34114" s="16" t="n">
        <f aca="false">J34109*Assumptions!$H$57</f>
        <v>0</v>
      </c>
      <c r="K34114" s="16" t="n">
        <f aca="false">K34109*Assumptions!$H$57</f>
        <v>0</v>
      </c>
    </row>
    <row r="34115" customFormat="false" ht="15" hidden="false" customHeight="false" outlineLevel="0" collapsed="false">
      <c r="A34115" s="3" t="s">
        <v>334</v>
      </c>
      <c r="G34115" s="16" t="n">
        <f aca="false">MIN(G34109,Assumptions!$L$57*Assumptions!$C$57)</f>
        <v>4</v>
      </c>
      <c r="H34115" s="16" t="n">
        <f aca="false">MIN(H34109,Assumptions!$L$57*Assumptions!$C$57)</f>
        <v>4</v>
      </c>
      <c r="I34115" s="16" t="n">
        <f aca="false">MIN(I34109,Assumptions!$L$57*Assumptions!$C$57)</f>
        <v>4</v>
      </c>
      <c r="J34115" s="16" t="n">
        <f aca="false">MIN(J34109,Assumptions!$L$57*Assumptions!$C$57)</f>
        <v>4</v>
      </c>
      <c r="K34115" s="16" t="n">
        <f aca="false">MIN(K34109,Assumptions!$L$57*Assumptions!$C$57)</f>
        <v>4</v>
      </c>
    </row>
    <row r="34116" customFormat="false" ht="15" hidden="false" customHeight="false" outlineLevel="0" collapsed="false">
      <c r="A34116" s="3" t="s">
        <v>335</v>
      </c>
      <c r="G34116" s="16" t="n">
        <f aca="false">IF(AND(Assumptions!$P$57=1,G34073&lt;Assumptions!$K$57),MIN(MAX(0,-G34289),MAX(0,Assumptions!$D$57-G34109)),0)</f>
        <v>0</v>
      </c>
      <c r="H34116" s="16" t="n">
        <f aca="false">IF(AND(Assumptions!$P$57=1,OR(H34073&lt;Assumptions!$K$57,G34419=1)),MIN(MAX(0,-H34289),MAX(0,Assumptions!$D$57-H34109)),0)</f>
        <v>0</v>
      </c>
      <c r="I34116" s="16" t="n">
        <f aca="false">IF(AND(Assumptions!$P$57=1,OR(I34073&lt;Assumptions!$K$57,H34419=1)),MIN(MAX(0,-I34289),MAX(0,Assumptions!$D$57-I34109)),0)</f>
        <v>0</v>
      </c>
      <c r="J34116" s="16" t="n">
        <f aca="false">IF(AND(Assumptions!$P$57=1,OR(J34073&lt;Assumptions!$K$57,I34419=1)),MIN(MAX(0,-J34289),MAX(0,Assumptions!$D$57-J34109)),0)</f>
        <v>0</v>
      </c>
      <c r="K34116" s="16" t="n">
        <f aca="false">IF(AND(Assumptions!$P$57=1,OR(K34073&lt;Assumptions!$K$57,J34419=1)),MIN(MAX(0,-K34289),MAX(0,Assumptions!$D$57-K34109)),0)</f>
        <v>0</v>
      </c>
    </row>
    <row r="34117" customFormat="false" ht="15" hidden="false" customHeight="false" outlineLevel="0" collapsed="false">
      <c r="A34117" s="3" t="s">
        <v>336</v>
      </c>
      <c r="G34117" s="16" t="n">
        <f aca="false">G34110*MIN(G34109-G34115+G34114,MAX(0,G34291-Assumptions!$C$12*G34107))</f>
        <v>0</v>
      </c>
      <c r="H34117" s="16" t="n">
        <f aca="false">H34110*MIN(H34109-H34115+H34114,MAX(0,H34291-Assumptions!$C$12*H34107))</f>
        <v>0</v>
      </c>
      <c r="I34117" s="16" t="n">
        <f aca="false">I34110*MIN(I34109-I34115+I34114,MAX(0,I34291-Assumptions!$C$12*I34107))</f>
        <v>0</v>
      </c>
      <c r="J34117" s="16" t="n">
        <f aca="false">J34110*MIN(J34109-J34115+J34114,MAX(0,J34291-Assumptions!$C$12*J34107))</f>
        <v>0</v>
      </c>
      <c r="K34117" s="16" t="n">
        <f aca="false">K34110*MIN(K34109-K34115+K34114,MAX(0,K34291-Assumptions!$C$12*K34107))</f>
        <v>0</v>
      </c>
    </row>
    <row r="34118" customFormat="false" ht="15" hidden="false" customHeight="false" outlineLevel="0" collapsed="false">
      <c r="A34118" s="3" t="s">
        <v>337</v>
      </c>
      <c r="G34118" s="16" t="n">
        <f aca="false">Assumptions!$N$57*MIN(G34109+G34116+G34114-G34115-G34117,MAX(0,G34295))</f>
        <v>0</v>
      </c>
      <c r="H34118" s="16" t="n">
        <f aca="false">Assumptions!$N$57*MIN(H34109+H34116+H34114-H34115-H34117,MAX(0,H34295))</f>
        <v>0</v>
      </c>
      <c r="I34118" s="16" t="n">
        <f aca="false">Assumptions!$N$57*MIN(I34109+I34116+I34114-I34115-I34117,MAX(0,I34295))</f>
        <v>0</v>
      </c>
      <c r="J34118" s="16" t="n">
        <f aca="false">Assumptions!$N$57*MIN(J34109+J34116+J34114-J34115-J34117,MAX(0,J34295))</f>
        <v>0</v>
      </c>
      <c r="K34118" s="16" t="n">
        <f aca="false">Assumptions!$N$57*MIN(K34109+K34116+K34114-K34115-K34117,MAX(0,K34295))</f>
        <v>0</v>
      </c>
    </row>
    <row r="34119" customFormat="false" ht="15" hidden="false" customHeight="false" outlineLevel="0" collapsed="false">
      <c r="A34119" s="3" t="s">
        <v>338</v>
      </c>
      <c r="G34119" s="16" t="n">
        <f aca="false">G34110*(1-G34107)*(G34109-G34115+G34114-G34117)</f>
        <v>0</v>
      </c>
      <c r="H34119" s="16" t="n">
        <f aca="false">H34110*(1-H34107)*(H34109-H34115+H34114-H34117)</f>
        <v>0</v>
      </c>
      <c r="I34119" s="16" t="n">
        <f aca="false">I34110*(1-I34107)*(I34109-I34115+I34114-I34117)</f>
        <v>0</v>
      </c>
      <c r="J34119" s="16" t="n">
        <f aca="false">J34110*(1-J34107)*(J34109-J34115+J34114-J34117)</f>
        <v>0</v>
      </c>
      <c r="K34119" s="16" t="n">
        <f aca="false">K34110*(1-K34107)*(K34109-K34115+K34114-K34117)</f>
        <v>0</v>
      </c>
    </row>
    <row r="34120" customFormat="false" ht="15" hidden="false" customHeight="false" outlineLevel="0" collapsed="false">
      <c r="A34120" s="2" t="s">
        <v>339</v>
      </c>
      <c r="F34120" s="28" t="n">
        <f aca="false">Assumptions!$C$57</f>
        <v>400</v>
      </c>
      <c r="G34120" s="17" t="n">
        <f aca="false">G34109+G34116+G34114-G34115-G34117-G34118</f>
        <v>396</v>
      </c>
      <c r="H34120" s="17" t="n">
        <f aca="false">H34109+H34116+H34114-H34115-H34117-H34118</f>
        <v>392</v>
      </c>
      <c r="I34120" s="17" t="n">
        <f aca="false">I34109+I34116+I34114-I34115-I34117-I34118</f>
        <v>388</v>
      </c>
      <c r="J34120" s="17" t="n">
        <f aca="false">J34109+J34116+J34114-J34115-J34117-J34118</f>
        <v>384</v>
      </c>
      <c r="K34120" s="17" t="n">
        <f aca="false">K34109+K34116+K34114-K34115-K34117-K34118</f>
        <v>380</v>
      </c>
    </row>
    <row r="34121" customFormat="false" ht="15" hidden="false" customHeight="false" outlineLevel="0" collapsed="false">
      <c r="A34121" s="24" t="s">
        <v>340</v>
      </c>
      <c r="B34121" s="25"/>
      <c r="C34121" s="25"/>
      <c r="D34121" s="25"/>
      <c r="E34121" s="25"/>
      <c r="F34121" s="25"/>
      <c r="G34121" s="25"/>
      <c r="H34121" s="25"/>
      <c r="I34121" s="25"/>
      <c r="J34121" s="25"/>
      <c r="K34121" s="25"/>
    </row>
    <row r="34122" customFormat="false" ht="15" hidden="false" customHeight="false" outlineLevel="0" collapsed="false">
      <c r="A34122" s="3" t="s">
        <v>329</v>
      </c>
      <c r="G34122" s="16" t="n">
        <f aca="false">F34133</f>
        <v>90</v>
      </c>
      <c r="H34122" s="16" t="n">
        <f aca="false">G34133</f>
        <v>90</v>
      </c>
      <c r="I34122" s="16" t="n">
        <f aca="false">H34133</f>
        <v>90</v>
      </c>
      <c r="J34122" s="16" t="n">
        <f aca="false">I34133</f>
        <v>90</v>
      </c>
      <c r="K34122" s="16" t="n">
        <f aca="false">J34133</f>
        <v>90</v>
      </c>
    </row>
    <row r="34123" customFormat="false" ht="15" hidden="false" customHeight="false" outlineLevel="0" collapsed="false">
      <c r="A34123" s="3" t="s">
        <v>330</v>
      </c>
      <c r="G34123" s="21" t="n">
        <f aca="false">IF(G34073=Assumptions!$K$58,1,0)</f>
        <v>0</v>
      </c>
      <c r="H34123" s="21" t="n">
        <f aca="false">IF(H34073=Assumptions!$K$58,1,0)</f>
        <v>0</v>
      </c>
      <c r="I34123" s="21" t="n">
        <f aca="false">IF(I34073=Assumptions!$K$58,1,0)</f>
        <v>0</v>
      </c>
      <c r="J34123" s="21" t="n">
        <f aca="false">IF(J34073=Assumptions!$K$58,1,0)</f>
        <v>0</v>
      </c>
      <c r="K34123" s="21" t="n">
        <f aca="false">IF(K34073=Assumptions!$K$58,1,0)</f>
        <v>0</v>
      </c>
    </row>
    <row r="34125" customFormat="false" ht="15" hidden="false" customHeight="false" outlineLevel="0" collapsed="false">
      <c r="A34125" s="3" t="s">
        <v>331</v>
      </c>
      <c r="G34125" s="31" t="n">
        <f aca="false">IF(Assumptions!$I$58=1,MAX(G34099,Assumptions!$G$58)+Assumptions!$F$58+$C$34100,Assumptions!$E$58)</f>
        <v>0.0581</v>
      </c>
      <c r="H34125" s="31" t="n">
        <f aca="false">IF(G34420=1,$C$34101,IF(Assumptions!$I$58=1,MAX(H34099,Assumptions!$G$58)+Assumptions!$F$58+$C$34100,Assumptions!$E$58))</f>
        <v>0.0581</v>
      </c>
      <c r="I34125" s="31" t="n">
        <f aca="false">IF(H34420=1,$C$34101,IF(Assumptions!$I$58=1,MAX(I34099,Assumptions!$G$58)+Assumptions!$F$58+$C$34100,Assumptions!$E$58))</f>
        <v>0.0581</v>
      </c>
      <c r="J34125" s="31" t="n">
        <f aca="false">IF(I34420=1,$C$34101,IF(Assumptions!$I$58=1,MAX(J34099,Assumptions!$G$58)+Assumptions!$F$58+$C$34100,Assumptions!$E$58))</f>
        <v>0.0581</v>
      </c>
      <c r="K34125" s="31" t="n">
        <f aca="false">IF(J34420=1,$C$34101,IF(Assumptions!$I$58=1,MAX(K34099,Assumptions!$G$58)+Assumptions!$F$58+$C$34100,Assumptions!$E$58))</f>
        <v>0.0581</v>
      </c>
    </row>
    <row r="34126" customFormat="false" ht="15" hidden="false" customHeight="false" outlineLevel="0" collapsed="false">
      <c r="A34126" s="3" t="s">
        <v>332</v>
      </c>
      <c r="G34126" s="16" t="n">
        <f aca="false">G34122*G34125</f>
        <v>5.229</v>
      </c>
      <c r="H34126" s="16" t="n">
        <f aca="false">H34122*H34125</f>
        <v>5.229</v>
      </c>
      <c r="I34126" s="16" t="n">
        <f aca="false">I34122*I34125</f>
        <v>5.229</v>
      </c>
      <c r="J34126" s="16" t="n">
        <f aca="false">J34122*J34125</f>
        <v>5.229</v>
      </c>
      <c r="K34126" s="16" t="n">
        <f aca="false">K34122*K34125</f>
        <v>5.229</v>
      </c>
    </row>
    <row r="34127" customFormat="false" ht="15" hidden="false" customHeight="false" outlineLevel="0" collapsed="false">
      <c r="A34127" s="3" t="s">
        <v>333</v>
      </c>
      <c r="G34127" s="16" t="n">
        <f aca="false">G34122*Assumptions!$H$58</f>
        <v>0</v>
      </c>
      <c r="H34127" s="16" t="n">
        <f aca="false">H34122*Assumptions!$H$58</f>
        <v>0</v>
      </c>
      <c r="I34127" s="16" t="n">
        <f aca="false">I34122*Assumptions!$H$58</f>
        <v>0</v>
      </c>
      <c r="J34127" s="16" t="n">
        <f aca="false">J34122*Assumptions!$H$58</f>
        <v>0</v>
      </c>
      <c r="K34127" s="16" t="n">
        <f aca="false">K34122*Assumptions!$H$58</f>
        <v>0</v>
      </c>
    </row>
    <row r="34128" customFormat="false" ht="15" hidden="false" customHeight="false" outlineLevel="0" collapsed="false">
      <c r="A34128" s="3" t="s">
        <v>334</v>
      </c>
      <c r="G34128" s="16" t="n">
        <f aca="false">MIN(G34122,Assumptions!$L$58*Assumptions!$C$58)</f>
        <v>0</v>
      </c>
      <c r="H34128" s="16" t="n">
        <f aca="false">MIN(H34122,Assumptions!$L$58*Assumptions!$C$58)</f>
        <v>0</v>
      </c>
      <c r="I34128" s="16" t="n">
        <f aca="false">MIN(I34122,Assumptions!$L$58*Assumptions!$C$58)</f>
        <v>0</v>
      </c>
      <c r="J34128" s="16" t="n">
        <f aca="false">MIN(J34122,Assumptions!$L$58*Assumptions!$C$58)</f>
        <v>0</v>
      </c>
      <c r="K34128" s="16" t="n">
        <f aca="false">MIN(K34122,Assumptions!$L$58*Assumptions!$C$58)</f>
        <v>0</v>
      </c>
    </row>
    <row r="34129" customFormat="false" ht="15" hidden="false" customHeight="false" outlineLevel="0" collapsed="false">
      <c r="A34129" s="3" t="s">
        <v>335</v>
      </c>
      <c r="G34129" s="16" t="n">
        <f aca="false">IF(AND(Assumptions!$P$58=1,G34073&lt;Assumptions!$K$58),MIN(MAX(0,-G34289),MAX(0,Assumptions!$D$58-G34122)),0)</f>
        <v>0</v>
      </c>
      <c r="H34129" s="16" t="n">
        <f aca="false">IF(AND(Assumptions!$P$58=1,OR(H34073&lt;Assumptions!$K$58,G34420=1)),MIN(MAX(0,-H34289),MAX(0,Assumptions!$D$58-H34122)),0)</f>
        <v>0</v>
      </c>
      <c r="I34129" s="16" t="n">
        <f aca="false">IF(AND(Assumptions!$P$58=1,OR(I34073&lt;Assumptions!$K$58,H34420=1)),MIN(MAX(0,-I34289),MAX(0,Assumptions!$D$58-I34122)),0)</f>
        <v>0</v>
      </c>
      <c r="J34129" s="16" t="n">
        <f aca="false">IF(AND(Assumptions!$P$58=1,OR(J34073&lt;Assumptions!$K$58,I34420=1)),MIN(MAX(0,-J34289),MAX(0,Assumptions!$D$58-J34122)),0)</f>
        <v>0</v>
      </c>
      <c r="K34129" s="16" t="n">
        <f aca="false">IF(AND(Assumptions!$P$58=1,OR(K34073&lt;Assumptions!$K$58,J34420=1)),MIN(MAX(0,-K34289),MAX(0,Assumptions!$D$58-K34122)),0)</f>
        <v>0</v>
      </c>
    </row>
    <row r="34130" customFormat="false" ht="15" hidden="false" customHeight="false" outlineLevel="0" collapsed="false">
      <c r="A34130" s="3" t="s">
        <v>336</v>
      </c>
      <c r="G34130" s="16" t="n">
        <f aca="false">G34123*MIN(G34122-G34128+G34127,MAX(0,G34291-Assumptions!$C$12*G34107-G34117))</f>
        <v>0</v>
      </c>
      <c r="H34130" s="16" t="n">
        <f aca="false">H34123*MIN(H34122-H34128+H34127,MAX(0,H34291-Assumptions!$C$12*H34107-H34117))</f>
        <v>0</v>
      </c>
      <c r="I34130" s="16" t="n">
        <f aca="false">I34123*MIN(I34122-I34128+I34127,MAX(0,I34291-Assumptions!$C$12*I34107-I34117))</f>
        <v>0</v>
      </c>
      <c r="J34130" s="16" t="n">
        <f aca="false">J34123*MIN(J34122-J34128+J34127,MAX(0,J34291-Assumptions!$C$12*J34107-J34117))</f>
        <v>0</v>
      </c>
      <c r="K34130" s="16" t="n">
        <f aca="false">K34123*MIN(K34122-K34128+K34127,MAX(0,K34291-Assumptions!$C$12*K34107-K34117))</f>
        <v>0</v>
      </c>
    </row>
    <row r="34131" customFormat="false" ht="15" hidden="false" customHeight="false" outlineLevel="0" collapsed="false">
      <c r="A34131" s="3" t="s">
        <v>337</v>
      </c>
      <c r="G34131" s="16" t="n">
        <f aca="false">Assumptions!$N$58*MIN(G34122+G34129+G34127-G34128-G34130,MAX(0,G34295-G34118))</f>
        <v>0</v>
      </c>
      <c r="H34131" s="16" t="n">
        <f aca="false">Assumptions!$N$58*MIN(H34122+H34129+H34127-H34128-H34130,MAX(0,H34295-H34118))</f>
        <v>0</v>
      </c>
      <c r="I34131" s="16" t="n">
        <f aca="false">Assumptions!$N$58*MIN(I34122+I34129+I34127-I34128-I34130,MAX(0,I34295-I34118))</f>
        <v>0</v>
      </c>
      <c r="J34131" s="16" t="n">
        <f aca="false">Assumptions!$N$58*MIN(J34122+J34129+J34127-J34128-J34130,MAX(0,J34295-J34118))</f>
        <v>0</v>
      </c>
      <c r="K34131" s="16" t="n">
        <f aca="false">Assumptions!$N$58*MIN(K34122+K34129+K34127-K34128-K34130,MAX(0,K34295-K34118))</f>
        <v>0</v>
      </c>
    </row>
    <row r="34132" customFormat="false" ht="15" hidden="false" customHeight="false" outlineLevel="0" collapsed="false">
      <c r="A34132" s="3" t="s">
        <v>338</v>
      </c>
      <c r="G34132" s="16" t="n">
        <f aca="false">G34123*(1-G34107)*(G34122-G34128+G34127-G34130)</f>
        <v>0</v>
      </c>
      <c r="H34132" s="16" t="n">
        <f aca="false">H34123*(1-H34107)*(H34122-H34128+H34127-H34130)</f>
        <v>0</v>
      </c>
      <c r="I34132" s="16" t="n">
        <f aca="false">I34123*(1-I34107)*(I34122-I34128+I34127-I34130)</f>
        <v>0</v>
      </c>
      <c r="J34132" s="16" t="n">
        <f aca="false">J34123*(1-J34107)*(J34122-J34128+J34127-J34130)</f>
        <v>0</v>
      </c>
      <c r="K34132" s="16" t="n">
        <f aca="false">K34123*(1-K34107)*(K34122-K34128+K34127-K34130)</f>
        <v>0</v>
      </c>
    </row>
    <row r="34133" customFormat="false" ht="15" hidden="false" customHeight="false" outlineLevel="0" collapsed="false">
      <c r="A34133" s="2" t="s">
        <v>339</v>
      </c>
      <c r="F34133" s="28" t="n">
        <f aca="false">Assumptions!$C$58</f>
        <v>90</v>
      </c>
      <c r="G34133" s="17" t="n">
        <f aca="false">G34122+G34129+G34127-G34128-G34130-G34131</f>
        <v>90</v>
      </c>
      <c r="H34133" s="17" t="n">
        <f aca="false">H34122+H34129+H34127-H34128-H34130-H34131</f>
        <v>90</v>
      </c>
      <c r="I34133" s="17" t="n">
        <f aca="false">I34122+I34129+I34127-I34128-I34130-I34131</f>
        <v>90</v>
      </c>
      <c r="J34133" s="17" t="n">
        <f aca="false">J34122+J34129+J34127-J34128-J34130-J34131</f>
        <v>90</v>
      </c>
      <c r="K34133" s="17" t="n">
        <f aca="false">K34122+K34129+K34127-K34128-K34130-K34131</f>
        <v>90</v>
      </c>
    </row>
    <row r="34134" customFormat="false" ht="15" hidden="false" customHeight="false" outlineLevel="0" collapsed="false">
      <c r="A34134" s="24" t="s">
        <v>341</v>
      </c>
      <c r="B34134" s="25"/>
      <c r="C34134" s="25"/>
      <c r="D34134" s="25"/>
      <c r="E34134" s="25"/>
      <c r="F34134" s="25"/>
      <c r="G34134" s="25"/>
      <c r="H34134" s="25"/>
      <c r="I34134" s="25"/>
      <c r="J34134" s="25"/>
      <c r="K34134" s="25"/>
    </row>
    <row r="34135" customFormat="false" ht="15" hidden="false" customHeight="false" outlineLevel="0" collapsed="false">
      <c r="A34135" s="3" t="s">
        <v>329</v>
      </c>
      <c r="G34135" s="16" t="n">
        <f aca="false">F34146</f>
        <v>57.324</v>
      </c>
      <c r="H34135" s="16" t="n">
        <f aca="false">G34146</f>
        <v>57.324</v>
      </c>
      <c r="I34135" s="16" t="n">
        <f aca="false">H34146</f>
        <v>57.324</v>
      </c>
      <c r="J34135" s="16" t="n">
        <f aca="false">I34146</f>
        <v>57.324</v>
      </c>
      <c r="K34135" s="16" t="n">
        <f aca="false">J34146</f>
        <v>57.324</v>
      </c>
    </row>
    <row r="34136" customFormat="false" ht="15" hidden="false" customHeight="false" outlineLevel="0" collapsed="false">
      <c r="A34136" s="3" t="s">
        <v>330</v>
      </c>
      <c r="G34136" s="21" t="n">
        <f aca="false">IF(G34073=Assumptions!$K$59,1,0)</f>
        <v>0</v>
      </c>
      <c r="H34136" s="21" t="n">
        <f aca="false">IF(H34073=Assumptions!$K$59,1,0)</f>
        <v>0</v>
      </c>
      <c r="I34136" s="21" t="n">
        <f aca="false">IF(I34073=Assumptions!$K$59,1,0)</f>
        <v>0</v>
      </c>
      <c r="J34136" s="21" t="n">
        <f aca="false">IF(J34073=Assumptions!$K$59,1,0)</f>
        <v>0</v>
      </c>
      <c r="K34136" s="21" t="n">
        <f aca="false">IF(K34073=Assumptions!$K$59,1,0)</f>
        <v>0</v>
      </c>
    </row>
    <row r="34138" customFormat="false" ht="15" hidden="false" customHeight="false" outlineLevel="0" collapsed="false">
      <c r="A34138" s="3" t="s">
        <v>331</v>
      </c>
      <c r="G34138" s="31" t="n">
        <f aca="false">IF(Assumptions!$I$59=1,MAX(G34099,Assumptions!$G$59)+Assumptions!$F$59+$C$34100,Assumptions!$E$59)</f>
        <v>0.0731</v>
      </c>
      <c r="H34138" s="31" t="n">
        <f aca="false">IF(G34421=1,$C$34101,IF(Assumptions!$I$59=1,MAX(H34099,Assumptions!$G$59)+Assumptions!$F$59+$C$34100,Assumptions!$E$59))</f>
        <v>0.0731</v>
      </c>
      <c r="I34138" s="31" t="n">
        <f aca="false">IF(H34421=1,$C$34101,IF(Assumptions!$I$59=1,MAX(I34099,Assumptions!$G$59)+Assumptions!$F$59+$C$34100,Assumptions!$E$59))</f>
        <v>0.0731</v>
      </c>
      <c r="J34138" s="31" t="n">
        <f aca="false">IF(I34421=1,$C$34101,IF(Assumptions!$I$59=1,MAX(J34099,Assumptions!$G$59)+Assumptions!$F$59+$C$34100,Assumptions!$E$59))</f>
        <v>0.0731</v>
      </c>
      <c r="K34138" s="31" t="n">
        <f aca="false">IF(J34421=1,$C$34101,IF(Assumptions!$I$59=1,MAX(K34099,Assumptions!$G$59)+Assumptions!$F$59+$C$34100,Assumptions!$E$59))</f>
        <v>0.0731</v>
      </c>
    </row>
    <row r="34139" customFormat="false" ht="15" hidden="false" customHeight="false" outlineLevel="0" collapsed="false">
      <c r="A34139" s="3" t="s">
        <v>332</v>
      </c>
      <c r="G34139" s="16" t="n">
        <f aca="false">G34135*G34138</f>
        <v>4.1903844</v>
      </c>
      <c r="H34139" s="16" t="n">
        <f aca="false">H34135*H34138</f>
        <v>4.1903844</v>
      </c>
      <c r="I34139" s="16" t="n">
        <f aca="false">I34135*I34138</f>
        <v>4.1903844</v>
      </c>
      <c r="J34139" s="16" t="n">
        <f aca="false">J34135*J34138</f>
        <v>4.1903844</v>
      </c>
      <c r="K34139" s="16" t="n">
        <f aca="false">K34135*K34138</f>
        <v>4.1903844</v>
      </c>
    </row>
    <row r="34140" customFormat="false" ht="15" hidden="false" customHeight="false" outlineLevel="0" collapsed="false">
      <c r="A34140" s="3" t="s">
        <v>333</v>
      </c>
      <c r="G34140" s="16" t="n">
        <f aca="false">G34135*Assumptions!$H$59</f>
        <v>0</v>
      </c>
      <c r="H34140" s="16" t="n">
        <f aca="false">H34135*Assumptions!$H$59</f>
        <v>0</v>
      </c>
      <c r="I34140" s="16" t="n">
        <f aca="false">I34135*Assumptions!$H$59</f>
        <v>0</v>
      </c>
      <c r="J34140" s="16" t="n">
        <f aca="false">J34135*Assumptions!$H$59</f>
        <v>0</v>
      </c>
      <c r="K34140" s="16" t="n">
        <f aca="false">K34135*Assumptions!$H$59</f>
        <v>0</v>
      </c>
    </row>
    <row r="34141" customFormat="false" ht="15" hidden="false" customHeight="false" outlineLevel="0" collapsed="false">
      <c r="A34141" s="3" t="s">
        <v>334</v>
      </c>
      <c r="G34141" s="16" t="n">
        <f aca="false">MIN(G34135,Assumptions!$L$59*Assumptions!$C$59)</f>
        <v>0</v>
      </c>
      <c r="H34141" s="16" t="n">
        <f aca="false">MIN(H34135,Assumptions!$L$59*Assumptions!$C$59)</f>
        <v>0</v>
      </c>
      <c r="I34141" s="16" t="n">
        <f aca="false">MIN(I34135,Assumptions!$L$59*Assumptions!$C$59)</f>
        <v>0</v>
      </c>
      <c r="J34141" s="16" t="n">
        <f aca="false">MIN(J34135,Assumptions!$L$59*Assumptions!$C$59)</f>
        <v>0</v>
      </c>
      <c r="K34141" s="16" t="n">
        <f aca="false">MIN(K34135,Assumptions!$L$59*Assumptions!$C$59)</f>
        <v>0</v>
      </c>
    </row>
    <row r="34142" customFormat="false" ht="15" hidden="false" customHeight="false" outlineLevel="0" collapsed="false">
      <c r="A34142" s="3" t="s">
        <v>335</v>
      </c>
      <c r="G34142" s="16" t="n">
        <f aca="false">IF(AND(Assumptions!$P$59=1,G34073&lt;Assumptions!$K$59),MIN(MAX(0,-G34289),MAX(0,Assumptions!$D$59-G34135)),0)</f>
        <v>0</v>
      </c>
      <c r="H34142" s="16" t="n">
        <f aca="false">IF(AND(Assumptions!$P$59=1,OR(H34073&lt;Assumptions!$K$59,G34421=1)),MIN(MAX(0,-H34289),MAX(0,Assumptions!$D$59-H34135)),0)</f>
        <v>0</v>
      </c>
      <c r="I34142" s="16" t="n">
        <f aca="false">IF(AND(Assumptions!$P$59=1,OR(I34073&lt;Assumptions!$K$59,H34421=1)),MIN(MAX(0,-I34289),MAX(0,Assumptions!$D$59-I34135)),0)</f>
        <v>0</v>
      </c>
      <c r="J34142" s="16" t="n">
        <f aca="false">IF(AND(Assumptions!$P$59=1,OR(J34073&lt;Assumptions!$K$59,I34421=1)),MIN(MAX(0,-J34289),MAX(0,Assumptions!$D$59-J34135)),0)</f>
        <v>0</v>
      </c>
      <c r="K34142" s="16" t="n">
        <f aca="false">IF(AND(Assumptions!$P$59=1,OR(K34073&lt;Assumptions!$K$59,J34421=1)),MIN(MAX(0,-K34289),MAX(0,Assumptions!$D$59-K34135)),0)</f>
        <v>0</v>
      </c>
    </row>
    <row r="34143" customFormat="false" ht="15" hidden="false" customHeight="false" outlineLevel="0" collapsed="false">
      <c r="A34143" s="3" t="s">
        <v>336</v>
      </c>
      <c r="G34143" s="16" t="n">
        <f aca="false">G34136*MIN(G34135-G34141+G34140,MAX(0,G34291-Assumptions!$C$12*G34107-G34117-G34130))</f>
        <v>0</v>
      </c>
      <c r="H34143" s="16" t="n">
        <f aca="false">H34136*MIN(H34135-H34141+H34140,MAX(0,H34291-Assumptions!$C$12*H34107-H34117-H34130))</f>
        <v>0</v>
      </c>
      <c r="I34143" s="16" t="n">
        <f aca="false">I34136*MIN(I34135-I34141+I34140,MAX(0,I34291-Assumptions!$C$12*I34107-I34117-I34130))</f>
        <v>0</v>
      </c>
      <c r="J34143" s="16" t="n">
        <f aca="false">J34136*MIN(J34135-J34141+J34140,MAX(0,J34291-Assumptions!$C$12*J34107-J34117-J34130))</f>
        <v>0</v>
      </c>
      <c r="K34143" s="16" t="n">
        <f aca="false">K34136*MIN(K34135-K34141+K34140,MAX(0,K34291-Assumptions!$C$12*K34107-K34117-K34130))</f>
        <v>0</v>
      </c>
    </row>
    <row r="34144" customFormat="false" ht="15" hidden="false" customHeight="false" outlineLevel="0" collapsed="false">
      <c r="A34144" s="3" t="s">
        <v>337</v>
      </c>
      <c r="G34144" s="16" t="n">
        <f aca="false">Assumptions!$N$59*MIN(G34135+G34142+G34140-G34141-G34143,MAX(0,G34295-G34118-G34131))</f>
        <v>0</v>
      </c>
      <c r="H34144" s="16" t="n">
        <f aca="false">Assumptions!$N$59*MIN(H34135+H34142+H34140-H34141-H34143,MAX(0,H34295-H34118-H34131))</f>
        <v>0</v>
      </c>
      <c r="I34144" s="16" t="n">
        <f aca="false">Assumptions!$N$59*MIN(I34135+I34142+I34140-I34141-I34143,MAX(0,I34295-I34118-I34131))</f>
        <v>0</v>
      </c>
      <c r="J34144" s="16" t="n">
        <f aca="false">Assumptions!$N$59*MIN(J34135+J34142+J34140-J34141-J34143,MAX(0,J34295-J34118-J34131))</f>
        <v>0</v>
      </c>
      <c r="K34144" s="16" t="n">
        <f aca="false">Assumptions!$N$59*MIN(K34135+K34142+K34140-K34141-K34143,MAX(0,K34295-K34118-K34131))</f>
        <v>0</v>
      </c>
    </row>
    <row r="34145" customFormat="false" ht="15" hidden="false" customHeight="false" outlineLevel="0" collapsed="false">
      <c r="A34145" s="3" t="s">
        <v>338</v>
      </c>
      <c r="G34145" s="16" t="n">
        <f aca="false">G34136*(1-G34107)*(G34135-G34141+G34140-G34143)</f>
        <v>0</v>
      </c>
      <c r="H34145" s="16" t="n">
        <f aca="false">H34136*(1-H34107)*(H34135-H34141+H34140-H34143)</f>
        <v>0</v>
      </c>
      <c r="I34145" s="16" t="n">
        <f aca="false">I34136*(1-I34107)*(I34135-I34141+I34140-I34143)</f>
        <v>0</v>
      </c>
      <c r="J34145" s="16" t="n">
        <f aca="false">J34136*(1-J34107)*(J34135-J34141+J34140-J34143)</f>
        <v>0</v>
      </c>
      <c r="K34145" s="16" t="n">
        <f aca="false">K34136*(1-K34107)*(K34135-K34141+K34140-K34143)</f>
        <v>0</v>
      </c>
    </row>
    <row r="34146" customFormat="false" ht="15" hidden="false" customHeight="false" outlineLevel="0" collapsed="false">
      <c r="A34146" s="2" t="s">
        <v>339</v>
      </c>
      <c r="F34146" s="28" t="n">
        <f aca="false">Assumptions!$C$59</f>
        <v>57.324</v>
      </c>
      <c r="G34146" s="17" t="n">
        <f aca="false">G34135+G34142+G34140-G34141-G34143-G34144</f>
        <v>57.324</v>
      </c>
      <c r="H34146" s="17" t="n">
        <f aca="false">H34135+H34142+H34140-H34141-H34143-H34144</f>
        <v>57.324</v>
      </c>
      <c r="I34146" s="17" t="n">
        <f aca="false">I34135+I34142+I34140-I34141-I34143-I34144</f>
        <v>57.324</v>
      </c>
      <c r="J34146" s="17" t="n">
        <f aca="false">J34135+J34142+J34140-J34141-J34143-J34144</f>
        <v>57.324</v>
      </c>
      <c r="K34146" s="17" t="n">
        <f aca="false">K34135+K34142+K34140-K34141-K34143-K34144</f>
        <v>57.324</v>
      </c>
    </row>
    <row r="34147" customFormat="false" ht="15" hidden="false" customHeight="false" outlineLevel="0" collapsed="false">
      <c r="A34147" s="24" t="s">
        <v>342</v>
      </c>
      <c r="B34147" s="25"/>
      <c r="C34147" s="25"/>
      <c r="D34147" s="25"/>
      <c r="E34147" s="25"/>
      <c r="F34147" s="25"/>
      <c r="G34147" s="25"/>
      <c r="H34147" s="25"/>
      <c r="I34147" s="25"/>
      <c r="J34147" s="25"/>
      <c r="K34147" s="25"/>
    </row>
    <row r="34148" customFormat="false" ht="15" hidden="false" customHeight="false" outlineLevel="0" collapsed="false">
      <c r="A34148" s="3" t="s">
        <v>329</v>
      </c>
      <c r="G34148" s="16" t="n">
        <f aca="false">F34159</f>
        <v>0</v>
      </c>
      <c r="H34148" s="16" t="n">
        <f aca="false">G34159</f>
        <v>0</v>
      </c>
      <c r="I34148" s="16" t="n">
        <f aca="false">H34159</f>
        <v>0</v>
      </c>
      <c r="J34148" s="16" t="n">
        <f aca="false">I34159</f>
        <v>66.796942182056</v>
      </c>
      <c r="K34148" s="16" t="n">
        <f aca="false">J34159</f>
        <v>155.677464864795</v>
      </c>
    </row>
    <row r="34149" customFormat="false" ht="15" hidden="false" customHeight="false" outlineLevel="0" collapsed="false">
      <c r="A34149" s="3" t="s">
        <v>330</v>
      </c>
      <c r="G34149" s="21" t="n">
        <f aca="false">IF(G34073=Assumptions!$K$60,1,0)</f>
        <v>1</v>
      </c>
      <c r="H34149" s="21" t="n">
        <f aca="false">IF(H34073=Assumptions!$K$60,1,0)</f>
        <v>0</v>
      </c>
      <c r="I34149" s="21" t="n">
        <f aca="false">IF(I34073=Assumptions!$K$60,1,0)</f>
        <v>0</v>
      </c>
      <c r="J34149" s="21" t="n">
        <f aca="false">IF(J34073=Assumptions!$K$60,1,0)</f>
        <v>0</v>
      </c>
      <c r="K34149" s="21" t="n">
        <f aca="false">IF(K34073=Assumptions!$K$60,1,0)</f>
        <v>0</v>
      </c>
    </row>
    <row r="34151" customFormat="false" ht="15" hidden="false" customHeight="false" outlineLevel="0" collapsed="false">
      <c r="A34151" s="3" t="s">
        <v>331</v>
      </c>
      <c r="G34151" s="31" t="n">
        <f aca="false">IF(Assumptions!$I$60=1,MAX(G34099,Assumptions!$G$60)+Assumptions!$F$60+$C$34100,Assumptions!$E$60)</f>
        <v>0.054</v>
      </c>
      <c r="H34151" s="31" t="n">
        <f aca="false">IF(G34422=1,$C$34101,IF(Assumptions!$I$60=1,MAX(H34099,Assumptions!$G$60)+Assumptions!$F$60+$C$34100,Assumptions!$E$60))</f>
        <v>0.08</v>
      </c>
      <c r="I34151" s="31" t="n">
        <f aca="false">IF(H34422=1,$C$34101,IF(Assumptions!$I$60=1,MAX(I34099,Assumptions!$G$60)+Assumptions!$F$60+$C$34100,Assumptions!$E$60))</f>
        <v>0.08</v>
      </c>
      <c r="J34151" s="31" t="n">
        <f aca="false">IF(I34422=1,$C$34101,IF(Assumptions!$I$60=1,MAX(J34099,Assumptions!$G$60)+Assumptions!$F$60+$C$34100,Assumptions!$E$60))</f>
        <v>0.08</v>
      </c>
      <c r="K34151" s="31" t="n">
        <f aca="false">IF(J34422=1,$C$34101,IF(Assumptions!$I$60=1,MAX(K34099,Assumptions!$G$60)+Assumptions!$F$60+$C$34100,Assumptions!$E$60))</f>
        <v>0.08</v>
      </c>
    </row>
    <row r="34152" customFormat="false" ht="15" hidden="false" customHeight="false" outlineLevel="0" collapsed="false">
      <c r="A34152" s="3" t="s">
        <v>332</v>
      </c>
      <c r="G34152" s="16" t="n">
        <f aca="false">G34148*G34151</f>
        <v>0</v>
      </c>
      <c r="H34152" s="16" t="n">
        <f aca="false">H34148*H34151</f>
        <v>0</v>
      </c>
      <c r="I34152" s="16" t="n">
        <f aca="false">I34148*I34151</f>
        <v>0</v>
      </c>
      <c r="J34152" s="16" t="n">
        <f aca="false">J34148*J34151</f>
        <v>5.34375537456448</v>
      </c>
      <c r="K34152" s="16" t="n">
        <f aca="false">K34148*K34151</f>
        <v>12.4541971891836</v>
      </c>
    </row>
    <row r="34153" customFormat="false" ht="15" hidden="false" customHeight="false" outlineLevel="0" collapsed="false">
      <c r="A34153" s="3" t="s">
        <v>333</v>
      </c>
      <c r="G34153" s="16" t="n">
        <f aca="false">G34148*Assumptions!$H$60</f>
        <v>0</v>
      </c>
      <c r="H34153" s="16" t="n">
        <f aca="false">H34148*Assumptions!$H$60</f>
        <v>0</v>
      </c>
      <c r="I34153" s="16" t="n">
        <f aca="false">I34148*Assumptions!$H$60</f>
        <v>0</v>
      </c>
      <c r="J34153" s="16" t="n">
        <f aca="false">J34148*Assumptions!$H$60</f>
        <v>0</v>
      </c>
      <c r="K34153" s="16" t="n">
        <f aca="false">K34148*Assumptions!$H$60</f>
        <v>0</v>
      </c>
    </row>
    <row r="34154" customFormat="false" ht="15" hidden="false" customHeight="false" outlineLevel="0" collapsed="false">
      <c r="A34154" s="3" t="s">
        <v>334</v>
      </c>
      <c r="G34154" s="16" t="n">
        <f aca="false">MIN(G34148,Assumptions!$L$60*Assumptions!$C$60)</f>
        <v>0</v>
      </c>
      <c r="H34154" s="16" t="n">
        <f aca="false">MIN(H34148,Assumptions!$L$60*Assumptions!$C$60)</f>
        <v>0</v>
      </c>
      <c r="I34154" s="16" t="n">
        <f aca="false">MIN(I34148,Assumptions!$L$60*Assumptions!$C$60)</f>
        <v>0</v>
      </c>
      <c r="J34154" s="16" t="n">
        <f aca="false">MIN(J34148,Assumptions!$L$60*Assumptions!$C$60)</f>
        <v>0</v>
      </c>
      <c r="K34154" s="16" t="n">
        <f aca="false">MIN(K34148,Assumptions!$L$60*Assumptions!$C$60)</f>
        <v>0</v>
      </c>
    </row>
    <row r="34155" customFormat="false" ht="15" hidden="false" customHeight="false" outlineLevel="0" collapsed="false">
      <c r="A34155" s="3" t="s">
        <v>335</v>
      </c>
      <c r="G34155" s="16" t="n">
        <f aca="false">IF(AND(Assumptions!$P$60=1,G34073&lt;Assumptions!$K$60),MIN(MAX(0,-G34289),MAX(0,Assumptions!$D$60-G34148)),0)</f>
        <v>0</v>
      </c>
      <c r="H34155" s="16" t="n">
        <f aca="false">IF(AND(Assumptions!$P$60=1,OR(H34073&lt;Assumptions!$K$60,G34422=1)),MIN(MAX(0,-H34289),MAX(0,Assumptions!$D$60-H34148)),0)</f>
        <v>0</v>
      </c>
      <c r="I34155" s="16" t="n">
        <f aca="false">IF(AND(Assumptions!$P$60=1,OR(I34073&lt;Assumptions!$K$60,H34422=1)),MIN(MAX(0,-I34289),MAX(0,Assumptions!$D$60-I34148)),0)</f>
        <v>66.796942182056</v>
      </c>
      <c r="J34155" s="16" t="n">
        <f aca="false">IF(AND(Assumptions!$P$60=1,OR(J34073&lt;Assumptions!$K$60,I34422=1)),MIN(MAX(0,-J34289),MAX(0,Assumptions!$D$60-J34148)),0)</f>
        <v>88.8805226827392</v>
      </c>
      <c r="K34155" s="16" t="n">
        <f aca="false">IF(AND(Assumptions!$P$60=1,OR(K34073&lt;Assumptions!$K$60,J34422=1)),MIN(MAX(0,-K34289),MAX(0,Assumptions!$D$60-K34148)),0)</f>
        <v>104.535819058653</v>
      </c>
    </row>
    <row r="34156" customFormat="false" ht="15" hidden="false" customHeight="false" outlineLevel="0" collapsed="false">
      <c r="A34156" s="3" t="s">
        <v>336</v>
      </c>
      <c r="G34156" s="16" t="n">
        <f aca="false">G34149*MIN(G34148-G34154+G34153,MAX(0,G34291-Assumptions!$C$12*G34107-G34117-G34130-G34143))</f>
        <v>0</v>
      </c>
      <c r="H34156" s="16" t="n">
        <f aca="false">H34149*MIN(H34148-H34154+H34153,MAX(0,H34291-Assumptions!$C$12*H34107-H34117-H34130-H34143))</f>
        <v>0</v>
      </c>
      <c r="I34156" s="16" t="n">
        <f aca="false">I34149*MIN(I34148-I34154+I34153,MAX(0,I34291-Assumptions!$C$12*I34107-I34117-I34130-I34143))</f>
        <v>0</v>
      </c>
      <c r="J34156" s="16" t="n">
        <f aca="false">J34149*MIN(J34148-J34154+J34153,MAX(0,J34291-Assumptions!$C$12*J34107-J34117-J34130-J34143))</f>
        <v>0</v>
      </c>
      <c r="K34156" s="16" t="n">
        <f aca="false">K34149*MIN(K34148-K34154+K34153,MAX(0,K34291-Assumptions!$C$12*K34107-K34117-K34130-K34143))</f>
        <v>0</v>
      </c>
    </row>
    <row r="34157" customFormat="false" ht="15" hidden="false" customHeight="false" outlineLevel="0" collapsed="false">
      <c r="A34157" s="3" t="s">
        <v>337</v>
      </c>
      <c r="G34157" s="16" t="n">
        <f aca="false">Assumptions!$N$60*MIN(G34148+G34155+G34153-G34154-G34156,MAX(0,G34295-G34118-G34131-G34144))</f>
        <v>0</v>
      </c>
      <c r="H34157" s="16" t="n">
        <f aca="false">Assumptions!$N$60*MIN(H34148+H34155+H34153-H34154-H34156,MAX(0,H34295-H34118-H34131-H34144))</f>
        <v>0</v>
      </c>
      <c r="I34157" s="16" t="n">
        <f aca="false">Assumptions!$N$60*MIN(I34148+I34155+I34153-I34154-I34156,MAX(0,I34295-I34118-I34131-I34144))</f>
        <v>0</v>
      </c>
      <c r="J34157" s="16" t="n">
        <f aca="false">Assumptions!$N$60*MIN(J34148+J34155+J34153-J34154-J34156,MAX(0,J34295-J34118-J34131-J34144))</f>
        <v>0</v>
      </c>
      <c r="K34157" s="16" t="n">
        <f aca="false">Assumptions!$N$60*MIN(K34148+K34155+K34153-K34154-K34156,MAX(0,K34295-K34118-K34131-K34144))</f>
        <v>0</v>
      </c>
    </row>
    <row r="34158" customFormat="false" ht="15" hidden="false" customHeight="false" outlineLevel="0" collapsed="false">
      <c r="A34158" s="3" t="s">
        <v>338</v>
      </c>
      <c r="G34158" s="16" t="n">
        <f aca="false">G34149*(1-G34107)*(G34148-G34154+G34153-G34156)</f>
        <v>0</v>
      </c>
      <c r="H34158" s="16" t="n">
        <f aca="false">H34149*(1-H34107)*(H34148-H34154+H34153-H34156)</f>
        <v>0</v>
      </c>
      <c r="I34158" s="16" t="n">
        <f aca="false">I34149*(1-I34107)*(I34148-I34154+I34153-I34156)</f>
        <v>0</v>
      </c>
      <c r="J34158" s="16" t="n">
        <f aca="false">J34149*(1-J34107)*(J34148-J34154+J34153-J34156)</f>
        <v>0</v>
      </c>
      <c r="K34158" s="16" t="n">
        <f aca="false">K34149*(1-K34107)*(K34148-K34154+K34153-K34156)</f>
        <v>0</v>
      </c>
    </row>
    <row r="34159" customFormat="false" ht="15" hidden="false" customHeight="false" outlineLevel="0" collapsed="false">
      <c r="A34159" s="2" t="s">
        <v>339</v>
      </c>
      <c r="F34159" s="28" t="n">
        <f aca="false">Assumptions!$C$60</f>
        <v>0</v>
      </c>
      <c r="G34159" s="17" t="n">
        <f aca="false">G34148+G34155+G34153-G34154-G34156-G34157</f>
        <v>0</v>
      </c>
      <c r="H34159" s="17" t="n">
        <f aca="false">H34148+H34155+H34153-H34154-H34156-H34157</f>
        <v>0</v>
      </c>
      <c r="I34159" s="17" t="n">
        <f aca="false">I34148+I34155+I34153-I34154-I34156-I34157</f>
        <v>66.796942182056</v>
      </c>
      <c r="J34159" s="17" t="n">
        <f aca="false">J34148+J34155+J34153-J34154-J34156-J34157</f>
        <v>155.677464864795</v>
      </c>
      <c r="K34159" s="17" t="n">
        <f aca="false">K34148+K34155+K34153-K34154-K34156-K34157</f>
        <v>260.213283923448</v>
      </c>
    </row>
    <row r="34160" customFormat="false" ht="15" hidden="false" customHeight="false" outlineLevel="0" collapsed="false">
      <c r="A34160" s="24" t="s">
        <v>343</v>
      </c>
      <c r="B34160" s="25"/>
      <c r="C34160" s="25"/>
      <c r="D34160" s="25"/>
      <c r="E34160" s="25"/>
      <c r="F34160" s="25"/>
      <c r="G34160" s="25"/>
      <c r="H34160" s="25"/>
      <c r="I34160" s="25"/>
      <c r="J34160" s="25"/>
      <c r="K34160" s="25"/>
    </row>
    <row r="34161" customFormat="false" ht="15" hidden="false" customHeight="false" outlineLevel="0" collapsed="false">
      <c r="A34161" s="3" t="s">
        <v>329</v>
      </c>
      <c r="G34161" s="16" t="n">
        <f aca="false">F34172</f>
        <v>450</v>
      </c>
      <c r="H34161" s="16" t="n">
        <f aca="false">G34172</f>
        <v>450</v>
      </c>
      <c r="I34161" s="16" t="n">
        <f aca="false">H34172</f>
        <v>407.7221513738</v>
      </c>
      <c r="J34161" s="16" t="n">
        <f aca="false">I34172</f>
        <v>407.7221513738</v>
      </c>
      <c r="K34161" s="16" t="n">
        <f aca="false">J34172</f>
        <v>407.7221513738</v>
      </c>
    </row>
    <row r="34162" customFormat="false" ht="15" hidden="false" customHeight="false" outlineLevel="0" collapsed="false">
      <c r="A34162" s="3" t="s">
        <v>330</v>
      </c>
      <c r="G34162" s="21" t="n">
        <f aca="false">IF(G34073=Assumptions!$K$61,1,0)</f>
        <v>0</v>
      </c>
      <c r="H34162" s="21" t="n">
        <f aca="false">IF(H34073=Assumptions!$K$61,1,0)</f>
        <v>1</v>
      </c>
      <c r="I34162" s="21" t="n">
        <f aca="false">IF(I34073=Assumptions!$K$61,1,0)</f>
        <v>0</v>
      </c>
      <c r="J34162" s="21" t="n">
        <f aca="false">IF(J34073=Assumptions!$K$61,1,0)</f>
        <v>0</v>
      </c>
      <c r="K34162" s="21" t="n">
        <f aca="false">IF(K34073=Assumptions!$K$61,1,0)</f>
        <v>0</v>
      </c>
    </row>
    <row r="34164" customFormat="false" ht="15" hidden="false" customHeight="false" outlineLevel="0" collapsed="false">
      <c r="A34164" s="3" t="s">
        <v>331</v>
      </c>
      <c r="G34164" s="31" t="n">
        <f aca="false">IF(Assumptions!$I$61=1,MAX(G34099,Assumptions!$G$61)+Assumptions!$F$61+$C$34100,Assumptions!$E$61)</f>
        <v>0.0395</v>
      </c>
      <c r="H34164" s="31" t="n">
        <f aca="false">IF(G34423=1,$C$34101,IF(Assumptions!$I$61=1,MAX(H34099,Assumptions!$G$61)+Assumptions!$F$61+$C$34100,Assumptions!$E$61))</f>
        <v>0.0395</v>
      </c>
      <c r="I34164" s="31" t="n">
        <f aca="false">IF(H34423=1,$C$34101,IF(Assumptions!$I$61=1,MAX(I34099,Assumptions!$G$61)+Assumptions!$F$61+$C$34100,Assumptions!$E$61))</f>
        <v>0.08</v>
      </c>
      <c r="J34164" s="31" t="n">
        <f aca="false">IF(I34423=1,$C$34101,IF(Assumptions!$I$61=1,MAX(J34099,Assumptions!$G$61)+Assumptions!$F$61+$C$34100,Assumptions!$E$61))</f>
        <v>0.08</v>
      </c>
      <c r="K34164" s="31" t="n">
        <f aca="false">IF(J34423=1,$C$34101,IF(Assumptions!$I$61=1,MAX(K34099,Assumptions!$G$61)+Assumptions!$F$61+$C$34100,Assumptions!$E$61))</f>
        <v>0.08</v>
      </c>
    </row>
    <row r="34165" customFormat="false" ht="15" hidden="false" customHeight="false" outlineLevel="0" collapsed="false">
      <c r="A34165" s="3" t="s">
        <v>332</v>
      </c>
      <c r="G34165" s="16" t="n">
        <f aca="false">G34161*G34164</f>
        <v>17.775</v>
      </c>
      <c r="H34165" s="16" t="n">
        <f aca="false">H34161*H34164</f>
        <v>17.775</v>
      </c>
      <c r="I34165" s="16" t="n">
        <f aca="false">I34161*I34164</f>
        <v>32.617772109904</v>
      </c>
      <c r="J34165" s="16" t="n">
        <f aca="false">J34161*J34164</f>
        <v>32.617772109904</v>
      </c>
      <c r="K34165" s="16" t="n">
        <f aca="false">K34161*K34164</f>
        <v>32.617772109904</v>
      </c>
    </row>
    <row r="34166" customFormat="false" ht="15" hidden="false" customHeight="false" outlineLevel="0" collapsed="false">
      <c r="A34166" s="3" t="s">
        <v>333</v>
      </c>
      <c r="G34166" s="16" t="n">
        <f aca="false">G34161*Assumptions!$H$61</f>
        <v>0</v>
      </c>
      <c r="H34166" s="16" t="n">
        <f aca="false">H34161*Assumptions!$H$61</f>
        <v>0</v>
      </c>
      <c r="I34166" s="16" t="n">
        <f aca="false">I34161*Assumptions!$H$61</f>
        <v>0</v>
      </c>
      <c r="J34166" s="16" t="n">
        <f aca="false">J34161*Assumptions!$H$61</f>
        <v>0</v>
      </c>
      <c r="K34166" s="16" t="n">
        <f aca="false">K34161*Assumptions!$H$61</f>
        <v>0</v>
      </c>
    </row>
    <row r="34167" customFormat="false" ht="15" hidden="false" customHeight="false" outlineLevel="0" collapsed="false">
      <c r="A34167" s="3" t="s">
        <v>334</v>
      </c>
      <c r="G34167" s="16" t="n">
        <f aca="false">MIN(G34161,Assumptions!$L$61*Assumptions!$C$61)</f>
        <v>0</v>
      </c>
      <c r="H34167" s="16" t="n">
        <f aca="false">MIN(H34161,Assumptions!$L$61*Assumptions!$C$61)</f>
        <v>0</v>
      </c>
      <c r="I34167" s="16" t="n">
        <f aca="false">MIN(I34161,Assumptions!$L$61*Assumptions!$C$61)</f>
        <v>0</v>
      </c>
      <c r="J34167" s="16" t="n">
        <f aca="false">MIN(J34161,Assumptions!$L$61*Assumptions!$C$61)</f>
        <v>0</v>
      </c>
      <c r="K34167" s="16" t="n">
        <f aca="false">MIN(K34161,Assumptions!$L$61*Assumptions!$C$61)</f>
        <v>0</v>
      </c>
    </row>
    <row r="34168" customFormat="false" ht="15" hidden="false" customHeight="false" outlineLevel="0" collapsed="false">
      <c r="A34168" s="3" t="s">
        <v>335</v>
      </c>
      <c r="G34168" s="16" t="n">
        <f aca="false">IF(AND(Assumptions!$P$61=1,G34073&lt;Assumptions!$K$61),MIN(MAX(0,-G34289),MAX(0,Assumptions!$D$61-G34161)),0)</f>
        <v>0</v>
      </c>
      <c r="H34168" s="16" t="n">
        <f aca="false">IF(AND(Assumptions!$P$61=1,OR(H34073&lt;Assumptions!$K$61,G34423=1)),MIN(MAX(0,-H34289),MAX(0,Assumptions!$D$61-H34161)),0)</f>
        <v>0</v>
      </c>
      <c r="I34168" s="16" t="n">
        <f aca="false">IF(AND(Assumptions!$P$61=1,OR(I34073&lt;Assumptions!$K$61,H34423=1)),MIN(MAX(0,-I34289),MAX(0,Assumptions!$D$61-I34161)),0)</f>
        <v>0</v>
      </c>
      <c r="J34168" s="16" t="n">
        <f aca="false">IF(AND(Assumptions!$P$61=1,OR(J34073&lt;Assumptions!$K$61,I34423=1)),MIN(MAX(0,-J34289),MAX(0,Assumptions!$D$61-J34161)),0)</f>
        <v>0</v>
      </c>
      <c r="K34168" s="16" t="n">
        <f aca="false">IF(AND(Assumptions!$P$61=1,OR(K34073&lt;Assumptions!$K$61,J34423=1)),MIN(MAX(0,-K34289),MAX(0,Assumptions!$D$61-K34161)),0)</f>
        <v>0</v>
      </c>
    </row>
    <row r="34169" customFormat="false" ht="15" hidden="false" customHeight="false" outlineLevel="0" collapsed="false">
      <c r="A34169" s="3" t="s">
        <v>336</v>
      </c>
      <c r="G34169" s="16" t="n">
        <f aca="false">G34162*MIN(G34161-G34167+G34166,MAX(0,G34291-Assumptions!$C$12*G34107-G34117-G34130-G34143-G34156))</f>
        <v>0</v>
      </c>
      <c r="H34169" s="16" t="n">
        <f aca="false">H34162*MIN(H34161-H34167+H34166,MAX(0,H34291-Assumptions!$C$12*H34107-H34117-H34130-H34143-H34156))</f>
        <v>42.2778486262</v>
      </c>
      <c r="I34169" s="16" t="n">
        <f aca="false">I34162*MIN(I34161-I34167+I34166,MAX(0,I34291-Assumptions!$C$12*I34107-I34117-I34130-I34143-I34156))</f>
        <v>0</v>
      </c>
      <c r="J34169" s="16" t="n">
        <f aca="false">J34162*MIN(J34161-J34167+J34166,MAX(0,J34291-Assumptions!$C$12*J34107-J34117-J34130-J34143-J34156))</f>
        <v>0</v>
      </c>
      <c r="K34169" s="16" t="n">
        <f aca="false">K34162*MIN(K34161-K34167+K34166,MAX(0,K34291-Assumptions!$C$12*K34107-K34117-K34130-K34143-K34156))</f>
        <v>0</v>
      </c>
    </row>
    <row r="34170" customFormat="false" ht="15" hidden="false" customHeight="false" outlineLevel="0" collapsed="false">
      <c r="A34170" s="3" t="s">
        <v>337</v>
      </c>
      <c r="G34170" s="16" t="n">
        <f aca="false">Assumptions!$N$61*MIN(G34161+G34168+G34166-G34167-G34169,MAX(0,G34295-G34118-G34131-G34144-G34157))</f>
        <v>0</v>
      </c>
      <c r="H34170" s="16" t="n">
        <f aca="false">Assumptions!$N$61*MIN(H34161+H34168+H34166-H34167-H34169,MAX(0,H34295-H34118-H34131-H34144-H34157))</f>
        <v>0</v>
      </c>
      <c r="I34170" s="16" t="n">
        <f aca="false">Assumptions!$N$61*MIN(I34161+I34168+I34166-I34167-I34169,MAX(0,I34295-I34118-I34131-I34144-I34157))</f>
        <v>0</v>
      </c>
      <c r="J34170" s="16" t="n">
        <f aca="false">Assumptions!$N$61*MIN(J34161+J34168+J34166-J34167-J34169,MAX(0,J34295-J34118-J34131-J34144-J34157))</f>
        <v>0</v>
      </c>
      <c r="K34170" s="16" t="n">
        <f aca="false">Assumptions!$N$61*MIN(K34161+K34168+K34166-K34167-K34169,MAX(0,K34295-K34118-K34131-K34144-K34157))</f>
        <v>0</v>
      </c>
    </row>
    <row r="34171" customFormat="false" ht="15" hidden="false" customHeight="false" outlineLevel="0" collapsed="false">
      <c r="A34171" s="3" t="s">
        <v>338</v>
      </c>
      <c r="G34171" s="16" t="n">
        <f aca="false">G34162*(1-G34107)*(G34161-G34167+G34166-G34169)</f>
        <v>0</v>
      </c>
      <c r="H34171" s="16" t="n">
        <f aca="false">H34162*(1-H34107)*(H34161-H34167+H34166-H34169)</f>
        <v>0</v>
      </c>
      <c r="I34171" s="16" t="n">
        <f aca="false">I34162*(1-I34107)*(I34161-I34167+I34166-I34169)</f>
        <v>0</v>
      </c>
      <c r="J34171" s="16" t="n">
        <f aca="false">J34162*(1-J34107)*(J34161-J34167+J34166-J34169)</f>
        <v>0</v>
      </c>
      <c r="K34171" s="16" t="n">
        <f aca="false">K34162*(1-K34107)*(K34161-K34167+K34166-K34169)</f>
        <v>0</v>
      </c>
    </row>
    <row r="34172" customFormat="false" ht="15" hidden="false" customHeight="false" outlineLevel="0" collapsed="false">
      <c r="A34172" s="2" t="s">
        <v>339</v>
      </c>
      <c r="F34172" s="28" t="n">
        <f aca="false">Assumptions!$C$61</f>
        <v>450</v>
      </c>
      <c r="G34172" s="17" t="n">
        <f aca="false">G34161+G34168+G34166-G34167-G34169-G34170</f>
        <v>450</v>
      </c>
      <c r="H34172" s="17" t="n">
        <f aca="false">H34161+H34168+H34166-H34167-H34169-H34170</f>
        <v>407.7221513738</v>
      </c>
      <c r="I34172" s="17" t="n">
        <f aca="false">I34161+I34168+I34166-I34167-I34169-I34170</f>
        <v>407.7221513738</v>
      </c>
      <c r="J34172" s="17" t="n">
        <f aca="false">J34161+J34168+J34166-J34167-J34169-J34170</f>
        <v>407.7221513738</v>
      </c>
      <c r="K34172" s="17" t="n">
        <f aca="false">K34161+K34168+K34166-K34167-K34169-K34170</f>
        <v>407.7221513738</v>
      </c>
    </row>
    <row r="34173" customFormat="false" ht="15" hidden="false" customHeight="false" outlineLevel="0" collapsed="false">
      <c r="A34173" s="24" t="s">
        <v>344</v>
      </c>
      <c r="B34173" s="25"/>
      <c r="C34173" s="25"/>
      <c r="D34173" s="25"/>
      <c r="E34173" s="25"/>
      <c r="F34173" s="25"/>
      <c r="G34173" s="25"/>
      <c r="H34173" s="25"/>
      <c r="I34173" s="25"/>
      <c r="J34173" s="25"/>
      <c r="K34173" s="25"/>
    </row>
    <row r="34174" customFormat="false" ht="15" hidden="false" customHeight="false" outlineLevel="0" collapsed="false">
      <c r="A34174" s="3" t="s">
        <v>329</v>
      </c>
      <c r="G34174" s="16" t="n">
        <f aca="false">F34185</f>
        <v>350</v>
      </c>
      <c r="H34174" s="16" t="n">
        <f aca="false">G34185</f>
        <v>350</v>
      </c>
      <c r="I34174" s="16" t="n">
        <f aca="false">H34185</f>
        <v>350</v>
      </c>
      <c r="J34174" s="16" t="n">
        <f aca="false">I34185</f>
        <v>350</v>
      </c>
      <c r="K34174" s="16" t="n">
        <f aca="false">J34185</f>
        <v>350</v>
      </c>
    </row>
    <row r="34175" customFormat="false" ht="15" hidden="false" customHeight="false" outlineLevel="0" collapsed="false">
      <c r="A34175" s="3" t="s">
        <v>330</v>
      </c>
      <c r="G34175" s="21" t="n">
        <f aca="false">IF(G34073=Assumptions!$K$62,1,0)</f>
        <v>0</v>
      </c>
      <c r="H34175" s="21" t="n">
        <f aca="false">IF(H34073=Assumptions!$K$62,1,0)</f>
        <v>1</v>
      </c>
      <c r="I34175" s="21" t="n">
        <f aca="false">IF(I34073=Assumptions!$K$62,1,0)</f>
        <v>0</v>
      </c>
      <c r="J34175" s="21" t="n">
        <f aca="false">IF(J34073=Assumptions!$K$62,1,0)</f>
        <v>0</v>
      </c>
      <c r="K34175" s="21" t="n">
        <f aca="false">IF(K34073=Assumptions!$K$62,1,0)</f>
        <v>0</v>
      </c>
    </row>
    <row r="34177" customFormat="false" ht="15" hidden="false" customHeight="false" outlineLevel="0" collapsed="false">
      <c r="A34177" s="3" t="s">
        <v>331</v>
      </c>
      <c r="G34177" s="31" t="n">
        <f aca="false">IF(Assumptions!$I$62=1,MAX(G34099,Assumptions!$G$62)+Assumptions!$F$62+$C$34100,Assumptions!$E$62)</f>
        <v>0.083</v>
      </c>
      <c r="H34177" s="31" t="n">
        <f aca="false">IF(G34424=1,$C$34101,IF(Assumptions!$I$62=1,MAX(H34099,Assumptions!$G$62)+Assumptions!$F$62+$C$34100,Assumptions!$E$62))</f>
        <v>0.083</v>
      </c>
      <c r="I34177" s="31" t="n">
        <f aca="false">IF(H34424=1,$C$34101,IF(Assumptions!$I$62=1,MAX(I34099,Assumptions!$G$62)+Assumptions!$F$62+$C$34100,Assumptions!$E$62))</f>
        <v>0.08</v>
      </c>
      <c r="J34177" s="31" t="n">
        <f aca="false">IF(I34424=1,$C$34101,IF(Assumptions!$I$62=1,MAX(J34099,Assumptions!$G$62)+Assumptions!$F$62+$C$34100,Assumptions!$E$62))</f>
        <v>0.08</v>
      </c>
      <c r="K34177" s="31" t="n">
        <f aca="false">IF(J34424=1,$C$34101,IF(Assumptions!$I$62=1,MAX(K34099,Assumptions!$G$62)+Assumptions!$F$62+$C$34100,Assumptions!$E$62))</f>
        <v>0.08</v>
      </c>
    </row>
    <row r="34178" customFormat="false" ht="15" hidden="false" customHeight="false" outlineLevel="0" collapsed="false">
      <c r="A34178" s="3" t="s">
        <v>332</v>
      </c>
      <c r="G34178" s="16" t="n">
        <f aca="false">G34174*G34177</f>
        <v>29.05</v>
      </c>
      <c r="H34178" s="16" t="n">
        <f aca="false">H34174*H34177</f>
        <v>29.05</v>
      </c>
      <c r="I34178" s="16" t="n">
        <f aca="false">I34174*I34177</f>
        <v>28</v>
      </c>
      <c r="J34178" s="16" t="n">
        <f aca="false">J34174*J34177</f>
        <v>28</v>
      </c>
      <c r="K34178" s="16" t="n">
        <f aca="false">K34174*K34177</f>
        <v>28</v>
      </c>
    </row>
    <row r="34179" customFormat="false" ht="15" hidden="false" customHeight="false" outlineLevel="0" collapsed="false">
      <c r="A34179" s="3" t="s">
        <v>333</v>
      </c>
      <c r="G34179" s="16" t="n">
        <f aca="false">G34174*Assumptions!$H$62</f>
        <v>0</v>
      </c>
      <c r="H34179" s="16" t="n">
        <f aca="false">H34174*Assumptions!$H$62</f>
        <v>0</v>
      </c>
      <c r="I34179" s="16" t="n">
        <f aca="false">I34174*Assumptions!$H$62</f>
        <v>0</v>
      </c>
      <c r="J34179" s="16" t="n">
        <f aca="false">J34174*Assumptions!$H$62</f>
        <v>0</v>
      </c>
      <c r="K34179" s="16" t="n">
        <f aca="false">K34174*Assumptions!$H$62</f>
        <v>0</v>
      </c>
    </row>
    <row r="34180" customFormat="false" ht="15" hidden="false" customHeight="false" outlineLevel="0" collapsed="false">
      <c r="A34180" s="3" t="s">
        <v>334</v>
      </c>
      <c r="G34180" s="16" t="n">
        <f aca="false">MIN(G34174,Assumptions!$L$62*Assumptions!$C$62)</f>
        <v>0</v>
      </c>
      <c r="H34180" s="16" t="n">
        <f aca="false">MIN(H34174,Assumptions!$L$62*Assumptions!$C$62)</f>
        <v>0</v>
      </c>
      <c r="I34180" s="16" t="n">
        <f aca="false">MIN(I34174,Assumptions!$L$62*Assumptions!$C$62)</f>
        <v>0</v>
      </c>
      <c r="J34180" s="16" t="n">
        <f aca="false">MIN(J34174,Assumptions!$L$62*Assumptions!$C$62)</f>
        <v>0</v>
      </c>
      <c r="K34180" s="16" t="n">
        <f aca="false">MIN(K34174,Assumptions!$L$62*Assumptions!$C$62)</f>
        <v>0</v>
      </c>
    </row>
    <row r="34181" customFormat="false" ht="15" hidden="false" customHeight="false" outlineLevel="0" collapsed="false">
      <c r="A34181" s="3" t="s">
        <v>335</v>
      </c>
      <c r="G34181" s="16" t="n">
        <f aca="false">IF(AND(Assumptions!$P$62=1,G34073&lt;Assumptions!$K$62),MIN(MAX(0,-G34289),MAX(0,Assumptions!$D$62-G34174)),0)</f>
        <v>0</v>
      </c>
      <c r="H34181" s="16" t="n">
        <f aca="false">IF(AND(Assumptions!$P$62=1,OR(H34073&lt;Assumptions!$K$62,G34424=1)),MIN(MAX(0,-H34289),MAX(0,Assumptions!$D$62-H34174)),0)</f>
        <v>0</v>
      </c>
      <c r="I34181" s="16" t="n">
        <f aca="false">IF(AND(Assumptions!$P$62=1,OR(I34073&lt;Assumptions!$K$62,H34424=1)),MIN(MAX(0,-I34289),MAX(0,Assumptions!$D$62-I34174)),0)</f>
        <v>0</v>
      </c>
      <c r="J34181" s="16" t="n">
        <f aca="false">IF(AND(Assumptions!$P$62=1,OR(J34073&lt;Assumptions!$K$62,I34424=1)),MIN(MAX(0,-J34289),MAX(0,Assumptions!$D$62-J34174)),0)</f>
        <v>0</v>
      </c>
      <c r="K34181" s="16" t="n">
        <f aca="false">IF(AND(Assumptions!$P$62=1,OR(K34073&lt;Assumptions!$K$62,J34424=1)),MIN(MAX(0,-K34289),MAX(0,Assumptions!$D$62-K34174)),0)</f>
        <v>0</v>
      </c>
    </row>
    <row r="34182" customFormat="false" ht="15" hidden="false" customHeight="false" outlineLevel="0" collapsed="false">
      <c r="A34182" s="3" t="s">
        <v>336</v>
      </c>
      <c r="G34182" s="16" t="n">
        <f aca="false">G34175*MIN(G34174-G34180+G34179,MAX(0,G34291-Assumptions!$C$12*G34107-G34117-G34130-G34143-G34156-G34169))</f>
        <v>0</v>
      </c>
      <c r="H34182" s="16" t="n">
        <f aca="false">H34175*MIN(H34174-H34180+H34179,MAX(0,H34291-Assumptions!$C$12*H34107-H34117-H34130-H34143-H34156-H34169))</f>
        <v>0</v>
      </c>
      <c r="I34182" s="16" t="n">
        <f aca="false">I34175*MIN(I34174-I34180+I34179,MAX(0,I34291-Assumptions!$C$12*I34107-I34117-I34130-I34143-I34156-I34169))</f>
        <v>0</v>
      </c>
      <c r="J34182" s="16" t="n">
        <f aca="false">J34175*MIN(J34174-J34180+J34179,MAX(0,J34291-Assumptions!$C$12*J34107-J34117-J34130-J34143-J34156-J34169))</f>
        <v>0</v>
      </c>
      <c r="K34182" s="16" t="n">
        <f aca="false">K34175*MIN(K34174-K34180+K34179,MAX(0,K34291-Assumptions!$C$12*K34107-K34117-K34130-K34143-K34156-K34169))</f>
        <v>0</v>
      </c>
    </row>
    <row r="34183" customFormat="false" ht="15" hidden="false" customHeight="false" outlineLevel="0" collapsed="false">
      <c r="A34183" s="3" t="s">
        <v>337</v>
      </c>
      <c r="G34183" s="16" t="n">
        <f aca="false">Assumptions!$N$62*MIN(G34174+G34181+G34179-G34180-G34182,MAX(0,G34295-G34118-G34131-G34144-G34157-G34170))</f>
        <v>0</v>
      </c>
      <c r="H34183" s="16" t="n">
        <f aca="false">Assumptions!$N$62*MIN(H34174+H34181+H34179-H34180-H34182,MAX(0,H34295-H34118-H34131-H34144-H34157-H34170))</f>
        <v>0</v>
      </c>
      <c r="I34183" s="16" t="n">
        <f aca="false">Assumptions!$N$62*MIN(I34174+I34181+I34179-I34180-I34182,MAX(0,I34295-I34118-I34131-I34144-I34157-I34170))</f>
        <v>0</v>
      </c>
      <c r="J34183" s="16" t="n">
        <f aca="false">Assumptions!$N$62*MIN(J34174+J34181+J34179-J34180-J34182,MAX(0,J34295-J34118-J34131-J34144-J34157-J34170))</f>
        <v>0</v>
      </c>
      <c r="K34183" s="16" t="n">
        <f aca="false">Assumptions!$N$62*MIN(K34174+K34181+K34179-K34180-K34182,MAX(0,K34295-K34118-K34131-K34144-K34157-K34170))</f>
        <v>0</v>
      </c>
    </row>
    <row r="34184" customFormat="false" ht="15" hidden="false" customHeight="false" outlineLevel="0" collapsed="false">
      <c r="A34184" s="3" t="s">
        <v>338</v>
      </c>
      <c r="G34184" s="16" t="n">
        <f aca="false">G34175*(1-G34107)*(G34174-G34180+G34179-G34182)</f>
        <v>0</v>
      </c>
      <c r="H34184" s="16" t="n">
        <f aca="false">H34175*(1-H34107)*(H34174-H34180+H34179-H34182)</f>
        <v>0</v>
      </c>
      <c r="I34184" s="16" t="n">
        <f aca="false">I34175*(1-I34107)*(I34174-I34180+I34179-I34182)</f>
        <v>0</v>
      </c>
      <c r="J34184" s="16" t="n">
        <f aca="false">J34175*(1-J34107)*(J34174-J34180+J34179-J34182)</f>
        <v>0</v>
      </c>
      <c r="K34184" s="16" t="n">
        <f aca="false">K34175*(1-K34107)*(K34174-K34180+K34179-K34182)</f>
        <v>0</v>
      </c>
    </row>
    <row r="34185" customFormat="false" ht="15" hidden="false" customHeight="false" outlineLevel="0" collapsed="false">
      <c r="A34185" s="2" t="s">
        <v>339</v>
      </c>
      <c r="F34185" s="28" t="n">
        <f aca="false">Assumptions!$C$62</f>
        <v>350</v>
      </c>
      <c r="G34185" s="17" t="n">
        <f aca="false">G34174+G34181+G34179-G34180-G34182-G34183</f>
        <v>350</v>
      </c>
      <c r="H34185" s="17" t="n">
        <f aca="false">H34174+H34181+H34179-H34180-H34182-H34183</f>
        <v>350</v>
      </c>
      <c r="I34185" s="17" t="n">
        <f aca="false">I34174+I34181+I34179-I34180-I34182-I34183</f>
        <v>350</v>
      </c>
      <c r="J34185" s="17" t="n">
        <f aca="false">J34174+J34181+J34179-J34180-J34182-J34183</f>
        <v>350</v>
      </c>
      <c r="K34185" s="17" t="n">
        <f aca="false">K34174+K34181+K34179-K34180-K34182-K34183</f>
        <v>350</v>
      </c>
    </row>
    <row r="34186" customFormat="false" ht="15" hidden="false" customHeight="false" outlineLevel="0" collapsed="false">
      <c r="A34186" s="24" t="s">
        <v>345</v>
      </c>
      <c r="B34186" s="25"/>
      <c r="C34186" s="25"/>
      <c r="D34186" s="25"/>
      <c r="E34186" s="25"/>
      <c r="F34186" s="25"/>
      <c r="G34186" s="25"/>
      <c r="H34186" s="25"/>
      <c r="I34186" s="25"/>
      <c r="J34186" s="25"/>
      <c r="K34186" s="25"/>
    </row>
    <row r="34187" customFormat="false" ht="15" hidden="false" customHeight="false" outlineLevel="0" collapsed="false">
      <c r="A34187" s="3" t="s">
        <v>329</v>
      </c>
      <c r="G34187" s="16" t="n">
        <f aca="false">F34198</f>
        <v>550</v>
      </c>
      <c r="H34187" s="16" t="n">
        <f aca="false">G34198</f>
        <v>550</v>
      </c>
      <c r="I34187" s="16" t="n">
        <f aca="false">H34198</f>
        <v>550</v>
      </c>
      <c r="J34187" s="16" t="n">
        <f aca="false">I34198</f>
        <v>550</v>
      </c>
      <c r="K34187" s="16" t="n">
        <f aca="false">J34198</f>
        <v>550</v>
      </c>
    </row>
    <row r="34188" customFormat="false" ht="15" hidden="false" customHeight="false" outlineLevel="0" collapsed="false">
      <c r="A34188" s="3" t="s">
        <v>330</v>
      </c>
      <c r="G34188" s="21" t="n">
        <f aca="false">IF(G34073=Assumptions!$K$63,1,0)</f>
        <v>0</v>
      </c>
      <c r="H34188" s="21" t="n">
        <f aca="false">IF(H34073=Assumptions!$K$63,1,0)</f>
        <v>0</v>
      </c>
      <c r="I34188" s="21" t="n">
        <f aca="false">IF(I34073=Assumptions!$K$63,1,0)</f>
        <v>1</v>
      </c>
      <c r="J34188" s="21" t="n">
        <f aca="false">IF(J34073=Assumptions!$K$63,1,0)</f>
        <v>0</v>
      </c>
      <c r="K34188" s="21" t="n">
        <f aca="false">IF(K34073=Assumptions!$K$63,1,0)</f>
        <v>0</v>
      </c>
    </row>
    <row r="34190" customFormat="false" ht="15" hidden="false" customHeight="false" outlineLevel="0" collapsed="false">
      <c r="A34190" s="3" t="s">
        <v>331</v>
      </c>
      <c r="G34190" s="31" t="n">
        <f aca="false">IF(Assumptions!$I$63=1,MAX(G34099,Assumptions!$G$63)+Assumptions!$F$63+$C$34100,Assumptions!$E$63)</f>
        <v>0.08875</v>
      </c>
      <c r="H34190" s="31" t="n">
        <f aca="false">IF(G34425=1,$C$34101,IF(Assumptions!$I$63=1,MAX(H34099,Assumptions!$G$63)+Assumptions!$F$63+$C$34100,Assumptions!$E$63))</f>
        <v>0.08875</v>
      </c>
      <c r="I34190" s="31" t="n">
        <f aca="false">IF(H34425=1,$C$34101,IF(Assumptions!$I$63=1,MAX(I34099,Assumptions!$G$63)+Assumptions!$F$63+$C$34100,Assumptions!$E$63))</f>
        <v>0.08875</v>
      </c>
      <c r="J34190" s="31" t="n">
        <f aca="false">IF(I34425=1,$C$34101,IF(Assumptions!$I$63=1,MAX(J34099,Assumptions!$G$63)+Assumptions!$F$63+$C$34100,Assumptions!$E$63))</f>
        <v>0.08</v>
      </c>
      <c r="K34190" s="31" t="n">
        <f aca="false">IF(J34425=1,$C$34101,IF(Assumptions!$I$63=1,MAX(K34099,Assumptions!$G$63)+Assumptions!$F$63+$C$34100,Assumptions!$E$63))</f>
        <v>0.08</v>
      </c>
    </row>
    <row r="34191" customFormat="false" ht="15" hidden="false" customHeight="false" outlineLevel="0" collapsed="false">
      <c r="A34191" s="3" t="s">
        <v>332</v>
      </c>
      <c r="G34191" s="16" t="n">
        <f aca="false">G34187*G34190</f>
        <v>48.8125</v>
      </c>
      <c r="H34191" s="16" t="n">
        <f aca="false">H34187*H34190</f>
        <v>48.8125</v>
      </c>
      <c r="I34191" s="16" t="n">
        <f aca="false">I34187*I34190</f>
        <v>48.8125</v>
      </c>
      <c r="J34191" s="16" t="n">
        <f aca="false">J34187*J34190</f>
        <v>44</v>
      </c>
      <c r="K34191" s="16" t="n">
        <f aca="false">K34187*K34190</f>
        <v>44</v>
      </c>
    </row>
    <row r="34192" customFormat="false" ht="15" hidden="false" customHeight="false" outlineLevel="0" collapsed="false">
      <c r="A34192" s="3" t="s">
        <v>333</v>
      </c>
      <c r="G34192" s="16" t="n">
        <f aca="false">G34187*Assumptions!$H$63</f>
        <v>0</v>
      </c>
      <c r="H34192" s="16" t="n">
        <f aca="false">H34187*Assumptions!$H$63</f>
        <v>0</v>
      </c>
      <c r="I34192" s="16" t="n">
        <f aca="false">I34187*Assumptions!$H$63</f>
        <v>0</v>
      </c>
      <c r="J34192" s="16" t="n">
        <f aca="false">J34187*Assumptions!$H$63</f>
        <v>0</v>
      </c>
      <c r="K34192" s="16" t="n">
        <f aca="false">K34187*Assumptions!$H$63</f>
        <v>0</v>
      </c>
    </row>
    <row r="34193" customFormat="false" ht="15" hidden="false" customHeight="false" outlineLevel="0" collapsed="false">
      <c r="A34193" s="3" t="s">
        <v>334</v>
      </c>
      <c r="G34193" s="16" t="n">
        <f aca="false">MIN(G34187,Assumptions!$L$63*Assumptions!$C$63)</f>
        <v>0</v>
      </c>
      <c r="H34193" s="16" t="n">
        <f aca="false">MIN(H34187,Assumptions!$L$63*Assumptions!$C$63)</f>
        <v>0</v>
      </c>
      <c r="I34193" s="16" t="n">
        <f aca="false">MIN(I34187,Assumptions!$L$63*Assumptions!$C$63)</f>
        <v>0</v>
      </c>
      <c r="J34193" s="16" t="n">
        <f aca="false">MIN(J34187,Assumptions!$L$63*Assumptions!$C$63)</f>
        <v>0</v>
      </c>
      <c r="K34193" s="16" t="n">
        <f aca="false">MIN(K34187,Assumptions!$L$63*Assumptions!$C$63)</f>
        <v>0</v>
      </c>
    </row>
    <row r="34194" customFormat="false" ht="15" hidden="false" customHeight="false" outlineLevel="0" collapsed="false">
      <c r="A34194" s="3" t="s">
        <v>335</v>
      </c>
      <c r="G34194" s="16" t="n">
        <f aca="false">IF(AND(Assumptions!$P$63=1,G34073&lt;Assumptions!$K$63),MIN(MAX(0,-G34289),MAX(0,Assumptions!$D$63-G34187)),0)</f>
        <v>0</v>
      </c>
      <c r="H34194" s="16" t="n">
        <f aca="false">IF(AND(Assumptions!$P$63=1,OR(H34073&lt;Assumptions!$K$63,G34425=1)),MIN(MAX(0,-H34289),MAX(0,Assumptions!$D$63-H34187)),0)</f>
        <v>0</v>
      </c>
      <c r="I34194" s="16" t="n">
        <f aca="false">IF(AND(Assumptions!$P$63=1,OR(I34073&lt;Assumptions!$K$63,H34425=1)),MIN(MAX(0,-I34289),MAX(0,Assumptions!$D$63-I34187)),0)</f>
        <v>0</v>
      </c>
      <c r="J34194" s="16" t="n">
        <f aca="false">IF(AND(Assumptions!$P$63=1,OR(J34073&lt;Assumptions!$K$63,I34425=1)),MIN(MAX(0,-J34289),MAX(0,Assumptions!$D$63-J34187)),0)</f>
        <v>0</v>
      </c>
      <c r="K34194" s="16" t="n">
        <f aca="false">IF(AND(Assumptions!$P$63=1,OR(K34073&lt;Assumptions!$K$63,J34425=1)),MIN(MAX(0,-K34289),MAX(0,Assumptions!$D$63-K34187)),0)</f>
        <v>0</v>
      </c>
    </row>
    <row r="34195" customFormat="false" ht="15" hidden="false" customHeight="false" outlineLevel="0" collapsed="false">
      <c r="A34195" s="3" t="s">
        <v>336</v>
      </c>
      <c r="G34195" s="16" t="n">
        <f aca="false">G34188*MIN(G34187-G34193+G34192,MAX(0,G34291-Assumptions!$C$12*G34107-G34117-G34130-G34143-G34156-G34169-G34182))</f>
        <v>0</v>
      </c>
      <c r="H34195" s="16" t="n">
        <f aca="false">H34188*MIN(H34187-H34193+H34192,MAX(0,H34291-Assumptions!$C$12*H34107-H34117-H34130-H34143-H34156-H34169-H34182))</f>
        <v>0</v>
      </c>
      <c r="I34195" s="16" t="n">
        <f aca="false">I34188*MIN(I34187-I34193+I34192,MAX(0,I34291-Assumptions!$C$12*I34107-I34117-I34130-I34143-I34156-I34169-I34182))</f>
        <v>0</v>
      </c>
      <c r="J34195" s="16" t="n">
        <f aca="false">J34188*MIN(J34187-J34193+J34192,MAX(0,J34291-Assumptions!$C$12*J34107-J34117-J34130-J34143-J34156-J34169-J34182))</f>
        <v>0</v>
      </c>
      <c r="K34195" s="16" t="n">
        <f aca="false">K34188*MIN(K34187-K34193+K34192,MAX(0,K34291-Assumptions!$C$12*K34107-K34117-K34130-K34143-K34156-K34169-K34182))</f>
        <v>0</v>
      </c>
    </row>
    <row r="34196" customFormat="false" ht="15" hidden="false" customHeight="false" outlineLevel="0" collapsed="false">
      <c r="A34196" s="3" t="s">
        <v>337</v>
      </c>
      <c r="G34196" s="16" t="n">
        <f aca="false">Assumptions!$N$63*MIN(G34187+G34194+G34192-G34193-G34195,MAX(0,G34295-G34118-G34131-G34144-G34157-G34170-G34183))</f>
        <v>0</v>
      </c>
      <c r="H34196" s="16" t="n">
        <f aca="false">Assumptions!$N$63*MIN(H34187+H34194+H34192-H34193-H34195,MAX(0,H34295-H34118-H34131-H34144-H34157-H34170-H34183))</f>
        <v>0</v>
      </c>
      <c r="I34196" s="16" t="n">
        <f aca="false">Assumptions!$N$63*MIN(I34187+I34194+I34192-I34193-I34195,MAX(0,I34295-I34118-I34131-I34144-I34157-I34170-I34183))</f>
        <v>0</v>
      </c>
      <c r="J34196" s="16" t="n">
        <f aca="false">Assumptions!$N$63*MIN(J34187+J34194+J34192-J34193-J34195,MAX(0,J34295-J34118-J34131-J34144-J34157-J34170-J34183))</f>
        <v>0</v>
      </c>
      <c r="K34196" s="16" t="n">
        <f aca="false">Assumptions!$N$63*MIN(K34187+K34194+K34192-K34193-K34195,MAX(0,K34295-K34118-K34131-K34144-K34157-K34170-K34183))</f>
        <v>0</v>
      </c>
    </row>
    <row r="34197" customFormat="false" ht="15" hidden="false" customHeight="false" outlineLevel="0" collapsed="false">
      <c r="A34197" s="3" t="s">
        <v>338</v>
      </c>
      <c r="G34197" s="16" t="n">
        <f aca="false">G34188*(1-G34107)*(G34187-G34193+G34192-G34195)</f>
        <v>0</v>
      </c>
      <c r="H34197" s="16" t="n">
        <f aca="false">H34188*(1-H34107)*(H34187-H34193+H34192-H34195)</f>
        <v>0</v>
      </c>
      <c r="I34197" s="16" t="n">
        <f aca="false">I34188*(1-I34107)*(I34187-I34193+I34192-I34195)</f>
        <v>0</v>
      </c>
      <c r="J34197" s="16" t="n">
        <f aca="false">J34188*(1-J34107)*(J34187-J34193+J34192-J34195)</f>
        <v>0</v>
      </c>
      <c r="K34197" s="16" t="n">
        <f aca="false">K34188*(1-K34107)*(K34187-K34193+K34192-K34195)</f>
        <v>0</v>
      </c>
    </row>
    <row r="34198" customFormat="false" ht="15" hidden="false" customHeight="false" outlineLevel="0" collapsed="false">
      <c r="A34198" s="2" t="s">
        <v>339</v>
      </c>
      <c r="F34198" s="28" t="n">
        <f aca="false">Assumptions!$C$63</f>
        <v>550</v>
      </c>
      <c r="G34198" s="17" t="n">
        <f aca="false">G34187+G34194+G34192-G34193-G34195-G34196</f>
        <v>550</v>
      </c>
      <c r="H34198" s="17" t="n">
        <f aca="false">H34187+H34194+H34192-H34193-H34195-H34196</f>
        <v>550</v>
      </c>
      <c r="I34198" s="17" t="n">
        <f aca="false">I34187+I34194+I34192-I34193-I34195-I34196</f>
        <v>550</v>
      </c>
      <c r="J34198" s="17" t="n">
        <f aca="false">J34187+J34194+J34192-J34193-J34195-J34196</f>
        <v>550</v>
      </c>
      <c r="K34198" s="17" t="n">
        <f aca="false">K34187+K34194+K34192-K34193-K34195-K34196</f>
        <v>550</v>
      </c>
    </row>
    <row r="34199" customFormat="false" ht="15" hidden="false" customHeight="false" outlineLevel="0" collapsed="false">
      <c r="A34199" s="24" t="s">
        <v>346</v>
      </c>
      <c r="B34199" s="25"/>
      <c r="C34199" s="25"/>
      <c r="D34199" s="25"/>
      <c r="E34199" s="25"/>
      <c r="F34199" s="25"/>
      <c r="G34199" s="25"/>
      <c r="H34199" s="25"/>
      <c r="I34199" s="25"/>
      <c r="J34199" s="25"/>
      <c r="K34199" s="25"/>
    </row>
    <row r="34200" customFormat="false" ht="15" hidden="false" customHeight="false" outlineLevel="0" collapsed="false">
      <c r="A34200" s="3" t="s">
        <v>329</v>
      </c>
      <c r="G34200" s="16" t="n">
        <f aca="false">F34211</f>
        <v>350</v>
      </c>
      <c r="H34200" s="16" t="n">
        <f aca="false">G34211</f>
        <v>350</v>
      </c>
      <c r="I34200" s="16" t="n">
        <f aca="false">H34211</f>
        <v>350</v>
      </c>
      <c r="J34200" s="16" t="n">
        <f aca="false">I34211</f>
        <v>350</v>
      </c>
      <c r="K34200" s="16" t="n">
        <f aca="false">J34211</f>
        <v>350</v>
      </c>
    </row>
    <row r="34201" customFormat="false" ht="15" hidden="false" customHeight="false" outlineLevel="0" collapsed="false">
      <c r="A34201" s="3" t="s">
        <v>330</v>
      </c>
      <c r="G34201" s="21" t="n">
        <f aca="false">IF(G34073=Assumptions!$K$64,1,0)</f>
        <v>0</v>
      </c>
      <c r="H34201" s="21" t="n">
        <f aca="false">IF(H34073=Assumptions!$K$64,1,0)</f>
        <v>0</v>
      </c>
      <c r="I34201" s="21" t="n">
        <f aca="false">IF(I34073=Assumptions!$K$64,1,0)</f>
        <v>0</v>
      </c>
      <c r="J34201" s="21" t="n">
        <f aca="false">IF(J34073=Assumptions!$K$64,1,0)</f>
        <v>1</v>
      </c>
      <c r="K34201" s="21" t="n">
        <f aca="false">IF(K34073=Assumptions!$K$64,1,0)</f>
        <v>0</v>
      </c>
    </row>
    <row r="34203" customFormat="false" ht="15" hidden="false" customHeight="false" outlineLevel="0" collapsed="false">
      <c r="A34203" s="3" t="s">
        <v>331</v>
      </c>
      <c r="G34203" s="31" t="n">
        <f aca="false">IF(Assumptions!$I$64=1,MAX(G34099,Assumptions!$G$64)+Assumptions!$F$64+$C$34100,Assumptions!$E$64)</f>
        <v>0.0455</v>
      </c>
      <c r="H34203" s="31" t="n">
        <f aca="false">IF(G34426=1,$C$34101,IF(Assumptions!$I$64=1,MAX(H34099,Assumptions!$G$64)+Assumptions!$F$64+$C$34100,Assumptions!$E$64))</f>
        <v>0.0455</v>
      </c>
      <c r="I34203" s="31" t="n">
        <f aca="false">IF(H34426=1,$C$34101,IF(Assumptions!$I$64=1,MAX(I34099,Assumptions!$G$64)+Assumptions!$F$64+$C$34100,Assumptions!$E$64))</f>
        <v>0.0455</v>
      </c>
      <c r="J34203" s="31" t="n">
        <f aca="false">IF(I34426=1,$C$34101,IF(Assumptions!$I$64=1,MAX(J34099,Assumptions!$G$64)+Assumptions!$F$64+$C$34100,Assumptions!$E$64))</f>
        <v>0.0455</v>
      </c>
      <c r="K34203" s="31" t="n">
        <f aca="false">IF(J34426=1,$C$34101,IF(Assumptions!$I$64=1,MAX(K34099,Assumptions!$G$64)+Assumptions!$F$64+$C$34100,Assumptions!$E$64))</f>
        <v>0.08</v>
      </c>
    </row>
    <row r="34204" customFormat="false" ht="15" hidden="false" customHeight="false" outlineLevel="0" collapsed="false">
      <c r="A34204" s="3" t="s">
        <v>332</v>
      </c>
      <c r="G34204" s="16" t="n">
        <f aca="false">G34200*G34203</f>
        <v>15.925</v>
      </c>
      <c r="H34204" s="16" t="n">
        <f aca="false">H34200*H34203</f>
        <v>15.925</v>
      </c>
      <c r="I34204" s="16" t="n">
        <f aca="false">I34200*I34203</f>
        <v>15.925</v>
      </c>
      <c r="J34204" s="16" t="n">
        <f aca="false">J34200*J34203</f>
        <v>15.925</v>
      </c>
      <c r="K34204" s="16" t="n">
        <f aca="false">K34200*K34203</f>
        <v>28</v>
      </c>
    </row>
    <row r="34205" customFormat="false" ht="15" hidden="false" customHeight="false" outlineLevel="0" collapsed="false">
      <c r="A34205" s="3" t="s">
        <v>333</v>
      </c>
      <c r="G34205" s="16" t="n">
        <f aca="false">G34200*Assumptions!$H$64</f>
        <v>0</v>
      </c>
      <c r="H34205" s="16" t="n">
        <f aca="false">H34200*Assumptions!$H$64</f>
        <v>0</v>
      </c>
      <c r="I34205" s="16" t="n">
        <f aca="false">I34200*Assumptions!$H$64</f>
        <v>0</v>
      </c>
      <c r="J34205" s="16" t="n">
        <f aca="false">J34200*Assumptions!$H$64</f>
        <v>0</v>
      </c>
      <c r="K34205" s="16" t="n">
        <f aca="false">K34200*Assumptions!$H$64</f>
        <v>0</v>
      </c>
    </row>
    <row r="34206" customFormat="false" ht="15" hidden="false" customHeight="false" outlineLevel="0" collapsed="false">
      <c r="A34206" s="3" t="s">
        <v>334</v>
      </c>
      <c r="G34206" s="16" t="n">
        <f aca="false">MIN(G34200,Assumptions!$L$64*Assumptions!$C$64)</f>
        <v>0</v>
      </c>
      <c r="H34206" s="16" t="n">
        <f aca="false">MIN(H34200,Assumptions!$L$64*Assumptions!$C$64)</f>
        <v>0</v>
      </c>
      <c r="I34206" s="16" t="n">
        <f aca="false">MIN(I34200,Assumptions!$L$64*Assumptions!$C$64)</f>
        <v>0</v>
      </c>
      <c r="J34206" s="16" t="n">
        <f aca="false">MIN(J34200,Assumptions!$L$64*Assumptions!$C$64)</f>
        <v>0</v>
      </c>
      <c r="K34206" s="16" t="n">
        <f aca="false">MIN(K34200,Assumptions!$L$64*Assumptions!$C$64)</f>
        <v>0</v>
      </c>
    </row>
    <row r="34207" customFormat="false" ht="15" hidden="false" customHeight="false" outlineLevel="0" collapsed="false">
      <c r="A34207" s="3" t="s">
        <v>335</v>
      </c>
      <c r="G34207" s="16" t="n">
        <f aca="false">IF(AND(Assumptions!$P$64=1,G34073&lt;Assumptions!$K$64),MIN(MAX(0,-G34289),MAX(0,Assumptions!$D$64-G34200)),0)</f>
        <v>0</v>
      </c>
      <c r="H34207" s="16" t="n">
        <f aca="false">IF(AND(Assumptions!$P$64=1,OR(H34073&lt;Assumptions!$K$64,G34426=1)),MIN(MAX(0,-H34289),MAX(0,Assumptions!$D$64-H34200)),0)</f>
        <v>0</v>
      </c>
      <c r="I34207" s="16" t="n">
        <f aca="false">IF(AND(Assumptions!$P$64=1,OR(I34073&lt;Assumptions!$K$64,H34426=1)),MIN(MAX(0,-I34289),MAX(0,Assumptions!$D$64-I34200)),0)</f>
        <v>0</v>
      </c>
      <c r="J34207" s="16" t="n">
        <f aca="false">IF(AND(Assumptions!$P$64=1,OR(J34073&lt;Assumptions!$K$64,I34426=1)),MIN(MAX(0,-J34289),MAX(0,Assumptions!$D$64-J34200)),0)</f>
        <v>0</v>
      </c>
      <c r="K34207" s="16" t="n">
        <f aca="false">IF(AND(Assumptions!$P$64=1,OR(K34073&lt;Assumptions!$K$64,J34426=1)),MIN(MAX(0,-K34289),MAX(0,Assumptions!$D$64-K34200)),0)</f>
        <v>0</v>
      </c>
    </row>
    <row r="34208" customFormat="false" ht="15" hidden="false" customHeight="false" outlineLevel="0" collapsed="false">
      <c r="A34208" s="3" t="s">
        <v>336</v>
      </c>
      <c r="G34208" s="16" t="n">
        <f aca="false">G34201*MIN(G34200-G34206+G34205,MAX(0,G34291-Assumptions!$C$12*G34107-G34117-G34130-G34143-G34156-G34169-G34182-G34195))</f>
        <v>0</v>
      </c>
      <c r="H34208" s="16" t="n">
        <f aca="false">H34201*MIN(H34200-H34206+H34205,MAX(0,H34291-Assumptions!$C$12*H34107-H34117-H34130-H34143-H34156-H34169-H34182-H34195))</f>
        <v>0</v>
      </c>
      <c r="I34208" s="16" t="n">
        <f aca="false">I34201*MIN(I34200-I34206+I34205,MAX(0,I34291-Assumptions!$C$12*I34107-I34117-I34130-I34143-I34156-I34169-I34182-I34195))</f>
        <v>0</v>
      </c>
      <c r="J34208" s="16" t="n">
        <f aca="false">J34201*MIN(J34200-J34206+J34205,MAX(0,J34291-Assumptions!$C$12*J34107-J34117-J34130-J34143-J34156-J34169-J34182-J34195))</f>
        <v>0</v>
      </c>
      <c r="K34208" s="16" t="n">
        <f aca="false">K34201*MIN(K34200-K34206+K34205,MAX(0,K34291-Assumptions!$C$12*K34107-K34117-K34130-K34143-K34156-K34169-K34182-K34195))</f>
        <v>0</v>
      </c>
    </row>
    <row r="34209" customFormat="false" ht="15" hidden="false" customHeight="false" outlineLevel="0" collapsed="false">
      <c r="A34209" s="3" t="s">
        <v>337</v>
      </c>
      <c r="G34209" s="16" t="n">
        <f aca="false">Assumptions!$N$64*MIN(G34200+G34207+G34205-G34206-G34208,MAX(0,G34295-G34118-G34131-G34144-G34157-G34170-G34183-G34196))</f>
        <v>0</v>
      </c>
      <c r="H34209" s="16" t="n">
        <f aca="false">Assumptions!$N$64*MIN(H34200+H34207+H34205-H34206-H34208,MAX(0,H34295-H34118-H34131-H34144-H34157-H34170-H34183-H34196))</f>
        <v>0</v>
      </c>
      <c r="I34209" s="16" t="n">
        <f aca="false">Assumptions!$N$64*MIN(I34200+I34207+I34205-I34206-I34208,MAX(0,I34295-I34118-I34131-I34144-I34157-I34170-I34183-I34196))</f>
        <v>0</v>
      </c>
      <c r="J34209" s="16" t="n">
        <f aca="false">Assumptions!$N$64*MIN(J34200+J34207+J34205-J34206-J34208,MAX(0,J34295-J34118-J34131-J34144-J34157-J34170-J34183-J34196))</f>
        <v>0</v>
      </c>
      <c r="K34209" s="16" t="n">
        <f aca="false">Assumptions!$N$64*MIN(K34200+K34207+K34205-K34206-K34208,MAX(0,K34295-K34118-K34131-K34144-K34157-K34170-K34183-K34196))</f>
        <v>0</v>
      </c>
    </row>
    <row r="34210" customFormat="false" ht="15" hidden="false" customHeight="false" outlineLevel="0" collapsed="false">
      <c r="A34210" s="3" t="s">
        <v>338</v>
      </c>
      <c r="G34210" s="16" t="n">
        <f aca="false">G34201*(1-G34107)*(G34200-G34206+G34205-G34208)</f>
        <v>0</v>
      </c>
      <c r="H34210" s="16" t="n">
        <f aca="false">H34201*(1-H34107)*(H34200-H34206+H34205-H34208)</f>
        <v>0</v>
      </c>
      <c r="I34210" s="16" t="n">
        <f aca="false">I34201*(1-I34107)*(I34200-I34206+I34205-I34208)</f>
        <v>0</v>
      </c>
      <c r="J34210" s="16" t="n">
        <f aca="false">J34201*(1-J34107)*(J34200-J34206+J34205-J34208)</f>
        <v>0</v>
      </c>
      <c r="K34210" s="16" t="n">
        <f aca="false">K34201*(1-K34107)*(K34200-K34206+K34205-K34208)</f>
        <v>0</v>
      </c>
    </row>
    <row r="34211" customFormat="false" ht="15" hidden="false" customHeight="false" outlineLevel="0" collapsed="false">
      <c r="A34211" s="2" t="s">
        <v>339</v>
      </c>
      <c r="F34211" s="28" t="n">
        <f aca="false">Assumptions!$C$64</f>
        <v>350</v>
      </c>
      <c r="G34211" s="17" t="n">
        <f aca="false">G34200+G34207+G34205-G34206-G34208-G34209</f>
        <v>350</v>
      </c>
      <c r="H34211" s="17" t="n">
        <f aca="false">H34200+H34207+H34205-H34206-H34208-H34209</f>
        <v>350</v>
      </c>
      <c r="I34211" s="17" t="n">
        <f aca="false">I34200+I34207+I34205-I34206-I34208-I34209</f>
        <v>350</v>
      </c>
      <c r="J34211" s="17" t="n">
        <f aca="false">J34200+J34207+J34205-J34206-J34208-J34209</f>
        <v>350</v>
      </c>
      <c r="K34211" s="17" t="n">
        <f aca="false">K34200+K34207+K34205-K34206-K34208-K34209</f>
        <v>350</v>
      </c>
    </row>
    <row r="34212" customFormat="false" ht="15" hidden="false" customHeight="false" outlineLevel="0" collapsed="false">
      <c r="A34212" s="24" t="s">
        <v>347</v>
      </c>
      <c r="B34212" s="25"/>
      <c r="C34212" s="25"/>
      <c r="D34212" s="25"/>
      <c r="E34212" s="25"/>
      <c r="F34212" s="25"/>
      <c r="G34212" s="25"/>
      <c r="H34212" s="25"/>
      <c r="I34212" s="25"/>
      <c r="J34212" s="25"/>
      <c r="K34212" s="25"/>
    </row>
    <row r="34213" customFormat="false" ht="15" hidden="false" customHeight="false" outlineLevel="0" collapsed="false">
      <c r="A34213" s="3" t="s">
        <v>329</v>
      </c>
      <c r="G34213" s="16" t="n">
        <f aca="false">F34224</f>
        <v>300</v>
      </c>
      <c r="H34213" s="16" t="n">
        <f aca="false">G34224</f>
        <v>300</v>
      </c>
      <c r="I34213" s="16" t="n">
        <f aca="false">H34224</f>
        <v>300</v>
      </c>
      <c r="J34213" s="16" t="n">
        <f aca="false">I34224</f>
        <v>300</v>
      </c>
      <c r="K34213" s="16" t="n">
        <f aca="false">J34224</f>
        <v>300</v>
      </c>
    </row>
    <row r="34214" customFormat="false" ht="15" hidden="false" customHeight="false" outlineLevel="0" collapsed="false">
      <c r="A34214" s="3" t="s">
        <v>330</v>
      </c>
      <c r="G34214" s="21" t="n">
        <f aca="false">IF(G34073=Assumptions!$K$65,1,0)</f>
        <v>0</v>
      </c>
      <c r="H34214" s="21" t="n">
        <f aca="false">IF(H34073=Assumptions!$K$65,1,0)</f>
        <v>0</v>
      </c>
      <c r="I34214" s="21" t="n">
        <f aca="false">IF(I34073=Assumptions!$K$65,1,0)</f>
        <v>0</v>
      </c>
      <c r="J34214" s="21" t="n">
        <f aca="false">IF(J34073=Assumptions!$K$65,1,0)</f>
        <v>0</v>
      </c>
      <c r="K34214" s="21" t="n">
        <f aca="false">IF(K34073=Assumptions!$K$65,1,0)</f>
        <v>1</v>
      </c>
    </row>
    <row r="34216" customFormat="false" ht="15" hidden="false" customHeight="false" outlineLevel="0" collapsed="false">
      <c r="A34216" s="3" t="s">
        <v>331</v>
      </c>
      <c r="G34216" s="31" t="n">
        <f aca="false">IF(Assumptions!$I$65=1,MAX(G34099,Assumptions!$G$65)+Assumptions!$F$65+$C$34100,Assumptions!$E$65)</f>
        <v>0.06125</v>
      </c>
      <c r="H34216" s="31" t="n">
        <f aca="false">IF(G34427=1,$C$34101,IF(Assumptions!$I$65=1,MAX(H34099,Assumptions!$G$65)+Assumptions!$F$65+$C$34100,Assumptions!$E$65))</f>
        <v>0.06125</v>
      </c>
      <c r="I34216" s="31" t="n">
        <f aca="false">IF(H34427=1,$C$34101,IF(Assumptions!$I$65=1,MAX(I34099,Assumptions!$G$65)+Assumptions!$F$65+$C$34100,Assumptions!$E$65))</f>
        <v>0.06125</v>
      </c>
      <c r="J34216" s="31" t="n">
        <f aca="false">IF(I34427=1,$C$34101,IF(Assumptions!$I$65=1,MAX(J34099,Assumptions!$G$65)+Assumptions!$F$65+$C$34100,Assumptions!$E$65))</f>
        <v>0.06125</v>
      </c>
      <c r="K34216" s="31" t="n">
        <f aca="false">IF(J34427=1,$C$34101,IF(Assumptions!$I$65=1,MAX(K34099,Assumptions!$G$65)+Assumptions!$F$65+$C$34100,Assumptions!$E$65))</f>
        <v>0.06125</v>
      </c>
    </row>
    <row r="34217" customFormat="false" ht="15" hidden="false" customHeight="false" outlineLevel="0" collapsed="false">
      <c r="A34217" s="3" t="s">
        <v>332</v>
      </c>
      <c r="G34217" s="16" t="n">
        <f aca="false">G34213*G34216</f>
        <v>18.375</v>
      </c>
      <c r="H34217" s="16" t="n">
        <f aca="false">H34213*H34216</f>
        <v>18.375</v>
      </c>
      <c r="I34217" s="16" t="n">
        <f aca="false">I34213*I34216</f>
        <v>18.375</v>
      </c>
      <c r="J34217" s="16" t="n">
        <f aca="false">J34213*J34216</f>
        <v>18.375</v>
      </c>
      <c r="K34217" s="16" t="n">
        <f aca="false">K34213*K34216</f>
        <v>18.375</v>
      </c>
    </row>
    <row r="34218" customFormat="false" ht="15" hidden="false" customHeight="false" outlineLevel="0" collapsed="false">
      <c r="A34218" s="3" t="s">
        <v>333</v>
      </c>
      <c r="G34218" s="16" t="n">
        <f aca="false">G34213*Assumptions!$H$65</f>
        <v>0</v>
      </c>
      <c r="H34218" s="16" t="n">
        <f aca="false">H34213*Assumptions!$H$65</f>
        <v>0</v>
      </c>
      <c r="I34218" s="16" t="n">
        <f aca="false">I34213*Assumptions!$H$65</f>
        <v>0</v>
      </c>
      <c r="J34218" s="16" t="n">
        <f aca="false">J34213*Assumptions!$H$65</f>
        <v>0</v>
      </c>
      <c r="K34218" s="16" t="n">
        <f aca="false">K34213*Assumptions!$H$65</f>
        <v>0</v>
      </c>
    </row>
    <row r="34219" customFormat="false" ht="15" hidden="false" customHeight="false" outlineLevel="0" collapsed="false">
      <c r="A34219" s="3" t="s">
        <v>334</v>
      </c>
      <c r="G34219" s="16" t="n">
        <f aca="false">MIN(G34213,Assumptions!$L$65*Assumptions!$C$65)</f>
        <v>0</v>
      </c>
      <c r="H34219" s="16" t="n">
        <f aca="false">MIN(H34213,Assumptions!$L$65*Assumptions!$C$65)</f>
        <v>0</v>
      </c>
      <c r="I34219" s="16" t="n">
        <f aca="false">MIN(I34213,Assumptions!$L$65*Assumptions!$C$65)</f>
        <v>0</v>
      </c>
      <c r="J34219" s="16" t="n">
        <f aca="false">MIN(J34213,Assumptions!$L$65*Assumptions!$C$65)</f>
        <v>0</v>
      </c>
      <c r="K34219" s="16" t="n">
        <f aca="false">MIN(K34213,Assumptions!$L$65*Assumptions!$C$65)</f>
        <v>0</v>
      </c>
    </row>
    <row r="34220" customFormat="false" ht="15" hidden="false" customHeight="false" outlineLevel="0" collapsed="false">
      <c r="A34220" s="3" t="s">
        <v>335</v>
      </c>
      <c r="G34220" s="16" t="n">
        <f aca="false">IF(AND(Assumptions!$P$65=1,G34073&lt;Assumptions!$K$65),MIN(MAX(0,-G34289),MAX(0,Assumptions!$D$65-G34213)),0)</f>
        <v>0</v>
      </c>
      <c r="H34220" s="16" t="n">
        <f aca="false">IF(AND(Assumptions!$P$65=1,OR(H34073&lt;Assumptions!$K$65,G34427=1)),MIN(MAX(0,-H34289),MAX(0,Assumptions!$D$65-H34213)),0)</f>
        <v>0</v>
      </c>
      <c r="I34220" s="16" t="n">
        <f aca="false">IF(AND(Assumptions!$P$65=1,OR(I34073&lt;Assumptions!$K$65,H34427=1)),MIN(MAX(0,-I34289),MAX(0,Assumptions!$D$65-I34213)),0)</f>
        <v>0</v>
      </c>
      <c r="J34220" s="16" t="n">
        <f aca="false">IF(AND(Assumptions!$P$65=1,OR(J34073&lt;Assumptions!$K$65,I34427=1)),MIN(MAX(0,-J34289),MAX(0,Assumptions!$D$65-J34213)),0)</f>
        <v>0</v>
      </c>
      <c r="K34220" s="16" t="n">
        <f aca="false">IF(AND(Assumptions!$P$65=1,OR(K34073&lt;Assumptions!$K$65,J34427=1)),MIN(MAX(0,-K34289),MAX(0,Assumptions!$D$65-K34213)),0)</f>
        <v>0</v>
      </c>
    </row>
    <row r="34221" customFormat="false" ht="15" hidden="false" customHeight="false" outlineLevel="0" collapsed="false">
      <c r="A34221" s="3" t="s">
        <v>336</v>
      </c>
      <c r="G34221" s="16" t="n">
        <f aca="false">G34214*MIN(G34213-G34219+G34218,MAX(0,G34291-Assumptions!$C$12*G34107-G34117-G34130-G34143-G34156-G34169-G34182-G34195-G34208))</f>
        <v>0</v>
      </c>
      <c r="H34221" s="16" t="n">
        <f aca="false">H34214*MIN(H34213-H34219+H34218,MAX(0,H34291-Assumptions!$C$12*H34107-H34117-H34130-H34143-H34156-H34169-H34182-H34195-H34208))</f>
        <v>0</v>
      </c>
      <c r="I34221" s="16" t="n">
        <f aca="false">I34214*MIN(I34213-I34219+I34218,MAX(0,I34291-Assumptions!$C$12*I34107-I34117-I34130-I34143-I34156-I34169-I34182-I34195-I34208))</f>
        <v>0</v>
      </c>
      <c r="J34221" s="16" t="n">
        <f aca="false">J34214*MIN(J34213-J34219+J34218,MAX(0,J34291-Assumptions!$C$12*J34107-J34117-J34130-J34143-J34156-J34169-J34182-J34195-J34208))</f>
        <v>0</v>
      </c>
      <c r="K34221" s="16" t="n">
        <f aca="false">K34214*MIN(K34213-K34219+K34218,MAX(0,K34291-Assumptions!$C$12*K34107-K34117-K34130-K34143-K34156-K34169-K34182-K34195-K34208))</f>
        <v>0</v>
      </c>
    </row>
    <row r="34222" customFormat="false" ht="15" hidden="false" customHeight="false" outlineLevel="0" collapsed="false">
      <c r="A34222" s="3" t="s">
        <v>337</v>
      </c>
      <c r="G34222" s="16" t="n">
        <f aca="false">Assumptions!$N$65*MIN(G34213+G34220+G34218-G34219-G34221,MAX(0,G34295-G34118-G34131-G34144-G34157-G34170-G34183-G34196-G34209))</f>
        <v>0</v>
      </c>
      <c r="H34222" s="16" t="n">
        <f aca="false">Assumptions!$N$65*MIN(H34213+H34220+H34218-H34219-H34221,MAX(0,H34295-H34118-H34131-H34144-H34157-H34170-H34183-H34196-H34209))</f>
        <v>0</v>
      </c>
      <c r="I34222" s="16" t="n">
        <f aca="false">Assumptions!$N$65*MIN(I34213+I34220+I34218-I34219-I34221,MAX(0,I34295-I34118-I34131-I34144-I34157-I34170-I34183-I34196-I34209))</f>
        <v>0</v>
      </c>
      <c r="J34222" s="16" t="n">
        <f aca="false">Assumptions!$N$65*MIN(J34213+J34220+J34218-J34219-J34221,MAX(0,J34295-J34118-J34131-J34144-J34157-J34170-J34183-J34196-J34209))</f>
        <v>0</v>
      </c>
      <c r="K34222" s="16" t="n">
        <f aca="false">Assumptions!$N$65*MIN(K34213+K34220+K34218-K34219-K34221,MAX(0,K34295-K34118-K34131-K34144-K34157-K34170-K34183-K34196-K34209))</f>
        <v>0</v>
      </c>
    </row>
    <row r="34223" customFormat="false" ht="15" hidden="false" customHeight="false" outlineLevel="0" collapsed="false">
      <c r="A34223" s="3" t="s">
        <v>338</v>
      </c>
      <c r="G34223" s="16" t="n">
        <f aca="false">G34214*(1-G34107)*(G34213-G34219+G34218-G34221)</f>
        <v>0</v>
      </c>
      <c r="H34223" s="16" t="n">
        <f aca="false">H34214*(1-H34107)*(H34213-H34219+H34218-H34221)</f>
        <v>0</v>
      </c>
      <c r="I34223" s="16" t="n">
        <f aca="false">I34214*(1-I34107)*(I34213-I34219+I34218-I34221)</f>
        <v>0</v>
      </c>
      <c r="J34223" s="16" t="n">
        <f aca="false">J34214*(1-J34107)*(J34213-J34219+J34218-J34221)</f>
        <v>0</v>
      </c>
      <c r="K34223" s="16" t="n">
        <f aca="false">K34214*(1-K34107)*(K34213-K34219+K34218-K34221)</f>
        <v>0</v>
      </c>
    </row>
    <row r="34224" customFormat="false" ht="15" hidden="false" customHeight="false" outlineLevel="0" collapsed="false">
      <c r="A34224" s="2" t="s">
        <v>339</v>
      </c>
      <c r="F34224" s="28" t="n">
        <f aca="false">Assumptions!$C$65</f>
        <v>300</v>
      </c>
      <c r="G34224" s="17" t="n">
        <f aca="false">G34213+G34220+G34218-G34219-G34221-G34222</f>
        <v>300</v>
      </c>
      <c r="H34224" s="17" t="n">
        <f aca="false">H34213+H34220+H34218-H34219-H34221-H34222</f>
        <v>300</v>
      </c>
      <c r="I34224" s="17" t="n">
        <f aca="false">I34213+I34220+I34218-I34219-I34221-I34222</f>
        <v>300</v>
      </c>
      <c r="J34224" s="17" t="n">
        <f aca="false">J34213+J34220+J34218-J34219-J34221-J34222</f>
        <v>300</v>
      </c>
      <c r="K34224" s="17" t="n">
        <f aca="false">K34213+K34220+K34218-K34219-K34221-K34222</f>
        <v>300</v>
      </c>
    </row>
    <row r="34225" customFormat="false" ht="15" hidden="false" customHeight="false" outlineLevel="0" collapsed="false">
      <c r="A34225" s="24" t="s">
        <v>348</v>
      </c>
      <c r="B34225" s="25"/>
      <c r="C34225" s="25"/>
      <c r="D34225" s="25"/>
      <c r="E34225" s="25"/>
      <c r="F34225" s="25"/>
      <c r="G34225" s="25"/>
      <c r="H34225" s="25"/>
      <c r="I34225" s="25"/>
      <c r="J34225" s="25"/>
      <c r="K34225" s="25"/>
    </row>
    <row r="34226" customFormat="false" ht="15" hidden="false" customHeight="false" outlineLevel="0" collapsed="false">
      <c r="A34226" s="3" t="s">
        <v>329</v>
      </c>
      <c r="G34226" s="16" t="n">
        <f aca="false">F34237</f>
        <v>78.61</v>
      </c>
      <c r="H34226" s="16" t="n">
        <f aca="false">G34237</f>
        <v>78.61</v>
      </c>
      <c r="I34226" s="16" t="n">
        <f aca="false">H34237</f>
        <v>78.61</v>
      </c>
      <c r="J34226" s="16" t="n">
        <f aca="false">I34237</f>
        <v>78.61</v>
      </c>
      <c r="K34226" s="16" t="n">
        <f aca="false">J34237</f>
        <v>78.61</v>
      </c>
    </row>
    <row r="34227" customFormat="false" ht="15" hidden="false" customHeight="false" outlineLevel="0" collapsed="false">
      <c r="A34227" s="3" t="s">
        <v>330</v>
      </c>
      <c r="G34227" s="21" t="n">
        <f aca="false">IF(G34073=Assumptions!$K$66,1,0)</f>
        <v>0</v>
      </c>
      <c r="H34227" s="21" t="n">
        <f aca="false">IF(H34073=Assumptions!$K$66,1,0)</f>
        <v>0</v>
      </c>
      <c r="I34227" s="21" t="n">
        <f aca="false">IF(I34073=Assumptions!$K$66,1,0)</f>
        <v>0</v>
      </c>
      <c r="J34227" s="21" t="n">
        <f aca="false">IF(J34073=Assumptions!$K$66,1,0)</f>
        <v>0</v>
      </c>
      <c r="K34227" s="21" t="n">
        <f aca="false">IF(K34073=Assumptions!$K$66,1,0)</f>
        <v>0</v>
      </c>
    </row>
    <row r="34229" customFormat="false" ht="15" hidden="false" customHeight="false" outlineLevel="0" collapsed="false">
      <c r="A34229" s="3" t="s">
        <v>331</v>
      </c>
      <c r="G34229" s="31" t="n">
        <f aca="false">IF(Assumptions!$I$66=1,MAX(G34099,Assumptions!$G$66)+Assumptions!$F$66+$C$34100,Assumptions!$E$66)</f>
        <v>0.0541</v>
      </c>
      <c r="H34229" s="31" t="n">
        <f aca="false">IF(G34428=1,$C$34101,IF(Assumptions!$I$66=1,MAX(H34099,Assumptions!$G$66)+Assumptions!$F$66+$C$34100,Assumptions!$E$66))</f>
        <v>0.0526</v>
      </c>
      <c r="I34229" s="31" t="n">
        <f aca="false">IF(H34428=1,$C$34101,IF(Assumptions!$I$66=1,MAX(I34099,Assumptions!$G$66)+Assumptions!$F$66+$C$34100,Assumptions!$E$66))</f>
        <v>0.0501</v>
      </c>
      <c r="J34229" s="31" t="n">
        <f aca="false">IF(I34428=1,$C$34101,IF(Assumptions!$I$66=1,MAX(J34099,Assumptions!$G$66)+Assumptions!$F$66+$C$34100,Assumptions!$E$66))</f>
        <v>0.0501</v>
      </c>
      <c r="K34229" s="31" t="n">
        <f aca="false">IF(J34428=1,$C$34101,IF(Assumptions!$I$66=1,MAX(K34099,Assumptions!$G$66)+Assumptions!$F$66+$C$34100,Assumptions!$E$66))</f>
        <v>0.0501</v>
      </c>
    </row>
    <row r="34230" customFormat="false" ht="15" hidden="false" customHeight="false" outlineLevel="0" collapsed="false">
      <c r="A34230" s="3" t="s">
        <v>332</v>
      </c>
      <c r="G34230" s="16" t="n">
        <f aca="false">G34226*G34229</f>
        <v>4.252801</v>
      </c>
      <c r="H34230" s="16" t="n">
        <f aca="false">H34226*H34229</f>
        <v>4.134886</v>
      </c>
      <c r="I34230" s="16" t="n">
        <f aca="false">I34226*I34229</f>
        <v>3.938361</v>
      </c>
      <c r="J34230" s="16" t="n">
        <f aca="false">J34226*J34229</f>
        <v>3.938361</v>
      </c>
      <c r="K34230" s="16" t="n">
        <f aca="false">K34226*K34229</f>
        <v>3.938361</v>
      </c>
    </row>
    <row r="34231" customFormat="false" ht="15" hidden="false" customHeight="false" outlineLevel="0" collapsed="false">
      <c r="A34231" s="3" t="s">
        <v>333</v>
      </c>
      <c r="G34231" s="16" t="n">
        <f aca="false">G34226*Assumptions!$H$66</f>
        <v>0</v>
      </c>
      <c r="H34231" s="16" t="n">
        <f aca="false">H34226*Assumptions!$H$66</f>
        <v>0</v>
      </c>
      <c r="I34231" s="16" t="n">
        <f aca="false">I34226*Assumptions!$H$66</f>
        <v>0</v>
      </c>
      <c r="J34231" s="16" t="n">
        <f aca="false">J34226*Assumptions!$H$66</f>
        <v>0</v>
      </c>
      <c r="K34231" s="16" t="n">
        <f aca="false">K34226*Assumptions!$H$66</f>
        <v>0</v>
      </c>
    </row>
    <row r="34232" customFormat="false" ht="15" hidden="false" customHeight="false" outlineLevel="0" collapsed="false">
      <c r="A34232" s="3" t="s">
        <v>334</v>
      </c>
      <c r="G34232" s="16" t="n">
        <f aca="false">MIN(G34226,Assumptions!$L$66*Assumptions!$C$66)</f>
        <v>0</v>
      </c>
      <c r="H34232" s="16" t="n">
        <f aca="false">MIN(H34226,Assumptions!$L$66*Assumptions!$C$66)</f>
        <v>0</v>
      </c>
      <c r="I34232" s="16" t="n">
        <f aca="false">MIN(I34226,Assumptions!$L$66*Assumptions!$C$66)</f>
        <v>0</v>
      </c>
      <c r="J34232" s="16" t="n">
        <f aca="false">MIN(J34226,Assumptions!$L$66*Assumptions!$C$66)</f>
        <v>0</v>
      </c>
      <c r="K34232" s="16" t="n">
        <f aca="false">MIN(K34226,Assumptions!$L$66*Assumptions!$C$66)</f>
        <v>0</v>
      </c>
    </row>
    <row r="34233" customFormat="false" ht="15" hidden="false" customHeight="false" outlineLevel="0" collapsed="false">
      <c r="A34233" s="3" t="s">
        <v>335</v>
      </c>
      <c r="G34233" s="16" t="n">
        <f aca="false">IF(AND(Assumptions!$P$66=1,G34073&lt;Assumptions!$K$66),MIN(MAX(0,-G34289),MAX(0,Assumptions!$D$66-G34226)),0)</f>
        <v>0</v>
      </c>
      <c r="H34233" s="16" t="n">
        <f aca="false">IF(AND(Assumptions!$P$66=1,OR(H34073&lt;Assumptions!$K$66,G34428=1)),MIN(MAX(0,-H34289),MAX(0,Assumptions!$D$66-H34226)),0)</f>
        <v>0</v>
      </c>
      <c r="I34233" s="16" t="n">
        <f aca="false">IF(AND(Assumptions!$P$66=1,OR(I34073&lt;Assumptions!$K$66,H34428=1)),MIN(MAX(0,-I34289),MAX(0,Assumptions!$D$66-I34226)),0)</f>
        <v>0</v>
      </c>
      <c r="J34233" s="16" t="n">
        <f aca="false">IF(AND(Assumptions!$P$66=1,OR(J34073&lt;Assumptions!$K$66,I34428=1)),MIN(MAX(0,-J34289),MAX(0,Assumptions!$D$66-J34226)),0)</f>
        <v>0</v>
      </c>
      <c r="K34233" s="16" t="n">
        <f aca="false">IF(AND(Assumptions!$P$66=1,OR(K34073&lt;Assumptions!$K$66,J34428=1)),MIN(MAX(0,-K34289),MAX(0,Assumptions!$D$66-K34226)),0)</f>
        <v>0</v>
      </c>
    </row>
    <row r="34234" customFormat="false" ht="15" hidden="false" customHeight="false" outlineLevel="0" collapsed="false">
      <c r="A34234" s="3" t="s">
        <v>336</v>
      </c>
      <c r="G34234" s="16" t="n">
        <f aca="false">G34227*MIN(G34226-G34232+G34231,MAX(0,G34291-Assumptions!$C$12*G34107-G34117-G34130-G34143-G34156-G34169-G34182-G34195-G34208-G34221))</f>
        <v>0</v>
      </c>
      <c r="H34234" s="16" t="n">
        <f aca="false">H34227*MIN(H34226-H34232+H34231,MAX(0,H34291-Assumptions!$C$12*H34107-H34117-H34130-H34143-H34156-H34169-H34182-H34195-H34208-H34221))</f>
        <v>0</v>
      </c>
      <c r="I34234" s="16" t="n">
        <f aca="false">I34227*MIN(I34226-I34232+I34231,MAX(0,I34291-Assumptions!$C$12*I34107-I34117-I34130-I34143-I34156-I34169-I34182-I34195-I34208-I34221))</f>
        <v>0</v>
      </c>
      <c r="J34234" s="16" t="n">
        <f aca="false">J34227*MIN(J34226-J34232+J34231,MAX(0,J34291-Assumptions!$C$12*J34107-J34117-J34130-J34143-J34156-J34169-J34182-J34195-J34208-J34221))</f>
        <v>0</v>
      </c>
      <c r="K34234" s="16" t="n">
        <f aca="false">K34227*MIN(K34226-K34232+K34231,MAX(0,K34291-Assumptions!$C$12*K34107-K34117-K34130-K34143-K34156-K34169-K34182-K34195-K34208-K34221))</f>
        <v>0</v>
      </c>
    </row>
    <row r="34235" customFormat="false" ht="15" hidden="false" customHeight="false" outlineLevel="0" collapsed="false">
      <c r="A34235" s="3" t="s">
        <v>337</v>
      </c>
      <c r="G34235" s="16" t="n">
        <f aca="false">Assumptions!$N$66*MIN(G34226+G34233+G34231-G34232-G34234,MAX(0,G34295-G34118-G34131-G34144-G34157-G34170-G34183-G34196-G34209-G34222))</f>
        <v>0</v>
      </c>
      <c r="H34235" s="16" t="n">
        <f aca="false">Assumptions!$N$66*MIN(H34226+H34233+H34231-H34232-H34234,MAX(0,H34295-H34118-H34131-H34144-H34157-H34170-H34183-H34196-H34209-H34222))</f>
        <v>0</v>
      </c>
      <c r="I34235" s="16" t="n">
        <f aca="false">Assumptions!$N$66*MIN(I34226+I34233+I34231-I34232-I34234,MAX(0,I34295-I34118-I34131-I34144-I34157-I34170-I34183-I34196-I34209-I34222))</f>
        <v>0</v>
      </c>
      <c r="J34235" s="16" t="n">
        <f aca="false">Assumptions!$N$66*MIN(J34226+J34233+J34231-J34232-J34234,MAX(0,J34295-J34118-J34131-J34144-J34157-J34170-J34183-J34196-J34209-J34222))</f>
        <v>0</v>
      </c>
      <c r="K34235" s="16" t="n">
        <f aca="false">Assumptions!$N$66*MIN(K34226+K34233+K34231-K34232-K34234,MAX(0,K34295-K34118-K34131-K34144-K34157-K34170-K34183-K34196-K34209-K34222))</f>
        <v>0</v>
      </c>
    </row>
    <row r="34236" customFormat="false" ht="15" hidden="false" customHeight="false" outlineLevel="0" collapsed="false">
      <c r="A34236" s="3" t="s">
        <v>338</v>
      </c>
      <c r="G34236" s="16" t="n">
        <f aca="false">G34227*(1-G34107)*(G34226-G34232+G34231-G34234)</f>
        <v>0</v>
      </c>
      <c r="H34236" s="16" t="n">
        <f aca="false">H34227*(1-H34107)*(H34226-H34232+H34231-H34234)</f>
        <v>0</v>
      </c>
      <c r="I34236" s="16" t="n">
        <f aca="false">I34227*(1-I34107)*(I34226-I34232+I34231-I34234)</f>
        <v>0</v>
      </c>
      <c r="J34236" s="16" t="n">
        <f aca="false">J34227*(1-J34107)*(J34226-J34232+J34231-J34234)</f>
        <v>0</v>
      </c>
      <c r="K34236" s="16" t="n">
        <f aca="false">K34227*(1-K34107)*(K34226-K34232+K34231-K34234)</f>
        <v>0</v>
      </c>
    </row>
    <row r="34237" customFormat="false" ht="15" hidden="false" customHeight="false" outlineLevel="0" collapsed="false">
      <c r="A34237" s="2" t="s">
        <v>339</v>
      </c>
      <c r="F34237" s="28" t="n">
        <f aca="false">Assumptions!$C$66</f>
        <v>78.61</v>
      </c>
      <c r="G34237" s="17" t="n">
        <f aca="false">G34226+G34233+G34231-G34232-G34234-G34235</f>
        <v>78.61</v>
      </c>
      <c r="H34237" s="17" t="n">
        <f aca="false">H34226+H34233+H34231-H34232-H34234-H34235</f>
        <v>78.61</v>
      </c>
      <c r="I34237" s="17" t="n">
        <f aca="false">I34226+I34233+I34231-I34232-I34234-I34235</f>
        <v>78.61</v>
      </c>
      <c r="J34237" s="17" t="n">
        <f aca="false">J34226+J34233+J34231-J34232-J34234-J34235</f>
        <v>78.61</v>
      </c>
      <c r="K34237" s="17" t="n">
        <f aca="false">K34226+K34233+K34231-K34232-K34234-K34235</f>
        <v>78.61</v>
      </c>
    </row>
    <row r="34238" customFormat="false" ht="15" hidden="false" customHeight="false" outlineLevel="0" collapsed="false">
      <c r="A34238" s="24" t="s">
        <v>349</v>
      </c>
      <c r="B34238" s="25"/>
      <c r="C34238" s="25"/>
      <c r="D34238" s="25"/>
      <c r="E34238" s="25"/>
      <c r="F34238" s="25"/>
      <c r="G34238" s="25"/>
      <c r="H34238" s="25"/>
      <c r="I34238" s="25"/>
      <c r="J34238" s="25"/>
      <c r="K34238" s="25"/>
    </row>
    <row r="34239" customFormat="false" ht="15" hidden="false" customHeight="false" outlineLevel="0" collapsed="false">
      <c r="A34239" s="2" t="s">
        <v>350</v>
      </c>
      <c r="F34239" s="17" t="n">
        <f aca="false">F34120+F34133+F34146+F34159+F34172+F34185+F34198+F34211+F34224+F34237</f>
        <v>2625.934</v>
      </c>
      <c r="G34239" s="17" t="n">
        <f aca="false">G34120+G34133+G34146+G34159+G34172+G34185+G34198+G34211+G34224+G34237</f>
        <v>2621.934</v>
      </c>
      <c r="H34239" s="17" t="n">
        <f aca="false">H34120+H34133+H34146+H34159+H34172+H34185+H34198+H34211+H34224+H34237</f>
        <v>2575.6561513738</v>
      </c>
      <c r="I34239" s="17" t="n">
        <f aca="false">I34120+I34133+I34146+I34159+I34172+I34185+I34198+I34211+I34224+I34237</f>
        <v>2638.45309355586</v>
      </c>
      <c r="J34239" s="17" t="n">
        <f aca="false">J34120+J34133+J34146+J34159+J34172+J34185+J34198+J34211+J34224+J34237</f>
        <v>2723.3336162386</v>
      </c>
      <c r="K34239" s="17" t="n">
        <f aca="false">K34120+K34133+K34146+K34159+K34172+K34185+K34198+K34211+K34224+K34237</f>
        <v>2823.86943529725</v>
      </c>
    </row>
    <row r="34240" customFormat="false" ht="15" hidden="false" customHeight="false" outlineLevel="0" collapsed="false">
      <c r="A34240" s="3" t="s">
        <v>351</v>
      </c>
      <c r="G34240" s="16" t="n">
        <f aca="false">G34110*Assumptions!$C$57+G34123*Assumptions!$C$58+G34136*Assumptions!$C$59+G34149*Assumptions!$C$60+G34162*Assumptions!$C$61+G34175*Assumptions!$C$62+G34188*Assumptions!$C$63+G34201*Assumptions!$C$64+G34214*Assumptions!$C$65+G34227*Assumptions!$C$66</f>
        <v>0</v>
      </c>
      <c r="H34240" s="16" t="n">
        <f aca="false">H34110*Assumptions!$C$57+H34123*Assumptions!$C$58+H34136*Assumptions!$C$59+H34149*Assumptions!$C$60+H34162*Assumptions!$C$61+H34175*Assumptions!$C$62+H34188*Assumptions!$C$63+H34201*Assumptions!$C$64+H34214*Assumptions!$C$65+H34227*Assumptions!$C$66</f>
        <v>800</v>
      </c>
      <c r="I34240" s="16" t="n">
        <f aca="false">I34110*Assumptions!$C$57+I34123*Assumptions!$C$58+I34136*Assumptions!$C$59+I34149*Assumptions!$C$60+I34162*Assumptions!$C$61+I34175*Assumptions!$C$62+I34188*Assumptions!$C$63+I34201*Assumptions!$C$64+I34214*Assumptions!$C$65+I34227*Assumptions!$C$66</f>
        <v>550</v>
      </c>
      <c r="J34240" s="16" t="n">
        <f aca="false">J34110*Assumptions!$C$57+J34123*Assumptions!$C$58+J34136*Assumptions!$C$59+J34149*Assumptions!$C$60+J34162*Assumptions!$C$61+J34175*Assumptions!$C$62+J34188*Assumptions!$C$63+J34201*Assumptions!$C$64+J34214*Assumptions!$C$65+J34227*Assumptions!$C$66</f>
        <v>350</v>
      </c>
      <c r="K34240" s="16" t="n">
        <f aca="false">K34110*Assumptions!$C$57+K34123*Assumptions!$C$58+K34136*Assumptions!$C$59+K34149*Assumptions!$C$60+K34162*Assumptions!$C$61+K34175*Assumptions!$C$62+K34188*Assumptions!$C$63+K34201*Assumptions!$C$64+K34214*Assumptions!$C$65+K34227*Assumptions!$C$66</f>
        <v>700</v>
      </c>
    </row>
    <row r="34241" customFormat="false" ht="15" hidden="false" customHeight="false" outlineLevel="0" collapsed="false">
      <c r="A34241" s="24" t="s">
        <v>352</v>
      </c>
      <c r="B34241" s="25"/>
      <c r="C34241" s="25"/>
      <c r="D34241" s="25"/>
      <c r="E34241" s="25"/>
      <c r="F34241" s="25"/>
      <c r="G34241" s="25"/>
      <c r="H34241" s="25"/>
      <c r="I34241" s="25"/>
      <c r="J34241" s="25"/>
      <c r="K34241" s="25"/>
    </row>
    <row r="34242" customFormat="false" ht="15" hidden="false" customHeight="false" outlineLevel="0" collapsed="false">
      <c r="A34242" s="3" t="s">
        <v>353</v>
      </c>
      <c r="C34242" s="16" t="n">
        <f aca="false">SUMPRODUCT($G$34110:$K$34110,$G$34109:$K$34109-$G$34115:$K$34115+$G$34114:$K$34114)</f>
        <v>380</v>
      </c>
    </row>
    <row r="34243" customFormat="false" ht="15" hidden="false" customHeight="false" outlineLevel="0" collapsed="false">
      <c r="A34243" s="3" t="s">
        <v>354</v>
      </c>
      <c r="C34243" s="16" t="n">
        <f aca="false">SUMPRODUCT($G$34110:$K$34110,$G$34117:$K$34117)</f>
        <v>0</v>
      </c>
    </row>
    <row r="34244" customFormat="false" ht="15" hidden="false" customHeight="false" outlineLevel="0" collapsed="false">
      <c r="A34244" s="3" t="s">
        <v>355</v>
      </c>
      <c r="C34244" s="3" t="str">
        <f aca="false">IF(SUM($G$34110:$K$34110)=0,"n/a (beyond horizon)",IF(SUMPRODUCT($G$34110:$K$34110,$G$34107:$K$34107)&gt;0,"REFINANCING PASS","REFINANCING FAILURE"))</f>
        <v>REFINANCING PASS</v>
      </c>
    </row>
    <row r="34245" customFormat="false" ht="15" hidden="false" customHeight="false" outlineLevel="0" collapsed="false">
      <c r="A34245" s="3" t="s">
        <v>356</v>
      </c>
      <c r="C34245" s="3" t="str">
        <f aca="false">IF(SUM($G$34110:$K$34110)=0,"n/a",IF(C34243&gt;=C34242-0.001,"Repaid from cash",IF(SUMPRODUCT($G$34110:$K$34110,$G$34107:$K$34107)&gt;0,IF(C34243&gt;0,"Partly repaid; remainder refinanced","Refinanced"),IF(SUM($G$34119:$K$34119)&gt;0.001,IF(C34243&gt;0,"Partial repayment; PAYMENT DEFAULT","PAYMENT DEFAULT"),"Repaid from cash"))))</f>
        <v>Refinanced</v>
      </c>
    </row>
    <row r="34246" customFormat="false" ht="15" hidden="false" customHeight="false" outlineLevel="0" collapsed="false">
      <c r="A34246" s="3" t="s">
        <v>357</v>
      </c>
      <c r="C34246" s="16" t="n">
        <f aca="false">SUMPRODUCT($G$34123:$K$34123,$G$34122:$K$34122-$G$34128:$K$34128+$G$34127:$K$34127)</f>
        <v>0</v>
      </c>
    </row>
    <row r="34247" customFormat="false" ht="15" hidden="false" customHeight="false" outlineLevel="0" collapsed="false">
      <c r="A34247" s="3" t="s">
        <v>358</v>
      </c>
      <c r="C34247" s="16" t="n">
        <f aca="false">SUMPRODUCT($G$34123:$K$34123,$G$34130:$K$34130)</f>
        <v>0</v>
      </c>
    </row>
    <row r="34248" customFormat="false" ht="15" hidden="false" customHeight="false" outlineLevel="0" collapsed="false">
      <c r="A34248" s="3" t="s">
        <v>359</v>
      </c>
      <c r="C34248" s="3" t="str">
        <f aca="false">IF(SUM($G$34123:$K$34123)=0,"n/a (beyond horizon)",IF(SUMPRODUCT($G$34123:$K$34123,$G$34107:$K$34107)&gt;0,"REFINANCING PASS","REFINANCING FAILURE"))</f>
        <v>n/a (beyond horizon)</v>
      </c>
    </row>
    <row r="34249" customFormat="false" ht="15" hidden="false" customHeight="false" outlineLevel="0" collapsed="false">
      <c r="A34249" s="3" t="s">
        <v>360</v>
      </c>
      <c r="C34249" s="3" t="str">
        <f aca="false">IF(SUM($G$34123:$K$34123)=0,"n/a",IF(C34247&gt;=C34246-0.001,"Repaid from cash",IF(SUMPRODUCT($G$34123:$K$34123,$G$34107:$K$34107)&gt;0,IF(C34247&gt;0,"Partly repaid; remainder refinanced","Refinanced"),IF(SUM($G$34132:$K$34132)&gt;0.001,IF(C34247&gt;0,"Partial repayment; PAYMENT DEFAULT","PAYMENT DEFAULT"),"Repaid from cash"))))</f>
        <v>n/a</v>
      </c>
    </row>
    <row r="34250" customFormat="false" ht="15" hidden="false" customHeight="false" outlineLevel="0" collapsed="false">
      <c r="A34250" s="3" t="s">
        <v>361</v>
      </c>
      <c r="C34250" s="16" t="n">
        <f aca="false">SUMPRODUCT($G$34136:$K$34136,$G$34135:$K$34135-$G$34141:$K$34141+$G$34140:$K$34140)</f>
        <v>0</v>
      </c>
    </row>
    <row r="34251" customFormat="false" ht="15" hidden="false" customHeight="false" outlineLevel="0" collapsed="false">
      <c r="A34251" s="3" t="s">
        <v>362</v>
      </c>
      <c r="C34251" s="16" t="n">
        <f aca="false">SUMPRODUCT($G$34136:$K$34136,$G$34143:$K$34143)</f>
        <v>0</v>
      </c>
    </row>
    <row r="34252" customFormat="false" ht="15" hidden="false" customHeight="false" outlineLevel="0" collapsed="false">
      <c r="A34252" s="3" t="s">
        <v>363</v>
      </c>
      <c r="C34252" s="3" t="str">
        <f aca="false">IF(SUM($G$34136:$K$34136)=0,"n/a (beyond horizon)",IF(SUMPRODUCT($G$34136:$K$34136,$G$34107:$K$34107)&gt;0,"REFINANCING PASS","REFINANCING FAILURE"))</f>
        <v>n/a (beyond horizon)</v>
      </c>
    </row>
    <row r="34253" customFormat="false" ht="15" hidden="false" customHeight="false" outlineLevel="0" collapsed="false">
      <c r="A34253" s="3" t="s">
        <v>364</v>
      </c>
      <c r="C34253" s="3" t="str">
        <f aca="false">IF(SUM($G$34136:$K$34136)=0,"n/a",IF(C34251&gt;=C34250-0.001,"Repaid from cash",IF(SUMPRODUCT($G$34136:$K$34136,$G$34107:$K$34107)&gt;0,IF(C34251&gt;0,"Partly repaid; remainder refinanced","Refinanced"),IF(SUM($G$34145:$K$34145)&gt;0.001,IF(C34251&gt;0,"Partial repayment; PAYMENT DEFAULT","PAYMENT DEFAULT"),"Repaid from cash"))))</f>
        <v>n/a</v>
      </c>
    </row>
    <row r="34254" customFormat="false" ht="15" hidden="false" customHeight="false" outlineLevel="0" collapsed="false">
      <c r="A34254" s="3" t="s">
        <v>365</v>
      </c>
      <c r="C34254" s="16" t="n">
        <f aca="false">SUMPRODUCT($G$34149:$K$34149,$G$34148:$K$34148-$G$34154:$K$34154+$G$34153:$K$34153)</f>
        <v>0</v>
      </c>
    </row>
    <row r="34255" customFormat="false" ht="15" hidden="false" customHeight="false" outlineLevel="0" collapsed="false">
      <c r="A34255" s="3" t="s">
        <v>366</v>
      </c>
      <c r="C34255" s="16" t="n">
        <f aca="false">SUMPRODUCT($G$34149:$K$34149,$G$34156:$K$34156)</f>
        <v>0</v>
      </c>
    </row>
    <row r="34256" customFormat="false" ht="15" hidden="false" customHeight="false" outlineLevel="0" collapsed="false">
      <c r="A34256" s="3" t="s">
        <v>367</v>
      </c>
      <c r="C34256" s="3" t="str">
        <f aca="false">IF(SUM($G$34149:$K$34149)=0,"n/a (beyond horizon)",IF(SUMPRODUCT($G$34149:$K$34149,$G$34107:$K$34107)&gt;0,"REFINANCING PASS","REFINANCING FAILURE"))</f>
        <v>REFINANCING PASS</v>
      </c>
    </row>
    <row r="34257" customFormat="false" ht="15" hidden="false" customHeight="false" outlineLevel="0" collapsed="false">
      <c r="A34257" s="3" t="s">
        <v>368</v>
      </c>
      <c r="C34257" s="3" t="str">
        <f aca="false">IF(SUM($G$34149:$K$34149)=0,"n/a",IF(C34255&gt;=C34254-0.001,"Repaid from cash",IF(SUMPRODUCT($G$34149:$K$34149,$G$34107:$K$34107)&gt;0,IF(C34255&gt;0,"Partly repaid; remainder refinanced","Refinanced"),IF(SUM($G$34158:$K$34158)&gt;0.001,IF(C34255&gt;0,"Partial repayment; PAYMENT DEFAULT","PAYMENT DEFAULT"),"Repaid from cash"))))</f>
        <v>Repaid from cash</v>
      </c>
    </row>
    <row r="34258" customFormat="false" ht="15" hidden="false" customHeight="false" outlineLevel="0" collapsed="false">
      <c r="A34258" s="3" t="s">
        <v>369</v>
      </c>
      <c r="C34258" s="16" t="n">
        <f aca="false">SUMPRODUCT($G$34162:$K$34162,$G$34161:$K$34161-$G$34167:$K$34167+$G$34166:$K$34166)</f>
        <v>450</v>
      </c>
    </row>
    <row r="34259" customFormat="false" ht="15" hidden="false" customHeight="false" outlineLevel="0" collapsed="false">
      <c r="A34259" s="3" t="s">
        <v>370</v>
      </c>
      <c r="C34259" s="16" t="n">
        <f aca="false">SUMPRODUCT($G$34162:$K$34162,$G$34169:$K$34169)</f>
        <v>42.2778486262</v>
      </c>
    </row>
    <row r="34260" customFormat="false" ht="15" hidden="false" customHeight="false" outlineLevel="0" collapsed="false">
      <c r="A34260" s="3" t="s">
        <v>371</v>
      </c>
      <c r="C34260" s="3" t="str">
        <f aca="false">IF(SUM($G$34162:$K$34162)=0,"n/a (beyond horizon)",IF(SUMPRODUCT($G$34162:$K$34162,$G$34107:$K$34107)&gt;0,"REFINANCING PASS","REFINANCING FAILURE"))</f>
        <v>REFINANCING PASS</v>
      </c>
    </row>
    <row r="34261" customFormat="false" ht="15" hidden="false" customHeight="false" outlineLevel="0" collapsed="false">
      <c r="A34261" s="3" t="s">
        <v>372</v>
      </c>
      <c r="C34261" s="3" t="str">
        <f aca="false">IF(SUM($G$34162:$K$34162)=0,"n/a",IF(C34259&gt;=C34258-0.001,"Repaid from cash",IF(SUMPRODUCT($G$34162:$K$34162,$G$34107:$K$34107)&gt;0,IF(C34259&gt;0,"Partly repaid; remainder refinanced","Refinanced"),IF(SUM($G$34171:$K$34171)&gt;0.001,IF(C34259&gt;0,"Partial repayment; PAYMENT DEFAULT","PAYMENT DEFAULT"),"Repaid from cash"))))</f>
        <v>Partly repaid; remainder refinanced</v>
      </c>
    </row>
    <row r="34262" customFormat="false" ht="15" hidden="false" customHeight="false" outlineLevel="0" collapsed="false">
      <c r="A34262" s="3" t="s">
        <v>373</v>
      </c>
      <c r="C34262" s="16" t="n">
        <f aca="false">SUMPRODUCT($G$34175:$K$34175,$G$34174:$K$34174-$G$34180:$K$34180+$G$34179:$K$34179)</f>
        <v>350</v>
      </c>
    </row>
    <row r="34263" customFormat="false" ht="15" hidden="false" customHeight="false" outlineLevel="0" collapsed="false">
      <c r="A34263" s="3" t="s">
        <v>374</v>
      </c>
      <c r="C34263" s="16" t="n">
        <f aca="false">SUMPRODUCT($G$34175:$K$34175,$G$34182:$K$34182)</f>
        <v>0</v>
      </c>
    </row>
    <row r="34264" customFormat="false" ht="15" hidden="false" customHeight="false" outlineLevel="0" collapsed="false">
      <c r="A34264" s="3" t="s">
        <v>375</v>
      </c>
      <c r="C34264" s="3" t="str">
        <f aca="false">IF(SUM($G$34175:$K$34175)=0,"n/a (beyond horizon)",IF(SUMPRODUCT($G$34175:$K$34175,$G$34107:$K$34107)&gt;0,"REFINANCING PASS","REFINANCING FAILURE"))</f>
        <v>REFINANCING PASS</v>
      </c>
    </row>
    <row r="34265" customFormat="false" ht="15" hidden="false" customHeight="false" outlineLevel="0" collapsed="false">
      <c r="A34265" s="3" t="s">
        <v>376</v>
      </c>
      <c r="C34265" s="3" t="str">
        <f aca="false">IF(SUM($G$34175:$K$34175)=0,"n/a",IF(C34263&gt;=C34262-0.001,"Repaid from cash",IF(SUMPRODUCT($G$34175:$K$34175,$G$34107:$K$34107)&gt;0,IF(C34263&gt;0,"Partly repaid; remainder refinanced","Refinanced"),IF(SUM($G$34184:$K$34184)&gt;0.001,IF(C34263&gt;0,"Partial repayment; PAYMENT DEFAULT","PAYMENT DEFAULT"),"Repaid from cash"))))</f>
        <v>Refinanced</v>
      </c>
    </row>
    <row r="34266" customFormat="false" ht="15" hidden="false" customHeight="false" outlineLevel="0" collapsed="false">
      <c r="A34266" s="3" t="s">
        <v>377</v>
      </c>
      <c r="C34266" s="16" t="n">
        <f aca="false">SUMPRODUCT($G$34188:$K$34188,$G$34187:$K$34187-$G$34193:$K$34193+$G$34192:$K$34192)</f>
        <v>550</v>
      </c>
    </row>
    <row r="34267" customFormat="false" ht="15" hidden="false" customHeight="false" outlineLevel="0" collapsed="false">
      <c r="A34267" s="3" t="s">
        <v>378</v>
      </c>
      <c r="C34267" s="16" t="n">
        <f aca="false">SUMPRODUCT($G$34188:$K$34188,$G$34195:$K$34195)</f>
        <v>0</v>
      </c>
    </row>
    <row r="34268" customFormat="false" ht="15" hidden="false" customHeight="false" outlineLevel="0" collapsed="false">
      <c r="A34268" s="3" t="s">
        <v>379</v>
      </c>
      <c r="C34268" s="3" t="str">
        <f aca="false">IF(SUM($G$34188:$K$34188)=0,"n/a (beyond horizon)",IF(SUMPRODUCT($G$34188:$K$34188,$G$34107:$K$34107)&gt;0,"REFINANCING PASS","REFINANCING FAILURE"))</f>
        <v>REFINANCING PASS</v>
      </c>
    </row>
    <row r="34269" customFormat="false" ht="15" hidden="false" customHeight="false" outlineLevel="0" collapsed="false">
      <c r="A34269" s="3" t="s">
        <v>380</v>
      </c>
      <c r="C34269" s="3" t="str">
        <f aca="false">IF(SUM($G$34188:$K$34188)=0,"n/a",IF(C34267&gt;=C34266-0.001,"Repaid from cash",IF(SUMPRODUCT($G$34188:$K$34188,$G$34107:$K$34107)&gt;0,IF(C34267&gt;0,"Partly repaid; remainder refinanced","Refinanced"),IF(SUM($G$34197:$K$34197)&gt;0.001,IF(C34267&gt;0,"Partial repayment; PAYMENT DEFAULT","PAYMENT DEFAULT"),"Repaid from cash"))))</f>
        <v>Refinanced</v>
      </c>
    </row>
    <row r="34270" customFormat="false" ht="15" hidden="false" customHeight="false" outlineLevel="0" collapsed="false">
      <c r="A34270" s="3" t="s">
        <v>381</v>
      </c>
      <c r="C34270" s="16" t="n">
        <f aca="false">SUMPRODUCT($G$34201:$K$34201,$G$34200:$K$34200-$G$34206:$K$34206+$G$34205:$K$34205)</f>
        <v>350</v>
      </c>
    </row>
    <row r="34271" customFormat="false" ht="15" hidden="false" customHeight="false" outlineLevel="0" collapsed="false">
      <c r="A34271" s="3" t="s">
        <v>382</v>
      </c>
      <c r="C34271" s="16" t="n">
        <f aca="false">SUMPRODUCT($G$34201:$K$34201,$G$34208:$K$34208)</f>
        <v>0</v>
      </c>
    </row>
    <row r="34272" customFormat="false" ht="15" hidden="false" customHeight="false" outlineLevel="0" collapsed="false">
      <c r="A34272" s="3" t="s">
        <v>383</v>
      </c>
      <c r="C34272" s="3" t="str">
        <f aca="false">IF(SUM($G$34201:$K$34201)=0,"n/a (beyond horizon)",IF(SUMPRODUCT($G$34201:$K$34201,$G$34107:$K$34107)&gt;0,"REFINANCING PASS","REFINANCING FAILURE"))</f>
        <v>REFINANCING PASS</v>
      </c>
    </row>
    <row r="34273" customFormat="false" ht="15" hidden="false" customHeight="false" outlineLevel="0" collapsed="false">
      <c r="A34273" s="3" t="s">
        <v>384</v>
      </c>
      <c r="C34273" s="3" t="str">
        <f aca="false">IF(SUM($G$34201:$K$34201)=0,"n/a",IF(C34271&gt;=C34270-0.001,"Repaid from cash",IF(SUMPRODUCT($G$34201:$K$34201,$G$34107:$K$34107)&gt;0,IF(C34271&gt;0,"Partly repaid; remainder refinanced","Refinanced"),IF(SUM($G$34210:$K$34210)&gt;0.001,IF(C34271&gt;0,"Partial repayment; PAYMENT DEFAULT","PAYMENT DEFAULT"),"Repaid from cash"))))</f>
        <v>Refinanced</v>
      </c>
    </row>
    <row r="34274" customFormat="false" ht="15" hidden="false" customHeight="false" outlineLevel="0" collapsed="false">
      <c r="A34274" s="3" t="s">
        <v>385</v>
      </c>
      <c r="C34274" s="16" t="n">
        <f aca="false">SUMPRODUCT($G$34214:$K$34214,$G$34213:$K$34213-$G$34219:$K$34219+$G$34218:$K$34218)</f>
        <v>300</v>
      </c>
    </row>
    <row r="34275" customFormat="false" ht="15" hidden="false" customHeight="false" outlineLevel="0" collapsed="false">
      <c r="A34275" s="3" t="s">
        <v>386</v>
      </c>
      <c r="C34275" s="16" t="n">
        <f aca="false">SUMPRODUCT($G$34214:$K$34214,$G$34221:$K$34221)</f>
        <v>0</v>
      </c>
    </row>
    <row r="34276" customFormat="false" ht="15" hidden="false" customHeight="false" outlineLevel="0" collapsed="false">
      <c r="A34276" s="3" t="s">
        <v>387</v>
      </c>
      <c r="C34276" s="3" t="str">
        <f aca="false">IF(SUM($G$34214:$K$34214)=0,"n/a (beyond horizon)",IF(SUMPRODUCT($G$34214:$K$34214,$G$34107:$K$34107)&gt;0,"REFINANCING PASS","REFINANCING FAILURE"))</f>
        <v>REFINANCING PASS</v>
      </c>
    </row>
    <row r="34277" customFormat="false" ht="15" hidden="false" customHeight="false" outlineLevel="0" collapsed="false">
      <c r="A34277" s="3" t="s">
        <v>388</v>
      </c>
      <c r="C34277" s="3" t="str">
        <f aca="false">IF(SUM($G$34214:$K$34214)=0,"n/a",IF(C34275&gt;=C34274-0.001,"Repaid from cash",IF(SUMPRODUCT($G$34214:$K$34214,$G$34107:$K$34107)&gt;0,IF(C34275&gt;0,"Partly repaid; remainder refinanced","Refinanced"),IF(SUM($G$34223:$K$34223)&gt;0.001,IF(C34275&gt;0,"Partial repayment; PAYMENT DEFAULT","PAYMENT DEFAULT"),"Repaid from cash"))))</f>
        <v>Refinanced</v>
      </c>
    </row>
    <row r="34278" customFormat="false" ht="15" hidden="false" customHeight="false" outlineLevel="0" collapsed="false">
      <c r="A34278" s="3" t="s">
        <v>389</v>
      </c>
      <c r="C34278" s="16" t="n">
        <f aca="false">SUMPRODUCT($G$34227:$K$34227,$G$34226:$K$34226-$G$34232:$K$34232+$G$34231:$K$34231)</f>
        <v>0</v>
      </c>
    </row>
    <row r="34279" customFormat="false" ht="15" hidden="false" customHeight="false" outlineLevel="0" collapsed="false">
      <c r="A34279" s="3" t="s">
        <v>390</v>
      </c>
      <c r="C34279" s="16" t="n">
        <f aca="false">SUMPRODUCT($G$34227:$K$34227,$G$34234:$K$34234)</f>
        <v>0</v>
      </c>
    </row>
    <row r="34280" customFormat="false" ht="15" hidden="false" customHeight="false" outlineLevel="0" collapsed="false">
      <c r="A34280" s="3" t="s">
        <v>391</v>
      </c>
      <c r="C34280" s="3" t="str">
        <f aca="false">IF(SUM($G$34227:$K$34227)=0,"n/a (beyond horizon)",IF(SUMPRODUCT($G$34227:$K$34227,$G$34107:$K$34107)&gt;0,"REFINANCING PASS","REFINANCING FAILURE"))</f>
        <v>n/a (beyond horizon)</v>
      </c>
    </row>
    <row r="34281" customFormat="false" ht="15" hidden="false" customHeight="false" outlineLevel="0" collapsed="false">
      <c r="A34281" s="3" t="s">
        <v>392</v>
      </c>
      <c r="C34281" s="3" t="str">
        <f aca="false">IF(SUM($G$34227:$K$34227)=0,"n/a",IF(C34279&gt;=C34278-0.001,"Repaid from cash",IF(SUMPRODUCT($G$34227:$K$34227,$G$34107:$K$34107)&gt;0,IF(C34279&gt;0,"Partly repaid; remainder refinanced","Refinanced"),IF(SUM($G$34236:$K$34236)&gt;0.001,IF(C34279&gt;0,"Partial repayment; PAYMENT DEFAULT","PAYMENT DEFAULT"),"Repaid from cash"))))</f>
        <v>n/a</v>
      </c>
    </row>
    <row r="34282" customFormat="false" ht="15" hidden="false" customHeight="false" outlineLevel="0" collapsed="false">
      <c r="A34282" s="3" t="s">
        <v>393</v>
      </c>
      <c r="C34282" s="21" t="n">
        <f aca="false">IF(C34244="REFINANCING FAILURE",1,0)+IF(C34248="REFINANCING FAILURE",1,0)+IF(C34252="REFINANCING FAILURE",1,0)+IF(C34256="REFINANCING FAILURE",1,0)+IF(C34260="REFINANCING FAILURE",1,0)+IF(C34264="REFINANCING FAILURE",1,0)+IF(C34268="REFINANCING FAILURE",1,0)+IF(C34272="REFINANCING FAILURE",1,0)+IF(C34276="REFINANCING FAILURE",1,0)+IF(C34280="REFINANCING FAILURE",1,0)</f>
        <v>0</v>
      </c>
    </row>
    <row r="34284" customFormat="false" ht="15" hidden="false" customHeight="false" outlineLevel="0" collapsed="false">
      <c r="A34284" s="24" t="s">
        <v>395</v>
      </c>
      <c r="B34284" s="25"/>
      <c r="C34284" s="25"/>
      <c r="D34284" s="25"/>
      <c r="E34284" s="25"/>
      <c r="F34284" s="25"/>
      <c r="G34284" s="25"/>
      <c r="H34284" s="25"/>
      <c r="I34284" s="25"/>
      <c r="J34284" s="25"/>
      <c r="K34284" s="25"/>
    </row>
    <row r="34285" customFormat="false" ht="15" hidden="false" customHeight="false" outlineLevel="0" collapsed="false">
      <c r="A34285" s="3" t="s">
        <v>325</v>
      </c>
      <c r="G34285" s="16" t="n">
        <f aca="false">F34297</f>
        <v>37.87</v>
      </c>
      <c r="H34285" s="16" t="n">
        <f aca="false">G34297</f>
        <v>150.3287686</v>
      </c>
      <c r="I34285" s="16" t="n">
        <f aca="false">H34297</f>
        <v>25</v>
      </c>
      <c r="J34285" s="16" t="n">
        <f aca="false">I34297</f>
        <v>0</v>
      </c>
      <c r="K34285" s="16" t="n">
        <f aca="false">J34297</f>
        <v>0</v>
      </c>
    </row>
    <row r="34286" customFormat="false" ht="15" hidden="false" customHeight="false" outlineLevel="0" collapsed="false">
      <c r="A34286" s="3" t="s">
        <v>396</v>
      </c>
      <c r="G34286" s="16" t="n">
        <f aca="false">G34096</f>
        <v>-83.5412314</v>
      </c>
      <c r="H34286" s="16" t="n">
        <f aca="false">H34096</f>
        <v>-79.0509199738</v>
      </c>
      <c r="I34286" s="16" t="n">
        <f aca="false">I34096</f>
        <v>-87.796942182056</v>
      </c>
      <c r="J34286" s="16" t="n">
        <f aca="false">J34096</f>
        <v>-84.8805226827392</v>
      </c>
      <c r="K34286" s="16" t="n">
        <f aca="false">K34096</f>
        <v>-100.535819058653</v>
      </c>
    </row>
    <row r="34287" customFormat="false" ht="15" hidden="false" customHeight="false" outlineLevel="0" collapsed="false">
      <c r="A34287" s="3" t="s">
        <v>397</v>
      </c>
      <c r="G34287" s="16" t="n">
        <f aca="false">CHOOSE($C$34066,Assumptions!$G$82,Assumptions!$G$101,Assumptions!$G$120)</f>
        <v>200</v>
      </c>
      <c r="H34287" s="16" t="n">
        <f aca="false">CHOOSE($C$34066,Assumptions!$H$82,Assumptions!$H$101,Assumptions!$H$120)</f>
        <v>0</v>
      </c>
      <c r="I34287" s="16" t="n">
        <f aca="false">CHOOSE($C$34066,Assumptions!$I$82,Assumptions!$I$101,Assumptions!$I$120)</f>
        <v>0</v>
      </c>
      <c r="J34287" s="16" t="n">
        <f aca="false">CHOOSE($C$34066,Assumptions!$J$82,Assumptions!$J$101,Assumptions!$J$120)</f>
        <v>0</v>
      </c>
      <c r="K34287" s="16" t="n">
        <f aca="false">CHOOSE($C$34066,Assumptions!$K$82,Assumptions!$K$101,Assumptions!$K$120)</f>
        <v>0</v>
      </c>
    </row>
    <row r="34288" customFormat="false" ht="15" hidden="false" customHeight="false" outlineLevel="0" collapsed="false">
      <c r="A34288" s="3" t="s">
        <v>398</v>
      </c>
      <c r="G34288" s="16" t="n">
        <f aca="false">G34115+G34128+G34141+G34154+G34167+G34180+G34193+G34206+G34219+G34232</f>
        <v>4</v>
      </c>
      <c r="H34288" s="16" t="n">
        <f aca="false">H34115+H34128+H34141+H34154+H34167+H34180+H34193+H34206+H34219+H34232</f>
        <v>4</v>
      </c>
      <c r="I34288" s="16" t="n">
        <f aca="false">I34115+I34128+I34141+I34154+I34167+I34180+I34193+I34206+I34219+I34232</f>
        <v>4</v>
      </c>
      <c r="J34288" s="16" t="n">
        <f aca="false">J34115+J34128+J34141+J34154+J34167+J34180+J34193+J34206+J34219+J34232</f>
        <v>4</v>
      </c>
      <c r="K34288" s="16" t="n">
        <f aca="false">K34115+K34128+K34141+K34154+K34167+K34180+K34193+K34206+K34219+K34232</f>
        <v>4</v>
      </c>
    </row>
    <row r="34289" customFormat="false" ht="15" hidden="false" customHeight="false" outlineLevel="0" collapsed="false">
      <c r="A34289" s="2" t="s">
        <v>399</v>
      </c>
      <c r="G34289" s="17" t="n">
        <f aca="false">G34285+G34286+G34287-G34288</f>
        <v>150.3287686</v>
      </c>
      <c r="H34289" s="17" t="n">
        <f aca="false">H34285+H34286+H34287-H34288</f>
        <v>67.2778486262</v>
      </c>
      <c r="I34289" s="17" t="n">
        <f aca="false">I34285+I34286+I34287-I34288</f>
        <v>-66.796942182056</v>
      </c>
      <c r="J34289" s="17" t="n">
        <f aca="false">J34285+J34286+J34287-J34288</f>
        <v>-88.8805226827392</v>
      </c>
      <c r="K34289" s="17" t="n">
        <f aca="false">K34285+K34286+K34287-K34288</f>
        <v>-104.535819058653</v>
      </c>
    </row>
    <row r="34290" customFormat="false" ht="15" hidden="false" customHeight="false" outlineLevel="0" collapsed="false">
      <c r="A34290" s="3" t="s">
        <v>400</v>
      </c>
      <c r="G34290" s="16" t="n">
        <f aca="false">G34116+G34129+G34142+G34155+G34168+G34181+G34194+G34207+G34220+G34233</f>
        <v>0</v>
      </c>
      <c r="H34290" s="16" t="n">
        <f aca="false">H34116+H34129+H34142+H34155+H34168+H34181+H34194+H34207+H34220+H34233</f>
        <v>0</v>
      </c>
      <c r="I34290" s="16" t="n">
        <f aca="false">I34116+I34129+I34142+I34155+I34168+I34181+I34194+I34207+I34220+I34233</f>
        <v>66.796942182056</v>
      </c>
      <c r="J34290" s="16" t="n">
        <f aca="false">J34116+J34129+J34142+J34155+J34168+J34181+J34194+J34207+J34220+J34233</f>
        <v>88.8805226827392</v>
      </c>
      <c r="K34290" s="16" t="n">
        <f aca="false">K34116+K34129+K34142+K34155+K34168+K34181+K34194+K34207+K34220+K34233</f>
        <v>104.535819058653</v>
      </c>
    </row>
    <row r="34291" customFormat="false" ht="15" hidden="false" customHeight="false" outlineLevel="0" collapsed="false">
      <c r="A34291" s="2" t="s">
        <v>401</v>
      </c>
      <c r="G34291" s="17" t="n">
        <f aca="false">G34289+G34290</f>
        <v>150.3287686</v>
      </c>
      <c r="H34291" s="17" t="n">
        <f aca="false">H34289+H34290</f>
        <v>67.2778486262</v>
      </c>
      <c r="I34291" s="17" t="n">
        <f aca="false">I34289+I34290</f>
        <v>0</v>
      </c>
      <c r="J34291" s="17" t="n">
        <f aca="false">J34289+J34290</f>
        <v>0</v>
      </c>
      <c r="K34291" s="17" t="n">
        <f aca="false">K34289+K34290</f>
        <v>0</v>
      </c>
    </row>
    <row r="34292" customFormat="false" ht="15" hidden="false" customHeight="false" outlineLevel="0" collapsed="false">
      <c r="A34292" s="3" t="s">
        <v>402</v>
      </c>
      <c r="G34292" s="16" t="n">
        <f aca="false">G34117+G34130+G34143+G34156+G34169+G34182+G34195+G34208+G34221+G34234</f>
        <v>0</v>
      </c>
      <c r="H34292" s="16" t="n">
        <f aca="false">H34117+H34130+H34143+H34156+H34169+H34182+H34195+H34208+H34221+H34234</f>
        <v>42.2778486262</v>
      </c>
      <c r="I34292" s="16" t="n">
        <f aca="false">I34117+I34130+I34143+I34156+I34169+I34182+I34195+I34208+I34221+I34234</f>
        <v>0</v>
      </c>
      <c r="J34292" s="16" t="n">
        <f aca="false">J34117+J34130+J34143+J34156+J34169+J34182+J34195+J34208+J34221+J34234</f>
        <v>0</v>
      </c>
      <c r="K34292" s="16" t="n">
        <f aca="false">K34117+K34130+K34143+K34156+K34169+K34182+K34195+K34208+K34221+K34234</f>
        <v>0</v>
      </c>
    </row>
    <row r="34293" customFormat="false" ht="15" hidden="false" customHeight="false" outlineLevel="0" collapsed="false">
      <c r="A34293" s="2" t="s">
        <v>403</v>
      </c>
      <c r="G34293" s="17" t="n">
        <f aca="false">G34291-G34292</f>
        <v>150.3287686</v>
      </c>
      <c r="H34293" s="17" t="n">
        <f aca="false">H34291-H34292</f>
        <v>25</v>
      </c>
      <c r="I34293" s="17" t="n">
        <f aca="false">I34291-I34292</f>
        <v>0</v>
      </c>
      <c r="J34293" s="17" t="n">
        <f aca="false">J34291-J34292</f>
        <v>0</v>
      </c>
      <c r="K34293" s="17" t="n">
        <f aca="false">K34291-K34292</f>
        <v>0</v>
      </c>
    </row>
    <row r="34294" customFormat="false" ht="15" hidden="false" customHeight="false" outlineLevel="0" collapsed="false">
      <c r="A34294" s="3" t="s">
        <v>404</v>
      </c>
      <c r="G34294" s="16" t="n">
        <f aca="false">MAX(0,-G34293)</f>
        <v>0</v>
      </c>
      <c r="H34294" s="16" t="n">
        <f aca="false">MAX(0,-H34293)</f>
        <v>0</v>
      </c>
      <c r="I34294" s="16" t="n">
        <f aca="false">MAX(0,-I34293)</f>
        <v>-0</v>
      </c>
      <c r="J34294" s="16" t="n">
        <f aca="false">MAX(0,-J34293)</f>
        <v>-0</v>
      </c>
      <c r="K34294" s="16" t="n">
        <f aca="false">MAX(0,-K34293)</f>
        <v>-0</v>
      </c>
    </row>
    <row r="34295" customFormat="false" ht="15" hidden="false" customHeight="false" outlineLevel="0" collapsed="false">
      <c r="A34295" s="3" t="s">
        <v>405</v>
      </c>
      <c r="G34295" s="16" t="n">
        <f aca="false">MAX(0,G34293-Assumptions!$C$12)*Assumptions!$C$13</f>
        <v>0</v>
      </c>
      <c r="H34295" s="16" t="n">
        <f aca="false">MAX(0,H34293-Assumptions!$C$12)*Assumptions!$C$13</f>
        <v>0</v>
      </c>
      <c r="I34295" s="16" t="n">
        <f aca="false">MAX(0,I34293-Assumptions!$C$12)*Assumptions!$C$13</f>
        <v>0</v>
      </c>
      <c r="J34295" s="16" t="n">
        <f aca="false">MAX(0,J34293-Assumptions!$C$12)*Assumptions!$C$13</f>
        <v>0</v>
      </c>
      <c r="K34295" s="16" t="n">
        <f aca="false">MAX(0,K34293-Assumptions!$C$12)*Assumptions!$C$13</f>
        <v>0</v>
      </c>
    </row>
    <row r="34296" customFormat="false" ht="15" hidden="false" customHeight="false" outlineLevel="0" collapsed="false">
      <c r="A34296" s="3" t="s">
        <v>406</v>
      </c>
      <c r="G34296" s="16" t="n">
        <f aca="false">G34118+G34131+G34144+G34157+G34170+G34183+G34196+G34209+G34222+G34235</f>
        <v>0</v>
      </c>
      <c r="H34296" s="16" t="n">
        <f aca="false">H34118+H34131+H34144+H34157+H34170+H34183+H34196+H34209+H34222+H34235</f>
        <v>0</v>
      </c>
      <c r="I34296" s="16" t="n">
        <f aca="false">I34118+I34131+I34144+I34157+I34170+I34183+I34196+I34209+I34222+I34235</f>
        <v>0</v>
      </c>
      <c r="J34296" s="16" t="n">
        <f aca="false">J34118+J34131+J34144+J34157+J34170+J34183+J34196+J34209+J34222+J34235</f>
        <v>0</v>
      </c>
      <c r="K34296" s="16" t="n">
        <f aca="false">K34118+K34131+K34144+K34157+K34170+K34183+K34196+K34209+K34222+K34235</f>
        <v>0</v>
      </c>
    </row>
    <row r="34297" customFormat="false" ht="15" hidden="false" customHeight="false" outlineLevel="0" collapsed="false">
      <c r="A34297" s="2" t="s">
        <v>407</v>
      </c>
      <c r="F34297" s="28" t="n">
        <f aca="false">Assumptions!$C$11</f>
        <v>37.87</v>
      </c>
      <c r="G34297" s="17" t="n">
        <f aca="false">G34293-G34296</f>
        <v>150.3287686</v>
      </c>
      <c r="H34297" s="17" t="n">
        <f aca="false">H34293-H34296</f>
        <v>25</v>
      </c>
      <c r="I34297" s="17" t="n">
        <f aca="false">I34293-I34296</f>
        <v>0</v>
      </c>
      <c r="J34297" s="17" t="n">
        <f aca="false">J34293-J34296</f>
        <v>0</v>
      </c>
      <c r="K34297" s="17" t="n">
        <f aca="false">K34293-K34296</f>
        <v>0</v>
      </c>
    </row>
    <row r="34298" customFormat="false" ht="15" hidden="false" customHeight="false" outlineLevel="0" collapsed="false">
      <c r="A34298" s="3" t="s">
        <v>408</v>
      </c>
      <c r="G34298" s="16" t="n">
        <f aca="false">G34119+G34132+G34145+G34158+G34171+G34184+G34197+G34210+G34223+G34236</f>
        <v>0</v>
      </c>
      <c r="H34298" s="16" t="n">
        <f aca="false">H34119+H34132+H34145+H34158+H34171+H34184+H34197+H34210+H34223+H34236</f>
        <v>0</v>
      </c>
      <c r="I34298" s="16" t="n">
        <f aca="false">I34119+I34132+I34145+I34158+I34171+I34184+I34197+I34210+I34223+I34236</f>
        <v>0</v>
      </c>
      <c r="J34298" s="16" t="n">
        <f aca="false">J34119+J34132+J34145+J34158+J34171+J34184+J34197+J34210+J34223+J34236</f>
        <v>0</v>
      </c>
      <c r="K34298" s="16" t="n">
        <f aca="false">K34119+K34132+K34145+K34158+K34171+K34184+K34197+K34210+K34223+K34236</f>
        <v>0</v>
      </c>
    </row>
    <row r="34299" customFormat="false" ht="15" hidden="false" customHeight="false" outlineLevel="0" collapsed="false">
      <c r="A34299" s="3" t="s">
        <v>409</v>
      </c>
      <c r="G34299" s="21" t="n">
        <f aca="false">IF(OR(G34294&gt;0.001,G34298&gt;0.001),1,0)</f>
        <v>0</v>
      </c>
      <c r="H34299" s="21" t="n">
        <f aca="false">IF(OR(H34294&gt;0.001,H34298&gt;0.001),1,0)</f>
        <v>0</v>
      </c>
      <c r="I34299" s="21" t="n">
        <f aca="false">IF(OR(I34294&gt;0.001,I34298&gt;0.001),1,0)</f>
        <v>0</v>
      </c>
      <c r="J34299" s="21" t="n">
        <f aca="false">IF(OR(J34294&gt;0.001,J34298&gt;0.001),1,0)</f>
        <v>0</v>
      </c>
      <c r="K34299" s="21" t="n">
        <f aca="false">IF(OR(K34294&gt;0.001,K34298&gt;0.001),1,0)</f>
        <v>0</v>
      </c>
    </row>
    <row r="34300" customFormat="false" ht="15" hidden="false" customHeight="false" outlineLevel="0" collapsed="false">
      <c r="A34300" s="3" t="s">
        <v>410</v>
      </c>
      <c r="G34300" s="21" t="n">
        <f aca="false">IF(G34299=1,1,0)</f>
        <v>0</v>
      </c>
      <c r="H34300" s="21" t="n">
        <f aca="false">IF(AND(H34299=1,SUM($G$34299:G34299)=0),1,0)</f>
        <v>0</v>
      </c>
      <c r="I34300" s="21" t="n">
        <f aca="false">IF(AND(I34299=1,SUM($G$34299:H34299)=0),1,0)</f>
        <v>0</v>
      </c>
      <c r="J34300" s="21" t="n">
        <f aca="false">IF(AND(J34299=1,SUM($G$34299:I34299)=0),1,0)</f>
        <v>0</v>
      </c>
      <c r="K34300" s="21" t="n">
        <f aca="false">IF(AND(K34299=1,SUM($G$34299:J34299)=0),1,0)</f>
        <v>0</v>
      </c>
    </row>
    <row r="34301" customFormat="false" ht="15" hidden="false" customHeight="false" outlineLevel="0" collapsed="false">
      <c r="A34301" s="3" t="s">
        <v>411</v>
      </c>
      <c r="G34301" s="16" t="n">
        <f aca="false">(G34239-F34239)-(G34290+G34088-G34288-G34292-G34296)</f>
        <v>0</v>
      </c>
      <c r="H34301" s="16" t="n">
        <f aca="false">(H34239-G34239)-(H34290+H34088-H34288-H34292-H34296)</f>
        <v>0</v>
      </c>
      <c r="I34301" s="16" t="n">
        <f aca="false">(I34239-H34239)-(I34290+I34088-I34288-I34292-I34296)</f>
        <v>0</v>
      </c>
      <c r="J34301" s="16" t="n">
        <f aca="false">(J34239-I34239)-(J34290+J34088-J34288-J34292-J34296)</f>
        <v>0</v>
      </c>
      <c r="K34301" s="16" t="n">
        <f aca="false">(K34239-J34239)-(K34290+K34088-K34288-K34292-K34296)</f>
        <v>0</v>
      </c>
    </row>
    <row r="34303" customFormat="false" ht="15" hidden="false" customHeight="false" outlineLevel="0" collapsed="false">
      <c r="A34303" s="24" t="s">
        <v>413</v>
      </c>
      <c r="B34303" s="25"/>
      <c r="C34303" s="25"/>
      <c r="D34303" s="25"/>
      <c r="E34303" s="25"/>
      <c r="F34303" s="25"/>
      <c r="G34303" s="25"/>
      <c r="H34303" s="25"/>
      <c r="I34303" s="25"/>
      <c r="J34303" s="25"/>
      <c r="K34303" s="25"/>
    </row>
    <row r="34304" customFormat="false" ht="15" hidden="false" customHeight="false" outlineLevel="0" collapsed="false">
      <c r="A34304" s="3" t="s">
        <v>414</v>
      </c>
      <c r="G34304" s="16" t="n">
        <f aca="false">G34239</f>
        <v>2621.934</v>
      </c>
      <c r="H34304" s="16" t="n">
        <f aca="false">H34239</f>
        <v>2575.6561513738</v>
      </c>
      <c r="I34304" s="16" t="n">
        <f aca="false">I34239</f>
        <v>2638.45309355586</v>
      </c>
      <c r="J34304" s="16" t="n">
        <f aca="false">J34239</f>
        <v>2723.3336162386</v>
      </c>
      <c r="K34304" s="16" t="n">
        <f aca="false">K34239</f>
        <v>2823.86943529725</v>
      </c>
    </row>
    <row r="34305" customFormat="false" ht="15" hidden="false" customHeight="false" outlineLevel="0" collapsed="false">
      <c r="A34305" s="3" t="s">
        <v>415</v>
      </c>
      <c r="G34305" s="16" t="n">
        <f aca="false">Assumptions!$O$57*G34120+Assumptions!$O$58*G34133+Assumptions!$O$59*G34146+Assumptions!$O$60*G34159+Assumptions!$O$61*G34172+Assumptions!$O$62*G34185+Assumptions!$O$63*G34198+Assumptions!$O$64*G34211+Assumptions!$O$65*G34224+Assumptions!$O$66*G34237</f>
        <v>543.324</v>
      </c>
      <c r="H34305" s="16" t="n">
        <f aca="false">Assumptions!$O$57*H34120+Assumptions!$O$58*H34133+Assumptions!$O$59*H34146+Assumptions!$O$60*H34159+Assumptions!$O$61*H34172+Assumptions!$O$62*H34185+Assumptions!$O$63*H34198+Assumptions!$O$64*H34211+Assumptions!$O$65*H34224+Assumptions!$O$66*H34237</f>
        <v>539.324</v>
      </c>
      <c r="I34305" s="16" t="n">
        <f aca="false">Assumptions!$O$57*I34120+Assumptions!$O$58*I34133+Assumptions!$O$59*I34146+Assumptions!$O$60*I34159+Assumptions!$O$61*I34172+Assumptions!$O$62*I34185+Assumptions!$O$63*I34198+Assumptions!$O$64*I34211+Assumptions!$O$65*I34224+Assumptions!$O$66*I34237</f>
        <v>535.324</v>
      </c>
      <c r="J34305" s="16" t="n">
        <f aca="false">Assumptions!$O$57*J34120+Assumptions!$O$58*J34133+Assumptions!$O$59*J34146+Assumptions!$O$60*J34159+Assumptions!$O$61*J34172+Assumptions!$O$62*J34185+Assumptions!$O$63*J34198+Assumptions!$O$64*J34211+Assumptions!$O$65*J34224+Assumptions!$O$66*J34237</f>
        <v>531.324</v>
      </c>
      <c r="K34305" s="16" t="n">
        <f aca="false">Assumptions!$O$57*K34120+Assumptions!$O$58*K34133+Assumptions!$O$59*K34146+Assumptions!$O$60*K34159+Assumptions!$O$61*K34172+Assumptions!$O$62*K34185+Assumptions!$O$63*K34198+Assumptions!$O$64*K34211+Assumptions!$O$65*K34224+Assumptions!$O$66*K34237</f>
        <v>527.324</v>
      </c>
    </row>
    <row r="34306" customFormat="false" ht="15" hidden="false" customHeight="false" outlineLevel="0" collapsed="false">
      <c r="A34306" s="3" t="s">
        <v>416</v>
      </c>
      <c r="G34306" s="16" t="n">
        <f aca="false">G34304-G34297</f>
        <v>2471.6052314</v>
      </c>
      <c r="H34306" s="16" t="n">
        <f aca="false">H34304-H34297</f>
        <v>2550.6561513738</v>
      </c>
      <c r="I34306" s="16" t="n">
        <f aca="false">I34304-I34297</f>
        <v>2638.45309355586</v>
      </c>
      <c r="J34306" s="16" t="n">
        <f aca="false">J34304-J34297</f>
        <v>2723.3336162386</v>
      </c>
      <c r="K34306" s="16" t="n">
        <f aca="false">K34304-K34297</f>
        <v>2823.86943529725</v>
      </c>
    </row>
    <row r="34307" customFormat="false" ht="15" hidden="false" customHeight="false" outlineLevel="0" collapsed="false">
      <c r="A34307" s="3" t="s">
        <v>417</v>
      </c>
      <c r="G34307" s="32" t="n">
        <f aca="false">IF(G34083&gt;0,G34304/G34083,0)</f>
        <v>10.2350768597559</v>
      </c>
      <c r="H34307" s="32" t="n">
        <f aca="false">IF(H34083&gt;0,H34304/H34083,0)</f>
        <v>9.80179750754554</v>
      </c>
      <c r="I34307" s="32" t="n">
        <f aca="false">IF(I34083&gt;0,I34304/I34083,0)</f>
        <v>9.78880026535512</v>
      </c>
      <c r="J34307" s="32" t="n">
        <f aca="false">IF(J34083&gt;0,J34304/J34083,0)</f>
        <v>9.86877570563203</v>
      </c>
      <c r="K34307" s="32" t="n">
        <f aca="false">IF(K34083&gt;0,K34304/K34083,0)</f>
        <v>9.99528975565569</v>
      </c>
    </row>
    <row r="34308" customFormat="false" ht="15" hidden="false" customHeight="false" outlineLevel="0" collapsed="false">
      <c r="A34308" s="3" t="s">
        <v>418</v>
      </c>
      <c r="G34308" s="32" t="n">
        <f aca="false">IF(G34083&gt;0,G34306/G34083,0)</f>
        <v>9.64824801476836</v>
      </c>
      <c r="H34308" s="32" t="n">
        <f aca="false">IF(H34083&gt;0,H34306/H34083,0)</f>
        <v>9.70665866785301</v>
      </c>
      <c r="I34308" s="32" t="n">
        <f aca="false">IF(I34083&gt;0,I34306/I34083,0)</f>
        <v>9.78880026535512</v>
      </c>
      <c r="J34308" s="32" t="n">
        <f aca="false">IF(J34083&gt;0,J34306/J34083,0)</f>
        <v>9.86877570563203</v>
      </c>
      <c r="K34308" s="32" t="n">
        <f aca="false">IF(K34083&gt;0,K34306/K34083,0)</f>
        <v>9.99528975565569</v>
      </c>
    </row>
    <row r="34309" customFormat="false" ht="15" hidden="false" customHeight="false" outlineLevel="0" collapsed="false">
      <c r="A34309" s="3" t="s">
        <v>419</v>
      </c>
      <c r="G34309" s="32" t="n">
        <f aca="false">IF(G34087&gt;0,G34083/G34087,0)</f>
        <v>1.4215185079059</v>
      </c>
      <c r="H34309" s="32" t="n">
        <f aca="false">IF(H34087&gt;0,H34083/H34087,0)</f>
        <v>1.46693050552355</v>
      </c>
      <c r="I34309" s="32" t="n">
        <f aca="false">IF(I34087&gt;0,I34083/I34087,0)</f>
        <v>1.40833238714926</v>
      </c>
      <c r="J34309" s="32" t="n">
        <f aca="false">IF(J34087&gt;0,J34083/J34087,0)</f>
        <v>1.44049487506624</v>
      </c>
      <c r="K34309" s="32" t="n">
        <f aca="false">IF(K34087&gt;0,K34083/K34087,0)</f>
        <v>1.34274565931266</v>
      </c>
    </row>
    <row r="34310" customFormat="false" ht="15" hidden="false" customHeight="false" outlineLevel="0" collapsed="false">
      <c r="A34310" s="3" t="s">
        <v>420</v>
      </c>
      <c r="G34310" s="32" t="n">
        <f aca="false">IF(G34087&gt;0,G34086/G34087,0)</f>
        <v>0.42415696431819</v>
      </c>
      <c r="H34310" s="32" t="n">
        <f aca="false">IF(H34087&gt;0,H34086/H34087,0)</f>
        <v>0.443500134737685</v>
      </c>
      <c r="I34310" s="32" t="n">
        <f aca="false">IF(I34087&gt;0,I34086/I34087,0)</f>
        <v>0.431283382112554</v>
      </c>
      <c r="J34310" s="32" t="n">
        <f aca="false">IF(J34087&gt;0,J34086/J34087,0)</f>
        <v>0.444847824504487</v>
      </c>
      <c r="K34310" s="32" t="n">
        <f aca="false">IF(K34087&gt;0,K34086/K34087,0)</f>
        <v>0.418098654921945</v>
      </c>
    </row>
    <row r="34311" customFormat="false" ht="15" hidden="false" customHeight="false" outlineLevel="0" collapsed="false">
      <c r="A34311" s="3" t="s">
        <v>213</v>
      </c>
      <c r="G34311" s="22" t="n">
        <f aca="false">IF(G34304&gt;0,G34096/G34304,0)</f>
        <v>-0.0318624463468569</v>
      </c>
      <c r="H34311" s="22" t="n">
        <f aca="false">IF(H34304&gt;0,H34096/H34304,0)</f>
        <v>-0.0306915656935169</v>
      </c>
      <c r="I34311" s="22" t="n">
        <f aca="false">IF(I34304&gt;0,I34096/I34304,0)</f>
        <v>-0.0332759154962773</v>
      </c>
      <c r="J34311" s="22" t="n">
        <f aca="false">IF(J34304&gt;0,J34096/J34304,0)</f>
        <v>-0.0311678753482925</v>
      </c>
      <c r="K34311" s="22" t="n">
        <f aca="false">IF(K34304&gt;0,K34096/K34304,0)</f>
        <v>-0.0356021485278303</v>
      </c>
    </row>
    <row r="34312" customFormat="false" ht="15" hidden="false" customHeight="false" outlineLevel="0" collapsed="false">
      <c r="A34312" s="3" t="s">
        <v>421</v>
      </c>
      <c r="G34312" s="32" t="n">
        <f aca="false">IF(G34087+G34288&gt;0,(G34083-G34094-G34091)/(G34087+G34288),0)</f>
        <v>0.813399704660698</v>
      </c>
      <c r="H34312" s="32" t="n">
        <f aca="false">IF(H34087+H34288&gt;0,(H34083-H34094-H34091)/(H34087+H34288),0)</f>
        <v>0.842627430418813</v>
      </c>
      <c r="I34312" s="32" t="n">
        <f aca="false">IF(I34087+I34288&gt;0,(I34083-I34094-I34091)/(I34087+I34288),0)</f>
        <v>0.813287836689746</v>
      </c>
      <c r="J34312" s="32" t="n">
        <f aca="false">IF(J34087+J34288&gt;0,(J34083-J34094-J34091)/(J34087+J34288),0)</f>
        <v>0.834030228771795</v>
      </c>
      <c r="K34312" s="32" t="n">
        <f aca="false">IF(K34087+K34288&gt;0,(K34083-K34094-K34091)/(K34087+K34288),0)</f>
        <v>0.780856287522867</v>
      </c>
    </row>
    <row r="34313" customFormat="false" ht="15" hidden="false" customHeight="false" outlineLevel="0" collapsed="false">
      <c r="A34313" s="3" t="s">
        <v>422</v>
      </c>
      <c r="G34313" s="16" t="n">
        <f aca="false">MAX(0,G34297)+Assumptions!$P$57*MAX(0,Assumptions!$D$57-G34120)+Assumptions!$P$58*MAX(0,Assumptions!$D$58-G34133)+Assumptions!$P$59*MAX(0,Assumptions!$D$59-G34146)+Assumptions!$P$60*MAX(0,Assumptions!$D$60-G34159)+Assumptions!$P$61*MAX(0,Assumptions!$D$61-G34172)+Assumptions!$P$62*MAX(0,Assumptions!$D$62-G34185)+Assumptions!$P$63*MAX(0,Assumptions!$D$63-G34198)+Assumptions!$P$64*MAX(0,Assumptions!$D$64-G34211)+Assumptions!$P$65*MAX(0,Assumptions!$D$65-G34224)+Assumptions!$P$66*MAX(0,Assumptions!$D$66-G34237)</f>
        <v>724.8287686</v>
      </c>
      <c r="H34313" s="16" t="n">
        <f aca="false">MAX(0,H34297)+Assumptions!$P$57*MAX(0,Assumptions!$D$57-H34120)+Assumptions!$P$58*MAX(0,Assumptions!$D$58-H34133)+Assumptions!$P$59*MAX(0,Assumptions!$D$59-H34146)+Assumptions!$P$60*MAX(0,Assumptions!$D$60-H34159)+Assumptions!$P$61*MAX(0,Assumptions!$D$61-H34172)+Assumptions!$P$62*MAX(0,Assumptions!$D$62-H34185)+Assumptions!$P$63*MAX(0,Assumptions!$D$63-H34198)+Assumptions!$P$64*MAX(0,Assumptions!$D$64-H34211)+Assumptions!$P$65*MAX(0,Assumptions!$D$65-H34224)+Assumptions!$P$66*MAX(0,Assumptions!$D$66-H34237)</f>
        <v>599.5</v>
      </c>
      <c r="I34313" s="16" t="n">
        <f aca="false">MAX(0,I34297)+Assumptions!$P$57*MAX(0,Assumptions!$D$57-I34120)+Assumptions!$P$58*MAX(0,Assumptions!$D$58-I34133)+Assumptions!$P$59*MAX(0,Assumptions!$D$59-I34146)+Assumptions!$P$60*MAX(0,Assumptions!$D$60-I34159)+Assumptions!$P$61*MAX(0,Assumptions!$D$61-I34172)+Assumptions!$P$62*MAX(0,Assumptions!$D$62-I34185)+Assumptions!$P$63*MAX(0,Assumptions!$D$63-I34198)+Assumptions!$P$64*MAX(0,Assumptions!$D$64-I34211)+Assumptions!$P$65*MAX(0,Assumptions!$D$65-I34224)+Assumptions!$P$66*MAX(0,Assumptions!$D$66-I34237)</f>
        <v>507.703057817944</v>
      </c>
      <c r="J34313" s="16" t="n">
        <f aca="false">MAX(0,J34297)+Assumptions!$P$57*MAX(0,Assumptions!$D$57-J34120)+Assumptions!$P$58*MAX(0,Assumptions!$D$58-J34133)+Assumptions!$P$59*MAX(0,Assumptions!$D$59-J34146)+Assumptions!$P$60*MAX(0,Assumptions!$D$60-J34159)+Assumptions!$P$61*MAX(0,Assumptions!$D$61-J34172)+Assumptions!$P$62*MAX(0,Assumptions!$D$62-J34185)+Assumptions!$P$63*MAX(0,Assumptions!$D$63-J34198)+Assumptions!$P$64*MAX(0,Assumptions!$D$64-J34211)+Assumptions!$P$65*MAX(0,Assumptions!$D$65-J34224)+Assumptions!$P$66*MAX(0,Assumptions!$D$66-J34237)</f>
        <v>418.822535135205</v>
      </c>
      <c r="K34313" s="16" t="n">
        <f aca="false">MAX(0,K34297)+Assumptions!$P$57*MAX(0,Assumptions!$D$57-K34120)+Assumptions!$P$58*MAX(0,Assumptions!$D$58-K34133)+Assumptions!$P$59*MAX(0,Assumptions!$D$59-K34146)+Assumptions!$P$60*MAX(0,Assumptions!$D$60-K34159)+Assumptions!$P$61*MAX(0,Assumptions!$D$61-K34172)+Assumptions!$P$62*MAX(0,Assumptions!$D$62-K34185)+Assumptions!$P$63*MAX(0,Assumptions!$D$63-K34198)+Assumptions!$P$64*MAX(0,Assumptions!$D$64-K34211)+Assumptions!$P$65*MAX(0,Assumptions!$D$65-K34224)+Assumptions!$P$66*MAX(0,Assumptions!$D$66-K34237)</f>
        <v>314.286716076552</v>
      </c>
    </row>
    <row r="34314" customFormat="false" ht="15" hidden="false" customHeight="false" outlineLevel="0" collapsed="false">
      <c r="A34314" s="3" t="s">
        <v>423</v>
      </c>
      <c r="G34314" s="22" t="n">
        <f aca="false">IF(G34304&gt;0,G34304/(G34304+MAX(0,G34083*CHOOSE($C$34066,Assumptions!$C$90,Assumptions!$C$109,Assumptions!$C$128)-G34306)),0)</f>
        <v>0.782089915058077</v>
      </c>
      <c r="H34314" s="22" t="n">
        <f aca="false">IF(H34304&gt;0,H34304/(H34304+MAX(0,H34083*CHOOSE($C$34066,Assumptions!$C$90,Assumptions!$C$109,Assumptions!$C$128)-H34306)),0)</f>
        <v>0.778220679605055</v>
      </c>
      <c r="I34314" s="22" t="n">
        <f aca="false">IF(I34304&gt;0,I34304/(I34304+MAX(0,I34083*CHOOSE($C$34066,Assumptions!$C$90,Assumptions!$C$109,Assumptions!$C$128)-I34306)),0)</f>
        <v>0.78310402122841</v>
      </c>
      <c r="J34314" s="22" t="n">
        <f aca="false">IF(J34304&gt;0,J34304/(J34304+MAX(0,J34083*CHOOSE($C$34066,Assumptions!$C$90,Assumptions!$C$109,Assumptions!$C$128)-J34306)),0)</f>
        <v>0.789502056450562</v>
      </c>
      <c r="K34314" s="22" t="n">
        <f aca="false">IF(K34304&gt;0,K34304/(K34304+MAX(0,K34083*CHOOSE($C$34066,Assumptions!$C$90,Assumptions!$C$109,Assumptions!$C$128)-K34306)),0)</f>
        <v>0.799623180452455</v>
      </c>
    </row>
    <row r="34315" customFormat="false" ht="15" hidden="false" customHeight="false" outlineLevel="0" collapsed="false">
      <c r="A34315" s="3" t="s">
        <v>424</v>
      </c>
      <c r="G34315" s="22" t="n">
        <f aca="false">IF(G34304&gt;0,MAX(0,G34297)/G34304,0)</f>
        <v>0.0573350696852018</v>
      </c>
      <c r="H34315" s="22" t="n">
        <f aca="false">IF(H34304&gt;0,MAX(0,H34297)/H34304,0)</f>
        <v>0.00970626455191448</v>
      </c>
      <c r="I34315" s="22" t="n">
        <f aca="false">IF(I34304&gt;0,MAX(0,I34297)/I34304,0)</f>
        <v>0</v>
      </c>
      <c r="J34315" s="22" t="n">
        <f aca="false">IF(J34304&gt;0,MAX(0,J34297)/J34304,0)</f>
        <v>0</v>
      </c>
      <c r="K34315" s="22" t="n">
        <f aca="false">IF(K34304&gt;0,MAX(0,K34297)/K34304,0)</f>
        <v>0</v>
      </c>
    </row>
    <row r="34316" customFormat="false" ht="15" hidden="false" customHeight="false" outlineLevel="0" collapsed="false">
      <c r="A34316" s="3" t="s">
        <v>425</v>
      </c>
      <c r="G34316" s="16" t="n">
        <f aca="false">Assumptions!$C$31*(1-CHOOSE($C$34066,Assumptions!$C$93,Assumptions!$C$112,Assumptions!$C$131))</f>
        <v>4517.70066666667</v>
      </c>
      <c r="H34316" s="16" t="n">
        <f aca="false">Assumptions!$C$31*(1-CHOOSE($C$34066,Assumptions!$C$93,Assumptions!$C$112,Assumptions!$C$131))</f>
        <v>4517.70066666667</v>
      </c>
      <c r="I34316" s="16" t="n">
        <f aca="false">Assumptions!$C$31*(1-CHOOSE($C$34066,Assumptions!$C$93,Assumptions!$C$112,Assumptions!$C$131))</f>
        <v>4517.70066666667</v>
      </c>
      <c r="J34316" s="16" t="n">
        <f aca="false">Assumptions!$C$31*(1-CHOOSE($C$34066,Assumptions!$C$93,Assumptions!$C$112,Assumptions!$C$131))</f>
        <v>4517.70066666667</v>
      </c>
      <c r="K34316" s="16" t="n">
        <f aca="false">Assumptions!$C$31*(1-CHOOSE($C$34066,Assumptions!$C$93,Assumptions!$C$112,Assumptions!$C$131))</f>
        <v>4517.70066666667</v>
      </c>
    </row>
    <row r="34317" customFormat="false" ht="15" hidden="false" customHeight="false" outlineLevel="0" collapsed="false">
      <c r="A34317" s="24" t="s">
        <v>426</v>
      </c>
      <c r="B34317" s="25"/>
      <c r="C34317" s="25"/>
      <c r="D34317" s="25"/>
      <c r="E34317" s="25"/>
      <c r="F34317" s="25"/>
      <c r="G34317" s="25"/>
      <c r="H34317" s="25"/>
      <c r="I34317" s="25"/>
      <c r="J34317" s="25"/>
      <c r="K34317" s="25"/>
    </row>
    <row r="34318" customFormat="false" ht="15" hidden="false" customHeight="false" outlineLevel="0" collapsed="false">
      <c r="A34318" s="24" t="s">
        <v>427</v>
      </c>
      <c r="B34318" s="25"/>
      <c r="C34318" s="25"/>
      <c r="D34318" s="25"/>
      <c r="E34318" s="25"/>
      <c r="F34318" s="25"/>
      <c r="G34318" s="25"/>
      <c r="H34318" s="25"/>
      <c r="I34318" s="25"/>
      <c r="J34318" s="25"/>
      <c r="K34318" s="25"/>
    </row>
    <row r="34319" customFormat="false" ht="15" hidden="false" customHeight="false" outlineLevel="0" collapsed="false">
      <c r="A34319" s="3" t="s">
        <v>428</v>
      </c>
      <c r="G34319" s="22" t="n">
        <f aca="false">IF(G34316&gt;0,G34304/G34316,99)</f>
        <v>0.580369128779522</v>
      </c>
      <c r="H34319" s="22" t="n">
        <f aca="false">IF(H34316&gt;0,H34304/H34316,99)</f>
        <v>0.570125455716441</v>
      </c>
      <c r="I34319" s="22" t="n">
        <f aca="false">IF(I34316&gt;0,I34304/I34316,99)</f>
        <v>0.584025655578152</v>
      </c>
      <c r="J34319" s="22" t="n">
        <f aca="false">IF(J34316&gt;0,J34304/J34316,99)</f>
        <v>0.602814089993257</v>
      </c>
      <c r="K34319" s="22" t="n">
        <f aca="false">IF(K34316&gt;0,K34304/K34316,99)</f>
        <v>0.62506784837093</v>
      </c>
    </row>
    <row r="34320" customFormat="false" ht="15" hidden="false" customHeight="false" outlineLevel="0" collapsed="false">
      <c r="A34320" s="3" t="s">
        <v>429</v>
      </c>
      <c r="G34320" s="33" t="n">
        <f aca="false">Assumptions!$G$71</f>
        <v>0.6</v>
      </c>
      <c r="H34320" s="33" t="n">
        <f aca="false">Assumptions!$H$71</f>
        <v>0.6</v>
      </c>
      <c r="I34320" s="33" t="n">
        <f aca="false">Assumptions!$I$71</f>
        <v>0.6</v>
      </c>
      <c r="J34320" s="33" t="n">
        <f aca="false">Assumptions!$J$71</f>
        <v>0.6</v>
      </c>
      <c r="K34320" s="33" t="n">
        <f aca="false">Assumptions!$K$71</f>
        <v>0.6</v>
      </c>
    </row>
    <row r="34321" customFormat="false" ht="15" hidden="false" customHeight="false" outlineLevel="0" collapsed="false">
      <c r="A34321" s="3" t="s">
        <v>430</v>
      </c>
      <c r="G34321" s="22" t="n">
        <f aca="false">G34320-G34319</f>
        <v>0.0196308712204777</v>
      </c>
      <c r="H34321" s="22" t="n">
        <f aca="false">H34320-H34319</f>
        <v>0.0298745442835595</v>
      </c>
      <c r="I34321" s="22" t="n">
        <f aca="false">I34320-I34319</f>
        <v>0.0159743444218476</v>
      </c>
      <c r="J34321" s="22" t="n">
        <f aca="false">J34320-J34319</f>
        <v>-0.00281408999325661</v>
      </c>
      <c r="K34321" s="22" t="n">
        <f aca="false">K34320-K34319</f>
        <v>-0.0250678483709297</v>
      </c>
    </row>
    <row r="34322" customFormat="false" ht="15" hidden="false" customHeight="false" outlineLevel="0" collapsed="false">
      <c r="A34322" s="3" t="s">
        <v>431</v>
      </c>
      <c r="G34322" s="22" t="n">
        <f aca="false">IF(G34320=0,0,G34321/ABS(G34320))</f>
        <v>0.0327181187007962</v>
      </c>
      <c r="H34322" s="22" t="n">
        <f aca="false">IF(H34320=0,0,H34321/ABS(H34320))</f>
        <v>0.0497909071392659</v>
      </c>
      <c r="I34322" s="22" t="n">
        <f aca="false">IF(I34320=0,0,I34321/ABS(I34320))</f>
        <v>0.0266239073697461</v>
      </c>
      <c r="J34322" s="22" t="n">
        <f aca="false">IF(J34320=0,0,J34321/ABS(J34320))</f>
        <v>-0.00469014998876101</v>
      </c>
      <c r="K34322" s="22" t="n">
        <f aca="false">IF(K34320=0,0,K34321/ABS(K34320))</f>
        <v>-0.0417797472848828</v>
      </c>
    </row>
    <row r="34323" customFormat="false" ht="15" hidden="false" customHeight="false" outlineLevel="0" collapsed="false">
      <c r="A34323" s="3" t="s">
        <v>432</v>
      </c>
      <c r="G34323" s="21" t="n">
        <f aca="false">IF(G34321&lt;0,1,0)</f>
        <v>0</v>
      </c>
      <c r="H34323" s="21" t="n">
        <f aca="false">IF(H34321&lt;0,1,0)</f>
        <v>0</v>
      </c>
      <c r="I34323" s="21" t="n">
        <f aca="false">IF(I34321&lt;0,1,0)</f>
        <v>0</v>
      </c>
      <c r="J34323" s="21" t="n">
        <f aca="false">IF(J34321&lt;0,1,0)</f>
        <v>1</v>
      </c>
      <c r="K34323" s="21" t="n">
        <f aca="false">IF(K34321&lt;0,1,0)</f>
        <v>1</v>
      </c>
    </row>
    <row r="34324" customFormat="false" ht="15" hidden="false" customHeight="false" outlineLevel="0" collapsed="false">
      <c r="A34324" s="3" t="s">
        <v>433</v>
      </c>
      <c r="C34324" s="21" t="n">
        <f aca="false">IFERROR(INDEX($G$34073:$K$34073,MATCH(1,$G$34323:$K$34323,0)),0)</f>
        <v>2030</v>
      </c>
    </row>
    <row r="34325" customFormat="false" ht="15" hidden="false" customHeight="false" outlineLevel="0" collapsed="false">
      <c r="A34325" s="3" t="s">
        <v>434</v>
      </c>
      <c r="C34325" s="22" t="n">
        <f aca="false">MIN($G$34322:$K$34322)</f>
        <v>-0.0417797472848828</v>
      </c>
    </row>
    <row r="34326" customFormat="false" ht="15" hidden="false" customHeight="false" outlineLevel="0" collapsed="false">
      <c r="A34326" s="24" t="s">
        <v>435</v>
      </c>
      <c r="B34326" s="25"/>
      <c r="C34326" s="25"/>
      <c r="D34326" s="25"/>
      <c r="E34326" s="25"/>
      <c r="F34326" s="25"/>
      <c r="G34326" s="25"/>
      <c r="H34326" s="25"/>
      <c r="I34326" s="25"/>
      <c r="J34326" s="25"/>
      <c r="K34326" s="25"/>
    </row>
    <row r="34327" customFormat="false" ht="15" hidden="false" customHeight="false" outlineLevel="0" collapsed="false">
      <c r="A34327" s="3" t="s">
        <v>428</v>
      </c>
      <c r="G34327" s="32" t="n">
        <f aca="false">IF(G34087&gt;0,G34083/G34087,99)</f>
        <v>1.4215185079059</v>
      </c>
      <c r="H34327" s="32" t="n">
        <f aca="false">IF(H34087&gt;0,H34083/H34087,99)</f>
        <v>1.46693050552355</v>
      </c>
      <c r="I34327" s="32" t="n">
        <f aca="false">IF(I34087&gt;0,I34083/I34087,99)</f>
        <v>1.40833238714926</v>
      </c>
      <c r="J34327" s="32" t="n">
        <f aca="false">IF(J34087&gt;0,J34083/J34087,99)</f>
        <v>1.44049487506624</v>
      </c>
      <c r="K34327" s="32" t="n">
        <f aca="false">IF(K34087&gt;0,K34083/K34087,99)</f>
        <v>1.34274565931266</v>
      </c>
    </row>
    <row r="34328" customFormat="false" ht="15" hidden="false" customHeight="false" outlineLevel="0" collapsed="false">
      <c r="A34328" s="3" t="s">
        <v>429</v>
      </c>
      <c r="G34328" s="34" t="n">
        <f aca="false">Assumptions!$G$72</f>
        <v>1.5</v>
      </c>
      <c r="H34328" s="34" t="n">
        <f aca="false">Assumptions!$H$72</f>
        <v>1.5</v>
      </c>
      <c r="I34328" s="34" t="n">
        <f aca="false">Assumptions!$I$72</f>
        <v>1.5</v>
      </c>
      <c r="J34328" s="34" t="n">
        <f aca="false">Assumptions!$J$72</f>
        <v>1.5</v>
      </c>
      <c r="K34328" s="34" t="n">
        <f aca="false">Assumptions!$K$72</f>
        <v>1.5</v>
      </c>
    </row>
    <row r="34329" customFormat="false" ht="15" hidden="false" customHeight="false" outlineLevel="0" collapsed="false">
      <c r="A34329" s="3" t="s">
        <v>430</v>
      </c>
      <c r="G34329" s="32" t="n">
        <f aca="false">G34327-G34328</f>
        <v>-0.0784814920940982</v>
      </c>
      <c r="H34329" s="32" t="n">
        <f aca="false">H34327-H34328</f>
        <v>-0.0330694944764525</v>
      </c>
      <c r="I34329" s="32" t="n">
        <f aca="false">I34327-I34328</f>
        <v>-0.091667612850737</v>
      </c>
      <c r="J34329" s="32" t="n">
        <f aca="false">J34327-J34328</f>
        <v>-0.0595051249337639</v>
      </c>
      <c r="K34329" s="32" t="n">
        <f aca="false">K34327-K34328</f>
        <v>-0.157254340687343</v>
      </c>
    </row>
    <row r="34330" customFormat="false" ht="15" hidden="false" customHeight="false" outlineLevel="0" collapsed="false">
      <c r="A34330" s="3" t="s">
        <v>431</v>
      </c>
      <c r="G34330" s="22" t="n">
        <f aca="false">IF(G34328=0,0,G34329/ABS(G34328))</f>
        <v>-0.0523209947293988</v>
      </c>
      <c r="H34330" s="22" t="n">
        <f aca="false">IF(H34328=0,0,H34329/ABS(H34328))</f>
        <v>-0.0220463296509683</v>
      </c>
      <c r="I34330" s="22" t="n">
        <f aca="false">IF(I34328=0,0,I34329/ABS(I34328))</f>
        <v>-0.0611117419004913</v>
      </c>
      <c r="J34330" s="22" t="n">
        <f aca="false">IF(J34328=0,0,J34329/ABS(J34328))</f>
        <v>-0.039670083289176</v>
      </c>
      <c r="K34330" s="22" t="n">
        <f aca="false">IF(K34328=0,0,K34329/ABS(K34328))</f>
        <v>-0.104836227124896</v>
      </c>
    </row>
    <row r="34331" customFormat="false" ht="15" hidden="false" customHeight="false" outlineLevel="0" collapsed="false">
      <c r="A34331" s="3" t="s">
        <v>432</v>
      </c>
      <c r="G34331" s="21" t="n">
        <f aca="false">IF(G34329&lt;0,1,0)</f>
        <v>1</v>
      </c>
      <c r="H34331" s="21" t="n">
        <f aca="false">IF(H34329&lt;0,1,0)</f>
        <v>1</v>
      </c>
      <c r="I34331" s="21" t="n">
        <f aca="false">IF(I34329&lt;0,1,0)</f>
        <v>1</v>
      </c>
      <c r="J34331" s="21" t="n">
        <f aca="false">IF(J34329&lt;0,1,0)</f>
        <v>1</v>
      </c>
      <c r="K34331" s="21" t="n">
        <f aca="false">IF(K34329&lt;0,1,0)</f>
        <v>1</v>
      </c>
    </row>
    <row r="34332" customFormat="false" ht="15" hidden="false" customHeight="false" outlineLevel="0" collapsed="false">
      <c r="A34332" s="3" t="s">
        <v>433</v>
      </c>
      <c r="C34332" s="21" t="n">
        <f aca="false">IFERROR(INDEX($G$34073:$K$34073,MATCH(1,$G$34331:$K$34331,0)),0)</f>
        <v>2027</v>
      </c>
    </row>
    <row r="34333" customFormat="false" ht="15" hidden="false" customHeight="false" outlineLevel="0" collapsed="false">
      <c r="A34333" s="3" t="s">
        <v>434</v>
      </c>
      <c r="C34333" s="22" t="n">
        <f aca="false">MIN($G$34330:$K$34330)</f>
        <v>-0.104836227124896</v>
      </c>
    </row>
    <row r="34334" customFormat="false" ht="15" hidden="false" customHeight="false" outlineLevel="0" collapsed="false">
      <c r="A34334" s="24" t="s">
        <v>436</v>
      </c>
      <c r="B34334" s="25"/>
      <c r="C34334" s="25"/>
      <c r="D34334" s="25"/>
      <c r="E34334" s="25"/>
      <c r="F34334" s="25"/>
      <c r="G34334" s="25"/>
      <c r="H34334" s="25"/>
      <c r="I34334" s="25"/>
      <c r="J34334" s="25"/>
      <c r="K34334" s="25"/>
    </row>
    <row r="34335" customFormat="false" ht="15" hidden="false" customHeight="false" outlineLevel="0" collapsed="false">
      <c r="A34335" s="3" t="s">
        <v>428</v>
      </c>
      <c r="G34335" s="22" t="n">
        <f aca="false">IF(G34316&gt;0,G34305/G34316,99)</f>
        <v>0.120265604139923</v>
      </c>
      <c r="H34335" s="22" t="n">
        <f aca="false">IF(H34316&gt;0,H34305/H34316,99)</f>
        <v>0.119380197979769</v>
      </c>
      <c r="I34335" s="22" t="n">
        <f aca="false">IF(I34316&gt;0,I34305/I34316,99)</f>
        <v>0.118494791819614</v>
      </c>
      <c r="J34335" s="22" t="n">
        <f aca="false">IF(J34316&gt;0,J34305/J34316,99)</f>
        <v>0.11760938565946</v>
      </c>
      <c r="K34335" s="22" t="n">
        <f aca="false">IF(K34316&gt;0,K34305/K34316,99)</f>
        <v>0.116723979499306</v>
      </c>
    </row>
    <row r="34336" customFormat="false" ht="15" hidden="false" customHeight="false" outlineLevel="0" collapsed="false">
      <c r="A34336" s="3" t="s">
        <v>429</v>
      </c>
      <c r="G34336" s="33" t="n">
        <f aca="false">Assumptions!$G$73</f>
        <v>0.4</v>
      </c>
      <c r="H34336" s="33" t="n">
        <f aca="false">Assumptions!$H$73</f>
        <v>0.4</v>
      </c>
      <c r="I34336" s="33" t="n">
        <f aca="false">Assumptions!$I$73</f>
        <v>0.4</v>
      </c>
      <c r="J34336" s="33" t="n">
        <f aca="false">Assumptions!$J$73</f>
        <v>0.4</v>
      </c>
      <c r="K34336" s="33" t="n">
        <f aca="false">Assumptions!$K$73</f>
        <v>0.4</v>
      </c>
    </row>
    <row r="34337" customFormat="false" ht="15" hidden="false" customHeight="false" outlineLevel="0" collapsed="false">
      <c r="A34337" s="3" t="s">
        <v>430</v>
      </c>
      <c r="G34337" s="22" t="n">
        <f aca="false">G34336-G34335</f>
        <v>0.279734395860077</v>
      </c>
      <c r="H34337" s="22" t="n">
        <f aca="false">H34336-H34335</f>
        <v>0.280619802020231</v>
      </c>
      <c r="I34337" s="22" t="n">
        <f aca="false">I34336-I34335</f>
        <v>0.281505208180386</v>
      </c>
      <c r="J34337" s="22" t="n">
        <f aca="false">J34336-J34335</f>
        <v>0.28239061434054</v>
      </c>
      <c r="K34337" s="22" t="n">
        <f aca="false">K34336-K34335</f>
        <v>0.283276020500694</v>
      </c>
    </row>
    <row r="34338" customFormat="false" ht="15" hidden="false" customHeight="false" outlineLevel="0" collapsed="false">
      <c r="A34338" s="3" t="s">
        <v>431</v>
      </c>
      <c r="G34338" s="22" t="n">
        <f aca="false">IF(G34336=0,0,G34337/ABS(G34336))</f>
        <v>0.699335989650192</v>
      </c>
      <c r="H34338" s="22" t="n">
        <f aca="false">IF(H34336=0,0,H34337/ABS(H34336))</f>
        <v>0.701549505050578</v>
      </c>
      <c r="I34338" s="22" t="n">
        <f aca="false">IF(I34336=0,0,I34337/ABS(I34336))</f>
        <v>0.703763020450964</v>
      </c>
      <c r="J34338" s="22" t="n">
        <f aca="false">IF(J34336=0,0,J34337/ABS(J34336))</f>
        <v>0.70597653585135</v>
      </c>
      <c r="K34338" s="22" t="n">
        <f aca="false">IF(K34336=0,0,K34337/ABS(K34336))</f>
        <v>0.708190051251736</v>
      </c>
    </row>
    <row r="34339" customFormat="false" ht="15" hidden="false" customHeight="false" outlineLevel="0" collapsed="false">
      <c r="A34339" s="3" t="s">
        <v>432</v>
      </c>
      <c r="G34339" s="21" t="n">
        <f aca="false">IF(G34337&lt;0,1,0)</f>
        <v>0</v>
      </c>
      <c r="H34339" s="21" t="n">
        <f aca="false">IF(H34337&lt;0,1,0)</f>
        <v>0</v>
      </c>
      <c r="I34339" s="21" t="n">
        <f aca="false">IF(I34337&lt;0,1,0)</f>
        <v>0</v>
      </c>
      <c r="J34339" s="21" t="n">
        <f aca="false">IF(J34337&lt;0,1,0)</f>
        <v>0</v>
      </c>
      <c r="K34339" s="21" t="n">
        <f aca="false">IF(K34337&lt;0,1,0)</f>
        <v>0</v>
      </c>
    </row>
    <row r="34340" customFormat="false" ht="15" hidden="false" customHeight="false" outlineLevel="0" collapsed="false">
      <c r="A34340" s="3" t="s">
        <v>433</v>
      </c>
      <c r="C34340" s="21" t="n">
        <f aca="false">IFERROR(INDEX($G$34073:$K$34073,MATCH(1,$G$34339:$K$34339,0)),0)</f>
        <v>0</v>
      </c>
    </row>
    <row r="34341" customFormat="false" ht="15" hidden="false" customHeight="false" outlineLevel="0" collapsed="false">
      <c r="A34341" s="3" t="s">
        <v>434</v>
      </c>
      <c r="C34341" s="22" t="n">
        <f aca="false">MIN($G$34338:$K$34338)</f>
        <v>0.699335989650192</v>
      </c>
    </row>
    <row r="34342" customFormat="false" ht="15" hidden="false" customHeight="false" outlineLevel="0" collapsed="false">
      <c r="A34342" s="24" t="s">
        <v>437</v>
      </c>
      <c r="B34342" s="25"/>
      <c r="C34342" s="25"/>
      <c r="D34342" s="25"/>
      <c r="E34342" s="25"/>
      <c r="F34342" s="25"/>
      <c r="G34342" s="25"/>
      <c r="H34342" s="25"/>
      <c r="I34342" s="25"/>
      <c r="J34342" s="25"/>
      <c r="K34342" s="25"/>
    </row>
    <row r="34343" customFormat="false" ht="15" hidden="false" customHeight="false" outlineLevel="0" collapsed="false">
      <c r="A34343" s="3" t="s">
        <v>428</v>
      </c>
      <c r="G34343" s="16" t="n">
        <f aca="false">G34313</f>
        <v>724.8287686</v>
      </c>
      <c r="H34343" s="16" t="n">
        <f aca="false">H34313</f>
        <v>599.5</v>
      </c>
      <c r="I34343" s="16" t="n">
        <f aca="false">I34313</f>
        <v>507.703057817944</v>
      </c>
      <c r="J34343" s="16" t="n">
        <f aca="false">J34313</f>
        <v>418.822535135205</v>
      </c>
      <c r="K34343" s="16" t="n">
        <f aca="false">K34313</f>
        <v>314.286716076552</v>
      </c>
    </row>
    <row r="34344" customFormat="false" ht="15" hidden="false" customHeight="false" outlineLevel="0" collapsed="false">
      <c r="A34344" s="3" t="s">
        <v>429</v>
      </c>
      <c r="G34344" s="29" t="n">
        <f aca="false">Assumptions!$G$74</f>
        <v>100</v>
      </c>
      <c r="H34344" s="29" t="n">
        <f aca="false">Assumptions!$H$74</f>
        <v>100</v>
      </c>
      <c r="I34344" s="29" t="n">
        <f aca="false">Assumptions!$I$74</f>
        <v>100</v>
      </c>
      <c r="J34344" s="29" t="n">
        <f aca="false">Assumptions!$J$74</f>
        <v>100</v>
      </c>
      <c r="K34344" s="29" t="n">
        <f aca="false">Assumptions!$K$74</f>
        <v>100</v>
      </c>
    </row>
    <row r="34345" customFormat="false" ht="15" hidden="false" customHeight="false" outlineLevel="0" collapsed="false">
      <c r="A34345" s="3" t="s">
        <v>430</v>
      </c>
      <c r="G34345" s="16" t="n">
        <f aca="false">G34343-G34344</f>
        <v>624.8287686</v>
      </c>
      <c r="H34345" s="16" t="n">
        <f aca="false">H34343-H34344</f>
        <v>499.5</v>
      </c>
      <c r="I34345" s="16" t="n">
        <f aca="false">I34343-I34344</f>
        <v>407.703057817944</v>
      </c>
      <c r="J34345" s="16" t="n">
        <f aca="false">J34343-J34344</f>
        <v>318.822535135205</v>
      </c>
      <c r="K34345" s="16" t="n">
        <f aca="false">K34343-K34344</f>
        <v>214.286716076552</v>
      </c>
    </row>
    <row r="34346" customFormat="false" ht="15" hidden="false" customHeight="false" outlineLevel="0" collapsed="false">
      <c r="A34346" s="3" t="s">
        <v>431</v>
      </c>
      <c r="G34346" s="22" t="n">
        <f aca="false">IF(G34344=0,0,G34345/ABS(G34344))</f>
        <v>6.248287686</v>
      </c>
      <c r="H34346" s="22" t="n">
        <f aca="false">IF(H34344=0,0,H34345/ABS(H34344))</f>
        <v>4.995</v>
      </c>
      <c r="I34346" s="22" t="n">
        <f aca="false">IF(I34344=0,0,I34345/ABS(I34344))</f>
        <v>4.07703057817944</v>
      </c>
      <c r="J34346" s="22" t="n">
        <f aca="false">IF(J34344=0,0,J34345/ABS(J34344))</f>
        <v>3.18822535135205</v>
      </c>
      <c r="K34346" s="22" t="n">
        <f aca="false">IF(K34344=0,0,K34345/ABS(K34344))</f>
        <v>2.14286716076552</v>
      </c>
    </row>
    <row r="34347" customFormat="false" ht="15" hidden="false" customHeight="false" outlineLevel="0" collapsed="false">
      <c r="A34347" s="3" t="s">
        <v>432</v>
      </c>
      <c r="G34347" s="21" t="n">
        <f aca="false">IF(G34345&lt;0,1,0)</f>
        <v>0</v>
      </c>
      <c r="H34347" s="21" t="n">
        <f aca="false">IF(H34345&lt;0,1,0)</f>
        <v>0</v>
      </c>
      <c r="I34347" s="21" t="n">
        <f aca="false">IF(I34345&lt;0,1,0)</f>
        <v>0</v>
      </c>
      <c r="J34347" s="21" t="n">
        <f aca="false">IF(J34345&lt;0,1,0)</f>
        <v>0</v>
      </c>
      <c r="K34347" s="21" t="n">
        <f aca="false">IF(K34345&lt;0,1,0)</f>
        <v>0</v>
      </c>
    </row>
    <row r="34348" customFormat="false" ht="15" hidden="false" customHeight="false" outlineLevel="0" collapsed="false">
      <c r="A34348" s="3" t="s">
        <v>433</v>
      </c>
      <c r="C34348" s="21" t="n">
        <f aca="false">IFERROR(INDEX($G$34073:$K$34073,MATCH(1,$G$34347:$K$34347,0)),0)</f>
        <v>0</v>
      </c>
    </row>
    <row r="34349" customFormat="false" ht="15" hidden="false" customHeight="false" outlineLevel="0" collapsed="false">
      <c r="A34349" s="3" t="s">
        <v>434</v>
      </c>
      <c r="C34349" s="22" t="n">
        <f aca="false">MIN($G$34346:$K$34346)</f>
        <v>2.14286716076552</v>
      </c>
    </row>
    <row r="34350" customFormat="false" ht="15" hidden="false" customHeight="false" outlineLevel="0" collapsed="false">
      <c r="A34350" s="24" t="s">
        <v>438</v>
      </c>
      <c r="B34350" s="25"/>
      <c r="C34350" s="25"/>
      <c r="D34350" s="25"/>
      <c r="E34350" s="25"/>
      <c r="F34350" s="25"/>
      <c r="G34350" s="25"/>
      <c r="H34350" s="25"/>
      <c r="I34350" s="25"/>
      <c r="J34350" s="25"/>
      <c r="K34350" s="25"/>
    </row>
    <row r="34351" customFormat="false" ht="15" hidden="false" customHeight="false" outlineLevel="0" collapsed="false">
      <c r="A34351" s="3" t="s">
        <v>428</v>
      </c>
      <c r="G34351" s="32" t="n">
        <f aca="false">IF(G34083&gt;0,G34306/G34083,99)</f>
        <v>9.64824801476836</v>
      </c>
      <c r="H34351" s="32" t="n">
        <f aca="false">IF(H34083&gt;0,H34306/H34083,99)</f>
        <v>9.70665866785301</v>
      </c>
      <c r="I34351" s="32" t="n">
        <f aca="false">IF(I34083&gt;0,I34306/I34083,99)</f>
        <v>9.78880026535512</v>
      </c>
      <c r="J34351" s="32" t="n">
        <f aca="false">IF(J34083&gt;0,J34306/J34083,99)</f>
        <v>9.86877570563203</v>
      </c>
      <c r="K34351" s="32" t="n">
        <f aca="false">IF(K34083&gt;0,K34306/K34083,99)</f>
        <v>9.99528975565569</v>
      </c>
    </row>
    <row r="34352" customFormat="false" ht="15" hidden="false" customHeight="false" outlineLevel="0" collapsed="false">
      <c r="A34352" s="3" t="s">
        <v>429</v>
      </c>
      <c r="G34352" s="34" t="n">
        <f aca="false">Assumptions!$G$75</f>
        <v>10.5</v>
      </c>
      <c r="H34352" s="34" t="n">
        <f aca="false">Assumptions!$H$75</f>
        <v>10.5</v>
      </c>
      <c r="I34352" s="34" t="n">
        <f aca="false">Assumptions!$I$75</f>
        <v>10</v>
      </c>
      <c r="J34352" s="34" t="n">
        <f aca="false">Assumptions!$J$75</f>
        <v>10</v>
      </c>
      <c r="K34352" s="34" t="n">
        <f aca="false">Assumptions!$K$75</f>
        <v>9.5</v>
      </c>
    </row>
    <row r="34353" customFormat="false" ht="15" hidden="false" customHeight="false" outlineLevel="0" collapsed="false">
      <c r="A34353" s="3" t="s">
        <v>430</v>
      </c>
      <c r="G34353" s="32" t="n">
        <f aca="false">G34352-G34351</f>
        <v>0.85175198523164</v>
      </c>
      <c r="H34353" s="32" t="n">
        <f aca="false">H34352-H34351</f>
        <v>0.793341332146991</v>
      </c>
      <c r="I34353" s="32" t="n">
        <f aca="false">I34352-I34351</f>
        <v>0.211199734644877</v>
      </c>
      <c r="J34353" s="32" t="n">
        <f aca="false">J34352-J34351</f>
        <v>0.131224294367971</v>
      </c>
      <c r="K34353" s="32" t="n">
        <f aca="false">K34352-K34351</f>
        <v>-0.495289755655689</v>
      </c>
    </row>
    <row r="34354" customFormat="false" ht="15" hidden="false" customHeight="false" outlineLevel="0" collapsed="false">
      <c r="A34354" s="3" t="s">
        <v>431</v>
      </c>
      <c r="G34354" s="22" t="n">
        <f aca="false">IF(G34352=0,0,G34353/ABS(G34352))</f>
        <v>0.0811192366887277</v>
      </c>
      <c r="H34354" s="22" t="n">
        <f aca="false">IF(H34352=0,0,H34353/ABS(H34352))</f>
        <v>0.0755563173473324</v>
      </c>
      <c r="I34354" s="22" t="n">
        <f aca="false">IF(I34352=0,0,I34353/ABS(I34352))</f>
        <v>0.0211199734644877</v>
      </c>
      <c r="J34354" s="22" t="n">
        <f aca="false">IF(J34352=0,0,J34353/ABS(J34352))</f>
        <v>0.0131224294367971</v>
      </c>
      <c r="K34354" s="22" t="n">
        <f aca="false">IF(K34352=0,0,K34353/ABS(K34352))</f>
        <v>-0.0521357637532304</v>
      </c>
    </row>
    <row r="34355" customFormat="false" ht="15" hidden="false" customHeight="false" outlineLevel="0" collapsed="false">
      <c r="A34355" s="3" t="s">
        <v>432</v>
      </c>
      <c r="G34355" s="21" t="n">
        <f aca="false">IF(G34353&lt;0,1,0)</f>
        <v>0</v>
      </c>
      <c r="H34355" s="21" t="n">
        <f aca="false">IF(H34353&lt;0,1,0)</f>
        <v>0</v>
      </c>
      <c r="I34355" s="21" t="n">
        <f aca="false">IF(I34353&lt;0,1,0)</f>
        <v>0</v>
      </c>
      <c r="J34355" s="21" t="n">
        <f aca="false">IF(J34353&lt;0,1,0)</f>
        <v>0</v>
      </c>
      <c r="K34355" s="21" t="n">
        <f aca="false">IF(K34353&lt;0,1,0)</f>
        <v>1</v>
      </c>
    </row>
    <row r="34356" customFormat="false" ht="15" hidden="false" customHeight="false" outlineLevel="0" collapsed="false">
      <c r="A34356" s="3" t="s">
        <v>433</v>
      </c>
      <c r="C34356" s="21" t="n">
        <f aca="false">IFERROR(INDEX($G$34073:$K$34073,MATCH(1,$G$34355:$K$34355,0)),0)</f>
        <v>2031</v>
      </c>
    </row>
    <row r="34357" customFormat="false" ht="15" hidden="false" customHeight="false" outlineLevel="0" collapsed="false">
      <c r="A34357" s="3" t="s">
        <v>434</v>
      </c>
      <c r="C34357" s="22" t="n">
        <f aca="false">MIN($G$34354:$K$34354)</f>
        <v>-0.0521357637532304</v>
      </c>
    </row>
    <row r="34358" customFormat="false" ht="15" hidden="false" customHeight="false" outlineLevel="0" collapsed="false">
      <c r="A34358" s="3" t="s">
        <v>439</v>
      </c>
      <c r="G34358" s="21" t="n">
        <f aca="false">G34323+G34331+G34339+G34347+G34355</f>
        <v>1</v>
      </c>
      <c r="H34358" s="21" t="n">
        <f aca="false">H34323+H34331+H34339+H34347+H34355</f>
        <v>1</v>
      </c>
      <c r="I34358" s="21" t="n">
        <f aca="false">I34323+I34331+I34339+I34347+I34355</f>
        <v>1</v>
      </c>
      <c r="J34358" s="21" t="n">
        <f aca="false">J34323+J34331+J34339+J34347+J34355</f>
        <v>2</v>
      </c>
      <c r="K34358" s="21" t="n">
        <f aca="false">K34323+K34331+K34339+K34347+K34355</f>
        <v>3</v>
      </c>
    </row>
    <row r="34359" customFormat="false" ht="15" hidden="false" customHeight="false" outlineLevel="0" collapsed="false">
      <c r="A34359" s="3" t="s">
        <v>440</v>
      </c>
      <c r="C34359" s="21" t="n">
        <f aca="false">SUM($G$34358:$K$34358)</f>
        <v>8</v>
      </c>
    </row>
    <row r="34360" customFormat="false" ht="15" hidden="false" customHeight="false" outlineLevel="0" collapsed="false">
      <c r="A34360" s="3" t="s">
        <v>441</v>
      </c>
      <c r="C34360" s="22" t="n">
        <f aca="false">MIN(C34325,C34333,C34341,C34349,C34357)</f>
        <v>-0.104836227124896</v>
      </c>
    </row>
    <row r="34362" customFormat="false" ht="15" hidden="false" customHeight="false" outlineLevel="0" collapsed="false">
      <c r="A34362" s="24" t="s">
        <v>543</v>
      </c>
      <c r="B34362" s="25"/>
      <c r="C34362" s="25"/>
      <c r="D34362" s="25"/>
      <c r="E34362" s="25"/>
      <c r="F34362" s="25"/>
      <c r="G34362" s="25"/>
      <c r="H34362" s="25"/>
      <c r="I34362" s="25"/>
      <c r="J34362" s="25"/>
      <c r="K34362" s="25"/>
    </row>
    <row r="34363" customFormat="false" ht="15" hidden="false" customHeight="false" outlineLevel="0" collapsed="false">
      <c r="A34363" s="3" t="s">
        <v>544</v>
      </c>
      <c r="G34363" s="21" t="n">
        <f aca="false">IF($C$34364=1,G34300,IF(G34083=MIN($G$34083:$K$34083),1,0))</f>
        <v>1</v>
      </c>
      <c r="H34363" s="21" t="n">
        <f aca="false">IF($C$34364=1,H34300,IF(AND(H34083=MIN($G$34083:$K$34083),SUM($G$34363:G34363)=0),1,0))</f>
        <v>0</v>
      </c>
      <c r="I34363" s="21" t="n">
        <f aca="false">IF($C$34364=1,I34300,IF(AND(I34083=MIN($G$34083:$K$34083),SUM($G$34363:H34363)=0),1,0))</f>
        <v>0</v>
      </c>
      <c r="J34363" s="21" t="n">
        <f aca="false">IF($C$34364=1,J34300,IF(AND(J34083=MIN($G$34083:$K$34083),SUM($G$34363:I34363)=0),1,0))</f>
        <v>0</v>
      </c>
      <c r="K34363" s="21" t="n">
        <f aca="false">IF($C$34364=1,K34300,IF(AND(K34083=MIN($G$34083:$K$34083),SUM($G$34363:J34363)=0),1,0))</f>
        <v>0</v>
      </c>
    </row>
    <row r="34364" customFormat="false" ht="15" hidden="false" customHeight="false" outlineLevel="0" collapsed="false">
      <c r="A34364" s="3" t="s">
        <v>545</v>
      </c>
      <c r="C34364" s="21" t="n">
        <f aca="false">IF(SUM($G$34300:$K$34300)&gt;0,1,0)</f>
        <v>0</v>
      </c>
    </row>
    <row r="34365" customFormat="false" ht="15" hidden="false" customHeight="false" outlineLevel="0" collapsed="false">
      <c r="A34365" s="3" t="s">
        <v>546</v>
      </c>
      <c r="C34365" s="21" t="n">
        <f aca="false">SUMPRODUCT($G$34363:$K$34363,$G$34073:$K$34073)</f>
        <v>2027</v>
      </c>
    </row>
    <row r="34366" customFormat="false" ht="15" hidden="false" customHeight="false" outlineLevel="0" collapsed="false">
      <c r="A34366" s="3" t="s">
        <v>547</v>
      </c>
      <c r="C34366" s="16" t="n">
        <f aca="false">SUMPRODUCT($G$34363:$K$34363,$G$34083:$K$34083)</f>
        <v>256.1714031</v>
      </c>
    </row>
    <row r="34367" customFormat="false" ht="15" hidden="false" customHeight="false" outlineLevel="0" collapsed="false">
      <c r="A34367" s="3" t="s">
        <v>548</v>
      </c>
      <c r="C34367" s="16" t="n">
        <f aca="false">MAX(0,SUMPRODUCT($G$34363:$K$34363,$G$34297:$K$34297))</f>
        <v>150.3287686</v>
      </c>
    </row>
    <row r="34368" customFormat="false" ht="15" hidden="false" customHeight="false" outlineLevel="0" collapsed="false">
      <c r="A34368" s="3" t="s">
        <v>549</v>
      </c>
      <c r="C34368" s="16" t="n">
        <f aca="false">(CHOOSE($C$34066,Assumptions!$C$92,Assumptions!$C$111,Assumptions!$C$130)+$C$34070)*C34366</f>
        <v>3074.0568372</v>
      </c>
    </row>
    <row r="34369" customFormat="false" ht="15" hidden="false" customHeight="false" outlineLevel="0" collapsed="false">
      <c r="A34369" s="3" t="s">
        <v>550</v>
      </c>
      <c r="C34369" s="16" t="n">
        <f aca="false">Assumptions!$C$31*(1-CHOOSE($C$34066,Assumptions!$C$93,Assumptions!$C$112,Assumptions!$C$131))*CHOOSE($C$34066,Assumptions!$C$94,Assumptions!$C$113,Assumptions!$C$132)</f>
        <v>3840.04556666667</v>
      </c>
    </row>
    <row r="34370" customFormat="false" ht="15" hidden="false" customHeight="false" outlineLevel="0" collapsed="false">
      <c r="A34370" s="3" t="s">
        <v>551</v>
      </c>
      <c r="C34370" s="16" t="n">
        <f aca="false">MAX(C34368,C34369)+C34367</f>
        <v>3990.37433526667</v>
      </c>
    </row>
    <row r="34371" customFormat="false" ht="15" hidden="false" customHeight="false" outlineLevel="0" collapsed="false">
      <c r="A34371" s="2" t="s">
        <v>552</v>
      </c>
      <c r="C34371" s="17" t="n">
        <f aca="false">IF(ISNUMBER(Assumptions!$C$14),Assumptions!$C$14,C34370)</f>
        <v>3990.37433526667</v>
      </c>
    </row>
    <row r="34372" customFormat="false" ht="15" hidden="false" customHeight="false" outlineLevel="0" collapsed="false">
      <c r="A34372" s="3" t="s">
        <v>553</v>
      </c>
      <c r="C34372" s="16" t="n">
        <f aca="false">C34371*Assumptions!$C$15</f>
        <v>159.614973410667</v>
      </c>
    </row>
    <row r="34373" customFormat="false" ht="15" hidden="false" customHeight="false" outlineLevel="0" collapsed="false">
      <c r="A34373" s="2" t="s">
        <v>554</v>
      </c>
      <c r="C34373" s="17" t="n">
        <f aca="false">C34371-C34372</f>
        <v>3830.759361856</v>
      </c>
    </row>
    <row r="34374" customFormat="false" ht="15" hidden="false" customHeight="false" outlineLevel="0" collapsed="false">
      <c r="A34374" s="24" t="s">
        <v>555</v>
      </c>
      <c r="B34374" s="25"/>
      <c r="C34374" s="25"/>
      <c r="D34374" s="25"/>
      <c r="E34374" s="25"/>
      <c r="F34374" s="25"/>
      <c r="G34374" s="25"/>
      <c r="H34374" s="25"/>
      <c r="I34374" s="25"/>
      <c r="J34374" s="25"/>
      <c r="K34374" s="25"/>
    </row>
    <row r="34375" customFormat="false" ht="15" hidden="false" customHeight="false" outlineLevel="0" collapsed="false">
      <c r="A34375" s="3" t="s">
        <v>556</v>
      </c>
      <c r="C34375" s="16" t="n">
        <f aca="false">SUMPRODUCT($G$34363:$K$34363,$G$34120:$K$34120)*(1+SUMPRODUCT($G$34363:$K$34363,$G$34112:$K$34112)*Assumptions!$C$16/12)</f>
        <v>405.0585</v>
      </c>
    </row>
    <row r="34376" customFormat="false" ht="15" hidden="false" customHeight="false" outlineLevel="0" collapsed="false">
      <c r="A34376" s="3" t="s">
        <v>557</v>
      </c>
      <c r="C34376" s="16" t="n">
        <f aca="false">SUMPRODUCT($G$34363:$K$34363,$G$34133:$K$34133)*(1+SUMPRODUCT($G$34363:$K$34363,$G$34125:$K$34125)*Assumptions!$C$16/12)</f>
        <v>91.30725</v>
      </c>
    </row>
    <row r="34377" customFormat="false" ht="15" hidden="false" customHeight="false" outlineLevel="0" collapsed="false">
      <c r="A34377" s="3" t="s">
        <v>558</v>
      </c>
      <c r="C34377" s="16" t="n">
        <f aca="false">SUMPRODUCT($G$34363:$K$34363,$G$34146:$K$34146)*(1+SUMPRODUCT($G$34363:$K$34363,$G$34138:$K$34138)*Assumptions!$C$16/12)</f>
        <v>58.3715961</v>
      </c>
    </row>
    <row r="34378" customFormat="false" ht="15" hidden="false" customHeight="false" outlineLevel="0" collapsed="false">
      <c r="A34378" s="3" t="s">
        <v>559</v>
      </c>
      <c r="C34378" s="16" t="n">
        <f aca="false">SUMPRODUCT($G$34363:$K$34363,$G$34159:$K$34159)*(1+SUMPRODUCT($G$34363:$K$34363,$G$34151:$K$34151)*Assumptions!$C$16/12)</f>
        <v>0</v>
      </c>
    </row>
    <row r="34379" customFormat="false" ht="15" hidden="false" customHeight="false" outlineLevel="0" collapsed="false">
      <c r="A34379" s="3" t="s">
        <v>560</v>
      </c>
      <c r="C34379" s="16" t="n">
        <f aca="false">SUMPRODUCT($G$34363:$K$34363,$G$34172:$K$34172)*(1+SUMPRODUCT($G$34363:$K$34363,$G$34164:$K$34164)*Assumptions!$C$16/12)</f>
        <v>454.44375</v>
      </c>
    </row>
    <row r="34380" customFormat="false" ht="15" hidden="false" customHeight="false" outlineLevel="0" collapsed="false">
      <c r="A34380" s="3" t="s">
        <v>561</v>
      </c>
      <c r="C34380" s="16" t="n">
        <f aca="false">SUMPRODUCT($G$34363:$K$34363,$G$34185:$K$34185)*(1+SUMPRODUCT($G$34363:$K$34363,$G$34177:$K$34177)*Assumptions!$C$16/12)</f>
        <v>357.2625</v>
      </c>
    </row>
    <row r="34381" customFormat="false" ht="15" hidden="false" customHeight="false" outlineLevel="0" collapsed="false">
      <c r="A34381" s="3" t="s">
        <v>562</v>
      </c>
      <c r="C34381" s="16" t="n">
        <f aca="false">SUMPRODUCT($G$34363:$K$34363,$G$34198:$K$34198)*(1+SUMPRODUCT($G$34363:$K$34363,$G$34190:$K$34190)*Assumptions!$C$16/12)</f>
        <v>562.203125</v>
      </c>
    </row>
    <row r="34382" customFormat="false" ht="15" hidden="false" customHeight="false" outlineLevel="0" collapsed="false">
      <c r="A34382" s="3" t="s">
        <v>563</v>
      </c>
      <c r="C34382" s="16" t="n">
        <f aca="false">SUMPRODUCT($G$34363:$K$34363,$G$34211:$K$34211)*(1+SUMPRODUCT($G$34363:$K$34363,$G$34203:$K$34203)*Assumptions!$C$16/12)</f>
        <v>353.98125</v>
      </c>
    </row>
    <row r="34383" customFormat="false" ht="15" hidden="false" customHeight="false" outlineLevel="0" collapsed="false">
      <c r="A34383" s="3" t="s">
        <v>564</v>
      </c>
      <c r="C34383" s="16" t="n">
        <f aca="false">SUMPRODUCT($G$34363:$K$34363,$G$34224:$K$34224)*(1+SUMPRODUCT($G$34363:$K$34363,$G$34216:$K$34216)*Assumptions!$C$16/12)</f>
        <v>304.59375</v>
      </c>
    </row>
    <row r="34384" customFormat="false" ht="15" hidden="false" customHeight="false" outlineLevel="0" collapsed="false">
      <c r="A34384" s="3" t="s">
        <v>565</v>
      </c>
      <c r="C34384" s="16" t="n">
        <f aca="false">SUMPRODUCT($G$34363:$K$34363,$G$34237:$K$34237)*(1+SUMPRODUCT($G$34363:$K$34363,$G$34229:$K$34229)*Assumptions!$C$16/12)</f>
        <v>79.67320025</v>
      </c>
    </row>
    <row r="34385" customFormat="false" ht="15" hidden="false" customHeight="false" outlineLevel="0" collapsed="false">
      <c r="A34385" s="24" t="s">
        <v>566</v>
      </c>
      <c r="B34385" s="25"/>
      <c r="C34385" s="25"/>
      <c r="D34385" s="25"/>
      <c r="E34385" s="25"/>
      <c r="F34385" s="25"/>
      <c r="G34385" s="25"/>
      <c r="H34385" s="25"/>
      <c r="I34385" s="25"/>
      <c r="J34385" s="25"/>
      <c r="K34385" s="25"/>
    </row>
    <row r="34386" customFormat="false" ht="15" hidden="false" customHeight="false" outlineLevel="0" collapsed="false">
      <c r="A34386" s="3" t="s">
        <v>556</v>
      </c>
      <c r="C34386" s="27" t="n">
        <f aca="false">Assumptions!$M$57</f>
        <v>1</v>
      </c>
    </row>
    <row r="34387" customFormat="false" ht="15" hidden="false" customHeight="false" outlineLevel="0" collapsed="false">
      <c r="A34387" s="3" t="s">
        <v>557</v>
      </c>
      <c r="C34387" s="27" t="n">
        <f aca="false">Assumptions!$M$58</f>
        <v>1</v>
      </c>
    </row>
    <row r="34388" customFormat="false" ht="15" hidden="false" customHeight="false" outlineLevel="0" collapsed="false">
      <c r="A34388" s="3" t="s">
        <v>558</v>
      </c>
      <c r="C34388" s="27" t="n">
        <f aca="false">Assumptions!$M$59</f>
        <v>1</v>
      </c>
    </row>
    <row r="34389" customFormat="false" ht="15" hidden="false" customHeight="false" outlineLevel="0" collapsed="false">
      <c r="A34389" s="3" t="s">
        <v>559</v>
      </c>
      <c r="C34389" s="27" t="n">
        <f aca="false">Assumptions!$M$60</f>
        <v>2</v>
      </c>
    </row>
    <row r="34390" customFormat="false" ht="15" hidden="false" customHeight="false" outlineLevel="0" collapsed="false">
      <c r="A34390" s="3" t="s">
        <v>560</v>
      </c>
      <c r="C34390" s="27" t="n">
        <f aca="false">Assumptions!$M$61</f>
        <v>2</v>
      </c>
    </row>
    <row r="34391" customFormat="false" ht="15" hidden="false" customHeight="false" outlineLevel="0" collapsed="false">
      <c r="A34391" s="3" t="s">
        <v>561</v>
      </c>
      <c r="C34391" s="27" t="n">
        <f aca="false">Assumptions!$M$62</f>
        <v>2</v>
      </c>
    </row>
    <row r="34392" customFormat="false" ht="15" hidden="false" customHeight="false" outlineLevel="0" collapsed="false">
      <c r="A34392" s="3" t="s">
        <v>562</v>
      </c>
      <c r="C34392" s="27" t="n">
        <f aca="false">Assumptions!$M$63</f>
        <v>2</v>
      </c>
    </row>
    <row r="34393" customFormat="false" ht="15" hidden="false" customHeight="false" outlineLevel="0" collapsed="false">
      <c r="A34393" s="3" t="s">
        <v>563</v>
      </c>
      <c r="C34393" s="27" t="n">
        <f aca="false">Assumptions!$M$64</f>
        <v>2</v>
      </c>
    </row>
    <row r="34394" customFormat="false" ht="15" hidden="false" customHeight="false" outlineLevel="0" collapsed="false">
      <c r="A34394" s="3" t="s">
        <v>564</v>
      </c>
      <c r="C34394" s="27" t="n">
        <f aca="false">Assumptions!$M$65</f>
        <v>2</v>
      </c>
    </row>
    <row r="34395" customFormat="false" ht="15" hidden="false" customHeight="false" outlineLevel="0" collapsed="false">
      <c r="A34395" s="3" t="s">
        <v>565</v>
      </c>
      <c r="C34395" s="27" t="n">
        <f aca="false">Assumptions!$M$66</f>
        <v>3</v>
      </c>
    </row>
    <row r="34396" customFormat="false" ht="15" hidden="false" customHeight="false" outlineLevel="0" collapsed="false">
      <c r="A34396" s="24" t="s">
        <v>567</v>
      </c>
      <c r="B34396" s="25"/>
      <c r="C34396" s="25"/>
      <c r="D34396" s="25"/>
      <c r="E34396" s="25"/>
      <c r="F34396" s="25"/>
      <c r="G34396" s="25"/>
      <c r="H34396" s="25"/>
      <c r="I34396" s="25"/>
      <c r="J34396" s="25"/>
      <c r="K34396" s="25"/>
    </row>
    <row r="34397" customFormat="false" ht="15" hidden="false" customHeight="false" outlineLevel="0" collapsed="false">
      <c r="A34397" s="3" t="s">
        <v>556</v>
      </c>
      <c r="C34397" s="33" t="n">
        <f aca="false">Assumptions!$Q$57</f>
        <v>0.3</v>
      </c>
    </row>
    <row r="34398" customFormat="false" ht="15" hidden="false" customHeight="false" outlineLevel="0" collapsed="false">
      <c r="A34398" s="3" t="s">
        <v>557</v>
      </c>
      <c r="C34398" s="33" t="n">
        <f aca="false">Assumptions!$Q$58</f>
        <v>0.033</v>
      </c>
    </row>
    <row r="34399" customFormat="false" ht="15" hidden="false" customHeight="false" outlineLevel="0" collapsed="false">
      <c r="A34399" s="3" t="s">
        <v>558</v>
      </c>
      <c r="C34399" s="33" t="n">
        <f aca="false">Assumptions!$Q$59</f>
        <v>0.021</v>
      </c>
    </row>
    <row r="34400" customFormat="false" ht="15" hidden="false" customHeight="false" outlineLevel="0" collapsed="false">
      <c r="A34400" s="3" t="s">
        <v>559</v>
      </c>
      <c r="C34400" s="33" t="n">
        <f aca="false">Assumptions!$Q$60</f>
        <v>0</v>
      </c>
    </row>
    <row r="34401" customFormat="false" ht="15" hidden="false" customHeight="false" outlineLevel="0" collapsed="false">
      <c r="A34401" s="3" t="s">
        <v>560</v>
      </c>
      <c r="C34401" s="33" t="n">
        <f aca="false">Assumptions!$Q$61</f>
        <v>0</v>
      </c>
    </row>
    <row r="34402" customFormat="false" ht="15" hidden="false" customHeight="false" outlineLevel="0" collapsed="false">
      <c r="A34402" s="3" t="s">
        <v>561</v>
      </c>
      <c r="C34402" s="33" t="n">
        <f aca="false">Assumptions!$Q$62</f>
        <v>0</v>
      </c>
    </row>
    <row r="34403" customFormat="false" ht="15" hidden="false" customHeight="false" outlineLevel="0" collapsed="false">
      <c r="A34403" s="3" t="s">
        <v>562</v>
      </c>
      <c r="C34403" s="33" t="n">
        <f aca="false">Assumptions!$Q$63</f>
        <v>0</v>
      </c>
    </row>
    <row r="34404" customFormat="false" ht="15" hidden="false" customHeight="false" outlineLevel="0" collapsed="false">
      <c r="A34404" s="3" t="s">
        <v>563</v>
      </c>
      <c r="C34404" s="33" t="n">
        <f aca="false">Assumptions!$Q$64</f>
        <v>0</v>
      </c>
    </row>
    <row r="34405" customFormat="false" ht="15" hidden="false" customHeight="false" outlineLevel="0" collapsed="false">
      <c r="A34405" s="3" t="s">
        <v>564</v>
      </c>
      <c r="C34405" s="33" t="n">
        <f aca="false">Assumptions!$Q$65</f>
        <v>0</v>
      </c>
    </row>
    <row r="34406" customFormat="false" ht="15" hidden="false" customHeight="false" outlineLevel="0" collapsed="false">
      <c r="A34406" s="3" t="s">
        <v>565</v>
      </c>
      <c r="C34406" s="33" t="n">
        <f aca="false">Assumptions!$Q$66</f>
        <v>0</v>
      </c>
    </row>
    <row r="34407" customFormat="false" ht="15" hidden="false" customHeight="false" outlineLevel="0" collapsed="false">
      <c r="A34407" s="24" t="s">
        <v>568</v>
      </c>
      <c r="B34407" s="25"/>
      <c r="C34407" s="25"/>
      <c r="D34407" s="25"/>
      <c r="E34407" s="25"/>
      <c r="F34407" s="25"/>
      <c r="G34407" s="25"/>
      <c r="H34407" s="25"/>
      <c r="I34407" s="25"/>
      <c r="J34407" s="25"/>
      <c r="K34407" s="25"/>
    </row>
    <row r="34408" customFormat="false" ht="15" hidden="false" customHeight="false" outlineLevel="0" collapsed="false">
      <c r="A34408" s="3" t="s">
        <v>556</v>
      </c>
      <c r="C34408" s="16" t="n">
        <f aca="false">IF(C34397&gt;0,MIN(C34375,C34397*$C$34373),0)</f>
        <v>405.0585</v>
      </c>
    </row>
    <row r="34409" customFormat="false" ht="15" hidden="false" customHeight="false" outlineLevel="0" collapsed="false">
      <c r="A34409" s="3" t="s">
        <v>557</v>
      </c>
      <c r="C34409" s="16" t="n">
        <f aca="false">IF(C34398&gt;0,MIN(C34376,C34398*$C$34373),0)</f>
        <v>91.30725</v>
      </c>
    </row>
    <row r="34410" customFormat="false" ht="15" hidden="false" customHeight="false" outlineLevel="0" collapsed="false">
      <c r="A34410" s="3" t="s">
        <v>558</v>
      </c>
      <c r="C34410" s="16" t="n">
        <f aca="false">IF(C34399&gt;0,MIN(C34377,C34399*$C$34373),0)</f>
        <v>58.3715961</v>
      </c>
    </row>
    <row r="34411" customFormat="false" ht="15" hidden="false" customHeight="false" outlineLevel="0" collapsed="false">
      <c r="A34411" s="3" t="s">
        <v>559</v>
      </c>
      <c r="C34411" s="16" t="n">
        <f aca="false">IF(C34400&gt;0,MIN(C34378,C34400*$C$34373),0)</f>
        <v>0</v>
      </c>
    </row>
    <row r="34412" customFormat="false" ht="15" hidden="false" customHeight="false" outlineLevel="0" collapsed="false">
      <c r="A34412" s="3" t="s">
        <v>560</v>
      </c>
      <c r="C34412" s="16" t="n">
        <f aca="false">IF(C34401&gt;0,MIN(C34379,C34401*$C$34373),0)</f>
        <v>0</v>
      </c>
    </row>
    <row r="34413" customFormat="false" ht="15" hidden="false" customHeight="false" outlineLevel="0" collapsed="false">
      <c r="A34413" s="3" t="s">
        <v>561</v>
      </c>
      <c r="C34413" s="16" t="n">
        <f aca="false">IF(C34402&gt;0,MIN(C34380,C34402*$C$34373),0)</f>
        <v>0</v>
      </c>
    </row>
    <row r="34414" customFormat="false" ht="15" hidden="false" customHeight="false" outlineLevel="0" collapsed="false">
      <c r="A34414" s="3" t="s">
        <v>562</v>
      </c>
      <c r="C34414" s="16" t="n">
        <f aca="false">IF(C34403&gt;0,MIN(C34381,C34403*$C$34373),0)</f>
        <v>0</v>
      </c>
    </row>
    <row r="34415" customFormat="false" ht="15" hidden="false" customHeight="false" outlineLevel="0" collapsed="false">
      <c r="A34415" s="3" t="s">
        <v>563</v>
      </c>
      <c r="C34415" s="16" t="n">
        <f aca="false">IF(C34404&gt;0,MIN(C34382,C34404*$C$34373),0)</f>
        <v>0</v>
      </c>
    </row>
    <row r="34416" customFormat="false" ht="15" hidden="false" customHeight="false" outlineLevel="0" collapsed="false">
      <c r="A34416" s="3" t="s">
        <v>564</v>
      </c>
      <c r="C34416" s="16" t="n">
        <f aca="false">IF(C34405&gt;0,MIN(C34383,C34405*$C$34373),0)</f>
        <v>0</v>
      </c>
    </row>
    <row r="34417" customFormat="false" ht="15" hidden="false" customHeight="false" outlineLevel="0" collapsed="false">
      <c r="A34417" s="3" t="s">
        <v>565</v>
      </c>
      <c r="C34417" s="16" t="n">
        <f aca="false">IF(C34406&gt;0,MIN(C34384,C34406*$C$34373),0)</f>
        <v>0</v>
      </c>
    </row>
    <row r="34418" customFormat="false" ht="15" hidden="false" customHeight="false" outlineLevel="0" collapsed="false">
      <c r="A34418" s="24" t="s">
        <v>569</v>
      </c>
      <c r="B34418" s="25"/>
      <c r="C34418" s="25"/>
      <c r="D34418" s="25"/>
      <c r="E34418" s="25"/>
      <c r="F34418" s="25"/>
      <c r="G34418" s="25"/>
      <c r="H34418" s="25"/>
      <c r="I34418" s="25"/>
      <c r="J34418" s="25"/>
      <c r="K34418" s="25"/>
    </row>
    <row r="34419" customFormat="false" ht="15" hidden="false" customHeight="false" outlineLevel="0" collapsed="false">
      <c r="A34419" s="3" t="s">
        <v>556</v>
      </c>
      <c r="C34419" s="16" t="n">
        <f aca="false">IF(C34397&gt;0,C34375-C34408,0)</f>
        <v>0</v>
      </c>
      <c r="G34419" s="21" t="n">
        <f aca="false">IF(AND(G34110=1,G34107=1),1,0)</f>
        <v>0</v>
      </c>
      <c r="H34419" s="21" t="n">
        <f aca="false">IF(G34419=1,1,IF(AND(H34110=1,H34107=1),1,0))</f>
        <v>0</v>
      </c>
      <c r="I34419" s="21" t="n">
        <f aca="false">IF(H34419=1,1,IF(AND(I34110=1,I34107=1),1,0))</f>
        <v>0</v>
      </c>
      <c r="J34419" s="21" t="n">
        <f aca="false">IF(I34419=1,1,IF(AND(J34110=1,J34107=1),1,0))</f>
        <v>0</v>
      </c>
      <c r="K34419" s="21" t="n">
        <f aca="false">IF(J34419=1,1,IF(AND(K34110=1,K34107=1),1,0))</f>
        <v>1</v>
      </c>
    </row>
    <row r="34420" customFormat="false" ht="15" hidden="false" customHeight="false" outlineLevel="0" collapsed="false">
      <c r="A34420" s="3" t="s">
        <v>557</v>
      </c>
      <c r="C34420" s="16" t="n">
        <f aca="false">IF(C34398&gt;0,C34376-C34409,0)</f>
        <v>0</v>
      </c>
      <c r="G34420" s="21" t="n">
        <f aca="false">IF(AND(G34123=1,G34107=1),1,0)</f>
        <v>0</v>
      </c>
      <c r="H34420" s="21" t="n">
        <f aca="false">IF(G34420=1,1,IF(AND(H34123=1,H34107=1),1,0))</f>
        <v>0</v>
      </c>
      <c r="I34420" s="21" t="n">
        <f aca="false">IF(H34420=1,1,IF(AND(I34123=1,I34107=1),1,0))</f>
        <v>0</v>
      </c>
      <c r="J34420" s="21" t="n">
        <f aca="false">IF(I34420=1,1,IF(AND(J34123=1,J34107=1),1,0))</f>
        <v>0</v>
      </c>
      <c r="K34420" s="21" t="n">
        <f aca="false">IF(J34420=1,1,IF(AND(K34123=1,K34107=1),1,0))</f>
        <v>0</v>
      </c>
    </row>
    <row r="34421" customFormat="false" ht="15" hidden="false" customHeight="false" outlineLevel="0" collapsed="false">
      <c r="A34421" s="3" t="s">
        <v>558</v>
      </c>
      <c r="C34421" s="16" t="n">
        <f aca="false">IF(C34399&gt;0,C34377-C34410,0)</f>
        <v>0</v>
      </c>
      <c r="G34421" s="21" t="n">
        <f aca="false">IF(AND(G34136=1,G34107=1),1,0)</f>
        <v>0</v>
      </c>
      <c r="H34421" s="21" t="n">
        <f aca="false">IF(G34421=1,1,IF(AND(H34136=1,H34107=1),1,0))</f>
        <v>0</v>
      </c>
      <c r="I34421" s="21" t="n">
        <f aca="false">IF(H34421=1,1,IF(AND(I34136=1,I34107=1),1,0))</f>
        <v>0</v>
      </c>
      <c r="J34421" s="21" t="n">
        <f aca="false">IF(I34421=1,1,IF(AND(J34136=1,J34107=1),1,0))</f>
        <v>0</v>
      </c>
      <c r="K34421" s="21" t="n">
        <f aca="false">IF(J34421=1,1,IF(AND(K34136=1,K34107=1),1,0))</f>
        <v>0</v>
      </c>
    </row>
    <row r="34422" customFormat="false" ht="15" hidden="false" customHeight="false" outlineLevel="0" collapsed="false">
      <c r="A34422" s="3" t="s">
        <v>559</v>
      </c>
      <c r="C34422" s="16" t="n">
        <f aca="false">IF(C34400&gt;0,C34378-C34411,0)</f>
        <v>0</v>
      </c>
      <c r="G34422" s="21" t="n">
        <f aca="false">IF(AND(G34149=1,G34107=1),1,0)</f>
        <v>1</v>
      </c>
      <c r="H34422" s="21" t="n">
        <f aca="false">IF(G34422=1,1,IF(AND(H34149=1,H34107=1),1,0))</f>
        <v>1</v>
      </c>
      <c r="I34422" s="21" t="n">
        <f aca="false">IF(H34422=1,1,IF(AND(I34149=1,I34107=1),1,0))</f>
        <v>1</v>
      </c>
      <c r="J34422" s="21" t="n">
        <f aca="false">IF(I34422=1,1,IF(AND(J34149=1,J34107=1),1,0))</f>
        <v>1</v>
      </c>
      <c r="K34422" s="21" t="n">
        <f aca="false">IF(J34422=1,1,IF(AND(K34149=1,K34107=1),1,0))</f>
        <v>1</v>
      </c>
    </row>
    <row r="34423" customFormat="false" ht="15" hidden="false" customHeight="false" outlineLevel="0" collapsed="false">
      <c r="A34423" s="3" t="s">
        <v>560</v>
      </c>
      <c r="C34423" s="16" t="n">
        <f aca="false">IF(C34401&gt;0,C34379-C34412,0)</f>
        <v>0</v>
      </c>
      <c r="G34423" s="21" t="n">
        <f aca="false">IF(AND(G34162=1,G34107=1),1,0)</f>
        <v>0</v>
      </c>
      <c r="H34423" s="21" t="n">
        <f aca="false">IF(G34423=1,1,IF(AND(H34162=1,H34107=1),1,0))</f>
        <v>1</v>
      </c>
      <c r="I34423" s="21" t="n">
        <f aca="false">IF(H34423=1,1,IF(AND(I34162=1,I34107=1),1,0))</f>
        <v>1</v>
      </c>
      <c r="J34423" s="21" t="n">
        <f aca="false">IF(I34423=1,1,IF(AND(J34162=1,J34107=1),1,0))</f>
        <v>1</v>
      </c>
      <c r="K34423" s="21" t="n">
        <f aca="false">IF(J34423=1,1,IF(AND(K34162=1,K34107=1),1,0))</f>
        <v>1</v>
      </c>
    </row>
    <row r="34424" customFormat="false" ht="15" hidden="false" customHeight="false" outlineLevel="0" collapsed="false">
      <c r="A34424" s="3" t="s">
        <v>561</v>
      </c>
      <c r="C34424" s="16" t="n">
        <f aca="false">IF(C34402&gt;0,C34380-C34413,0)</f>
        <v>0</v>
      </c>
      <c r="G34424" s="21" t="n">
        <f aca="false">IF(AND(G34175=1,G34107=1),1,0)</f>
        <v>0</v>
      </c>
      <c r="H34424" s="21" t="n">
        <f aca="false">IF(G34424=1,1,IF(AND(H34175=1,H34107=1),1,0))</f>
        <v>1</v>
      </c>
      <c r="I34424" s="21" t="n">
        <f aca="false">IF(H34424=1,1,IF(AND(I34175=1,I34107=1),1,0))</f>
        <v>1</v>
      </c>
      <c r="J34424" s="21" t="n">
        <f aca="false">IF(I34424=1,1,IF(AND(J34175=1,J34107=1),1,0))</f>
        <v>1</v>
      </c>
      <c r="K34424" s="21" t="n">
        <f aca="false">IF(J34424=1,1,IF(AND(K34175=1,K34107=1),1,0))</f>
        <v>1</v>
      </c>
    </row>
    <row r="34425" customFormat="false" ht="15" hidden="false" customHeight="false" outlineLevel="0" collapsed="false">
      <c r="A34425" s="3" t="s">
        <v>562</v>
      </c>
      <c r="C34425" s="16" t="n">
        <f aca="false">IF(C34403&gt;0,C34381-C34414,0)</f>
        <v>0</v>
      </c>
      <c r="G34425" s="21" t="n">
        <f aca="false">IF(AND(G34188=1,G34107=1),1,0)</f>
        <v>0</v>
      </c>
      <c r="H34425" s="21" t="n">
        <f aca="false">IF(G34425=1,1,IF(AND(H34188=1,H34107=1),1,0))</f>
        <v>0</v>
      </c>
      <c r="I34425" s="21" t="n">
        <f aca="false">IF(H34425=1,1,IF(AND(I34188=1,I34107=1),1,0))</f>
        <v>1</v>
      </c>
      <c r="J34425" s="21" t="n">
        <f aca="false">IF(I34425=1,1,IF(AND(J34188=1,J34107=1),1,0))</f>
        <v>1</v>
      </c>
      <c r="K34425" s="21" t="n">
        <f aca="false">IF(J34425=1,1,IF(AND(K34188=1,K34107=1),1,0))</f>
        <v>1</v>
      </c>
    </row>
    <row r="34426" customFormat="false" ht="15" hidden="false" customHeight="false" outlineLevel="0" collapsed="false">
      <c r="A34426" s="3" t="s">
        <v>563</v>
      </c>
      <c r="C34426" s="16" t="n">
        <f aca="false">IF(C34404&gt;0,C34382-C34415,0)</f>
        <v>0</v>
      </c>
      <c r="G34426" s="21" t="n">
        <f aca="false">IF(AND(G34201=1,G34107=1),1,0)</f>
        <v>0</v>
      </c>
      <c r="H34426" s="21" t="n">
        <f aca="false">IF(G34426=1,1,IF(AND(H34201=1,H34107=1),1,0))</f>
        <v>0</v>
      </c>
      <c r="I34426" s="21" t="n">
        <f aca="false">IF(H34426=1,1,IF(AND(I34201=1,I34107=1),1,0))</f>
        <v>0</v>
      </c>
      <c r="J34426" s="21" t="n">
        <f aca="false">IF(I34426=1,1,IF(AND(J34201=1,J34107=1),1,0))</f>
        <v>1</v>
      </c>
      <c r="K34426" s="21" t="n">
        <f aca="false">IF(J34426=1,1,IF(AND(K34201=1,K34107=1),1,0))</f>
        <v>1</v>
      </c>
    </row>
    <row r="34427" customFormat="false" ht="15" hidden="false" customHeight="false" outlineLevel="0" collapsed="false">
      <c r="A34427" s="3" t="s">
        <v>564</v>
      </c>
      <c r="C34427" s="16" t="n">
        <f aca="false">IF(C34405&gt;0,C34383-C34416,0)</f>
        <v>0</v>
      </c>
      <c r="G34427" s="21" t="n">
        <f aca="false">IF(AND(G34214=1,G34107=1),1,0)</f>
        <v>0</v>
      </c>
      <c r="H34427" s="21" t="n">
        <f aca="false">IF(G34427=1,1,IF(AND(H34214=1,H34107=1),1,0))</f>
        <v>0</v>
      </c>
      <c r="I34427" s="21" t="n">
        <f aca="false">IF(H34427=1,1,IF(AND(I34214=1,I34107=1),1,0))</f>
        <v>0</v>
      </c>
      <c r="J34427" s="21" t="n">
        <f aca="false">IF(I34427=1,1,IF(AND(J34214=1,J34107=1),1,0))</f>
        <v>0</v>
      </c>
      <c r="K34427" s="21" t="n">
        <f aca="false">IF(J34427=1,1,IF(AND(K34214=1,K34107=1),1,0))</f>
        <v>1</v>
      </c>
    </row>
    <row r="34428" customFormat="false" ht="15" hidden="false" customHeight="false" outlineLevel="0" collapsed="false">
      <c r="A34428" s="3" t="s">
        <v>565</v>
      </c>
      <c r="C34428" s="16" t="n">
        <f aca="false">IF(C34406&gt;0,C34384-C34417,0)</f>
        <v>0</v>
      </c>
      <c r="G34428" s="21" t="n">
        <f aca="false">IF(AND(G34227=1,G34107=1),1,0)</f>
        <v>0</v>
      </c>
      <c r="H34428" s="21" t="n">
        <f aca="false">IF(G34428=1,1,IF(AND(H34227=1,H34107=1),1,0))</f>
        <v>0</v>
      </c>
      <c r="I34428" s="21" t="n">
        <f aca="false">IF(H34428=1,1,IF(AND(I34227=1,I34107=1),1,0))</f>
        <v>0</v>
      </c>
      <c r="J34428" s="21" t="n">
        <f aca="false">IF(I34428=1,1,IF(AND(J34227=1,J34107=1),1,0))</f>
        <v>0</v>
      </c>
      <c r="K34428" s="21" t="n">
        <f aca="false">IF(J34428=1,1,IF(AND(K34227=1,K34107=1),1,0))</f>
        <v>0</v>
      </c>
    </row>
    <row r="34429" customFormat="false" ht="15" hidden="false" customHeight="false" outlineLevel="0" collapsed="false">
      <c r="A34429" s="24" t="s">
        <v>570</v>
      </c>
      <c r="B34429" s="25"/>
      <c r="C34429" s="25"/>
      <c r="D34429" s="25"/>
      <c r="E34429" s="25"/>
      <c r="F34429" s="25"/>
      <c r="G34429" s="25"/>
      <c r="H34429" s="25"/>
      <c r="I34429" s="25"/>
      <c r="J34429" s="25"/>
      <c r="K34429" s="25"/>
    </row>
    <row r="34430" customFormat="false" ht="15" hidden="false" customHeight="false" outlineLevel="0" collapsed="false">
      <c r="A34430" s="3" t="s">
        <v>556</v>
      </c>
      <c r="C34430" s="16" t="n">
        <f aca="false">IF(C34397&gt;0,C34419,C34375)</f>
        <v>0</v>
      </c>
    </row>
    <row r="34431" customFormat="false" ht="15" hidden="false" customHeight="false" outlineLevel="0" collapsed="false">
      <c r="A34431" s="3" t="s">
        <v>557</v>
      </c>
      <c r="C34431" s="16" t="n">
        <f aca="false">IF(C34398&gt;0,C34420,C34376)</f>
        <v>0</v>
      </c>
    </row>
    <row r="34432" customFormat="false" ht="15" hidden="false" customHeight="false" outlineLevel="0" collapsed="false">
      <c r="A34432" s="3" t="s">
        <v>558</v>
      </c>
      <c r="C34432" s="16" t="n">
        <f aca="false">IF(C34399&gt;0,C34421,C34377)</f>
        <v>0</v>
      </c>
    </row>
    <row r="34433" customFormat="false" ht="15" hidden="false" customHeight="false" outlineLevel="0" collapsed="false">
      <c r="A34433" s="3" t="s">
        <v>559</v>
      </c>
      <c r="C34433" s="16" t="n">
        <f aca="false">IF(C34400&gt;0,C34422,C34378)</f>
        <v>0</v>
      </c>
    </row>
    <row r="34434" customFormat="false" ht="15" hidden="false" customHeight="false" outlineLevel="0" collapsed="false">
      <c r="A34434" s="3" t="s">
        <v>560</v>
      </c>
      <c r="C34434" s="16" t="n">
        <f aca="false">IF(C34401&gt;0,C34423,C34379)</f>
        <v>454.44375</v>
      </c>
    </row>
    <row r="34435" customFormat="false" ht="15" hidden="false" customHeight="false" outlineLevel="0" collapsed="false">
      <c r="A34435" s="3" t="s">
        <v>561</v>
      </c>
      <c r="C34435" s="16" t="n">
        <f aca="false">IF(C34402&gt;0,C34424,C34380)</f>
        <v>357.2625</v>
      </c>
    </row>
    <row r="34436" customFormat="false" ht="15" hidden="false" customHeight="false" outlineLevel="0" collapsed="false">
      <c r="A34436" s="3" t="s">
        <v>562</v>
      </c>
      <c r="C34436" s="16" t="n">
        <f aca="false">IF(C34403&gt;0,C34425,C34381)</f>
        <v>562.203125</v>
      </c>
    </row>
    <row r="34437" customFormat="false" ht="15" hidden="false" customHeight="false" outlineLevel="0" collapsed="false">
      <c r="A34437" s="3" t="s">
        <v>563</v>
      </c>
      <c r="C34437" s="16" t="n">
        <f aca="false">IF(C34404&gt;0,C34426,C34382)</f>
        <v>353.98125</v>
      </c>
    </row>
    <row r="34438" customFormat="false" ht="15" hidden="false" customHeight="false" outlineLevel="0" collapsed="false">
      <c r="A34438" s="3" t="s">
        <v>564</v>
      </c>
      <c r="C34438" s="16" t="n">
        <f aca="false">IF(C34405&gt;0,C34427,C34383)</f>
        <v>304.59375</v>
      </c>
    </row>
    <row r="34439" customFormat="false" ht="15" hidden="false" customHeight="false" outlineLevel="0" collapsed="false">
      <c r="A34439" s="3" t="s">
        <v>565</v>
      </c>
      <c r="C34439" s="16" t="n">
        <f aca="false">IF(C34406&gt;0,C34428,C34384)</f>
        <v>79.67320025</v>
      </c>
    </row>
    <row r="34440" customFormat="false" ht="15" hidden="false" customHeight="false" outlineLevel="0" collapsed="false">
      <c r="A34440" s="24" t="s">
        <v>571</v>
      </c>
      <c r="B34440" s="25"/>
      <c r="C34440" s="25"/>
      <c r="D34440" s="25"/>
      <c r="E34440" s="25"/>
      <c r="F34440" s="25"/>
      <c r="G34440" s="25"/>
      <c r="H34440" s="25"/>
      <c r="I34440" s="25"/>
      <c r="J34440" s="25"/>
      <c r="K34440" s="25"/>
    </row>
    <row r="34441" customFormat="false" ht="15" hidden="false" customHeight="false" outlineLevel="0" collapsed="false">
      <c r="A34441" s="3" t="s">
        <v>556</v>
      </c>
      <c r="C34441" s="21" t="n">
        <f aca="false">IF(C34397&gt;0,Assumptions!$C$17,C34386)</f>
        <v>99</v>
      </c>
    </row>
    <row r="34442" customFormat="false" ht="15" hidden="false" customHeight="false" outlineLevel="0" collapsed="false">
      <c r="A34442" s="3" t="s">
        <v>557</v>
      </c>
      <c r="C34442" s="21" t="n">
        <f aca="false">IF(C34398&gt;0,Assumptions!$C$17,C34387)</f>
        <v>99</v>
      </c>
    </row>
    <row r="34443" customFormat="false" ht="15" hidden="false" customHeight="false" outlineLevel="0" collapsed="false">
      <c r="A34443" s="3" t="s">
        <v>558</v>
      </c>
      <c r="C34443" s="21" t="n">
        <f aca="false">IF(C34399&gt;0,Assumptions!$C$17,C34388)</f>
        <v>99</v>
      </c>
    </row>
    <row r="34444" customFormat="false" ht="15" hidden="false" customHeight="false" outlineLevel="0" collapsed="false">
      <c r="A34444" s="3" t="s">
        <v>559</v>
      </c>
      <c r="C34444" s="21" t="n">
        <f aca="false">IF(C34400&gt;0,Assumptions!$C$17,C34389)</f>
        <v>2</v>
      </c>
    </row>
    <row r="34445" customFormat="false" ht="15" hidden="false" customHeight="false" outlineLevel="0" collapsed="false">
      <c r="A34445" s="3" t="s">
        <v>560</v>
      </c>
      <c r="C34445" s="21" t="n">
        <f aca="false">IF(C34401&gt;0,Assumptions!$C$17,C34390)</f>
        <v>2</v>
      </c>
    </row>
    <row r="34446" customFormat="false" ht="15" hidden="false" customHeight="false" outlineLevel="0" collapsed="false">
      <c r="A34446" s="3" t="s">
        <v>561</v>
      </c>
      <c r="C34446" s="21" t="n">
        <f aca="false">IF(C34402&gt;0,Assumptions!$C$17,C34391)</f>
        <v>2</v>
      </c>
    </row>
    <row r="34447" customFormat="false" ht="15" hidden="false" customHeight="false" outlineLevel="0" collapsed="false">
      <c r="A34447" s="3" t="s">
        <v>562</v>
      </c>
      <c r="C34447" s="21" t="n">
        <f aca="false">IF(C34403&gt;0,Assumptions!$C$17,C34392)</f>
        <v>2</v>
      </c>
    </row>
    <row r="34448" customFormat="false" ht="15" hidden="false" customHeight="false" outlineLevel="0" collapsed="false">
      <c r="A34448" s="3" t="s">
        <v>563</v>
      </c>
      <c r="C34448" s="21" t="n">
        <f aca="false">IF(C34404&gt;0,Assumptions!$C$17,C34393)</f>
        <v>2</v>
      </c>
    </row>
    <row r="34449" customFormat="false" ht="15" hidden="false" customHeight="false" outlineLevel="0" collapsed="false">
      <c r="A34449" s="3" t="s">
        <v>564</v>
      </c>
      <c r="C34449" s="21" t="n">
        <f aca="false">IF(C34405&gt;0,Assumptions!$C$17,C34394)</f>
        <v>2</v>
      </c>
    </row>
    <row r="34450" customFormat="false" ht="15" hidden="false" customHeight="false" outlineLevel="0" collapsed="false">
      <c r="A34450" s="3" t="s">
        <v>565</v>
      </c>
      <c r="C34450" s="21" t="n">
        <f aca="false">IF(C34406&gt;0,Assumptions!$C$17,C34395)</f>
        <v>3</v>
      </c>
    </row>
    <row r="34451" customFormat="false" ht="15" hidden="false" customHeight="false" outlineLevel="0" collapsed="false">
      <c r="A34451" s="24" t="s">
        <v>572</v>
      </c>
      <c r="B34451" s="25"/>
      <c r="C34451" s="25"/>
      <c r="D34451" s="25"/>
      <c r="E34451" s="25"/>
      <c r="F34451" s="25"/>
      <c r="G34451" s="25"/>
      <c r="H34451" s="25"/>
      <c r="I34451" s="25"/>
      <c r="J34451" s="25"/>
      <c r="K34451" s="25"/>
    </row>
    <row r="34452" customFormat="false" ht="15" hidden="false" customHeight="false" outlineLevel="0" collapsed="false">
      <c r="A34452" s="3" t="s">
        <v>556</v>
      </c>
      <c r="C34452" s="16" t="n">
        <f aca="false">SUMPRODUCT(($C$34441:$C$34450&lt;C34441)*$C$34430:$C$34439)</f>
        <v>2112.15757525</v>
      </c>
    </row>
    <row r="34453" customFormat="false" ht="15" hidden="false" customHeight="false" outlineLevel="0" collapsed="false">
      <c r="A34453" s="3" t="s">
        <v>557</v>
      </c>
      <c r="C34453" s="16" t="n">
        <f aca="false">SUMPRODUCT(($C$34441:$C$34450&lt;C34442)*$C$34430:$C$34439)</f>
        <v>2112.15757525</v>
      </c>
    </row>
    <row r="34454" customFormat="false" ht="15" hidden="false" customHeight="false" outlineLevel="0" collapsed="false">
      <c r="A34454" s="3" t="s">
        <v>558</v>
      </c>
      <c r="C34454" s="16" t="n">
        <f aca="false">SUMPRODUCT(($C$34441:$C$34450&lt;C34443)*$C$34430:$C$34439)</f>
        <v>2112.15757525</v>
      </c>
    </row>
    <row r="34455" customFormat="false" ht="15" hidden="false" customHeight="false" outlineLevel="0" collapsed="false">
      <c r="A34455" s="3" t="s">
        <v>559</v>
      </c>
      <c r="C34455" s="16" t="n">
        <f aca="false">SUMPRODUCT(($C$34441:$C$34450&lt;C34444)*$C$34430:$C$34439)</f>
        <v>0</v>
      </c>
    </row>
    <row r="34456" customFormat="false" ht="15" hidden="false" customHeight="false" outlineLevel="0" collapsed="false">
      <c r="A34456" s="3" t="s">
        <v>560</v>
      </c>
      <c r="C34456" s="16" t="n">
        <f aca="false">SUMPRODUCT(($C$34441:$C$34450&lt;C34445)*$C$34430:$C$34439)</f>
        <v>0</v>
      </c>
    </row>
    <row r="34457" customFormat="false" ht="15" hidden="false" customHeight="false" outlineLevel="0" collapsed="false">
      <c r="A34457" s="3" t="s">
        <v>561</v>
      </c>
      <c r="C34457" s="16" t="n">
        <f aca="false">SUMPRODUCT(($C$34441:$C$34450&lt;C34446)*$C$34430:$C$34439)</f>
        <v>0</v>
      </c>
    </row>
    <row r="34458" customFormat="false" ht="15" hidden="false" customHeight="false" outlineLevel="0" collapsed="false">
      <c r="A34458" s="3" t="s">
        <v>562</v>
      </c>
      <c r="C34458" s="16" t="n">
        <f aca="false">SUMPRODUCT(($C$34441:$C$34450&lt;C34447)*$C$34430:$C$34439)</f>
        <v>0</v>
      </c>
    </row>
    <row r="34459" customFormat="false" ht="15" hidden="false" customHeight="false" outlineLevel="0" collapsed="false">
      <c r="A34459" s="3" t="s">
        <v>563</v>
      </c>
      <c r="C34459" s="16" t="n">
        <f aca="false">SUMPRODUCT(($C$34441:$C$34450&lt;C34448)*$C$34430:$C$34439)</f>
        <v>0</v>
      </c>
    </row>
    <row r="34460" customFormat="false" ht="15" hidden="false" customHeight="false" outlineLevel="0" collapsed="false">
      <c r="A34460" s="3" t="s">
        <v>564</v>
      </c>
      <c r="C34460" s="16" t="n">
        <f aca="false">SUMPRODUCT(($C$34441:$C$34450&lt;C34449)*$C$34430:$C$34439)</f>
        <v>0</v>
      </c>
    </row>
    <row r="34461" customFormat="false" ht="15" hidden="false" customHeight="false" outlineLevel="0" collapsed="false">
      <c r="A34461" s="3" t="s">
        <v>565</v>
      </c>
      <c r="C34461" s="16" t="n">
        <f aca="false">SUMPRODUCT(($C$34441:$C$34450&lt;C34450)*$C$34430:$C$34439)</f>
        <v>2032.484375</v>
      </c>
    </row>
    <row r="34462" customFormat="false" ht="15" hidden="false" customHeight="false" outlineLevel="0" collapsed="false">
      <c r="A34462" s="24" t="s">
        <v>573</v>
      </c>
      <c r="B34462" s="25"/>
      <c r="C34462" s="25"/>
      <c r="D34462" s="25"/>
      <c r="E34462" s="25"/>
      <c r="F34462" s="25"/>
      <c r="G34462" s="25"/>
      <c r="H34462" s="25"/>
      <c r="I34462" s="25"/>
      <c r="J34462" s="25"/>
      <c r="K34462" s="25"/>
    </row>
    <row r="34463" customFormat="false" ht="15" hidden="false" customHeight="false" outlineLevel="0" collapsed="false">
      <c r="A34463" s="3" t="s">
        <v>556</v>
      </c>
      <c r="C34463" s="16" t="n">
        <f aca="false">SUMPRODUCT(($C$34441:$C$34450=C34441)*$C$34430:$C$34439)</f>
        <v>0</v>
      </c>
    </row>
    <row r="34464" customFormat="false" ht="15" hidden="false" customHeight="false" outlineLevel="0" collapsed="false">
      <c r="A34464" s="3" t="s">
        <v>557</v>
      </c>
      <c r="C34464" s="16" t="n">
        <f aca="false">SUMPRODUCT(($C$34441:$C$34450=C34442)*$C$34430:$C$34439)</f>
        <v>0</v>
      </c>
    </row>
    <row r="34465" customFormat="false" ht="15" hidden="false" customHeight="false" outlineLevel="0" collapsed="false">
      <c r="A34465" s="3" t="s">
        <v>558</v>
      </c>
      <c r="C34465" s="16" t="n">
        <f aca="false">SUMPRODUCT(($C$34441:$C$34450=C34443)*$C$34430:$C$34439)</f>
        <v>0</v>
      </c>
    </row>
    <row r="34466" customFormat="false" ht="15" hidden="false" customHeight="false" outlineLevel="0" collapsed="false">
      <c r="A34466" s="3" t="s">
        <v>559</v>
      </c>
      <c r="C34466" s="16" t="n">
        <f aca="false">SUMPRODUCT(($C$34441:$C$34450=C34444)*$C$34430:$C$34439)</f>
        <v>2032.484375</v>
      </c>
    </row>
    <row r="34467" customFormat="false" ht="15" hidden="false" customHeight="false" outlineLevel="0" collapsed="false">
      <c r="A34467" s="3" t="s">
        <v>560</v>
      </c>
      <c r="C34467" s="16" t="n">
        <f aca="false">SUMPRODUCT(($C$34441:$C$34450=C34445)*$C$34430:$C$34439)</f>
        <v>2032.484375</v>
      </c>
    </row>
    <row r="34468" customFormat="false" ht="15" hidden="false" customHeight="false" outlineLevel="0" collapsed="false">
      <c r="A34468" s="3" t="s">
        <v>561</v>
      </c>
      <c r="C34468" s="16" t="n">
        <f aca="false">SUMPRODUCT(($C$34441:$C$34450=C34446)*$C$34430:$C$34439)</f>
        <v>2032.484375</v>
      </c>
    </row>
    <row r="34469" customFormat="false" ht="15" hidden="false" customHeight="false" outlineLevel="0" collapsed="false">
      <c r="A34469" s="3" t="s">
        <v>562</v>
      </c>
      <c r="C34469" s="16" t="n">
        <f aca="false">SUMPRODUCT(($C$34441:$C$34450=C34447)*$C$34430:$C$34439)</f>
        <v>2032.484375</v>
      </c>
    </row>
    <row r="34470" customFormat="false" ht="15" hidden="false" customHeight="false" outlineLevel="0" collapsed="false">
      <c r="A34470" s="3" t="s">
        <v>563</v>
      </c>
      <c r="C34470" s="16" t="n">
        <f aca="false">SUMPRODUCT(($C$34441:$C$34450=C34448)*$C$34430:$C$34439)</f>
        <v>2032.484375</v>
      </c>
    </row>
    <row r="34471" customFormat="false" ht="15" hidden="false" customHeight="false" outlineLevel="0" collapsed="false">
      <c r="A34471" s="3" t="s">
        <v>564</v>
      </c>
      <c r="C34471" s="16" t="n">
        <f aca="false">SUMPRODUCT(($C$34441:$C$34450=C34449)*$C$34430:$C$34439)</f>
        <v>2032.484375</v>
      </c>
    </row>
    <row r="34472" customFormat="false" ht="15" hidden="false" customHeight="false" outlineLevel="0" collapsed="false">
      <c r="A34472" s="3" t="s">
        <v>565</v>
      </c>
      <c r="C34472" s="16" t="n">
        <f aca="false">SUMPRODUCT(($C$34441:$C$34450=C34450)*$C$34430:$C$34439)</f>
        <v>79.67320025</v>
      </c>
    </row>
    <row r="34473" customFormat="false" ht="15" hidden="false" customHeight="false" outlineLevel="0" collapsed="false">
      <c r="A34473" s="24" t="s">
        <v>574</v>
      </c>
      <c r="B34473" s="25"/>
      <c r="C34473" s="25"/>
      <c r="D34473" s="25"/>
      <c r="E34473" s="25"/>
      <c r="F34473" s="25"/>
      <c r="G34473" s="25"/>
      <c r="H34473" s="25"/>
      <c r="I34473" s="25"/>
      <c r="J34473" s="25"/>
      <c r="K34473" s="25"/>
    </row>
    <row r="34474" customFormat="false" ht="15" hidden="false" customHeight="false" outlineLevel="0" collapsed="false">
      <c r="A34474" s="3" t="s">
        <v>556</v>
      </c>
      <c r="C34474" s="16" t="n">
        <f aca="false">IF(C34463=0,0,C34430/C34463*MAX(0,MIN(C34463,$C$34373-SUM($C$34408:$C$34417)-C34452)))</f>
        <v>0</v>
      </c>
    </row>
    <row r="34475" customFormat="false" ht="15" hidden="false" customHeight="false" outlineLevel="0" collapsed="false">
      <c r="A34475" s="3" t="s">
        <v>557</v>
      </c>
      <c r="C34475" s="16" t="n">
        <f aca="false">IF(C34464=0,0,C34431/C34464*MAX(0,MIN(C34464,$C$34373-SUM($C$34408:$C$34417)-C34453)))</f>
        <v>0</v>
      </c>
    </row>
    <row r="34476" customFormat="false" ht="15" hidden="false" customHeight="false" outlineLevel="0" collapsed="false">
      <c r="A34476" s="3" t="s">
        <v>558</v>
      </c>
      <c r="C34476" s="16" t="n">
        <f aca="false">IF(C34465=0,0,C34432/C34465*MAX(0,MIN(C34465,$C$34373-SUM($C$34408:$C$34417)-C34454)))</f>
        <v>0</v>
      </c>
    </row>
    <row r="34477" customFormat="false" ht="15" hidden="false" customHeight="false" outlineLevel="0" collapsed="false">
      <c r="A34477" s="3" t="s">
        <v>559</v>
      </c>
      <c r="C34477" s="16" t="n">
        <f aca="false">IF(C34466=0,0,C34433/C34466*MAX(0,MIN(C34466,$C$34373-SUM($C$34408:$C$34417)-C34455)))</f>
        <v>0</v>
      </c>
    </row>
    <row r="34478" customFormat="false" ht="15" hidden="false" customHeight="false" outlineLevel="0" collapsed="false">
      <c r="A34478" s="3" t="s">
        <v>560</v>
      </c>
      <c r="C34478" s="16" t="n">
        <f aca="false">IF(C34467=0,0,C34434/C34467*MAX(0,MIN(C34467,$C$34373-SUM($C$34408:$C$34417)-C34456)))</f>
        <v>454.44375</v>
      </c>
    </row>
    <row r="34479" customFormat="false" ht="15" hidden="false" customHeight="false" outlineLevel="0" collapsed="false">
      <c r="A34479" s="3" t="s">
        <v>561</v>
      </c>
      <c r="C34479" s="16" t="n">
        <f aca="false">IF(C34468=0,0,C34435/C34468*MAX(0,MIN(C34468,$C$34373-SUM($C$34408:$C$34417)-C34457)))</f>
        <v>357.2625</v>
      </c>
    </row>
    <row r="34480" customFormat="false" ht="15" hidden="false" customHeight="false" outlineLevel="0" collapsed="false">
      <c r="A34480" s="3" t="s">
        <v>562</v>
      </c>
      <c r="C34480" s="16" t="n">
        <f aca="false">IF(C34469=0,0,C34436/C34469*MAX(0,MIN(C34469,$C$34373-SUM($C$34408:$C$34417)-C34458)))</f>
        <v>562.203125</v>
      </c>
    </row>
    <row r="34481" customFormat="false" ht="15" hidden="false" customHeight="false" outlineLevel="0" collapsed="false">
      <c r="A34481" s="3" t="s">
        <v>563</v>
      </c>
      <c r="C34481" s="16" t="n">
        <f aca="false">IF(C34470=0,0,C34437/C34470*MAX(0,MIN(C34470,$C$34373-SUM($C$34408:$C$34417)-C34459)))</f>
        <v>353.98125</v>
      </c>
    </row>
    <row r="34482" customFormat="false" ht="15" hidden="false" customHeight="false" outlineLevel="0" collapsed="false">
      <c r="A34482" s="3" t="s">
        <v>564</v>
      </c>
      <c r="C34482" s="16" t="n">
        <f aca="false">IF(C34471=0,0,C34438/C34471*MAX(0,MIN(C34471,$C$34373-SUM($C$34408:$C$34417)-C34460)))</f>
        <v>304.59375</v>
      </c>
    </row>
    <row r="34483" customFormat="false" ht="15" hidden="false" customHeight="false" outlineLevel="0" collapsed="false">
      <c r="A34483" s="3" t="s">
        <v>565</v>
      </c>
      <c r="C34483" s="16" t="n">
        <f aca="false">IF(C34472=0,0,C34439/C34472*MAX(0,MIN(C34472,$C$34373-SUM($C$34408:$C$34417)-C34461)))</f>
        <v>79.67320025</v>
      </c>
    </row>
    <row r="34484" customFormat="false" ht="15" hidden="false" customHeight="false" outlineLevel="0" collapsed="false">
      <c r="A34484" s="24" t="s">
        <v>575</v>
      </c>
      <c r="B34484" s="25"/>
      <c r="C34484" s="25"/>
      <c r="D34484" s="25"/>
      <c r="E34484" s="25"/>
      <c r="F34484" s="25"/>
      <c r="G34484" s="25"/>
      <c r="H34484" s="25"/>
      <c r="I34484" s="25"/>
      <c r="J34484" s="25"/>
      <c r="K34484" s="25"/>
    </row>
    <row r="34485" customFormat="false" ht="15" hidden="false" customHeight="false" outlineLevel="0" collapsed="false">
      <c r="A34485" s="2" t="s">
        <v>556</v>
      </c>
      <c r="C34485" s="17" t="n">
        <f aca="false">C34408+C34474</f>
        <v>405.0585</v>
      </c>
    </row>
    <row r="34486" customFormat="false" ht="15" hidden="false" customHeight="false" outlineLevel="0" collapsed="false">
      <c r="A34486" s="2" t="s">
        <v>557</v>
      </c>
      <c r="C34486" s="17" t="n">
        <f aca="false">C34409+C34475</f>
        <v>91.30725</v>
      </c>
    </row>
    <row r="34487" customFormat="false" ht="15" hidden="false" customHeight="false" outlineLevel="0" collapsed="false">
      <c r="A34487" s="2" t="s">
        <v>558</v>
      </c>
      <c r="C34487" s="17" t="n">
        <f aca="false">C34410+C34476</f>
        <v>58.3715961</v>
      </c>
    </row>
    <row r="34488" customFormat="false" ht="15" hidden="false" customHeight="false" outlineLevel="0" collapsed="false">
      <c r="A34488" s="2" t="s">
        <v>559</v>
      </c>
      <c r="C34488" s="17" t="n">
        <f aca="false">C34411+C34477</f>
        <v>0</v>
      </c>
    </row>
    <row r="34489" customFormat="false" ht="15" hidden="false" customHeight="false" outlineLevel="0" collapsed="false">
      <c r="A34489" s="2" t="s">
        <v>560</v>
      </c>
      <c r="C34489" s="17" t="n">
        <f aca="false">C34412+C34478</f>
        <v>454.44375</v>
      </c>
    </row>
    <row r="34490" customFormat="false" ht="15" hidden="false" customHeight="false" outlineLevel="0" collapsed="false">
      <c r="A34490" s="2" t="s">
        <v>561</v>
      </c>
      <c r="C34490" s="17" t="n">
        <f aca="false">C34413+C34479</f>
        <v>357.2625</v>
      </c>
    </row>
    <row r="34491" customFormat="false" ht="15" hidden="false" customHeight="false" outlineLevel="0" collapsed="false">
      <c r="A34491" s="2" t="s">
        <v>562</v>
      </c>
      <c r="C34491" s="17" t="n">
        <f aca="false">C34414+C34480</f>
        <v>562.203125</v>
      </c>
    </row>
    <row r="34492" customFormat="false" ht="15" hidden="false" customHeight="false" outlineLevel="0" collapsed="false">
      <c r="A34492" s="2" t="s">
        <v>563</v>
      </c>
      <c r="C34492" s="17" t="n">
        <f aca="false">C34415+C34481</f>
        <v>353.98125</v>
      </c>
    </row>
    <row r="34493" customFormat="false" ht="15" hidden="false" customHeight="false" outlineLevel="0" collapsed="false">
      <c r="A34493" s="2" t="s">
        <v>564</v>
      </c>
      <c r="C34493" s="17" t="n">
        <f aca="false">C34416+C34482</f>
        <v>304.59375</v>
      </c>
    </row>
    <row r="34494" customFormat="false" ht="15" hidden="false" customHeight="false" outlineLevel="0" collapsed="false">
      <c r="A34494" s="2" t="s">
        <v>565</v>
      </c>
      <c r="C34494" s="17" t="n">
        <f aca="false">C34417+C34483</f>
        <v>79.67320025</v>
      </c>
    </row>
    <row r="34495" customFormat="false" ht="15" hidden="false" customHeight="false" outlineLevel="0" collapsed="false">
      <c r="A34495" s="24" t="s">
        <v>576</v>
      </c>
      <c r="B34495" s="25"/>
      <c r="C34495" s="25"/>
      <c r="D34495" s="25"/>
      <c r="E34495" s="25"/>
      <c r="F34495" s="25"/>
      <c r="G34495" s="25"/>
      <c r="H34495" s="25"/>
      <c r="I34495" s="25"/>
      <c r="J34495" s="25"/>
      <c r="K34495" s="25"/>
    </row>
    <row r="34496" customFormat="false" ht="15" hidden="false" customHeight="false" outlineLevel="0" collapsed="false">
      <c r="A34496" s="3" t="s">
        <v>556</v>
      </c>
      <c r="C34496" s="22" t="n">
        <f aca="false">IF(C34375=0,1,C34485/C34375)</f>
        <v>1</v>
      </c>
    </row>
    <row r="34497" customFormat="false" ht="15" hidden="false" customHeight="false" outlineLevel="0" collapsed="false">
      <c r="A34497" s="3" t="s">
        <v>557</v>
      </c>
      <c r="C34497" s="22" t="n">
        <f aca="false">IF(C34376=0,1,C34486/C34376)</f>
        <v>1</v>
      </c>
    </row>
    <row r="34498" customFormat="false" ht="15" hidden="false" customHeight="false" outlineLevel="0" collapsed="false">
      <c r="A34498" s="3" t="s">
        <v>558</v>
      </c>
      <c r="C34498" s="22" t="n">
        <f aca="false">IF(C34377=0,1,C34487/C34377)</f>
        <v>1</v>
      </c>
    </row>
    <row r="34499" customFormat="false" ht="15" hidden="false" customHeight="false" outlineLevel="0" collapsed="false">
      <c r="A34499" s="3" t="s">
        <v>559</v>
      </c>
      <c r="C34499" s="22" t="n">
        <f aca="false">IF(C34378=0,1,C34488/C34378)</f>
        <v>1</v>
      </c>
    </row>
    <row r="34500" customFormat="false" ht="15" hidden="false" customHeight="false" outlineLevel="0" collapsed="false">
      <c r="A34500" s="3" t="s">
        <v>560</v>
      </c>
      <c r="C34500" s="22" t="n">
        <f aca="false">IF(C34379=0,1,C34489/C34379)</f>
        <v>1</v>
      </c>
    </row>
    <row r="34501" customFormat="false" ht="15" hidden="false" customHeight="false" outlineLevel="0" collapsed="false">
      <c r="A34501" s="3" t="s">
        <v>561</v>
      </c>
      <c r="C34501" s="22" t="n">
        <f aca="false">IF(C34380=0,1,C34490/C34380)</f>
        <v>1</v>
      </c>
    </row>
    <row r="34502" customFormat="false" ht="15" hidden="false" customHeight="false" outlineLevel="0" collapsed="false">
      <c r="A34502" s="3" t="s">
        <v>562</v>
      </c>
      <c r="C34502" s="22" t="n">
        <f aca="false">IF(C34381=0,1,C34491/C34381)</f>
        <v>1</v>
      </c>
    </row>
    <row r="34503" customFormat="false" ht="15" hidden="false" customHeight="false" outlineLevel="0" collapsed="false">
      <c r="A34503" s="3" t="s">
        <v>563</v>
      </c>
      <c r="C34503" s="22" t="n">
        <f aca="false">IF(C34382=0,1,C34492/C34382)</f>
        <v>1</v>
      </c>
    </row>
    <row r="34504" customFormat="false" ht="15" hidden="false" customHeight="false" outlineLevel="0" collapsed="false">
      <c r="A34504" s="3" t="s">
        <v>564</v>
      </c>
      <c r="C34504" s="22" t="n">
        <f aca="false">IF(C34383=0,1,C34493/C34383)</f>
        <v>1</v>
      </c>
    </row>
    <row r="34505" customFormat="false" ht="15" hidden="false" customHeight="false" outlineLevel="0" collapsed="false">
      <c r="A34505" s="3" t="s">
        <v>565</v>
      </c>
      <c r="C34505" s="22" t="n">
        <f aca="false">IF(C34384=0,1,C34494/C34384)</f>
        <v>1</v>
      </c>
    </row>
    <row r="34506" customFormat="false" ht="15" hidden="false" customHeight="false" outlineLevel="0" collapsed="false">
      <c r="A34506" s="24" t="s">
        <v>577</v>
      </c>
      <c r="B34506" s="25"/>
      <c r="C34506" s="25"/>
      <c r="D34506" s="25"/>
      <c r="E34506" s="25"/>
      <c r="F34506" s="25"/>
      <c r="G34506" s="25"/>
      <c r="H34506" s="25"/>
      <c r="I34506" s="25"/>
      <c r="J34506" s="25"/>
      <c r="K34506" s="25"/>
    </row>
    <row r="34507" customFormat="false" ht="15" hidden="false" customHeight="false" outlineLevel="0" collapsed="false">
      <c r="A34507" s="3" t="s">
        <v>556</v>
      </c>
      <c r="C34507" s="16" t="n">
        <f aca="false">C34375-C34485</f>
        <v>0</v>
      </c>
    </row>
    <row r="34508" customFormat="false" ht="15" hidden="false" customHeight="false" outlineLevel="0" collapsed="false">
      <c r="A34508" s="3" t="s">
        <v>557</v>
      </c>
      <c r="C34508" s="16" t="n">
        <f aca="false">C34376-C34486</f>
        <v>0</v>
      </c>
    </row>
    <row r="34509" customFormat="false" ht="15" hidden="false" customHeight="false" outlineLevel="0" collapsed="false">
      <c r="A34509" s="3" t="s">
        <v>558</v>
      </c>
      <c r="C34509" s="16" t="n">
        <f aca="false">C34377-C34487</f>
        <v>0</v>
      </c>
    </row>
    <row r="34510" customFormat="false" ht="15" hidden="false" customHeight="false" outlineLevel="0" collapsed="false">
      <c r="A34510" s="3" t="s">
        <v>559</v>
      </c>
      <c r="C34510" s="16" t="n">
        <f aca="false">C34378-C34488</f>
        <v>0</v>
      </c>
    </row>
    <row r="34511" customFormat="false" ht="15" hidden="false" customHeight="false" outlineLevel="0" collapsed="false">
      <c r="A34511" s="3" t="s">
        <v>560</v>
      </c>
      <c r="C34511" s="16" t="n">
        <f aca="false">C34379-C34489</f>
        <v>0</v>
      </c>
    </row>
    <row r="34512" customFormat="false" ht="15" hidden="false" customHeight="false" outlineLevel="0" collapsed="false">
      <c r="A34512" s="3" t="s">
        <v>561</v>
      </c>
      <c r="C34512" s="16" t="n">
        <f aca="false">C34380-C34490</f>
        <v>0</v>
      </c>
    </row>
    <row r="34513" customFormat="false" ht="15" hidden="false" customHeight="false" outlineLevel="0" collapsed="false">
      <c r="A34513" s="3" t="s">
        <v>562</v>
      </c>
      <c r="C34513" s="16" t="n">
        <f aca="false">C34381-C34491</f>
        <v>0</v>
      </c>
    </row>
    <row r="34514" customFormat="false" ht="15" hidden="false" customHeight="false" outlineLevel="0" collapsed="false">
      <c r="A34514" s="3" t="s">
        <v>563</v>
      </c>
      <c r="C34514" s="16" t="n">
        <f aca="false">C34382-C34492</f>
        <v>0</v>
      </c>
    </row>
    <row r="34515" customFormat="false" ht="15" hidden="false" customHeight="false" outlineLevel="0" collapsed="false">
      <c r="A34515" s="3" t="s">
        <v>564</v>
      </c>
      <c r="C34515" s="16" t="n">
        <f aca="false">C34383-C34493</f>
        <v>0</v>
      </c>
    </row>
    <row r="34516" customFormat="false" ht="15" hidden="false" customHeight="false" outlineLevel="0" collapsed="false">
      <c r="A34516" s="3" t="s">
        <v>565</v>
      </c>
      <c r="C34516" s="16" t="n">
        <f aca="false">C34384-C34494</f>
        <v>0</v>
      </c>
    </row>
    <row r="34517" customFormat="false" ht="15" hidden="false" customHeight="false" outlineLevel="0" collapsed="false">
      <c r="A34517" s="24" t="s">
        <v>578</v>
      </c>
      <c r="B34517" s="25"/>
      <c r="C34517" s="25"/>
      <c r="D34517" s="25"/>
      <c r="E34517" s="25"/>
      <c r="F34517" s="25"/>
      <c r="G34517" s="25"/>
      <c r="H34517" s="25"/>
      <c r="I34517" s="25"/>
      <c r="J34517" s="25"/>
      <c r="K34517" s="25"/>
    </row>
    <row r="34518" customFormat="false" ht="15" hidden="false" customHeight="false" outlineLevel="0" collapsed="false">
      <c r="A34518" s="3" t="s">
        <v>556</v>
      </c>
      <c r="C34518" s="22" t="n">
        <f aca="false">IF(C34375=0,0,C34507/C34375)</f>
        <v>0</v>
      </c>
    </row>
    <row r="34519" customFormat="false" ht="15" hidden="false" customHeight="false" outlineLevel="0" collapsed="false">
      <c r="A34519" s="3" t="s">
        <v>557</v>
      </c>
      <c r="C34519" s="22" t="n">
        <f aca="false">IF(C34376=0,0,C34508/C34376)</f>
        <v>0</v>
      </c>
    </row>
    <row r="34520" customFormat="false" ht="15" hidden="false" customHeight="false" outlineLevel="0" collapsed="false">
      <c r="A34520" s="3" t="s">
        <v>558</v>
      </c>
      <c r="C34520" s="22" t="n">
        <f aca="false">IF(C34377=0,0,C34509/C34377)</f>
        <v>0</v>
      </c>
    </row>
    <row r="34521" customFormat="false" ht="15" hidden="false" customHeight="false" outlineLevel="0" collapsed="false">
      <c r="A34521" s="3" t="s">
        <v>559</v>
      </c>
      <c r="C34521" s="22" t="n">
        <f aca="false">IF(C34378=0,0,C34510/C34378)</f>
        <v>0</v>
      </c>
    </row>
    <row r="34522" customFormat="false" ht="15" hidden="false" customHeight="false" outlineLevel="0" collapsed="false">
      <c r="A34522" s="3" t="s">
        <v>560</v>
      </c>
      <c r="C34522" s="22" t="n">
        <f aca="false">IF(C34379=0,0,C34511/C34379)</f>
        <v>0</v>
      </c>
    </row>
    <row r="34523" customFormat="false" ht="15" hidden="false" customHeight="false" outlineLevel="0" collapsed="false">
      <c r="A34523" s="3" t="s">
        <v>561</v>
      </c>
      <c r="C34523" s="22" t="n">
        <f aca="false">IF(C34380=0,0,C34512/C34380)</f>
        <v>0</v>
      </c>
    </row>
    <row r="34524" customFormat="false" ht="15" hidden="false" customHeight="false" outlineLevel="0" collapsed="false">
      <c r="A34524" s="3" t="s">
        <v>562</v>
      </c>
      <c r="C34524" s="22" t="n">
        <f aca="false">IF(C34381=0,0,C34513/C34381)</f>
        <v>0</v>
      </c>
    </row>
    <row r="34525" customFormat="false" ht="15" hidden="false" customHeight="false" outlineLevel="0" collapsed="false">
      <c r="A34525" s="3" t="s">
        <v>563</v>
      </c>
      <c r="C34525" s="22" t="n">
        <f aca="false">IF(C34382=0,0,C34514/C34382)</f>
        <v>0</v>
      </c>
    </row>
    <row r="34526" customFormat="false" ht="15" hidden="false" customHeight="false" outlineLevel="0" collapsed="false">
      <c r="A34526" s="3" t="s">
        <v>564</v>
      </c>
      <c r="C34526" s="22" t="n">
        <f aca="false">IF(C34383=0,0,C34515/C34383)</f>
        <v>0</v>
      </c>
    </row>
    <row r="34527" customFormat="false" ht="15" hidden="false" customHeight="false" outlineLevel="0" collapsed="false">
      <c r="A34527" s="3" t="s">
        <v>565</v>
      </c>
      <c r="C34527" s="22" t="n">
        <f aca="false">IF(C34384=0,0,C34516/C34384)</f>
        <v>0</v>
      </c>
    </row>
    <row r="34528" customFormat="false" ht="15" hidden="false" customHeight="false" outlineLevel="0" collapsed="false">
      <c r="A34528" s="2" t="s">
        <v>579</v>
      </c>
      <c r="C34528" s="17" t="n">
        <f aca="false">MAX(0,$C$34373-SUM($C$34408:$C$34417)-SUM($C$34430:$C$34439))</f>
        <v>1163.864440506</v>
      </c>
    </row>
    <row r="34529" customFormat="false" ht="15" hidden="false" customHeight="false" outlineLevel="0" collapsed="false">
      <c r="A34529" s="3" t="s">
        <v>580</v>
      </c>
      <c r="C34529" s="16" t="n">
        <f aca="false">SUM($C$34485:$C$34494)+C34528+C34372-C34371</f>
        <v>0</v>
      </c>
    </row>
    <row r="34531" customFormat="false" ht="15" hidden="false" customHeight="false" outlineLevel="0" collapsed="false">
      <c r="A34531" s="24" t="s">
        <v>583</v>
      </c>
      <c r="B34531" s="25"/>
      <c r="C34531" s="25"/>
      <c r="D34531" s="25"/>
      <c r="E34531" s="25"/>
      <c r="F34531" s="25"/>
      <c r="G34531" s="25"/>
      <c r="H34531" s="25"/>
      <c r="I34531" s="25"/>
      <c r="J34531" s="25"/>
      <c r="K34531" s="25"/>
    </row>
    <row r="34532" customFormat="false" ht="15" hidden="false" customHeight="false" outlineLevel="0" collapsed="false">
      <c r="A34532" s="3" t="s">
        <v>584</v>
      </c>
      <c r="C34532" s="27" t="n">
        <f aca="false">Assumptions!$C$34</f>
        <v>1</v>
      </c>
    </row>
    <row r="34533" customFormat="false" ht="15" hidden="false" customHeight="false" outlineLevel="0" collapsed="false">
      <c r="A34533" s="3" t="s">
        <v>585</v>
      </c>
      <c r="C34533" s="29" t="n">
        <f aca="false">Assumptions!$C$35</f>
        <v>100</v>
      </c>
    </row>
    <row r="34534" customFormat="false" ht="15" hidden="false" customHeight="false" outlineLevel="0" collapsed="false">
      <c r="A34534" s="3" t="s">
        <v>586</v>
      </c>
      <c r="C34534" s="40" t="n">
        <f aca="false">Assumptions!$C$36</f>
        <v>98</v>
      </c>
    </row>
    <row r="34535" customFormat="false" ht="15" hidden="false" customHeight="false" outlineLevel="0" collapsed="false">
      <c r="A34535" s="3" t="s">
        <v>587</v>
      </c>
      <c r="C34535" s="16" t="n">
        <f aca="false">C34533*C34534/100*(1+Assumptions!$C$37)</f>
        <v>98.49</v>
      </c>
    </row>
    <row r="34536" customFormat="false" ht="15" hidden="false" customHeight="false" outlineLevel="0" collapsed="false">
      <c r="A34536" s="3" t="s">
        <v>588</v>
      </c>
      <c r="C34536" s="27" t="n">
        <f aca="false">Assumptions!$C$38</f>
        <v>3</v>
      </c>
    </row>
    <row r="34537" customFormat="false" ht="15" hidden="false" customHeight="false" outlineLevel="0" collapsed="false">
      <c r="A34537" s="3" t="s">
        <v>589</v>
      </c>
      <c r="C34537" s="21" t="n">
        <f aca="false">IF(C34364=1,SUMPRODUCT($G$34300:$K$34300,$G$34074:$K$34074),0)</f>
        <v>0</v>
      </c>
    </row>
    <row r="34538" customFormat="false" ht="15" hidden="false" customHeight="false" outlineLevel="0" collapsed="false">
      <c r="A34538" s="3" t="s">
        <v>590</v>
      </c>
      <c r="C34538" s="22" t="n">
        <f aca="false">IFERROR(C34533/CHOOSE(C34532,SUMPRODUCT($G$34363:$K$34363,$G$34120:$K$34120),SUMPRODUCT($G$34363:$K$34363,$G$34133:$K$34133),SUMPRODUCT($G$34363:$K$34363,$G$34146:$K$34146),SUMPRODUCT($G$34363:$K$34363,$G$34159:$K$34159),SUMPRODUCT($G$34363:$K$34363,$G$34172:$K$34172),SUMPRODUCT($G$34363:$K$34363,$G$34185:$K$34185),SUMPRODUCT($G$34363:$K$34363,$G$34198:$K$34198),SUMPRODUCT($G$34363:$K$34363,$G$34211:$K$34211),SUMPRODUCT($G$34363:$K$34363,$G$34224:$K$34224),SUMPRODUCT($G$34363:$K$34363,$G$34237:$K$34237)),0)</f>
        <v>0.252525252525253</v>
      </c>
    </row>
    <row r="34539" customFormat="false" ht="15" hidden="false" customHeight="false" outlineLevel="0" collapsed="false">
      <c r="A34539" s="3" t="s">
        <v>591</v>
      </c>
      <c r="C34539" s="16" t="n">
        <f aca="false">CHOOSE(C34532,C34485,C34486,C34487,C34488,C34489,C34490,C34491,C34492,C34493,C34494)*C34538</f>
        <v>102.2875</v>
      </c>
    </row>
    <row r="34540" customFormat="false" ht="15" hidden="false" customHeight="false" outlineLevel="0" collapsed="false">
      <c r="A34540" s="3" t="s">
        <v>592</v>
      </c>
      <c r="C34540" s="22" t="n">
        <f aca="false">CHOOSE(C34532,C34496,C34497,C34498,C34499,C34500,C34501,C34502,C34503,C34504,C34505)</f>
        <v>1</v>
      </c>
    </row>
    <row r="34541" customFormat="false" ht="15" hidden="false" customHeight="false" outlineLevel="0" collapsed="false">
      <c r="A34541" s="3" t="s">
        <v>593</v>
      </c>
      <c r="C34541" s="21" t="n">
        <f aca="false">IF(C34364=1,C34537,C34536)</f>
        <v>3</v>
      </c>
    </row>
    <row r="34542" customFormat="false" ht="15" hidden="false" customHeight="false" outlineLevel="0" collapsed="false">
      <c r="A34542" s="3" t="s">
        <v>594</v>
      </c>
      <c r="C34542" s="35" t="n">
        <f aca="false">CHOOSE($C$34066,Assumptions!$C$91,Assumptions!$C$110,Assumptions!$C$129)</f>
        <v>100</v>
      </c>
    </row>
    <row r="34543" customFormat="false" ht="15" hidden="false" customHeight="false" outlineLevel="0" collapsed="false">
      <c r="A34543" s="3" t="s">
        <v>595</v>
      </c>
      <c r="C34543" s="16" t="n">
        <f aca="false">INDEX($G$34083:$K$34083,C34536)*CHOOSE($C$34066,Assumptions!$C$90,Assumptions!$C$109,Assumptions!$C$128)+MAX(0,INDEX($G$34297:$K$34297,C34536))</f>
        <v>3369.2242946436</v>
      </c>
    </row>
    <row r="34544" customFormat="false" ht="15" hidden="false" customHeight="false" outlineLevel="0" collapsed="false">
      <c r="A34544" s="24" t="s">
        <v>596</v>
      </c>
      <c r="B34544" s="25"/>
      <c r="C34544" s="25"/>
      <c r="D34544" s="25"/>
      <c r="E34544" s="25"/>
      <c r="F34544" s="25"/>
      <c r="G34544" s="25"/>
      <c r="H34544" s="25"/>
      <c r="I34544" s="25"/>
      <c r="J34544" s="25"/>
      <c r="K34544" s="25"/>
    </row>
    <row r="34545" customFormat="false" ht="15" hidden="false" customHeight="false" outlineLevel="0" collapsed="false">
      <c r="A34545" s="3" t="s">
        <v>556</v>
      </c>
      <c r="C34545" s="16" t="n">
        <f aca="false">INDEX($G$34120:$K$34120,C34536)</f>
        <v>388</v>
      </c>
    </row>
    <row r="34546" customFormat="false" ht="15" hidden="false" customHeight="false" outlineLevel="0" collapsed="false">
      <c r="A34546" s="3" t="s">
        <v>557</v>
      </c>
      <c r="C34546" s="16" t="n">
        <f aca="false">INDEX($G$34133:$K$34133,C34536)</f>
        <v>90</v>
      </c>
    </row>
    <row r="34547" customFormat="false" ht="15" hidden="false" customHeight="false" outlineLevel="0" collapsed="false">
      <c r="A34547" s="3" t="s">
        <v>558</v>
      </c>
      <c r="C34547" s="16" t="n">
        <f aca="false">INDEX($G$34146:$K$34146,C34536)</f>
        <v>57.324</v>
      </c>
    </row>
    <row r="34548" customFormat="false" ht="15" hidden="false" customHeight="false" outlineLevel="0" collapsed="false">
      <c r="A34548" s="3" t="s">
        <v>559</v>
      </c>
      <c r="C34548" s="16" t="n">
        <f aca="false">INDEX($G$34159:$K$34159,C34536)</f>
        <v>66.796942182056</v>
      </c>
    </row>
    <row r="34549" customFormat="false" ht="15" hidden="false" customHeight="false" outlineLevel="0" collapsed="false">
      <c r="A34549" s="3" t="s">
        <v>560</v>
      </c>
      <c r="C34549" s="16" t="n">
        <f aca="false">INDEX($G$34172:$K$34172,C34536)</f>
        <v>407.7221513738</v>
      </c>
    </row>
    <row r="34550" customFormat="false" ht="15" hidden="false" customHeight="false" outlineLevel="0" collapsed="false">
      <c r="A34550" s="3" t="s">
        <v>561</v>
      </c>
      <c r="C34550" s="16" t="n">
        <f aca="false">INDEX($G$34185:$K$34185,C34536)</f>
        <v>350</v>
      </c>
    </row>
    <row r="34551" customFormat="false" ht="15" hidden="false" customHeight="false" outlineLevel="0" collapsed="false">
      <c r="A34551" s="3" t="s">
        <v>562</v>
      </c>
      <c r="C34551" s="16" t="n">
        <f aca="false">INDEX($G$34198:$K$34198,C34536)</f>
        <v>550</v>
      </c>
    </row>
    <row r="34552" customFormat="false" ht="15" hidden="false" customHeight="false" outlineLevel="0" collapsed="false">
      <c r="A34552" s="3" t="s">
        <v>563</v>
      </c>
      <c r="C34552" s="16" t="n">
        <f aca="false">INDEX($G$34211:$K$34211,C34536)</f>
        <v>350</v>
      </c>
    </row>
    <row r="34553" customFormat="false" ht="15" hidden="false" customHeight="false" outlineLevel="0" collapsed="false">
      <c r="A34553" s="3" t="s">
        <v>564</v>
      </c>
      <c r="C34553" s="16" t="n">
        <f aca="false">INDEX($G$34224:$K$34224,C34536)</f>
        <v>300</v>
      </c>
    </row>
    <row r="34554" customFormat="false" ht="15" hidden="false" customHeight="false" outlineLevel="0" collapsed="false">
      <c r="A34554" s="3" t="s">
        <v>565</v>
      </c>
      <c r="C34554" s="16" t="n">
        <f aca="false">INDEX($G$34237:$K$34237,C34536)</f>
        <v>78.61</v>
      </c>
    </row>
    <row r="34555" customFormat="false" ht="15" hidden="false" customHeight="false" outlineLevel="0" collapsed="false">
      <c r="A34555" s="24" t="s">
        <v>566</v>
      </c>
      <c r="B34555" s="25"/>
      <c r="C34555" s="25"/>
      <c r="D34555" s="25"/>
      <c r="E34555" s="25"/>
      <c r="F34555" s="25"/>
      <c r="G34555" s="25"/>
      <c r="H34555" s="25"/>
      <c r="I34555" s="25"/>
      <c r="J34555" s="25"/>
      <c r="K34555" s="25"/>
    </row>
    <row r="34556" customFormat="false" ht="15" hidden="false" customHeight="false" outlineLevel="0" collapsed="false">
      <c r="A34556" s="3" t="s">
        <v>556</v>
      </c>
      <c r="C34556" s="27" t="n">
        <f aca="false">Assumptions!$M$57</f>
        <v>1</v>
      </c>
    </row>
    <row r="34557" customFormat="false" ht="15" hidden="false" customHeight="false" outlineLevel="0" collapsed="false">
      <c r="A34557" s="3" t="s">
        <v>557</v>
      </c>
      <c r="C34557" s="27" t="n">
        <f aca="false">Assumptions!$M$58</f>
        <v>1</v>
      </c>
    </row>
    <row r="34558" customFormat="false" ht="15" hidden="false" customHeight="false" outlineLevel="0" collapsed="false">
      <c r="A34558" s="3" t="s">
        <v>558</v>
      </c>
      <c r="C34558" s="27" t="n">
        <f aca="false">Assumptions!$M$59</f>
        <v>1</v>
      </c>
    </row>
    <row r="34559" customFormat="false" ht="15" hidden="false" customHeight="false" outlineLevel="0" collapsed="false">
      <c r="A34559" s="3" t="s">
        <v>559</v>
      </c>
      <c r="C34559" s="27" t="n">
        <f aca="false">Assumptions!$M$60</f>
        <v>2</v>
      </c>
    </row>
    <row r="34560" customFormat="false" ht="15" hidden="false" customHeight="false" outlineLevel="0" collapsed="false">
      <c r="A34560" s="3" t="s">
        <v>560</v>
      </c>
      <c r="C34560" s="27" t="n">
        <f aca="false">Assumptions!$M$61</f>
        <v>2</v>
      </c>
    </row>
    <row r="34561" customFormat="false" ht="15" hidden="false" customHeight="false" outlineLevel="0" collapsed="false">
      <c r="A34561" s="3" t="s">
        <v>561</v>
      </c>
      <c r="C34561" s="27" t="n">
        <f aca="false">Assumptions!$M$62</f>
        <v>2</v>
      </c>
    </row>
    <row r="34562" customFormat="false" ht="15" hidden="false" customHeight="false" outlineLevel="0" collapsed="false">
      <c r="A34562" s="3" t="s">
        <v>562</v>
      </c>
      <c r="C34562" s="27" t="n">
        <f aca="false">Assumptions!$M$63</f>
        <v>2</v>
      </c>
    </row>
    <row r="34563" customFormat="false" ht="15" hidden="false" customHeight="false" outlineLevel="0" collapsed="false">
      <c r="A34563" s="3" t="s">
        <v>563</v>
      </c>
      <c r="C34563" s="27" t="n">
        <f aca="false">Assumptions!$M$64</f>
        <v>2</v>
      </c>
    </row>
    <row r="34564" customFormat="false" ht="15" hidden="false" customHeight="false" outlineLevel="0" collapsed="false">
      <c r="A34564" s="3" t="s">
        <v>564</v>
      </c>
      <c r="C34564" s="27" t="n">
        <f aca="false">Assumptions!$M$65</f>
        <v>2</v>
      </c>
    </row>
    <row r="34565" customFormat="false" ht="15" hidden="false" customHeight="false" outlineLevel="0" collapsed="false">
      <c r="A34565" s="3" t="s">
        <v>565</v>
      </c>
      <c r="C34565" s="27" t="n">
        <f aca="false">Assumptions!$M$66</f>
        <v>3</v>
      </c>
    </row>
    <row r="34566" customFormat="false" ht="15" hidden="false" customHeight="false" outlineLevel="0" collapsed="false">
      <c r="A34566" s="24" t="s">
        <v>567</v>
      </c>
      <c r="B34566" s="25"/>
      <c r="C34566" s="25"/>
      <c r="D34566" s="25"/>
      <c r="E34566" s="25"/>
      <c r="F34566" s="25"/>
      <c r="G34566" s="25"/>
      <c r="H34566" s="25"/>
      <c r="I34566" s="25"/>
      <c r="J34566" s="25"/>
      <c r="K34566" s="25"/>
    </row>
    <row r="34567" customFormat="false" ht="15" hidden="false" customHeight="false" outlineLevel="0" collapsed="false">
      <c r="A34567" s="3" t="s">
        <v>556</v>
      </c>
      <c r="C34567" s="33" t="n">
        <f aca="false">Assumptions!$Q$57</f>
        <v>0.3</v>
      </c>
    </row>
    <row r="34568" customFormat="false" ht="15" hidden="false" customHeight="false" outlineLevel="0" collapsed="false">
      <c r="A34568" s="3" t="s">
        <v>557</v>
      </c>
      <c r="C34568" s="33" t="n">
        <f aca="false">Assumptions!$Q$58</f>
        <v>0.033</v>
      </c>
    </row>
    <row r="34569" customFormat="false" ht="15" hidden="false" customHeight="false" outlineLevel="0" collapsed="false">
      <c r="A34569" s="3" t="s">
        <v>558</v>
      </c>
      <c r="C34569" s="33" t="n">
        <f aca="false">Assumptions!$Q$59</f>
        <v>0.021</v>
      </c>
    </row>
    <row r="34570" customFormat="false" ht="15" hidden="false" customHeight="false" outlineLevel="0" collapsed="false">
      <c r="A34570" s="3" t="s">
        <v>559</v>
      </c>
      <c r="C34570" s="33" t="n">
        <f aca="false">Assumptions!$Q$60</f>
        <v>0</v>
      </c>
    </row>
    <row r="34571" customFormat="false" ht="15" hidden="false" customHeight="false" outlineLevel="0" collapsed="false">
      <c r="A34571" s="3" t="s">
        <v>560</v>
      </c>
      <c r="C34571" s="33" t="n">
        <f aca="false">Assumptions!$Q$61</f>
        <v>0</v>
      </c>
    </row>
    <row r="34572" customFormat="false" ht="15" hidden="false" customHeight="false" outlineLevel="0" collapsed="false">
      <c r="A34572" s="3" t="s">
        <v>561</v>
      </c>
      <c r="C34572" s="33" t="n">
        <f aca="false">Assumptions!$Q$62</f>
        <v>0</v>
      </c>
    </row>
    <row r="34573" customFormat="false" ht="15" hidden="false" customHeight="false" outlineLevel="0" collapsed="false">
      <c r="A34573" s="3" t="s">
        <v>562</v>
      </c>
      <c r="C34573" s="33" t="n">
        <f aca="false">Assumptions!$Q$63</f>
        <v>0</v>
      </c>
    </row>
    <row r="34574" customFormat="false" ht="15" hidden="false" customHeight="false" outlineLevel="0" collapsed="false">
      <c r="A34574" s="3" t="s">
        <v>563</v>
      </c>
      <c r="C34574" s="33" t="n">
        <f aca="false">Assumptions!$Q$64</f>
        <v>0</v>
      </c>
    </row>
    <row r="34575" customFormat="false" ht="15" hidden="false" customHeight="false" outlineLevel="0" collapsed="false">
      <c r="A34575" s="3" t="s">
        <v>564</v>
      </c>
      <c r="C34575" s="33" t="n">
        <f aca="false">Assumptions!$Q$65</f>
        <v>0</v>
      </c>
    </row>
    <row r="34576" customFormat="false" ht="15" hidden="false" customHeight="false" outlineLevel="0" collapsed="false">
      <c r="A34576" s="3" t="s">
        <v>565</v>
      </c>
      <c r="C34576" s="33" t="n">
        <f aca="false">Assumptions!$Q$66</f>
        <v>0</v>
      </c>
    </row>
    <row r="34577" customFormat="false" ht="15" hidden="false" customHeight="false" outlineLevel="0" collapsed="false">
      <c r="A34577" s="24" t="s">
        <v>568</v>
      </c>
      <c r="B34577" s="25"/>
      <c r="C34577" s="25"/>
      <c r="D34577" s="25"/>
      <c r="E34577" s="25"/>
      <c r="F34577" s="25"/>
      <c r="G34577" s="25"/>
      <c r="H34577" s="25"/>
      <c r="I34577" s="25"/>
      <c r="J34577" s="25"/>
      <c r="K34577" s="25"/>
    </row>
    <row r="34578" customFormat="false" ht="15" hidden="false" customHeight="false" outlineLevel="0" collapsed="false">
      <c r="A34578" s="3" t="s">
        <v>556</v>
      </c>
      <c r="C34578" s="16" t="n">
        <f aca="false">IF(C34567&gt;0,MIN(C34545,C34567*$C$34543),0)</f>
        <v>388</v>
      </c>
    </row>
    <row r="34579" customFormat="false" ht="15" hidden="false" customHeight="false" outlineLevel="0" collapsed="false">
      <c r="A34579" s="3" t="s">
        <v>557</v>
      </c>
      <c r="C34579" s="16" t="n">
        <f aca="false">IF(C34568&gt;0,MIN(C34546,C34568*$C$34543),0)</f>
        <v>90</v>
      </c>
    </row>
    <row r="34580" customFormat="false" ht="15" hidden="false" customHeight="false" outlineLevel="0" collapsed="false">
      <c r="A34580" s="3" t="s">
        <v>558</v>
      </c>
      <c r="C34580" s="16" t="n">
        <f aca="false">IF(C34569&gt;0,MIN(C34547,C34569*$C$34543),0)</f>
        <v>57.324</v>
      </c>
    </row>
    <row r="34581" customFormat="false" ht="15" hidden="false" customHeight="false" outlineLevel="0" collapsed="false">
      <c r="A34581" s="3" t="s">
        <v>559</v>
      </c>
      <c r="C34581" s="16" t="n">
        <f aca="false">IF(C34570&gt;0,MIN(C34548,C34570*$C$34543),0)</f>
        <v>0</v>
      </c>
    </row>
    <row r="34582" customFormat="false" ht="15" hidden="false" customHeight="false" outlineLevel="0" collapsed="false">
      <c r="A34582" s="3" t="s">
        <v>560</v>
      </c>
      <c r="C34582" s="16" t="n">
        <f aca="false">IF(C34571&gt;0,MIN(C34549,C34571*$C$34543),0)</f>
        <v>0</v>
      </c>
    </row>
    <row r="34583" customFormat="false" ht="15" hidden="false" customHeight="false" outlineLevel="0" collapsed="false">
      <c r="A34583" s="3" t="s">
        <v>561</v>
      </c>
      <c r="C34583" s="16" t="n">
        <f aca="false">IF(C34572&gt;0,MIN(C34550,C34572*$C$34543),0)</f>
        <v>0</v>
      </c>
    </row>
    <row r="34584" customFormat="false" ht="15" hidden="false" customHeight="false" outlineLevel="0" collapsed="false">
      <c r="A34584" s="3" t="s">
        <v>562</v>
      </c>
      <c r="C34584" s="16" t="n">
        <f aca="false">IF(C34573&gt;0,MIN(C34551,C34573*$C$34543),0)</f>
        <v>0</v>
      </c>
    </row>
    <row r="34585" customFormat="false" ht="15" hidden="false" customHeight="false" outlineLevel="0" collapsed="false">
      <c r="A34585" s="3" t="s">
        <v>563</v>
      </c>
      <c r="C34585" s="16" t="n">
        <f aca="false">IF(C34574&gt;0,MIN(C34552,C34574*$C$34543),0)</f>
        <v>0</v>
      </c>
    </row>
    <row r="34586" customFormat="false" ht="15" hidden="false" customHeight="false" outlineLevel="0" collapsed="false">
      <c r="A34586" s="3" t="s">
        <v>564</v>
      </c>
      <c r="C34586" s="16" t="n">
        <f aca="false">IF(C34575&gt;0,MIN(C34553,C34575*$C$34543),0)</f>
        <v>0</v>
      </c>
    </row>
    <row r="34587" customFormat="false" ht="15" hidden="false" customHeight="false" outlineLevel="0" collapsed="false">
      <c r="A34587" s="3" t="s">
        <v>565</v>
      </c>
      <c r="C34587" s="16" t="n">
        <f aca="false">IF(C34576&gt;0,MIN(C34554,C34576*$C$34543),0)</f>
        <v>0</v>
      </c>
    </row>
    <row r="34588" customFormat="false" ht="15" hidden="false" customHeight="false" outlineLevel="0" collapsed="false">
      <c r="A34588" s="24" t="s">
        <v>569</v>
      </c>
      <c r="B34588" s="25"/>
      <c r="C34588" s="25"/>
      <c r="D34588" s="25"/>
      <c r="E34588" s="25"/>
      <c r="F34588" s="25"/>
      <c r="G34588" s="25"/>
      <c r="H34588" s="25"/>
      <c r="I34588" s="25"/>
      <c r="J34588" s="25"/>
      <c r="K34588" s="25"/>
    </row>
    <row r="34589" customFormat="false" ht="15" hidden="false" customHeight="false" outlineLevel="0" collapsed="false">
      <c r="A34589" s="3" t="s">
        <v>556</v>
      </c>
      <c r="C34589" s="16" t="n">
        <f aca="false">IF(C34567&gt;0,C34545-C34578,0)</f>
        <v>0</v>
      </c>
    </row>
    <row r="34590" customFormat="false" ht="15" hidden="false" customHeight="false" outlineLevel="0" collapsed="false">
      <c r="A34590" s="3" t="s">
        <v>557</v>
      </c>
      <c r="C34590" s="16" t="n">
        <f aca="false">IF(C34568&gt;0,C34546-C34579,0)</f>
        <v>0</v>
      </c>
    </row>
    <row r="34591" customFormat="false" ht="15" hidden="false" customHeight="false" outlineLevel="0" collapsed="false">
      <c r="A34591" s="3" t="s">
        <v>558</v>
      </c>
      <c r="C34591" s="16" t="n">
        <f aca="false">IF(C34569&gt;0,C34547-C34580,0)</f>
        <v>0</v>
      </c>
    </row>
    <row r="34592" customFormat="false" ht="15" hidden="false" customHeight="false" outlineLevel="0" collapsed="false">
      <c r="A34592" s="3" t="s">
        <v>559</v>
      </c>
      <c r="C34592" s="16" t="n">
        <f aca="false">IF(C34570&gt;0,C34548-C34581,0)</f>
        <v>0</v>
      </c>
    </row>
    <row r="34593" customFormat="false" ht="15" hidden="false" customHeight="false" outlineLevel="0" collapsed="false">
      <c r="A34593" s="3" t="s">
        <v>560</v>
      </c>
      <c r="C34593" s="16" t="n">
        <f aca="false">IF(C34571&gt;0,C34549-C34582,0)</f>
        <v>0</v>
      </c>
    </row>
    <row r="34594" customFormat="false" ht="15" hidden="false" customHeight="false" outlineLevel="0" collapsed="false">
      <c r="A34594" s="3" t="s">
        <v>561</v>
      </c>
      <c r="C34594" s="16" t="n">
        <f aca="false">IF(C34572&gt;0,C34550-C34583,0)</f>
        <v>0</v>
      </c>
    </row>
    <row r="34595" customFormat="false" ht="15" hidden="false" customHeight="false" outlineLevel="0" collapsed="false">
      <c r="A34595" s="3" t="s">
        <v>562</v>
      </c>
      <c r="C34595" s="16" t="n">
        <f aca="false">IF(C34573&gt;0,C34551-C34584,0)</f>
        <v>0</v>
      </c>
    </row>
    <row r="34596" customFormat="false" ht="15" hidden="false" customHeight="false" outlineLevel="0" collapsed="false">
      <c r="A34596" s="3" t="s">
        <v>563</v>
      </c>
      <c r="C34596" s="16" t="n">
        <f aca="false">IF(C34574&gt;0,C34552-C34585,0)</f>
        <v>0</v>
      </c>
    </row>
    <row r="34597" customFormat="false" ht="15" hidden="false" customHeight="false" outlineLevel="0" collapsed="false">
      <c r="A34597" s="3" t="s">
        <v>564</v>
      </c>
      <c r="C34597" s="16" t="n">
        <f aca="false">IF(C34575&gt;0,C34553-C34586,0)</f>
        <v>0</v>
      </c>
    </row>
    <row r="34598" customFormat="false" ht="15" hidden="false" customHeight="false" outlineLevel="0" collapsed="false">
      <c r="A34598" s="3" t="s">
        <v>565</v>
      </c>
      <c r="C34598" s="16" t="n">
        <f aca="false">IF(C34576&gt;0,C34554-C34587,0)</f>
        <v>0</v>
      </c>
    </row>
    <row r="34599" customFormat="false" ht="15" hidden="false" customHeight="false" outlineLevel="0" collapsed="false">
      <c r="A34599" s="24" t="s">
        <v>570</v>
      </c>
      <c r="B34599" s="25"/>
      <c r="C34599" s="25"/>
      <c r="D34599" s="25"/>
      <c r="E34599" s="25"/>
      <c r="F34599" s="25"/>
      <c r="G34599" s="25"/>
      <c r="H34599" s="25"/>
      <c r="I34599" s="25"/>
      <c r="J34599" s="25"/>
      <c r="K34599" s="25"/>
    </row>
    <row r="34600" customFormat="false" ht="15" hidden="false" customHeight="false" outlineLevel="0" collapsed="false">
      <c r="A34600" s="3" t="s">
        <v>556</v>
      </c>
      <c r="C34600" s="16" t="n">
        <f aca="false">IF(C34567&gt;0,C34589,C34545)</f>
        <v>0</v>
      </c>
    </row>
    <row r="34601" customFormat="false" ht="15" hidden="false" customHeight="false" outlineLevel="0" collapsed="false">
      <c r="A34601" s="3" t="s">
        <v>557</v>
      </c>
      <c r="C34601" s="16" t="n">
        <f aca="false">IF(C34568&gt;0,C34590,C34546)</f>
        <v>0</v>
      </c>
    </row>
    <row r="34602" customFormat="false" ht="15" hidden="false" customHeight="false" outlineLevel="0" collapsed="false">
      <c r="A34602" s="3" t="s">
        <v>558</v>
      </c>
      <c r="C34602" s="16" t="n">
        <f aca="false">IF(C34569&gt;0,C34591,C34547)</f>
        <v>0</v>
      </c>
    </row>
    <row r="34603" customFormat="false" ht="15" hidden="false" customHeight="false" outlineLevel="0" collapsed="false">
      <c r="A34603" s="3" t="s">
        <v>559</v>
      </c>
      <c r="C34603" s="16" t="n">
        <f aca="false">IF(C34570&gt;0,C34592,C34548)</f>
        <v>66.796942182056</v>
      </c>
    </row>
    <row r="34604" customFormat="false" ht="15" hidden="false" customHeight="false" outlineLevel="0" collapsed="false">
      <c r="A34604" s="3" t="s">
        <v>560</v>
      </c>
      <c r="C34604" s="16" t="n">
        <f aca="false">IF(C34571&gt;0,C34593,C34549)</f>
        <v>407.7221513738</v>
      </c>
    </row>
    <row r="34605" customFormat="false" ht="15" hidden="false" customHeight="false" outlineLevel="0" collapsed="false">
      <c r="A34605" s="3" t="s">
        <v>561</v>
      </c>
      <c r="C34605" s="16" t="n">
        <f aca="false">IF(C34572&gt;0,C34594,C34550)</f>
        <v>350</v>
      </c>
    </row>
    <row r="34606" customFormat="false" ht="15" hidden="false" customHeight="false" outlineLevel="0" collapsed="false">
      <c r="A34606" s="3" t="s">
        <v>562</v>
      </c>
      <c r="C34606" s="16" t="n">
        <f aca="false">IF(C34573&gt;0,C34595,C34551)</f>
        <v>550</v>
      </c>
    </row>
    <row r="34607" customFormat="false" ht="15" hidden="false" customHeight="false" outlineLevel="0" collapsed="false">
      <c r="A34607" s="3" t="s">
        <v>563</v>
      </c>
      <c r="C34607" s="16" t="n">
        <f aca="false">IF(C34574&gt;0,C34596,C34552)</f>
        <v>350</v>
      </c>
    </row>
    <row r="34608" customFormat="false" ht="15" hidden="false" customHeight="false" outlineLevel="0" collapsed="false">
      <c r="A34608" s="3" t="s">
        <v>564</v>
      </c>
      <c r="C34608" s="16" t="n">
        <f aca="false">IF(C34575&gt;0,C34597,C34553)</f>
        <v>300</v>
      </c>
    </row>
    <row r="34609" customFormat="false" ht="15" hidden="false" customHeight="false" outlineLevel="0" collapsed="false">
      <c r="A34609" s="3" t="s">
        <v>565</v>
      </c>
      <c r="C34609" s="16" t="n">
        <f aca="false">IF(C34576&gt;0,C34598,C34554)</f>
        <v>78.61</v>
      </c>
    </row>
    <row r="34610" customFormat="false" ht="15" hidden="false" customHeight="false" outlineLevel="0" collapsed="false">
      <c r="A34610" s="24" t="s">
        <v>571</v>
      </c>
      <c r="B34610" s="25"/>
      <c r="C34610" s="25"/>
      <c r="D34610" s="25"/>
      <c r="E34610" s="25"/>
      <c r="F34610" s="25"/>
      <c r="G34610" s="25"/>
      <c r="H34610" s="25"/>
      <c r="I34610" s="25"/>
      <c r="J34610" s="25"/>
      <c r="K34610" s="25"/>
    </row>
    <row r="34611" customFormat="false" ht="15" hidden="false" customHeight="false" outlineLevel="0" collapsed="false">
      <c r="A34611" s="3" t="s">
        <v>556</v>
      </c>
      <c r="C34611" s="21" t="n">
        <f aca="false">IF(C34567&gt;0,Assumptions!$C$17,C34556)</f>
        <v>99</v>
      </c>
    </row>
    <row r="34612" customFormat="false" ht="15" hidden="false" customHeight="false" outlineLevel="0" collapsed="false">
      <c r="A34612" s="3" t="s">
        <v>557</v>
      </c>
      <c r="C34612" s="21" t="n">
        <f aca="false">IF(C34568&gt;0,Assumptions!$C$17,C34557)</f>
        <v>99</v>
      </c>
    </row>
    <row r="34613" customFormat="false" ht="15" hidden="false" customHeight="false" outlineLevel="0" collapsed="false">
      <c r="A34613" s="3" t="s">
        <v>558</v>
      </c>
      <c r="C34613" s="21" t="n">
        <f aca="false">IF(C34569&gt;0,Assumptions!$C$17,C34558)</f>
        <v>99</v>
      </c>
    </row>
    <row r="34614" customFormat="false" ht="15" hidden="false" customHeight="false" outlineLevel="0" collapsed="false">
      <c r="A34614" s="3" t="s">
        <v>559</v>
      </c>
      <c r="C34614" s="21" t="n">
        <f aca="false">IF(C34570&gt;0,Assumptions!$C$17,C34559)</f>
        <v>2</v>
      </c>
    </row>
    <row r="34615" customFormat="false" ht="15" hidden="false" customHeight="false" outlineLevel="0" collapsed="false">
      <c r="A34615" s="3" t="s">
        <v>560</v>
      </c>
      <c r="C34615" s="21" t="n">
        <f aca="false">IF(C34571&gt;0,Assumptions!$C$17,C34560)</f>
        <v>2</v>
      </c>
    </row>
    <row r="34616" customFormat="false" ht="15" hidden="false" customHeight="false" outlineLevel="0" collapsed="false">
      <c r="A34616" s="3" t="s">
        <v>561</v>
      </c>
      <c r="C34616" s="21" t="n">
        <f aca="false">IF(C34572&gt;0,Assumptions!$C$17,C34561)</f>
        <v>2</v>
      </c>
    </row>
    <row r="34617" customFormat="false" ht="15" hidden="false" customHeight="false" outlineLevel="0" collapsed="false">
      <c r="A34617" s="3" t="s">
        <v>562</v>
      </c>
      <c r="C34617" s="21" t="n">
        <f aca="false">IF(C34573&gt;0,Assumptions!$C$17,C34562)</f>
        <v>2</v>
      </c>
    </row>
    <row r="34618" customFormat="false" ht="15" hidden="false" customHeight="false" outlineLevel="0" collapsed="false">
      <c r="A34618" s="3" t="s">
        <v>563</v>
      </c>
      <c r="C34618" s="21" t="n">
        <f aca="false">IF(C34574&gt;0,Assumptions!$C$17,C34563)</f>
        <v>2</v>
      </c>
    </row>
    <row r="34619" customFormat="false" ht="15" hidden="false" customHeight="false" outlineLevel="0" collapsed="false">
      <c r="A34619" s="3" t="s">
        <v>564</v>
      </c>
      <c r="C34619" s="21" t="n">
        <f aca="false">IF(C34575&gt;0,Assumptions!$C$17,C34564)</f>
        <v>2</v>
      </c>
    </row>
    <row r="34620" customFormat="false" ht="15" hidden="false" customHeight="false" outlineLevel="0" collapsed="false">
      <c r="A34620" s="3" t="s">
        <v>565</v>
      </c>
      <c r="C34620" s="21" t="n">
        <f aca="false">IF(C34576&gt;0,Assumptions!$C$17,C34565)</f>
        <v>3</v>
      </c>
    </row>
    <row r="34621" customFormat="false" ht="15" hidden="false" customHeight="false" outlineLevel="0" collapsed="false">
      <c r="A34621" s="24" t="s">
        <v>572</v>
      </c>
      <c r="B34621" s="25"/>
      <c r="C34621" s="25"/>
      <c r="D34621" s="25"/>
      <c r="E34621" s="25"/>
      <c r="F34621" s="25"/>
      <c r="G34621" s="25"/>
      <c r="H34621" s="25"/>
      <c r="I34621" s="25"/>
      <c r="J34621" s="25"/>
      <c r="K34621" s="25"/>
    </row>
    <row r="34622" customFormat="false" ht="15" hidden="false" customHeight="false" outlineLevel="0" collapsed="false">
      <c r="A34622" s="3" t="s">
        <v>556</v>
      </c>
      <c r="C34622" s="16" t="n">
        <f aca="false">SUMPRODUCT(($C$34611:$C$34620&lt;C34611)*$C$34600:$C$34609)</f>
        <v>2103.12909355586</v>
      </c>
    </row>
    <row r="34623" customFormat="false" ht="15" hidden="false" customHeight="false" outlineLevel="0" collapsed="false">
      <c r="A34623" s="3" t="s">
        <v>557</v>
      </c>
      <c r="C34623" s="16" t="n">
        <f aca="false">SUMPRODUCT(($C$34611:$C$34620&lt;C34612)*$C$34600:$C$34609)</f>
        <v>2103.12909355586</v>
      </c>
    </row>
    <row r="34624" customFormat="false" ht="15" hidden="false" customHeight="false" outlineLevel="0" collapsed="false">
      <c r="A34624" s="3" t="s">
        <v>558</v>
      </c>
      <c r="C34624" s="16" t="n">
        <f aca="false">SUMPRODUCT(($C$34611:$C$34620&lt;C34613)*$C$34600:$C$34609)</f>
        <v>2103.12909355586</v>
      </c>
    </row>
    <row r="34625" customFormat="false" ht="15" hidden="false" customHeight="false" outlineLevel="0" collapsed="false">
      <c r="A34625" s="3" t="s">
        <v>559</v>
      </c>
      <c r="C34625" s="16" t="n">
        <f aca="false">SUMPRODUCT(($C$34611:$C$34620&lt;C34614)*$C$34600:$C$34609)</f>
        <v>0</v>
      </c>
    </row>
    <row r="34626" customFormat="false" ht="15" hidden="false" customHeight="false" outlineLevel="0" collapsed="false">
      <c r="A34626" s="3" t="s">
        <v>560</v>
      </c>
      <c r="C34626" s="16" t="n">
        <f aca="false">SUMPRODUCT(($C$34611:$C$34620&lt;C34615)*$C$34600:$C$34609)</f>
        <v>0</v>
      </c>
    </row>
    <row r="34627" customFormat="false" ht="15" hidden="false" customHeight="false" outlineLevel="0" collapsed="false">
      <c r="A34627" s="3" t="s">
        <v>561</v>
      </c>
      <c r="C34627" s="16" t="n">
        <f aca="false">SUMPRODUCT(($C$34611:$C$34620&lt;C34616)*$C$34600:$C$34609)</f>
        <v>0</v>
      </c>
    </row>
    <row r="34628" customFormat="false" ht="15" hidden="false" customHeight="false" outlineLevel="0" collapsed="false">
      <c r="A34628" s="3" t="s">
        <v>562</v>
      </c>
      <c r="C34628" s="16" t="n">
        <f aca="false">SUMPRODUCT(($C$34611:$C$34620&lt;C34617)*$C$34600:$C$34609)</f>
        <v>0</v>
      </c>
    </row>
    <row r="34629" customFormat="false" ht="15" hidden="false" customHeight="false" outlineLevel="0" collapsed="false">
      <c r="A34629" s="3" t="s">
        <v>563</v>
      </c>
      <c r="C34629" s="16" t="n">
        <f aca="false">SUMPRODUCT(($C$34611:$C$34620&lt;C34618)*$C$34600:$C$34609)</f>
        <v>0</v>
      </c>
    </row>
    <row r="34630" customFormat="false" ht="15" hidden="false" customHeight="false" outlineLevel="0" collapsed="false">
      <c r="A34630" s="3" t="s">
        <v>564</v>
      </c>
      <c r="C34630" s="16" t="n">
        <f aca="false">SUMPRODUCT(($C$34611:$C$34620&lt;C34619)*$C$34600:$C$34609)</f>
        <v>0</v>
      </c>
    </row>
    <row r="34631" customFormat="false" ht="15" hidden="false" customHeight="false" outlineLevel="0" collapsed="false">
      <c r="A34631" s="3" t="s">
        <v>565</v>
      </c>
      <c r="C34631" s="16" t="n">
        <f aca="false">SUMPRODUCT(($C$34611:$C$34620&lt;C34620)*$C$34600:$C$34609)</f>
        <v>2024.51909355586</v>
      </c>
    </row>
    <row r="34632" customFormat="false" ht="15" hidden="false" customHeight="false" outlineLevel="0" collapsed="false">
      <c r="A34632" s="24" t="s">
        <v>573</v>
      </c>
      <c r="B34632" s="25"/>
      <c r="C34632" s="25"/>
      <c r="D34632" s="25"/>
      <c r="E34632" s="25"/>
      <c r="F34632" s="25"/>
      <c r="G34632" s="25"/>
      <c r="H34632" s="25"/>
      <c r="I34632" s="25"/>
      <c r="J34632" s="25"/>
      <c r="K34632" s="25"/>
    </row>
    <row r="34633" customFormat="false" ht="15" hidden="false" customHeight="false" outlineLevel="0" collapsed="false">
      <c r="A34633" s="3" t="s">
        <v>556</v>
      </c>
      <c r="C34633" s="16" t="n">
        <f aca="false">SUMPRODUCT(($C$34611:$C$34620=C34611)*$C$34600:$C$34609)</f>
        <v>0</v>
      </c>
    </row>
    <row r="34634" customFormat="false" ht="15" hidden="false" customHeight="false" outlineLevel="0" collapsed="false">
      <c r="A34634" s="3" t="s">
        <v>557</v>
      </c>
      <c r="C34634" s="16" t="n">
        <f aca="false">SUMPRODUCT(($C$34611:$C$34620=C34612)*$C$34600:$C$34609)</f>
        <v>0</v>
      </c>
    </row>
    <row r="34635" customFormat="false" ht="15" hidden="false" customHeight="false" outlineLevel="0" collapsed="false">
      <c r="A34635" s="3" t="s">
        <v>558</v>
      </c>
      <c r="C34635" s="16" t="n">
        <f aca="false">SUMPRODUCT(($C$34611:$C$34620=C34613)*$C$34600:$C$34609)</f>
        <v>0</v>
      </c>
    </row>
    <row r="34636" customFormat="false" ht="15" hidden="false" customHeight="false" outlineLevel="0" collapsed="false">
      <c r="A34636" s="3" t="s">
        <v>559</v>
      </c>
      <c r="C34636" s="16" t="n">
        <f aca="false">SUMPRODUCT(($C$34611:$C$34620=C34614)*$C$34600:$C$34609)</f>
        <v>2024.51909355586</v>
      </c>
    </row>
    <row r="34637" customFormat="false" ht="15" hidden="false" customHeight="false" outlineLevel="0" collapsed="false">
      <c r="A34637" s="3" t="s">
        <v>560</v>
      </c>
      <c r="C34637" s="16" t="n">
        <f aca="false">SUMPRODUCT(($C$34611:$C$34620=C34615)*$C$34600:$C$34609)</f>
        <v>2024.51909355586</v>
      </c>
    </row>
    <row r="34638" customFormat="false" ht="15" hidden="false" customHeight="false" outlineLevel="0" collapsed="false">
      <c r="A34638" s="3" t="s">
        <v>561</v>
      </c>
      <c r="C34638" s="16" t="n">
        <f aca="false">SUMPRODUCT(($C$34611:$C$34620=C34616)*$C$34600:$C$34609)</f>
        <v>2024.51909355586</v>
      </c>
    </row>
    <row r="34639" customFormat="false" ht="15" hidden="false" customHeight="false" outlineLevel="0" collapsed="false">
      <c r="A34639" s="3" t="s">
        <v>562</v>
      </c>
      <c r="C34639" s="16" t="n">
        <f aca="false">SUMPRODUCT(($C$34611:$C$34620=C34617)*$C$34600:$C$34609)</f>
        <v>2024.51909355586</v>
      </c>
    </row>
    <row r="34640" customFormat="false" ht="15" hidden="false" customHeight="false" outlineLevel="0" collapsed="false">
      <c r="A34640" s="3" t="s">
        <v>563</v>
      </c>
      <c r="C34640" s="16" t="n">
        <f aca="false">SUMPRODUCT(($C$34611:$C$34620=C34618)*$C$34600:$C$34609)</f>
        <v>2024.51909355586</v>
      </c>
    </row>
    <row r="34641" customFormat="false" ht="15" hidden="false" customHeight="false" outlineLevel="0" collapsed="false">
      <c r="A34641" s="3" t="s">
        <v>564</v>
      </c>
      <c r="C34641" s="16" t="n">
        <f aca="false">SUMPRODUCT(($C$34611:$C$34620=C34619)*$C$34600:$C$34609)</f>
        <v>2024.51909355586</v>
      </c>
    </row>
    <row r="34642" customFormat="false" ht="15" hidden="false" customHeight="false" outlineLevel="0" collapsed="false">
      <c r="A34642" s="3" t="s">
        <v>565</v>
      </c>
      <c r="C34642" s="16" t="n">
        <f aca="false">SUMPRODUCT(($C$34611:$C$34620=C34620)*$C$34600:$C$34609)</f>
        <v>78.61</v>
      </c>
    </row>
    <row r="34643" customFormat="false" ht="15" hidden="false" customHeight="false" outlineLevel="0" collapsed="false">
      <c r="A34643" s="24" t="s">
        <v>574</v>
      </c>
      <c r="B34643" s="25"/>
      <c r="C34643" s="25"/>
      <c r="D34643" s="25"/>
      <c r="E34643" s="25"/>
      <c r="F34643" s="25"/>
      <c r="G34643" s="25"/>
      <c r="H34643" s="25"/>
      <c r="I34643" s="25"/>
      <c r="J34643" s="25"/>
      <c r="K34643" s="25"/>
    </row>
    <row r="34644" customFormat="false" ht="15" hidden="false" customHeight="false" outlineLevel="0" collapsed="false">
      <c r="A34644" s="3" t="s">
        <v>556</v>
      </c>
      <c r="C34644" s="16" t="n">
        <f aca="false">IF(C34633=0,0,C34600/C34633*MAX(0,MIN(C34633,$C$34543-SUM($C$34578:$C$34587)-C34622)))</f>
        <v>0</v>
      </c>
    </row>
    <row r="34645" customFormat="false" ht="15" hidden="false" customHeight="false" outlineLevel="0" collapsed="false">
      <c r="A34645" s="3" t="s">
        <v>557</v>
      </c>
      <c r="C34645" s="16" t="n">
        <f aca="false">IF(C34634=0,0,C34601/C34634*MAX(0,MIN(C34634,$C$34543-SUM($C$34578:$C$34587)-C34623)))</f>
        <v>0</v>
      </c>
    </row>
    <row r="34646" customFormat="false" ht="15" hidden="false" customHeight="false" outlineLevel="0" collapsed="false">
      <c r="A34646" s="3" t="s">
        <v>558</v>
      </c>
      <c r="C34646" s="16" t="n">
        <f aca="false">IF(C34635=0,0,C34602/C34635*MAX(0,MIN(C34635,$C$34543-SUM($C$34578:$C$34587)-C34624)))</f>
        <v>0</v>
      </c>
    </row>
    <row r="34647" customFormat="false" ht="15" hidden="false" customHeight="false" outlineLevel="0" collapsed="false">
      <c r="A34647" s="3" t="s">
        <v>559</v>
      </c>
      <c r="C34647" s="16" t="n">
        <f aca="false">IF(C34636=0,0,C34603/C34636*MAX(0,MIN(C34636,$C$34543-SUM($C$34578:$C$34587)-C34625)))</f>
        <v>66.796942182056</v>
      </c>
    </row>
    <row r="34648" customFormat="false" ht="15" hidden="false" customHeight="false" outlineLevel="0" collapsed="false">
      <c r="A34648" s="3" t="s">
        <v>560</v>
      </c>
      <c r="C34648" s="16" t="n">
        <f aca="false">IF(C34637=0,0,C34604/C34637*MAX(0,MIN(C34637,$C$34543-SUM($C$34578:$C$34587)-C34626)))</f>
        <v>407.7221513738</v>
      </c>
    </row>
    <row r="34649" customFormat="false" ht="15" hidden="false" customHeight="false" outlineLevel="0" collapsed="false">
      <c r="A34649" s="3" t="s">
        <v>561</v>
      </c>
      <c r="C34649" s="16" t="n">
        <f aca="false">IF(C34638=0,0,C34605/C34638*MAX(0,MIN(C34638,$C$34543-SUM($C$34578:$C$34587)-C34627)))</f>
        <v>350</v>
      </c>
    </row>
    <row r="34650" customFormat="false" ht="15" hidden="false" customHeight="false" outlineLevel="0" collapsed="false">
      <c r="A34650" s="3" t="s">
        <v>562</v>
      </c>
      <c r="C34650" s="16" t="n">
        <f aca="false">IF(C34639=0,0,C34606/C34639*MAX(0,MIN(C34639,$C$34543-SUM($C$34578:$C$34587)-C34628)))</f>
        <v>550</v>
      </c>
    </row>
    <row r="34651" customFormat="false" ht="15" hidden="false" customHeight="false" outlineLevel="0" collapsed="false">
      <c r="A34651" s="3" t="s">
        <v>563</v>
      </c>
      <c r="C34651" s="16" t="n">
        <f aca="false">IF(C34640=0,0,C34607/C34640*MAX(0,MIN(C34640,$C$34543-SUM($C$34578:$C$34587)-C34629)))</f>
        <v>350</v>
      </c>
    </row>
    <row r="34652" customFormat="false" ht="15" hidden="false" customHeight="false" outlineLevel="0" collapsed="false">
      <c r="A34652" s="3" t="s">
        <v>564</v>
      </c>
      <c r="C34652" s="16" t="n">
        <f aca="false">IF(C34641=0,0,C34608/C34641*MAX(0,MIN(C34641,$C$34543-SUM($C$34578:$C$34587)-C34630)))</f>
        <v>300</v>
      </c>
    </row>
    <row r="34653" customFormat="false" ht="15" hidden="false" customHeight="false" outlineLevel="0" collapsed="false">
      <c r="A34653" s="3" t="s">
        <v>565</v>
      </c>
      <c r="C34653" s="16" t="n">
        <f aca="false">IF(C34642=0,0,C34609/C34642*MAX(0,MIN(C34642,$C$34543-SUM($C$34578:$C$34587)-C34631)))</f>
        <v>78.61</v>
      </c>
    </row>
    <row r="34654" customFormat="false" ht="15" hidden="false" customHeight="false" outlineLevel="0" collapsed="false">
      <c r="A34654" s="24" t="s">
        <v>575</v>
      </c>
      <c r="B34654" s="25"/>
      <c r="C34654" s="25"/>
      <c r="D34654" s="25"/>
      <c r="E34654" s="25"/>
      <c r="F34654" s="25"/>
      <c r="G34654" s="25"/>
      <c r="H34654" s="25"/>
      <c r="I34654" s="25"/>
      <c r="J34654" s="25"/>
      <c r="K34654" s="25"/>
    </row>
    <row r="34655" customFormat="false" ht="15" hidden="false" customHeight="false" outlineLevel="0" collapsed="false">
      <c r="A34655" s="2" t="s">
        <v>556</v>
      </c>
      <c r="C34655" s="17" t="n">
        <f aca="false">C34578+C34644</f>
        <v>388</v>
      </c>
    </row>
    <row r="34656" customFormat="false" ht="15" hidden="false" customHeight="false" outlineLevel="0" collapsed="false">
      <c r="A34656" s="2" t="s">
        <v>557</v>
      </c>
      <c r="C34656" s="17" t="n">
        <f aca="false">C34579+C34645</f>
        <v>90</v>
      </c>
    </row>
    <row r="34657" customFormat="false" ht="15" hidden="false" customHeight="false" outlineLevel="0" collapsed="false">
      <c r="A34657" s="2" t="s">
        <v>558</v>
      </c>
      <c r="C34657" s="17" t="n">
        <f aca="false">C34580+C34646</f>
        <v>57.324</v>
      </c>
    </row>
    <row r="34658" customFormat="false" ht="15" hidden="false" customHeight="false" outlineLevel="0" collapsed="false">
      <c r="A34658" s="2" t="s">
        <v>559</v>
      </c>
      <c r="C34658" s="17" t="n">
        <f aca="false">C34581+C34647</f>
        <v>66.796942182056</v>
      </c>
    </row>
    <row r="34659" customFormat="false" ht="15" hidden="false" customHeight="false" outlineLevel="0" collapsed="false">
      <c r="A34659" s="2" t="s">
        <v>560</v>
      </c>
      <c r="C34659" s="17" t="n">
        <f aca="false">C34582+C34648</f>
        <v>407.7221513738</v>
      </c>
    </row>
    <row r="34660" customFormat="false" ht="15" hidden="false" customHeight="false" outlineLevel="0" collapsed="false">
      <c r="A34660" s="2" t="s">
        <v>561</v>
      </c>
      <c r="C34660" s="17" t="n">
        <f aca="false">C34583+C34649</f>
        <v>350</v>
      </c>
    </row>
    <row r="34661" customFormat="false" ht="15" hidden="false" customHeight="false" outlineLevel="0" collapsed="false">
      <c r="A34661" s="2" t="s">
        <v>562</v>
      </c>
      <c r="C34661" s="17" t="n">
        <f aca="false">C34584+C34650</f>
        <v>550</v>
      </c>
    </row>
    <row r="34662" customFormat="false" ht="15" hidden="false" customHeight="false" outlineLevel="0" collapsed="false">
      <c r="A34662" s="2" t="s">
        <v>563</v>
      </c>
      <c r="C34662" s="17" t="n">
        <f aca="false">C34585+C34651</f>
        <v>350</v>
      </c>
    </row>
    <row r="34663" customFormat="false" ht="15" hidden="false" customHeight="false" outlineLevel="0" collapsed="false">
      <c r="A34663" s="2" t="s">
        <v>564</v>
      </c>
      <c r="C34663" s="17" t="n">
        <f aca="false">C34586+C34652</f>
        <v>300</v>
      </c>
    </row>
    <row r="34664" customFormat="false" ht="15" hidden="false" customHeight="false" outlineLevel="0" collapsed="false">
      <c r="A34664" s="2" t="s">
        <v>565</v>
      </c>
      <c r="C34664" s="17" t="n">
        <f aca="false">C34587+C34653</f>
        <v>78.61</v>
      </c>
    </row>
    <row r="34665" customFormat="false" ht="15" hidden="false" customHeight="false" outlineLevel="0" collapsed="false">
      <c r="A34665" s="24" t="s">
        <v>576</v>
      </c>
      <c r="B34665" s="25"/>
      <c r="C34665" s="25"/>
      <c r="D34665" s="25"/>
      <c r="E34665" s="25"/>
      <c r="F34665" s="25"/>
      <c r="G34665" s="25"/>
      <c r="H34665" s="25"/>
      <c r="I34665" s="25"/>
      <c r="J34665" s="25"/>
      <c r="K34665" s="25"/>
    </row>
    <row r="34666" customFormat="false" ht="15" hidden="false" customHeight="false" outlineLevel="0" collapsed="false">
      <c r="A34666" s="3" t="s">
        <v>556</v>
      </c>
      <c r="C34666" s="22" t="n">
        <f aca="false">IF(C34545=0,1,C34655/C34545)</f>
        <v>1</v>
      </c>
    </row>
    <row r="34667" customFormat="false" ht="15" hidden="false" customHeight="false" outlineLevel="0" collapsed="false">
      <c r="A34667" s="3" t="s">
        <v>557</v>
      </c>
      <c r="C34667" s="22" t="n">
        <f aca="false">IF(C34546=0,1,C34656/C34546)</f>
        <v>1</v>
      </c>
    </row>
    <row r="34668" customFormat="false" ht="15" hidden="false" customHeight="false" outlineLevel="0" collapsed="false">
      <c r="A34668" s="3" t="s">
        <v>558</v>
      </c>
      <c r="C34668" s="22" t="n">
        <f aca="false">IF(C34547=0,1,C34657/C34547)</f>
        <v>1</v>
      </c>
    </row>
    <row r="34669" customFormat="false" ht="15" hidden="false" customHeight="false" outlineLevel="0" collapsed="false">
      <c r="A34669" s="3" t="s">
        <v>559</v>
      </c>
      <c r="C34669" s="22" t="n">
        <f aca="false">IF(C34548=0,1,C34658/C34548)</f>
        <v>1</v>
      </c>
    </row>
    <row r="34670" customFormat="false" ht="15" hidden="false" customHeight="false" outlineLevel="0" collapsed="false">
      <c r="A34670" s="3" t="s">
        <v>560</v>
      </c>
      <c r="C34670" s="22" t="n">
        <f aca="false">IF(C34549=0,1,C34659/C34549)</f>
        <v>1</v>
      </c>
    </row>
    <row r="34671" customFormat="false" ht="15" hidden="false" customHeight="false" outlineLevel="0" collapsed="false">
      <c r="A34671" s="3" t="s">
        <v>561</v>
      </c>
      <c r="C34671" s="22" t="n">
        <f aca="false">IF(C34550=0,1,C34660/C34550)</f>
        <v>1</v>
      </c>
    </row>
    <row r="34672" customFormat="false" ht="15" hidden="false" customHeight="false" outlineLevel="0" collapsed="false">
      <c r="A34672" s="3" t="s">
        <v>562</v>
      </c>
      <c r="C34672" s="22" t="n">
        <f aca="false">IF(C34551=0,1,C34661/C34551)</f>
        <v>1</v>
      </c>
    </row>
    <row r="34673" customFormat="false" ht="15" hidden="false" customHeight="false" outlineLevel="0" collapsed="false">
      <c r="A34673" s="3" t="s">
        <v>563</v>
      </c>
      <c r="C34673" s="22" t="n">
        <f aca="false">IF(C34552=0,1,C34662/C34552)</f>
        <v>1</v>
      </c>
    </row>
    <row r="34674" customFormat="false" ht="15" hidden="false" customHeight="false" outlineLevel="0" collapsed="false">
      <c r="A34674" s="3" t="s">
        <v>564</v>
      </c>
      <c r="C34674" s="22" t="n">
        <f aca="false">IF(C34553=0,1,C34663/C34553)</f>
        <v>1</v>
      </c>
    </row>
    <row r="34675" customFormat="false" ht="15" hidden="false" customHeight="false" outlineLevel="0" collapsed="false">
      <c r="A34675" s="3" t="s">
        <v>565</v>
      </c>
      <c r="C34675" s="22" t="n">
        <f aca="false">IF(C34554=0,1,C34664/C34554)</f>
        <v>1</v>
      </c>
    </row>
    <row r="34676" customFormat="false" ht="15" hidden="false" customHeight="false" outlineLevel="0" collapsed="false">
      <c r="A34676" s="24" t="s">
        <v>577</v>
      </c>
      <c r="B34676" s="25"/>
      <c r="C34676" s="25"/>
      <c r="D34676" s="25"/>
      <c r="E34676" s="25"/>
      <c r="F34676" s="25"/>
      <c r="G34676" s="25"/>
      <c r="H34676" s="25"/>
      <c r="I34676" s="25"/>
      <c r="J34676" s="25"/>
      <c r="K34676" s="25"/>
    </row>
    <row r="34677" customFormat="false" ht="15" hidden="false" customHeight="false" outlineLevel="0" collapsed="false">
      <c r="A34677" s="3" t="s">
        <v>556</v>
      </c>
      <c r="C34677" s="16" t="n">
        <f aca="false">C34545-C34655</f>
        <v>0</v>
      </c>
    </row>
    <row r="34678" customFormat="false" ht="15" hidden="false" customHeight="false" outlineLevel="0" collapsed="false">
      <c r="A34678" s="3" t="s">
        <v>557</v>
      </c>
      <c r="C34678" s="16" t="n">
        <f aca="false">C34546-C34656</f>
        <v>0</v>
      </c>
    </row>
    <row r="34679" customFormat="false" ht="15" hidden="false" customHeight="false" outlineLevel="0" collapsed="false">
      <c r="A34679" s="3" t="s">
        <v>558</v>
      </c>
      <c r="C34679" s="16" t="n">
        <f aca="false">C34547-C34657</f>
        <v>0</v>
      </c>
    </row>
    <row r="34680" customFormat="false" ht="15" hidden="false" customHeight="false" outlineLevel="0" collapsed="false">
      <c r="A34680" s="3" t="s">
        <v>559</v>
      </c>
      <c r="C34680" s="16" t="n">
        <f aca="false">C34548-C34658</f>
        <v>0</v>
      </c>
    </row>
    <row r="34681" customFormat="false" ht="15" hidden="false" customHeight="false" outlineLevel="0" collapsed="false">
      <c r="A34681" s="3" t="s">
        <v>560</v>
      </c>
      <c r="C34681" s="16" t="n">
        <f aca="false">C34549-C34659</f>
        <v>0</v>
      </c>
    </row>
    <row r="34682" customFormat="false" ht="15" hidden="false" customHeight="false" outlineLevel="0" collapsed="false">
      <c r="A34682" s="3" t="s">
        <v>561</v>
      </c>
      <c r="C34682" s="16" t="n">
        <f aca="false">C34550-C34660</f>
        <v>0</v>
      </c>
    </row>
    <row r="34683" customFormat="false" ht="15" hidden="false" customHeight="false" outlineLevel="0" collapsed="false">
      <c r="A34683" s="3" t="s">
        <v>562</v>
      </c>
      <c r="C34683" s="16" t="n">
        <f aca="false">C34551-C34661</f>
        <v>0</v>
      </c>
    </row>
    <row r="34684" customFormat="false" ht="15" hidden="false" customHeight="false" outlineLevel="0" collapsed="false">
      <c r="A34684" s="3" t="s">
        <v>563</v>
      </c>
      <c r="C34684" s="16" t="n">
        <f aca="false">C34552-C34662</f>
        <v>0</v>
      </c>
    </row>
    <row r="34685" customFormat="false" ht="15" hidden="false" customHeight="false" outlineLevel="0" collapsed="false">
      <c r="A34685" s="3" t="s">
        <v>564</v>
      </c>
      <c r="C34685" s="16" t="n">
        <f aca="false">C34553-C34663</f>
        <v>0</v>
      </c>
    </row>
    <row r="34686" customFormat="false" ht="15" hidden="false" customHeight="false" outlineLevel="0" collapsed="false">
      <c r="A34686" s="3" t="s">
        <v>565</v>
      </c>
      <c r="C34686" s="16" t="n">
        <f aca="false">C34554-C34664</f>
        <v>0</v>
      </c>
    </row>
    <row r="34687" customFormat="false" ht="15" hidden="false" customHeight="false" outlineLevel="0" collapsed="false">
      <c r="A34687" s="24" t="s">
        <v>578</v>
      </c>
      <c r="B34687" s="25"/>
      <c r="C34687" s="25"/>
      <c r="D34687" s="25"/>
      <c r="E34687" s="25"/>
      <c r="F34687" s="25"/>
      <c r="G34687" s="25"/>
      <c r="H34687" s="25"/>
      <c r="I34687" s="25"/>
      <c r="J34687" s="25"/>
      <c r="K34687" s="25"/>
    </row>
    <row r="34688" customFormat="false" ht="15" hidden="false" customHeight="false" outlineLevel="0" collapsed="false">
      <c r="A34688" s="3" t="s">
        <v>556</v>
      </c>
      <c r="C34688" s="22" t="n">
        <f aca="false">IF(C34545=0,0,C34677/C34545)</f>
        <v>0</v>
      </c>
    </row>
    <row r="34689" customFormat="false" ht="15" hidden="false" customHeight="false" outlineLevel="0" collapsed="false">
      <c r="A34689" s="3" t="s">
        <v>557</v>
      </c>
      <c r="C34689" s="22" t="n">
        <f aca="false">IF(C34546=0,0,C34678/C34546)</f>
        <v>0</v>
      </c>
    </row>
    <row r="34690" customFormat="false" ht="15" hidden="false" customHeight="false" outlineLevel="0" collapsed="false">
      <c r="A34690" s="3" t="s">
        <v>558</v>
      </c>
      <c r="C34690" s="22" t="n">
        <f aca="false">IF(C34547=0,0,C34679/C34547)</f>
        <v>0</v>
      </c>
    </row>
    <row r="34691" customFormat="false" ht="15" hidden="false" customHeight="false" outlineLevel="0" collapsed="false">
      <c r="A34691" s="3" t="s">
        <v>559</v>
      </c>
      <c r="C34691" s="22" t="n">
        <f aca="false">IF(C34548=0,0,C34680/C34548)</f>
        <v>0</v>
      </c>
    </row>
    <row r="34692" customFormat="false" ht="15" hidden="false" customHeight="false" outlineLevel="0" collapsed="false">
      <c r="A34692" s="3" t="s">
        <v>560</v>
      </c>
      <c r="C34692" s="22" t="n">
        <f aca="false">IF(C34549=0,0,C34681/C34549)</f>
        <v>0</v>
      </c>
    </row>
    <row r="34693" customFormat="false" ht="15" hidden="false" customHeight="false" outlineLevel="0" collapsed="false">
      <c r="A34693" s="3" t="s">
        <v>561</v>
      </c>
      <c r="C34693" s="22" t="n">
        <f aca="false">IF(C34550=0,0,C34682/C34550)</f>
        <v>0</v>
      </c>
    </row>
    <row r="34694" customFormat="false" ht="15" hidden="false" customHeight="false" outlineLevel="0" collapsed="false">
      <c r="A34694" s="3" t="s">
        <v>562</v>
      </c>
      <c r="C34694" s="22" t="n">
        <f aca="false">IF(C34551=0,0,C34683/C34551)</f>
        <v>0</v>
      </c>
    </row>
    <row r="34695" customFormat="false" ht="15" hidden="false" customHeight="false" outlineLevel="0" collapsed="false">
      <c r="A34695" s="3" t="s">
        <v>563</v>
      </c>
      <c r="C34695" s="22" t="n">
        <f aca="false">IF(C34552=0,0,C34684/C34552)</f>
        <v>0</v>
      </c>
    </row>
    <row r="34696" customFormat="false" ht="15" hidden="false" customHeight="false" outlineLevel="0" collapsed="false">
      <c r="A34696" s="3" t="s">
        <v>564</v>
      </c>
      <c r="C34696" s="22" t="n">
        <f aca="false">IF(C34553=0,0,C34685/C34553)</f>
        <v>0</v>
      </c>
    </row>
    <row r="34697" customFormat="false" ht="15" hidden="false" customHeight="false" outlineLevel="0" collapsed="false">
      <c r="A34697" s="3" t="s">
        <v>565</v>
      </c>
      <c r="C34697" s="22" t="n">
        <f aca="false">IF(C34554=0,0,C34686/C34554)</f>
        <v>0</v>
      </c>
    </row>
    <row r="34698" customFormat="false" ht="15" hidden="false" customHeight="false" outlineLevel="0" collapsed="false">
      <c r="A34698" s="2" t="s">
        <v>579</v>
      </c>
      <c r="C34698" s="17" t="n">
        <f aca="false">MAX(0,$C$34543-SUM($C$34578:$C$34587)-SUM($C$34600:$C$34609))</f>
        <v>730.771201087744</v>
      </c>
    </row>
    <row r="34699" customFormat="false" ht="15" hidden="false" customHeight="false" outlineLevel="0" collapsed="false">
      <c r="A34699" s="3" t="s">
        <v>597</v>
      </c>
      <c r="C34699" s="35" t="n">
        <f aca="false">MIN(C34542,100*CHOOSE(C34532,C34666,C34667,C34668,C34669,C34670,C34671,C34672,C34673,C34674,C34675))</f>
        <v>100</v>
      </c>
    </row>
    <row r="34700" customFormat="false" ht="15" hidden="false" customHeight="false" outlineLevel="0" collapsed="false">
      <c r="A34700" s="3" t="s">
        <v>598</v>
      </c>
      <c r="C34700" s="21" t="n">
        <f aca="false">IF(C34364=1,C34537+Assumptions!$C$40,C34536)</f>
        <v>3</v>
      </c>
    </row>
    <row r="34701" customFormat="false" ht="15" hidden="false" customHeight="false" outlineLevel="0" collapsed="false">
      <c r="A34701" s="24" t="s">
        <v>599</v>
      </c>
      <c r="B34701" s="25"/>
      <c r="C34701" s="25"/>
      <c r="D34701" s="25"/>
      <c r="E34701" s="25"/>
      <c r="F34701" s="25"/>
      <c r="G34701" s="25"/>
      <c r="H34701" s="25"/>
      <c r="I34701" s="25"/>
      <c r="J34701" s="25"/>
      <c r="K34701" s="25"/>
    </row>
    <row r="34702" customFormat="false" ht="15" hidden="false" customHeight="false" outlineLevel="0" collapsed="false">
      <c r="A34702" s="3" t="s">
        <v>600</v>
      </c>
      <c r="C34702" s="21" t="n">
        <f aca="false">COLUMN()-COLUMN($C$1)</f>
        <v>0</v>
      </c>
      <c r="D34702" s="21" t="n">
        <f aca="false">COLUMN()-COLUMN($C$1)</f>
        <v>1</v>
      </c>
      <c r="E34702" s="21" t="n">
        <f aca="false">COLUMN()-COLUMN($C$1)</f>
        <v>2</v>
      </c>
      <c r="F34702" s="21" t="n">
        <f aca="false">COLUMN()-COLUMN($C$1)</f>
        <v>3</v>
      </c>
      <c r="G34702" s="21" t="n">
        <f aca="false">COLUMN()-COLUMN($C$1)</f>
        <v>4</v>
      </c>
      <c r="H34702" s="21" t="n">
        <f aca="false">COLUMN()-COLUMN($C$1)</f>
        <v>5</v>
      </c>
      <c r="I34702" s="21" t="n">
        <f aca="false">COLUMN()-COLUMN($C$1)</f>
        <v>6</v>
      </c>
    </row>
    <row r="34703" customFormat="false" ht="15" hidden="false" customHeight="false" outlineLevel="0" collapsed="false">
      <c r="A34703" s="3" t="s">
        <v>601</v>
      </c>
      <c r="D34703" s="31" t="n">
        <f aca="false">CHOOSE($C$34532,G34112,G34125,G34138,G34151,G34164,G34177,G34190,G34203,G34216,G34229)</f>
        <v>0.0915</v>
      </c>
      <c r="E34703" s="31" t="n">
        <f aca="false">CHOOSE($C$34532,H34112,H34125,H34138,H34151,H34164,H34177,H34190,H34203,H34216,H34229)</f>
        <v>0.09</v>
      </c>
      <c r="F34703" s="31" t="n">
        <f aca="false">CHOOSE($C$34532,I34112,I34125,I34138,I34151,I34164,I34177,I34190,I34203,I34216,I34229)</f>
        <v>0.0875</v>
      </c>
      <c r="G34703" s="31" t="n">
        <f aca="false">CHOOSE($C$34532,J34112,J34125,J34138,J34151,J34164,J34177,J34190,J34203,J34216,J34229)</f>
        <v>0.0875</v>
      </c>
      <c r="H34703" s="31" t="n">
        <f aca="false">CHOOSE($C$34532,K34112,K34125,K34138,K34151,K34164,K34177,K34190,K34203,K34216,K34229)</f>
        <v>0.0875</v>
      </c>
    </row>
    <row r="34704" customFormat="false" ht="15" hidden="false" customHeight="false" outlineLevel="0" collapsed="false">
      <c r="A34704" s="3" t="s">
        <v>602</v>
      </c>
      <c r="D34704" s="16" t="n">
        <f aca="false">IF(D34702&lt;=$C$34541,$C$34533*D34703,0)</f>
        <v>9.15</v>
      </c>
      <c r="E34704" s="16" t="n">
        <f aca="false">IF(E34702&lt;=$C$34541,$C$34533*E34703,0)</f>
        <v>9</v>
      </c>
      <c r="F34704" s="16" t="n">
        <f aca="false">IF(F34702&lt;=$C$34541,$C$34533*F34703,0)</f>
        <v>8.75</v>
      </c>
      <c r="G34704" s="16" t="n">
        <f aca="false">IF(G34702&lt;=$C$34541,$C$34533*G34703,0)</f>
        <v>0</v>
      </c>
      <c r="H34704" s="16" t="n">
        <f aca="false">IF(H34702&lt;=$C$34541,$C$34533*H34703,0)</f>
        <v>0</v>
      </c>
    </row>
    <row r="34705" customFormat="false" ht="15" hidden="false" customHeight="false" outlineLevel="0" collapsed="false">
      <c r="A34705" s="3" t="s">
        <v>603</v>
      </c>
      <c r="D34705" s="16" t="n">
        <f aca="false">IF(AND($C$34364=0,D34702=$C$34536),$C$34533*$C$34699/100,0)+IF(AND($C$34364=1,D34702=$C$34700),$C$34539,0)</f>
        <v>0</v>
      </c>
      <c r="E34705" s="16" t="n">
        <f aca="false">IF(AND($C$34364=0,E34702=$C$34536),$C$34533*$C$34699/100,0)+IF(AND($C$34364=1,E34702=$C$34700),$C$34539,0)</f>
        <v>0</v>
      </c>
      <c r="F34705" s="16" t="n">
        <f aca="false">IF(AND($C$34364=0,F34702=$C$34536),$C$34533*$C$34699/100,0)+IF(AND($C$34364=1,F34702=$C$34700),$C$34539,0)</f>
        <v>100</v>
      </c>
      <c r="G34705" s="16" t="n">
        <f aca="false">IF(AND($C$34364=0,G34702=$C$34536),$C$34533*$C$34699/100,0)+IF(AND($C$34364=1,G34702=$C$34700),$C$34539,0)</f>
        <v>0</v>
      </c>
      <c r="H34705" s="16" t="n">
        <f aca="false">IF(AND($C$34364=0,H34702=$C$34536),$C$34533*$C$34699/100,0)+IF(AND($C$34364=1,H34702=$C$34700),$C$34539,0)</f>
        <v>0</v>
      </c>
      <c r="I34705" s="16" t="n">
        <f aca="false">IF(AND($C$34364=0,I34702=$C$34536),$C$34533*$C$34699/100,0)+IF(AND($C$34364=1,I34702=$C$34700),$C$34539,0)</f>
        <v>0</v>
      </c>
    </row>
    <row r="34706" customFormat="false" ht="15" hidden="false" customHeight="false" outlineLevel="0" collapsed="false">
      <c r="A34706" s="2" t="s">
        <v>604</v>
      </c>
      <c r="C34706" s="17" t="n">
        <f aca="false">-$C$34535</f>
        <v>-98.49</v>
      </c>
      <c r="D34706" s="17" t="n">
        <f aca="false">D34704+D34705</f>
        <v>9.15</v>
      </c>
      <c r="E34706" s="17" t="n">
        <f aca="false">E34704+E34705</f>
        <v>9</v>
      </c>
      <c r="F34706" s="17" t="n">
        <f aca="false">F34704+F34705</f>
        <v>108.75</v>
      </c>
      <c r="G34706" s="17" t="n">
        <f aca="false">G34704+G34705</f>
        <v>0</v>
      </c>
      <c r="H34706" s="17" t="n">
        <f aca="false">H34704+H34705</f>
        <v>0</v>
      </c>
      <c r="I34706" s="17" t="n">
        <f aca="false">I34704+I34705</f>
        <v>0</v>
      </c>
    </row>
    <row r="34707" customFormat="false" ht="15" hidden="false" customHeight="false" outlineLevel="0" collapsed="false">
      <c r="A34707" s="3" t="s">
        <v>605</v>
      </c>
      <c r="C34707" s="16" t="n">
        <f aca="false">SUM($C$34704:$I$34704)</f>
        <v>26.9</v>
      </c>
    </row>
    <row r="34708" customFormat="false" ht="15" hidden="false" customHeight="false" outlineLevel="0" collapsed="false">
      <c r="A34708" s="3" t="s">
        <v>606</v>
      </c>
      <c r="C34708" s="16" t="n">
        <f aca="false">SUM($C$34705:$I$34705)</f>
        <v>100</v>
      </c>
    </row>
    <row r="34709" customFormat="false" ht="15" hidden="false" customHeight="false" outlineLevel="0" collapsed="false">
      <c r="A34709" s="3" t="s">
        <v>607</v>
      </c>
      <c r="C34709" s="16" t="n">
        <f aca="false">C34707+C34708</f>
        <v>126.9</v>
      </c>
    </row>
    <row r="34710" customFormat="false" ht="15" hidden="false" customHeight="false" outlineLevel="0" collapsed="false">
      <c r="A34710" s="3" t="s">
        <v>608</v>
      </c>
      <c r="C34710" s="16" t="n">
        <f aca="false">C34708-C34533*C34534/100</f>
        <v>2</v>
      </c>
    </row>
    <row r="34711" customFormat="false" ht="15" hidden="false" customHeight="false" outlineLevel="0" collapsed="false">
      <c r="A34711" s="3" t="s">
        <v>609</v>
      </c>
      <c r="C34711" s="16" t="n">
        <f aca="false">C34709-C34535</f>
        <v>28.41</v>
      </c>
    </row>
    <row r="34712" customFormat="false" ht="15" hidden="false" customHeight="false" outlineLevel="0" collapsed="false">
      <c r="A34712" s="2" t="s">
        <v>484</v>
      </c>
      <c r="C34712" s="44" t="n">
        <f aca="false">C34709/C34535</f>
        <v>1.28845568077977</v>
      </c>
    </row>
    <row r="34713" customFormat="false" ht="15" hidden="false" customHeight="false" outlineLevel="0" collapsed="false">
      <c r="A34713" s="2" t="s">
        <v>483</v>
      </c>
      <c r="C34713" s="42" t="n">
        <f aca="false">IF(C34709&lt;=0,-1,IFERROR(IRR($C$34706:$I$34706,MAX(-0.9,C34712^(1/C34700)-1)),IRR($C$34706:$I$34706,0.1)))</f>
        <v>0.0958152816969216</v>
      </c>
    </row>
    <row r="34714" customFormat="false" ht="15" hidden="false" customHeight="false" outlineLevel="0" collapsed="false">
      <c r="A34714" s="3" t="s">
        <v>610</v>
      </c>
      <c r="C34714" s="32" t="n">
        <f aca="false">MAX($G$34308:$K$34308)</f>
        <v>9.99528975565569</v>
      </c>
    </row>
    <row r="34715" customFormat="false" ht="15" hidden="false" customHeight="false" outlineLevel="0" collapsed="false">
      <c r="A34715" s="3" t="s">
        <v>611</v>
      </c>
      <c r="C34715" s="32" t="n">
        <f aca="false">MIN($G$34309:$K$34309)</f>
        <v>1.34274565931266</v>
      </c>
    </row>
    <row r="34716" customFormat="false" ht="15" hidden="false" customHeight="false" outlineLevel="0" collapsed="false">
      <c r="A34716" s="3" t="s">
        <v>612</v>
      </c>
      <c r="C34716" s="16" t="n">
        <f aca="false">SUM($G$34096:$K$34096)</f>
        <v>-435.805435297248</v>
      </c>
    </row>
    <row r="34720" customFormat="false" ht="15" hidden="false" customHeight="false" outlineLevel="0" collapsed="false">
      <c r="A34720" s="9" t="s">
        <v>1183</v>
      </c>
      <c r="B34720" s="10"/>
      <c r="C34720" s="10"/>
      <c r="D34720" s="10"/>
      <c r="E34720" s="10"/>
      <c r="F34720" s="10"/>
      <c r="G34720" s="10"/>
      <c r="H34720" s="10"/>
      <c r="I34720" s="10"/>
      <c r="J34720" s="10"/>
      <c r="K34720" s="10"/>
    </row>
    <row r="34721" customFormat="false" ht="15" hidden="false" customHeight="false" outlineLevel="0" collapsed="false">
      <c r="A34721" s="3" t="s">
        <v>1126</v>
      </c>
      <c r="C34721" s="11" t="n">
        <v>2</v>
      </c>
    </row>
    <row r="34722" customFormat="false" ht="15" hidden="false" customHeight="false" outlineLevel="0" collapsed="false">
      <c r="A34722" s="3" t="s">
        <v>1127</v>
      </c>
      <c r="C34722" s="19" t="n">
        <v>0</v>
      </c>
    </row>
    <row r="34723" customFormat="false" ht="15" hidden="false" customHeight="false" outlineLevel="0" collapsed="false">
      <c r="A34723" s="3" t="s">
        <v>1128</v>
      </c>
      <c r="C34723" s="19" t="n">
        <v>0</v>
      </c>
    </row>
    <row r="34724" customFormat="false" ht="15" hidden="false" customHeight="false" outlineLevel="0" collapsed="false">
      <c r="A34724" s="3" t="s">
        <v>1129</v>
      </c>
      <c r="C34724" s="19" t="n">
        <v>0</v>
      </c>
    </row>
    <row r="34725" customFormat="false" ht="15" hidden="false" customHeight="false" outlineLevel="0" collapsed="false">
      <c r="A34725" s="3" t="s">
        <v>1130</v>
      </c>
      <c r="C34725" s="34" t="n">
        <f aca="false">Sensitivities!$A$60</f>
        <v>-2</v>
      </c>
    </row>
    <row r="34727" customFormat="false" ht="15" hidden="false" customHeight="false" outlineLevel="0" collapsed="false">
      <c r="A34727" s="24" t="s">
        <v>301</v>
      </c>
      <c r="B34727" s="25"/>
      <c r="C34727" s="25"/>
      <c r="D34727" s="25"/>
      <c r="E34727" s="25"/>
      <c r="F34727" s="25"/>
      <c r="G34727" s="25"/>
      <c r="H34727" s="25"/>
      <c r="I34727" s="25"/>
      <c r="J34727" s="25"/>
      <c r="K34727" s="25"/>
    </row>
    <row r="34728" customFormat="false" ht="15" hidden="false" customHeight="false" outlineLevel="0" collapsed="false">
      <c r="A34728" s="3" t="s">
        <v>302</v>
      </c>
      <c r="F34728" s="27" t="n">
        <f aca="false">Assumptions!$C$6</f>
        <v>2026</v>
      </c>
      <c r="G34728" s="21" t="n">
        <f aca="false">F34728+1</f>
        <v>2027</v>
      </c>
      <c r="H34728" s="21" t="n">
        <f aca="false">G34728+1</f>
        <v>2028</v>
      </c>
      <c r="I34728" s="21" t="n">
        <f aca="false">H34728+1</f>
        <v>2029</v>
      </c>
      <c r="J34728" s="21" t="n">
        <f aca="false">I34728+1</f>
        <v>2030</v>
      </c>
      <c r="K34728" s="21" t="n">
        <f aca="false">J34728+1</f>
        <v>2031</v>
      </c>
    </row>
    <row r="34729" customFormat="false" ht="15" hidden="false" customHeight="false" outlineLevel="0" collapsed="false">
      <c r="A34729" s="3" t="s">
        <v>303</v>
      </c>
      <c r="G34729" s="21" t="n">
        <f aca="false">G34728-Assumptions!$C$6</f>
        <v>1</v>
      </c>
      <c r="H34729" s="21" t="n">
        <f aca="false">H34728-Assumptions!$C$6</f>
        <v>2</v>
      </c>
      <c r="I34729" s="21" t="n">
        <f aca="false">I34728-Assumptions!$C$6</f>
        <v>3</v>
      </c>
      <c r="J34729" s="21" t="n">
        <f aca="false">J34728-Assumptions!$C$6</f>
        <v>4</v>
      </c>
      <c r="K34729" s="21" t="n">
        <f aca="false">K34728-Assumptions!$C$6</f>
        <v>5</v>
      </c>
    </row>
    <row r="34730" customFormat="false" ht="15" hidden="false" customHeight="false" outlineLevel="0" collapsed="false">
      <c r="A34730" s="3" t="s">
        <v>180</v>
      </c>
      <c r="G34730" s="22" t="n">
        <f aca="false">CHOOSE($C$34721,Assumptions!$G$79,Assumptions!$G$98,Assumptions!$G$117)+$C$34722</f>
        <v>-0.06</v>
      </c>
      <c r="H34730" s="22" t="n">
        <f aca="false">CHOOSE($C$34721,Assumptions!$H$79,Assumptions!$H$98,Assumptions!$H$117)+$C$34722</f>
        <v>-0.03</v>
      </c>
      <c r="I34730" s="22" t="n">
        <f aca="false">CHOOSE($C$34721,Assumptions!$I$79,Assumptions!$I$98,Assumptions!$I$117)+$C$34722</f>
        <v>0</v>
      </c>
      <c r="J34730" s="22" t="n">
        <f aca="false">CHOOSE($C$34721,Assumptions!$J$79,Assumptions!$J$98,Assumptions!$J$117)+$C$34722</f>
        <v>0.01</v>
      </c>
      <c r="K34730" s="22" t="n">
        <f aca="false">CHOOSE($C$34721,Assumptions!$K$79,Assumptions!$K$98,Assumptions!$K$117)+$C$34722</f>
        <v>0.01</v>
      </c>
    </row>
    <row r="34731" customFormat="false" ht="15" hidden="false" customHeight="false" outlineLevel="0" collapsed="false">
      <c r="A34731" s="3" t="s">
        <v>181</v>
      </c>
      <c r="G34731" s="22" t="n">
        <f aca="false">CHOOSE($C$34721,Assumptions!$G$80,Assumptions!$G$99,Assumptions!$G$118)</f>
        <v>0.573920660818678</v>
      </c>
      <c r="H34731" s="22" t="n">
        <f aca="false">CHOOSE($C$34721,Assumptions!$H$80,Assumptions!$H$99,Assumptions!$H$118)</f>
        <v>0.558920660818678</v>
      </c>
      <c r="I34731" s="22" t="n">
        <f aca="false">CHOOSE($C$34721,Assumptions!$I$80,Assumptions!$I$99,Assumptions!$I$118)</f>
        <v>0.558920660818678</v>
      </c>
      <c r="J34731" s="22" t="n">
        <f aca="false">CHOOSE($C$34721,Assumptions!$J$80,Assumptions!$J$99,Assumptions!$J$118)</f>
        <v>0.563920660818678</v>
      </c>
      <c r="K34731" s="22" t="n">
        <f aca="false">CHOOSE($C$34721,Assumptions!$K$80,Assumptions!$K$99,Assumptions!$K$118)</f>
        <v>0.568920660818678</v>
      </c>
    </row>
    <row r="34732" customFormat="false" ht="15" hidden="false" customHeight="false" outlineLevel="0" collapsed="false">
      <c r="A34732" s="3" t="s">
        <v>182</v>
      </c>
      <c r="G34732" s="22" t="n">
        <f aca="false">CHOOSE($C$34721,Assumptions!$G$81,Assumptions!$G$100,Assumptions!$G$119)+$C$34723</f>
        <v>0.5</v>
      </c>
      <c r="H34732" s="22" t="n">
        <f aca="false">CHOOSE($C$34721,Assumptions!$H$81,Assumptions!$H$100,Assumptions!$H$119)+$C$34723</f>
        <v>0.485</v>
      </c>
      <c r="I34732" s="22" t="n">
        <f aca="false">CHOOSE($C$34721,Assumptions!$I$81,Assumptions!$I$100,Assumptions!$I$119)+$C$34723</f>
        <v>0.485</v>
      </c>
      <c r="J34732" s="22" t="n">
        <f aca="false">CHOOSE($C$34721,Assumptions!$J$81,Assumptions!$J$100,Assumptions!$J$119)+$C$34723</f>
        <v>0.49</v>
      </c>
      <c r="K34732" s="22" t="n">
        <f aca="false">CHOOSE($C$34721,Assumptions!$K$81,Assumptions!$K$100,Assumptions!$K$119)+$C$34723</f>
        <v>0.495</v>
      </c>
    </row>
    <row r="34733" customFormat="false" ht="15" hidden="false" customHeight="false" outlineLevel="0" collapsed="false">
      <c r="A34733" s="24" t="s">
        <v>304</v>
      </c>
      <c r="B34733" s="25"/>
      <c r="C34733" s="25"/>
      <c r="D34733" s="25"/>
      <c r="E34733" s="25"/>
      <c r="F34733" s="25"/>
      <c r="G34733" s="25"/>
      <c r="H34733" s="25"/>
      <c r="I34733" s="25"/>
      <c r="J34733" s="25"/>
      <c r="K34733" s="25"/>
    </row>
    <row r="34734" customFormat="false" ht="15" hidden="false" customHeight="false" outlineLevel="0" collapsed="false">
      <c r="A34734" s="2" t="s">
        <v>275</v>
      </c>
      <c r="F34734" s="28" t="n">
        <f aca="false">'Historical Financials'!G25</f>
        <v>498.291</v>
      </c>
      <c r="G34734" s="17" t="n">
        <f aca="false">F34734*(1+G34730)</f>
        <v>468.39354</v>
      </c>
      <c r="H34734" s="17" t="n">
        <f aca="false">G34734*(1+H34730)</f>
        <v>454.3417338</v>
      </c>
      <c r="I34734" s="17" t="n">
        <f aca="false">H34734*(1+I34730)</f>
        <v>454.3417338</v>
      </c>
      <c r="J34734" s="17" t="n">
        <f aca="false">I34734*(1+J34730)</f>
        <v>458.885151138</v>
      </c>
      <c r="K34734" s="17" t="n">
        <f aca="false">J34734*(1+K34730)</f>
        <v>463.47400264938</v>
      </c>
    </row>
    <row r="34735" customFormat="false" ht="15" hidden="false" customHeight="false" outlineLevel="0" collapsed="false">
      <c r="A34735" s="3" t="s">
        <v>276</v>
      </c>
      <c r="G34735" s="16" t="n">
        <f aca="false">G34734*(1-G34731)</f>
        <v>199.57281</v>
      </c>
      <c r="H34735" s="16" t="n">
        <f aca="false">H34734*(1-H34731)</f>
        <v>200.400751707</v>
      </c>
      <c r="I34735" s="16" t="n">
        <f aca="false">I34734*(1-I34731)</f>
        <v>200.400751707</v>
      </c>
      <c r="J34735" s="16" t="n">
        <f aca="false">J34734*(1-J34731)</f>
        <v>200.11033346838</v>
      </c>
      <c r="K34735" s="16" t="n">
        <f aca="false">K34734*(1-K34731)</f>
        <v>199.794066789817</v>
      </c>
    </row>
    <row r="34736" customFormat="false" ht="15" hidden="false" customHeight="false" outlineLevel="0" collapsed="false">
      <c r="A34736" s="2" t="s">
        <v>277</v>
      </c>
      <c r="G34736" s="17" t="n">
        <f aca="false">G34734-G34735</f>
        <v>268.82073</v>
      </c>
      <c r="H34736" s="17" t="n">
        <f aca="false">H34734-H34735</f>
        <v>253.940982093</v>
      </c>
      <c r="I34736" s="17" t="n">
        <f aca="false">I34734-I34735</f>
        <v>253.940982093</v>
      </c>
      <c r="J34736" s="17" t="n">
        <f aca="false">J34734-J34735</f>
        <v>258.77481766962</v>
      </c>
      <c r="K34736" s="17" t="n">
        <f aca="false">K34734-K34735</f>
        <v>263.679935859563</v>
      </c>
    </row>
    <row r="34737" customFormat="false" ht="15" hidden="false" customHeight="false" outlineLevel="0" collapsed="false">
      <c r="A34737" s="3" t="s">
        <v>305</v>
      </c>
      <c r="G34737" s="16" t="n">
        <f aca="false">G34736-G34738</f>
        <v>34.62396</v>
      </c>
      <c r="H34737" s="16" t="n">
        <f aca="false">H34736-H34738</f>
        <v>33.5852412</v>
      </c>
      <c r="I34737" s="16" t="n">
        <f aca="false">I34736-I34738</f>
        <v>33.5852412</v>
      </c>
      <c r="J34737" s="16" t="n">
        <f aca="false">J34736-J34738</f>
        <v>33.921093612</v>
      </c>
      <c r="K34737" s="16" t="n">
        <f aca="false">K34736-K34738</f>
        <v>34.26030454812</v>
      </c>
    </row>
    <row r="34738" customFormat="false" ht="15" hidden="false" customHeight="false" outlineLevel="0" collapsed="false">
      <c r="A34738" s="2" t="s">
        <v>306</v>
      </c>
      <c r="G34738" s="17" t="n">
        <f aca="false">G34734*G34732</f>
        <v>234.19677</v>
      </c>
      <c r="H34738" s="17" t="n">
        <f aca="false">H34734*H34732</f>
        <v>220.355740893</v>
      </c>
      <c r="I34738" s="17" t="n">
        <f aca="false">I34734*I34732</f>
        <v>220.355740893</v>
      </c>
      <c r="J34738" s="17" t="n">
        <f aca="false">J34734*J34732</f>
        <v>224.85372405762</v>
      </c>
      <c r="K34738" s="17" t="n">
        <f aca="false">K34734*K34732</f>
        <v>229.419631311443</v>
      </c>
    </row>
    <row r="34739" customFormat="false" ht="15" hidden="false" customHeight="false" outlineLevel="0" collapsed="false">
      <c r="A34739" s="3" t="s">
        <v>307</v>
      </c>
      <c r="G34739" s="16" t="n">
        <f aca="false">G34734*'Historical Financials'!G30/'Historical Financials'!G25</f>
        <v>174.17542</v>
      </c>
      <c r="H34739" s="16" t="n">
        <f aca="false">H34734*'Historical Financials'!G30/'Historical Financials'!G25</f>
        <v>168.9501574</v>
      </c>
      <c r="I34739" s="16" t="n">
        <f aca="false">I34734*'Historical Financials'!G30/'Historical Financials'!G25</f>
        <v>168.9501574</v>
      </c>
      <c r="J34739" s="16" t="n">
        <f aca="false">J34734*'Historical Financials'!G30/'Historical Financials'!G25</f>
        <v>170.639658974</v>
      </c>
      <c r="K34739" s="16" t="n">
        <f aca="false">K34734*'Historical Financials'!G30/'Historical Financials'!G25</f>
        <v>172.34605556374</v>
      </c>
    </row>
    <row r="34740" customFormat="false" ht="15" hidden="false" customHeight="false" outlineLevel="0" collapsed="false">
      <c r="A34740" s="3" t="s">
        <v>308</v>
      </c>
      <c r="G34740" s="16" t="n">
        <f aca="false">G34734*'Historical Financials'!G31/'Historical Financials'!G25</f>
        <v>0</v>
      </c>
      <c r="H34740" s="16" t="n">
        <f aca="false">H34734*'Historical Financials'!G31/'Historical Financials'!G25</f>
        <v>0</v>
      </c>
      <c r="I34740" s="16" t="n">
        <f aca="false">I34734*'Historical Financials'!G31/'Historical Financials'!G25</f>
        <v>0</v>
      </c>
      <c r="J34740" s="16" t="n">
        <f aca="false">J34734*'Historical Financials'!G31/'Historical Financials'!G25</f>
        <v>0</v>
      </c>
      <c r="K34740" s="16" t="n">
        <f aca="false">K34734*'Historical Financials'!G31/'Historical Financials'!G25</f>
        <v>0</v>
      </c>
    </row>
    <row r="34741" customFormat="false" ht="15" hidden="false" customHeight="false" outlineLevel="0" collapsed="false">
      <c r="A34741" s="2" t="s">
        <v>309</v>
      </c>
      <c r="G34741" s="17" t="n">
        <f aca="false">G34738-G34739-G34740</f>
        <v>60.02135</v>
      </c>
      <c r="H34741" s="17" t="n">
        <f aca="false">H34738-H34739-H34740</f>
        <v>51.405583493</v>
      </c>
      <c r="I34741" s="17" t="n">
        <f aca="false">I34738-I34739-I34740</f>
        <v>51.405583493</v>
      </c>
      <c r="J34741" s="17" t="n">
        <f aca="false">J34738-J34739-J34740</f>
        <v>54.21406508362</v>
      </c>
      <c r="K34741" s="17" t="n">
        <f aca="false">K34738-K34739-K34740</f>
        <v>57.0735757477031</v>
      </c>
    </row>
    <row r="34742" customFormat="false" ht="15" hidden="false" customHeight="false" outlineLevel="0" collapsed="false">
      <c r="A34742" s="3" t="s">
        <v>310</v>
      </c>
      <c r="G34742" s="16" t="n">
        <f aca="false">G34768+G34781+G34794+G34807+G34820+G34833+G34846+G34859+G34872+G34885</f>
        <v>187.3888354</v>
      </c>
      <c r="H34742" s="16" t="n">
        <f aca="false">H34768+H34781+H34794+H34807+H34820+H34833+H34846+H34859+H34872+H34885</f>
        <v>186.2509204</v>
      </c>
      <c r="I34742" s="16" t="n">
        <f aca="false">I34768+I34781+I34794+I34807+I34820+I34833+I34846+I34859+I34872+I34885</f>
        <v>182.7365265363</v>
      </c>
      <c r="J34742" s="16" t="n">
        <f aca="false">J34768+J34781+J34794+J34807+J34820+J34833+J34846+J34859+J34872+J34885</f>
        <v>182.3265265363</v>
      </c>
      <c r="K34742" s="16" t="n">
        <f aca="false">K34768+K34781+K34794+K34807+K34820+K34833+K34846+K34859+K34872+K34885</f>
        <v>181.9165265363</v>
      </c>
    </row>
    <row r="34743" customFormat="false" ht="15" hidden="false" customHeight="false" outlineLevel="0" collapsed="false">
      <c r="A34743" s="3" t="s">
        <v>311</v>
      </c>
      <c r="G34743" s="16" t="n">
        <f aca="false">G34769+G34782+G34795+G34808+G34821+G34834+G34847+G34860+G34873+G34886</f>
        <v>0</v>
      </c>
      <c r="H34743" s="16" t="n">
        <f aca="false">H34769+H34782+H34795+H34808+H34821+H34834+H34847+H34860+H34873+H34886</f>
        <v>0</v>
      </c>
      <c r="I34743" s="16" t="n">
        <f aca="false">I34769+I34782+I34795+I34808+I34821+I34834+I34847+I34860+I34873+I34886</f>
        <v>0</v>
      </c>
      <c r="J34743" s="16" t="n">
        <f aca="false">J34769+J34782+J34795+J34808+J34821+J34834+J34847+J34860+J34873+J34886</f>
        <v>0</v>
      </c>
      <c r="K34743" s="16" t="n">
        <f aca="false">K34769+K34782+K34795+K34808+K34821+K34834+K34847+K34860+K34873+K34886</f>
        <v>0</v>
      </c>
    </row>
    <row r="34744" customFormat="false" ht="15" hidden="false" customHeight="false" outlineLevel="0" collapsed="false">
      <c r="A34744" s="3" t="s">
        <v>283</v>
      </c>
      <c r="G34744" s="16" t="n">
        <f aca="false">G34742+G34743</f>
        <v>187.3888354</v>
      </c>
      <c r="H34744" s="16" t="n">
        <f aca="false">H34742+H34743</f>
        <v>186.2509204</v>
      </c>
      <c r="I34744" s="16" t="n">
        <f aca="false">I34742+I34743</f>
        <v>182.7365265363</v>
      </c>
      <c r="J34744" s="16" t="n">
        <f aca="false">J34742+J34743</f>
        <v>182.3265265363</v>
      </c>
      <c r="K34744" s="16" t="n">
        <f aca="false">K34742+K34743</f>
        <v>181.9165265363</v>
      </c>
    </row>
    <row r="34745" customFormat="false" ht="15" hidden="false" customHeight="false" outlineLevel="0" collapsed="false">
      <c r="A34745" s="2" t="s">
        <v>284</v>
      </c>
      <c r="G34745" s="17" t="n">
        <f aca="false">G34741-G34744</f>
        <v>-127.3674854</v>
      </c>
      <c r="H34745" s="17" t="n">
        <f aca="false">H34741-H34744</f>
        <v>-134.845336907</v>
      </c>
      <c r="I34745" s="17" t="n">
        <f aca="false">I34741-I34744</f>
        <v>-131.3309430433</v>
      </c>
      <c r="J34745" s="17" t="n">
        <f aca="false">J34741-J34744</f>
        <v>-128.112461452679</v>
      </c>
      <c r="K34745" s="17" t="n">
        <f aca="false">K34741-K34744</f>
        <v>-124.842950788596</v>
      </c>
    </row>
    <row r="34746" customFormat="false" ht="15" hidden="false" customHeight="false" outlineLevel="0" collapsed="false">
      <c r="A34746" s="3" t="s">
        <v>312</v>
      </c>
      <c r="G34746" s="16" t="n">
        <f aca="false">MAX(0,G34745)*Assumptions!$C$9</f>
        <v>0</v>
      </c>
      <c r="H34746" s="16" t="n">
        <f aca="false">MAX(0,H34745)*Assumptions!$C$9</f>
        <v>0</v>
      </c>
      <c r="I34746" s="16" t="n">
        <f aca="false">MAX(0,I34745)*Assumptions!$C$9</f>
        <v>0</v>
      </c>
      <c r="J34746" s="16" t="n">
        <f aca="false">MAX(0,J34745)*Assumptions!$C$9</f>
        <v>0</v>
      </c>
      <c r="K34746" s="16" t="n">
        <f aca="false">MAX(0,K34745)*Assumptions!$C$9</f>
        <v>0</v>
      </c>
    </row>
    <row r="34747" customFormat="false" ht="15" hidden="false" customHeight="false" outlineLevel="0" collapsed="false">
      <c r="A34747" s="2" t="s">
        <v>313</v>
      </c>
      <c r="G34747" s="17" t="n">
        <f aca="false">G34745-G34746</f>
        <v>-127.3674854</v>
      </c>
      <c r="H34747" s="17" t="n">
        <f aca="false">H34745-H34746</f>
        <v>-134.845336907</v>
      </c>
      <c r="I34747" s="17" t="n">
        <f aca="false">I34745-I34746</f>
        <v>-131.3309430433</v>
      </c>
      <c r="J34747" s="17" t="n">
        <f aca="false">J34745-J34746</f>
        <v>-128.112461452679</v>
      </c>
      <c r="K34747" s="17" t="n">
        <f aca="false">K34745-K34746</f>
        <v>-124.842950788596</v>
      </c>
    </row>
    <row r="34748" customFormat="false" ht="15" hidden="false" customHeight="false" outlineLevel="0" collapsed="false">
      <c r="A34748" s="24" t="s">
        <v>314</v>
      </c>
      <c r="B34748" s="25"/>
      <c r="C34748" s="25"/>
      <c r="D34748" s="25"/>
      <c r="E34748" s="25"/>
      <c r="F34748" s="25"/>
      <c r="G34748" s="25"/>
      <c r="H34748" s="25"/>
      <c r="I34748" s="25"/>
      <c r="J34748" s="25"/>
      <c r="K34748" s="25"/>
    </row>
    <row r="34749" customFormat="false" ht="15" hidden="false" customHeight="false" outlineLevel="0" collapsed="false">
      <c r="A34749" s="3" t="s">
        <v>184</v>
      </c>
      <c r="G34749" s="16" t="n">
        <f aca="false">G34734*CHOOSE($C$34721,Assumptions!$C$83,Assumptions!$C$102,Assumptions!$C$121)</f>
        <v>84.3108372</v>
      </c>
      <c r="H34749" s="16" t="n">
        <f aca="false">H34734*CHOOSE($C$34721,Assumptions!$C$83,Assumptions!$C$102,Assumptions!$C$121)</f>
        <v>81.781512084</v>
      </c>
      <c r="I34749" s="16" t="n">
        <f aca="false">I34734*CHOOSE($C$34721,Assumptions!$C$83,Assumptions!$C$102,Assumptions!$C$121)</f>
        <v>81.781512084</v>
      </c>
      <c r="J34749" s="16" t="n">
        <f aca="false">J34734*CHOOSE($C$34721,Assumptions!$C$83,Assumptions!$C$102,Assumptions!$C$121)</f>
        <v>82.59932720484</v>
      </c>
      <c r="K34749" s="16" t="n">
        <f aca="false">K34734*CHOOSE($C$34721,Assumptions!$C$83,Assumptions!$C$102,Assumptions!$C$121)</f>
        <v>83.4253204768884</v>
      </c>
    </row>
    <row r="34750" customFormat="false" ht="15" hidden="false" customHeight="false" outlineLevel="0" collapsed="false">
      <c r="A34750" s="3" t="s">
        <v>315</v>
      </c>
      <c r="G34750" s="16" t="n">
        <f aca="false">CHOOSE($C$34721,Assumptions!$C$84,Assumptions!$C$103,Assumptions!$C$122)*(G34734-F34734)+CHOOSE($C$34721,Assumptions!$C$85,Assumptions!$C$104,Assumptions!$C$123)*G34734</f>
        <v>23.419677</v>
      </c>
      <c r="H34750" s="16" t="n">
        <f aca="false">CHOOSE($C$34721,Assumptions!$C$84,Assumptions!$C$103,Assumptions!$C$122)*(H34734-G34734)+CHOOSE($C$34721,Assumptions!$C$85,Assumptions!$C$104,Assumptions!$C$123)*H34734</f>
        <v>22.71708669</v>
      </c>
      <c r="I34750" s="16" t="n">
        <f aca="false">CHOOSE($C$34721,Assumptions!$C$84,Assumptions!$C$103,Assumptions!$C$122)*(I34734-H34734)+CHOOSE($C$34721,Assumptions!$C$85,Assumptions!$C$104,Assumptions!$C$123)*I34734</f>
        <v>22.71708669</v>
      </c>
      <c r="J34750" s="16" t="n">
        <f aca="false">CHOOSE($C$34721,Assumptions!$C$84,Assumptions!$C$103,Assumptions!$C$122)*(J34734-I34734)+CHOOSE($C$34721,Assumptions!$C$85,Assumptions!$C$104,Assumptions!$C$123)*J34734</f>
        <v>22.9442575569</v>
      </c>
      <c r="K34750" s="16" t="n">
        <f aca="false">CHOOSE($C$34721,Assumptions!$C$84,Assumptions!$C$103,Assumptions!$C$122)*(K34734-J34734)+CHOOSE($C$34721,Assumptions!$C$85,Assumptions!$C$104,Assumptions!$C$123)*K34734</f>
        <v>23.173700132469</v>
      </c>
    </row>
    <row r="34751" customFormat="false" ht="15" hidden="false" customHeight="false" outlineLevel="0" collapsed="false">
      <c r="A34751" s="2" t="s">
        <v>316</v>
      </c>
      <c r="G34751" s="17" t="n">
        <f aca="false">G34747+G34739+G34740+G34743-G34749-G34750</f>
        <v>-60.9225796</v>
      </c>
      <c r="H34751" s="17" t="n">
        <f aca="false">H34747+H34739+H34740+H34743-H34749-H34750</f>
        <v>-70.393778281</v>
      </c>
      <c r="I34751" s="17" t="n">
        <f aca="false">I34747+I34739+I34740+I34743-I34749-I34750</f>
        <v>-66.8793844172995</v>
      </c>
      <c r="J34751" s="17" t="n">
        <f aca="false">J34747+J34739+J34740+J34743-J34749-J34750</f>
        <v>-63.0163872404195</v>
      </c>
      <c r="K34751" s="17" t="n">
        <f aca="false">K34747+K34739+K34740+K34743-K34749-K34750</f>
        <v>-59.0959158342138</v>
      </c>
    </row>
    <row r="34753" customFormat="false" ht="15" hidden="false" customHeight="false" outlineLevel="0" collapsed="false">
      <c r="A34753" s="24" t="s">
        <v>318</v>
      </c>
      <c r="B34753" s="25"/>
      <c r="C34753" s="25"/>
      <c r="D34753" s="25"/>
      <c r="E34753" s="25"/>
      <c r="F34753" s="25"/>
      <c r="G34753" s="25"/>
      <c r="H34753" s="25"/>
      <c r="I34753" s="25"/>
      <c r="J34753" s="25"/>
      <c r="K34753" s="25"/>
    </row>
    <row r="34754" customFormat="false" ht="15" hidden="false" customHeight="false" outlineLevel="0" collapsed="false">
      <c r="A34754" s="3" t="s">
        <v>319</v>
      </c>
      <c r="G34754" s="30" t="n">
        <f aca="false">Assumptions!$G$53</f>
        <v>0.039</v>
      </c>
      <c r="H34754" s="30" t="n">
        <f aca="false">Assumptions!$H$53</f>
        <v>0.0375</v>
      </c>
      <c r="I34754" s="30" t="n">
        <f aca="false">Assumptions!$I$53</f>
        <v>0.035</v>
      </c>
      <c r="J34754" s="30" t="n">
        <f aca="false">Assumptions!$J$53</f>
        <v>0.035</v>
      </c>
      <c r="K34754" s="30" t="n">
        <f aca="false">Assumptions!$K$53</f>
        <v>0.035</v>
      </c>
    </row>
    <row r="34755" customFormat="false" ht="15" hidden="false" customHeight="false" outlineLevel="0" collapsed="false">
      <c r="A34755" s="3" t="s">
        <v>320</v>
      </c>
      <c r="C34755" s="31" t="n">
        <f aca="false">CHOOSE($C$34721,Assumptions!$C$86,Assumptions!$C$105,Assumptions!$C$124)+$C$34724</f>
        <v>0.015</v>
      </c>
    </row>
    <row r="34756" customFormat="false" ht="15" hidden="false" customHeight="false" outlineLevel="0" collapsed="false">
      <c r="A34756" s="3" t="s">
        <v>321</v>
      </c>
      <c r="C34756" s="31" t="n">
        <f aca="false">CHOOSE($C$34721,Assumptions!$C$87,Assumptions!$C$106,Assumptions!$C$125)</f>
        <v>0.1</v>
      </c>
    </row>
    <row r="34757" customFormat="false" ht="15" hidden="false" customHeight="false" outlineLevel="0" collapsed="false">
      <c r="A34757" s="3" t="s">
        <v>322</v>
      </c>
      <c r="C34757" s="32" t="n">
        <f aca="false">CHOOSE($C$34721,Assumptions!$C$88,Assumptions!$C$107,Assumptions!$C$126)</f>
        <v>9.5</v>
      </c>
    </row>
    <row r="34758" customFormat="false" ht="15" hidden="false" customHeight="false" outlineLevel="0" collapsed="false">
      <c r="A34758" s="3" t="s">
        <v>323</v>
      </c>
      <c r="C34758" s="32" t="n">
        <f aca="false">CHOOSE($C$34721,Assumptions!$C$89,Assumptions!$C$108,Assumptions!$C$127)</f>
        <v>1.5</v>
      </c>
    </row>
    <row r="34759" customFormat="false" ht="15" hidden="false" customHeight="false" outlineLevel="0" collapsed="false">
      <c r="A34759" s="3" t="s">
        <v>324</v>
      </c>
      <c r="G34759" s="16" t="n">
        <f aca="false">G34764+G34777+G34790+G34803+G34816+G34829+G34842+G34855+G34868+G34881</f>
        <v>2625.934</v>
      </c>
      <c r="H34759" s="16" t="n">
        <f aca="false">H34764+H34777+H34790+H34803+H34816+H34829+H34842+H34855+H34868+H34881</f>
        <v>2621.934</v>
      </c>
      <c r="I34759" s="16" t="n">
        <f aca="false">I34764+I34777+I34790+I34803+I34816+I34829+I34842+I34855+I34868+I34881</f>
        <v>2569.380357881</v>
      </c>
      <c r="J34759" s="16" t="n">
        <f aca="false">J34764+J34777+J34790+J34803+J34816+J34829+J34842+J34855+J34868+J34881</f>
        <v>2565.380357881</v>
      </c>
      <c r="K34759" s="16" t="n">
        <f aca="false">K34764+K34777+K34790+K34803+K34816+K34829+K34842+K34855+K34868+K34881</f>
        <v>2561.380357881</v>
      </c>
    </row>
    <row r="34760" customFormat="false" ht="15" hidden="false" customHeight="false" outlineLevel="0" collapsed="false">
      <c r="A34760" s="3" t="s">
        <v>325</v>
      </c>
      <c r="G34760" s="16" t="n">
        <f aca="false">F34952</f>
        <v>37.87</v>
      </c>
      <c r="H34760" s="16" t="n">
        <f aca="false">G34952</f>
        <v>122.9474204</v>
      </c>
      <c r="I34760" s="16" t="n">
        <f aca="false">H34952</f>
        <v>0</v>
      </c>
      <c r="J34760" s="16" t="n">
        <f aca="false">I34952</f>
        <v>-70.8793844172995</v>
      </c>
      <c r="K34760" s="16" t="n">
        <f aca="false">J34952</f>
        <v>-137.895771657719</v>
      </c>
    </row>
    <row r="34761" customFormat="false" ht="15" hidden="false" customHeight="false" outlineLevel="0" collapsed="false">
      <c r="A34761" s="3" t="s">
        <v>326</v>
      </c>
      <c r="G34761" s="16" t="n">
        <f aca="false">G34764*IF(G34765=1,$C$34756,IF(Assumptions!$I$57=1,MAX(G34754,Assumptions!$G$57)+Assumptions!$F$57+$C$34755,Assumptions!$E$57))+G34777*IF(G34778=1,$C$34756,IF(Assumptions!$I$58=1,MAX(G34754,Assumptions!$G$58)+Assumptions!$F$58+$C$34755,Assumptions!$E$58))+G34790*IF(G34791=1,$C$34756,IF(Assumptions!$I$59=1,MAX(G34754,Assumptions!$G$59)+Assumptions!$F$59+$C$34755,Assumptions!$E$59))+G34803*IF(G34804=1,$C$34756,IF(Assumptions!$I$60=1,MAX(G34754,Assumptions!$G$60)+Assumptions!$F$60+$C$34755,Assumptions!$E$60))+G34816*IF(G34817=1,$C$34756,IF(Assumptions!$I$61=1,MAX(G34754,Assumptions!$G$61)+Assumptions!$F$61+$C$34755,Assumptions!$E$61))+G34829*IF(G34830=1,$C$34756,IF(Assumptions!$I$62=1,MAX(G34754,Assumptions!$G$62)+Assumptions!$F$62+$C$34755,Assumptions!$E$62))+G34842*IF(G34843=1,$C$34756,IF(Assumptions!$I$63=1,MAX(G34754,Assumptions!$G$63)+Assumptions!$F$63+$C$34755,Assumptions!$E$63))+G34855*IF(G34856=1,$C$34756,IF(Assumptions!$I$64=1,MAX(G34754,Assumptions!$G$64)+Assumptions!$F$64+$C$34755,Assumptions!$E$64))+G34868*IF(G34869=1,$C$34756,IF(Assumptions!$I$65=1,MAX(G34754,Assumptions!$G$65)+Assumptions!$F$65+$C$34755,Assumptions!$E$65))+G34881*IF(G34882=1,$C$34756,IF(Assumptions!$I$66=1,MAX(G34754,Assumptions!$G$66)+Assumptions!$F$66+$C$34755,Assumptions!$E$66))</f>
        <v>187.3888354</v>
      </c>
      <c r="H34761" s="16" t="n">
        <f aca="false">H34764*IF(OR(H34765=1,G35074=1),$C$34756,IF(Assumptions!$I$57=1,MAX(H34754,Assumptions!$G$57)+Assumptions!$F$57+$C$34755,Assumptions!$E$57))+H34777*IF(OR(H34778=1,G35075=1),$C$34756,IF(Assumptions!$I$58=1,MAX(H34754,Assumptions!$G$58)+Assumptions!$F$58+$C$34755,Assumptions!$E$58))+H34790*IF(OR(H34791=1,G35076=1),$C$34756,IF(Assumptions!$I$59=1,MAX(H34754,Assumptions!$G$59)+Assumptions!$F$59+$C$34755,Assumptions!$E$59))+H34803*IF(OR(H34804=1,G35077=1),$C$34756,IF(Assumptions!$I$60=1,MAX(H34754,Assumptions!$G$60)+Assumptions!$F$60+$C$34755,Assumptions!$E$60))+H34816*IF(OR(H34817=1,G35078=1),$C$34756,IF(Assumptions!$I$61=1,MAX(H34754,Assumptions!$G$61)+Assumptions!$F$61+$C$34755,Assumptions!$E$61))+H34829*IF(OR(H34830=1,G35079=1),$C$34756,IF(Assumptions!$I$62=1,MAX(H34754,Assumptions!$G$62)+Assumptions!$F$62+$C$34755,Assumptions!$E$62))+H34842*IF(OR(H34843=1,G35080=1),$C$34756,IF(Assumptions!$I$63=1,MAX(H34754,Assumptions!$G$63)+Assumptions!$F$63+$C$34755,Assumptions!$E$63))+H34855*IF(OR(H34856=1,G35081=1),$C$34756,IF(Assumptions!$I$64=1,MAX(H34754,Assumptions!$G$64)+Assumptions!$F$64+$C$34755,Assumptions!$E$64))+H34868*IF(OR(H34869=1,G35082=1),$C$34756,IF(Assumptions!$I$65=1,MAX(H34754,Assumptions!$G$65)+Assumptions!$F$65+$C$34755,Assumptions!$E$65))+H34881*IF(OR(H34882=1,G35083=1),$C$34756,IF(Assumptions!$I$66=1,MAX(H34754,Assumptions!$G$66)+Assumptions!$F$66+$C$34755,Assumptions!$E$66))</f>
        <v>219.4259204</v>
      </c>
      <c r="I34761" s="16" t="n">
        <f aca="false">I34764*IF(OR(I34765=1,H35074=1),$C$34756,IF(Assumptions!$I$57=1,MAX(I34754,Assumptions!$G$57)+Assumptions!$F$57+$C$34755,Assumptions!$E$57))+I34777*IF(OR(I34778=1,H35075=1),$C$34756,IF(Assumptions!$I$58=1,MAX(I34754,Assumptions!$G$58)+Assumptions!$F$58+$C$34755,Assumptions!$E$58))+I34790*IF(OR(I34791=1,H35076=1),$C$34756,IF(Assumptions!$I$59=1,MAX(I34754,Assumptions!$G$59)+Assumptions!$F$59+$C$34755,Assumptions!$E$59))+I34803*IF(OR(I34804=1,H35077=1),$C$34756,IF(Assumptions!$I$60=1,MAX(I34754,Assumptions!$G$60)+Assumptions!$F$60+$C$34755,Assumptions!$E$60))+I34816*IF(OR(I34817=1,H35078=1),$C$34756,IF(Assumptions!$I$61=1,MAX(I34754,Assumptions!$G$61)+Assumptions!$F$61+$C$34755,Assumptions!$E$61))+I34829*IF(OR(I34830=1,H35079=1),$C$34756,IF(Assumptions!$I$62=1,MAX(I34754,Assumptions!$G$62)+Assumptions!$F$62+$C$34755,Assumptions!$E$62))+I34842*IF(OR(I34843=1,H35080=1),$C$34756,IF(Assumptions!$I$63=1,MAX(I34754,Assumptions!$G$63)+Assumptions!$F$63+$C$34755,Assumptions!$E$63))+I34855*IF(OR(I34856=1,H35081=1),$C$34756,IF(Assumptions!$I$64=1,MAX(I34754,Assumptions!$G$64)+Assumptions!$F$64+$C$34755,Assumptions!$E$64))+I34868*IF(OR(I34869=1,H35082=1),$C$34756,IF(Assumptions!$I$65=1,MAX(I34754,Assumptions!$G$65)+Assumptions!$F$65+$C$34755,Assumptions!$E$65))+I34881*IF(OR(I34882=1,H35083=1),$C$34756,IF(Assumptions!$I$66=1,MAX(I34754,Assumptions!$G$66)+Assumptions!$F$66+$C$34755,Assumptions!$E$66))</f>
        <v>188.9240265363</v>
      </c>
      <c r="J34761" s="16" t="n">
        <f aca="false">J34764*IF(OR(J34765=1,I35074=1),$C$34756,IF(Assumptions!$I$57=1,MAX(J34754,Assumptions!$G$57)+Assumptions!$F$57+$C$34755,Assumptions!$E$57))+J34777*IF(OR(J34778=1,I35075=1),$C$34756,IF(Assumptions!$I$58=1,MAX(J34754,Assumptions!$G$58)+Assumptions!$F$58+$C$34755,Assumptions!$E$58))+J34790*IF(OR(J34791=1,I35076=1),$C$34756,IF(Assumptions!$I$59=1,MAX(J34754,Assumptions!$G$59)+Assumptions!$F$59+$C$34755,Assumptions!$E$59))+J34803*IF(OR(J34804=1,I35077=1),$C$34756,IF(Assumptions!$I$60=1,MAX(J34754,Assumptions!$G$60)+Assumptions!$F$60+$C$34755,Assumptions!$E$60))+J34816*IF(OR(J34817=1,I35078=1),$C$34756,IF(Assumptions!$I$61=1,MAX(J34754,Assumptions!$G$61)+Assumptions!$F$61+$C$34755,Assumptions!$E$61))+J34829*IF(OR(J34830=1,I35079=1),$C$34756,IF(Assumptions!$I$62=1,MAX(J34754,Assumptions!$G$62)+Assumptions!$F$62+$C$34755,Assumptions!$E$62))+J34842*IF(OR(J34843=1,I35080=1),$C$34756,IF(Assumptions!$I$63=1,MAX(J34754,Assumptions!$G$63)+Assumptions!$F$63+$C$34755,Assumptions!$E$63))+J34855*IF(OR(J34856=1,I35081=1),$C$34756,IF(Assumptions!$I$64=1,MAX(J34754,Assumptions!$G$64)+Assumptions!$F$64+$C$34755,Assumptions!$E$64))+J34868*IF(OR(J34869=1,I35082=1),$C$34756,IF(Assumptions!$I$65=1,MAX(J34754,Assumptions!$G$65)+Assumptions!$F$65+$C$34755,Assumptions!$E$65))+J34881*IF(OR(J34882=1,I35083=1),$C$34756,IF(Assumptions!$I$66=1,MAX(J34754,Assumptions!$G$66)+Assumptions!$F$66+$C$34755,Assumptions!$E$66))</f>
        <v>201.401526536299</v>
      </c>
      <c r="K34761" s="16" t="n">
        <f aca="false">K34764*IF(OR(K34765=1,J35074=1),$C$34756,IF(Assumptions!$I$57=1,MAX(K34754,Assumptions!$G$57)+Assumptions!$F$57+$C$34755,Assumptions!$E$57))+K34777*IF(OR(K34778=1,J35075=1),$C$34756,IF(Assumptions!$I$58=1,MAX(K34754,Assumptions!$G$58)+Assumptions!$F$58+$C$34755,Assumptions!$E$58))+K34790*IF(OR(K34791=1,J35076=1),$C$34756,IF(Assumptions!$I$59=1,MAX(K34754,Assumptions!$G$59)+Assumptions!$F$59+$C$34755,Assumptions!$E$59))+K34803*IF(OR(K34804=1,J35077=1),$C$34756,IF(Assumptions!$I$60=1,MAX(K34754,Assumptions!$G$60)+Assumptions!$F$60+$C$34755,Assumptions!$E$60))+K34816*IF(OR(K34817=1,J35078=1),$C$34756,IF(Assumptions!$I$61=1,MAX(K34754,Assumptions!$G$61)+Assumptions!$F$61+$C$34755,Assumptions!$E$61))+K34829*IF(OR(K34830=1,J35079=1),$C$34756,IF(Assumptions!$I$62=1,MAX(K34754,Assumptions!$G$62)+Assumptions!$F$62+$C$34755,Assumptions!$E$62))+K34842*IF(OR(K34843=1,J35080=1),$C$34756,IF(Assumptions!$I$63=1,MAX(K34754,Assumptions!$G$63)+Assumptions!$F$63+$C$34755,Assumptions!$E$63))+K34855*IF(OR(K34856=1,J35081=1),$C$34756,IF(Assumptions!$I$64=1,MAX(K34754,Assumptions!$G$64)+Assumptions!$F$64+$C$34755,Assumptions!$E$64))+K34868*IF(OR(K34869=1,J35082=1),$C$34756,IF(Assumptions!$I$65=1,MAX(K34754,Assumptions!$G$65)+Assumptions!$F$65+$C$34755,Assumptions!$E$65))+K34881*IF(OR(K34882=1,J35083=1),$C$34756,IF(Assumptions!$I$66=1,MAX(K34754,Assumptions!$G$66)+Assumptions!$F$66+$C$34755,Assumptions!$E$66))</f>
        <v>192.5815265363</v>
      </c>
    </row>
    <row r="34762" customFormat="false" ht="15" hidden="false" customHeight="false" outlineLevel="0" collapsed="false">
      <c r="A34762" s="3" t="s">
        <v>327</v>
      </c>
      <c r="G34762" s="21" t="n">
        <f aca="false">IF(G34738&lt;=0,0,IF(AND((G34759-G34760)/G34738&lt;=$C$34757,G34738/G34761&gt;=$C$34758),1,0))</f>
        <v>0</v>
      </c>
      <c r="H34762" s="21" t="n">
        <f aca="false">IF(H34738&lt;=0,0,IF(AND((H34759-H34760)/H34738&lt;=$C$34757,H34738/H34761&gt;=$C$34758),1,0))</f>
        <v>0</v>
      </c>
      <c r="I34762" s="21" t="n">
        <f aca="false">IF(I34738&lt;=0,0,IF(AND((I34759-I34760)/I34738&lt;=$C$34757,I34738/I34761&gt;=$C$34758),1,0))</f>
        <v>0</v>
      </c>
      <c r="J34762" s="21" t="n">
        <f aca="false">IF(J34738&lt;=0,0,IF(AND((J34759-J34760)/J34738&lt;=$C$34757,J34738/J34761&gt;=$C$34758),1,0))</f>
        <v>0</v>
      </c>
      <c r="K34762" s="21" t="n">
        <f aca="false">IF(K34738&lt;=0,0,IF(AND((K34759-K34760)/K34738&lt;=$C$34757,K34738/K34761&gt;=$C$34758),1,0))</f>
        <v>0</v>
      </c>
    </row>
    <row r="34763" customFormat="false" ht="15" hidden="false" customHeight="false" outlineLevel="0" collapsed="false">
      <c r="A34763" s="24" t="s">
        <v>328</v>
      </c>
      <c r="B34763" s="25"/>
      <c r="C34763" s="25"/>
      <c r="D34763" s="25"/>
      <c r="E34763" s="25"/>
      <c r="F34763" s="25"/>
      <c r="G34763" s="25"/>
      <c r="H34763" s="25"/>
      <c r="I34763" s="25"/>
      <c r="J34763" s="25"/>
      <c r="K34763" s="25"/>
    </row>
    <row r="34764" customFormat="false" ht="15" hidden="false" customHeight="false" outlineLevel="0" collapsed="false">
      <c r="A34764" s="3" t="s">
        <v>329</v>
      </c>
      <c r="G34764" s="16" t="n">
        <f aca="false">F34775</f>
        <v>400</v>
      </c>
      <c r="H34764" s="16" t="n">
        <f aca="false">G34775</f>
        <v>396</v>
      </c>
      <c r="I34764" s="16" t="n">
        <f aca="false">H34775</f>
        <v>392</v>
      </c>
      <c r="J34764" s="16" t="n">
        <f aca="false">I34775</f>
        <v>388</v>
      </c>
      <c r="K34764" s="16" t="n">
        <f aca="false">J34775</f>
        <v>384</v>
      </c>
    </row>
    <row r="34765" customFormat="false" ht="15" hidden="false" customHeight="false" outlineLevel="0" collapsed="false">
      <c r="A34765" s="3" t="s">
        <v>330</v>
      </c>
      <c r="G34765" s="21" t="n">
        <f aca="false">IF(G34728=Assumptions!$K$57,1,0)</f>
        <v>0</v>
      </c>
      <c r="H34765" s="21" t="n">
        <f aca="false">IF(H34728=Assumptions!$K$57,1,0)</f>
        <v>0</v>
      </c>
      <c r="I34765" s="21" t="n">
        <f aca="false">IF(I34728=Assumptions!$K$57,1,0)</f>
        <v>0</v>
      </c>
      <c r="J34765" s="21" t="n">
        <f aca="false">IF(J34728=Assumptions!$K$57,1,0)</f>
        <v>0</v>
      </c>
      <c r="K34765" s="21" t="n">
        <f aca="false">IF(K34728=Assumptions!$K$57,1,0)</f>
        <v>1</v>
      </c>
    </row>
    <row r="34767" customFormat="false" ht="15" hidden="false" customHeight="false" outlineLevel="0" collapsed="false">
      <c r="A34767" s="3" t="s">
        <v>331</v>
      </c>
      <c r="G34767" s="31" t="n">
        <f aca="false">IF(Assumptions!$I$57=1,MAX(G34754,Assumptions!$G$57)+Assumptions!$F$57+$C$34755,Assumptions!$E$57)</f>
        <v>0.1065</v>
      </c>
      <c r="H34767" s="31" t="n">
        <f aca="false">IF(G35074=1,$C$34756,IF(Assumptions!$I$57=1,MAX(H34754,Assumptions!$G$57)+Assumptions!$F$57+$C$34755,Assumptions!$E$57))</f>
        <v>0.105</v>
      </c>
      <c r="I34767" s="31" t="n">
        <f aca="false">IF(H35074=1,$C$34756,IF(Assumptions!$I$57=1,MAX(I34754,Assumptions!$G$57)+Assumptions!$F$57+$C$34755,Assumptions!$E$57))</f>
        <v>0.1025</v>
      </c>
      <c r="J34767" s="31" t="n">
        <f aca="false">IF(I35074=1,$C$34756,IF(Assumptions!$I$57=1,MAX(J34754,Assumptions!$G$57)+Assumptions!$F$57+$C$34755,Assumptions!$E$57))</f>
        <v>0.1025</v>
      </c>
      <c r="K34767" s="31" t="n">
        <f aca="false">IF(J35074=1,$C$34756,IF(Assumptions!$I$57=1,MAX(K34754,Assumptions!$G$57)+Assumptions!$F$57+$C$34755,Assumptions!$E$57))</f>
        <v>0.1025</v>
      </c>
    </row>
    <row r="34768" customFormat="false" ht="15" hidden="false" customHeight="false" outlineLevel="0" collapsed="false">
      <c r="A34768" s="3" t="s">
        <v>332</v>
      </c>
      <c r="G34768" s="16" t="n">
        <f aca="false">G34764*G34767</f>
        <v>42.6</v>
      </c>
      <c r="H34768" s="16" t="n">
        <f aca="false">H34764*H34767</f>
        <v>41.58</v>
      </c>
      <c r="I34768" s="16" t="n">
        <f aca="false">I34764*I34767</f>
        <v>40.18</v>
      </c>
      <c r="J34768" s="16" t="n">
        <f aca="false">J34764*J34767</f>
        <v>39.77</v>
      </c>
      <c r="K34768" s="16" t="n">
        <f aca="false">K34764*K34767</f>
        <v>39.36</v>
      </c>
    </row>
    <row r="34769" customFormat="false" ht="15" hidden="false" customHeight="false" outlineLevel="0" collapsed="false">
      <c r="A34769" s="3" t="s">
        <v>333</v>
      </c>
      <c r="G34769" s="16" t="n">
        <f aca="false">G34764*Assumptions!$H$57</f>
        <v>0</v>
      </c>
      <c r="H34769" s="16" t="n">
        <f aca="false">H34764*Assumptions!$H$57</f>
        <v>0</v>
      </c>
      <c r="I34769" s="16" t="n">
        <f aca="false">I34764*Assumptions!$H$57</f>
        <v>0</v>
      </c>
      <c r="J34769" s="16" t="n">
        <f aca="false">J34764*Assumptions!$H$57</f>
        <v>0</v>
      </c>
      <c r="K34769" s="16" t="n">
        <f aca="false">K34764*Assumptions!$H$57</f>
        <v>0</v>
      </c>
    </row>
    <row r="34770" customFormat="false" ht="15" hidden="false" customHeight="false" outlineLevel="0" collapsed="false">
      <c r="A34770" s="3" t="s">
        <v>334</v>
      </c>
      <c r="G34770" s="16" t="n">
        <f aca="false">MIN(G34764,Assumptions!$L$57*Assumptions!$C$57)</f>
        <v>4</v>
      </c>
      <c r="H34770" s="16" t="n">
        <f aca="false">MIN(H34764,Assumptions!$L$57*Assumptions!$C$57)</f>
        <v>4</v>
      </c>
      <c r="I34770" s="16" t="n">
        <f aca="false">MIN(I34764,Assumptions!$L$57*Assumptions!$C$57)</f>
        <v>4</v>
      </c>
      <c r="J34770" s="16" t="n">
        <f aca="false">MIN(J34764,Assumptions!$L$57*Assumptions!$C$57)</f>
        <v>4</v>
      </c>
      <c r="K34770" s="16" t="n">
        <f aca="false">MIN(K34764,Assumptions!$L$57*Assumptions!$C$57)</f>
        <v>4</v>
      </c>
    </row>
    <row r="34771" customFormat="false" ht="15" hidden="false" customHeight="false" outlineLevel="0" collapsed="false">
      <c r="A34771" s="3" t="s">
        <v>335</v>
      </c>
      <c r="G34771" s="16" t="n">
        <f aca="false">IF(AND(Assumptions!$P$57=1,G34728&lt;Assumptions!$K$57),MIN(MAX(0,-G34944),MAX(0,Assumptions!$D$57-G34764)),0)</f>
        <v>0</v>
      </c>
      <c r="H34771" s="16" t="n">
        <f aca="false">IF(AND(Assumptions!$P$57=1,OR(H34728&lt;Assumptions!$K$57,G35074=1)),MIN(MAX(0,-H34944),MAX(0,Assumptions!$D$57-H34764)),0)</f>
        <v>0</v>
      </c>
      <c r="I34771" s="16" t="n">
        <f aca="false">IF(AND(Assumptions!$P$57=1,OR(I34728&lt;Assumptions!$K$57,H35074=1)),MIN(MAX(0,-I34944),MAX(0,Assumptions!$D$57-I34764)),0)</f>
        <v>0</v>
      </c>
      <c r="J34771" s="16" t="n">
        <f aca="false">IF(AND(Assumptions!$P$57=1,OR(J34728&lt;Assumptions!$K$57,I35074=1)),MIN(MAX(0,-J34944),MAX(0,Assumptions!$D$57-J34764)),0)</f>
        <v>0</v>
      </c>
      <c r="K34771" s="16" t="n">
        <f aca="false">IF(AND(Assumptions!$P$57=1,OR(K34728&lt;Assumptions!$K$57,J35074=1)),MIN(MAX(0,-K34944),MAX(0,Assumptions!$D$57-K34764)),0)</f>
        <v>0</v>
      </c>
    </row>
    <row r="34772" customFormat="false" ht="15" hidden="false" customHeight="false" outlineLevel="0" collapsed="false">
      <c r="A34772" s="3" t="s">
        <v>336</v>
      </c>
      <c r="G34772" s="16" t="n">
        <f aca="false">G34765*MIN(G34764-G34770+G34769,MAX(0,G34946-Assumptions!$C$12*G34762))</f>
        <v>0</v>
      </c>
      <c r="H34772" s="16" t="n">
        <f aca="false">H34765*MIN(H34764-H34770+H34769,MAX(0,H34946-Assumptions!$C$12*H34762))</f>
        <v>0</v>
      </c>
      <c r="I34772" s="16" t="n">
        <f aca="false">I34765*MIN(I34764-I34770+I34769,MAX(0,I34946-Assumptions!$C$12*I34762))</f>
        <v>0</v>
      </c>
      <c r="J34772" s="16" t="n">
        <f aca="false">J34765*MIN(J34764-J34770+J34769,MAX(0,J34946-Assumptions!$C$12*J34762))</f>
        <v>0</v>
      </c>
      <c r="K34772" s="16" t="n">
        <f aca="false">K34765*MIN(K34764-K34770+K34769,MAX(0,K34946-Assumptions!$C$12*K34762))</f>
        <v>0</v>
      </c>
    </row>
    <row r="34773" customFormat="false" ht="15" hidden="false" customHeight="false" outlineLevel="0" collapsed="false">
      <c r="A34773" s="3" t="s">
        <v>337</v>
      </c>
      <c r="G34773" s="16" t="n">
        <f aca="false">Assumptions!$N$57*MIN(G34764+G34771+G34769-G34770-G34772,MAX(0,G34950))</f>
        <v>0</v>
      </c>
      <c r="H34773" s="16" t="n">
        <f aca="false">Assumptions!$N$57*MIN(H34764+H34771+H34769-H34770-H34772,MAX(0,H34950))</f>
        <v>0</v>
      </c>
      <c r="I34773" s="16" t="n">
        <f aca="false">Assumptions!$N$57*MIN(I34764+I34771+I34769-I34770-I34772,MAX(0,I34950))</f>
        <v>0</v>
      </c>
      <c r="J34773" s="16" t="n">
        <f aca="false">Assumptions!$N$57*MIN(J34764+J34771+J34769-J34770-J34772,MAX(0,J34950))</f>
        <v>0</v>
      </c>
      <c r="K34773" s="16" t="n">
        <f aca="false">Assumptions!$N$57*MIN(K34764+K34771+K34769-K34770-K34772,MAX(0,K34950))</f>
        <v>0</v>
      </c>
    </row>
    <row r="34774" customFormat="false" ht="15" hidden="false" customHeight="false" outlineLevel="0" collapsed="false">
      <c r="A34774" s="3" t="s">
        <v>338</v>
      </c>
      <c r="G34774" s="16" t="n">
        <f aca="false">G34765*(1-G34762)*(G34764-G34770+G34769-G34772)</f>
        <v>0</v>
      </c>
      <c r="H34774" s="16" t="n">
        <f aca="false">H34765*(1-H34762)*(H34764-H34770+H34769-H34772)</f>
        <v>0</v>
      </c>
      <c r="I34774" s="16" t="n">
        <f aca="false">I34765*(1-I34762)*(I34764-I34770+I34769-I34772)</f>
        <v>0</v>
      </c>
      <c r="J34774" s="16" t="n">
        <f aca="false">J34765*(1-J34762)*(J34764-J34770+J34769-J34772)</f>
        <v>0</v>
      </c>
      <c r="K34774" s="16" t="n">
        <f aca="false">K34765*(1-K34762)*(K34764-K34770+K34769-K34772)</f>
        <v>380</v>
      </c>
    </row>
    <row r="34775" customFormat="false" ht="15" hidden="false" customHeight="false" outlineLevel="0" collapsed="false">
      <c r="A34775" s="2" t="s">
        <v>339</v>
      </c>
      <c r="F34775" s="28" t="n">
        <f aca="false">Assumptions!$C$57</f>
        <v>400</v>
      </c>
      <c r="G34775" s="17" t="n">
        <f aca="false">G34764+G34771+G34769-G34770-G34772-G34773</f>
        <v>396</v>
      </c>
      <c r="H34775" s="17" t="n">
        <f aca="false">H34764+H34771+H34769-H34770-H34772-H34773</f>
        <v>392</v>
      </c>
      <c r="I34775" s="17" t="n">
        <f aca="false">I34764+I34771+I34769-I34770-I34772-I34773</f>
        <v>388</v>
      </c>
      <c r="J34775" s="17" t="n">
        <f aca="false">J34764+J34771+J34769-J34770-J34772-J34773</f>
        <v>384</v>
      </c>
      <c r="K34775" s="17" t="n">
        <f aca="false">K34764+K34771+K34769-K34770-K34772-K34773</f>
        <v>380</v>
      </c>
    </row>
    <row r="34776" customFormat="false" ht="15" hidden="false" customHeight="false" outlineLevel="0" collapsed="false">
      <c r="A34776" s="24" t="s">
        <v>340</v>
      </c>
      <c r="B34776" s="25"/>
      <c r="C34776" s="25"/>
      <c r="D34776" s="25"/>
      <c r="E34776" s="25"/>
      <c r="F34776" s="25"/>
      <c r="G34776" s="25"/>
      <c r="H34776" s="25"/>
      <c r="I34776" s="25"/>
      <c r="J34776" s="25"/>
      <c r="K34776" s="25"/>
    </row>
    <row r="34777" customFormat="false" ht="15" hidden="false" customHeight="false" outlineLevel="0" collapsed="false">
      <c r="A34777" s="3" t="s">
        <v>329</v>
      </c>
      <c r="G34777" s="16" t="n">
        <f aca="false">F34788</f>
        <v>90</v>
      </c>
      <c r="H34777" s="16" t="n">
        <f aca="false">G34788</f>
        <v>90</v>
      </c>
      <c r="I34777" s="16" t="n">
        <f aca="false">H34788</f>
        <v>90</v>
      </c>
      <c r="J34777" s="16" t="n">
        <f aca="false">I34788</f>
        <v>90</v>
      </c>
      <c r="K34777" s="16" t="n">
        <f aca="false">J34788</f>
        <v>90</v>
      </c>
    </row>
    <row r="34778" customFormat="false" ht="15" hidden="false" customHeight="false" outlineLevel="0" collapsed="false">
      <c r="A34778" s="3" t="s">
        <v>330</v>
      </c>
      <c r="G34778" s="21" t="n">
        <f aca="false">IF(G34728=Assumptions!$K$58,1,0)</f>
        <v>0</v>
      </c>
      <c r="H34778" s="21" t="n">
        <f aca="false">IF(H34728=Assumptions!$K$58,1,0)</f>
        <v>0</v>
      </c>
      <c r="I34778" s="21" t="n">
        <f aca="false">IF(I34728=Assumptions!$K$58,1,0)</f>
        <v>0</v>
      </c>
      <c r="J34778" s="21" t="n">
        <f aca="false">IF(J34728=Assumptions!$K$58,1,0)</f>
        <v>0</v>
      </c>
      <c r="K34778" s="21" t="n">
        <f aca="false">IF(K34728=Assumptions!$K$58,1,0)</f>
        <v>0</v>
      </c>
    </row>
    <row r="34780" customFormat="false" ht="15" hidden="false" customHeight="false" outlineLevel="0" collapsed="false">
      <c r="A34780" s="3" t="s">
        <v>331</v>
      </c>
      <c r="G34780" s="31" t="n">
        <f aca="false">IF(Assumptions!$I$58=1,MAX(G34754,Assumptions!$G$58)+Assumptions!$F$58+$C$34755,Assumptions!$E$58)</f>
        <v>0.0581</v>
      </c>
      <c r="H34780" s="31" t="n">
        <f aca="false">IF(G35075=1,$C$34756,IF(Assumptions!$I$58=1,MAX(H34754,Assumptions!$G$58)+Assumptions!$F$58+$C$34755,Assumptions!$E$58))</f>
        <v>0.0581</v>
      </c>
      <c r="I34780" s="31" t="n">
        <f aca="false">IF(H35075=1,$C$34756,IF(Assumptions!$I$58=1,MAX(I34754,Assumptions!$G$58)+Assumptions!$F$58+$C$34755,Assumptions!$E$58))</f>
        <v>0.0581</v>
      </c>
      <c r="J34780" s="31" t="n">
        <f aca="false">IF(I35075=1,$C$34756,IF(Assumptions!$I$58=1,MAX(J34754,Assumptions!$G$58)+Assumptions!$F$58+$C$34755,Assumptions!$E$58))</f>
        <v>0.0581</v>
      </c>
      <c r="K34780" s="31" t="n">
        <f aca="false">IF(J35075=1,$C$34756,IF(Assumptions!$I$58=1,MAX(K34754,Assumptions!$G$58)+Assumptions!$F$58+$C$34755,Assumptions!$E$58))</f>
        <v>0.0581</v>
      </c>
    </row>
    <row r="34781" customFormat="false" ht="15" hidden="false" customHeight="false" outlineLevel="0" collapsed="false">
      <c r="A34781" s="3" t="s">
        <v>332</v>
      </c>
      <c r="G34781" s="16" t="n">
        <f aca="false">G34777*G34780</f>
        <v>5.229</v>
      </c>
      <c r="H34781" s="16" t="n">
        <f aca="false">H34777*H34780</f>
        <v>5.229</v>
      </c>
      <c r="I34781" s="16" t="n">
        <f aca="false">I34777*I34780</f>
        <v>5.229</v>
      </c>
      <c r="J34781" s="16" t="n">
        <f aca="false">J34777*J34780</f>
        <v>5.229</v>
      </c>
      <c r="K34781" s="16" t="n">
        <f aca="false">K34777*K34780</f>
        <v>5.229</v>
      </c>
    </row>
    <row r="34782" customFormat="false" ht="15" hidden="false" customHeight="false" outlineLevel="0" collapsed="false">
      <c r="A34782" s="3" t="s">
        <v>333</v>
      </c>
      <c r="G34782" s="16" t="n">
        <f aca="false">G34777*Assumptions!$H$58</f>
        <v>0</v>
      </c>
      <c r="H34782" s="16" t="n">
        <f aca="false">H34777*Assumptions!$H$58</f>
        <v>0</v>
      </c>
      <c r="I34782" s="16" t="n">
        <f aca="false">I34777*Assumptions!$H$58</f>
        <v>0</v>
      </c>
      <c r="J34782" s="16" t="n">
        <f aca="false">J34777*Assumptions!$H$58</f>
        <v>0</v>
      </c>
      <c r="K34782" s="16" t="n">
        <f aca="false">K34777*Assumptions!$H$58</f>
        <v>0</v>
      </c>
    </row>
    <row r="34783" customFormat="false" ht="15" hidden="false" customHeight="false" outlineLevel="0" collapsed="false">
      <c r="A34783" s="3" t="s">
        <v>334</v>
      </c>
      <c r="G34783" s="16" t="n">
        <f aca="false">MIN(G34777,Assumptions!$L$58*Assumptions!$C$58)</f>
        <v>0</v>
      </c>
      <c r="H34783" s="16" t="n">
        <f aca="false">MIN(H34777,Assumptions!$L$58*Assumptions!$C$58)</f>
        <v>0</v>
      </c>
      <c r="I34783" s="16" t="n">
        <f aca="false">MIN(I34777,Assumptions!$L$58*Assumptions!$C$58)</f>
        <v>0</v>
      </c>
      <c r="J34783" s="16" t="n">
        <f aca="false">MIN(J34777,Assumptions!$L$58*Assumptions!$C$58)</f>
        <v>0</v>
      </c>
      <c r="K34783" s="16" t="n">
        <f aca="false">MIN(K34777,Assumptions!$L$58*Assumptions!$C$58)</f>
        <v>0</v>
      </c>
    </row>
    <row r="34784" customFormat="false" ht="15" hidden="false" customHeight="false" outlineLevel="0" collapsed="false">
      <c r="A34784" s="3" t="s">
        <v>335</v>
      </c>
      <c r="G34784" s="16" t="n">
        <f aca="false">IF(AND(Assumptions!$P$58=1,G34728&lt;Assumptions!$K$58),MIN(MAX(0,-G34944),MAX(0,Assumptions!$D$58-G34777)),0)</f>
        <v>0</v>
      </c>
      <c r="H34784" s="16" t="n">
        <f aca="false">IF(AND(Assumptions!$P$58=1,OR(H34728&lt;Assumptions!$K$58,G35075=1)),MIN(MAX(0,-H34944),MAX(0,Assumptions!$D$58-H34777)),0)</f>
        <v>0</v>
      </c>
      <c r="I34784" s="16" t="n">
        <f aca="false">IF(AND(Assumptions!$P$58=1,OR(I34728&lt;Assumptions!$K$58,H35075=1)),MIN(MAX(0,-I34944),MAX(0,Assumptions!$D$58-I34777)),0)</f>
        <v>0</v>
      </c>
      <c r="J34784" s="16" t="n">
        <f aca="false">IF(AND(Assumptions!$P$58=1,OR(J34728&lt;Assumptions!$K$58,I35075=1)),MIN(MAX(0,-J34944),MAX(0,Assumptions!$D$58-J34777)),0)</f>
        <v>0</v>
      </c>
      <c r="K34784" s="16" t="n">
        <f aca="false">IF(AND(Assumptions!$P$58=1,OR(K34728&lt;Assumptions!$K$58,J35075=1)),MIN(MAX(0,-K34944),MAX(0,Assumptions!$D$58-K34777)),0)</f>
        <v>0</v>
      </c>
    </row>
    <row r="34785" customFormat="false" ht="15" hidden="false" customHeight="false" outlineLevel="0" collapsed="false">
      <c r="A34785" s="3" t="s">
        <v>336</v>
      </c>
      <c r="G34785" s="16" t="n">
        <f aca="false">G34778*MIN(G34777-G34783+G34782,MAX(0,G34946-Assumptions!$C$12*G34762-G34772))</f>
        <v>0</v>
      </c>
      <c r="H34785" s="16" t="n">
        <f aca="false">H34778*MIN(H34777-H34783+H34782,MAX(0,H34946-Assumptions!$C$12*H34762-H34772))</f>
        <v>0</v>
      </c>
      <c r="I34785" s="16" t="n">
        <f aca="false">I34778*MIN(I34777-I34783+I34782,MAX(0,I34946-Assumptions!$C$12*I34762-I34772))</f>
        <v>0</v>
      </c>
      <c r="J34785" s="16" t="n">
        <f aca="false">J34778*MIN(J34777-J34783+J34782,MAX(0,J34946-Assumptions!$C$12*J34762-J34772))</f>
        <v>0</v>
      </c>
      <c r="K34785" s="16" t="n">
        <f aca="false">K34778*MIN(K34777-K34783+K34782,MAX(0,K34946-Assumptions!$C$12*K34762-K34772))</f>
        <v>0</v>
      </c>
    </row>
    <row r="34786" customFormat="false" ht="15" hidden="false" customHeight="false" outlineLevel="0" collapsed="false">
      <c r="A34786" s="3" t="s">
        <v>337</v>
      </c>
      <c r="G34786" s="16" t="n">
        <f aca="false">Assumptions!$N$58*MIN(G34777+G34784+G34782-G34783-G34785,MAX(0,G34950-G34773))</f>
        <v>0</v>
      </c>
      <c r="H34786" s="16" t="n">
        <f aca="false">Assumptions!$N$58*MIN(H34777+H34784+H34782-H34783-H34785,MAX(0,H34950-H34773))</f>
        <v>0</v>
      </c>
      <c r="I34786" s="16" t="n">
        <f aca="false">Assumptions!$N$58*MIN(I34777+I34784+I34782-I34783-I34785,MAX(0,I34950-I34773))</f>
        <v>0</v>
      </c>
      <c r="J34786" s="16" t="n">
        <f aca="false">Assumptions!$N$58*MIN(J34777+J34784+J34782-J34783-J34785,MAX(0,J34950-J34773))</f>
        <v>0</v>
      </c>
      <c r="K34786" s="16" t="n">
        <f aca="false">Assumptions!$N$58*MIN(K34777+K34784+K34782-K34783-K34785,MAX(0,K34950-K34773))</f>
        <v>0</v>
      </c>
    </row>
    <row r="34787" customFormat="false" ht="15" hidden="false" customHeight="false" outlineLevel="0" collapsed="false">
      <c r="A34787" s="3" t="s">
        <v>338</v>
      </c>
      <c r="G34787" s="16" t="n">
        <f aca="false">G34778*(1-G34762)*(G34777-G34783+G34782-G34785)</f>
        <v>0</v>
      </c>
      <c r="H34787" s="16" t="n">
        <f aca="false">H34778*(1-H34762)*(H34777-H34783+H34782-H34785)</f>
        <v>0</v>
      </c>
      <c r="I34787" s="16" t="n">
        <f aca="false">I34778*(1-I34762)*(I34777-I34783+I34782-I34785)</f>
        <v>0</v>
      </c>
      <c r="J34787" s="16" t="n">
        <f aca="false">J34778*(1-J34762)*(J34777-J34783+J34782-J34785)</f>
        <v>0</v>
      </c>
      <c r="K34787" s="16" t="n">
        <f aca="false">K34778*(1-K34762)*(K34777-K34783+K34782-K34785)</f>
        <v>0</v>
      </c>
    </row>
    <row r="34788" customFormat="false" ht="15" hidden="false" customHeight="false" outlineLevel="0" collapsed="false">
      <c r="A34788" s="2" t="s">
        <v>339</v>
      </c>
      <c r="F34788" s="28" t="n">
        <f aca="false">Assumptions!$C$58</f>
        <v>90</v>
      </c>
      <c r="G34788" s="17" t="n">
        <f aca="false">G34777+G34784+G34782-G34783-G34785-G34786</f>
        <v>90</v>
      </c>
      <c r="H34788" s="17" t="n">
        <f aca="false">H34777+H34784+H34782-H34783-H34785-H34786</f>
        <v>90</v>
      </c>
      <c r="I34788" s="17" t="n">
        <f aca="false">I34777+I34784+I34782-I34783-I34785-I34786</f>
        <v>90</v>
      </c>
      <c r="J34788" s="17" t="n">
        <f aca="false">J34777+J34784+J34782-J34783-J34785-J34786</f>
        <v>90</v>
      </c>
      <c r="K34788" s="17" t="n">
        <f aca="false">K34777+K34784+K34782-K34783-K34785-K34786</f>
        <v>90</v>
      </c>
    </row>
    <row r="34789" customFormat="false" ht="15" hidden="false" customHeight="false" outlineLevel="0" collapsed="false">
      <c r="A34789" s="24" t="s">
        <v>341</v>
      </c>
      <c r="B34789" s="25"/>
      <c r="C34789" s="25"/>
      <c r="D34789" s="25"/>
      <c r="E34789" s="25"/>
      <c r="F34789" s="25"/>
      <c r="G34789" s="25"/>
      <c r="H34789" s="25"/>
      <c r="I34789" s="25"/>
      <c r="J34789" s="25"/>
      <c r="K34789" s="25"/>
    </row>
    <row r="34790" customFormat="false" ht="15" hidden="false" customHeight="false" outlineLevel="0" collapsed="false">
      <c r="A34790" s="3" t="s">
        <v>329</v>
      </c>
      <c r="G34790" s="16" t="n">
        <f aca="false">F34801</f>
        <v>57.324</v>
      </c>
      <c r="H34790" s="16" t="n">
        <f aca="false">G34801</f>
        <v>57.324</v>
      </c>
      <c r="I34790" s="16" t="n">
        <f aca="false">H34801</f>
        <v>57.324</v>
      </c>
      <c r="J34790" s="16" t="n">
        <f aca="false">I34801</f>
        <v>57.324</v>
      </c>
      <c r="K34790" s="16" t="n">
        <f aca="false">J34801</f>
        <v>57.324</v>
      </c>
    </row>
    <row r="34791" customFormat="false" ht="15" hidden="false" customHeight="false" outlineLevel="0" collapsed="false">
      <c r="A34791" s="3" t="s">
        <v>330</v>
      </c>
      <c r="G34791" s="21" t="n">
        <f aca="false">IF(G34728=Assumptions!$K$59,1,0)</f>
        <v>0</v>
      </c>
      <c r="H34791" s="21" t="n">
        <f aca="false">IF(H34728=Assumptions!$K$59,1,0)</f>
        <v>0</v>
      </c>
      <c r="I34791" s="21" t="n">
        <f aca="false">IF(I34728=Assumptions!$K$59,1,0)</f>
        <v>0</v>
      </c>
      <c r="J34791" s="21" t="n">
        <f aca="false">IF(J34728=Assumptions!$K$59,1,0)</f>
        <v>0</v>
      </c>
      <c r="K34791" s="21" t="n">
        <f aca="false">IF(K34728=Assumptions!$K$59,1,0)</f>
        <v>0</v>
      </c>
    </row>
    <row r="34793" customFormat="false" ht="15" hidden="false" customHeight="false" outlineLevel="0" collapsed="false">
      <c r="A34793" s="3" t="s">
        <v>331</v>
      </c>
      <c r="G34793" s="31" t="n">
        <f aca="false">IF(Assumptions!$I$59=1,MAX(G34754,Assumptions!$G$59)+Assumptions!$F$59+$C$34755,Assumptions!$E$59)</f>
        <v>0.0731</v>
      </c>
      <c r="H34793" s="31" t="n">
        <f aca="false">IF(G35076=1,$C$34756,IF(Assumptions!$I$59=1,MAX(H34754,Assumptions!$G$59)+Assumptions!$F$59+$C$34755,Assumptions!$E$59))</f>
        <v>0.0731</v>
      </c>
      <c r="I34793" s="31" t="n">
        <f aca="false">IF(H35076=1,$C$34756,IF(Assumptions!$I$59=1,MAX(I34754,Assumptions!$G$59)+Assumptions!$F$59+$C$34755,Assumptions!$E$59))</f>
        <v>0.0731</v>
      </c>
      <c r="J34793" s="31" t="n">
        <f aca="false">IF(I35076=1,$C$34756,IF(Assumptions!$I$59=1,MAX(J34754,Assumptions!$G$59)+Assumptions!$F$59+$C$34755,Assumptions!$E$59))</f>
        <v>0.0731</v>
      </c>
      <c r="K34793" s="31" t="n">
        <f aca="false">IF(J35076=1,$C$34756,IF(Assumptions!$I$59=1,MAX(K34754,Assumptions!$G$59)+Assumptions!$F$59+$C$34755,Assumptions!$E$59))</f>
        <v>0.0731</v>
      </c>
    </row>
    <row r="34794" customFormat="false" ht="15" hidden="false" customHeight="false" outlineLevel="0" collapsed="false">
      <c r="A34794" s="3" t="s">
        <v>332</v>
      </c>
      <c r="G34794" s="16" t="n">
        <f aca="false">G34790*G34793</f>
        <v>4.1903844</v>
      </c>
      <c r="H34794" s="16" t="n">
        <f aca="false">H34790*H34793</f>
        <v>4.1903844</v>
      </c>
      <c r="I34794" s="16" t="n">
        <f aca="false">I34790*I34793</f>
        <v>4.1903844</v>
      </c>
      <c r="J34794" s="16" t="n">
        <f aca="false">J34790*J34793</f>
        <v>4.1903844</v>
      </c>
      <c r="K34794" s="16" t="n">
        <f aca="false">K34790*K34793</f>
        <v>4.1903844</v>
      </c>
    </row>
    <row r="34795" customFormat="false" ht="15" hidden="false" customHeight="false" outlineLevel="0" collapsed="false">
      <c r="A34795" s="3" t="s">
        <v>333</v>
      </c>
      <c r="G34795" s="16" t="n">
        <f aca="false">G34790*Assumptions!$H$59</f>
        <v>0</v>
      </c>
      <c r="H34795" s="16" t="n">
        <f aca="false">H34790*Assumptions!$H$59</f>
        <v>0</v>
      </c>
      <c r="I34795" s="16" t="n">
        <f aca="false">I34790*Assumptions!$H$59</f>
        <v>0</v>
      </c>
      <c r="J34795" s="16" t="n">
        <f aca="false">J34790*Assumptions!$H$59</f>
        <v>0</v>
      </c>
      <c r="K34795" s="16" t="n">
        <f aca="false">K34790*Assumptions!$H$59</f>
        <v>0</v>
      </c>
    </row>
    <row r="34796" customFormat="false" ht="15" hidden="false" customHeight="false" outlineLevel="0" collapsed="false">
      <c r="A34796" s="3" t="s">
        <v>334</v>
      </c>
      <c r="G34796" s="16" t="n">
        <f aca="false">MIN(G34790,Assumptions!$L$59*Assumptions!$C$59)</f>
        <v>0</v>
      </c>
      <c r="H34796" s="16" t="n">
        <f aca="false">MIN(H34790,Assumptions!$L$59*Assumptions!$C$59)</f>
        <v>0</v>
      </c>
      <c r="I34796" s="16" t="n">
        <f aca="false">MIN(I34790,Assumptions!$L$59*Assumptions!$C$59)</f>
        <v>0</v>
      </c>
      <c r="J34796" s="16" t="n">
        <f aca="false">MIN(J34790,Assumptions!$L$59*Assumptions!$C$59)</f>
        <v>0</v>
      </c>
      <c r="K34796" s="16" t="n">
        <f aca="false">MIN(K34790,Assumptions!$L$59*Assumptions!$C$59)</f>
        <v>0</v>
      </c>
    </row>
    <row r="34797" customFormat="false" ht="15" hidden="false" customHeight="false" outlineLevel="0" collapsed="false">
      <c r="A34797" s="3" t="s">
        <v>335</v>
      </c>
      <c r="G34797" s="16" t="n">
        <f aca="false">IF(AND(Assumptions!$P$59=1,G34728&lt;Assumptions!$K$59),MIN(MAX(0,-G34944),MAX(0,Assumptions!$D$59-G34790)),0)</f>
        <v>0</v>
      </c>
      <c r="H34797" s="16" t="n">
        <f aca="false">IF(AND(Assumptions!$P$59=1,OR(H34728&lt;Assumptions!$K$59,G35076=1)),MIN(MAX(0,-H34944),MAX(0,Assumptions!$D$59-H34790)),0)</f>
        <v>0</v>
      </c>
      <c r="I34797" s="16" t="n">
        <f aca="false">IF(AND(Assumptions!$P$59=1,OR(I34728&lt;Assumptions!$K$59,H35076=1)),MIN(MAX(0,-I34944),MAX(0,Assumptions!$D$59-I34790)),0)</f>
        <v>0</v>
      </c>
      <c r="J34797" s="16" t="n">
        <f aca="false">IF(AND(Assumptions!$P$59=1,OR(J34728&lt;Assumptions!$K$59,I35076=1)),MIN(MAX(0,-J34944),MAX(0,Assumptions!$D$59-J34790)),0)</f>
        <v>0</v>
      </c>
      <c r="K34797" s="16" t="n">
        <f aca="false">IF(AND(Assumptions!$P$59=1,OR(K34728&lt;Assumptions!$K$59,J35076=1)),MIN(MAX(0,-K34944),MAX(0,Assumptions!$D$59-K34790)),0)</f>
        <v>0</v>
      </c>
    </row>
    <row r="34798" customFormat="false" ht="15" hidden="false" customHeight="false" outlineLevel="0" collapsed="false">
      <c r="A34798" s="3" t="s">
        <v>336</v>
      </c>
      <c r="G34798" s="16" t="n">
        <f aca="false">G34791*MIN(G34790-G34796+G34795,MAX(0,G34946-Assumptions!$C$12*G34762-G34772-G34785))</f>
        <v>0</v>
      </c>
      <c r="H34798" s="16" t="n">
        <f aca="false">H34791*MIN(H34790-H34796+H34795,MAX(0,H34946-Assumptions!$C$12*H34762-H34772-H34785))</f>
        <v>0</v>
      </c>
      <c r="I34798" s="16" t="n">
        <f aca="false">I34791*MIN(I34790-I34796+I34795,MAX(0,I34946-Assumptions!$C$12*I34762-I34772-I34785))</f>
        <v>0</v>
      </c>
      <c r="J34798" s="16" t="n">
        <f aca="false">J34791*MIN(J34790-J34796+J34795,MAX(0,J34946-Assumptions!$C$12*J34762-J34772-J34785))</f>
        <v>0</v>
      </c>
      <c r="K34798" s="16" t="n">
        <f aca="false">K34791*MIN(K34790-K34796+K34795,MAX(0,K34946-Assumptions!$C$12*K34762-K34772-K34785))</f>
        <v>0</v>
      </c>
    </row>
    <row r="34799" customFormat="false" ht="15" hidden="false" customHeight="false" outlineLevel="0" collapsed="false">
      <c r="A34799" s="3" t="s">
        <v>337</v>
      </c>
      <c r="G34799" s="16" t="n">
        <f aca="false">Assumptions!$N$59*MIN(G34790+G34797+G34795-G34796-G34798,MAX(0,G34950-G34773-G34786))</f>
        <v>0</v>
      </c>
      <c r="H34799" s="16" t="n">
        <f aca="false">Assumptions!$N$59*MIN(H34790+H34797+H34795-H34796-H34798,MAX(0,H34950-H34773-H34786))</f>
        <v>0</v>
      </c>
      <c r="I34799" s="16" t="n">
        <f aca="false">Assumptions!$N$59*MIN(I34790+I34797+I34795-I34796-I34798,MAX(0,I34950-I34773-I34786))</f>
        <v>0</v>
      </c>
      <c r="J34799" s="16" t="n">
        <f aca="false">Assumptions!$N$59*MIN(J34790+J34797+J34795-J34796-J34798,MAX(0,J34950-J34773-J34786))</f>
        <v>0</v>
      </c>
      <c r="K34799" s="16" t="n">
        <f aca="false">Assumptions!$N$59*MIN(K34790+K34797+K34795-K34796-K34798,MAX(0,K34950-K34773-K34786))</f>
        <v>0</v>
      </c>
    </row>
    <row r="34800" customFormat="false" ht="15" hidden="false" customHeight="false" outlineLevel="0" collapsed="false">
      <c r="A34800" s="3" t="s">
        <v>338</v>
      </c>
      <c r="G34800" s="16" t="n">
        <f aca="false">G34791*(1-G34762)*(G34790-G34796+G34795-G34798)</f>
        <v>0</v>
      </c>
      <c r="H34800" s="16" t="n">
        <f aca="false">H34791*(1-H34762)*(H34790-H34796+H34795-H34798)</f>
        <v>0</v>
      </c>
      <c r="I34800" s="16" t="n">
        <f aca="false">I34791*(1-I34762)*(I34790-I34796+I34795-I34798)</f>
        <v>0</v>
      </c>
      <c r="J34800" s="16" t="n">
        <f aca="false">J34791*(1-J34762)*(J34790-J34796+J34795-J34798)</f>
        <v>0</v>
      </c>
      <c r="K34800" s="16" t="n">
        <f aca="false">K34791*(1-K34762)*(K34790-K34796+K34795-K34798)</f>
        <v>0</v>
      </c>
    </row>
    <row r="34801" customFormat="false" ht="15" hidden="false" customHeight="false" outlineLevel="0" collapsed="false">
      <c r="A34801" s="2" t="s">
        <v>339</v>
      </c>
      <c r="F34801" s="28" t="n">
        <f aca="false">Assumptions!$C$59</f>
        <v>57.324</v>
      </c>
      <c r="G34801" s="17" t="n">
        <f aca="false">G34790+G34797+G34795-G34796-G34798-G34799</f>
        <v>57.324</v>
      </c>
      <c r="H34801" s="17" t="n">
        <f aca="false">H34790+H34797+H34795-H34796-H34798-H34799</f>
        <v>57.324</v>
      </c>
      <c r="I34801" s="17" t="n">
        <f aca="false">I34790+I34797+I34795-I34796-I34798-I34799</f>
        <v>57.324</v>
      </c>
      <c r="J34801" s="17" t="n">
        <f aca="false">J34790+J34797+J34795-J34796-J34798-J34799</f>
        <v>57.324</v>
      </c>
      <c r="K34801" s="17" t="n">
        <f aca="false">K34790+K34797+K34795-K34796-K34798-K34799</f>
        <v>57.324</v>
      </c>
    </row>
    <row r="34802" customFormat="false" ht="15" hidden="false" customHeight="false" outlineLevel="0" collapsed="false">
      <c r="A34802" s="24" t="s">
        <v>342</v>
      </c>
      <c r="B34802" s="25"/>
      <c r="C34802" s="25"/>
      <c r="D34802" s="25"/>
      <c r="E34802" s="25"/>
      <c r="F34802" s="25"/>
      <c r="G34802" s="25"/>
      <c r="H34802" s="25"/>
      <c r="I34802" s="25"/>
      <c r="J34802" s="25"/>
      <c r="K34802" s="25"/>
    </row>
    <row r="34803" customFormat="false" ht="15" hidden="false" customHeight="false" outlineLevel="0" collapsed="false">
      <c r="A34803" s="3" t="s">
        <v>329</v>
      </c>
      <c r="G34803" s="16" t="n">
        <f aca="false">F34814</f>
        <v>0</v>
      </c>
      <c r="H34803" s="16" t="n">
        <f aca="false">G34814</f>
        <v>0</v>
      </c>
      <c r="I34803" s="16" t="n">
        <f aca="false">H34814</f>
        <v>0</v>
      </c>
      <c r="J34803" s="16" t="n">
        <f aca="false">I34814</f>
        <v>0</v>
      </c>
      <c r="K34803" s="16" t="n">
        <f aca="false">J34814</f>
        <v>0</v>
      </c>
    </row>
    <row r="34804" customFormat="false" ht="15" hidden="false" customHeight="false" outlineLevel="0" collapsed="false">
      <c r="A34804" s="3" t="s">
        <v>330</v>
      </c>
      <c r="G34804" s="21" t="n">
        <f aca="false">IF(G34728=Assumptions!$K$60,1,0)</f>
        <v>1</v>
      </c>
      <c r="H34804" s="21" t="n">
        <f aca="false">IF(H34728=Assumptions!$K$60,1,0)</f>
        <v>0</v>
      </c>
      <c r="I34804" s="21" t="n">
        <f aca="false">IF(I34728=Assumptions!$K$60,1,0)</f>
        <v>0</v>
      </c>
      <c r="J34804" s="21" t="n">
        <f aca="false">IF(J34728=Assumptions!$K$60,1,0)</f>
        <v>0</v>
      </c>
      <c r="K34804" s="21" t="n">
        <f aca="false">IF(K34728=Assumptions!$K$60,1,0)</f>
        <v>0</v>
      </c>
    </row>
    <row r="34806" customFormat="false" ht="15" hidden="false" customHeight="false" outlineLevel="0" collapsed="false">
      <c r="A34806" s="3" t="s">
        <v>331</v>
      </c>
      <c r="G34806" s="31" t="n">
        <f aca="false">IF(Assumptions!$I$60=1,MAX(G34754,Assumptions!$G$60)+Assumptions!$F$60+$C$34755,Assumptions!$E$60)</f>
        <v>0.069</v>
      </c>
      <c r="H34806" s="31" t="n">
        <f aca="false">IF(G35077=1,$C$34756,IF(Assumptions!$I$60=1,MAX(H34754,Assumptions!$G$60)+Assumptions!$F$60+$C$34755,Assumptions!$E$60))</f>
        <v>0.0675</v>
      </c>
      <c r="I34806" s="31" t="n">
        <f aca="false">IF(H35077=1,$C$34756,IF(Assumptions!$I$60=1,MAX(I34754,Assumptions!$G$60)+Assumptions!$F$60+$C$34755,Assumptions!$E$60))</f>
        <v>0.065</v>
      </c>
      <c r="J34806" s="31" t="n">
        <f aca="false">IF(I35077=1,$C$34756,IF(Assumptions!$I$60=1,MAX(J34754,Assumptions!$G$60)+Assumptions!$F$60+$C$34755,Assumptions!$E$60))</f>
        <v>0.065</v>
      </c>
      <c r="K34806" s="31" t="n">
        <f aca="false">IF(J35077=1,$C$34756,IF(Assumptions!$I$60=1,MAX(K34754,Assumptions!$G$60)+Assumptions!$F$60+$C$34755,Assumptions!$E$60))</f>
        <v>0.065</v>
      </c>
    </row>
    <row r="34807" customFormat="false" ht="15" hidden="false" customHeight="false" outlineLevel="0" collapsed="false">
      <c r="A34807" s="3" t="s">
        <v>332</v>
      </c>
      <c r="G34807" s="16" t="n">
        <f aca="false">G34803*G34806</f>
        <v>0</v>
      </c>
      <c r="H34807" s="16" t="n">
        <f aca="false">H34803*H34806</f>
        <v>0</v>
      </c>
      <c r="I34807" s="16" t="n">
        <f aca="false">I34803*I34806</f>
        <v>0</v>
      </c>
      <c r="J34807" s="16" t="n">
        <f aca="false">J34803*J34806</f>
        <v>0</v>
      </c>
      <c r="K34807" s="16" t="n">
        <f aca="false">K34803*K34806</f>
        <v>0</v>
      </c>
    </row>
    <row r="34808" customFormat="false" ht="15" hidden="false" customHeight="false" outlineLevel="0" collapsed="false">
      <c r="A34808" s="3" t="s">
        <v>333</v>
      </c>
      <c r="G34808" s="16" t="n">
        <f aca="false">G34803*Assumptions!$H$60</f>
        <v>0</v>
      </c>
      <c r="H34808" s="16" t="n">
        <f aca="false">H34803*Assumptions!$H$60</f>
        <v>0</v>
      </c>
      <c r="I34808" s="16" t="n">
        <f aca="false">I34803*Assumptions!$H$60</f>
        <v>0</v>
      </c>
      <c r="J34808" s="16" t="n">
        <f aca="false">J34803*Assumptions!$H$60</f>
        <v>0</v>
      </c>
      <c r="K34808" s="16" t="n">
        <f aca="false">K34803*Assumptions!$H$60</f>
        <v>0</v>
      </c>
    </row>
    <row r="34809" customFormat="false" ht="15" hidden="false" customHeight="false" outlineLevel="0" collapsed="false">
      <c r="A34809" s="3" t="s">
        <v>334</v>
      </c>
      <c r="G34809" s="16" t="n">
        <f aca="false">MIN(G34803,Assumptions!$L$60*Assumptions!$C$60)</f>
        <v>0</v>
      </c>
      <c r="H34809" s="16" t="n">
        <f aca="false">MIN(H34803,Assumptions!$L$60*Assumptions!$C$60)</f>
        <v>0</v>
      </c>
      <c r="I34809" s="16" t="n">
        <f aca="false">MIN(I34803,Assumptions!$L$60*Assumptions!$C$60)</f>
        <v>0</v>
      </c>
      <c r="J34809" s="16" t="n">
        <f aca="false">MIN(J34803,Assumptions!$L$60*Assumptions!$C$60)</f>
        <v>0</v>
      </c>
      <c r="K34809" s="16" t="n">
        <f aca="false">MIN(K34803,Assumptions!$L$60*Assumptions!$C$60)</f>
        <v>0</v>
      </c>
    </row>
    <row r="34810" customFormat="false" ht="15" hidden="false" customHeight="false" outlineLevel="0" collapsed="false">
      <c r="A34810" s="3" t="s">
        <v>335</v>
      </c>
      <c r="G34810" s="16" t="n">
        <f aca="false">IF(AND(Assumptions!$P$60=1,G34728&lt;Assumptions!$K$60),MIN(MAX(0,-G34944),MAX(0,Assumptions!$D$60-G34803)),0)</f>
        <v>0</v>
      </c>
      <c r="H34810" s="16" t="n">
        <f aca="false">IF(AND(Assumptions!$P$60=1,OR(H34728&lt;Assumptions!$K$60,G35077=1)),MIN(MAX(0,-H34944),MAX(0,Assumptions!$D$60-H34803)),0)</f>
        <v>0</v>
      </c>
      <c r="I34810" s="16" t="n">
        <f aca="false">IF(AND(Assumptions!$P$60=1,OR(I34728&lt;Assumptions!$K$60,H35077=1)),MIN(MAX(0,-I34944),MAX(0,Assumptions!$D$60-I34803)),0)</f>
        <v>0</v>
      </c>
      <c r="J34810" s="16" t="n">
        <f aca="false">IF(AND(Assumptions!$P$60=1,OR(J34728&lt;Assumptions!$K$60,I35077=1)),MIN(MAX(0,-J34944),MAX(0,Assumptions!$D$60-J34803)),0)</f>
        <v>0</v>
      </c>
      <c r="K34810" s="16" t="n">
        <f aca="false">IF(AND(Assumptions!$P$60=1,OR(K34728&lt;Assumptions!$K$60,J35077=1)),MIN(MAX(0,-K34944),MAX(0,Assumptions!$D$60-K34803)),0)</f>
        <v>0</v>
      </c>
    </row>
    <row r="34811" customFormat="false" ht="15" hidden="false" customHeight="false" outlineLevel="0" collapsed="false">
      <c r="A34811" s="3" t="s">
        <v>336</v>
      </c>
      <c r="G34811" s="16" t="n">
        <f aca="false">G34804*MIN(G34803-G34809+G34808,MAX(0,G34946-Assumptions!$C$12*G34762-G34772-G34785-G34798))</f>
        <v>0</v>
      </c>
      <c r="H34811" s="16" t="n">
        <f aca="false">H34804*MIN(H34803-H34809+H34808,MAX(0,H34946-Assumptions!$C$12*H34762-H34772-H34785-H34798))</f>
        <v>0</v>
      </c>
      <c r="I34811" s="16" t="n">
        <f aca="false">I34804*MIN(I34803-I34809+I34808,MAX(0,I34946-Assumptions!$C$12*I34762-I34772-I34785-I34798))</f>
        <v>0</v>
      </c>
      <c r="J34811" s="16" t="n">
        <f aca="false">J34804*MIN(J34803-J34809+J34808,MAX(0,J34946-Assumptions!$C$12*J34762-J34772-J34785-J34798))</f>
        <v>0</v>
      </c>
      <c r="K34811" s="16" t="n">
        <f aca="false">K34804*MIN(K34803-K34809+K34808,MAX(0,K34946-Assumptions!$C$12*K34762-K34772-K34785-K34798))</f>
        <v>0</v>
      </c>
    </row>
    <row r="34812" customFormat="false" ht="15" hidden="false" customHeight="false" outlineLevel="0" collapsed="false">
      <c r="A34812" s="3" t="s">
        <v>337</v>
      </c>
      <c r="G34812" s="16" t="n">
        <f aca="false">Assumptions!$N$60*MIN(G34803+G34810+G34808-G34809-G34811,MAX(0,G34950-G34773-G34786-G34799))</f>
        <v>0</v>
      </c>
      <c r="H34812" s="16" t="n">
        <f aca="false">Assumptions!$N$60*MIN(H34803+H34810+H34808-H34809-H34811,MAX(0,H34950-H34773-H34786-H34799))</f>
        <v>0</v>
      </c>
      <c r="I34812" s="16" t="n">
        <f aca="false">Assumptions!$N$60*MIN(I34803+I34810+I34808-I34809-I34811,MAX(0,I34950-I34773-I34786-I34799))</f>
        <v>0</v>
      </c>
      <c r="J34812" s="16" t="n">
        <f aca="false">Assumptions!$N$60*MIN(J34803+J34810+J34808-J34809-J34811,MAX(0,J34950-J34773-J34786-J34799))</f>
        <v>0</v>
      </c>
      <c r="K34812" s="16" t="n">
        <f aca="false">Assumptions!$N$60*MIN(K34803+K34810+K34808-K34809-K34811,MAX(0,K34950-K34773-K34786-K34799))</f>
        <v>0</v>
      </c>
    </row>
    <row r="34813" customFormat="false" ht="15" hidden="false" customHeight="false" outlineLevel="0" collapsed="false">
      <c r="A34813" s="3" t="s">
        <v>338</v>
      </c>
      <c r="G34813" s="16" t="n">
        <f aca="false">G34804*(1-G34762)*(G34803-G34809+G34808-G34811)</f>
        <v>0</v>
      </c>
      <c r="H34813" s="16" t="n">
        <f aca="false">H34804*(1-H34762)*(H34803-H34809+H34808-H34811)</f>
        <v>0</v>
      </c>
      <c r="I34813" s="16" t="n">
        <f aca="false">I34804*(1-I34762)*(I34803-I34809+I34808-I34811)</f>
        <v>0</v>
      </c>
      <c r="J34813" s="16" t="n">
        <f aca="false">J34804*(1-J34762)*(J34803-J34809+J34808-J34811)</f>
        <v>0</v>
      </c>
      <c r="K34813" s="16" t="n">
        <f aca="false">K34804*(1-K34762)*(K34803-K34809+K34808-K34811)</f>
        <v>0</v>
      </c>
    </row>
    <row r="34814" customFormat="false" ht="15" hidden="false" customHeight="false" outlineLevel="0" collapsed="false">
      <c r="A34814" s="2" t="s">
        <v>339</v>
      </c>
      <c r="F34814" s="28" t="n">
        <f aca="false">Assumptions!$C$60</f>
        <v>0</v>
      </c>
      <c r="G34814" s="17" t="n">
        <f aca="false">G34803+G34810+G34808-G34809-G34811-G34812</f>
        <v>0</v>
      </c>
      <c r="H34814" s="17" t="n">
        <f aca="false">H34803+H34810+H34808-H34809-H34811-H34812</f>
        <v>0</v>
      </c>
      <c r="I34814" s="17" t="n">
        <f aca="false">I34803+I34810+I34808-I34809-I34811-I34812</f>
        <v>0</v>
      </c>
      <c r="J34814" s="17" t="n">
        <f aca="false">J34803+J34810+J34808-J34809-J34811-J34812</f>
        <v>0</v>
      </c>
      <c r="K34814" s="17" t="n">
        <f aca="false">K34803+K34810+K34808-K34809-K34811-K34812</f>
        <v>0</v>
      </c>
    </row>
    <row r="34815" customFormat="false" ht="15" hidden="false" customHeight="false" outlineLevel="0" collapsed="false">
      <c r="A34815" s="24" t="s">
        <v>343</v>
      </c>
      <c r="B34815" s="25"/>
      <c r="C34815" s="25"/>
      <c r="D34815" s="25"/>
      <c r="E34815" s="25"/>
      <c r="F34815" s="25"/>
      <c r="G34815" s="25"/>
      <c r="H34815" s="25"/>
      <c r="I34815" s="25"/>
      <c r="J34815" s="25"/>
      <c r="K34815" s="25"/>
    </row>
    <row r="34816" customFormat="false" ht="15" hidden="false" customHeight="false" outlineLevel="0" collapsed="false">
      <c r="A34816" s="3" t="s">
        <v>329</v>
      </c>
      <c r="G34816" s="16" t="n">
        <f aca="false">F34827</f>
        <v>450</v>
      </c>
      <c r="H34816" s="16" t="n">
        <f aca="false">G34827</f>
        <v>450</v>
      </c>
      <c r="I34816" s="16" t="n">
        <f aca="false">H34827</f>
        <v>401.446357881</v>
      </c>
      <c r="J34816" s="16" t="n">
        <f aca="false">I34827</f>
        <v>401.446357881</v>
      </c>
      <c r="K34816" s="16" t="n">
        <f aca="false">J34827</f>
        <v>401.446357881</v>
      </c>
    </row>
    <row r="34817" customFormat="false" ht="15" hidden="false" customHeight="false" outlineLevel="0" collapsed="false">
      <c r="A34817" s="3" t="s">
        <v>330</v>
      </c>
      <c r="G34817" s="21" t="n">
        <f aca="false">IF(G34728=Assumptions!$K$61,1,0)</f>
        <v>0</v>
      </c>
      <c r="H34817" s="21" t="n">
        <f aca="false">IF(H34728=Assumptions!$K$61,1,0)</f>
        <v>1</v>
      </c>
      <c r="I34817" s="21" t="n">
        <f aca="false">IF(I34728=Assumptions!$K$61,1,0)</f>
        <v>0</v>
      </c>
      <c r="J34817" s="21" t="n">
        <f aca="false">IF(J34728=Assumptions!$K$61,1,0)</f>
        <v>0</v>
      </c>
      <c r="K34817" s="21" t="n">
        <f aca="false">IF(K34728=Assumptions!$K$61,1,0)</f>
        <v>0</v>
      </c>
    </row>
    <row r="34819" customFormat="false" ht="15" hidden="false" customHeight="false" outlineLevel="0" collapsed="false">
      <c r="A34819" s="3" t="s">
        <v>331</v>
      </c>
      <c r="G34819" s="31" t="n">
        <f aca="false">IF(Assumptions!$I$61=1,MAX(G34754,Assumptions!$G$61)+Assumptions!$F$61+$C$34755,Assumptions!$E$61)</f>
        <v>0.0395</v>
      </c>
      <c r="H34819" s="31" t="n">
        <f aca="false">IF(G35078=1,$C$34756,IF(Assumptions!$I$61=1,MAX(H34754,Assumptions!$G$61)+Assumptions!$F$61+$C$34755,Assumptions!$E$61))</f>
        <v>0.0395</v>
      </c>
      <c r="I34819" s="31" t="n">
        <f aca="false">IF(H35078=1,$C$34756,IF(Assumptions!$I$61=1,MAX(I34754,Assumptions!$G$61)+Assumptions!$F$61+$C$34755,Assumptions!$E$61))</f>
        <v>0.0395</v>
      </c>
      <c r="J34819" s="31" t="n">
        <f aca="false">IF(I35078=1,$C$34756,IF(Assumptions!$I$61=1,MAX(J34754,Assumptions!$G$61)+Assumptions!$F$61+$C$34755,Assumptions!$E$61))</f>
        <v>0.0395</v>
      </c>
      <c r="K34819" s="31" t="n">
        <f aca="false">IF(J35078=1,$C$34756,IF(Assumptions!$I$61=1,MAX(K34754,Assumptions!$G$61)+Assumptions!$F$61+$C$34755,Assumptions!$E$61))</f>
        <v>0.0395</v>
      </c>
    </row>
    <row r="34820" customFormat="false" ht="15" hidden="false" customHeight="false" outlineLevel="0" collapsed="false">
      <c r="A34820" s="3" t="s">
        <v>332</v>
      </c>
      <c r="G34820" s="16" t="n">
        <f aca="false">G34816*G34819</f>
        <v>17.775</v>
      </c>
      <c r="H34820" s="16" t="n">
        <f aca="false">H34816*H34819</f>
        <v>17.775</v>
      </c>
      <c r="I34820" s="16" t="n">
        <f aca="false">I34816*I34819</f>
        <v>15.8571311362995</v>
      </c>
      <c r="J34820" s="16" t="n">
        <f aca="false">J34816*J34819</f>
        <v>15.8571311362995</v>
      </c>
      <c r="K34820" s="16" t="n">
        <f aca="false">K34816*K34819</f>
        <v>15.8571311362995</v>
      </c>
    </row>
    <row r="34821" customFormat="false" ht="15" hidden="false" customHeight="false" outlineLevel="0" collapsed="false">
      <c r="A34821" s="3" t="s">
        <v>333</v>
      </c>
      <c r="G34821" s="16" t="n">
        <f aca="false">G34816*Assumptions!$H$61</f>
        <v>0</v>
      </c>
      <c r="H34821" s="16" t="n">
        <f aca="false">H34816*Assumptions!$H$61</f>
        <v>0</v>
      </c>
      <c r="I34821" s="16" t="n">
        <f aca="false">I34816*Assumptions!$H$61</f>
        <v>0</v>
      </c>
      <c r="J34821" s="16" t="n">
        <f aca="false">J34816*Assumptions!$H$61</f>
        <v>0</v>
      </c>
      <c r="K34821" s="16" t="n">
        <f aca="false">K34816*Assumptions!$H$61</f>
        <v>0</v>
      </c>
    </row>
    <row r="34822" customFormat="false" ht="15" hidden="false" customHeight="false" outlineLevel="0" collapsed="false">
      <c r="A34822" s="3" t="s">
        <v>334</v>
      </c>
      <c r="G34822" s="16" t="n">
        <f aca="false">MIN(G34816,Assumptions!$L$61*Assumptions!$C$61)</f>
        <v>0</v>
      </c>
      <c r="H34822" s="16" t="n">
        <f aca="false">MIN(H34816,Assumptions!$L$61*Assumptions!$C$61)</f>
        <v>0</v>
      </c>
      <c r="I34822" s="16" t="n">
        <f aca="false">MIN(I34816,Assumptions!$L$61*Assumptions!$C$61)</f>
        <v>0</v>
      </c>
      <c r="J34822" s="16" t="n">
        <f aca="false">MIN(J34816,Assumptions!$L$61*Assumptions!$C$61)</f>
        <v>0</v>
      </c>
      <c r="K34822" s="16" t="n">
        <f aca="false">MIN(K34816,Assumptions!$L$61*Assumptions!$C$61)</f>
        <v>0</v>
      </c>
    </row>
    <row r="34823" customFormat="false" ht="15" hidden="false" customHeight="false" outlineLevel="0" collapsed="false">
      <c r="A34823" s="3" t="s">
        <v>335</v>
      </c>
      <c r="G34823" s="16" t="n">
        <f aca="false">IF(AND(Assumptions!$P$61=1,G34728&lt;Assumptions!$K$61),MIN(MAX(0,-G34944),MAX(0,Assumptions!$D$61-G34816)),0)</f>
        <v>0</v>
      </c>
      <c r="H34823" s="16" t="n">
        <f aca="false">IF(AND(Assumptions!$P$61=1,OR(H34728&lt;Assumptions!$K$61,G35078=1)),MIN(MAX(0,-H34944),MAX(0,Assumptions!$D$61-H34816)),0)</f>
        <v>0</v>
      </c>
      <c r="I34823" s="16" t="n">
        <f aca="false">IF(AND(Assumptions!$P$61=1,OR(I34728&lt;Assumptions!$K$61,H35078=1)),MIN(MAX(0,-I34944),MAX(0,Assumptions!$D$61-I34816)),0)</f>
        <v>0</v>
      </c>
      <c r="J34823" s="16" t="n">
        <f aca="false">IF(AND(Assumptions!$P$61=1,OR(J34728&lt;Assumptions!$K$61,I35078=1)),MIN(MAX(0,-J34944),MAX(0,Assumptions!$D$61-J34816)),0)</f>
        <v>0</v>
      </c>
      <c r="K34823" s="16" t="n">
        <f aca="false">IF(AND(Assumptions!$P$61=1,OR(K34728&lt;Assumptions!$K$61,J35078=1)),MIN(MAX(0,-K34944),MAX(0,Assumptions!$D$61-K34816)),0)</f>
        <v>0</v>
      </c>
    </row>
    <row r="34824" customFormat="false" ht="15" hidden="false" customHeight="false" outlineLevel="0" collapsed="false">
      <c r="A34824" s="3" t="s">
        <v>336</v>
      </c>
      <c r="G34824" s="16" t="n">
        <f aca="false">G34817*MIN(G34816-G34822+G34821,MAX(0,G34946-Assumptions!$C$12*G34762-G34772-G34785-G34798-G34811))</f>
        <v>0</v>
      </c>
      <c r="H34824" s="16" t="n">
        <f aca="false">H34817*MIN(H34816-H34822+H34821,MAX(0,H34946-Assumptions!$C$12*H34762-H34772-H34785-H34798-H34811))</f>
        <v>48.553642119</v>
      </c>
      <c r="I34824" s="16" t="n">
        <f aca="false">I34817*MIN(I34816-I34822+I34821,MAX(0,I34946-Assumptions!$C$12*I34762-I34772-I34785-I34798-I34811))</f>
        <v>0</v>
      </c>
      <c r="J34824" s="16" t="n">
        <f aca="false">J34817*MIN(J34816-J34822+J34821,MAX(0,J34946-Assumptions!$C$12*J34762-J34772-J34785-J34798-J34811))</f>
        <v>0</v>
      </c>
      <c r="K34824" s="16" t="n">
        <f aca="false">K34817*MIN(K34816-K34822+K34821,MAX(0,K34946-Assumptions!$C$12*K34762-K34772-K34785-K34798-K34811))</f>
        <v>0</v>
      </c>
    </row>
    <row r="34825" customFormat="false" ht="15" hidden="false" customHeight="false" outlineLevel="0" collapsed="false">
      <c r="A34825" s="3" t="s">
        <v>337</v>
      </c>
      <c r="G34825" s="16" t="n">
        <f aca="false">Assumptions!$N$61*MIN(G34816+G34823+G34821-G34822-G34824,MAX(0,G34950-G34773-G34786-G34799-G34812))</f>
        <v>0</v>
      </c>
      <c r="H34825" s="16" t="n">
        <f aca="false">Assumptions!$N$61*MIN(H34816+H34823+H34821-H34822-H34824,MAX(0,H34950-H34773-H34786-H34799-H34812))</f>
        <v>0</v>
      </c>
      <c r="I34825" s="16" t="n">
        <f aca="false">Assumptions!$N$61*MIN(I34816+I34823+I34821-I34822-I34824,MAX(0,I34950-I34773-I34786-I34799-I34812))</f>
        <v>0</v>
      </c>
      <c r="J34825" s="16" t="n">
        <f aca="false">Assumptions!$N$61*MIN(J34816+J34823+J34821-J34822-J34824,MAX(0,J34950-J34773-J34786-J34799-J34812))</f>
        <v>0</v>
      </c>
      <c r="K34825" s="16" t="n">
        <f aca="false">Assumptions!$N$61*MIN(K34816+K34823+K34821-K34822-K34824,MAX(0,K34950-K34773-K34786-K34799-K34812))</f>
        <v>0</v>
      </c>
    </row>
    <row r="34826" customFormat="false" ht="15" hidden="false" customHeight="false" outlineLevel="0" collapsed="false">
      <c r="A34826" s="3" t="s">
        <v>338</v>
      </c>
      <c r="G34826" s="16" t="n">
        <f aca="false">G34817*(1-G34762)*(G34816-G34822+G34821-G34824)</f>
        <v>0</v>
      </c>
      <c r="H34826" s="16" t="n">
        <f aca="false">H34817*(1-H34762)*(H34816-H34822+H34821-H34824)</f>
        <v>401.446357881</v>
      </c>
      <c r="I34826" s="16" t="n">
        <f aca="false">I34817*(1-I34762)*(I34816-I34822+I34821-I34824)</f>
        <v>0</v>
      </c>
      <c r="J34826" s="16" t="n">
        <f aca="false">J34817*(1-J34762)*(J34816-J34822+J34821-J34824)</f>
        <v>0</v>
      </c>
      <c r="K34826" s="16" t="n">
        <f aca="false">K34817*(1-K34762)*(K34816-K34822+K34821-K34824)</f>
        <v>0</v>
      </c>
    </row>
    <row r="34827" customFormat="false" ht="15" hidden="false" customHeight="false" outlineLevel="0" collapsed="false">
      <c r="A34827" s="2" t="s">
        <v>339</v>
      </c>
      <c r="F34827" s="28" t="n">
        <f aca="false">Assumptions!$C$61</f>
        <v>450</v>
      </c>
      <c r="G34827" s="17" t="n">
        <f aca="false">G34816+G34823+G34821-G34822-G34824-G34825</f>
        <v>450</v>
      </c>
      <c r="H34827" s="17" t="n">
        <f aca="false">H34816+H34823+H34821-H34822-H34824-H34825</f>
        <v>401.446357881</v>
      </c>
      <c r="I34827" s="17" t="n">
        <f aca="false">I34816+I34823+I34821-I34822-I34824-I34825</f>
        <v>401.446357881</v>
      </c>
      <c r="J34827" s="17" t="n">
        <f aca="false">J34816+J34823+J34821-J34822-J34824-J34825</f>
        <v>401.446357881</v>
      </c>
      <c r="K34827" s="17" t="n">
        <f aca="false">K34816+K34823+K34821-K34822-K34824-K34825</f>
        <v>401.446357881</v>
      </c>
    </row>
    <row r="34828" customFormat="false" ht="15" hidden="false" customHeight="false" outlineLevel="0" collapsed="false">
      <c r="A34828" s="24" t="s">
        <v>344</v>
      </c>
      <c r="B34828" s="25"/>
      <c r="C34828" s="25"/>
      <c r="D34828" s="25"/>
      <c r="E34828" s="25"/>
      <c r="F34828" s="25"/>
      <c r="G34828" s="25"/>
      <c r="H34828" s="25"/>
      <c r="I34828" s="25"/>
      <c r="J34828" s="25"/>
      <c r="K34828" s="25"/>
    </row>
    <row r="34829" customFormat="false" ht="15" hidden="false" customHeight="false" outlineLevel="0" collapsed="false">
      <c r="A34829" s="3" t="s">
        <v>329</v>
      </c>
      <c r="G34829" s="16" t="n">
        <f aca="false">F34840</f>
        <v>350</v>
      </c>
      <c r="H34829" s="16" t="n">
        <f aca="false">G34840</f>
        <v>350</v>
      </c>
      <c r="I34829" s="16" t="n">
        <f aca="false">H34840</f>
        <v>350</v>
      </c>
      <c r="J34829" s="16" t="n">
        <f aca="false">I34840</f>
        <v>350</v>
      </c>
      <c r="K34829" s="16" t="n">
        <f aca="false">J34840</f>
        <v>350</v>
      </c>
    </row>
    <row r="34830" customFormat="false" ht="15" hidden="false" customHeight="false" outlineLevel="0" collapsed="false">
      <c r="A34830" s="3" t="s">
        <v>330</v>
      </c>
      <c r="G34830" s="21" t="n">
        <f aca="false">IF(G34728=Assumptions!$K$62,1,0)</f>
        <v>0</v>
      </c>
      <c r="H34830" s="21" t="n">
        <f aca="false">IF(H34728=Assumptions!$K$62,1,0)</f>
        <v>1</v>
      </c>
      <c r="I34830" s="21" t="n">
        <f aca="false">IF(I34728=Assumptions!$K$62,1,0)</f>
        <v>0</v>
      </c>
      <c r="J34830" s="21" t="n">
        <f aca="false">IF(J34728=Assumptions!$K$62,1,0)</f>
        <v>0</v>
      </c>
      <c r="K34830" s="21" t="n">
        <f aca="false">IF(K34728=Assumptions!$K$62,1,0)</f>
        <v>0</v>
      </c>
    </row>
    <row r="34832" customFormat="false" ht="15" hidden="false" customHeight="false" outlineLevel="0" collapsed="false">
      <c r="A34832" s="3" t="s">
        <v>331</v>
      </c>
      <c r="G34832" s="31" t="n">
        <f aca="false">IF(Assumptions!$I$62=1,MAX(G34754,Assumptions!$G$62)+Assumptions!$F$62+$C$34755,Assumptions!$E$62)</f>
        <v>0.083</v>
      </c>
      <c r="H34832" s="31" t="n">
        <f aca="false">IF(G35079=1,$C$34756,IF(Assumptions!$I$62=1,MAX(H34754,Assumptions!$G$62)+Assumptions!$F$62+$C$34755,Assumptions!$E$62))</f>
        <v>0.083</v>
      </c>
      <c r="I34832" s="31" t="n">
        <f aca="false">IF(H35079=1,$C$34756,IF(Assumptions!$I$62=1,MAX(I34754,Assumptions!$G$62)+Assumptions!$F$62+$C$34755,Assumptions!$E$62))</f>
        <v>0.083</v>
      </c>
      <c r="J34832" s="31" t="n">
        <f aca="false">IF(I35079=1,$C$34756,IF(Assumptions!$I$62=1,MAX(J34754,Assumptions!$G$62)+Assumptions!$F$62+$C$34755,Assumptions!$E$62))</f>
        <v>0.083</v>
      </c>
      <c r="K34832" s="31" t="n">
        <f aca="false">IF(J35079=1,$C$34756,IF(Assumptions!$I$62=1,MAX(K34754,Assumptions!$G$62)+Assumptions!$F$62+$C$34755,Assumptions!$E$62))</f>
        <v>0.083</v>
      </c>
    </row>
    <row r="34833" customFormat="false" ht="15" hidden="false" customHeight="false" outlineLevel="0" collapsed="false">
      <c r="A34833" s="3" t="s">
        <v>332</v>
      </c>
      <c r="G34833" s="16" t="n">
        <f aca="false">G34829*G34832</f>
        <v>29.05</v>
      </c>
      <c r="H34833" s="16" t="n">
        <f aca="false">H34829*H34832</f>
        <v>29.05</v>
      </c>
      <c r="I34833" s="16" t="n">
        <f aca="false">I34829*I34832</f>
        <v>29.05</v>
      </c>
      <c r="J34833" s="16" t="n">
        <f aca="false">J34829*J34832</f>
        <v>29.05</v>
      </c>
      <c r="K34833" s="16" t="n">
        <f aca="false">K34829*K34832</f>
        <v>29.05</v>
      </c>
    </row>
    <row r="34834" customFormat="false" ht="15" hidden="false" customHeight="false" outlineLevel="0" collapsed="false">
      <c r="A34834" s="3" t="s">
        <v>333</v>
      </c>
      <c r="G34834" s="16" t="n">
        <f aca="false">G34829*Assumptions!$H$62</f>
        <v>0</v>
      </c>
      <c r="H34834" s="16" t="n">
        <f aca="false">H34829*Assumptions!$H$62</f>
        <v>0</v>
      </c>
      <c r="I34834" s="16" t="n">
        <f aca="false">I34829*Assumptions!$H$62</f>
        <v>0</v>
      </c>
      <c r="J34834" s="16" t="n">
        <f aca="false">J34829*Assumptions!$H$62</f>
        <v>0</v>
      </c>
      <c r="K34834" s="16" t="n">
        <f aca="false">K34829*Assumptions!$H$62</f>
        <v>0</v>
      </c>
    </row>
    <row r="34835" customFormat="false" ht="15" hidden="false" customHeight="false" outlineLevel="0" collapsed="false">
      <c r="A34835" s="3" t="s">
        <v>334</v>
      </c>
      <c r="G34835" s="16" t="n">
        <f aca="false">MIN(G34829,Assumptions!$L$62*Assumptions!$C$62)</f>
        <v>0</v>
      </c>
      <c r="H34835" s="16" t="n">
        <f aca="false">MIN(H34829,Assumptions!$L$62*Assumptions!$C$62)</f>
        <v>0</v>
      </c>
      <c r="I34835" s="16" t="n">
        <f aca="false">MIN(I34829,Assumptions!$L$62*Assumptions!$C$62)</f>
        <v>0</v>
      </c>
      <c r="J34835" s="16" t="n">
        <f aca="false">MIN(J34829,Assumptions!$L$62*Assumptions!$C$62)</f>
        <v>0</v>
      </c>
      <c r="K34835" s="16" t="n">
        <f aca="false">MIN(K34829,Assumptions!$L$62*Assumptions!$C$62)</f>
        <v>0</v>
      </c>
    </row>
    <row r="34836" customFormat="false" ht="15" hidden="false" customHeight="false" outlineLevel="0" collapsed="false">
      <c r="A34836" s="3" t="s">
        <v>335</v>
      </c>
      <c r="G34836" s="16" t="n">
        <f aca="false">IF(AND(Assumptions!$P$62=1,G34728&lt;Assumptions!$K$62),MIN(MAX(0,-G34944),MAX(0,Assumptions!$D$62-G34829)),0)</f>
        <v>0</v>
      </c>
      <c r="H34836" s="16" t="n">
        <f aca="false">IF(AND(Assumptions!$P$62=1,OR(H34728&lt;Assumptions!$K$62,G35079=1)),MIN(MAX(0,-H34944),MAX(0,Assumptions!$D$62-H34829)),0)</f>
        <v>0</v>
      </c>
      <c r="I34836" s="16" t="n">
        <f aca="false">IF(AND(Assumptions!$P$62=1,OR(I34728&lt;Assumptions!$K$62,H35079=1)),MIN(MAX(0,-I34944),MAX(0,Assumptions!$D$62-I34829)),0)</f>
        <v>0</v>
      </c>
      <c r="J34836" s="16" t="n">
        <f aca="false">IF(AND(Assumptions!$P$62=1,OR(J34728&lt;Assumptions!$K$62,I35079=1)),MIN(MAX(0,-J34944),MAX(0,Assumptions!$D$62-J34829)),0)</f>
        <v>0</v>
      </c>
      <c r="K34836" s="16" t="n">
        <f aca="false">IF(AND(Assumptions!$P$62=1,OR(K34728&lt;Assumptions!$K$62,J35079=1)),MIN(MAX(0,-K34944),MAX(0,Assumptions!$D$62-K34829)),0)</f>
        <v>0</v>
      </c>
    </row>
    <row r="34837" customFormat="false" ht="15" hidden="false" customHeight="false" outlineLevel="0" collapsed="false">
      <c r="A34837" s="3" t="s">
        <v>336</v>
      </c>
      <c r="G34837" s="16" t="n">
        <f aca="false">G34830*MIN(G34829-G34835+G34834,MAX(0,G34946-Assumptions!$C$12*G34762-G34772-G34785-G34798-G34811-G34824))</f>
        <v>0</v>
      </c>
      <c r="H34837" s="16" t="n">
        <f aca="false">H34830*MIN(H34829-H34835+H34834,MAX(0,H34946-Assumptions!$C$12*H34762-H34772-H34785-H34798-H34811-H34824))</f>
        <v>0</v>
      </c>
      <c r="I34837" s="16" t="n">
        <f aca="false">I34830*MIN(I34829-I34835+I34834,MAX(0,I34946-Assumptions!$C$12*I34762-I34772-I34785-I34798-I34811-I34824))</f>
        <v>0</v>
      </c>
      <c r="J34837" s="16" t="n">
        <f aca="false">J34830*MIN(J34829-J34835+J34834,MAX(0,J34946-Assumptions!$C$12*J34762-J34772-J34785-J34798-J34811-J34824))</f>
        <v>0</v>
      </c>
      <c r="K34837" s="16" t="n">
        <f aca="false">K34830*MIN(K34829-K34835+K34834,MAX(0,K34946-Assumptions!$C$12*K34762-K34772-K34785-K34798-K34811-K34824))</f>
        <v>0</v>
      </c>
    </row>
    <row r="34838" customFormat="false" ht="15" hidden="false" customHeight="false" outlineLevel="0" collapsed="false">
      <c r="A34838" s="3" t="s">
        <v>337</v>
      </c>
      <c r="G34838" s="16" t="n">
        <f aca="false">Assumptions!$N$62*MIN(G34829+G34836+G34834-G34835-G34837,MAX(0,G34950-G34773-G34786-G34799-G34812-G34825))</f>
        <v>0</v>
      </c>
      <c r="H34838" s="16" t="n">
        <f aca="false">Assumptions!$N$62*MIN(H34829+H34836+H34834-H34835-H34837,MAX(0,H34950-H34773-H34786-H34799-H34812-H34825))</f>
        <v>0</v>
      </c>
      <c r="I34838" s="16" t="n">
        <f aca="false">Assumptions!$N$62*MIN(I34829+I34836+I34834-I34835-I34837,MAX(0,I34950-I34773-I34786-I34799-I34812-I34825))</f>
        <v>0</v>
      </c>
      <c r="J34838" s="16" t="n">
        <f aca="false">Assumptions!$N$62*MIN(J34829+J34836+J34834-J34835-J34837,MAX(0,J34950-J34773-J34786-J34799-J34812-J34825))</f>
        <v>0</v>
      </c>
      <c r="K34838" s="16" t="n">
        <f aca="false">Assumptions!$N$62*MIN(K34829+K34836+K34834-K34835-K34837,MAX(0,K34950-K34773-K34786-K34799-K34812-K34825))</f>
        <v>0</v>
      </c>
    </row>
    <row r="34839" customFormat="false" ht="15" hidden="false" customHeight="false" outlineLevel="0" collapsed="false">
      <c r="A34839" s="3" t="s">
        <v>338</v>
      </c>
      <c r="G34839" s="16" t="n">
        <f aca="false">G34830*(1-G34762)*(G34829-G34835+G34834-G34837)</f>
        <v>0</v>
      </c>
      <c r="H34839" s="16" t="n">
        <f aca="false">H34830*(1-H34762)*(H34829-H34835+H34834-H34837)</f>
        <v>350</v>
      </c>
      <c r="I34839" s="16" t="n">
        <f aca="false">I34830*(1-I34762)*(I34829-I34835+I34834-I34837)</f>
        <v>0</v>
      </c>
      <c r="J34839" s="16" t="n">
        <f aca="false">J34830*(1-J34762)*(J34829-J34835+J34834-J34837)</f>
        <v>0</v>
      </c>
      <c r="K34839" s="16" t="n">
        <f aca="false">K34830*(1-K34762)*(K34829-K34835+K34834-K34837)</f>
        <v>0</v>
      </c>
    </row>
    <row r="34840" customFormat="false" ht="15" hidden="false" customHeight="false" outlineLevel="0" collapsed="false">
      <c r="A34840" s="2" t="s">
        <v>339</v>
      </c>
      <c r="F34840" s="28" t="n">
        <f aca="false">Assumptions!$C$62</f>
        <v>350</v>
      </c>
      <c r="G34840" s="17" t="n">
        <f aca="false">G34829+G34836+G34834-G34835-G34837-G34838</f>
        <v>350</v>
      </c>
      <c r="H34840" s="17" t="n">
        <f aca="false">H34829+H34836+H34834-H34835-H34837-H34838</f>
        <v>350</v>
      </c>
      <c r="I34840" s="17" t="n">
        <f aca="false">I34829+I34836+I34834-I34835-I34837-I34838</f>
        <v>350</v>
      </c>
      <c r="J34840" s="17" t="n">
        <f aca="false">J34829+J34836+J34834-J34835-J34837-J34838</f>
        <v>350</v>
      </c>
      <c r="K34840" s="17" t="n">
        <f aca="false">K34829+K34836+K34834-K34835-K34837-K34838</f>
        <v>350</v>
      </c>
    </row>
    <row r="34841" customFormat="false" ht="15" hidden="false" customHeight="false" outlineLevel="0" collapsed="false">
      <c r="A34841" s="24" t="s">
        <v>345</v>
      </c>
      <c r="B34841" s="25"/>
      <c r="C34841" s="25"/>
      <c r="D34841" s="25"/>
      <c r="E34841" s="25"/>
      <c r="F34841" s="25"/>
      <c r="G34841" s="25"/>
      <c r="H34841" s="25"/>
      <c r="I34841" s="25"/>
      <c r="J34841" s="25"/>
      <c r="K34841" s="25"/>
    </row>
    <row r="34842" customFormat="false" ht="15" hidden="false" customHeight="false" outlineLevel="0" collapsed="false">
      <c r="A34842" s="3" t="s">
        <v>329</v>
      </c>
      <c r="G34842" s="16" t="n">
        <f aca="false">F34853</f>
        <v>550</v>
      </c>
      <c r="H34842" s="16" t="n">
        <f aca="false">G34853</f>
        <v>550</v>
      </c>
      <c r="I34842" s="16" t="n">
        <f aca="false">H34853</f>
        <v>550</v>
      </c>
      <c r="J34842" s="16" t="n">
        <f aca="false">I34853</f>
        <v>550</v>
      </c>
      <c r="K34842" s="16" t="n">
        <f aca="false">J34853</f>
        <v>550</v>
      </c>
    </row>
    <row r="34843" customFormat="false" ht="15" hidden="false" customHeight="false" outlineLevel="0" collapsed="false">
      <c r="A34843" s="3" t="s">
        <v>330</v>
      </c>
      <c r="G34843" s="21" t="n">
        <f aca="false">IF(G34728=Assumptions!$K$63,1,0)</f>
        <v>0</v>
      </c>
      <c r="H34843" s="21" t="n">
        <f aca="false">IF(H34728=Assumptions!$K$63,1,0)</f>
        <v>0</v>
      </c>
      <c r="I34843" s="21" t="n">
        <f aca="false">IF(I34728=Assumptions!$K$63,1,0)</f>
        <v>1</v>
      </c>
      <c r="J34843" s="21" t="n">
        <f aca="false">IF(J34728=Assumptions!$K$63,1,0)</f>
        <v>0</v>
      </c>
      <c r="K34843" s="21" t="n">
        <f aca="false">IF(K34728=Assumptions!$K$63,1,0)</f>
        <v>0</v>
      </c>
    </row>
    <row r="34845" customFormat="false" ht="15" hidden="false" customHeight="false" outlineLevel="0" collapsed="false">
      <c r="A34845" s="3" t="s">
        <v>331</v>
      </c>
      <c r="G34845" s="31" t="n">
        <f aca="false">IF(Assumptions!$I$63=1,MAX(G34754,Assumptions!$G$63)+Assumptions!$F$63+$C$34755,Assumptions!$E$63)</f>
        <v>0.08875</v>
      </c>
      <c r="H34845" s="31" t="n">
        <f aca="false">IF(G35080=1,$C$34756,IF(Assumptions!$I$63=1,MAX(H34754,Assumptions!$G$63)+Assumptions!$F$63+$C$34755,Assumptions!$E$63))</f>
        <v>0.08875</v>
      </c>
      <c r="I34845" s="31" t="n">
        <f aca="false">IF(H35080=1,$C$34756,IF(Assumptions!$I$63=1,MAX(I34754,Assumptions!$G$63)+Assumptions!$F$63+$C$34755,Assumptions!$E$63))</f>
        <v>0.08875</v>
      </c>
      <c r="J34845" s="31" t="n">
        <f aca="false">IF(I35080=1,$C$34756,IF(Assumptions!$I$63=1,MAX(J34754,Assumptions!$G$63)+Assumptions!$F$63+$C$34755,Assumptions!$E$63))</f>
        <v>0.08875</v>
      </c>
      <c r="K34845" s="31" t="n">
        <f aca="false">IF(J35080=1,$C$34756,IF(Assumptions!$I$63=1,MAX(K34754,Assumptions!$G$63)+Assumptions!$F$63+$C$34755,Assumptions!$E$63))</f>
        <v>0.08875</v>
      </c>
    </row>
    <row r="34846" customFormat="false" ht="15" hidden="false" customHeight="false" outlineLevel="0" collapsed="false">
      <c r="A34846" s="3" t="s">
        <v>332</v>
      </c>
      <c r="G34846" s="16" t="n">
        <f aca="false">G34842*G34845</f>
        <v>48.8125</v>
      </c>
      <c r="H34846" s="16" t="n">
        <f aca="false">H34842*H34845</f>
        <v>48.8125</v>
      </c>
      <c r="I34846" s="16" t="n">
        <f aca="false">I34842*I34845</f>
        <v>48.8125</v>
      </c>
      <c r="J34846" s="16" t="n">
        <f aca="false">J34842*J34845</f>
        <v>48.8125</v>
      </c>
      <c r="K34846" s="16" t="n">
        <f aca="false">K34842*K34845</f>
        <v>48.8125</v>
      </c>
    </row>
    <row r="34847" customFormat="false" ht="15" hidden="false" customHeight="false" outlineLevel="0" collapsed="false">
      <c r="A34847" s="3" t="s">
        <v>333</v>
      </c>
      <c r="G34847" s="16" t="n">
        <f aca="false">G34842*Assumptions!$H$63</f>
        <v>0</v>
      </c>
      <c r="H34847" s="16" t="n">
        <f aca="false">H34842*Assumptions!$H$63</f>
        <v>0</v>
      </c>
      <c r="I34847" s="16" t="n">
        <f aca="false">I34842*Assumptions!$H$63</f>
        <v>0</v>
      </c>
      <c r="J34847" s="16" t="n">
        <f aca="false">J34842*Assumptions!$H$63</f>
        <v>0</v>
      </c>
      <c r="K34847" s="16" t="n">
        <f aca="false">K34842*Assumptions!$H$63</f>
        <v>0</v>
      </c>
    </row>
    <row r="34848" customFormat="false" ht="15" hidden="false" customHeight="false" outlineLevel="0" collapsed="false">
      <c r="A34848" s="3" t="s">
        <v>334</v>
      </c>
      <c r="G34848" s="16" t="n">
        <f aca="false">MIN(G34842,Assumptions!$L$63*Assumptions!$C$63)</f>
        <v>0</v>
      </c>
      <c r="H34848" s="16" t="n">
        <f aca="false">MIN(H34842,Assumptions!$L$63*Assumptions!$C$63)</f>
        <v>0</v>
      </c>
      <c r="I34848" s="16" t="n">
        <f aca="false">MIN(I34842,Assumptions!$L$63*Assumptions!$C$63)</f>
        <v>0</v>
      </c>
      <c r="J34848" s="16" t="n">
        <f aca="false">MIN(J34842,Assumptions!$L$63*Assumptions!$C$63)</f>
        <v>0</v>
      </c>
      <c r="K34848" s="16" t="n">
        <f aca="false">MIN(K34842,Assumptions!$L$63*Assumptions!$C$63)</f>
        <v>0</v>
      </c>
    </row>
    <row r="34849" customFormat="false" ht="15" hidden="false" customHeight="false" outlineLevel="0" collapsed="false">
      <c r="A34849" s="3" t="s">
        <v>335</v>
      </c>
      <c r="G34849" s="16" t="n">
        <f aca="false">IF(AND(Assumptions!$P$63=1,G34728&lt;Assumptions!$K$63),MIN(MAX(0,-G34944),MAX(0,Assumptions!$D$63-G34842)),0)</f>
        <v>0</v>
      </c>
      <c r="H34849" s="16" t="n">
        <f aca="false">IF(AND(Assumptions!$P$63=1,OR(H34728&lt;Assumptions!$K$63,G35080=1)),MIN(MAX(0,-H34944),MAX(0,Assumptions!$D$63-H34842)),0)</f>
        <v>0</v>
      </c>
      <c r="I34849" s="16" t="n">
        <f aca="false">IF(AND(Assumptions!$P$63=1,OR(I34728&lt;Assumptions!$K$63,H35080=1)),MIN(MAX(0,-I34944),MAX(0,Assumptions!$D$63-I34842)),0)</f>
        <v>0</v>
      </c>
      <c r="J34849" s="16" t="n">
        <f aca="false">IF(AND(Assumptions!$P$63=1,OR(J34728&lt;Assumptions!$K$63,I35080=1)),MIN(MAX(0,-J34944),MAX(0,Assumptions!$D$63-J34842)),0)</f>
        <v>0</v>
      </c>
      <c r="K34849" s="16" t="n">
        <f aca="false">IF(AND(Assumptions!$P$63=1,OR(K34728&lt;Assumptions!$K$63,J35080=1)),MIN(MAX(0,-K34944),MAX(0,Assumptions!$D$63-K34842)),0)</f>
        <v>0</v>
      </c>
    </row>
    <row r="34850" customFormat="false" ht="15" hidden="false" customHeight="false" outlineLevel="0" collapsed="false">
      <c r="A34850" s="3" t="s">
        <v>336</v>
      </c>
      <c r="G34850" s="16" t="n">
        <f aca="false">G34843*MIN(G34842-G34848+G34847,MAX(0,G34946-Assumptions!$C$12*G34762-G34772-G34785-G34798-G34811-G34824-G34837))</f>
        <v>0</v>
      </c>
      <c r="H34850" s="16" t="n">
        <f aca="false">H34843*MIN(H34842-H34848+H34847,MAX(0,H34946-Assumptions!$C$12*H34762-H34772-H34785-H34798-H34811-H34824-H34837))</f>
        <v>0</v>
      </c>
      <c r="I34850" s="16" t="n">
        <f aca="false">I34843*MIN(I34842-I34848+I34847,MAX(0,I34946-Assumptions!$C$12*I34762-I34772-I34785-I34798-I34811-I34824-I34837))</f>
        <v>0</v>
      </c>
      <c r="J34850" s="16" t="n">
        <f aca="false">J34843*MIN(J34842-J34848+J34847,MAX(0,J34946-Assumptions!$C$12*J34762-J34772-J34785-J34798-J34811-J34824-J34837))</f>
        <v>0</v>
      </c>
      <c r="K34850" s="16" t="n">
        <f aca="false">K34843*MIN(K34842-K34848+K34847,MAX(0,K34946-Assumptions!$C$12*K34762-K34772-K34785-K34798-K34811-K34824-K34837))</f>
        <v>0</v>
      </c>
    </row>
    <row r="34851" customFormat="false" ht="15" hidden="false" customHeight="false" outlineLevel="0" collapsed="false">
      <c r="A34851" s="3" t="s">
        <v>337</v>
      </c>
      <c r="G34851" s="16" t="n">
        <f aca="false">Assumptions!$N$63*MIN(G34842+G34849+G34847-G34848-G34850,MAX(0,G34950-G34773-G34786-G34799-G34812-G34825-G34838))</f>
        <v>0</v>
      </c>
      <c r="H34851" s="16" t="n">
        <f aca="false">Assumptions!$N$63*MIN(H34842+H34849+H34847-H34848-H34850,MAX(0,H34950-H34773-H34786-H34799-H34812-H34825-H34838))</f>
        <v>0</v>
      </c>
      <c r="I34851" s="16" t="n">
        <f aca="false">Assumptions!$N$63*MIN(I34842+I34849+I34847-I34848-I34850,MAX(0,I34950-I34773-I34786-I34799-I34812-I34825-I34838))</f>
        <v>0</v>
      </c>
      <c r="J34851" s="16" t="n">
        <f aca="false">Assumptions!$N$63*MIN(J34842+J34849+J34847-J34848-J34850,MAX(0,J34950-J34773-J34786-J34799-J34812-J34825-J34838))</f>
        <v>0</v>
      </c>
      <c r="K34851" s="16" t="n">
        <f aca="false">Assumptions!$N$63*MIN(K34842+K34849+K34847-K34848-K34850,MAX(0,K34950-K34773-K34786-K34799-K34812-K34825-K34838))</f>
        <v>0</v>
      </c>
    </row>
    <row r="34852" customFormat="false" ht="15" hidden="false" customHeight="false" outlineLevel="0" collapsed="false">
      <c r="A34852" s="3" t="s">
        <v>338</v>
      </c>
      <c r="G34852" s="16" t="n">
        <f aca="false">G34843*(1-G34762)*(G34842-G34848+G34847-G34850)</f>
        <v>0</v>
      </c>
      <c r="H34852" s="16" t="n">
        <f aca="false">H34843*(1-H34762)*(H34842-H34848+H34847-H34850)</f>
        <v>0</v>
      </c>
      <c r="I34852" s="16" t="n">
        <f aca="false">I34843*(1-I34762)*(I34842-I34848+I34847-I34850)</f>
        <v>550</v>
      </c>
      <c r="J34852" s="16" t="n">
        <f aca="false">J34843*(1-J34762)*(J34842-J34848+J34847-J34850)</f>
        <v>0</v>
      </c>
      <c r="K34852" s="16" t="n">
        <f aca="false">K34843*(1-K34762)*(K34842-K34848+K34847-K34850)</f>
        <v>0</v>
      </c>
    </row>
    <row r="34853" customFormat="false" ht="15" hidden="false" customHeight="false" outlineLevel="0" collapsed="false">
      <c r="A34853" s="2" t="s">
        <v>339</v>
      </c>
      <c r="F34853" s="28" t="n">
        <f aca="false">Assumptions!$C$63</f>
        <v>550</v>
      </c>
      <c r="G34853" s="17" t="n">
        <f aca="false">G34842+G34849+G34847-G34848-G34850-G34851</f>
        <v>550</v>
      </c>
      <c r="H34853" s="17" t="n">
        <f aca="false">H34842+H34849+H34847-H34848-H34850-H34851</f>
        <v>550</v>
      </c>
      <c r="I34853" s="17" t="n">
        <f aca="false">I34842+I34849+I34847-I34848-I34850-I34851</f>
        <v>550</v>
      </c>
      <c r="J34853" s="17" t="n">
        <f aca="false">J34842+J34849+J34847-J34848-J34850-J34851</f>
        <v>550</v>
      </c>
      <c r="K34853" s="17" t="n">
        <f aca="false">K34842+K34849+K34847-K34848-K34850-K34851</f>
        <v>550</v>
      </c>
    </row>
    <row r="34854" customFormat="false" ht="15" hidden="false" customHeight="false" outlineLevel="0" collapsed="false">
      <c r="A34854" s="24" t="s">
        <v>346</v>
      </c>
      <c r="B34854" s="25"/>
      <c r="C34854" s="25"/>
      <c r="D34854" s="25"/>
      <c r="E34854" s="25"/>
      <c r="F34854" s="25"/>
      <c r="G34854" s="25"/>
      <c r="H34854" s="25"/>
      <c r="I34854" s="25"/>
      <c r="J34854" s="25"/>
      <c r="K34854" s="25"/>
    </row>
    <row r="34855" customFormat="false" ht="15" hidden="false" customHeight="false" outlineLevel="0" collapsed="false">
      <c r="A34855" s="3" t="s">
        <v>329</v>
      </c>
      <c r="G34855" s="16" t="n">
        <f aca="false">F34866</f>
        <v>350</v>
      </c>
      <c r="H34855" s="16" t="n">
        <f aca="false">G34866</f>
        <v>350</v>
      </c>
      <c r="I34855" s="16" t="n">
        <f aca="false">H34866</f>
        <v>350</v>
      </c>
      <c r="J34855" s="16" t="n">
        <f aca="false">I34866</f>
        <v>350</v>
      </c>
      <c r="K34855" s="16" t="n">
        <f aca="false">J34866</f>
        <v>350</v>
      </c>
    </row>
    <row r="34856" customFormat="false" ht="15" hidden="false" customHeight="false" outlineLevel="0" collapsed="false">
      <c r="A34856" s="3" t="s">
        <v>330</v>
      </c>
      <c r="G34856" s="21" t="n">
        <f aca="false">IF(G34728=Assumptions!$K$64,1,0)</f>
        <v>0</v>
      </c>
      <c r="H34856" s="21" t="n">
        <f aca="false">IF(H34728=Assumptions!$K$64,1,0)</f>
        <v>0</v>
      </c>
      <c r="I34856" s="21" t="n">
        <f aca="false">IF(I34728=Assumptions!$K$64,1,0)</f>
        <v>0</v>
      </c>
      <c r="J34856" s="21" t="n">
        <f aca="false">IF(J34728=Assumptions!$K$64,1,0)</f>
        <v>1</v>
      </c>
      <c r="K34856" s="21" t="n">
        <f aca="false">IF(K34728=Assumptions!$K$64,1,0)</f>
        <v>0</v>
      </c>
    </row>
    <row r="34858" customFormat="false" ht="15" hidden="false" customHeight="false" outlineLevel="0" collapsed="false">
      <c r="A34858" s="3" t="s">
        <v>331</v>
      </c>
      <c r="G34858" s="31" t="n">
        <f aca="false">IF(Assumptions!$I$64=1,MAX(G34754,Assumptions!$G$64)+Assumptions!$F$64+$C$34755,Assumptions!$E$64)</f>
        <v>0.0455</v>
      </c>
      <c r="H34858" s="31" t="n">
        <f aca="false">IF(G35081=1,$C$34756,IF(Assumptions!$I$64=1,MAX(H34754,Assumptions!$G$64)+Assumptions!$F$64+$C$34755,Assumptions!$E$64))</f>
        <v>0.0455</v>
      </c>
      <c r="I34858" s="31" t="n">
        <f aca="false">IF(H35081=1,$C$34756,IF(Assumptions!$I$64=1,MAX(I34754,Assumptions!$G$64)+Assumptions!$F$64+$C$34755,Assumptions!$E$64))</f>
        <v>0.0455</v>
      </c>
      <c r="J34858" s="31" t="n">
        <f aca="false">IF(I35081=1,$C$34756,IF(Assumptions!$I$64=1,MAX(J34754,Assumptions!$G$64)+Assumptions!$F$64+$C$34755,Assumptions!$E$64))</f>
        <v>0.0455</v>
      </c>
      <c r="K34858" s="31" t="n">
        <f aca="false">IF(J35081=1,$C$34756,IF(Assumptions!$I$64=1,MAX(K34754,Assumptions!$G$64)+Assumptions!$F$64+$C$34755,Assumptions!$E$64))</f>
        <v>0.0455</v>
      </c>
    </row>
    <row r="34859" customFormat="false" ht="15" hidden="false" customHeight="false" outlineLevel="0" collapsed="false">
      <c r="A34859" s="3" t="s">
        <v>332</v>
      </c>
      <c r="G34859" s="16" t="n">
        <f aca="false">G34855*G34858</f>
        <v>15.925</v>
      </c>
      <c r="H34859" s="16" t="n">
        <f aca="false">H34855*H34858</f>
        <v>15.925</v>
      </c>
      <c r="I34859" s="16" t="n">
        <f aca="false">I34855*I34858</f>
        <v>15.925</v>
      </c>
      <c r="J34859" s="16" t="n">
        <f aca="false">J34855*J34858</f>
        <v>15.925</v>
      </c>
      <c r="K34859" s="16" t="n">
        <f aca="false">K34855*K34858</f>
        <v>15.925</v>
      </c>
    </row>
    <row r="34860" customFormat="false" ht="15" hidden="false" customHeight="false" outlineLevel="0" collapsed="false">
      <c r="A34860" s="3" t="s">
        <v>333</v>
      </c>
      <c r="G34860" s="16" t="n">
        <f aca="false">G34855*Assumptions!$H$64</f>
        <v>0</v>
      </c>
      <c r="H34860" s="16" t="n">
        <f aca="false">H34855*Assumptions!$H$64</f>
        <v>0</v>
      </c>
      <c r="I34860" s="16" t="n">
        <f aca="false">I34855*Assumptions!$H$64</f>
        <v>0</v>
      </c>
      <c r="J34860" s="16" t="n">
        <f aca="false">J34855*Assumptions!$H$64</f>
        <v>0</v>
      </c>
      <c r="K34860" s="16" t="n">
        <f aca="false">K34855*Assumptions!$H$64</f>
        <v>0</v>
      </c>
    </row>
    <row r="34861" customFormat="false" ht="15" hidden="false" customHeight="false" outlineLevel="0" collapsed="false">
      <c r="A34861" s="3" t="s">
        <v>334</v>
      </c>
      <c r="G34861" s="16" t="n">
        <f aca="false">MIN(G34855,Assumptions!$L$64*Assumptions!$C$64)</f>
        <v>0</v>
      </c>
      <c r="H34861" s="16" t="n">
        <f aca="false">MIN(H34855,Assumptions!$L$64*Assumptions!$C$64)</f>
        <v>0</v>
      </c>
      <c r="I34861" s="16" t="n">
        <f aca="false">MIN(I34855,Assumptions!$L$64*Assumptions!$C$64)</f>
        <v>0</v>
      </c>
      <c r="J34861" s="16" t="n">
        <f aca="false">MIN(J34855,Assumptions!$L$64*Assumptions!$C$64)</f>
        <v>0</v>
      </c>
      <c r="K34861" s="16" t="n">
        <f aca="false">MIN(K34855,Assumptions!$L$64*Assumptions!$C$64)</f>
        <v>0</v>
      </c>
    </row>
    <row r="34862" customFormat="false" ht="15" hidden="false" customHeight="false" outlineLevel="0" collapsed="false">
      <c r="A34862" s="3" t="s">
        <v>335</v>
      </c>
      <c r="G34862" s="16" t="n">
        <f aca="false">IF(AND(Assumptions!$P$64=1,G34728&lt;Assumptions!$K$64),MIN(MAX(0,-G34944),MAX(0,Assumptions!$D$64-G34855)),0)</f>
        <v>0</v>
      </c>
      <c r="H34862" s="16" t="n">
        <f aca="false">IF(AND(Assumptions!$P$64=1,OR(H34728&lt;Assumptions!$K$64,G35081=1)),MIN(MAX(0,-H34944),MAX(0,Assumptions!$D$64-H34855)),0)</f>
        <v>0</v>
      </c>
      <c r="I34862" s="16" t="n">
        <f aca="false">IF(AND(Assumptions!$P$64=1,OR(I34728&lt;Assumptions!$K$64,H35081=1)),MIN(MAX(0,-I34944),MAX(0,Assumptions!$D$64-I34855)),0)</f>
        <v>0</v>
      </c>
      <c r="J34862" s="16" t="n">
        <f aca="false">IF(AND(Assumptions!$P$64=1,OR(J34728&lt;Assumptions!$K$64,I35081=1)),MIN(MAX(0,-J34944),MAX(0,Assumptions!$D$64-J34855)),0)</f>
        <v>0</v>
      </c>
      <c r="K34862" s="16" t="n">
        <f aca="false">IF(AND(Assumptions!$P$64=1,OR(K34728&lt;Assumptions!$K$64,J35081=1)),MIN(MAX(0,-K34944),MAX(0,Assumptions!$D$64-K34855)),0)</f>
        <v>0</v>
      </c>
    </row>
    <row r="34863" customFormat="false" ht="15" hidden="false" customHeight="false" outlineLevel="0" collapsed="false">
      <c r="A34863" s="3" t="s">
        <v>336</v>
      </c>
      <c r="G34863" s="16" t="n">
        <f aca="false">G34856*MIN(G34855-G34861+G34860,MAX(0,G34946-Assumptions!$C$12*G34762-G34772-G34785-G34798-G34811-G34824-G34837-G34850))</f>
        <v>0</v>
      </c>
      <c r="H34863" s="16" t="n">
        <f aca="false">H34856*MIN(H34855-H34861+H34860,MAX(0,H34946-Assumptions!$C$12*H34762-H34772-H34785-H34798-H34811-H34824-H34837-H34850))</f>
        <v>0</v>
      </c>
      <c r="I34863" s="16" t="n">
        <f aca="false">I34856*MIN(I34855-I34861+I34860,MAX(0,I34946-Assumptions!$C$12*I34762-I34772-I34785-I34798-I34811-I34824-I34837-I34850))</f>
        <v>0</v>
      </c>
      <c r="J34863" s="16" t="n">
        <f aca="false">J34856*MIN(J34855-J34861+J34860,MAX(0,J34946-Assumptions!$C$12*J34762-J34772-J34785-J34798-J34811-J34824-J34837-J34850))</f>
        <v>0</v>
      </c>
      <c r="K34863" s="16" t="n">
        <f aca="false">K34856*MIN(K34855-K34861+K34860,MAX(0,K34946-Assumptions!$C$12*K34762-K34772-K34785-K34798-K34811-K34824-K34837-K34850))</f>
        <v>0</v>
      </c>
    </row>
    <row r="34864" customFormat="false" ht="15" hidden="false" customHeight="false" outlineLevel="0" collapsed="false">
      <c r="A34864" s="3" t="s">
        <v>337</v>
      </c>
      <c r="G34864" s="16" t="n">
        <f aca="false">Assumptions!$N$64*MIN(G34855+G34862+G34860-G34861-G34863,MAX(0,G34950-G34773-G34786-G34799-G34812-G34825-G34838-G34851))</f>
        <v>0</v>
      </c>
      <c r="H34864" s="16" t="n">
        <f aca="false">Assumptions!$N$64*MIN(H34855+H34862+H34860-H34861-H34863,MAX(0,H34950-H34773-H34786-H34799-H34812-H34825-H34838-H34851))</f>
        <v>0</v>
      </c>
      <c r="I34864" s="16" t="n">
        <f aca="false">Assumptions!$N$64*MIN(I34855+I34862+I34860-I34861-I34863,MAX(0,I34950-I34773-I34786-I34799-I34812-I34825-I34838-I34851))</f>
        <v>0</v>
      </c>
      <c r="J34864" s="16" t="n">
        <f aca="false">Assumptions!$N$64*MIN(J34855+J34862+J34860-J34861-J34863,MAX(0,J34950-J34773-J34786-J34799-J34812-J34825-J34838-J34851))</f>
        <v>0</v>
      </c>
      <c r="K34864" s="16" t="n">
        <f aca="false">Assumptions!$N$64*MIN(K34855+K34862+K34860-K34861-K34863,MAX(0,K34950-K34773-K34786-K34799-K34812-K34825-K34838-K34851))</f>
        <v>0</v>
      </c>
    </row>
    <row r="34865" customFormat="false" ht="15" hidden="false" customHeight="false" outlineLevel="0" collapsed="false">
      <c r="A34865" s="3" t="s">
        <v>338</v>
      </c>
      <c r="G34865" s="16" t="n">
        <f aca="false">G34856*(1-G34762)*(G34855-G34861+G34860-G34863)</f>
        <v>0</v>
      </c>
      <c r="H34865" s="16" t="n">
        <f aca="false">H34856*(1-H34762)*(H34855-H34861+H34860-H34863)</f>
        <v>0</v>
      </c>
      <c r="I34865" s="16" t="n">
        <f aca="false">I34856*(1-I34762)*(I34855-I34861+I34860-I34863)</f>
        <v>0</v>
      </c>
      <c r="J34865" s="16" t="n">
        <f aca="false">J34856*(1-J34762)*(J34855-J34861+J34860-J34863)</f>
        <v>350</v>
      </c>
      <c r="K34865" s="16" t="n">
        <f aca="false">K34856*(1-K34762)*(K34855-K34861+K34860-K34863)</f>
        <v>0</v>
      </c>
    </row>
    <row r="34866" customFormat="false" ht="15" hidden="false" customHeight="false" outlineLevel="0" collapsed="false">
      <c r="A34866" s="2" t="s">
        <v>339</v>
      </c>
      <c r="F34866" s="28" t="n">
        <f aca="false">Assumptions!$C$64</f>
        <v>350</v>
      </c>
      <c r="G34866" s="17" t="n">
        <f aca="false">G34855+G34862+G34860-G34861-G34863-G34864</f>
        <v>350</v>
      </c>
      <c r="H34866" s="17" t="n">
        <f aca="false">H34855+H34862+H34860-H34861-H34863-H34864</f>
        <v>350</v>
      </c>
      <c r="I34866" s="17" t="n">
        <f aca="false">I34855+I34862+I34860-I34861-I34863-I34864</f>
        <v>350</v>
      </c>
      <c r="J34866" s="17" t="n">
        <f aca="false">J34855+J34862+J34860-J34861-J34863-J34864</f>
        <v>350</v>
      </c>
      <c r="K34866" s="17" t="n">
        <f aca="false">K34855+K34862+K34860-K34861-K34863-K34864</f>
        <v>350</v>
      </c>
    </row>
    <row r="34867" customFormat="false" ht="15" hidden="false" customHeight="false" outlineLevel="0" collapsed="false">
      <c r="A34867" s="24" t="s">
        <v>347</v>
      </c>
      <c r="B34867" s="25"/>
      <c r="C34867" s="25"/>
      <c r="D34867" s="25"/>
      <c r="E34867" s="25"/>
      <c r="F34867" s="25"/>
      <c r="G34867" s="25"/>
      <c r="H34867" s="25"/>
      <c r="I34867" s="25"/>
      <c r="J34867" s="25"/>
      <c r="K34867" s="25"/>
    </row>
    <row r="34868" customFormat="false" ht="15" hidden="false" customHeight="false" outlineLevel="0" collapsed="false">
      <c r="A34868" s="3" t="s">
        <v>329</v>
      </c>
      <c r="G34868" s="16" t="n">
        <f aca="false">F34879</f>
        <v>300</v>
      </c>
      <c r="H34868" s="16" t="n">
        <f aca="false">G34879</f>
        <v>300</v>
      </c>
      <c r="I34868" s="16" t="n">
        <f aca="false">H34879</f>
        <v>300</v>
      </c>
      <c r="J34868" s="16" t="n">
        <f aca="false">I34879</f>
        <v>300</v>
      </c>
      <c r="K34868" s="16" t="n">
        <f aca="false">J34879</f>
        <v>300</v>
      </c>
    </row>
    <row r="34869" customFormat="false" ht="15" hidden="false" customHeight="false" outlineLevel="0" collapsed="false">
      <c r="A34869" s="3" t="s">
        <v>330</v>
      </c>
      <c r="G34869" s="21" t="n">
        <f aca="false">IF(G34728=Assumptions!$K$65,1,0)</f>
        <v>0</v>
      </c>
      <c r="H34869" s="21" t="n">
        <f aca="false">IF(H34728=Assumptions!$K$65,1,0)</f>
        <v>0</v>
      </c>
      <c r="I34869" s="21" t="n">
        <f aca="false">IF(I34728=Assumptions!$K$65,1,0)</f>
        <v>0</v>
      </c>
      <c r="J34869" s="21" t="n">
        <f aca="false">IF(J34728=Assumptions!$K$65,1,0)</f>
        <v>0</v>
      </c>
      <c r="K34869" s="21" t="n">
        <f aca="false">IF(K34728=Assumptions!$K$65,1,0)</f>
        <v>1</v>
      </c>
    </row>
    <row r="34871" customFormat="false" ht="15" hidden="false" customHeight="false" outlineLevel="0" collapsed="false">
      <c r="A34871" s="3" t="s">
        <v>331</v>
      </c>
      <c r="G34871" s="31" t="n">
        <f aca="false">IF(Assumptions!$I$65=1,MAX(G34754,Assumptions!$G$65)+Assumptions!$F$65+$C$34755,Assumptions!$E$65)</f>
        <v>0.06125</v>
      </c>
      <c r="H34871" s="31" t="n">
        <f aca="false">IF(G35082=1,$C$34756,IF(Assumptions!$I$65=1,MAX(H34754,Assumptions!$G$65)+Assumptions!$F$65+$C$34755,Assumptions!$E$65))</f>
        <v>0.06125</v>
      </c>
      <c r="I34871" s="31" t="n">
        <f aca="false">IF(H35082=1,$C$34756,IF(Assumptions!$I$65=1,MAX(I34754,Assumptions!$G$65)+Assumptions!$F$65+$C$34755,Assumptions!$E$65))</f>
        <v>0.06125</v>
      </c>
      <c r="J34871" s="31" t="n">
        <f aca="false">IF(I35082=1,$C$34756,IF(Assumptions!$I$65=1,MAX(J34754,Assumptions!$G$65)+Assumptions!$F$65+$C$34755,Assumptions!$E$65))</f>
        <v>0.06125</v>
      </c>
      <c r="K34871" s="31" t="n">
        <f aca="false">IF(J35082=1,$C$34756,IF(Assumptions!$I$65=1,MAX(K34754,Assumptions!$G$65)+Assumptions!$F$65+$C$34755,Assumptions!$E$65))</f>
        <v>0.06125</v>
      </c>
    </row>
    <row r="34872" customFormat="false" ht="15" hidden="false" customHeight="false" outlineLevel="0" collapsed="false">
      <c r="A34872" s="3" t="s">
        <v>332</v>
      </c>
      <c r="G34872" s="16" t="n">
        <f aca="false">G34868*G34871</f>
        <v>18.375</v>
      </c>
      <c r="H34872" s="16" t="n">
        <f aca="false">H34868*H34871</f>
        <v>18.375</v>
      </c>
      <c r="I34872" s="16" t="n">
        <f aca="false">I34868*I34871</f>
        <v>18.375</v>
      </c>
      <c r="J34872" s="16" t="n">
        <f aca="false">J34868*J34871</f>
        <v>18.375</v>
      </c>
      <c r="K34872" s="16" t="n">
        <f aca="false">K34868*K34871</f>
        <v>18.375</v>
      </c>
    </row>
    <row r="34873" customFormat="false" ht="15" hidden="false" customHeight="false" outlineLevel="0" collapsed="false">
      <c r="A34873" s="3" t="s">
        <v>333</v>
      </c>
      <c r="G34873" s="16" t="n">
        <f aca="false">G34868*Assumptions!$H$65</f>
        <v>0</v>
      </c>
      <c r="H34873" s="16" t="n">
        <f aca="false">H34868*Assumptions!$H$65</f>
        <v>0</v>
      </c>
      <c r="I34873" s="16" t="n">
        <f aca="false">I34868*Assumptions!$H$65</f>
        <v>0</v>
      </c>
      <c r="J34873" s="16" t="n">
        <f aca="false">J34868*Assumptions!$H$65</f>
        <v>0</v>
      </c>
      <c r="K34873" s="16" t="n">
        <f aca="false">K34868*Assumptions!$H$65</f>
        <v>0</v>
      </c>
    </row>
    <row r="34874" customFormat="false" ht="15" hidden="false" customHeight="false" outlineLevel="0" collapsed="false">
      <c r="A34874" s="3" t="s">
        <v>334</v>
      </c>
      <c r="G34874" s="16" t="n">
        <f aca="false">MIN(G34868,Assumptions!$L$65*Assumptions!$C$65)</f>
        <v>0</v>
      </c>
      <c r="H34874" s="16" t="n">
        <f aca="false">MIN(H34868,Assumptions!$L$65*Assumptions!$C$65)</f>
        <v>0</v>
      </c>
      <c r="I34874" s="16" t="n">
        <f aca="false">MIN(I34868,Assumptions!$L$65*Assumptions!$C$65)</f>
        <v>0</v>
      </c>
      <c r="J34874" s="16" t="n">
        <f aca="false">MIN(J34868,Assumptions!$L$65*Assumptions!$C$65)</f>
        <v>0</v>
      </c>
      <c r="K34874" s="16" t="n">
        <f aca="false">MIN(K34868,Assumptions!$L$65*Assumptions!$C$65)</f>
        <v>0</v>
      </c>
    </row>
    <row r="34875" customFormat="false" ht="15" hidden="false" customHeight="false" outlineLevel="0" collapsed="false">
      <c r="A34875" s="3" t="s">
        <v>335</v>
      </c>
      <c r="G34875" s="16" t="n">
        <f aca="false">IF(AND(Assumptions!$P$65=1,G34728&lt;Assumptions!$K$65),MIN(MAX(0,-G34944),MAX(0,Assumptions!$D$65-G34868)),0)</f>
        <v>0</v>
      </c>
      <c r="H34875" s="16" t="n">
        <f aca="false">IF(AND(Assumptions!$P$65=1,OR(H34728&lt;Assumptions!$K$65,G35082=1)),MIN(MAX(0,-H34944),MAX(0,Assumptions!$D$65-H34868)),0)</f>
        <v>0</v>
      </c>
      <c r="I34875" s="16" t="n">
        <f aca="false">IF(AND(Assumptions!$P$65=1,OR(I34728&lt;Assumptions!$K$65,H35082=1)),MIN(MAX(0,-I34944),MAX(0,Assumptions!$D$65-I34868)),0)</f>
        <v>0</v>
      </c>
      <c r="J34875" s="16" t="n">
        <f aca="false">IF(AND(Assumptions!$P$65=1,OR(J34728&lt;Assumptions!$K$65,I35082=1)),MIN(MAX(0,-J34944),MAX(0,Assumptions!$D$65-J34868)),0)</f>
        <v>0</v>
      </c>
      <c r="K34875" s="16" t="n">
        <f aca="false">IF(AND(Assumptions!$P$65=1,OR(K34728&lt;Assumptions!$K$65,J35082=1)),MIN(MAX(0,-K34944),MAX(0,Assumptions!$D$65-K34868)),0)</f>
        <v>0</v>
      </c>
    </row>
    <row r="34876" customFormat="false" ht="15" hidden="false" customHeight="false" outlineLevel="0" collapsed="false">
      <c r="A34876" s="3" t="s">
        <v>336</v>
      </c>
      <c r="G34876" s="16" t="n">
        <f aca="false">G34869*MIN(G34868-G34874+G34873,MAX(0,G34946-Assumptions!$C$12*G34762-G34772-G34785-G34798-G34811-G34824-G34837-G34850-G34863))</f>
        <v>0</v>
      </c>
      <c r="H34876" s="16" t="n">
        <f aca="false">H34869*MIN(H34868-H34874+H34873,MAX(0,H34946-Assumptions!$C$12*H34762-H34772-H34785-H34798-H34811-H34824-H34837-H34850-H34863))</f>
        <v>0</v>
      </c>
      <c r="I34876" s="16" t="n">
        <f aca="false">I34869*MIN(I34868-I34874+I34873,MAX(0,I34946-Assumptions!$C$12*I34762-I34772-I34785-I34798-I34811-I34824-I34837-I34850-I34863))</f>
        <v>0</v>
      </c>
      <c r="J34876" s="16" t="n">
        <f aca="false">J34869*MIN(J34868-J34874+J34873,MAX(0,J34946-Assumptions!$C$12*J34762-J34772-J34785-J34798-J34811-J34824-J34837-J34850-J34863))</f>
        <v>0</v>
      </c>
      <c r="K34876" s="16" t="n">
        <f aca="false">K34869*MIN(K34868-K34874+K34873,MAX(0,K34946-Assumptions!$C$12*K34762-K34772-K34785-K34798-K34811-K34824-K34837-K34850-K34863))</f>
        <v>0</v>
      </c>
    </row>
    <row r="34877" customFormat="false" ht="15" hidden="false" customHeight="false" outlineLevel="0" collapsed="false">
      <c r="A34877" s="3" t="s">
        <v>337</v>
      </c>
      <c r="G34877" s="16" t="n">
        <f aca="false">Assumptions!$N$65*MIN(G34868+G34875+G34873-G34874-G34876,MAX(0,G34950-G34773-G34786-G34799-G34812-G34825-G34838-G34851-G34864))</f>
        <v>0</v>
      </c>
      <c r="H34877" s="16" t="n">
        <f aca="false">Assumptions!$N$65*MIN(H34868+H34875+H34873-H34874-H34876,MAX(0,H34950-H34773-H34786-H34799-H34812-H34825-H34838-H34851-H34864))</f>
        <v>0</v>
      </c>
      <c r="I34877" s="16" t="n">
        <f aca="false">Assumptions!$N$65*MIN(I34868+I34875+I34873-I34874-I34876,MAX(0,I34950-I34773-I34786-I34799-I34812-I34825-I34838-I34851-I34864))</f>
        <v>0</v>
      </c>
      <c r="J34877" s="16" t="n">
        <f aca="false">Assumptions!$N$65*MIN(J34868+J34875+J34873-J34874-J34876,MAX(0,J34950-J34773-J34786-J34799-J34812-J34825-J34838-J34851-J34864))</f>
        <v>0</v>
      </c>
      <c r="K34877" s="16" t="n">
        <f aca="false">Assumptions!$N$65*MIN(K34868+K34875+K34873-K34874-K34876,MAX(0,K34950-K34773-K34786-K34799-K34812-K34825-K34838-K34851-K34864))</f>
        <v>0</v>
      </c>
    </row>
    <row r="34878" customFormat="false" ht="15" hidden="false" customHeight="false" outlineLevel="0" collapsed="false">
      <c r="A34878" s="3" t="s">
        <v>338</v>
      </c>
      <c r="G34878" s="16" t="n">
        <f aca="false">G34869*(1-G34762)*(G34868-G34874+G34873-G34876)</f>
        <v>0</v>
      </c>
      <c r="H34878" s="16" t="n">
        <f aca="false">H34869*(1-H34762)*(H34868-H34874+H34873-H34876)</f>
        <v>0</v>
      </c>
      <c r="I34878" s="16" t="n">
        <f aca="false">I34869*(1-I34762)*(I34868-I34874+I34873-I34876)</f>
        <v>0</v>
      </c>
      <c r="J34878" s="16" t="n">
        <f aca="false">J34869*(1-J34762)*(J34868-J34874+J34873-J34876)</f>
        <v>0</v>
      </c>
      <c r="K34878" s="16" t="n">
        <f aca="false">K34869*(1-K34762)*(K34868-K34874+K34873-K34876)</f>
        <v>300</v>
      </c>
    </row>
    <row r="34879" customFormat="false" ht="15" hidden="false" customHeight="false" outlineLevel="0" collapsed="false">
      <c r="A34879" s="2" t="s">
        <v>339</v>
      </c>
      <c r="F34879" s="28" t="n">
        <f aca="false">Assumptions!$C$65</f>
        <v>300</v>
      </c>
      <c r="G34879" s="17" t="n">
        <f aca="false">G34868+G34875+G34873-G34874-G34876-G34877</f>
        <v>300</v>
      </c>
      <c r="H34879" s="17" t="n">
        <f aca="false">H34868+H34875+H34873-H34874-H34876-H34877</f>
        <v>300</v>
      </c>
      <c r="I34879" s="17" t="n">
        <f aca="false">I34868+I34875+I34873-I34874-I34876-I34877</f>
        <v>300</v>
      </c>
      <c r="J34879" s="17" t="n">
        <f aca="false">J34868+J34875+J34873-J34874-J34876-J34877</f>
        <v>300</v>
      </c>
      <c r="K34879" s="17" t="n">
        <f aca="false">K34868+K34875+K34873-K34874-K34876-K34877</f>
        <v>300</v>
      </c>
    </row>
    <row r="34880" customFormat="false" ht="15" hidden="false" customHeight="false" outlineLevel="0" collapsed="false">
      <c r="A34880" s="24" t="s">
        <v>348</v>
      </c>
      <c r="B34880" s="25"/>
      <c r="C34880" s="25"/>
      <c r="D34880" s="25"/>
      <c r="E34880" s="25"/>
      <c r="F34880" s="25"/>
      <c r="G34880" s="25"/>
      <c r="H34880" s="25"/>
      <c r="I34880" s="25"/>
      <c r="J34880" s="25"/>
      <c r="K34880" s="25"/>
    </row>
    <row r="34881" customFormat="false" ht="15" hidden="false" customHeight="false" outlineLevel="0" collapsed="false">
      <c r="A34881" s="3" t="s">
        <v>329</v>
      </c>
      <c r="G34881" s="16" t="n">
        <f aca="false">F34892</f>
        <v>78.61</v>
      </c>
      <c r="H34881" s="16" t="n">
        <f aca="false">G34892</f>
        <v>78.61</v>
      </c>
      <c r="I34881" s="16" t="n">
        <f aca="false">H34892</f>
        <v>78.61</v>
      </c>
      <c r="J34881" s="16" t="n">
        <f aca="false">I34892</f>
        <v>78.61</v>
      </c>
      <c r="K34881" s="16" t="n">
        <f aca="false">J34892</f>
        <v>78.61</v>
      </c>
    </row>
    <row r="34882" customFormat="false" ht="15" hidden="false" customHeight="false" outlineLevel="0" collapsed="false">
      <c r="A34882" s="3" t="s">
        <v>330</v>
      </c>
      <c r="G34882" s="21" t="n">
        <f aca="false">IF(G34728=Assumptions!$K$66,1,0)</f>
        <v>0</v>
      </c>
      <c r="H34882" s="21" t="n">
        <f aca="false">IF(H34728=Assumptions!$K$66,1,0)</f>
        <v>0</v>
      </c>
      <c r="I34882" s="21" t="n">
        <f aca="false">IF(I34728=Assumptions!$K$66,1,0)</f>
        <v>0</v>
      </c>
      <c r="J34882" s="21" t="n">
        <f aca="false">IF(J34728=Assumptions!$K$66,1,0)</f>
        <v>0</v>
      </c>
      <c r="K34882" s="21" t="n">
        <f aca="false">IF(K34728=Assumptions!$K$66,1,0)</f>
        <v>0</v>
      </c>
    </row>
    <row r="34884" customFormat="false" ht="15" hidden="false" customHeight="false" outlineLevel="0" collapsed="false">
      <c r="A34884" s="3" t="s">
        <v>331</v>
      </c>
      <c r="G34884" s="31" t="n">
        <f aca="false">IF(Assumptions!$I$66=1,MAX(G34754,Assumptions!$G$66)+Assumptions!$F$66+$C$34755,Assumptions!$E$66)</f>
        <v>0.0691</v>
      </c>
      <c r="H34884" s="31" t="n">
        <f aca="false">IF(G35083=1,$C$34756,IF(Assumptions!$I$66=1,MAX(H34754,Assumptions!$G$66)+Assumptions!$F$66+$C$34755,Assumptions!$E$66))</f>
        <v>0.0676</v>
      </c>
      <c r="I34884" s="31" t="n">
        <f aca="false">IF(H35083=1,$C$34756,IF(Assumptions!$I$66=1,MAX(I34754,Assumptions!$G$66)+Assumptions!$F$66+$C$34755,Assumptions!$E$66))</f>
        <v>0.0651</v>
      </c>
      <c r="J34884" s="31" t="n">
        <f aca="false">IF(I35083=1,$C$34756,IF(Assumptions!$I$66=1,MAX(J34754,Assumptions!$G$66)+Assumptions!$F$66+$C$34755,Assumptions!$E$66))</f>
        <v>0.0651</v>
      </c>
      <c r="K34884" s="31" t="n">
        <f aca="false">IF(J35083=1,$C$34756,IF(Assumptions!$I$66=1,MAX(K34754,Assumptions!$G$66)+Assumptions!$F$66+$C$34755,Assumptions!$E$66))</f>
        <v>0.0651</v>
      </c>
    </row>
    <row r="34885" customFormat="false" ht="15" hidden="false" customHeight="false" outlineLevel="0" collapsed="false">
      <c r="A34885" s="3" t="s">
        <v>332</v>
      </c>
      <c r="G34885" s="16" t="n">
        <f aca="false">G34881*G34884</f>
        <v>5.431951</v>
      </c>
      <c r="H34885" s="16" t="n">
        <f aca="false">H34881*H34884</f>
        <v>5.314036</v>
      </c>
      <c r="I34885" s="16" t="n">
        <f aca="false">I34881*I34884</f>
        <v>5.117511</v>
      </c>
      <c r="J34885" s="16" t="n">
        <f aca="false">J34881*J34884</f>
        <v>5.117511</v>
      </c>
      <c r="K34885" s="16" t="n">
        <f aca="false">K34881*K34884</f>
        <v>5.117511</v>
      </c>
    </row>
    <row r="34886" customFormat="false" ht="15" hidden="false" customHeight="false" outlineLevel="0" collapsed="false">
      <c r="A34886" s="3" t="s">
        <v>333</v>
      </c>
      <c r="G34886" s="16" t="n">
        <f aca="false">G34881*Assumptions!$H$66</f>
        <v>0</v>
      </c>
      <c r="H34886" s="16" t="n">
        <f aca="false">H34881*Assumptions!$H$66</f>
        <v>0</v>
      </c>
      <c r="I34886" s="16" t="n">
        <f aca="false">I34881*Assumptions!$H$66</f>
        <v>0</v>
      </c>
      <c r="J34886" s="16" t="n">
        <f aca="false">J34881*Assumptions!$H$66</f>
        <v>0</v>
      </c>
      <c r="K34886" s="16" t="n">
        <f aca="false">K34881*Assumptions!$H$66</f>
        <v>0</v>
      </c>
    </row>
    <row r="34887" customFormat="false" ht="15" hidden="false" customHeight="false" outlineLevel="0" collapsed="false">
      <c r="A34887" s="3" t="s">
        <v>334</v>
      </c>
      <c r="G34887" s="16" t="n">
        <f aca="false">MIN(G34881,Assumptions!$L$66*Assumptions!$C$66)</f>
        <v>0</v>
      </c>
      <c r="H34887" s="16" t="n">
        <f aca="false">MIN(H34881,Assumptions!$L$66*Assumptions!$C$66)</f>
        <v>0</v>
      </c>
      <c r="I34887" s="16" t="n">
        <f aca="false">MIN(I34881,Assumptions!$L$66*Assumptions!$C$66)</f>
        <v>0</v>
      </c>
      <c r="J34887" s="16" t="n">
        <f aca="false">MIN(J34881,Assumptions!$L$66*Assumptions!$C$66)</f>
        <v>0</v>
      </c>
      <c r="K34887" s="16" t="n">
        <f aca="false">MIN(K34881,Assumptions!$L$66*Assumptions!$C$66)</f>
        <v>0</v>
      </c>
    </row>
    <row r="34888" customFormat="false" ht="15" hidden="false" customHeight="false" outlineLevel="0" collapsed="false">
      <c r="A34888" s="3" t="s">
        <v>335</v>
      </c>
      <c r="G34888" s="16" t="n">
        <f aca="false">IF(AND(Assumptions!$P$66=1,G34728&lt;Assumptions!$K$66),MIN(MAX(0,-G34944),MAX(0,Assumptions!$D$66-G34881)),0)</f>
        <v>0</v>
      </c>
      <c r="H34888" s="16" t="n">
        <f aca="false">IF(AND(Assumptions!$P$66=1,OR(H34728&lt;Assumptions!$K$66,G35083=1)),MIN(MAX(0,-H34944),MAX(0,Assumptions!$D$66-H34881)),0)</f>
        <v>0</v>
      </c>
      <c r="I34888" s="16" t="n">
        <f aca="false">IF(AND(Assumptions!$P$66=1,OR(I34728&lt;Assumptions!$K$66,H35083=1)),MIN(MAX(0,-I34944),MAX(0,Assumptions!$D$66-I34881)),0)</f>
        <v>0</v>
      </c>
      <c r="J34888" s="16" t="n">
        <f aca="false">IF(AND(Assumptions!$P$66=1,OR(J34728&lt;Assumptions!$K$66,I35083=1)),MIN(MAX(0,-J34944),MAX(0,Assumptions!$D$66-J34881)),0)</f>
        <v>0</v>
      </c>
      <c r="K34888" s="16" t="n">
        <f aca="false">IF(AND(Assumptions!$P$66=1,OR(K34728&lt;Assumptions!$K$66,J35083=1)),MIN(MAX(0,-K34944),MAX(0,Assumptions!$D$66-K34881)),0)</f>
        <v>0</v>
      </c>
    </row>
    <row r="34889" customFormat="false" ht="15" hidden="false" customHeight="false" outlineLevel="0" collapsed="false">
      <c r="A34889" s="3" t="s">
        <v>336</v>
      </c>
      <c r="G34889" s="16" t="n">
        <f aca="false">G34882*MIN(G34881-G34887+G34886,MAX(0,G34946-Assumptions!$C$12*G34762-G34772-G34785-G34798-G34811-G34824-G34837-G34850-G34863-G34876))</f>
        <v>0</v>
      </c>
      <c r="H34889" s="16" t="n">
        <f aca="false">H34882*MIN(H34881-H34887+H34886,MAX(0,H34946-Assumptions!$C$12*H34762-H34772-H34785-H34798-H34811-H34824-H34837-H34850-H34863-H34876))</f>
        <v>0</v>
      </c>
      <c r="I34889" s="16" t="n">
        <f aca="false">I34882*MIN(I34881-I34887+I34886,MAX(0,I34946-Assumptions!$C$12*I34762-I34772-I34785-I34798-I34811-I34824-I34837-I34850-I34863-I34876))</f>
        <v>0</v>
      </c>
      <c r="J34889" s="16" t="n">
        <f aca="false">J34882*MIN(J34881-J34887+J34886,MAX(0,J34946-Assumptions!$C$12*J34762-J34772-J34785-J34798-J34811-J34824-J34837-J34850-J34863-J34876))</f>
        <v>0</v>
      </c>
      <c r="K34889" s="16" t="n">
        <f aca="false">K34882*MIN(K34881-K34887+K34886,MAX(0,K34946-Assumptions!$C$12*K34762-K34772-K34785-K34798-K34811-K34824-K34837-K34850-K34863-K34876))</f>
        <v>0</v>
      </c>
    </row>
    <row r="34890" customFormat="false" ht="15" hidden="false" customHeight="false" outlineLevel="0" collapsed="false">
      <c r="A34890" s="3" t="s">
        <v>337</v>
      </c>
      <c r="G34890" s="16" t="n">
        <f aca="false">Assumptions!$N$66*MIN(G34881+G34888+G34886-G34887-G34889,MAX(0,G34950-G34773-G34786-G34799-G34812-G34825-G34838-G34851-G34864-G34877))</f>
        <v>0</v>
      </c>
      <c r="H34890" s="16" t="n">
        <f aca="false">Assumptions!$N$66*MIN(H34881+H34888+H34886-H34887-H34889,MAX(0,H34950-H34773-H34786-H34799-H34812-H34825-H34838-H34851-H34864-H34877))</f>
        <v>0</v>
      </c>
      <c r="I34890" s="16" t="n">
        <f aca="false">Assumptions!$N$66*MIN(I34881+I34888+I34886-I34887-I34889,MAX(0,I34950-I34773-I34786-I34799-I34812-I34825-I34838-I34851-I34864-I34877))</f>
        <v>0</v>
      </c>
      <c r="J34890" s="16" t="n">
        <f aca="false">Assumptions!$N$66*MIN(J34881+J34888+J34886-J34887-J34889,MAX(0,J34950-J34773-J34786-J34799-J34812-J34825-J34838-J34851-J34864-J34877))</f>
        <v>0</v>
      </c>
      <c r="K34890" s="16" t="n">
        <f aca="false">Assumptions!$N$66*MIN(K34881+K34888+K34886-K34887-K34889,MAX(0,K34950-K34773-K34786-K34799-K34812-K34825-K34838-K34851-K34864-K34877))</f>
        <v>0</v>
      </c>
    </row>
    <row r="34891" customFormat="false" ht="15" hidden="false" customHeight="false" outlineLevel="0" collapsed="false">
      <c r="A34891" s="3" t="s">
        <v>338</v>
      </c>
      <c r="G34891" s="16" t="n">
        <f aca="false">G34882*(1-G34762)*(G34881-G34887+G34886-G34889)</f>
        <v>0</v>
      </c>
      <c r="H34891" s="16" t="n">
        <f aca="false">H34882*(1-H34762)*(H34881-H34887+H34886-H34889)</f>
        <v>0</v>
      </c>
      <c r="I34891" s="16" t="n">
        <f aca="false">I34882*(1-I34762)*(I34881-I34887+I34886-I34889)</f>
        <v>0</v>
      </c>
      <c r="J34891" s="16" t="n">
        <f aca="false">J34882*(1-J34762)*(J34881-J34887+J34886-J34889)</f>
        <v>0</v>
      </c>
      <c r="K34891" s="16" t="n">
        <f aca="false">K34882*(1-K34762)*(K34881-K34887+K34886-K34889)</f>
        <v>0</v>
      </c>
    </row>
    <row r="34892" customFormat="false" ht="15" hidden="false" customHeight="false" outlineLevel="0" collapsed="false">
      <c r="A34892" s="2" t="s">
        <v>339</v>
      </c>
      <c r="F34892" s="28" t="n">
        <f aca="false">Assumptions!$C$66</f>
        <v>78.61</v>
      </c>
      <c r="G34892" s="17" t="n">
        <f aca="false">G34881+G34888+G34886-G34887-G34889-G34890</f>
        <v>78.61</v>
      </c>
      <c r="H34892" s="17" t="n">
        <f aca="false">H34881+H34888+H34886-H34887-H34889-H34890</f>
        <v>78.61</v>
      </c>
      <c r="I34892" s="17" t="n">
        <f aca="false">I34881+I34888+I34886-I34887-I34889-I34890</f>
        <v>78.61</v>
      </c>
      <c r="J34892" s="17" t="n">
        <f aca="false">J34881+J34888+J34886-J34887-J34889-J34890</f>
        <v>78.61</v>
      </c>
      <c r="K34892" s="17" t="n">
        <f aca="false">K34881+K34888+K34886-K34887-K34889-K34890</f>
        <v>78.61</v>
      </c>
    </row>
    <row r="34893" customFormat="false" ht="15" hidden="false" customHeight="false" outlineLevel="0" collapsed="false">
      <c r="A34893" s="24" t="s">
        <v>349</v>
      </c>
      <c r="B34893" s="25"/>
      <c r="C34893" s="25"/>
      <c r="D34893" s="25"/>
      <c r="E34893" s="25"/>
      <c r="F34893" s="25"/>
      <c r="G34893" s="25"/>
      <c r="H34893" s="25"/>
      <c r="I34893" s="25"/>
      <c r="J34893" s="25"/>
      <c r="K34893" s="25"/>
    </row>
    <row r="34894" customFormat="false" ht="15" hidden="false" customHeight="false" outlineLevel="0" collapsed="false">
      <c r="A34894" s="2" t="s">
        <v>350</v>
      </c>
      <c r="F34894" s="17" t="n">
        <f aca="false">F34775+F34788+F34801+F34814+F34827+F34840+F34853+F34866+F34879+F34892</f>
        <v>2625.934</v>
      </c>
      <c r="G34894" s="17" t="n">
        <f aca="false">G34775+G34788+G34801+G34814+G34827+G34840+G34853+G34866+G34879+G34892</f>
        <v>2621.934</v>
      </c>
      <c r="H34894" s="17" t="n">
        <f aca="false">H34775+H34788+H34801+H34814+H34827+H34840+H34853+H34866+H34879+H34892</f>
        <v>2569.380357881</v>
      </c>
      <c r="I34894" s="17" t="n">
        <f aca="false">I34775+I34788+I34801+I34814+I34827+I34840+I34853+I34866+I34879+I34892</f>
        <v>2565.380357881</v>
      </c>
      <c r="J34894" s="17" t="n">
        <f aca="false">J34775+J34788+J34801+J34814+J34827+J34840+J34853+J34866+J34879+J34892</f>
        <v>2561.380357881</v>
      </c>
      <c r="K34894" s="17" t="n">
        <f aca="false">K34775+K34788+K34801+K34814+K34827+K34840+K34853+K34866+K34879+K34892</f>
        <v>2557.380357881</v>
      </c>
    </row>
    <row r="34895" customFormat="false" ht="15" hidden="false" customHeight="false" outlineLevel="0" collapsed="false">
      <c r="A34895" s="3" t="s">
        <v>351</v>
      </c>
      <c r="G34895" s="16" t="n">
        <f aca="false">G34765*Assumptions!$C$57+G34778*Assumptions!$C$58+G34791*Assumptions!$C$59+G34804*Assumptions!$C$60+G34817*Assumptions!$C$61+G34830*Assumptions!$C$62+G34843*Assumptions!$C$63+G34856*Assumptions!$C$64+G34869*Assumptions!$C$65+G34882*Assumptions!$C$66</f>
        <v>0</v>
      </c>
      <c r="H34895" s="16" t="n">
        <f aca="false">H34765*Assumptions!$C$57+H34778*Assumptions!$C$58+H34791*Assumptions!$C$59+H34804*Assumptions!$C$60+H34817*Assumptions!$C$61+H34830*Assumptions!$C$62+H34843*Assumptions!$C$63+H34856*Assumptions!$C$64+H34869*Assumptions!$C$65+H34882*Assumptions!$C$66</f>
        <v>800</v>
      </c>
      <c r="I34895" s="16" t="n">
        <f aca="false">I34765*Assumptions!$C$57+I34778*Assumptions!$C$58+I34791*Assumptions!$C$59+I34804*Assumptions!$C$60+I34817*Assumptions!$C$61+I34830*Assumptions!$C$62+I34843*Assumptions!$C$63+I34856*Assumptions!$C$64+I34869*Assumptions!$C$65+I34882*Assumptions!$C$66</f>
        <v>550</v>
      </c>
      <c r="J34895" s="16" t="n">
        <f aca="false">J34765*Assumptions!$C$57+J34778*Assumptions!$C$58+J34791*Assumptions!$C$59+J34804*Assumptions!$C$60+J34817*Assumptions!$C$61+J34830*Assumptions!$C$62+J34843*Assumptions!$C$63+J34856*Assumptions!$C$64+J34869*Assumptions!$C$65+J34882*Assumptions!$C$66</f>
        <v>350</v>
      </c>
      <c r="K34895" s="16" t="n">
        <f aca="false">K34765*Assumptions!$C$57+K34778*Assumptions!$C$58+K34791*Assumptions!$C$59+K34804*Assumptions!$C$60+K34817*Assumptions!$C$61+K34830*Assumptions!$C$62+K34843*Assumptions!$C$63+K34856*Assumptions!$C$64+K34869*Assumptions!$C$65+K34882*Assumptions!$C$66</f>
        <v>700</v>
      </c>
    </row>
    <row r="34896" customFormat="false" ht="15" hidden="false" customHeight="false" outlineLevel="0" collapsed="false">
      <c r="A34896" s="24" t="s">
        <v>352</v>
      </c>
      <c r="B34896" s="25"/>
      <c r="C34896" s="25"/>
      <c r="D34896" s="25"/>
      <c r="E34896" s="25"/>
      <c r="F34896" s="25"/>
      <c r="G34896" s="25"/>
      <c r="H34896" s="25"/>
      <c r="I34896" s="25"/>
      <c r="J34896" s="25"/>
      <c r="K34896" s="25"/>
    </row>
    <row r="34897" customFormat="false" ht="15" hidden="false" customHeight="false" outlineLevel="0" collapsed="false">
      <c r="A34897" s="3" t="s">
        <v>353</v>
      </c>
      <c r="C34897" s="16" t="n">
        <f aca="false">SUMPRODUCT($G$34765:$K$34765,$G$34764:$K$34764-$G$34770:$K$34770+$G$34769:$K$34769)</f>
        <v>380</v>
      </c>
    </row>
    <row r="34898" customFormat="false" ht="15" hidden="false" customHeight="false" outlineLevel="0" collapsed="false">
      <c r="A34898" s="3" t="s">
        <v>354</v>
      </c>
      <c r="C34898" s="16" t="n">
        <f aca="false">SUMPRODUCT($G$34765:$K$34765,$G$34772:$K$34772)</f>
        <v>0</v>
      </c>
    </row>
    <row r="34899" customFormat="false" ht="15" hidden="false" customHeight="false" outlineLevel="0" collapsed="false">
      <c r="A34899" s="3" t="s">
        <v>355</v>
      </c>
      <c r="C34899" s="3" t="str">
        <f aca="false">IF(SUM($G$34765:$K$34765)=0,"n/a (beyond horizon)",IF(SUMPRODUCT($G$34765:$K$34765,$G$34762:$K$34762)&gt;0,"REFINANCING PASS","REFINANCING FAILURE"))</f>
        <v>REFINANCING FAILURE</v>
      </c>
    </row>
    <row r="34900" customFormat="false" ht="15" hidden="false" customHeight="false" outlineLevel="0" collapsed="false">
      <c r="A34900" s="3" t="s">
        <v>356</v>
      </c>
      <c r="C34900" s="3" t="str">
        <f aca="false">IF(SUM($G$34765:$K$34765)=0,"n/a",IF(C34898&gt;=C34897-0.001,"Repaid from cash",IF(SUMPRODUCT($G$34765:$K$34765,$G$34762:$K$34762)&gt;0,IF(C34898&gt;0,"Partly repaid; remainder refinanced","Refinanced"),IF(SUM($G$34774:$K$34774)&gt;0.001,IF(C34898&gt;0,"Partial repayment; PAYMENT DEFAULT","PAYMENT DEFAULT"),"Repaid from cash"))))</f>
        <v>PAYMENT DEFAULT</v>
      </c>
    </row>
    <row r="34901" customFormat="false" ht="15" hidden="false" customHeight="false" outlineLevel="0" collapsed="false">
      <c r="A34901" s="3" t="s">
        <v>357</v>
      </c>
      <c r="C34901" s="16" t="n">
        <f aca="false">SUMPRODUCT($G$34778:$K$34778,$G$34777:$K$34777-$G$34783:$K$34783+$G$34782:$K$34782)</f>
        <v>0</v>
      </c>
    </row>
    <row r="34902" customFormat="false" ht="15" hidden="false" customHeight="false" outlineLevel="0" collapsed="false">
      <c r="A34902" s="3" t="s">
        <v>358</v>
      </c>
      <c r="C34902" s="16" t="n">
        <f aca="false">SUMPRODUCT($G$34778:$K$34778,$G$34785:$K$34785)</f>
        <v>0</v>
      </c>
    </row>
    <row r="34903" customFormat="false" ht="15" hidden="false" customHeight="false" outlineLevel="0" collapsed="false">
      <c r="A34903" s="3" t="s">
        <v>359</v>
      </c>
      <c r="C34903" s="3" t="str">
        <f aca="false">IF(SUM($G$34778:$K$34778)=0,"n/a (beyond horizon)",IF(SUMPRODUCT($G$34778:$K$34778,$G$34762:$K$34762)&gt;0,"REFINANCING PASS","REFINANCING FAILURE"))</f>
        <v>n/a (beyond horizon)</v>
      </c>
    </row>
    <row r="34904" customFormat="false" ht="15" hidden="false" customHeight="false" outlineLevel="0" collapsed="false">
      <c r="A34904" s="3" t="s">
        <v>360</v>
      </c>
      <c r="C34904" s="3" t="str">
        <f aca="false">IF(SUM($G$34778:$K$34778)=0,"n/a",IF(C34902&gt;=C34901-0.001,"Repaid from cash",IF(SUMPRODUCT($G$34778:$K$34778,$G$34762:$K$34762)&gt;0,IF(C34902&gt;0,"Partly repaid; remainder refinanced","Refinanced"),IF(SUM($G$34787:$K$34787)&gt;0.001,IF(C34902&gt;0,"Partial repayment; PAYMENT DEFAULT","PAYMENT DEFAULT"),"Repaid from cash"))))</f>
        <v>n/a</v>
      </c>
    </row>
    <row r="34905" customFormat="false" ht="15" hidden="false" customHeight="false" outlineLevel="0" collapsed="false">
      <c r="A34905" s="3" t="s">
        <v>361</v>
      </c>
      <c r="C34905" s="16" t="n">
        <f aca="false">SUMPRODUCT($G$34791:$K$34791,$G$34790:$K$34790-$G$34796:$K$34796+$G$34795:$K$34795)</f>
        <v>0</v>
      </c>
    </row>
    <row r="34906" customFormat="false" ht="15" hidden="false" customHeight="false" outlineLevel="0" collapsed="false">
      <c r="A34906" s="3" t="s">
        <v>362</v>
      </c>
      <c r="C34906" s="16" t="n">
        <f aca="false">SUMPRODUCT($G$34791:$K$34791,$G$34798:$K$34798)</f>
        <v>0</v>
      </c>
    </row>
    <row r="34907" customFormat="false" ht="15" hidden="false" customHeight="false" outlineLevel="0" collapsed="false">
      <c r="A34907" s="3" t="s">
        <v>363</v>
      </c>
      <c r="C34907" s="3" t="str">
        <f aca="false">IF(SUM($G$34791:$K$34791)=0,"n/a (beyond horizon)",IF(SUMPRODUCT($G$34791:$K$34791,$G$34762:$K$34762)&gt;0,"REFINANCING PASS","REFINANCING FAILURE"))</f>
        <v>n/a (beyond horizon)</v>
      </c>
    </row>
    <row r="34908" customFormat="false" ht="15" hidden="false" customHeight="false" outlineLevel="0" collapsed="false">
      <c r="A34908" s="3" t="s">
        <v>364</v>
      </c>
      <c r="C34908" s="3" t="str">
        <f aca="false">IF(SUM($G$34791:$K$34791)=0,"n/a",IF(C34906&gt;=C34905-0.001,"Repaid from cash",IF(SUMPRODUCT($G$34791:$K$34791,$G$34762:$K$34762)&gt;0,IF(C34906&gt;0,"Partly repaid; remainder refinanced","Refinanced"),IF(SUM($G$34800:$K$34800)&gt;0.001,IF(C34906&gt;0,"Partial repayment; PAYMENT DEFAULT","PAYMENT DEFAULT"),"Repaid from cash"))))</f>
        <v>n/a</v>
      </c>
    </row>
    <row r="34909" customFormat="false" ht="15" hidden="false" customHeight="false" outlineLevel="0" collapsed="false">
      <c r="A34909" s="3" t="s">
        <v>365</v>
      </c>
      <c r="C34909" s="16" t="n">
        <f aca="false">SUMPRODUCT($G$34804:$K$34804,$G$34803:$K$34803-$G$34809:$K$34809+$G$34808:$K$34808)</f>
        <v>0</v>
      </c>
    </row>
    <row r="34910" customFormat="false" ht="15" hidden="false" customHeight="false" outlineLevel="0" collapsed="false">
      <c r="A34910" s="3" t="s">
        <v>366</v>
      </c>
      <c r="C34910" s="16" t="n">
        <f aca="false">SUMPRODUCT($G$34804:$K$34804,$G$34811:$K$34811)</f>
        <v>0</v>
      </c>
    </row>
    <row r="34911" customFormat="false" ht="15" hidden="false" customHeight="false" outlineLevel="0" collapsed="false">
      <c r="A34911" s="3" t="s">
        <v>367</v>
      </c>
      <c r="C34911" s="3" t="str">
        <f aca="false">IF(SUM($G$34804:$K$34804)=0,"n/a (beyond horizon)",IF(SUMPRODUCT($G$34804:$K$34804,$G$34762:$K$34762)&gt;0,"REFINANCING PASS","REFINANCING FAILURE"))</f>
        <v>REFINANCING FAILURE</v>
      </c>
    </row>
    <row r="34912" customFormat="false" ht="15" hidden="false" customHeight="false" outlineLevel="0" collapsed="false">
      <c r="A34912" s="3" t="s">
        <v>368</v>
      </c>
      <c r="C34912" s="3" t="str">
        <f aca="false">IF(SUM($G$34804:$K$34804)=0,"n/a",IF(C34910&gt;=C34909-0.001,"Repaid from cash",IF(SUMPRODUCT($G$34804:$K$34804,$G$34762:$K$34762)&gt;0,IF(C34910&gt;0,"Partly repaid; remainder refinanced","Refinanced"),IF(SUM($G$34813:$K$34813)&gt;0.001,IF(C34910&gt;0,"Partial repayment; PAYMENT DEFAULT","PAYMENT DEFAULT"),"Repaid from cash"))))</f>
        <v>Repaid from cash</v>
      </c>
    </row>
    <row r="34913" customFormat="false" ht="15" hidden="false" customHeight="false" outlineLevel="0" collapsed="false">
      <c r="A34913" s="3" t="s">
        <v>369</v>
      </c>
      <c r="C34913" s="16" t="n">
        <f aca="false">SUMPRODUCT($G$34817:$K$34817,$G$34816:$K$34816-$G$34822:$K$34822+$G$34821:$K$34821)</f>
        <v>450</v>
      </c>
    </row>
    <row r="34914" customFormat="false" ht="15" hidden="false" customHeight="false" outlineLevel="0" collapsed="false">
      <c r="A34914" s="3" t="s">
        <v>370</v>
      </c>
      <c r="C34914" s="16" t="n">
        <f aca="false">SUMPRODUCT($G$34817:$K$34817,$G$34824:$K$34824)</f>
        <v>48.553642119</v>
      </c>
    </row>
    <row r="34915" customFormat="false" ht="15" hidden="false" customHeight="false" outlineLevel="0" collapsed="false">
      <c r="A34915" s="3" t="s">
        <v>371</v>
      </c>
      <c r="C34915" s="3" t="str">
        <f aca="false">IF(SUM($G$34817:$K$34817)=0,"n/a (beyond horizon)",IF(SUMPRODUCT($G$34817:$K$34817,$G$34762:$K$34762)&gt;0,"REFINANCING PASS","REFINANCING FAILURE"))</f>
        <v>REFINANCING FAILURE</v>
      </c>
    </row>
    <row r="34916" customFormat="false" ht="15" hidden="false" customHeight="false" outlineLevel="0" collapsed="false">
      <c r="A34916" s="3" t="s">
        <v>372</v>
      </c>
      <c r="C34916" s="3" t="str">
        <f aca="false">IF(SUM($G$34817:$K$34817)=0,"n/a",IF(C34914&gt;=C34913-0.001,"Repaid from cash",IF(SUMPRODUCT($G$34817:$K$34817,$G$34762:$K$34762)&gt;0,IF(C34914&gt;0,"Partly repaid; remainder refinanced","Refinanced"),IF(SUM($G$34826:$K$34826)&gt;0.001,IF(C34914&gt;0,"Partial repayment; PAYMENT DEFAULT","PAYMENT DEFAULT"),"Repaid from cash"))))</f>
        <v>Partial repayment; PAYMENT DEFAULT</v>
      </c>
    </row>
    <row r="34917" customFormat="false" ht="15" hidden="false" customHeight="false" outlineLevel="0" collapsed="false">
      <c r="A34917" s="3" t="s">
        <v>373</v>
      </c>
      <c r="C34917" s="16" t="n">
        <f aca="false">SUMPRODUCT($G$34830:$K$34830,$G$34829:$K$34829-$G$34835:$K$34835+$G$34834:$K$34834)</f>
        <v>350</v>
      </c>
    </row>
    <row r="34918" customFormat="false" ht="15" hidden="false" customHeight="false" outlineLevel="0" collapsed="false">
      <c r="A34918" s="3" t="s">
        <v>374</v>
      </c>
      <c r="C34918" s="16" t="n">
        <f aca="false">SUMPRODUCT($G$34830:$K$34830,$G$34837:$K$34837)</f>
        <v>0</v>
      </c>
    </row>
    <row r="34919" customFormat="false" ht="15" hidden="false" customHeight="false" outlineLevel="0" collapsed="false">
      <c r="A34919" s="3" t="s">
        <v>375</v>
      </c>
      <c r="C34919" s="3" t="str">
        <f aca="false">IF(SUM($G$34830:$K$34830)=0,"n/a (beyond horizon)",IF(SUMPRODUCT($G$34830:$K$34830,$G$34762:$K$34762)&gt;0,"REFINANCING PASS","REFINANCING FAILURE"))</f>
        <v>REFINANCING FAILURE</v>
      </c>
    </row>
    <row r="34920" customFormat="false" ht="15" hidden="false" customHeight="false" outlineLevel="0" collapsed="false">
      <c r="A34920" s="3" t="s">
        <v>376</v>
      </c>
      <c r="C34920" s="3" t="str">
        <f aca="false">IF(SUM($G$34830:$K$34830)=0,"n/a",IF(C34918&gt;=C34917-0.001,"Repaid from cash",IF(SUMPRODUCT($G$34830:$K$34830,$G$34762:$K$34762)&gt;0,IF(C34918&gt;0,"Partly repaid; remainder refinanced","Refinanced"),IF(SUM($G$34839:$K$34839)&gt;0.001,IF(C34918&gt;0,"Partial repayment; PAYMENT DEFAULT","PAYMENT DEFAULT"),"Repaid from cash"))))</f>
        <v>PAYMENT DEFAULT</v>
      </c>
    </row>
    <row r="34921" customFormat="false" ht="15" hidden="false" customHeight="false" outlineLevel="0" collapsed="false">
      <c r="A34921" s="3" t="s">
        <v>377</v>
      </c>
      <c r="C34921" s="16" t="n">
        <f aca="false">SUMPRODUCT($G$34843:$K$34843,$G$34842:$K$34842-$G$34848:$K$34848+$G$34847:$K$34847)</f>
        <v>550</v>
      </c>
    </row>
    <row r="34922" customFormat="false" ht="15" hidden="false" customHeight="false" outlineLevel="0" collapsed="false">
      <c r="A34922" s="3" t="s">
        <v>378</v>
      </c>
      <c r="C34922" s="16" t="n">
        <f aca="false">SUMPRODUCT($G$34843:$K$34843,$G$34850:$K$34850)</f>
        <v>0</v>
      </c>
    </row>
    <row r="34923" customFormat="false" ht="15" hidden="false" customHeight="false" outlineLevel="0" collapsed="false">
      <c r="A34923" s="3" t="s">
        <v>379</v>
      </c>
      <c r="C34923" s="3" t="str">
        <f aca="false">IF(SUM($G$34843:$K$34843)=0,"n/a (beyond horizon)",IF(SUMPRODUCT($G$34843:$K$34843,$G$34762:$K$34762)&gt;0,"REFINANCING PASS","REFINANCING FAILURE"))</f>
        <v>REFINANCING FAILURE</v>
      </c>
    </row>
    <row r="34924" customFormat="false" ht="15" hidden="false" customHeight="false" outlineLevel="0" collapsed="false">
      <c r="A34924" s="3" t="s">
        <v>380</v>
      </c>
      <c r="C34924" s="3" t="str">
        <f aca="false">IF(SUM($G$34843:$K$34843)=0,"n/a",IF(C34922&gt;=C34921-0.001,"Repaid from cash",IF(SUMPRODUCT($G$34843:$K$34843,$G$34762:$K$34762)&gt;0,IF(C34922&gt;0,"Partly repaid; remainder refinanced","Refinanced"),IF(SUM($G$34852:$K$34852)&gt;0.001,IF(C34922&gt;0,"Partial repayment; PAYMENT DEFAULT","PAYMENT DEFAULT"),"Repaid from cash"))))</f>
        <v>PAYMENT DEFAULT</v>
      </c>
    </row>
    <row r="34925" customFormat="false" ht="15" hidden="false" customHeight="false" outlineLevel="0" collapsed="false">
      <c r="A34925" s="3" t="s">
        <v>381</v>
      </c>
      <c r="C34925" s="16" t="n">
        <f aca="false">SUMPRODUCT($G$34856:$K$34856,$G$34855:$K$34855-$G$34861:$K$34861+$G$34860:$K$34860)</f>
        <v>350</v>
      </c>
    </row>
    <row r="34926" customFormat="false" ht="15" hidden="false" customHeight="false" outlineLevel="0" collapsed="false">
      <c r="A34926" s="3" t="s">
        <v>382</v>
      </c>
      <c r="C34926" s="16" t="n">
        <f aca="false">SUMPRODUCT($G$34856:$K$34856,$G$34863:$K$34863)</f>
        <v>0</v>
      </c>
    </row>
    <row r="34927" customFormat="false" ht="15" hidden="false" customHeight="false" outlineLevel="0" collapsed="false">
      <c r="A34927" s="3" t="s">
        <v>383</v>
      </c>
      <c r="C34927" s="3" t="str">
        <f aca="false">IF(SUM($G$34856:$K$34856)=0,"n/a (beyond horizon)",IF(SUMPRODUCT($G$34856:$K$34856,$G$34762:$K$34762)&gt;0,"REFINANCING PASS","REFINANCING FAILURE"))</f>
        <v>REFINANCING FAILURE</v>
      </c>
    </row>
    <row r="34928" customFormat="false" ht="15" hidden="false" customHeight="false" outlineLevel="0" collapsed="false">
      <c r="A34928" s="3" t="s">
        <v>384</v>
      </c>
      <c r="C34928" s="3" t="str">
        <f aca="false">IF(SUM($G$34856:$K$34856)=0,"n/a",IF(C34926&gt;=C34925-0.001,"Repaid from cash",IF(SUMPRODUCT($G$34856:$K$34856,$G$34762:$K$34762)&gt;0,IF(C34926&gt;0,"Partly repaid; remainder refinanced","Refinanced"),IF(SUM($G$34865:$K$34865)&gt;0.001,IF(C34926&gt;0,"Partial repayment; PAYMENT DEFAULT","PAYMENT DEFAULT"),"Repaid from cash"))))</f>
        <v>PAYMENT DEFAULT</v>
      </c>
    </row>
    <row r="34929" customFormat="false" ht="15" hidden="false" customHeight="false" outlineLevel="0" collapsed="false">
      <c r="A34929" s="3" t="s">
        <v>385</v>
      </c>
      <c r="C34929" s="16" t="n">
        <f aca="false">SUMPRODUCT($G$34869:$K$34869,$G$34868:$K$34868-$G$34874:$K$34874+$G$34873:$K$34873)</f>
        <v>300</v>
      </c>
    </row>
    <row r="34930" customFormat="false" ht="15" hidden="false" customHeight="false" outlineLevel="0" collapsed="false">
      <c r="A34930" s="3" t="s">
        <v>386</v>
      </c>
      <c r="C34930" s="16" t="n">
        <f aca="false">SUMPRODUCT($G$34869:$K$34869,$G$34876:$K$34876)</f>
        <v>0</v>
      </c>
    </row>
    <row r="34931" customFormat="false" ht="15" hidden="false" customHeight="false" outlineLevel="0" collapsed="false">
      <c r="A34931" s="3" t="s">
        <v>387</v>
      </c>
      <c r="C34931" s="3" t="str">
        <f aca="false">IF(SUM($G$34869:$K$34869)=0,"n/a (beyond horizon)",IF(SUMPRODUCT($G$34869:$K$34869,$G$34762:$K$34762)&gt;0,"REFINANCING PASS","REFINANCING FAILURE"))</f>
        <v>REFINANCING FAILURE</v>
      </c>
    </row>
    <row r="34932" customFormat="false" ht="15" hidden="false" customHeight="false" outlineLevel="0" collapsed="false">
      <c r="A34932" s="3" t="s">
        <v>388</v>
      </c>
      <c r="C34932" s="3" t="str">
        <f aca="false">IF(SUM($G$34869:$K$34869)=0,"n/a",IF(C34930&gt;=C34929-0.001,"Repaid from cash",IF(SUMPRODUCT($G$34869:$K$34869,$G$34762:$K$34762)&gt;0,IF(C34930&gt;0,"Partly repaid; remainder refinanced","Refinanced"),IF(SUM($G$34878:$K$34878)&gt;0.001,IF(C34930&gt;0,"Partial repayment; PAYMENT DEFAULT","PAYMENT DEFAULT"),"Repaid from cash"))))</f>
        <v>PAYMENT DEFAULT</v>
      </c>
    </row>
    <row r="34933" customFormat="false" ht="15" hidden="false" customHeight="false" outlineLevel="0" collapsed="false">
      <c r="A34933" s="3" t="s">
        <v>389</v>
      </c>
      <c r="C34933" s="16" t="n">
        <f aca="false">SUMPRODUCT($G$34882:$K$34882,$G$34881:$K$34881-$G$34887:$K$34887+$G$34886:$K$34886)</f>
        <v>0</v>
      </c>
    </row>
    <row r="34934" customFormat="false" ht="15" hidden="false" customHeight="false" outlineLevel="0" collapsed="false">
      <c r="A34934" s="3" t="s">
        <v>390</v>
      </c>
      <c r="C34934" s="16" t="n">
        <f aca="false">SUMPRODUCT($G$34882:$K$34882,$G$34889:$K$34889)</f>
        <v>0</v>
      </c>
    </row>
    <row r="34935" customFormat="false" ht="15" hidden="false" customHeight="false" outlineLevel="0" collapsed="false">
      <c r="A34935" s="3" t="s">
        <v>391</v>
      </c>
      <c r="C34935" s="3" t="str">
        <f aca="false">IF(SUM($G$34882:$K$34882)=0,"n/a (beyond horizon)",IF(SUMPRODUCT($G$34882:$K$34882,$G$34762:$K$34762)&gt;0,"REFINANCING PASS","REFINANCING FAILURE"))</f>
        <v>n/a (beyond horizon)</v>
      </c>
    </row>
    <row r="34936" customFormat="false" ht="15" hidden="false" customHeight="false" outlineLevel="0" collapsed="false">
      <c r="A34936" s="3" t="s">
        <v>392</v>
      </c>
      <c r="C34936" s="3" t="str">
        <f aca="false">IF(SUM($G$34882:$K$34882)=0,"n/a",IF(C34934&gt;=C34933-0.001,"Repaid from cash",IF(SUMPRODUCT($G$34882:$K$34882,$G$34762:$K$34762)&gt;0,IF(C34934&gt;0,"Partly repaid; remainder refinanced","Refinanced"),IF(SUM($G$34891:$K$34891)&gt;0.001,IF(C34934&gt;0,"Partial repayment; PAYMENT DEFAULT","PAYMENT DEFAULT"),"Repaid from cash"))))</f>
        <v>n/a</v>
      </c>
    </row>
    <row r="34937" customFormat="false" ht="15" hidden="false" customHeight="false" outlineLevel="0" collapsed="false">
      <c r="A34937" s="3" t="s">
        <v>393</v>
      </c>
      <c r="C34937" s="21" t="n">
        <f aca="false">IF(C34899="REFINANCING FAILURE",1,0)+IF(C34903="REFINANCING FAILURE",1,0)+IF(C34907="REFINANCING FAILURE",1,0)+IF(C34911="REFINANCING FAILURE",1,0)+IF(C34915="REFINANCING FAILURE",1,0)+IF(C34919="REFINANCING FAILURE",1,0)+IF(C34923="REFINANCING FAILURE",1,0)+IF(C34927="REFINANCING FAILURE",1,0)+IF(C34931="REFINANCING FAILURE",1,0)+IF(C34935="REFINANCING FAILURE",1,0)</f>
        <v>7</v>
      </c>
    </row>
    <row r="34939" customFormat="false" ht="15" hidden="false" customHeight="false" outlineLevel="0" collapsed="false">
      <c r="A34939" s="24" t="s">
        <v>395</v>
      </c>
      <c r="B34939" s="25"/>
      <c r="C34939" s="25"/>
      <c r="D34939" s="25"/>
      <c r="E34939" s="25"/>
      <c r="F34939" s="25"/>
      <c r="G34939" s="25"/>
      <c r="H34939" s="25"/>
      <c r="I34939" s="25"/>
      <c r="J34939" s="25"/>
      <c r="K34939" s="25"/>
    </row>
    <row r="34940" customFormat="false" ht="15" hidden="false" customHeight="false" outlineLevel="0" collapsed="false">
      <c r="A34940" s="3" t="s">
        <v>325</v>
      </c>
      <c r="G34940" s="16" t="n">
        <f aca="false">F34952</f>
        <v>37.87</v>
      </c>
      <c r="H34940" s="16" t="n">
        <f aca="false">G34952</f>
        <v>122.9474204</v>
      </c>
      <c r="I34940" s="16" t="n">
        <f aca="false">H34952</f>
        <v>0</v>
      </c>
      <c r="J34940" s="16" t="n">
        <f aca="false">I34952</f>
        <v>-70.8793844172995</v>
      </c>
      <c r="K34940" s="16" t="n">
        <f aca="false">J34952</f>
        <v>-137.895771657719</v>
      </c>
    </row>
    <row r="34941" customFormat="false" ht="15" hidden="false" customHeight="false" outlineLevel="0" collapsed="false">
      <c r="A34941" s="3" t="s">
        <v>396</v>
      </c>
      <c r="G34941" s="16" t="n">
        <f aca="false">G34751</f>
        <v>-60.9225796</v>
      </c>
      <c r="H34941" s="16" t="n">
        <f aca="false">H34751</f>
        <v>-70.393778281</v>
      </c>
      <c r="I34941" s="16" t="n">
        <f aca="false">I34751</f>
        <v>-66.8793844172995</v>
      </c>
      <c r="J34941" s="16" t="n">
        <f aca="false">J34751</f>
        <v>-63.0163872404195</v>
      </c>
      <c r="K34941" s="16" t="n">
        <f aca="false">K34751</f>
        <v>-59.0959158342138</v>
      </c>
    </row>
    <row r="34942" customFormat="false" ht="15" hidden="false" customHeight="false" outlineLevel="0" collapsed="false">
      <c r="A34942" s="3" t="s">
        <v>397</v>
      </c>
      <c r="G34942" s="16" t="n">
        <f aca="false">CHOOSE($C$34721,Assumptions!$G$82,Assumptions!$G$101,Assumptions!$G$120)</f>
        <v>150</v>
      </c>
      <c r="H34942" s="16" t="n">
        <f aca="false">CHOOSE($C$34721,Assumptions!$H$82,Assumptions!$H$101,Assumptions!$H$120)</f>
        <v>0</v>
      </c>
      <c r="I34942" s="16" t="n">
        <f aca="false">CHOOSE($C$34721,Assumptions!$I$82,Assumptions!$I$101,Assumptions!$I$120)</f>
        <v>0</v>
      </c>
      <c r="J34942" s="16" t="n">
        <f aca="false">CHOOSE($C$34721,Assumptions!$J$82,Assumptions!$J$101,Assumptions!$J$120)</f>
        <v>0</v>
      </c>
      <c r="K34942" s="16" t="n">
        <f aca="false">CHOOSE($C$34721,Assumptions!$K$82,Assumptions!$K$101,Assumptions!$K$120)</f>
        <v>0</v>
      </c>
    </row>
    <row r="34943" customFormat="false" ht="15" hidden="false" customHeight="false" outlineLevel="0" collapsed="false">
      <c r="A34943" s="3" t="s">
        <v>398</v>
      </c>
      <c r="G34943" s="16" t="n">
        <f aca="false">G34770+G34783+G34796+G34809+G34822+G34835+G34848+G34861+G34874+G34887</f>
        <v>4</v>
      </c>
      <c r="H34943" s="16" t="n">
        <f aca="false">H34770+H34783+H34796+H34809+H34822+H34835+H34848+H34861+H34874+H34887</f>
        <v>4</v>
      </c>
      <c r="I34943" s="16" t="n">
        <f aca="false">I34770+I34783+I34796+I34809+I34822+I34835+I34848+I34861+I34874+I34887</f>
        <v>4</v>
      </c>
      <c r="J34943" s="16" t="n">
        <f aca="false">J34770+J34783+J34796+J34809+J34822+J34835+J34848+J34861+J34874+J34887</f>
        <v>4</v>
      </c>
      <c r="K34943" s="16" t="n">
        <f aca="false">K34770+K34783+K34796+K34809+K34822+K34835+K34848+K34861+K34874+K34887</f>
        <v>4</v>
      </c>
    </row>
    <row r="34944" customFormat="false" ht="15" hidden="false" customHeight="false" outlineLevel="0" collapsed="false">
      <c r="A34944" s="2" t="s">
        <v>399</v>
      </c>
      <c r="G34944" s="17" t="n">
        <f aca="false">G34940+G34941+G34942-G34943</f>
        <v>122.9474204</v>
      </c>
      <c r="H34944" s="17" t="n">
        <f aca="false">H34940+H34941+H34942-H34943</f>
        <v>48.553642119</v>
      </c>
      <c r="I34944" s="17" t="n">
        <f aca="false">I34940+I34941+I34942-I34943</f>
        <v>-70.8793844172995</v>
      </c>
      <c r="J34944" s="17" t="n">
        <f aca="false">J34940+J34941+J34942-J34943</f>
        <v>-137.895771657719</v>
      </c>
      <c r="K34944" s="17" t="n">
        <f aca="false">K34940+K34941+K34942-K34943</f>
        <v>-200.991687491933</v>
      </c>
    </row>
    <row r="34945" customFormat="false" ht="15" hidden="false" customHeight="false" outlineLevel="0" collapsed="false">
      <c r="A34945" s="3" t="s">
        <v>400</v>
      </c>
      <c r="G34945" s="16" t="n">
        <f aca="false">G34771+G34784+G34797+G34810+G34823+G34836+G34849+G34862+G34875+G34888</f>
        <v>0</v>
      </c>
      <c r="H34945" s="16" t="n">
        <f aca="false">H34771+H34784+H34797+H34810+H34823+H34836+H34849+H34862+H34875+H34888</f>
        <v>0</v>
      </c>
      <c r="I34945" s="16" t="n">
        <f aca="false">I34771+I34784+I34797+I34810+I34823+I34836+I34849+I34862+I34875+I34888</f>
        <v>0</v>
      </c>
      <c r="J34945" s="16" t="n">
        <f aca="false">J34771+J34784+J34797+J34810+J34823+J34836+J34849+J34862+J34875+J34888</f>
        <v>0</v>
      </c>
      <c r="K34945" s="16" t="n">
        <f aca="false">K34771+K34784+K34797+K34810+K34823+K34836+K34849+K34862+K34875+K34888</f>
        <v>0</v>
      </c>
    </row>
    <row r="34946" customFormat="false" ht="15" hidden="false" customHeight="false" outlineLevel="0" collapsed="false">
      <c r="A34946" s="2" t="s">
        <v>401</v>
      </c>
      <c r="G34946" s="17" t="n">
        <f aca="false">G34944+G34945</f>
        <v>122.9474204</v>
      </c>
      <c r="H34946" s="17" t="n">
        <f aca="false">H34944+H34945</f>
        <v>48.553642119</v>
      </c>
      <c r="I34946" s="17" t="n">
        <f aca="false">I34944+I34945</f>
        <v>-70.8793844172995</v>
      </c>
      <c r="J34946" s="17" t="n">
        <f aca="false">J34944+J34945</f>
        <v>-137.895771657719</v>
      </c>
      <c r="K34946" s="17" t="n">
        <f aca="false">K34944+K34945</f>
        <v>-200.991687491933</v>
      </c>
    </row>
    <row r="34947" customFormat="false" ht="15" hidden="false" customHeight="false" outlineLevel="0" collapsed="false">
      <c r="A34947" s="3" t="s">
        <v>402</v>
      </c>
      <c r="G34947" s="16" t="n">
        <f aca="false">G34772+G34785+G34798+G34811+G34824+G34837+G34850+G34863+G34876+G34889</f>
        <v>0</v>
      </c>
      <c r="H34947" s="16" t="n">
        <f aca="false">H34772+H34785+H34798+H34811+H34824+H34837+H34850+H34863+H34876+H34889</f>
        <v>48.553642119</v>
      </c>
      <c r="I34947" s="16" t="n">
        <f aca="false">I34772+I34785+I34798+I34811+I34824+I34837+I34850+I34863+I34876+I34889</f>
        <v>0</v>
      </c>
      <c r="J34947" s="16" t="n">
        <f aca="false">J34772+J34785+J34798+J34811+J34824+J34837+J34850+J34863+J34876+J34889</f>
        <v>0</v>
      </c>
      <c r="K34947" s="16" t="n">
        <f aca="false">K34772+K34785+K34798+K34811+K34824+K34837+K34850+K34863+K34876+K34889</f>
        <v>0</v>
      </c>
    </row>
    <row r="34948" customFormat="false" ht="15" hidden="false" customHeight="false" outlineLevel="0" collapsed="false">
      <c r="A34948" s="2" t="s">
        <v>403</v>
      </c>
      <c r="G34948" s="17" t="n">
        <f aca="false">G34946-G34947</f>
        <v>122.9474204</v>
      </c>
      <c r="H34948" s="17" t="n">
        <f aca="false">H34946-H34947</f>
        <v>0</v>
      </c>
      <c r="I34948" s="17" t="n">
        <f aca="false">I34946-I34947</f>
        <v>-70.8793844172995</v>
      </c>
      <c r="J34948" s="17" t="n">
        <f aca="false">J34946-J34947</f>
        <v>-137.895771657719</v>
      </c>
      <c r="K34948" s="17" t="n">
        <f aca="false">K34946-K34947</f>
        <v>-200.991687491933</v>
      </c>
    </row>
    <row r="34949" customFormat="false" ht="15" hidden="false" customHeight="false" outlineLevel="0" collapsed="false">
      <c r="A34949" s="3" t="s">
        <v>404</v>
      </c>
      <c r="G34949" s="16" t="n">
        <f aca="false">MAX(0,-G34948)</f>
        <v>0</v>
      </c>
      <c r="H34949" s="16" t="n">
        <f aca="false">MAX(0,-H34948)</f>
        <v>-0</v>
      </c>
      <c r="I34949" s="16" t="n">
        <f aca="false">MAX(0,-I34948)</f>
        <v>70.8793844172995</v>
      </c>
      <c r="J34949" s="16" t="n">
        <f aca="false">MAX(0,-J34948)</f>
        <v>137.895771657719</v>
      </c>
      <c r="K34949" s="16" t="n">
        <f aca="false">MAX(0,-K34948)</f>
        <v>200.991687491933</v>
      </c>
    </row>
    <row r="34950" customFormat="false" ht="15" hidden="false" customHeight="false" outlineLevel="0" collapsed="false">
      <c r="A34950" s="3" t="s">
        <v>405</v>
      </c>
      <c r="G34950" s="16" t="n">
        <f aca="false">MAX(0,G34948-Assumptions!$C$12)*Assumptions!$C$13</f>
        <v>0</v>
      </c>
      <c r="H34950" s="16" t="n">
        <f aca="false">MAX(0,H34948-Assumptions!$C$12)*Assumptions!$C$13</f>
        <v>0</v>
      </c>
      <c r="I34950" s="16" t="n">
        <f aca="false">MAX(0,I34948-Assumptions!$C$12)*Assumptions!$C$13</f>
        <v>0</v>
      </c>
      <c r="J34950" s="16" t="n">
        <f aca="false">MAX(0,J34948-Assumptions!$C$12)*Assumptions!$C$13</f>
        <v>0</v>
      </c>
      <c r="K34950" s="16" t="n">
        <f aca="false">MAX(0,K34948-Assumptions!$C$12)*Assumptions!$C$13</f>
        <v>0</v>
      </c>
    </row>
    <row r="34951" customFormat="false" ht="15" hidden="false" customHeight="false" outlineLevel="0" collapsed="false">
      <c r="A34951" s="3" t="s">
        <v>406</v>
      </c>
      <c r="G34951" s="16" t="n">
        <f aca="false">G34773+G34786+G34799+G34812+G34825+G34838+G34851+G34864+G34877+G34890</f>
        <v>0</v>
      </c>
      <c r="H34951" s="16" t="n">
        <f aca="false">H34773+H34786+H34799+H34812+H34825+H34838+H34851+H34864+H34877+H34890</f>
        <v>0</v>
      </c>
      <c r="I34951" s="16" t="n">
        <f aca="false">I34773+I34786+I34799+I34812+I34825+I34838+I34851+I34864+I34877+I34890</f>
        <v>0</v>
      </c>
      <c r="J34951" s="16" t="n">
        <f aca="false">J34773+J34786+J34799+J34812+J34825+J34838+J34851+J34864+J34877+J34890</f>
        <v>0</v>
      </c>
      <c r="K34951" s="16" t="n">
        <f aca="false">K34773+K34786+K34799+K34812+K34825+K34838+K34851+K34864+K34877+K34890</f>
        <v>0</v>
      </c>
    </row>
    <row r="34952" customFormat="false" ht="15" hidden="false" customHeight="false" outlineLevel="0" collapsed="false">
      <c r="A34952" s="2" t="s">
        <v>407</v>
      </c>
      <c r="F34952" s="28" t="n">
        <f aca="false">Assumptions!$C$11</f>
        <v>37.87</v>
      </c>
      <c r="G34952" s="17" t="n">
        <f aca="false">G34948-G34951</f>
        <v>122.9474204</v>
      </c>
      <c r="H34952" s="17" t="n">
        <f aca="false">H34948-H34951</f>
        <v>0</v>
      </c>
      <c r="I34952" s="17" t="n">
        <f aca="false">I34948-I34951</f>
        <v>-70.8793844172995</v>
      </c>
      <c r="J34952" s="17" t="n">
        <f aca="false">J34948-J34951</f>
        <v>-137.895771657719</v>
      </c>
      <c r="K34952" s="17" t="n">
        <f aca="false">K34948-K34951</f>
        <v>-200.991687491933</v>
      </c>
    </row>
    <row r="34953" customFormat="false" ht="15" hidden="false" customHeight="false" outlineLevel="0" collapsed="false">
      <c r="A34953" s="3" t="s">
        <v>408</v>
      </c>
      <c r="G34953" s="16" t="n">
        <f aca="false">G34774+G34787+G34800+G34813+G34826+G34839+G34852+G34865+G34878+G34891</f>
        <v>0</v>
      </c>
      <c r="H34953" s="16" t="n">
        <f aca="false">H34774+H34787+H34800+H34813+H34826+H34839+H34852+H34865+H34878+H34891</f>
        <v>751.446357881</v>
      </c>
      <c r="I34953" s="16" t="n">
        <f aca="false">I34774+I34787+I34800+I34813+I34826+I34839+I34852+I34865+I34878+I34891</f>
        <v>550</v>
      </c>
      <c r="J34953" s="16" t="n">
        <f aca="false">J34774+J34787+J34800+J34813+J34826+J34839+J34852+J34865+J34878+J34891</f>
        <v>350</v>
      </c>
      <c r="K34953" s="16" t="n">
        <f aca="false">K34774+K34787+K34800+K34813+K34826+K34839+K34852+K34865+K34878+K34891</f>
        <v>680</v>
      </c>
    </row>
    <row r="34954" customFormat="false" ht="15" hidden="false" customHeight="false" outlineLevel="0" collapsed="false">
      <c r="A34954" s="3" t="s">
        <v>409</v>
      </c>
      <c r="G34954" s="21" t="n">
        <f aca="false">IF(OR(G34949&gt;0.001,G34953&gt;0.001),1,0)</f>
        <v>0</v>
      </c>
      <c r="H34954" s="21" t="n">
        <f aca="false">IF(OR(H34949&gt;0.001,H34953&gt;0.001),1,0)</f>
        <v>1</v>
      </c>
      <c r="I34954" s="21" t="n">
        <f aca="false">IF(OR(I34949&gt;0.001,I34953&gt;0.001),1,0)</f>
        <v>1</v>
      </c>
      <c r="J34954" s="21" t="n">
        <f aca="false">IF(OR(J34949&gt;0.001,J34953&gt;0.001),1,0)</f>
        <v>1</v>
      </c>
      <c r="K34954" s="21" t="n">
        <f aca="false">IF(OR(K34949&gt;0.001,K34953&gt;0.001),1,0)</f>
        <v>1</v>
      </c>
    </row>
    <row r="34955" customFormat="false" ht="15" hidden="false" customHeight="false" outlineLevel="0" collapsed="false">
      <c r="A34955" s="3" t="s">
        <v>410</v>
      </c>
      <c r="G34955" s="21" t="n">
        <f aca="false">IF(G34954=1,1,0)</f>
        <v>0</v>
      </c>
      <c r="H34955" s="21" t="n">
        <f aca="false">IF(AND(H34954=1,SUM($G$34954:G34954)=0),1,0)</f>
        <v>1</v>
      </c>
      <c r="I34955" s="21" t="n">
        <f aca="false">IF(AND(I34954=1,SUM($G$34954:H34954)=0),1,0)</f>
        <v>0</v>
      </c>
      <c r="J34955" s="21" t="n">
        <f aca="false">IF(AND(J34954=1,SUM($G$34954:I34954)=0),1,0)</f>
        <v>0</v>
      </c>
      <c r="K34955" s="21" t="n">
        <f aca="false">IF(AND(K34954=1,SUM($G$34954:J34954)=0),1,0)</f>
        <v>0</v>
      </c>
    </row>
    <row r="34956" customFormat="false" ht="15" hidden="false" customHeight="false" outlineLevel="0" collapsed="false">
      <c r="A34956" s="3" t="s">
        <v>411</v>
      </c>
      <c r="G34956" s="16" t="n">
        <f aca="false">(G34894-F34894)-(G34945+G34743-G34943-G34947-G34951)</f>
        <v>0</v>
      </c>
      <c r="H34956" s="16" t="n">
        <f aca="false">(H34894-G34894)-(H34945+H34743-H34943-H34947-H34951)</f>
        <v>-3.83693077310454E-013</v>
      </c>
      <c r="I34956" s="16" t="n">
        <f aca="false">(I34894-H34894)-(I34945+I34743-I34943-I34947-I34951)</f>
        <v>0</v>
      </c>
      <c r="J34956" s="16" t="n">
        <f aca="false">(J34894-I34894)-(J34945+J34743-J34943-J34947-J34951)</f>
        <v>0</v>
      </c>
      <c r="K34956" s="16" t="n">
        <f aca="false">(K34894-J34894)-(K34945+K34743-K34943-K34947-K34951)</f>
        <v>0</v>
      </c>
    </row>
    <row r="34958" customFormat="false" ht="15" hidden="false" customHeight="false" outlineLevel="0" collapsed="false">
      <c r="A34958" s="24" t="s">
        <v>413</v>
      </c>
      <c r="B34958" s="25"/>
      <c r="C34958" s="25"/>
      <c r="D34958" s="25"/>
      <c r="E34958" s="25"/>
      <c r="F34958" s="25"/>
      <c r="G34958" s="25"/>
      <c r="H34958" s="25"/>
      <c r="I34958" s="25"/>
      <c r="J34958" s="25"/>
      <c r="K34958" s="25"/>
    </row>
    <row r="34959" customFormat="false" ht="15" hidden="false" customHeight="false" outlineLevel="0" collapsed="false">
      <c r="A34959" s="3" t="s">
        <v>414</v>
      </c>
      <c r="G34959" s="16" t="n">
        <f aca="false">G34894</f>
        <v>2621.934</v>
      </c>
      <c r="H34959" s="16" t="n">
        <f aca="false">H34894</f>
        <v>2569.380357881</v>
      </c>
      <c r="I34959" s="16" t="n">
        <f aca="false">I34894</f>
        <v>2565.380357881</v>
      </c>
      <c r="J34959" s="16" t="n">
        <f aca="false">J34894</f>
        <v>2561.380357881</v>
      </c>
      <c r="K34959" s="16" t="n">
        <f aca="false">K34894</f>
        <v>2557.380357881</v>
      </c>
    </row>
    <row r="34960" customFormat="false" ht="15" hidden="false" customHeight="false" outlineLevel="0" collapsed="false">
      <c r="A34960" s="3" t="s">
        <v>415</v>
      </c>
      <c r="G34960" s="16" t="n">
        <f aca="false">Assumptions!$O$57*G34775+Assumptions!$O$58*G34788+Assumptions!$O$59*G34801+Assumptions!$O$60*G34814+Assumptions!$O$61*G34827+Assumptions!$O$62*G34840+Assumptions!$O$63*G34853+Assumptions!$O$64*G34866+Assumptions!$O$65*G34879+Assumptions!$O$66*G34892</f>
        <v>543.324</v>
      </c>
      <c r="H34960" s="16" t="n">
        <f aca="false">Assumptions!$O$57*H34775+Assumptions!$O$58*H34788+Assumptions!$O$59*H34801+Assumptions!$O$60*H34814+Assumptions!$O$61*H34827+Assumptions!$O$62*H34840+Assumptions!$O$63*H34853+Assumptions!$O$64*H34866+Assumptions!$O$65*H34879+Assumptions!$O$66*H34892</f>
        <v>539.324</v>
      </c>
      <c r="I34960" s="16" t="n">
        <f aca="false">Assumptions!$O$57*I34775+Assumptions!$O$58*I34788+Assumptions!$O$59*I34801+Assumptions!$O$60*I34814+Assumptions!$O$61*I34827+Assumptions!$O$62*I34840+Assumptions!$O$63*I34853+Assumptions!$O$64*I34866+Assumptions!$O$65*I34879+Assumptions!$O$66*I34892</f>
        <v>535.324</v>
      </c>
      <c r="J34960" s="16" t="n">
        <f aca="false">Assumptions!$O$57*J34775+Assumptions!$O$58*J34788+Assumptions!$O$59*J34801+Assumptions!$O$60*J34814+Assumptions!$O$61*J34827+Assumptions!$O$62*J34840+Assumptions!$O$63*J34853+Assumptions!$O$64*J34866+Assumptions!$O$65*J34879+Assumptions!$O$66*J34892</f>
        <v>531.324</v>
      </c>
      <c r="K34960" s="16" t="n">
        <f aca="false">Assumptions!$O$57*K34775+Assumptions!$O$58*K34788+Assumptions!$O$59*K34801+Assumptions!$O$60*K34814+Assumptions!$O$61*K34827+Assumptions!$O$62*K34840+Assumptions!$O$63*K34853+Assumptions!$O$64*K34866+Assumptions!$O$65*K34879+Assumptions!$O$66*K34892</f>
        <v>527.324</v>
      </c>
    </row>
    <row r="34961" customFormat="false" ht="15" hidden="false" customHeight="false" outlineLevel="0" collapsed="false">
      <c r="A34961" s="3" t="s">
        <v>416</v>
      </c>
      <c r="G34961" s="16" t="n">
        <f aca="false">G34959-G34952</f>
        <v>2498.9865796</v>
      </c>
      <c r="H34961" s="16" t="n">
        <f aca="false">H34959-H34952</f>
        <v>2569.380357881</v>
      </c>
      <c r="I34961" s="16" t="n">
        <f aca="false">I34959-I34952</f>
        <v>2636.2597422983</v>
      </c>
      <c r="J34961" s="16" t="n">
        <f aca="false">J34959-J34952</f>
        <v>2699.27612953872</v>
      </c>
      <c r="K34961" s="16" t="n">
        <f aca="false">K34959-K34952</f>
        <v>2758.37204537293</v>
      </c>
    </row>
    <row r="34962" customFormat="false" ht="15" hidden="false" customHeight="false" outlineLevel="0" collapsed="false">
      <c r="A34962" s="3" t="s">
        <v>417</v>
      </c>
      <c r="G34962" s="32" t="n">
        <f aca="false">IF(G34738&gt;0,G34959/G34738,0)</f>
        <v>11.1954319438308</v>
      </c>
      <c r="H34962" s="32" t="n">
        <f aca="false">IF(H34738&gt;0,H34959/H34738,0)</f>
        <v>11.6601471215067</v>
      </c>
      <c r="I34962" s="32" t="n">
        <f aca="false">IF(I34738&gt;0,I34959/I34738,0)</f>
        <v>11.6419946559354</v>
      </c>
      <c r="J34962" s="32" t="n">
        <f aca="false">IF(J34738&gt;0,J34959/J34738,0)</f>
        <v>11.3913183720481</v>
      </c>
      <c r="K34962" s="32" t="n">
        <f aca="false">IF(K34738&gt;0,K34959/K34738,0)</f>
        <v>11.14717316588</v>
      </c>
    </row>
    <row r="34963" customFormat="false" ht="15" hidden="false" customHeight="false" outlineLevel="0" collapsed="false">
      <c r="A34963" s="3" t="s">
        <v>418</v>
      </c>
      <c r="G34963" s="32" t="n">
        <f aca="false">IF(G34738&gt;0,G34961/G34738,0)</f>
        <v>10.6704570673626</v>
      </c>
      <c r="H34963" s="32" t="n">
        <f aca="false">IF(H34738&gt;0,H34961/H34738,0)</f>
        <v>11.6601471215067</v>
      </c>
      <c r="I34963" s="32" t="n">
        <f aca="false">IF(I34738&gt;0,I34961/I34738,0)</f>
        <v>11.9636535522731</v>
      </c>
      <c r="J34963" s="32" t="n">
        <f aca="false">IF(J34738&gt;0,J34961/J34738,0)</f>
        <v>12.0045871637288</v>
      </c>
      <c r="K34963" s="32" t="n">
        <f aca="false">IF(K34738&gt;0,K34961/K34738,0)</f>
        <v>12.0232607366907</v>
      </c>
    </row>
    <row r="34964" customFormat="false" ht="15" hidden="false" customHeight="false" outlineLevel="0" collapsed="false">
      <c r="A34964" s="3" t="s">
        <v>419</v>
      </c>
      <c r="G34964" s="32" t="n">
        <f aca="false">IF(G34742&gt;0,G34738/G34742,0)</f>
        <v>1.24979041307388</v>
      </c>
      <c r="H34964" s="32" t="n">
        <f aca="false">IF(H34742&gt;0,H34738/H34742,0)</f>
        <v>1.18311222526984</v>
      </c>
      <c r="I34964" s="32" t="n">
        <f aca="false">IF(I34742&gt;0,I34738/I34742,0)</f>
        <v>1.20586587186349</v>
      </c>
      <c r="J34964" s="32" t="n">
        <f aca="false">IF(J34742&gt;0,J34738/J34742,0)</f>
        <v>1.23324745076441</v>
      </c>
      <c r="K34964" s="32" t="n">
        <f aca="false">IF(K34742&gt;0,K34738/K34742,0)</f>
        <v>1.26112583435714</v>
      </c>
    </row>
    <row r="34965" customFormat="false" ht="15" hidden="false" customHeight="false" outlineLevel="0" collapsed="false">
      <c r="A34965" s="3" t="s">
        <v>420</v>
      </c>
      <c r="G34965" s="32" t="n">
        <f aca="false">IF(G34742&gt;0,G34741/G34742,0)</f>
        <v>0.320303767681135</v>
      </c>
      <c r="H34965" s="32" t="n">
        <f aca="false">IF(H34742&gt;0,H34741/H34742,0)</f>
        <v>0.27600176891797</v>
      </c>
      <c r="I34965" s="32" t="n">
        <f aca="false">IF(I34742&gt;0,I34741/I34742,0)</f>
        <v>0.281309842467585</v>
      </c>
      <c r="J34965" s="32" t="n">
        <f aca="false">IF(J34742&gt;0,J34741/J34742,0)</f>
        <v>0.297346009456427</v>
      </c>
      <c r="K34965" s="32" t="n">
        <f aca="false">IF(K34742&gt;0,K34741/K34742,0)</f>
        <v>0.313734968638568</v>
      </c>
    </row>
    <row r="34966" customFormat="false" ht="15" hidden="false" customHeight="false" outlineLevel="0" collapsed="false">
      <c r="A34966" s="3" t="s">
        <v>213</v>
      </c>
      <c r="G34966" s="22" t="n">
        <f aca="false">IF(G34959&gt;0,G34751/G34959,0)</f>
        <v>-0.0232357410979834</v>
      </c>
      <c r="H34966" s="22" t="n">
        <f aca="false">IF(H34959&gt;0,H34751/H34959,0)</f>
        <v>-0.0273971808280867</v>
      </c>
      <c r="I34966" s="22" t="n">
        <f aca="false">IF(I34959&gt;0,I34751/I34959,0)</f>
        <v>-0.0260699682258976</v>
      </c>
      <c r="J34966" s="22" t="n">
        <f aca="false">IF(J34959&gt;0,J34751/J34959,0)</f>
        <v>-0.0246025105355896</v>
      </c>
      <c r="K34966" s="22" t="n">
        <f aca="false">IF(K34959&gt;0,K34751/K34959,0)</f>
        <v>-0.0231079884742603</v>
      </c>
    </row>
    <row r="34967" customFormat="false" ht="15" hidden="false" customHeight="false" outlineLevel="0" collapsed="false">
      <c r="A34967" s="3" t="s">
        <v>421</v>
      </c>
      <c r="G34967" s="32" t="n">
        <f aca="false">IF(G34742+G34943&gt;0,(G34738-G34749-G34746)/(G34742+G34943),0)</f>
        <v>0.783148779220797</v>
      </c>
      <c r="H34967" s="32" t="n">
        <f aca="false">IF(H34742+H34943&gt;0,(H34738-H34749-H34746)/(H34742+H34943),0)</f>
        <v>0.728376128313333</v>
      </c>
      <c r="I34967" s="32" t="n">
        <f aca="false">IF(I34742+I34943&gt;0,(I34738-I34749-I34746)/(I34742+I34943),0)</f>
        <v>0.742084215548814</v>
      </c>
      <c r="J34967" s="32" t="n">
        <f aca="false">IF(J34742+J34943&gt;0,(J34738-J34749-J34746)/(J34742+J34943),0)</f>
        <v>0.763468302110309</v>
      </c>
      <c r="K34967" s="32" t="n">
        <f aca="false">IF(K34742+K34943&gt;0,(K34738-K34749-K34746)/(K34742+K34943),0)</f>
        <v>0.785268063869781</v>
      </c>
    </row>
    <row r="34968" customFormat="false" ht="15" hidden="false" customHeight="false" outlineLevel="0" collapsed="false">
      <c r="A34968" s="3" t="s">
        <v>422</v>
      </c>
      <c r="G34968" s="16" t="n">
        <f aca="false">MAX(0,G34952)+Assumptions!$P$57*MAX(0,Assumptions!$D$57-G34775)+Assumptions!$P$58*MAX(0,Assumptions!$D$58-G34788)+Assumptions!$P$59*MAX(0,Assumptions!$D$59-G34801)+Assumptions!$P$60*MAX(0,Assumptions!$D$60-G34814)+Assumptions!$P$61*MAX(0,Assumptions!$D$61-G34827)+Assumptions!$P$62*MAX(0,Assumptions!$D$62-G34840)+Assumptions!$P$63*MAX(0,Assumptions!$D$63-G34853)+Assumptions!$P$64*MAX(0,Assumptions!$D$64-G34866)+Assumptions!$P$65*MAX(0,Assumptions!$D$65-G34879)+Assumptions!$P$66*MAX(0,Assumptions!$D$66-G34892)</f>
        <v>697.4474204</v>
      </c>
      <c r="H34968" s="16" t="n">
        <f aca="false">MAX(0,H34952)+Assumptions!$P$57*MAX(0,Assumptions!$D$57-H34775)+Assumptions!$P$58*MAX(0,Assumptions!$D$58-H34788)+Assumptions!$P$59*MAX(0,Assumptions!$D$59-H34801)+Assumptions!$P$60*MAX(0,Assumptions!$D$60-H34814)+Assumptions!$P$61*MAX(0,Assumptions!$D$61-H34827)+Assumptions!$P$62*MAX(0,Assumptions!$D$62-H34840)+Assumptions!$P$63*MAX(0,Assumptions!$D$63-H34853)+Assumptions!$P$64*MAX(0,Assumptions!$D$64-H34866)+Assumptions!$P$65*MAX(0,Assumptions!$D$65-H34879)+Assumptions!$P$66*MAX(0,Assumptions!$D$66-H34892)</f>
        <v>574.5</v>
      </c>
      <c r="I34968" s="16" t="n">
        <f aca="false">MAX(0,I34952)+Assumptions!$P$57*MAX(0,Assumptions!$D$57-I34775)+Assumptions!$P$58*MAX(0,Assumptions!$D$58-I34788)+Assumptions!$P$59*MAX(0,Assumptions!$D$59-I34801)+Assumptions!$P$60*MAX(0,Assumptions!$D$60-I34814)+Assumptions!$P$61*MAX(0,Assumptions!$D$61-I34827)+Assumptions!$P$62*MAX(0,Assumptions!$D$62-I34840)+Assumptions!$P$63*MAX(0,Assumptions!$D$63-I34853)+Assumptions!$P$64*MAX(0,Assumptions!$D$64-I34866)+Assumptions!$P$65*MAX(0,Assumptions!$D$65-I34879)+Assumptions!$P$66*MAX(0,Assumptions!$D$66-I34892)</f>
        <v>574.5</v>
      </c>
      <c r="J34968" s="16" t="n">
        <f aca="false">MAX(0,J34952)+Assumptions!$P$57*MAX(0,Assumptions!$D$57-J34775)+Assumptions!$P$58*MAX(0,Assumptions!$D$58-J34788)+Assumptions!$P$59*MAX(0,Assumptions!$D$59-J34801)+Assumptions!$P$60*MAX(0,Assumptions!$D$60-J34814)+Assumptions!$P$61*MAX(0,Assumptions!$D$61-J34827)+Assumptions!$P$62*MAX(0,Assumptions!$D$62-J34840)+Assumptions!$P$63*MAX(0,Assumptions!$D$63-J34853)+Assumptions!$P$64*MAX(0,Assumptions!$D$64-J34866)+Assumptions!$P$65*MAX(0,Assumptions!$D$65-J34879)+Assumptions!$P$66*MAX(0,Assumptions!$D$66-J34892)</f>
        <v>574.5</v>
      </c>
      <c r="K34968" s="16" t="n">
        <f aca="false">MAX(0,K34952)+Assumptions!$P$57*MAX(0,Assumptions!$D$57-K34775)+Assumptions!$P$58*MAX(0,Assumptions!$D$58-K34788)+Assumptions!$P$59*MAX(0,Assumptions!$D$59-K34801)+Assumptions!$P$60*MAX(0,Assumptions!$D$60-K34814)+Assumptions!$P$61*MAX(0,Assumptions!$D$61-K34827)+Assumptions!$P$62*MAX(0,Assumptions!$D$62-K34840)+Assumptions!$P$63*MAX(0,Assumptions!$D$63-K34853)+Assumptions!$P$64*MAX(0,Assumptions!$D$64-K34866)+Assumptions!$P$65*MAX(0,Assumptions!$D$65-K34879)+Assumptions!$P$66*MAX(0,Assumptions!$D$66-K34892)</f>
        <v>574.5</v>
      </c>
    </row>
    <row r="34969" customFormat="false" ht="15" hidden="false" customHeight="false" outlineLevel="0" collapsed="false">
      <c r="A34969" s="3" t="s">
        <v>423</v>
      </c>
      <c r="G34969" s="22" t="n">
        <f aca="false">IF(G34959&gt;0,G34959/(G34959+MAX(0,G34738*CHOOSE($C$34721,Assumptions!$C$90,Assumptions!$C$109,Assumptions!$C$128)-G34961)),0)</f>
        <v>0.971406190801315</v>
      </c>
      <c r="H34969" s="22" t="n">
        <f aca="false">IF(H34959&gt;0,H34959/(H34959+MAX(0,H34738*CHOOSE($C$34721,Assumptions!$C$90,Assumptions!$C$109,Assumptions!$C$128)-H34961)),0)</f>
        <v>1</v>
      </c>
      <c r="I34969" s="22" t="n">
        <f aca="false">IF(I34959&gt;0,I34959/(I34959+MAX(0,I34738*CHOOSE($C$34721,Assumptions!$C$90,Assumptions!$C$109,Assumptions!$C$128)-I34961)),0)</f>
        <v>1</v>
      </c>
      <c r="J34969" s="22" t="n">
        <f aca="false">IF(J34959&gt;0,J34959/(J34959+MAX(0,J34738*CHOOSE($C$34721,Assumptions!$C$90,Assumptions!$C$109,Assumptions!$C$128)-J34961)),0)</f>
        <v>1</v>
      </c>
      <c r="K34969" s="22" t="n">
        <f aca="false">IF(K34959&gt;0,K34959/(K34959+MAX(0,K34738*CHOOSE($C$34721,Assumptions!$C$90,Assumptions!$C$109,Assumptions!$C$128)-K34961)),0)</f>
        <v>1</v>
      </c>
    </row>
    <row r="34970" customFormat="false" ht="15" hidden="false" customHeight="false" outlineLevel="0" collapsed="false">
      <c r="A34970" s="3" t="s">
        <v>424</v>
      </c>
      <c r="G34970" s="22" t="n">
        <f aca="false">IF(G34959&gt;0,MAX(0,G34952)/G34959,0)</f>
        <v>0.0468918822518034</v>
      </c>
      <c r="H34970" s="22" t="n">
        <f aca="false">IF(H34959&gt;0,MAX(0,H34952)/H34959,0)</f>
        <v>0</v>
      </c>
      <c r="I34970" s="22" t="n">
        <f aca="false">IF(I34959&gt;0,MAX(0,I34952)/I34959,0)</f>
        <v>0</v>
      </c>
      <c r="J34970" s="22" t="n">
        <f aca="false">IF(J34959&gt;0,MAX(0,J34952)/J34959,0)</f>
        <v>0</v>
      </c>
      <c r="K34970" s="22" t="n">
        <f aca="false">IF(K34959&gt;0,MAX(0,K34952)/K34959,0)</f>
        <v>0</v>
      </c>
    </row>
    <row r="34971" customFormat="false" ht="15" hidden="false" customHeight="false" outlineLevel="0" collapsed="false">
      <c r="A34971" s="3" t="s">
        <v>425</v>
      </c>
      <c r="G34971" s="16" t="n">
        <f aca="false">Assumptions!$C$31*(1-CHOOSE($C$34721,Assumptions!$C$93,Assumptions!$C$112,Assumptions!$C$131))</f>
        <v>3840.04556666667</v>
      </c>
      <c r="H34971" s="16" t="n">
        <f aca="false">Assumptions!$C$31*(1-CHOOSE($C$34721,Assumptions!$C$93,Assumptions!$C$112,Assumptions!$C$131))</f>
        <v>3840.04556666667</v>
      </c>
      <c r="I34971" s="16" t="n">
        <f aca="false">Assumptions!$C$31*(1-CHOOSE($C$34721,Assumptions!$C$93,Assumptions!$C$112,Assumptions!$C$131))</f>
        <v>3840.04556666667</v>
      </c>
      <c r="J34971" s="16" t="n">
        <f aca="false">Assumptions!$C$31*(1-CHOOSE($C$34721,Assumptions!$C$93,Assumptions!$C$112,Assumptions!$C$131))</f>
        <v>3840.04556666667</v>
      </c>
      <c r="K34971" s="16" t="n">
        <f aca="false">Assumptions!$C$31*(1-CHOOSE($C$34721,Assumptions!$C$93,Assumptions!$C$112,Assumptions!$C$131))</f>
        <v>3840.04556666667</v>
      </c>
    </row>
    <row r="34972" customFormat="false" ht="15" hidden="false" customHeight="false" outlineLevel="0" collapsed="false">
      <c r="A34972" s="24" t="s">
        <v>426</v>
      </c>
      <c r="B34972" s="25"/>
      <c r="C34972" s="25"/>
      <c r="D34972" s="25"/>
      <c r="E34972" s="25"/>
      <c r="F34972" s="25"/>
      <c r="G34972" s="25"/>
      <c r="H34972" s="25"/>
      <c r="I34972" s="25"/>
      <c r="J34972" s="25"/>
      <c r="K34972" s="25"/>
    </row>
    <row r="34973" customFormat="false" ht="15" hidden="false" customHeight="false" outlineLevel="0" collapsed="false">
      <c r="A34973" s="24" t="s">
        <v>427</v>
      </c>
      <c r="B34973" s="25"/>
      <c r="C34973" s="25"/>
      <c r="D34973" s="25"/>
      <c r="E34973" s="25"/>
      <c r="F34973" s="25"/>
      <c r="G34973" s="25"/>
      <c r="H34973" s="25"/>
      <c r="I34973" s="25"/>
      <c r="J34973" s="25"/>
      <c r="K34973" s="25"/>
    </row>
    <row r="34974" customFormat="false" ht="15" hidden="false" customHeight="false" outlineLevel="0" collapsed="false">
      <c r="A34974" s="3" t="s">
        <v>428</v>
      </c>
      <c r="G34974" s="22" t="n">
        <f aca="false">IF(G34971&gt;0,G34959/G34971,99)</f>
        <v>0.68278721032885</v>
      </c>
      <c r="H34974" s="22" t="n">
        <f aca="false">IF(H34971&gt;0,H34959/H34971,99)</f>
        <v>0.6691015284257</v>
      </c>
      <c r="I34974" s="22" t="n">
        <f aca="false">IF(I34971&gt;0,I34959/I34971,99)</f>
        <v>0.668059874119636</v>
      </c>
      <c r="J34974" s="22" t="n">
        <f aca="false">IF(J34971&gt;0,J34959/J34971,99)</f>
        <v>0.667018219813572</v>
      </c>
      <c r="K34974" s="22" t="n">
        <f aca="false">IF(K34971&gt;0,K34959/K34971,99)</f>
        <v>0.665976565507508</v>
      </c>
    </row>
    <row r="34975" customFormat="false" ht="15" hidden="false" customHeight="false" outlineLevel="0" collapsed="false">
      <c r="A34975" s="3" t="s">
        <v>429</v>
      </c>
      <c r="G34975" s="33" t="n">
        <f aca="false">Assumptions!$G$71</f>
        <v>0.6</v>
      </c>
      <c r="H34975" s="33" t="n">
        <f aca="false">Assumptions!$H$71</f>
        <v>0.6</v>
      </c>
      <c r="I34975" s="33" t="n">
        <f aca="false">Assumptions!$I$71</f>
        <v>0.6</v>
      </c>
      <c r="J34975" s="33" t="n">
        <f aca="false">Assumptions!$J$71</f>
        <v>0.6</v>
      </c>
      <c r="K34975" s="33" t="n">
        <f aca="false">Assumptions!$K$71</f>
        <v>0.6</v>
      </c>
    </row>
    <row r="34976" customFormat="false" ht="15" hidden="false" customHeight="false" outlineLevel="0" collapsed="false">
      <c r="A34976" s="3" t="s">
        <v>430</v>
      </c>
      <c r="G34976" s="22" t="n">
        <f aca="false">G34975-G34974</f>
        <v>-0.0827872103288497</v>
      </c>
      <c r="H34976" s="22" t="n">
        <f aca="false">H34975-H34974</f>
        <v>-0.0691015284256999</v>
      </c>
      <c r="I34976" s="22" t="n">
        <f aca="false">I34975-I34974</f>
        <v>-0.0680598741196361</v>
      </c>
      <c r="J34976" s="22" t="n">
        <f aca="false">J34975-J34974</f>
        <v>-0.0670182198135721</v>
      </c>
      <c r="K34976" s="22" t="n">
        <f aca="false">K34975-K34974</f>
        <v>-0.0659765655075082</v>
      </c>
    </row>
    <row r="34977" customFormat="false" ht="15" hidden="false" customHeight="false" outlineLevel="0" collapsed="false">
      <c r="A34977" s="3" t="s">
        <v>431</v>
      </c>
      <c r="G34977" s="22" t="n">
        <f aca="false">IF(G34975=0,0,G34976/ABS(G34975))</f>
        <v>-0.137978683881416</v>
      </c>
      <c r="H34977" s="22" t="n">
        <f aca="false">IF(H34975=0,0,H34976/ABS(H34975))</f>
        <v>-0.115169214042833</v>
      </c>
      <c r="I34977" s="22" t="n">
        <f aca="false">IF(I34975=0,0,I34976/ABS(I34975))</f>
        <v>-0.113433123532727</v>
      </c>
      <c r="J34977" s="22" t="n">
        <f aca="false">IF(J34975=0,0,J34976/ABS(J34975))</f>
        <v>-0.11169703302262</v>
      </c>
      <c r="K34977" s="22" t="n">
        <f aca="false">IF(K34975=0,0,K34976/ABS(K34975))</f>
        <v>-0.109960942512514</v>
      </c>
    </row>
    <row r="34978" customFormat="false" ht="15" hidden="false" customHeight="false" outlineLevel="0" collapsed="false">
      <c r="A34978" s="3" t="s">
        <v>432</v>
      </c>
      <c r="G34978" s="21" t="n">
        <f aca="false">IF(G34976&lt;0,1,0)</f>
        <v>1</v>
      </c>
      <c r="H34978" s="21" t="n">
        <f aca="false">IF(H34976&lt;0,1,0)</f>
        <v>1</v>
      </c>
      <c r="I34978" s="21" t="n">
        <f aca="false">IF(I34976&lt;0,1,0)</f>
        <v>1</v>
      </c>
      <c r="J34978" s="21" t="n">
        <f aca="false">IF(J34976&lt;0,1,0)</f>
        <v>1</v>
      </c>
      <c r="K34978" s="21" t="n">
        <f aca="false">IF(K34976&lt;0,1,0)</f>
        <v>1</v>
      </c>
    </row>
    <row r="34979" customFormat="false" ht="15" hidden="false" customHeight="false" outlineLevel="0" collapsed="false">
      <c r="A34979" s="3" t="s">
        <v>433</v>
      </c>
      <c r="C34979" s="21" t="n">
        <f aca="false">IFERROR(INDEX($G$34728:$K$34728,MATCH(1,$G$34978:$K$34978,0)),0)</f>
        <v>2027</v>
      </c>
    </row>
    <row r="34980" customFormat="false" ht="15" hidden="false" customHeight="false" outlineLevel="0" collapsed="false">
      <c r="A34980" s="3" t="s">
        <v>434</v>
      </c>
      <c r="C34980" s="22" t="n">
        <f aca="false">MIN($G$34977:$K$34977)</f>
        <v>-0.137978683881416</v>
      </c>
    </row>
    <row r="34981" customFormat="false" ht="15" hidden="false" customHeight="false" outlineLevel="0" collapsed="false">
      <c r="A34981" s="24" t="s">
        <v>435</v>
      </c>
      <c r="B34981" s="25"/>
      <c r="C34981" s="25"/>
      <c r="D34981" s="25"/>
      <c r="E34981" s="25"/>
      <c r="F34981" s="25"/>
      <c r="G34981" s="25"/>
      <c r="H34981" s="25"/>
      <c r="I34981" s="25"/>
      <c r="J34981" s="25"/>
      <c r="K34981" s="25"/>
    </row>
    <row r="34982" customFormat="false" ht="15" hidden="false" customHeight="false" outlineLevel="0" collapsed="false">
      <c r="A34982" s="3" t="s">
        <v>428</v>
      </c>
      <c r="G34982" s="32" t="n">
        <f aca="false">IF(G34742&gt;0,G34738/G34742,99)</f>
        <v>1.24979041307388</v>
      </c>
      <c r="H34982" s="32" t="n">
        <f aca="false">IF(H34742&gt;0,H34738/H34742,99)</f>
        <v>1.18311222526984</v>
      </c>
      <c r="I34982" s="32" t="n">
        <f aca="false">IF(I34742&gt;0,I34738/I34742,99)</f>
        <v>1.20586587186349</v>
      </c>
      <c r="J34982" s="32" t="n">
        <f aca="false">IF(J34742&gt;0,J34738/J34742,99)</f>
        <v>1.23324745076441</v>
      </c>
      <c r="K34982" s="32" t="n">
        <f aca="false">IF(K34742&gt;0,K34738/K34742,99)</f>
        <v>1.26112583435714</v>
      </c>
    </row>
    <row r="34983" customFormat="false" ht="15" hidden="false" customHeight="false" outlineLevel="0" collapsed="false">
      <c r="A34983" s="3" t="s">
        <v>429</v>
      </c>
      <c r="G34983" s="34" t="n">
        <f aca="false">Assumptions!$G$72</f>
        <v>1.5</v>
      </c>
      <c r="H34983" s="34" t="n">
        <f aca="false">Assumptions!$H$72</f>
        <v>1.5</v>
      </c>
      <c r="I34983" s="34" t="n">
        <f aca="false">Assumptions!$I$72</f>
        <v>1.5</v>
      </c>
      <c r="J34983" s="34" t="n">
        <f aca="false">Assumptions!$J$72</f>
        <v>1.5</v>
      </c>
      <c r="K34983" s="34" t="n">
        <f aca="false">Assumptions!$K$72</f>
        <v>1.5</v>
      </c>
    </row>
    <row r="34984" customFormat="false" ht="15" hidden="false" customHeight="false" outlineLevel="0" collapsed="false">
      <c r="A34984" s="3" t="s">
        <v>430</v>
      </c>
      <c r="G34984" s="32" t="n">
        <f aca="false">G34982-G34983</f>
        <v>-0.250209586926116</v>
      </c>
      <c r="H34984" s="32" t="n">
        <f aca="false">H34982-H34983</f>
        <v>-0.316887774730159</v>
      </c>
      <c r="I34984" s="32" t="n">
        <f aca="false">I34982-I34983</f>
        <v>-0.294134128136513</v>
      </c>
      <c r="J34984" s="32" t="n">
        <f aca="false">J34982-J34983</f>
        <v>-0.266752549235595</v>
      </c>
      <c r="K34984" s="32" t="n">
        <f aca="false">K34982-K34983</f>
        <v>-0.238874165642862</v>
      </c>
    </row>
    <row r="34985" customFormat="false" ht="15" hidden="false" customHeight="false" outlineLevel="0" collapsed="false">
      <c r="A34985" s="3" t="s">
        <v>431</v>
      </c>
      <c r="G34985" s="22" t="n">
        <f aca="false">IF(G34983=0,0,G34984/ABS(G34983))</f>
        <v>-0.166806391284078</v>
      </c>
      <c r="H34985" s="22" t="n">
        <f aca="false">IF(H34983=0,0,H34984/ABS(H34983))</f>
        <v>-0.211258516486773</v>
      </c>
      <c r="I34985" s="22" t="n">
        <f aca="false">IF(I34983=0,0,I34984/ABS(I34983))</f>
        <v>-0.196089418757675</v>
      </c>
      <c r="J34985" s="22" t="n">
        <f aca="false">IF(J34983=0,0,J34984/ABS(J34983))</f>
        <v>-0.17783503282373</v>
      </c>
      <c r="K34985" s="22" t="n">
        <f aca="false">IF(K34983=0,0,K34984/ABS(K34983))</f>
        <v>-0.159249443761908</v>
      </c>
    </row>
    <row r="34986" customFormat="false" ht="15" hidden="false" customHeight="false" outlineLevel="0" collapsed="false">
      <c r="A34986" s="3" t="s">
        <v>432</v>
      </c>
      <c r="G34986" s="21" t="n">
        <f aca="false">IF(G34984&lt;0,1,0)</f>
        <v>1</v>
      </c>
      <c r="H34986" s="21" t="n">
        <f aca="false">IF(H34984&lt;0,1,0)</f>
        <v>1</v>
      </c>
      <c r="I34986" s="21" t="n">
        <f aca="false">IF(I34984&lt;0,1,0)</f>
        <v>1</v>
      </c>
      <c r="J34986" s="21" t="n">
        <f aca="false">IF(J34984&lt;0,1,0)</f>
        <v>1</v>
      </c>
      <c r="K34986" s="21" t="n">
        <f aca="false">IF(K34984&lt;0,1,0)</f>
        <v>1</v>
      </c>
    </row>
    <row r="34987" customFormat="false" ht="15" hidden="false" customHeight="false" outlineLevel="0" collapsed="false">
      <c r="A34987" s="3" t="s">
        <v>433</v>
      </c>
      <c r="C34987" s="21" t="n">
        <f aca="false">IFERROR(INDEX($G$34728:$K$34728,MATCH(1,$G$34986:$K$34986,0)),0)</f>
        <v>2027</v>
      </c>
    </row>
    <row r="34988" customFormat="false" ht="15" hidden="false" customHeight="false" outlineLevel="0" collapsed="false">
      <c r="A34988" s="3" t="s">
        <v>434</v>
      </c>
      <c r="C34988" s="22" t="n">
        <f aca="false">MIN($G$34985:$K$34985)</f>
        <v>-0.211258516486773</v>
      </c>
    </row>
    <row r="34989" customFormat="false" ht="15" hidden="false" customHeight="false" outlineLevel="0" collapsed="false">
      <c r="A34989" s="24" t="s">
        <v>436</v>
      </c>
      <c r="B34989" s="25"/>
      <c r="C34989" s="25"/>
      <c r="D34989" s="25"/>
      <c r="E34989" s="25"/>
      <c r="F34989" s="25"/>
      <c r="G34989" s="25"/>
      <c r="H34989" s="25"/>
      <c r="I34989" s="25"/>
      <c r="J34989" s="25"/>
      <c r="K34989" s="25"/>
    </row>
    <row r="34990" customFormat="false" ht="15" hidden="false" customHeight="false" outlineLevel="0" collapsed="false">
      <c r="A34990" s="3" t="s">
        <v>428</v>
      </c>
      <c r="G34990" s="22" t="n">
        <f aca="false">IF(G34971&gt;0,G34960/G34971,99)</f>
        <v>0.141488946046968</v>
      </c>
      <c r="H34990" s="22" t="n">
        <f aca="false">IF(H34971&gt;0,H34960/H34971,99)</f>
        <v>0.140447291740904</v>
      </c>
      <c r="I34990" s="22" t="n">
        <f aca="false">IF(I34971&gt;0,I34960/I34971,99)</f>
        <v>0.139405637434841</v>
      </c>
      <c r="J34990" s="22" t="n">
        <f aca="false">IF(J34971&gt;0,J34960/J34971,99)</f>
        <v>0.138363983128777</v>
      </c>
      <c r="K34990" s="22" t="n">
        <f aca="false">IF(K34971&gt;0,K34960/K34971,99)</f>
        <v>0.137322328822713</v>
      </c>
    </row>
    <row r="34991" customFormat="false" ht="15" hidden="false" customHeight="false" outlineLevel="0" collapsed="false">
      <c r="A34991" s="3" t="s">
        <v>429</v>
      </c>
      <c r="G34991" s="33" t="n">
        <f aca="false">Assumptions!$G$73</f>
        <v>0.4</v>
      </c>
      <c r="H34991" s="33" t="n">
        <f aca="false">Assumptions!$H$73</f>
        <v>0.4</v>
      </c>
      <c r="I34991" s="33" t="n">
        <f aca="false">Assumptions!$I$73</f>
        <v>0.4</v>
      </c>
      <c r="J34991" s="33" t="n">
        <f aca="false">Assumptions!$J$73</f>
        <v>0.4</v>
      </c>
      <c r="K34991" s="33" t="n">
        <f aca="false">Assumptions!$K$73</f>
        <v>0.4</v>
      </c>
    </row>
    <row r="34992" customFormat="false" ht="15" hidden="false" customHeight="false" outlineLevel="0" collapsed="false">
      <c r="A34992" s="3" t="s">
        <v>430</v>
      </c>
      <c r="G34992" s="22" t="n">
        <f aca="false">G34991-G34990</f>
        <v>0.258511053953032</v>
      </c>
      <c r="H34992" s="22" t="n">
        <f aca="false">H34991-H34990</f>
        <v>0.259552708259096</v>
      </c>
      <c r="I34992" s="22" t="n">
        <f aca="false">I34991-I34990</f>
        <v>0.26059436256516</v>
      </c>
      <c r="J34992" s="22" t="n">
        <f aca="false">J34991-J34990</f>
        <v>0.261636016871223</v>
      </c>
      <c r="K34992" s="22" t="n">
        <f aca="false">K34991-K34990</f>
        <v>0.262677671177287</v>
      </c>
    </row>
    <row r="34993" customFormat="false" ht="15" hidden="false" customHeight="false" outlineLevel="0" collapsed="false">
      <c r="A34993" s="3" t="s">
        <v>431</v>
      </c>
      <c r="G34993" s="22" t="n">
        <f aca="false">IF(G34991=0,0,G34992/ABS(G34991))</f>
        <v>0.646277634882579</v>
      </c>
      <c r="H34993" s="22" t="n">
        <f aca="false">IF(H34991=0,0,H34992/ABS(H34991))</f>
        <v>0.648881770647739</v>
      </c>
      <c r="I34993" s="22" t="n">
        <f aca="false">IF(I34991=0,0,I34992/ABS(I34991))</f>
        <v>0.651485906412899</v>
      </c>
      <c r="J34993" s="22" t="n">
        <f aca="false">IF(J34991=0,0,J34992/ABS(J34991))</f>
        <v>0.654090042178059</v>
      </c>
      <c r="K34993" s="22" t="n">
        <f aca="false">IF(K34991=0,0,K34992/ABS(K34991))</f>
        <v>0.656694177943218</v>
      </c>
    </row>
    <row r="34994" customFormat="false" ht="15" hidden="false" customHeight="false" outlineLevel="0" collapsed="false">
      <c r="A34994" s="3" t="s">
        <v>432</v>
      </c>
      <c r="G34994" s="21" t="n">
        <f aca="false">IF(G34992&lt;0,1,0)</f>
        <v>0</v>
      </c>
      <c r="H34994" s="21" t="n">
        <f aca="false">IF(H34992&lt;0,1,0)</f>
        <v>0</v>
      </c>
      <c r="I34994" s="21" t="n">
        <f aca="false">IF(I34992&lt;0,1,0)</f>
        <v>0</v>
      </c>
      <c r="J34994" s="21" t="n">
        <f aca="false">IF(J34992&lt;0,1,0)</f>
        <v>0</v>
      </c>
      <c r="K34994" s="21" t="n">
        <f aca="false">IF(K34992&lt;0,1,0)</f>
        <v>0</v>
      </c>
    </row>
    <row r="34995" customFormat="false" ht="15" hidden="false" customHeight="false" outlineLevel="0" collapsed="false">
      <c r="A34995" s="3" t="s">
        <v>433</v>
      </c>
      <c r="C34995" s="21" t="n">
        <f aca="false">IFERROR(INDEX($G$34728:$K$34728,MATCH(1,$G$34994:$K$34994,0)),0)</f>
        <v>0</v>
      </c>
    </row>
    <row r="34996" customFormat="false" ht="15" hidden="false" customHeight="false" outlineLevel="0" collapsed="false">
      <c r="A34996" s="3" t="s">
        <v>434</v>
      </c>
      <c r="C34996" s="22" t="n">
        <f aca="false">MIN($G$34993:$K$34993)</f>
        <v>0.646277634882579</v>
      </c>
    </row>
    <row r="34997" customFormat="false" ht="15" hidden="false" customHeight="false" outlineLevel="0" collapsed="false">
      <c r="A34997" s="24" t="s">
        <v>437</v>
      </c>
      <c r="B34997" s="25"/>
      <c r="C34997" s="25"/>
      <c r="D34997" s="25"/>
      <c r="E34997" s="25"/>
      <c r="F34997" s="25"/>
      <c r="G34997" s="25"/>
      <c r="H34997" s="25"/>
      <c r="I34997" s="25"/>
      <c r="J34997" s="25"/>
      <c r="K34997" s="25"/>
    </row>
    <row r="34998" customFormat="false" ht="15" hidden="false" customHeight="false" outlineLevel="0" collapsed="false">
      <c r="A34998" s="3" t="s">
        <v>428</v>
      </c>
      <c r="G34998" s="16" t="n">
        <f aca="false">G34968</f>
        <v>697.4474204</v>
      </c>
      <c r="H34998" s="16" t="n">
        <f aca="false">H34968</f>
        <v>574.5</v>
      </c>
      <c r="I34998" s="16" t="n">
        <f aca="false">I34968</f>
        <v>574.5</v>
      </c>
      <c r="J34998" s="16" t="n">
        <f aca="false">J34968</f>
        <v>574.5</v>
      </c>
      <c r="K34998" s="16" t="n">
        <f aca="false">K34968</f>
        <v>574.5</v>
      </c>
    </row>
    <row r="34999" customFormat="false" ht="15" hidden="false" customHeight="false" outlineLevel="0" collapsed="false">
      <c r="A34999" s="3" t="s">
        <v>429</v>
      </c>
      <c r="G34999" s="29" t="n">
        <f aca="false">Assumptions!$G$74</f>
        <v>100</v>
      </c>
      <c r="H34999" s="29" t="n">
        <f aca="false">Assumptions!$H$74</f>
        <v>100</v>
      </c>
      <c r="I34999" s="29" t="n">
        <f aca="false">Assumptions!$I$74</f>
        <v>100</v>
      </c>
      <c r="J34999" s="29" t="n">
        <f aca="false">Assumptions!$J$74</f>
        <v>100</v>
      </c>
      <c r="K34999" s="29" t="n">
        <f aca="false">Assumptions!$K$74</f>
        <v>100</v>
      </c>
    </row>
    <row r="35000" customFormat="false" ht="15" hidden="false" customHeight="false" outlineLevel="0" collapsed="false">
      <c r="A35000" s="3" t="s">
        <v>430</v>
      </c>
      <c r="G35000" s="16" t="n">
        <f aca="false">G34998-G34999</f>
        <v>597.4474204</v>
      </c>
      <c r="H35000" s="16" t="n">
        <f aca="false">H34998-H34999</f>
        <v>474.5</v>
      </c>
      <c r="I35000" s="16" t="n">
        <f aca="false">I34998-I34999</f>
        <v>474.5</v>
      </c>
      <c r="J35000" s="16" t="n">
        <f aca="false">J34998-J34999</f>
        <v>474.5</v>
      </c>
      <c r="K35000" s="16" t="n">
        <f aca="false">K34998-K34999</f>
        <v>474.5</v>
      </c>
    </row>
    <row r="35001" customFormat="false" ht="15" hidden="false" customHeight="false" outlineLevel="0" collapsed="false">
      <c r="A35001" s="3" t="s">
        <v>431</v>
      </c>
      <c r="G35001" s="22" t="n">
        <f aca="false">IF(G34999=0,0,G35000/ABS(G34999))</f>
        <v>5.974474204</v>
      </c>
      <c r="H35001" s="22" t="n">
        <f aca="false">IF(H34999=0,0,H35000/ABS(H34999))</f>
        <v>4.745</v>
      </c>
      <c r="I35001" s="22" t="n">
        <f aca="false">IF(I34999=0,0,I35000/ABS(I34999))</f>
        <v>4.745</v>
      </c>
      <c r="J35001" s="22" t="n">
        <f aca="false">IF(J34999=0,0,J35000/ABS(J34999))</f>
        <v>4.745</v>
      </c>
      <c r="K35001" s="22" t="n">
        <f aca="false">IF(K34999=0,0,K35000/ABS(K34999))</f>
        <v>4.745</v>
      </c>
    </row>
    <row r="35002" customFormat="false" ht="15" hidden="false" customHeight="false" outlineLevel="0" collapsed="false">
      <c r="A35002" s="3" t="s">
        <v>432</v>
      </c>
      <c r="G35002" s="21" t="n">
        <f aca="false">IF(G35000&lt;0,1,0)</f>
        <v>0</v>
      </c>
      <c r="H35002" s="21" t="n">
        <f aca="false">IF(H35000&lt;0,1,0)</f>
        <v>0</v>
      </c>
      <c r="I35002" s="21" t="n">
        <f aca="false">IF(I35000&lt;0,1,0)</f>
        <v>0</v>
      </c>
      <c r="J35002" s="21" t="n">
        <f aca="false">IF(J35000&lt;0,1,0)</f>
        <v>0</v>
      </c>
      <c r="K35002" s="21" t="n">
        <f aca="false">IF(K35000&lt;0,1,0)</f>
        <v>0</v>
      </c>
    </row>
    <row r="35003" customFormat="false" ht="15" hidden="false" customHeight="false" outlineLevel="0" collapsed="false">
      <c r="A35003" s="3" t="s">
        <v>433</v>
      </c>
      <c r="C35003" s="21" t="n">
        <f aca="false">IFERROR(INDEX($G$34728:$K$34728,MATCH(1,$G$35002:$K$35002,0)),0)</f>
        <v>0</v>
      </c>
    </row>
    <row r="35004" customFormat="false" ht="15" hidden="false" customHeight="false" outlineLevel="0" collapsed="false">
      <c r="A35004" s="3" t="s">
        <v>434</v>
      </c>
      <c r="C35004" s="22" t="n">
        <f aca="false">MIN($G$35001:$K$35001)</f>
        <v>4.745</v>
      </c>
    </row>
    <row r="35005" customFormat="false" ht="15" hidden="false" customHeight="false" outlineLevel="0" collapsed="false">
      <c r="A35005" s="24" t="s">
        <v>438</v>
      </c>
      <c r="B35005" s="25"/>
      <c r="C35005" s="25"/>
      <c r="D35005" s="25"/>
      <c r="E35005" s="25"/>
      <c r="F35005" s="25"/>
      <c r="G35005" s="25"/>
      <c r="H35005" s="25"/>
      <c r="I35005" s="25"/>
      <c r="J35005" s="25"/>
      <c r="K35005" s="25"/>
    </row>
    <row r="35006" customFormat="false" ht="15" hidden="false" customHeight="false" outlineLevel="0" collapsed="false">
      <c r="A35006" s="3" t="s">
        <v>428</v>
      </c>
      <c r="G35006" s="32" t="n">
        <f aca="false">IF(G34738&gt;0,G34961/G34738,99)</f>
        <v>10.6704570673626</v>
      </c>
      <c r="H35006" s="32" t="n">
        <f aca="false">IF(H34738&gt;0,H34961/H34738,99)</f>
        <v>11.6601471215067</v>
      </c>
      <c r="I35006" s="32" t="n">
        <f aca="false">IF(I34738&gt;0,I34961/I34738,99)</f>
        <v>11.9636535522731</v>
      </c>
      <c r="J35006" s="32" t="n">
        <f aca="false">IF(J34738&gt;0,J34961/J34738,99)</f>
        <v>12.0045871637288</v>
      </c>
      <c r="K35006" s="32" t="n">
        <f aca="false">IF(K34738&gt;0,K34961/K34738,99)</f>
        <v>12.0232607366907</v>
      </c>
    </row>
    <row r="35007" customFormat="false" ht="15" hidden="false" customHeight="false" outlineLevel="0" collapsed="false">
      <c r="A35007" s="3" t="s">
        <v>429</v>
      </c>
      <c r="G35007" s="34" t="n">
        <f aca="false">Assumptions!$G$75</f>
        <v>10.5</v>
      </c>
      <c r="H35007" s="34" t="n">
        <f aca="false">Assumptions!$H$75</f>
        <v>10.5</v>
      </c>
      <c r="I35007" s="34" t="n">
        <f aca="false">Assumptions!$I$75</f>
        <v>10</v>
      </c>
      <c r="J35007" s="34" t="n">
        <f aca="false">Assumptions!$J$75</f>
        <v>10</v>
      </c>
      <c r="K35007" s="34" t="n">
        <f aca="false">Assumptions!$K$75</f>
        <v>9.5</v>
      </c>
    </row>
    <row r="35008" customFormat="false" ht="15" hidden="false" customHeight="false" outlineLevel="0" collapsed="false">
      <c r="A35008" s="3" t="s">
        <v>430</v>
      </c>
      <c r="G35008" s="32" t="n">
        <f aca="false">G35007-G35006</f>
        <v>-0.17045706736263</v>
      </c>
      <c r="H35008" s="32" t="n">
        <f aca="false">H35007-H35006</f>
        <v>-1.16014712150674</v>
      </c>
      <c r="I35008" s="32" t="n">
        <f aca="false">I35007-I35006</f>
        <v>-1.96365355227305</v>
      </c>
      <c r="J35008" s="32" t="n">
        <f aca="false">J35007-J35006</f>
        <v>-2.00458716372878</v>
      </c>
      <c r="K35008" s="32" t="n">
        <f aca="false">K35007-K35006</f>
        <v>-2.52326073669071</v>
      </c>
    </row>
    <row r="35009" customFormat="false" ht="15" hidden="false" customHeight="false" outlineLevel="0" collapsed="false">
      <c r="A35009" s="3" t="s">
        <v>431</v>
      </c>
      <c r="G35009" s="22" t="n">
        <f aca="false">IF(G35007=0,0,G35008/ABS(G35007))</f>
        <v>-0.0162340064154886</v>
      </c>
      <c r="H35009" s="22" t="n">
        <f aca="false">IF(H35007=0,0,H35008/ABS(H35007))</f>
        <v>-0.110490202048261</v>
      </c>
      <c r="I35009" s="22" t="n">
        <f aca="false">IF(I35007=0,0,I35008/ABS(I35007))</f>
        <v>-0.196365355227305</v>
      </c>
      <c r="J35009" s="22" t="n">
        <f aca="false">IF(J35007=0,0,J35008/ABS(J35007))</f>
        <v>-0.200458716372878</v>
      </c>
      <c r="K35009" s="22" t="n">
        <f aca="false">IF(K35007=0,0,K35008/ABS(K35007))</f>
        <v>-0.265606393335864</v>
      </c>
    </row>
    <row r="35010" customFormat="false" ht="15" hidden="false" customHeight="false" outlineLevel="0" collapsed="false">
      <c r="A35010" s="3" t="s">
        <v>432</v>
      </c>
      <c r="G35010" s="21" t="n">
        <f aca="false">IF(G35008&lt;0,1,0)</f>
        <v>1</v>
      </c>
      <c r="H35010" s="21" t="n">
        <f aca="false">IF(H35008&lt;0,1,0)</f>
        <v>1</v>
      </c>
      <c r="I35010" s="21" t="n">
        <f aca="false">IF(I35008&lt;0,1,0)</f>
        <v>1</v>
      </c>
      <c r="J35010" s="21" t="n">
        <f aca="false">IF(J35008&lt;0,1,0)</f>
        <v>1</v>
      </c>
      <c r="K35010" s="21" t="n">
        <f aca="false">IF(K35008&lt;0,1,0)</f>
        <v>1</v>
      </c>
    </row>
    <row r="35011" customFormat="false" ht="15" hidden="false" customHeight="false" outlineLevel="0" collapsed="false">
      <c r="A35011" s="3" t="s">
        <v>433</v>
      </c>
      <c r="C35011" s="21" t="n">
        <f aca="false">IFERROR(INDEX($G$34728:$K$34728,MATCH(1,$G$35010:$K$35010,0)),0)</f>
        <v>2027</v>
      </c>
    </row>
    <row r="35012" customFormat="false" ht="15" hidden="false" customHeight="false" outlineLevel="0" collapsed="false">
      <c r="A35012" s="3" t="s">
        <v>434</v>
      </c>
      <c r="C35012" s="22" t="n">
        <f aca="false">MIN($G$35009:$K$35009)</f>
        <v>-0.265606393335864</v>
      </c>
    </row>
    <row r="35013" customFormat="false" ht="15" hidden="false" customHeight="false" outlineLevel="0" collapsed="false">
      <c r="A35013" s="3" t="s">
        <v>439</v>
      </c>
      <c r="G35013" s="21" t="n">
        <f aca="false">G34978+G34986+G34994+G35002+G35010</f>
        <v>3</v>
      </c>
      <c r="H35013" s="21" t="n">
        <f aca="false">H34978+H34986+H34994+H35002+H35010</f>
        <v>3</v>
      </c>
      <c r="I35013" s="21" t="n">
        <f aca="false">I34978+I34986+I34994+I35002+I35010</f>
        <v>3</v>
      </c>
      <c r="J35013" s="21" t="n">
        <f aca="false">J34978+J34986+J34994+J35002+J35010</f>
        <v>3</v>
      </c>
      <c r="K35013" s="21" t="n">
        <f aca="false">K34978+K34986+K34994+K35002+K35010</f>
        <v>3</v>
      </c>
    </row>
    <row r="35014" customFormat="false" ht="15" hidden="false" customHeight="false" outlineLevel="0" collapsed="false">
      <c r="A35014" s="3" t="s">
        <v>440</v>
      </c>
      <c r="C35014" s="21" t="n">
        <f aca="false">SUM($G$35013:$K$35013)</f>
        <v>15</v>
      </c>
    </row>
    <row r="35015" customFormat="false" ht="15" hidden="false" customHeight="false" outlineLevel="0" collapsed="false">
      <c r="A35015" s="3" t="s">
        <v>441</v>
      </c>
      <c r="C35015" s="22" t="n">
        <f aca="false">MIN(C34980,C34988,C34996,C35004,C35012)</f>
        <v>-0.265606393335864</v>
      </c>
    </row>
    <row r="35017" customFormat="false" ht="15" hidden="false" customHeight="false" outlineLevel="0" collapsed="false">
      <c r="A35017" s="24" t="s">
        <v>543</v>
      </c>
      <c r="B35017" s="25"/>
      <c r="C35017" s="25"/>
      <c r="D35017" s="25"/>
      <c r="E35017" s="25"/>
      <c r="F35017" s="25"/>
      <c r="G35017" s="25"/>
      <c r="H35017" s="25"/>
      <c r="I35017" s="25"/>
      <c r="J35017" s="25"/>
      <c r="K35017" s="25"/>
    </row>
    <row r="35018" customFormat="false" ht="15" hidden="false" customHeight="false" outlineLevel="0" collapsed="false">
      <c r="A35018" s="3" t="s">
        <v>544</v>
      </c>
      <c r="G35018" s="21" t="n">
        <f aca="false">IF($C$35019=1,G34955,IF(G34738=MIN($G$34738:$K$34738),1,0))</f>
        <v>0</v>
      </c>
      <c r="H35018" s="21" t="n">
        <f aca="false">IF($C$35019=1,H34955,IF(AND(H34738=MIN($G$34738:$K$34738),SUM($G$35018:G35018)=0),1,0))</f>
        <v>1</v>
      </c>
      <c r="I35018" s="21" t="n">
        <f aca="false">IF($C$35019=1,I34955,IF(AND(I34738=MIN($G$34738:$K$34738),SUM($G$35018:H35018)=0),1,0))</f>
        <v>0</v>
      </c>
      <c r="J35018" s="21" t="n">
        <f aca="false">IF($C$35019=1,J34955,IF(AND(J34738=MIN($G$34738:$K$34738),SUM($G$35018:I35018)=0),1,0))</f>
        <v>0</v>
      </c>
      <c r="K35018" s="21" t="n">
        <f aca="false">IF($C$35019=1,K34955,IF(AND(K34738=MIN($G$34738:$K$34738),SUM($G$35018:J35018)=0),1,0))</f>
        <v>0</v>
      </c>
    </row>
    <row r="35019" customFormat="false" ht="15" hidden="false" customHeight="false" outlineLevel="0" collapsed="false">
      <c r="A35019" s="3" t="s">
        <v>545</v>
      </c>
      <c r="C35019" s="21" t="n">
        <f aca="false">IF(SUM($G$34955:$K$34955)&gt;0,1,0)</f>
        <v>1</v>
      </c>
    </row>
    <row r="35020" customFormat="false" ht="15" hidden="false" customHeight="false" outlineLevel="0" collapsed="false">
      <c r="A35020" s="3" t="s">
        <v>546</v>
      </c>
      <c r="C35020" s="21" t="n">
        <f aca="false">SUMPRODUCT($G$35018:$K$35018,$G$34728:$K$34728)</f>
        <v>2028</v>
      </c>
    </row>
    <row r="35021" customFormat="false" ht="15" hidden="false" customHeight="false" outlineLevel="0" collapsed="false">
      <c r="A35021" s="3" t="s">
        <v>547</v>
      </c>
      <c r="C35021" s="16" t="n">
        <f aca="false">SUMPRODUCT($G$35018:$K$35018,$G$34738:$K$34738)</f>
        <v>220.355740893</v>
      </c>
    </row>
    <row r="35022" customFormat="false" ht="15" hidden="false" customHeight="false" outlineLevel="0" collapsed="false">
      <c r="A35022" s="3" t="s">
        <v>548</v>
      </c>
      <c r="C35022" s="16" t="n">
        <f aca="false">MAX(0,SUMPRODUCT($G$35018:$K$35018,$G$34952:$K$34952))</f>
        <v>0</v>
      </c>
    </row>
    <row r="35023" customFormat="false" ht="15" hidden="false" customHeight="false" outlineLevel="0" collapsed="false">
      <c r="A35023" s="3" t="s">
        <v>549</v>
      </c>
      <c r="C35023" s="16" t="n">
        <f aca="false">(CHOOSE($C$34721,Assumptions!$C$92,Assumptions!$C$111,Assumptions!$C$130)+$C$34725)*C35021</f>
        <v>1542.490186251</v>
      </c>
    </row>
    <row r="35024" customFormat="false" ht="15" hidden="false" customHeight="false" outlineLevel="0" collapsed="false">
      <c r="A35024" s="3" t="s">
        <v>550</v>
      </c>
      <c r="C35024" s="16" t="n">
        <f aca="false">Assumptions!$C$31*(1-CHOOSE($C$34721,Assumptions!$C$93,Assumptions!$C$112,Assumptions!$C$131))*CHOOSE($C$34721,Assumptions!$C$94,Assumptions!$C$113,Assumptions!$C$132)</f>
        <v>3264.03873166667</v>
      </c>
    </row>
    <row r="35025" customFormat="false" ht="15" hidden="false" customHeight="false" outlineLevel="0" collapsed="false">
      <c r="A35025" s="3" t="s">
        <v>551</v>
      </c>
      <c r="C35025" s="16" t="n">
        <f aca="false">MAX(C35023,C35024)+C35022</f>
        <v>3264.03873166667</v>
      </c>
    </row>
    <row r="35026" customFormat="false" ht="15" hidden="false" customHeight="false" outlineLevel="0" collapsed="false">
      <c r="A35026" s="2" t="s">
        <v>552</v>
      </c>
      <c r="C35026" s="17" t="n">
        <f aca="false">IF(ISNUMBER(Assumptions!$C$14),Assumptions!$C$14,C35025)</f>
        <v>3264.03873166667</v>
      </c>
    </row>
    <row r="35027" customFormat="false" ht="15" hidden="false" customHeight="false" outlineLevel="0" collapsed="false">
      <c r="A35027" s="3" t="s">
        <v>553</v>
      </c>
      <c r="C35027" s="16" t="n">
        <f aca="false">C35026*Assumptions!$C$15</f>
        <v>130.561549266667</v>
      </c>
    </row>
    <row r="35028" customFormat="false" ht="15" hidden="false" customHeight="false" outlineLevel="0" collapsed="false">
      <c r="A35028" s="2" t="s">
        <v>554</v>
      </c>
      <c r="C35028" s="17" t="n">
        <f aca="false">C35026-C35027</f>
        <v>3133.4771824</v>
      </c>
    </row>
    <row r="35029" customFormat="false" ht="15" hidden="false" customHeight="false" outlineLevel="0" collapsed="false">
      <c r="A35029" s="24" t="s">
        <v>555</v>
      </c>
      <c r="B35029" s="25"/>
      <c r="C35029" s="25"/>
      <c r="D35029" s="25"/>
      <c r="E35029" s="25"/>
      <c r="F35029" s="25"/>
      <c r="G35029" s="25"/>
      <c r="H35029" s="25"/>
      <c r="I35029" s="25"/>
      <c r="J35029" s="25"/>
      <c r="K35029" s="25"/>
    </row>
    <row r="35030" customFormat="false" ht="15" hidden="false" customHeight="false" outlineLevel="0" collapsed="false">
      <c r="A35030" s="3" t="s">
        <v>556</v>
      </c>
      <c r="C35030" s="16" t="n">
        <f aca="false">SUMPRODUCT($G$35018:$K$35018,$G$34775:$K$34775)*(1+SUMPRODUCT($G$35018:$K$35018,$G$34767:$K$34767)*Assumptions!$C$16/12)</f>
        <v>402.29</v>
      </c>
    </row>
    <row r="35031" customFormat="false" ht="15" hidden="false" customHeight="false" outlineLevel="0" collapsed="false">
      <c r="A35031" s="3" t="s">
        <v>557</v>
      </c>
      <c r="C35031" s="16" t="n">
        <f aca="false">SUMPRODUCT($G$35018:$K$35018,$G$34788:$K$34788)*(1+SUMPRODUCT($G$35018:$K$35018,$G$34780:$K$34780)*Assumptions!$C$16/12)</f>
        <v>91.30725</v>
      </c>
    </row>
    <row r="35032" customFormat="false" ht="15" hidden="false" customHeight="false" outlineLevel="0" collapsed="false">
      <c r="A35032" s="3" t="s">
        <v>558</v>
      </c>
      <c r="C35032" s="16" t="n">
        <f aca="false">SUMPRODUCT($G$35018:$K$35018,$G$34801:$K$34801)*(1+SUMPRODUCT($G$35018:$K$35018,$G$34793:$K$34793)*Assumptions!$C$16/12)</f>
        <v>58.3715961</v>
      </c>
    </row>
    <row r="35033" customFormat="false" ht="15" hidden="false" customHeight="false" outlineLevel="0" collapsed="false">
      <c r="A35033" s="3" t="s">
        <v>559</v>
      </c>
      <c r="C35033" s="16" t="n">
        <f aca="false">SUMPRODUCT($G$35018:$K$35018,$G$34814:$K$34814)*(1+SUMPRODUCT($G$35018:$K$35018,$G$34806:$K$34806)*Assumptions!$C$16/12)</f>
        <v>0</v>
      </c>
    </row>
    <row r="35034" customFormat="false" ht="15" hidden="false" customHeight="false" outlineLevel="0" collapsed="false">
      <c r="A35034" s="3" t="s">
        <v>560</v>
      </c>
      <c r="C35034" s="16" t="n">
        <f aca="false">SUMPRODUCT($G$35018:$K$35018,$G$34827:$K$34827)*(1+SUMPRODUCT($G$35018:$K$35018,$G$34819:$K$34819)*Assumptions!$C$16/12)</f>
        <v>405.410640665075</v>
      </c>
    </row>
    <row r="35035" customFormat="false" ht="15" hidden="false" customHeight="false" outlineLevel="0" collapsed="false">
      <c r="A35035" s="3" t="s">
        <v>561</v>
      </c>
      <c r="C35035" s="16" t="n">
        <f aca="false">SUMPRODUCT($G$35018:$K$35018,$G$34840:$K$34840)*(1+SUMPRODUCT($G$35018:$K$35018,$G$34832:$K$34832)*Assumptions!$C$16/12)</f>
        <v>357.2625</v>
      </c>
    </row>
    <row r="35036" customFormat="false" ht="15" hidden="false" customHeight="false" outlineLevel="0" collapsed="false">
      <c r="A35036" s="3" t="s">
        <v>562</v>
      </c>
      <c r="C35036" s="16" t="n">
        <f aca="false">SUMPRODUCT($G$35018:$K$35018,$G$34853:$K$34853)*(1+SUMPRODUCT($G$35018:$K$35018,$G$34845:$K$34845)*Assumptions!$C$16/12)</f>
        <v>562.203125</v>
      </c>
    </row>
    <row r="35037" customFormat="false" ht="15" hidden="false" customHeight="false" outlineLevel="0" collapsed="false">
      <c r="A35037" s="3" t="s">
        <v>563</v>
      </c>
      <c r="C35037" s="16" t="n">
        <f aca="false">SUMPRODUCT($G$35018:$K$35018,$G$34866:$K$34866)*(1+SUMPRODUCT($G$35018:$K$35018,$G$34858:$K$34858)*Assumptions!$C$16/12)</f>
        <v>353.98125</v>
      </c>
    </row>
    <row r="35038" customFormat="false" ht="15" hidden="false" customHeight="false" outlineLevel="0" collapsed="false">
      <c r="A35038" s="3" t="s">
        <v>564</v>
      </c>
      <c r="C35038" s="16" t="n">
        <f aca="false">SUMPRODUCT($G$35018:$K$35018,$G$34879:$K$34879)*(1+SUMPRODUCT($G$35018:$K$35018,$G$34871:$K$34871)*Assumptions!$C$16/12)</f>
        <v>304.59375</v>
      </c>
    </row>
    <row r="35039" customFormat="false" ht="15" hidden="false" customHeight="false" outlineLevel="0" collapsed="false">
      <c r="A35039" s="3" t="s">
        <v>565</v>
      </c>
      <c r="C35039" s="16" t="n">
        <f aca="false">SUMPRODUCT($G$35018:$K$35018,$G$34892:$K$34892)*(1+SUMPRODUCT($G$35018:$K$35018,$G$34884:$K$34884)*Assumptions!$C$16/12)</f>
        <v>79.938509</v>
      </c>
    </row>
    <row r="35040" customFormat="false" ht="15" hidden="false" customHeight="false" outlineLevel="0" collapsed="false">
      <c r="A35040" s="24" t="s">
        <v>566</v>
      </c>
      <c r="B35040" s="25"/>
      <c r="C35040" s="25"/>
      <c r="D35040" s="25"/>
      <c r="E35040" s="25"/>
      <c r="F35040" s="25"/>
      <c r="G35040" s="25"/>
      <c r="H35040" s="25"/>
      <c r="I35040" s="25"/>
      <c r="J35040" s="25"/>
      <c r="K35040" s="25"/>
    </row>
    <row r="35041" customFormat="false" ht="15" hidden="false" customHeight="false" outlineLevel="0" collapsed="false">
      <c r="A35041" s="3" t="s">
        <v>556</v>
      </c>
      <c r="C35041" s="27" t="n">
        <f aca="false">Assumptions!$M$57</f>
        <v>1</v>
      </c>
    </row>
    <row r="35042" customFormat="false" ht="15" hidden="false" customHeight="false" outlineLevel="0" collapsed="false">
      <c r="A35042" s="3" t="s">
        <v>557</v>
      </c>
      <c r="C35042" s="27" t="n">
        <f aca="false">Assumptions!$M$58</f>
        <v>1</v>
      </c>
    </row>
    <row r="35043" customFormat="false" ht="15" hidden="false" customHeight="false" outlineLevel="0" collapsed="false">
      <c r="A35043" s="3" t="s">
        <v>558</v>
      </c>
      <c r="C35043" s="27" t="n">
        <f aca="false">Assumptions!$M$59</f>
        <v>1</v>
      </c>
    </row>
    <row r="35044" customFormat="false" ht="15" hidden="false" customHeight="false" outlineLevel="0" collapsed="false">
      <c r="A35044" s="3" t="s">
        <v>559</v>
      </c>
      <c r="C35044" s="27" t="n">
        <f aca="false">Assumptions!$M$60</f>
        <v>2</v>
      </c>
    </row>
    <row r="35045" customFormat="false" ht="15" hidden="false" customHeight="false" outlineLevel="0" collapsed="false">
      <c r="A35045" s="3" t="s">
        <v>560</v>
      </c>
      <c r="C35045" s="27" t="n">
        <f aca="false">Assumptions!$M$61</f>
        <v>2</v>
      </c>
    </row>
    <row r="35046" customFormat="false" ht="15" hidden="false" customHeight="false" outlineLevel="0" collapsed="false">
      <c r="A35046" s="3" t="s">
        <v>561</v>
      </c>
      <c r="C35046" s="27" t="n">
        <f aca="false">Assumptions!$M$62</f>
        <v>2</v>
      </c>
    </row>
    <row r="35047" customFormat="false" ht="15" hidden="false" customHeight="false" outlineLevel="0" collapsed="false">
      <c r="A35047" s="3" t="s">
        <v>562</v>
      </c>
      <c r="C35047" s="27" t="n">
        <f aca="false">Assumptions!$M$63</f>
        <v>2</v>
      </c>
    </row>
    <row r="35048" customFormat="false" ht="15" hidden="false" customHeight="false" outlineLevel="0" collapsed="false">
      <c r="A35048" s="3" t="s">
        <v>563</v>
      </c>
      <c r="C35048" s="27" t="n">
        <f aca="false">Assumptions!$M$64</f>
        <v>2</v>
      </c>
    </row>
    <row r="35049" customFormat="false" ht="15" hidden="false" customHeight="false" outlineLevel="0" collapsed="false">
      <c r="A35049" s="3" t="s">
        <v>564</v>
      </c>
      <c r="C35049" s="27" t="n">
        <f aca="false">Assumptions!$M$65</f>
        <v>2</v>
      </c>
    </row>
    <row r="35050" customFormat="false" ht="15" hidden="false" customHeight="false" outlineLevel="0" collapsed="false">
      <c r="A35050" s="3" t="s">
        <v>565</v>
      </c>
      <c r="C35050" s="27" t="n">
        <f aca="false">Assumptions!$M$66</f>
        <v>3</v>
      </c>
    </row>
    <row r="35051" customFormat="false" ht="15" hidden="false" customHeight="false" outlineLevel="0" collapsed="false">
      <c r="A35051" s="24" t="s">
        <v>567</v>
      </c>
      <c r="B35051" s="25"/>
      <c r="C35051" s="25"/>
      <c r="D35051" s="25"/>
      <c r="E35051" s="25"/>
      <c r="F35051" s="25"/>
      <c r="G35051" s="25"/>
      <c r="H35051" s="25"/>
      <c r="I35051" s="25"/>
      <c r="J35051" s="25"/>
      <c r="K35051" s="25"/>
    </row>
    <row r="35052" customFormat="false" ht="15" hidden="false" customHeight="false" outlineLevel="0" collapsed="false">
      <c r="A35052" s="3" t="s">
        <v>556</v>
      </c>
      <c r="C35052" s="33" t="n">
        <f aca="false">Assumptions!$Q$57</f>
        <v>0.3</v>
      </c>
    </row>
    <row r="35053" customFormat="false" ht="15" hidden="false" customHeight="false" outlineLevel="0" collapsed="false">
      <c r="A35053" s="3" t="s">
        <v>557</v>
      </c>
      <c r="C35053" s="33" t="n">
        <f aca="false">Assumptions!$Q$58</f>
        <v>0.033</v>
      </c>
    </row>
    <row r="35054" customFormat="false" ht="15" hidden="false" customHeight="false" outlineLevel="0" collapsed="false">
      <c r="A35054" s="3" t="s">
        <v>558</v>
      </c>
      <c r="C35054" s="33" t="n">
        <f aca="false">Assumptions!$Q$59</f>
        <v>0.021</v>
      </c>
    </row>
    <row r="35055" customFormat="false" ht="15" hidden="false" customHeight="false" outlineLevel="0" collapsed="false">
      <c r="A35055" s="3" t="s">
        <v>559</v>
      </c>
      <c r="C35055" s="33" t="n">
        <f aca="false">Assumptions!$Q$60</f>
        <v>0</v>
      </c>
    </row>
    <row r="35056" customFormat="false" ht="15" hidden="false" customHeight="false" outlineLevel="0" collapsed="false">
      <c r="A35056" s="3" t="s">
        <v>560</v>
      </c>
      <c r="C35056" s="33" t="n">
        <f aca="false">Assumptions!$Q$61</f>
        <v>0</v>
      </c>
    </row>
    <row r="35057" customFormat="false" ht="15" hidden="false" customHeight="false" outlineLevel="0" collapsed="false">
      <c r="A35057" s="3" t="s">
        <v>561</v>
      </c>
      <c r="C35057" s="33" t="n">
        <f aca="false">Assumptions!$Q$62</f>
        <v>0</v>
      </c>
    </row>
    <row r="35058" customFormat="false" ht="15" hidden="false" customHeight="false" outlineLevel="0" collapsed="false">
      <c r="A35058" s="3" t="s">
        <v>562</v>
      </c>
      <c r="C35058" s="33" t="n">
        <f aca="false">Assumptions!$Q$63</f>
        <v>0</v>
      </c>
    </row>
    <row r="35059" customFormat="false" ht="15" hidden="false" customHeight="false" outlineLevel="0" collapsed="false">
      <c r="A35059" s="3" t="s">
        <v>563</v>
      </c>
      <c r="C35059" s="33" t="n">
        <f aca="false">Assumptions!$Q$64</f>
        <v>0</v>
      </c>
    </row>
    <row r="35060" customFormat="false" ht="15" hidden="false" customHeight="false" outlineLevel="0" collapsed="false">
      <c r="A35060" s="3" t="s">
        <v>564</v>
      </c>
      <c r="C35060" s="33" t="n">
        <f aca="false">Assumptions!$Q$65</f>
        <v>0</v>
      </c>
    </row>
    <row r="35061" customFormat="false" ht="15" hidden="false" customHeight="false" outlineLevel="0" collapsed="false">
      <c r="A35061" s="3" t="s">
        <v>565</v>
      </c>
      <c r="C35061" s="33" t="n">
        <f aca="false">Assumptions!$Q$66</f>
        <v>0</v>
      </c>
    </row>
    <row r="35062" customFormat="false" ht="15" hidden="false" customHeight="false" outlineLevel="0" collapsed="false">
      <c r="A35062" s="24" t="s">
        <v>568</v>
      </c>
      <c r="B35062" s="25"/>
      <c r="C35062" s="25"/>
      <c r="D35062" s="25"/>
      <c r="E35062" s="25"/>
      <c r="F35062" s="25"/>
      <c r="G35062" s="25"/>
      <c r="H35062" s="25"/>
      <c r="I35062" s="25"/>
      <c r="J35062" s="25"/>
      <c r="K35062" s="25"/>
    </row>
    <row r="35063" customFormat="false" ht="15" hidden="false" customHeight="false" outlineLevel="0" collapsed="false">
      <c r="A35063" s="3" t="s">
        <v>556</v>
      </c>
      <c r="C35063" s="16" t="n">
        <f aca="false">IF(C35052&gt;0,MIN(C35030,C35052*$C$35028),0)</f>
        <v>402.29</v>
      </c>
    </row>
    <row r="35064" customFormat="false" ht="15" hidden="false" customHeight="false" outlineLevel="0" collapsed="false">
      <c r="A35064" s="3" t="s">
        <v>557</v>
      </c>
      <c r="C35064" s="16" t="n">
        <f aca="false">IF(C35053&gt;0,MIN(C35031,C35053*$C$35028),0)</f>
        <v>91.30725</v>
      </c>
    </row>
    <row r="35065" customFormat="false" ht="15" hidden="false" customHeight="false" outlineLevel="0" collapsed="false">
      <c r="A35065" s="3" t="s">
        <v>558</v>
      </c>
      <c r="C35065" s="16" t="n">
        <f aca="false">IF(C35054&gt;0,MIN(C35032,C35054*$C$35028),0)</f>
        <v>58.3715961</v>
      </c>
    </row>
    <row r="35066" customFormat="false" ht="15" hidden="false" customHeight="false" outlineLevel="0" collapsed="false">
      <c r="A35066" s="3" t="s">
        <v>559</v>
      </c>
      <c r="C35066" s="16" t="n">
        <f aca="false">IF(C35055&gt;0,MIN(C35033,C35055*$C$35028),0)</f>
        <v>0</v>
      </c>
    </row>
    <row r="35067" customFormat="false" ht="15" hidden="false" customHeight="false" outlineLevel="0" collapsed="false">
      <c r="A35067" s="3" t="s">
        <v>560</v>
      </c>
      <c r="C35067" s="16" t="n">
        <f aca="false">IF(C35056&gt;0,MIN(C35034,C35056*$C$35028),0)</f>
        <v>0</v>
      </c>
    </row>
    <row r="35068" customFormat="false" ht="15" hidden="false" customHeight="false" outlineLevel="0" collapsed="false">
      <c r="A35068" s="3" t="s">
        <v>561</v>
      </c>
      <c r="C35068" s="16" t="n">
        <f aca="false">IF(C35057&gt;0,MIN(C35035,C35057*$C$35028),0)</f>
        <v>0</v>
      </c>
    </row>
    <row r="35069" customFormat="false" ht="15" hidden="false" customHeight="false" outlineLevel="0" collapsed="false">
      <c r="A35069" s="3" t="s">
        <v>562</v>
      </c>
      <c r="C35069" s="16" t="n">
        <f aca="false">IF(C35058&gt;0,MIN(C35036,C35058*$C$35028),0)</f>
        <v>0</v>
      </c>
    </row>
    <row r="35070" customFormat="false" ht="15" hidden="false" customHeight="false" outlineLevel="0" collapsed="false">
      <c r="A35070" s="3" t="s">
        <v>563</v>
      </c>
      <c r="C35070" s="16" t="n">
        <f aca="false">IF(C35059&gt;0,MIN(C35037,C35059*$C$35028),0)</f>
        <v>0</v>
      </c>
    </row>
    <row r="35071" customFormat="false" ht="15" hidden="false" customHeight="false" outlineLevel="0" collapsed="false">
      <c r="A35071" s="3" t="s">
        <v>564</v>
      </c>
      <c r="C35071" s="16" t="n">
        <f aca="false">IF(C35060&gt;0,MIN(C35038,C35060*$C$35028),0)</f>
        <v>0</v>
      </c>
    </row>
    <row r="35072" customFormat="false" ht="15" hidden="false" customHeight="false" outlineLevel="0" collapsed="false">
      <c r="A35072" s="3" t="s">
        <v>565</v>
      </c>
      <c r="C35072" s="16" t="n">
        <f aca="false">IF(C35061&gt;0,MIN(C35039,C35061*$C$35028),0)</f>
        <v>0</v>
      </c>
    </row>
    <row r="35073" customFormat="false" ht="15" hidden="false" customHeight="false" outlineLevel="0" collapsed="false">
      <c r="A35073" s="24" t="s">
        <v>569</v>
      </c>
      <c r="B35073" s="25"/>
      <c r="C35073" s="25"/>
      <c r="D35073" s="25"/>
      <c r="E35073" s="25"/>
      <c r="F35073" s="25"/>
      <c r="G35073" s="25"/>
      <c r="H35073" s="25"/>
      <c r="I35073" s="25"/>
      <c r="J35073" s="25"/>
      <c r="K35073" s="25"/>
    </row>
    <row r="35074" customFormat="false" ht="15" hidden="false" customHeight="false" outlineLevel="0" collapsed="false">
      <c r="A35074" s="3" t="s">
        <v>556</v>
      </c>
      <c r="C35074" s="16" t="n">
        <f aca="false">IF(C35052&gt;0,C35030-C35063,0)</f>
        <v>0</v>
      </c>
      <c r="G35074" s="21" t="n">
        <f aca="false">IF(AND(G34765=1,G34762=1),1,0)</f>
        <v>0</v>
      </c>
      <c r="H35074" s="21" t="n">
        <f aca="false">IF(G35074=1,1,IF(AND(H34765=1,H34762=1),1,0))</f>
        <v>0</v>
      </c>
      <c r="I35074" s="21" t="n">
        <f aca="false">IF(H35074=1,1,IF(AND(I34765=1,I34762=1),1,0))</f>
        <v>0</v>
      </c>
      <c r="J35074" s="21" t="n">
        <f aca="false">IF(I35074=1,1,IF(AND(J34765=1,J34762=1),1,0))</f>
        <v>0</v>
      </c>
      <c r="K35074" s="21" t="n">
        <f aca="false">IF(J35074=1,1,IF(AND(K34765=1,K34762=1),1,0))</f>
        <v>0</v>
      </c>
    </row>
    <row r="35075" customFormat="false" ht="15" hidden="false" customHeight="false" outlineLevel="0" collapsed="false">
      <c r="A35075" s="3" t="s">
        <v>557</v>
      </c>
      <c r="C35075" s="16" t="n">
        <f aca="false">IF(C35053&gt;0,C35031-C35064,0)</f>
        <v>0</v>
      </c>
      <c r="G35075" s="21" t="n">
        <f aca="false">IF(AND(G34778=1,G34762=1),1,0)</f>
        <v>0</v>
      </c>
      <c r="H35075" s="21" t="n">
        <f aca="false">IF(G35075=1,1,IF(AND(H34778=1,H34762=1),1,0))</f>
        <v>0</v>
      </c>
      <c r="I35075" s="21" t="n">
        <f aca="false">IF(H35075=1,1,IF(AND(I34778=1,I34762=1),1,0))</f>
        <v>0</v>
      </c>
      <c r="J35075" s="21" t="n">
        <f aca="false">IF(I35075=1,1,IF(AND(J34778=1,J34762=1),1,0))</f>
        <v>0</v>
      </c>
      <c r="K35075" s="21" t="n">
        <f aca="false">IF(J35075=1,1,IF(AND(K34778=1,K34762=1),1,0))</f>
        <v>0</v>
      </c>
    </row>
    <row r="35076" customFormat="false" ht="15" hidden="false" customHeight="false" outlineLevel="0" collapsed="false">
      <c r="A35076" s="3" t="s">
        <v>558</v>
      </c>
      <c r="C35076" s="16" t="n">
        <f aca="false">IF(C35054&gt;0,C35032-C35065,0)</f>
        <v>0</v>
      </c>
      <c r="G35076" s="21" t="n">
        <f aca="false">IF(AND(G34791=1,G34762=1),1,0)</f>
        <v>0</v>
      </c>
      <c r="H35076" s="21" t="n">
        <f aca="false">IF(G35076=1,1,IF(AND(H34791=1,H34762=1),1,0))</f>
        <v>0</v>
      </c>
      <c r="I35076" s="21" t="n">
        <f aca="false">IF(H35076=1,1,IF(AND(I34791=1,I34762=1),1,0))</f>
        <v>0</v>
      </c>
      <c r="J35076" s="21" t="n">
        <f aca="false">IF(I35076=1,1,IF(AND(J34791=1,J34762=1),1,0))</f>
        <v>0</v>
      </c>
      <c r="K35076" s="21" t="n">
        <f aca="false">IF(J35076=1,1,IF(AND(K34791=1,K34762=1),1,0))</f>
        <v>0</v>
      </c>
    </row>
    <row r="35077" customFormat="false" ht="15" hidden="false" customHeight="false" outlineLevel="0" collapsed="false">
      <c r="A35077" s="3" t="s">
        <v>559</v>
      </c>
      <c r="C35077" s="16" t="n">
        <f aca="false">IF(C35055&gt;0,C35033-C35066,0)</f>
        <v>0</v>
      </c>
      <c r="G35077" s="21" t="n">
        <f aca="false">IF(AND(G34804=1,G34762=1),1,0)</f>
        <v>0</v>
      </c>
      <c r="H35077" s="21" t="n">
        <f aca="false">IF(G35077=1,1,IF(AND(H34804=1,H34762=1),1,0))</f>
        <v>0</v>
      </c>
      <c r="I35077" s="21" t="n">
        <f aca="false">IF(H35077=1,1,IF(AND(I34804=1,I34762=1),1,0))</f>
        <v>0</v>
      </c>
      <c r="J35077" s="21" t="n">
        <f aca="false">IF(I35077=1,1,IF(AND(J34804=1,J34762=1),1,0))</f>
        <v>0</v>
      </c>
      <c r="K35077" s="21" t="n">
        <f aca="false">IF(J35077=1,1,IF(AND(K34804=1,K34762=1),1,0))</f>
        <v>0</v>
      </c>
    </row>
    <row r="35078" customFormat="false" ht="15" hidden="false" customHeight="false" outlineLevel="0" collapsed="false">
      <c r="A35078" s="3" t="s">
        <v>560</v>
      </c>
      <c r="C35078" s="16" t="n">
        <f aca="false">IF(C35056&gt;0,C35034-C35067,0)</f>
        <v>0</v>
      </c>
      <c r="G35078" s="21" t="n">
        <f aca="false">IF(AND(G34817=1,G34762=1),1,0)</f>
        <v>0</v>
      </c>
      <c r="H35078" s="21" t="n">
        <f aca="false">IF(G35078=1,1,IF(AND(H34817=1,H34762=1),1,0))</f>
        <v>0</v>
      </c>
      <c r="I35078" s="21" t="n">
        <f aca="false">IF(H35078=1,1,IF(AND(I34817=1,I34762=1),1,0))</f>
        <v>0</v>
      </c>
      <c r="J35078" s="21" t="n">
        <f aca="false">IF(I35078=1,1,IF(AND(J34817=1,J34762=1),1,0))</f>
        <v>0</v>
      </c>
      <c r="K35078" s="21" t="n">
        <f aca="false">IF(J35078=1,1,IF(AND(K34817=1,K34762=1),1,0))</f>
        <v>0</v>
      </c>
    </row>
    <row r="35079" customFormat="false" ht="15" hidden="false" customHeight="false" outlineLevel="0" collapsed="false">
      <c r="A35079" s="3" t="s">
        <v>561</v>
      </c>
      <c r="C35079" s="16" t="n">
        <f aca="false">IF(C35057&gt;0,C35035-C35068,0)</f>
        <v>0</v>
      </c>
      <c r="G35079" s="21" t="n">
        <f aca="false">IF(AND(G34830=1,G34762=1),1,0)</f>
        <v>0</v>
      </c>
      <c r="H35079" s="21" t="n">
        <f aca="false">IF(G35079=1,1,IF(AND(H34830=1,H34762=1),1,0))</f>
        <v>0</v>
      </c>
      <c r="I35079" s="21" t="n">
        <f aca="false">IF(H35079=1,1,IF(AND(I34830=1,I34762=1),1,0))</f>
        <v>0</v>
      </c>
      <c r="J35079" s="21" t="n">
        <f aca="false">IF(I35079=1,1,IF(AND(J34830=1,J34762=1),1,0))</f>
        <v>0</v>
      </c>
      <c r="K35079" s="21" t="n">
        <f aca="false">IF(J35079=1,1,IF(AND(K34830=1,K34762=1),1,0))</f>
        <v>0</v>
      </c>
    </row>
    <row r="35080" customFormat="false" ht="15" hidden="false" customHeight="false" outlineLevel="0" collapsed="false">
      <c r="A35080" s="3" t="s">
        <v>562</v>
      </c>
      <c r="C35080" s="16" t="n">
        <f aca="false">IF(C35058&gt;0,C35036-C35069,0)</f>
        <v>0</v>
      </c>
      <c r="G35080" s="21" t="n">
        <f aca="false">IF(AND(G34843=1,G34762=1),1,0)</f>
        <v>0</v>
      </c>
      <c r="H35080" s="21" t="n">
        <f aca="false">IF(G35080=1,1,IF(AND(H34843=1,H34762=1),1,0))</f>
        <v>0</v>
      </c>
      <c r="I35080" s="21" t="n">
        <f aca="false">IF(H35080=1,1,IF(AND(I34843=1,I34762=1),1,0))</f>
        <v>0</v>
      </c>
      <c r="J35080" s="21" t="n">
        <f aca="false">IF(I35080=1,1,IF(AND(J34843=1,J34762=1),1,0))</f>
        <v>0</v>
      </c>
      <c r="K35080" s="21" t="n">
        <f aca="false">IF(J35080=1,1,IF(AND(K34843=1,K34762=1),1,0))</f>
        <v>0</v>
      </c>
    </row>
    <row r="35081" customFormat="false" ht="15" hidden="false" customHeight="false" outlineLevel="0" collapsed="false">
      <c r="A35081" s="3" t="s">
        <v>563</v>
      </c>
      <c r="C35081" s="16" t="n">
        <f aca="false">IF(C35059&gt;0,C35037-C35070,0)</f>
        <v>0</v>
      </c>
      <c r="G35081" s="21" t="n">
        <f aca="false">IF(AND(G34856=1,G34762=1),1,0)</f>
        <v>0</v>
      </c>
      <c r="H35081" s="21" t="n">
        <f aca="false">IF(G35081=1,1,IF(AND(H34856=1,H34762=1),1,0))</f>
        <v>0</v>
      </c>
      <c r="I35081" s="21" t="n">
        <f aca="false">IF(H35081=1,1,IF(AND(I34856=1,I34762=1),1,0))</f>
        <v>0</v>
      </c>
      <c r="J35081" s="21" t="n">
        <f aca="false">IF(I35081=1,1,IF(AND(J34856=1,J34762=1),1,0))</f>
        <v>0</v>
      </c>
      <c r="K35081" s="21" t="n">
        <f aca="false">IF(J35081=1,1,IF(AND(K34856=1,K34762=1),1,0))</f>
        <v>0</v>
      </c>
    </row>
    <row r="35082" customFormat="false" ht="15" hidden="false" customHeight="false" outlineLevel="0" collapsed="false">
      <c r="A35082" s="3" t="s">
        <v>564</v>
      </c>
      <c r="C35082" s="16" t="n">
        <f aca="false">IF(C35060&gt;0,C35038-C35071,0)</f>
        <v>0</v>
      </c>
      <c r="G35082" s="21" t="n">
        <f aca="false">IF(AND(G34869=1,G34762=1),1,0)</f>
        <v>0</v>
      </c>
      <c r="H35082" s="21" t="n">
        <f aca="false">IF(G35082=1,1,IF(AND(H34869=1,H34762=1),1,0))</f>
        <v>0</v>
      </c>
      <c r="I35082" s="21" t="n">
        <f aca="false">IF(H35082=1,1,IF(AND(I34869=1,I34762=1),1,0))</f>
        <v>0</v>
      </c>
      <c r="J35082" s="21" t="n">
        <f aca="false">IF(I35082=1,1,IF(AND(J34869=1,J34762=1),1,0))</f>
        <v>0</v>
      </c>
      <c r="K35082" s="21" t="n">
        <f aca="false">IF(J35082=1,1,IF(AND(K34869=1,K34762=1),1,0))</f>
        <v>0</v>
      </c>
    </row>
    <row r="35083" customFormat="false" ht="15" hidden="false" customHeight="false" outlineLevel="0" collapsed="false">
      <c r="A35083" s="3" t="s">
        <v>565</v>
      </c>
      <c r="C35083" s="16" t="n">
        <f aca="false">IF(C35061&gt;0,C35039-C35072,0)</f>
        <v>0</v>
      </c>
      <c r="G35083" s="21" t="n">
        <f aca="false">IF(AND(G34882=1,G34762=1),1,0)</f>
        <v>0</v>
      </c>
      <c r="H35083" s="21" t="n">
        <f aca="false">IF(G35083=1,1,IF(AND(H34882=1,H34762=1),1,0))</f>
        <v>0</v>
      </c>
      <c r="I35083" s="21" t="n">
        <f aca="false">IF(H35083=1,1,IF(AND(I34882=1,I34762=1),1,0))</f>
        <v>0</v>
      </c>
      <c r="J35083" s="21" t="n">
        <f aca="false">IF(I35083=1,1,IF(AND(J34882=1,J34762=1),1,0))</f>
        <v>0</v>
      </c>
      <c r="K35083" s="21" t="n">
        <f aca="false">IF(J35083=1,1,IF(AND(K34882=1,K34762=1),1,0))</f>
        <v>0</v>
      </c>
    </row>
    <row r="35084" customFormat="false" ht="15" hidden="false" customHeight="false" outlineLevel="0" collapsed="false">
      <c r="A35084" s="24" t="s">
        <v>570</v>
      </c>
      <c r="B35084" s="25"/>
      <c r="C35084" s="25"/>
      <c r="D35084" s="25"/>
      <c r="E35084" s="25"/>
      <c r="F35084" s="25"/>
      <c r="G35084" s="25"/>
      <c r="H35084" s="25"/>
      <c r="I35084" s="25"/>
      <c r="J35084" s="25"/>
      <c r="K35084" s="25"/>
    </row>
    <row r="35085" customFormat="false" ht="15" hidden="false" customHeight="false" outlineLevel="0" collapsed="false">
      <c r="A35085" s="3" t="s">
        <v>556</v>
      </c>
      <c r="C35085" s="16" t="n">
        <f aca="false">IF(C35052&gt;0,C35074,C35030)</f>
        <v>0</v>
      </c>
    </row>
    <row r="35086" customFormat="false" ht="15" hidden="false" customHeight="false" outlineLevel="0" collapsed="false">
      <c r="A35086" s="3" t="s">
        <v>557</v>
      </c>
      <c r="C35086" s="16" t="n">
        <f aca="false">IF(C35053&gt;0,C35075,C35031)</f>
        <v>0</v>
      </c>
    </row>
    <row r="35087" customFormat="false" ht="15" hidden="false" customHeight="false" outlineLevel="0" collapsed="false">
      <c r="A35087" s="3" t="s">
        <v>558</v>
      </c>
      <c r="C35087" s="16" t="n">
        <f aca="false">IF(C35054&gt;0,C35076,C35032)</f>
        <v>0</v>
      </c>
    </row>
    <row r="35088" customFormat="false" ht="15" hidden="false" customHeight="false" outlineLevel="0" collapsed="false">
      <c r="A35088" s="3" t="s">
        <v>559</v>
      </c>
      <c r="C35088" s="16" t="n">
        <f aca="false">IF(C35055&gt;0,C35077,C35033)</f>
        <v>0</v>
      </c>
    </row>
    <row r="35089" customFormat="false" ht="15" hidden="false" customHeight="false" outlineLevel="0" collapsed="false">
      <c r="A35089" s="3" t="s">
        <v>560</v>
      </c>
      <c r="C35089" s="16" t="n">
        <f aca="false">IF(C35056&gt;0,C35078,C35034)</f>
        <v>405.410640665075</v>
      </c>
    </row>
    <row r="35090" customFormat="false" ht="15" hidden="false" customHeight="false" outlineLevel="0" collapsed="false">
      <c r="A35090" s="3" t="s">
        <v>561</v>
      </c>
      <c r="C35090" s="16" t="n">
        <f aca="false">IF(C35057&gt;0,C35079,C35035)</f>
        <v>357.2625</v>
      </c>
    </row>
    <row r="35091" customFormat="false" ht="15" hidden="false" customHeight="false" outlineLevel="0" collapsed="false">
      <c r="A35091" s="3" t="s">
        <v>562</v>
      </c>
      <c r="C35091" s="16" t="n">
        <f aca="false">IF(C35058&gt;0,C35080,C35036)</f>
        <v>562.203125</v>
      </c>
    </row>
    <row r="35092" customFormat="false" ht="15" hidden="false" customHeight="false" outlineLevel="0" collapsed="false">
      <c r="A35092" s="3" t="s">
        <v>563</v>
      </c>
      <c r="C35092" s="16" t="n">
        <f aca="false">IF(C35059&gt;0,C35081,C35037)</f>
        <v>353.98125</v>
      </c>
    </row>
    <row r="35093" customFormat="false" ht="15" hidden="false" customHeight="false" outlineLevel="0" collapsed="false">
      <c r="A35093" s="3" t="s">
        <v>564</v>
      </c>
      <c r="C35093" s="16" t="n">
        <f aca="false">IF(C35060&gt;0,C35082,C35038)</f>
        <v>304.59375</v>
      </c>
    </row>
    <row r="35094" customFormat="false" ht="15" hidden="false" customHeight="false" outlineLevel="0" collapsed="false">
      <c r="A35094" s="3" t="s">
        <v>565</v>
      </c>
      <c r="C35094" s="16" t="n">
        <f aca="false">IF(C35061&gt;0,C35083,C35039)</f>
        <v>79.938509</v>
      </c>
    </row>
    <row r="35095" customFormat="false" ht="15" hidden="false" customHeight="false" outlineLevel="0" collapsed="false">
      <c r="A35095" s="24" t="s">
        <v>571</v>
      </c>
      <c r="B35095" s="25"/>
      <c r="C35095" s="25"/>
      <c r="D35095" s="25"/>
      <c r="E35095" s="25"/>
      <c r="F35095" s="25"/>
      <c r="G35095" s="25"/>
      <c r="H35095" s="25"/>
      <c r="I35095" s="25"/>
      <c r="J35095" s="25"/>
      <c r="K35095" s="25"/>
    </row>
    <row r="35096" customFormat="false" ht="15" hidden="false" customHeight="false" outlineLevel="0" collapsed="false">
      <c r="A35096" s="3" t="s">
        <v>556</v>
      </c>
      <c r="C35096" s="21" t="n">
        <f aca="false">IF(C35052&gt;0,Assumptions!$C$17,C35041)</f>
        <v>99</v>
      </c>
    </row>
    <row r="35097" customFormat="false" ht="15" hidden="false" customHeight="false" outlineLevel="0" collapsed="false">
      <c r="A35097" s="3" t="s">
        <v>557</v>
      </c>
      <c r="C35097" s="21" t="n">
        <f aca="false">IF(C35053&gt;0,Assumptions!$C$17,C35042)</f>
        <v>99</v>
      </c>
    </row>
    <row r="35098" customFormat="false" ht="15" hidden="false" customHeight="false" outlineLevel="0" collapsed="false">
      <c r="A35098" s="3" t="s">
        <v>558</v>
      </c>
      <c r="C35098" s="21" t="n">
        <f aca="false">IF(C35054&gt;0,Assumptions!$C$17,C35043)</f>
        <v>99</v>
      </c>
    </row>
    <row r="35099" customFormat="false" ht="15" hidden="false" customHeight="false" outlineLevel="0" collapsed="false">
      <c r="A35099" s="3" t="s">
        <v>559</v>
      </c>
      <c r="C35099" s="21" t="n">
        <f aca="false">IF(C35055&gt;0,Assumptions!$C$17,C35044)</f>
        <v>2</v>
      </c>
    </row>
    <row r="35100" customFormat="false" ht="15" hidden="false" customHeight="false" outlineLevel="0" collapsed="false">
      <c r="A35100" s="3" t="s">
        <v>560</v>
      </c>
      <c r="C35100" s="21" t="n">
        <f aca="false">IF(C35056&gt;0,Assumptions!$C$17,C35045)</f>
        <v>2</v>
      </c>
    </row>
    <row r="35101" customFormat="false" ht="15" hidden="false" customHeight="false" outlineLevel="0" collapsed="false">
      <c r="A35101" s="3" t="s">
        <v>561</v>
      </c>
      <c r="C35101" s="21" t="n">
        <f aca="false">IF(C35057&gt;0,Assumptions!$C$17,C35046)</f>
        <v>2</v>
      </c>
    </row>
    <row r="35102" customFormat="false" ht="15" hidden="false" customHeight="false" outlineLevel="0" collapsed="false">
      <c r="A35102" s="3" t="s">
        <v>562</v>
      </c>
      <c r="C35102" s="21" t="n">
        <f aca="false">IF(C35058&gt;0,Assumptions!$C$17,C35047)</f>
        <v>2</v>
      </c>
    </row>
    <row r="35103" customFormat="false" ht="15" hidden="false" customHeight="false" outlineLevel="0" collapsed="false">
      <c r="A35103" s="3" t="s">
        <v>563</v>
      </c>
      <c r="C35103" s="21" t="n">
        <f aca="false">IF(C35059&gt;0,Assumptions!$C$17,C35048)</f>
        <v>2</v>
      </c>
    </row>
    <row r="35104" customFormat="false" ht="15" hidden="false" customHeight="false" outlineLevel="0" collapsed="false">
      <c r="A35104" s="3" t="s">
        <v>564</v>
      </c>
      <c r="C35104" s="21" t="n">
        <f aca="false">IF(C35060&gt;0,Assumptions!$C$17,C35049)</f>
        <v>2</v>
      </c>
    </row>
    <row r="35105" customFormat="false" ht="15" hidden="false" customHeight="false" outlineLevel="0" collapsed="false">
      <c r="A35105" s="3" t="s">
        <v>565</v>
      </c>
      <c r="C35105" s="21" t="n">
        <f aca="false">IF(C35061&gt;0,Assumptions!$C$17,C35050)</f>
        <v>3</v>
      </c>
    </row>
    <row r="35106" customFormat="false" ht="15" hidden="false" customHeight="false" outlineLevel="0" collapsed="false">
      <c r="A35106" s="24" t="s">
        <v>572</v>
      </c>
      <c r="B35106" s="25"/>
      <c r="C35106" s="25"/>
      <c r="D35106" s="25"/>
      <c r="E35106" s="25"/>
      <c r="F35106" s="25"/>
      <c r="G35106" s="25"/>
      <c r="H35106" s="25"/>
      <c r="I35106" s="25"/>
      <c r="J35106" s="25"/>
      <c r="K35106" s="25"/>
    </row>
    <row r="35107" customFormat="false" ht="15" hidden="false" customHeight="false" outlineLevel="0" collapsed="false">
      <c r="A35107" s="3" t="s">
        <v>556</v>
      </c>
      <c r="C35107" s="16" t="n">
        <f aca="false">SUMPRODUCT(($C$35096:$C$35105&lt;C35096)*$C$35085:$C$35094)</f>
        <v>2063.38977466508</v>
      </c>
    </row>
    <row r="35108" customFormat="false" ht="15" hidden="false" customHeight="false" outlineLevel="0" collapsed="false">
      <c r="A35108" s="3" t="s">
        <v>557</v>
      </c>
      <c r="C35108" s="16" t="n">
        <f aca="false">SUMPRODUCT(($C$35096:$C$35105&lt;C35097)*$C$35085:$C$35094)</f>
        <v>2063.38977466508</v>
      </c>
    </row>
    <row r="35109" customFormat="false" ht="15" hidden="false" customHeight="false" outlineLevel="0" collapsed="false">
      <c r="A35109" s="3" t="s">
        <v>558</v>
      </c>
      <c r="C35109" s="16" t="n">
        <f aca="false">SUMPRODUCT(($C$35096:$C$35105&lt;C35098)*$C$35085:$C$35094)</f>
        <v>2063.38977466508</v>
      </c>
    </row>
    <row r="35110" customFormat="false" ht="15" hidden="false" customHeight="false" outlineLevel="0" collapsed="false">
      <c r="A35110" s="3" t="s">
        <v>559</v>
      </c>
      <c r="C35110" s="16" t="n">
        <f aca="false">SUMPRODUCT(($C$35096:$C$35105&lt;C35099)*$C$35085:$C$35094)</f>
        <v>0</v>
      </c>
    </row>
    <row r="35111" customFormat="false" ht="15" hidden="false" customHeight="false" outlineLevel="0" collapsed="false">
      <c r="A35111" s="3" t="s">
        <v>560</v>
      </c>
      <c r="C35111" s="16" t="n">
        <f aca="false">SUMPRODUCT(($C$35096:$C$35105&lt;C35100)*$C$35085:$C$35094)</f>
        <v>0</v>
      </c>
    </row>
    <row r="35112" customFormat="false" ht="15" hidden="false" customHeight="false" outlineLevel="0" collapsed="false">
      <c r="A35112" s="3" t="s">
        <v>561</v>
      </c>
      <c r="C35112" s="16" t="n">
        <f aca="false">SUMPRODUCT(($C$35096:$C$35105&lt;C35101)*$C$35085:$C$35094)</f>
        <v>0</v>
      </c>
    </row>
    <row r="35113" customFormat="false" ht="15" hidden="false" customHeight="false" outlineLevel="0" collapsed="false">
      <c r="A35113" s="3" t="s">
        <v>562</v>
      </c>
      <c r="C35113" s="16" t="n">
        <f aca="false">SUMPRODUCT(($C$35096:$C$35105&lt;C35102)*$C$35085:$C$35094)</f>
        <v>0</v>
      </c>
    </row>
    <row r="35114" customFormat="false" ht="15" hidden="false" customHeight="false" outlineLevel="0" collapsed="false">
      <c r="A35114" s="3" t="s">
        <v>563</v>
      </c>
      <c r="C35114" s="16" t="n">
        <f aca="false">SUMPRODUCT(($C$35096:$C$35105&lt;C35103)*$C$35085:$C$35094)</f>
        <v>0</v>
      </c>
    </row>
    <row r="35115" customFormat="false" ht="15" hidden="false" customHeight="false" outlineLevel="0" collapsed="false">
      <c r="A35115" s="3" t="s">
        <v>564</v>
      </c>
      <c r="C35115" s="16" t="n">
        <f aca="false">SUMPRODUCT(($C$35096:$C$35105&lt;C35104)*$C$35085:$C$35094)</f>
        <v>0</v>
      </c>
    </row>
    <row r="35116" customFormat="false" ht="15" hidden="false" customHeight="false" outlineLevel="0" collapsed="false">
      <c r="A35116" s="3" t="s">
        <v>565</v>
      </c>
      <c r="C35116" s="16" t="n">
        <f aca="false">SUMPRODUCT(($C$35096:$C$35105&lt;C35105)*$C$35085:$C$35094)</f>
        <v>1983.45126566508</v>
      </c>
    </row>
    <row r="35117" customFormat="false" ht="15" hidden="false" customHeight="false" outlineLevel="0" collapsed="false">
      <c r="A35117" s="24" t="s">
        <v>573</v>
      </c>
      <c r="B35117" s="25"/>
      <c r="C35117" s="25"/>
      <c r="D35117" s="25"/>
      <c r="E35117" s="25"/>
      <c r="F35117" s="25"/>
      <c r="G35117" s="25"/>
      <c r="H35117" s="25"/>
      <c r="I35117" s="25"/>
      <c r="J35117" s="25"/>
      <c r="K35117" s="25"/>
    </row>
    <row r="35118" customFormat="false" ht="15" hidden="false" customHeight="false" outlineLevel="0" collapsed="false">
      <c r="A35118" s="3" t="s">
        <v>556</v>
      </c>
      <c r="C35118" s="16" t="n">
        <f aca="false">SUMPRODUCT(($C$35096:$C$35105=C35096)*$C$35085:$C$35094)</f>
        <v>0</v>
      </c>
    </row>
    <row r="35119" customFormat="false" ht="15" hidden="false" customHeight="false" outlineLevel="0" collapsed="false">
      <c r="A35119" s="3" t="s">
        <v>557</v>
      </c>
      <c r="C35119" s="16" t="n">
        <f aca="false">SUMPRODUCT(($C$35096:$C$35105=C35097)*$C$35085:$C$35094)</f>
        <v>0</v>
      </c>
    </row>
    <row r="35120" customFormat="false" ht="15" hidden="false" customHeight="false" outlineLevel="0" collapsed="false">
      <c r="A35120" s="3" t="s">
        <v>558</v>
      </c>
      <c r="C35120" s="16" t="n">
        <f aca="false">SUMPRODUCT(($C$35096:$C$35105=C35098)*$C$35085:$C$35094)</f>
        <v>0</v>
      </c>
    </row>
    <row r="35121" customFormat="false" ht="15" hidden="false" customHeight="false" outlineLevel="0" collapsed="false">
      <c r="A35121" s="3" t="s">
        <v>559</v>
      </c>
      <c r="C35121" s="16" t="n">
        <f aca="false">SUMPRODUCT(($C$35096:$C$35105=C35099)*$C$35085:$C$35094)</f>
        <v>1983.45126566508</v>
      </c>
    </row>
    <row r="35122" customFormat="false" ht="15" hidden="false" customHeight="false" outlineLevel="0" collapsed="false">
      <c r="A35122" s="3" t="s">
        <v>560</v>
      </c>
      <c r="C35122" s="16" t="n">
        <f aca="false">SUMPRODUCT(($C$35096:$C$35105=C35100)*$C$35085:$C$35094)</f>
        <v>1983.45126566508</v>
      </c>
    </row>
    <row r="35123" customFormat="false" ht="15" hidden="false" customHeight="false" outlineLevel="0" collapsed="false">
      <c r="A35123" s="3" t="s">
        <v>561</v>
      </c>
      <c r="C35123" s="16" t="n">
        <f aca="false">SUMPRODUCT(($C$35096:$C$35105=C35101)*$C$35085:$C$35094)</f>
        <v>1983.45126566508</v>
      </c>
    </row>
    <row r="35124" customFormat="false" ht="15" hidden="false" customHeight="false" outlineLevel="0" collapsed="false">
      <c r="A35124" s="3" t="s">
        <v>562</v>
      </c>
      <c r="C35124" s="16" t="n">
        <f aca="false">SUMPRODUCT(($C$35096:$C$35105=C35102)*$C$35085:$C$35094)</f>
        <v>1983.45126566508</v>
      </c>
    </row>
    <row r="35125" customFormat="false" ht="15" hidden="false" customHeight="false" outlineLevel="0" collapsed="false">
      <c r="A35125" s="3" t="s">
        <v>563</v>
      </c>
      <c r="C35125" s="16" t="n">
        <f aca="false">SUMPRODUCT(($C$35096:$C$35105=C35103)*$C$35085:$C$35094)</f>
        <v>1983.45126566508</v>
      </c>
    </row>
    <row r="35126" customFormat="false" ht="15" hidden="false" customHeight="false" outlineLevel="0" collapsed="false">
      <c r="A35126" s="3" t="s">
        <v>564</v>
      </c>
      <c r="C35126" s="16" t="n">
        <f aca="false">SUMPRODUCT(($C$35096:$C$35105=C35104)*$C$35085:$C$35094)</f>
        <v>1983.45126566508</v>
      </c>
    </row>
    <row r="35127" customFormat="false" ht="15" hidden="false" customHeight="false" outlineLevel="0" collapsed="false">
      <c r="A35127" s="3" t="s">
        <v>565</v>
      </c>
      <c r="C35127" s="16" t="n">
        <f aca="false">SUMPRODUCT(($C$35096:$C$35105=C35105)*$C$35085:$C$35094)</f>
        <v>79.938509</v>
      </c>
    </row>
    <row r="35128" customFormat="false" ht="15" hidden="false" customHeight="false" outlineLevel="0" collapsed="false">
      <c r="A35128" s="24" t="s">
        <v>574</v>
      </c>
      <c r="B35128" s="25"/>
      <c r="C35128" s="25"/>
      <c r="D35128" s="25"/>
      <c r="E35128" s="25"/>
      <c r="F35128" s="25"/>
      <c r="G35128" s="25"/>
      <c r="H35128" s="25"/>
      <c r="I35128" s="25"/>
      <c r="J35128" s="25"/>
      <c r="K35128" s="25"/>
    </row>
    <row r="35129" customFormat="false" ht="15" hidden="false" customHeight="false" outlineLevel="0" collapsed="false">
      <c r="A35129" s="3" t="s">
        <v>556</v>
      </c>
      <c r="C35129" s="16" t="n">
        <f aca="false">IF(C35118=0,0,C35085/C35118*MAX(0,MIN(C35118,$C$35028-SUM($C$35063:$C$35072)-C35107)))</f>
        <v>0</v>
      </c>
    </row>
    <row r="35130" customFormat="false" ht="15" hidden="false" customHeight="false" outlineLevel="0" collapsed="false">
      <c r="A35130" s="3" t="s">
        <v>557</v>
      </c>
      <c r="C35130" s="16" t="n">
        <f aca="false">IF(C35119=0,0,C35086/C35119*MAX(0,MIN(C35119,$C$35028-SUM($C$35063:$C$35072)-C35108)))</f>
        <v>0</v>
      </c>
    </row>
    <row r="35131" customFormat="false" ht="15" hidden="false" customHeight="false" outlineLevel="0" collapsed="false">
      <c r="A35131" s="3" t="s">
        <v>558</v>
      </c>
      <c r="C35131" s="16" t="n">
        <f aca="false">IF(C35120=0,0,C35087/C35120*MAX(0,MIN(C35120,$C$35028-SUM($C$35063:$C$35072)-C35109)))</f>
        <v>0</v>
      </c>
    </row>
    <row r="35132" customFormat="false" ht="15" hidden="false" customHeight="false" outlineLevel="0" collapsed="false">
      <c r="A35132" s="3" t="s">
        <v>559</v>
      </c>
      <c r="C35132" s="16" t="n">
        <f aca="false">IF(C35121=0,0,C35088/C35121*MAX(0,MIN(C35121,$C$35028-SUM($C$35063:$C$35072)-C35110)))</f>
        <v>0</v>
      </c>
    </row>
    <row r="35133" customFormat="false" ht="15" hidden="false" customHeight="false" outlineLevel="0" collapsed="false">
      <c r="A35133" s="3" t="s">
        <v>560</v>
      </c>
      <c r="C35133" s="16" t="n">
        <f aca="false">IF(C35122=0,0,C35089/C35122*MAX(0,MIN(C35122,$C$35028-SUM($C$35063:$C$35072)-C35111)))</f>
        <v>405.410640665075</v>
      </c>
    </row>
    <row r="35134" customFormat="false" ht="15" hidden="false" customHeight="false" outlineLevel="0" collapsed="false">
      <c r="A35134" s="3" t="s">
        <v>561</v>
      </c>
      <c r="C35134" s="16" t="n">
        <f aca="false">IF(C35123=0,0,C35090/C35123*MAX(0,MIN(C35123,$C$35028-SUM($C$35063:$C$35072)-C35112)))</f>
        <v>357.2625</v>
      </c>
    </row>
    <row r="35135" customFormat="false" ht="15" hidden="false" customHeight="false" outlineLevel="0" collapsed="false">
      <c r="A35135" s="3" t="s">
        <v>562</v>
      </c>
      <c r="C35135" s="16" t="n">
        <f aca="false">IF(C35124=0,0,C35091/C35124*MAX(0,MIN(C35124,$C$35028-SUM($C$35063:$C$35072)-C35113)))</f>
        <v>562.203125</v>
      </c>
    </row>
    <row r="35136" customFormat="false" ht="15" hidden="false" customHeight="false" outlineLevel="0" collapsed="false">
      <c r="A35136" s="3" t="s">
        <v>563</v>
      </c>
      <c r="C35136" s="16" t="n">
        <f aca="false">IF(C35125=0,0,C35092/C35125*MAX(0,MIN(C35125,$C$35028-SUM($C$35063:$C$35072)-C35114)))</f>
        <v>353.98125</v>
      </c>
    </row>
    <row r="35137" customFormat="false" ht="15" hidden="false" customHeight="false" outlineLevel="0" collapsed="false">
      <c r="A35137" s="3" t="s">
        <v>564</v>
      </c>
      <c r="C35137" s="16" t="n">
        <f aca="false">IF(C35126=0,0,C35093/C35126*MAX(0,MIN(C35126,$C$35028-SUM($C$35063:$C$35072)-C35115)))</f>
        <v>304.59375</v>
      </c>
    </row>
    <row r="35138" customFormat="false" ht="15" hidden="false" customHeight="false" outlineLevel="0" collapsed="false">
      <c r="A35138" s="3" t="s">
        <v>565</v>
      </c>
      <c r="C35138" s="16" t="n">
        <f aca="false">IF(C35127=0,0,C35094/C35127*MAX(0,MIN(C35127,$C$35028-SUM($C$35063:$C$35072)-C35116)))</f>
        <v>79.938509</v>
      </c>
    </row>
    <row r="35139" customFormat="false" ht="15" hidden="false" customHeight="false" outlineLevel="0" collapsed="false">
      <c r="A35139" s="24" t="s">
        <v>575</v>
      </c>
      <c r="B35139" s="25"/>
      <c r="C35139" s="25"/>
      <c r="D35139" s="25"/>
      <c r="E35139" s="25"/>
      <c r="F35139" s="25"/>
      <c r="G35139" s="25"/>
      <c r="H35139" s="25"/>
      <c r="I35139" s="25"/>
      <c r="J35139" s="25"/>
      <c r="K35139" s="25"/>
    </row>
    <row r="35140" customFormat="false" ht="15" hidden="false" customHeight="false" outlineLevel="0" collapsed="false">
      <c r="A35140" s="2" t="s">
        <v>556</v>
      </c>
      <c r="C35140" s="17" t="n">
        <f aca="false">C35063+C35129</f>
        <v>402.29</v>
      </c>
    </row>
    <row r="35141" customFormat="false" ht="15" hidden="false" customHeight="false" outlineLevel="0" collapsed="false">
      <c r="A35141" s="2" t="s">
        <v>557</v>
      </c>
      <c r="C35141" s="17" t="n">
        <f aca="false">C35064+C35130</f>
        <v>91.30725</v>
      </c>
    </row>
    <row r="35142" customFormat="false" ht="15" hidden="false" customHeight="false" outlineLevel="0" collapsed="false">
      <c r="A35142" s="2" t="s">
        <v>558</v>
      </c>
      <c r="C35142" s="17" t="n">
        <f aca="false">C35065+C35131</f>
        <v>58.3715961</v>
      </c>
    </row>
    <row r="35143" customFormat="false" ht="15" hidden="false" customHeight="false" outlineLevel="0" collapsed="false">
      <c r="A35143" s="2" t="s">
        <v>559</v>
      </c>
      <c r="C35143" s="17" t="n">
        <f aca="false">C35066+C35132</f>
        <v>0</v>
      </c>
    </row>
    <row r="35144" customFormat="false" ht="15" hidden="false" customHeight="false" outlineLevel="0" collapsed="false">
      <c r="A35144" s="2" t="s">
        <v>560</v>
      </c>
      <c r="C35144" s="17" t="n">
        <f aca="false">C35067+C35133</f>
        <v>405.410640665075</v>
      </c>
    </row>
    <row r="35145" customFormat="false" ht="15" hidden="false" customHeight="false" outlineLevel="0" collapsed="false">
      <c r="A35145" s="2" t="s">
        <v>561</v>
      </c>
      <c r="C35145" s="17" t="n">
        <f aca="false">C35068+C35134</f>
        <v>357.2625</v>
      </c>
    </row>
    <row r="35146" customFormat="false" ht="15" hidden="false" customHeight="false" outlineLevel="0" collapsed="false">
      <c r="A35146" s="2" t="s">
        <v>562</v>
      </c>
      <c r="C35146" s="17" t="n">
        <f aca="false">C35069+C35135</f>
        <v>562.203125</v>
      </c>
    </row>
    <row r="35147" customFormat="false" ht="15" hidden="false" customHeight="false" outlineLevel="0" collapsed="false">
      <c r="A35147" s="2" t="s">
        <v>563</v>
      </c>
      <c r="C35147" s="17" t="n">
        <f aca="false">C35070+C35136</f>
        <v>353.98125</v>
      </c>
    </row>
    <row r="35148" customFormat="false" ht="15" hidden="false" customHeight="false" outlineLevel="0" collapsed="false">
      <c r="A35148" s="2" t="s">
        <v>564</v>
      </c>
      <c r="C35148" s="17" t="n">
        <f aca="false">C35071+C35137</f>
        <v>304.59375</v>
      </c>
    </row>
    <row r="35149" customFormat="false" ht="15" hidden="false" customHeight="false" outlineLevel="0" collapsed="false">
      <c r="A35149" s="2" t="s">
        <v>565</v>
      </c>
      <c r="C35149" s="17" t="n">
        <f aca="false">C35072+C35138</f>
        <v>79.938509</v>
      </c>
    </row>
    <row r="35150" customFormat="false" ht="15" hidden="false" customHeight="false" outlineLevel="0" collapsed="false">
      <c r="A35150" s="24" t="s">
        <v>576</v>
      </c>
      <c r="B35150" s="25"/>
      <c r="C35150" s="25"/>
      <c r="D35150" s="25"/>
      <c r="E35150" s="25"/>
      <c r="F35150" s="25"/>
      <c r="G35150" s="25"/>
      <c r="H35150" s="25"/>
      <c r="I35150" s="25"/>
      <c r="J35150" s="25"/>
      <c r="K35150" s="25"/>
    </row>
    <row r="35151" customFormat="false" ht="15" hidden="false" customHeight="false" outlineLevel="0" collapsed="false">
      <c r="A35151" s="3" t="s">
        <v>556</v>
      </c>
      <c r="C35151" s="22" t="n">
        <f aca="false">IF(C35030=0,1,C35140/C35030)</f>
        <v>1</v>
      </c>
    </row>
    <row r="35152" customFormat="false" ht="15" hidden="false" customHeight="false" outlineLevel="0" collapsed="false">
      <c r="A35152" s="3" t="s">
        <v>557</v>
      </c>
      <c r="C35152" s="22" t="n">
        <f aca="false">IF(C35031=0,1,C35141/C35031)</f>
        <v>1</v>
      </c>
    </row>
    <row r="35153" customFormat="false" ht="15" hidden="false" customHeight="false" outlineLevel="0" collapsed="false">
      <c r="A35153" s="3" t="s">
        <v>558</v>
      </c>
      <c r="C35153" s="22" t="n">
        <f aca="false">IF(C35032=0,1,C35142/C35032)</f>
        <v>1</v>
      </c>
    </row>
    <row r="35154" customFormat="false" ht="15" hidden="false" customHeight="false" outlineLevel="0" collapsed="false">
      <c r="A35154" s="3" t="s">
        <v>559</v>
      </c>
      <c r="C35154" s="22" t="n">
        <f aca="false">IF(C35033=0,1,C35143/C35033)</f>
        <v>1</v>
      </c>
    </row>
    <row r="35155" customFormat="false" ht="15" hidden="false" customHeight="false" outlineLevel="0" collapsed="false">
      <c r="A35155" s="3" t="s">
        <v>560</v>
      </c>
      <c r="C35155" s="22" t="n">
        <f aca="false">IF(C35034=0,1,C35144/C35034)</f>
        <v>1</v>
      </c>
    </row>
    <row r="35156" customFormat="false" ht="15" hidden="false" customHeight="false" outlineLevel="0" collapsed="false">
      <c r="A35156" s="3" t="s">
        <v>561</v>
      </c>
      <c r="C35156" s="22" t="n">
        <f aca="false">IF(C35035=0,1,C35145/C35035)</f>
        <v>1</v>
      </c>
    </row>
    <row r="35157" customFormat="false" ht="15" hidden="false" customHeight="false" outlineLevel="0" collapsed="false">
      <c r="A35157" s="3" t="s">
        <v>562</v>
      </c>
      <c r="C35157" s="22" t="n">
        <f aca="false">IF(C35036=0,1,C35146/C35036)</f>
        <v>1</v>
      </c>
    </row>
    <row r="35158" customFormat="false" ht="15" hidden="false" customHeight="false" outlineLevel="0" collapsed="false">
      <c r="A35158" s="3" t="s">
        <v>563</v>
      </c>
      <c r="C35158" s="22" t="n">
        <f aca="false">IF(C35037=0,1,C35147/C35037)</f>
        <v>1</v>
      </c>
    </row>
    <row r="35159" customFormat="false" ht="15" hidden="false" customHeight="false" outlineLevel="0" collapsed="false">
      <c r="A35159" s="3" t="s">
        <v>564</v>
      </c>
      <c r="C35159" s="22" t="n">
        <f aca="false">IF(C35038=0,1,C35148/C35038)</f>
        <v>1</v>
      </c>
    </row>
    <row r="35160" customFormat="false" ht="15" hidden="false" customHeight="false" outlineLevel="0" collapsed="false">
      <c r="A35160" s="3" t="s">
        <v>565</v>
      </c>
      <c r="C35160" s="22" t="n">
        <f aca="false">IF(C35039=0,1,C35149/C35039)</f>
        <v>1</v>
      </c>
    </row>
    <row r="35161" customFormat="false" ht="15" hidden="false" customHeight="false" outlineLevel="0" collapsed="false">
      <c r="A35161" s="24" t="s">
        <v>577</v>
      </c>
      <c r="B35161" s="25"/>
      <c r="C35161" s="25"/>
      <c r="D35161" s="25"/>
      <c r="E35161" s="25"/>
      <c r="F35161" s="25"/>
      <c r="G35161" s="25"/>
      <c r="H35161" s="25"/>
      <c r="I35161" s="25"/>
      <c r="J35161" s="25"/>
      <c r="K35161" s="25"/>
    </row>
    <row r="35162" customFormat="false" ht="15" hidden="false" customHeight="false" outlineLevel="0" collapsed="false">
      <c r="A35162" s="3" t="s">
        <v>556</v>
      </c>
      <c r="C35162" s="16" t="n">
        <f aca="false">C35030-C35140</f>
        <v>0</v>
      </c>
    </row>
    <row r="35163" customFormat="false" ht="15" hidden="false" customHeight="false" outlineLevel="0" collapsed="false">
      <c r="A35163" s="3" t="s">
        <v>557</v>
      </c>
      <c r="C35163" s="16" t="n">
        <f aca="false">C35031-C35141</f>
        <v>0</v>
      </c>
    </row>
    <row r="35164" customFormat="false" ht="15" hidden="false" customHeight="false" outlineLevel="0" collapsed="false">
      <c r="A35164" s="3" t="s">
        <v>558</v>
      </c>
      <c r="C35164" s="16" t="n">
        <f aca="false">C35032-C35142</f>
        <v>0</v>
      </c>
    </row>
    <row r="35165" customFormat="false" ht="15" hidden="false" customHeight="false" outlineLevel="0" collapsed="false">
      <c r="A35165" s="3" t="s">
        <v>559</v>
      </c>
      <c r="C35165" s="16" t="n">
        <f aca="false">C35033-C35143</f>
        <v>0</v>
      </c>
    </row>
    <row r="35166" customFormat="false" ht="15" hidden="false" customHeight="false" outlineLevel="0" collapsed="false">
      <c r="A35166" s="3" t="s">
        <v>560</v>
      </c>
      <c r="C35166" s="16" t="n">
        <f aca="false">C35034-C35144</f>
        <v>0</v>
      </c>
    </row>
    <row r="35167" customFormat="false" ht="15" hidden="false" customHeight="false" outlineLevel="0" collapsed="false">
      <c r="A35167" s="3" t="s">
        <v>561</v>
      </c>
      <c r="C35167" s="16" t="n">
        <f aca="false">C35035-C35145</f>
        <v>0</v>
      </c>
    </row>
    <row r="35168" customFormat="false" ht="15" hidden="false" customHeight="false" outlineLevel="0" collapsed="false">
      <c r="A35168" s="3" t="s">
        <v>562</v>
      </c>
      <c r="C35168" s="16" t="n">
        <f aca="false">C35036-C35146</f>
        <v>0</v>
      </c>
    </row>
    <row r="35169" customFormat="false" ht="15" hidden="false" customHeight="false" outlineLevel="0" collapsed="false">
      <c r="A35169" s="3" t="s">
        <v>563</v>
      </c>
      <c r="C35169" s="16" t="n">
        <f aca="false">C35037-C35147</f>
        <v>0</v>
      </c>
    </row>
    <row r="35170" customFormat="false" ht="15" hidden="false" customHeight="false" outlineLevel="0" collapsed="false">
      <c r="A35170" s="3" t="s">
        <v>564</v>
      </c>
      <c r="C35170" s="16" t="n">
        <f aca="false">C35038-C35148</f>
        <v>0</v>
      </c>
    </row>
    <row r="35171" customFormat="false" ht="15" hidden="false" customHeight="false" outlineLevel="0" collapsed="false">
      <c r="A35171" s="3" t="s">
        <v>565</v>
      </c>
      <c r="C35171" s="16" t="n">
        <f aca="false">C35039-C35149</f>
        <v>0</v>
      </c>
    </row>
    <row r="35172" customFormat="false" ht="15" hidden="false" customHeight="false" outlineLevel="0" collapsed="false">
      <c r="A35172" s="24" t="s">
        <v>578</v>
      </c>
      <c r="B35172" s="25"/>
      <c r="C35172" s="25"/>
      <c r="D35172" s="25"/>
      <c r="E35172" s="25"/>
      <c r="F35172" s="25"/>
      <c r="G35172" s="25"/>
      <c r="H35172" s="25"/>
      <c r="I35172" s="25"/>
      <c r="J35172" s="25"/>
      <c r="K35172" s="25"/>
    </row>
    <row r="35173" customFormat="false" ht="15" hidden="false" customHeight="false" outlineLevel="0" collapsed="false">
      <c r="A35173" s="3" t="s">
        <v>556</v>
      </c>
      <c r="C35173" s="22" t="n">
        <f aca="false">IF(C35030=0,0,C35162/C35030)</f>
        <v>0</v>
      </c>
    </row>
    <row r="35174" customFormat="false" ht="15" hidden="false" customHeight="false" outlineLevel="0" collapsed="false">
      <c r="A35174" s="3" t="s">
        <v>557</v>
      </c>
      <c r="C35174" s="22" t="n">
        <f aca="false">IF(C35031=0,0,C35163/C35031)</f>
        <v>0</v>
      </c>
    </row>
    <row r="35175" customFormat="false" ht="15" hidden="false" customHeight="false" outlineLevel="0" collapsed="false">
      <c r="A35175" s="3" t="s">
        <v>558</v>
      </c>
      <c r="C35175" s="22" t="n">
        <f aca="false">IF(C35032=0,0,C35164/C35032)</f>
        <v>0</v>
      </c>
    </row>
    <row r="35176" customFormat="false" ht="15" hidden="false" customHeight="false" outlineLevel="0" collapsed="false">
      <c r="A35176" s="3" t="s">
        <v>559</v>
      </c>
      <c r="C35176" s="22" t="n">
        <f aca="false">IF(C35033=0,0,C35165/C35033)</f>
        <v>0</v>
      </c>
    </row>
    <row r="35177" customFormat="false" ht="15" hidden="false" customHeight="false" outlineLevel="0" collapsed="false">
      <c r="A35177" s="3" t="s">
        <v>560</v>
      </c>
      <c r="C35177" s="22" t="n">
        <f aca="false">IF(C35034=0,0,C35166/C35034)</f>
        <v>0</v>
      </c>
    </row>
    <row r="35178" customFormat="false" ht="15" hidden="false" customHeight="false" outlineLevel="0" collapsed="false">
      <c r="A35178" s="3" t="s">
        <v>561</v>
      </c>
      <c r="C35178" s="22" t="n">
        <f aca="false">IF(C35035=0,0,C35167/C35035)</f>
        <v>0</v>
      </c>
    </row>
    <row r="35179" customFormat="false" ht="15" hidden="false" customHeight="false" outlineLevel="0" collapsed="false">
      <c r="A35179" s="3" t="s">
        <v>562</v>
      </c>
      <c r="C35179" s="22" t="n">
        <f aca="false">IF(C35036=0,0,C35168/C35036)</f>
        <v>0</v>
      </c>
    </row>
    <row r="35180" customFormat="false" ht="15" hidden="false" customHeight="false" outlineLevel="0" collapsed="false">
      <c r="A35180" s="3" t="s">
        <v>563</v>
      </c>
      <c r="C35180" s="22" t="n">
        <f aca="false">IF(C35037=0,0,C35169/C35037)</f>
        <v>0</v>
      </c>
    </row>
    <row r="35181" customFormat="false" ht="15" hidden="false" customHeight="false" outlineLevel="0" collapsed="false">
      <c r="A35181" s="3" t="s">
        <v>564</v>
      </c>
      <c r="C35181" s="22" t="n">
        <f aca="false">IF(C35038=0,0,C35170/C35038)</f>
        <v>0</v>
      </c>
    </row>
    <row r="35182" customFormat="false" ht="15" hidden="false" customHeight="false" outlineLevel="0" collapsed="false">
      <c r="A35182" s="3" t="s">
        <v>565</v>
      </c>
      <c r="C35182" s="22" t="n">
        <f aca="false">IF(C35039=0,0,C35171/C35039)</f>
        <v>0</v>
      </c>
    </row>
    <row r="35183" customFormat="false" ht="15" hidden="false" customHeight="false" outlineLevel="0" collapsed="false">
      <c r="A35183" s="2" t="s">
        <v>579</v>
      </c>
      <c r="C35183" s="17" t="n">
        <f aca="false">MAX(0,$C$35028-SUM($C$35063:$C$35072)-SUM($C$35085:$C$35094))</f>
        <v>518.118561634925</v>
      </c>
    </row>
    <row r="35184" customFormat="false" ht="15" hidden="false" customHeight="false" outlineLevel="0" collapsed="false">
      <c r="A35184" s="3" t="s">
        <v>580</v>
      </c>
      <c r="C35184" s="16" t="n">
        <f aca="false">SUM($C$35140:$C$35149)+C35183+C35027-C35026</f>
        <v>0</v>
      </c>
    </row>
    <row r="35186" customFormat="false" ht="15" hidden="false" customHeight="false" outlineLevel="0" collapsed="false">
      <c r="A35186" s="24" t="s">
        <v>583</v>
      </c>
      <c r="B35186" s="25"/>
      <c r="C35186" s="25"/>
      <c r="D35186" s="25"/>
      <c r="E35186" s="25"/>
      <c r="F35186" s="25"/>
      <c r="G35186" s="25"/>
      <c r="H35186" s="25"/>
      <c r="I35186" s="25"/>
      <c r="J35186" s="25"/>
      <c r="K35186" s="25"/>
    </row>
    <row r="35187" customFormat="false" ht="15" hidden="false" customHeight="false" outlineLevel="0" collapsed="false">
      <c r="A35187" s="3" t="s">
        <v>584</v>
      </c>
      <c r="C35187" s="27" t="n">
        <f aca="false">Assumptions!$C$34</f>
        <v>1</v>
      </c>
    </row>
    <row r="35188" customFormat="false" ht="15" hidden="false" customHeight="false" outlineLevel="0" collapsed="false">
      <c r="A35188" s="3" t="s">
        <v>585</v>
      </c>
      <c r="C35188" s="29" t="n">
        <f aca="false">Assumptions!$C$35</f>
        <v>100</v>
      </c>
    </row>
    <row r="35189" customFormat="false" ht="15" hidden="false" customHeight="false" outlineLevel="0" collapsed="false">
      <c r="A35189" s="3" t="s">
        <v>586</v>
      </c>
      <c r="C35189" s="40" t="n">
        <f aca="false">Assumptions!$C$36</f>
        <v>98</v>
      </c>
    </row>
    <row r="35190" customFormat="false" ht="15" hidden="false" customHeight="false" outlineLevel="0" collapsed="false">
      <c r="A35190" s="3" t="s">
        <v>587</v>
      </c>
      <c r="C35190" s="16" t="n">
        <f aca="false">C35188*C35189/100*(1+Assumptions!$C$37)</f>
        <v>98.49</v>
      </c>
    </row>
    <row r="35191" customFormat="false" ht="15" hidden="false" customHeight="false" outlineLevel="0" collapsed="false">
      <c r="A35191" s="3" t="s">
        <v>588</v>
      </c>
      <c r="C35191" s="27" t="n">
        <f aca="false">Assumptions!$C$38</f>
        <v>3</v>
      </c>
    </row>
    <row r="35192" customFormat="false" ht="15" hidden="false" customHeight="false" outlineLevel="0" collapsed="false">
      <c r="A35192" s="3" t="s">
        <v>589</v>
      </c>
      <c r="C35192" s="21" t="n">
        <f aca="false">IF(C35019=1,SUMPRODUCT($G$34955:$K$34955,$G$34729:$K$34729),0)</f>
        <v>2</v>
      </c>
    </row>
    <row r="35193" customFormat="false" ht="15" hidden="false" customHeight="false" outlineLevel="0" collapsed="false">
      <c r="A35193" s="3" t="s">
        <v>590</v>
      </c>
      <c r="C35193" s="22" t="n">
        <f aca="false">IFERROR(C35188/CHOOSE(C35187,SUMPRODUCT($G$35018:$K$35018,$G$34775:$K$34775),SUMPRODUCT($G$35018:$K$35018,$G$34788:$K$34788),SUMPRODUCT($G$35018:$K$35018,$G$34801:$K$34801),SUMPRODUCT($G$35018:$K$35018,$G$34814:$K$34814),SUMPRODUCT($G$35018:$K$35018,$G$34827:$K$34827),SUMPRODUCT($G$35018:$K$35018,$G$34840:$K$34840),SUMPRODUCT($G$35018:$K$35018,$G$34853:$K$34853),SUMPRODUCT($G$35018:$K$35018,$G$34866:$K$34866),SUMPRODUCT($G$35018:$K$35018,$G$34879:$K$34879),SUMPRODUCT($G$35018:$K$35018,$G$34892:$K$34892)),0)</f>
        <v>0.255102040816327</v>
      </c>
    </row>
    <row r="35194" customFormat="false" ht="15" hidden="false" customHeight="false" outlineLevel="0" collapsed="false">
      <c r="A35194" s="3" t="s">
        <v>591</v>
      </c>
      <c r="C35194" s="16" t="n">
        <f aca="false">CHOOSE(C35187,C35140,C35141,C35142,C35143,C35144,C35145,C35146,C35147,C35148,C35149)*C35193</f>
        <v>102.625</v>
      </c>
    </row>
    <row r="35195" customFormat="false" ht="15" hidden="false" customHeight="false" outlineLevel="0" collapsed="false">
      <c r="A35195" s="3" t="s">
        <v>592</v>
      </c>
      <c r="C35195" s="22" t="n">
        <f aca="false">CHOOSE(C35187,C35151,C35152,C35153,C35154,C35155,C35156,C35157,C35158,C35159,C35160)</f>
        <v>1</v>
      </c>
    </row>
    <row r="35196" customFormat="false" ht="15" hidden="false" customHeight="false" outlineLevel="0" collapsed="false">
      <c r="A35196" s="3" t="s">
        <v>593</v>
      </c>
      <c r="C35196" s="21" t="n">
        <f aca="false">IF(C35019=1,C35192,C35191)</f>
        <v>2</v>
      </c>
    </row>
    <row r="35197" customFormat="false" ht="15" hidden="false" customHeight="false" outlineLevel="0" collapsed="false">
      <c r="A35197" s="3" t="s">
        <v>594</v>
      </c>
      <c r="C35197" s="35" t="n">
        <f aca="false">CHOOSE($C$34721,Assumptions!$C$91,Assumptions!$C$110,Assumptions!$C$129)</f>
        <v>95</v>
      </c>
    </row>
    <row r="35198" customFormat="false" ht="15" hidden="false" customHeight="false" outlineLevel="0" collapsed="false">
      <c r="A35198" s="3" t="s">
        <v>595</v>
      </c>
      <c r="C35198" s="16" t="n">
        <f aca="false">INDEX($G$34738:$K$34738,C35191)*CHOOSE($C$34721,Assumptions!$C$90,Assumptions!$C$109,Assumptions!$C$128)+MAX(0,INDEX($G$34952:$K$34952,C35191))</f>
        <v>2423.913149823</v>
      </c>
    </row>
    <row r="35199" customFormat="false" ht="15" hidden="false" customHeight="false" outlineLevel="0" collapsed="false">
      <c r="A35199" s="24" t="s">
        <v>596</v>
      </c>
      <c r="B35199" s="25"/>
      <c r="C35199" s="25"/>
      <c r="D35199" s="25"/>
      <c r="E35199" s="25"/>
      <c r="F35199" s="25"/>
      <c r="G35199" s="25"/>
      <c r="H35199" s="25"/>
      <c r="I35199" s="25"/>
      <c r="J35199" s="25"/>
      <c r="K35199" s="25"/>
    </row>
    <row r="35200" customFormat="false" ht="15" hidden="false" customHeight="false" outlineLevel="0" collapsed="false">
      <c r="A35200" s="3" t="s">
        <v>556</v>
      </c>
      <c r="C35200" s="16" t="n">
        <f aca="false">INDEX($G$34775:$K$34775,C35191)</f>
        <v>388</v>
      </c>
    </row>
    <row r="35201" customFormat="false" ht="15" hidden="false" customHeight="false" outlineLevel="0" collapsed="false">
      <c r="A35201" s="3" t="s">
        <v>557</v>
      </c>
      <c r="C35201" s="16" t="n">
        <f aca="false">INDEX($G$34788:$K$34788,C35191)</f>
        <v>90</v>
      </c>
    </row>
    <row r="35202" customFormat="false" ht="15" hidden="false" customHeight="false" outlineLevel="0" collapsed="false">
      <c r="A35202" s="3" t="s">
        <v>558</v>
      </c>
      <c r="C35202" s="16" t="n">
        <f aca="false">INDEX($G$34801:$K$34801,C35191)</f>
        <v>57.324</v>
      </c>
    </row>
    <row r="35203" customFormat="false" ht="15" hidden="false" customHeight="false" outlineLevel="0" collapsed="false">
      <c r="A35203" s="3" t="s">
        <v>559</v>
      </c>
      <c r="C35203" s="16" t="n">
        <f aca="false">INDEX($G$34814:$K$34814,C35191)</f>
        <v>0</v>
      </c>
    </row>
    <row r="35204" customFormat="false" ht="15" hidden="false" customHeight="false" outlineLevel="0" collapsed="false">
      <c r="A35204" s="3" t="s">
        <v>560</v>
      </c>
      <c r="C35204" s="16" t="n">
        <f aca="false">INDEX($G$34827:$K$34827,C35191)</f>
        <v>401.446357881</v>
      </c>
    </row>
    <row r="35205" customFormat="false" ht="15" hidden="false" customHeight="false" outlineLevel="0" collapsed="false">
      <c r="A35205" s="3" t="s">
        <v>561</v>
      </c>
      <c r="C35205" s="16" t="n">
        <f aca="false">INDEX($G$34840:$K$34840,C35191)</f>
        <v>350</v>
      </c>
    </row>
    <row r="35206" customFormat="false" ht="15" hidden="false" customHeight="false" outlineLevel="0" collapsed="false">
      <c r="A35206" s="3" t="s">
        <v>562</v>
      </c>
      <c r="C35206" s="16" t="n">
        <f aca="false">INDEX($G$34853:$K$34853,C35191)</f>
        <v>550</v>
      </c>
    </row>
    <row r="35207" customFormat="false" ht="15" hidden="false" customHeight="false" outlineLevel="0" collapsed="false">
      <c r="A35207" s="3" t="s">
        <v>563</v>
      </c>
      <c r="C35207" s="16" t="n">
        <f aca="false">INDEX($G$34866:$K$34866,C35191)</f>
        <v>350</v>
      </c>
    </row>
    <row r="35208" customFormat="false" ht="15" hidden="false" customHeight="false" outlineLevel="0" collapsed="false">
      <c r="A35208" s="3" t="s">
        <v>564</v>
      </c>
      <c r="C35208" s="16" t="n">
        <f aca="false">INDEX($G$34879:$K$34879,C35191)</f>
        <v>300</v>
      </c>
    </row>
    <row r="35209" customFormat="false" ht="15" hidden="false" customHeight="false" outlineLevel="0" collapsed="false">
      <c r="A35209" s="3" t="s">
        <v>565</v>
      </c>
      <c r="C35209" s="16" t="n">
        <f aca="false">INDEX($G$34892:$K$34892,C35191)</f>
        <v>78.61</v>
      </c>
    </row>
    <row r="35210" customFormat="false" ht="15" hidden="false" customHeight="false" outlineLevel="0" collapsed="false">
      <c r="A35210" s="24" t="s">
        <v>566</v>
      </c>
      <c r="B35210" s="25"/>
      <c r="C35210" s="25"/>
      <c r="D35210" s="25"/>
      <c r="E35210" s="25"/>
      <c r="F35210" s="25"/>
      <c r="G35210" s="25"/>
      <c r="H35210" s="25"/>
      <c r="I35210" s="25"/>
      <c r="J35210" s="25"/>
      <c r="K35210" s="25"/>
    </row>
    <row r="35211" customFormat="false" ht="15" hidden="false" customHeight="false" outlineLevel="0" collapsed="false">
      <c r="A35211" s="3" t="s">
        <v>556</v>
      </c>
      <c r="C35211" s="27" t="n">
        <f aca="false">Assumptions!$M$57</f>
        <v>1</v>
      </c>
    </row>
    <row r="35212" customFormat="false" ht="15" hidden="false" customHeight="false" outlineLevel="0" collapsed="false">
      <c r="A35212" s="3" t="s">
        <v>557</v>
      </c>
      <c r="C35212" s="27" t="n">
        <f aca="false">Assumptions!$M$58</f>
        <v>1</v>
      </c>
    </row>
    <row r="35213" customFormat="false" ht="15" hidden="false" customHeight="false" outlineLevel="0" collapsed="false">
      <c r="A35213" s="3" t="s">
        <v>558</v>
      </c>
      <c r="C35213" s="27" t="n">
        <f aca="false">Assumptions!$M$59</f>
        <v>1</v>
      </c>
    </row>
    <row r="35214" customFormat="false" ht="15" hidden="false" customHeight="false" outlineLevel="0" collapsed="false">
      <c r="A35214" s="3" t="s">
        <v>559</v>
      </c>
      <c r="C35214" s="27" t="n">
        <f aca="false">Assumptions!$M$60</f>
        <v>2</v>
      </c>
    </row>
    <row r="35215" customFormat="false" ht="15" hidden="false" customHeight="false" outlineLevel="0" collapsed="false">
      <c r="A35215" s="3" t="s">
        <v>560</v>
      </c>
      <c r="C35215" s="27" t="n">
        <f aca="false">Assumptions!$M$61</f>
        <v>2</v>
      </c>
    </row>
    <row r="35216" customFormat="false" ht="15" hidden="false" customHeight="false" outlineLevel="0" collapsed="false">
      <c r="A35216" s="3" t="s">
        <v>561</v>
      </c>
      <c r="C35216" s="27" t="n">
        <f aca="false">Assumptions!$M$62</f>
        <v>2</v>
      </c>
    </row>
    <row r="35217" customFormat="false" ht="15" hidden="false" customHeight="false" outlineLevel="0" collapsed="false">
      <c r="A35217" s="3" t="s">
        <v>562</v>
      </c>
      <c r="C35217" s="27" t="n">
        <f aca="false">Assumptions!$M$63</f>
        <v>2</v>
      </c>
    </row>
    <row r="35218" customFormat="false" ht="15" hidden="false" customHeight="false" outlineLevel="0" collapsed="false">
      <c r="A35218" s="3" t="s">
        <v>563</v>
      </c>
      <c r="C35218" s="27" t="n">
        <f aca="false">Assumptions!$M$64</f>
        <v>2</v>
      </c>
    </row>
    <row r="35219" customFormat="false" ht="15" hidden="false" customHeight="false" outlineLevel="0" collapsed="false">
      <c r="A35219" s="3" t="s">
        <v>564</v>
      </c>
      <c r="C35219" s="27" t="n">
        <f aca="false">Assumptions!$M$65</f>
        <v>2</v>
      </c>
    </row>
    <row r="35220" customFormat="false" ht="15" hidden="false" customHeight="false" outlineLevel="0" collapsed="false">
      <c r="A35220" s="3" t="s">
        <v>565</v>
      </c>
      <c r="C35220" s="27" t="n">
        <f aca="false">Assumptions!$M$66</f>
        <v>3</v>
      </c>
    </row>
    <row r="35221" customFormat="false" ht="15" hidden="false" customHeight="false" outlineLevel="0" collapsed="false">
      <c r="A35221" s="24" t="s">
        <v>567</v>
      </c>
      <c r="B35221" s="25"/>
      <c r="C35221" s="25"/>
      <c r="D35221" s="25"/>
      <c r="E35221" s="25"/>
      <c r="F35221" s="25"/>
      <c r="G35221" s="25"/>
      <c r="H35221" s="25"/>
      <c r="I35221" s="25"/>
      <c r="J35221" s="25"/>
      <c r="K35221" s="25"/>
    </row>
    <row r="35222" customFormat="false" ht="15" hidden="false" customHeight="false" outlineLevel="0" collapsed="false">
      <c r="A35222" s="3" t="s">
        <v>556</v>
      </c>
      <c r="C35222" s="33" t="n">
        <f aca="false">Assumptions!$Q$57</f>
        <v>0.3</v>
      </c>
    </row>
    <row r="35223" customFormat="false" ht="15" hidden="false" customHeight="false" outlineLevel="0" collapsed="false">
      <c r="A35223" s="3" t="s">
        <v>557</v>
      </c>
      <c r="C35223" s="33" t="n">
        <f aca="false">Assumptions!$Q$58</f>
        <v>0.033</v>
      </c>
    </row>
    <row r="35224" customFormat="false" ht="15" hidden="false" customHeight="false" outlineLevel="0" collapsed="false">
      <c r="A35224" s="3" t="s">
        <v>558</v>
      </c>
      <c r="C35224" s="33" t="n">
        <f aca="false">Assumptions!$Q$59</f>
        <v>0.021</v>
      </c>
    </row>
    <row r="35225" customFormat="false" ht="15" hidden="false" customHeight="false" outlineLevel="0" collapsed="false">
      <c r="A35225" s="3" t="s">
        <v>559</v>
      </c>
      <c r="C35225" s="33" t="n">
        <f aca="false">Assumptions!$Q$60</f>
        <v>0</v>
      </c>
    </row>
    <row r="35226" customFormat="false" ht="15" hidden="false" customHeight="false" outlineLevel="0" collapsed="false">
      <c r="A35226" s="3" t="s">
        <v>560</v>
      </c>
      <c r="C35226" s="33" t="n">
        <f aca="false">Assumptions!$Q$61</f>
        <v>0</v>
      </c>
    </row>
    <row r="35227" customFormat="false" ht="15" hidden="false" customHeight="false" outlineLevel="0" collapsed="false">
      <c r="A35227" s="3" t="s">
        <v>561</v>
      </c>
      <c r="C35227" s="33" t="n">
        <f aca="false">Assumptions!$Q$62</f>
        <v>0</v>
      </c>
    </row>
    <row r="35228" customFormat="false" ht="15" hidden="false" customHeight="false" outlineLevel="0" collapsed="false">
      <c r="A35228" s="3" t="s">
        <v>562</v>
      </c>
      <c r="C35228" s="33" t="n">
        <f aca="false">Assumptions!$Q$63</f>
        <v>0</v>
      </c>
    </row>
    <row r="35229" customFormat="false" ht="15" hidden="false" customHeight="false" outlineLevel="0" collapsed="false">
      <c r="A35229" s="3" t="s">
        <v>563</v>
      </c>
      <c r="C35229" s="33" t="n">
        <f aca="false">Assumptions!$Q$64</f>
        <v>0</v>
      </c>
    </row>
    <row r="35230" customFormat="false" ht="15" hidden="false" customHeight="false" outlineLevel="0" collapsed="false">
      <c r="A35230" s="3" t="s">
        <v>564</v>
      </c>
      <c r="C35230" s="33" t="n">
        <f aca="false">Assumptions!$Q$65</f>
        <v>0</v>
      </c>
    </row>
    <row r="35231" customFormat="false" ht="15" hidden="false" customHeight="false" outlineLevel="0" collapsed="false">
      <c r="A35231" s="3" t="s">
        <v>565</v>
      </c>
      <c r="C35231" s="33" t="n">
        <f aca="false">Assumptions!$Q$66</f>
        <v>0</v>
      </c>
    </row>
    <row r="35232" customFormat="false" ht="15" hidden="false" customHeight="false" outlineLevel="0" collapsed="false">
      <c r="A35232" s="24" t="s">
        <v>568</v>
      </c>
      <c r="B35232" s="25"/>
      <c r="C35232" s="25"/>
      <c r="D35232" s="25"/>
      <c r="E35232" s="25"/>
      <c r="F35232" s="25"/>
      <c r="G35232" s="25"/>
      <c r="H35232" s="25"/>
      <c r="I35232" s="25"/>
      <c r="J35232" s="25"/>
      <c r="K35232" s="25"/>
    </row>
    <row r="35233" customFormat="false" ht="15" hidden="false" customHeight="false" outlineLevel="0" collapsed="false">
      <c r="A35233" s="3" t="s">
        <v>556</v>
      </c>
      <c r="C35233" s="16" t="n">
        <f aca="false">IF(C35222&gt;0,MIN(C35200,C35222*$C$35198),0)</f>
        <v>388</v>
      </c>
    </row>
    <row r="35234" customFormat="false" ht="15" hidden="false" customHeight="false" outlineLevel="0" collapsed="false">
      <c r="A35234" s="3" t="s">
        <v>557</v>
      </c>
      <c r="C35234" s="16" t="n">
        <f aca="false">IF(C35223&gt;0,MIN(C35201,C35223*$C$35198),0)</f>
        <v>79.989133944159</v>
      </c>
    </row>
    <row r="35235" customFormat="false" ht="15" hidden="false" customHeight="false" outlineLevel="0" collapsed="false">
      <c r="A35235" s="3" t="s">
        <v>558</v>
      </c>
      <c r="C35235" s="16" t="n">
        <f aca="false">IF(C35224&gt;0,MIN(C35202,C35224*$C$35198),0)</f>
        <v>50.902176146283</v>
      </c>
    </row>
    <row r="35236" customFormat="false" ht="15" hidden="false" customHeight="false" outlineLevel="0" collapsed="false">
      <c r="A35236" s="3" t="s">
        <v>559</v>
      </c>
      <c r="C35236" s="16" t="n">
        <f aca="false">IF(C35225&gt;0,MIN(C35203,C35225*$C$35198),0)</f>
        <v>0</v>
      </c>
    </row>
    <row r="35237" customFormat="false" ht="15" hidden="false" customHeight="false" outlineLevel="0" collapsed="false">
      <c r="A35237" s="3" t="s">
        <v>560</v>
      </c>
      <c r="C35237" s="16" t="n">
        <f aca="false">IF(C35226&gt;0,MIN(C35204,C35226*$C$35198),0)</f>
        <v>0</v>
      </c>
    </row>
    <row r="35238" customFormat="false" ht="15" hidden="false" customHeight="false" outlineLevel="0" collapsed="false">
      <c r="A35238" s="3" t="s">
        <v>561</v>
      </c>
      <c r="C35238" s="16" t="n">
        <f aca="false">IF(C35227&gt;0,MIN(C35205,C35227*$C$35198),0)</f>
        <v>0</v>
      </c>
    </row>
    <row r="35239" customFormat="false" ht="15" hidden="false" customHeight="false" outlineLevel="0" collapsed="false">
      <c r="A35239" s="3" t="s">
        <v>562</v>
      </c>
      <c r="C35239" s="16" t="n">
        <f aca="false">IF(C35228&gt;0,MIN(C35206,C35228*$C$35198),0)</f>
        <v>0</v>
      </c>
    </row>
    <row r="35240" customFormat="false" ht="15" hidden="false" customHeight="false" outlineLevel="0" collapsed="false">
      <c r="A35240" s="3" t="s">
        <v>563</v>
      </c>
      <c r="C35240" s="16" t="n">
        <f aca="false">IF(C35229&gt;0,MIN(C35207,C35229*$C$35198),0)</f>
        <v>0</v>
      </c>
    </row>
    <row r="35241" customFormat="false" ht="15" hidden="false" customHeight="false" outlineLevel="0" collapsed="false">
      <c r="A35241" s="3" t="s">
        <v>564</v>
      </c>
      <c r="C35241" s="16" t="n">
        <f aca="false">IF(C35230&gt;0,MIN(C35208,C35230*$C$35198),0)</f>
        <v>0</v>
      </c>
    </row>
    <row r="35242" customFormat="false" ht="15" hidden="false" customHeight="false" outlineLevel="0" collapsed="false">
      <c r="A35242" s="3" t="s">
        <v>565</v>
      </c>
      <c r="C35242" s="16" t="n">
        <f aca="false">IF(C35231&gt;0,MIN(C35209,C35231*$C$35198),0)</f>
        <v>0</v>
      </c>
    </row>
    <row r="35243" customFormat="false" ht="15" hidden="false" customHeight="false" outlineLevel="0" collapsed="false">
      <c r="A35243" s="24" t="s">
        <v>569</v>
      </c>
      <c r="B35243" s="25"/>
      <c r="C35243" s="25"/>
      <c r="D35243" s="25"/>
      <c r="E35243" s="25"/>
      <c r="F35243" s="25"/>
      <c r="G35243" s="25"/>
      <c r="H35243" s="25"/>
      <c r="I35243" s="25"/>
      <c r="J35243" s="25"/>
      <c r="K35243" s="25"/>
    </row>
    <row r="35244" customFormat="false" ht="15" hidden="false" customHeight="false" outlineLevel="0" collapsed="false">
      <c r="A35244" s="3" t="s">
        <v>556</v>
      </c>
      <c r="C35244" s="16" t="n">
        <f aca="false">IF(C35222&gt;0,C35200-C35233,0)</f>
        <v>0</v>
      </c>
    </row>
    <row r="35245" customFormat="false" ht="15" hidden="false" customHeight="false" outlineLevel="0" collapsed="false">
      <c r="A35245" s="3" t="s">
        <v>557</v>
      </c>
      <c r="C35245" s="16" t="n">
        <f aca="false">IF(C35223&gt;0,C35201-C35234,0)</f>
        <v>10.010866055841</v>
      </c>
    </row>
    <row r="35246" customFormat="false" ht="15" hidden="false" customHeight="false" outlineLevel="0" collapsed="false">
      <c r="A35246" s="3" t="s">
        <v>558</v>
      </c>
      <c r="C35246" s="16" t="n">
        <f aca="false">IF(C35224&gt;0,C35202-C35235,0)</f>
        <v>6.42182385371699</v>
      </c>
    </row>
    <row r="35247" customFormat="false" ht="15" hidden="false" customHeight="false" outlineLevel="0" collapsed="false">
      <c r="A35247" s="3" t="s">
        <v>559</v>
      </c>
      <c r="C35247" s="16" t="n">
        <f aca="false">IF(C35225&gt;0,C35203-C35236,0)</f>
        <v>0</v>
      </c>
    </row>
    <row r="35248" customFormat="false" ht="15" hidden="false" customHeight="false" outlineLevel="0" collapsed="false">
      <c r="A35248" s="3" t="s">
        <v>560</v>
      </c>
      <c r="C35248" s="16" t="n">
        <f aca="false">IF(C35226&gt;0,C35204-C35237,0)</f>
        <v>0</v>
      </c>
    </row>
    <row r="35249" customFormat="false" ht="15" hidden="false" customHeight="false" outlineLevel="0" collapsed="false">
      <c r="A35249" s="3" t="s">
        <v>561</v>
      </c>
      <c r="C35249" s="16" t="n">
        <f aca="false">IF(C35227&gt;0,C35205-C35238,0)</f>
        <v>0</v>
      </c>
    </row>
    <row r="35250" customFormat="false" ht="15" hidden="false" customHeight="false" outlineLevel="0" collapsed="false">
      <c r="A35250" s="3" t="s">
        <v>562</v>
      </c>
      <c r="C35250" s="16" t="n">
        <f aca="false">IF(C35228&gt;0,C35206-C35239,0)</f>
        <v>0</v>
      </c>
    </row>
    <row r="35251" customFormat="false" ht="15" hidden="false" customHeight="false" outlineLevel="0" collapsed="false">
      <c r="A35251" s="3" t="s">
        <v>563</v>
      </c>
      <c r="C35251" s="16" t="n">
        <f aca="false">IF(C35229&gt;0,C35207-C35240,0)</f>
        <v>0</v>
      </c>
    </row>
    <row r="35252" customFormat="false" ht="15" hidden="false" customHeight="false" outlineLevel="0" collapsed="false">
      <c r="A35252" s="3" t="s">
        <v>564</v>
      </c>
      <c r="C35252" s="16" t="n">
        <f aca="false">IF(C35230&gt;0,C35208-C35241,0)</f>
        <v>0</v>
      </c>
    </row>
    <row r="35253" customFormat="false" ht="15" hidden="false" customHeight="false" outlineLevel="0" collapsed="false">
      <c r="A35253" s="3" t="s">
        <v>565</v>
      </c>
      <c r="C35253" s="16" t="n">
        <f aca="false">IF(C35231&gt;0,C35209-C35242,0)</f>
        <v>0</v>
      </c>
    </row>
    <row r="35254" customFormat="false" ht="15" hidden="false" customHeight="false" outlineLevel="0" collapsed="false">
      <c r="A35254" s="24" t="s">
        <v>570</v>
      </c>
      <c r="B35254" s="25"/>
      <c r="C35254" s="25"/>
      <c r="D35254" s="25"/>
      <c r="E35254" s="25"/>
      <c r="F35254" s="25"/>
      <c r="G35254" s="25"/>
      <c r="H35254" s="25"/>
      <c r="I35254" s="25"/>
      <c r="J35254" s="25"/>
      <c r="K35254" s="25"/>
    </row>
    <row r="35255" customFormat="false" ht="15" hidden="false" customHeight="false" outlineLevel="0" collapsed="false">
      <c r="A35255" s="3" t="s">
        <v>556</v>
      </c>
      <c r="C35255" s="16" t="n">
        <f aca="false">IF(C35222&gt;0,C35244,C35200)</f>
        <v>0</v>
      </c>
    </row>
    <row r="35256" customFormat="false" ht="15" hidden="false" customHeight="false" outlineLevel="0" collapsed="false">
      <c r="A35256" s="3" t="s">
        <v>557</v>
      </c>
      <c r="C35256" s="16" t="n">
        <f aca="false">IF(C35223&gt;0,C35245,C35201)</f>
        <v>10.010866055841</v>
      </c>
    </row>
    <row r="35257" customFormat="false" ht="15" hidden="false" customHeight="false" outlineLevel="0" collapsed="false">
      <c r="A35257" s="3" t="s">
        <v>558</v>
      </c>
      <c r="C35257" s="16" t="n">
        <f aca="false">IF(C35224&gt;0,C35246,C35202)</f>
        <v>6.42182385371699</v>
      </c>
    </row>
    <row r="35258" customFormat="false" ht="15" hidden="false" customHeight="false" outlineLevel="0" collapsed="false">
      <c r="A35258" s="3" t="s">
        <v>559</v>
      </c>
      <c r="C35258" s="16" t="n">
        <f aca="false">IF(C35225&gt;0,C35247,C35203)</f>
        <v>0</v>
      </c>
    </row>
    <row r="35259" customFormat="false" ht="15" hidden="false" customHeight="false" outlineLevel="0" collapsed="false">
      <c r="A35259" s="3" t="s">
        <v>560</v>
      </c>
      <c r="C35259" s="16" t="n">
        <f aca="false">IF(C35226&gt;0,C35248,C35204)</f>
        <v>401.446357881</v>
      </c>
    </row>
    <row r="35260" customFormat="false" ht="15" hidden="false" customHeight="false" outlineLevel="0" collapsed="false">
      <c r="A35260" s="3" t="s">
        <v>561</v>
      </c>
      <c r="C35260" s="16" t="n">
        <f aca="false">IF(C35227&gt;0,C35249,C35205)</f>
        <v>350</v>
      </c>
    </row>
    <row r="35261" customFormat="false" ht="15" hidden="false" customHeight="false" outlineLevel="0" collapsed="false">
      <c r="A35261" s="3" t="s">
        <v>562</v>
      </c>
      <c r="C35261" s="16" t="n">
        <f aca="false">IF(C35228&gt;0,C35250,C35206)</f>
        <v>550</v>
      </c>
    </row>
    <row r="35262" customFormat="false" ht="15" hidden="false" customHeight="false" outlineLevel="0" collapsed="false">
      <c r="A35262" s="3" t="s">
        <v>563</v>
      </c>
      <c r="C35262" s="16" t="n">
        <f aca="false">IF(C35229&gt;0,C35251,C35207)</f>
        <v>350</v>
      </c>
    </row>
    <row r="35263" customFormat="false" ht="15" hidden="false" customHeight="false" outlineLevel="0" collapsed="false">
      <c r="A35263" s="3" t="s">
        <v>564</v>
      </c>
      <c r="C35263" s="16" t="n">
        <f aca="false">IF(C35230&gt;0,C35252,C35208)</f>
        <v>300</v>
      </c>
    </row>
    <row r="35264" customFormat="false" ht="15" hidden="false" customHeight="false" outlineLevel="0" collapsed="false">
      <c r="A35264" s="3" t="s">
        <v>565</v>
      </c>
      <c r="C35264" s="16" t="n">
        <f aca="false">IF(C35231&gt;0,C35253,C35209)</f>
        <v>78.61</v>
      </c>
    </row>
    <row r="35265" customFormat="false" ht="15" hidden="false" customHeight="false" outlineLevel="0" collapsed="false">
      <c r="A35265" s="24" t="s">
        <v>571</v>
      </c>
      <c r="B35265" s="25"/>
      <c r="C35265" s="25"/>
      <c r="D35265" s="25"/>
      <c r="E35265" s="25"/>
      <c r="F35265" s="25"/>
      <c r="G35265" s="25"/>
      <c r="H35265" s="25"/>
      <c r="I35265" s="25"/>
      <c r="J35265" s="25"/>
      <c r="K35265" s="25"/>
    </row>
    <row r="35266" customFormat="false" ht="15" hidden="false" customHeight="false" outlineLevel="0" collapsed="false">
      <c r="A35266" s="3" t="s">
        <v>556</v>
      </c>
      <c r="C35266" s="21" t="n">
        <f aca="false">IF(C35222&gt;0,Assumptions!$C$17,C35211)</f>
        <v>99</v>
      </c>
    </row>
    <row r="35267" customFormat="false" ht="15" hidden="false" customHeight="false" outlineLevel="0" collapsed="false">
      <c r="A35267" s="3" t="s">
        <v>557</v>
      </c>
      <c r="C35267" s="21" t="n">
        <f aca="false">IF(C35223&gt;0,Assumptions!$C$17,C35212)</f>
        <v>99</v>
      </c>
    </row>
    <row r="35268" customFormat="false" ht="15" hidden="false" customHeight="false" outlineLevel="0" collapsed="false">
      <c r="A35268" s="3" t="s">
        <v>558</v>
      </c>
      <c r="C35268" s="21" t="n">
        <f aca="false">IF(C35224&gt;0,Assumptions!$C$17,C35213)</f>
        <v>99</v>
      </c>
    </row>
    <row r="35269" customFormat="false" ht="15" hidden="false" customHeight="false" outlineLevel="0" collapsed="false">
      <c r="A35269" s="3" t="s">
        <v>559</v>
      </c>
      <c r="C35269" s="21" t="n">
        <f aca="false">IF(C35225&gt;0,Assumptions!$C$17,C35214)</f>
        <v>2</v>
      </c>
    </row>
    <row r="35270" customFormat="false" ht="15" hidden="false" customHeight="false" outlineLevel="0" collapsed="false">
      <c r="A35270" s="3" t="s">
        <v>560</v>
      </c>
      <c r="C35270" s="21" t="n">
        <f aca="false">IF(C35226&gt;0,Assumptions!$C$17,C35215)</f>
        <v>2</v>
      </c>
    </row>
    <row r="35271" customFormat="false" ht="15" hidden="false" customHeight="false" outlineLevel="0" collapsed="false">
      <c r="A35271" s="3" t="s">
        <v>561</v>
      </c>
      <c r="C35271" s="21" t="n">
        <f aca="false">IF(C35227&gt;0,Assumptions!$C$17,C35216)</f>
        <v>2</v>
      </c>
    </row>
    <row r="35272" customFormat="false" ht="15" hidden="false" customHeight="false" outlineLevel="0" collapsed="false">
      <c r="A35272" s="3" t="s">
        <v>562</v>
      </c>
      <c r="C35272" s="21" t="n">
        <f aca="false">IF(C35228&gt;0,Assumptions!$C$17,C35217)</f>
        <v>2</v>
      </c>
    </row>
    <row r="35273" customFormat="false" ht="15" hidden="false" customHeight="false" outlineLevel="0" collapsed="false">
      <c r="A35273" s="3" t="s">
        <v>563</v>
      </c>
      <c r="C35273" s="21" t="n">
        <f aca="false">IF(C35229&gt;0,Assumptions!$C$17,C35218)</f>
        <v>2</v>
      </c>
    </row>
    <row r="35274" customFormat="false" ht="15" hidden="false" customHeight="false" outlineLevel="0" collapsed="false">
      <c r="A35274" s="3" t="s">
        <v>564</v>
      </c>
      <c r="C35274" s="21" t="n">
        <f aca="false">IF(C35230&gt;0,Assumptions!$C$17,C35219)</f>
        <v>2</v>
      </c>
    </row>
    <row r="35275" customFormat="false" ht="15" hidden="false" customHeight="false" outlineLevel="0" collapsed="false">
      <c r="A35275" s="3" t="s">
        <v>565</v>
      </c>
      <c r="C35275" s="21" t="n">
        <f aca="false">IF(C35231&gt;0,Assumptions!$C$17,C35220)</f>
        <v>3</v>
      </c>
    </row>
    <row r="35276" customFormat="false" ht="15" hidden="false" customHeight="false" outlineLevel="0" collapsed="false">
      <c r="A35276" s="24" t="s">
        <v>572</v>
      </c>
      <c r="B35276" s="25"/>
      <c r="C35276" s="25"/>
      <c r="D35276" s="25"/>
      <c r="E35276" s="25"/>
      <c r="F35276" s="25"/>
      <c r="G35276" s="25"/>
      <c r="H35276" s="25"/>
      <c r="I35276" s="25"/>
      <c r="J35276" s="25"/>
      <c r="K35276" s="25"/>
    </row>
    <row r="35277" customFormat="false" ht="15" hidden="false" customHeight="false" outlineLevel="0" collapsed="false">
      <c r="A35277" s="3" t="s">
        <v>556</v>
      </c>
      <c r="C35277" s="16" t="n">
        <f aca="false">SUMPRODUCT(($C$35266:$C$35275&lt;C35266)*$C$35255:$C$35264)</f>
        <v>2030.056357881</v>
      </c>
    </row>
    <row r="35278" customFormat="false" ht="15" hidden="false" customHeight="false" outlineLevel="0" collapsed="false">
      <c r="A35278" s="3" t="s">
        <v>557</v>
      </c>
      <c r="C35278" s="16" t="n">
        <f aca="false">SUMPRODUCT(($C$35266:$C$35275&lt;C35267)*$C$35255:$C$35264)</f>
        <v>2030.056357881</v>
      </c>
    </row>
    <row r="35279" customFormat="false" ht="15" hidden="false" customHeight="false" outlineLevel="0" collapsed="false">
      <c r="A35279" s="3" t="s">
        <v>558</v>
      </c>
      <c r="C35279" s="16" t="n">
        <f aca="false">SUMPRODUCT(($C$35266:$C$35275&lt;C35268)*$C$35255:$C$35264)</f>
        <v>2030.056357881</v>
      </c>
    </row>
    <row r="35280" customFormat="false" ht="15" hidden="false" customHeight="false" outlineLevel="0" collapsed="false">
      <c r="A35280" s="3" t="s">
        <v>559</v>
      </c>
      <c r="C35280" s="16" t="n">
        <f aca="false">SUMPRODUCT(($C$35266:$C$35275&lt;C35269)*$C$35255:$C$35264)</f>
        <v>0</v>
      </c>
    </row>
    <row r="35281" customFormat="false" ht="15" hidden="false" customHeight="false" outlineLevel="0" collapsed="false">
      <c r="A35281" s="3" t="s">
        <v>560</v>
      </c>
      <c r="C35281" s="16" t="n">
        <f aca="false">SUMPRODUCT(($C$35266:$C$35275&lt;C35270)*$C$35255:$C$35264)</f>
        <v>0</v>
      </c>
    </row>
    <row r="35282" customFormat="false" ht="15" hidden="false" customHeight="false" outlineLevel="0" collapsed="false">
      <c r="A35282" s="3" t="s">
        <v>561</v>
      </c>
      <c r="C35282" s="16" t="n">
        <f aca="false">SUMPRODUCT(($C$35266:$C$35275&lt;C35271)*$C$35255:$C$35264)</f>
        <v>0</v>
      </c>
    </row>
    <row r="35283" customFormat="false" ht="15" hidden="false" customHeight="false" outlineLevel="0" collapsed="false">
      <c r="A35283" s="3" t="s">
        <v>562</v>
      </c>
      <c r="C35283" s="16" t="n">
        <f aca="false">SUMPRODUCT(($C$35266:$C$35275&lt;C35272)*$C$35255:$C$35264)</f>
        <v>0</v>
      </c>
    </row>
    <row r="35284" customFormat="false" ht="15" hidden="false" customHeight="false" outlineLevel="0" collapsed="false">
      <c r="A35284" s="3" t="s">
        <v>563</v>
      </c>
      <c r="C35284" s="16" t="n">
        <f aca="false">SUMPRODUCT(($C$35266:$C$35275&lt;C35273)*$C$35255:$C$35264)</f>
        <v>0</v>
      </c>
    </row>
    <row r="35285" customFormat="false" ht="15" hidden="false" customHeight="false" outlineLevel="0" collapsed="false">
      <c r="A35285" s="3" t="s">
        <v>564</v>
      </c>
      <c r="C35285" s="16" t="n">
        <f aca="false">SUMPRODUCT(($C$35266:$C$35275&lt;C35274)*$C$35255:$C$35264)</f>
        <v>0</v>
      </c>
    </row>
    <row r="35286" customFormat="false" ht="15" hidden="false" customHeight="false" outlineLevel="0" collapsed="false">
      <c r="A35286" s="3" t="s">
        <v>565</v>
      </c>
      <c r="C35286" s="16" t="n">
        <f aca="false">SUMPRODUCT(($C$35266:$C$35275&lt;C35275)*$C$35255:$C$35264)</f>
        <v>1951.446357881</v>
      </c>
    </row>
    <row r="35287" customFormat="false" ht="15" hidden="false" customHeight="false" outlineLevel="0" collapsed="false">
      <c r="A35287" s="24" t="s">
        <v>573</v>
      </c>
      <c r="B35287" s="25"/>
      <c r="C35287" s="25"/>
      <c r="D35287" s="25"/>
      <c r="E35287" s="25"/>
      <c r="F35287" s="25"/>
      <c r="G35287" s="25"/>
      <c r="H35287" s="25"/>
      <c r="I35287" s="25"/>
      <c r="J35287" s="25"/>
      <c r="K35287" s="25"/>
    </row>
    <row r="35288" customFormat="false" ht="15" hidden="false" customHeight="false" outlineLevel="0" collapsed="false">
      <c r="A35288" s="3" t="s">
        <v>556</v>
      </c>
      <c r="C35288" s="16" t="n">
        <f aca="false">SUMPRODUCT(($C$35266:$C$35275=C35266)*$C$35255:$C$35264)</f>
        <v>16.432689909558</v>
      </c>
    </row>
    <row r="35289" customFormat="false" ht="15" hidden="false" customHeight="false" outlineLevel="0" collapsed="false">
      <c r="A35289" s="3" t="s">
        <v>557</v>
      </c>
      <c r="C35289" s="16" t="n">
        <f aca="false">SUMPRODUCT(($C$35266:$C$35275=C35267)*$C$35255:$C$35264)</f>
        <v>16.432689909558</v>
      </c>
    </row>
    <row r="35290" customFormat="false" ht="15" hidden="false" customHeight="false" outlineLevel="0" collapsed="false">
      <c r="A35290" s="3" t="s">
        <v>558</v>
      </c>
      <c r="C35290" s="16" t="n">
        <f aca="false">SUMPRODUCT(($C$35266:$C$35275=C35268)*$C$35255:$C$35264)</f>
        <v>16.432689909558</v>
      </c>
    </row>
    <row r="35291" customFormat="false" ht="15" hidden="false" customHeight="false" outlineLevel="0" collapsed="false">
      <c r="A35291" s="3" t="s">
        <v>559</v>
      </c>
      <c r="C35291" s="16" t="n">
        <f aca="false">SUMPRODUCT(($C$35266:$C$35275=C35269)*$C$35255:$C$35264)</f>
        <v>1951.446357881</v>
      </c>
    </row>
    <row r="35292" customFormat="false" ht="15" hidden="false" customHeight="false" outlineLevel="0" collapsed="false">
      <c r="A35292" s="3" t="s">
        <v>560</v>
      </c>
      <c r="C35292" s="16" t="n">
        <f aca="false">SUMPRODUCT(($C$35266:$C$35275=C35270)*$C$35255:$C$35264)</f>
        <v>1951.446357881</v>
      </c>
    </row>
    <row r="35293" customFormat="false" ht="15" hidden="false" customHeight="false" outlineLevel="0" collapsed="false">
      <c r="A35293" s="3" t="s">
        <v>561</v>
      </c>
      <c r="C35293" s="16" t="n">
        <f aca="false">SUMPRODUCT(($C$35266:$C$35275=C35271)*$C$35255:$C$35264)</f>
        <v>1951.446357881</v>
      </c>
    </row>
    <row r="35294" customFormat="false" ht="15" hidden="false" customHeight="false" outlineLevel="0" collapsed="false">
      <c r="A35294" s="3" t="s">
        <v>562</v>
      </c>
      <c r="C35294" s="16" t="n">
        <f aca="false">SUMPRODUCT(($C$35266:$C$35275=C35272)*$C$35255:$C$35264)</f>
        <v>1951.446357881</v>
      </c>
    </row>
    <row r="35295" customFormat="false" ht="15" hidden="false" customHeight="false" outlineLevel="0" collapsed="false">
      <c r="A35295" s="3" t="s">
        <v>563</v>
      </c>
      <c r="C35295" s="16" t="n">
        <f aca="false">SUMPRODUCT(($C$35266:$C$35275=C35273)*$C$35255:$C$35264)</f>
        <v>1951.446357881</v>
      </c>
    </row>
    <row r="35296" customFormat="false" ht="15" hidden="false" customHeight="false" outlineLevel="0" collapsed="false">
      <c r="A35296" s="3" t="s">
        <v>564</v>
      </c>
      <c r="C35296" s="16" t="n">
        <f aca="false">SUMPRODUCT(($C$35266:$C$35275=C35274)*$C$35255:$C$35264)</f>
        <v>1951.446357881</v>
      </c>
    </row>
    <row r="35297" customFormat="false" ht="15" hidden="false" customHeight="false" outlineLevel="0" collapsed="false">
      <c r="A35297" s="3" t="s">
        <v>565</v>
      </c>
      <c r="C35297" s="16" t="n">
        <f aca="false">SUMPRODUCT(($C$35266:$C$35275=C35275)*$C$35255:$C$35264)</f>
        <v>78.61</v>
      </c>
    </row>
    <row r="35298" customFormat="false" ht="15" hidden="false" customHeight="false" outlineLevel="0" collapsed="false">
      <c r="A35298" s="24" t="s">
        <v>574</v>
      </c>
      <c r="B35298" s="25"/>
      <c r="C35298" s="25"/>
      <c r="D35298" s="25"/>
      <c r="E35298" s="25"/>
      <c r="F35298" s="25"/>
      <c r="G35298" s="25"/>
      <c r="H35298" s="25"/>
      <c r="I35298" s="25"/>
      <c r="J35298" s="25"/>
      <c r="K35298" s="25"/>
    </row>
    <row r="35299" customFormat="false" ht="15" hidden="false" customHeight="false" outlineLevel="0" collapsed="false">
      <c r="A35299" s="3" t="s">
        <v>556</v>
      </c>
      <c r="C35299" s="16" t="n">
        <f aca="false">IF(C35288=0,0,C35255/C35288*MAX(0,MIN(C35288,$C$35198-SUM($C$35233:$C$35242)-C35277)))</f>
        <v>0</v>
      </c>
    </row>
    <row r="35300" customFormat="false" ht="15" hidden="false" customHeight="false" outlineLevel="0" collapsed="false">
      <c r="A35300" s="3" t="s">
        <v>557</v>
      </c>
      <c r="C35300" s="16" t="n">
        <f aca="false">IF(C35289=0,0,C35256/C35289*MAX(0,MIN(C35289,$C$35198-SUM($C$35233:$C$35242)-C35278)))</f>
        <v>0</v>
      </c>
    </row>
    <row r="35301" customFormat="false" ht="15" hidden="false" customHeight="false" outlineLevel="0" collapsed="false">
      <c r="A35301" s="3" t="s">
        <v>558</v>
      </c>
      <c r="C35301" s="16" t="n">
        <f aca="false">IF(C35290=0,0,C35257/C35290*MAX(0,MIN(C35290,$C$35198-SUM($C$35233:$C$35242)-C35279)))</f>
        <v>0</v>
      </c>
    </row>
    <row r="35302" customFormat="false" ht="15" hidden="false" customHeight="false" outlineLevel="0" collapsed="false">
      <c r="A35302" s="3" t="s">
        <v>559</v>
      </c>
      <c r="C35302" s="16" t="n">
        <f aca="false">IF(C35291=0,0,C35258/C35291*MAX(0,MIN(C35291,$C$35198-SUM($C$35233:$C$35242)-C35280)))</f>
        <v>0</v>
      </c>
    </row>
    <row r="35303" customFormat="false" ht="15" hidden="false" customHeight="false" outlineLevel="0" collapsed="false">
      <c r="A35303" s="3" t="s">
        <v>560</v>
      </c>
      <c r="C35303" s="16" t="n">
        <f aca="false">IF(C35292=0,0,C35259/C35292*MAX(0,MIN(C35292,$C$35198-SUM($C$35233:$C$35242)-C35281)))</f>
        <v>391.896029401918</v>
      </c>
    </row>
    <row r="35304" customFormat="false" ht="15" hidden="false" customHeight="false" outlineLevel="0" collapsed="false">
      <c r="A35304" s="3" t="s">
        <v>561</v>
      </c>
      <c r="C35304" s="16" t="n">
        <f aca="false">IF(C35293=0,0,C35260/C35293*MAX(0,MIN(C35293,$C$35198-SUM($C$35233:$C$35242)-C35282)))</f>
        <v>341.673570074661</v>
      </c>
    </row>
    <row r="35305" customFormat="false" ht="15" hidden="false" customHeight="false" outlineLevel="0" collapsed="false">
      <c r="A35305" s="3" t="s">
        <v>562</v>
      </c>
      <c r="C35305" s="16" t="n">
        <f aca="false">IF(C35294=0,0,C35261/C35294*MAX(0,MIN(C35294,$C$35198-SUM($C$35233:$C$35242)-C35283)))</f>
        <v>536.915610117324</v>
      </c>
    </row>
    <row r="35306" customFormat="false" ht="15" hidden="false" customHeight="false" outlineLevel="0" collapsed="false">
      <c r="A35306" s="3" t="s">
        <v>563</v>
      </c>
      <c r="C35306" s="16" t="n">
        <f aca="false">IF(C35295=0,0,C35262/C35295*MAX(0,MIN(C35295,$C$35198-SUM($C$35233:$C$35242)-C35284)))</f>
        <v>341.673570074661</v>
      </c>
    </row>
    <row r="35307" customFormat="false" ht="15" hidden="false" customHeight="false" outlineLevel="0" collapsed="false">
      <c r="A35307" s="3" t="s">
        <v>564</v>
      </c>
      <c r="C35307" s="16" t="n">
        <f aca="false">IF(C35296=0,0,C35263/C35296*MAX(0,MIN(C35296,$C$35198-SUM($C$35233:$C$35242)-C35285)))</f>
        <v>292.863060063995</v>
      </c>
    </row>
    <row r="35308" customFormat="false" ht="15" hidden="false" customHeight="false" outlineLevel="0" collapsed="false">
      <c r="A35308" s="3" t="s">
        <v>565</v>
      </c>
      <c r="C35308" s="16" t="n">
        <f aca="false">IF(C35297=0,0,C35264/C35297*MAX(0,MIN(C35297,$C$35198-SUM($C$35233:$C$35242)-C35286)))</f>
        <v>0</v>
      </c>
    </row>
    <row r="35309" customFormat="false" ht="15" hidden="false" customHeight="false" outlineLevel="0" collapsed="false">
      <c r="A35309" s="24" t="s">
        <v>575</v>
      </c>
      <c r="B35309" s="25"/>
      <c r="C35309" s="25"/>
      <c r="D35309" s="25"/>
      <c r="E35309" s="25"/>
      <c r="F35309" s="25"/>
      <c r="G35309" s="25"/>
      <c r="H35309" s="25"/>
      <c r="I35309" s="25"/>
      <c r="J35309" s="25"/>
      <c r="K35309" s="25"/>
    </row>
    <row r="35310" customFormat="false" ht="15" hidden="false" customHeight="false" outlineLevel="0" collapsed="false">
      <c r="A35310" s="2" t="s">
        <v>556</v>
      </c>
      <c r="C35310" s="17" t="n">
        <f aca="false">C35233+C35299</f>
        <v>388</v>
      </c>
    </row>
    <row r="35311" customFormat="false" ht="15" hidden="false" customHeight="false" outlineLevel="0" collapsed="false">
      <c r="A35311" s="2" t="s">
        <v>557</v>
      </c>
      <c r="C35311" s="17" t="n">
        <f aca="false">C35234+C35300</f>
        <v>79.989133944159</v>
      </c>
    </row>
    <row r="35312" customFormat="false" ht="15" hidden="false" customHeight="false" outlineLevel="0" collapsed="false">
      <c r="A35312" s="2" t="s">
        <v>558</v>
      </c>
      <c r="C35312" s="17" t="n">
        <f aca="false">C35235+C35301</f>
        <v>50.902176146283</v>
      </c>
    </row>
    <row r="35313" customFormat="false" ht="15" hidden="false" customHeight="false" outlineLevel="0" collapsed="false">
      <c r="A35313" s="2" t="s">
        <v>559</v>
      </c>
      <c r="C35313" s="17" t="n">
        <f aca="false">C35236+C35302</f>
        <v>0</v>
      </c>
    </row>
    <row r="35314" customFormat="false" ht="15" hidden="false" customHeight="false" outlineLevel="0" collapsed="false">
      <c r="A35314" s="2" t="s">
        <v>560</v>
      </c>
      <c r="C35314" s="17" t="n">
        <f aca="false">C35237+C35303</f>
        <v>391.896029401918</v>
      </c>
    </row>
    <row r="35315" customFormat="false" ht="15" hidden="false" customHeight="false" outlineLevel="0" collapsed="false">
      <c r="A35315" s="2" t="s">
        <v>561</v>
      </c>
      <c r="C35315" s="17" t="n">
        <f aca="false">C35238+C35304</f>
        <v>341.673570074661</v>
      </c>
    </row>
    <row r="35316" customFormat="false" ht="15" hidden="false" customHeight="false" outlineLevel="0" collapsed="false">
      <c r="A35316" s="2" t="s">
        <v>562</v>
      </c>
      <c r="C35316" s="17" t="n">
        <f aca="false">C35239+C35305</f>
        <v>536.915610117324</v>
      </c>
    </row>
    <row r="35317" customFormat="false" ht="15" hidden="false" customHeight="false" outlineLevel="0" collapsed="false">
      <c r="A35317" s="2" t="s">
        <v>563</v>
      </c>
      <c r="C35317" s="17" t="n">
        <f aca="false">C35240+C35306</f>
        <v>341.673570074661</v>
      </c>
    </row>
    <row r="35318" customFormat="false" ht="15" hidden="false" customHeight="false" outlineLevel="0" collapsed="false">
      <c r="A35318" s="2" t="s">
        <v>564</v>
      </c>
      <c r="C35318" s="17" t="n">
        <f aca="false">C35241+C35307</f>
        <v>292.863060063995</v>
      </c>
    </row>
    <row r="35319" customFormat="false" ht="15" hidden="false" customHeight="false" outlineLevel="0" collapsed="false">
      <c r="A35319" s="2" t="s">
        <v>565</v>
      </c>
      <c r="C35319" s="17" t="n">
        <f aca="false">C35242+C35308</f>
        <v>0</v>
      </c>
    </row>
    <row r="35320" customFormat="false" ht="15" hidden="false" customHeight="false" outlineLevel="0" collapsed="false">
      <c r="A35320" s="24" t="s">
        <v>576</v>
      </c>
      <c r="B35320" s="25"/>
      <c r="C35320" s="25"/>
      <c r="D35320" s="25"/>
      <c r="E35320" s="25"/>
      <c r="F35320" s="25"/>
      <c r="G35320" s="25"/>
      <c r="H35320" s="25"/>
      <c r="I35320" s="25"/>
      <c r="J35320" s="25"/>
      <c r="K35320" s="25"/>
    </row>
    <row r="35321" customFormat="false" ht="15" hidden="false" customHeight="false" outlineLevel="0" collapsed="false">
      <c r="A35321" s="3" t="s">
        <v>556</v>
      </c>
      <c r="C35321" s="22" t="n">
        <f aca="false">IF(C35200=0,1,C35310/C35200)</f>
        <v>1</v>
      </c>
    </row>
    <row r="35322" customFormat="false" ht="15" hidden="false" customHeight="false" outlineLevel="0" collapsed="false">
      <c r="A35322" s="3" t="s">
        <v>557</v>
      </c>
      <c r="C35322" s="22" t="n">
        <f aca="false">IF(C35201=0,1,C35311/C35201)</f>
        <v>0.8887681549351</v>
      </c>
    </row>
    <row r="35323" customFormat="false" ht="15" hidden="false" customHeight="false" outlineLevel="0" collapsed="false">
      <c r="A35323" s="3" t="s">
        <v>558</v>
      </c>
      <c r="C35323" s="22" t="n">
        <f aca="false">IF(C35202=0,1,C35312/C35202)</f>
        <v>0.887973207492202</v>
      </c>
    </row>
    <row r="35324" customFormat="false" ht="15" hidden="false" customHeight="false" outlineLevel="0" collapsed="false">
      <c r="A35324" s="3" t="s">
        <v>559</v>
      </c>
      <c r="C35324" s="22" t="n">
        <f aca="false">IF(C35203=0,1,C35313/C35203)</f>
        <v>1</v>
      </c>
    </row>
    <row r="35325" customFormat="false" ht="15" hidden="false" customHeight="false" outlineLevel="0" collapsed="false">
      <c r="A35325" s="3" t="s">
        <v>560</v>
      </c>
      <c r="C35325" s="22" t="n">
        <f aca="false">IF(C35204=0,1,C35314/C35204)</f>
        <v>0.976210200213317</v>
      </c>
    </row>
    <row r="35326" customFormat="false" ht="15" hidden="false" customHeight="false" outlineLevel="0" collapsed="false">
      <c r="A35326" s="3" t="s">
        <v>561</v>
      </c>
      <c r="C35326" s="22" t="n">
        <f aca="false">IF(C35205=0,1,C35315/C35205)</f>
        <v>0.976210200213316</v>
      </c>
    </row>
    <row r="35327" customFormat="false" ht="15" hidden="false" customHeight="false" outlineLevel="0" collapsed="false">
      <c r="A35327" s="3" t="s">
        <v>562</v>
      </c>
      <c r="C35327" s="22" t="n">
        <f aca="false">IF(C35206=0,1,C35316/C35206)</f>
        <v>0.976210200213317</v>
      </c>
    </row>
    <row r="35328" customFormat="false" ht="15" hidden="false" customHeight="false" outlineLevel="0" collapsed="false">
      <c r="A35328" s="3" t="s">
        <v>563</v>
      </c>
      <c r="C35328" s="22" t="n">
        <f aca="false">IF(C35207=0,1,C35317/C35207)</f>
        <v>0.976210200213316</v>
      </c>
    </row>
    <row r="35329" customFormat="false" ht="15" hidden="false" customHeight="false" outlineLevel="0" collapsed="false">
      <c r="A35329" s="3" t="s">
        <v>564</v>
      </c>
      <c r="C35329" s="22" t="n">
        <f aca="false">IF(C35208=0,1,C35318/C35208)</f>
        <v>0.976210200213317</v>
      </c>
    </row>
    <row r="35330" customFormat="false" ht="15" hidden="false" customHeight="false" outlineLevel="0" collapsed="false">
      <c r="A35330" s="3" t="s">
        <v>565</v>
      </c>
      <c r="C35330" s="22" t="n">
        <f aca="false">IF(C35209=0,1,C35319/C35209)</f>
        <v>0</v>
      </c>
    </row>
    <row r="35331" customFormat="false" ht="15" hidden="false" customHeight="false" outlineLevel="0" collapsed="false">
      <c r="A35331" s="24" t="s">
        <v>577</v>
      </c>
      <c r="B35331" s="25"/>
      <c r="C35331" s="25"/>
      <c r="D35331" s="25"/>
      <c r="E35331" s="25"/>
      <c r="F35331" s="25"/>
      <c r="G35331" s="25"/>
      <c r="H35331" s="25"/>
      <c r="I35331" s="25"/>
      <c r="J35331" s="25"/>
      <c r="K35331" s="25"/>
    </row>
    <row r="35332" customFormat="false" ht="15" hidden="false" customHeight="false" outlineLevel="0" collapsed="false">
      <c r="A35332" s="3" t="s">
        <v>556</v>
      </c>
      <c r="C35332" s="16" t="n">
        <f aca="false">C35200-C35310</f>
        <v>0</v>
      </c>
    </row>
    <row r="35333" customFormat="false" ht="15" hidden="false" customHeight="false" outlineLevel="0" collapsed="false">
      <c r="A35333" s="3" t="s">
        <v>557</v>
      </c>
      <c r="C35333" s="16" t="n">
        <f aca="false">C35201-C35311</f>
        <v>10.010866055841</v>
      </c>
    </row>
    <row r="35334" customFormat="false" ht="15" hidden="false" customHeight="false" outlineLevel="0" collapsed="false">
      <c r="A35334" s="3" t="s">
        <v>558</v>
      </c>
      <c r="C35334" s="16" t="n">
        <f aca="false">C35202-C35312</f>
        <v>6.42182385371699</v>
      </c>
    </row>
    <row r="35335" customFormat="false" ht="15" hidden="false" customHeight="false" outlineLevel="0" collapsed="false">
      <c r="A35335" s="3" t="s">
        <v>559</v>
      </c>
      <c r="C35335" s="16" t="n">
        <f aca="false">C35203-C35313</f>
        <v>0</v>
      </c>
    </row>
    <row r="35336" customFormat="false" ht="15" hidden="false" customHeight="false" outlineLevel="0" collapsed="false">
      <c r="A35336" s="3" t="s">
        <v>560</v>
      </c>
      <c r="C35336" s="16" t="n">
        <f aca="false">C35204-C35314</f>
        <v>9.55032847908228</v>
      </c>
    </row>
    <row r="35337" customFormat="false" ht="15" hidden="false" customHeight="false" outlineLevel="0" collapsed="false">
      <c r="A35337" s="3" t="s">
        <v>561</v>
      </c>
      <c r="C35337" s="16" t="n">
        <f aca="false">C35205-C35315</f>
        <v>8.32642992533926</v>
      </c>
    </row>
    <row r="35338" customFormat="false" ht="15" hidden="false" customHeight="false" outlineLevel="0" collapsed="false">
      <c r="A35338" s="3" t="s">
        <v>562</v>
      </c>
      <c r="C35338" s="16" t="n">
        <f aca="false">C35206-C35316</f>
        <v>13.0843898826759</v>
      </c>
    </row>
    <row r="35339" customFormat="false" ht="15" hidden="false" customHeight="false" outlineLevel="0" collapsed="false">
      <c r="A35339" s="3" t="s">
        <v>563</v>
      </c>
      <c r="C35339" s="16" t="n">
        <f aca="false">C35207-C35317</f>
        <v>8.32642992533926</v>
      </c>
    </row>
    <row r="35340" customFormat="false" ht="15" hidden="false" customHeight="false" outlineLevel="0" collapsed="false">
      <c r="A35340" s="3" t="s">
        <v>564</v>
      </c>
      <c r="C35340" s="16" t="n">
        <f aca="false">C35208-C35318</f>
        <v>7.13693993600504</v>
      </c>
    </row>
    <row r="35341" customFormat="false" ht="15" hidden="false" customHeight="false" outlineLevel="0" collapsed="false">
      <c r="A35341" s="3" t="s">
        <v>565</v>
      </c>
      <c r="C35341" s="16" t="n">
        <f aca="false">C35209-C35319</f>
        <v>78.61</v>
      </c>
    </row>
    <row r="35342" customFormat="false" ht="15" hidden="false" customHeight="false" outlineLevel="0" collapsed="false">
      <c r="A35342" s="24" t="s">
        <v>578</v>
      </c>
      <c r="B35342" s="25"/>
      <c r="C35342" s="25"/>
      <c r="D35342" s="25"/>
      <c r="E35342" s="25"/>
      <c r="F35342" s="25"/>
      <c r="G35342" s="25"/>
      <c r="H35342" s="25"/>
      <c r="I35342" s="25"/>
      <c r="J35342" s="25"/>
      <c r="K35342" s="25"/>
    </row>
    <row r="35343" customFormat="false" ht="15" hidden="false" customHeight="false" outlineLevel="0" collapsed="false">
      <c r="A35343" s="3" t="s">
        <v>556</v>
      </c>
      <c r="C35343" s="22" t="n">
        <f aca="false">IF(C35200=0,0,C35332/C35200)</f>
        <v>0</v>
      </c>
    </row>
    <row r="35344" customFormat="false" ht="15" hidden="false" customHeight="false" outlineLevel="0" collapsed="false">
      <c r="A35344" s="3" t="s">
        <v>557</v>
      </c>
      <c r="C35344" s="22" t="n">
        <f aca="false">IF(C35201=0,0,C35333/C35201)</f>
        <v>0.1112318450649</v>
      </c>
    </row>
    <row r="35345" customFormat="false" ht="15" hidden="false" customHeight="false" outlineLevel="0" collapsed="false">
      <c r="A35345" s="3" t="s">
        <v>558</v>
      </c>
      <c r="C35345" s="22" t="n">
        <f aca="false">IF(C35202=0,0,C35334/C35202)</f>
        <v>0.112026792507798</v>
      </c>
    </row>
    <row r="35346" customFormat="false" ht="15" hidden="false" customHeight="false" outlineLevel="0" collapsed="false">
      <c r="A35346" s="3" t="s">
        <v>559</v>
      </c>
      <c r="C35346" s="22" t="n">
        <f aca="false">IF(C35203=0,0,C35335/C35203)</f>
        <v>0</v>
      </c>
    </row>
    <row r="35347" customFormat="false" ht="15" hidden="false" customHeight="false" outlineLevel="0" collapsed="false">
      <c r="A35347" s="3" t="s">
        <v>560</v>
      </c>
      <c r="C35347" s="22" t="n">
        <f aca="false">IF(C35204=0,0,C35336/C35204)</f>
        <v>0.0237897997866835</v>
      </c>
    </row>
    <row r="35348" customFormat="false" ht="15" hidden="false" customHeight="false" outlineLevel="0" collapsed="false">
      <c r="A35348" s="3" t="s">
        <v>561</v>
      </c>
      <c r="C35348" s="22" t="n">
        <f aca="false">IF(C35205=0,0,C35337/C35205)</f>
        <v>0.0237897997866836</v>
      </c>
    </row>
    <row r="35349" customFormat="false" ht="15" hidden="false" customHeight="false" outlineLevel="0" collapsed="false">
      <c r="A35349" s="3" t="s">
        <v>562</v>
      </c>
      <c r="C35349" s="22" t="n">
        <f aca="false">IF(C35206=0,0,C35338/C35206)</f>
        <v>0.0237897997866834</v>
      </c>
    </row>
    <row r="35350" customFormat="false" ht="15" hidden="false" customHeight="false" outlineLevel="0" collapsed="false">
      <c r="A35350" s="3" t="s">
        <v>563</v>
      </c>
      <c r="C35350" s="22" t="n">
        <f aca="false">IF(C35207=0,0,C35339/C35207)</f>
        <v>0.0237897997866836</v>
      </c>
    </row>
    <row r="35351" customFormat="false" ht="15" hidden="false" customHeight="false" outlineLevel="0" collapsed="false">
      <c r="A35351" s="3" t="s">
        <v>564</v>
      </c>
      <c r="C35351" s="22" t="n">
        <f aca="false">IF(C35208=0,0,C35340/C35208)</f>
        <v>0.0237897997866835</v>
      </c>
    </row>
    <row r="35352" customFormat="false" ht="15" hidden="false" customHeight="false" outlineLevel="0" collapsed="false">
      <c r="A35352" s="3" t="s">
        <v>565</v>
      </c>
      <c r="C35352" s="22" t="n">
        <f aca="false">IF(C35209=0,0,C35341/C35209)</f>
        <v>1</v>
      </c>
    </row>
    <row r="35353" customFormat="false" ht="15" hidden="false" customHeight="false" outlineLevel="0" collapsed="false">
      <c r="A35353" s="2" t="s">
        <v>579</v>
      </c>
      <c r="C35353" s="17" t="n">
        <f aca="false">MAX(0,$C$35198-SUM($C$35233:$C$35242)-SUM($C$35255:$C$35264))</f>
        <v>0</v>
      </c>
    </row>
    <row r="35354" customFormat="false" ht="15" hidden="false" customHeight="false" outlineLevel="0" collapsed="false">
      <c r="A35354" s="3" t="s">
        <v>597</v>
      </c>
      <c r="C35354" s="35" t="n">
        <f aca="false">MIN(C35197,100*CHOOSE(C35187,C35321,C35322,C35323,C35324,C35325,C35326,C35327,C35328,C35329,C35330))</f>
        <v>95</v>
      </c>
    </row>
    <row r="35355" customFormat="false" ht="15" hidden="false" customHeight="false" outlineLevel="0" collapsed="false">
      <c r="A35355" s="3" t="s">
        <v>598</v>
      </c>
      <c r="C35355" s="21" t="n">
        <f aca="false">IF(C35019=1,C35192+Assumptions!$C$40,C35191)</f>
        <v>3</v>
      </c>
    </row>
    <row r="35356" customFormat="false" ht="15" hidden="false" customHeight="false" outlineLevel="0" collapsed="false">
      <c r="A35356" s="24" t="s">
        <v>599</v>
      </c>
      <c r="B35356" s="25"/>
      <c r="C35356" s="25"/>
      <c r="D35356" s="25"/>
      <c r="E35356" s="25"/>
      <c r="F35356" s="25"/>
      <c r="G35356" s="25"/>
      <c r="H35356" s="25"/>
      <c r="I35356" s="25"/>
      <c r="J35356" s="25"/>
      <c r="K35356" s="25"/>
    </row>
    <row r="35357" customFormat="false" ht="15" hidden="false" customHeight="false" outlineLevel="0" collapsed="false">
      <c r="A35357" s="3" t="s">
        <v>600</v>
      </c>
      <c r="C35357" s="21" t="n">
        <f aca="false">COLUMN()-COLUMN($C$1)</f>
        <v>0</v>
      </c>
      <c r="D35357" s="21" t="n">
        <f aca="false">COLUMN()-COLUMN($C$1)</f>
        <v>1</v>
      </c>
      <c r="E35357" s="21" t="n">
        <f aca="false">COLUMN()-COLUMN($C$1)</f>
        <v>2</v>
      </c>
      <c r="F35357" s="21" t="n">
        <f aca="false">COLUMN()-COLUMN($C$1)</f>
        <v>3</v>
      </c>
      <c r="G35357" s="21" t="n">
        <f aca="false">COLUMN()-COLUMN($C$1)</f>
        <v>4</v>
      </c>
      <c r="H35357" s="21" t="n">
        <f aca="false">COLUMN()-COLUMN($C$1)</f>
        <v>5</v>
      </c>
      <c r="I35357" s="21" t="n">
        <f aca="false">COLUMN()-COLUMN($C$1)</f>
        <v>6</v>
      </c>
    </row>
    <row r="35358" customFormat="false" ht="15" hidden="false" customHeight="false" outlineLevel="0" collapsed="false">
      <c r="A35358" s="3" t="s">
        <v>601</v>
      </c>
      <c r="D35358" s="31" t="n">
        <f aca="false">CHOOSE($C$35187,G34767,G34780,G34793,G34806,G34819,G34832,G34845,G34858,G34871,G34884)</f>
        <v>0.1065</v>
      </c>
      <c r="E35358" s="31" t="n">
        <f aca="false">CHOOSE($C$35187,H34767,H34780,H34793,H34806,H34819,H34832,H34845,H34858,H34871,H34884)</f>
        <v>0.105</v>
      </c>
      <c r="F35358" s="31" t="n">
        <f aca="false">CHOOSE($C$35187,I34767,I34780,I34793,I34806,I34819,I34832,I34845,I34858,I34871,I34884)</f>
        <v>0.1025</v>
      </c>
      <c r="G35358" s="31" t="n">
        <f aca="false">CHOOSE($C$35187,J34767,J34780,J34793,J34806,J34819,J34832,J34845,J34858,J34871,J34884)</f>
        <v>0.1025</v>
      </c>
      <c r="H35358" s="31" t="n">
        <f aca="false">CHOOSE($C$35187,K34767,K34780,K34793,K34806,K34819,K34832,K34845,K34858,K34871,K34884)</f>
        <v>0.1025</v>
      </c>
    </row>
    <row r="35359" customFormat="false" ht="15" hidden="false" customHeight="false" outlineLevel="0" collapsed="false">
      <c r="A35359" s="3" t="s">
        <v>602</v>
      </c>
      <c r="D35359" s="16" t="n">
        <f aca="false">IF(D35357&lt;=$C$35196,$C$35188*D35358,0)</f>
        <v>10.65</v>
      </c>
      <c r="E35359" s="16" t="n">
        <f aca="false">IF(E35357&lt;=$C$35196,$C$35188*E35358,0)</f>
        <v>10.5</v>
      </c>
      <c r="F35359" s="16" t="n">
        <f aca="false">IF(F35357&lt;=$C$35196,$C$35188*F35358,0)</f>
        <v>0</v>
      </c>
      <c r="G35359" s="16" t="n">
        <f aca="false">IF(G35357&lt;=$C$35196,$C$35188*G35358,0)</f>
        <v>0</v>
      </c>
      <c r="H35359" s="16" t="n">
        <f aca="false">IF(H35357&lt;=$C$35196,$C$35188*H35358,0)</f>
        <v>0</v>
      </c>
    </row>
    <row r="35360" customFormat="false" ht="15" hidden="false" customHeight="false" outlineLevel="0" collapsed="false">
      <c r="A35360" s="3" t="s">
        <v>603</v>
      </c>
      <c r="D35360" s="16" t="n">
        <f aca="false">IF(AND($C$35019=0,D35357=$C$35191),$C$35188*$C$35354/100,0)+IF(AND($C$35019=1,D35357=$C$35355),$C$35194,0)</f>
        <v>0</v>
      </c>
      <c r="E35360" s="16" t="n">
        <f aca="false">IF(AND($C$35019=0,E35357=$C$35191),$C$35188*$C$35354/100,0)+IF(AND($C$35019=1,E35357=$C$35355),$C$35194,0)</f>
        <v>0</v>
      </c>
      <c r="F35360" s="16" t="n">
        <f aca="false">IF(AND($C$35019=0,F35357=$C$35191),$C$35188*$C$35354/100,0)+IF(AND($C$35019=1,F35357=$C$35355),$C$35194,0)</f>
        <v>102.625</v>
      </c>
      <c r="G35360" s="16" t="n">
        <f aca="false">IF(AND($C$35019=0,G35357=$C$35191),$C$35188*$C$35354/100,0)+IF(AND($C$35019=1,G35357=$C$35355),$C$35194,0)</f>
        <v>0</v>
      </c>
      <c r="H35360" s="16" t="n">
        <f aca="false">IF(AND($C$35019=0,H35357=$C$35191),$C$35188*$C$35354/100,0)+IF(AND($C$35019=1,H35357=$C$35355),$C$35194,0)</f>
        <v>0</v>
      </c>
      <c r="I35360" s="16" t="n">
        <f aca="false">IF(AND($C$35019=0,I35357=$C$35191),$C$35188*$C$35354/100,0)+IF(AND($C$35019=1,I35357=$C$35355),$C$35194,0)</f>
        <v>0</v>
      </c>
    </row>
    <row r="35361" customFormat="false" ht="15" hidden="false" customHeight="false" outlineLevel="0" collapsed="false">
      <c r="A35361" s="2" t="s">
        <v>604</v>
      </c>
      <c r="C35361" s="17" t="n">
        <f aca="false">-$C$35190</f>
        <v>-98.49</v>
      </c>
      <c r="D35361" s="17" t="n">
        <f aca="false">D35359+D35360</f>
        <v>10.65</v>
      </c>
      <c r="E35361" s="17" t="n">
        <f aca="false">E35359+E35360</f>
        <v>10.5</v>
      </c>
      <c r="F35361" s="17" t="n">
        <f aca="false">F35359+F35360</f>
        <v>102.625</v>
      </c>
      <c r="G35361" s="17" t="n">
        <f aca="false">G35359+G35360</f>
        <v>0</v>
      </c>
      <c r="H35361" s="17" t="n">
        <f aca="false">H35359+H35360</f>
        <v>0</v>
      </c>
      <c r="I35361" s="17" t="n">
        <f aca="false">I35359+I35360</f>
        <v>0</v>
      </c>
    </row>
    <row r="35362" customFormat="false" ht="15" hidden="false" customHeight="false" outlineLevel="0" collapsed="false">
      <c r="A35362" s="3" t="s">
        <v>605</v>
      </c>
      <c r="C35362" s="16" t="n">
        <f aca="false">SUM($C$35359:$I$35359)</f>
        <v>21.15</v>
      </c>
    </row>
    <row r="35363" customFormat="false" ht="15" hidden="false" customHeight="false" outlineLevel="0" collapsed="false">
      <c r="A35363" s="3" t="s">
        <v>606</v>
      </c>
      <c r="C35363" s="16" t="n">
        <f aca="false">SUM($C$35360:$I$35360)</f>
        <v>102.625</v>
      </c>
    </row>
    <row r="35364" customFormat="false" ht="15" hidden="false" customHeight="false" outlineLevel="0" collapsed="false">
      <c r="A35364" s="3" t="s">
        <v>607</v>
      </c>
      <c r="C35364" s="16" t="n">
        <f aca="false">C35362+C35363</f>
        <v>123.775</v>
      </c>
    </row>
    <row r="35365" customFormat="false" ht="15" hidden="false" customHeight="false" outlineLevel="0" collapsed="false">
      <c r="A35365" s="3" t="s">
        <v>608</v>
      </c>
      <c r="C35365" s="16" t="n">
        <f aca="false">C35363-C35188*C35189/100</f>
        <v>4.62500000000001</v>
      </c>
    </row>
    <row r="35366" customFormat="false" ht="15" hidden="false" customHeight="false" outlineLevel="0" collapsed="false">
      <c r="A35366" s="3" t="s">
        <v>609</v>
      </c>
      <c r="C35366" s="16" t="n">
        <f aca="false">C35364-C35190</f>
        <v>25.285</v>
      </c>
    </row>
    <row r="35367" customFormat="false" ht="15" hidden="false" customHeight="false" outlineLevel="0" collapsed="false">
      <c r="A35367" s="2" t="s">
        <v>484</v>
      </c>
      <c r="C35367" s="44" t="n">
        <f aca="false">C35364/C35190</f>
        <v>1.25672657122551</v>
      </c>
    </row>
    <row r="35368" customFormat="false" ht="15" hidden="false" customHeight="false" outlineLevel="0" collapsed="false">
      <c r="A35368" s="2" t="s">
        <v>483</v>
      </c>
      <c r="C35368" s="42" t="n">
        <f aca="false">IF(C35364&lt;=0,-1,IFERROR(IRR($C$35361:$I$35361,MAX(-0.9,C35367^(1/C35355)-1)),IRR($C$35361:$I$35361,0.1)))</f>
        <v>0.0873962489027792</v>
      </c>
    </row>
    <row r="35369" customFormat="false" ht="15" hidden="false" customHeight="false" outlineLevel="0" collapsed="false">
      <c r="A35369" s="3" t="s">
        <v>610</v>
      </c>
      <c r="C35369" s="32" t="n">
        <f aca="false">MAX($G$34963:$K$34963)</f>
        <v>12.0232607366907</v>
      </c>
    </row>
    <row r="35370" customFormat="false" ht="15" hidden="false" customHeight="false" outlineLevel="0" collapsed="false">
      <c r="A35370" s="3" t="s">
        <v>611</v>
      </c>
      <c r="C35370" s="32" t="n">
        <f aca="false">MIN($G$34964:$K$34964)</f>
        <v>1.18311222526984</v>
      </c>
    </row>
    <row r="35371" customFormat="false" ht="15" hidden="false" customHeight="false" outlineLevel="0" collapsed="false">
      <c r="A35371" s="3" t="s">
        <v>612</v>
      </c>
      <c r="C35371" s="16" t="n">
        <f aca="false">SUM($G$34751:$K$34751)</f>
        <v>-320.308045372933</v>
      </c>
    </row>
    <row r="35375" customFormat="false" ht="15" hidden="false" customHeight="false" outlineLevel="0" collapsed="false">
      <c r="A35375" s="9" t="s">
        <v>1184</v>
      </c>
      <c r="B35375" s="10"/>
      <c r="C35375" s="10"/>
      <c r="D35375" s="10"/>
      <c r="E35375" s="10"/>
      <c r="F35375" s="10"/>
      <c r="G35375" s="10"/>
      <c r="H35375" s="10"/>
      <c r="I35375" s="10"/>
      <c r="J35375" s="10"/>
      <c r="K35375" s="10"/>
    </row>
    <row r="35376" customFormat="false" ht="15" hidden="false" customHeight="false" outlineLevel="0" collapsed="false">
      <c r="A35376" s="3" t="s">
        <v>1126</v>
      </c>
      <c r="C35376" s="11" t="n">
        <v>2</v>
      </c>
    </row>
    <row r="35377" customFormat="false" ht="15" hidden="false" customHeight="false" outlineLevel="0" collapsed="false">
      <c r="A35377" s="3" t="s">
        <v>1127</v>
      </c>
      <c r="C35377" s="19" t="n">
        <v>0</v>
      </c>
    </row>
    <row r="35378" customFormat="false" ht="15" hidden="false" customHeight="false" outlineLevel="0" collapsed="false">
      <c r="A35378" s="3" t="s">
        <v>1128</v>
      </c>
      <c r="C35378" s="19" t="n">
        <v>0</v>
      </c>
    </row>
    <row r="35379" customFormat="false" ht="15" hidden="false" customHeight="false" outlineLevel="0" collapsed="false">
      <c r="A35379" s="3" t="s">
        <v>1129</v>
      </c>
      <c r="C35379" s="19" t="n">
        <v>0</v>
      </c>
    </row>
    <row r="35380" customFormat="false" ht="15" hidden="false" customHeight="false" outlineLevel="0" collapsed="false">
      <c r="A35380" s="3" t="s">
        <v>1130</v>
      </c>
      <c r="C35380" s="34" t="n">
        <f aca="false">Sensitivities!$A$61</f>
        <v>-1</v>
      </c>
    </row>
    <row r="35382" customFormat="false" ht="15" hidden="false" customHeight="false" outlineLevel="0" collapsed="false">
      <c r="A35382" s="24" t="s">
        <v>301</v>
      </c>
      <c r="B35382" s="25"/>
      <c r="C35382" s="25"/>
      <c r="D35382" s="25"/>
      <c r="E35382" s="25"/>
      <c r="F35382" s="25"/>
      <c r="G35382" s="25"/>
      <c r="H35382" s="25"/>
      <c r="I35382" s="25"/>
      <c r="J35382" s="25"/>
      <c r="K35382" s="25"/>
    </row>
    <row r="35383" customFormat="false" ht="15" hidden="false" customHeight="false" outlineLevel="0" collapsed="false">
      <c r="A35383" s="3" t="s">
        <v>302</v>
      </c>
      <c r="F35383" s="27" t="n">
        <f aca="false">Assumptions!$C$6</f>
        <v>2026</v>
      </c>
      <c r="G35383" s="21" t="n">
        <f aca="false">F35383+1</f>
        <v>2027</v>
      </c>
      <c r="H35383" s="21" t="n">
        <f aca="false">G35383+1</f>
        <v>2028</v>
      </c>
      <c r="I35383" s="21" t="n">
        <f aca="false">H35383+1</f>
        <v>2029</v>
      </c>
      <c r="J35383" s="21" t="n">
        <f aca="false">I35383+1</f>
        <v>2030</v>
      </c>
      <c r="K35383" s="21" t="n">
        <f aca="false">J35383+1</f>
        <v>2031</v>
      </c>
    </row>
    <row r="35384" customFormat="false" ht="15" hidden="false" customHeight="false" outlineLevel="0" collapsed="false">
      <c r="A35384" s="3" t="s">
        <v>303</v>
      </c>
      <c r="G35384" s="21" t="n">
        <f aca="false">G35383-Assumptions!$C$6</f>
        <v>1</v>
      </c>
      <c r="H35384" s="21" t="n">
        <f aca="false">H35383-Assumptions!$C$6</f>
        <v>2</v>
      </c>
      <c r="I35384" s="21" t="n">
        <f aca="false">I35383-Assumptions!$C$6</f>
        <v>3</v>
      </c>
      <c r="J35384" s="21" t="n">
        <f aca="false">J35383-Assumptions!$C$6</f>
        <v>4</v>
      </c>
      <c r="K35384" s="21" t="n">
        <f aca="false">K35383-Assumptions!$C$6</f>
        <v>5</v>
      </c>
    </row>
    <row r="35385" customFormat="false" ht="15" hidden="false" customHeight="false" outlineLevel="0" collapsed="false">
      <c r="A35385" s="3" t="s">
        <v>180</v>
      </c>
      <c r="G35385" s="22" t="n">
        <f aca="false">CHOOSE($C$35376,Assumptions!$G$79,Assumptions!$G$98,Assumptions!$G$117)+$C$35377</f>
        <v>-0.06</v>
      </c>
      <c r="H35385" s="22" t="n">
        <f aca="false">CHOOSE($C$35376,Assumptions!$H$79,Assumptions!$H$98,Assumptions!$H$117)+$C$35377</f>
        <v>-0.03</v>
      </c>
      <c r="I35385" s="22" t="n">
        <f aca="false">CHOOSE($C$35376,Assumptions!$I$79,Assumptions!$I$98,Assumptions!$I$117)+$C$35377</f>
        <v>0</v>
      </c>
      <c r="J35385" s="22" t="n">
        <f aca="false">CHOOSE($C$35376,Assumptions!$J$79,Assumptions!$J$98,Assumptions!$J$117)+$C$35377</f>
        <v>0.01</v>
      </c>
      <c r="K35385" s="22" t="n">
        <f aca="false">CHOOSE($C$35376,Assumptions!$K$79,Assumptions!$K$98,Assumptions!$K$117)+$C$35377</f>
        <v>0.01</v>
      </c>
    </row>
    <row r="35386" customFormat="false" ht="15" hidden="false" customHeight="false" outlineLevel="0" collapsed="false">
      <c r="A35386" s="3" t="s">
        <v>181</v>
      </c>
      <c r="G35386" s="22" t="n">
        <f aca="false">CHOOSE($C$35376,Assumptions!$G$80,Assumptions!$G$99,Assumptions!$G$118)</f>
        <v>0.573920660818678</v>
      </c>
      <c r="H35386" s="22" t="n">
        <f aca="false">CHOOSE($C$35376,Assumptions!$H$80,Assumptions!$H$99,Assumptions!$H$118)</f>
        <v>0.558920660818678</v>
      </c>
      <c r="I35386" s="22" t="n">
        <f aca="false">CHOOSE($C$35376,Assumptions!$I$80,Assumptions!$I$99,Assumptions!$I$118)</f>
        <v>0.558920660818678</v>
      </c>
      <c r="J35386" s="22" t="n">
        <f aca="false">CHOOSE($C$35376,Assumptions!$J$80,Assumptions!$J$99,Assumptions!$J$118)</f>
        <v>0.563920660818678</v>
      </c>
      <c r="K35386" s="22" t="n">
        <f aca="false">CHOOSE($C$35376,Assumptions!$K$80,Assumptions!$K$99,Assumptions!$K$118)</f>
        <v>0.568920660818678</v>
      </c>
    </row>
    <row r="35387" customFormat="false" ht="15" hidden="false" customHeight="false" outlineLevel="0" collapsed="false">
      <c r="A35387" s="3" t="s">
        <v>182</v>
      </c>
      <c r="G35387" s="22" t="n">
        <f aca="false">CHOOSE($C$35376,Assumptions!$G$81,Assumptions!$G$100,Assumptions!$G$119)+$C$35378</f>
        <v>0.5</v>
      </c>
      <c r="H35387" s="22" t="n">
        <f aca="false">CHOOSE($C$35376,Assumptions!$H$81,Assumptions!$H$100,Assumptions!$H$119)+$C$35378</f>
        <v>0.485</v>
      </c>
      <c r="I35387" s="22" t="n">
        <f aca="false">CHOOSE($C$35376,Assumptions!$I$81,Assumptions!$I$100,Assumptions!$I$119)+$C$35378</f>
        <v>0.485</v>
      </c>
      <c r="J35387" s="22" t="n">
        <f aca="false">CHOOSE($C$35376,Assumptions!$J$81,Assumptions!$J$100,Assumptions!$J$119)+$C$35378</f>
        <v>0.49</v>
      </c>
      <c r="K35387" s="22" t="n">
        <f aca="false">CHOOSE($C$35376,Assumptions!$K$81,Assumptions!$K$100,Assumptions!$K$119)+$C$35378</f>
        <v>0.495</v>
      </c>
    </row>
    <row r="35388" customFormat="false" ht="15" hidden="false" customHeight="false" outlineLevel="0" collapsed="false">
      <c r="A35388" s="24" t="s">
        <v>304</v>
      </c>
      <c r="B35388" s="25"/>
      <c r="C35388" s="25"/>
      <c r="D35388" s="25"/>
      <c r="E35388" s="25"/>
      <c r="F35388" s="25"/>
      <c r="G35388" s="25"/>
      <c r="H35388" s="25"/>
      <c r="I35388" s="25"/>
      <c r="J35388" s="25"/>
      <c r="K35388" s="25"/>
    </row>
    <row r="35389" customFormat="false" ht="15" hidden="false" customHeight="false" outlineLevel="0" collapsed="false">
      <c r="A35389" s="2" t="s">
        <v>275</v>
      </c>
      <c r="F35389" s="28" t="n">
        <f aca="false">'Historical Financials'!G25</f>
        <v>498.291</v>
      </c>
      <c r="G35389" s="17" t="n">
        <f aca="false">F35389*(1+G35385)</f>
        <v>468.39354</v>
      </c>
      <c r="H35389" s="17" t="n">
        <f aca="false">G35389*(1+H35385)</f>
        <v>454.3417338</v>
      </c>
      <c r="I35389" s="17" t="n">
        <f aca="false">H35389*(1+I35385)</f>
        <v>454.3417338</v>
      </c>
      <c r="J35389" s="17" t="n">
        <f aca="false">I35389*(1+J35385)</f>
        <v>458.885151138</v>
      </c>
      <c r="K35389" s="17" t="n">
        <f aca="false">J35389*(1+K35385)</f>
        <v>463.47400264938</v>
      </c>
    </row>
    <row r="35390" customFormat="false" ht="15" hidden="false" customHeight="false" outlineLevel="0" collapsed="false">
      <c r="A35390" s="3" t="s">
        <v>276</v>
      </c>
      <c r="G35390" s="16" t="n">
        <f aca="false">G35389*(1-G35386)</f>
        <v>199.57281</v>
      </c>
      <c r="H35390" s="16" t="n">
        <f aca="false">H35389*(1-H35386)</f>
        <v>200.400751707</v>
      </c>
      <c r="I35390" s="16" t="n">
        <f aca="false">I35389*(1-I35386)</f>
        <v>200.400751707</v>
      </c>
      <c r="J35390" s="16" t="n">
        <f aca="false">J35389*(1-J35386)</f>
        <v>200.11033346838</v>
      </c>
      <c r="K35390" s="16" t="n">
        <f aca="false">K35389*(1-K35386)</f>
        <v>199.794066789817</v>
      </c>
    </row>
    <row r="35391" customFormat="false" ht="15" hidden="false" customHeight="false" outlineLevel="0" collapsed="false">
      <c r="A35391" s="2" t="s">
        <v>277</v>
      </c>
      <c r="G35391" s="17" t="n">
        <f aca="false">G35389-G35390</f>
        <v>268.82073</v>
      </c>
      <c r="H35391" s="17" t="n">
        <f aca="false">H35389-H35390</f>
        <v>253.940982093</v>
      </c>
      <c r="I35391" s="17" t="n">
        <f aca="false">I35389-I35390</f>
        <v>253.940982093</v>
      </c>
      <c r="J35391" s="17" t="n">
        <f aca="false">J35389-J35390</f>
        <v>258.77481766962</v>
      </c>
      <c r="K35391" s="17" t="n">
        <f aca="false">K35389-K35390</f>
        <v>263.679935859563</v>
      </c>
    </row>
    <row r="35392" customFormat="false" ht="15" hidden="false" customHeight="false" outlineLevel="0" collapsed="false">
      <c r="A35392" s="3" t="s">
        <v>305</v>
      </c>
      <c r="G35392" s="16" t="n">
        <f aca="false">G35391-G35393</f>
        <v>34.62396</v>
      </c>
      <c r="H35392" s="16" t="n">
        <f aca="false">H35391-H35393</f>
        <v>33.5852412</v>
      </c>
      <c r="I35392" s="16" t="n">
        <f aca="false">I35391-I35393</f>
        <v>33.5852412</v>
      </c>
      <c r="J35392" s="16" t="n">
        <f aca="false">J35391-J35393</f>
        <v>33.921093612</v>
      </c>
      <c r="K35392" s="16" t="n">
        <f aca="false">K35391-K35393</f>
        <v>34.26030454812</v>
      </c>
    </row>
    <row r="35393" customFormat="false" ht="15" hidden="false" customHeight="false" outlineLevel="0" collapsed="false">
      <c r="A35393" s="2" t="s">
        <v>306</v>
      </c>
      <c r="G35393" s="17" t="n">
        <f aca="false">G35389*G35387</f>
        <v>234.19677</v>
      </c>
      <c r="H35393" s="17" t="n">
        <f aca="false">H35389*H35387</f>
        <v>220.355740893</v>
      </c>
      <c r="I35393" s="17" t="n">
        <f aca="false">I35389*I35387</f>
        <v>220.355740893</v>
      </c>
      <c r="J35393" s="17" t="n">
        <f aca="false">J35389*J35387</f>
        <v>224.85372405762</v>
      </c>
      <c r="K35393" s="17" t="n">
        <f aca="false">K35389*K35387</f>
        <v>229.419631311443</v>
      </c>
    </row>
    <row r="35394" customFormat="false" ht="15" hidden="false" customHeight="false" outlineLevel="0" collapsed="false">
      <c r="A35394" s="3" t="s">
        <v>307</v>
      </c>
      <c r="G35394" s="16" t="n">
        <f aca="false">G35389*'Historical Financials'!G30/'Historical Financials'!G25</f>
        <v>174.17542</v>
      </c>
      <c r="H35394" s="16" t="n">
        <f aca="false">H35389*'Historical Financials'!G30/'Historical Financials'!G25</f>
        <v>168.9501574</v>
      </c>
      <c r="I35394" s="16" t="n">
        <f aca="false">I35389*'Historical Financials'!G30/'Historical Financials'!G25</f>
        <v>168.9501574</v>
      </c>
      <c r="J35394" s="16" t="n">
        <f aca="false">J35389*'Historical Financials'!G30/'Historical Financials'!G25</f>
        <v>170.639658974</v>
      </c>
      <c r="K35394" s="16" t="n">
        <f aca="false">K35389*'Historical Financials'!G30/'Historical Financials'!G25</f>
        <v>172.34605556374</v>
      </c>
    </row>
    <row r="35395" customFormat="false" ht="15" hidden="false" customHeight="false" outlineLevel="0" collapsed="false">
      <c r="A35395" s="3" t="s">
        <v>308</v>
      </c>
      <c r="G35395" s="16" t="n">
        <f aca="false">G35389*'Historical Financials'!G31/'Historical Financials'!G25</f>
        <v>0</v>
      </c>
      <c r="H35395" s="16" t="n">
        <f aca="false">H35389*'Historical Financials'!G31/'Historical Financials'!G25</f>
        <v>0</v>
      </c>
      <c r="I35395" s="16" t="n">
        <f aca="false">I35389*'Historical Financials'!G31/'Historical Financials'!G25</f>
        <v>0</v>
      </c>
      <c r="J35395" s="16" t="n">
        <f aca="false">J35389*'Historical Financials'!G31/'Historical Financials'!G25</f>
        <v>0</v>
      </c>
      <c r="K35395" s="16" t="n">
        <f aca="false">K35389*'Historical Financials'!G31/'Historical Financials'!G25</f>
        <v>0</v>
      </c>
    </row>
    <row r="35396" customFormat="false" ht="15" hidden="false" customHeight="false" outlineLevel="0" collapsed="false">
      <c r="A35396" s="2" t="s">
        <v>309</v>
      </c>
      <c r="G35396" s="17" t="n">
        <f aca="false">G35393-G35394-G35395</f>
        <v>60.02135</v>
      </c>
      <c r="H35396" s="17" t="n">
        <f aca="false">H35393-H35394-H35395</f>
        <v>51.405583493</v>
      </c>
      <c r="I35396" s="17" t="n">
        <f aca="false">I35393-I35394-I35395</f>
        <v>51.405583493</v>
      </c>
      <c r="J35396" s="17" t="n">
        <f aca="false">J35393-J35394-J35395</f>
        <v>54.21406508362</v>
      </c>
      <c r="K35396" s="17" t="n">
        <f aca="false">K35393-K35394-K35395</f>
        <v>57.0735757477031</v>
      </c>
    </row>
    <row r="35397" customFormat="false" ht="15" hidden="false" customHeight="false" outlineLevel="0" collapsed="false">
      <c r="A35397" s="3" t="s">
        <v>310</v>
      </c>
      <c r="G35397" s="16" t="n">
        <f aca="false">G35423+G35436+G35449+G35462+G35475+G35488+G35501+G35514+G35527+G35540</f>
        <v>187.3888354</v>
      </c>
      <c r="H35397" s="16" t="n">
        <f aca="false">H35423+H35436+H35449+H35462+H35475+H35488+H35501+H35514+H35527+H35540</f>
        <v>186.2509204</v>
      </c>
      <c r="I35397" s="16" t="n">
        <f aca="false">I35423+I35436+I35449+I35462+I35475+I35488+I35501+I35514+I35527+I35540</f>
        <v>182.7365265363</v>
      </c>
      <c r="J35397" s="16" t="n">
        <f aca="false">J35423+J35436+J35449+J35462+J35475+J35488+J35501+J35514+J35527+J35540</f>
        <v>182.3265265363</v>
      </c>
      <c r="K35397" s="16" t="n">
        <f aca="false">K35423+K35436+K35449+K35462+K35475+K35488+K35501+K35514+K35527+K35540</f>
        <v>181.9165265363</v>
      </c>
    </row>
    <row r="35398" customFormat="false" ht="15" hidden="false" customHeight="false" outlineLevel="0" collapsed="false">
      <c r="A35398" s="3" t="s">
        <v>311</v>
      </c>
      <c r="G35398" s="16" t="n">
        <f aca="false">G35424+G35437+G35450+G35463+G35476+G35489+G35502+G35515+G35528+G35541</f>
        <v>0</v>
      </c>
      <c r="H35398" s="16" t="n">
        <f aca="false">H35424+H35437+H35450+H35463+H35476+H35489+H35502+H35515+H35528+H35541</f>
        <v>0</v>
      </c>
      <c r="I35398" s="16" t="n">
        <f aca="false">I35424+I35437+I35450+I35463+I35476+I35489+I35502+I35515+I35528+I35541</f>
        <v>0</v>
      </c>
      <c r="J35398" s="16" t="n">
        <f aca="false">J35424+J35437+J35450+J35463+J35476+J35489+J35502+J35515+J35528+J35541</f>
        <v>0</v>
      </c>
      <c r="K35398" s="16" t="n">
        <f aca="false">K35424+K35437+K35450+K35463+K35476+K35489+K35502+K35515+K35528+K35541</f>
        <v>0</v>
      </c>
    </row>
    <row r="35399" customFormat="false" ht="15" hidden="false" customHeight="false" outlineLevel="0" collapsed="false">
      <c r="A35399" s="3" t="s">
        <v>283</v>
      </c>
      <c r="G35399" s="16" t="n">
        <f aca="false">G35397+G35398</f>
        <v>187.3888354</v>
      </c>
      <c r="H35399" s="16" t="n">
        <f aca="false">H35397+H35398</f>
        <v>186.2509204</v>
      </c>
      <c r="I35399" s="16" t="n">
        <f aca="false">I35397+I35398</f>
        <v>182.7365265363</v>
      </c>
      <c r="J35399" s="16" t="n">
        <f aca="false">J35397+J35398</f>
        <v>182.3265265363</v>
      </c>
      <c r="K35399" s="16" t="n">
        <f aca="false">K35397+K35398</f>
        <v>181.9165265363</v>
      </c>
    </row>
    <row r="35400" customFormat="false" ht="15" hidden="false" customHeight="false" outlineLevel="0" collapsed="false">
      <c r="A35400" s="2" t="s">
        <v>284</v>
      </c>
      <c r="G35400" s="17" t="n">
        <f aca="false">G35396-G35399</f>
        <v>-127.3674854</v>
      </c>
      <c r="H35400" s="17" t="n">
        <f aca="false">H35396-H35399</f>
        <v>-134.845336907</v>
      </c>
      <c r="I35400" s="17" t="n">
        <f aca="false">I35396-I35399</f>
        <v>-131.3309430433</v>
      </c>
      <c r="J35400" s="17" t="n">
        <f aca="false">J35396-J35399</f>
        <v>-128.112461452679</v>
      </c>
      <c r="K35400" s="17" t="n">
        <f aca="false">K35396-K35399</f>
        <v>-124.842950788596</v>
      </c>
    </row>
    <row r="35401" customFormat="false" ht="15" hidden="false" customHeight="false" outlineLevel="0" collapsed="false">
      <c r="A35401" s="3" t="s">
        <v>312</v>
      </c>
      <c r="G35401" s="16" t="n">
        <f aca="false">MAX(0,G35400)*Assumptions!$C$9</f>
        <v>0</v>
      </c>
      <c r="H35401" s="16" t="n">
        <f aca="false">MAX(0,H35400)*Assumptions!$C$9</f>
        <v>0</v>
      </c>
      <c r="I35401" s="16" t="n">
        <f aca="false">MAX(0,I35400)*Assumptions!$C$9</f>
        <v>0</v>
      </c>
      <c r="J35401" s="16" t="n">
        <f aca="false">MAX(0,J35400)*Assumptions!$C$9</f>
        <v>0</v>
      </c>
      <c r="K35401" s="16" t="n">
        <f aca="false">MAX(0,K35400)*Assumptions!$C$9</f>
        <v>0</v>
      </c>
    </row>
    <row r="35402" customFormat="false" ht="15" hidden="false" customHeight="false" outlineLevel="0" collapsed="false">
      <c r="A35402" s="2" t="s">
        <v>313</v>
      </c>
      <c r="G35402" s="17" t="n">
        <f aca="false">G35400-G35401</f>
        <v>-127.3674854</v>
      </c>
      <c r="H35402" s="17" t="n">
        <f aca="false">H35400-H35401</f>
        <v>-134.845336907</v>
      </c>
      <c r="I35402" s="17" t="n">
        <f aca="false">I35400-I35401</f>
        <v>-131.3309430433</v>
      </c>
      <c r="J35402" s="17" t="n">
        <f aca="false">J35400-J35401</f>
        <v>-128.112461452679</v>
      </c>
      <c r="K35402" s="17" t="n">
        <f aca="false">K35400-K35401</f>
        <v>-124.842950788596</v>
      </c>
    </row>
    <row r="35403" customFormat="false" ht="15" hidden="false" customHeight="false" outlineLevel="0" collapsed="false">
      <c r="A35403" s="24" t="s">
        <v>314</v>
      </c>
      <c r="B35403" s="25"/>
      <c r="C35403" s="25"/>
      <c r="D35403" s="25"/>
      <c r="E35403" s="25"/>
      <c r="F35403" s="25"/>
      <c r="G35403" s="25"/>
      <c r="H35403" s="25"/>
      <c r="I35403" s="25"/>
      <c r="J35403" s="25"/>
      <c r="K35403" s="25"/>
    </row>
    <row r="35404" customFormat="false" ht="15" hidden="false" customHeight="false" outlineLevel="0" collapsed="false">
      <c r="A35404" s="3" t="s">
        <v>184</v>
      </c>
      <c r="G35404" s="16" t="n">
        <f aca="false">G35389*CHOOSE($C$35376,Assumptions!$C$83,Assumptions!$C$102,Assumptions!$C$121)</f>
        <v>84.3108372</v>
      </c>
      <c r="H35404" s="16" t="n">
        <f aca="false">H35389*CHOOSE($C$35376,Assumptions!$C$83,Assumptions!$C$102,Assumptions!$C$121)</f>
        <v>81.781512084</v>
      </c>
      <c r="I35404" s="16" t="n">
        <f aca="false">I35389*CHOOSE($C$35376,Assumptions!$C$83,Assumptions!$C$102,Assumptions!$C$121)</f>
        <v>81.781512084</v>
      </c>
      <c r="J35404" s="16" t="n">
        <f aca="false">J35389*CHOOSE($C$35376,Assumptions!$C$83,Assumptions!$C$102,Assumptions!$C$121)</f>
        <v>82.59932720484</v>
      </c>
      <c r="K35404" s="16" t="n">
        <f aca="false">K35389*CHOOSE($C$35376,Assumptions!$C$83,Assumptions!$C$102,Assumptions!$C$121)</f>
        <v>83.4253204768884</v>
      </c>
    </row>
    <row r="35405" customFormat="false" ht="15" hidden="false" customHeight="false" outlineLevel="0" collapsed="false">
      <c r="A35405" s="3" t="s">
        <v>315</v>
      </c>
      <c r="G35405" s="16" t="n">
        <f aca="false">CHOOSE($C$35376,Assumptions!$C$84,Assumptions!$C$103,Assumptions!$C$122)*(G35389-F35389)+CHOOSE($C$35376,Assumptions!$C$85,Assumptions!$C$104,Assumptions!$C$123)*G35389</f>
        <v>23.419677</v>
      </c>
      <c r="H35405" s="16" t="n">
        <f aca="false">CHOOSE($C$35376,Assumptions!$C$84,Assumptions!$C$103,Assumptions!$C$122)*(H35389-G35389)+CHOOSE($C$35376,Assumptions!$C$85,Assumptions!$C$104,Assumptions!$C$123)*H35389</f>
        <v>22.71708669</v>
      </c>
      <c r="I35405" s="16" t="n">
        <f aca="false">CHOOSE($C$35376,Assumptions!$C$84,Assumptions!$C$103,Assumptions!$C$122)*(I35389-H35389)+CHOOSE($C$35376,Assumptions!$C$85,Assumptions!$C$104,Assumptions!$C$123)*I35389</f>
        <v>22.71708669</v>
      </c>
      <c r="J35405" s="16" t="n">
        <f aca="false">CHOOSE($C$35376,Assumptions!$C$84,Assumptions!$C$103,Assumptions!$C$122)*(J35389-I35389)+CHOOSE($C$35376,Assumptions!$C$85,Assumptions!$C$104,Assumptions!$C$123)*J35389</f>
        <v>22.9442575569</v>
      </c>
      <c r="K35405" s="16" t="n">
        <f aca="false">CHOOSE($C$35376,Assumptions!$C$84,Assumptions!$C$103,Assumptions!$C$122)*(K35389-J35389)+CHOOSE($C$35376,Assumptions!$C$85,Assumptions!$C$104,Assumptions!$C$123)*K35389</f>
        <v>23.173700132469</v>
      </c>
    </row>
    <row r="35406" customFormat="false" ht="15" hidden="false" customHeight="false" outlineLevel="0" collapsed="false">
      <c r="A35406" s="2" t="s">
        <v>316</v>
      </c>
      <c r="G35406" s="17" t="n">
        <f aca="false">G35402+G35394+G35395+G35398-G35404-G35405</f>
        <v>-60.9225796</v>
      </c>
      <c r="H35406" s="17" t="n">
        <f aca="false">H35402+H35394+H35395+H35398-H35404-H35405</f>
        <v>-70.393778281</v>
      </c>
      <c r="I35406" s="17" t="n">
        <f aca="false">I35402+I35394+I35395+I35398-I35404-I35405</f>
        <v>-66.8793844172995</v>
      </c>
      <c r="J35406" s="17" t="n">
        <f aca="false">J35402+J35394+J35395+J35398-J35404-J35405</f>
        <v>-63.0163872404195</v>
      </c>
      <c r="K35406" s="17" t="n">
        <f aca="false">K35402+K35394+K35395+K35398-K35404-K35405</f>
        <v>-59.0959158342138</v>
      </c>
    </row>
    <row r="35408" customFormat="false" ht="15" hidden="false" customHeight="false" outlineLevel="0" collapsed="false">
      <c r="A35408" s="24" t="s">
        <v>318</v>
      </c>
      <c r="B35408" s="25"/>
      <c r="C35408" s="25"/>
      <c r="D35408" s="25"/>
      <c r="E35408" s="25"/>
      <c r="F35408" s="25"/>
      <c r="G35408" s="25"/>
      <c r="H35408" s="25"/>
      <c r="I35408" s="25"/>
      <c r="J35408" s="25"/>
      <c r="K35408" s="25"/>
    </row>
    <row r="35409" customFormat="false" ht="15" hidden="false" customHeight="false" outlineLevel="0" collapsed="false">
      <c r="A35409" s="3" t="s">
        <v>319</v>
      </c>
      <c r="G35409" s="30" t="n">
        <f aca="false">Assumptions!$G$53</f>
        <v>0.039</v>
      </c>
      <c r="H35409" s="30" t="n">
        <f aca="false">Assumptions!$H$53</f>
        <v>0.0375</v>
      </c>
      <c r="I35409" s="30" t="n">
        <f aca="false">Assumptions!$I$53</f>
        <v>0.035</v>
      </c>
      <c r="J35409" s="30" t="n">
        <f aca="false">Assumptions!$J$53</f>
        <v>0.035</v>
      </c>
      <c r="K35409" s="30" t="n">
        <f aca="false">Assumptions!$K$53</f>
        <v>0.035</v>
      </c>
    </row>
    <row r="35410" customFormat="false" ht="15" hidden="false" customHeight="false" outlineLevel="0" collapsed="false">
      <c r="A35410" s="3" t="s">
        <v>320</v>
      </c>
      <c r="C35410" s="31" t="n">
        <f aca="false">CHOOSE($C$35376,Assumptions!$C$86,Assumptions!$C$105,Assumptions!$C$124)+$C$35379</f>
        <v>0.015</v>
      </c>
    </row>
    <row r="35411" customFormat="false" ht="15" hidden="false" customHeight="false" outlineLevel="0" collapsed="false">
      <c r="A35411" s="3" t="s">
        <v>321</v>
      </c>
      <c r="C35411" s="31" t="n">
        <f aca="false">CHOOSE($C$35376,Assumptions!$C$87,Assumptions!$C$106,Assumptions!$C$125)</f>
        <v>0.1</v>
      </c>
    </row>
    <row r="35412" customFormat="false" ht="15" hidden="false" customHeight="false" outlineLevel="0" collapsed="false">
      <c r="A35412" s="3" t="s">
        <v>322</v>
      </c>
      <c r="C35412" s="32" t="n">
        <f aca="false">CHOOSE($C$35376,Assumptions!$C$88,Assumptions!$C$107,Assumptions!$C$126)</f>
        <v>9.5</v>
      </c>
    </row>
    <row r="35413" customFormat="false" ht="15" hidden="false" customHeight="false" outlineLevel="0" collapsed="false">
      <c r="A35413" s="3" t="s">
        <v>323</v>
      </c>
      <c r="C35413" s="32" t="n">
        <f aca="false">CHOOSE($C$35376,Assumptions!$C$89,Assumptions!$C$108,Assumptions!$C$127)</f>
        <v>1.5</v>
      </c>
    </row>
    <row r="35414" customFormat="false" ht="15" hidden="false" customHeight="false" outlineLevel="0" collapsed="false">
      <c r="A35414" s="3" t="s">
        <v>324</v>
      </c>
      <c r="G35414" s="16" t="n">
        <f aca="false">G35419+G35432+G35445+G35458+G35471+G35484+G35497+G35510+G35523+G35536</f>
        <v>2625.934</v>
      </c>
      <c r="H35414" s="16" t="n">
        <f aca="false">H35419+H35432+H35445+H35458+H35471+H35484+H35497+H35510+H35523+H35536</f>
        <v>2621.934</v>
      </c>
      <c r="I35414" s="16" t="n">
        <f aca="false">I35419+I35432+I35445+I35458+I35471+I35484+I35497+I35510+I35523+I35536</f>
        <v>2569.380357881</v>
      </c>
      <c r="J35414" s="16" t="n">
        <f aca="false">J35419+J35432+J35445+J35458+J35471+J35484+J35497+J35510+J35523+J35536</f>
        <v>2565.380357881</v>
      </c>
      <c r="K35414" s="16" t="n">
        <f aca="false">K35419+K35432+K35445+K35458+K35471+K35484+K35497+K35510+K35523+K35536</f>
        <v>2561.380357881</v>
      </c>
    </row>
    <row r="35415" customFormat="false" ht="15" hidden="false" customHeight="false" outlineLevel="0" collapsed="false">
      <c r="A35415" s="3" t="s">
        <v>325</v>
      </c>
      <c r="G35415" s="16" t="n">
        <f aca="false">F35607</f>
        <v>37.87</v>
      </c>
      <c r="H35415" s="16" t="n">
        <f aca="false">G35607</f>
        <v>122.9474204</v>
      </c>
      <c r="I35415" s="16" t="n">
        <f aca="false">H35607</f>
        <v>0</v>
      </c>
      <c r="J35415" s="16" t="n">
        <f aca="false">I35607</f>
        <v>-70.8793844172995</v>
      </c>
      <c r="K35415" s="16" t="n">
        <f aca="false">J35607</f>
        <v>-137.895771657719</v>
      </c>
    </row>
    <row r="35416" customFormat="false" ht="15" hidden="false" customHeight="false" outlineLevel="0" collapsed="false">
      <c r="A35416" s="3" t="s">
        <v>326</v>
      </c>
      <c r="G35416" s="16" t="n">
        <f aca="false">G35419*IF(G35420=1,$C$35411,IF(Assumptions!$I$57=1,MAX(G35409,Assumptions!$G$57)+Assumptions!$F$57+$C$35410,Assumptions!$E$57))+G35432*IF(G35433=1,$C$35411,IF(Assumptions!$I$58=1,MAX(G35409,Assumptions!$G$58)+Assumptions!$F$58+$C$35410,Assumptions!$E$58))+G35445*IF(G35446=1,$C$35411,IF(Assumptions!$I$59=1,MAX(G35409,Assumptions!$G$59)+Assumptions!$F$59+$C$35410,Assumptions!$E$59))+G35458*IF(G35459=1,$C$35411,IF(Assumptions!$I$60=1,MAX(G35409,Assumptions!$G$60)+Assumptions!$F$60+$C$35410,Assumptions!$E$60))+G35471*IF(G35472=1,$C$35411,IF(Assumptions!$I$61=1,MAX(G35409,Assumptions!$G$61)+Assumptions!$F$61+$C$35410,Assumptions!$E$61))+G35484*IF(G35485=1,$C$35411,IF(Assumptions!$I$62=1,MAX(G35409,Assumptions!$G$62)+Assumptions!$F$62+$C$35410,Assumptions!$E$62))+G35497*IF(G35498=1,$C$35411,IF(Assumptions!$I$63=1,MAX(G35409,Assumptions!$G$63)+Assumptions!$F$63+$C$35410,Assumptions!$E$63))+G35510*IF(G35511=1,$C$35411,IF(Assumptions!$I$64=1,MAX(G35409,Assumptions!$G$64)+Assumptions!$F$64+$C$35410,Assumptions!$E$64))+G35523*IF(G35524=1,$C$35411,IF(Assumptions!$I$65=1,MAX(G35409,Assumptions!$G$65)+Assumptions!$F$65+$C$35410,Assumptions!$E$65))+G35536*IF(G35537=1,$C$35411,IF(Assumptions!$I$66=1,MAX(G35409,Assumptions!$G$66)+Assumptions!$F$66+$C$35410,Assumptions!$E$66))</f>
        <v>187.3888354</v>
      </c>
      <c r="H35416" s="16" t="n">
        <f aca="false">H35419*IF(OR(H35420=1,G35729=1),$C$35411,IF(Assumptions!$I$57=1,MAX(H35409,Assumptions!$G$57)+Assumptions!$F$57+$C$35410,Assumptions!$E$57))+H35432*IF(OR(H35433=1,G35730=1),$C$35411,IF(Assumptions!$I$58=1,MAX(H35409,Assumptions!$G$58)+Assumptions!$F$58+$C$35410,Assumptions!$E$58))+H35445*IF(OR(H35446=1,G35731=1),$C$35411,IF(Assumptions!$I$59=1,MAX(H35409,Assumptions!$G$59)+Assumptions!$F$59+$C$35410,Assumptions!$E$59))+H35458*IF(OR(H35459=1,G35732=1),$C$35411,IF(Assumptions!$I$60=1,MAX(H35409,Assumptions!$G$60)+Assumptions!$F$60+$C$35410,Assumptions!$E$60))+H35471*IF(OR(H35472=1,G35733=1),$C$35411,IF(Assumptions!$I$61=1,MAX(H35409,Assumptions!$G$61)+Assumptions!$F$61+$C$35410,Assumptions!$E$61))+H35484*IF(OR(H35485=1,G35734=1),$C$35411,IF(Assumptions!$I$62=1,MAX(H35409,Assumptions!$G$62)+Assumptions!$F$62+$C$35410,Assumptions!$E$62))+H35497*IF(OR(H35498=1,G35735=1),$C$35411,IF(Assumptions!$I$63=1,MAX(H35409,Assumptions!$G$63)+Assumptions!$F$63+$C$35410,Assumptions!$E$63))+H35510*IF(OR(H35511=1,G35736=1),$C$35411,IF(Assumptions!$I$64=1,MAX(H35409,Assumptions!$G$64)+Assumptions!$F$64+$C$35410,Assumptions!$E$64))+H35523*IF(OR(H35524=1,G35737=1),$C$35411,IF(Assumptions!$I$65=1,MAX(H35409,Assumptions!$G$65)+Assumptions!$F$65+$C$35410,Assumptions!$E$65))+H35536*IF(OR(H35537=1,G35738=1),$C$35411,IF(Assumptions!$I$66=1,MAX(H35409,Assumptions!$G$66)+Assumptions!$F$66+$C$35410,Assumptions!$E$66))</f>
        <v>219.4259204</v>
      </c>
      <c r="I35416" s="16" t="n">
        <f aca="false">I35419*IF(OR(I35420=1,H35729=1),$C$35411,IF(Assumptions!$I$57=1,MAX(I35409,Assumptions!$G$57)+Assumptions!$F$57+$C$35410,Assumptions!$E$57))+I35432*IF(OR(I35433=1,H35730=1),$C$35411,IF(Assumptions!$I$58=1,MAX(I35409,Assumptions!$G$58)+Assumptions!$F$58+$C$35410,Assumptions!$E$58))+I35445*IF(OR(I35446=1,H35731=1),$C$35411,IF(Assumptions!$I$59=1,MAX(I35409,Assumptions!$G$59)+Assumptions!$F$59+$C$35410,Assumptions!$E$59))+I35458*IF(OR(I35459=1,H35732=1),$C$35411,IF(Assumptions!$I$60=1,MAX(I35409,Assumptions!$G$60)+Assumptions!$F$60+$C$35410,Assumptions!$E$60))+I35471*IF(OR(I35472=1,H35733=1),$C$35411,IF(Assumptions!$I$61=1,MAX(I35409,Assumptions!$G$61)+Assumptions!$F$61+$C$35410,Assumptions!$E$61))+I35484*IF(OR(I35485=1,H35734=1),$C$35411,IF(Assumptions!$I$62=1,MAX(I35409,Assumptions!$G$62)+Assumptions!$F$62+$C$35410,Assumptions!$E$62))+I35497*IF(OR(I35498=1,H35735=1),$C$35411,IF(Assumptions!$I$63=1,MAX(I35409,Assumptions!$G$63)+Assumptions!$F$63+$C$35410,Assumptions!$E$63))+I35510*IF(OR(I35511=1,H35736=1),$C$35411,IF(Assumptions!$I$64=1,MAX(I35409,Assumptions!$G$64)+Assumptions!$F$64+$C$35410,Assumptions!$E$64))+I35523*IF(OR(I35524=1,H35737=1),$C$35411,IF(Assumptions!$I$65=1,MAX(I35409,Assumptions!$G$65)+Assumptions!$F$65+$C$35410,Assumptions!$E$65))+I35536*IF(OR(I35537=1,H35738=1),$C$35411,IF(Assumptions!$I$66=1,MAX(I35409,Assumptions!$G$66)+Assumptions!$F$66+$C$35410,Assumptions!$E$66))</f>
        <v>188.9240265363</v>
      </c>
      <c r="J35416" s="16" t="n">
        <f aca="false">J35419*IF(OR(J35420=1,I35729=1),$C$35411,IF(Assumptions!$I$57=1,MAX(J35409,Assumptions!$G$57)+Assumptions!$F$57+$C$35410,Assumptions!$E$57))+J35432*IF(OR(J35433=1,I35730=1),$C$35411,IF(Assumptions!$I$58=1,MAX(J35409,Assumptions!$G$58)+Assumptions!$F$58+$C$35410,Assumptions!$E$58))+J35445*IF(OR(J35446=1,I35731=1),$C$35411,IF(Assumptions!$I$59=1,MAX(J35409,Assumptions!$G$59)+Assumptions!$F$59+$C$35410,Assumptions!$E$59))+J35458*IF(OR(J35459=1,I35732=1),$C$35411,IF(Assumptions!$I$60=1,MAX(J35409,Assumptions!$G$60)+Assumptions!$F$60+$C$35410,Assumptions!$E$60))+J35471*IF(OR(J35472=1,I35733=1),$C$35411,IF(Assumptions!$I$61=1,MAX(J35409,Assumptions!$G$61)+Assumptions!$F$61+$C$35410,Assumptions!$E$61))+J35484*IF(OR(J35485=1,I35734=1),$C$35411,IF(Assumptions!$I$62=1,MAX(J35409,Assumptions!$G$62)+Assumptions!$F$62+$C$35410,Assumptions!$E$62))+J35497*IF(OR(J35498=1,I35735=1),$C$35411,IF(Assumptions!$I$63=1,MAX(J35409,Assumptions!$G$63)+Assumptions!$F$63+$C$35410,Assumptions!$E$63))+J35510*IF(OR(J35511=1,I35736=1),$C$35411,IF(Assumptions!$I$64=1,MAX(J35409,Assumptions!$G$64)+Assumptions!$F$64+$C$35410,Assumptions!$E$64))+J35523*IF(OR(J35524=1,I35737=1),$C$35411,IF(Assumptions!$I$65=1,MAX(J35409,Assumptions!$G$65)+Assumptions!$F$65+$C$35410,Assumptions!$E$65))+J35536*IF(OR(J35537=1,I35738=1),$C$35411,IF(Assumptions!$I$66=1,MAX(J35409,Assumptions!$G$66)+Assumptions!$F$66+$C$35410,Assumptions!$E$66))</f>
        <v>201.401526536299</v>
      </c>
      <c r="K35416" s="16" t="n">
        <f aca="false">K35419*IF(OR(K35420=1,J35729=1),$C$35411,IF(Assumptions!$I$57=1,MAX(K35409,Assumptions!$G$57)+Assumptions!$F$57+$C$35410,Assumptions!$E$57))+K35432*IF(OR(K35433=1,J35730=1),$C$35411,IF(Assumptions!$I$58=1,MAX(K35409,Assumptions!$G$58)+Assumptions!$F$58+$C$35410,Assumptions!$E$58))+K35445*IF(OR(K35446=1,J35731=1),$C$35411,IF(Assumptions!$I$59=1,MAX(K35409,Assumptions!$G$59)+Assumptions!$F$59+$C$35410,Assumptions!$E$59))+K35458*IF(OR(K35459=1,J35732=1),$C$35411,IF(Assumptions!$I$60=1,MAX(K35409,Assumptions!$G$60)+Assumptions!$F$60+$C$35410,Assumptions!$E$60))+K35471*IF(OR(K35472=1,J35733=1),$C$35411,IF(Assumptions!$I$61=1,MAX(K35409,Assumptions!$G$61)+Assumptions!$F$61+$C$35410,Assumptions!$E$61))+K35484*IF(OR(K35485=1,J35734=1),$C$35411,IF(Assumptions!$I$62=1,MAX(K35409,Assumptions!$G$62)+Assumptions!$F$62+$C$35410,Assumptions!$E$62))+K35497*IF(OR(K35498=1,J35735=1),$C$35411,IF(Assumptions!$I$63=1,MAX(K35409,Assumptions!$G$63)+Assumptions!$F$63+$C$35410,Assumptions!$E$63))+K35510*IF(OR(K35511=1,J35736=1),$C$35411,IF(Assumptions!$I$64=1,MAX(K35409,Assumptions!$G$64)+Assumptions!$F$64+$C$35410,Assumptions!$E$64))+K35523*IF(OR(K35524=1,J35737=1),$C$35411,IF(Assumptions!$I$65=1,MAX(K35409,Assumptions!$G$65)+Assumptions!$F$65+$C$35410,Assumptions!$E$65))+K35536*IF(OR(K35537=1,J35738=1),$C$35411,IF(Assumptions!$I$66=1,MAX(K35409,Assumptions!$G$66)+Assumptions!$F$66+$C$35410,Assumptions!$E$66))</f>
        <v>192.5815265363</v>
      </c>
    </row>
    <row r="35417" customFormat="false" ht="15" hidden="false" customHeight="false" outlineLevel="0" collapsed="false">
      <c r="A35417" s="3" t="s">
        <v>327</v>
      </c>
      <c r="G35417" s="21" t="n">
        <f aca="false">IF(G35393&lt;=0,0,IF(AND((G35414-G35415)/G35393&lt;=$C$35412,G35393/G35416&gt;=$C$35413),1,0))</f>
        <v>0</v>
      </c>
      <c r="H35417" s="21" t="n">
        <f aca="false">IF(H35393&lt;=0,0,IF(AND((H35414-H35415)/H35393&lt;=$C$35412,H35393/H35416&gt;=$C$35413),1,0))</f>
        <v>0</v>
      </c>
      <c r="I35417" s="21" t="n">
        <f aca="false">IF(I35393&lt;=0,0,IF(AND((I35414-I35415)/I35393&lt;=$C$35412,I35393/I35416&gt;=$C$35413),1,0))</f>
        <v>0</v>
      </c>
      <c r="J35417" s="21" t="n">
        <f aca="false">IF(J35393&lt;=0,0,IF(AND((J35414-J35415)/J35393&lt;=$C$35412,J35393/J35416&gt;=$C$35413),1,0))</f>
        <v>0</v>
      </c>
      <c r="K35417" s="21" t="n">
        <f aca="false">IF(K35393&lt;=0,0,IF(AND((K35414-K35415)/K35393&lt;=$C$35412,K35393/K35416&gt;=$C$35413),1,0))</f>
        <v>0</v>
      </c>
    </row>
    <row r="35418" customFormat="false" ht="15" hidden="false" customHeight="false" outlineLevel="0" collapsed="false">
      <c r="A35418" s="24" t="s">
        <v>328</v>
      </c>
      <c r="B35418" s="25"/>
      <c r="C35418" s="25"/>
      <c r="D35418" s="25"/>
      <c r="E35418" s="25"/>
      <c r="F35418" s="25"/>
      <c r="G35418" s="25"/>
      <c r="H35418" s="25"/>
      <c r="I35418" s="25"/>
      <c r="J35418" s="25"/>
      <c r="K35418" s="25"/>
    </row>
    <row r="35419" customFormat="false" ht="15" hidden="false" customHeight="false" outlineLevel="0" collapsed="false">
      <c r="A35419" s="3" t="s">
        <v>329</v>
      </c>
      <c r="G35419" s="16" t="n">
        <f aca="false">F35430</f>
        <v>400</v>
      </c>
      <c r="H35419" s="16" t="n">
        <f aca="false">G35430</f>
        <v>396</v>
      </c>
      <c r="I35419" s="16" t="n">
        <f aca="false">H35430</f>
        <v>392</v>
      </c>
      <c r="J35419" s="16" t="n">
        <f aca="false">I35430</f>
        <v>388</v>
      </c>
      <c r="K35419" s="16" t="n">
        <f aca="false">J35430</f>
        <v>384</v>
      </c>
    </row>
    <row r="35420" customFormat="false" ht="15" hidden="false" customHeight="false" outlineLevel="0" collapsed="false">
      <c r="A35420" s="3" t="s">
        <v>330</v>
      </c>
      <c r="G35420" s="21" t="n">
        <f aca="false">IF(G35383=Assumptions!$K$57,1,0)</f>
        <v>0</v>
      </c>
      <c r="H35420" s="21" t="n">
        <f aca="false">IF(H35383=Assumptions!$K$57,1,0)</f>
        <v>0</v>
      </c>
      <c r="I35420" s="21" t="n">
        <f aca="false">IF(I35383=Assumptions!$K$57,1,0)</f>
        <v>0</v>
      </c>
      <c r="J35420" s="21" t="n">
        <f aca="false">IF(J35383=Assumptions!$K$57,1,0)</f>
        <v>0</v>
      </c>
      <c r="K35420" s="21" t="n">
        <f aca="false">IF(K35383=Assumptions!$K$57,1,0)</f>
        <v>1</v>
      </c>
    </row>
    <row r="35422" customFormat="false" ht="15" hidden="false" customHeight="false" outlineLevel="0" collapsed="false">
      <c r="A35422" s="3" t="s">
        <v>331</v>
      </c>
      <c r="G35422" s="31" t="n">
        <f aca="false">IF(Assumptions!$I$57=1,MAX(G35409,Assumptions!$G$57)+Assumptions!$F$57+$C$35410,Assumptions!$E$57)</f>
        <v>0.1065</v>
      </c>
      <c r="H35422" s="31" t="n">
        <f aca="false">IF(G35729=1,$C$35411,IF(Assumptions!$I$57=1,MAX(H35409,Assumptions!$G$57)+Assumptions!$F$57+$C$35410,Assumptions!$E$57))</f>
        <v>0.105</v>
      </c>
      <c r="I35422" s="31" t="n">
        <f aca="false">IF(H35729=1,$C$35411,IF(Assumptions!$I$57=1,MAX(I35409,Assumptions!$G$57)+Assumptions!$F$57+$C$35410,Assumptions!$E$57))</f>
        <v>0.1025</v>
      </c>
      <c r="J35422" s="31" t="n">
        <f aca="false">IF(I35729=1,$C$35411,IF(Assumptions!$I$57=1,MAX(J35409,Assumptions!$G$57)+Assumptions!$F$57+$C$35410,Assumptions!$E$57))</f>
        <v>0.1025</v>
      </c>
      <c r="K35422" s="31" t="n">
        <f aca="false">IF(J35729=1,$C$35411,IF(Assumptions!$I$57=1,MAX(K35409,Assumptions!$G$57)+Assumptions!$F$57+$C$35410,Assumptions!$E$57))</f>
        <v>0.1025</v>
      </c>
    </row>
    <row r="35423" customFormat="false" ht="15" hidden="false" customHeight="false" outlineLevel="0" collapsed="false">
      <c r="A35423" s="3" t="s">
        <v>332</v>
      </c>
      <c r="G35423" s="16" t="n">
        <f aca="false">G35419*G35422</f>
        <v>42.6</v>
      </c>
      <c r="H35423" s="16" t="n">
        <f aca="false">H35419*H35422</f>
        <v>41.58</v>
      </c>
      <c r="I35423" s="16" t="n">
        <f aca="false">I35419*I35422</f>
        <v>40.18</v>
      </c>
      <c r="J35423" s="16" t="n">
        <f aca="false">J35419*J35422</f>
        <v>39.77</v>
      </c>
      <c r="K35423" s="16" t="n">
        <f aca="false">K35419*K35422</f>
        <v>39.36</v>
      </c>
    </row>
    <row r="35424" customFormat="false" ht="15" hidden="false" customHeight="false" outlineLevel="0" collapsed="false">
      <c r="A35424" s="3" t="s">
        <v>333</v>
      </c>
      <c r="G35424" s="16" t="n">
        <f aca="false">G35419*Assumptions!$H$57</f>
        <v>0</v>
      </c>
      <c r="H35424" s="16" t="n">
        <f aca="false">H35419*Assumptions!$H$57</f>
        <v>0</v>
      </c>
      <c r="I35424" s="16" t="n">
        <f aca="false">I35419*Assumptions!$H$57</f>
        <v>0</v>
      </c>
      <c r="J35424" s="16" t="n">
        <f aca="false">J35419*Assumptions!$H$57</f>
        <v>0</v>
      </c>
      <c r="K35424" s="16" t="n">
        <f aca="false">K35419*Assumptions!$H$57</f>
        <v>0</v>
      </c>
    </row>
    <row r="35425" customFormat="false" ht="15" hidden="false" customHeight="false" outlineLevel="0" collapsed="false">
      <c r="A35425" s="3" t="s">
        <v>334</v>
      </c>
      <c r="G35425" s="16" t="n">
        <f aca="false">MIN(G35419,Assumptions!$L$57*Assumptions!$C$57)</f>
        <v>4</v>
      </c>
      <c r="H35425" s="16" t="n">
        <f aca="false">MIN(H35419,Assumptions!$L$57*Assumptions!$C$57)</f>
        <v>4</v>
      </c>
      <c r="I35425" s="16" t="n">
        <f aca="false">MIN(I35419,Assumptions!$L$57*Assumptions!$C$57)</f>
        <v>4</v>
      </c>
      <c r="J35425" s="16" t="n">
        <f aca="false">MIN(J35419,Assumptions!$L$57*Assumptions!$C$57)</f>
        <v>4</v>
      </c>
      <c r="K35425" s="16" t="n">
        <f aca="false">MIN(K35419,Assumptions!$L$57*Assumptions!$C$57)</f>
        <v>4</v>
      </c>
    </row>
    <row r="35426" customFormat="false" ht="15" hidden="false" customHeight="false" outlineLevel="0" collapsed="false">
      <c r="A35426" s="3" t="s">
        <v>335</v>
      </c>
      <c r="G35426" s="16" t="n">
        <f aca="false">IF(AND(Assumptions!$P$57=1,G35383&lt;Assumptions!$K$57),MIN(MAX(0,-G35599),MAX(0,Assumptions!$D$57-G35419)),0)</f>
        <v>0</v>
      </c>
      <c r="H35426" s="16" t="n">
        <f aca="false">IF(AND(Assumptions!$P$57=1,OR(H35383&lt;Assumptions!$K$57,G35729=1)),MIN(MAX(0,-H35599),MAX(0,Assumptions!$D$57-H35419)),0)</f>
        <v>0</v>
      </c>
      <c r="I35426" s="16" t="n">
        <f aca="false">IF(AND(Assumptions!$P$57=1,OR(I35383&lt;Assumptions!$K$57,H35729=1)),MIN(MAX(0,-I35599),MAX(0,Assumptions!$D$57-I35419)),0)</f>
        <v>0</v>
      </c>
      <c r="J35426" s="16" t="n">
        <f aca="false">IF(AND(Assumptions!$P$57=1,OR(J35383&lt;Assumptions!$K$57,I35729=1)),MIN(MAX(0,-J35599),MAX(0,Assumptions!$D$57-J35419)),0)</f>
        <v>0</v>
      </c>
      <c r="K35426" s="16" t="n">
        <f aca="false">IF(AND(Assumptions!$P$57=1,OR(K35383&lt;Assumptions!$K$57,J35729=1)),MIN(MAX(0,-K35599),MAX(0,Assumptions!$D$57-K35419)),0)</f>
        <v>0</v>
      </c>
    </row>
    <row r="35427" customFormat="false" ht="15" hidden="false" customHeight="false" outlineLevel="0" collapsed="false">
      <c r="A35427" s="3" t="s">
        <v>336</v>
      </c>
      <c r="G35427" s="16" t="n">
        <f aca="false">G35420*MIN(G35419-G35425+G35424,MAX(0,G35601-Assumptions!$C$12*G35417))</f>
        <v>0</v>
      </c>
      <c r="H35427" s="16" t="n">
        <f aca="false">H35420*MIN(H35419-H35425+H35424,MAX(0,H35601-Assumptions!$C$12*H35417))</f>
        <v>0</v>
      </c>
      <c r="I35427" s="16" t="n">
        <f aca="false">I35420*MIN(I35419-I35425+I35424,MAX(0,I35601-Assumptions!$C$12*I35417))</f>
        <v>0</v>
      </c>
      <c r="J35427" s="16" t="n">
        <f aca="false">J35420*MIN(J35419-J35425+J35424,MAX(0,J35601-Assumptions!$C$12*J35417))</f>
        <v>0</v>
      </c>
      <c r="K35427" s="16" t="n">
        <f aca="false">K35420*MIN(K35419-K35425+K35424,MAX(0,K35601-Assumptions!$C$12*K35417))</f>
        <v>0</v>
      </c>
    </row>
    <row r="35428" customFormat="false" ht="15" hidden="false" customHeight="false" outlineLevel="0" collapsed="false">
      <c r="A35428" s="3" t="s">
        <v>337</v>
      </c>
      <c r="G35428" s="16" t="n">
        <f aca="false">Assumptions!$N$57*MIN(G35419+G35426+G35424-G35425-G35427,MAX(0,G35605))</f>
        <v>0</v>
      </c>
      <c r="H35428" s="16" t="n">
        <f aca="false">Assumptions!$N$57*MIN(H35419+H35426+H35424-H35425-H35427,MAX(0,H35605))</f>
        <v>0</v>
      </c>
      <c r="I35428" s="16" t="n">
        <f aca="false">Assumptions!$N$57*MIN(I35419+I35426+I35424-I35425-I35427,MAX(0,I35605))</f>
        <v>0</v>
      </c>
      <c r="J35428" s="16" t="n">
        <f aca="false">Assumptions!$N$57*MIN(J35419+J35426+J35424-J35425-J35427,MAX(0,J35605))</f>
        <v>0</v>
      </c>
      <c r="K35428" s="16" t="n">
        <f aca="false">Assumptions!$N$57*MIN(K35419+K35426+K35424-K35425-K35427,MAX(0,K35605))</f>
        <v>0</v>
      </c>
    </row>
    <row r="35429" customFormat="false" ht="15" hidden="false" customHeight="false" outlineLevel="0" collapsed="false">
      <c r="A35429" s="3" t="s">
        <v>338</v>
      </c>
      <c r="G35429" s="16" t="n">
        <f aca="false">G35420*(1-G35417)*(G35419-G35425+G35424-G35427)</f>
        <v>0</v>
      </c>
      <c r="H35429" s="16" t="n">
        <f aca="false">H35420*(1-H35417)*(H35419-H35425+H35424-H35427)</f>
        <v>0</v>
      </c>
      <c r="I35429" s="16" t="n">
        <f aca="false">I35420*(1-I35417)*(I35419-I35425+I35424-I35427)</f>
        <v>0</v>
      </c>
      <c r="J35429" s="16" t="n">
        <f aca="false">J35420*(1-J35417)*(J35419-J35425+J35424-J35427)</f>
        <v>0</v>
      </c>
      <c r="K35429" s="16" t="n">
        <f aca="false">K35420*(1-K35417)*(K35419-K35425+K35424-K35427)</f>
        <v>380</v>
      </c>
    </row>
    <row r="35430" customFormat="false" ht="15" hidden="false" customHeight="false" outlineLevel="0" collapsed="false">
      <c r="A35430" s="2" t="s">
        <v>339</v>
      </c>
      <c r="F35430" s="28" t="n">
        <f aca="false">Assumptions!$C$57</f>
        <v>400</v>
      </c>
      <c r="G35430" s="17" t="n">
        <f aca="false">G35419+G35426+G35424-G35425-G35427-G35428</f>
        <v>396</v>
      </c>
      <c r="H35430" s="17" t="n">
        <f aca="false">H35419+H35426+H35424-H35425-H35427-H35428</f>
        <v>392</v>
      </c>
      <c r="I35430" s="17" t="n">
        <f aca="false">I35419+I35426+I35424-I35425-I35427-I35428</f>
        <v>388</v>
      </c>
      <c r="J35430" s="17" t="n">
        <f aca="false">J35419+J35426+J35424-J35425-J35427-J35428</f>
        <v>384</v>
      </c>
      <c r="K35430" s="17" t="n">
        <f aca="false">K35419+K35426+K35424-K35425-K35427-K35428</f>
        <v>380</v>
      </c>
    </row>
    <row r="35431" customFormat="false" ht="15" hidden="false" customHeight="false" outlineLevel="0" collapsed="false">
      <c r="A35431" s="24" t="s">
        <v>340</v>
      </c>
      <c r="B35431" s="25"/>
      <c r="C35431" s="25"/>
      <c r="D35431" s="25"/>
      <c r="E35431" s="25"/>
      <c r="F35431" s="25"/>
      <c r="G35431" s="25"/>
      <c r="H35431" s="25"/>
      <c r="I35431" s="25"/>
      <c r="J35431" s="25"/>
      <c r="K35431" s="25"/>
    </row>
    <row r="35432" customFormat="false" ht="15" hidden="false" customHeight="false" outlineLevel="0" collapsed="false">
      <c r="A35432" s="3" t="s">
        <v>329</v>
      </c>
      <c r="G35432" s="16" t="n">
        <f aca="false">F35443</f>
        <v>90</v>
      </c>
      <c r="H35432" s="16" t="n">
        <f aca="false">G35443</f>
        <v>90</v>
      </c>
      <c r="I35432" s="16" t="n">
        <f aca="false">H35443</f>
        <v>90</v>
      </c>
      <c r="J35432" s="16" t="n">
        <f aca="false">I35443</f>
        <v>90</v>
      </c>
      <c r="K35432" s="16" t="n">
        <f aca="false">J35443</f>
        <v>90</v>
      </c>
    </row>
    <row r="35433" customFormat="false" ht="15" hidden="false" customHeight="false" outlineLevel="0" collapsed="false">
      <c r="A35433" s="3" t="s">
        <v>330</v>
      </c>
      <c r="G35433" s="21" t="n">
        <f aca="false">IF(G35383=Assumptions!$K$58,1,0)</f>
        <v>0</v>
      </c>
      <c r="H35433" s="21" t="n">
        <f aca="false">IF(H35383=Assumptions!$K$58,1,0)</f>
        <v>0</v>
      </c>
      <c r="I35433" s="21" t="n">
        <f aca="false">IF(I35383=Assumptions!$K$58,1,0)</f>
        <v>0</v>
      </c>
      <c r="J35433" s="21" t="n">
        <f aca="false">IF(J35383=Assumptions!$K$58,1,0)</f>
        <v>0</v>
      </c>
      <c r="K35433" s="21" t="n">
        <f aca="false">IF(K35383=Assumptions!$K$58,1,0)</f>
        <v>0</v>
      </c>
    </row>
    <row r="35435" customFormat="false" ht="15" hidden="false" customHeight="false" outlineLevel="0" collapsed="false">
      <c r="A35435" s="3" t="s">
        <v>331</v>
      </c>
      <c r="G35435" s="31" t="n">
        <f aca="false">IF(Assumptions!$I$58=1,MAX(G35409,Assumptions!$G$58)+Assumptions!$F$58+$C$35410,Assumptions!$E$58)</f>
        <v>0.0581</v>
      </c>
      <c r="H35435" s="31" t="n">
        <f aca="false">IF(G35730=1,$C$35411,IF(Assumptions!$I$58=1,MAX(H35409,Assumptions!$G$58)+Assumptions!$F$58+$C$35410,Assumptions!$E$58))</f>
        <v>0.0581</v>
      </c>
      <c r="I35435" s="31" t="n">
        <f aca="false">IF(H35730=1,$C$35411,IF(Assumptions!$I$58=1,MAX(I35409,Assumptions!$G$58)+Assumptions!$F$58+$C$35410,Assumptions!$E$58))</f>
        <v>0.0581</v>
      </c>
      <c r="J35435" s="31" t="n">
        <f aca="false">IF(I35730=1,$C$35411,IF(Assumptions!$I$58=1,MAX(J35409,Assumptions!$G$58)+Assumptions!$F$58+$C$35410,Assumptions!$E$58))</f>
        <v>0.0581</v>
      </c>
      <c r="K35435" s="31" t="n">
        <f aca="false">IF(J35730=1,$C$35411,IF(Assumptions!$I$58=1,MAX(K35409,Assumptions!$G$58)+Assumptions!$F$58+$C$35410,Assumptions!$E$58))</f>
        <v>0.0581</v>
      </c>
    </row>
    <row r="35436" customFormat="false" ht="15" hidden="false" customHeight="false" outlineLevel="0" collapsed="false">
      <c r="A35436" s="3" t="s">
        <v>332</v>
      </c>
      <c r="G35436" s="16" t="n">
        <f aca="false">G35432*G35435</f>
        <v>5.229</v>
      </c>
      <c r="H35436" s="16" t="n">
        <f aca="false">H35432*H35435</f>
        <v>5.229</v>
      </c>
      <c r="I35436" s="16" t="n">
        <f aca="false">I35432*I35435</f>
        <v>5.229</v>
      </c>
      <c r="J35436" s="16" t="n">
        <f aca="false">J35432*J35435</f>
        <v>5.229</v>
      </c>
      <c r="K35436" s="16" t="n">
        <f aca="false">K35432*K35435</f>
        <v>5.229</v>
      </c>
    </row>
    <row r="35437" customFormat="false" ht="15" hidden="false" customHeight="false" outlineLevel="0" collapsed="false">
      <c r="A35437" s="3" t="s">
        <v>333</v>
      </c>
      <c r="G35437" s="16" t="n">
        <f aca="false">G35432*Assumptions!$H$58</f>
        <v>0</v>
      </c>
      <c r="H35437" s="16" t="n">
        <f aca="false">H35432*Assumptions!$H$58</f>
        <v>0</v>
      </c>
      <c r="I35437" s="16" t="n">
        <f aca="false">I35432*Assumptions!$H$58</f>
        <v>0</v>
      </c>
      <c r="J35437" s="16" t="n">
        <f aca="false">J35432*Assumptions!$H$58</f>
        <v>0</v>
      </c>
      <c r="K35437" s="16" t="n">
        <f aca="false">K35432*Assumptions!$H$58</f>
        <v>0</v>
      </c>
    </row>
    <row r="35438" customFormat="false" ht="15" hidden="false" customHeight="false" outlineLevel="0" collapsed="false">
      <c r="A35438" s="3" t="s">
        <v>334</v>
      </c>
      <c r="G35438" s="16" t="n">
        <f aca="false">MIN(G35432,Assumptions!$L$58*Assumptions!$C$58)</f>
        <v>0</v>
      </c>
      <c r="H35438" s="16" t="n">
        <f aca="false">MIN(H35432,Assumptions!$L$58*Assumptions!$C$58)</f>
        <v>0</v>
      </c>
      <c r="I35438" s="16" t="n">
        <f aca="false">MIN(I35432,Assumptions!$L$58*Assumptions!$C$58)</f>
        <v>0</v>
      </c>
      <c r="J35438" s="16" t="n">
        <f aca="false">MIN(J35432,Assumptions!$L$58*Assumptions!$C$58)</f>
        <v>0</v>
      </c>
      <c r="K35438" s="16" t="n">
        <f aca="false">MIN(K35432,Assumptions!$L$58*Assumptions!$C$58)</f>
        <v>0</v>
      </c>
    </row>
    <row r="35439" customFormat="false" ht="15" hidden="false" customHeight="false" outlineLevel="0" collapsed="false">
      <c r="A35439" s="3" t="s">
        <v>335</v>
      </c>
      <c r="G35439" s="16" t="n">
        <f aca="false">IF(AND(Assumptions!$P$58=1,G35383&lt;Assumptions!$K$58),MIN(MAX(0,-G35599),MAX(0,Assumptions!$D$58-G35432)),0)</f>
        <v>0</v>
      </c>
      <c r="H35439" s="16" t="n">
        <f aca="false">IF(AND(Assumptions!$P$58=1,OR(H35383&lt;Assumptions!$K$58,G35730=1)),MIN(MAX(0,-H35599),MAX(0,Assumptions!$D$58-H35432)),0)</f>
        <v>0</v>
      </c>
      <c r="I35439" s="16" t="n">
        <f aca="false">IF(AND(Assumptions!$P$58=1,OR(I35383&lt;Assumptions!$K$58,H35730=1)),MIN(MAX(0,-I35599),MAX(0,Assumptions!$D$58-I35432)),0)</f>
        <v>0</v>
      </c>
      <c r="J35439" s="16" t="n">
        <f aca="false">IF(AND(Assumptions!$P$58=1,OR(J35383&lt;Assumptions!$K$58,I35730=1)),MIN(MAX(0,-J35599),MAX(0,Assumptions!$D$58-J35432)),0)</f>
        <v>0</v>
      </c>
      <c r="K35439" s="16" t="n">
        <f aca="false">IF(AND(Assumptions!$P$58=1,OR(K35383&lt;Assumptions!$K$58,J35730=1)),MIN(MAX(0,-K35599),MAX(0,Assumptions!$D$58-K35432)),0)</f>
        <v>0</v>
      </c>
    </row>
    <row r="35440" customFormat="false" ht="15" hidden="false" customHeight="false" outlineLevel="0" collapsed="false">
      <c r="A35440" s="3" t="s">
        <v>336</v>
      </c>
      <c r="G35440" s="16" t="n">
        <f aca="false">G35433*MIN(G35432-G35438+G35437,MAX(0,G35601-Assumptions!$C$12*G35417-G35427))</f>
        <v>0</v>
      </c>
      <c r="H35440" s="16" t="n">
        <f aca="false">H35433*MIN(H35432-H35438+H35437,MAX(0,H35601-Assumptions!$C$12*H35417-H35427))</f>
        <v>0</v>
      </c>
      <c r="I35440" s="16" t="n">
        <f aca="false">I35433*MIN(I35432-I35438+I35437,MAX(0,I35601-Assumptions!$C$12*I35417-I35427))</f>
        <v>0</v>
      </c>
      <c r="J35440" s="16" t="n">
        <f aca="false">J35433*MIN(J35432-J35438+J35437,MAX(0,J35601-Assumptions!$C$12*J35417-J35427))</f>
        <v>0</v>
      </c>
      <c r="K35440" s="16" t="n">
        <f aca="false">K35433*MIN(K35432-K35438+K35437,MAX(0,K35601-Assumptions!$C$12*K35417-K35427))</f>
        <v>0</v>
      </c>
    </row>
    <row r="35441" customFormat="false" ht="15" hidden="false" customHeight="false" outlineLevel="0" collapsed="false">
      <c r="A35441" s="3" t="s">
        <v>337</v>
      </c>
      <c r="G35441" s="16" t="n">
        <f aca="false">Assumptions!$N$58*MIN(G35432+G35439+G35437-G35438-G35440,MAX(0,G35605-G35428))</f>
        <v>0</v>
      </c>
      <c r="H35441" s="16" t="n">
        <f aca="false">Assumptions!$N$58*MIN(H35432+H35439+H35437-H35438-H35440,MAX(0,H35605-H35428))</f>
        <v>0</v>
      </c>
      <c r="I35441" s="16" t="n">
        <f aca="false">Assumptions!$N$58*MIN(I35432+I35439+I35437-I35438-I35440,MAX(0,I35605-I35428))</f>
        <v>0</v>
      </c>
      <c r="J35441" s="16" t="n">
        <f aca="false">Assumptions!$N$58*MIN(J35432+J35439+J35437-J35438-J35440,MAX(0,J35605-J35428))</f>
        <v>0</v>
      </c>
      <c r="K35441" s="16" t="n">
        <f aca="false">Assumptions!$N$58*MIN(K35432+K35439+K35437-K35438-K35440,MAX(0,K35605-K35428))</f>
        <v>0</v>
      </c>
    </row>
    <row r="35442" customFormat="false" ht="15" hidden="false" customHeight="false" outlineLevel="0" collapsed="false">
      <c r="A35442" s="3" t="s">
        <v>338</v>
      </c>
      <c r="G35442" s="16" t="n">
        <f aca="false">G35433*(1-G35417)*(G35432-G35438+G35437-G35440)</f>
        <v>0</v>
      </c>
      <c r="H35442" s="16" t="n">
        <f aca="false">H35433*(1-H35417)*(H35432-H35438+H35437-H35440)</f>
        <v>0</v>
      </c>
      <c r="I35442" s="16" t="n">
        <f aca="false">I35433*(1-I35417)*(I35432-I35438+I35437-I35440)</f>
        <v>0</v>
      </c>
      <c r="J35442" s="16" t="n">
        <f aca="false">J35433*(1-J35417)*(J35432-J35438+J35437-J35440)</f>
        <v>0</v>
      </c>
      <c r="K35442" s="16" t="n">
        <f aca="false">K35433*(1-K35417)*(K35432-K35438+K35437-K35440)</f>
        <v>0</v>
      </c>
    </row>
    <row r="35443" customFormat="false" ht="15" hidden="false" customHeight="false" outlineLevel="0" collapsed="false">
      <c r="A35443" s="2" t="s">
        <v>339</v>
      </c>
      <c r="F35443" s="28" t="n">
        <f aca="false">Assumptions!$C$58</f>
        <v>90</v>
      </c>
      <c r="G35443" s="17" t="n">
        <f aca="false">G35432+G35439+G35437-G35438-G35440-G35441</f>
        <v>90</v>
      </c>
      <c r="H35443" s="17" t="n">
        <f aca="false">H35432+H35439+H35437-H35438-H35440-H35441</f>
        <v>90</v>
      </c>
      <c r="I35443" s="17" t="n">
        <f aca="false">I35432+I35439+I35437-I35438-I35440-I35441</f>
        <v>90</v>
      </c>
      <c r="J35443" s="17" t="n">
        <f aca="false">J35432+J35439+J35437-J35438-J35440-J35441</f>
        <v>90</v>
      </c>
      <c r="K35443" s="17" t="n">
        <f aca="false">K35432+K35439+K35437-K35438-K35440-K35441</f>
        <v>90</v>
      </c>
    </row>
    <row r="35444" customFormat="false" ht="15" hidden="false" customHeight="false" outlineLevel="0" collapsed="false">
      <c r="A35444" s="24" t="s">
        <v>341</v>
      </c>
      <c r="B35444" s="25"/>
      <c r="C35444" s="25"/>
      <c r="D35444" s="25"/>
      <c r="E35444" s="25"/>
      <c r="F35444" s="25"/>
      <c r="G35444" s="25"/>
      <c r="H35444" s="25"/>
      <c r="I35444" s="25"/>
      <c r="J35444" s="25"/>
      <c r="K35444" s="25"/>
    </row>
    <row r="35445" customFormat="false" ht="15" hidden="false" customHeight="false" outlineLevel="0" collapsed="false">
      <c r="A35445" s="3" t="s">
        <v>329</v>
      </c>
      <c r="G35445" s="16" t="n">
        <f aca="false">F35456</f>
        <v>57.324</v>
      </c>
      <c r="H35445" s="16" t="n">
        <f aca="false">G35456</f>
        <v>57.324</v>
      </c>
      <c r="I35445" s="16" t="n">
        <f aca="false">H35456</f>
        <v>57.324</v>
      </c>
      <c r="J35445" s="16" t="n">
        <f aca="false">I35456</f>
        <v>57.324</v>
      </c>
      <c r="K35445" s="16" t="n">
        <f aca="false">J35456</f>
        <v>57.324</v>
      </c>
    </row>
    <row r="35446" customFormat="false" ht="15" hidden="false" customHeight="false" outlineLevel="0" collapsed="false">
      <c r="A35446" s="3" t="s">
        <v>330</v>
      </c>
      <c r="G35446" s="21" t="n">
        <f aca="false">IF(G35383=Assumptions!$K$59,1,0)</f>
        <v>0</v>
      </c>
      <c r="H35446" s="21" t="n">
        <f aca="false">IF(H35383=Assumptions!$K$59,1,0)</f>
        <v>0</v>
      </c>
      <c r="I35446" s="21" t="n">
        <f aca="false">IF(I35383=Assumptions!$K$59,1,0)</f>
        <v>0</v>
      </c>
      <c r="J35446" s="21" t="n">
        <f aca="false">IF(J35383=Assumptions!$K$59,1,0)</f>
        <v>0</v>
      </c>
      <c r="K35446" s="21" t="n">
        <f aca="false">IF(K35383=Assumptions!$K$59,1,0)</f>
        <v>0</v>
      </c>
    </row>
    <row r="35448" customFormat="false" ht="15" hidden="false" customHeight="false" outlineLevel="0" collapsed="false">
      <c r="A35448" s="3" t="s">
        <v>331</v>
      </c>
      <c r="G35448" s="31" t="n">
        <f aca="false">IF(Assumptions!$I$59=1,MAX(G35409,Assumptions!$G$59)+Assumptions!$F$59+$C$35410,Assumptions!$E$59)</f>
        <v>0.0731</v>
      </c>
      <c r="H35448" s="31" t="n">
        <f aca="false">IF(G35731=1,$C$35411,IF(Assumptions!$I$59=1,MAX(H35409,Assumptions!$G$59)+Assumptions!$F$59+$C$35410,Assumptions!$E$59))</f>
        <v>0.0731</v>
      </c>
      <c r="I35448" s="31" t="n">
        <f aca="false">IF(H35731=1,$C$35411,IF(Assumptions!$I$59=1,MAX(I35409,Assumptions!$G$59)+Assumptions!$F$59+$C$35410,Assumptions!$E$59))</f>
        <v>0.0731</v>
      </c>
      <c r="J35448" s="31" t="n">
        <f aca="false">IF(I35731=1,$C$35411,IF(Assumptions!$I$59=1,MAX(J35409,Assumptions!$G$59)+Assumptions!$F$59+$C$35410,Assumptions!$E$59))</f>
        <v>0.0731</v>
      </c>
      <c r="K35448" s="31" t="n">
        <f aca="false">IF(J35731=1,$C$35411,IF(Assumptions!$I$59=1,MAX(K35409,Assumptions!$G$59)+Assumptions!$F$59+$C$35410,Assumptions!$E$59))</f>
        <v>0.0731</v>
      </c>
    </row>
    <row r="35449" customFormat="false" ht="15" hidden="false" customHeight="false" outlineLevel="0" collapsed="false">
      <c r="A35449" s="3" t="s">
        <v>332</v>
      </c>
      <c r="G35449" s="16" t="n">
        <f aca="false">G35445*G35448</f>
        <v>4.1903844</v>
      </c>
      <c r="H35449" s="16" t="n">
        <f aca="false">H35445*H35448</f>
        <v>4.1903844</v>
      </c>
      <c r="I35449" s="16" t="n">
        <f aca="false">I35445*I35448</f>
        <v>4.1903844</v>
      </c>
      <c r="J35449" s="16" t="n">
        <f aca="false">J35445*J35448</f>
        <v>4.1903844</v>
      </c>
      <c r="K35449" s="16" t="n">
        <f aca="false">K35445*K35448</f>
        <v>4.1903844</v>
      </c>
    </row>
    <row r="35450" customFormat="false" ht="15" hidden="false" customHeight="false" outlineLevel="0" collapsed="false">
      <c r="A35450" s="3" t="s">
        <v>333</v>
      </c>
      <c r="G35450" s="16" t="n">
        <f aca="false">G35445*Assumptions!$H$59</f>
        <v>0</v>
      </c>
      <c r="H35450" s="16" t="n">
        <f aca="false">H35445*Assumptions!$H$59</f>
        <v>0</v>
      </c>
      <c r="I35450" s="16" t="n">
        <f aca="false">I35445*Assumptions!$H$59</f>
        <v>0</v>
      </c>
      <c r="J35450" s="16" t="n">
        <f aca="false">J35445*Assumptions!$H$59</f>
        <v>0</v>
      </c>
      <c r="K35450" s="16" t="n">
        <f aca="false">K35445*Assumptions!$H$59</f>
        <v>0</v>
      </c>
    </row>
    <row r="35451" customFormat="false" ht="15" hidden="false" customHeight="false" outlineLevel="0" collapsed="false">
      <c r="A35451" s="3" t="s">
        <v>334</v>
      </c>
      <c r="G35451" s="16" t="n">
        <f aca="false">MIN(G35445,Assumptions!$L$59*Assumptions!$C$59)</f>
        <v>0</v>
      </c>
      <c r="H35451" s="16" t="n">
        <f aca="false">MIN(H35445,Assumptions!$L$59*Assumptions!$C$59)</f>
        <v>0</v>
      </c>
      <c r="I35451" s="16" t="n">
        <f aca="false">MIN(I35445,Assumptions!$L$59*Assumptions!$C$59)</f>
        <v>0</v>
      </c>
      <c r="J35451" s="16" t="n">
        <f aca="false">MIN(J35445,Assumptions!$L$59*Assumptions!$C$59)</f>
        <v>0</v>
      </c>
      <c r="K35451" s="16" t="n">
        <f aca="false">MIN(K35445,Assumptions!$L$59*Assumptions!$C$59)</f>
        <v>0</v>
      </c>
    </row>
    <row r="35452" customFormat="false" ht="15" hidden="false" customHeight="false" outlineLevel="0" collapsed="false">
      <c r="A35452" s="3" t="s">
        <v>335</v>
      </c>
      <c r="G35452" s="16" t="n">
        <f aca="false">IF(AND(Assumptions!$P$59=1,G35383&lt;Assumptions!$K$59),MIN(MAX(0,-G35599),MAX(0,Assumptions!$D$59-G35445)),0)</f>
        <v>0</v>
      </c>
      <c r="H35452" s="16" t="n">
        <f aca="false">IF(AND(Assumptions!$P$59=1,OR(H35383&lt;Assumptions!$K$59,G35731=1)),MIN(MAX(0,-H35599),MAX(0,Assumptions!$D$59-H35445)),0)</f>
        <v>0</v>
      </c>
      <c r="I35452" s="16" t="n">
        <f aca="false">IF(AND(Assumptions!$P$59=1,OR(I35383&lt;Assumptions!$K$59,H35731=1)),MIN(MAX(0,-I35599),MAX(0,Assumptions!$D$59-I35445)),0)</f>
        <v>0</v>
      </c>
      <c r="J35452" s="16" t="n">
        <f aca="false">IF(AND(Assumptions!$P$59=1,OR(J35383&lt;Assumptions!$K$59,I35731=1)),MIN(MAX(0,-J35599),MAX(0,Assumptions!$D$59-J35445)),0)</f>
        <v>0</v>
      </c>
      <c r="K35452" s="16" t="n">
        <f aca="false">IF(AND(Assumptions!$P$59=1,OR(K35383&lt;Assumptions!$K$59,J35731=1)),MIN(MAX(0,-K35599),MAX(0,Assumptions!$D$59-K35445)),0)</f>
        <v>0</v>
      </c>
    </row>
    <row r="35453" customFormat="false" ht="15" hidden="false" customHeight="false" outlineLevel="0" collapsed="false">
      <c r="A35453" s="3" t="s">
        <v>336</v>
      </c>
      <c r="G35453" s="16" t="n">
        <f aca="false">G35446*MIN(G35445-G35451+G35450,MAX(0,G35601-Assumptions!$C$12*G35417-G35427-G35440))</f>
        <v>0</v>
      </c>
      <c r="H35453" s="16" t="n">
        <f aca="false">H35446*MIN(H35445-H35451+H35450,MAX(0,H35601-Assumptions!$C$12*H35417-H35427-H35440))</f>
        <v>0</v>
      </c>
      <c r="I35453" s="16" t="n">
        <f aca="false">I35446*MIN(I35445-I35451+I35450,MAX(0,I35601-Assumptions!$C$12*I35417-I35427-I35440))</f>
        <v>0</v>
      </c>
      <c r="J35453" s="16" t="n">
        <f aca="false">J35446*MIN(J35445-J35451+J35450,MAX(0,J35601-Assumptions!$C$12*J35417-J35427-J35440))</f>
        <v>0</v>
      </c>
      <c r="K35453" s="16" t="n">
        <f aca="false">K35446*MIN(K35445-K35451+K35450,MAX(0,K35601-Assumptions!$C$12*K35417-K35427-K35440))</f>
        <v>0</v>
      </c>
    </row>
    <row r="35454" customFormat="false" ht="15" hidden="false" customHeight="false" outlineLevel="0" collapsed="false">
      <c r="A35454" s="3" t="s">
        <v>337</v>
      </c>
      <c r="G35454" s="16" t="n">
        <f aca="false">Assumptions!$N$59*MIN(G35445+G35452+G35450-G35451-G35453,MAX(0,G35605-G35428-G35441))</f>
        <v>0</v>
      </c>
      <c r="H35454" s="16" t="n">
        <f aca="false">Assumptions!$N$59*MIN(H35445+H35452+H35450-H35451-H35453,MAX(0,H35605-H35428-H35441))</f>
        <v>0</v>
      </c>
      <c r="I35454" s="16" t="n">
        <f aca="false">Assumptions!$N$59*MIN(I35445+I35452+I35450-I35451-I35453,MAX(0,I35605-I35428-I35441))</f>
        <v>0</v>
      </c>
      <c r="J35454" s="16" t="n">
        <f aca="false">Assumptions!$N$59*MIN(J35445+J35452+J35450-J35451-J35453,MAX(0,J35605-J35428-J35441))</f>
        <v>0</v>
      </c>
      <c r="K35454" s="16" t="n">
        <f aca="false">Assumptions!$N$59*MIN(K35445+K35452+K35450-K35451-K35453,MAX(0,K35605-K35428-K35441))</f>
        <v>0</v>
      </c>
    </row>
    <row r="35455" customFormat="false" ht="15" hidden="false" customHeight="false" outlineLevel="0" collapsed="false">
      <c r="A35455" s="3" t="s">
        <v>338</v>
      </c>
      <c r="G35455" s="16" t="n">
        <f aca="false">G35446*(1-G35417)*(G35445-G35451+G35450-G35453)</f>
        <v>0</v>
      </c>
      <c r="H35455" s="16" t="n">
        <f aca="false">H35446*(1-H35417)*(H35445-H35451+H35450-H35453)</f>
        <v>0</v>
      </c>
      <c r="I35455" s="16" t="n">
        <f aca="false">I35446*(1-I35417)*(I35445-I35451+I35450-I35453)</f>
        <v>0</v>
      </c>
      <c r="J35455" s="16" t="n">
        <f aca="false">J35446*(1-J35417)*(J35445-J35451+J35450-J35453)</f>
        <v>0</v>
      </c>
      <c r="K35455" s="16" t="n">
        <f aca="false">K35446*(1-K35417)*(K35445-K35451+K35450-K35453)</f>
        <v>0</v>
      </c>
    </row>
    <row r="35456" customFormat="false" ht="15" hidden="false" customHeight="false" outlineLevel="0" collapsed="false">
      <c r="A35456" s="2" t="s">
        <v>339</v>
      </c>
      <c r="F35456" s="28" t="n">
        <f aca="false">Assumptions!$C$59</f>
        <v>57.324</v>
      </c>
      <c r="G35456" s="17" t="n">
        <f aca="false">G35445+G35452+G35450-G35451-G35453-G35454</f>
        <v>57.324</v>
      </c>
      <c r="H35456" s="17" t="n">
        <f aca="false">H35445+H35452+H35450-H35451-H35453-H35454</f>
        <v>57.324</v>
      </c>
      <c r="I35456" s="17" t="n">
        <f aca="false">I35445+I35452+I35450-I35451-I35453-I35454</f>
        <v>57.324</v>
      </c>
      <c r="J35456" s="17" t="n">
        <f aca="false">J35445+J35452+J35450-J35451-J35453-J35454</f>
        <v>57.324</v>
      </c>
      <c r="K35456" s="17" t="n">
        <f aca="false">K35445+K35452+K35450-K35451-K35453-K35454</f>
        <v>57.324</v>
      </c>
    </row>
    <row r="35457" customFormat="false" ht="15" hidden="false" customHeight="false" outlineLevel="0" collapsed="false">
      <c r="A35457" s="24" t="s">
        <v>342</v>
      </c>
      <c r="B35457" s="25"/>
      <c r="C35457" s="25"/>
      <c r="D35457" s="25"/>
      <c r="E35457" s="25"/>
      <c r="F35457" s="25"/>
      <c r="G35457" s="25"/>
      <c r="H35457" s="25"/>
      <c r="I35457" s="25"/>
      <c r="J35457" s="25"/>
      <c r="K35457" s="25"/>
    </row>
    <row r="35458" customFormat="false" ht="15" hidden="false" customHeight="false" outlineLevel="0" collapsed="false">
      <c r="A35458" s="3" t="s">
        <v>329</v>
      </c>
      <c r="G35458" s="16" t="n">
        <f aca="false">F35469</f>
        <v>0</v>
      </c>
      <c r="H35458" s="16" t="n">
        <f aca="false">G35469</f>
        <v>0</v>
      </c>
      <c r="I35458" s="16" t="n">
        <f aca="false">H35469</f>
        <v>0</v>
      </c>
      <c r="J35458" s="16" t="n">
        <f aca="false">I35469</f>
        <v>0</v>
      </c>
      <c r="K35458" s="16" t="n">
        <f aca="false">J35469</f>
        <v>0</v>
      </c>
    </row>
    <row r="35459" customFormat="false" ht="15" hidden="false" customHeight="false" outlineLevel="0" collapsed="false">
      <c r="A35459" s="3" t="s">
        <v>330</v>
      </c>
      <c r="G35459" s="21" t="n">
        <f aca="false">IF(G35383=Assumptions!$K$60,1,0)</f>
        <v>1</v>
      </c>
      <c r="H35459" s="21" t="n">
        <f aca="false">IF(H35383=Assumptions!$K$60,1,0)</f>
        <v>0</v>
      </c>
      <c r="I35459" s="21" t="n">
        <f aca="false">IF(I35383=Assumptions!$K$60,1,0)</f>
        <v>0</v>
      </c>
      <c r="J35459" s="21" t="n">
        <f aca="false">IF(J35383=Assumptions!$K$60,1,0)</f>
        <v>0</v>
      </c>
      <c r="K35459" s="21" t="n">
        <f aca="false">IF(K35383=Assumptions!$K$60,1,0)</f>
        <v>0</v>
      </c>
    </row>
    <row r="35461" customFormat="false" ht="15" hidden="false" customHeight="false" outlineLevel="0" collapsed="false">
      <c r="A35461" s="3" t="s">
        <v>331</v>
      </c>
      <c r="G35461" s="31" t="n">
        <f aca="false">IF(Assumptions!$I$60=1,MAX(G35409,Assumptions!$G$60)+Assumptions!$F$60+$C$35410,Assumptions!$E$60)</f>
        <v>0.069</v>
      </c>
      <c r="H35461" s="31" t="n">
        <f aca="false">IF(G35732=1,$C$35411,IF(Assumptions!$I$60=1,MAX(H35409,Assumptions!$G$60)+Assumptions!$F$60+$C$35410,Assumptions!$E$60))</f>
        <v>0.0675</v>
      </c>
      <c r="I35461" s="31" t="n">
        <f aca="false">IF(H35732=1,$C$35411,IF(Assumptions!$I$60=1,MAX(I35409,Assumptions!$G$60)+Assumptions!$F$60+$C$35410,Assumptions!$E$60))</f>
        <v>0.065</v>
      </c>
      <c r="J35461" s="31" t="n">
        <f aca="false">IF(I35732=1,$C$35411,IF(Assumptions!$I$60=1,MAX(J35409,Assumptions!$G$60)+Assumptions!$F$60+$C$35410,Assumptions!$E$60))</f>
        <v>0.065</v>
      </c>
      <c r="K35461" s="31" t="n">
        <f aca="false">IF(J35732=1,$C$35411,IF(Assumptions!$I$60=1,MAX(K35409,Assumptions!$G$60)+Assumptions!$F$60+$C$35410,Assumptions!$E$60))</f>
        <v>0.065</v>
      </c>
    </row>
    <row r="35462" customFormat="false" ht="15" hidden="false" customHeight="false" outlineLevel="0" collapsed="false">
      <c r="A35462" s="3" t="s">
        <v>332</v>
      </c>
      <c r="G35462" s="16" t="n">
        <f aca="false">G35458*G35461</f>
        <v>0</v>
      </c>
      <c r="H35462" s="16" t="n">
        <f aca="false">H35458*H35461</f>
        <v>0</v>
      </c>
      <c r="I35462" s="16" t="n">
        <f aca="false">I35458*I35461</f>
        <v>0</v>
      </c>
      <c r="J35462" s="16" t="n">
        <f aca="false">J35458*J35461</f>
        <v>0</v>
      </c>
      <c r="K35462" s="16" t="n">
        <f aca="false">K35458*K35461</f>
        <v>0</v>
      </c>
    </row>
    <row r="35463" customFormat="false" ht="15" hidden="false" customHeight="false" outlineLevel="0" collapsed="false">
      <c r="A35463" s="3" t="s">
        <v>333</v>
      </c>
      <c r="G35463" s="16" t="n">
        <f aca="false">G35458*Assumptions!$H$60</f>
        <v>0</v>
      </c>
      <c r="H35463" s="16" t="n">
        <f aca="false">H35458*Assumptions!$H$60</f>
        <v>0</v>
      </c>
      <c r="I35463" s="16" t="n">
        <f aca="false">I35458*Assumptions!$H$60</f>
        <v>0</v>
      </c>
      <c r="J35463" s="16" t="n">
        <f aca="false">J35458*Assumptions!$H$60</f>
        <v>0</v>
      </c>
      <c r="K35463" s="16" t="n">
        <f aca="false">K35458*Assumptions!$H$60</f>
        <v>0</v>
      </c>
    </row>
    <row r="35464" customFormat="false" ht="15" hidden="false" customHeight="false" outlineLevel="0" collapsed="false">
      <c r="A35464" s="3" t="s">
        <v>334</v>
      </c>
      <c r="G35464" s="16" t="n">
        <f aca="false">MIN(G35458,Assumptions!$L$60*Assumptions!$C$60)</f>
        <v>0</v>
      </c>
      <c r="H35464" s="16" t="n">
        <f aca="false">MIN(H35458,Assumptions!$L$60*Assumptions!$C$60)</f>
        <v>0</v>
      </c>
      <c r="I35464" s="16" t="n">
        <f aca="false">MIN(I35458,Assumptions!$L$60*Assumptions!$C$60)</f>
        <v>0</v>
      </c>
      <c r="J35464" s="16" t="n">
        <f aca="false">MIN(J35458,Assumptions!$L$60*Assumptions!$C$60)</f>
        <v>0</v>
      </c>
      <c r="K35464" s="16" t="n">
        <f aca="false">MIN(K35458,Assumptions!$L$60*Assumptions!$C$60)</f>
        <v>0</v>
      </c>
    </row>
    <row r="35465" customFormat="false" ht="15" hidden="false" customHeight="false" outlineLevel="0" collapsed="false">
      <c r="A35465" s="3" t="s">
        <v>335</v>
      </c>
      <c r="G35465" s="16" t="n">
        <f aca="false">IF(AND(Assumptions!$P$60=1,G35383&lt;Assumptions!$K$60),MIN(MAX(0,-G35599),MAX(0,Assumptions!$D$60-G35458)),0)</f>
        <v>0</v>
      </c>
      <c r="H35465" s="16" t="n">
        <f aca="false">IF(AND(Assumptions!$P$60=1,OR(H35383&lt;Assumptions!$K$60,G35732=1)),MIN(MAX(0,-H35599),MAX(0,Assumptions!$D$60-H35458)),0)</f>
        <v>0</v>
      </c>
      <c r="I35465" s="16" t="n">
        <f aca="false">IF(AND(Assumptions!$P$60=1,OR(I35383&lt;Assumptions!$K$60,H35732=1)),MIN(MAX(0,-I35599),MAX(0,Assumptions!$D$60-I35458)),0)</f>
        <v>0</v>
      </c>
      <c r="J35465" s="16" t="n">
        <f aca="false">IF(AND(Assumptions!$P$60=1,OR(J35383&lt;Assumptions!$K$60,I35732=1)),MIN(MAX(0,-J35599),MAX(0,Assumptions!$D$60-J35458)),0)</f>
        <v>0</v>
      </c>
      <c r="K35465" s="16" t="n">
        <f aca="false">IF(AND(Assumptions!$P$60=1,OR(K35383&lt;Assumptions!$K$60,J35732=1)),MIN(MAX(0,-K35599),MAX(0,Assumptions!$D$60-K35458)),0)</f>
        <v>0</v>
      </c>
    </row>
    <row r="35466" customFormat="false" ht="15" hidden="false" customHeight="false" outlineLevel="0" collapsed="false">
      <c r="A35466" s="3" t="s">
        <v>336</v>
      </c>
      <c r="G35466" s="16" t="n">
        <f aca="false">G35459*MIN(G35458-G35464+G35463,MAX(0,G35601-Assumptions!$C$12*G35417-G35427-G35440-G35453))</f>
        <v>0</v>
      </c>
      <c r="H35466" s="16" t="n">
        <f aca="false">H35459*MIN(H35458-H35464+H35463,MAX(0,H35601-Assumptions!$C$12*H35417-H35427-H35440-H35453))</f>
        <v>0</v>
      </c>
      <c r="I35466" s="16" t="n">
        <f aca="false">I35459*MIN(I35458-I35464+I35463,MAX(0,I35601-Assumptions!$C$12*I35417-I35427-I35440-I35453))</f>
        <v>0</v>
      </c>
      <c r="J35466" s="16" t="n">
        <f aca="false">J35459*MIN(J35458-J35464+J35463,MAX(0,J35601-Assumptions!$C$12*J35417-J35427-J35440-J35453))</f>
        <v>0</v>
      </c>
      <c r="K35466" s="16" t="n">
        <f aca="false">K35459*MIN(K35458-K35464+K35463,MAX(0,K35601-Assumptions!$C$12*K35417-K35427-K35440-K35453))</f>
        <v>0</v>
      </c>
    </row>
    <row r="35467" customFormat="false" ht="15" hidden="false" customHeight="false" outlineLevel="0" collapsed="false">
      <c r="A35467" s="3" t="s">
        <v>337</v>
      </c>
      <c r="G35467" s="16" t="n">
        <f aca="false">Assumptions!$N$60*MIN(G35458+G35465+G35463-G35464-G35466,MAX(0,G35605-G35428-G35441-G35454))</f>
        <v>0</v>
      </c>
      <c r="H35467" s="16" t="n">
        <f aca="false">Assumptions!$N$60*MIN(H35458+H35465+H35463-H35464-H35466,MAX(0,H35605-H35428-H35441-H35454))</f>
        <v>0</v>
      </c>
      <c r="I35467" s="16" t="n">
        <f aca="false">Assumptions!$N$60*MIN(I35458+I35465+I35463-I35464-I35466,MAX(0,I35605-I35428-I35441-I35454))</f>
        <v>0</v>
      </c>
      <c r="J35467" s="16" t="n">
        <f aca="false">Assumptions!$N$60*MIN(J35458+J35465+J35463-J35464-J35466,MAX(0,J35605-J35428-J35441-J35454))</f>
        <v>0</v>
      </c>
      <c r="K35467" s="16" t="n">
        <f aca="false">Assumptions!$N$60*MIN(K35458+K35465+K35463-K35464-K35466,MAX(0,K35605-K35428-K35441-K35454))</f>
        <v>0</v>
      </c>
    </row>
    <row r="35468" customFormat="false" ht="15" hidden="false" customHeight="false" outlineLevel="0" collapsed="false">
      <c r="A35468" s="3" t="s">
        <v>338</v>
      </c>
      <c r="G35468" s="16" t="n">
        <f aca="false">G35459*(1-G35417)*(G35458-G35464+G35463-G35466)</f>
        <v>0</v>
      </c>
      <c r="H35468" s="16" t="n">
        <f aca="false">H35459*(1-H35417)*(H35458-H35464+H35463-H35466)</f>
        <v>0</v>
      </c>
      <c r="I35468" s="16" t="n">
        <f aca="false">I35459*(1-I35417)*(I35458-I35464+I35463-I35466)</f>
        <v>0</v>
      </c>
      <c r="J35468" s="16" t="n">
        <f aca="false">J35459*(1-J35417)*(J35458-J35464+J35463-J35466)</f>
        <v>0</v>
      </c>
      <c r="K35468" s="16" t="n">
        <f aca="false">K35459*(1-K35417)*(K35458-K35464+K35463-K35466)</f>
        <v>0</v>
      </c>
    </row>
    <row r="35469" customFormat="false" ht="15" hidden="false" customHeight="false" outlineLevel="0" collapsed="false">
      <c r="A35469" s="2" t="s">
        <v>339</v>
      </c>
      <c r="F35469" s="28" t="n">
        <f aca="false">Assumptions!$C$60</f>
        <v>0</v>
      </c>
      <c r="G35469" s="17" t="n">
        <f aca="false">G35458+G35465+G35463-G35464-G35466-G35467</f>
        <v>0</v>
      </c>
      <c r="H35469" s="17" t="n">
        <f aca="false">H35458+H35465+H35463-H35464-H35466-H35467</f>
        <v>0</v>
      </c>
      <c r="I35469" s="17" t="n">
        <f aca="false">I35458+I35465+I35463-I35464-I35466-I35467</f>
        <v>0</v>
      </c>
      <c r="J35469" s="17" t="n">
        <f aca="false">J35458+J35465+J35463-J35464-J35466-J35467</f>
        <v>0</v>
      </c>
      <c r="K35469" s="17" t="n">
        <f aca="false">K35458+K35465+K35463-K35464-K35466-K35467</f>
        <v>0</v>
      </c>
    </row>
    <row r="35470" customFormat="false" ht="15" hidden="false" customHeight="false" outlineLevel="0" collapsed="false">
      <c r="A35470" s="24" t="s">
        <v>343</v>
      </c>
      <c r="B35470" s="25"/>
      <c r="C35470" s="25"/>
      <c r="D35470" s="25"/>
      <c r="E35470" s="25"/>
      <c r="F35470" s="25"/>
      <c r="G35470" s="25"/>
      <c r="H35470" s="25"/>
      <c r="I35470" s="25"/>
      <c r="J35470" s="25"/>
      <c r="K35470" s="25"/>
    </row>
    <row r="35471" customFormat="false" ht="15" hidden="false" customHeight="false" outlineLevel="0" collapsed="false">
      <c r="A35471" s="3" t="s">
        <v>329</v>
      </c>
      <c r="G35471" s="16" t="n">
        <f aca="false">F35482</f>
        <v>450</v>
      </c>
      <c r="H35471" s="16" t="n">
        <f aca="false">G35482</f>
        <v>450</v>
      </c>
      <c r="I35471" s="16" t="n">
        <f aca="false">H35482</f>
        <v>401.446357881</v>
      </c>
      <c r="J35471" s="16" t="n">
        <f aca="false">I35482</f>
        <v>401.446357881</v>
      </c>
      <c r="K35471" s="16" t="n">
        <f aca="false">J35482</f>
        <v>401.446357881</v>
      </c>
    </row>
    <row r="35472" customFormat="false" ht="15" hidden="false" customHeight="false" outlineLevel="0" collapsed="false">
      <c r="A35472" s="3" t="s">
        <v>330</v>
      </c>
      <c r="G35472" s="21" t="n">
        <f aca="false">IF(G35383=Assumptions!$K$61,1,0)</f>
        <v>0</v>
      </c>
      <c r="H35472" s="21" t="n">
        <f aca="false">IF(H35383=Assumptions!$K$61,1,0)</f>
        <v>1</v>
      </c>
      <c r="I35472" s="21" t="n">
        <f aca="false">IF(I35383=Assumptions!$K$61,1,0)</f>
        <v>0</v>
      </c>
      <c r="J35472" s="21" t="n">
        <f aca="false">IF(J35383=Assumptions!$K$61,1,0)</f>
        <v>0</v>
      </c>
      <c r="K35472" s="21" t="n">
        <f aca="false">IF(K35383=Assumptions!$K$61,1,0)</f>
        <v>0</v>
      </c>
    </row>
    <row r="35474" customFormat="false" ht="15" hidden="false" customHeight="false" outlineLevel="0" collapsed="false">
      <c r="A35474" s="3" t="s">
        <v>331</v>
      </c>
      <c r="G35474" s="31" t="n">
        <f aca="false">IF(Assumptions!$I$61=1,MAX(G35409,Assumptions!$G$61)+Assumptions!$F$61+$C$35410,Assumptions!$E$61)</f>
        <v>0.0395</v>
      </c>
      <c r="H35474" s="31" t="n">
        <f aca="false">IF(G35733=1,$C$35411,IF(Assumptions!$I$61=1,MAX(H35409,Assumptions!$G$61)+Assumptions!$F$61+$C$35410,Assumptions!$E$61))</f>
        <v>0.0395</v>
      </c>
      <c r="I35474" s="31" t="n">
        <f aca="false">IF(H35733=1,$C$35411,IF(Assumptions!$I$61=1,MAX(I35409,Assumptions!$G$61)+Assumptions!$F$61+$C$35410,Assumptions!$E$61))</f>
        <v>0.0395</v>
      </c>
      <c r="J35474" s="31" t="n">
        <f aca="false">IF(I35733=1,$C$35411,IF(Assumptions!$I$61=1,MAX(J35409,Assumptions!$G$61)+Assumptions!$F$61+$C$35410,Assumptions!$E$61))</f>
        <v>0.0395</v>
      </c>
      <c r="K35474" s="31" t="n">
        <f aca="false">IF(J35733=1,$C$35411,IF(Assumptions!$I$61=1,MAX(K35409,Assumptions!$G$61)+Assumptions!$F$61+$C$35410,Assumptions!$E$61))</f>
        <v>0.0395</v>
      </c>
    </row>
    <row r="35475" customFormat="false" ht="15" hidden="false" customHeight="false" outlineLevel="0" collapsed="false">
      <c r="A35475" s="3" t="s">
        <v>332</v>
      </c>
      <c r="G35475" s="16" t="n">
        <f aca="false">G35471*G35474</f>
        <v>17.775</v>
      </c>
      <c r="H35475" s="16" t="n">
        <f aca="false">H35471*H35474</f>
        <v>17.775</v>
      </c>
      <c r="I35475" s="16" t="n">
        <f aca="false">I35471*I35474</f>
        <v>15.8571311362995</v>
      </c>
      <c r="J35475" s="16" t="n">
        <f aca="false">J35471*J35474</f>
        <v>15.8571311362995</v>
      </c>
      <c r="K35475" s="16" t="n">
        <f aca="false">K35471*K35474</f>
        <v>15.8571311362995</v>
      </c>
    </row>
    <row r="35476" customFormat="false" ht="15" hidden="false" customHeight="false" outlineLevel="0" collapsed="false">
      <c r="A35476" s="3" t="s">
        <v>333</v>
      </c>
      <c r="G35476" s="16" t="n">
        <f aca="false">G35471*Assumptions!$H$61</f>
        <v>0</v>
      </c>
      <c r="H35476" s="16" t="n">
        <f aca="false">H35471*Assumptions!$H$61</f>
        <v>0</v>
      </c>
      <c r="I35476" s="16" t="n">
        <f aca="false">I35471*Assumptions!$H$61</f>
        <v>0</v>
      </c>
      <c r="J35476" s="16" t="n">
        <f aca="false">J35471*Assumptions!$H$61</f>
        <v>0</v>
      </c>
      <c r="K35476" s="16" t="n">
        <f aca="false">K35471*Assumptions!$H$61</f>
        <v>0</v>
      </c>
    </row>
    <row r="35477" customFormat="false" ht="15" hidden="false" customHeight="false" outlineLevel="0" collapsed="false">
      <c r="A35477" s="3" t="s">
        <v>334</v>
      </c>
      <c r="G35477" s="16" t="n">
        <f aca="false">MIN(G35471,Assumptions!$L$61*Assumptions!$C$61)</f>
        <v>0</v>
      </c>
      <c r="H35477" s="16" t="n">
        <f aca="false">MIN(H35471,Assumptions!$L$61*Assumptions!$C$61)</f>
        <v>0</v>
      </c>
      <c r="I35477" s="16" t="n">
        <f aca="false">MIN(I35471,Assumptions!$L$61*Assumptions!$C$61)</f>
        <v>0</v>
      </c>
      <c r="J35477" s="16" t="n">
        <f aca="false">MIN(J35471,Assumptions!$L$61*Assumptions!$C$61)</f>
        <v>0</v>
      </c>
      <c r="K35477" s="16" t="n">
        <f aca="false">MIN(K35471,Assumptions!$L$61*Assumptions!$C$61)</f>
        <v>0</v>
      </c>
    </row>
    <row r="35478" customFormat="false" ht="15" hidden="false" customHeight="false" outlineLevel="0" collapsed="false">
      <c r="A35478" s="3" t="s">
        <v>335</v>
      </c>
      <c r="G35478" s="16" t="n">
        <f aca="false">IF(AND(Assumptions!$P$61=1,G35383&lt;Assumptions!$K$61),MIN(MAX(0,-G35599),MAX(0,Assumptions!$D$61-G35471)),0)</f>
        <v>0</v>
      </c>
      <c r="H35478" s="16" t="n">
        <f aca="false">IF(AND(Assumptions!$P$61=1,OR(H35383&lt;Assumptions!$K$61,G35733=1)),MIN(MAX(0,-H35599),MAX(0,Assumptions!$D$61-H35471)),0)</f>
        <v>0</v>
      </c>
      <c r="I35478" s="16" t="n">
        <f aca="false">IF(AND(Assumptions!$P$61=1,OR(I35383&lt;Assumptions!$K$61,H35733=1)),MIN(MAX(0,-I35599),MAX(0,Assumptions!$D$61-I35471)),0)</f>
        <v>0</v>
      </c>
      <c r="J35478" s="16" t="n">
        <f aca="false">IF(AND(Assumptions!$P$61=1,OR(J35383&lt;Assumptions!$K$61,I35733=1)),MIN(MAX(0,-J35599),MAX(0,Assumptions!$D$61-J35471)),0)</f>
        <v>0</v>
      </c>
      <c r="K35478" s="16" t="n">
        <f aca="false">IF(AND(Assumptions!$P$61=1,OR(K35383&lt;Assumptions!$K$61,J35733=1)),MIN(MAX(0,-K35599),MAX(0,Assumptions!$D$61-K35471)),0)</f>
        <v>0</v>
      </c>
    </row>
    <row r="35479" customFormat="false" ht="15" hidden="false" customHeight="false" outlineLevel="0" collapsed="false">
      <c r="A35479" s="3" t="s">
        <v>336</v>
      </c>
      <c r="G35479" s="16" t="n">
        <f aca="false">G35472*MIN(G35471-G35477+G35476,MAX(0,G35601-Assumptions!$C$12*G35417-G35427-G35440-G35453-G35466))</f>
        <v>0</v>
      </c>
      <c r="H35479" s="16" t="n">
        <f aca="false">H35472*MIN(H35471-H35477+H35476,MAX(0,H35601-Assumptions!$C$12*H35417-H35427-H35440-H35453-H35466))</f>
        <v>48.553642119</v>
      </c>
      <c r="I35479" s="16" t="n">
        <f aca="false">I35472*MIN(I35471-I35477+I35476,MAX(0,I35601-Assumptions!$C$12*I35417-I35427-I35440-I35453-I35466))</f>
        <v>0</v>
      </c>
      <c r="J35479" s="16" t="n">
        <f aca="false">J35472*MIN(J35471-J35477+J35476,MAX(0,J35601-Assumptions!$C$12*J35417-J35427-J35440-J35453-J35466))</f>
        <v>0</v>
      </c>
      <c r="K35479" s="16" t="n">
        <f aca="false">K35472*MIN(K35471-K35477+K35476,MAX(0,K35601-Assumptions!$C$12*K35417-K35427-K35440-K35453-K35466))</f>
        <v>0</v>
      </c>
    </row>
    <row r="35480" customFormat="false" ht="15" hidden="false" customHeight="false" outlineLevel="0" collapsed="false">
      <c r="A35480" s="3" t="s">
        <v>337</v>
      </c>
      <c r="G35480" s="16" t="n">
        <f aca="false">Assumptions!$N$61*MIN(G35471+G35478+G35476-G35477-G35479,MAX(0,G35605-G35428-G35441-G35454-G35467))</f>
        <v>0</v>
      </c>
      <c r="H35480" s="16" t="n">
        <f aca="false">Assumptions!$N$61*MIN(H35471+H35478+H35476-H35477-H35479,MAX(0,H35605-H35428-H35441-H35454-H35467))</f>
        <v>0</v>
      </c>
      <c r="I35480" s="16" t="n">
        <f aca="false">Assumptions!$N$61*MIN(I35471+I35478+I35476-I35477-I35479,MAX(0,I35605-I35428-I35441-I35454-I35467))</f>
        <v>0</v>
      </c>
      <c r="J35480" s="16" t="n">
        <f aca="false">Assumptions!$N$61*MIN(J35471+J35478+J35476-J35477-J35479,MAX(0,J35605-J35428-J35441-J35454-J35467))</f>
        <v>0</v>
      </c>
      <c r="K35480" s="16" t="n">
        <f aca="false">Assumptions!$N$61*MIN(K35471+K35478+K35476-K35477-K35479,MAX(0,K35605-K35428-K35441-K35454-K35467))</f>
        <v>0</v>
      </c>
    </row>
    <row r="35481" customFormat="false" ht="15" hidden="false" customHeight="false" outlineLevel="0" collapsed="false">
      <c r="A35481" s="3" t="s">
        <v>338</v>
      </c>
      <c r="G35481" s="16" t="n">
        <f aca="false">G35472*(1-G35417)*(G35471-G35477+G35476-G35479)</f>
        <v>0</v>
      </c>
      <c r="H35481" s="16" t="n">
        <f aca="false">H35472*(1-H35417)*(H35471-H35477+H35476-H35479)</f>
        <v>401.446357881</v>
      </c>
      <c r="I35481" s="16" t="n">
        <f aca="false">I35472*(1-I35417)*(I35471-I35477+I35476-I35479)</f>
        <v>0</v>
      </c>
      <c r="J35481" s="16" t="n">
        <f aca="false">J35472*(1-J35417)*(J35471-J35477+J35476-J35479)</f>
        <v>0</v>
      </c>
      <c r="K35481" s="16" t="n">
        <f aca="false">K35472*(1-K35417)*(K35471-K35477+K35476-K35479)</f>
        <v>0</v>
      </c>
    </row>
    <row r="35482" customFormat="false" ht="15" hidden="false" customHeight="false" outlineLevel="0" collapsed="false">
      <c r="A35482" s="2" t="s">
        <v>339</v>
      </c>
      <c r="F35482" s="28" t="n">
        <f aca="false">Assumptions!$C$61</f>
        <v>450</v>
      </c>
      <c r="G35482" s="17" t="n">
        <f aca="false">G35471+G35478+G35476-G35477-G35479-G35480</f>
        <v>450</v>
      </c>
      <c r="H35482" s="17" t="n">
        <f aca="false">H35471+H35478+H35476-H35477-H35479-H35480</f>
        <v>401.446357881</v>
      </c>
      <c r="I35482" s="17" t="n">
        <f aca="false">I35471+I35478+I35476-I35477-I35479-I35480</f>
        <v>401.446357881</v>
      </c>
      <c r="J35482" s="17" t="n">
        <f aca="false">J35471+J35478+J35476-J35477-J35479-J35480</f>
        <v>401.446357881</v>
      </c>
      <c r="K35482" s="17" t="n">
        <f aca="false">K35471+K35478+K35476-K35477-K35479-K35480</f>
        <v>401.446357881</v>
      </c>
    </row>
    <row r="35483" customFormat="false" ht="15" hidden="false" customHeight="false" outlineLevel="0" collapsed="false">
      <c r="A35483" s="24" t="s">
        <v>344</v>
      </c>
      <c r="B35483" s="25"/>
      <c r="C35483" s="25"/>
      <c r="D35483" s="25"/>
      <c r="E35483" s="25"/>
      <c r="F35483" s="25"/>
      <c r="G35483" s="25"/>
      <c r="H35483" s="25"/>
      <c r="I35483" s="25"/>
      <c r="J35483" s="25"/>
      <c r="K35483" s="25"/>
    </row>
    <row r="35484" customFormat="false" ht="15" hidden="false" customHeight="false" outlineLevel="0" collapsed="false">
      <c r="A35484" s="3" t="s">
        <v>329</v>
      </c>
      <c r="G35484" s="16" t="n">
        <f aca="false">F35495</f>
        <v>350</v>
      </c>
      <c r="H35484" s="16" t="n">
        <f aca="false">G35495</f>
        <v>350</v>
      </c>
      <c r="I35484" s="16" t="n">
        <f aca="false">H35495</f>
        <v>350</v>
      </c>
      <c r="J35484" s="16" t="n">
        <f aca="false">I35495</f>
        <v>350</v>
      </c>
      <c r="K35484" s="16" t="n">
        <f aca="false">J35495</f>
        <v>350</v>
      </c>
    </row>
    <row r="35485" customFormat="false" ht="15" hidden="false" customHeight="false" outlineLevel="0" collapsed="false">
      <c r="A35485" s="3" t="s">
        <v>330</v>
      </c>
      <c r="G35485" s="21" t="n">
        <f aca="false">IF(G35383=Assumptions!$K$62,1,0)</f>
        <v>0</v>
      </c>
      <c r="H35485" s="21" t="n">
        <f aca="false">IF(H35383=Assumptions!$K$62,1,0)</f>
        <v>1</v>
      </c>
      <c r="I35485" s="21" t="n">
        <f aca="false">IF(I35383=Assumptions!$K$62,1,0)</f>
        <v>0</v>
      </c>
      <c r="J35485" s="21" t="n">
        <f aca="false">IF(J35383=Assumptions!$K$62,1,0)</f>
        <v>0</v>
      </c>
      <c r="K35485" s="21" t="n">
        <f aca="false">IF(K35383=Assumptions!$K$62,1,0)</f>
        <v>0</v>
      </c>
    </row>
    <row r="35487" customFormat="false" ht="15" hidden="false" customHeight="false" outlineLevel="0" collapsed="false">
      <c r="A35487" s="3" t="s">
        <v>331</v>
      </c>
      <c r="G35487" s="31" t="n">
        <f aca="false">IF(Assumptions!$I$62=1,MAX(G35409,Assumptions!$G$62)+Assumptions!$F$62+$C$35410,Assumptions!$E$62)</f>
        <v>0.083</v>
      </c>
      <c r="H35487" s="31" t="n">
        <f aca="false">IF(G35734=1,$C$35411,IF(Assumptions!$I$62=1,MAX(H35409,Assumptions!$G$62)+Assumptions!$F$62+$C$35410,Assumptions!$E$62))</f>
        <v>0.083</v>
      </c>
      <c r="I35487" s="31" t="n">
        <f aca="false">IF(H35734=1,$C$35411,IF(Assumptions!$I$62=1,MAX(I35409,Assumptions!$G$62)+Assumptions!$F$62+$C$35410,Assumptions!$E$62))</f>
        <v>0.083</v>
      </c>
      <c r="J35487" s="31" t="n">
        <f aca="false">IF(I35734=1,$C$35411,IF(Assumptions!$I$62=1,MAX(J35409,Assumptions!$G$62)+Assumptions!$F$62+$C$35410,Assumptions!$E$62))</f>
        <v>0.083</v>
      </c>
      <c r="K35487" s="31" t="n">
        <f aca="false">IF(J35734=1,$C$35411,IF(Assumptions!$I$62=1,MAX(K35409,Assumptions!$G$62)+Assumptions!$F$62+$C$35410,Assumptions!$E$62))</f>
        <v>0.083</v>
      </c>
    </row>
    <row r="35488" customFormat="false" ht="15" hidden="false" customHeight="false" outlineLevel="0" collapsed="false">
      <c r="A35488" s="3" t="s">
        <v>332</v>
      </c>
      <c r="G35488" s="16" t="n">
        <f aca="false">G35484*G35487</f>
        <v>29.05</v>
      </c>
      <c r="H35488" s="16" t="n">
        <f aca="false">H35484*H35487</f>
        <v>29.05</v>
      </c>
      <c r="I35488" s="16" t="n">
        <f aca="false">I35484*I35487</f>
        <v>29.05</v>
      </c>
      <c r="J35488" s="16" t="n">
        <f aca="false">J35484*J35487</f>
        <v>29.05</v>
      </c>
      <c r="K35488" s="16" t="n">
        <f aca="false">K35484*K35487</f>
        <v>29.05</v>
      </c>
    </row>
    <row r="35489" customFormat="false" ht="15" hidden="false" customHeight="false" outlineLevel="0" collapsed="false">
      <c r="A35489" s="3" t="s">
        <v>333</v>
      </c>
      <c r="G35489" s="16" t="n">
        <f aca="false">G35484*Assumptions!$H$62</f>
        <v>0</v>
      </c>
      <c r="H35489" s="16" t="n">
        <f aca="false">H35484*Assumptions!$H$62</f>
        <v>0</v>
      </c>
      <c r="I35489" s="16" t="n">
        <f aca="false">I35484*Assumptions!$H$62</f>
        <v>0</v>
      </c>
      <c r="J35489" s="16" t="n">
        <f aca="false">J35484*Assumptions!$H$62</f>
        <v>0</v>
      </c>
      <c r="K35489" s="16" t="n">
        <f aca="false">K35484*Assumptions!$H$62</f>
        <v>0</v>
      </c>
    </row>
    <row r="35490" customFormat="false" ht="15" hidden="false" customHeight="false" outlineLevel="0" collapsed="false">
      <c r="A35490" s="3" t="s">
        <v>334</v>
      </c>
      <c r="G35490" s="16" t="n">
        <f aca="false">MIN(G35484,Assumptions!$L$62*Assumptions!$C$62)</f>
        <v>0</v>
      </c>
      <c r="H35490" s="16" t="n">
        <f aca="false">MIN(H35484,Assumptions!$L$62*Assumptions!$C$62)</f>
        <v>0</v>
      </c>
      <c r="I35490" s="16" t="n">
        <f aca="false">MIN(I35484,Assumptions!$L$62*Assumptions!$C$62)</f>
        <v>0</v>
      </c>
      <c r="J35490" s="16" t="n">
        <f aca="false">MIN(J35484,Assumptions!$L$62*Assumptions!$C$62)</f>
        <v>0</v>
      </c>
      <c r="K35490" s="16" t="n">
        <f aca="false">MIN(K35484,Assumptions!$L$62*Assumptions!$C$62)</f>
        <v>0</v>
      </c>
    </row>
    <row r="35491" customFormat="false" ht="15" hidden="false" customHeight="false" outlineLevel="0" collapsed="false">
      <c r="A35491" s="3" t="s">
        <v>335</v>
      </c>
      <c r="G35491" s="16" t="n">
        <f aca="false">IF(AND(Assumptions!$P$62=1,G35383&lt;Assumptions!$K$62),MIN(MAX(0,-G35599),MAX(0,Assumptions!$D$62-G35484)),0)</f>
        <v>0</v>
      </c>
      <c r="H35491" s="16" t="n">
        <f aca="false">IF(AND(Assumptions!$P$62=1,OR(H35383&lt;Assumptions!$K$62,G35734=1)),MIN(MAX(0,-H35599),MAX(0,Assumptions!$D$62-H35484)),0)</f>
        <v>0</v>
      </c>
      <c r="I35491" s="16" t="n">
        <f aca="false">IF(AND(Assumptions!$P$62=1,OR(I35383&lt;Assumptions!$K$62,H35734=1)),MIN(MAX(0,-I35599),MAX(0,Assumptions!$D$62-I35484)),0)</f>
        <v>0</v>
      </c>
      <c r="J35491" s="16" t="n">
        <f aca="false">IF(AND(Assumptions!$P$62=1,OR(J35383&lt;Assumptions!$K$62,I35734=1)),MIN(MAX(0,-J35599),MAX(0,Assumptions!$D$62-J35484)),0)</f>
        <v>0</v>
      </c>
      <c r="K35491" s="16" t="n">
        <f aca="false">IF(AND(Assumptions!$P$62=1,OR(K35383&lt;Assumptions!$K$62,J35734=1)),MIN(MAX(0,-K35599),MAX(0,Assumptions!$D$62-K35484)),0)</f>
        <v>0</v>
      </c>
    </row>
    <row r="35492" customFormat="false" ht="15" hidden="false" customHeight="false" outlineLevel="0" collapsed="false">
      <c r="A35492" s="3" t="s">
        <v>336</v>
      </c>
      <c r="G35492" s="16" t="n">
        <f aca="false">G35485*MIN(G35484-G35490+G35489,MAX(0,G35601-Assumptions!$C$12*G35417-G35427-G35440-G35453-G35466-G35479))</f>
        <v>0</v>
      </c>
      <c r="H35492" s="16" t="n">
        <f aca="false">H35485*MIN(H35484-H35490+H35489,MAX(0,H35601-Assumptions!$C$12*H35417-H35427-H35440-H35453-H35466-H35479))</f>
        <v>0</v>
      </c>
      <c r="I35492" s="16" t="n">
        <f aca="false">I35485*MIN(I35484-I35490+I35489,MAX(0,I35601-Assumptions!$C$12*I35417-I35427-I35440-I35453-I35466-I35479))</f>
        <v>0</v>
      </c>
      <c r="J35492" s="16" t="n">
        <f aca="false">J35485*MIN(J35484-J35490+J35489,MAX(0,J35601-Assumptions!$C$12*J35417-J35427-J35440-J35453-J35466-J35479))</f>
        <v>0</v>
      </c>
      <c r="K35492" s="16" t="n">
        <f aca="false">K35485*MIN(K35484-K35490+K35489,MAX(0,K35601-Assumptions!$C$12*K35417-K35427-K35440-K35453-K35466-K35479))</f>
        <v>0</v>
      </c>
    </row>
    <row r="35493" customFormat="false" ht="15" hidden="false" customHeight="false" outlineLevel="0" collapsed="false">
      <c r="A35493" s="3" t="s">
        <v>337</v>
      </c>
      <c r="G35493" s="16" t="n">
        <f aca="false">Assumptions!$N$62*MIN(G35484+G35491+G35489-G35490-G35492,MAX(0,G35605-G35428-G35441-G35454-G35467-G35480))</f>
        <v>0</v>
      </c>
      <c r="H35493" s="16" t="n">
        <f aca="false">Assumptions!$N$62*MIN(H35484+H35491+H35489-H35490-H35492,MAX(0,H35605-H35428-H35441-H35454-H35467-H35480))</f>
        <v>0</v>
      </c>
      <c r="I35493" s="16" t="n">
        <f aca="false">Assumptions!$N$62*MIN(I35484+I35491+I35489-I35490-I35492,MAX(0,I35605-I35428-I35441-I35454-I35467-I35480))</f>
        <v>0</v>
      </c>
      <c r="J35493" s="16" t="n">
        <f aca="false">Assumptions!$N$62*MIN(J35484+J35491+J35489-J35490-J35492,MAX(0,J35605-J35428-J35441-J35454-J35467-J35480))</f>
        <v>0</v>
      </c>
      <c r="K35493" s="16" t="n">
        <f aca="false">Assumptions!$N$62*MIN(K35484+K35491+K35489-K35490-K35492,MAX(0,K35605-K35428-K35441-K35454-K35467-K35480))</f>
        <v>0</v>
      </c>
    </row>
    <row r="35494" customFormat="false" ht="15" hidden="false" customHeight="false" outlineLevel="0" collapsed="false">
      <c r="A35494" s="3" t="s">
        <v>338</v>
      </c>
      <c r="G35494" s="16" t="n">
        <f aca="false">G35485*(1-G35417)*(G35484-G35490+G35489-G35492)</f>
        <v>0</v>
      </c>
      <c r="H35494" s="16" t="n">
        <f aca="false">H35485*(1-H35417)*(H35484-H35490+H35489-H35492)</f>
        <v>350</v>
      </c>
      <c r="I35494" s="16" t="n">
        <f aca="false">I35485*(1-I35417)*(I35484-I35490+I35489-I35492)</f>
        <v>0</v>
      </c>
      <c r="J35494" s="16" t="n">
        <f aca="false">J35485*(1-J35417)*(J35484-J35490+J35489-J35492)</f>
        <v>0</v>
      </c>
      <c r="K35494" s="16" t="n">
        <f aca="false">K35485*(1-K35417)*(K35484-K35490+K35489-K35492)</f>
        <v>0</v>
      </c>
    </row>
    <row r="35495" customFormat="false" ht="15" hidden="false" customHeight="false" outlineLevel="0" collapsed="false">
      <c r="A35495" s="2" t="s">
        <v>339</v>
      </c>
      <c r="F35495" s="28" t="n">
        <f aca="false">Assumptions!$C$62</f>
        <v>350</v>
      </c>
      <c r="G35495" s="17" t="n">
        <f aca="false">G35484+G35491+G35489-G35490-G35492-G35493</f>
        <v>350</v>
      </c>
      <c r="H35495" s="17" t="n">
        <f aca="false">H35484+H35491+H35489-H35490-H35492-H35493</f>
        <v>350</v>
      </c>
      <c r="I35495" s="17" t="n">
        <f aca="false">I35484+I35491+I35489-I35490-I35492-I35493</f>
        <v>350</v>
      </c>
      <c r="J35495" s="17" t="n">
        <f aca="false">J35484+J35491+J35489-J35490-J35492-J35493</f>
        <v>350</v>
      </c>
      <c r="K35495" s="17" t="n">
        <f aca="false">K35484+K35491+K35489-K35490-K35492-K35493</f>
        <v>350</v>
      </c>
    </row>
    <row r="35496" customFormat="false" ht="15" hidden="false" customHeight="false" outlineLevel="0" collapsed="false">
      <c r="A35496" s="24" t="s">
        <v>345</v>
      </c>
      <c r="B35496" s="25"/>
      <c r="C35496" s="25"/>
      <c r="D35496" s="25"/>
      <c r="E35496" s="25"/>
      <c r="F35496" s="25"/>
      <c r="G35496" s="25"/>
      <c r="H35496" s="25"/>
      <c r="I35496" s="25"/>
      <c r="J35496" s="25"/>
      <c r="K35496" s="25"/>
    </row>
    <row r="35497" customFormat="false" ht="15" hidden="false" customHeight="false" outlineLevel="0" collapsed="false">
      <c r="A35497" s="3" t="s">
        <v>329</v>
      </c>
      <c r="G35497" s="16" t="n">
        <f aca="false">F35508</f>
        <v>550</v>
      </c>
      <c r="H35497" s="16" t="n">
        <f aca="false">G35508</f>
        <v>550</v>
      </c>
      <c r="I35497" s="16" t="n">
        <f aca="false">H35508</f>
        <v>550</v>
      </c>
      <c r="J35497" s="16" t="n">
        <f aca="false">I35508</f>
        <v>550</v>
      </c>
      <c r="K35497" s="16" t="n">
        <f aca="false">J35508</f>
        <v>550</v>
      </c>
    </row>
    <row r="35498" customFormat="false" ht="15" hidden="false" customHeight="false" outlineLevel="0" collapsed="false">
      <c r="A35498" s="3" t="s">
        <v>330</v>
      </c>
      <c r="G35498" s="21" t="n">
        <f aca="false">IF(G35383=Assumptions!$K$63,1,0)</f>
        <v>0</v>
      </c>
      <c r="H35498" s="21" t="n">
        <f aca="false">IF(H35383=Assumptions!$K$63,1,0)</f>
        <v>0</v>
      </c>
      <c r="I35498" s="21" t="n">
        <f aca="false">IF(I35383=Assumptions!$K$63,1,0)</f>
        <v>1</v>
      </c>
      <c r="J35498" s="21" t="n">
        <f aca="false">IF(J35383=Assumptions!$K$63,1,0)</f>
        <v>0</v>
      </c>
      <c r="K35498" s="21" t="n">
        <f aca="false">IF(K35383=Assumptions!$K$63,1,0)</f>
        <v>0</v>
      </c>
    </row>
    <row r="35500" customFormat="false" ht="15" hidden="false" customHeight="false" outlineLevel="0" collapsed="false">
      <c r="A35500" s="3" t="s">
        <v>331</v>
      </c>
      <c r="G35500" s="31" t="n">
        <f aca="false">IF(Assumptions!$I$63=1,MAX(G35409,Assumptions!$G$63)+Assumptions!$F$63+$C$35410,Assumptions!$E$63)</f>
        <v>0.08875</v>
      </c>
      <c r="H35500" s="31" t="n">
        <f aca="false">IF(G35735=1,$C$35411,IF(Assumptions!$I$63=1,MAX(H35409,Assumptions!$G$63)+Assumptions!$F$63+$C$35410,Assumptions!$E$63))</f>
        <v>0.08875</v>
      </c>
      <c r="I35500" s="31" t="n">
        <f aca="false">IF(H35735=1,$C$35411,IF(Assumptions!$I$63=1,MAX(I35409,Assumptions!$G$63)+Assumptions!$F$63+$C$35410,Assumptions!$E$63))</f>
        <v>0.08875</v>
      </c>
      <c r="J35500" s="31" t="n">
        <f aca="false">IF(I35735=1,$C$35411,IF(Assumptions!$I$63=1,MAX(J35409,Assumptions!$G$63)+Assumptions!$F$63+$C$35410,Assumptions!$E$63))</f>
        <v>0.08875</v>
      </c>
      <c r="K35500" s="31" t="n">
        <f aca="false">IF(J35735=1,$C$35411,IF(Assumptions!$I$63=1,MAX(K35409,Assumptions!$G$63)+Assumptions!$F$63+$C$35410,Assumptions!$E$63))</f>
        <v>0.08875</v>
      </c>
    </row>
    <row r="35501" customFormat="false" ht="15" hidden="false" customHeight="false" outlineLevel="0" collapsed="false">
      <c r="A35501" s="3" t="s">
        <v>332</v>
      </c>
      <c r="G35501" s="16" t="n">
        <f aca="false">G35497*G35500</f>
        <v>48.8125</v>
      </c>
      <c r="H35501" s="16" t="n">
        <f aca="false">H35497*H35500</f>
        <v>48.8125</v>
      </c>
      <c r="I35501" s="16" t="n">
        <f aca="false">I35497*I35500</f>
        <v>48.8125</v>
      </c>
      <c r="J35501" s="16" t="n">
        <f aca="false">J35497*J35500</f>
        <v>48.8125</v>
      </c>
      <c r="K35501" s="16" t="n">
        <f aca="false">K35497*K35500</f>
        <v>48.8125</v>
      </c>
    </row>
    <row r="35502" customFormat="false" ht="15" hidden="false" customHeight="false" outlineLevel="0" collapsed="false">
      <c r="A35502" s="3" t="s">
        <v>333</v>
      </c>
      <c r="G35502" s="16" t="n">
        <f aca="false">G35497*Assumptions!$H$63</f>
        <v>0</v>
      </c>
      <c r="H35502" s="16" t="n">
        <f aca="false">H35497*Assumptions!$H$63</f>
        <v>0</v>
      </c>
      <c r="I35502" s="16" t="n">
        <f aca="false">I35497*Assumptions!$H$63</f>
        <v>0</v>
      </c>
      <c r="J35502" s="16" t="n">
        <f aca="false">J35497*Assumptions!$H$63</f>
        <v>0</v>
      </c>
      <c r="K35502" s="16" t="n">
        <f aca="false">K35497*Assumptions!$H$63</f>
        <v>0</v>
      </c>
    </row>
    <row r="35503" customFormat="false" ht="15" hidden="false" customHeight="false" outlineLevel="0" collapsed="false">
      <c r="A35503" s="3" t="s">
        <v>334</v>
      </c>
      <c r="G35503" s="16" t="n">
        <f aca="false">MIN(G35497,Assumptions!$L$63*Assumptions!$C$63)</f>
        <v>0</v>
      </c>
      <c r="H35503" s="16" t="n">
        <f aca="false">MIN(H35497,Assumptions!$L$63*Assumptions!$C$63)</f>
        <v>0</v>
      </c>
      <c r="I35503" s="16" t="n">
        <f aca="false">MIN(I35497,Assumptions!$L$63*Assumptions!$C$63)</f>
        <v>0</v>
      </c>
      <c r="J35503" s="16" t="n">
        <f aca="false">MIN(J35497,Assumptions!$L$63*Assumptions!$C$63)</f>
        <v>0</v>
      </c>
      <c r="K35503" s="16" t="n">
        <f aca="false">MIN(K35497,Assumptions!$L$63*Assumptions!$C$63)</f>
        <v>0</v>
      </c>
    </row>
    <row r="35504" customFormat="false" ht="15" hidden="false" customHeight="false" outlineLevel="0" collapsed="false">
      <c r="A35504" s="3" t="s">
        <v>335</v>
      </c>
      <c r="G35504" s="16" t="n">
        <f aca="false">IF(AND(Assumptions!$P$63=1,G35383&lt;Assumptions!$K$63),MIN(MAX(0,-G35599),MAX(0,Assumptions!$D$63-G35497)),0)</f>
        <v>0</v>
      </c>
      <c r="H35504" s="16" t="n">
        <f aca="false">IF(AND(Assumptions!$P$63=1,OR(H35383&lt;Assumptions!$K$63,G35735=1)),MIN(MAX(0,-H35599),MAX(0,Assumptions!$D$63-H35497)),0)</f>
        <v>0</v>
      </c>
      <c r="I35504" s="16" t="n">
        <f aca="false">IF(AND(Assumptions!$P$63=1,OR(I35383&lt;Assumptions!$K$63,H35735=1)),MIN(MAX(0,-I35599),MAX(0,Assumptions!$D$63-I35497)),0)</f>
        <v>0</v>
      </c>
      <c r="J35504" s="16" t="n">
        <f aca="false">IF(AND(Assumptions!$P$63=1,OR(J35383&lt;Assumptions!$K$63,I35735=1)),MIN(MAX(0,-J35599),MAX(0,Assumptions!$D$63-J35497)),0)</f>
        <v>0</v>
      </c>
      <c r="K35504" s="16" t="n">
        <f aca="false">IF(AND(Assumptions!$P$63=1,OR(K35383&lt;Assumptions!$K$63,J35735=1)),MIN(MAX(0,-K35599),MAX(0,Assumptions!$D$63-K35497)),0)</f>
        <v>0</v>
      </c>
    </row>
    <row r="35505" customFormat="false" ht="15" hidden="false" customHeight="false" outlineLevel="0" collapsed="false">
      <c r="A35505" s="3" t="s">
        <v>336</v>
      </c>
      <c r="G35505" s="16" t="n">
        <f aca="false">G35498*MIN(G35497-G35503+G35502,MAX(0,G35601-Assumptions!$C$12*G35417-G35427-G35440-G35453-G35466-G35479-G35492))</f>
        <v>0</v>
      </c>
      <c r="H35505" s="16" t="n">
        <f aca="false">H35498*MIN(H35497-H35503+H35502,MAX(0,H35601-Assumptions!$C$12*H35417-H35427-H35440-H35453-H35466-H35479-H35492))</f>
        <v>0</v>
      </c>
      <c r="I35505" s="16" t="n">
        <f aca="false">I35498*MIN(I35497-I35503+I35502,MAX(0,I35601-Assumptions!$C$12*I35417-I35427-I35440-I35453-I35466-I35479-I35492))</f>
        <v>0</v>
      </c>
      <c r="J35505" s="16" t="n">
        <f aca="false">J35498*MIN(J35497-J35503+J35502,MAX(0,J35601-Assumptions!$C$12*J35417-J35427-J35440-J35453-J35466-J35479-J35492))</f>
        <v>0</v>
      </c>
      <c r="K35505" s="16" t="n">
        <f aca="false">K35498*MIN(K35497-K35503+K35502,MAX(0,K35601-Assumptions!$C$12*K35417-K35427-K35440-K35453-K35466-K35479-K35492))</f>
        <v>0</v>
      </c>
    </row>
    <row r="35506" customFormat="false" ht="15" hidden="false" customHeight="false" outlineLevel="0" collapsed="false">
      <c r="A35506" s="3" t="s">
        <v>337</v>
      </c>
      <c r="G35506" s="16" t="n">
        <f aca="false">Assumptions!$N$63*MIN(G35497+G35504+G35502-G35503-G35505,MAX(0,G35605-G35428-G35441-G35454-G35467-G35480-G35493))</f>
        <v>0</v>
      </c>
      <c r="H35506" s="16" t="n">
        <f aca="false">Assumptions!$N$63*MIN(H35497+H35504+H35502-H35503-H35505,MAX(0,H35605-H35428-H35441-H35454-H35467-H35480-H35493))</f>
        <v>0</v>
      </c>
      <c r="I35506" s="16" t="n">
        <f aca="false">Assumptions!$N$63*MIN(I35497+I35504+I35502-I35503-I35505,MAX(0,I35605-I35428-I35441-I35454-I35467-I35480-I35493))</f>
        <v>0</v>
      </c>
      <c r="J35506" s="16" t="n">
        <f aca="false">Assumptions!$N$63*MIN(J35497+J35504+J35502-J35503-J35505,MAX(0,J35605-J35428-J35441-J35454-J35467-J35480-J35493))</f>
        <v>0</v>
      </c>
      <c r="K35506" s="16" t="n">
        <f aca="false">Assumptions!$N$63*MIN(K35497+K35504+K35502-K35503-K35505,MAX(0,K35605-K35428-K35441-K35454-K35467-K35480-K35493))</f>
        <v>0</v>
      </c>
    </row>
    <row r="35507" customFormat="false" ht="15" hidden="false" customHeight="false" outlineLevel="0" collapsed="false">
      <c r="A35507" s="3" t="s">
        <v>338</v>
      </c>
      <c r="G35507" s="16" t="n">
        <f aca="false">G35498*(1-G35417)*(G35497-G35503+G35502-G35505)</f>
        <v>0</v>
      </c>
      <c r="H35507" s="16" t="n">
        <f aca="false">H35498*(1-H35417)*(H35497-H35503+H35502-H35505)</f>
        <v>0</v>
      </c>
      <c r="I35507" s="16" t="n">
        <f aca="false">I35498*(1-I35417)*(I35497-I35503+I35502-I35505)</f>
        <v>550</v>
      </c>
      <c r="J35507" s="16" t="n">
        <f aca="false">J35498*(1-J35417)*(J35497-J35503+J35502-J35505)</f>
        <v>0</v>
      </c>
      <c r="K35507" s="16" t="n">
        <f aca="false">K35498*(1-K35417)*(K35497-K35503+K35502-K35505)</f>
        <v>0</v>
      </c>
    </row>
    <row r="35508" customFormat="false" ht="15" hidden="false" customHeight="false" outlineLevel="0" collapsed="false">
      <c r="A35508" s="2" t="s">
        <v>339</v>
      </c>
      <c r="F35508" s="28" t="n">
        <f aca="false">Assumptions!$C$63</f>
        <v>550</v>
      </c>
      <c r="G35508" s="17" t="n">
        <f aca="false">G35497+G35504+G35502-G35503-G35505-G35506</f>
        <v>550</v>
      </c>
      <c r="H35508" s="17" t="n">
        <f aca="false">H35497+H35504+H35502-H35503-H35505-H35506</f>
        <v>550</v>
      </c>
      <c r="I35508" s="17" t="n">
        <f aca="false">I35497+I35504+I35502-I35503-I35505-I35506</f>
        <v>550</v>
      </c>
      <c r="J35508" s="17" t="n">
        <f aca="false">J35497+J35504+J35502-J35503-J35505-J35506</f>
        <v>550</v>
      </c>
      <c r="K35508" s="17" t="n">
        <f aca="false">K35497+K35504+K35502-K35503-K35505-K35506</f>
        <v>550</v>
      </c>
    </row>
    <row r="35509" customFormat="false" ht="15" hidden="false" customHeight="false" outlineLevel="0" collapsed="false">
      <c r="A35509" s="24" t="s">
        <v>346</v>
      </c>
      <c r="B35509" s="25"/>
      <c r="C35509" s="25"/>
      <c r="D35509" s="25"/>
      <c r="E35509" s="25"/>
      <c r="F35509" s="25"/>
      <c r="G35509" s="25"/>
      <c r="H35509" s="25"/>
      <c r="I35509" s="25"/>
      <c r="J35509" s="25"/>
      <c r="K35509" s="25"/>
    </row>
    <row r="35510" customFormat="false" ht="15" hidden="false" customHeight="false" outlineLevel="0" collapsed="false">
      <c r="A35510" s="3" t="s">
        <v>329</v>
      </c>
      <c r="G35510" s="16" t="n">
        <f aca="false">F35521</f>
        <v>350</v>
      </c>
      <c r="H35510" s="16" t="n">
        <f aca="false">G35521</f>
        <v>350</v>
      </c>
      <c r="I35510" s="16" t="n">
        <f aca="false">H35521</f>
        <v>350</v>
      </c>
      <c r="J35510" s="16" t="n">
        <f aca="false">I35521</f>
        <v>350</v>
      </c>
      <c r="K35510" s="16" t="n">
        <f aca="false">J35521</f>
        <v>350</v>
      </c>
    </row>
    <row r="35511" customFormat="false" ht="15" hidden="false" customHeight="false" outlineLevel="0" collapsed="false">
      <c r="A35511" s="3" t="s">
        <v>330</v>
      </c>
      <c r="G35511" s="21" t="n">
        <f aca="false">IF(G35383=Assumptions!$K$64,1,0)</f>
        <v>0</v>
      </c>
      <c r="H35511" s="21" t="n">
        <f aca="false">IF(H35383=Assumptions!$K$64,1,0)</f>
        <v>0</v>
      </c>
      <c r="I35511" s="21" t="n">
        <f aca="false">IF(I35383=Assumptions!$K$64,1,0)</f>
        <v>0</v>
      </c>
      <c r="J35511" s="21" t="n">
        <f aca="false">IF(J35383=Assumptions!$K$64,1,0)</f>
        <v>1</v>
      </c>
      <c r="K35511" s="21" t="n">
        <f aca="false">IF(K35383=Assumptions!$K$64,1,0)</f>
        <v>0</v>
      </c>
    </row>
    <row r="35513" customFormat="false" ht="15" hidden="false" customHeight="false" outlineLevel="0" collapsed="false">
      <c r="A35513" s="3" t="s">
        <v>331</v>
      </c>
      <c r="G35513" s="31" t="n">
        <f aca="false">IF(Assumptions!$I$64=1,MAX(G35409,Assumptions!$G$64)+Assumptions!$F$64+$C$35410,Assumptions!$E$64)</f>
        <v>0.0455</v>
      </c>
      <c r="H35513" s="31" t="n">
        <f aca="false">IF(G35736=1,$C$35411,IF(Assumptions!$I$64=1,MAX(H35409,Assumptions!$G$64)+Assumptions!$F$64+$C$35410,Assumptions!$E$64))</f>
        <v>0.0455</v>
      </c>
      <c r="I35513" s="31" t="n">
        <f aca="false">IF(H35736=1,$C$35411,IF(Assumptions!$I$64=1,MAX(I35409,Assumptions!$G$64)+Assumptions!$F$64+$C$35410,Assumptions!$E$64))</f>
        <v>0.0455</v>
      </c>
      <c r="J35513" s="31" t="n">
        <f aca="false">IF(I35736=1,$C$35411,IF(Assumptions!$I$64=1,MAX(J35409,Assumptions!$G$64)+Assumptions!$F$64+$C$35410,Assumptions!$E$64))</f>
        <v>0.0455</v>
      </c>
      <c r="K35513" s="31" t="n">
        <f aca="false">IF(J35736=1,$C$35411,IF(Assumptions!$I$64=1,MAX(K35409,Assumptions!$G$64)+Assumptions!$F$64+$C$35410,Assumptions!$E$64))</f>
        <v>0.0455</v>
      </c>
    </row>
    <row r="35514" customFormat="false" ht="15" hidden="false" customHeight="false" outlineLevel="0" collapsed="false">
      <c r="A35514" s="3" t="s">
        <v>332</v>
      </c>
      <c r="G35514" s="16" t="n">
        <f aca="false">G35510*G35513</f>
        <v>15.925</v>
      </c>
      <c r="H35514" s="16" t="n">
        <f aca="false">H35510*H35513</f>
        <v>15.925</v>
      </c>
      <c r="I35514" s="16" t="n">
        <f aca="false">I35510*I35513</f>
        <v>15.925</v>
      </c>
      <c r="J35514" s="16" t="n">
        <f aca="false">J35510*J35513</f>
        <v>15.925</v>
      </c>
      <c r="K35514" s="16" t="n">
        <f aca="false">K35510*K35513</f>
        <v>15.925</v>
      </c>
    </row>
    <row r="35515" customFormat="false" ht="15" hidden="false" customHeight="false" outlineLevel="0" collapsed="false">
      <c r="A35515" s="3" t="s">
        <v>333</v>
      </c>
      <c r="G35515" s="16" t="n">
        <f aca="false">G35510*Assumptions!$H$64</f>
        <v>0</v>
      </c>
      <c r="H35515" s="16" t="n">
        <f aca="false">H35510*Assumptions!$H$64</f>
        <v>0</v>
      </c>
      <c r="I35515" s="16" t="n">
        <f aca="false">I35510*Assumptions!$H$64</f>
        <v>0</v>
      </c>
      <c r="J35515" s="16" t="n">
        <f aca="false">J35510*Assumptions!$H$64</f>
        <v>0</v>
      </c>
      <c r="K35515" s="16" t="n">
        <f aca="false">K35510*Assumptions!$H$64</f>
        <v>0</v>
      </c>
    </row>
    <row r="35516" customFormat="false" ht="15" hidden="false" customHeight="false" outlineLevel="0" collapsed="false">
      <c r="A35516" s="3" t="s">
        <v>334</v>
      </c>
      <c r="G35516" s="16" t="n">
        <f aca="false">MIN(G35510,Assumptions!$L$64*Assumptions!$C$64)</f>
        <v>0</v>
      </c>
      <c r="H35516" s="16" t="n">
        <f aca="false">MIN(H35510,Assumptions!$L$64*Assumptions!$C$64)</f>
        <v>0</v>
      </c>
      <c r="I35516" s="16" t="n">
        <f aca="false">MIN(I35510,Assumptions!$L$64*Assumptions!$C$64)</f>
        <v>0</v>
      </c>
      <c r="J35516" s="16" t="n">
        <f aca="false">MIN(J35510,Assumptions!$L$64*Assumptions!$C$64)</f>
        <v>0</v>
      </c>
      <c r="K35516" s="16" t="n">
        <f aca="false">MIN(K35510,Assumptions!$L$64*Assumptions!$C$64)</f>
        <v>0</v>
      </c>
    </row>
    <row r="35517" customFormat="false" ht="15" hidden="false" customHeight="false" outlineLevel="0" collapsed="false">
      <c r="A35517" s="3" t="s">
        <v>335</v>
      </c>
      <c r="G35517" s="16" t="n">
        <f aca="false">IF(AND(Assumptions!$P$64=1,G35383&lt;Assumptions!$K$64),MIN(MAX(0,-G35599),MAX(0,Assumptions!$D$64-G35510)),0)</f>
        <v>0</v>
      </c>
      <c r="H35517" s="16" t="n">
        <f aca="false">IF(AND(Assumptions!$P$64=1,OR(H35383&lt;Assumptions!$K$64,G35736=1)),MIN(MAX(0,-H35599),MAX(0,Assumptions!$D$64-H35510)),0)</f>
        <v>0</v>
      </c>
      <c r="I35517" s="16" t="n">
        <f aca="false">IF(AND(Assumptions!$P$64=1,OR(I35383&lt;Assumptions!$K$64,H35736=1)),MIN(MAX(0,-I35599),MAX(0,Assumptions!$D$64-I35510)),0)</f>
        <v>0</v>
      </c>
      <c r="J35517" s="16" t="n">
        <f aca="false">IF(AND(Assumptions!$P$64=1,OR(J35383&lt;Assumptions!$K$64,I35736=1)),MIN(MAX(0,-J35599),MAX(0,Assumptions!$D$64-J35510)),0)</f>
        <v>0</v>
      </c>
      <c r="K35517" s="16" t="n">
        <f aca="false">IF(AND(Assumptions!$P$64=1,OR(K35383&lt;Assumptions!$K$64,J35736=1)),MIN(MAX(0,-K35599),MAX(0,Assumptions!$D$64-K35510)),0)</f>
        <v>0</v>
      </c>
    </row>
    <row r="35518" customFormat="false" ht="15" hidden="false" customHeight="false" outlineLevel="0" collapsed="false">
      <c r="A35518" s="3" t="s">
        <v>336</v>
      </c>
      <c r="G35518" s="16" t="n">
        <f aca="false">G35511*MIN(G35510-G35516+G35515,MAX(0,G35601-Assumptions!$C$12*G35417-G35427-G35440-G35453-G35466-G35479-G35492-G35505))</f>
        <v>0</v>
      </c>
      <c r="H35518" s="16" t="n">
        <f aca="false">H35511*MIN(H35510-H35516+H35515,MAX(0,H35601-Assumptions!$C$12*H35417-H35427-H35440-H35453-H35466-H35479-H35492-H35505))</f>
        <v>0</v>
      </c>
      <c r="I35518" s="16" t="n">
        <f aca="false">I35511*MIN(I35510-I35516+I35515,MAX(0,I35601-Assumptions!$C$12*I35417-I35427-I35440-I35453-I35466-I35479-I35492-I35505))</f>
        <v>0</v>
      </c>
      <c r="J35518" s="16" t="n">
        <f aca="false">J35511*MIN(J35510-J35516+J35515,MAX(0,J35601-Assumptions!$C$12*J35417-J35427-J35440-J35453-J35466-J35479-J35492-J35505))</f>
        <v>0</v>
      </c>
      <c r="K35518" s="16" t="n">
        <f aca="false">K35511*MIN(K35510-K35516+K35515,MAX(0,K35601-Assumptions!$C$12*K35417-K35427-K35440-K35453-K35466-K35479-K35492-K35505))</f>
        <v>0</v>
      </c>
    </row>
    <row r="35519" customFormat="false" ht="15" hidden="false" customHeight="false" outlineLevel="0" collapsed="false">
      <c r="A35519" s="3" t="s">
        <v>337</v>
      </c>
      <c r="G35519" s="16" t="n">
        <f aca="false">Assumptions!$N$64*MIN(G35510+G35517+G35515-G35516-G35518,MAX(0,G35605-G35428-G35441-G35454-G35467-G35480-G35493-G35506))</f>
        <v>0</v>
      </c>
      <c r="H35519" s="16" t="n">
        <f aca="false">Assumptions!$N$64*MIN(H35510+H35517+H35515-H35516-H35518,MAX(0,H35605-H35428-H35441-H35454-H35467-H35480-H35493-H35506))</f>
        <v>0</v>
      </c>
      <c r="I35519" s="16" t="n">
        <f aca="false">Assumptions!$N$64*MIN(I35510+I35517+I35515-I35516-I35518,MAX(0,I35605-I35428-I35441-I35454-I35467-I35480-I35493-I35506))</f>
        <v>0</v>
      </c>
      <c r="J35519" s="16" t="n">
        <f aca="false">Assumptions!$N$64*MIN(J35510+J35517+J35515-J35516-J35518,MAX(0,J35605-J35428-J35441-J35454-J35467-J35480-J35493-J35506))</f>
        <v>0</v>
      </c>
      <c r="K35519" s="16" t="n">
        <f aca="false">Assumptions!$N$64*MIN(K35510+K35517+K35515-K35516-K35518,MAX(0,K35605-K35428-K35441-K35454-K35467-K35480-K35493-K35506))</f>
        <v>0</v>
      </c>
    </row>
    <row r="35520" customFormat="false" ht="15" hidden="false" customHeight="false" outlineLevel="0" collapsed="false">
      <c r="A35520" s="3" t="s">
        <v>338</v>
      </c>
      <c r="G35520" s="16" t="n">
        <f aca="false">G35511*(1-G35417)*(G35510-G35516+G35515-G35518)</f>
        <v>0</v>
      </c>
      <c r="H35520" s="16" t="n">
        <f aca="false">H35511*(1-H35417)*(H35510-H35516+H35515-H35518)</f>
        <v>0</v>
      </c>
      <c r="I35520" s="16" t="n">
        <f aca="false">I35511*(1-I35417)*(I35510-I35516+I35515-I35518)</f>
        <v>0</v>
      </c>
      <c r="J35520" s="16" t="n">
        <f aca="false">J35511*(1-J35417)*(J35510-J35516+J35515-J35518)</f>
        <v>350</v>
      </c>
      <c r="K35520" s="16" t="n">
        <f aca="false">K35511*(1-K35417)*(K35510-K35516+K35515-K35518)</f>
        <v>0</v>
      </c>
    </row>
    <row r="35521" customFormat="false" ht="15" hidden="false" customHeight="false" outlineLevel="0" collapsed="false">
      <c r="A35521" s="2" t="s">
        <v>339</v>
      </c>
      <c r="F35521" s="28" t="n">
        <f aca="false">Assumptions!$C$64</f>
        <v>350</v>
      </c>
      <c r="G35521" s="17" t="n">
        <f aca="false">G35510+G35517+G35515-G35516-G35518-G35519</f>
        <v>350</v>
      </c>
      <c r="H35521" s="17" t="n">
        <f aca="false">H35510+H35517+H35515-H35516-H35518-H35519</f>
        <v>350</v>
      </c>
      <c r="I35521" s="17" t="n">
        <f aca="false">I35510+I35517+I35515-I35516-I35518-I35519</f>
        <v>350</v>
      </c>
      <c r="J35521" s="17" t="n">
        <f aca="false">J35510+J35517+J35515-J35516-J35518-J35519</f>
        <v>350</v>
      </c>
      <c r="K35521" s="17" t="n">
        <f aca="false">K35510+K35517+K35515-K35516-K35518-K35519</f>
        <v>350</v>
      </c>
    </row>
    <row r="35522" customFormat="false" ht="15" hidden="false" customHeight="false" outlineLevel="0" collapsed="false">
      <c r="A35522" s="24" t="s">
        <v>347</v>
      </c>
      <c r="B35522" s="25"/>
      <c r="C35522" s="25"/>
      <c r="D35522" s="25"/>
      <c r="E35522" s="25"/>
      <c r="F35522" s="25"/>
      <c r="G35522" s="25"/>
      <c r="H35522" s="25"/>
      <c r="I35522" s="25"/>
      <c r="J35522" s="25"/>
      <c r="K35522" s="25"/>
    </row>
    <row r="35523" customFormat="false" ht="15" hidden="false" customHeight="false" outlineLevel="0" collapsed="false">
      <c r="A35523" s="3" t="s">
        <v>329</v>
      </c>
      <c r="G35523" s="16" t="n">
        <f aca="false">F35534</f>
        <v>300</v>
      </c>
      <c r="H35523" s="16" t="n">
        <f aca="false">G35534</f>
        <v>300</v>
      </c>
      <c r="I35523" s="16" t="n">
        <f aca="false">H35534</f>
        <v>300</v>
      </c>
      <c r="J35523" s="16" t="n">
        <f aca="false">I35534</f>
        <v>300</v>
      </c>
      <c r="K35523" s="16" t="n">
        <f aca="false">J35534</f>
        <v>300</v>
      </c>
    </row>
    <row r="35524" customFormat="false" ht="15" hidden="false" customHeight="false" outlineLevel="0" collapsed="false">
      <c r="A35524" s="3" t="s">
        <v>330</v>
      </c>
      <c r="G35524" s="21" t="n">
        <f aca="false">IF(G35383=Assumptions!$K$65,1,0)</f>
        <v>0</v>
      </c>
      <c r="H35524" s="21" t="n">
        <f aca="false">IF(H35383=Assumptions!$K$65,1,0)</f>
        <v>0</v>
      </c>
      <c r="I35524" s="21" t="n">
        <f aca="false">IF(I35383=Assumptions!$K$65,1,0)</f>
        <v>0</v>
      </c>
      <c r="J35524" s="21" t="n">
        <f aca="false">IF(J35383=Assumptions!$K$65,1,0)</f>
        <v>0</v>
      </c>
      <c r="K35524" s="21" t="n">
        <f aca="false">IF(K35383=Assumptions!$K$65,1,0)</f>
        <v>1</v>
      </c>
    </row>
    <row r="35526" customFormat="false" ht="15" hidden="false" customHeight="false" outlineLevel="0" collapsed="false">
      <c r="A35526" s="3" t="s">
        <v>331</v>
      </c>
      <c r="G35526" s="31" t="n">
        <f aca="false">IF(Assumptions!$I$65=1,MAX(G35409,Assumptions!$G$65)+Assumptions!$F$65+$C$35410,Assumptions!$E$65)</f>
        <v>0.06125</v>
      </c>
      <c r="H35526" s="31" t="n">
        <f aca="false">IF(G35737=1,$C$35411,IF(Assumptions!$I$65=1,MAX(H35409,Assumptions!$G$65)+Assumptions!$F$65+$C$35410,Assumptions!$E$65))</f>
        <v>0.06125</v>
      </c>
      <c r="I35526" s="31" t="n">
        <f aca="false">IF(H35737=1,$C$35411,IF(Assumptions!$I$65=1,MAX(I35409,Assumptions!$G$65)+Assumptions!$F$65+$C$35410,Assumptions!$E$65))</f>
        <v>0.06125</v>
      </c>
      <c r="J35526" s="31" t="n">
        <f aca="false">IF(I35737=1,$C$35411,IF(Assumptions!$I$65=1,MAX(J35409,Assumptions!$G$65)+Assumptions!$F$65+$C$35410,Assumptions!$E$65))</f>
        <v>0.06125</v>
      </c>
      <c r="K35526" s="31" t="n">
        <f aca="false">IF(J35737=1,$C$35411,IF(Assumptions!$I$65=1,MAX(K35409,Assumptions!$G$65)+Assumptions!$F$65+$C$35410,Assumptions!$E$65))</f>
        <v>0.06125</v>
      </c>
    </row>
    <row r="35527" customFormat="false" ht="15" hidden="false" customHeight="false" outlineLevel="0" collapsed="false">
      <c r="A35527" s="3" t="s">
        <v>332</v>
      </c>
      <c r="G35527" s="16" t="n">
        <f aca="false">G35523*G35526</f>
        <v>18.375</v>
      </c>
      <c r="H35527" s="16" t="n">
        <f aca="false">H35523*H35526</f>
        <v>18.375</v>
      </c>
      <c r="I35527" s="16" t="n">
        <f aca="false">I35523*I35526</f>
        <v>18.375</v>
      </c>
      <c r="J35527" s="16" t="n">
        <f aca="false">J35523*J35526</f>
        <v>18.375</v>
      </c>
      <c r="K35527" s="16" t="n">
        <f aca="false">K35523*K35526</f>
        <v>18.375</v>
      </c>
    </row>
    <row r="35528" customFormat="false" ht="15" hidden="false" customHeight="false" outlineLevel="0" collapsed="false">
      <c r="A35528" s="3" t="s">
        <v>333</v>
      </c>
      <c r="G35528" s="16" t="n">
        <f aca="false">G35523*Assumptions!$H$65</f>
        <v>0</v>
      </c>
      <c r="H35528" s="16" t="n">
        <f aca="false">H35523*Assumptions!$H$65</f>
        <v>0</v>
      </c>
      <c r="I35528" s="16" t="n">
        <f aca="false">I35523*Assumptions!$H$65</f>
        <v>0</v>
      </c>
      <c r="J35528" s="16" t="n">
        <f aca="false">J35523*Assumptions!$H$65</f>
        <v>0</v>
      </c>
      <c r="K35528" s="16" t="n">
        <f aca="false">K35523*Assumptions!$H$65</f>
        <v>0</v>
      </c>
    </row>
    <row r="35529" customFormat="false" ht="15" hidden="false" customHeight="false" outlineLevel="0" collapsed="false">
      <c r="A35529" s="3" t="s">
        <v>334</v>
      </c>
      <c r="G35529" s="16" t="n">
        <f aca="false">MIN(G35523,Assumptions!$L$65*Assumptions!$C$65)</f>
        <v>0</v>
      </c>
      <c r="H35529" s="16" t="n">
        <f aca="false">MIN(H35523,Assumptions!$L$65*Assumptions!$C$65)</f>
        <v>0</v>
      </c>
      <c r="I35529" s="16" t="n">
        <f aca="false">MIN(I35523,Assumptions!$L$65*Assumptions!$C$65)</f>
        <v>0</v>
      </c>
      <c r="J35529" s="16" t="n">
        <f aca="false">MIN(J35523,Assumptions!$L$65*Assumptions!$C$65)</f>
        <v>0</v>
      </c>
      <c r="K35529" s="16" t="n">
        <f aca="false">MIN(K35523,Assumptions!$L$65*Assumptions!$C$65)</f>
        <v>0</v>
      </c>
    </row>
    <row r="35530" customFormat="false" ht="15" hidden="false" customHeight="false" outlineLevel="0" collapsed="false">
      <c r="A35530" s="3" t="s">
        <v>335</v>
      </c>
      <c r="G35530" s="16" t="n">
        <f aca="false">IF(AND(Assumptions!$P$65=1,G35383&lt;Assumptions!$K$65),MIN(MAX(0,-G35599),MAX(0,Assumptions!$D$65-G35523)),0)</f>
        <v>0</v>
      </c>
      <c r="H35530" s="16" t="n">
        <f aca="false">IF(AND(Assumptions!$P$65=1,OR(H35383&lt;Assumptions!$K$65,G35737=1)),MIN(MAX(0,-H35599),MAX(0,Assumptions!$D$65-H35523)),0)</f>
        <v>0</v>
      </c>
      <c r="I35530" s="16" t="n">
        <f aca="false">IF(AND(Assumptions!$P$65=1,OR(I35383&lt;Assumptions!$K$65,H35737=1)),MIN(MAX(0,-I35599),MAX(0,Assumptions!$D$65-I35523)),0)</f>
        <v>0</v>
      </c>
      <c r="J35530" s="16" t="n">
        <f aca="false">IF(AND(Assumptions!$P$65=1,OR(J35383&lt;Assumptions!$K$65,I35737=1)),MIN(MAX(0,-J35599),MAX(0,Assumptions!$D$65-J35523)),0)</f>
        <v>0</v>
      </c>
      <c r="K35530" s="16" t="n">
        <f aca="false">IF(AND(Assumptions!$P$65=1,OR(K35383&lt;Assumptions!$K$65,J35737=1)),MIN(MAX(0,-K35599),MAX(0,Assumptions!$D$65-K35523)),0)</f>
        <v>0</v>
      </c>
    </row>
    <row r="35531" customFormat="false" ht="15" hidden="false" customHeight="false" outlineLevel="0" collapsed="false">
      <c r="A35531" s="3" t="s">
        <v>336</v>
      </c>
      <c r="G35531" s="16" t="n">
        <f aca="false">G35524*MIN(G35523-G35529+G35528,MAX(0,G35601-Assumptions!$C$12*G35417-G35427-G35440-G35453-G35466-G35479-G35492-G35505-G35518))</f>
        <v>0</v>
      </c>
      <c r="H35531" s="16" t="n">
        <f aca="false">H35524*MIN(H35523-H35529+H35528,MAX(0,H35601-Assumptions!$C$12*H35417-H35427-H35440-H35453-H35466-H35479-H35492-H35505-H35518))</f>
        <v>0</v>
      </c>
      <c r="I35531" s="16" t="n">
        <f aca="false">I35524*MIN(I35523-I35529+I35528,MAX(0,I35601-Assumptions!$C$12*I35417-I35427-I35440-I35453-I35466-I35479-I35492-I35505-I35518))</f>
        <v>0</v>
      </c>
      <c r="J35531" s="16" t="n">
        <f aca="false">J35524*MIN(J35523-J35529+J35528,MAX(0,J35601-Assumptions!$C$12*J35417-J35427-J35440-J35453-J35466-J35479-J35492-J35505-J35518))</f>
        <v>0</v>
      </c>
      <c r="K35531" s="16" t="n">
        <f aca="false">K35524*MIN(K35523-K35529+K35528,MAX(0,K35601-Assumptions!$C$12*K35417-K35427-K35440-K35453-K35466-K35479-K35492-K35505-K35518))</f>
        <v>0</v>
      </c>
    </row>
    <row r="35532" customFormat="false" ht="15" hidden="false" customHeight="false" outlineLevel="0" collapsed="false">
      <c r="A35532" s="3" t="s">
        <v>337</v>
      </c>
      <c r="G35532" s="16" t="n">
        <f aca="false">Assumptions!$N$65*MIN(G35523+G35530+G35528-G35529-G35531,MAX(0,G35605-G35428-G35441-G35454-G35467-G35480-G35493-G35506-G35519))</f>
        <v>0</v>
      </c>
      <c r="H35532" s="16" t="n">
        <f aca="false">Assumptions!$N$65*MIN(H35523+H35530+H35528-H35529-H35531,MAX(0,H35605-H35428-H35441-H35454-H35467-H35480-H35493-H35506-H35519))</f>
        <v>0</v>
      </c>
      <c r="I35532" s="16" t="n">
        <f aca="false">Assumptions!$N$65*MIN(I35523+I35530+I35528-I35529-I35531,MAX(0,I35605-I35428-I35441-I35454-I35467-I35480-I35493-I35506-I35519))</f>
        <v>0</v>
      </c>
      <c r="J35532" s="16" t="n">
        <f aca="false">Assumptions!$N$65*MIN(J35523+J35530+J35528-J35529-J35531,MAX(0,J35605-J35428-J35441-J35454-J35467-J35480-J35493-J35506-J35519))</f>
        <v>0</v>
      </c>
      <c r="K35532" s="16" t="n">
        <f aca="false">Assumptions!$N$65*MIN(K35523+K35530+K35528-K35529-K35531,MAX(0,K35605-K35428-K35441-K35454-K35467-K35480-K35493-K35506-K35519))</f>
        <v>0</v>
      </c>
    </row>
    <row r="35533" customFormat="false" ht="15" hidden="false" customHeight="false" outlineLevel="0" collapsed="false">
      <c r="A35533" s="3" t="s">
        <v>338</v>
      </c>
      <c r="G35533" s="16" t="n">
        <f aca="false">G35524*(1-G35417)*(G35523-G35529+G35528-G35531)</f>
        <v>0</v>
      </c>
      <c r="H35533" s="16" t="n">
        <f aca="false">H35524*(1-H35417)*(H35523-H35529+H35528-H35531)</f>
        <v>0</v>
      </c>
      <c r="I35533" s="16" t="n">
        <f aca="false">I35524*(1-I35417)*(I35523-I35529+I35528-I35531)</f>
        <v>0</v>
      </c>
      <c r="J35533" s="16" t="n">
        <f aca="false">J35524*(1-J35417)*(J35523-J35529+J35528-J35531)</f>
        <v>0</v>
      </c>
      <c r="K35533" s="16" t="n">
        <f aca="false">K35524*(1-K35417)*(K35523-K35529+K35528-K35531)</f>
        <v>300</v>
      </c>
    </row>
    <row r="35534" customFormat="false" ht="15" hidden="false" customHeight="false" outlineLevel="0" collapsed="false">
      <c r="A35534" s="2" t="s">
        <v>339</v>
      </c>
      <c r="F35534" s="28" t="n">
        <f aca="false">Assumptions!$C$65</f>
        <v>300</v>
      </c>
      <c r="G35534" s="17" t="n">
        <f aca="false">G35523+G35530+G35528-G35529-G35531-G35532</f>
        <v>300</v>
      </c>
      <c r="H35534" s="17" t="n">
        <f aca="false">H35523+H35530+H35528-H35529-H35531-H35532</f>
        <v>300</v>
      </c>
      <c r="I35534" s="17" t="n">
        <f aca="false">I35523+I35530+I35528-I35529-I35531-I35532</f>
        <v>300</v>
      </c>
      <c r="J35534" s="17" t="n">
        <f aca="false">J35523+J35530+J35528-J35529-J35531-J35532</f>
        <v>300</v>
      </c>
      <c r="K35534" s="17" t="n">
        <f aca="false">K35523+K35530+K35528-K35529-K35531-K35532</f>
        <v>300</v>
      </c>
    </row>
    <row r="35535" customFormat="false" ht="15" hidden="false" customHeight="false" outlineLevel="0" collapsed="false">
      <c r="A35535" s="24" t="s">
        <v>348</v>
      </c>
      <c r="B35535" s="25"/>
      <c r="C35535" s="25"/>
      <c r="D35535" s="25"/>
      <c r="E35535" s="25"/>
      <c r="F35535" s="25"/>
      <c r="G35535" s="25"/>
      <c r="H35535" s="25"/>
      <c r="I35535" s="25"/>
      <c r="J35535" s="25"/>
      <c r="K35535" s="25"/>
    </row>
    <row r="35536" customFormat="false" ht="15" hidden="false" customHeight="false" outlineLevel="0" collapsed="false">
      <c r="A35536" s="3" t="s">
        <v>329</v>
      </c>
      <c r="G35536" s="16" t="n">
        <f aca="false">F35547</f>
        <v>78.61</v>
      </c>
      <c r="H35536" s="16" t="n">
        <f aca="false">G35547</f>
        <v>78.61</v>
      </c>
      <c r="I35536" s="16" t="n">
        <f aca="false">H35547</f>
        <v>78.61</v>
      </c>
      <c r="J35536" s="16" t="n">
        <f aca="false">I35547</f>
        <v>78.61</v>
      </c>
      <c r="K35536" s="16" t="n">
        <f aca="false">J35547</f>
        <v>78.61</v>
      </c>
    </row>
    <row r="35537" customFormat="false" ht="15" hidden="false" customHeight="false" outlineLevel="0" collapsed="false">
      <c r="A35537" s="3" t="s">
        <v>330</v>
      </c>
      <c r="G35537" s="21" t="n">
        <f aca="false">IF(G35383=Assumptions!$K$66,1,0)</f>
        <v>0</v>
      </c>
      <c r="H35537" s="21" t="n">
        <f aca="false">IF(H35383=Assumptions!$K$66,1,0)</f>
        <v>0</v>
      </c>
      <c r="I35537" s="21" t="n">
        <f aca="false">IF(I35383=Assumptions!$K$66,1,0)</f>
        <v>0</v>
      </c>
      <c r="J35537" s="21" t="n">
        <f aca="false">IF(J35383=Assumptions!$K$66,1,0)</f>
        <v>0</v>
      </c>
      <c r="K35537" s="21" t="n">
        <f aca="false">IF(K35383=Assumptions!$K$66,1,0)</f>
        <v>0</v>
      </c>
    </row>
    <row r="35539" customFormat="false" ht="15" hidden="false" customHeight="false" outlineLevel="0" collapsed="false">
      <c r="A35539" s="3" t="s">
        <v>331</v>
      </c>
      <c r="G35539" s="31" t="n">
        <f aca="false">IF(Assumptions!$I$66=1,MAX(G35409,Assumptions!$G$66)+Assumptions!$F$66+$C$35410,Assumptions!$E$66)</f>
        <v>0.0691</v>
      </c>
      <c r="H35539" s="31" t="n">
        <f aca="false">IF(G35738=1,$C$35411,IF(Assumptions!$I$66=1,MAX(H35409,Assumptions!$G$66)+Assumptions!$F$66+$C$35410,Assumptions!$E$66))</f>
        <v>0.0676</v>
      </c>
      <c r="I35539" s="31" t="n">
        <f aca="false">IF(H35738=1,$C$35411,IF(Assumptions!$I$66=1,MAX(I35409,Assumptions!$G$66)+Assumptions!$F$66+$C$35410,Assumptions!$E$66))</f>
        <v>0.0651</v>
      </c>
      <c r="J35539" s="31" t="n">
        <f aca="false">IF(I35738=1,$C$35411,IF(Assumptions!$I$66=1,MAX(J35409,Assumptions!$G$66)+Assumptions!$F$66+$C$35410,Assumptions!$E$66))</f>
        <v>0.0651</v>
      </c>
      <c r="K35539" s="31" t="n">
        <f aca="false">IF(J35738=1,$C$35411,IF(Assumptions!$I$66=1,MAX(K35409,Assumptions!$G$66)+Assumptions!$F$66+$C$35410,Assumptions!$E$66))</f>
        <v>0.0651</v>
      </c>
    </row>
    <row r="35540" customFormat="false" ht="15" hidden="false" customHeight="false" outlineLevel="0" collapsed="false">
      <c r="A35540" s="3" t="s">
        <v>332</v>
      </c>
      <c r="G35540" s="16" t="n">
        <f aca="false">G35536*G35539</f>
        <v>5.431951</v>
      </c>
      <c r="H35540" s="16" t="n">
        <f aca="false">H35536*H35539</f>
        <v>5.314036</v>
      </c>
      <c r="I35540" s="16" t="n">
        <f aca="false">I35536*I35539</f>
        <v>5.117511</v>
      </c>
      <c r="J35540" s="16" t="n">
        <f aca="false">J35536*J35539</f>
        <v>5.117511</v>
      </c>
      <c r="K35540" s="16" t="n">
        <f aca="false">K35536*K35539</f>
        <v>5.117511</v>
      </c>
    </row>
    <row r="35541" customFormat="false" ht="15" hidden="false" customHeight="false" outlineLevel="0" collapsed="false">
      <c r="A35541" s="3" t="s">
        <v>333</v>
      </c>
      <c r="G35541" s="16" t="n">
        <f aca="false">G35536*Assumptions!$H$66</f>
        <v>0</v>
      </c>
      <c r="H35541" s="16" t="n">
        <f aca="false">H35536*Assumptions!$H$66</f>
        <v>0</v>
      </c>
      <c r="I35541" s="16" t="n">
        <f aca="false">I35536*Assumptions!$H$66</f>
        <v>0</v>
      </c>
      <c r="J35541" s="16" t="n">
        <f aca="false">J35536*Assumptions!$H$66</f>
        <v>0</v>
      </c>
      <c r="K35541" s="16" t="n">
        <f aca="false">K35536*Assumptions!$H$66</f>
        <v>0</v>
      </c>
    </row>
    <row r="35542" customFormat="false" ht="15" hidden="false" customHeight="false" outlineLevel="0" collapsed="false">
      <c r="A35542" s="3" t="s">
        <v>334</v>
      </c>
      <c r="G35542" s="16" t="n">
        <f aca="false">MIN(G35536,Assumptions!$L$66*Assumptions!$C$66)</f>
        <v>0</v>
      </c>
      <c r="H35542" s="16" t="n">
        <f aca="false">MIN(H35536,Assumptions!$L$66*Assumptions!$C$66)</f>
        <v>0</v>
      </c>
      <c r="I35542" s="16" t="n">
        <f aca="false">MIN(I35536,Assumptions!$L$66*Assumptions!$C$66)</f>
        <v>0</v>
      </c>
      <c r="J35542" s="16" t="n">
        <f aca="false">MIN(J35536,Assumptions!$L$66*Assumptions!$C$66)</f>
        <v>0</v>
      </c>
      <c r="K35542" s="16" t="n">
        <f aca="false">MIN(K35536,Assumptions!$L$66*Assumptions!$C$66)</f>
        <v>0</v>
      </c>
    </row>
    <row r="35543" customFormat="false" ht="15" hidden="false" customHeight="false" outlineLevel="0" collapsed="false">
      <c r="A35543" s="3" t="s">
        <v>335</v>
      </c>
      <c r="G35543" s="16" t="n">
        <f aca="false">IF(AND(Assumptions!$P$66=1,G35383&lt;Assumptions!$K$66),MIN(MAX(0,-G35599),MAX(0,Assumptions!$D$66-G35536)),0)</f>
        <v>0</v>
      </c>
      <c r="H35543" s="16" t="n">
        <f aca="false">IF(AND(Assumptions!$P$66=1,OR(H35383&lt;Assumptions!$K$66,G35738=1)),MIN(MAX(0,-H35599),MAX(0,Assumptions!$D$66-H35536)),0)</f>
        <v>0</v>
      </c>
      <c r="I35543" s="16" t="n">
        <f aca="false">IF(AND(Assumptions!$P$66=1,OR(I35383&lt;Assumptions!$K$66,H35738=1)),MIN(MAX(0,-I35599),MAX(0,Assumptions!$D$66-I35536)),0)</f>
        <v>0</v>
      </c>
      <c r="J35543" s="16" t="n">
        <f aca="false">IF(AND(Assumptions!$P$66=1,OR(J35383&lt;Assumptions!$K$66,I35738=1)),MIN(MAX(0,-J35599),MAX(0,Assumptions!$D$66-J35536)),0)</f>
        <v>0</v>
      </c>
      <c r="K35543" s="16" t="n">
        <f aca="false">IF(AND(Assumptions!$P$66=1,OR(K35383&lt;Assumptions!$K$66,J35738=1)),MIN(MAX(0,-K35599),MAX(0,Assumptions!$D$66-K35536)),0)</f>
        <v>0</v>
      </c>
    </row>
    <row r="35544" customFormat="false" ht="15" hidden="false" customHeight="false" outlineLevel="0" collapsed="false">
      <c r="A35544" s="3" t="s">
        <v>336</v>
      </c>
      <c r="G35544" s="16" t="n">
        <f aca="false">G35537*MIN(G35536-G35542+G35541,MAX(0,G35601-Assumptions!$C$12*G35417-G35427-G35440-G35453-G35466-G35479-G35492-G35505-G35518-G35531))</f>
        <v>0</v>
      </c>
      <c r="H35544" s="16" t="n">
        <f aca="false">H35537*MIN(H35536-H35542+H35541,MAX(0,H35601-Assumptions!$C$12*H35417-H35427-H35440-H35453-H35466-H35479-H35492-H35505-H35518-H35531))</f>
        <v>0</v>
      </c>
      <c r="I35544" s="16" t="n">
        <f aca="false">I35537*MIN(I35536-I35542+I35541,MAX(0,I35601-Assumptions!$C$12*I35417-I35427-I35440-I35453-I35466-I35479-I35492-I35505-I35518-I35531))</f>
        <v>0</v>
      </c>
      <c r="J35544" s="16" t="n">
        <f aca="false">J35537*MIN(J35536-J35542+J35541,MAX(0,J35601-Assumptions!$C$12*J35417-J35427-J35440-J35453-J35466-J35479-J35492-J35505-J35518-J35531))</f>
        <v>0</v>
      </c>
      <c r="K35544" s="16" t="n">
        <f aca="false">K35537*MIN(K35536-K35542+K35541,MAX(0,K35601-Assumptions!$C$12*K35417-K35427-K35440-K35453-K35466-K35479-K35492-K35505-K35518-K35531))</f>
        <v>0</v>
      </c>
    </row>
    <row r="35545" customFormat="false" ht="15" hidden="false" customHeight="false" outlineLevel="0" collapsed="false">
      <c r="A35545" s="3" t="s">
        <v>337</v>
      </c>
      <c r="G35545" s="16" t="n">
        <f aca="false">Assumptions!$N$66*MIN(G35536+G35543+G35541-G35542-G35544,MAX(0,G35605-G35428-G35441-G35454-G35467-G35480-G35493-G35506-G35519-G35532))</f>
        <v>0</v>
      </c>
      <c r="H35545" s="16" t="n">
        <f aca="false">Assumptions!$N$66*MIN(H35536+H35543+H35541-H35542-H35544,MAX(0,H35605-H35428-H35441-H35454-H35467-H35480-H35493-H35506-H35519-H35532))</f>
        <v>0</v>
      </c>
      <c r="I35545" s="16" t="n">
        <f aca="false">Assumptions!$N$66*MIN(I35536+I35543+I35541-I35542-I35544,MAX(0,I35605-I35428-I35441-I35454-I35467-I35480-I35493-I35506-I35519-I35532))</f>
        <v>0</v>
      </c>
      <c r="J35545" s="16" t="n">
        <f aca="false">Assumptions!$N$66*MIN(J35536+J35543+J35541-J35542-J35544,MAX(0,J35605-J35428-J35441-J35454-J35467-J35480-J35493-J35506-J35519-J35532))</f>
        <v>0</v>
      </c>
      <c r="K35545" s="16" t="n">
        <f aca="false">Assumptions!$N$66*MIN(K35536+K35543+K35541-K35542-K35544,MAX(0,K35605-K35428-K35441-K35454-K35467-K35480-K35493-K35506-K35519-K35532))</f>
        <v>0</v>
      </c>
    </row>
    <row r="35546" customFormat="false" ht="15" hidden="false" customHeight="false" outlineLevel="0" collapsed="false">
      <c r="A35546" s="3" t="s">
        <v>338</v>
      </c>
      <c r="G35546" s="16" t="n">
        <f aca="false">G35537*(1-G35417)*(G35536-G35542+G35541-G35544)</f>
        <v>0</v>
      </c>
      <c r="H35546" s="16" t="n">
        <f aca="false">H35537*(1-H35417)*(H35536-H35542+H35541-H35544)</f>
        <v>0</v>
      </c>
      <c r="I35546" s="16" t="n">
        <f aca="false">I35537*(1-I35417)*(I35536-I35542+I35541-I35544)</f>
        <v>0</v>
      </c>
      <c r="J35546" s="16" t="n">
        <f aca="false">J35537*(1-J35417)*(J35536-J35542+J35541-J35544)</f>
        <v>0</v>
      </c>
      <c r="K35546" s="16" t="n">
        <f aca="false">K35537*(1-K35417)*(K35536-K35542+K35541-K35544)</f>
        <v>0</v>
      </c>
    </row>
    <row r="35547" customFormat="false" ht="15" hidden="false" customHeight="false" outlineLevel="0" collapsed="false">
      <c r="A35547" s="2" t="s">
        <v>339</v>
      </c>
      <c r="F35547" s="28" t="n">
        <f aca="false">Assumptions!$C$66</f>
        <v>78.61</v>
      </c>
      <c r="G35547" s="17" t="n">
        <f aca="false">G35536+G35543+G35541-G35542-G35544-G35545</f>
        <v>78.61</v>
      </c>
      <c r="H35547" s="17" t="n">
        <f aca="false">H35536+H35543+H35541-H35542-H35544-H35545</f>
        <v>78.61</v>
      </c>
      <c r="I35547" s="17" t="n">
        <f aca="false">I35536+I35543+I35541-I35542-I35544-I35545</f>
        <v>78.61</v>
      </c>
      <c r="J35547" s="17" t="n">
        <f aca="false">J35536+J35543+J35541-J35542-J35544-J35545</f>
        <v>78.61</v>
      </c>
      <c r="K35547" s="17" t="n">
        <f aca="false">K35536+K35543+K35541-K35542-K35544-K35545</f>
        <v>78.61</v>
      </c>
    </row>
    <row r="35548" customFormat="false" ht="15" hidden="false" customHeight="false" outlineLevel="0" collapsed="false">
      <c r="A35548" s="24" t="s">
        <v>349</v>
      </c>
      <c r="B35548" s="25"/>
      <c r="C35548" s="25"/>
      <c r="D35548" s="25"/>
      <c r="E35548" s="25"/>
      <c r="F35548" s="25"/>
      <c r="G35548" s="25"/>
      <c r="H35548" s="25"/>
      <c r="I35548" s="25"/>
      <c r="J35548" s="25"/>
      <c r="K35548" s="25"/>
    </row>
    <row r="35549" customFormat="false" ht="15" hidden="false" customHeight="false" outlineLevel="0" collapsed="false">
      <c r="A35549" s="2" t="s">
        <v>350</v>
      </c>
      <c r="F35549" s="17" t="n">
        <f aca="false">F35430+F35443+F35456+F35469+F35482+F35495+F35508+F35521+F35534+F35547</f>
        <v>2625.934</v>
      </c>
      <c r="G35549" s="17" t="n">
        <f aca="false">G35430+G35443+G35456+G35469+G35482+G35495+G35508+G35521+G35534+G35547</f>
        <v>2621.934</v>
      </c>
      <c r="H35549" s="17" t="n">
        <f aca="false">H35430+H35443+H35456+H35469+H35482+H35495+H35508+H35521+H35534+H35547</f>
        <v>2569.380357881</v>
      </c>
      <c r="I35549" s="17" t="n">
        <f aca="false">I35430+I35443+I35456+I35469+I35482+I35495+I35508+I35521+I35534+I35547</f>
        <v>2565.380357881</v>
      </c>
      <c r="J35549" s="17" t="n">
        <f aca="false">J35430+J35443+J35456+J35469+J35482+J35495+J35508+J35521+J35534+J35547</f>
        <v>2561.380357881</v>
      </c>
      <c r="K35549" s="17" t="n">
        <f aca="false">K35430+K35443+K35456+K35469+K35482+K35495+K35508+K35521+K35534+K35547</f>
        <v>2557.380357881</v>
      </c>
    </row>
    <row r="35550" customFormat="false" ht="15" hidden="false" customHeight="false" outlineLevel="0" collapsed="false">
      <c r="A35550" s="3" t="s">
        <v>351</v>
      </c>
      <c r="G35550" s="16" t="n">
        <f aca="false">G35420*Assumptions!$C$57+G35433*Assumptions!$C$58+G35446*Assumptions!$C$59+G35459*Assumptions!$C$60+G35472*Assumptions!$C$61+G35485*Assumptions!$C$62+G35498*Assumptions!$C$63+G35511*Assumptions!$C$64+G35524*Assumptions!$C$65+G35537*Assumptions!$C$66</f>
        <v>0</v>
      </c>
      <c r="H35550" s="16" t="n">
        <f aca="false">H35420*Assumptions!$C$57+H35433*Assumptions!$C$58+H35446*Assumptions!$C$59+H35459*Assumptions!$C$60+H35472*Assumptions!$C$61+H35485*Assumptions!$C$62+H35498*Assumptions!$C$63+H35511*Assumptions!$C$64+H35524*Assumptions!$C$65+H35537*Assumptions!$C$66</f>
        <v>800</v>
      </c>
      <c r="I35550" s="16" t="n">
        <f aca="false">I35420*Assumptions!$C$57+I35433*Assumptions!$C$58+I35446*Assumptions!$C$59+I35459*Assumptions!$C$60+I35472*Assumptions!$C$61+I35485*Assumptions!$C$62+I35498*Assumptions!$C$63+I35511*Assumptions!$C$64+I35524*Assumptions!$C$65+I35537*Assumptions!$C$66</f>
        <v>550</v>
      </c>
      <c r="J35550" s="16" t="n">
        <f aca="false">J35420*Assumptions!$C$57+J35433*Assumptions!$C$58+J35446*Assumptions!$C$59+J35459*Assumptions!$C$60+J35472*Assumptions!$C$61+J35485*Assumptions!$C$62+J35498*Assumptions!$C$63+J35511*Assumptions!$C$64+J35524*Assumptions!$C$65+J35537*Assumptions!$C$66</f>
        <v>350</v>
      </c>
      <c r="K35550" s="16" t="n">
        <f aca="false">K35420*Assumptions!$C$57+K35433*Assumptions!$C$58+K35446*Assumptions!$C$59+K35459*Assumptions!$C$60+K35472*Assumptions!$C$61+K35485*Assumptions!$C$62+K35498*Assumptions!$C$63+K35511*Assumptions!$C$64+K35524*Assumptions!$C$65+K35537*Assumptions!$C$66</f>
        <v>700</v>
      </c>
    </row>
    <row r="35551" customFormat="false" ht="15" hidden="false" customHeight="false" outlineLevel="0" collapsed="false">
      <c r="A35551" s="24" t="s">
        <v>352</v>
      </c>
      <c r="B35551" s="25"/>
      <c r="C35551" s="25"/>
      <c r="D35551" s="25"/>
      <c r="E35551" s="25"/>
      <c r="F35551" s="25"/>
      <c r="G35551" s="25"/>
      <c r="H35551" s="25"/>
      <c r="I35551" s="25"/>
      <c r="J35551" s="25"/>
      <c r="K35551" s="25"/>
    </row>
    <row r="35552" customFormat="false" ht="15" hidden="false" customHeight="false" outlineLevel="0" collapsed="false">
      <c r="A35552" s="3" t="s">
        <v>353</v>
      </c>
      <c r="C35552" s="16" t="n">
        <f aca="false">SUMPRODUCT($G$35420:$K$35420,$G$35419:$K$35419-$G$35425:$K$35425+$G$35424:$K$35424)</f>
        <v>380</v>
      </c>
    </row>
    <row r="35553" customFormat="false" ht="15" hidden="false" customHeight="false" outlineLevel="0" collapsed="false">
      <c r="A35553" s="3" t="s">
        <v>354</v>
      </c>
      <c r="C35553" s="16" t="n">
        <f aca="false">SUMPRODUCT($G$35420:$K$35420,$G$35427:$K$35427)</f>
        <v>0</v>
      </c>
    </row>
    <row r="35554" customFormat="false" ht="15" hidden="false" customHeight="false" outlineLevel="0" collapsed="false">
      <c r="A35554" s="3" t="s">
        <v>355</v>
      </c>
      <c r="C35554" s="3" t="str">
        <f aca="false">IF(SUM($G$35420:$K$35420)=0,"n/a (beyond horizon)",IF(SUMPRODUCT($G$35420:$K$35420,$G$35417:$K$35417)&gt;0,"REFINANCING PASS","REFINANCING FAILURE"))</f>
        <v>REFINANCING FAILURE</v>
      </c>
    </row>
    <row r="35555" customFormat="false" ht="15" hidden="false" customHeight="false" outlineLevel="0" collapsed="false">
      <c r="A35555" s="3" t="s">
        <v>356</v>
      </c>
      <c r="C35555" s="3" t="str">
        <f aca="false">IF(SUM($G$35420:$K$35420)=0,"n/a",IF(C35553&gt;=C35552-0.001,"Repaid from cash",IF(SUMPRODUCT($G$35420:$K$35420,$G$35417:$K$35417)&gt;0,IF(C35553&gt;0,"Partly repaid; remainder refinanced","Refinanced"),IF(SUM($G$35429:$K$35429)&gt;0.001,IF(C35553&gt;0,"Partial repayment; PAYMENT DEFAULT","PAYMENT DEFAULT"),"Repaid from cash"))))</f>
        <v>PAYMENT DEFAULT</v>
      </c>
    </row>
    <row r="35556" customFormat="false" ht="15" hidden="false" customHeight="false" outlineLevel="0" collapsed="false">
      <c r="A35556" s="3" t="s">
        <v>357</v>
      </c>
      <c r="C35556" s="16" t="n">
        <f aca="false">SUMPRODUCT($G$35433:$K$35433,$G$35432:$K$35432-$G$35438:$K$35438+$G$35437:$K$35437)</f>
        <v>0</v>
      </c>
    </row>
    <row r="35557" customFormat="false" ht="15" hidden="false" customHeight="false" outlineLevel="0" collapsed="false">
      <c r="A35557" s="3" t="s">
        <v>358</v>
      </c>
      <c r="C35557" s="16" t="n">
        <f aca="false">SUMPRODUCT($G$35433:$K$35433,$G$35440:$K$35440)</f>
        <v>0</v>
      </c>
    </row>
    <row r="35558" customFormat="false" ht="15" hidden="false" customHeight="false" outlineLevel="0" collapsed="false">
      <c r="A35558" s="3" t="s">
        <v>359</v>
      </c>
      <c r="C35558" s="3" t="str">
        <f aca="false">IF(SUM($G$35433:$K$35433)=0,"n/a (beyond horizon)",IF(SUMPRODUCT($G$35433:$K$35433,$G$35417:$K$35417)&gt;0,"REFINANCING PASS","REFINANCING FAILURE"))</f>
        <v>n/a (beyond horizon)</v>
      </c>
    </row>
    <row r="35559" customFormat="false" ht="15" hidden="false" customHeight="false" outlineLevel="0" collapsed="false">
      <c r="A35559" s="3" t="s">
        <v>360</v>
      </c>
      <c r="C35559" s="3" t="str">
        <f aca="false">IF(SUM($G$35433:$K$35433)=0,"n/a",IF(C35557&gt;=C35556-0.001,"Repaid from cash",IF(SUMPRODUCT($G$35433:$K$35433,$G$35417:$K$35417)&gt;0,IF(C35557&gt;0,"Partly repaid; remainder refinanced","Refinanced"),IF(SUM($G$35442:$K$35442)&gt;0.001,IF(C35557&gt;0,"Partial repayment; PAYMENT DEFAULT","PAYMENT DEFAULT"),"Repaid from cash"))))</f>
        <v>n/a</v>
      </c>
    </row>
    <row r="35560" customFormat="false" ht="15" hidden="false" customHeight="false" outlineLevel="0" collapsed="false">
      <c r="A35560" s="3" t="s">
        <v>361</v>
      </c>
      <c r="C35560" s="16" t="n">
        <f aca="false">SUMPRODUCT($G$35446:$K$35446,$G$35445:$K$35445-$G$35451:$K$35451+$G$35450:$K$35450)</f>
        <v>0</v>
      </c>
    </row>
    <row r="35561" customFormat="false" ht="15" hidden="false" customHeight="false" outlineLevel="0" collapsed="false">
      <c r="A35561" s="3" t="s">
        <v>362</v>
      </c>
      <c r="C35561" s="16" t="n">
        <f aca="false">SUMPRODUCT($G$35446:$K$35446,$G$35453:$K$35453)</f>
        <v>0</v>
      </c>
    </row>
    <row r="35562" customFormat="false" ht="15" hidden="false" customHeight="false" outlineLevel="0" collapsed="false">
      <c r="A35562" s="3" t="s">
        <v>363</v>
      </c>
      <c r="C35562" s="3" t="str">
        <f aca="false">IF(SUM($G$35446:$K$35446)=0,"n/a (beyond horizon)",IF(SUMPRODUCT($G$35446:$K$35446,$G$35417:$K$35417)&gt;0,"REFINANCING PASS","REFINANCING FAILURE"))</f>
        <v>n/a (beyond horizon)</v>
      </c>
    </row>
    <row r="35563" customFormat="false" ht="15" hidden="false" customHeight="false" outlineLevel="0" collapsed="false">
      <c r="A35563" s="3" t="s">
        <v>364</v>
      </c>
      <c r="C35563" s="3" t="str">
        <f aca="false">IF(SUM($G$35446:$K$35446)=0,"n/a",IF(C35561&gt;=C35560-0.001,"Repaid from cash",IF(SUMPRODUCT($G$35446:$K$35446,$G$35417:$K$35417)&gt;0,IF(C35561&gt;0,"Partly repaid; remainder refinanced","Refinanced"),IF(SUM($G$35455:$K$35455)&gt;0.001,IF(C35561&gt;0,"Partial repayment; PAYMENT DEFAULT","PAYMENT DEFAULT"),"Repaid from cash"))))</f>
        <v>n/a</v>
      </c>
    </row>
    <row r="35564" customFormat="false" ht="15" hidden="false" customHeight="false" outlineLevel="0" collapsed="false">
      <c r="A35564" s="3" t="s">
        <v>365</v>
      </c>
      <c r="C35564" s="16" t="n">
        <f aca="false">SUMPRODUCT($G$35459:$K$35459,$G$35458:$K$35458-$G$35464:$K$35464+$G$35463:$K$35463)</f>
        <v>0</v>
      </c>
    </row>
    <row r="35565" customFormat="false" ht="15" hidden="false" customHeight="false" outlineLevel="0" collapsed="false">
      <c r="A35565" s="3" t="s">
        <v>366</v>
      </c>
      <c r="C35565" s="16" t="n">
        <f aca="false">SUMPRODUCT($G$35459:$K$35459,$G$35466:$K$35466)</f>
        <v>0</v>
      </c>
    </row>
    <row r="35566" customFormat="false" ht="15" hidden="false" customHeight="false" outlineLevel="0" collapsed="false">
      <c r="A35566" s="3" t="s">
        <v>367</v>
      </c>
      <c r="C35566" s="3" t="str">
        <f aca="false">IF(SUM($G$35459:$K$35459)=0,"n/a (beyond horizon)",IF(SUMPRODUCT($G$35459:$K$35459,$G$35417:$K$35417)&gt;0,"REFINANCING PASS","REFINANCING FAILURE"))</f>
        <v>REFINANCING FAILURE</v>
      </c>
    </row>
    <row r="35567" customFormat="false" ht="15" hidden="false" customHeight="false" outlineLevel="0" collapsed="false">
      <c r="A35567" s="3" t="s">
        <v>368</v>
      </c>
      <c r="C35567" s="3" t="str">
        <f aca="false">IF(SUM($G$35459:$K$35459)=0,"n/a",IF(C35565&gt;=C35564-0.001,"Repaid from cash",IF(SUMPRODUCT($G$35459:$K$35459,$G$35417:$K$35417)&gt;0,IF(C35565&gt;0,"Partly repaid; remainder refinanced","Refinanced"),IF(SUM($G$35468:$K$35468)&gt;0.001,IF(C35565&gt;0,"Partial repayment; PAYMENT DEFAULT","PAYMENT DEFAULT"),"Repaid from cash"))))</f>
        <v>Repaid from cash</v>
      </c>
    </row>
    <row r="35568" customFormat="false" ht="15" hidden="false" customHeight="false" outlineLevel="0" collapsed="false">
      <c r="A35568" s="3" t="s">
        <v>369</v>
      </c>
      <c r="C35568" s="16" t="n">
        <f aca="false">SUMPRODUCT($G$35472:$K$35472,$G$35471:$K$35471-$G$35477:$K$35477+$G$35476:$K$35476)</f>
        <v>450</v>
      </c>
    </row>
    <row r="35569" customFormat="false" ht="15" hidden="false" customHeight="false" outlineLevel="0" collapsed="false">
      <c r="A35569" s="3" t="s">
        <v>370</v>
      </c>
      <c r="C35569" s="16" t="n">
        <f aca="false">SUMPRODUCT($G$35472:$K$35472,$G$35479:$K$35479)</f>
        <v>48.553642119</v>
      </c>
    </row>
    <row r="35570" customFormat="false" ht="15" hidden="false" customHeight="false" outlineLevel="0" collapsed="false">
      <c r="A35570" s="3" t="s">
        <v>371</v>
      </c>
      <c r="C35570" s="3" t="str">
        <f aca="false">IF(SUM($G$35472:$K$35472)=0,"n/a (beyond horizon)",IF(SUMPRODUCT($G$35472:$K$35472,$G$35417:$K$35417)&gt;0,"REFINANCING PASS","REFINANCING FAILURE"))</f>
        <v>REFINANCING FAILURE</v>
      </c>
    </row>
    <row r="35571" customFormat="false" ht="15" hidden="false" customHeight="false" outlineLevel="0" collapsed="false">
      <c r="A35571" s="3" t="s">
        <v>372</v>
      </c>
      <c r="C35571" s="3" t="str">
        <f aca="false">IF(SUM($G$35472:$K$35472)=0,"n/a",IF(C35569&gt;=C35568-0.001,"Repaid from cash",IF(SUMPRODUCT($G$35472:$K$35472,$G$35417:$K$35417)&gt;0,IF(C35569&gt;0,"Partly repaid; remainder refinanced","Refinanced"),IF(SUM($G$35481:$K$35481)&gt;0.001,IF(C35569&gt;0,"Partial repayment; PAYMENT DEFAULT","PAYMENT DEFAULT"),"Repaid from cash"))))</f>
        <v>Partial repayment; PAYMENT DEFAULT</v>
      </c>
    </row>
    <row r="35572" customFormat="false" ht="15" hidden="false" customHeight="false" outlineLevel="0" collapsed="false">
      <c r="A35572" s="3" t="s">
        <v>373</v>
      </c>
      <c r="C35572" s="16" t="n">
        <f aca="false">SUMPRODUCT($G$35485:$K$35485,$G$35484:$K$35484-$G$35490:$K$35490+$G$35489:$K$35489)</f>
        <v>350</v>
      </c>
    </row>
    <row r="35573" customFormat="false" ht="15" hidden="false" customHeight="false" outlineLevel="0" collapsed="false">
      <c r="A35573" s="3" t="s">
        <v>374</v>
      </c>
      <c r="C35573" s="16" t="n">
        <f aca="false">SUMPRODUCT($G$35485:$K$35485,$G$35492:$K$35492)</f>
        <v>0</v>
      </c>
    </row>
    <row r="35574" customFormat="false" ht="15" hidden="false" customHeight="false" outlineLevel="0" collapsed="false">
      <c r="A35574" s="3" t="s">
        <v>375</v>
      </c>
      <c r="C35574" s="3" t="str">
        <f aca="false">IF(SUM($G$35485:$K$35485)=0,"n/a (beyond horizon)",IF(SUMPRODUCT($G$35485:$K$35485,$G$35417:$K$35417)&gt;0,"REFINANCING PASS","REFINANCING FAILURE"))</f>
        <v>REFINANCING FAILURE</v>
      </c>
    </row>
    <row r="35575" customFormat="false" ht="15" hidden="false" customHeight="false" outlineLevel="0" collapsed="false">
      <c r="A35575" s="3" t="s">
        <v>376</v>
      </c>
      <c r="C35575" s="3" t="str">
        <f aca="false">IF(SUM($G$35485:$K$35485)=0,"n/a",IF(C35573&gt;=C35572-0.001,"Repaid from cash",IF(SUMPRODUCT($G$35485:$K$35485,$G$35417:$K$35417)&gt;0,IF(C35573&gt;0,"Partly repaid; remainder refinanced","Refinanced"),IF(SUM($G$35494:$K$35494)&gt;0.001,IF(C35573&gt;0,"Partial repayment; PAYMENT DEFAULT","PAYMENT DEFAULT"),"Repaid from cash"))))</f>
        <v>PAYMENT DEFAULT</v>
      </c>
    </row>
    <row r="35576" customFormat="false" ht="15" hidden="false" customHeight="false" outlineLevel="0" collapsed="false">
      <c r="A35576" s="3" t="s">
        <v>377</v>
      </c>
      <c r="C35576" s="16" t="n">
        <f aca="false">SUMPRODUCT($G$35498:$K$35498,$G$35497:$K$35497-$G$35503:$K$35503+$G$35502:$K$35502)</f>
        <v>550</v>
      </c>
    </row>
    <row r="35577" customFormat="false" ht="15" hidden="false" customHeight="false" outlineLevel="0" collapsed="false">
      <c r="A35577" s="3" t="s">
        <v>378</v>
      </c>
      <c r="C35577" s="16" t="n">
        <f aca="false">SUMPRODUCT($G$35498:$K$35498,$G$35505:$K$35505)</f>
        <v>0</v>
      </c>
    </row>
    <row r="35578" customFormat="false" ht="15" hidden="false" customHeight="false" outlineLevel="0" collapsed="false">
      <c r="A35578" s="3" t="s">
        <v>379</v>
      </c>
      <c r="C35578" s="3" t="str">
        <f aca="false">IF(SUM($G$35498:$K$35498)=0,"n/a (beyond horizon)",IF(SUMPRODUCT($G$35498:$K$35498,$G$35417:$K$35417)&gt;0,"REFINANCING PASS","REFINANCING FAILURE"))</f>
        <v>REFINANCING FAILURE</v>
      </c>
    </row>
    <row r="35579" customFormat="false" ht="15" hidden="false" customHeight="false" outlineLevel="0" collapsed="false">
      <c r="A35579" s="3" t="s">
        <v>380</v>
      </c>
      <c r="C35579" s="3" t="str">
        <f aca="false">IF(SUM($G$35498:$K$35498)=0,"n/a",IF(C35577&gt;=C35576-0.001,"Repaid from cash",IF(SUMPRODUCT($G$35498:$K$35498,$G$35417:$K$35417)&gt;0,IF(C35577&gt;0,"Partly repaid; remainder refinanced","Refinanced"),IF(SUM($G$35507:$K$35507)&gt;0.001,IF(C35577&gt;0,"Partial repayment; PAYMENT DEFAULT","PAYMENT DEFAULT"),"Repaid from cash"))))</f>
        <v>PAYMENT DEFAULT</v>
      </c>
    </row>
    <row r="35580" customFormat="false" ht="15" hidden="false" customHeight="false" outlineLevel="0" collapsed="false">
      <c r="A35580" s="3" t="s">
        <v>381</v>
      </c>
      <c r="C35580" s="16" t="n">
        <f aca="false">SUMPRODUCT($G$35511:$K$35511,$G$35510:$K$35510-$G$35516:$K$35516+$G$35515:$K$35515)</f>
        <v>350</v>
      </c>
    </row>
    <row r="35581" customFormat="false" ht="15" hidden="false" customHeight="false" outlineLevel="0" collapsed="false">
      <c r="A35581" s="3" t="s">
        <v>382</v>
      </c>
      <c r="C35581" s="16" t="n">
        <f aca="false">SUMPRODUCT($G$35511:$K$35511,$G$35518:$K$35518)</f>
        <v>0</v>
      </c>
    </row>
    <row r="35582" customFormat="false" ht="15" hidden="false" customHeight="false" outlineLevel="0" collapsed="false">
      <c r="A35582" s="3" t="s">
        <v>383</v>
      </c>
      <c r="C35582" s="3" t="str">
        <f aca="false">IF(SUM($G$35511:$K$35511)=0,"n/a (beyond horizon)",IF(SUMPRODUCT($G$35511:$K$35511,$G$35417:$K$35417)&gt;0,"REFINANCING PASS","REFINANCING FAILURE"))</f>
        <v>REFINANCING FAILURE</v>
      </c>
    </row>
    <row r="35583" customFormat="false" ht="15" hidden="false" customHeight="false" outlineLevel="0" collapsed="false">
      <c r="A35583" s="3" t="s">
        <v>384</v>
      </c>
      <c r="C35583" s="3" t="str">
        <f aca="false">IF(SUM($G$35511:$K$35511)=0,"n/a",IF(C35581&gt;=C35580-0.001,"Repaid from cash",IF(SUMPRODUCT($G$35511:$K$35511,$G$35417:$K$35417)&gt;0,IF(C35581&gt;0,"Partly repaid; remainder refinanced","Refinanced"),IF(SUM($G$35520:$K$35520)&gt;0.001,IF(C35581&gt;0,"Partial repayment; PAYMENT DEFAULT","PAYMENT DEFAULT"),"Repaid from cash"))))</f>
        <v>PAYMENT DEFAULT</v>
      </c>
    </row>
    <row r="35584" customFormat="false" ht="15" hidden="false" customHeight="false" outlineLevel="0" collapsed="false">
      <c r="A35584" s="3" t="s">
        <v>385</v>
      </c>
      <c r="C35584" s="16" t="n">
        <f aca="false">SUMPRODUCT($G$35524:$K$35524,$G$35523:$K$35523-$G$35529:$K$35529+$G$35528:$K$35528)</f>
        <v>300</v>
      </c>
    </row>
    <row r="35585" customFormat="false" ht="15" hidden="false" customHeight="false" outlineLevel="0" collapsed="false">
      <c r="A35585" s="3" t="s">
        <v>386</v>
      </c>
      <c r="C35585" s="16" t="n">
        <f aca="false">SUMPRODUCT($G$35524:$K$35524,$G$35531:$K$35531)</f>
        <v>0</v>
      </c>
    </row>
    <row r="35586" customFormat="false" ht="15" hidden="false" customHeight="false" outlineLevel="0" collapsed="false">
      <c r="A35586" s="3" t="s">
        <v>387</v>
      </c>
      <c r="C35586" s="3" t="str">
        <f aca="false">IF(SUM($G$35524:$K$35524)=0,"n/a (beyond horizon)",IF(SUMPRODUCT($G$35524:$K$35524,$G$35417:$K$35417)&gt;0,"REFINANCING PASS","REFINANCING FAILURE"))</f>
        <v>REFINANCING FAILURE</v>
      </c>
    </row>
    <row r="35587" customFormat="false" ht="15" hidden="false" customHeight="false" outlineLevel="0" collapsed="false">
      <c r="A35587" s="3" t="s">
        <v>388</v>
      </c>
      <c r="C35587" s="3" t="str">
        <f aca="false">IF(SUM($G$35524:$K$35524)=0,"n/a",IF(C35585&gt;=C35584-0.001,"Repaid from cash",IF(SUMPRODUCT($G$35524:$K$35524,$G$35417:$K$35417)&gt;0,IF(C35585&gt;0,"Partly repaid; remainder refinanced","Refinanced"),IF(SUM($G$35533:$K$35533)&gt;0.001,IF(C35585&gt;0,"Partial repayment; PAYMENT DEFAULT","PAYMENT DEFAULT"),"Repaid from cash"))))</f>
        <v>PAYMENT DEFAULT</v>
      </c>
    </row>
    <row r="35588" customFormat="false" ht="15" hidden="false" customHeight="false" outlineLevel="0" collapsed="false">
      <c r="A35588" s="3" t="s">
        <v>389</v>
      </c>
      <c r="C35588" s="16" t="n">
        <f aca="false">SUMPRODUCT($G$35537:$K$35537,$G$35536:$K$35536-$G$35542:$K$35542+$G$35541:$K$35541)</f>
        <v>0</v>
      </c>
    </row>
    <row r="35589" customFormat="false" ht="15" hidden="false" customHeight="false" outlineLevel="0" collapsed="false">
      <c r="A35589" s="3" t="s">
        <v>390</v>
      </c>
      <c r="C35589" s="16" t="n">
        <f aca="false">SUMPRODUCT($G$35537:$K$35537,$G$35544:$K$35544)</f>
        <v>0</v>
      </c>
    </row>
    <row r="35590" customFormat="false" ht="15" hidden="false" customHeight="false" outlineLevel="0" collapsed="false">
      <c r="A35590" s="3" t="s">
        <v>391</v>
      </c>
      <c r="C35590" s="3" t="str">
        <f aca="false">IF(SUM($G$35537:$K$35537)=0,"n/a (beyond horizon)",IF(SUMPRODUCT($G$35537:$K$35537,$G$35417:$K$35417)&gt;0,"REFINANCING PASS","REFINANCING FAILURE"))</f>
        <v>n/a (beyond horizon)</v>
      </c>
    </row>
    <row r="35591" customFormat="false" ht="15" hidden="false" customHeight="false" outlineLevel="0" collapsed="false">
      <c r="A35591" s="3" t="s">
        <v>392</v>
      </c>
      <c r="C35591" s="3" t="str">
        <f aca="false">IF(SUM($G$35537:$K$35537)=0,"n/a",IF(C35589&gt;=C35588-0.001,"Repaid from cash",IF(SUMPRODUCT($G$35537:$K$35537,$G$35417:$K$35417)&gt;0,IF(C35589&gt;0,"Partly repaid; remainder refinanced","Refinanced"),IF(SUM($G$35546:$K$35546)&gt;0.001,IF(C35589&gt;0,"Partial repayment; PAYMENT DEFAULT","PAYMENT DEFAULT"),"Repaid from cash"))))</f>
        <v>n/a</v>
      </c>
    </row>
    <row r="35592" customFormat="false" ht="15" hidden="false" customHeight="false" outlineLevel="0" collapsed="false">
      <c r="A35592" s="3" t="s">
        <v>393</v>
      </c>
      <c r="C35592" s="21" t="n">
        <f aca="false">IF(C35554="REFINANCING FAILURE",1,0)+IF(C35558="REFINANCING FAILURE",1,0)+IF(C35562="REFINANCING FAILURE",1,0)+IF(C35566="REFINANCING FAILURE",1,0)+IF(C35570="REFINANCING FAILURE",1,0)+IF(C35574="REFINANCING FAILURE",1,0)+IF(C35578="REFINANCING FAILURE",1,0)+IF(C35582="REFINANCING FAILURE",1,0)+IF(C35586="REFINANCING FAILURE",1,0)+IF(C35590="REFINANCING FAILURE",1,0)</f>
        <v>7</v>
      </c>
    </row>
    <row r="35594" customFormat="false" ht="15" hidden="false" customHeight="false" outlineLevel="0" collapsed="false">
      <c r="A35594" s="24" t="s">
        <v>395</v>
      </c>
      <c r="B35594" s="25"/>
      <c r="C35594" s="25"/>
      <c r="D35594" s="25"/>
      <c r="E35594" s="25"/>
      <c r="F35594" s="25"/>
      <c r="G35594" s="25"/>
      <c r="H35594" s="25"/>
      <c r="I35594" s="25"/>
      <c r="J35594" s="25"/>
      <c r="K35594" s="25"/>
    </row>
    <row r="35595" customFormat="false" ht="15" hidden="false" customHeight="false" outlineLevel="0" collapsed="false">
      <c r="A35595" s="3" t="s">
        <v>325</v>
      </c>
      <c r="G35595" s="16" t="n">
        <f aca="false">F35607</f>
        <v>37.87</v>
      </c>
      <c r="H35595" s="16" t="n">
        <f aca="false">G35607</f>
        <v>122.9474204</v>
      </c>
      <c r="I35595" s="16" t="n">
        <f aca="false">H35607</f>
        <v>0</v>
      </c>
      <c r="J35595" s="16" t="n">
        <f aca="false">I35607</f>
        <v>-70.8793844172995</v>
      </c>
      <c r="K35595" s="16" t="n">
        <f aca="false">J35607</f>
        <v>-137.895771657719</v>
      </c>
    </row>
    <row r="35596" customFormat="false" ht="15" hidden="false" customHeight="false" outlineLevel="0" collapsed="false">
      <c r="A35596" s="3" t="s">
        <v>396</v>
      </c>
      <c r="G35596" s="16" t="n">
        <f aca="false">G35406</f>
        <v>-60.9225796</v>
      </c>
      <c r="H35596" s="16" t="n">
        <f aca="false">H35406</f>
        <v>-70.393778281</v>
      </c>
      <c r="I35596" s="16" t="n">
        <f aca="false">I35406</f>
        <v>-66.8793844172995</v>
      </c>
      <c r="J35596" s="16" t="n">
        <f aca="false">J35406</f>
        <v>-63.0163872404195</v>
      </c>
      <c r="K35596" s="16" t="n">
        <f aca="false">K35406</f>
        <v>-59.0959158342138</v>
      </c>
    </row>
    <row r="35597" customFormat="false" ht="15" hidden="false" customHeight="false" outlineLevel="0" collapsed="false">
      <c r="A35597" s="3" t="s">
        <v>397</v>
      </c>
      <c r="G35597" s="16" t="n">
        <f aca="false">CHOOSE($C$35376,Assumptions!$G$82,Assumptions!$G$101,Assumptions!$G$120)</f>
        <v>150</v>
      </c>
      <c r="H35597" s="16" t="n">
        <f aca="false">CHOOSE($C$35376,Assumptions!$H$82,Assumptions!$H$101,Assumptions!$H$120)</f>
        <v>0</v>
      </c>
      <c r="I35597" s="16" t="n">
        <f aca="false">CHOOSE($C$35376,Assumptions!$I$82,Assumptions!$I$101,Assumptions!$I$120)</f>
        <v>0</v>
      </c>
      <c r="J35597" s="16" t="n">
        <f aca="false">CHOOSE($C$35376,Assumptions!$J$82,Assumptions!$J$101,Assumptions!$J$120)</f>
        <v>0</v>
      </c>
      <c r="K35597" s="16" t="n">
        <f aca="false">CHOOSE($C$35376,Assumptions!$K$82,Assumptions!$K$101,Assumptions!$K$120)</f>
        <v>0</v>
      </c>
    </row>
    <row r="35598" customFormat="false" ht="15" hidden="false" customHeight="false" outlineLevel="0" collapsed="false">
      <c r="A35598" s="3" t="s">
        <v>398</v>
      </c>
      <c r="G35598" s="16" t="n">
        <f aca="false">G35425+G35438+G35451+G35464+G35477+G35490+G35503+G35516+G35529+G35542</f>
        <v>4</v>
      </c>
      <c r="H35598" s="16" t="n">
        <f aca="false">H35425+H35438+H35451+H35464+H35477+H35490+H35503+H35516+H35529+H35542</f>
        <v>4</v>
      </c>
      <c r="I35598" s="16" t="n">
        <f aca="false">I35425+I35438+I35451+I35464+I35477+I35490+I35503+I35516+I35529+I35542</f>
        <v>4</v>
      </c>
      <c r="J35598" s="16" t="n">
        <f aca="false">J35425+J35438+J35451+J35464+J35477+J35490+J35503+J35516+J35529+J35542</f>
        <v>4</v>
      </c>
      <c r="K35598" s="16" t="n">
        <f aca="false">K35425+K35438+K35451+K35464+K35477+K35490+K35503+K35516+K35529+K35542</f>
        <v>4</v>
      </c>
    </row>
    <row r="35599" customFormat="false" ht="15" hidden="false" customHeight="false" outlineLevel="0" collapsed="false">
      <c r="A35599" s="2" t="s">
        <v>399</v>
      </c>
      <c r="G35599" s="17" t="n">
        <f aca="false">G35595+G35596+G35597-G35598</f>
        <v>122.9474204</v>
      </c>
      <c r="H35599" s="17" t="n">
        <f aca="false">H35595+H35596+H35597-H35598</f>
        <v>48.553642119</v>
      </c>
      <c r="I35599" s="17" t="n">
        <f aca="false">I35595+I35596+I35597-I35598</f>
        <v>-70.8793844172995</v>
      </c>
      <c r="J35599" s="17" t="n">
        <f aca="false">J35595+J35596+J35597-J35598</f>
        <v>-137.895771657719</v>
      </c>
      <c r="K35599" s="17" t="n">
        <f aca="false">K35595+K35596+K35597-K35598</f>
        <v>-200.991687491933</v>
      </c>
    </row>
    <row r="35600" customFormat="false" ht="15" hidden="false" customHeight="false" outlineLevel="0" collapsed="false">
      <c r="A35600" s="3" t="s">
        <v>400</v>
      </c>
      <c r="G35600" s="16" t="n">
        <f aca="false">G35426+G35439+G35452+G35465+G35478+G35491+G35504+G35517+G35530+G35543</f>
        <v>0</v>
      </c>
      <c r="H35600" s="16" t="n">
        <f aca="false">H35426+H35439+H35452+H35465+H35478+H35491+H35504+H35517+H35530+H35543</f>
        <v>0</v>
      </c>
      <c r="I35600" s="16" t="n">
        <f aca="false">I35426+I35439+I35452+I35465+I35478+I35491+I35504+I35517+I35530+I35543</f>
        <v>0</v>
      </c>
      <c r="J35600" s="16" t="n">
        <f aca="false">J35426+J35439+J35452+J35465+J35478+J35491+J35504+J35517+J35530+J35543</f>
        <v>0</v>
      </c>
      <c r="K35600" s="16" t="n">
        <f aca="false">K35426+K35439+K35452+K35465+K35478+K35491+K35504+K35517+K35530+K35543</f>
        <v>0</v>
      </c>
    </row>
    <row r="35601" customFormat="false" ht="15" hidden="false" customHeight="false" outlineLevel="0" collapsed="false">
      <c r="A35601" s="2" t="s">
        <v>401</v>
      </c>
      <c r="G35601" s="17" t="n">
        <f aca="false">G35599+G35600</f>
        <v>122.9474204</v>
      </c>
      <c r="H35601" s="17" t="n">
        <f aca="false">H35599+H35600</f>
        <v>48.553642119</v>
      </c>
      <c r="I35601" s="17" t="n">
        <f aca="false">I35599+I35600</f>
        <v>-70.8793844172995</v>
      </c>
      <c r="J35601" s="17" t="n">
        <f aca="false">J35599+J35600</f>
        <v>-137.895771657719</v>
      </c>
      <c r="K35601" s="17" t="n">
        <f aca="false">K35599+K35600</f>
        <v>-200.991687491933</v>
      </c>
    </row>
    <row r="35602" customFormat="false" ht="15" hidden="false" customHeight="false" outlineLevel="0" collapsed="false">
      <c r="A35602" s="3" t="s">
        <v>402</v>
      </c>
      <c r="G35602" s="16" t="n">
        <f aca="false">G35427+G35440+G35453+G35466+G35479+G35492+G35505+G35518+G35531+G35544</f>
        <v>0</v>
      </c>
      <c r="H35602" s="16" t="n">
        <f aca="false">H35427+H35440+H35453+H35466+H35479+H35492+H35505+H35518+H35531+H35544</f>
        <v>48.553642119</v>
      </c>
      <c r="I35602" s="16" t="n">
        <f aca="false">I35427+I35440+I35453+I35466+I35479+I35492+I35505+I35518+I35531+I35544</f>
        <v>0</v>
      </c>
      <c r="J35602" s="16" t="n">
        <f aca="false">J35427+J35440+J35453+J35466+J35479+J35492+J35505+J35518+J35531+J35544</f>
        <v>0</v>
      </c>
      <c r="K35602" s="16" t="n">
        <f aca="false">K35427+K35440+K35453+K35466+K35479+K35492+K35505+K35518+K35531+K35544</f>
        <v>0</v>
      </c>
    </row>
    <row r="35603" customFormat="false" ht="15" hidden="false" customHeight="false" outlineLevel="0" collapsed="false">
      <c r="A35603" s="2" t="s">
        <v>403</v>
      </c>
      <c r="G35603" s="17" t="n">
        <f aca="false">G35601-G35602</f>
        <v>122.9474204</v>
      </c>
      <c r="H35603" s="17" t="n">
        <f aca="false">H35601-H35602</f>
        <v>0</v>
      </c>
      <c r="I35603" s="17" t="n">
        <f aca="false">I35601-I35602</f>
        <v>-70.8793844172995</v>
      </c>
      <c r="J35603" s="17" t="n">
        <f aca="false">J35601-J35602</f>
        <v>-137.895771657719</v>
      </c>
      <c r="K35603" s="17" t="n">
        <f aca="false">K35601-K35602</f>
        <v>-200.991687491933</v>
      </c>
    </row>
    <row r="35604" customFormat="false" ht="15" hidden="false" customHeight="false" outlineLevel="0" collapsed="false">
      <c r="A35604" s="3" t="s">
        <v>404</v>
      </c>
      <c r="G35604" s="16" t="n">
        <f aca="false">MAX(0,-G35603)</f>
        <v>0</v>
      </c>
      <c r="H35604" s="16" t="n">
        <f aca="false">MAX(0,-H35603)</f>
        <v>-0</v>
      </c>
      <c r="I35604" s="16" t="n">
        <f aca="false">MAX(0,-I35603)</f>
        <v>70.8793844172995</v>
      </c>
      <c r="J35604" s="16" t="n">
        <f aca="false">MAX(0,-J35603)</f>
        <v>137.895771657719</v>
      </c>
      <c r="K35604" s="16" t="n">
        <f aca="false">MAX(0,-K35603)</f>
        <v>200.991687491933</v>
      </c>
    </row>
    <row r="35605" customFormat="false" ht="15" hidden="false" customHeight="false" outlineLevel="0" collapsed="false">
      <c r="A35605" s="3" t="s">
        <v>405</v>
      </c>
      <c r="G35605" s="16" t="n">
        <f aca="false">MAX(0,G35603-Assumptions!$C$12)*Assumptions!$C$13</f>
        <v>0</v>
      </c>
      <c r="H35605" s="16" t="n">
        <f aca="false">MAX(0,H35603-Assumptions!$C$12)*Assumptions!$C$13</f>
        <v>0</v>
      </c>
      <c r="I35605" s="16" t="n">
        <f aca="false">MAX(0,I35603-Assumptions!$C$12)*Assumptions!$C$13</f>
        <v>0</v>
      </c>
      <c r="J35605" s="16" t="n">
        <f aca="false">MAX(0,J35603-Assumptions!$C$12)*Assumptions!$C$13</f>
        <v>0</v>
      </c>
      <c r="K35605" s="16" t="n">
        <f aca="false">MAX(0,K35603-Assumptions!$C$12)*Assumptions!$C$13</f>
        <v>0</v>
      </c>
    </row>
    <row r="35606" customFormat="false" ht="15" hidden="false" customHeight="false" outlineLevel="0" collapsed="false">
      <c r="A35606" s="3" t="s">
        <v>406</v>
      </c>
      <c r="G35606" s="16" t="n">
        <f aca="false">G35428+G35441+G35454+G35467+G35480+G35493+G35506+G35519+G35532+G35545</f>
        <v>0</v>
      </c>
      <c r="H35606" s="16" t="n">
        <f aca="false">H35428+H35441+H35454+H35467+H35480+H35493+H35506+H35519+H35532+H35545</f>
        <v>0</v>
      </c>
      <c r="I35606" s="16" t="n">
        <f aca="false">I35428+I35441+I35454+I35467+I35480+I35493+I35506+I35519+I35532+I35545</f>
        <v>0</v>
      </c>
      <c r="J35606" s="16" t="n">
        <f aca="false">J35428+J35441+J35454+J35467+J35480+J35493+J35506+J35519+J35532+J35545</f>
        <v>0</v>
      </c>
      <c r="K35606" s="16" t="n">
        <f aca="false">K35428+K35441+K35454+K35467+K35480+K35493+K35506+K35519+K35532+K35545</f>
        <v>0</v>
      </c>
    </row>
    <row r="35607" customFormat="false" ht="15" hidden="false" customHeight="false" outlineLevel="0" collapsed="false">
      <c r="A35607" s="2" t="s">
        <v>407</v>
      </c>
      <c r="F35607" s="28" t="n">
        <f aca="false">Assumptions!$C$11</f>
        <v>37.87</v>
      </c>
      <c r="G35607" s="17" t="n">
        <f aca="false">G35603-G35606</f>
        <v>122.9474204</v>
      </c>
      <c r="H35607" s="17" t="n">
        <f aca="false">H35603-H35606</f>
        <v>0</v>
      </c>
      <c r="I35607" s="17" t="n">
        <f aca="false">I35603-I35606</f>
        <v>-70.8793844172995</v>
      </c>
      <c r="J35607" s="17" t="n">
        <f aca="false">J35603-J35606</f>
        <v>-137.895771657719</v>
      </c>
      <c r="K35607" s="17" t="n">
        <f aca="false">K35603-K35606</f>
        <v>-200.991687491933</v>
      </c>
    </row>
    <row r="35608" customFormat="false" ht="15" hidden="false" customHeight="false" outlineLevel="0" collapsed="false">
      <c r="A35608" s="3" t="s">
        <v>408</v>
      </c>
      <c r="G35608" s="16" t="n">
        <f aca="false">G35429+G35442+G35455+G35468+G35481+G35494+G35507+G35520+G35533+G35546</f>
        <v>0</v>
      </c>
      <c r="H35608" s="16" t="n">
        <f aca="false">H35429+H35442+H35455+H35468+H35481+H35494+H35507+H35520+H35533+H35546</f>
        <v>751.446357881</v>
      </c>
      <c r="I35608" s="16" t="n">
        <f aca="false">I35429+I35442+I35455+I35468+I35481+I35494+I35507+I35520+I35533+I35546</f>
        <v>550</v>
      </c>
      <c r="J35608" s="16" t="n">
        <f aca="false">J35429+J35442+J35455+J35468+J35481+J35494+J35507+J35520+J35533+J35546</f>
        <v>350</v>
      </c>
      <c r="K35608" s="16" t="n">
        <f aca="false">K35429+K35442+K35455+K35468+K35481+K35494+K35507+K35520+K35533+K35546</f>
        <v>680</v>
      </c>
    </row>
    <row r="35609" customFormat="false" ht="15" hidden="false" customHeight="false" outlineLevel="0" collapsed="false">
      <c r="A35609" s="3" t="s">
        <v>409</v>
      </c>
      <c r="G35609" s="21" t="n">
        <f aca="false">IF(OR(G35604&gt;0.001,G35608&gt;0.001),1,0)</f>
        <v>0</v>
      </c>
      <c r="H35609" s="21" t="n">
        <f aca="false">IF(OR(H35604&gt;0.001,H35608&gt;0.001),1,0)</f>
        <v>1</v>
      </c>
      <c r="I35609" s="21" t="n">
        <f aca="false">IF(OR(I35604&gt;0.001,I35608&gt;0.001),1,0)</f>
        <v>1</v>
      </c>
      <c r="J35609" s="21" t="n">
        <f aca="false">IF(OR(J35604&gt;0.001,J35608&gt;0.001),1,0)</f>
        <v>1</v>
      </c>
      <c r="K35609" s="21" t="n">
        <f aca="false">IF(OR(K35604&gt;0.001,K35608&gt;0.001),1,0)</f>
        <v>1</v>
      </c>
    </row>
    <row r="35610" customFormat="false" ht="15" hidden="false" customHeight="false" outlineLevel="0" collapsed="false">
      <c r="A35610" s="3" t="s">
        <v>410</v>
      </c>
      <c r="G35610" s="21" t="n">
        <f aca="false">IF(G35609=1,1,0)</f>
        <v>0</v>
      </c>
      <c r="H35610" s="21" t="n">
        <f aca="false">IF(AND(H35609=1,SUM($G$35609:G35609)=0),1,0)</f>
        <v>1</v>
      </c>
      <c r="I35610" s="21" t="n">
        <f aca="false">IF(AND(I35609=1,SUM($G$35609:H35609)=0),1,0)</f>
        <v>0</v>
      </c>
      <c r="J35610" s="21" t="n">
        <f aca="false">IF(AND(J35609=1,SUM($G$35609:I35609)=0),1,0)</f>
        <v>0</v>
      </c>
      <c r="K35610" s="21" t="n">
        <f aca="false">IF(AND(K35609=1,SUM($G$35609:J35609)=0),1,0)</f>
        <v>0</v>
      </c>
    </row>
    <row r="35611" customFormat="false" ht="15" hidden="false" customHeight="false" outlineLevel="0" collapsed="false">
      <c r="A35611" s="3" t="s">
        <v>411</v>
      </c>
      <c r="G35611" s="16" t="n">
        <f aca="false">(G35549-F35549)-(G35600+G35398-G35598-G35602-G35606)</f>
        <v>0</v>
      </c>
      <c r="H35611" s="16" t="n">
        <f aca="false">(H35549-G35549)-(H35600+H35398-H35598-H35602-H35606)</f>
        <v>-3.83693077310454E-013</v>
      </c>
      <c r="I35611" s="16" t="n">
        <f aca="false">(I35549-H35549)-(I35600+I35398-I35598-I35602-I35606)</f>
        <v>0</v>
      </c>
      <c r="J35611" s="16" t="n">
        <f aca="false">(J35549-I35549)-(J35600+J35398-J35598-J35602-J35606)</f>
        <v>0</v>
      </c>
      <c r="K35611" s="16" t="n">
        <f aca="false">(K35549-J35549)-(K35600+K35398-K35598-K35602-K35606)</f>
        <v>0</v>
      </c>
    </row>
    <row r="35613" customFormat="false" ht="15" hidden="false" customHeight="false" outlineLevel="0" collapsed="false">
      <c r="A35613" s="24" t="s">
        <v>413</v>
      </c>
      <c r="B35613" s="25"/>
      <c r="C35613" s="25"/>
      <c r="D35613" s="25"/>
      <c r="E35613" s="25"/>
      <c r="F35613" s="25"/>
      <c r="G35613" s="25"/>
      <c r="H35613" s="25"/>
      <c r="I35613" s="25"/>
      <c r="J35613" s="25"/>
      <c r="K35613" s="25"/>
    </row>
    <row r="35614" customFormat="false" ht="15" hidden="false" customHeight="false" outlineLevel="0" collapsed="false">
      <c r="A35614" s="3" t="s">
        <v>414</v>
      </c>
      <c r="G35614" s="16" t="n">
        <f aca="false">G35549</f>
        <v>2621.934</v>
      </c>
      <c r="H35614" s="16" t="n">
        <f aca="false">H35549</f>
        <v>2569.380357881</v>
      </c>
      <c r="I35614" s="16" t="n">
        <f aca="false">I35549</f>
        <v>2565.380357881</v>
      </c>
      <c r="J35614" s="16" t="n">
        <f aca="false">J35549</f>
        <v>2561.380357881</v>
      </c>
      <c r="K35614" s="16" t="n">
        <f aca="false">K35549</f>
        <v>2557.380357881</v>
      </c>
    </row>
    <row r="35615" customFormat="false" ht="15" hidden="false" customHeight="false" outlineLevel="0" collapsed="false">
      <c r="A35615" s="3" t="s">
        <v>415</v>
      </c>
      <c r="G35615" s="16" t="n">
        <f aca="false">Assumptions!$O$57*G35430+Assumptions!$O$58*G35443+Assumptions!$O$59*G35456+Assumptions!$O$60*G35469+Assumptions!$O$61*G35482+Assumptions!$O$62*G35495+Assumptions!$O$63*G35508+Assumptions!$O$64*G35521+Assumptions!$O$65*G35534+Assumptions!$O$66*G35547</f>
        <v>543.324</v>
      </c>
      <c r="H35615" s="16" t="n">
        <f aca="false">Assumptions!$O$57*H35430+Assumptions!$O$58*H35443+Assumptions!$O$59*H35456+Assumptions!$O$60*H35469+Assumptions!$O$61*H35482+Assumptions!$O$62*H35495+Assumptions!$O$63*H35508+Assumptions!$O$64*H35521+Assumptions!$O$65*H35534+Assumptions!$O$66*H35547</f>
        <v>539.324</v>
      </c>
      <c r="I35615" s="16" t="n">
        <f aca="false">Assumptions!$O$57*I35430+Assumptions!$O$58*I35443+Assumptions!$O$59*I35456+Assumptions!$O$60*I35469+Assumptions!$O$61*I35482+Assumptions!$O$62*I35495+Assumptions!$O$63*I35508+Assumptions!$O$64*I35521+Assumptions!$O$65*I35534+Assumptions!$O$66*I35547</f>
        <v>535.324</v>
      </c>
      <c r="J35615" s="16" t="n">
        <f aca="false">Assumptions!$O$57*J35430+Assumptions!$O$58*J35443+Assumptions!$O$59*J35456+Assumptions!$O$60*J35469+Assumptions!$O$61*J35482+Assumptions!$O$62*J35495+Assumptions!$O$63*J35508+Assumptions!$O$64*J35521+Assumptions!$O$65*J35534+Assumptions!$O$66*J35547</f>
        <v>531.324</v>
      </c>
      <c r="K35615" s="16" t="n">
        <f aca="false">Assumptions!$O$57*K35430+Assumptions!$O$58*K35443+Assumptions!$O$59*K35456+Assumptions!$O$60*K35469+Assumptions!$O$61*K35482+Assumptions!$O$62*K35495+Assumptions!$O$63*K35508+Assumptions!$O$64*K35521+Assumptions!$O$65*K35534+Assumptions!$O$66*K35547</f>
        <v>527.324</v>
      </c>
    </row>
    <row r="35616" customFormat="false" ht="15" hidden="false" customHeight="false" outlineLevel="0" collapsed="false">
      <c r="A35616" s="3" t="s">
        <v>416</v>
      </c>
      <c r="G35616" s="16" t="n">
        <f aca="false">G35614-G35607</f>
        <v>2498.9865796</v>
      </c>
      <c r="H35616" s="16" t="n">
        <f aca="false">H35614-H35607</f>
        <v>2569.380357881</v>
      </c>
      <c r="I35616" s="16" t="n">
        <f aca="false">I35614-I35607</f>
        <v>2636.2597422983</v>
      </c>
      <c r="J35616" s="16" t="n">
        <f aca="false">J35614-J35607</f>
        <v>2699.27612953872</v>
      </c>
      <c r="K35616" s="16" t="n">
        <f aca="false">K35614-K35607</f>
        <v>2758.37204537293</v>
      </c>
    </row>
    <row r="35617" customFormat="false" ht="15" hidden="false" customHeight="false" outlineLevel="0" collapsed="false">
      <c r="A35617" s="3" t="s">
        <v>417</v>
      </c>
      <c r="G35617" s="32" t="n">
        <f aca="false">IF(G35393&gt;0,G35614/G35393,0)</f>
        <v>11.1954319438308</v>
      </c>
      <c r="H35617" s="32" t="n">
        <f aca="false">IF(H35393&gt;0,H35614/H35393,0)</f>
        <v>11.6601471215067</v>
      </c>
      <c r="I35617" s="32" t="n">
        <f aca="false">IF(I35393&gt;0,I35614/I35393,0)</f>
        <v>11.6419946559354</v>
      </c>
      <c r="J35617" s="32" t="n">
        <f aca="false">IF(J35393&gt;0,J35614/J35393,0)</f>
        <v>11.3913183720481</v>
      </c>
      <c r="K35617" s="32" t="n">
        <f aca="false">IF(K35393&gt;0,K35614/K35393,0)</f>
        <v>11.14717316588</v>
      </c>
    </row>
    <row r="35618" customFormat="false" ht="15" hidden="false" customHeight="false" outlineLevel="0" collapsed="false">
      <c r="A35618" s="3" t="s">
        <v>418</v>
      </c>
      <c r="G35618" s="32" t="n">
        <f aca="false">IF(G35393&gt;0,G35616/G35393,0)</f>
        <v>10.6704570673626</v>
      </c>
      <c r="H35618" s="32" t="n">
        <f aca="false">IF(H35393&gt;0,H35616/H35393,0)</f>
        <v>11.6601471215067</v>
      </c>
      <c r="I35618" s="32" t="n">
        <f aca="false">IF(I35393&gt;0,I35616/I35393,0)</f>
        <v>11.9636535522731</v>
      </c>
      <c r="J35618" s="32" t="n">
        <f aca="false">IF(J35393&gt;0,J35616/J35393,0)</f>
        <v>12.0045871637288</v>
      </c>
      <c r="K35618" s="32" t="n">
        <f aca="false">IF(K35393&gt;0,K35616/K35393,0)</f>
        <v>12.0232607366907</v>
      </c>
    </row>
    <row r="35619" customFormat="false" ht="15" hidden="false" customHeight="false" outlineLevel="0" collapsed="false">
      <c r="A35619" s="3" t="s">
        <v>419</v>
      </c>
      <c r="G35619" s="32" t="n">
        <f aca="false">IF(G35397&gt;0,G35393/G35397,0)</f>
        <v>1.24979041307388</v>
      </c>
      <c r="H35619" s="32" t="n">
        <f aca="false">IF(H35397&gt;0,H35393/H35397,0)</f>
        <v>1.18311222526984</v>
      </c>
      <c r="I35619" s="32" t="n">
        <f aca="false">IF(I35397&gt;0,I35393/I35397,0)</f>
        <v>1.20586587186349</v>
      </c>
      <c r="J35619" s="32" t="n">
        <f aca="false">IF(J35397&gt;0,J35393/J35397,0)</f>
        <v>1.23324745076441</v>
      </c>
      <c r="K35619" s="32" t="n">
        <f aca="false">IF(K35397&gt;0,K35393/K35397,0)</f>
        <v>1.26112583435714</v>
      </c>
    </row>
    <row r="35620" customFormat="false" ht="15" hidden="false" customHeight="false" outlineLevel="0" collapsed="false">
      <c r="A35620" s="3" t="s">
        <v>420</v>
      </c>
      <c r="G35620" s="32" t="n">
        <f aca="false">IF(G35397&gt;0,G35396/G35397,0)</f>
        <v>0.320303767681135</v>
      </c>
      <c r="H35620" s="32" t="n">
        <f aca="false">IF(H35397&gt;0,H35396/H35397,0)</f>
        <v>0.27600176891797</v>
      </c>
      <c r="I35620" s="32" t="n">
        <f aca="false">IF(I35397&gt;0,I35396/I35397,0)</f>
        <v>0.281309842467585</v>
      </c>
      <c r="J35620" s="32" t="n">
        <f aca="false">IF(J35397&gt;0,J35396/J35397,0)</f>
        <v>0.297346009456427</v>
      </c>
      <c r="K35620" s="32" t="n">
        <f aca="false">IF(K35397&gt;0,K35396/K35397,0)</f>
        <v>0.313734968638568</v>
      </c>
    </row>
    <row r="35621" customFormat="false" ht="15" hidden="false" customHeight="false" outlineLevel="0" collapsed="false">
      <c r="A35621" s="3" t="s">
        <v>213</v>
      </c>
      <c r="G35621" s="22" t="n">
        <f aca="false">IF(G35614&gt;0,G35406/G35614,0)</f>
        <v>-0.0232357410979834</v>
      </c>
      <c r="H35621" s="22" t="n">
        <f aca="false">IF(H35614&gt;0,H35406/H35614,0)</f>
        <v>-0.0273971808280867</v>
      </c>
      <c r="I35621" s="22" t="n">
        <f aca="false">IF(I35614&gt;0,I35406/I35614,0)</f>
        <v>-0.0260699682258976</v>
      </c>
      <c r="J35621" s="22" t="n">
        <f aca="false">IF(J35614&gt;0,J35406/J35614,0)</f>
        <v>-0.0246025105355896</v>
      </c>
      <c r="K35621" s="22" t="n">
        <f aca="false">IF(K35614&gt;0,K35406/K35614,0)</f>
        <v>-0.0231079884742603</v>
      </c>
    </row>
    <row r="35622" customFormat="false" ht="15" hidden="false" customHeight="false" outlineLevel="0" collapsed="false">
      <c r="A35622" s="3" t="s">
        <v>421</v>
      </c>
      <c r="G35622" s="32" t="n">
        <f aca="false">IF(G35397+G35598&gt;0,(G35393-G35404-G35401)/(G35397+G35598),0)</f>
        <v>0.783148779220797</v>
      </c>
      <c r="H35622" s="32" t="n">
        <f aca="false">IF(H35397+H35598&gt;0,(H35393-H35404-H35401)/(H35397+H35598),0)</f>
        <v>0.728376128313333</v>
      </c>
      <c r="I35622" s="32" t="n">
        <f aca="false">IF(I35397+I35598&gt;0,(I35393-I35404-I35401)/(I35397+I35598),0)</f>
        <v>0.742084215548814</v>
      </c>
      <c r="J35622" s="32" t="n">
        <f aca="false">IF(J35397+J35598&gt;0,(J35393-J35404-J35401)/(J35397+J35598),0)</f>
        <v>0.763468302110309</v>
      </c>
      <c r="K35622" s="32" t="n">
        <f aca="false">IF(K35397+K35598&gt;0,(K35393-K35404-K35401)/(K35397+K35598),0)</f>
        <v>0.785268063869781</v>
      </c>
    </row>
    <row r="35623" customFormat="false" ht="15" hidden="false" customHeight="false" outlineLevel="0" collapsed="false">
      <c r="A35623" s="3" t="s">
        <v>422</v>
      </c>
      <c r="G35623" s="16" t="n">
        <f aca="false">MAX(0,G35607)+Assumptions!$P$57*MAX(0,Assumptions!$D$57-G35430)+Assumptions!$P$58*MAX(0,Assumptions!$D$58-G35443)+Assumptions!$P$59*MAX(0,Assumptions!$D$59-G35456)+Assumptions!$P$60*MAX(0,Assumptions!$D$60-G35469)+Assumptions!$P$61*MAX(0,Assumptions!$D$61-G35482)+Assumptions!$P$62*MAX(0,Assumptions!$D$62-G35495)+Assumptions!$P$63*MAX(0,Assumptions!$D$63-G35508)+Assumptions!$P$64*MAX(0,Assumptions!$D$64-G35521)+Assumptions!$P$65*MAX(0,Assumptions!$D$65-G35534)+Assumptions!$P$66*MAX(0,Assumptions!$D$66-G35547)</f>
        <v>697.4474204</v>
      </c>
      <c r="H35623" s="16" t="n">
        <f aca="false">MAX(0,H35607)+Assumptions!$P$57*MAX(0,Assumptions!$D$57-H35430)+Assumptions!$P$58*MAX(0,Assumptions!$D$58-H35443)+Assumptions!$P$59*MAX(0,Assumptions!$D$59-H35456)+Assumptions!$P$60*MAX(0,Assumptions!$D$60-H35469)+Assumptions!$P$61*MAX(0,Assumptions!$D$61-H35482)+Assumptions!$P$62*MAX(0,Assumptions!$D$62-H35495)+Assumptions!$P$63*MAX(0,Assumptions!$D$63-H35508)+Assumptions!$P$64*MAX(0,Assumptions!$D$64-H35521)+Assumptions!$P$65*MAX(0,Assumptions!$D$65-H35534)+Assumptions!$P$66*MAX(0,Assumptions!$D$66-H35547)</f>
        <v>574.5</v>
      </c>
      <c r="I35623" s="16" t="n">
        <f aca="false">MAX(0,I35607)+Assumptions!$P$57*MAX(0,Assumptions!$D$57-I35430)+Assumptions!$P$58*MAX(0,Assumptions!$D$58-I35443)+Assumptions!$P$59*MAX(0,Assumptions!$D$59-I35456)+Assumptions!$P$60*MAX(0,Assumptions!$D$60-I35469)+Assumptions!$P$61*MAX(0,Assumptions!$D$61-I35482)+Assumptions!$P$62*MAX(0,Assumptions!$D$62-I35495)+Assumptions!$P$63*MAX(0,Assumptions!$D$63-I35508)+Assumptions!$P$64*MAX(0,Assumptions!$D$64-I35521)+Assumptions!$P$65*MAX(0,Assumptions!$D$65-I35534)+Assumptions!$P$66*MAX(0,Assumptions!$D$66-I35547)</f>
        <v>574.5</v>
      </c>
      <c r="J35623" s="16" t="n">
        <f aca="false">MAX(0,J35607)+Assumptions!$P$57*MAX(0,Assumptions!$D$57-J35430)+Assumptions!$P$58*MAX(0,Assumptions!$D$58-J35443)+Assumptions!$P$59*MAX(0,Assumptions!$D$59-J35456)+Assumptions!$P$60*MAX(0,Assumptions!$D$60-J35469)+Assumptions!$P$61*MAX(0,Assumptions!$D$61-J35482)+Assumptions!$P$62*MAX(0,Assumptions!$D$62-J35495)+Assumptions!$P$63*MAX(0,Assumptions!$D$63-J35508)+Assumptions!$P$64*MAX(0,Assumptions!$D$64-J35521)+Assumptions!$P$65*MAX(0,Assumptions!$D$65-J35534)+Assumptions!$P$66*MAX(0,Assumptions!$D$66-J35547)</f>
        <v>574.5</v>
      </c>
      <c r="K35623" s="16" t="n">
        <f aca="false">MAX(0,K35607)+Assumptions!$P$57*MAX(0,Assumptions!$D$57-K35430)+Assumptions!$P$58*MAX(0,Assumptions!$D$58-K35443)+Assumptions!$P$59*MAX(0,Assumptions!$D$59-K35456)+Assumptions!$P$60*MAX(0,Assumptions!$D$60-K35469)+Assumptions!$P$61*MAX(0,Assumptions!$D$61-K35482)+Assumptions!$P$62*MAX(0,Assumptions!$D$62-K35495)+Assumptions!$P$63*MAX(0,Assumptions!$D$63-K35508)+Assumptions!$P$64*MAX(0,Assumptions!$D$64-K35521)+Assumptions!$P$65*MAX(0,Assumptions!$D$65-K35534)+Assumptions!$P$66*MAX(0,Assumptions!$D$66-K35547)</f>
        <v>574.5</v>
      </c>
    </row>
    <row r="35624" customFormat="false" ht="15" hidden="false" customHeight="false" outlineLevel="0" collapsed="false">
      <c r="A35624" s="3" t="s">
        <v>423</v>
      </c>
      <c r="G35624" s="22" t="n">
        <f aca="false">IF(G35614&gt;0,G35614/(G35614+MAX(0,G35393*CHOOSE($C$35376,Assumptions!$C$90,Assumptions!$C$109,Assumptions!$C$128)-G35616)),0)</f>
        <v>0.971406190801315</v>
      </c>
      <c r="H35624" s="22" t="n">
        <f aca="false">IF(H35614&gt;0,H35614/(H35614+MAX(0,H35393*CHOOSE($C$35376,Assumptions!$C$90,Assumptions!$C$109,Assumptions!$C$128)-H35616)),0)</f>
        <v>1</v>
      </c>
      <c r="I35624" s="22" t="n">
        <f aca="false">IF(I35614&gt;0,I35614/(I35614+MAX(0,I35393*CHOOSE($C$35376,Assumptions!$C$90,Assumptions!$C$109,Assumptions!$C$128)-I35616)),0)</f>
        <v>1</v>
      </c>
      <c r="J35624" s="22" t="n">
        <f aca="false">IF(J35614&gt;0,J35614/(J35614+MAX(0,J35393*CHOOSE($C$35376,Assumptions!$C$90,Assumptions!$C$109,Assumptions!$C$128)-J35616)),0)</f>
        <v>1</v>
      </c>
      <c r="K35624" s="22" t="n">
        <f aca="false">IF(K35614&gt;0,K35614/(K35614+MAX(0,K35393*CHOOSE($C$35376,Assumptions!$C$90,Assumptions!$C$109,Assumptions!$C$128)-K35616)),0)</f>
        <v>1</v>
      </c>
    </row>
    <row r="35625" customFormat="false" ht="15" hidden="false" customHeight="false" outlineLevel="0" collapsed="false">
      <c r="A35625" s="3" t="s">
        <v>424</v>
      </c>
      <c r="G35625" s="22" t="n">
        <f aca="false">IF(G35614&gt;0,MAX(0,G35607)/G35614,0)</f>
        <v>0.0468918822518034</v>
      </c>
      <c r="H35625" s="22" t="n">
        <f aca="false">IF(H35614&gt;0,MAX(0,H35607)/H35614,0)</f>
        <v>0</v>
      </c>
      <c r="I35625" s="22" t="n">
        <f aca="false">IF(I35614&gt;0,MAX(0,I35607)/I35614,0)</f>
        <v>0</v>
      </c>
      <c r="J35625" s="22" t="n">
        <f aca="false">IF(J35614&gt;0,MAX(0,J35607)/J35614,0)</f>
        <v>0</v>
      </c>
      <c r="K35625" s="22" t="n">
        <f aca="false">IF(K35614&gt;0,MAX(0,K35607)/K35614,0)</f>
        <v>0</v>
      </c>
    </row>
    <row r="35626" customFormat="false" ht="15" hidden="false" customHeight="false" outlineLevel="0" collapsed="false">
      <c r="A35626" s="3" t="s">
        <v>425</v>
      </c>
      <c r="G35626" s="16" t="n">
        <f aca="false">Assumptions!$C$31*(1-CHOOSE($C$35376,Assumptions!$C$93,Assumptions!$C$112,Assumptions!$C$131))</f>
        <v>3840.04556666667</v>
      </c>
      <c r="H35626" s="16" t="n">
        <f aca="false">Assumptions!$C$31*(1-CHOOSE($C$35376,Assumptions!$C$93,Assumptions!$C$112,Assumptions!$C$131))</f>
        <v>3840.04556666667</v>
      </c>
      <c r="I35626" s="16" t="n">
        <f aca="false">Assumptions!$C$31*(1-CHOOSE($C$35376,Assumptions!$C$93,Assumptions!$C$112,Assumptions!$C$131))</f>
        <v>3840.04556666667</v>
      </c>
      <c r="J35626" s="16" t="n">
        <f aca="false">Assumptions!$C$31*(1-CHOOSE($C$35376,Assumptions!$C$93,Assumptions!$C$112,Assumptions!$C$131))</f>
        <v>3840.04556666667</v>
      </c>
      <c r="K35626" s="16" t="n">
        <f aca="false">Assumptions!$C$31*(1-CHOOSE($C$35376,Assumptions!$C$93,Assumptions!$C$112,Assumptions!$C$131))</f>
        <v>3840.04556666667</v>
      </c>
    </row>
    <row r="35627" customFormat="false" ht="15" hidden="false" customHeight="false" outlineLevel="0" collapsed="false">
      <c r="A35627" s="24" t="s">
        <v>426</v>
      </c>
      <c r="B35627" s="25"/>
      <c r="C35627" s="25"/>
      <c r="D35627" s="25"/>
      <c r="E35627" s="25"/>
      <c r="F35627" s="25"/>
      <c r="G35627" s="25"/>
      <c r="H35627" s="25"/>
      <c r="I35627" s="25"/>
      <c r="J35627" s="25"/>
      <c r="K35627" s="25"/>
    </row>
    <row r="35628" customFormat="false" ht="15" hidden="false" customHeight="false" outlineLevel="0" collapsed="false">
      <c r="A35628" s="24" t="s">
        <v>427</v>
      </c>
      <c r="B35628" s="25"/>
      <c r="C35628" s="25"/>
      <c r="D35628" s="25"/>
      <c r="E35628" s="25"/>
      <c r="F35628" s="25"/>
      <c r="G35628" s="25"/>
      <c r="H35628" s="25"/>
      <c r="I35628" s="25"/>
      <c r="J35628" s="25"/>
      <c r="K35628" s="25"/>
    </row>
    <row r="35629" customFormat="false" ht="15" hidden="false" customHeight="false" outlineLevel="0" collapsed="false">
      <c r="A35629" s="3" t="s">
        <v>428</v>
      </c>
      <c r="G35629" s="22" t="n">
        <f aca="false">IF(G35626&gt;0,G35614/G35626,99)</f>
        <v>0.68278721032885</v>
      </c>
      <c r="H35629" s="22" t="n">
        <f aca="false">IF(H35626&gt;0,H35614/H35626,99)</f>
        <v>0.6691015284257</v>
      </c>
      <c r="I35629" s="22" t="n">
        <f aca="false">IF(I35626&gt;0,I35614/I35626,99)</f>
        <v>0.668059874119636</v>
      </c>
      <c r="J35629" s="22" t="n">
        <f aca="false">IF(J35626&gt;0,J35614/J35626,99)</f>
        <v>0.667018219813572</v>
      </c>
      <c r="K35629" s="22" t="n">
        <f aca="false">IF(K35626&gt;0,K35614/K35626,99)</f>
        <v>0.665976565507508</v>
      </c>
    </row>
    <row r="35630" customFormat="false" ht="15" hidden="false" customHeight="false" outlineLevel="0" collapsed="false">
      <c r="A35630" s="3" t="s">
        <v>429</v>
      </c>
      <c r="G35630" s="33" t="n">
        <f aca="false">Assumptions!$G$71</f>
        <v>0.6</v>
      </c>
      <c r="H35630" s="33" t="n">
        <f aca="false">Assumptions!$H$71</f>
        <v>0.6</v>
      </c>
      <c r="I35630" s="33" t="n">
        <f aca="false">Assumptions!$I$71</f>
        <v>0.6</v>
      </c>
      <c r="J35630" s="33" t="n">
        <f aca="false">Assumptions!$J$71</f>
        <v>0.6</v>
      </c>
      <c r="K35630" s="33" t="n">
        <f aca="false">Assumptions!$K$71</f>
        <v>0.6</v>
      </c>
    </row>
    <row r="35631" customFormat="false" ht="15" hidden="false" customHeight="false" outlineLevel="0" collapsed="false">
      <c r="A35631" s="3" t="s">
        <v>430</v>
      </c>
      <c r="G35631" s="22" t="n">
        <f aca="false">G35630-G35629</f>
        <v>-0.0827872103288497</v>
      </c>
      <c r="H35631" s="22" t="n">
        <f aca="false">H35630-H35629</f>
        <v>-0.0691015284256999</v>
      </c>
      <c r="I35631" s="22" t="n">
        <f aca="false">I35630-I35629</f>
        <v>-0.0680598741196361</v>
      </c>
      <c r="J35631" s="22" t="n">
        <f aca="false">J35630-J35629</f>
        <v>-0.0670182198135721</v>
      </c>
      <c r="K35631" s="22" t="n">
        <f aca="false">K35630-K35629</f>
        <v>-0.0659765655075082</v>
      </c>
    </row>
    <row r="35632" customFormat="false" ht="15" hidden="false" customHeight="false" outlineLevel="0" collapsed="false">
      <c r="A35632" s="3" t="s">
        <v>431</v>
      </c>
      <c r="G35632" s="22" t="n">
        <f aca="false">IF(G35630=0,0,G35631/ABS(G35630))</f>
        <v>-0.137978683881416</v>
      </c>
      <c r="H35632" s="22" t="n">
        <f aca="false">IF(H35630=0,0,H35631/ABS(H35630))</f>
        <v>-0.115169214042833</v>
      </c>
      <c r="I35632" s="22" t="n">
        <f aca="false">IF(I35630=0,0,I35631/ABS(I35630))</f>
        <v>-0.113433123532727</v>
      </c>
      <c r="J35632" s="22" t="n">
        <f aca="false">IF(J35630=0,0,J35631/ABS(J35630))</f>
        <v>-0.11169703302262</v>
      </c>
      <c r="K35632" s="22" t="n">
        <f aca="false">IF(K35630=0,0,K35631/ABS(K35630))</f>
        <v>-0.109960942512514</v>
      </c>
    </row>
    <row r="35633" customFormat="false" ht="15" hidden="false" customHeight="false" outlineLevel="0" collapsed="false">
      <c r="A35633" s="3" t="s">
        <v>432</v>
      </c>
      <c r="G35633" s="21" t="n">
        <f aca="false">IF(G35631&lt;0,1,0)</f>
        <v>1</v>
      </c>
      <c r="H35633" s="21" t="n">
        <f aca="false">IF(H35631&lt;0,1,0)</f>
        <v>1</v>
      </c>
      <c r="I35633" s="21" t="n">
        <f aca="false">IF(I35631&lt;0,1,0)</f>
        <v>1</v>
      </c>
      <c r="J35633" s="21" t="n">
        <f aca="false">IF(J35631&lt;0,1,0)</f>
        <v>1</v>
      </c>
      <c r="K35633" s="21" t="n">
        <f aca="false">IF(K35631&lt;0,1,0)</f>
        <v>1</v>
      </c>
    </row>
    <row r="35634" customFormat="false" ht="15" hidden="false" customHeight="false" outlineLevel="0" collapsed="false">
      <c r="A35634" s="3" t="s">
        <v>433</v>
      </c>
      <c r="C35634" s="21" t="n">
        <f aca="false">IFERROR(INDEX($G$35383:$K$35383,MATCH(1,$G$35633:$K$35633,0)),0)</f>
        <v>2027</v>
      </c>
    </row>
    <row r="35635" customFormat="false" ht="15" hidden="false" customHeight="false" outlineLevel="0" collapsed="false">
      <c r="A35635" s="3" t="s">
        <v>434</v>
      </c>
      <c r="C35635" s="22" t="n">
        <f aca="false">MIN($G$35632:$K$35632)</f>
        <v>-0.137978683881416</v>
      </c>
    </row>
    <row r="35636" customFormat="false" ht="15" hidden="false" customHeight="false" outlineLevel="0" collapsed="false">
      <c r="A35636" s="24" t="s">
        <v>435</v>
      </c>
      <c r="B35636" s="25"/>
      <c r="C35636" s="25"/>
      <c r="D35636" s="25"/>
      <c r="E35636" s="25"/>
      <c r="F35636" s="25"/>
      <c r="G35636" s="25"/>
      <c r="H35636" s="25"/>
      <c r="I35636" s="25"/>
      <c r="J35636" s="25"/>
      <c r="K35636" s="25"/>
    </row>
    <row r="35637" customFormat="false" ht="15" hidden="false" customHeight="false" outlineLevel="0" collapsed="false">
      <c r="A35637" s="3" t="s">
        <v>428</v>
      </c>
      <c r="G35637" s="32" t="n">
        <f aca="false">IF(G35397&gt;0,G35393/G35397,99)</f>
        <v>1.24979041307388</v>
      </c>
      <c r="H35637" s="32" t="n">
        <f aca="false">IF(H35397&gt;0,H35393/H35397,99)</f>
        <v>1.18311222526984</v>
      </c>
      <c r="I35637" s="32" t="n">
        <f aca="false">IF(I35397&gt;0,I35393/I35397,99)</f>
        <v>1.20586587186349</v>
      </c>
      <c r="J35637" s="32" t="n">
        <f aca="false">IF(J35397&gt;0,J35393/J35397,99)</f>
        <v>1.23324745076441</v>
      </c>
      <c r="K35637" s="32" t="n">
        <f aca="false">IF(K35397&gt;0,K35393/K35397,99)</f>
        <v>1.26112583435714</v>
      </c>
    </row>
    <row r="35638" customFormat="false" ht="15" hidden="false" customHeight="false" outlineLevel="0" collapsed="false">
      <c r="A35638" s="3" t="s">
        <v>429</v>
      </c>
      <c r="G35638" s="34" t="n">
        <f aca="false">Assumptions!$G$72</f>
        <v>1.5</v>
      </c>
      <c r="H35638" s="34" t="n">
        <f aca="false">Assumptions!$H$72</f>
        <v>1.5</v>
      </c>
      <c r="I35638" s="34" t="n">
        <f aca="false">Assumptions!$I$72</f>
        <v>1.5</v>
      </c>
      <c r="J35638" s="34" t="n">
        <f aca="false">Assumptions!$J$72</f>
        <v>1.5</v>
      </c>
      <c r="K35638" s="34" t="n">
        <f aca="false">Assumptions!$K$72</f>
        <v>1.5</v>
      </c>
    </row>
    <row r="35639" customFormat="false" ht="15" hidden="false" customHeight="false" outlineLevel="0" collapsed="false">
      <c r="A35639" s="3" t="s">
        <v>430</v>
      </c>
      <c r="G35639" s="32" t="n">
        <f aca="false">G35637-G35638</f>
        <v>-0.250209586926116</v>
      </c>
      <c r="H35639" s="32" t="n">
        <f aca="false">H35637-H35638</f>
        <v>-0.316887774730159</v>
      </c>
      <c r="I35639" s="32" t="n">
        <f aca="false">I35637-I35638</f>
        <v>-0.294134128136513</v>
      </c>
      <c r="J35639" s="32" t="n">
        <f aca="false">J35637-J35638</f>
        <v>-0.266752549235595</v>
      </c>
      <c r="K35639" s="32" t="n">
        <f aca="false">K35637-K35638</f>
        <v>-0.238874165642862</v>
      </c>
    </row>
    <row r="35640" customFormat="false" ht="15" hidden="false" customHeight="false" outlineLevel="0" collapsed="false">
      <c r="A35640" s="3" t="s">
        <v>431</v>
      </c>
      <c r="G35640" s="22" t="n">
        <f aca="false">IF(G35638=0,0,G35639/ABS(G35638))</f>
        <v>-0.166806391284078</v>
      </c>
      <c r="H35640" s="22" t="n">
        <f aca="false">IF(H35638=0,0,H35639/ABS(H35638))</f>
        <v>-0.211258516486773</v>
      </c>
      <c r="I35640" s="22" t="n">
        <f aca="false">IF(I35638=0,0,I35639/ABS(I35638))</f>
        <v>-0.196089418757675</v>
      </c>
      <c r="J35640" s="22" t="n">
        <f aca="false">IF(J35638=0,0,J35639/ABS(J35638))</f>
        <v>-0.17783503282373</v>
      </c>
      <c r="K35640" s="22" t="n">
        <f aca="false">IF(K35638=0,0,K35639/ABS(K35638))</f>
        <v>-0.159249443761908</v>
      </c>
    </row>
    <row r="35641" customFormat="false" ht="15" hidden="false" customHeight="false" outlineLevel="0" collapsed="false">
      <c r="A35641" s="3" t="s">
        <v>432</v>
      </c>
      <c r="G35641" s="21" t="n">
        <f aca="false">IF(G35639&lt;0,1,0)</f>
        <v>1</v>
      </c>
      <c r="H35641" s="21" t="n">
        <f aca="false">IF(H35639&lt;0,1,0)</f>
        <v>1</v>
      </c>
      <c r="I35641" s="21" t="n">
        <f aca="false">IF(I35639&lt;0,1,0)</f>
        <v>1</v>
      </c>
      <c r="J35641" s="21" t="n">
        <f aca="false">IF(J35639&lt;0,1,0)</f>
        <v>1</v>
      </c>
      <c r="K35641" s="21" t="n">
        <f aca="false">IF(K35639&lt;0,1,0)</f>
        <v>1</v>
      </c>
    </row>
    <row r="35642" customFormat="false" ht="15" hidden="false" customHeight="false" outlineLevel="0" collapsed="false">
      <c r="A35642" s="3" t="s">
        <v>433</v>
      </c>
      <c r="C35642" s="21" t="n">
        <f aca="false">IFERROR(INDEX($G$35383:$K$35383,MATCH(1,$G$35641:$K$35641,0)),0)</f>
        <v>2027</v>
      </c>
    </row>
    <row r="35643" customFormat="false" ht="15" hidden="false" customHeight="false" outlineLevel="0" collapsed="false">
      <c r="A35643" s="3" t="s">
        <v>434</v>
      </c>
      <c r="C35643" s="22" t="n">
        <f aca="false">MIN($G$35640:$K$35640)</f>
        <v>-0.211258516486773</v>
      </c>
    </row>
    <row r="35644" customFormat="false" ht="15" hidden="false" customHeight="false" outlineLevel="0" collapsed="false">
      <c r="A35644" s="24" t="s">
        <v>436</v>
      </c>
      <c r="B35644" s="25"/>
      <c r="C35644" s="25"/>
      <c r="D35644" s="25"/>
      <c r="E35644" s="25"/>
      <c r="F35644" s="25"/>
      <c r="G35644" s="25"/>
      <c r="H35644" s="25"/>
      <c r="I35644" s="25"/>
      <c r="J35644" s="25"/>
      <c r="K35644" s="25"/>
    </row>
    <row r="35645" customFormat="false" ht="15" hidden="false" customHeight="false" outlineLevel="0" collapsed="false">
      <c r="A35645" s="3" t="s">
        <v>428</v>
      </c>
      <c r="G35645" s="22" t="n">
        <f aca="false">IF(G35626&gt;0,G35615/G35626,99)</f>
        <v>0.141488946046968</v>
      </c>
      <c r="H35645" s="22" t="n">
        <f aca="false">IF(H35626&gt;0,H35615/H35626,99)</f>
        <v>0.140447291740904</v>
      </c>
      <c r="I35645" s="22" t="n">
        <f aca="false">IF(I35626&gt;0,I35615/I35626,99)</f>
        <v>0.139405637434841</v>
      </c>
      <c r="J35645" s="22" t="n">
        <f aca="false">IF(J35626&gt;0,J35615/J35626,99)</f>
        <v>0.138363983128777</v>
      </c>
      <c r="K35645" s="22" t="n">
        <f aca="false">IF(K35626&gt;0,K35615/K35626,99)</f>
        <v>0.137322328822713</v>
      </c>
    </row>
    <row r="35646" customFormat="false" ht="15" hidden="false" customHeight="false" outlineLevel="0" collapsed="false">
      <c r="A35646" s="3" t="s">
        <v>429</v>
      </c>
      <c r="G35646" s="33" t="n">
        <f aca="false">Assumptions!$G$73</f>
        <v>0.4</v>
      </c>
      <c r="H35646" s="33" t="n">
        <f aca="false">Assumptions!$H$73</f>
        <v>0.4</v>
      </c>
      <c r="I35646" s="33" t="n">
        <f aca="false">Assumptions!$I$73</f>
        <v>0.4</v>
      </c>
      <c r="J35646" s="33" t="n">
        <f aca="false">Assumptions!$J$73</f>
        <v>0.4</v>
      </c>
      <c r="K35646" s="33" t="n">
        <f aca="false">Assumptions!$K$73</f>
        <v>0.4</v>
      </c>
    </row>
    <row r="35647" customFormat="false" ht="15" hidden="false" customHeight="false" outlineLevel="0" collapsed="false">
      <c r="A35647" s="3" t="s">
        <v>430</v>
      </c>
      <c r="G35647" s="22" t="n">
        <f aca="false">G35646-G35645</f>
        <v>0.258511053953032</v>
      </c>
      <c r="H35647" s="22" t="n">
        <f aca="false">H35646-H35645</f>
        <v>0.259552708259096</v>
      </c>
      <c r="I35647" s="22" t="n">
        <f aca="false">I35646-I35645</f>
        <v>0.26059436256516</v>
      </c>
      <c r="J35647" s="22" t="n">
        <f aca="false">J35646-J35645</f>
        <v>0.261636016871223</v>
      </c>
      <c r="K35647" s="22" t="n">
        <f aca="false">K35646-K35645</f>
        <v>0.262677671177287</v>
      </c>
    </row>
    <row r="35648" customFormat="false" ht="15" hidden="false" customHeight="false" outlineLevel="0" collapsed="false">
      <c r="A35648" s="3" t="s">
        <v>431</v>
      </c>
      <c r="G35648" s="22" t="n">
        <f aca="false">IF(G35646=0,0,G35647/ABS(G35646))</f>
        <v>0.646277634882579</v>
      </c>
      <c r="H35648" s="22" t="n">
        <f aca="false">IF(H35646=0,0,H35647/ABS(H35646))</f>
        <v>0.648881770647739</v>
      </c>
      <c r="I35648" s="22" t="n">
        <f aca="false">IF(I35646=0,0,I35647/ABS(I35646))</f>
        <v>0.651485906412899</v>
      </c>
      <c r="J35648" s="22" t="n">
        <f aca="false">IF(J35646=0,0,J35647/ABS(J35646))</f>
        <v>0.654090042178059</v>
      </c>
      <c r="K35648" s="22" t="n">
        <f aca="false">IF(K35646=0,0,K35647/ABS(K35646))</f>
        <v>0.656694177943218</v>
      </c>
    </row>
    <row r="35649" customFormat="false" ht="15" hidden="false" customHeight="false" outlineLevel="0" collapsed="false">
      <c r="A35649" s="3" t="s">
        <v>432</v>
      </c>
      <c r="G35649" s="21" t="n">
        <f aca="false">IF(G35647&lt;0,1,0)</f>
        <v>0</v>
      </c>
      <c r="H35649" s="21" t="n">
        <f aca="false">IF(H35647&lt;0,1,0)</f>
        <v>0</v>
      </c>
      <c r="I35649" s="21" t="n">
        <f aca="false">IF(I35647&lt;0,1,0)</f>
        <v>0</v>
      </c>
      <c r="J35649" s="21" t="n">
        <f aca="false">IF(J35647&lt;0,1,0)</f>
        <v>0</v>
      </c>
      <c r="K35649" s="21" t="n">
        <f aca="false">IF(K35647&lt;0,1,0)</f>
        <v>0</v>
      </c>
    </row>
    <row r="35650" customFormat="false" ht="15" hidden="false" customHeight="false" outlineLevel="0" collapsed="false">
      <c r="A35650" s="3" t="s">
        <v>433</v>
      </c>
      <c r="C35650" s="21" t="n">
        <f aca="false">IFERROR(INDEX($G$35383:$K$35383,MATCH(1,$G$35649:$K$35649,0)),0)</f>
        <v>0</v>
      </c>
    </row>
    <row r="35651" customFormat="false" ht="15" hidden="false" customHeight="false" outlineLevel="0" collapsed="false">
      <c r="A35651" s="3" t="s">
        <v>434</v>
      </c>
      <c r="C35651" s="22" t="n">
        <f aca="false">MIN($G$35648:$K$35648)</f>
        <v>0.646277634882579</v>
      </c>
    </row>
    <row r="35652" customFormat="false" ht="15" hidden="false" customHeight="false" outlineLevel="0" collapsed="false">
      <c r="A35652" s="24" t="s">
        <v>437</v>
      </c>
      <c r="B35652" s="25"/>
      <c r="C35652" s="25"/>
      <c r="D35652" s="25"/>
      <c r="E35652" s="25"/>
      <c r="F35652" s="25"/>
      <c r="G35652" s="25"/>
      <c r="H35652" s="25"/>
      <c r="I35652" s="25"/>
      <c r="J35652" s="25"/>
      <c r="K35652" s="25"/>
    </row>
    <row r="35653" customFormat="false" ht="15" hidden="false" customHeight="false" outlineLevel="0" collapsed="false">
      <c r="A35653" s="3" t="s">
        <v>428</v>
      </c>
      <c r="G35653" s="16" t="n">
        <f aca="false">G35623</f>
        <v>697.4474204</v>
      </c>
      <c r="H35653" s="16" t="n">
        <f aca="false">H35623</f>
        <v>574.5</v>
      </c>
      <c r="I35653" s="16" t="n">
        <f aca="false">I35623</f>
        <v>574.5</v>
      </c>
      <c r="J35653" s="16" t="n">
        <f aca="false">J35623</f>
        <v>574.5</v>
      </c>
      <c r="K35653" s="16" t="n">
        <f aca="false">K35623</f>
        <v>574.5</v>
      </c>
    </row>
    <row r="35654" customFormat="false" ht="15" hidden="false" customHeight="false" outlineLevel="0" collapsed="false">
      <c r="A35654" s="3" t="s">
        <v>429</v>
      </c>
      <c r="G35654" s="29" t="n">
        <f aca="false">Assumptions!$G$74</f>
        <v>100</v>
      </c>
      <c r="H35654" s="29" t="n">
        <f aca="false">Assumptions!$H$74</f>
        <v>100</v>
      </c>
      <c r="I35654" s="29" t="n">
        <f aca="false">Assumptions!$I$74</f>
        <v>100</v>
      </c>
      <c r="J35654" s="29" t="n">
        <f aca="false">Assumptions!$J$74</f>
        <v>100</v>
      </c>
      <c r="K35654" s="29" t="n">
        <f aca="false">Assumptions!$K$74</f>
        <v>100</v>
      </c>
    </row>
    <row r="35655" customFormat="false" ht="15" hidden="false" customHeight="false" outlineLevel="0" collapsed="false">
      <c r="A35655" s="3" t="s">
        <v>430</v>
      </c>
      <c r="G35655" s="16" t="n">
        <f aca="false">G35653-G35654</f>
        <v>597.4474204</v>
      </c>
      <c r="H35655" s="16" t="n">
        <f aca="false">H35653-H35654</f>
        <v>474.5</v>
      </c>
      <c r="I35655" s="16" t="n">
        <f aca="false">I35653-I35654</f>
        <v>474.5</v>
      </c>
      <c r="J35655" s="16" t="n">
        <f aca="false">J35653-J35654</f>
        <v>474.5</v>
      </c>
      <c r="K35655" s="16" t="n">
        <f aca="false">K35653-K35654</f>
        <v>474.5</v>
      </c>
    </row>
    <row r="35656" customFormat="false" ht="15" hidden="false" customHeight="false" outlineLevel="0" collapsed="false">
      <c r="A35656" s="3" t="s">
        <v>431</v>
      </c>
      <c r="G35656" s="22" t="n">
        <f aca="false">IF(G35654=0,0,G35655/ABS(G35654))</f>
        <v>5.974474204</v>
      </c>
      <c r="H35656" s="22" t="n">
        <f aca="false">IF(H35654=0,0,H35655/ABS(H35654))</f>
        <v>4.745</v>
      </c>
      <c r="I35656" s="22" t="n">
        <f aca="false">IF(I35654=0,0,I35655/ABS(I35654))</f>
        <v>4.745</v>
      </c>
      <c r="J35656" s="22" t="n">
        <f aca="false">IF(J35654=0,0,J35655/ABS(J35654))</f>
        <v>4.745</v>
      </c>
      <c r="K35656" s="22" t="n">
        <f aca="false">IF(K35654=0,0,K35655/ABS(K35654))</f>
        <v>4.745</v>
      </c>
    </row>
    <row r="35657" customFormat="false" ht="15" hidden="false" customHeight="false" outlineLevel="0" collapsed="false">
      <c r="A35657" s="3" t="s">
        <v>432</v>
      </c>
      <c r="G35657" s="21" t="n">
        <f aca="false">IF(G35655&lt;0,1,0)</f>
        <v>0</v>
      </c>
      <c r="H35657" s="21" t="n">
        <f aca="false">IF(H35655&lt;0,1,0)</f>
        <v>0</v>
      </c>
      <c r="I35657" s="21" t="n">
        <f aca="false">IF(I35655&lt;0,1,0)</f>
        <v>0</v>
      </c>
      <c r="J35657" s="21" t="n">
        <f aca="false">IF(J35655&lt;0,1,0)</f>
        <v>0</v>
      </c>
      <c r="K35657" s="21" t="n">
        <f aca="false">IF(K35655&lt;0,1,0)</f>
        <v>0</v>
      </c>
    </row>
    <row r="35658" customFormat="false" ht="15" hidden="false" customHeight="false" outlineLevel="0" collapsed="false">
      <c r="A35658" s="3" t="s">
        <v>433</v>
      </c>
      <c r="C35658" s="21" t="n">
        <f aca="false">IFERROR(INDEX($G$35383:$K$35383,MATCH(1,$G$35657:$K$35657,0)),0)</f>
        <v>0</v>
      </c>
    </row>
    <row r="35659" customFormat="false" ht="15" hidden="false" customHeight="false" outlineLevel="0" collapsed="false">
      <c r="A35659" s="3" t="s">
        <v>434</v>
      </c>
      <c r="C35659" s="22" t="n">
        <f aca="false">MIN($G$35656:$K$35656)</f>
        <v>4.745</v>
      </c>
    </row>
    <row r="35660" customFormat="false" ht="15" hidden="false" customHeight="false" outlineLevel="0" collapsed="false">
      <c r="A35660" s="24" t="s">
        <v>438</v>
      </c>
      <c r="B35660" s="25"/>
      <c r="C35660" s="25"/>
      <c r="D35660" s="25"/>
      <c r="E35660" s="25"/>
      <c r="F35660" s="25"/>
      <c r="G35660" s="25"/>
      <c r="H35660" s="25"/>
      <c r="I35660" s="25"/>
      <c r="J35660" s="25"/>
      <c r="K35660" s="25"/>
    </row>
    <row r="35661" customFormat="false" ht="15" hidden="false" customHeight="false" outlineLevel="0" collapsed="false">
      <c r="A35661" s="3" t="s">
        <v>428</v>
      </c>
      <c r="G35661" s="32" t="n">
        <f aca="false">IF(G35393&gt;0,G35616/G35393,99)</f>
        <v>10.6704570673626</v>
      </c>
      <c r="H35661" s="32" t="n">
        <f aca="false">IF(H35393&gt;0,H35616/H35393,99)</f>
        <v>11.6601471215067</v>
      </c>
      <c r="I35661" s="32" t="n">
        <f aca="false">IF(I35393&gt;0,I35616/I35393,99)</f>
        <v>11.9636535522731</v>
      </c>
      <c r="J35661" s="32" t="n">
        <f aca="false">IF(J35393&gt;0,J35616/J35393,99)</f>
        <v>12.0045871637288</v>
      </c>
      <c r="K35661" s="32" t="n">
        <f aca="false">IF(K35393&gt;0,K35616/K35393,99)</f>
        <v>12.0232607366907</v>
      </c>
    </row>
    <row r="35662" customFormat="false" ht="15" hidden="false" customHeight="false" outlineLevel="0" collapsed="false">
      <c r="A35662" s="3" t="s">
        <v>429</v>
      </c>
      <c r="G35662" s="34" t="n">
        <f aca="false">Assumptions!$G$75</f>
        <v>10.5</v>
      </c>
      <c r="H35662" s="34" t="n">
        <f aca="false">Assumptions!$H$75</f>
        <v>10.5</v>
      </c>
      <c r="I35662" s="34" t="n">
        <f aca="false">Assumptions!$I$75</f>
        <v>10</v>
      </c>
      <c r="J35662" s="34" t="n">
        <f aca="false">Assumptions!$J$75</f>
        <v>10</v>
      </c>
      <c r="K35662" s="34" t="n">
        <f aca="false">Assumptions!$K$75</f>
        <v>9.5</v>
      </c>
    </row>
    <row r="35663" customFormat="false" ht="15" hidden="false" customHeight="false" outlineLevel="0" collapsed="false">
      <c r="A35663" s="3" t="s">
        <v>430</v>
      </c>
      <c r="G35663" s="32" t="n">
        <f aca="false">G35662-G35661</f>
        <v>-0.17045706736263</v>
      </c>
      <c r="H35663" s="32" t="n">
        <f aca="false">H35662-H35661</f>
        <v>-1.16014712150674</v>
      </c>
      <c r="I35663" s="32" t="n">
        <f aca="false">I35662-I35661</f>
        <v>-1.96365355227305</v>
      </c>
      <c r="J35663" s="32" t="n">
        <f aca="false">J35662-J35661</f>
        <v>-2.00458716372878</v>
      </c>
      <c r="K35663" s="32" t="n">
        <f aca="false">K35662-K35661</f>
        <v>-2.52326073669071</v>
      </c>
    </row>
    <row r="35664" customFormat="false" ht="15" hidden="false" customHeight="false" outlineLevel="0" collapsed="false">
      <c r="A35664" s="3" t="s">
        <v>431</v>
      </c>
      <c r="G35664" s="22" t="n">
        <f aca="false">IF(G35662=0,0,G35663/ABS(G35662))</f>
        <v>-0.0162340064154886</v>
      </c>
      <c r="H35664" s="22" t="n">
        <f aca="false">IF(H35662=0,0,H35663/ABS(H35662))</f>
        <v>-0.110490202048261</v>
      </c>
      <c r="I35664" s="22" t="n">
        <f aca="false">IF(I35662=0,0,I35663/ABS(I35662))</f>
        <v>-0.196365355227305</v>
      </c>
      <c r="J35664" s="22" t="n">
        <f aca="false">IF(J35662=0,0,J35663/ABS(J35662))</f>
        <v>-0.200458716372878</v>
      </c>
      <c r="K35664" s="22" t="n">
        <f aca="false">IF(K35662=0,0,K35663/ABS(K35662))</f>
        <v>-0.265606393335864</v>
      </c>
    </row>
    <row r="35665" customFormat="false" ht="15" hidden="false" customHeight="false" outlineLevel="0" collapsed="false">
      <c r="A35665" s="3" t="s">
        <v>432</v>
      </c>
      <c r="G35665" s="21" t="n">
        <f aca="false">IF(G35663&lt;0,1,0)</f>
        <v>1</v>
      </c>
      <c r="H35665" s="21" t="n">
        <f aca="false">IF(H35663&lt;0,1,0)</f>
        <v>1</v>
      </c>
      <c r="I35665" s="21" t="n">
        <f aca="false">IF(I35663&lt;0,1,0)</f>
        <v>1</v>
      </c>
      <c r="J35665" s="21" t="n">
        <f aca="false">IF(J35663&lt;0,1,0)</f>
        <v>1</v>
      </c>
      <c r="K35665" s="21" t="n">
        <f aca="false">IF(K35663&lt;0,1,0)</f>
        <v>1</v>
      </c>
    </row>
    <row r="35666" customFormat="false" ht="15" hidden="false" customHeight="false" outlineLevel="0" collapsed="false">
      <c r="A35666" s="3" t="s">
        <v>433</v>
      </c>
      <c r="C35666" s="21" t="n">
        <f aca="false">IFERROR(INDEX($G$35383:$K$35383,MATCH(1,$G$35665:$K$35665,0)),0)</f>
        <v>2027</v>
      </c>
    </row>
    <row r="35667" customFormat="false" ht="15" hidden="false" customHeight="false" outlineLevel="0" collapsed="false">
      <c r="A35667" s="3" t="s">
        <v>434</v>
      </c>
      <c r="C35667" s="22" t="n">
        <f aca="false">MIN($G$35664:$K$35664)</f>
        <v>-0.265606393335864</v>
      </c>
    </row>
    <row r="35668" customFormat="false" ht="15" hidden="false" customHeight="false" outlineLevel="0" collapsed="false">
      <c r="A35668" s="3" t="s">
        <v>439</v>
      </c>
      <c r="G35668" s="21" t="n">
        <f aca="false">G35633+G35641+G35649+G35657+G35665</f>
        <v>3</v>
      </c>
      <c r="H35668" s="21" t="n">
        <f aca="false">H35633+H35641+H35649+H35657+H35665</f>
        <v>3</v>
      </c>
      <c r="I35668" s="21" t="n">
        <f aca="false">I35633+I35641+I35649+I35657+I35665</f>
        <v>3</v>
      </c>
      <c r="J35668" s="21" t="n">
        <f aca="false">J35633+J35641+J35649+J35657+J35665</f>
        <v>3</v>
      </c>
      <c r="K35668" s="21" t="n">
        <f aca="false">K35633+K35641+K35649+K35657+K35665</f>
        <v>3</v>
      </c>
    </row>
    <row r="35669" customFormat="false" ht="15" hidden="false" customHeight="false" outlineLevel="0" collapsed="false">
      <c r="A35669" s="3" t="s">
        <v>440</v>
      </c>
      <c r="C35669" s="21" t="n">
        <f aca="false">SUM($G$35668:$K$35668)</f>
        <v>15</v>
      </c>
    </row>
    <row r="35670" customFormat="false" ht="15" hidden="false" customHeight="false" outlineLevel="0" collapsed="false">
      <c r="A35670" s="3" t="s">
        <v>441</v>
      </c>
      <c r="C35670" s="22" t="n">
        <f aca="false">MIN(C35635,C35643,C35651,C35659,C35667)</f>
        <v>-0.265606393335864</v>
      </c>
    </row>
    <row r="35672" customFormat="false" ht="15" hidden="false" customHeight="false" outlineLevel="0" collapsed="false">
      <c r="A35672" s="24" t="s">
        <v>543</v>
      </c>
      <c r="B35672" s="25"/>
      <c r="C35672" s="25"/>
      <c r="D35672" s="25"/>
      <c r="E35672" s="25"/>
      <c r="F35672" s="25"/>
      <c r="G35672" s="25"/>
      <c r="H35672" s="25"/>
      <c r="I35672" s="25"/>
      <c r="J35672" s="25"/>
      <c r="K35672" s="25"/>
    </row>
    <row r="35673" customFormat="false" ht="15" hidden="false" customHeight="false" outlineLevel="0" collapsed="false">
      <c r="A35673" s="3" t="s">
        <v>544</v>
      </c>
      <c r="G35673" s="21" t="n">
        <f aca="false">IF($C$35674=1,G35610,IF(G35393=MIN($G$35393:$K$35393),1,0))</f>
        <v>0</v>
      </c>
      <c r="H35673" s="21" t="n">
        <f aca="false">IF($C$35674=1,H35610,IF(AND(H35393=MIN($G$35393:$K$35393),SUM($G$35673:G35673)=0),1,0))</f>
        <v>1</v>
      </c>
      <c r="I35673" s="21" t="n">
        <f aca="false">IF($C$35674=1,I35610,IF(AND(I35393=MIN($G$35393:$K$35393),SUM($G$35673:H35673)=0),1,0))</f>
        <v>0</v>
      </c>
      <c r="J35673" s="21" t="n">
        <f aca="false">IF($C$35674=1,J35610,IF(AND(J35393=MIN($G$35393:$K$35393),SUM($G$35673:I35673)=0),1,0))</f>
        <v>0</v>
      </c>
      <c r="K35673" s="21" t="n">
        <f aca="false">IF($C$35674=1,K35610,IF(AND(K35393=MIN($G$35393:$K$35393),SUM($G$35673:J35673)=0),1,0))</f>
        <v>0</v>
      </c>
    </row>
    <row r="35674" customFormat="false" ht="15" hidden="false" customHeight="false" outlineLevel="0" collapsed="false">
      <c r="A35674" s="3" t="s">
        <v>545</v>
      </c>
      <c r="C35674" s="21" t="n">
        <f aca="false">IF(SUM($G$35610:$K$35610)&gt;0,1,0)</f>
        <v>1</v>
      </c>
    </row>
    <row r="35675" customFormat="false" ht="15" hidden="false" customHeight="false" outlineLevel="0" collapsed="false">
      <c r="A35675" s="3" t="s">
        <v>546</v>
      </c>
      <c r="C35675" s="21" t="n">
        <f aca="false">SUMPRODUCT($G$35673:$K$35673,$G$35383:$K$35383)</f>
        <v>2028</v>
      </c>
    </row>
    <row r="35676" customFormat="false" ht="15" hidden="false" customHeight="false" outlineLevel="0" collapsed="false">
      <c r="A35676" s="3" t="s">
        <v>547</v>
      </c>
      <c r="C35676" s="16" t="n">
        <f aca="false">SUMPRODUCT($G$35673:$K$35673,$G$35393:$K$35393)</f>
        <v>220.355740893</v>
      </c>
    </row>
    <row r="35677" customFormat="false" ht="15" hidden="false" customHeight="false" outlineLevel="0" collapsed="false">
      <c r="A35677" s="3" t="s">
        <v>548</v>
      </c>
      <c r="C35677" s="16" t="n">
        <f aca="false">MAX(0,SUMPRODUCT($G$35673:$K$35673,$G$35607:$K$35607))</f>
        <v>0</v>
      </c>
    </row>
    <row r="35678" customFormat="false" ht="15" hidden="false" customHeight="false" outlineLevel="0" collapsed="false">
      <c r="A35678" s="3" t="s">
        <v>549</v>
      </c>
      <c r="C35678" s="16" t="n">
        <f aca="false">(CHOOSE($C$35376,Assumptions!$C$92,Assumptions!$C$111,Assumptions!$C$130)+$C$35380)*C35676</f>
        <v>1762.845927144</v>
      </c>
    </row>
    <row r="35679" customFormat="false" ht="15" hidden="false" customHeight="false" outlineLevel="0" collapsed="false">
      <c r="A35679" s="3" t="s">
        <v>550</v>
      </c>
      <c r="C35679" s="16" t="n">
        <f aca="false">Assumptions!$C$31*(1-CHOOSE($C$35376,Assumptions!$C$93,Assumptions!$C$112,Assumptions!$C$131))*CHOOSE($C$35376,Assumptions!$C$94,Assumptions!$C$113,Assumptions!$C$132)</f>
        <v>3264.03873166667</v>
      </c>
    </row>
    <row r="35680" customFormat="false" ht="15" hidden="false" customHeight="false" outlineLevel="0" collapsed="false">
      <c r="A35680" s="3" t="s">
        <v>551</v>
      </c>
      <c r="C35680" s="16" t="n">
        <f aca="false">MAX(C35678,C35679)+C35677</f>
        <v>3264.03873166667</v>
      </c>
    </row>
    <row r="35681" customFormat="false" ht="15" hidden="false" customHeight="false" outlineLevel="0" collapsed="false">
      <c r="A35681" s="2" t="s">
        <v>552</v>
      </c>
      <c r="C35681" s="17" t="n">
        <f aca="false">IF(ISNUMBER(Assumptions!$C$14),Assumptions!$C$14,C35680)</f>
        <v>3264.03873166667</v>
      </c>
    </row>
    <row r="35682" customFormat="false" ht="15" hidden="false" customHeight="false" outlineLevel="0" collapsed="false">
      <c r="A35682" s="3" t="s">
        <v>553</v>
      </c>
      <c r="C35682" s="16" t="n">
        <f aca="false">C35681*Assumptions!$C$15</f>
        <v>130.561549266667</v>
      </c>
    </row>
    <row r="35683" customFormat="false" ht="15" hidden="false" customHeight="false" outlineLevel="0" collapsed="false">
      <c r="A35683" s="2" t="s">
        <v>554</v>
      </c>
      <c r="C35683" s="17" t="n">
        <f aca="false">C35681-C35682</f>
        <v>3133.4771824</v>
      </c>
    </row>
    <row r="35684" customFormat="false" ht="15" hidden="false" customHeight="false" outlineLevel="0" collapsed="false">
      <c r="A35684" s="24" t="s">
        <v>555</v>
      </c>
      <c r="B35684" s="25"/>
      <c r="C35684" s="25"/>
      <c r="D35684" s="25"/>
      <c r="E35684" s="25"/>
      <c r="F35684" s="25"/>
      <c r="G35684" s="25"/>
      <c r="H35684" s="25"/>
      <c r="I35684" s="25"/>
      <c r="J35684" s="25"/>
      <c r="K35684" s="25"/>
    </row>
    <row r="35685" customFormat="false" ht="15" hidden="false" customHeight="false" outlineLevel="0" collapsed="false">
      <c r="A35685" s="3" t="s">
        <v>556</v>
      </c>
      <c r="C35685" s="16" t="n">
        <f aca="false">SUMPRODUCT($G$35673:$K$35673,$G$35430:$K$35430)*(1+SUMPRODUCT($G$35673:$K$35673,$G$35422:$K$35422)*Assumptions!$C$16/12)</f>
        <v>402.29</v>
      </c>
    </row>
    <row r="35686" customFormat="false" ht="15" hidden="false" customHeight="false" outlineLevel="0" collapsed="false">
      <c r="A35686" s="3" t="s">
        <v>557</v>
      </c>
      <c r="C35686" s="16" t="n">
        <f aca="false">SUMPRODUCT($G$35673:$K$35673,$G$35443:$K$35443)*(1+SUMPRODUCT($G$35673:$K$35673,$G$35435:$K$35435)*Assumptions!$C$16/12)</f>
        <v>91.30725</v>
      </c>
    </row>
    <row r="35687" customFormat="false" ht="15" hidden="false" customHeight="false" outlineLevel="0" collapsed="false">
      <c r="A35687" s="3" t="s">
        <v>558</v>
      </c>
      <c r="C35687" s="16" t="n">
        <f aca="false">SUMPRODUCT($G$35673:$K$35673,$G$35456:$K$35456)*(1+SUMPRODUCT($G$35673:$K$35673,$G$35448:$K$35448)*Assumptions!$C$16/12)</f>
        <v>58.3715961</v>
      </c>
    </row>
    <row r="35688" customFormat="false" ht="15" hidden="false" customHeight="false" outlineLevel="0" collapsed="false">
      <c r="A35688" s="3" t="s">
        <v>559</v>
      </c>
      <c r="C35688" s="16" t="n">
        <f aca="false">SUMPRODUCT($G$35673:$K$35673,$G$35469:$K$35469)*(1+SUMPRODUCT($G$35673:$K$35673,$G$35461:$K$35461)*Assumptions!$C$16/12)</f>
        <v>0</v>
      </c>
    </row>
    <row r="35689" customFormat="false" ht="15" hidden="false" customHeight="false" outlineLevel="0" collapsed="false">
      <c r="A35689" s="3" t="s">
        <v>560</v>
      </c>
      <c r="C35689" s="16" t="n">
        <f aca="false">SUMPRODUCT($G$35673:$K$35673,$G$35482:$K$35482)*(1+SUMPRODUCT($G$35673:$K$35673,$G$35474:$K$35474)*Assumptions!$C$16/12)</f>
        <v>405.410640665075</v>
      </c>
    </row>
    <row r="35690" customFormat="false" ht="15" hidden="false" customHeight="false" outlineLevel="0" collapsed="false">
      <c r="A35690" s="3" t="s">
        <v>561</v>
      </c>
      <c r="C35690" s="16" t="n">
        <f aca="false">SUMPRODUCT($G$35673:$K$35673,$G$35495:$K$35495)*(1+SUMPRODUCT($G$35673:$K$35673,$G$35487:$K$35487)*Assumptions!$C$16/12)</f>
        <v>357.2625</v>
      </c>
    </row>
    <row r="35691" customFormat="false" ht="15" hidden="false" customHeight="false" outlineLevel="0" collapsed="false">
      <c r="A35691" s="3" t="s">
        <v>562</v>
      </c>
      <c r="C35691" s="16" t="n">
        <f aca="false">SUMPRODUCT($G$35673:$K$35673,$G$35508:$K$35508)*(1+SUMPRODUCT($G$35673:$K$35673,$G$35500:$K$35500)*Assumptions!$C$16/12)</f>
        <v>562.203125</v>
      </c>
    </row>
    <row r="35692" customFormat="false" ht="15" hidden="false" customHeight="false" outlineLevel="0" collapsed="false">
      <c r="A35692" s="3" t="s">
        <v>563</v>
      </c>
      <c r="C35692" s="16" t="n">
        <f aca="false">SUMPRODUCT($G$35673:$K$35673,$G$35521:$K$35521)*(1+SUMPRODUCT($G$35673:$K$35673,$G$35513:$K$35513)*Assumptions!$C$16/12)</f>
        <v>353.98125</v>
      </c>
    </row>
    <row r="35693" customFormat="false" ht="15" hidden="false" customHeight="false" outlineLevel="0" collapsed="false">
      <c r="A35693" s="3" t="s">
        <v>564</v>
      </c>
      <c r="C35693" s="16" t="n">
        <f aca="false">SUMPRODUCT($G$35673:$K$35673,$G$35534:$K$35534)*(1+SUMPRODUCT($G$35673:$K$35673,$G$35526:$K$35526)*Assumptions!$C$16/12)</f>
        <v>304.59375</v>
      </c>
    </row>
    <row r="35694" customFormat="false" ht="15" hidden="false" customHeight="false" outlineLevel="0" collapsed="false">
      <c r="A35694" s="3" t="s">
        <v>565</v>
      </c>
      <c r="C35694" s="16" t="n">
        <f aca="false">SUMPRODUCT($G$35673:$K$35673,$G$35547:$K$35547)*(1+SUMPRODUCT($G$35673:$K$35673,$G$35539:$K$35539)*Assumptions!$C$16/12)</f>
        <v>79.938509</v>
      </c>
    </row>
    <row r="35695" customFormat="false" ht="15" hidden="false" customHeight="false" outlineLevel="0" collapsed="false">
      <c r="A35695" s="24" t="s">
        <v>566</v>
      </c>
      <c r="B35695" s="25"/>
      <c r="C35695" s="25"/>
      <c r="D35695" s="25"/>
      <c r="E35695" s="25"/>
      <c r="F35695" s="25"/>
      <c r="G35695" s="25"/>
      <c r="H35695" s="25"/>
      <c r="I35695" s="25"/>
      <c r="J35695" s="25"/>
      <c r="K35695" s="25"/>
    </row>
    <row r="35696" customFormat="false" ht="15" hidden="false" customHeight="false" outlineLevel="0" collapsed="false">
      <c r="A35696" s="3" t="s">
        <v>556</v>
      </c>
      <c r="C35696" s="27" t="n">
        <f aca="false">Assumptions!$M$57</f>
        <v>1</v>
      </c>
    </row>
    <row r="35697" customFormat="false" ht="15" hidden="false" customHeight="false" outlineLevel="0" collapsed="false">
      <c r="A35697" s="3" t="s">
        <v>557</v>
      </c>
      <c r="C35697" s="27" t="n">
        <f aca="false">Assumptions!$M$58</f>
        <v>1</v>
      </c>
    </row>
    <row r="35698" customFormat="false" ht="15" hidden="false" customHeight="false" outlineLevel="0" collapsed="false">
      <c r="A35698" s="3" t="s">
        <v>558</v>
      </c>
      <c r="C35698" s="27" t="n">
        <f aca="false">Assumptions!$M$59</f>
        <v>1</v>
      </c>
    </row>
    <row r="35699" customFormat="false" ht="15" hidden="false" customHeight="false" outlineLevel="0" collapsed="false">
      <c r="A35699" s="3" t="s">
        <v>559</v>
      </c>
      <c r="C35699" s="27" t="n">
        <f aca="false">Assumptions!$M$60</f>
        <v>2</v>
      </c>
    </row>
    <row r="35700" customFormat="false" ht="15" hidden="false" customHeight="false" outlineLevel="0" collapsed="false">
      <c r="A35700" s="3" t="s">
        <v>560</v>
      </c>
      <c r="C35700" s="27" t="n">
        <f aca="false">Assumptions!$M$61</f>
        <v>2</v>
      </c>
    </row>
    <row r="35701" customFormat="false" ht="15" hidden="false" customHeight="false" outlineLevel="0" collapsed="false">
      <c r="A35701" s="3" t="s">
        <v>561</v>
      </c>
      <c r="C35701" s="27" t="n">
        <f aca="false">Assumptions!$M$62</f>
        <v>2</v>
      </c>
    </row>
    <row r="35702" customFormat="false" ht="15" hidden="false" customHeight="false" outlineLevel="0" collapsed="false">
      <c r="A35702" s="3" t="s">
        <v>562</v>
      </c>
      <c r="C35702" s="27" t="n">
        <f aca="false">Assumptions!$M$63</f>
        <v>2</v>
      </c>
    </row>
    <row r="35703" customFormat="false" ht="15" hidden="false" customHeight="false" outlineLevel="0" collapsed="false">
      <c r="A35703" s="3" t="s">
        <v>563</v>
      </c>
      <c r="C35703" s="27" t="n">
        <f aca="false">Assumptions!$M$64</f>
        <v>2</v>
      </c>
    </row>
    <row r="35704" customFormat="false" ht="15" hidden="false" customHeight="false" outlineLevel="0" collapsed="false">
      <c r="A35704" s="3" t="s">
        <v>564</v>
      </c>
      <c r="C35704" s="27" t="n">
        <f aca="false">Assumptions!$M$65</f>
        <v>2</v>
      </c>
    </row>
    <row r="35705" customFormat="false" ht="15" hidden="false" customHeight="false" outlineLevel="0" collapsed="false">
      <c r="A35705" s="3" t="s">
        <v>565</v>
      </c>
      <c r="C35705" s="27" t="n">
        <f aca="false">Assumptions!$M$66</f>
        <v>3</v>
      </c>
    </row>
    <row r="35706" customFormat="false" ht="15" hidden="false" customHeight="false" outlineLevel="0" collapsed="false">
      <c r="A35706" s="24" t="s">
        <v>567</v>
      </c>
      <c r="B35706" s="25"/>
      <c r="C35706" s="25"/>
      <c r="D35706" s="25"/>
      <c r="E35706" s="25"/>
      <c r="F35706" s="25"/>
      <c r="G35706" s="25"/>
      <c r="H35706" s="25"/>
      <c r="I35706" s="25"/>
      <c r="J35706" s="25"/>
      <c r="K35706" s="25"/>
    </row>
    <row r="35707" customFormat="false" ht="15" hidden="false" customHeight="false" outlineLevel="0" collapsed="false">
      <c r="A35707" s="3" t="s">
        <v>556</v>
      </c>
      <c r="C35707" s="33" t="n">
        <f aca="false">Assumptions!$Q$57</f>
        <v>0.3</v>
      </c>
    </row>
    <row r="35708" customFormat="false" ht="15" hidden="false" customHeight="false" outlineLevel="0" collapsed="false">
      <c r="A35708" s="3" t="s">
        <v>557</v>
      </c>
      <c r="C35708" s="33" t="n">
        <f aca="false">Assumptions!$Q$58</f>
        <v>0.033</v>
      </c>
    </row>
    <row r="35709" customFormat="false" ht="15" hidden="false" customHeight="false" outlineLevel="0" collapsed="false">
      <c r="A35709" s="3" t="s">
        <v>558</v>
      </c>
      <c r="C35709" s="33" t="n">
        <f aca="false">Assumptions!$Q$59</f>
        <v>0.021</v>
      </c>
    </row>
    <row r="35710" customFormat="false" ht="15" hidden="false" customHeight="false" outlineLevel="0" collapsed="false">
      <c r="A35710" s="3" t="s">
        <v>559</v>
      </c>
      <c r="C35710" s="33" t="n">
        <f aca="false">Assumptions!$Q$60</f>
        <v>0</v>
      </c>
    </row>
    <row r="35711" customFormat="false" ht="15" hidden="false" customHeight="false" outlineLevel="0" collapsed="false">
      <c r="A35711" s="3" t="s">
        <v>560</v>
      </c>
      <c r="C35711" s="33" t="n">
        <f aca="false">Assumptions!$Q$61</f>
        <v>0</v>
      </c>
    </row>
    <row r="35712" customFormat="false" ht="15" hidden="false" customHeight="false" outlineLevel="0" collapsed="false">
      <c r="A35712" s="3" t="s">
        <v>561</v>
      </c>
      <c r="C35712" s="33" t="n">
        <f aca="false">Assumptions!$Q$62</f>
        <v>0</v>
      </c>
    </row>
    <row r="35713" customFormat="false" ht="15" hidden="false" customHeight="false" outlineLevel="0" collapsed="false">
      <c r="A35713" s="3" t="s">
        <v>562</v>
      </c>
      <c r="C35713" s="33" t="n">
        <f aca="false">Assumptions!$Q$63</f>
        <v>0</v>
      </c>
    </row>
    <row r="35714" customFormat="false" ht="15" hidden="false" customHeight="false" outlineLevel="0" collapsed="false">
      <c r="A35714" s="3" t="s">
        <v>563</v>
      </c>
      <c r="C35714" s="33" t="n">
        <f aca="false">Assumptions!$Q$64</f>
        <v>0</v>
      </c>
    </row>
    <row r="35715" customFormat="false" ht="15" hidden="false" customHeight="false" outlineLevel="0" collapsed="false">
      <c r="A35715" s="3" t="s">
        <v>564</v>
      </c>
      <c r="C35715" s="33" t="n">
        <f aca="false">Assumptions!$Q$65</f>
        <v>0</v>
      </c>
    </row>
    <row r="35716" customFormat="false" ht="15" hidden="false" customHeight="false" outlineLevel="0" collapsed="false">
      <c r="A35716" s="3" t="s">
        <v>565</v>
      </c>
      <c r="C35716" s="33" t="n">
        <f aca="false">Assumptions!$Q$66</f>
        <v>0</v>
      </c>
    </row>
    <row r="35717" customFormat="false" ht="15" hidden="false" customHeight="false" outlineLevel="0" collapsed="false">
      <c r="A35717" s="24" t="s">
        <v>568</v>
      </c>
      <c r="B35717" s="25"/>
      <c r="C35717" s="25"/>
      <c r="D35717" s="25"/>
      <c r="E35717" s="25"/>
      <c r="F35717" s="25"/>
      <c r="G35717" s="25"/>
      <c r="H35717" s="25"/>
      <c r="I35717" s="25"/>
      <c r="J35717" s="25"/>
      <c r="K35717" s="25"/>
    </row>
    <row r="35718" customFormat="false" ht="15" hidden="false" customHeight="false" outlineLevel="0" collapsed="false">
      <c r="A35718" s="3" t="s">
        <v>556</v>
      </c>
      <c r="C35718" s="16" t="n">
        <f aca="false">IF(C35707&gt;0,MIN(C35685,C35707*$C$35683),0)</f>
        <v>402.29</v>
      </c>
    </row>
    <row r="35719" customFormat="false" ht="15" hidden="false" customHeight="false" outlineLevel="0" collapsed="false">
      <c r="A35719" s="3" t="s">
        <v>557</v>
      </c>
      <c r="C35719" s="16" t="n">
        <f aca="false">IF(C35708&gt;0,MIN(C35686,C35708*$C$35683),0)</f>
        <v>91.30725</v>
      </c>
    </row>
    <row r="35720" customFormat="false" ht="15" hidden="false" customHeight="false" outlineLevel="0" collapsed="false">
      <c r="A35720" s="3" t="s">
        <v>558</v>
      </c>
      <c r="C35720" s="16" t="n">
        <f aca="false">IF(C35709&gt;0,MIN(C35687,C35709*$C$35683),0)</f>
        <v>58.3715961</v>
      </c>
    </row>
    <row r="35721" customFormat="false" ht="15" hidden="false" customHeight="false" outlineLevel="0" collapsed="false">
      <c r="A35721" s="3" t="s">
        <v>559</v>
      </c>
      <c r="C35721" s="16" t="n">
        <f aca="false">IF(C35710&gt;0,MIN(C35688,C35710*$C$35683),0)</f>
        <v>0</v>
      </c>
    </row>
    <row r="35722" customFormat="false" ht="15" hidden="false" customHeight="false" outlineLevel="0" collapsed="false">
      <c r="A35722" s="3" t="s">
        <v>560</v>
      </c>
      <c r="C35722" s="16" t="n">
        <f aca="false">IF(C35711&gt;0,MIN(C35689,C35711*$C$35683),0)</f>
        <v>0</v>
      </c>
    </row>
    <row r="35723" customFormat="false" ht="15" hidden="false" customHeight="false" outlineLevel="0" collapsed="false">
      <c r="A35723" s="3" t="s">
        <v>561</v>
      </c>
      <c r="C35723" s="16" t="n">
        <f aca="false">IF(C35712&gt;0,MIN(C35690,C35712*$C$35683),0)</f>
        <v>0</v>
      </c>
    </row>
    <row r="35724" customFormat="false" ht="15" hidden="false" customHeight="false" outlineLevel="0" collapsed="false">
      <c r="A35724" s="3" t="s">
        <v>562</v>
      </c>
      <c r="C35724" s="16" t="n">
        <f aca="false">IF(C35713&gt;0,MIN(C35691,C35713*$C$35683),0)</f>
        <v>0</v>
      </c>
    </row>
    <row r="35725" customFormat="false" ht="15" hidden="false" customHeight="false" outlineLevel="0" collapsed="false">
      <c r="A35725" s="3" t="s">
        <v>563</v>
      </c>
      <c r="C35725" s="16" t="n">
        <f aca="false">IF(C35714&gt;0,MIN(C35692,C35714*$C$35683),0)</f>
        <v>0</v>
      </c>
    </row>
    <row r="35726" customFormat="false" ht="15" hidden="false" customHeight="false" outlineLevel="0" collapsed="false">
      <c r="A35726" s="3" t="s">
        <v>564</v>
      </c>
      <c r="C35726" s="16" t="n">
        <f aca="false">IF(C35715&gt;0,MIN(C35693,C35715*$C$35683),0)</f>
        <v>0</v>
      </c>
    </row>
    <row r="35727" customFormat="false" ht="15" hidden="false" customHeight="false" outlineLevel="0" collapsed="false">
      <c r="A35727" s="3" t="s">
        <v>565</v>
      </c>
      <c r="C35727" s="16" t="n">
        <f aca="false">IF(C35716&gt;0,MIN(C35694,C35716*$C$35683),0)</f>
        <v>0</v>
      </c>
    </row>
    <row r="35728" customFormat="false" ht="15" hidden="false" customHeight="false" outlineLevel="0" collapsed="false">
      <c r="A35728" s="24" t="s">
        <v>569</v>
      </c>
      <c r="B35728" s="25"/>
      <c r="C35728" s="25"/>
      <c r="D35728" s="25"/>
      <c r="E35728" s="25"/>
      <c r="F35728" s="25"/>
      <c r="G35728" s="25"/>
      <c r="H35728" s="25"/>
      <c r="I35728" s="25"/>
      <c r="J35728" s="25"/>
      <c r="K35728" s="25"/>
    </row>
    <row r="35729" customFormat="false" ht="15" hidden="false" customHeight="false" outlineLevel="0" collapsed="false">
      <c r="A35729" s="3" t="s">
        <v>556</v>
      </c>
      <c r="C35729" s="16" t="n">
        <f aca="false">IF(C35707&gt;0,C35685-C35718,0)</f>
        <v>0</v>
      </c>
      <c r="G35729" s="21" t="n">
        <f aca="false">IF(AND(G35420=1,G35417=1),1,0)</f>
        <v>0</v>
      </c>
      <c r="H35729" s="21" t="n">
        <f aca="false">IF(G35729=1,1,IF(AND(H35420=1,H35417=1),1,0))</f>
        <v>0</v>
      </c>
      <c r="I35729" s="21" t="n">
        <f aca="false">IF(H35729=1,1,IF(AND(I35420=1,I35417=1),1,0))</f>
        <v>0</v>
      </c>
      <c r="J35729" s="21" t="n">
        <f aca="false">IF(I35729=1,1,IF(AND(J35420=1,J35417=1),1,0))</f>
        <v>0</v>
      </c>
      <c r="K35729" s="21" t="n">
        <f aca="false">IF(J35729=1,1,IF(AND(K35420=1,K35417=1),1,0))</f>
        <v>0</v>
      </c>
    </row>
    <row r="35730" customFormat="false" ht="15" hidden="false" customHeight="false" outlineLevel="0" collapsed="false">
      <c r="A35730" s="3" t="s">
        <v>557</v>
      </c>
      <c r="C35730" s="16" t="n">
        <f aca="false">IF(C35708&gt;0,C35686-C35719,0)</f>
        <v>0</v>
      </c>
      <c r="G35730" s="21" t="n">
        <f aca="false">IF(AND(G35433=1,G35417=1),1,0)</f>
        <v>0</v>
      </c>
      <c r="H35730" s="21" t="n">
        <f aca="false">IF(G35730=1,1,IF(AND(H35433=1,H35417=1),1,0))</f>
        <v>0</v>
      </c>
      <c r="I35730" s="21" t="n">
        <f aca="false">IF(H35730=1,1,IF(AND(I35433=1,I35417=1),1,0))</f>
        <v>0</v>
      </c>
      <c r="J35730" s="21" t="n">
        <f aca="false">IF(I35730=1,1,IF(AND(J35433=1,J35417=1),1,0))</f>
        <v>0</v>
      </c>
      <c r="K35730" s="21" t="n">
        <f aca="false">IF(J35730=1,1,IF(AND(K35433=1,K35417=1),1,0))</f>
        <v>0</v>
      </c>
    </row>
    <row r="35731" customFormat="false" ht="15" hidden="false" customHeight="false" outlineLevel="0" collapsed="false">
      <c r="A35731" s="3" t="s">
        <v>558</v>
      </c>
      <c r="C35731" s="16" t="n">
        <f aca="false">IF(C35709&gt;0,C35687-C35720,0)</f>
        <v>0</v>
      </c>
      <c r="G35731" s="21" t="n">
        <f aca="false">IF(AND(G35446=1,G35417=1),1,0)</f>
        <v>0</v>
      </c>
      <c r="H35731" s="21" t="n">
        <f aca="false">IF(G35731=1,1,IF(AND(H35446=1,H35417=1),1,0))</f>
        <v>0</v>
      </c>
      <c r="I35731" s="21" t="n">
        <f aca="false">IF(H35731=1,1,IF(AND(I35446=1,I35417=1),1,0))</f>
        <v>0</v>
      </c>
      <c r="J35731" s="21" t="n">
        <f aca="false">IF(I35731=1,1,IF(AND(J35446=1,J35417=1),1,0))</f>
        <v>0</v>
      </c>
      <c r="K35731" s="21" t="n">
        <f aca="false">IF(J35731=1,1,IF(AND(K35446=1,K35417=1),1,0))</f>
        <v>0</v>
      </c>
    </row>
    <row r="35732" customFormat="false" ht="15" hidden="false" customHeight="false" outlineLevel="0" collapsed="false">
      <c r="A35732" s="3" t="s">
        <v>559</v>
      </c>
      <c r="C35732" s="16" t="n">
        <f aca="false">IF(C35710&gt;0,C35688-C35721,0)</f>
        <v>0</v>
      </c>
      <c r="G35732" s="21" t="n">
        <f aca="false">IF(AND(G35459=1,G35417=1),1,0)</f>
        <v>0</v>
      </c>
      <c r="H35732" s="21" t="n">
        <f aca="false">IF(G35732=1,1,IF(AND(H35459=1,H35417=1),1,0))</f>
        <v>0</v>
      </c>
      <c r="I35732" s="21" t="n">
        <f aca="false">IF(H35732=1,1,IF(AND(I35459=1,I35417=1),1,0))</f>
        <v>0</v>
      </c>
      <c r="J35732" s="21" t="n">
        <f aca="false">IF(I35732=1,1,IF(AND(J35459=1,J35417=1),1,0))</f>
        <v>0</v>
      </c>
      <c r="K35732" s="21" t="n">
        <f aca="false">IF(J35732=1,1,IF(AND(K35459=1,K35417=1),1,0))</f>
        <v>0</v>
      </c>
    </row>
    <row r="35733" customFormat="false" ht="15" hidden="false" customHeight="false" outlineLevel="0" collapsed="false">
      <c r="A35733" s="3" t="s">
        <v>560</v>
      </c>
      <c r="C35733" s="16" t="n">
        <f aca="false">IF(C35711&gt;0,C35689-C35722,0)</f>
        <v>0</v>
      </c>
      <c r="G35733" s="21" t="n">
        <f aca="false">IF(AND(G35472=1,G35417=1),1,0)</f>
        <v>0</v>
      </c>
      <c r="H35733" s="21" t="n">
        <f aca="false">IF(G35733=1,1,IF(AND(H35472=1,H35417=1),1,0))</f>
        <v>0</v>
      </c>
      <c r="I35733" s="21" t="n">
        <f aca="false">IF(H35733=1,1,IF(AND(I35472=1,I35417=1),1,0))</f>
        <v>0</v>
      </c>
      <c r="J35733" s="21" t="n">
        <f aca="false">IF(I35733=1,1,IF(AND(J35472=1,J35417=1),1,0))</f>
        <v>0</v>
      </c>
      <c r="K35733" s="21" t="n">
        <f aca="false">IF(J35733=1,1,IF(AND(K35472=1,K35417=1),1,0))</f>
        <v>0</v>
      </c>
    </row>
    <row r="35734" customFormat="false" ht="15" hidden="false" customHeight="false" outlineLevel="0" collapsed="false">
      <c r="A35734" s="3" t="s">
        <v>561</v>
      </c>
      <c r="C35734" s="16" t="n">
        <f aca="false">IF(C35712&gt;0,C35690-C35723,0)</f>
        <v>0</v>
      </c>
      <c r="G35734" s="21" t="n">
        <f aca="false">IF(AND(G35485=1,G35417=1),1,0)</f>
        <v>0</v>
      </c>
      <c r="H35734" s="21" t="n">
        <f aca="false">IF(G35734=1,1,IF(AND(H35485=1,H35417=1),1,0))</f>
        <v>0</v>
      </c>
      <c r="I35734" s="21" t="n">
        <f aca="false">IF(H35734=1,1,IF(AND(I35485=1,I35417=1),1,0))</f>
        <v>0</v>
      </c>
      <c r="J35734" s="21" t="n">
        <f aca="false">IF(I35734=1,1,IF(AND(J35485=1,J35417=1),1,0))</f>
        <v>0</v>
      </c>
      <c r="K35734" s="21" t="n">
        <f aca="false">IF(J35734=1,1,IF(AND(K35485=1,K35417=1),1,0))</f>
        <v>0</v>
      </c>
    </row>
    <row r="35735" customFormat="false" ht="15" hidden="false" customHeight="false" outlineLevel="0" collapsed="false">
      <c r="A35735" s="3" t="s">
        <v>562</v>
      </c>
      <c r="C35735" s="16" t="n">
        <f aca="false">IF(C35713&gt;0,C35691-C35724,0)</f>
        <v>0</v>
      </c>
      <c r="G35735" s="21" t="n">
        <f aca="false">IF(AND(G35498=1,G35417=1),1,0)</f>
        <v>0</v>
      </c>
      <c r="H35735" s="21" t="n">
        <f aca="false">IF(G35735=1,1,IF(AND(H35498=1,H35417=1),1,0))</f>
        <v>0</v>
      </c>
      <c r="I35735" s="21" t="n">
        <f aca="false">IF(H35735=1,1,IF(AND(I35498=1,I35417=1),1,0))</f>
        <v>0</v>
      </c>
      <c r="J35735" s="21" t="n">
        <f aca="false">IF(I35735=1,1,IF(AND(J35498=1,J35417=1),1,0))</f>
        <v>0</v>
      </c>
      <c r="K35735" s="21" t="n">
        <f aca="false">IF(J35735=1,1,IF(AND(K35498=1,K35417=1),1,0))</f>
        <v>0</v>
      </c>
    </row>
    <row r="35736" customFormat="false" ht="15" hidden="false" customHeight="false" outlineLevel="0" collapsed="false">
      <c r="A35736" s="3" t="s">
        <v>563</v>
      </c>
      <c r="C35736" s="16" t="n">
        <f aca="false">IF(C35714&gt;0,C35692-C35725,0)</f>
        <v>0</v>
      </c>
      <c r="G35736" s="21" t="n">
        <f aca="false">IF(AND(G35511=1,G35417=1),1,0)</f>
        <v>0</v>
      </c>
      <c r="H35736" s="21" t="n">
        <f aca="false">IF(G35736=1,1,IF(AND(H35511=1,H35417=1),1,0))</f>
        <v>0</v>
      </c>
      <c r="I35736" s="21" t="n">
        <f aca="false">IF(H35736=1,1,IF(AND(I35511=1,I35417=1),1,0))</f>
        <v>0</v>
      </c>
      <c r="J35736" s="21" t="n">
        <f aca="false">IF(I35736=1,1,IF(AND(J35511=1,J35417=1),1,0))</f>
        <v>0</v>
      </c>
      <c r="K35736" s="21" t="n">
        <f aca="false">IF(J35736=1,1,IF(AND(K35511=1,K35417=1),1,0))</f>
        <v>0</v>
      </c>
    </row>
    <row r="35737" customFormat="false" ht="15" hidden="false" customHeight="false" outlineLevel="0" collapsed="false">
      <c r="A35737" s="3" t="s">
        <v>564</v>
      </c>
      <c r="C35737" s="16" t="n">
        <f aca="false">IF(C35715&gt;0,C35693-C35726,0)</f>
        <v>0</v>
      </c>
      <c r="G35737" s="21" t="n">
        <f aca="false">IF(AND(G35524=1,G35417=1),1,0)</f>
        <v>0</v>
      </c>
      <c r="H35737" s="21" t="n">
        <f aca="false">IF(G35737=1,1,IF(AND(H35524=1,H35417=1),1,0))</f>
        <v>0</v>
      </c>
      <c r="I35737" s="21" t="n">
        <f aca="false">IF(H35737=1,1,IF(AND(I35524=1,I35417=1),1,0))</f>
        <v>0</v>
      </c>
      <c r="J35737" s="21" t="n">
        <f aca="false">IF(I35737=1,1,IF(AND(J35524=1,J35417=1),1,0))</f>
        <v>0</v>
      </c>
      <c r="K35737" s="21" t="n">
        <f aca="false">IF(J35737=1,1,IF(AND(K35524=1,K35417=1),1,0))</f>
        <v>0</v>
      </c>
    </row>
    <row r="35738" customFormat="false" ht="15" hidden="false" customHeight="false" outlineLevel="0" collapsed="false">
      <c r="A35738" s="3" t="s">
        <v>565</v>
      </c>
      <c r="C35738" s="16" t="n">
        <f aca="false">IF(C35716&gt;0,C35694-C35727,0)</f>
        <v>0</v>
      </c>
      <c r="G35738" s="21" t="n">
        <f aca="false">IF(AND(G35537=1,G35417=1),1,0)</f>
        <v>0</v>
      </c>
      <c r="H35738" s="21" t="n">
        <f aca="false">IF(G35738=1,1,IF(AND(H35537=1,H35417=1),1,0))</f>
        <v>0</v>
      </c>
      <c r="I35738" s="21" t="n">
        <f aca="false">IF(H35738=1,1,IF(AND(I35537=1,I35417=1),1,0))</f>
        <v>0</v>
      </c>
      <c r="J35738" s="21" t="n">
        <f aca="false">IF(I35738=1,1,IF(AND(J35537=1,J35417=1),1,0))</f>
        <v>0</v>
      </c>
      <c r="K35738" s="21" t="n">
        <f aca="false">IF(J35738=1,1,IF(AND(K35537=1,K35417=1),1,0))</f>
        <v>0</v>
      </c>
    </row>
    <row r="35739" customFormat="false" ht="15" hidden="false" customHeight="false" outlineLevel="0" collapsed="false">
      <c r="A35739" s="24" t="s">
        <v>570</v>
      </c>
      <c r="B35739" s="25"/>
      <c r="C35739" s="25"/>
      <c r="D35739" s="25"/>
      <c r="E35739" s="25"/>
      <c r="F35739" s="25"/>
      <c r="G35739" s="25"/>
      <c r="H35739" s="25"/>
      <c r="I35739" s="25"/>
      <c r="J35739" s="25"/>
      <c r="K35739" s="25"/>
    </row>
    <row r="35740" customFormat="false" ht="15" hidden="false" customHeight="false" outlineLevel="0" collapsed="false">
      <c r="A35740" s="3" t="s">
        <v>556</v>
      </c>
      <c r="C35740" s="16" t="n">
        <f aca="false">IF(C35707&gt;0,C35729,C35685)</f>
        <v>0</v>
      </c>
    </row>
    <row r="35741" customFormat="false" ht="15" hidden="false" customHeight="false" outlineLevel="0" collapsed="false">
      <c r="A35741" s="3" t="s">
        <v>557</v>
      </c>
      <c r="C35741" s="16" t="n">
        <f aca="false">IF(C35708&gt;0,C35730,C35686)</f>
        <v>0</v>
      </c>
    </row>
    <row r="35742" customFormat="false" ht="15" hidden="false" customHeight="false" outlineLevel="0" collapsed="false">
      <c r="A35742" s="3" t="s">
        <v>558</v>
      </c>
      <c r="C35742" s="16" t="n">
        <f aca="false">IF(C35709&gt;0,C35731,C35687)</f>
        <v>0</v>
      </c>
    </row>
    <row r="35743" customFormat="false" ht="15" hidden="false" customHeight="false" outlineLevel="0" collapsed="false">
      <c r="A35743" s="3" t="s">
        <v>559</v>
      </c>
      <c r="C35743" s="16" t="n">
        <f aca="false">IF(C35710&gt;0,C35732,C35688)</f>
        <v>0</v>
      </c>
    </row>
    <row r="35744" customFormat="false" ht="15" hidden="false" customHeight="false" outlineLevel="0" collapsed="false">
      <c r="A35744" s="3" t="s">
        <v>560</v>
      </c>
      <c r="C35744" s="16" t="n">
        <f aca="false">IF(C35711&gt;0,C35733,C35689)</f>
        <v>405.410640665075</v>
      </c>
    </row>
    <row r="35745" customFormat="false" ht="15" hidden="false" customHeight="false" outlineLevel="0" collapsed="false">
      <c r="A35745" s="3" t="s">
        <v>561</v>
      </c>
      <c r="C35745" s="16" t="n">
        <f aca="false">IF(C35712&gt;0,C35734,C35690)</f>
        <v>357.2625</v>
      </c>
    </row>
    <row r="35746" customFormat="false" ht="15" hidden="false" customHeight="false" outlineLevel="0" collapsed="false">
      <c r="A35746" s="3" t="s">
        <v>562</v>
      </c>
      <c r="C35746" s="16" t="n">
        <f aca="false">IF(C35713&gt;0,C35735,C35691)</f>
        <v>562.203125</v>
      </c>
    </row>
    <row r="35747" customFormat="false" ht="15" hidden="false" customHeight="false" outlineLevel="0" collapsed="false">
      <c r="A35747" s="3" t="s">
        <v>563</v>
      </c>
      <c r="C35747" s="16" t="n">
        <f aca="false">IF(C35714&gt;0,C35736,C35692)</f>
        <v>353.98125</v>
      </c>
    </row>
    <row r="35748" customFormat="false" ht="15" hidden="false" customHeight="false" outlineLevel="0" collapsed="false">
      <c r="A35748" s="3" t="s">
        <v>564</v>
      </c>
      <c r="C35748" s="16" t="n">
        <f aca="false">IF(C35715&gt;0,C35737,C35693)</f>
        <v>304.59375</v>
      </c>
    </row>
    <row r="35749" customFormat="false" ht="15" hidden="false" customHeight="false" outlineLevel="0" collapsed="false">
      <c r="A35749" s="3" t="s">
        <v>565</v>
      </c>
      <c r="C35749" s="16" t="n">
        <f aca="false">IF(C35716&gt;0,C35738,C35694)</f>
        <v>79.938509</v>
      </c>
    </row>
    <row r="35750" customFormat="false" ht="15" hidden="false" customHeight="false" outlineLevel="0" collapsed="false">
      <c r="A35750" s="24" t="s">
        <v>571</v>
      </c>
      <c r="B35750" s="25"/>
      <c r="C35750" s="25"/>
      <c r="D35750" s="25"/>
      <c r="E35750" s="25"/>
      <c r="F35750" s="25"/>
      <c r="G35750" s="25"/>
      <c r="H35750" s="25"/>
      <c r="I35750" s="25"/>
      <c r="J35750" s="25"/>
      <c r="K35750" s="25"/>
    </row>
    <row r="35751" customFormat="false" ht="15" hidden="false" customHeight="false" outlineLevel="0" collapsed="false">
      <c r="A35751" s="3" t="s">
        <v>556</v>
      </c>
      <c r="C35751" s="21" t="n">
        <f aca="false">IF(C35707&gt;0,Assumptions!$C$17,C35696)</f>
        <v>99</v>
      </c>
    </row>
    <row r="35752" customFormat="false" ht="15" hidden="false" customHeight="false" outlineLevel="0" collapsed="false">
      <c r="A35752" s="3" t="s">
        <v>557</v>
      </c>
      <c r="C35752" s="21" t="n">
        <f aca="false">IF(C35708&gt;0,Assumptions!$C$17,C35697)</f>
        <v>99</v>
      </c>
    </row>
    <row r="35753" customFormat="false" ht="15" hidden="false" customHeight="false" outlineLevel="0" collapsed="false">
      <c r="A35753" s="3" t="s">
        <v>558</v>
      </c>
      <c r="C35753" s="21" t="n">
        <f aca="false">IF(C35709&gt;0,Assumptions!$C$17,C35698)</f>
        <v>99</v>
      </c>
    </row>
    <row r="35754" customFormat="false" ht="15" hidden="false" customHeight="false" outlineLevel="0" collapsed="false">
      <c r="A35754" s="3" t="s">
        <v>559</v>
      </c>
      <c r="C35754" s="21" t="n">
        <f aca="false">IF(C35710&gt;0,Assumptions!$C$17,C35699)</f>
        <v>2</v>
      </c>
    </row>
    <row r="35755" customFormat="false" ht="15" hidden="false" customHeight="false" outlineLevel="0" collapsed="false">
      <c r="A35755" s="3" t="s">
        <v>560</v>
      </c>
      <c r="C35755" s="21" t="n">
        <f aca="false">IF(C35711&gt;0,Assumptions!$C$17,C35700)</f>
        <v>2</v>
      </c>
    </row>
    <row r="35756" customFormat="false" ht="15" hidden="false" customHeight="false" outlineLevel="0" collapsed="false">
      <c r="A35756" s="3" t="s">
        <v>561</v>
      </c>
      <c r="C35756" s="21" t="n">
        <f aca="false">IF(C35712&gt;0,Assumptions!$C$17,C35701)</f>
        <v>2</v>
      </c>
    </row>
    <row r="35757" customFormat="false" ht="15" hidden="false" customHeight="false" outlineLevel="0" collapsed="false">
      <c r="A35757" s="3" t="s">
        <v>562</v>
      </c>
      <c r="C35757" s="21" t="n">
        <f aca="false">IF(C35713&gt;0,Assumptions!$C$17,C35702)</f>
        <v>2</v>
      </c>
    </row>
    <row r="35758" customFormat="false" ht="15" hidden="false" customHeight="false" outlineLevel="0" collapsed="false">
      <c r="A35758" s="3" t="s">
        <v>563</v>
      </c>
      <c r="C35758" s="21" t="n">
        <f aca="false">IF(C35714&gt;0,Assumptions!$C$17,C35703)</f>
        <v>2</v>
      </c>
    </row>
    <row r="35759" customFormat="false" ht="15" hidden="false" customHeight="false" outlineLevel="0" collapsed="false">
      <c r="A35759" s="3" t="s">
        <v>564</v>
      </c>
      <c r="C35759" s="21" t="n">
        <f aca="false">IF(C35715&gt;0,Assumptions!$C$17,C35704)</f>
        <v>2</v>
      </c>
    </row>
    <row r="35760" customFormat="false" ht="15" hidden="false" customHeight="false" outlineLevel="0" collapsed="false">
      <c r="A35760" s="3" t="s">
        <v>565</v>
      </c>
      <c r="C35760" s="21" t="n">
        <f aca="false">IF(C35716&gt;0,Assumptions!$C$17,C35705)</f>
        <v>3</v>
      </c>
    </row>
    <row r="35761" customFormat="false" ht="15" hidden="false" customHeight="false" outlineLevel="0" collapsed="false">
      <c r="A35761" s="24" t="s">
        <v>572</v>
      </c>
      <c r="B35761" s="25"/>
      <c r="C35761" s="25"/>
      <c r="D35761" s="25"/>
      <c r="E35761" s="25"/>
      <c r="F35761" s="25"/>
      <c r="G35761" s="25"/>
      <c r="H35761" s="25"/>
      <c r="I35761" s="25"/>
      <c r="J35761" s="25"/>
      <c r="K35761" s="25"/>
    </row>
    <row r="35762" customFormat="false" ht="15" hidden="false" customHeight="false" outlineLevel="0" collapsed="false">
      <c r="A35762" s="3" t="s">
        <v>556</v>
      </c>
      <c r="C35762" s="16" t="n">
        <f aca="false">SUMPRODUCT(($C$35751:$C$35760&lt;C35751)*$C$35740:$C$35749)</f>
        <v>2063.38977466508</v>
      </c>
    </row>
    <row r="35763" customFormat="false" ht="15" hidden="false" customHeight="false" outlineLevel="0" collapsed="false">
      <c r="A35763" s="3" t="s">
        <v>557</v>
      </c>
      <c r="C35763" s="16" t="n">
        <f aca="false">SUMPRODUCT(($C$35751:$C$35760&lt;C35752)*$C$35740:$C$35749)</f>
        <v>2063.38977466508</v>
      </c>
    </row>
    <row r="35764" customFormat="false" ht="15" hidden="false" customHeight="false" outlineLevel="0" collapsed="false">
      <c r="A35764" s="3" t="s">
        <v>558</v>
      </c>
      <c r="C35764" s="16" t="n">
        <f aca="false">SUMPRODUCT(($C$35751:$C$35760&lt;C35753)*$C$35740:$C$35749)</f>
        <v>2063.38977466508</v>
      </c>
    </row>
    <row r="35765" customFormat="false" ht="15" hidden="false" customHeight="false" outlineLevel="0" collapsed="false">
      <c r="A35765" s="3" t="s">
        <v>559</v>
      </c>
      <c r="C35765" s="16" t="n">
        <f aca="false">SUMPRODUCT(($C$35751:$C$35760&lt;C35754)*$C$35740:$C$35749)</f>
        <v>0</v>
      </c>
    </row>
    <row r="35766" customFormat="false" ht="15" hidden="false" customHeight="false" outlineLevel="0" collapsed="false">
      <c r="A35766" s="3" t="s">
        <v>560</v>
      </c>
      <c r="C35766" s="16" t="n">
        <f aca="false">SUMPRODUCT(($C$35751:$C$35760&lt;C35755)*$C$35740:$C$35749)</f>
        <v>0</v>
      </c>
    </row>
    <row r="35767" customFormat="false" ht="15" hidden="false" customHeight="false" outlineLevel="0" collapsed="false">
      <c r="A35767" s="3" t="s">
        <v>561</v>
      </c>
      <c r="C35767" s="16" t="n">
        <f aca="false">SUMPRODUCT(($C$35751:$C$35760&lt;C35756)*$C$35740:$C$35749)</f>
        <v>0</v>
      </c>
    </row>
    <row r="35768" customFormat="false" ht="15" hidden="false" customHeight="false" outlineLevel="0" collapsed="false">
      <c r="A35768" s="3" t="s">
        <v>562</v>
      </c>
      <c r="C35768" s="16" t="n">
        <f aca="false">SUMPRODUCT(($C$35751:$C$35760&lt;C35757)*$C$35740:$C$35749)</f>
        <v>0</v>
      </c>
    </row>
    <row r="35769" customFormat="false" ht="15" hidden="false" customHeight="false" outlineLevel="0" collapsed="false">
      <c r="A35769" s="3" t="s">
        <v>563</v>
      </c>
      <c r="C35769" s="16" t="n">
        <f aca="false">SUMPRODUCT(($C$35751:$C$35760&lt;C35758)*$C$35740:$C$35749)</f>
        <v>0</v>
      </c>
    </row>
    <row r="35770" customFormat="false" ht="15" hidden="false" customHeight="false" outlineLevel="0" collapsed="false">
      <c r="A35770" s="3" t="s">
        <v>564</v>
      </c>
      <c r="C35770" s="16" t="n">
        <f aca="false">SUMPRODUCT(($C$35751:$C$35760&lt;C35759)*$C$35740:$C$35749)</f>
        <v>0</v>
      </c>
    </row>
    <row r="35771" customFormat="false" ht="15" hidden="false" customHeight="false" outlineLevel="0" collapsed="false">
      <c r="A35771" s="3" t="s">
        <v>565</v>
      </c>
      <c r="C35771" s="16" t="n">
        <f aca="false">SUMPRODUCT(($C$35751:$C$35760&lt;C35760)*$C$35740:$C$35749)</f>
        <v>1983.45126566508</v>
      </c>
    </row>
    <row r="35772" customFormat="false" ht="15" hidden="false" customHeight="false" outlineLevel="0" collapsed="false">
      <c r="A35772" s="24" t="s">
        <v>573</v>
      </c>
      <c r="B35772" s="25"/>
      <c r="C35772" s="25"/>
      <c r="D35772" s="25"/>
      <c r="E35772" s="25"/>
      <c r="F35772" s="25"/>
      <c r="G35772" s="25"/>
      <c r="H35772" s="25"/>
      <c r="I35772" s="25"/>
      <c r="J35772" s="25"/>
      <c r="K35772" s="25"/>
    </row>
    <row r="35773" customFormat="false" ht="15" hidden="false" customHeight="false" outlineLevel="0" collapsed="false">
      <c r="A35773" s="3" t="s">
        <v>556</v>
      </c>
      <c r="C35773" s="16" t="n">
        <f aca="false">SUMPRODUCT(($C$35751:$C$35760=C35751)*$C$35740:$C$35749)</f>
        <v>0</v>
      </c>
    </row>
    <row r="35774" customFormat="false" ht="15" hidden="false" customHeight="false" outlineLevel="0" collapsed="false">
      <c r="A35774" s="3" t="s">
        <v>557</v>
      </c>
      <c r="C35774" s="16" t="n">
        <f aca="false">SUMPRODUCT(($C$35751:$C$35760=C35752)*$C$35740:$C$35749)</f>
        <v>0</v>
      </c>
    </row>
    <row r="35775" customFormat="false" ht="15" hidden="false" customHeight="false" outlineLevel="0" collapsed="false">
      <c r="A35775" s="3" t="s">
        <v>558</v>
      </c>
      <c r="C35775" s="16" t="n">
        <f aca="false">SUMPRODUCT(($C$35751:$C$35760=C35753)*$C$35740:$C$35749)</f>
        <v>0</v>
      </c>
    </row>
    <row r="35776" customFormat="false" ht="15" hidden="false" customHeight="false" outlineLevel="0" collapsed="false">
      <c r="A35776" s="3" t="s">
        <v>559</v>
      </c>
      <c r="C35776" s="16" t="n">
        <f aca="false">SUMPRODUCT(($C$35751:$C$35760=C35754)*$C$35740:$C$35749)</f>
        <v>1983.45126566508</v>
      </c>
    </row>
    <row r="35777" customFormat="false" ht="15" hidden="false" customHeight="false" outlineLevel="0" collapsed="false">
      <c r="A35777" s="3" t="s">
        <v>560</v>
      </c>
      <c r="C35777" s="16" t="n">
        <f aca="false">SUMPRODUCT(($C$35751:$C$35760=C35755)*$C$35740:$C$35749)</f>
        <v>1983.45126566508</v>
      </c>
    </row>
    <row r="35778" customFormat="false" ht="15" hidden="false" customHeight="false" outlineLevel="0" collapsed="false">
      <c r="A35778" s="3" t="s">
        <v>561</v>
      </c>
      <c r="C35778" s="16" t="n">
        <f aca="false">SUMPRODUCT(($C$35751:$C$35760=C35756)*$C$35740:$C$35749)</f>
        <v>1983.45126566508</v>
      </c>
    </row>
    <row r="35779" customFormat="false" ht="15" hidden="false" customHeight="false" outlineLevel="0" collapsed="false">
      <c r="A35779" s="3" t="s">
        <v>562</v>
      </c>
      <c r="C35779" s="16" t="n">
        <f aca="false">SUMPRODUCT(($C$35751:$C$35760=C35757)*$C$35740:$C$35749)</f>
        <v>1983.45126566508</v>
      </c>
    </row>
    <row r="35780" customFormat="false" ht="15" hidden="false" customHeight="false" outlineLevel="0" collapsed="false">
      <c r="A35780" s="3" t="s">
        <v>563</v>
      </c>
      <c r="C35780" s="16" t="n">
        <f aca="false">SUMPRODUCT(($C$35751:$C$35760=C35758)*$C$35740:$C$35749)</f>
        <v>1983.45126566508</v>
      </c>
    </row>
    <row r="35781" customFormat="false" ht="15" hidden="false" customHeight="false" outlineLevel="0" collapsed="false">
      <c r="A35781" s="3" t="s">
        <v>564</v>
      </c>
      <c r="C35781" s="16" t="n">
        <f aca="false">SUMPRODUCT(($C$35751:$C$35760=C35759)*$C$35740:$C$35749)</f>
        <v>1983.45126566508</v>
      </c>
    </row>
    <row r="35782" customFormat="false" ht="15" hidden="false" customHeight="false" outlineLevel="0" collapsed="false">
      <c r="A35782" s="3" t="s">
        <v>565</v>
      </c>
      <c r="C35782" s="16" t="n">
        <f aca="false">SUMPRODUCT(($C$35751:$C$35760=C35760)*$C$35740:$C$35749)</f>
        <v>79.938509</v>
      </c>
    </row>
    <row r="35783" customFormat="false" ht="15" hidden="false" customHeight="false" outlineLevel="0" collapsed="false">
      <c r="A35783" s="24" t="s">
        <v>574</v>
      </c>
      <c r="B35783" s="25"/>
      <c r="C35783" s="25"/>
      <c r="D35783" s="25"/>
      <c r="E35783" s="25"/>
      <c r="F35783" s="25"/>
      <c r="G35783" s="25"/>
      <c r="H35783" s="25"/>
      <c r="I35783" s="25"/>
      <c r="J35783" s="25"/>
      <c r="K35783" s="25"/>
    </row>
    <row r="35784" customFormat="false" ht="15" hidden="false" customHeight="false" outlineLevel="0" collapsed="false">
      <c r="A35784" s="3" t="s">
        <v>556</v>
      </c>
      <c r="C35784" s="16" t="n">
        <f aca="false">IF(C35773=0,0,C35740/C35773*MAX(0,MIN(C35773,$C$35683-SUM($C$35718:$C$35727)-C35762)))</f>
        <v>0</v>
      </c>
    </row>
    <row r="35785" customFormat="false" ht="15" hidden="false" customHeight="false" outlineLevel="0" collapsed="false">
      <c r="A35785" s="3" t="s">
        <v>557</v>
      </c>
      <c r="C35785" s="16" t="n">
        <f aca="false">IF(C35774=0,0,C35741/C35774*MAX(0,MIN(C35774,$C$35683-SUM($C$35718:$C$35727)-C35763)))</f>
        <v>0</v>
      </c>
    </row>
    <row r="35786" customFormat="false" ht="15" hidden="false" customHeight="false" outlineLevel="0" collapsed="false">
      <c r="A35786" s="3" t="s">
        <v>558</v>
      </c>
      <c r="C35786" s="16" t="n">
        <f aca="false">IF(C35775=0,0,C35742/C35775*MAX(0,MIN(C35775,$C$35683-SUM($C$35718:$C$35727)-C35764)))</f>
        <v>0</v>
      </c>
    </row>
    <row r="35787" customFormat="false" ht="15" hidden="false" customHeight="false" outlineLevel="0" collapsed="false">
      <c r="A35787" s="3" t="s">
        <v>559</v>
      </c>
      <c r="C35787" s="16" t="n">
        <f aca="false">IF(C35776=0,0,C35743/C35776*MAX(0,MIN(C35776,$C$35683-SUM($C$35718:$C$35727)-C35765)))</f>
        <v>0</v>
      </c>
    </row>
    <row r="35788" customFormat="false" ht="15" hidden="false" customHeight="false" outlineLevel="0" collapsed="false">
      <c r="A35788" s="3" t="s">
        <v>560</v>
      </c>
      <c r="C35788" s="16" t="n">
        <f aca="false">IF(C35777=0,0,C35744/C35777*MAX(0,MIN(C35777,$C$35683-SUM($C$35718:$C$35727)-C35766)))</f>
        <v>405.410640665075</v>
      </c>
    </row>
    <row r="35789" customFormat="false" ht="15" hidden="false" customHeight="false" outlineLevel="0" collapsed="false">
      <c r="A35789" s="3" t="s">
        <v>561</v>
      </c>
      <c r="C35789" s="16" t="n">
        <f aca="false">IF(C35778=0,0,C35745/C35778*MAX(0,MIN(C35778,$C$35683-SUM($C$35718:$C$35727)-C35767)))</f>
        <v>357.2625</v>
      </c>
    </row>
    <row r="35790" customFormat="false" ht="15" hidden="false" customHeight="false" outlineLevel="0" collapsed="false">
      <c r="A35790" s="3" t="s">
        <v>562</v>
      </c>
      <c r="C35790" s="16" t="n">
        <f aca="false">IF(C35779=0,0,C35746/C35779*MAX(0,MIN(C35779,$C$35683-SUM($C$35718:$C$35727)-C35768)))</f>
        <v>562.203125</v>
      </c>
    </row>
    <row r="35791" customFormat="false" ht="15" hidden="false" customHeight="false" outlineLevel="0" collapsed="false">
      <c r="A35791" s="3" t="s">
        <v>563</v>
      </c>
      <c r="C35791" s="16" t="n">
        <f aca="false">IF(C35780=0,0,C35747/C35780*MAX(0,MIN(C35780,$C$35683-SUM($C$35718:$C$35727)-C35769)))</f>
        <v>353.98125</v>
      </c>
    </row>
    <row r="35792" customFormat="false" ht="15" hidden="false" customHeight="false" outlineLevel="0" collapsed="false">
      <c r="A35792" s="3" t="s">
        <v>564</v>
      </c>
      <c r="C35792" s="16" t="n">
        <f aca="false">IF(C35781=0,0,C35748/C35781*MAX(0,MIN(C35781,$C$35683-SUM($C$35718:$C$35727)-C35770)))</f>
        <v>304.59375</v>
      </c>
    </row>
    <row r="35793" customFormat="false" ht="15" hidden="false" customHeight="false" outlineLevel="0" collapsed="false">
      <c r="A35793" s="3" t="s">
        <v>565</v>
      </c>
      <c r="C35793" s="16" t="n">
        <f aca="false">IF(C35782=0,0,C35749/C35782*MAX(0,MIN(C35782,$C$35683-SUM($C$35718:$C$35727)-C35771)))</f>
        <v>79.938509</v>
      </c>
    </row>
    <row r="35794" customFormat="false" ht="15" hidden="false" customHeight="false" outlineLevel="0" collapsed="false">
      <c r="A35794" s="24" t="s">
        <v>575</v>
      </c>
      <c r="B35794" s="25"/>
      <c r="C35794" s="25"/>
      <c r="D35794" s="25"/>
      <c r="E35794" s="25"/>
      <c r="F35794" s="25"/>
      <c r="G35794" s="25"/>
      <c r="H35794" s="25"/>
      <c r="I35794" s="25"/>
      <c r="J35794" s="25"/>
      <c r="K35794" s="25"/>
    </row>
    <row r="35795" customFormat="false" ht="15" hidden="false" customHeight="false" outlineLevel="0" collapsed="false">
      <c r="A35795" s="2" t="s">
        <v>556</v>
      </c>
      <c r="C35795" s="17" t="n">
        <f aca="false">C35718+C35784</f>
        <v>402.29</v>
      </c>
    </row>
    <row r="35796" customFormat="false" ht="15" hidden="false" customHeight="false" outlineLevel="0" collapsed="false">
      <c r="A35796" s="2" t="s">
        <v>557</v>
      </c>
      <c r="C35796" s="17" t="n">
        <f aca="false">C35719+C35785</f>
        <v>91.30725</v>
      </c>
    </row>
    <row r="35797" customFormat="false" ht="15" hidden="false" customHeight="false" outlineLevel="0" collapsed="false">
      <c r="A35797" s="2" t="s">
        <v>558</v>
      </c>
      <c r="C35797" s="17" t="n">
        <f aca="false">C35720+C35786</f>
        <v>58.3715961</v>
      </c>
    </row>
    <row r="35798" customFormat="false" ht="15" hidden="false" customHeight="false" outlineLevel="0" collapsed="false">
      <c r="A35798" s="2" t="s">
        <v>559</v>
      </c>
      <c r="C35798" s="17" t="n">
        <f aca="false">C35721+C35787</f>
        <v>0</v>
      </c>
    </row>
    <row r="35799" customFormat="false" ht="15" hidden="false" customHeight="false" outlineLevel="0" collapsed="false">
      <c r="A35799" s="2" t="s">
        <v>560</v>
      </c>
      <c r="C35799" s="17" t="n">
        <f aca="false">C35722+C35788</f>
        <v>405.410640665075</v>
      </c>
    </row>
    <row r="35800" customFormat="false" ht="15" hidden="false" customHeight="false" outlineLevel="0" collapsed="false">
      <c r="A35800" s="2" t="s">
        <v>561</v>
      </c>
      <c r="C35800" s="17" t="n">
        <f aca="false">C35723+C35789</f>
        <v>357.2625</v>
      </c>
    </row>
    <row r="35801" customFormat="false" ht="15" hidden="false" customHeight="false" outlineLevel="0" collapsed="false">
      <c r="A35801" s="2" t="s">
        <v>562</v>
      </c>
      <c r="C35801" s="17" t="n">
        <f aca="false">C35724+C35790</f>
        <v>562.203125</v>
      </c>
    </row>
    <row r="35802" customFormat="false" ht="15" hidden="false" customHeight="false" outlineLevel="0" collapsed="false">
      <c r="A35802" s="2" t="s">
        <v>563</v>
      </c>
      <c r="C35802" s="17" t="n">
        <f aca="false">C35725+C35791</f>
        <v>353.98125</v>
      </c>
    </row>
    <row r="35803" customFormat="false" ht="15" hidden="false" customHeight="false" outlineLevel="0" collapsed="false">
      <c r="A35803" s="2" t="s">
        <v>564</v>
      </c>
      <c r="C35803" s="17" t="n">
        <f aca="false">C35726+C35792</f>
        <v>304.59375</v>
      </c>
    </row>
    <row r="35804" customFormat="false" ht="15" hidden="false" customHeight="false" outlineLevel="0" collapsed="false">
      <c r="A35804" s="2" t="s">
        <v>565</v>
      </c>
      <c r="C35804" s="17" t="n">
        <f aca="false">C35727+C35793</f>
        <v>79.938509</v>
      </c>
    </row>
    <row r="35805" customFormat="false" ht="15" hidden="false" customHeight="false" outlineLevel="0" collapsed="false">
      <c r="A35805" s="24" t="s">
        <v>576</v>
      </c>
      <c r="B35805" s="25"/>
      <c r="C35805" s="25"/>
      <c r="D35805" s="25"/>
      <c r="E35805" s="25"/>
      <c r="F35805" s="25"/>
      <c r="G35805" s="25"/>
      <c r="H35805" s="25"/>
      <c r="I35805" s="25"/>
      <c r="J35805" s="25"/>
      <c r="K35805" s="25"/>
    </row>
    <row r="35806" customFormat="false" ht="15" hidden="false" customHeight="false" outlineLevel="0" collapsed="false">
      <c r="A35806" s="3" t="s">
        <v>556</v>
      </c>
      <c r="C35806" s="22" t="n">
        <f aca="false">IF(C35685=0,1,C35795/C35685)</f>
        <v>1</v>
      </c>
    </row>
    <row r="35807" customFormat="false" ht="15" hidden="false" customHeight="false" outlineLevel="0" collapsed="false">
      <c r="A35807" s="3" t="s">
        <v>557</v>
      </c>
      <c r="C35807" s="22" t="n">
        <f aca="false">IF(C35686=0,1,C35796/C35686)</f>
        <v>1</v>
      </c>
    </row>
    <row r="35808" customFormat="false" ht="15" hidden="false" customHeight="false" outlineLevel="0" collapsed="false">
      <c r="A35808" s="3" t="s">
        <v>558</v>
      </c>
      <c r="C35808" s="22" t="n">
        <f aca="false">IF(C35687=0,1,C35797/C35687)</f>
        <v>1</v>
      </c>
    </row>
    <row r="35809" customFormat="false" ht="15" hidden="false" customHeight="false" outlineLevel="0" collapsed="false">
      <c r="A35809" s="3" t="s">
        <v>559</v>
      </c>
      <c r="C35809" s="22" t="n">
        <f aca="false">IF(C35688=0,1,C35798/C35688)</f>
        <v>1</v>
      </c>
    </row>
    <row r="35810" customFormat="false" ht="15" hidden="false" customHeight="false" outlineLevel="0" collapsed="false">
      <c r="A35810" s="3" t="s">
        <v>560</v>
      </c>
      <c r="C35810" s="22" t="n">
        <f aca="false">IF(C35689=0,1,C35799/C35689)</f>
        <v>1</v>
      </c>
    </row>
    <row r="35811" customFormat="false" ht="15" hidden="false" customHeight="false" outlineLevel="0" collapsed="false">
      <c r="A35811" s="3" t="s">
        <v>561</v>
      </c>
      <c r="C35811" s="22" t="n">
        <f aca="false">IF(C35690=0,1,C35800/C35690)</f>
        <v>1</v>
      </c>
    </row>
    <row r="35812" customFormat="false" ht="15" hidden="false" customHeight="false" outlineLevel="0" collapsed="false">
      <c r="A35812" s="3" t="s">
        <v>562</v>
      </c>
      <c r="C35812" s="22" t="n">
        <f aca="false">IF(C35691=0,1,C35801/C35691)</f>
        <v>1</v>
      </c>
    </row>
    <row r="35813" customFormat="false" ht="15" hidden="false" customHeight="false" outlineLevel="0" collapsed="false">
      <c r="A35813" s="3" t="s">
        <v>563</v>
      </c>
      <c r="C35813" s="22" t="n">
        <f aca="false">IF(C35692=0,1,C35802/C35692)</f>
        <v>1</v>
      </c>
    </row>
    <row r="35814" customFormat="false" ht="15" hidden="false" customHeight="false" outlineLevel="0" collapsed="false">
      <c r="A35814" s="3" t="s">
        <v>564</v>
      </c>
      <c r="C35814" s="22" t="n">
        <f aca="false">IF(C35693=0,1,C35803/C35693)</f>
        <v>1</v>
      </c>
    </row>
    <row r="35815" customFormat="false" ht="15" hidden="false" customHeight="false" outlineLevel="0" collapsed="false">
      <c r="A35815" s="3" t="s">
        <v>565</v>
      </c>
      <c r="C35815" s="22" t="n">
        <f aca="false">IF(C35694=0,1,C35804/C35694)</f>
        <v>1</v>
      </c>
    </row>
    <row r="35816" customFormat="false" ht="15" hidden="false" customHeight="false" outlineLevel="0" collapsed="false">
      <c r="A35816" s="24" t="s">
        <v>577</v>
      </c>
      <c r="B35816" s="25"/>
      <c r="C35816" s="25"/>
      <c r="D35816" s="25"/>
      <c r="E35816" s="25"/>
      <c r="F35816" s="25"/>
      <c r="G35816" s="25"/>
      <c r="H35816" s="25"/>
      <c r="I35816" s="25"/>
      <c r="J35816" s="25"/>
      <c r="K35816" s="25"/>
    </row>
    <row r="35817" customFormat="false" ht="15" hidden="false" customHeight="false" outlineLevel="0" collapsed="false">
      <c r="A35817" s="3" t="s">
        <v>556</v>
      </c>
      <c r="C35817" s="16" t="n">
        <f aca="false">C35685-C35795</f>
        <v>0</v>
      </c>
    </row>
    <row r="35818" customFormat="false" ht="15" hidden="false" customHeight="false" outlineLevel="0" collapsed="false">
      <c r="A35818" s="3" t="s">
        <v>557</v>
      </c>
      <c r="C35818" s="16" t="n">
        <f aca="false">C35686-C35796</f>
        <v>0</v>
      </c>
    </row>
    <row r="35819" customFormat="false" ht="15" hidden="false" customHeight="false" outlineLevel="0" collapsed="false">
      <c r="A35819" s="3" t="s">
        <v>558</v>
      </c>
      <c r="C35819" s="16" t="n">
        <f aca="false">C35687-C35797</f>
        <v>0</v>
      </c>
    </row>
    <row r="35820" customFormat="false" ht="15" hidden="false" customHeight="false" outlineLevel="0" collapsed="false">
      <c r="A35820" s="3" t="s">
        <v>559</v>
      </c>
      <c r="C35820" s="16" t="n">
        <f aca="false">C35688-C35798</f>
        <v>0</v>
      </c>
    </row>
    <row r="35821" customFormat="false" ht="15" hidden="false" customHeight="false" outlineLevel="0" collapsed="false">
      <c r="A35821" s="3" t="s">
        <v>560</v>
      </c>
      <c r="C35821" s="16" t="n">
        <f aca="false">C35689-C35799</f>
        <v>0</v>
      </c>
    </row>
    <row r="35822" customFormat="false" ht="15" hidden="false" customHeight="false" outlineLevel="0" collapsed="false">
      <c r="A35822" s="3" t="s">
        <v>561</v>
      </c>
      <c r="C35822" s="16" t="n">
        <f aca="false">C35690-C35800</f>
        <v>0</v>
      </c>
    </row>
    <row r="35823" customFormat="false" ht="15" hidden="false" customHeight="false" outlineLevel="0" collapsed="false">
      <c r="A35823" s="3" t="s">
        <v>562</v>
      </c>
      <c r="C35823" s="16" t="n">
        <f aca="false">C35691-C35801</f>
        <v>0</v>
      </c>
    </row>
    <row r="35824" customFormat="false" ht="15" hidden="false" customHeight="false" outlineLevel="0" collapsed="false">
      <c r="A35824" s="3" t="s">
        <v>563</v>
      </c>
      <c r="C35824" s="16" t="n">
        <f aca="false">C35692-C35802</f>
        <v>0</v>
      </c>
    </row>
    <row r="35825" customFormat="false" ht="15" hidden="false" customHeight="false" outlineLevel="0" collapsed="false">
      <c r="A35825" s="3" t="s">
        <v>564</v>
      </c>
      <c r="C35825" s="16" t="n">
        <f aca="false">C35693-C35803</f>
        <v>0</v>
      </c>
    </row>
    <row r="35826" customFormat="false" ht="15" hidden="false" customHeight="false" outlineLevel="0" collapsed="false">
      <c r="A35826" s="3" t="s">
        <v>565</v>
      </c>
      <c r="C35826" s="16" t="n">
        <f aca="false">C35694-C35804</f>
        <v>0</v>
      </c>
    </row>
    <row r="35827" customFormat="false" ht="15" hidden="false" customHeight="false" outlineLevel="0" collapsed="false">
      <c r="A35827" s="24" t="s">
        <v>578</v>
      </c>
      <c r="B35827" s="25"/>
      <c r="C35827" s="25"/>
      <c r="D35827" s="25"/>
      <c r="E35827" s="25"/>
      <c r="F35827" s="25"/>
      <c r="G35827" s="25"/>
      <c r="H35827" s="25"/>
      <c r="I35827" s="25"/>
      <c r="J35827" s="25"/>
      <c r="K35827" s="25"/>
    </row>
    <row r="35828" customFormat="false" ht="15" hidden="false" customHeight="false" outlineLevel="0" collapsed="false">
      <c r="A35828" s="3" t="s">
        <v>556</v>
      </c>
      <c r="C35828" s="22" t="n">
        <f aca="false">IF(C35685=0,0,C35817/C35685)</f>
        <v>0</v>
      </c>
    </row>
    <row r="35829" customFormat="false" ht="15" hidden="false" customHeight="false" outlineLevel="0" collapsed="false">
      <c r="A35829" s="3" t="s">
        <v>557</v>
      </c>
      <c r="C35829" s="22" t="n">
        <f aca="false">IF(C35686=0,0,C35818/C35686)</f>
        <v>0</v>
      </c>
    </row>
    <row r="35830" customFormat="false" ht="15" hidden="false" customHeight="false" outlineLevel="0" collapsed="false">
      <c r="A35830" s="3" t="s">
        <v>558</v>
      </c>
      <c r="C35830" s="22" t="n">
        <f aca="false">IF(C35687=0,0,C35819/C35687)</f>
        <v>0</v>
      </c>
    </row>
    <row r="35831" customFormat="false" ht="15" hidden="false" customHeight="false" outlineLevel="0" collapsed="false">
      <c r="A35831" s="3" t="s">
        <v>559</v>
      </c>
      <c r="C35831" s="22" t="n">
        <f aca="false">IF(C35688=0,0,C35820/C35688)</f>
        <v>0</v>
      </c>
    </row>
    <row r="35832" customFormat="false" ht="15" hidden="false" customHeight="false" outlineLevel="0" collapsed="false">
      <c r="A35832" s="3" t="s">
        <v>560</v>
      </c>
      <c r="C35832" s="22" t="n">
        <f aca="false">IF(C35689=0,0,C35821/C35689)</f>
        <v>0</v>
      </c>
    </row>
    <row r="35833" customFormat="false" ht="15" hidden="false" customHeight="false" outlineLevel="0" collapsed="false">
      <c r="A35833" s="3" t="s">
        <v>561</v>
      </c>
      <c r="C35833" s="22" t="n">
        <f aca="false">IF(C35690=0,0,C35822/C35690)</f>
        <v>0</v>
      </c>
    </row>
    <row r="35834" customFormat="false" ht="15" hidden="false" customHeight="false" outlineLevel="0" collapsed="false">
      <c r="A35834" s="3" t="s">
        <v>562</v>
      </c>
      <c r="C35834" s="22" t="n">
        <f aca="false">IF(C35691=0,0,C35823/C35691)</f>
        <v>0</v>
      </c>
    </row>
    <row r="35835" customFormat="false" ht="15" hidden="false" customHeight="false" outlineLevel="0" collapsed="false">
      <c r="A35835" s="3" t="s">
        <v>563</v>
      </c>
      <c r="C35835" s="22" t="n">
        <f aca="false">IF(C35692=0,0,C35824/C35692)</f>
        <v>0</v>
      </c>
    </row>
    <row r="35836" customFormat="false" ht="15" hidden="false" customHeight="false" outlineLevel="0" collapsed="false">
      <c r="A35836" s="3" t="s">
        <v>564</v>
      </c>
      <c r="C35836" s="22" t="n">
        <f aca="false">IF(C35693=0,0,C35825/C35693)</f>
        <v>0</v>
      </c>
    </row>
    <row r="35837" customFormat="false" ht="15" hidden="false" customHeight="false" outlineLevel="0" collapsed="false">
      <c r="A35837" s="3" t="s">
        <v>565</v>
      </c>
      <c r="C35837" s="22" t="n">
        <f aca="false">IF(C35694=0,0,C35826/C35694)</f>
        <v>0</v>
      </c>
    </row>
    <row r="35838" customFormat="false" ht="15" hidden="false" customHeight="false" outlineLevel="0" collapsed="false">
      <c r="A35838" s="2" t="s">
        <v>579</v>
      </c>
      <c r="C35838" s="17" t="n">
        <f aca="false">MAX(0,$C$35683-SUM($C$35718:$C$35727)-SUM($C$35740:$C$35749))</f>
        <v>518.118561634925</v>
      </c>
    </row>
    <row r="35839" customFormat="false" ht="15" hidden="false" customHeight="false" outlineLevel="0" collapsed="false">
      <c r="A35839" s="3" t="s">
        <v>580</v>
      </c>
      <c r="C35839" s="16" t="n">
        <f aca="false">SUM($C$35795:$C$35804)+C35838+C35682-C35681</f>
        <v>0</v>
      </c>
    </row>
    <row r="35841" customFormat="false" ht="15" hidden="false" customHeight="false" outlineLevel="0" collapsed="false">
      <c r="A35841" s="24" t="s">
        <v>583</v>
      </c>
      <c r="B35841" s="25"/>
      <c r="C35841" s="25"/>
      <c r="D35841" s="25"/>
      <c r="E35841" s="25"/>
      <c r="F35841" s="25"/>
      <c r="G35841" s="25"/>
      <c r="H35841" s="25"/>
      <c r="I35841" s="25"/>
      <c r="J35841" s="25"/>
      <c r="K35841" s="25"/>
    </row>
    <row r="35842" customFormat="false" ht="15" hidden="false" customHeight="false" outlineLevel="0" collapsed="false">
      <c r="A35842" s="3" t="s">
        <v>584</v>
      </c>
      <c r="C35842" s="27" t="n">
        <f aca="false">Assumptions!$C$34</f>
        <v>1</v>
      </c>
    </row>
    <row r="35843" customFormat="false" ht="15" hidden="false" customHeight="false" outlineLevel="0" collapsed="false">
      <c r="A35843" s="3" t="s">
        <v>585</v>
      </c>
      <c r="C35843" s="29" t="n">
        <f aca="false">Assumptions!$C$35</f>
        <v>100</v>
      </c>
    </row>
    <row r="35844" customFormat="false" ht="15" hidden="false" customHeight="false" outlineLevel="0" collapsed="false">
      <c r="A35844" s="3" t="s">
        <v>586</v>
      </c>
      <c r="C35844" s="40" t="n">
        <f aca="false">Assumptions!$C$36</f>
        <v>98</v>
      </c>
    </row>
    <row r="35845" customFormat="false" ht="15" hidden="false" customHeight="false" outlineLevel="0" collapsed="false">
      <c r="A35845" s="3" t="s">
        <v>587</v>
      </c>
      <c r="C35845" s="16" t="n">
        <f aca="false">C35843*C35844/100*(1+Assumptions!$C$37)</f>
        <v>98.49</v>
      </c>
    </row>
    <row r="35846" customFormat="false" ht="15" hidden="false" customHeight="false" outlineLevel="0" collapsed="false">
      <c r="A35846" s="3" t="s">
        <v>588</v>
      </c>
      <c r="C35846" s="27" t="n">
        <f aca="false">Assumptions!$C$38</f>
        <v>3</v>
      </c>
    </row>
    <row r="35847" customFormat="false" ht="15" hidden="false" customHeight="false" outlineLevel="0" collapsed="false">
      <c r="A35847" s="3" t="s">
        <v>589</v>
      </c>
      <c r="C35847" s="21" t="n">
        <f aca="false">IF(C35674=1,SUMPRODUCT($G$35610:$K$35610,$G$35384:$K$35384),0)</f>
        <v>2</v>
      </c>
    </row>
    <row r="35848" customFormat="false" ht="15" hidden="false" customHeight="false" outlineLevel="0" collapsed="false">
      <c r="A35848" s="3" t="s">
        <v>590</v>
      </c>
      <c r="C35848" s="22" t="n">
        <f aca="false">IFERROR(C35843/CHOOSE(C35842,SUMPRODUCT($G$35673:$K$35673,$G$35430:$K$35430),SUMPRODUCT($G$35673:$K$35673,$G$35443:$K$35443),SUMPRODUCT($G$35673:$K$35673,$G$35456:$K$35456),SUMPRODUCT($G$35673:$K$35673,$G$35469:$K$35469),SUMPRODUCT($G$35673:$K$35673,$G$35482:$K$35482),SUMPRODUCT($G$35673:$K$35673,$G$35495:$K$35495),SUMPRODUCT($G$35673:$K$35673,$G$35508:$K$35508),SUMPRODUCT($G$35673:$K$35673,$G$35521:$K$35521),SUMPRODUCT($G$35673:$K$35673,$G$35534:$K$35534),SUMPRODUCT($G$35673:$K$35673,$G$35547:$K$35547)),0)</f>
        <v>0.255102040816327</v>
      </c>
    </row>
    <row r="35849" customFormat="false" ht="15" hidden="false" customHeight="false" outlineLevel="0" collapsed="false">
      <c r="A35849" s="3" t="s">
        <v>591</v>
      </c>
      <c r="C35849" s="16" t="n">
        <f aca="false">CHOOSE(C35842,C35795,C35796,C35797,C35798,C35799,C35800,C35801,C35802,C35803,C35804)*C35848</f>
        <v>102.625</v>
      </c>
    </row>
    <row r="35850" customFormat="false" ht="15" hidden="false" customHeight="false" outlineLevel="0" collapsed="false">
      <c r="A35850" s="3" t="s">
        <v>592</v>
      </c>
      <c r="C35850" s="22" t="n">
        <f aca="false">CHOOSE(C35842,C35806,C35807,C35808,C35809,C35810,C35811,C35812,C35813,C35814,C35815)</f>
        <v>1</v>
      </c>
    </row>
    <row r="35851" customFormat="false" ht="15" hidden="false" customHeight="false" outlineLevel="0" collapsed="false">
      <c r="A35851" s="3" t="s">
        <v>593</v>
      </c>
      <c r="C35851" s="21" t="n">
        <f aca="false">IF(C35674=1,C35847,C35846)</f>
        <v>2</v>
      </c>
    </row>
    <row r="35852" customFormat="false" ht="15" hidden="false" customHeight="false" outlineLevel="0" collapsed="false">
      <c r="A35852" s="3" t="s">
        <v>594</v>
      </c>
      <c r="C35852" s="35" t="n">
        <f aca="false">CHOOSE($C$35376,Assumptions!$C$91,Assumptions!$C$110,Assumptions!$C$129)</f>
        <v>95</v>
      </c>
    </row>
    <row r="35853" customFormat="false" ht="15" hidden="false" customHeight="false" outlineLevel="0" collapsed="false">
      <c r="A35853" s="3" t="s">
        <v>595</v>
      </c>
      <c r="C35853" s="16" t="n">
        <f aca="false">INDEX($G$35393:$K$35393,C35846)*CHOOSE($C$35376,Assumptions!$C$90,Assumptions!$C$109,Assumptions!$C$128)+MAX(0,INDEX($G$35607:$K$35607,C35846))</f>
        <v>2423.913149823</v>
      </c>
    </row>
    <row r="35854" customFormat="false" ht="15" hidden="false" customHeight="false" outlineLevel="0" collapsed="false">
      <c r="A35854" s="24" t="s">
        <v>596</v>
      </c>
      <c r="B35854" s="25"/>
      <c r="C35854" s="25"/>
      <c r="D35854" s="25"/>
      <c r="E35854" s="25"/>
      <c r="F35854" s="25"/>
      <c r="G35854" s="25"/>
      <c r="H35854" s="25"/>
      <c r="I35854" s="25"/>
      <c r="J35854" s="25"/>
      <c r="K35854" s="25"/>
    </row>
    <row r="35855" customFormat="false" ht="15" hidden="false" customHeight="false" outlineLevel="0" collapsed="false">
      <c r="A35855" s="3" t="s">
        <v>556</v>
      </c>
      <c r="C35855" s="16" t="n">
        <f aca="false">INDEX($G$35430:$K$35430,C35846)</f>
        <v>388</v>
      </c>
    </row>
    <row r="35856" customFormat="false" ht="15" hidden="false" customHeight="false" outlineLevel="0" collapsed="false">
      <c r="A35856" s="3" t="s">
        <v>557</v>
      </c>
      <c r="C35856" s="16" t="n">
        <f aca="false">INDEX($G$35443:$K$35443,C35846)</f>
        <v>90</v>
      </c>
    </row>
    <row r="35857" customFormat="false" ht="15" hidden="false" customHeight="false" outlineLevel="0" collapsed="false">
      <c r="A35857" s="3" t="s">
        <v>558</v>
      </c>
      <c r="C35857" s="16" t="n">
        <f aca="false">INDEX($G$35456:$K$35456,C35846)</f>
        <v>57.324</v>
      </c>
    </row>
    <row r="35858" customFormat="false" ht="15" hidden="false" customHeight="false" outlineLevel="0" collapsed="false">
      <c r="A35858" s="3" t="s">
        <v>559</v>
      </c>
      <c r="C35858" s="16" t="n">
        <f aca="false">INDEX($G$35469:$K$35469,C35846)</f>
        <v>0</v>
      </c>
    </row>
    <row r="35859" customFormat="false" ht="15" hidden="false" customHeight="false" outlineLevel="0" collapsed="false">
      <c r="A35859" s="3" t="s">
        <v>560</v>
      </c>
      <c r="C35859" s="16" t="n">
        <f aca="false">INDEX($G$35482:$K$35482,C35846)</f>
        <v>401.446357881</v>
      </c>
    </row>
    <row r="35860" customFormat="false" ht="15" hidden="false" customHeight="false" outlineLevel="0" collapsed="false">
      <c r="A35860" s="3" t="s">
        <v>561</v>
      </c>
      <c r="C35860" s="16" t="n">
        <f aca="false">INDEX($G$35495:$K$35495,C35846)</f>
        <v>350</v>
      </c>
    </row>
    <row r="35861" customFormat="false" ht="15" hidden="false" customHeight="false" outlineLevel="0" collapsed="false">
      <c r="A35861" s="3" t="s">
        <v>562</v>
      </c>
      <c r="C35861" s="16" t="n">
        <f aca="false">INDEX($G$35508:$K$35508,C35846)</f>
        <v>550</v>
      </c>
    </row>
    <row r="35862" customFormat="false" ht="15" hidden="false" customHeight="false" outlineLevel="0" collapsed="false">
      <c r="A35862" s="3" t="s">
        <v>563</v>
      </c>
      <c r="C35862" s="16" t="n">
        <f aca="false">INDEX($G$35521:$K$35521,C35846)</f>
        <v>350</v>
      </c>
    </row>
    <row r="35863" customFormat="false" ht="15" hidden="false" customHeight="false" outlineLevel="0" collapsed="false">
      <c r="A35863" s="3" t="s">
        <v>564</v>
      </c>
      <c r="C35863" s="16" t="n">
        <f aca="false">INDEX($G$35534:$K$35534,C35846)</f>
        <v>300</v>
      </c>
    </row>
    <row r="35864" customFormat="false" ht="15" hidden="false" customHeight="false" outlineLevel="0" collapsed="false">
      <c r="A35864" s="3" t="s">
        <v>565</v>
      </c>
      <c r="C35864" s="16" t="n">
        <f aca="false">INDEX($G$35547:$K$35547,C35846)</f>
        <v>78.61</v>
      </c>
    </row>
    <row r="35865" customFormat="false" ht="15" hidden="false" customHeight="false" outlineLevel="0" collapsed="false">
      <c r="A35865" s="24" t="s">
        <v>566</v>
      </c>
      <c r="B35865" s="25"/>
      <c r="C35865" s="25"/>
      <c r="D35865" s="25"/>
      <c r="E35865" s="25"/>
      <c r="F35865" s="25"/>
      <c r="G35865" s="25"/>
      <c r="H35865" s="25"/>
      <c r="I35865" s="25"/>
      <c r="J35865" s="25"/>
      <c r="K35865" s="25"/>
    </row>
    <row r="35866" customFormat="false" ht="15" hidden="false" customHeight="false" outlineLevel="0" collapsed="false">
      <c r="A35866" s="3" t="s">
        <v>556</v>
      </c>
      <c r="C35866" s="27" t="n">
        <f aca="false">Assumptions!$M$57</f>
        <v>1</v>
      </c>
    </row>
    <row r="35867" customFormat="false" ht="15" hidden="false" customHeight="false" outlineLevel="0" collapsed="false">
      <c r="A35867" s="3" t="s">
        <v>557</v>
      </c>
      <c r="C35867" s="27" t="n">
        <f aca="false">Assumptions!$M$58</f>
        <v>1</v>
      </c>
    </row>
    <row r="35868" customFormat="false" ht="15" hidden="false" customHeight="false" outlineLevel="0" collapsed="false">
      <c r="A35868" s="3" t="s">
        <v>558</v>
      </c>
      <c r="C35868" s="27" t="n">
        <f aca="false">Assumptions!$M$59</f>
        <v>1</v>
      </c>
    </row>
    <row r="35869" customFormat="false" ht="15" hidden="false" customHeight="false" outlineLevel="0" collapsed="false">
      <c r="A35869" s="3" t="s">
        <v>559</v>
      </c>
      <c r="C35869" s="27" t="n">
        <f aca="false">Assumptions!$M$60</f>
        <v>2</v>
      </c>
    </row>
    <row r="35870" customFormat="false" ht="15" hidden="false" customHeight="false" outlineLevel="0" collapsed="false">
      <c r="A35870" s="3" t="s">
        <v>560</v>
      </c>
      <c r="C35870" s="27" t="n">
        <f aca="false">Assumptions!$M$61</f>
        <v>2</v>
      </c>
    </row>
    <row r="35871" customFormat="false" ht="15" hidden="false" customHeight="false" outlineLevel="0" collapsed="false">
      <c r="A35871" s="3" t="s">
        <v>561</v>
      </c>
      <c r="C35871" s="27" t="n">
        <f aca="false">Assumptions!$M$62</f>
        <v>2</v>
      </c>
    </row>
    <row r="35872" customFormat="false" ht="15" hidden="false" customHeight="false" outlineLevel="0" collapsed="false">
      <c r="A35872" s="3" t="s">
        <v>562</v>
      </c>
      <c r="C35872" s="27" t="n">
        <f aca="false">Assumptions!$M$63</f>
        <v>2</v>
      </c>
    </row>
    <row r="35873" customFormat="false" ht="15" hidden="false" customHeight="false" outlineLevel="0" collapsed="false">
      <c r="A35873" s="3" t="s">
        <v>563</v>
      </c>
      <c r="C35873" s="27" t="n">
        <f aca="false">Assumptions!$M$64</f>
        <v>2</v>
      </c>
    </row>
    <row r="35874" customFormat="false" ht="15" hidden="false" customHeight="false" outlineLevel="0" collapsed="false">
      <c r="A35874" s="3" t="s">
        <v>564</v>
      </c>
      <c r="C35874" s="27" t="n">
        <f aca="false">Assumptions!$M$65</f>
        <v>2</v>
      </c>
    </row>
    <row r="35875" customFormat="false" ht="15" hidden="false" customHeight="false" outlineLevel="0" collapsed="false">
      <c r="A35875" s="3" t="s">
        <v>565</v>
      </c>
      <c r="C35875" s="27" t="n">
        <f aca="false">Assumptions!$M$66</f>
        <v>3</v>
      </c>
    </row>
    <row r="35876" customFormat="false" ht="15" hidden="false" customHeight="false" outlineLevel="0" collapsed="false">
      <c r="A35876" s="24" t="s">
        <v>567</v>
      </c>
      <c r="B35876" s="25"/>
      <c r="C35876" s="25"/>
      <c r="D35876" s="25"/>
      <c r="E35876" s="25"/>
      <c r="F35876" s="25"/>
      <c r="G35876" s="25"/>
      <c r="H35876" s="25"/>
      <c r="I35876" s="25"/>
      <c r="J35876" s="25"/>
      <c r="K35876" s="25"/>
    </row>
    <row r="35877" customFormat="false" ht="15" hidden="false" customHeight="false" outlineLevel="0" collapsed="false">
      <c r="A35877" s="3" t="s">
        <v>556</v>
      </c>
      <c r="C35877" s="33" t="n">
        <f aca="false">Assumptions!$Q$57</f>
        <v>0.3</v>
      </c>
    </row>
    <row r="35878" customFormat="false" ht="15" hidden="false" customHeight="false" outlineLevel="0" collapsed="false">
      <c r="A35878" s="3" t="s">
        <v>557</v>
      </c>
      <c r="C35878" s="33" t="n">
        <f aca="false">Assumptions!$Q$58</f>
        <v>0.033</v>
      </c>
    </row>
    <row r="35879" customFormat="false" ht="15" hidden="false" customHeight="false" outlineLevel="0" collapsed="false">
      <c r="A35879" s="3" t="s">
        <v>558</v>
      </c>
      <c r="C35879" s="33" t="n">
        <f aca="false">Assumptions!$Q$59</f>
        <v>0.021</v>
      </c>
    </row>
    <row r="35880" customFormat="false" ht="15" hidden="false" customHeight="false" outlineLevel="0" collapsed="false">
      <c r="A35880" s="3" t="s">
        <v>559</v>
      </c>
      <c r="C35880" s="33" t="n">
        <f aca="false">Assumptions!$Q$60</f>
        <v>0</v>
      </c>
    </row>
    <row r="35881" customFormat="false" ht="15" hidden="false" customHeight="false" outlineLevel="0" collapsed="false">
      <c r="A35881" s="3" t="s">
        <v>560</v>
      </c>
      <c r="C35881" s="33" t="n">
        <f aca="false">Assumptions!$Q$61</f>
        <v>0</v>
      </c>
    </row>
    <row r="35882" customFormat="false" ht="15" hidden="false" customHeight="false" outlineLevel="0" collapsed="false">
      <c r="A35882" s="3" t="s">
        <v>561</v>
      </c>
      <c r="C35882" s="33" t="n">
        <f aca="false">Assumptions!$Q$62</f>
        <v>0</v>
      </c>
    </row>
    <row r="35883" customFormat="false" ht="15" hidden="false" customHeight="false" outlineLevel="0" collapsed="false">
      <c r="A35883" s="3" t="s">
        <v>562</v>
      </c>
      <c r="C35883" s="33" t="n">
        <f aca="false">Assumptions!$Q$63</f>
        <v>0</v>
      </c>
    </row>
    <row r="35884" customFormat="false" ht="15" hidden="false" customHeight="false" outlineLevel="0" collapsed="false">
      <c r="A35884" s="3" t="s">
        <v>563</v>
      </c>
      <c r="C35884" s="33" t="n">
        <f aca="false">Assumptions!$Q$64</f>
        <v>0</v>
      </c>
    </row>
    <row r="35885" customFormat="false" ht="15" hidden="false" customHeight="false" outlineLevel="0" collapsed="false">
      <c r="A35885" s="3" t="s">
        <v>564</v>
      </c>
      <c r="C35885" s="33" t="n">
        <f aca="false">Assumptions!$Q$65</f>
        <v>0</v>
      </c>
    </row>
    <row r="35886" customFormat="false" ht="15" hidden="false" customHeight="false" outlineLevel="0" collapsed="false">
      <c r="A35886" s="3" t="s">
        <v>565</v>
      </c>
      <c r="C35886" s="33" t="n">
        <f aca="false">Assumptions!$Q$66</f>
        <v>0</v>
      </c>
    </row>
    <row r="35887" customFormat="false" ht="15" hidden="false" customHeight="false" outlineLevel="0" collapsed="false">
      <c r="A35887" s="24" t="s">
        <v>568</v>
      </c>
      <c r="B35887" s="25"/>
      <c r="C35887" s="25"/>
      <c r="D35887" s="25"/>
      <c r="E35887" s="25"/>
      <c r="F35887" s="25"/>
      <c r="G35887" s="25"/>
      <c r="H35887" s="25"/>
      <c r="I35887" s="25"/>
      <c r="J35887" s="25"/>
      <c r="K35887" s="25"/>
    </row>
    <row r="35888" customFormat="false" ht="15" hidden="false" customHeight="false" outlineLevel="0" collapsed="false">
      <c r="A35888" s="3" t="s">
        <v>556</v>
      </c>
      <c r="C35888" s="16" t="n">
        <f aca="false">IF(C35877&gt;0,MIN(C35855,C35877*$C$35853),0)</f>
        <v>388</v>
      </c>
    </row>
    <row r="35889" customFormat="false" ht="15" hidden="false" customHeight="false" outlineLevel="0" collapsed="false">
      <c r="A35889" s="3" t="s">
        <v>557</v>
      </c>
      <c r="C35889" s="16" t="n">
        <f aca="false">IF(C35878&gt;0,MIN(C35856,C35878*$C$35853),0)</f>
        <v>79.989133944159</v>
      </c>
    </row>
    <row r="35890" customFormat="false" ht="15" hidden="false" customHeight="false" outlineLevel="0" collapsed="false">
      <c r="A35890" s="3" t="s">
        <v>558</v>
      </c>
      <c r="C35890" s="16" t="n">
        <f aca="false">IF(C35879&gt;0,MIN(C35857,C35879*$C$35853),0)</f>
        <v>50.902176146283</v>
      </c>
    </row>
    <row r="35891" customFormat="false" ht="15" hidden="false" customHeight="false" outlineLevel="0" collapsed="false">
      <c r="A35891" s="3" t="s">
        <v>559</v>
      </c>
      <c r="C35891" s="16" t="n">
        <f aca="false">IF(C35880&gt;0,MIN(C35858,C35880*$C$35853),0)</f>
        <v>0</v>
      </c>
    </row>
    <row r="35892" customFormat="false" ht="15" hidden="false" customHeight="false" outlineLevel="0" collapsed="false">
      <c r="A35892" s="3" t="s">
        <v>560</v>
      </c>
      <c r="C35892" s="16" t="n">
        <f aca="false">IF(C35881&gt;0,MIN(C35859,C35881*$C$35853),0)</f>
        <v>0</v>
      </c>
    </row>
    <row r="35893" customFormat="false" ht="15" hidden="false" customHeight="false" outlineLevel="0" collapsed="false">
      <c r="A35893" s="3" t="s">
        <v>561</v>
      </c>
      <c r="C35893" s="16" t="n">
        <f aca="false">IF(C35882&gt;0,MIN(C35860,C35882*$C$35853),0)</f>
        <v>0</v>
      </c>
    </row>
    <row r="35894" customFormat="false" ht="15" hidden="false" customHeight="false" outlineLevel="0" collapsed="false">
      <c r="A35894" s="3" t="s">
        <v>562</v>
      </c>
      <c r="C35894" s="16" t="n">
        <f aca="false">IF(C35883&gt;0,MIN(C35861,C35883*$C$35853),0)</f>
        <v>0</v>
      </c>
    </row>
    <row r="35895" customFormat="false" ht="15" hidden="false" customHeight="false" outlineLevel="0" collapsed="false">
      <c r="A35895" s="3" t="s">
        <v>563</v>
      </c>
      <c r="C35895" s="16" t="n">
        <f aca="false">IF(C35884&gt;0,MIN(C35862,C35884*$C$35853),0)</f>
        <v>0</v>
      </c>
    </row>
    <row r="35896" customFormat="false" ht="15" hidden="false" customHeight="false" outlineLevel="0" collapsed="false">
      <c r="A35896" s="3" t="s">
        <v>564</v>
      </c>
      <c r="C35896" s="16" t="n">
        <f aca="false">IF(C35885&gt;0,MIN(C35863,C35885*$C$35853),0)</f>
        <v>0</v>
      </c>
    </row>
    <row r="35897" customFormat="false" ht="15" hidden="false" customHeight="false" outlineLevel="0" collapsed="false">
      <c r="A35897" s="3" t="s">
        <v>565</v>
      </c>
      <c r="C35897" s="16" t="n">
        <f aca="false">IF(C35886&gt;0,MIN(C35864,C35886*$C$35853),0)</f>
        <v>0</v>
      </c>
    </row>
    <row r="35898" customFormat="false" ht="15" hidden="false" customHeight="false" outlineLevel="0" collapsed="false">
      <c r="A35898" s="24" t="s">
        <v>569</v>
      </c>
      <c r="B35898" s="25"/>
      <c r="C35898" s="25"/>
      <c r="D35898" s="25"/>
      <c r="E35898" s="25"/>
      <c r="F35898" s="25"/>
      <c r="G35898" s="25"/>
      <c r="H35898" s="25"/>
      <c r="I35898" s="25"/>
      <c r="J35898" s="25"/>
      <c r="K35898" s="25"/>
    </row>
    <row r="35899" customFormat="false" ht="15" hidden="false" customHeight="false" outlineLevel="0" collapsed="false">
      <c r="A35899" s="3" t="s">
        <v>556</v>
      </c>
      <c r="C35899" s="16" t="n">
        <f aca="false">IF(C35877&gt;0,C35855-C35888,0)</f>
        <v>0</v>
      </c>
    </row>
    <row r="35900" customFormat="false" ht="15" hidden="false" customHeight="false" outlineLevel="0" collapsed="false">
      <c r="A35900" s="3" t="s">
        <v>557</v>
      </c>
      <c r="C35900" s="16" t="n">
        <f aca="false">IF(C35878&gt;0,C35856-C35889,0)</f>
        <v>10.010866055841</v>
      </c>
    </row>
    <row r="35901" customFormat="false" ht="15" hidden="false" customHeight="false" outlineLevel="0" collapsed="false">
      <c r="A35901" s="3" t="s">
        <v>558</v>
      </c>
      <c r="C35901" s="16" t="n">
        <f aca="false">IF(C35879&gt;0,C35857-C35890,0)</f>
        <v>6.42182385371699</v>
      </c>
    </row>
    <row r="35902" customFormat="false" ht="15" hidden="false" customHeight="false" outlineLevel="0" collapsed="false">
      <c r="A35902" s="3" t="s">
        <v>559</v>
      </c>
      <c r="C35902" s="16" t="n">
        <f aca="false">IF(C35880&gt;0,C35858-C35891,0)</f>
        <v>0</v>
      </c>
    </row>
    <row r="35903" customFormat="false" ht="15" hidden="false" customHeight="false" outlineLevel="0" collapsed="false">
      <c r="A35903" s="3" t="s">
        <v>560</v>
      </c>
      <c r="C35903" s="16" t="n">
        <f aca="false">IF(C35881&gt;0,C35859-C35892,0)</f>
        <v>0</v>
      </c>
    </row>
    <row r="35904" customFormat="false" ht="15" hidden="false" customHeight="false" outlineLevel="0" collapsed="false">
      <c r="A35904" s="3" t="s">
        <v>561</v>
      </c>
      <c r="C35904" s="16" t="n">
        <f aca="false">IF(C35882&gt;0,C35860-C35893,0)</f>
        <v>0</v>
      </c>
    </row>
    <row r="35905" customFormat="false" ht="15" hidden="false" customHeight="false" outlineLevel="0" collapsed="false">
      <c r="A35905" s="3" t="s">
        <v>562</v>
      </c>
      <c r="C35905" s="16" t="n">
        <f aca="false">IF(C35883&gt;0,C35861-C35894,0)</f>
        <v>0</v>
      </c>
    </row>
    <row r="35906" customFormat="false" ht="15" hidden="false" customHeight="false" outlineLevel="0" collapsed="false">
      <c r="A35906" s="3" t="s">
        <v>563</v>
      </c>
      <c r="C35906" s="16" t="n">
        <f aca="false">IF(C35884&gt;0,C35862-C35895,0)</f>
        <v>0</v>
      </c>
    </row>
    <row r="35907" customFormat="false" ht="15" hidden="false" customHeight="false" outlineLevel="0" collapsed="false">
      <c r="A35907" s="3" t="s">
        <v>564</v>
      </c>
      <c r="C35907" s="16" t="n">
        <f aca="false">IF(C35885&gt;0,C35863-C35896,0)</f>
        <v>0</v>
      </c>
    </row>
    <row r="35908" customFormat="false" ht="15" hidden="false" customHeight="false" outlineLevel="0" collapsed="false">
      <c r="A35908" s="3" t="s">
        <v>565</v>
      </c>
      <c r="C35908" s="16" t="n">
        <f aca="false">IF(C35886&gt;0,C35864-C35897,0)</f>
        <v>0</v>
      </c>
    </row>
    <row r="35909" customFormat="false" ht="15" hidden="false" customHeight="false" outlineLevel="0" collapsed="false">
      <c r="A35909" s="24" t="s">
        <v>570</v>
      </c>
      <c r="B35909" s="25"/>
      <c r="C35909" s="25"/>
      <c r="D35909" s="25"/>
      <c r="E35909" s="25"/>
      <c r="F35909" s="25"/>
      <c r="G35909" s="25"/>
      <c r="H35909" s="25"/>
      <c r="I35909" s="25"/>
      <c r="J35909" s="25"/>
      <c r="K35909" s="25"/>
    </row>
    <row r="35910" customFormat="false" ht="15" hidden="false" customHeight="false" outlineLevel="0" collapsed="false">
      <c r="A35910" s="3" t="s">
        <v>556</v>
      </c>
      <c r="C35910" s="16" t="n">
        <f aca="false">IF(C35877&gt;0,C35899,C35855)</f>
        <v>0</v>
      </c>
    </row>
    <row r="35911" customFormat="false" ht="15" hidden="false" customHeight="false" outlineLevel="0" collapsed="false">
      <c r="A35911" s="3" t="s">
        <v>557</v>
      </c>
      <c r="C35911" s="16" t="n">
        <f aca="false">IF(C35878&gt;0,C35900,C35856)</f>
        <v>10.010866055841</v>
      </c>
    </row>
    <row r="35912" customFormat="false" ht="15" hidden="false" customHeight="false" outlineLevel="0" collapsed="false">
      <c r="A35912" s="3" t="s">
        <v>558</v>
      </c>
      <c r="C35912" s="16" t="n">
        <f aca="false">IF(C35879&gt;0,C35901,C35857)</f>
        <v>6.42182385371699</v>
      </c>
    </row>
    <row r="35913" customFormat="false" ht="15" hidden="false" customHeight="false" outlineLevel="0" collapsed="false">
      <c r="A35913" s="3" t="s">
        <v>559</v>
      </c>
      <c r="C35913" s="16" t="n">
        <f aca="false">IF(C35880&gt;0,C35902,C35858)</f>
        <v>0</v>
      </c>
    </row>
    <row r="35914" customFormat="false" ht="15" hidden="false" customHeight="false" outlineLevel="0" collapsed="false">
      <c r="A35914" s="3" t="s">
        <v>560</v>
      </c>
      <c r="C35914" s="16" t="n">
        <f aca="false">IF(C35881&gt;0,C35903,C35859)</f>
        <v>401.446357881</v>
      </c>
    </row>
    <row r="35915" customFormat="false" ht="15" hidden="false" customHeight="false" outlineLevel="0" collapsed="false">
      <c r="A35915" s="3" t="s">
        <v>561</v>
      </c>
      <c r="C35915" s="16" t="n">
        <f aca="false">IF(C35882&gt;0,C35904,C35860)</f>
        <v>350</v>
      </c>
    </row>
    <row r="35916" customFormat="false" ht="15" hidden="false" customHeight="false" outlineLevel="0" collapsed="false">
      <c r="A35916" s="3" t="s">
        <v>562</v>
      </c>
      <c r="C35916" s="16" t="n">
        <f aca="false">IF(C35883&gt;0,C35905,C35861)</f>
        <v>550</v>
      </c>
    </row>
    <row r="35917" customFormat="false" ht="15" hidden="false" customHeight="false" outlineLevel="0" collapsed="false">
      <c r="A35917" s="3" t="s">
        <v>563</v>
      </c>
      <c r="C35917" s="16" t="n">
        <f aca="false">IF(C35884&gt;0,C35906,C35862)</f>
        <v>350</v>
      </c>
    </row>
    <row r="35918" customFormat="false" ht="15" hidden="false" customHeight="false" outlineLevel="0" collapsed="false">
      <c r="A35918" s="3" t="s">
        <v>564</v>
      </c>
      <c r="C35918" s="16" t="n">
        <f aca="false">IF(C35885&gt;0,C35907,C35863)</f>
        <v>300</v>
      </c>
    </row>
    <row r="35919" customFormat="false" ht="15" hidden="false" customHeight="false" outlineLevel="0" collapsed="false">
      <c r="A35919" s="3" t="s">
        <v>565</v>
      </c>
      <c r="C35919" s="16" t="n">
        <f aca="false">IF(C35886&gt;0,C35908,C35864)</f>
        <v>78.61</v>
      </c>
    </row>
    <row r="35920" customFormat="false" ht="15" hidden="false" customHeight="false" outlineLevel="0" collapsed="false">
      <c r="A35920" s="24" t="s">
        <v>571</v>
      </c>
      <c r="B35920" s="25"/>
      <c r="C35920" s="25"/>
      <c r="D35920" s="25"/>
      <c r="E35920" s="25"/>
      <c r="F35920" s="25"/>
      <c r="G35920" s="25"/>
      <c r="H35920" s="25"/>
      <c r="I35920" s="25"/>
      <c r="J35920" s="25"/>
      <c r="K35920" s="25"/>
    </row>
    <row r="35921" customFormat="false" ht="15" hidden="false" customHeight="false" outlineLevel="0" collapsed="false">
      <c r="A35921" s="3" t="s">
        <v>556</v>
      </c>
      <c r="C35921" s="21" t="n">
        <f aca="false">IF(C35877&gt;0,Assumptions!$C$17,C35866)</f>
        <v>99</v>
      </c>
    </row>
    <row r="35922" customFormat="false" ht="15" hidden="false" customHeight="false" outlineLevel="0" collapsed="false">
      <c r="A35922" s="3" t="s">
        <v>557</v>
      </c>
      <c r="C35922" s="21" t="n">
        <f aca="false">IF(C35878&gt;0,Assumptions!$C$17,C35867)</f>
        <v>99</v>
      </c>
    </row>
    <row r="35923" customFormat="false" ht="15" hidden="false" customHeight="false" outlineLevel="0" collapsed="false">
      <c r="A35923" s="3" t="s">
        <v>558</v>
      </c>
      <c r="C35923" s="21" t="n">
        <f aca="false">IF(C35879&gt;0,Assumptions!$C$17,C35868)</f>
        <v>99</v>
      </c>
    </row>
    <row r="35924" customFormat="false" ht="15" hidden="false" customHeight="false" outlineLevel="0" collapsed="false">
      <c r="A35924" s="3" t="s">
        <v>559</v>
      </c>
      <c r="C35924" s="21" t="n">
        <f aca="false">IF(C35880&gt;0,Assumptions!$C$17,C35869)</f>
        <v>2</v>
      </c>
    </row>
    <row r="35925" customFormat="false" ht="15" hidden="false" customHeight="false" outlineLevel="0" collapsed="false">
      <c r="A35925" s="3" t="s">
        <v>560</v>
      </c>
      <c r="C35925" s="21" t="n">
        <f aca="false">IF(C35881&gt;0,Assumptions!$C$17,C35870)</f>
        <v>2</v>
      </c>
    </row>
    <row r="35926" customFormat="false" ht="15" hidden="false" customHeight="false" outlineLevel="0" collapsed="false">
      <c r="A35926" s="3" t="s">
        <v>561</v>
      </c>
      <c r="C35926" s="21" t="n">
        <f aca="false">IF(C35882&gt;0,Assumptions!$C$17,C35871)</f>
        <v>2</v>
      </c>
    </row>
    <row r="35927" customFormat="false" ht="15" hidden="false" customHeight="false" outlineLevel="0" collapsed="false">
      <c r="A35927" s="3" t="s">
        <v>562</v>
      </c>
      <c r="C35927" s="21" t="n">
        <f aca="false">IF(C35883&gt;0,Assumptions!$C$17,C35872)</f>
        <v>2</v>
      </c>
    </row>
    <row r="35928" customFormat="false" ht="15" hidden="false" customHeight="false" outlineLevel="0" collapsed="false">
      <c r="A35928" s="3" t="s">
        <v>563</v>
      </c>
      <c r="C35928" s="21" t="n">
        <f aca="false">IF(C35884&gt;0,Assumptions!$C$17,C35873)</f>
        <v>2</v>
      </c>
    </row>
    <row r="35929" customFormat="false" ht="15" hidden="false" customHeight="false" outlineLevel="0" collapsed="false">
      <c r="A35929" s="3" t="s">
        <v>564</v>
      </c>
      <c r="C35929" s="21" t="n">
        <f aca="false">IF(C35885&gt;0,Assumptions!$C$17,C35874)</f>
        <v>2</v>
      </c>
    </row>
    <row r="35930" customFormat="false" ht="15" hidden="false" customHeight="false" outlineLevel="0" collapsed="false">
      <c r="A35930" s="3" t="s">
        <v>565</v>
      </c>
      <c r="C35930" s="21" t="n">
        <f aca="false">IF(C35886&gt;0,Assumptions!$C$17,C35875)</f>
        <v>3</v>
      </c>
    </row>
    <row r="35931" customFormat="false" ht="15" hidden="false" customHeight="false" outlineLevel="0" collapsed="false">
      <c r="A35931" s="24" t="s">
        <v>572</v>
      </c>
      <c r="B35931" s="25"/>
      <c r="C35931" s="25"/>
      <c r="D35931" s="25"/>
      <c r="E35931" s="25"/>
      <c r="F35931" s="25"/>
      <c r="G35931" s="25"/>
      <c r="H35931" s="25"/>
      <c r="I35931" s="25"/>
      <c r="J35931" s="25"/>
      <c r="K35931" s="25"/>
    </row>
    <row r="35932" customFormat="false" ht="15" hidden="false" customHeight="false" outlineLevel="0" collapsed="false">
      <c r="A35932" s="3" t="s">
        <v>556</v>
      </c>
      <c r="C35932" s="16" t="n">
        <f aca="false">SUMPRODUCT(($C$35921:$C$35930&lt;C35921)*$C$35910:$C$35919)</f>
        <v>2030.056357881</v>
      </c>
    </row>
    <row r="35933" customFormat="false" ht="15" hidden="false" customHeight="false" outlineLevel="0" collapsed="false">
      <c r="A35933" s="3" t="s">
        <v>557</v>
      </c>
      <c r="C35933" s="16" t="n">
        <f aca="false">SUMPRODUCT(($C$35921:$C$35930&lt;C35922)*$C$35910:$C$35919)</f>
        <v>2030.056357881</v>
      </c>
    </row>
    <row r="35934" customFormat="false" ht="15" hidden="false" customHeight="false" outlineLevel="0" collapsed="false">
      <c r="A35934" s="3" t="s">
        <v>558</v>
      </c>
      <c r="C35934" s="16" t="n">
        <f aca="false">SUMPRODUCT(($C$35921:$C$35930&lt;C35923)*$C$35910:$C$35919)</f>
        <v>2030.056357881</v>
      </c>
    </row>
    <row r="35935" customFormat="false" ht="15" hidden="false" customHeight="false" outlineLevel="0" collapsed="false">
      <c r="A35935" s="3" t="s">
        <v>559</v>
      </c>
      <c r="C35935" s="16" t="n">
        <f aca="false">SUMPRODUCT(($C$35921:$C$35930&lt;C35924)*$C$35910:$C$35919)</f>
        <v>0</v>
      </c>
    </row>
    <row r="35936" customFormat="false" ht="15" hidden="false" customHeight="false" outlineLevel="0" collapsed="false">
      <c r="A35936" s="3" t="s">
        <v>560</v>
      </c>
      <c r="C35936" s="16" t="n">
        <f aca="false">SUMPRODUCT(($C$35921:$C$35930&lt;C35925)*$C$35910:$C$35919)</f>
        <v>0</v>
      </c>
    </row>
    <row r="35937" customFormat="false" ht="15" hidden="false" customHeight="false" outlineLevel="0" collapsed="false">
      <c r="A35937" s="3" t="s">
        <v>561</v>
      </c>
      <c r="C35937" s="16" t="n">
        <f aca="false">SUMPRODUCT(($C$35921:$C$35930&lt;C35926)*$C$35910:$C$35919)</f>
        <v>0</v>
      </c>
    </row>
    <row r="35938" customFormat="false" ht="15" hidden="false" customHeight="false" outlineLevel="0" collapsed="false">
      <c r="A35938" s="3" t="s">
        <v>562</v>
      </c>
      <c r="C35938" s="16" t="n">
        <f aca="false">SUMPRODUCT(($C$35921:$C$35930&lt;C35927)*$C$35910:$C$35919)</f>
        <v>0</v>
      </c>
    </row>
    <row r="35939" customFormat="false" ht="15" hidden="false" customHeight="false" outlineLevel="0" collapsed="false">
      <c r="A35939" s="3" t="s">
        <v>563</v>
      </c>
      <c r="C35939" s="16" t="n">
        <f aca="false">SUMPRODUCT(($C$35921:$C$35930&lt;C35928)*$C$35910:$C$35919)</f>
        <v>0</v>
      </c>
    </row>
    <row r="35940" customFormat="false" ht="15" hidden="false" customHeight="false" outlineLevel="0" collapsed="false">
      <c r="A35940" s="3" t="s">
        <v>564</v>
      </c>
      <c r="C35940" s="16" t="n">
        <f aca="false">SUMPRODUCT(($C$35921:$C$35930&lt;C35929)*$C$35910:$C$35919)</f>
        <v>0</v>
      </c>
    </row>
    <row r="35941" customFormat="false" ht="15" hidden="false" customHeight="false" outlineLevel="0" collapsed="false">
      <c r="A35941" s="3" t="s">
        <v>565</v>
      </c>
      <c r="C35941" s="16" t="n">
        <f aca="false">SUMPRODUCT(($C$35921:$C$35930&lt;C35930)*$C$35910:$C$35919)</f>
        <v>1951.446357881</v>
      </c>
    </row>
    <row r="35942" customFormat="false" ht="15" hidden="false" customHeight="false" outlineLevel="0" collapsed="false">
      <c r="A35942" s="24" t="s">
        <v>573</v>
      </c>
      <c r="B35942" s="25"/>
      <c r="C35942" s="25"/>
      <c r="D35942" s="25"/>
      <c r="E35942" s="25"/>
      <c r="F35942" s="25"/>
      <c r="G35942" s="25"/>
      <c r="H35942" s="25"/>
      <c r="I35942" s="25"/>
      <c r="J35942" s="25"/>
      <c r="K35942" s="25"/>
    </row>
    <row r="35943" customFormat="false" ht="15" hidden="false" customHeight="false" outlineLevel="0" collapsed="false">
      <c r="A35943" s="3" t="s">
        <v>556</v>
      </c>
      <c r="C35943" s="16" t="n">
        <f aca="false">SUMPRODUCT(($C$35921:$C$35930=C35921)*$C$35910:$C$35919)</f>
        <v>16.432689909558</v>
      </c>
    </row>
    <row r="35944" customFormat="false" ht="15" hidden="false" customHeight="false" outlineLevel="0" collapsed="false">
      <c r="A35944" s="3" t="s">
        <v>557</v>
      </c>
      <c r="C35944" s="16" t="n">
        <f aca="false">SUMPRODUCT(($C$35921:$C$35930=C35922)*$C$35910:$C$35919)</f>
        <v>16.432689909558</v>
      </c>
    </row>
    <row r="35945" customFormat="false" ht="15" hidden="false" customHeight="false" outlineLevel="0" collapsed="false">
      <c r="A35945" s="3" t="s">
        <v>558</v>
      </c>
      <c r="C35945" s="16" t="n">
        <f aca="false">SUMPRODUCT(($C$35921:$C$35930=C35923)*$C$35910:$C$35919)</f>
        <v>16.432689909558</v>
      </c>
    </row>
    <row r="35946" customFormat="false" ht="15" hidden="false" customHeight="false" outlineLevel="0" collapsed="false">
      <c r="A35946" s="3" t="s">
        <v>559</v>
      </c>
      <c r="C35946" s="16" t="n">
        <f aca="false">SUMPRODUCT(($C$35921:$C$35930=C35924)*$C$35910:$C$35919)</f>
        <v>1951.446357881</v>
      </c>
    </row>
    <row r="35947" customFormat="false" ht="15" hidden="false" customHeight="false" outlineLevel="0" collapsed="false">
      <c r="A35947" s="3" t="s">
        <v>560</v>
      </c>
      <c r="C35947" s="16" t="n">
        <f aca="false">SUMPRODUCT(($C$35921:$C$35930=C35925)*$C$35910:$C$35919)</f>
        <v>1951.446357881</v>
      </c>
    </row>
    <row r="35948" customFormat="false" ht="15" hidden="false" customHeight="false" outlineLevel="0" collapsed="false">
      <c r="A35948" s="3" t="s">
        <v>561</v>
      </c>
      <c r="C35948" s="16" t="n">
        <f aca="false">SUMPRODUCT(($C$35921:$C$35930=C35926)*$C$35910:$C$35919)</f>
        <v>1951.446357881</v>
      </c>
    </row>
    <row r="35949" customFormat="false" ht="15" hidden="false" customHeight="false" outlineLevel="0" collapsed="false">
      <c r="A35949" s="3" t="s">
        <v>562</v>
      </c>
      <c r="C35949" s="16" t="n">
        <f aca="false">SUMPRODUCT(($C$35921:$C$35930=C35927)*$C$35910:$C$35919)</f>
        <v>1951.446357881</v>
      </c>
    </row>
    <row r="35950" customFormat="false" ht="15" hidden="false" customHeight="false" outlineLevel="0" collapsed="false">
      <c r="A35950" s="3" t="s">
        <v>563</v>
      </c>
      <c r="C35950" s="16" t="n">
        <f aca="false">SUMPRODUCT(($C$35921:$C$35930=C35928)*$C$35910:$C$35919)</f>
        <v>1951.446357881</v>
      </c>
    </row>
    <row r="35951" customFormat="false" ht="15" hidden="false" customHeight="false" outlineLevel="0" collapsed="false">
      <c r="A35951" s="3" t="s">
        <v>564</v>
      </c>
      <c r="C35951" s="16" t="n">
        <f aca="false">SUMPRODUCT(($C$35921:$C$35930=C35929)*$C$35910:$C$35919)</f>
        <v>1951.446357881</v>
      </c>
    </row>
    <row r="35952" customFormat="false" ht="15" hidden="false" customHeight="false" outlineLevel="0" collapsed="false">
      <c r="A35952" s="3" t="s">
        <v>565</v>
      </c>
      <c r="C35952" s="16" t="n">
        <f aca="false">SUMPRODUCT(($C$35921:$C$35930=C35930)*$C$35910:$C$35919)</f>
        <v>78.61</v>
      </c>
    </row>
    <row r="35953" customFormat="false" ht="15" hidden="false" customHeight="false" outlineLevel="0" collapsed="false">
      <c r="A35953" s="24" t="s">
        <v>574</v>
      </c>
      <c r="B35953" s="25"/>
      <c r="C35953" s="25"/>
      <c r="D35953" s="25"/>
      <c r="E35953" s="25"/>
      <c r="F35953" s="25"/>
      <c r="G35953" s="25"/>
      <c r="H35953" s="25"/>
      <c r="I35953" s="25"/>
      <c r="J35953" s="25"/>
      <c r="K35953" s="25"/>
    </row>
    <row r="35954" customFormat="false" ht="15" hidden="false" customHeight="false" outlineLevel="0" collapsed="false">
      <c r="A35954" s="3" t="s">
        <v>556</v>
      </c>
      <c r="C35954" s="16" t="n">
        <f aca="false">IF(C35943=0,0,C35910/C35943*MAX(0,MIN(C35943,$C$35853-SUM($C$35888:$C$35897)-C35932)))</f>
        <v>0</v>
      </c>
    </row>
    <row r="35955" customFormat="false" ht="15" hidden="false" customHeight="false" outlineLevel="0" collapsed="false">
      <c r="A35955" s="3" t="s">
        <v>557</v>
      </c>
      <c r="C35955" s="16" t="n">
        <f aca="false">IF(C35944=0,0,C35911/C35944*MAX(0,MIN(C35944,$C$35853-SUM($C$35888:$C$35897)-C35933)))</f>
        <v>0</v>
      </c>
    </row>
    <row r="35956" customFormat="false" ht="15" hidden="false" customHeight="false" outlineLevel="0" collapsed="false">
      <c r="A35956" s="3" t="s">
        <v>558</v>
      </c>
      <c r="C35956" s="16" t="n">
        <f aca="false">IF(C35945=0,0,C35912/C35945*MAX(0,MIN(C35945,$C$35853-SUM($C$35888:$C$35897)-C35934)))</f>
        <v>0</v>
      </c>
    </row>
    <row r="35957" customFormat="false" ht="15" hidden="false" customHeight="false" outlineLevel="0" collapsed="false">
      <c r="A35957" s="3" t="s">
        <v>559</v>
      </c>
      <c r="C35957" s="16" t="n">
        <f aca="false">IF(C35946=0,0,C35913/C35946*MAX(0,MIN(C35946,$C$35853-SUM($C$35888:$C$35897)-C35935)))</f>
        <v>0</v>
      </c>
    </row>
    <row r="35958" customFormat="false" ht="15" hidden="false" customHeight="false" outlineLevel="0" collapsed="false">
      <c r="A35958" s="3" t="s">
        <v>560</v>
      </c>
      <c r="C35958" s="16" t="n">
        <f aca="false">IF(C35947=0,0,C35914/C35947*MAX(0,MIN(C35947,$C$35853-SUM($C$35888:$C$35897)-C35936)))</f>
        <v>391.896029401918</v>
      </c>
    </row>
    <row r="35959" customFormat="false" ht="15" hidden="false" customHeight="false" outlineLevel="0" collapsed="false">
      <c r="A35959" s="3" t="s">
        <v>561</v>
      </c>
      <c r="C35959" s="16" t="n">
        <f aca="false">IF(C35948=0,0,C35915/C35948*MAX(0,MIN(C35948,$C$35853-SUM($C$35888:$C$35897)-C35937)))</f>
        <v>341.673570074661</v>
      </c>
    </row>
    <row r="35960" customFormat="false" ht="15" hidden="false" customHeight="false" outlineLevel="0" collapsed="false">
      <c r="A35960" s="3" t="s">
        <v>562</v>
      </c>
      <c r="C35960" s="16" t="n">
        <f aca="false">IF(C35949=0,0,C35916/C35949*MAX(0,MIN(C35949,$C$35853-SUM($C$35888:$C$35897)-C35938)))</f>
        <v>536.915610117324</v>
      </c>
    </row>
    <row r="35961" customFormat="false" ht="15" hidden="false" customHeight="false" outlineLevel="0" collapsed="false">
      <c r="A35961" s="3" t="s">
        <v>563</v>
      </c>
      <c r="C35961" s="16" t="n">
        <f aca="false">IF(C35950=0,0,C35917/C35950*MAX(0,MIN(C35950,$C$35853-SUM($C$35888:$C$35897)-C35939)))</f>
        <v>341.673570074661</v>
      </c>
    </row>
    <row r="35962" customFormat="false" ht="15" hidden="false" customHeight="false" outlineLevel="0" collapsed="false">
      <c r="A35962" s="3" t="s">
        <v>564</v>
      </c>
      <c r="C35962" s="16" t="n">
        <f aca="false">IF(C35951=0,0,C35918/C35951*MAX(0,MIN(C35951,$C$35853-SUM($C$35888:$C$35897)-C35940)))</f>
        <v>292.863060063995</v>
      </c>
    </row>
    <row r="35963" customFormat="false" ht="15" hidden="false" customHeight="false" outlineLevel="0" collapsed="false">
      <c r="A35963" s="3" t="s">
        <v>565</v>
      </c>
      <c r="C35963" s="16" t="n">
        <f aca="false">IF(C35952=0,0,C35919/C35952*MAX(0,MIN(C35952,$C$35853-SUM($C$35888:$C$35897)-C35941)))</f>
        <v>0</v>
      </c>
    </row>
    <row r="35964" customFormat="false" ht="15" hidden="false" customHeight="false" outlineLevel="0" collapsed="false">
      <c r="A35964" s="24" t="s">
        <v>575</v>
      </c>
      <c r="B35964" s="25"/>
      <c r="C35964" s="25"/>
      <c r="D35964" s="25"/>
      <c r="E35964" s="25"/>
      <c r="F35964" s="25"/>
      <c r="G35964" s="25"/>
      <c r="H35964" s="25"/>
      <c r="I35964" s="25"/>
      <c r="J35964" s="25"/>
      <c r="K35964" s="25"/>
    </row>
    <row r="35965" customFormat="false" ht="15" hidden="false" customHeight="false" outlineLevel="0" collapsed="false">
      <c r="A35965" s="2" t="s">
        <v>556</v>
      </c>
      <c r="C35965" s="17" t="n">
        <f aca="false">C35888+C35954</f>
        <v>388</v>
      </c>
    </row>
    <row r="35966" customFormat="false" ht="15" hidden="false" customHeight="false" outlineLevel="0" collapsed="false">
      <c r="A35966" s="2" t="s">
        <v>557</v>
      </c>
      <c r="C35966" s="17" t="n">
        <f aca="false">C35889+C35955</f>
        <v>79.989133944159</v>
      </c>
    </row>
    <row r="35967" customFormat="false" ht="15" hidden="false" customHeight="false" outlineLevel="0" collapsed="false">
      <c r="A35967" s="2" t="s">
        <v>558</v>
      </c>
      <c r="C35967" s="17" t="n">
        <f aca="false">C35890+C35956</f>
        <v>50.902176146283</v>
      </c>
    </row>
    <row r="35968" customFormat="false" ht="15" hidden="false" customHeight="false" outlineLevel="0" collapsed="false">
      <c r="A35968" s="2" t="s">
        <v>559</v>
      </c>
      <c r="C35968" s="17" t="n">
        <f aca="false">C35891+C35957</f>
        <v>0</v>
      </c>
    </row>
    <row r="35969" customFormat="false" ht="15" hidden="false" customHeight="false" outlineLevel="0" collapsed="false">
      <c r="A35969" s="2" t="s">
        <v>560</v>
      </c>
      <c r="C35969" s="17" t="n">
        <f aca="false">C35892+C35958</f>
        <v>391.896029401918</v>
      </c>
    </row>
    <row r="35970" customFormat="false" ht="15" hidden="false" customHeight="false" outlineLevel="0" collapsed="false">
      <c r="A35970" s="2" t="s">
        <v>561</v>
      </c>
      <c r="C35970" s="17" t="n">
        <f aca="false">C35893+C35959</f>
        <v>341.673570074661</v>
      </c>
    </row>
    <row r="35971" customFormat="false" ht="15" hidden="false" customHeight="false" outlineLevel="0" collapsed="false">
      <c r="A35971" s="2" t="s">
        <v>562</v>
      </c>
      <c r="C35971" s="17" t="n">
        <f aca="false">C35894+C35960</f>
        <v>536.915610117324</v>
      </c>
    </row>
    <row r="35972" customFormat="false" ht="15" hidden="false" customHeight="false" outlineLevel="0" collapsed="false">
      <c r="A35972" s="2" t="s">
        <v>563</v>
      </c>
      <c r="C35972" s="17" t="n">
        <f aca="false">C35895+C35961</f>
        <v>341.673570074661</v>
      </c>
    </row>
    <row r="35973" customFormat="false" ht="15" hidden="false" customHeight="false" outlineLevel="0" collapsed="false">
      <c r="A35973" s="2" t="s">
        <v>564</v>
      </c>
      <c r="C35973" s="17" t="n">
        <f aca="false">C35896+C35962</f>
        <v>292.863060063995</v>
      </c>
    </row>
    <row r="35974" customFormat="false" ht="15" hidden="false" customHeight="false" outlineLevel="0" collapsed="false">
      <c r="A35974" s="2" t="s">
        <v>565</v>
      </c>
      <c r="C35974" s="17" t="n">
        <f aca="false">C35897+C35963</f>
        <v>0</v>
      </c>
    </row>
    <row r="35975" customFormat="false" ht="15" hidden="false" customHeight="false" outlineLevel="0" collapsed="false">
      <c r="A35975" s="24" t="s">
        <v>576</v>
      </c>
      <c r="B35975" s="25"/>
      <c r="C35975" s="25"/>
      <c r="D35975" s="25"/>
      <c r="E35975" s="25"/>
      <c r="F35975" s="25"/>
      <c r="G35975" s="25"/>
      <c r="H35975" s="25"/>
      <c r="I35975" s="25"/>
      <c r="J35975" s="25"/>
      <c r="K35975" s="25"/>
    </row>
    <row r="35976" customFormat="false" ht="15" hidden="false" customHeight="false" outlineLevel="0" collapsed="false">
      <c r="A35976" s="3" t="s">
        <v>556</v>
      </c>
      <c r="C35976" s="22" t="n">
        <f aca="false">IF(C35855=0,1,C35965/C35855)</f>
        <v>1</v>
      </c>
    </row>
    <row r="35977" customFormat="false" ht="15" hidden="false" customHeight="false" outlineLevel="0" collapsed="false">
      <c r="A35977" s="3" t="s">
        <v>557</v>
      </c>
      <c r="C35977" s="22" t="n">
        <f aca="false">IF(C35856=0,1,C35966/C35856)</f>
        <v>0.8887681549351</v>
      </c>
    </row>
    <row r="35978" customFormat="false" ht="15" hidden="false" customHeight="false" outlineLevel="0" collapsed="false">
      <c r="A35978" s="3" t="s">
        <v>558</v>
      </c>
      <c r="C35978" s="22" t="n">
        <f aca="false">IF(C35857=0,1,C35967/C35857)</f>
        <v>0.887973207492202</v>
      </c>
    </row>
    <row r="35979" customFormat="false" ht="15" hidden="false" customHeight="false" outlineLevel="0" collapsed="false">
      <c r="A35979" s="3" t="s">
        <v>559</v>
      </c>
      <c r="C35979" s="22" t="n">
        <f aca="false">IF(C35858=0,1,C35968/C35858)</f>
        <v>1</v>
      </c>
    </row>
    <row r="35980" customFormat="false" ht="15" hidden="false" customHeight="false" outlineLevel="0" collapsed="false">
      <c r="A35980" s="3" t="s">
        <v>560</v>
      </c>
      <c r="C35980" s="22" t="n">
        <f aca="false">IF(C35859=0,1,C35969/C35859)</f>
        <v>0.976210200213317</v>
      </c>
    </row>
    <row r="35981" customFormat="false" ht="15" hidden="false" customHeight="false" outlineLevel="0" collapsed="false">
      <c r="A35981" s="3" t="s">
        <v>561</v>
      </c>
      <c r="C35981" s="22" t="n">
        <f aca="false">IF(C35860=0,1,C35970/C35860)</f>
        <v>0.976210200213316</v>
      </c>
    </row>
    <row r="35982" customFormat="false" ht="15" hidden="false" customHeight="false" outlineLevel="0" collapsed="false">
      <c r="A35982" s="3" t="s">
        <v>562</v>
      </c>
      <c r="C35982" s="22" t="n">
        <f aca="false">IF(C35861=0,1,C35971/C35861)</f>
        <v>0.976210200213317</v>
      </c>
    </row>
    <row r="35983" customFormat="false" ht="15" hidden="false" customHeight="false" outlineLevel="0" collapsed="false">
      <c r="A35983" s="3" t="s">
        <v>563</v>
      </c>
      <c r="C35983" s="22" t="n">
        <f aca="false">IF(C35862=0,1,C35972/C35862)</f>
        <v>0.976210200213316</v>
      </c>
    </row>
    <row r="35984" customFormat="false" ht="15" hidden="false" customHeight="false" outlineLevel="0" collapsed="false">
      <c r="A35984" s="3" t="s">
        <v>564</v>
      </c>
      <c r="C35984" s="22" t="n">
        <f aca="false">IF(C35863=0,1,C35973/C35863)</f>
        <v>0.976210200213317</v>
      </c>
    </row>
    <row r="35985" customFormat="false" ht="15" hidden="false" customHeight="false" outlineLevel="0" collapsed="false">
      <c r="A35985" s="3" t="s">
        <v>565</v>
      </c>
      <c r="C35985" s="22" t="n">
        <f aca="false">IF(C35864=0,1,C35974/C35864)</f>
        <v>0</v>
      </c>
    </row>
    <row r="35986" customFormat="false" ht="15" hidden="false" customHeight="false" outlineLevel="0" collapsed="false">
      <c r="A35986" s="24" t="s">
        <v>577</v>
      </c>
      <c r="B35986" s="25"/>
      <c r="C35986" s="25"/>
      <c r="D35986" s="25"/>
      <c r="E35986" s="25"/>
      <c r="F35986" s="25"/>
      <c r="G35986" s="25"/>
      <c r="H35986" s="25"/>
      <c r="I35986" s="25"/>
      <c r="J35986" s="25"/>
      <c r="K35986" s="25"/>
    </row>
    <row r="35987" customFormat="false" ht="15" hidden="false" customHeight="false" outlineLevel="0" collapsed="false">
      <c r="A35987" s="3" t="s">
        <v>556</v>
      </c>
      <c r="C35987" s="16" t="n">
        <f aca="false">C35855-C35965</f>
        <v>0</v>
      </c>
    </row>
    <row r="35988" customFormat="false" ht="15" hidden="false" customHeight="false" outlineLevel="0" collapsed="false">
      <c r="A35988" s="3" t="s">
        <v>557</v>
      </c>
      <c r="C35988" s="16" t="n">
        <f aca="false">C35856-C35966</f>
        <v>10.010866055841</v>
      </c>
    </row>
    <row r="35989" customFormat="false" ht="15" hidden="false" customHeight="false" outlineLevel="0" collapsed="false">
      <c r="A35989" s="3" t="s">
        <v>558</v>
      </c>
      <c r="C35989" s="16" t="n">
        <f aca="false">C35857-C35967</f>
        <v>6.42182385371699</v>
      </c>
    </row>
    <row r="35990" customFormat="false" ht="15" hidden="false" customHeight="false" outlineLevel="0" collapsed="false">
      <c r="A35990" s="3" t="s">
        <v>559</v>
      </c>
      <c r="C35990" s="16" t="n">
        <f aca="false">C35858-C35968</f>
        <v>0</v>
      </c>
    </row>
    <row r="35991" customFormat="false" ht="15" hidden="false" customHeight="false" outlineLevel="0" collapsed="false">
      <c r="A35991" s="3" t="s">
        <v>560</v>
      </c>
      <c r="C35991" s="16" t="n">
        <f aca="false">C35859-C35969</f>
        <v>9.55032847908228</v>
      </c>
    </row>
    <row r="35992" customFormat="false" ht="15" hidden="false" customHeight="false" outlineLevel="0" collapsed="false">
      <c r="A35992" s="3" t="s">
        <v>561</v>
      </c>
      <c r="C35992" s="16" t="n">
        <f aca="false">C35860-C35970</f>
        <v>8.32642992533926</v>
      </c>
    </row>
    <row r="35993" customFormat="false" ht="15" hidden="false" customHeight="false" outlineLevel="0" collapsed="false">
      <c r="A35993" s="3" t="s">
        <v>562</v>
      </c>
      <c r="C35993" s="16" t="n">
        <f aca="false">C35861-C35971</f>
        <v>13.0843898826759</v>
      </c>
    </row>
    <row r="35994" customFormat="false" ht="15" hidden="false" customHeight="false" outlineLevel="0" collapsed="false">
      <c r="A35994" s="3" t="s">
        <v>563</v>
      </c>
      <c r="C35994" s="16" t="n">
        <f aca="false">C35862-C35972</f>
        <v>8.32642992533926</v>
      </c>
    </row>
    <row r="35995" customFormat="false" ht="15" hidden="false" customHeight="false" outlineLevel="0" collapsed="false">
      <c r="A35995" s="3" t="s">
        <v>564</v>
      </c>
      <c r="C35995" s="16" t="n">
        <f aca="false">C35863-C35973</f>
        <v>7.13693993600504</v>
      </c>
    </row>
    <row r="35996" customFormat="false" ht="15" hidden="false" customHeight="false" outlineLevel="0" collapsed="false">
      <c r="A35996" s="3" t="s">
        <v>565</v>
      </c>
      <c r="C35996" s="16" t="n">
        <f aca="false">C35864-C35974</f>
        <v>78.61</v>
      </c>
    </row>
    <row r="35997" customFormat="false" ht="15" hidden="false" customHeight="false" outlineLevel="0" collapsed="false">
      <c r="A35997" s="24" t="s">
        <v>578</v>
      </c>
      <c r="B35997" s="25"/>
      <c r="C35997" s="25"/>
      <c r="D35997" s="25"/>
      <c r="E35997" s="25"/>
      <c r="F35997" s="25"/>
      <c r="G35997" s="25"/>
      <c r="H35997" s="25"/>
      <c r="I35997" s="25"/>
      <c r="J35997" s="25"/>
      <c r="K35997" s="25"/>
    </row>
    <row r="35998" customFormat="false" ht="15" hidden="false" customHeight="false" outlineLevel="0" collapsed="false">
      <c r="A35998" s="3" t="s">
        <v>556</v>
      </c>
      <c r="C35998" s="22" t="n">
        <f aca="false">IF(C35855=0,0,C35987/C35855)</f>
        <v>0</v>
      </c>
    </row>
    <row r="35999" customFormat="false" ht="15" hidden="false" customHeight="false" outlineLevel="0" collapsed="false">
      <c r="A35999" s="3" t="s">
        <v>557</v>
      </c>
      <c r="C35999" s="22" t="n">
        <f aca="false">IF(C35856=0,0,C35988/C35856)</f>
        <v>0.1112318450649</v>
      </c>
    </row>
    <row r="36000" customFormat="false" ht="15" hidden="false" customHeight="false" outlineLevel="0" collapsed="false">
      <c r="A36000" s="3" t="s">
        <v>558</v>
      </c>
      <c r="C36000" s="22" t="n">
        <f aca="false">IF(C35857=0,0,C35989/C35857)</f>
        <v>0.112026792507798</v>
      </c>
    </row>
    <row r="36001" customFormat="false" ht="15" hidden="false" customHeight="false" outlineLevel="0" collapsed="false">
      <c r="A36001" s="3" t="s">
        <v>559</v>
      </c>
      <c r="C36001" s="22" t="n">
        <f aca="false">IF(C35858=0,0,C35990/C35858)</f>
        <v>0</v>
      </c>
    </row>
    <row r="36002" customFormat="false" ht="15" hidden="false" customHeight="false" outlineLevel="0" collapsed="false">
      <c r="A36002" s="3" t="s">
        <v>560</v>
      </c>
      <c r="C36002" s="22" t="n">
        <f aca="false">IF(C35859=0,0,C35991/C35859)</f>
        <v>0.0237897997866835</v>
      </c>
    </row>
    <row r="36003" customFormat="false" ht="15" hidden="false" customHeight="false" outlineLevel="0" collapsed="false">
      <c r="A36003" s="3" t="s">
        <v>561</v>
      </c>
      <c r="C36003" s="22" t="n">
        <f aca="false">IF(C35860=0,0,C35992/C35860)</f>
        <v>0.0237897997866836</v>
      </c>
    </row>
    <row r="36004" customFormat="false" ht="15" hidden="false" customHeight="false" outlineLevel="0" collapsed="false">
      <c r="A36004" s="3" t="s">
        <v>562</v>
      </c>
      <c r="C36004" s="22" t="n">
        <f aca="false">IF(C35861=0,0,C35993/C35861)</f>
        <v>0.0237897997866834</v>
      </c>
    </row>
    <row r="36005" customFormat="false" ht="15" hidden="false" customHeight="false" outlineLevel="0" collapsed="false">
      <c r="A36005" s="3" t="s">
        <v>563</v>
      </c>
      <c r="C36005" s="22" t="n">
        <f aca="false">IF(C35862=0,0,C35994/C35862)</f>
        <v>0.0237897997866836</v>
      </c>
    </row>
    <row r="36006" customFormat="false" ht="15" hidden="false" customHeight="false" outlineLevel="0" collapsed="false">
      <c r="A36006" s="3" t="s">
        <v>564</v>
      </c>
      <c r="C36006" s="22" t="n">
        <f aca="false">IF(C35863=0,0,C35995/C35863)</f>
        <v>0.0237897997866835</v>
      </c>
    </row>
    <row r="36007" customFormat="false" ht="15" hidden="false" customHeight="false" outlineLevel="0" collapsed="false">
      <c r="A36007" s="3" t="s">
        <v>565</v>
      </c>
      <c r="C36007" s="22" t="n">
        <f aca="false">IF(C35864=0,0,C35996/C35864)</f>
        <v>1</v>
      </c>
    </row>
    <row r="36008" customFormat="false" ht="15" hidden="false" customHeight="false" outlineLevel="0" collapsed="false">
      <c r="A36008" s="2" t="s">
        <v>579</v>
      </c>
      <c r="C36008" s="17" t="n">
        <f aca="false">MAX(0,$C$35853-SUM($C$35888:$C$35897)-SUM($C$35910:$C$35919))</f>
        <v>0</v>
      </c>
    </row>
    <row r="36009" customFormat="false" ht="15" hidden="false" customHeight="false" outlineLevel="0" collapsed="false">
      <c r="A36009" s="3" t="s">
        <v>597</v>
      </c>
      <c r="C36009" s="35" t="n">
        <f aca="false">MIN(C35852,100*CHOOSE(C35842,C35976,C35977,C35978,C35979,C35980,C35981,C35982,C35983,C35984,C35985))</f>
        <v>95</v>
      </c>
    </row>
    <row r="36010" customFormat="false" ht="15" hidden="false" customHeight="false" outlineLevel="0" collapsed="false">
      <c r="A36010" s="3" t="s">
        <v>598</v>
      </c>
      <c r="C36010" s="21" t="n">
        <f aca="false">IF(C35674=1,C35847+Assumptions!$C$40,C35846)</f>
        <v>3</v>
      </c>
    </row>
    <row r="36011" customFormat="false" ht="15" hidden="false" customHeight="false" outlineLevel="0" collapsed="false">
      <c r="A36011" s="24" t="s">
        <v>599</v>
      </c>
      <c r="B36011" s="25"/>
      <c r="C36011" s="25"/>
      <c r="D36011" s="25"/>
      <c r="E36011" s="25"/>
      <c r="F36011" s="25"/>
      <c r="G36011" s="25"/>
      <c r="H36011" s="25"/>
      <c r="I36011" s="25"/>
      <c r="J36011" s="25"/>
      <c r="K36011" s="25"/>
    </row>
    <row r="36012" customFormat="false" ht="15" hidden="false" customHeight="false" outlineLevel="0" collapsed="false">
      <c r="A36012" s="3" t="s">
        <v>600</v>
      </c>
      <c r="C36012" s="21" t="n">
        <f aca="false">COLUMN()-COLUMN($C$1)</f>
        <v>0</v>
      </c>
      <c r="D36012" s="21" t="n">
        <f aca="false">COLUMN()-COLUMN($C$1)</f>
        <v>1</v>
      </c>
      <c r="E36012" s="21" t="n">
        <f aca="false">COLUMN()-COLUMN($C$1)</f>
        <v>2</v>
      </c>
      <c r="F36012" s="21" t="n">
        <f aca="false">COLUMN()-COLUMN($C$1)</f>
        <v>3</v>
      </c>
      <c r="G36012" s="21" t="n">
        <f aca="false">COLUMN()-COLUMN($C$1)</f>
        <v>4</v>
      </c>
      <c r="H36012" s="21" t="n">
        <f aca="false">COLUMN()-COLUMN($C$1)</f>
        <v>5</v>
      </c>
      <c r="I36012" s="21" t="n">
        <f aca="false">COLUMN()-COLUMN($C$1)</f>
        <v>6</v>
      </c>
    </row>
    <row r="36013" customFormat="false" ht="15" hidden="false" customHeight="false" outlineLevel="0" collapsed="false">
      <c r="A36013" s="3" t="s">
        <v>601</v>
      </c>
      <c r="D36013" s="31" t="n">
        <f aca="false">CHOOSE($C$35842,G35422,G35435,G35448,G35461,G35474,G35487,G35500,G35513,G35526,G35539)</f>
        <v>0.1065</v>
      </c>
      <c r="E36013" s="31" t="n">
        <f aca="false">CHOOSE($C$35842,H35422,H35435,H35448,H35461,H35474,H35487,H35500,H35513,H35526,H35539)</f>
        <v>0.105</v>
      </c>
      <c r="F36013" s="31" t="n">
        <f aca="false">CHOOSE($C$35842,I35422,I35435,I35448,I35461,I35474,I35487,I35500,I35513,I35526,I35539)</f>
        <v>0.1025</v>
      </c>
      <c r="G36013" s="31" t="n">
        <f aca="false">CHOOSE($C$35842,J35422,J35435,J35448,J35461,J35474,J35487,J35500,J35513,J35526,J35539)</f>
        <v>0.1025</v>
      </c>
      <c r="H36013" s="31" t="n">
        <f aca="false">CHOOSE($C$35842,K35422,K35435,K35448,K35461,K35474,K35487,K35500,K35513,K35526,K35539)</f>
        <v>0.1025</v>
      </c>
    </row>
    <row r="36014" customFormat="false" ht="15" hidden="false" customHeight="false" outlineLevel="0" collapsed="false">
      <c r="A36014" s="3" t="s">
        <v>602</v>
      </c>
      <c r="D36014" s="16" t="n">
        <f aca="false">IF(D36012&lt;=$C$35851,$C$35843*D36013,0)</f>
        <v>10.65</v>
      </c>
      <c r="E36014" s="16" t="n">
        <f aca="false">IF(E36012&lt;=$C$35851,$C$35843*E36013,0)</f>
        <v>10.5</v>
      </c>
      <c r="F36014" s="16" t="n">
        <f aca="false">IF(F36012&lt;=$C$35851,$C$35843*F36013,0)</f>
        <v>0</v>
      </c>
      <c r="G36014" s="16" t="n">
        <f aca="false">IF(G36012&lt;=$C$35851,$C$35843*G36013,0)</f>
        <v>0</v>
      </c>
      <c r="H36014" s="16" t="n">
        <f aca="false">IF(H36012&lt;=$C$35851,$C$35843*H36013,0)</f>
        <v>0</v>
      </c>
    </row>
    <row r="36015" customFormat="false" ht="15" hidden="false" customHeight="false" outlineLevel="0" collapsed="false">
      <c r="A36015" s="3" t="s">
        <v>603</v>
      </c>
      <c r="D36015" s="16" t="n">
        <f aca="false">IF(AND($C$35674=0,D36012=$C$35846),$C$35843*$C$36009/100,0)+IF(AND($C$35674=1,D36012=$C$36010),$C$35849,0)</f>
        <v>0</v>
      </c>
      <c r="E36015" s="16" t="n">
        <f aca="false">IF(AND($C$35674=0,E36012=$C$35846),$C$35843*$C$36009/100,0)+IF(AND($C$35674=1,E36012=$C$36010),$C$35849,0)</f>
        <v>0</v>
      </c>
      <c r="F36015" s="16" t="n">
        <f aca="false">IF(AND($C$35674=0,F36012=$C$35846),$C$35843*$C$36009/100,0)+IF(AND($C$35674=1,F36012=$C$36010),$C$35849,0)</f>
        <v>102.625</v>
      </c>
      <c r="G36015" s="16" t="n">
        <f aca="false">IF(AND($C$35674=0,G36012=$C$35846),$C$35843*$C$36009/100,0)+IF(AND($C$35674=1,G36012=$C$36010),$C$35849,0)</f>
        <v>0</v>
      </c>
      <c r="H36015" s="16" t="n">
        <f aca="false">IF(AND($C$35674=0,H36012=$C$35846),$C$35843*$C$36009/100,0)+IF(AND($C$35674=1,H36012=$C$36010),$C$35849,0)</f>
        <v>0</v>
      </c>
      <c r="I36015" s="16" t="n">
        <f aca="false">IF(AND($C$35674=0,I36012=$C$35846),$C$35843*$C$36009/100,0)+IF(AND($C$35674=1,I36012=$C$36010),$C$35849,0)</f>
        <v>0</v>
      </c>
    </row>
    <row r="36016" customFormat="false" ht="15" hidden="false" customHeight="false" outlineLevel="0" collapsed="false">
      <c r="A36016" s="2" t="s">
        <v>604</v>
      </c>
      <c r="C36016" s="17" t="n">
        <f aca="false">-$C$35845</f>
        <v>-98.49</v>
      </c>
      <c r="D36016" s="17" t="n">
        <f aca="false">D36014+D36015</f>
        <v>10.65</v>
      </c>
      <c r="E36016" s="17" t="n">
        <f aca="false">E36014+E36015</f>
        <v>10.5</v>
      </c>
      <c r="F36016" s="17" t="n">
        <f aca="false">F36014+F36015</f>
        <v>102.625</v>
      </c>
      <c r="G36016" s="17" t="n">
        <f aca="false">G36014+G36015</f>
        <v>0</v>
      </c>
      <c r="H36016" s="17" t="n">
        <f aca="false">H36014+H36015</f>
        <v>0</v>
      </c>
      <c r="I36016" s="17" t="n">
        <f aca="false">I36014+I36015</f>
        <v>0</v>
      </c>
    </row>
    <row r="36017" customFormat="false" ht="15" hidden="false" customHeight="false" outlineLevel="0" collapsed="false">
      <c r="A36017" s="3" t="s">
        <v>605</v>
      </c>
      <c r="C36017" s="16" t="n">
        <f aca="false">SUM($C$36014:$I$36014)</f>
        <v>21.15</v>
      </c>
    </row>
    <row r="36018" customFormat="false" ht="15" hidden="false" customHeight="false" outlineLevel="0" collapsed="false">
      <c r="A36018" s="3" t="s">
        <v>606</v>
      </c>
      <c r="C36018" s="16" t="n">
        <f aca="false">SUM($C$36015:$I$36015)</f>
        <v>102.625</v>
      </c>
    </row>
    <row r="36019" customFormat="false" ht="15" hidden="false" customHeight="false" outlineLevel="0" collapsed="false">
      <c r="A36019" s="3" t="s">
        <v>607</v>
      </c>
      <c r="C36019" s="16" t="n">
        <f aca="false">C36017+C36018</f>
        <v>123.775</v>
      </c>
    </row>
    <row r="36020" customFormat="false" ht="15" hidden="false" customHeight="false" outlineLevel="0" collapsed="false">
      <c r="A36020" s="3" t="s">
        <v>608</v>
      </c>
      <c r="C36020" s="16" t="n">
        <f aca="false">C36018-C35843*C35844/100</f>
        <v>4.62500000000001</v>
      </c>
    </row>
    <row r="36021" customFormat="false" ht="15" hidden="false" customHeight="false" outlineLevel="0" collapsed="false">
      <c r="A36021" s="3" t="s">
        <v>609</v>
      </c>
      <c r="C36021" s="16" t="n">
        <f aca="false">C36019-C35845</f>
        <v>25.285</v>
      </c>
    </row>
    <row r="36022" customFormat="false" ht="15" hidden="false" customHeight="false" outlineLevel="0" collapsed="false">
      <c r="A36022" s="2" t="s">
        <v>484</v>
      </c>
      <c r="C36022" s="44" t="n">
        <f aca="false">C36019/C35845</f>
        <v>1.25672657122551</v>
      </c>
    </row>
    <row r="36023" customFormat="false" ht="15" hidden="false" customHeight="false" outlineLevel="0" collapsed="false">
      <c r="A36023" s="2" t="s">
        <v>483</v>
      </c>
      <c r="C36023" s="42" t="n">
        <f aca="false">IF(C36019&lt;=0,-1,IFERROR(IRR($C$36016:$I$36016,MAX(-0.9,C36022^(1/C36010)-1)),IRR($C$36016:$I$36016,0.1)))</f>
        <v>0.0873962489027792</v>
      </c>
    </row>
    <row r="36024" customFormat="false" ht="15" hidden="false" customHeight="false" outlineLevel="0" collapsed="false">
      <c r="A36024" s="3" t="s">
        <v>610</v>
      </c>
      <c r="C36024" s="32" t="n">
        <f aca="false">MAX($G$35618:$K$35618)</f>
        <v>12.0232607366907</v>
      </c>
    </row>
    <row r="36025" customFormat="false" ht="15" hidden="false" customHeight="false" outlineLevel="0" collapsed="false">
      <c r="A36025" s="3" t="s">
        <v>611</v>
      </c>
      <c r="C36025" s="32" t="n">
        <f aca="false">MIN($G$35619:$K$35619)</f>
        <v>1.18311222526984</v>
      </c>
    </row>
    <row r="36026" customFormat="false" ht="15" hidden="false" customHeight="false" outlineLevel="0" collapsed="false">
      <c r="A36026" s="3" t="s">
        <v>612</v>
      </c>
      <c r="C36026" s="16" t="n">
        <f aca="false">SUM($G$35406:$K$35406)</f>
        <v>-320.308045372933</v>
      </c>
    </row>
    <row r="36030" customFormat="false" ht="15" hidden="false" customHeight="false" outlineLevel="0" collapsed="false">
      <c r="A36030" s="9" t="s">
        <v>1185</v>
      </c>
      <c r="B36030" s="10"/>
      <c r="C36030" s="10"/>
      <c r="D36030" s="10"/>
      <c r="E36030" s="10"/>
      <c r="F36030" s="10"/>
      <c r="G36030" s="10"/>
      <c r="H36030" s="10"/>
      <c r="I36030" s="10"/>
      <c r="J36030" s="10"/>
      <c r="K36030" s="10"/>
    </row>
    <row r="36031" customFormat="false" ht="15" hidden="false" customHeight="false" outlineLevel="0" collapsed="false">
      <c r="A36031" s="3" t="s">
        <v>1126</v>
      </c>
      <c r="C36031" s="11" t="n">
        <v>2</v>
      </c>
    </row>
    <row r="36032" customFormat="false" ht="15" hidden="false" customHeight="false" outlineLevel="0" collapsed="false">
      <c r="A36032" s="3" t="s">
        <v>1127</v>
      </c>
      <c r="C36032" s="19" t="n">
        <v>0</v>
      </c>
    </row>
    <row r="36033" customFormat="false" ht="15" hidden="false" customHeight="false" outlineLevel="0" collapsed="false">
      <c r="A36033" s="3" t="s">
        <v>1128</v>
      </c>
      <c r="C36033" s="19" t="n">
        <v>0</v>
      </c>
    </row>
    <row r="36034" customFormat="false" ht="15" hidden="false" customHeight="false" outlineLevel="0" collapsed="false">
      <c r="A36034" s="3" t="s">
        <v>1129</v>
      </c>
      <c r="C36034" s="19" t="n">
        <v>0</v>
      </c>
    </row>
    <row r="36035" customFormat="false" ht="15" hidden="false" customHeight="false" outlineLevel="0" collapsed="false">
      <c r="A36035" s="3" t="s">
        <v>1130</v>
      </c>
      <c r="C36035" s="34" t="n">
        <f aca="false">Sensitivities!$A$62</f>
        <v>0</v>
      </c>
    </row>
    <row r="36037" customFormat="false" ht="15" hidden="false" customHeight="false" outlineLevel="0" collapsed="false">
      <c r="A36037" s="24" t="s">
        <v>301</v>
      </c>
      <c r="B36037" s="25"/>
      <c r="C36037" s="25"/>
      <c r="D36037" s="25"/>
      <c r="E36037" s="25"/>
      <c r="F36037" s="25"/>
      <c r="G36037" s="25"/>
      <c r="H36037" s="25"/>
      <c r="I36037" s="25"/>
      <c r="J36037" s="25"/>
      <c r="K36037" s="25"/>
    </row>
    <row r="36038" customFormat="false" ht="15" hidden="false" customHeight="false" outlineLevel="0" collapsed="false">
      <c r="A36038" s="3" t="s">
        <v>302</v>
      </c>
      <c r="F36038" s="27" t="n">
        <f aca="false">Assumptions!$C$6</f>
        <v>2026</v>
      </c>
      <c r="G36038" s="21" t="n">
        <f aca="false">F36038+1</f>
        <v>2027</v>
      </c>
      <c r="H36038" s="21" t="n">
        <f aca="false">G36038+1</f>
        <v>2028</v>
      </c>
      <c r="I36038" s="21" t="n">
        <f aca="false">H36038+1</f>
        <v>2029</v>
      </c>
      <c r="J36038" s="21" t="n">
        <f aca="false">I36038+1</f>
        <v>2030</v>
      </c>
      <c r="K36038" s="21" t="n">
        <f aca="false">J36038+1</f>
        <v>2031</v>
      </c>
    </row>
    <row r="36039" customFormat="false" ht="15" hidden="false" customHeight="false" outlineLevel="0" collapsed="false">
      <c r="A36039" s="3" t="s">
        <v>303</v>
      </c>
      <c r="G36039" s="21" t="n">
        <f aca="false">G36038-Assumptions!$C$6</f>
        <v>1</v>
      </c>
      <c r="H36039" s="21" t="n">
        <f aca="false">H36038-Assumptions!$C$6</f>
        <v>2</v>
      </c>
      <c r="I36039" s="21" t="n">
        <f aca="false">I36038-Assumptions!$C$6</f>
        <v>3</v>
      </c>
      <c r="J36039" s="21" t="n">
        <f aca="false">J36038-Assumptions!$C$6</f>
        <v>4</v>
      </c>
      <c r="K36039" s="21" t="n">
        <f aca="false">K36038-Assumptions!$C$6</f>
        <v>5</v>
      </c>
    </row>
    <row r="36040" customFormat="false" ht="15" hidden="false" customHeight="false" outlineLevel="0" collapsed="false">
      <c r="A36040" s="3" t="s">
        <v>180</v>
      </c>
      <c r="G36040" s="22" t="n">
        <f aca="false">CHOOSE($C$36031,Assumptions!$G$79,Assumptions!$G$98,Assumptions!$G$117)+$C$36032</f>
        <v>-0.06</v>
      </c>
      <c r="H36040" s="22" t="n">
        <f aca="false">CHOOSE($C$36031,Assumptions!$H$79,Assumptions!$H$98,Assumptions!$H$117)+$C$36032</f>
        <v>-0.03</v>
      </c>
      <c r="I36040" s="22" t="n">
        <f aca="false">CHOOSE($C$36031,Assumptions!$I$79,Assumptions!$I$98,Assumptions!$I$117)+$C$36032</f>
        <v>0</v>
      </c>
      <c r="J36040" s="22" t="n">
        <f aca="false">CHOOSE($C$36031,Assumptions!$J$79,Assumptions!$J$98,Assumptions!$J$117)+$C$36032</f>
        <v>0.01</v>
      </c>
      <c r="K36040" s="22" t="n">
        <f aca="false">CHOOSE($C$36031,Assumptions!$K$79,Assumptions!$K$98,Assumptions!$K$117)+$C$36032</f>
        <v>0.01</v>
      </c>
    </row>
    <row r="36041" customFormat="false" ht="15" hidden="false" customHeight="false" outlineLevel="0" collapsed="false">
      <c r="A36041" s="3" t="s">
        <v>181</v>
      </c>
      <c r="G36041" s="22" t="n">
        <f aca="false">CHOOSE($C$36031,Assumptions!$G$80,Assumptions!$G$99,Assumptions!$G$118)</f>
        <v>0.573920660818678</v>
      </c>
      <c r="H36041" s="22" t="n">
        <f aca="false">CHOOSE($C$36031,Assumptions!$H$80,Assumptions!$H$99,Assumptions!$H$118)</f>
        <v>0.558920660818678</v>
      </c>
      <c r="I36041" s="22" t="n">
        <f aca="false">CHOOSE($C$36031,Assumptions!$I$80,Assumptions!$I$99,Assumptions!$I$118)</f>
        <v>0.558920660818678</v>
      </c>
      <c r="J36041" s="22" t="n">
        <f aca="false">CHOOSE($C$36031,Assumptions!$J$80,Assumptions!$J$99,Assumptions!$J$118)</f>
        <v>0.563920660818678</v>
      </c>
      <c r="K36041" s="22" t="n">
        <f aca="false">CHOOSE($C$36031,Assumptions!$K$80,Assumptions!$K$99,Assumptions!$K$118)</f>
        <v>0.568920660818678</v>
      </c>
    </row>
    <row r="36042" customFormat="false" ht="15" hidden="false" customHeight="false" outlineLevel="0" collapsed="false">
      <c r="A36042" s="3" t="s">
        <v>182</v>
      </c>
      <c r="G36042" s="22" t="n">
        <f aca="false">CHOOSE($C$36031,Assumptions!$G$81,Assumptions!$G$100,Assumptions!$G$119)+$C$36033</f>
        <v>0.5</v>
      </c>
      <c r="H36042" s="22" t="n">
        <f aca="false">CHOOSE($C$36031,Assumptions!$H$81,Assumptions!$H$100,Assumptions!$H$119)+$C$36033</f>
        <v>0.485</v>
      </c>
      <c r="I36042" s="22" t="n">
        <f aca="false">CHOOSE($C$36031,Assumptions!$I$81,Assumptions!$I$100,Assumptions!$I$119)+$C$36033</f>
        <v>0.485</v>
      </c>
      <c r="J36042" s="22" t="n">
        <f aca="false">CHOOSE($C$36031,Assumptions!$J$81,Assumptions!$J$100,Assumptions!$J$119)+$C$36033</f>
        <v>0.49</v>
      </c>
      <c r="K36042" s="22" t="n">
        <f aca="false">CHOOSE($C$36031,Assumptions!$K$81,Assumptions!$K$100,Assumptions!$K$119)+$C$36033</f>
        <v>0.495</v>
      </c>
    </row>
    <row r="36043" customFormat="false" ht="15" hidden="false" customHeight="false" outlineLevel="0" collapsed="false">
      <c r="A36043" s="24" t="s">
        <v>304</v>
      </c>
      <c r="B36043" s="25"/>
      <c r="C36043" s="25"/>
      <c r="D36043" s="25"/>
      <c r="E36043" s="25"/>
      <c r="F36043" s="25"/>
      <c r="G36043" s="25"/>
      <c r="H36043" s="25"/>
      <c r="I36043" s="25"/>
      <c r="J36043" s="25"/>
      <c r="K36043" s="25"/>
    </row>
    <row r="36044" customFormat="false" ht="15" hidden="false" customHeight="false" outlineLevel="0" collapsed="false">
      <c r="A36044" s="2" t="s">
        <v>275</v>
      </c>
      <c r="F36044" s="28" t="n">
        <f aca="false">'Historical Financials'!G25</f>
        <v>498.291</v>
      </c>
      <c r="G36044" s="17" t="n">
        <f aca="false">F36044*(1+G36040)</f>
        <v>468.39354</v>
      </c>
      <c r="H36044" s="17" t="n">
        <f aca="false">G36044*(1+H36040)</f>
        <v>454.3417338</v>
      </c>
      <c r="I36044" s="17" t="n">
        <f aca="false">H36044*(1+I36040)</f>
        <v>454.3417338</v>
      </c>
      <c r="J36044" s="17" t="n">
        <f aca="false">I36044*(1+J36040)</f>
        <v>458.885151138</v>
      </c>
      <c r="K36044" s="17" t="n">
        <f aca="false">J36044*(1+K36040)</f>
        <v>463.47400264938</v>
      </c>
    </row>
    <row r="36045" customFormat="false" ht="15" hidden="false" customHeight="false" outlineLevel="0" collapsed="false">
      <c r="A36045" s="3" t="s">
        <v>276</v>
      </c>
      <c r="G36045" s="16" t="n">
        <f aca="false">G36044*(1-G36041)</f>
        <v>199.57281</v>
      </c>
      <c r="H36045" s="16" t="n">
        <f aca="false">H36044*(1-H36041)</f>
        <v>200.400751707</v>
      </c>
      <c r="I36045" s="16" t="n">
        <f aca="false">I36044*(1-I36041)</f>
        <v>200.400751707</v>
      </c>
      <c r="J36045" s="16" t="n">
        <f aca="false">J36044*(1-J36041)</f>
        <v>200.11033346838</v>
      </c>
      <c r="K36045" s="16" t="n">
        <f aca="false">K36044*(1-K36041)</f>
        <v>199.794066789817</v>
      </c>
    </row>
    <row r="36046" customFormat="false" ht="15" hidden="false" customHeight="false" outlineLevel="0" collapsed="false">
      <c r="A36046" s="2" t="s">
        <v>277</v>
      </c>
      <c r="G36046" s="17" t="n">
        <f aca="false">G36044-G36045</f>
        <v>268.82073</v>
      </c>
      <c r="H36046" s="17" t="n">
        <f aca="false">H36044-H36045</f>
        <v>253.940982093</v>
      </c>
      <c r="I36046" s="17" t="n">
        <f aca="false">I36044-I36045</f>
        <v>253.940982093</v>
      </c>
      <c r="J36046" s="17" t="n">
        <f aca="false">J36044-J36045</f>
        <v>258.77481766962</v>
      </c>
      <c r="K36046" s="17" t="n">
        <f aca="false">K36044-K36045</f>
        <v>263.679935859563</v>
      </c>
    </row>
    <row r="36047" customFormat="false" ht="15" hidden="false" customHeight="false" outlineLevel="0" collapsed="false">
      <c r="A36047" s="3" t="s">
        <v>305</v>
      </c>
      <c r="G36047" s="16" t="n">
        <f aca="false">G36046-G36048</f>
        <v>34.62396</v>
      </c>
      <c r="H36047" s="16" t="n">
        <f aca="false">H36046-H36048</f>
        <v>33.5852412</v>
      </c>
      <c r="I36047" s="16" t="n">
        <f aca="false">I36046-I36048</f>
        <v>33.5852412</v>
      </c>
      <c r="J36047" s="16" t="n">
        <f aca="false">J36046-J36048</f>
        <v>33.921093612</v>
      </c>
      <c r="K36047" s="16" t="n">
        <f aca="false">K36046-K36048</f>
        <v>34.26030454812</v>
      </c>
    </row>
    <row r="36048" customFormat="false" ht="15" hidden="false" customHeight="false" outlineLevel="0" collapsed="false">
      <c r="A36048" s="2" t="s">
        <v>306</v>
      </c>
      <c r="G36048" s="17" t="n">
        <f aca="false">G36044*G36042</f>
        <v>234.19677</v>
      </c>
      <c r="H36048" s="17" t="n">
        <f aca="false">H36044*H36042</f>
        <v>220.355740893</v>
      </c>
      <c r="I36048" s="17" t="n">
        <f aca="false">I36044*I36042</f>
        <v>220.355740893</v>
      </c>
      <c r="J36048" s="17" t="n">
        <f aca="false">J36044*J36042</f>
        <v>224.85372405762</v>
      </c>
      <c r="K36048" s="17" t="n">
        <f aca="false">K36044*K36042</f>
        <v>229.419631311443</v>
      </c>
    </row>
    <row r="36049" customFormat="false" ht="15" hidden="false" customHeight="false" outlineLevel="0" collapsed="false">
      <c r="A36049" s="3" t="s">
        <v>307</v>
      </c>
      <c r="G36049" s="16" t="n">
        <f aca="false">G36044*'Historical Financials'!G30/'Historical Financials'!G25</f>
        <v>174.17542</v>
      </c>
      <c r="H36049" s="16" t="n">
        <f aca="false">H36044*'Historical Financials'!G30/'Historical Financials'!G25</f>
        <v>168.9501574</v>
      </c>
      <c r="I36049" s="16" t="n">
        <f aca="false">I36044*'Historical Financials'!G30/'Historical Financials'!G25</f>
        <v>168.9501574</v>
      </c>
      <c r="J36049" s="16" t="n">
        <f aca="false">J36044*'Historical Financials'!G30/'Historical Financials'!G25</f>
        <v>170.639658974</v>
      </c>
      <c r="K36049" s="16" t="n">
        <f aca="false">K36044*'Historical Financials'!G30/'Historical Financials'!G25</f>
        <v>172.34605556374</v>
      </c>
    </row>
    <row r="36050" customFormat="false" ht="15" hidden="false" customHeight="false" outlineLevel="0" collapsed="false">
      <c r="A36050" s="3" t="s">
        <v>308</v>
      </c>
      <c r="G36050" s="16" t="n">
        <f aca="false">G36044*'Historical Financials'!G31/'Historical Financials'!G25</f>
        <v>0</v>
      </c>
      <c r="H36050" s="16" t="n">
        <f aca="false">H36044*'Historical Financials'!G31/'Historical Financials'!G25</f>
        <v>0</v>
      </c>
      <c r="I36050" s="16" t="n">
        <f aca="false">I36044*'Historical Financials'!G31/'Historical Financials'!G25</f>
        <v>0</v>
      </c>
      <c r="J36050" s="16" t="n">
        <f aca="false">J36044*'Historical Financials'!G31/'Historical Financials'!G25</f>
        <v>0</v>
      </c>
      <c r="K36050" s="16" t="n">
        <f aca="false">K36044*'Historical Financials'!G31/'Historical Financials'!G25</f>
        <v>0</v>
      </c>
    </row>
    <row r="36051" customFormat="false" ht="15" hidden="false" customHeight="false" outlineLevel="0" collapsed="false">
      <c r="A36051" s="2" t="s">
        <v>309</v>
      </c>
      <c r="G36051" s="17" t="n">
        <f aca="false">G36048-G36049-G36050</f>
        <v>60.02135</v>
      </c>
      <c r="H36051" s="17" t="n">
        <f aca="false">H36048-H36049-H36050</f>
        <v>51.405583493</v>
      </c>
      <c r="I36051" s="17" t="n">
        <f aca="false">I36048-I36049-I36050</f>
        <v>51.405583493</v>
      </c>
      <c r="J36051" s="17" t="n">
        <f aca="false">J36048-J36049-J36050</f>
        <v>54.21406508362</v>
      </c>
      <c r="K36051" s="17" t="n">
        <f aca="false">K36048-K36049-K36050</f>
        <v>57.0735757477031</v>
      </c>
    </row>
    <row r="36052" customFormat="false" ht="15" hidden="false" customHeight="false" outlineLevel="0" collapsed="false">
      <c r="A36052" s="3" t="s">
        <v>310</v>
      </c>
      <c r="G36052" s="16" t="n">
        <f aca="false">G36078+G36091+G36104+G36117+G36130+G36143+G36156+G36169+G36182+G36195</f>
        <v>187.3888354</v>
      </c>
      <c r="H36052" s="16" t="n">
        <f aca="false">H36078+H36091+H36104+H36117+H36130+H36143+H36156+H36169+H36182+H36195</f>
        <v>186.2509204</v>
      </c>
      <c r="I36052" s="16" t="n">
        <f aca="false">I36078+I36091+I36104+I36117+I36130+I36143+I36156+I36169+I36182+I36195</f>
        <v>182.7365265363</v>
      </c>
      <c r="J36052" s="16" t="n">
        <f aca="false">J36078+J36091+J36104+J36117+J36130+J36143+J36156+J36169+J36182+J36195</f>
        <v>182.3265265363</v>
      </c>
      <c r="K36052" s="16" t="n">
        <f aca="false">K36078+K36091+K36104+K36117+K36130+K36143+K36156+K36169+K36182+K36195</f>
        <v>181.9165265363</v>
      </c>
    </row>
    <row r="36053" customFormat="false" ht="15" hidden="false" customHeight="false" outlineLevel="0" collapsed="false">
      <c r="A36053" s="3" t="s">
        <v>311</v>
      </c>
      <c r="G36053" s="16" t="n">
        <f aca="false">G36079+G36092+G36105+G36118+G36131+G36144+G36157+G36170+G36183+G36196</f>
        <v>0</v>
      </c>
      <c r="H36053" s="16" t="n">
        <f aca="false">H36079+H36092+H36105+H36118+H36131+H36144+H36157+H36170+H36183+H36196</f>
        <v>0</v>
      </c>
      <c r="I36053" s="16" t="n">
        <f aca="false">I36079+I36092+I36105+I36118+I36131+I36144+I36157+I36170+I36183+I36196</f>
        <v>0</v>
      </c>
      <c r="J36053" s="16" t="n">
        <f aca="false">J36079+J36092+J36105+J36118+J36131+J36144+J36157+J36170+J36183+J36196</f>
        <v>0</v>
      </c>
      <c r="K36053" s="16" t="n">
        <f aca="false">K36079+K36092+K36105+K36118+K36131+K36144+K36157+K36170+K36183+K36196</f>
        <v>0</v>
      </c>
    </row>
    <row r="36054" customFormat="false" ht="15" hidden="false" customHeight="false" outlineLevel="0" collapsed="false">
      <c r="A36054" s="3" t="s">
        <v>283</v>
      </c>
      <c r="G36054" s="16" t="n">
        <f aca="false">G36052+G36053</f>
        <v>187.3888354</v>
      </c>
      <c r="H36054" s="16" t="n">
        <f aca="false">H36052+H36053</f>
        <v>186.2509204</v>
      </c>
      <c r="I36054" s="16" t="n">
        <f aca="false">I36052+I36053</f>
        <v>182.7365265363</v>
      </c>
      <c r="J36054" s="16" t="n">
        <f aca="false">J36052+J36053</f>
        <v>182.3265265363</v>
      </c>
      <c r="K36054" s="16" t="n">
        <f aca="false">K36052+K36053</f>
        <v>181.9165265363</v>
      </c>
    </row>
    <row r="36055" customFormat="false" ht="15" hidden="false" customHeight="false" outlineLevel="0" collapsed="false">
      <c r="A36055" s="2" t="s">
        <v>284</v>
      </c>
      <c r="G36055" s="17" t="n">
        <f aca="false">G36051-G36054</f>
        <v>-127.3674854</v>
      </c>
      <c r="H36055" s="17" t="n">
        <f aca="false">H36051-H36054</f>
        <v>-134.845336907</v>
      </c>
      <c r="I36055" s="17" t="n">
        <f aca="false">I36051-I36054</f>
        <v>-131.3309430433</v>
      </c>
      <c r="J36055" s="17" t="n">
        <f aca="false">J36051-J36054</f>
        <v>-128.112461452679</v>
      </c>
      <c r="K36055" s="17" t="n">
        <f aca="false">K36051-K36054</f>
        <v>-124.842950788596</v>
      </c>
    </row>
    <row r="36056" customFormat="false" ht="15" hidden="false" customHeight="false" outlineLevel="0" collapsed="false">
      <c r="A36056" s="3" t="s">
        <v>312</v>
      </c>
      <c r="G36056" s="16" t="n">
        <f aca="false">MAX(0,G36055)*Assumptions!$C$9</f>
        <v>0</v>
      </c>
      <c r="H36056" s="16" t="n">
        <f aca="false">MAX(0,H36055)*Assumptions!$C$9</f>
        <v>0</v>
      </c>
      <c r="I36056" s="16" t="n">
        <f aca="false">MAX(0,I36055)*Assumptions!$C$9</f>
        <v>0</v>
      </c>
      <c r="J36056" s="16" t="n">
        <f aca="false">MAX(0,J36055)*Assumptions!$C$9</f>
        <v>0</v>
      </c>
      <c r="K36056" s="16" t="n">
        <f aca="false">MAX(0,K36055)*Assumptions!$C$9</f>
        <v>0</v>
      </c>
    </row>
    <row r="36057" customFormat="false" ht="15" hidden="false" customHeight="false" outlineLevel="0" collapsed="false">
      <c r="A36057" s="2" t="s">
        <v>313</v>
      </c>
      <c r="G36057" s="17" t="n">
        <f aca="false">G36055-G36056</f>
        <v>-127.3674854</v>
      </c>
      <c r="H36057" s="17" t="n">
        <f aca="false">H36055-H36056</f>
        <v>-134.845336907</v>
      </c>
      <c r="I36057" s="17" t="n">
        <f aca="false">I36055-I36056</f>
        <v>-131.3309430433</v>
      </c>
      <c r="J36057" s="17" t="n">
        <f aca="false">J36055-J36056</f>
        <v>-128.112461452679</v>
      </c>
      <c r="K36057" s="17" t="n">
        <f aca="false">K36055-K36056</f>
        <v>-124.842950788596</v>
      </c>
    </row>
    <row r="36058" customFormat="false" ht="15" hidden="false" customHeight="false" outlineLevel="0" collapsed="false">
      <c r="A36058" s="24" t="s">
        <v>314</v>
      </c>
      <c r="B36058" s="25"/>
      <c r="C36058" s="25"/>
      <c r="D36058" s="25"/>
      <c r="E36058" s="25"/>
      <c r="F36058" s="25"/>
      <c r="G36058" s="25"/>
      <c r="H36058" s="25"/>
      <c r="I36058" s="25"/>
      <c r="J36058" s="25"/>
      <c r="K36058" s="25"/>
    </row>
    <row r="36059" customFormat="false" ht="15" hidden="false" customHeight="false" outlineLevel="0" collapsed="false">
      <c r="A36059" s="3" t="s">
        <v>184</v>
      </c>
      <c r="G36059" s="16" t="n">
        <f aca="false">G36044*CHOOSE($C$36031,Assumptions!$C$83,Assumptions!$C$102,Assumptions!$C$121)</f>
        <v>84.3108372</v>
      </c>
      <c r="H36059" s="16" t="n">
        <f aca="false">H36044*CHOOSE($C$36031,Assumptions!$C$83,Assumptions!$C$102,Assumptions!$C$121)</f>
        <v>81.781512084</v>
      </c>
      <c r="I36059" s="16" t="n">
        <f aca="false">I36044*CHOOSE($C$36031,Assumptions!$C$83,Assumptions!$C$102,Assumptions!$C$121)</f>
        <v>81.781512084</v>
      </c>
      <c r="J36059" s="16" t="n">
        <f aca="false">J36044*CHOOSE($C$36031,Assumptions!$C$83,Assumptions!$C$102,Assumptions!$C$121)</f>
        <v>82.59932720484</v>
      </c>
      <c r="K36059" s="16" t="n">
        <f aca="false">K36044*CHOOSE($C$36031,Assumptions!$C$83,Assumptions!$C$102,Assumptions!$C$121)</f>
        <v>83.4253204768884</v>
      </c>
    </row>
    <row r="36060" customFormat="false" ht="15" hidden="false" customHeight="false" outlineLevel="0" collapsed="false">
      <c r="A36060" s="3" t="s">
        <v>315</v>
      </c>
      <c r="G36060" s="16" t="n">
        <f aca="false">CHOOSE($C$36031,Assumptions!$C$84,Assumptions!$C$103,Assumptions!$C$122)*(G36044-F36044)+CHOOSE($C$36031,Assumptions!$C$85,Assumptions!$C$104,Assumptions!$C$123)*G36044</f>
        <v>23.419677</v>
      </c>
      <c r="H36060" s="16" t="n">
        <f aca="false">CHOOSE($C$36031,Assumptions!$C$84,Assumptions!$C$103,Assumptions!$C$122)*(H36044-G36044)+CHOOSE($C$36031,Assumptions!$C$85,Assumptions!$C$104,Assumptions!$C$123)*H36044</f>
        <v>22.71708669</v>
      </c>
      <c r="I36060" s="16" t="n">
        <f aca="false">CHOOSE($C$36031,Assumptions!$C$84,Assumptions!$C$103,Assumptions!$C$122)*(I36044-H36044)+CHOOSE($C$36031,Assumptions!$C$85,Assumptions!$C$104,Assumptions!$C$123)*I36044</f>
        <v>22.71708669</v>
      </c>
      <c r="J36060" s="16" t="n">
        <f aca="false">CHOOSE($C$36031,Assumptions!$C$84,Assumptions!$C$103,Assumptions!$C$122)*(J36044-I36044)+CHOOSE($C$36031,Assumptions!$C$85,Assumptions!$C$104,Assumptions!$C$123)*J36044</f>
        <v>22.9442575569</v>
      </c>
      <c r="K36060" s="16" t="n">
        <f aca="false">CHOOSE($C$36031,Assumptions!$C$84,Assumptions!$C$103,Assumptions!$C$122)*(K36044-J36044)+CHOOSE($C$36031,Assumptions!$C$85,Assumptions!$C$104,Assumptions!$C$123)*K36044</f>
        <v>23.173700132469</v>
      </c>
    </row>
    <row r="36061" customFormat="false" ht="15" hidden="false" customHeight="false" outlineLevel="0" collapsed="false">
      <c r="A36061" s="2" t="s">
        <v>316</v>
      </c>
      <c r="G36061" s="17" t="n">
        <f aca="false">G36057+G36049+G36050+G36053-G36059-G36060</f>
        <v>-60.9225796</v>
      </c>
      <c r="H36061" s="17" t="n">
        <f aca="false">H36057+H36049+H36050+H36053-H36059-H36060</f>
        <v>-70.393778281</v>
      </c>
      <c r="I36061" s="17" t="n">
        <f aca="false">I36057+I36049+I36050+I36053-I36059-I36060</f>
        <v>-66.8793844172995</v>
      </c>
      <c r="J36061" s="17" t="n">
        <f aca="false">J36057+J36049+J36050+J36053-J36059-J36060</f>
        <v>-63.0163872404195</v>
      </c>
      <c r="K36061" s="17" t="n">
        <f aca="false">K36057+K36049+K36050+K36053-K36059-K36060</f>
        <v>-59.0959158342138</v>
      </c>
    </row>
    <row r="36063" customFormat="false" ht="15" hidden="false" customHeight="false" outlineLevel="0" collapsed="false">
      <c r="A36063" s="24" t="s">
        <v>318</v>
      </c>
      <c r="B36063" s="25"/>
      <c r="C36063" s="25"/>
      <c r="D36063" s="25"/>
      <c r="E36063" s="25"/>
      <c r="F36063" s="25"/>
      <c r="G36063" s="25"/>
      <c r="H36063" s="25"/>
      <c r="I36063" s="25"/>
      <c r="J36063" s="25"/>
      <c r="K36063" s="25"/>
    </row>
    <row r="36064" customFormat="false" ht="15" hidden="false" customHeight="false" outlineLevel="0" collapsed="false">
      <c r="A36064" s="3" t="s">
        <v>319</v>
      </c>
      <c r="G36064" s="30" t="n">
        <f aca="false">Assumptions!$G$53</f>
        <v>0.039</v>
      </c>
      <c r="H36064" s="30" t="n">
        <f aca="false">Assumptions!$H$53</f>
        <v>0.0375</v>
      </c>
      <c r="I36064" s="30" t="n">
        <f aca="false">Assumptions!$I$53</f>
        <v>0.035</v>
      </c>
      <c r="J36064" s="30" t="n">
        <f aca="false">Assumptions!$J$53</f>
        <v>0.035</v>
      </c>
      <c r="K36064" s="30" t="n">
        <f aca="false">Assumptions!$K$53</f>
        <v>0.035</v>
      </c>
    </row>
    <row r="36065" customFormat="false" ht="15" hidden="false" customHeight="false" outlineLevel="0" collapsed="false">
      <c r="A36065" s="3" t="s">
        <v>320</v>
      </c>
      <c r="C36065" s="31" t="n">
        <f aca="false">CHOOSE($C$36031,Assumptions!$C$86,Assumptions!$C$105,Assumptions!$C$124)+$C$36034</f>
        <v>0.015</v>
      </c>
    </row>
    <row r="36066" customFormat="false" ht="15" hidden="false" customHeight="false" outlineLevel="0" collapsed="false">
      <c r="A36066" s="3" t="s">
        <v>321</v>
      </c>
      <c r="C36066" s="31" t="n">
        <f aca="false">CHOOSE($C$36031,Assumptions!$C$87,Assumptions!$C$106,Assumptions!$C$125)</f>
        <v>0.1</v>
      </c>
    </row>
    <row r="36067" customFormat="false" ht="15" hidden="false" customHeight="false" outlineLevel="0" collapsed="false">
      <c r="A36067" s="3" t="s">
        <v>322</v>
      </c>
      <c r="C36067" s="32" t="n">
        <f aca="false">CHOOSE($C$36031,Assumptions!$C$88,Assumptions!$C$107,Assumptions!$C$126)</f>
        <v>9.5</v>
      </c>
    </row>
    <row r="36068" customFormat="false" ht="15" hidden="false" customHeight="false" outlineLevel="0" collapsed="false">
      <c r="A36068" s="3" t="s">
        <v>323</v>
      </c>
      <c r="C36068" s="32" t="n">
        <f aca="false">CHOOSE($C$36031,Assumptions!$C$89,Assumptions!$C$108,Assumptions!$C$127)</f>
        <v>1.5</v>
      </c>
    </row>
    <row r="36069" customFormat="false" ht="15" hidden="false" customHeight="false" outlineLevel="0" collapsed="false">
      <c r="A36069" s="3" t="s">
        <v>324</v>
      </c>
      <c r="G36069" s="16" t="n">
        <f aca="false">G36074+G36087+G36100+G36113+G36126+G36139+G36152+G36165+G36178+G36191</f>
        <v>2625.934</v>
      </c>
      <c r="H36069" s="16" t="n">
        <f aca="false">H36074+H36087+H36100+H36113+H36126+H36139+H36152+H36165+H36178+H36191</f>
        <v>2621.934</v>
      </c>
      <c r="I36069" s="16" t="n">
        <f aca="false">I36074+I36087+I36100+I36113+I36126+I36139+I36152+I36165+I36178+I36191</f>
        <v>2569.380357881</v>
      </c>
      <c r="J36069" s="16" t="n">
        <f aca="false">J36074+J36087+J36100+J36113+J36126+J36139+J36152+J36165+J36178+J36191</f>
        <v>2565.380357881</v>
      </c>
      <c r="K36069" s="16" t="n">
        <f aca="false">K36074+K36087+K36100+K36113+K36126+K36139+K36152+K36165+K36178+K36191</f>
        <v>2561.380357881</v>
      </c>
    </row>
    <row r="36070" customFormat="false" ht="15" hidden="false" customHeight="false" outlineLevel="0" collapsed="false">
      <c r="A36070" s="3" t="s">
        <v>325</v>
      </c>
      <c r="G36070" s="16" t="n">
        <f aca="false">F36262</f>
        <v>37.87</v>
      </c>
      <c r="H36070" s="16" t="n">
        <f aca="false">G36262</f>
        <v>122.9474204</v>
      </c>
      <c r="I36070" s="16" t="n">
        <f aca="false">H36262</f>
        <v>0</v>
      </c>
      <c r="J36070" s="16" t="n">
        <f aca="false">I36262</f>
        <v>-70.8793844172995</v>
      </c>
      <c r="K36070" s="16" t="n">
        <f aca="false">J36262</f>
        <v>-137.895771657719</v>
      </c>
    </row>
    <row r="36071" customFormat="false" ht="15" hidden="false" customHeight="false" outlineLevel="0" collapsed="false">
      <c r="A36071" s="3" t="s">
        <v>326</v>
      </c>
      <c r="G36071" s="16" t="n">
        <f aca="false">G36074*IF(G36075=1,$C$36066,IF(Assumptions!$I$57=1,MAX(G36064,Assumptions!$G$57)+Assumptions!$F$57+$C$36065,Assumptions!$E$57))+G36087*IF(G36088=1,$C$36066,IF(Assumptions!$I$58=1,MAX(G36064,Assumptions!$G$58)+Assumptions!$F$58+$C$36065,Assumptions!$E$58))+G36100*IF(G36101=1,$C$36066,IF(Assumptions!$I$59=1,MAX(G36064,Assumptions!$G$59)+Assumptions!$F$59+$C$36065,Assumptions!$E$59))+G36113*IF(G36114=1,$C$36066,IF(Assumptions!$I$60=1,MAX(G36064,Assumptions!$G$60)+Assumptions!$F$60+$C$36065,Assumptions!$E$60))+G36126*IF(G36127=1,$C$36066,IF(Assumptions!$I$61=1,MAX(G36064,Assumptions!$G$61)+Assumptions!$F$61+$C$36065,Assumptions!$E$61))+G36139*IF(G36140=1,$C$36066,IF(Assumptions!$I$62=1,MAX(G36064,Assumptions!$G$62)+Assumptions!$F$62+$C$36065,Assumptions!$E$62))+G36152*IF(G36153=1,$C$36066,IF(Assumptions!$I$63=1,MAX(G36064,Assumptions!$G$63)+Assumptions!$F$63+$C$36065,Assumptions!$E$63))+G36165*IF(G36166=1,$C$36066,IF(Assumptions!$I$64=1,MAX(G36064,Assumptions!$G$64)+Assumptions!$F$64+$C$36065,Assumptions!$E$64))+G36178*IF(G36179=1,$C$36066,IF(Assumptions!$I$65=1,MAX(G36064,Assumptions!$G$65)+Assumptions!$F$65+$C$36065,Assumptions!$E$65))+G36191*IF(G36192=1,$C$36066,IF(Assumptions!$I$66=1,MAX(G36064,Assumptions!$G$66)+Assumptions!$F$66+$C$36065,Assumptions!$E$66))</f>
        <v>187.3888354</v>
      </c>
      <c r="H36071" s="16" t="n">
        <f aca="false">H36074*IF(OR(H36075=1,G36384=1),$C$36066,IF(Assumptions!$I$57=1,MAX(H36064,Assumptions!$G$57)+Assumptions!$F$57+$C$36065,Assumptions!$E$57))+H36087*IF(OR(H36088=1,G36385=1),$C$36066,IF(Assumptions!$I$58=1,MAX(H36064,Assumptions!$G$58)+Assumptions!$F$58+$C$36065,Assumptions!$E$58))+H36100*IF(OR(H36101=1,G36386=1),$C$36066,IF(Assumptions!$I$59=1,MAX(H36064,Assumptions!$G$59)+Assumptions!$F$59+$C$36065,Assumptions!$E$59))+H36113*IF(OR(H36114=1,G36387=1),$C$36066,IF(Assumptions!$I$60=1,MAX(H36064,Assumptions!$G$60)+Assumptions!$F$60+$C$36065,Assumptions!$E$60))+H36126*IF(OR(H36127=1,G36388=1),$C$36066,IF(Assumptions!$I$61=1,MAX(H36064,Assumptions!$G$61)+Assumptions!$F$61+$C$36065,Assumptions!$E$61))+H36139*IF(OR(H36140=1,G36389=1),$C$36066,IF(Assumptions!$I$62=1,MAX(H36064,Assumptions!$G$62)+Assumptions!$F$62+$C$36065,Assumptions!$E$62))+H36152*IF(OR(H36153=1,G36390=1),$C$36066,IF(Assumptions!$I$63=1,MAX(H36064,Assumptions!$G$63)+Assumptions!$F$63+$C$36065,Assumptions!$E$63))+H36165*IF(OR(H36166=1,G36391=1),$C$36066,IF(Assumptions!$I$64=1,MAX(H36064,Assumptions!$G$64)+Assumptions!$F$64+$C$36065,Assumptions!$E$64))+H36178*IF(OR(H36179=1,G36392=1),$C$36066,IF(Assumptions!$I$65=1,MAX(H36064,Assumptions!$G$65)+Assumptions!$F$65+$C$36065,Assumptions!$E$65))+H36191*IF(OR(H36192=1,G36393=1),$C$36066,IF(Assumptions!$I$66=1,MAX(H36064,Assumptions!$G$66)+Assumptions!$F$66+$C$36065,Assumptions!$E$66))</f>
        <v>219.4259204</v>
      </c>
      <c r="I36071" s="16" t="n">
        <f aca="false">I36074*IF(OR(I36075=1,H36384=1),$C$36066,IF(Assumptions!$I$57=1,MAX(I36064,Assumptions!$G$57)+Assumptions!$F$57+$C$36065,Assumptions!$E$57))+I36087*IF(OR(I36088=1,H36385=1),$C$36066,IF(Assumptions!$I$58=1,MAX(I36064,Assumptions!$G$58)+Assumptions!$F$58+$C$36065,Assumptions!$E$58))+I36100*IF(OR(I36101=1,H36386=1),$C$36066,IF(Assumptions!$I$59=1,MAX(I36064,Assumptions!$G$59)+Assumptions!$F$59+$C$36065,Assumptions!$E$59))+I36113*IF(OR(I36114=1,H36387=1),$C$36066,IF(Assumptions!$I$60=1,MAX(I36064,Assumptions!$G$60)+Assumptions!$F$60+$C$36065,Assumptions!$E$60))+I36126*IF(OR(I36127=1,H36388=1),$C$36066,IF(Assumptions!$I$61=1,MAX(I36064,Assumptions!$G$61)+Assumptions!$F$61+$C$36065,Assumptions!$E$61))+I36139*IF(OR(I36140=1,H36389=1),$C$36066,IF(Assumptions!$I$62=1,MAX(I36064,Assumptions!$G$62)+Assumptions!$F$62+$C$36065,Assumptions!$E$62))+I36152*IF(OR(I36153=1,H36390=1),$C$36066,IF(Assumptions!$I$63=1,MAX(I36064,Assumptions!$G$63)+Assumptions!$F$63+$C$36065,Assumptions!$E$63))+I36165*IF(OR(I36166=1,H36391=1),$C$36066,IF(Assumptions!$I$64=1,MAX(I36064,Assumptions!$G$64)+Assumptions!$F$64+$C$36065,Assumptions!$E$64))+I36178*IF(OR(I36179=1,H36392=1),$C$36066,IF(Assumptions!$I$65=1,MAX(I36064,Assumptions!$G$65)+Assumptions!$F$65+$C$36065,Assumptions!$E$65))+I36191*IF(OR(I36192=1,H36393=1),$C$36066,IF(Assumptions!$I$66=1,MAX(I36064,Assumptions!$G$66)+Assumptions!$F$66+$C$36065,Assumptions!$E$66))</f>
        <v>188.9240265363</v>
      </c>
      <c r="J36071" s="16" t="n">
        <f aca="false">J36074*IF(OR(J36075=1,I36384=1),$C$36066,IF(Assumptions!$I$57=1,MAX(J36064,Assumptions!$G$57)+Assumptions!$F$57+$C$36065,Assumptions!$E$57))+J36087*IF(OR(J36088=1,I36385=1),$C$36066,IF(Assumptions!$I$58=1,MAX(J36064,Assumptions!$G$58)+Assumptions!$F$58+$C$36065,Assumptions!$E$58))+J36100*IF(OR(J36101=1,I36386=1),$C$36066,IF(Assumptions!$I$59=1,MAX(J36064,Assumptions!$G$59)+Assumptions!$F$59+$C$36065,Assumptions!$E$59))+J36113*IF(OR(J36114=1,I36387=1),$C$36066,IF(Assumptions!$I$60=1,MAX(J36064,Assumptions!$G$60)+Assumptions!$F$60+$C$36065,Assumptions!$E$60))+J36126*IF(OR(J36127=1,I36388=1),$C$36066,IF(Assumptions!$I$61=1,MAX(J36064,Assumptions!$G$61)+Assumptions!$F$61+$C$36065,Assumptions!$E$61))+J36139*IF(OR(J36140=1,I36389=1),$C$36066,IF(Assumptions!$I$62=1,MAX(J36064,Assumptions!$G$62)+Assumptions!$F$62+$C$36065,Assumptions!$E$62))+J36152*IF(OR(J36153=1,I36390=1),$C$36066,IF(Assumptions!$I$63=1,MAX(J36064,Assumptions!$G$63)+Assumptions!$F$63+$C$36065,Assumptions!$E$63))+J36165*IF(OR(J36166=1,I36391=1),$C$36066,IF(Assumptions!$I$64=1,MAX(J36064,Assumptions!$G$64)+Assumptions!$F$64+$C$36065,Assumptions!$E$64))+J36178*IF(OR(J36179=1,I36392=1),$C$36066,IF(Assumptions!$I$65=1,MAX(J36064,Assumptions!$G$65)+Assumptions!$F$65+$C$36065,Assumptions!$E$65))+J36191*IF(OR(J36192=1,I36393=1),$C$36066,IF(Assumptions!$I$66=1,MAX(J36064,Assumptions!$G$66)+Assumptions!$F$66+$C$36065,Assumptions!$E$66))</f>
        <v>201.401526536299</v>
      </c>
      <c r="K36071" s="16" t="n">
        <f aca="false">K36074*IF(OR(K36075=1,J36384=1),$C$36066,IF(Assumptions!$I$57=1,MAX(K36064,Assumptions!$G$57)+Assumptions!$F$57+$C$36065,Assumptions!$E$57))+K36087*IF(OR(K36088=1,J36385=1),$C$36066,IF(Assumptions!$I$58=1,MAX(K36064,Assumptions!$G$58)+Assumptions!$F$58+$C$36065,Assumptions!$E$58))+K36100*IF(OR(K36101=1,J36386=1),$C$36066,IF(Assumptions!$I$59=1,MAX(K36064,Assumptions!$G$59)+Assumptions!$F$59+$C$36065,Assumptions!$E$59))+K36113*IF(OR(K36114=1,J36387=1),$C$36066,IF(Assumptions!$I$60=1,MAX(K36064,Assumptions!$G$60)+Assumptions!$F$60+$C$36065,Assumptions!$E$60))+K36126*IF(OR(K36127=1,J36388=1),$C$36066,IF(Assumptions!$I$61=1,MAX(K36064,Assumptions!$G$61)+Assumptions!$F$61+$C$36065,Assumptions!$E$61))+K36139*IF(OR(K36140=1,J36389=1),$C$36066,IF(Assumptions!$I$62=1,MAX(K36064,Assumptions!$G$62)+Assumptions!$F$62+$C$36065,Assumptions!$E$62))+K36152*IF(OR(K36153=1,J36390=1),$C$36066,IF(Assumptions!$I$63=1,MAX(K36064,Assumptions!$G$63)+Assumptions!$F$63+$C$36065,Assumptions!$E$63))+K36165*IF(OR(K36166=1,J36391=1),$C$36066,IF(Assumptions!$I$64=1,MAX(K36064,Assumptions!$G$64)+Assumptions!$F$64+$C$36065,Assumptions!$E$64))+K36178*IF(OR(K36179=1,J36392=1),$C$36066,IF(Assumptions!$I$65=1,MAX(K36064,Assumptions!$G$65)+Assumptions!$F$65+$C$36065,Assumptions!$E$65))+K36191*IF(OR(K36192=1,J36393=1),$C$36066,IF(Assumptions!$I$66=1,MAX(K36064,Assumptions!$G$66)+Assumptions!$F$66+$C$36065,Assumptions!$E$66))</f>
        <v>192.5815265363</v>
      </c>
    </row>
    <row r="36072" customFormat="false" ht="15" hidden="false" customHeight="false" outlineLevel="0" collapsed="false">
      <c r="A36072" s="3" t="s">
        <v>327</v>
      </c>
      <c r="G36072" s="21" t="n">
        <f aca="false">IF(G36048&lt;=0,0,IF(AND((G36069-G36070)/G36048&lt;=$C$36067,G36048/G36071&gt;=$C$36068),1,0))</f>
        <v>0</v>
      </c>
      <c r="H36072" s="21" t="n">
        <f aca="false">IF(H36048&lt;=0,0,IF(AND((H36069-H36070)/H36048&lt;=$C$36067,H36048/H36071&gt;=$C$36068),1,0))</f>
        <v>0</v>
      </c>
      <c r="I36072" s="21" t="n">
        <f aca="false">IF(I36048&lt;=0,0,IF(AND((I36069-I36070)/I36048&lt;=$C$36067,I36048/I36071&gt;=$C$36068),1,0))</f>
        <v>0</v>
      </c>
      <c r="J36072" s="21" t="n">
        <f aca="false">IF(J36048&lt;=0,0,IF(AND((J36069-J36070)/J36048&lt;=$C$36067,J36048/J36071&gt;=$C$36068),1,0))</f>
        <v>0</v>
      </c>
      <c r="K36072" s="21" t="n">
        <f aca="false">IF(K36048&lt;=0,0,IF(AND((K36069-K36070)/K36048&lt;=$C$36067,K36048/K36071&gt;=$C$36068),1,0))</f>
        <v>0</v>
      </c>
    </row>
    <row r="36073" customFormat="false" ht="15" hidden="false" customHeight="false" outlineLevel="0" collapsed="false">
      <c r="A36073" s="24" t="s">
        <v>328</v>
      </c>
      <c r="B36073" s="25"/>
      <c r="C36073" s="25"/>
      <c r="D36073" s="25"/>
      <c r="E36073" s="25"/>
      <c r="F36073" s="25"/>
      <c r="G36073" s="25"/>
      <c r="H36073" s="25"/>
      <c r="I36073" s="25"/>
      <c r="J36073" s="25"/>
      <c r="K36073" s="25"/>
    </row>
    <row r="36074" customFormat="false" ht="15" hidden="false" customHeight="false" outlineLevel="0" collapsed="false">
      <c r="A36074" s="3" t="s">
        <v>329</v>
      </c>
      <c r="G36074" s="16" t="n">
        <f aca="false">F36085</f>
        <v>400</v>
      </c>
      <c r="H36074" s="16" t="n">
        <f aca="false">G36085</f>
        <v>396</v>
      </c>
      <c r="I36074" s="16" t="n">
        <f aca="false">H36085</f>
        <v>392</v>
      </c>
      <c r="J36074" s="16" t="n">
        <f aca="false">I36085</f>
        <v>388</v>
      </c>
      <c r="K36074" s="16" t="n">
        <f aca="false">J36085</f>
        <v>384</v>
      </c>
    </row>
    <row r="36075" customFormat="false" ht="15" hidden="false" customHeight="false" outlineLevel="0" collapsed="false">
      <c r="A36075" s="3" t="s">
        <v>330</v>
      </c>
      <c r="G36075" s="21" t="n">
        <f aca="false">IF(G36038=Assumptions!$K$57,1,0)</f>
        <v>0</v>
      </c>
      <c r="H36075" s="21" t="n">
        <f aca="false">IF(H36038=Assumptions!$K$57,1,0)</f>
        <v>0</v>
      </c>
      <c r="I36075" s="21" t="n">
        <f aca="false">IF(I36038=Assumptions!$K$57,1,0)</f>
        <v>0</v>
      </c>
      <c r="J36075" s="21" t="n">
        <f aca="false">IF(J36038=Assumptions!$K$57,1,0)</f>
        <v>0</v>
      </c>
      <c r="K36075" s="21" t="n">
        <f aca="false">IF(K36038=Assumptions!$K$57,1,0)</f>
        <v>1</v>
      </c>
    </row>
    <row r="36077" customFormat="false" ht="15" hidden="false" customHeight="false" outlineLevel="0" collapsed="false">
      <c r="A36077" s="3" t="s">
        <v>331</v>
      </c>
      <c r="G36077" s="31" t="n">
        <f aca="false">IF(Assumptions!$I$57=1,MAX(G36064,Assumptions!$G$57)+Assumptions!$F$57+$C$36065,Assumptions!$E$57)</f>
        <v>0.1065</v>
      </c>
      <c r="H36077" s="31" t="n">
        <f aca="false">IF(G36384=1,$C$36066,IF(Assumptions!$I$57=1,MAX(H36064,Assumptions!$G$57)+Assumptions!$F$57+$C$36065,Assumptions!$E$57))</f>
        <v>0.105</v>
      </c>
      <c r="I36077" s="31" t="n">
        <f aca="false">IF(H36384=1,$C$36066,IF(Assumptions!$I$57=1,MAX(I36064,Assumptions!$G$57)+Assumptions!$F$57+$C$36065,Assumptions!$E$57))</f>
        <v>0.1025</v>
      </c>
      <c r="J36077" s="31" t="n">
        <f aca="false">IF(I36384=1,$C$36066,IF(Assumptions!$I$57=1,MAX(J36064,Assumptions!$G$57)+Assumptions!$F$57+$C$36065,Assumptions!$E$57))</f>
        <v>0.1025</v>
      </c>
      <c r="K36077" s="31" t="n">
        <f aca="false">IF(J36384=1,$C$36066,IF(Assumptions!$I$57=1,MAX(K36064,Assumptions!$G$57)+Assumptions!$F$57+$C$36065,Assumptions!$E$57))</f>
        <v>0.1025</v>
      </c>
    </row>
    <row r="36078" customFormat="false" ht="15" hidden="false" customHeight="false" outlineLevel="0" collapsed="false">
      <c r="A36078" s="3" t="s">
        <v>332</v>
      </c>
      <c r="G36078" s="16" t="n">
        <f aca="false">G36074*G36077</f>
        <v>42.6</v>
      </c>
      <c r="H36078" s="16" t="n">
        <f aca="false">H36074*H36077</f>
        <v>41.58</v>
      </c>
      <c r="I36078" s="16" t="n">
        <f aca="false">I36074*I36077</f>
        <v>40.18</v>
      </c>
      <c r="J36078" s="16" t="n">
        <f aca="false">J36074*J36077</f>
        <v>39.77</v>
      </c>
      <c r="K36078" s="16" t="n">
        <f aca="false">K36074*K36077</f>
        <v>39.36</v>
      </c>
    </row>
    <row r="36079" customFormat="false" ht="15" hidden="false" customHeight="false" outlineLevel="0" collapsed="false">
      <c r="A36079" s="3" t="s">
        <v>333</v>
      </c>
      <c r="G36079" s="16" t="n">
        <f aca="false">G36074*Assumptions!$H$57</f>
        <v>0</v>
      </c>
      <c r="H36079" s="16" t="n">
        <f aca="false">H36074*Assumptions!$H$57</f>
        <v>0</v>
      </c>
      <c r="I36079" s="16" t="n">
        <f aca="false">I36074*Assumptions!$H$57</f>
        <v>0</v>
      </c>
      <c r="J36079" s="16" t="n">
        <f aca="false">J36074*Assumptions!$H$57</f>
        <v>0</v>
      </c>
      <c r="K36079" s="16" t="n">
        <f aca="false">K36074*Assumptions!$H$57</f>
        <v>0</v>
      </c>
    </row>
    <row r="36080" customFormat="false" ht="15" hidden="false" customHeight="false" outlineLevel="0" collapsed="false">
      <c r="A36080" s="3" t="s">
        <v>334</v>
      </c>
      <c r="G36080" s="16" t="n">
        <f aca="false">MIN(G36074,Assumptions!$L$57*Assumptions!$C$57)</f>
        <v>4</v>
      </c>
      <c r="H36080" s="16" t="n">
        <f aca="false">MIN(H36074,Assumptions!$L$57*Assumptions!$C$57)</f>
        <v>4</v>
      </c>
      <c r="I36080" s="16" t="n">
        <f aca="false">MIN(I36074,Assumptions!$L$57*Assumptions!$C$57)</f>
        <v>4</v>
      </c>
      <c r="J36080" s="16" t="n">
        <f aca="false">MIN(J36074,Assumptions!$L$57*Assumptions!$C$57)</f>
        <v>4</v>
      </c>
      <c r="K36080" s="16" t="n">
        <f aca="false">MIN(K36074,Assumptions!$L$57*Assumptions!$C$57)</f>
        <v>4</v>
      </c>
    </row>
    <row r="36081" customFormat="false" ht="15" hidden="false" customHeight="false" outlineLevel="0" collapsed="false">
      <c r="A36081" s="3" t="s">
        <v>335</v>
      </c>
      <c r="G36081" s="16" t="n">
        <f aca="false">IF(AND(Assumptions!$P$57=1,G36038&lt;Assumptions!$K$57),MIN(MAX(0,-G36254),MAX(0,Assumptions!$D$57-G36074)),0)</f>
        <v>0</v>
      </c>
      <c r="H36081" s="16" t="n">
        <f aca="false">IF(AND(Assumptions!$P$57=1,OR(H36038&lt;Assumptions!$K$57,G36384=1)),MIN(MAX(0,-H36254),MAX(0,Assumptions!$D$57-H36074)),0)</f>
        <v>0</v>
      </c>
      <c r="I36081" s="16" t="n">
        <f aca="false">IF(AND(Assumptions!$P$57=1,OR(I36038&lt;Assumptions!$K$57,H36384=1)),MIN(MAX(0,-I36254),MAX(0,Assumptions!$D$57-I36074)),0)</f>
        <v>0</v>
      </c>
      <c r="J36081" s="16" t="n">
        <f aca="false">IF(AND(Assumptions!$P$57=1,OR(J36038&lt;Assumptions!$K$57,I36384=1)),MIN(MAX(0,-J36254),MAX(0,Assumptions!$D$57-J36074)),0)</f>
        <v>0</v>
      </c>
      <c r="K36081" s="16" t="n">
        <f aca="false">IF(AND(Assumptions!$P$57=1,OR(K36038&lt;Assumptions!$K$57,J36384=1)),MIN(MAX(0,-K36254),MAX(0,Assumptions!$D$57-K36074)),0)</f>
        <v>0</v>
      </c>
    </row>
    <row r="36082" customFormat="false" ht="15" hidden="false" customHeight="false" outlineLevel="0" collapsed="false">
      <c r="A36082" s="3" t="s">
        <v>336</v>
      </c>
      <c r="G36082" s="16" t="n">
        <f aca="false">G36075*MIN(G36074-G36080+G36079,MAX(0,G36256-Assumptions!$C$12*G36072))</f>
        <v>0</v>
      </c>
      <c r="H36082" s="16" t="n">
        <f aca="false">H36075*MIN(H36074-H36080+H36079,MAX(0,H36256-Assumptions!$C$12*H36072))</f>
        <v>0</v>
      </c>
      <c r="I36082" s="16" t="n">
        <f aca="false">I36075*MIN(I36074-I36080+I36079,MAX(0,I36256-Assumptions!$C$12*I36072))</f>
        <v>0</v>
      </c>
      <c r="J36082" s="16" t="n">
        <f aca="false">J36075*MIN(J36074-J36080+J36079,MAX(0,J36256-Assumptions!$C$12*J36072))</f>
        <v>0</v>
      </c>
      <c r="K36082" s="16" t="n">
        <f aca="false">K36075*MIN(K36074-K36080+K36079,MAX(0,K36256-Assumptions!$C$12*K36072))</f>
        <v>0</v>
      </c>
    </row>
    <row r="36083" customFormat="false" ht="15" hidden="false" customHeight="false" outlineLevel="0" collapsed="false">
      <c r="A36083" s="3" t="s">
        <v>337</v>
      </c>
      <c r="G36083" s="16" t="n">
        <f aca="false">Assumptions!$N$57*MIN(G36074+G36081+G36079-G36080-G36082,MAX(0,G36260))</f>
        <v>0</v>
      </c>
      <c r="H36083" s="16" t="n">
        <f aca="false">Assumptions!$N$57*MIN(H36074+H36081+H36079-H36080-H36082,MAX(0,H36260))</f>
        <v>0</v>
      </c>
      <c r="I36083" s="16" t="n">
        <f aca="false">Assumptions!$N$57*MIN(I36074+I36081+I36079-I36080-I36082,MAX(0,I36260))</f>
        <v>0</v>
      </c>
      <c r="J36083" s="16" t="n">
        <f aca="false">Assumptions!$N$57*MIN(J36074+J36081+J36079-J36080-J36082,MAX(0,J36260))</f>
        <v>0</v>
      </c>
      <c r="K36083" s="16" t="n">
        <f aca="false">Assumptions!$N$57*MIN(K36074+K36081+K36079-K36080-K36082,MAX(0,K36260))</f>
        <v>0</v>
      </c>
    </row>
    <row r="36084" customFormat="false" ht="15" hidden="false" customHeight="false" outlineLevel="0" collapsed="false">
      <c r="A36084" s="3" t="s">
        <v>338</v>
      </c>
      <c r="G36084" s="16" t="n">
        <f aca="false">G36075*(1-G36072)*(G36074-G36080+G36079-G36082)</f>
        <v>0</v>
      </c>
      <c r="H36084" s="16" t="n">
        <f aca="false">H36075*(1-H36072)*(H36074-H36080+H36079-H36082)</f>
        <v>0</v>
      </c>
      <c r="I36084" s="16" t="n">
        <f aca="false">I36075*(1-I36072)*(I36074-I36080+I36079-I36082)</f>
        <v>0</v>
      </c>
      <c r="J36084" s="16" t="n">
        <f aca="false">J36075*(1-J36072)*(J36074-J36080+J36079-J36082)</f>
        <v>0</v>
      </c>
      <c r="K36084" s="16" t="n">
        <f aca="false">K36075*(1-K36072)*(K36074-K36080+K36079-K36082)</f>
        <v>380</v>
      </c>
    </row>
    <row r="36085" customFormat="false" ht="15" hidden="false" customHeight="false" outlineLevel="0" collapsed="false">
      <c r="A36085" s="2" t="s">
        <v>339</v>
      </c>
      <c r="F36085" s="28" t="n">
        <f aca="false">Assumptions!$C$57</f>
        <v>400</v>
      </c>
      <c r="G36085" s="17" t="n">
        <f aca="false">G36074+G36081+G36079-G36080-G36082-G36083</f>
        <v>396</v>
      </c>
      <c r="H36085" s="17" t="n">
        <f aca="false">H36074+H36081+H36079-H36080-H36082-H36083</f>
        <v>392</v>
      </c>
      <c r="I36085" s="17" t="n">
        <f aca="false">I36074+I36081+I36079-I36080-I36082-I36083</f>
        <v>388</v>
      </c>
      <c r="J36085" s="17" t="n">
        <f aca="false">J36074+J36081+J36079-J36080-J36082-J36083</f>
        <v>384</v>
      </c>
      <c r="K36085" s="17" t="n">
        <f aca="false">K36074+K36081+K36079-K36080-K36082-K36083</f>
        <v>380</v>
      </c>
    </row>
    <row r="36086" customFormat="false" ht="15" hidden="false" customHeight="false" outlineLevel="0" collapsed="false">
      <c r="A36086" s="24" t="s">
        <v>340</v>
      </c>
      <c r="B36086" s="25"/>
      <c r="C36086" s="25"/>
      <c r="D36086" s="25"/>
      <c r="E36086" s="25"/>
      <c r="F36086" s="25"/>
      <c r="G36086" s="25"/>
      <c r="H36086" s="25"/>
      <c r="I36086" s="25"/>
      <c r="J36086" s="25"/>
      <c r="K36086" s="25"/>
    </row>
    <row r="36087" customFormat="false" ht="15" hidden="false" customHeight="false" outlineLevel="0" collapsed="false">
      <c r="A36087" s="3" t="s">
        <v>329</v>
      </c>
      <c r="G36087" s="16" t="n">
        <f aca="false">F36098</f>
        <v>90</v>
      </c>
      <c r="H36087" s="16" t="n">
        <f aca="false">G36098</f>
        <v>90</v>
      </c>
      <c r="I36087" s="16" t="n">
        <f aca="false">H36098</f>
        <v>90</v>
      </c>
      <c r="J36087" s="16" t="n">
        <f aca="false">I36098</f>
        <v>90</v>
      </c>
      <c r="K36087" s="16" t="n">
        <f aca="false">J36098</f>
        <v>90</v>
      </c>
    </row>
    <row r="36088" customFormat="false" ht="15" hidden="false" customHeight="false" outlineLevel="0" collapsed="false">
      <c r="A36088" s="3" t="s">
        <v>330</v>
      </c>
      <c r="G36088" s="21" t="n">
        <f aca="false">IF(G36038=Assumptions!$K$58,1,0)</f>
        <v>0</v>
      </c>
      <c r="H36088" s="21" t="n">
        <f aca="false">IF(H36038=Assumptions!$K$58,1,0)</f>
        <v>0</v>
      </c>
      <c r="I36088" s="21" t="n">
        <f aca="false">IF(I36038=Assumptions!$K$58,1,0)</f>
        <v>0</v>
      </c>
      <c r="J36088" s="21" t="n">
        <f aca="false">IF(J36038=Assumptions!$K$58,1,0)</f>
        <v>0</v>
      </c>
      <c r="K36088" s="21" t="n">
        <f aca="false">IF(K36038=Assumptions!$K$58,1,0)</f>
        <v>0</v>
      </c>
    </row>
    <row r="36090" customFormat="false" ht="15" hidden="false" customHeight="false" outlineLevel="0" collapsed="false">
      <c r="A36090" s="3" t="s">
        <v>331</v>
      </c>
      <c r="G36090" s="31" t="n">
        <f aca="false">IF(Assumptions!$I$58=1,MAX(G36064,Assumptions!$G$58)+Assumptions!$F$58+$C$36065,Assumptions!$E$58)</f>
        <v>0.0581</v>
      </c>
      <c r="H36090" s="31" t="n">
        <f aca="false">IF(G36385=1,$C$36066,IF(Assumptions!$I$58=1,MAX(H36064,Assumptions!$G$58)+Assumptions!$F$58+$C$36065,Assumptions!$E$58))</f>
        <v>0.0581</v>
      </c>
      <c r="I36090" s="31" t="n">
        <f aca="false">IF(H36385=1,$C$36066,IF(Assumptions!$I$58=1,MAX(I36064,Assumptions!$G$58)+Assumptions!$F$58+$C$36065,Assumptions!$E$58))</f>
        <v>0.0581</v>
      </c>
      <c r="J36090" s="31" t="n">
        <f aca="false">IF(I36385=1,$C$36066,IF(Assumptions!$I$58=1,MAX(J36064,Assumptions!$G$58)+Assumptions!$F$58+$C$36065,Assumptions!$E$58))</f>
        <v>0.0581</v>
      </c>
      <c r="K36090" s="31" t="n">
        <f aca="false">IF(J36385=1,$C$36066,IF(Assumptions!$I$58=1,MAX(K36064,Assumptions!$G$58)+Assumptions!$F$58+$C$36065,Assumptions!$E$58))</f>
        <v>0.0581</v>
      </c>
    </row>
    <row r="36091" customFormat="false" ht="15" hidden="false" customHeight="false" outlineLevel="0" collapsed="false">
      <c r="A36091" s="3" t="s">
        <v>332</v>
      </c>
      <c r="G36091" s="16" t="n">
        <f aca="false">G36087*G36090</f>
        <v>5.229</v>
      </c>
      <c r="H36091" s="16" t="n">
        <f aca="false">H36087*H36090</f>
        <v>5.229</v>
      </c>
      <c r="I36091" s="16" t="n">
        <f aca="false">I36087*I36090</f>
        <v>5.229</v>
      </c>
      <c r="J36091" s="16" t="n">
        <f aca="false">J36087*J36090</f>
        <v>5.229</v>
      </c>
      <c r="K36091" s="16" t="n">
        <f aca="false">K36087*K36090</f>
        <v>5.229</v>
      </c>
    </row>
    <row r="36092" customFormat="false" ht="15" hidden="false" customHeight="false" outlineLevel="0" collapsed="false">
      <c r="A36092" s="3" t="s">
        <v>333</v>
      </c>
      <c r="G36092" s="16" t="n">
        <f aca="false">G36087*Assumptions!$H$58</f>
        <v>0</v>
      </c>
      <c r="H36092" s="16" t="n">
        <f aca="false">H36087*Assumptions!$H$58</f>
        <v>0</v>
      </c>
      <c r="I36092" s="16" t="n">
        <f aca="false">I36087*Assumptions!$H$58</f>
        <v>0</v>
      </c>
      <c r="J36092" s="16" t="n">
        <f aca="false">J36087*Assumptions!$H$58</f>
        <v>0</v>
      </c>
      <c r="K36092" s="16" t="n">
        <f aca="false">K36087*Assumptions!$H$58</f>
        <v>0</v>
      </c>
    </row>
    <row r="36093" customFormat="false" ht="15" hidden="false" customHeight="false" outlineLevel="0" collapsed="false">
      <c r="A36093" s="3" t="s">
        <v>334</v>
      </c>
      <c r="G36093" s="16" t="n">
        <f aca="false">MIN(G36087,Assumptions!$L$58*Assumptions!$C$58)</f>
        <v>0</v>
      </c>
      <c r="H36093" s="16" t="n">
        <f aca="false">MIN(H36087,Assumptions!$L$58*Assumptions!$C$58)</f>
        <v>0</v>
      </c>
      <c r="I36093" s="16" t="n">
        <f aca="false">MIN(I36087,Assumptions!$L$58*Assumptions!$C$58)</f>
        <v>0</v>
      </c>
      <c r="J36093" s="16" t="n">
        <f aca="false">MIN(J36087,Assumptions!$L$58*Assumptions!$C$58)</f>
        <v>0</v>
      </c>
      <c r="K36093" s="16" t="n">
        <f aca="false">MIN(K36087,Assumptions!$L$58*Assumptions!$C$58)</f>
        <v>0</v>
      </c>
    </row>
    <row r="36094" customFormat="false" ht="15" hidden="false" customHeight="false" outlineLevel="0" collapsed="false">
      <c r="A36094" s="3" t="s">
        <v>335</v>
      </c>
      <c r="G36094" s="16" t="n">
        <f aca="false">IF(AND(Assumptions!$P$58=1,G36038&lt;Assumptions!$K$58),MIN(MAX(0,-G36254),MAX(0,Assumptions!$D$58-G36087)),0)</f>
        <v>0</v>
      </c>
      <c r="H36094" s="16" t="n">
        <f aca="false">IF(AND(Assumptions!$P$58=1,OR(H36038&lt;Assumptions!$K$58,G36385=1)),MIN(MAX(0,-H36254),MAX(0,Assumptions!$D$58-H36087)),0)</f>
        <v>0</v>
      </c>
      <c r="I36094" s="16" t="n">
        <f aca="false">IF(AND(Assumptions!$P$58=1,OR(I36038&lt;Assumptions!$K$58,H36385=1)),MIN(MAX(0,-I36254),MAX(0,Assumptions!$D$58-I36087)),0)</f>
        <v>0</v>
      </c>
      <c r="J36094" s="16" t="n">
        <f aca="false">IF(AND(Assumptions!$P$58=1,OR(J36038&lt;Assumptions!$K$58,I36385=1)),MIN(MAX(0,-J36254),MAX(0,Assumptions!$D$58-J36087)),0)</f>
        <v>0</v>
      </c>
      <c r="K36094" s="16" t="n">
        <f aca="false">IF(AND(Assumptions!$P$58=1,OR(K36038&lt;Assumptions!$K$58,J36385=1)),MIN(MAX(0,-K36254),MAX(0,Assumptions!$D$58-K36087)),0)</f>
        <v>0</v>
      </c>
    </row>
    <row r="36095" customFormat="false" ht="15" hidden="false" customHeight="false" outlineLevel="0" collapsed="false">
      <c r="A36095" s="3" t="s">
        <v>336</v>
      </c>
      <c r="G36095" s="16" t="n">
        <f aca="false">G36088*MIN(G36087-G36093+G36092,MAX(0,G36256-Assumptions!$C$12*G36072-G36082))</f>
        <v>0</v>
      </c>
      <c r="H36095" s="16" t="n">
        <f aca="false">H36088*MIN(H36087-H36093+H36092,MAX(0,H36256-Assumptions!$C$12*H36072-H36082))</f>
        <v>0</v>
      </c>
      <c r="I36095" s="16" t="n">
        <f aca="false">I36088*MIN(I36087-I36093+I36092,MAX(0,I36256-Assumptions!$C$12*I36072-I36082))</f>
        <v>0</v>
      </c>
      <c r="J36095" s="16" t="n">
        <f aca="false">J36088*MIN(J36087-J36093+J36092,MAX(0,J36256-Assumptions!$C$12*J36072-J36082))</f>
        <v>0</v>
      </c>
      <c r="K36095" s="16" t="n">
        <f aca="false">K36088*MIN(K36087-K36093+K36092,MAX(0,K36256-Assumptions!$C$12*K36072-K36082))</f>
        <v>0</v>
      </c>
    </row>
    <row r="36096" customFormat="false" ht="15" hidden="false" customHeight="false" outlineLevel="0" collapsed="false">
      <c r="A36096" s="3" t="s">
        <v>337</v>
      </c>
      <c r="G36096" s="16" t="n">
        <f aca="false">Assumptions!$N$58*MIN(G36087+G36094+G36092-G36093-G36095,MAX(0,G36260-G36083))</f>
        <v>0</v>
      </c>
      <c r="H36096" s="16" t="n">
        <f aca="false">Assumptions!$N$58*MIN(H36087+H36094+H36092-H36093-H36095,MAX(0,H36260-H36083))</f>
        <v>0</v>
      </c>
      <c r="I36096" s="16" t="n">
        <f aca="false">Assumptions!$N$58*MIN(I36087+I36094+I36092-I36093-I36095,MAX(0,I36260-I36083))</f>
        <v>0</v>
      </c>
      <c r="J36096" s="16" t="n">
        <f aca="false">Assumptions!$N$58*MIN(J36087+J36094+J36092-J36093-J36095,MAX(0,J36260-J36083))</f>
        <v>0</v>
      </c>
      <c r="K36096" s="16" t="n">
        <f aca="false">Assumptions!$N$58*MIN(K36087+K36094+K36092-K36093-K36095,MAX(0,K36260-K36083))</f>
        <v>0</v>
      </c>
    </row>
    <row r="36097" customFormat="false" ht="15" hidden="false" customHeight="false" outlineLevel="0" collapsed="false">
      <c r="A36097" s="3" t="s">
        <v>338</v>
      </c>
      <c r="G36097" s="16" t="n">
        <f aca="false">G36088*(1-G36072)*(G36087-G36093+G36092-G36095)</f>
        <v>0</v>
      </c>
      <c r="H36097" s="16" t="n">
        <f aca="false">H36088*(1-H36072)*(H36087-H36093+H36092-H36095)</f>
        <v>0</v>
      </c>
      <c r="I36097" s="16" t="n">
        <f aca="false">I36088*(1-I36072)*(I36087-I36093+I36092-I36095)</f>
        <v>0</v>
      </c>
      <c r="J36097" s="16" t="n">
        <f aca="false">J36088*(1-J36072)*(J36087-J36093+J36092-J36095)</f>
        <v>0</v>
      </c>
      <c r="K36097" s="16" t="n">
        <f aca="false">K36088*(1-K36072)*(K36087-K36093+K36092-K36095)</f>
        <v>0</v>
      </c>
    </row>
    <row r="36098" customFormat="false" ht="15" hidden="false" customHeight="false" outlineLevel="0" collapsed="false">
      <c r="A36098" s="2" t="s">
        <v>339</v>
      </c>
      <c r="F36098" s="28" t="n">
        <f aca="false">Assumptions!$C$58</f>
        <v>90</v>
      </c>
      <c r="G36098" s="17" t="n">
        <f aca="false">G36087+G36094+G36092-G36093-G36095-G36096</f>
        <v>90</v>
      </c>
      <c r="H36098" s="17" t="n">
        <f aca="false">H36087+H36094+H36092-H36093-H36095-H36096</f>
        <v>90</v>
      </c>
      <c r="I36098" s="17" t="n">
        <f aca="false">I36087+I36094+I36092-I36093-I36095-I36096</f>
        <v>90</v>
      </c>
      <c r="J36098" s="17" t="n">
        <f aca="false">J36087+J36094+J36092-J36093-J36095-J36096</f>
        <v>90</v>
      </c>
      <c r="K36098" s="17" t="n">
        <f aca="false">K36087+K36094+K36092-K36093-K36095-K36096</f>
        <v>90</v>
      </c>
    </row>
    <row r="36099" customFormat="false" ht="15" hidden="false" customHeight="false" outlineLevel="0" collapsed="false">
      <c r="A36099" s="24" t="s">
        <v>341</v>
      </c>
      <c r="B36099" s="25"/>
      <c r="C36099" s="25"/>
      <c r="D36099" s="25"/>
      <c r="E36099" s="25"/>
      <c r="F36099" s="25"/>
      <c r="G36099" s="25"/>
      <c r="H36099" s="25"/>
      <c r="I36099" s="25"/>
      <c r="J36099" s="25"/>
      <c r="K36099" s="25"/>
    </row>
    <row r="36100" customFormat="false" ht="15" hidden="false" customHeight="false" outlineLevel="0" collapsed="false">
      <c r="A36100" s="3" t="s">
        <v>329</v>
      </c>
      <c r="G36100" s="16" t="n">
        <f aca="false">F36111</f>
        <v>57.324</v>
      </c>
      <c r="H36100" s="16" t="n">
        <f aca="false">G36111</f>
        <v>57.324</v>
      </c>
      <c r="I36100" s="16" t="n">
        <f aca="false">H36111</f>
        <v>57.324</v>
      </c>
      <c r="J36100" s="16" t="n">
        <f aca="false">I36111</f>
        <v>57.324</v>
      </c>
      <c r="K36100" s="16" t="n">
        <f aca="false">J36111</f>
        <v>57.324</v>
      </c>
    </row>
    <row r="36101" customFormat="false" ht="15" hidden="false" customHeight="false" outlineLevel="0" collapsed="false">
      <c r="A36101" s="3" t="s">
        <v>330</v>
      </c>
      <c r="G36101" s="21" t="n">
        <f aca="false">IF(G36038=Assumptions!$K$59,1,0)</f>
        <v>0</v>
      </c>
      <c r="H36101" s="21" t="n">
        <f aca="false">IF(H36038=Assumptions!$K$59,1,0)</f>
        <v>0</v>
      </c>
      <c r="I36101" s="21" t="n">
        <f aca="false">IF(I36038=Assumptions!$K$59,1,0)</f>
        <v>0</v>
      </c>
      <c r="J36101" s="21" t="n">
        <f aca="false">IF(J36038=Assumptions!$K$59,1,0)</f>
        <v>0</v>
      </c>
      <c r="K36101" s="21" t="n">
        <f aca="false">IF(K36038=Assumptions!$K$59,1,0)</f>
        <v>0</v>
      </c>
    </row>
    <row r="36103" customFormat="false" ht="15" hidden="false" customHeight="false" outlineLevel="0" collapsed="false">
      <c r="A36103" s="3" t="s">
        <v>331</v>
      </c>
      <c r="G36103" s="31" t="n">
        <f aca="false">IF(Assumptions!$I$59=1,MAX(G36064,Assumptions!$G$59)+Assumptions!$F$59+$C$36065,Assumptions!$E$59)</f>
        <v>0.0731</v>
      </c>
      <c r="H36103" s="31" t="n">
        <f aca="false">IF(G36386=1,$C$36066,IF(Assumptions!$I$59=1,MAX(H36064,Assumptions!$G$59)+Assumptions!$F$59+$C$36065,Assumptions!$E$59))</f>
        <v>0.0731</v>
      </c>
      <c r="I36103" s="31" t="n">
        <f aca="false">IF(H36386=1,$C$36066,IF(Assumptions!$I$59=1,MAX(I36064,Assumptions!$G$59)+Assumptions!$F$59+$C$36065,Assumptions!$E$59))</f>
        <v>0.0731</v>
      </c>
      <c r="J36103" s="31" t="n">
        <f aca="false">IF(I36386=1,$C$36066,IF(Assumptions!$I$59=1,MAX(J36064,Assumptions!$G$59)+Assumptions!$F$59+$C$36065,Assumptions!$E$59))</f>
        <v>0.0731</v>
      </c>
      <c r="K36103" s="31" t="n">
        <f aca="false">IF(J36386=1,$C$36066,IF(Assumptions!$I$59=1,MAX(K36064,Assumptions!$G$59)+Assumptions!$F$59+$C$36065,Assumptions!$E$59))</f>
        <v>0.0731</v>
      </c>
    </row>
    <row r="36104" customFormat="false" ht="15" hidden="false" customHeight="false" outlineLevel="0" collapsed="false">
      <c r="A36104" s="3" t="s">
        <v>332</v>
      </c>
      <c r="G36104" s="16" t="n">
        <f aca="false">G36100*G36103</f>
        <v>4.1903844</v>
      </c>
      <c r="H36104" s="16" t="n">
        <f aca="false">H36100*H36103</f>
        <v>4.1903844</v>
      </c>
      <c r="I36104" s="16" t="n">
        <f aca="false">I36100*I36103</f>
        <v>4.1903844</v>
      </c>
      <c r="J36104" s="16" t="n">
        <f aca="false">J36100*J36103</f>
        <v>4.1903844</v>
      </c>
      <c r="K36104" s="16" t="n">
        <f aca="false">K36100*K36103</f>
        <v>4.1903844</v>
      </c>
    </row>
    <row r="36105" customFormat="false" ht="15" hidden="false" customHeight="false" outlineLevel="0" collapsed="false">
      <c r="A36105" s="3" t="s">
        <v>333</v>
      </c>
      <c r="G36105" s="16" t="n">
        <f aca="false">G36100*Assumptions!$H$59</f>
        <v>0</v>
      </c>
      <c r="H36105" s="16" t="n">
        <f aca="false">H36100*Assumptions!$H$59</f>
        <v>0</v>
      </c>
      <c r="I36105" s="16" t="n">
        <f aca="false">I36100*Assumptions!$H$59</f>
        <v>0</v>
      </c>
      <c r="J36105" s="16" t="n">
        <f aca="false">J36100*Assumptions!$H$59</f>
        <v>0</v>
      </c>
      <c r="K36105" s="16" t="n">
        <f aca="false">K36100*Assumptions!$H$59</f>
        <v>0</v>
      </c>
    </row>
    <row r="36106" customFormat="false" ht="15" hidden="false" customHeight="false" outlineLevel="0" collapsed="false">
      <c r="A36106" s="3" t="s">
        <v>334</v>
      </c>
      <c r="G36106" s="16" t="n">
        <f aca="false">MIN(G36100,Assumptions!$L$59*Assumptions!$C$59)</f>
        <v>0</v>
      </c>
      <c r="H36106" s="16" t="n">
        <f aca="false">MIN(H36100,Assumptions!$L$59*Assumptions!$C$59)</f>
        <v>0</v>
      </c>
      <c r="I36106" s="16" t="n">
        <f aca="false">MIN(I36100,Assumptions!$L$59*Assumptions!$C$59)</f>
        <v>0</v>
      </c>
      <c r="J36106" s="16" t="n">
        <f aca="false">MIN(J36100,Assumptions!$L$59*Assumptions!$C$59)</f>
        <v>0</v>
      </c>
      <c r="K36106" s="16" t="n">
        <f aca="false">MIN(K36100,Assumptions!$L$59*Assumptions!$C$59)</f>
        <v>0</v>
      </c>
    </row>
    <row r="36107" customFormat="false" ht="15" hidden="false" customHeight="false" outlineLevel="0" collapsed="false">
      <c r="A36107" s="3" t="s">
        <v>335</v>
      </c>
      <c r="G36107" s="16" t="n">
        <f aca="false">IF(AND(Assumptions!$P$59=1,G36038&lt;Assumptions!$K$59),MIN(MAX(0,-G36254),MAX(0,Assumptions!$D$59-G36100)),0)</f>
        <v>0</v>
      </c>
      <c r="H36107" s="16" t="n">
        <f aca="false">IF(AND(Assumptions!$P$59=1,OR(H36038&lt;Assumptions!$K$59,G36386=1)),MIN(MAX(0,-H36254),MAX(0,Assumptions!$D$59-H36100)),0)</f>
        <v>0</v>
      </c>
      <c r="I36107" s="16" t="n">
        <f aca="false">IF(AND(Assumptions!$P$59=1,OR(I36038&lt;Assumptions!$K$59,H36386=1)),MIN(MAX(0,-I36254),MAX(0,Assumptions!$D$59-I36100)),0)</f>
        <v>0</v>
      </c>
      <c r="J36107" s="16" t="n">
        <f aca="false">IF(AND(Assumptions!$P$59=1,OR(J36038&lt;Assumptions!$K$59,I36386=1)),MIN(MAX(0,-J36254),MAX(0,Assumptions!$D$59-J36100)),0)</f>
        <v>0</v>
      </c>
      <c r="K36107" s="16" t="n">
        <f aca="false">IF(AND(Assumptions!$P$59=1,OR(K36038&lt;Assumptions!$K$59,J36386=1)),MIN(MAX(0,-K36254),MAX(0,Assumptions!$D$59-K36100)),0)</f>
        <v>0</v>
      </c>
    </row>
    <row r="36108" customFormat="false" ht="15" hidden="false" customHeight="false" outlineLevel="0" collapsed="false">
      <c r="A36108" s="3" t="s">
        <v>336</v>
      </c>
      <c r="G36108" s="16" t="n">
        <f aca="false">G36101*MIN(G36100-G36106+G36105,MAX(0,G36256-Assumptions!$C$12*G36072-G36082-G36095))</f>
        <v>0</v>
      </c>
      <c r="H36108" s="16" t="n">
        <f aca="false">H36101*MIN(H36100-H36106+H36105,MAX(0,H36256-Assumptions!$C$12*H36072-H36082-H36095))</f>
        <v>0</v>
      </c>
      <c r="I36108" s="16" t="n">
        <f aca="false">I36101*MIN(I36100-I36106+I36105,MAX(0,I36256-Assumptions!$C$12*I36072-I36082-I36095))</f>
        <v>0</v>
      </c>
      <c r="J36108" s="16" t="n">
        <f aca="false">J36101*MIN(J36100-J36106+J36105,MAX(0,J36256-Assumptions!$C$12*J36072-J36082-J36095))</f>
        <v>0</v>
      </c>
      <c r="K36108" s="16" t="n">
        <f aca="false">K36101*MIN(K36100-K36106+K36105,MAX(0,K36256-Assumptions!$C$12*K36072-K36082-K36095))</f>
        <v>0</v>
      </c>
    </row>
    <row r="36109" customFormat="false" ht="15" hidden="false" customHeight="false" outlineLevel="0" collapsed="false">
      <c r="A36109" s="3" t="s">
        <v>337</v>
      </c>
      <c r="G36109" s="16" t="n">
        <f aca="false">Assumptions!$N$59*MIN(G36100+G36107+G36105-G36106-G36108,MAX(0,G36260-G36083-G36096))</f>
        <v>0</v>
      </c>
      <c r="H36109" s="16" t="n">
        <f aca="false">Assumptions!$N$59*MIN(H36100+H36107+H36105-H36106-H36108,MAX(0,H36260-H36083-H36096))</f>
        <v>0</v>
      </c>
      <c r="I36109" s="16" t="n">
        <f aca="false">Assumptions!$N$59*MIN(I36100+I36107+I36105-I36106-I36108,MAX(0,I36260-I36083-I36096))</f>
        <v>0</v>
      </c>
      <c r="J36109" s="16" t="n">
        <f aca="false">Assumptions!$N$59*MIN(J36100+J36107+J36105-J36106-J36108,MAX(0,J36260-J36083-J36096))</f>
        <v>0</v>
      </c>
      <c r="K36109" s="16" t="n">
        <f aca="false">Assumptions!$N$59*MIN(K36100+K36107+K36105-K36106-K36108,MAX(0,K36260-K36083-K36096))</f>
        <v>0</v>
      </c>
    </row>
    <row r="36110" customFormat="false" ht="15" hidden="false" customHeight="false" outlineLevel="0" collapsed="false">
      <c r="A36110" s="3" t="s">
        <v>338</v>
      </c>
      <c r="G36110" s="16" t="n">
        <f aca="false">G36101*(1-G36072)*(G36100-G36106+G36105-G36108)</f>
        <v>0</v>
      </c>
      <c r="H36110" s="16" t="n">
        <f aca="false">H36101*(1-H36072)*(H36100-H36106+H36105-H36108)</f>
        <v>0</v>
      </c>
      <c r="I36110" s="16" t="n">
        <f aca="false">I36101*(1-I36072)*(I36100-I36106+I36105-I36108)</f>
        <v>0</v>
      </c>
      <c r="J36110" s="16" t="n">
        <f aca="false">J36101*(1-J36072)*(J36100-J36106+J36105-J36108)</f>
        <v>0</v>
      </c>
      <c r="K36110" s="16" t="n">
        <f aca="false">K36101*(1-K36072)*(K36100-K36106+K36105-K36108)</f>
        <v>0</v>
      </c>
    </row>
    <row r="36111" customFormat="false" ht="15" hidden="false" customHeight="false" outlineLevel="0" collapsed="false">
      <c r="A36111" s="2" t="s">
        <v>339</v>
      </c>
      <c r="F36111" s="28" t="n">
        <f aca="false">Assumptions!$C$59</f>
        <v>57.324</v>
      </c>
      <c r="G36111" s="17" t="n">
        <f aca="false">G36100+G36107+G36105-G36106-G36108-G36109</f>
        <v>57.324</v>
      </c>
      <c r="H36111" s="17" t="n">
        <f aca="false">H36100+H36107+H36105-H36106-H36108-H36109</f>
        <v>57.324</v>
      </c>
      <c r="I36111" s="17" t="n">
        <f aca="false">I36100+I36107+I36105-I36106-I36108-I36109</f>
        <v>57.324</v>
      </c>
      <c r="J36111" s="17" t="n">
        <f aca="false">J36100+J36107+J36105-J36106-J36108-J36109</f>
        <v>57.324</v>
      </c>
      <c r="K36111" s="17" t="n">
        <f aca="false">K36100+K36107+K36105-K36106-K36108-K36109</f>
        <v>57.324</v>
      </c>
    </row>
    <row r="36112" customFormat="false" ht="15" hidden="false" customHeight="false" outlineLevel="0" collapsed="false">
      <c r="A36112" s="24" t="s">
        <v>342</v>
      </c>
      <c r="B36112" s="25"/>
      <c r="C36112" s="25"/>
      <c r="D36112" s="25"/>
      <c r="E36112" s="25"/>
      <c r="F36112" s="25"/>
      <c r="G36112" s="25"/>
      <c r="H36112" s="25"/>
      <c r="I36112" s="25"/>
      <c r="J36112" s="25"/>
      <c r="K36112" s="25"/>
    </row>
    <row r="36113" customFormat="false" ht="15" hidden="false" customHeight="false" outlineLevel="0" collapsed="false">
      <c r="A36113" s="3" t="s">
        <v>329</v>
      </c>
      <c r="G36113" s="16" t="n">
        <f aca="false">F36124</f>
        <v>0</v>
      </c>
      <c r="H36113" s="16" t="n">
        <f aca="false">G36124</f>
        <v>0</v>
      </c>
      <c r="I36113" s="16" t="n">
        <f aca="false">H36124</f>
        <v>0</v>
      </c>
      <c r="J36113" s="16" t="n">
        <f aca="false">I36124</f>
        <v>0</v>
      </c>
      <c r="K36113" s="16" t="n">
        <f aca="false">J36124</f>
        <v>0</v>
      </c>
    </row>
    <row r="36114" customFormat="false" ht="15" hidden="false" customHeight="false" outlineLevel="0" collapsed="false">
      <c r="A36114" s="3" t="s">
        <v>330</v>
      </c>
      <c r="G36114" s="21" t="n">
        <f aca="false">IF(G36038=Assumptions!$K$60,1,0)</f>
        <v>1</v>
      </c>
      <c r="H36114" s="21" t="n">
        <f aca="false">IF(H36038=Assumptions!$K$60,1,0)</f>
        <v>0</v>
      </c>
      <c r="I36114" s="21" t="n">
        <f aca="false">IF(I36038=Assumptions!$K$60,1,0)</f>
        <v>0</v>
      </c>
      <c r="J36114" s="21" t="n">
        <f aca="false">IF(J36038=Assumptions!$K$60,1,0)</f>
        <v>0</v>
      </c>
      <c r="K36114" s="21" t="n">
        <f aca="false">IF(K36038=Assumptions!$K$60,1,0)</f>
        <v>0</v>
      </c>
    </row>
    <row r="36116" customFormat="false" ht="15" hidden="false" customHeight="false" outlineLevel="0" collapsed="false">
      <c r="A36116" s="3" t="s">
        <v>331</v>
      </c>
      <c r="G36116" s="31" t="n">
        <f aca="false">IF(Assumptions!$I$60=1,MAX(G36064,Assumptions!$G$60)+Assumptions!$F$60+$C$36065,Assumptions!$E$60)</f>
        <v>0.069</v>
      </c>
      <c r="H36116" s="31" t="n">
        <f aca="false">IF(G36387=1,$C$36066,IF(Assumptions!$I$60=1,MAX(H36064,Assumptions!$G$60)+Assumptions!$F$60+$C$36065,Assumptions!$E$60))</f>
        <v>0.0675</v>
      </c>
      <c r="I36116" s="31" t="n">
        <f aca="false">IF(H36387=1,$C$36066,IF(Assumptions!$I$60=1,MAX(I36064,Assumptions!$G$60)+Assumptions!$F$60+$C$36065,Assumptions!$E$60))</f>
        <v>0.065</v>
      </c>
      <c r="J36116" s="31" t="n">
        <f aca="false">IF(I36387=1,$C$36066,IF(Assumptions!$I$60=1,MAX(J36064,Assumptions!$G$60)+Assumptions!$F$60+$C$36065,Assumptions!$E$60))</f>
        <v>0.065</v>
      </c>
      <c r="K36116" s="31" t="n">
        <f aca="false">IF(J36387=1,$C$36066,IF(Assumptions!$I$60=1,MAX(K36064,Assumptions!$G$60)+Assumptions!$F$60+$C$36065,Assumptions!$E$60))</f>
        <v>0.065</v>
      </c>
    </row>
    <row r="36117" customFormat="false" ht="15" hidden="false" customHeight="false" outlineLevel="0" collapsed="false">
      <c r="A36117" s="3" t="s">
        <v>332</v>
      </c>
      <c r="G36117" s="16" t="n">
        <f aca="false">G36113*G36116</f>
        <v>0</v>
      </c>
      <c r="H36117" s="16" t="n">
        <f aca="false">H36113*H36116</f>
        <v>0</v>
      </c>
      <c r="I36117" s="16" t="n">
        <f aca="false">I36113*I36116</f>
        <v>0</v>
      </c>
      <c r="J36117" s="16" t="n">
        <f aca="false">J36113*J36116</f>
        <v>0</v>
      </c>
      <c r="K36117" s="16" t="n">
        <f aca="false">K36113*K36116</f>
        <v>0</v>
      </c>
    </row>
    <row r="36118" customFormat="false" ht="15" hidden="false" customHeight="false" outlineLevel="0" collapsed="false">
      <c r="A36118" s="3" t="s">
        <v>333</v>
      </c>
      <c r="G36118" s="16" t="n">
        <f aca="false">G36113*Assumptions!$H$60</f>
        <v>0</v>
      </c>
      <c r="H36118" s="16" t="n">
        <f aca="false">H36113*Assumptions!$H$60</f>
        <v>0</v>
      </c>
      <c r="I36118" s="16" t="n">
        <f aca="false">I36113*Assumptions!$H$60</f>
        <v>0</v>
      </c>
      <c r="J36118" s="16" t="n">
        <f aca="false">J36113*Assumptions!$H$60</f>
        <v>0</v>
      </c>
      <c r="K36118" s="16" t="n">
        <f aca="false">K36113*Assumptions!$H$60</f>
        <v>0</v>
      </c>
    </row>
    <row r="36119" customFormat="false" ht="15" hidden="false" customHeight="false" outlineLevel="0" collapsed="false">
      <c r="A36119" s="3" t="s">
        <v>334</v>
      </c>
      <c r="G36119" s="16" t="n">
        <f aca="false">MIN(G36113,Assumptions!$L$60*Assumptions!$C$60)</f>
        <v>0</v>
      </c>
      <c r="H36119" s="16" t="n">
        <f aca="false">MIN(H36113,Assumptions!$L$60*Assumptions!$C$60)</f>
        <v>0</v>
      </c>
      <c r="I36119" s="16" t="n">
        <f aca="false">MIN(I36113,Assumptions!$L$60*Assumptions!$C$60)</f>
        <v>0</v>
      </c>
      <c r="J36119" s="16" t="n">
        <f aca="false">MIN(J36113,Assumptions!$L$60*Assumptions!$C$60)</f>
        <v>0</v>
      </c>
      <c r="K36119" s="16" t="n">
        <f aca="false">MIN(K36113,Assumptions!$L$60*Assumptions!$C$60)</f>
        <v>0</v>
      </c>
    </row>
    <row r="36120" customFormat="false" ht="15" hidden="false" customHeight="false" outlineLevel="0" collapsed="false">
      <c r="A36120" s="3" t="s">
        <v>335</v>
      </c>
      <c r="G36120" s="16" t="n">
        <f aca="false">IF(AND(Assumptions!$P$60=1,G36038&lt;Assumptions!$K$60),MIN(MAX(0,-G36254),MAX(0,Assumptions!$D$60-G36113)),0)</f>
        <v>0</v>
      </c>
      <c r="H36120" s="16" t="n">
        <f aca="false">IF(AND(Assumptions!$P$60=1,OR(H36038&lt;Assumptions!$K$60,G36387=1)),MIN(MAX(0,-H36254),MAX(0,Assumptions!$D$60-H36113)),0)</f>
        <v>0</v>
      </c>
      <c r="I36120" s="16" t="n">
        <f aca="false">IF(AND(Assumptions!$P$60=1,OR(I36038&lt;Assumptions!$K$60,H36387=1)),MIN(MAX(0,-I36254),MAX(0,Assumptions!$D$60-I36113)),0)</f>
        <v>0</v>
      </c>
      <c r="J36120" s="16" t="n">
        <f aca="false">IF(AND(Assumptions!$P$60=1,OR(J36038&lt;Assumptions!$K$60,I36387=1)),MIN(MAX(0,-J36254),MAX(0,Assumptions!$D$60-J36113)),0)</f>
        <v>0</v>
      </c>
      <c r="K36120" s="16" t="n">
        <f aca="false">IF(AND(Assumptions!$P$60=1,OR(K36038&lt;Assumptions!$K$60,J36387=1)),MIN(MAX(0,-K36254),MAX(0,Assumptions!$D$60-K36113)),0)</f>
        <v>0</v>
      </c>
    </row>
    <row r="36121" customFormat="false" ht="15" hidden="false" customHeight="false" outlineLevel="0" collapsed="false">
      <c r="A36121" s="3" t="s">
        <v>336</v>
      </c>
      <c r="G36121" s="16" t="n">
        <f aca="false">G36114*MIN(G36113-G36119+G36118,MAX(0,G36256-Assumptions!$C$12*G36072-G36082-G36095-G36108))</f>
        <v>0</v>
      </c>
      <c r="H36121" s="16" t="n">
        <f aca="false">H36114*MIN(H36113-H36119+H36118,MAX(0,H36256-Assumptions!$C$12*H36072-H36082-H36095-H36108))</f>
        <v>0</v>
      </c>
      <c r="I36121" s="16" t="n">
        <f aca="false">I36114*MIN(I36113-I36119+I36118,MAX(0,I36256-Assumptions!$C$12*I36072-I36082-I36095-I36108))</f>
        <v>0</v>
      </c>
      <c r="J36121" s="16" t="n">
        <f aca="false">J36114*MIN(J36113-J36119+J36118,MAX(0,J36256-Assumptions!$C$12*J36072-J36082-J36095-J36108))</f>
        <v>0</v>
      </c>
      <c r="K36121" s="16" t="n">
        <f aca="false">K36114*MIN(K36113-K36119+K36118,MAX(0,K36256-Assumptions!$C$12*K36072-K36082-K36095-K36108))</f>
        <v>0</v>
      </c>
    </row>
    <row r="36122" customFormat="false" ht="15" hidden="false" customHeight="false" outlineLevel="0" collapsed="false">
      <c r="A36122" s="3" t="s">
        <v>337</v>
      </c>
      <c r="G36122" s="16" t="n">
        <f aca="false">Assumptions!$N$60*MIN(G36113+G36120+G36118-G36119-G36121,MAX(0,G36260-G36083-G36096-G36109))</f>
        <v>0</v>
      </c>
      <c r="H36122" s="16" t="n">
        <f aca="false">Assumptions!$N$60*MIN(H36113+H36120+H36118-H36119-H36121,MAX(0,H36260-H36083-H36096-H36109))</f>
        <v>0</v>
      </c>
      <c r="I36122" s="16" t="n">
        <f aca="false">Assumptions!$N$60*MIN(I36113+I36120+I36118-I36119-I36121,MAX(0,I36260-I36083-I36096-I36109))</f>
        <v>0</v>
      </c>
      <c r="J36122" s="16" t="n">
        <f aca="false">Assumptions!$N$60*MIN(J36113+J36120+J36118-J36119-J36121,MAX(0,J36260-J36083-J36096-J36109))</f>
        <v>0</v>
      </c>
      <c r="K36122" s="16" t="n">
        <f aca="false">Assumptions!$N$60*MIN(K36113+K36120+K36118-K36119-K36121,MAX(0,K36260-K36083-K36096-K36109))</f>
        <v>0</v>
      </c>
    </row>
    <row r="36123" customFormat="false" ht="15" hidden="false" customHeight="false" outlineLevel="0" collapsed="false">
      <c r="A36123" s="3" t="s">
        <v>338</v>
      </c>
      <c r="G36123" s="16" t="n">
        <f aca="false">G36114*(1-G36072)*(G36113-G36119+G36118-G36121)</f>
        <v>0</v>
      </c>
      <c r="H36123" s="16" t="n">
        <f aca="false">H36114*(1-H36072)*(H36113-H36119+H36118-H36121)</f>
        <v>0</v>
      </c>
      <c r="I36123" s="16" t="n">
        <f aca="false">I36114*(1-I36072)*(I36113-I36119+I36118-I36121)</f>
        <v>0</v>
      </c>
      <c r="J36123" s="16" t="n">
        <f aca="false">J36114*(1-J36072)*(J36113-J36119+J36118-J36121)</f>
        <v>0</v>
      </c>
      <c r="K36123" s="16" t="n">
        <f aca="false">K36114*(1-K36072)*(K36113-K36119+K36118-K36121)</f>
        <v>0</v>
      </c>
    </row>
    <row r="36124" customFormat="false" ht="15" hidden="false" customHeight="false" outlineLevel="0" collapsed="false">
      <c r="A36124" s="2" t="s">
        <v>339</v>
      </c>
      <c r="F36124" s="28" t="n">
        <f aca="false">Assumptions!$C$60</f>
        <v>0</v>
      </c>
      <c r="G36124" s="17" t="n">
        <f aca="false">G36113+G36120+G36118-G36119-G36121-G36122</f>
        <v>0</v>
      </c>
      <c r="H36124" s="17" t="n">
        <f aca="false">H36113+H36120+H36118-H36119-H36121-H36122</f>
        <v>0</v>
      </c>
      <c r="I36124" s="17" t="n">
        <f aca="false">I36113+I36120+I36118-I36119-I36121-I36122</f>
        <v>0</v>
      </c>
      <c r="J36124" s="17" t="n">
        <f aca="false">J36113+J36120+J36118-J36119-J36121-J36122</f>
        <v>0</v>
      </c>
      <c r="K36124" s="17" t="n">
        <f aca="false">K36113+K36120+K36118-K36119-K36121-K36122</f>
        <v>0</v>
      </c>
    </row>
    <row r="36125" customFormat="false" ht="15" hidden="false" customHeight="false" outlineLevel="0" collapsed="false">
      <c r="A36125" s="24" t="s">
        <v>343</v>
      </c>
      <c r="B36125" s="25"/>
      <c r="C36125" s="25"/>
      <c r="D36125" s="25"/>
      <c r="E36125" s="25"/>
      <c r="F36125" s="25"/>
      <c r="G36125" s="25"/>
      <c r="H36125" s="25"/>
      <c r="I36125" s="25"/>
      <c r="J36125" s="25"/>
      <c r="K36125" s="25"/>
    </row>
    <row r="36126" customFormat="false" ht="15" hidden="false" customHeight="false" outlineLevel="0" collapsed="false">
      <c r="A36126" s="3" t="s">
        <v>329</v>
      </c>
      <c r="G36126" s="16" t="n">
        <f aca="false">F36137</f>
        <v>450</v>
      </c>
      <c r="H36126" s="16" t="n">
        <f aca="false">G36137</f>
        <v>450</v>
      </c>
      <c r="I36126" s="16" t="n">
        <f aca="false">H36137</f>
        <v>401.446357881</v>
      </c>
      <c r="J36126" s="16" t="n">
        <f aca="false">I36137</f>
        <v>401.446357881</v>
      </c>
      <c r="K36126" s="16" t="n">
        <f aca="false">J36137</f>
        <v>401.446357881</v>
      </c>
    </row>
    <row r="36127" customFormat="false" ht="15" hidden="false" customHeight="false" outlineLevel="0" collapsed="false">
      <c r="A36127" s="3" t="s">
        <v>330</v>
      </c>
      <c r="G36127" s="21" t="n">
        <f aca="false">IF(G36038=Assumptions!$K$61,1,0)</f>
        <v>0</v>
      </c>
      <c r="H36127" s="21" t="n">
        <f aca="false">IF(H36038=Assumptions!$K$61,1,0)</f>
        <v>1</v>
      </c>
      <c r="I36127" s="21" t="n">
        <f aca="false">IF(I36038=Assumptions!$K$61,1,0)</f>
        <v>0</v>
      </c>
      <c r="J36127" s="21" t="n">
        <f aca="false">IF(J36038=Assumptions!$K$61,1,0)</f>
        <v>0</v>
      </c>
      <c r="K36127" s="21" t="n">
        <f aca="false">IF(K36038=Assumptions!$K$61,1,0)</f>
        <v>0</v>
      </c>
    </row>
    <row r="36129" customFormat="false" ht="15" hidden="false" customHeight="false" outlineLevel="0" collapsed="false">
      <c r="A36129" s="3" t="s">
        <v>331</v>
      </c>
      <c r="G36129" s="31" t="n">
        <f aca="false">IF(Assumptions!$I$61=1,MAX(G36064,Assumptions!$G$61)+Assumptions!$F$61+$C$36065,Assumptions!$E$61)</f>
        <v>0.0395</v>
      </c>
      <c r="H36129" s="31" t="n">
        <f aca="false">IF(G36388=1,$C$36066,IF(Assumptions!$I$61=1,MAX(H36064,Assumptions!$G$61)+Assumptions!$F$61+$C$36065,Assumptions!$E$61))</f>
        <v>0.0395</v>
      </c>
      <c r="I36129" s="31" t="n">
        <f aca="false">IF(H36388=1,$C$36066,IF(Assumptions!$I$61=1,MAX(I36064,Assumptions!$G$61)+Assumptions!$F$61+$C$36065,Assumptions!$E$61))</f>
        <v>0.0395</v>
      </c>
      <c r="J36129" s="31" t="n">
        <f aca="false">IF(I36388=1,$C$36066,IF(Assumptions!$I$61=1,MAX(J36064,Assumptions!$G$61)+Assumptions!$F$61+$C$36065,Assumptions!$E$61))</f>
        <v>0.0395</v>
      </c>
      <c r="K36129" s="31" t="n">
        <f aca="false">IF(J36388=1,$C$36066,IF(Assumptions!$I$61=1,MAX(K36064,Assumptions!$G$61)+Assumptions!$F$61+$C$36065,Assumptions!$E$61))</f>
        <v>0.0395</v>
      </c>
    </row>
    <row r="36130" customFormat="false" ht="15" hidden="false" customHeight="false" outlineLevel="0" collapsed="false">
      <c r="A36130" s="3" t="s">
        <v>332</v>
      </c>
      <c r="G36130" s="16" t="n">
        <f aca="false">G36126*G36129</f>
        <v>17.775</v>
      </c>
      <c r="H36130" s="16" t="n">
        <f aca="false">H36126*H36129</f>
        <v>17.775</v>
      </c>
      <c r="I36130" s="16" t="n">
        <f aca="false">I36126*I36129</f>
        <v>15.8571311362995</v>
      </c>
      <c r="J36130" s="16" t="n">
        <f aca="false">J36126*J36129</f>
        <v>15.8571311362995</v>
      </c>
      <c r="K36130" s="16" t="n">
        <f aca="false">K36126*K36129</f>
        <v>15.8571311362995</v>
      </c>
    </row>
    <row r="36131" customFormat="false" ht="15" hidden="false" customHeight="false" outlineLevel="0" collapsed="false">
      <c r="A36131" s="3" t="s">
        <v>333</v>
      </c>
      <c r="G36131" s="16" t="n">
        <f aca="false">G36126*Assumptions!$H$61</f>
        <v>0</v>
      </c>
      <c r="H36131" s="16" t="n">
        <f aca="false">H36126*Assumptions!$H$61</f>
        <v>0</v>
      </c>
      <c r="I36131" s="16" t="n">
        <f aca="false">I36126*Assumptions!$H$61</f>
        <v>0</v>
      </c>
      <c r="J36131" s="16" t="n">
        <f aca="false">J36126*Assumptions!$H$61</f>
        <v>0</v>
      </c>
      <c r="K36131" s="16" t="n">
        <f aca="false">K36126*Assumptions!$H$61</f>
        <v>0</v>
      </c>
    </row>
    <row r="36132" customFormat="false" ht="15" hidden="false" customHeight="false" outlineLevel="0" collapsed="false">
      <c r="A36132" s="3" t="s">
        <v>334</v>
      </c>
      <c r="G36132" s="16" t="n">
        <f aca="false">MIN(G36126,Assumptions!$L$61*Assumptions!$C$61)</f>
        <v>0</v>
      </c>
      <c r="H36132" s="16" t="n">
        <f aca="false">MIN(H36126,Assumptions!$L$61*Assumptions!$C$61)</f>
        <v>0</v>
      </c>
      <c r="I36132" s="16" t="n">
        <f aca="false">MIN(I36126,Assumptions!$L$61*Assumptions!$C$61)</f>
        <v>0</v>
      </c>
      <c r="J36132" s="16" t="n">
        <f aca="false">MIN(J36126,Assumptions!$L$61*Assumptions!$C$61)</f>
        <v>0</v>
      </c>
      <c r="K36132" s="16" t="n">
        <f aca="false">MIN(K36126,Assumptions!$L$61*Assumptions!$C$61)</f>
        <v>0</v>
      </c>
    </row>
    <row r="36133" customFormat="false" ht="15" hidden="false" customHeight="false" outlineLevel="0" collapsed="false">
      <c r="A36133" s="3" t="s">
        <v>335</v>
      </c>
      <c r="G36133" s="16" t="n">
        <f aca="false">IF(AND(Assumptions!$P$61=1,G36038&lt;Assumptions!$K$61),MIN(MAX(0,-G36254),MAX(0,Assumptions!$D$61-G36126)),0)</f>
        <v>0</v>
      </c>
      <c r="H36133" s="16" t="n">
        <f aca="false">IF(AND(Assumptions!$P$61=1,OR(H36038&lt;Assumptions!$K$61,G36388=1)),MIN(MAX(0,-H36254),MAX(0,Assumptions!$D$61-H36126)),0)</f>
        <v>0</v>
      </c>
      <c r="I36133" s="16" t="n">
        <f aca="false">IF(AND(Assumptions!$P$61=1,OR(I36038&lt;Assumptions!$K$61,H36388=1)),MIN(MAX(0,-I36254),MAX(0,Assumptions!$D$61-I36126)),0)</f>
        <v>0</v>
      </c>
      <c r="J36133" s="16" t="n">
        <f aca="false">IF(AND(Assumptions!$P$61=1,OR(J36038&lt;Assumptions!$K$61,I36388=1)),MIN(MAX(0,-J36254),MAX(0,Assumptions!$D$61-J36126)),0)</f>
        <v>0</v>
      </c>
      <c r="K36133" s="16" t="n">
        <f aca="false">IF(AND(Assumptions!$P$61=1,OR(K36038&lt;Assumptions!$K$61,J36388=1)),MIN(MAX(0,-K36254),MAX(0,Assumptions!$D$61-K36126)),0)</f>
        <v>0</v>
      </c>
    </row>
    <row r="36134" customFormat="false" ht="15" hidden="false" customHeight="false" outlineLevel="0" collapsed="false">
      <c r="A36134" s="3" t="s">
        <v>336</v>
      </c>
      <c r="G36134" s="16" t="n">
        <f aca="false">G36127*MIN(G36126-G36132+G36131,MAX(0,G36256-Assumptions!$C$12*G36072-G36082-G36095-G36108-G36121))</f>
        <v>0</v>
      </c>
      <c r="H36134" s="16" t="n">
        <f aca="false">H36127*MIN(H36126-H36132+H36131,MAX(0,H36256-Assumptions!$C$12*H36072-H36082-H36095-H36108-H36121))</f>
        <v>48.553642119</v>
      </c>
      <c r="I36134" s="16" t="n">
        <f aca="false">I36127*MIN(I36126-I36132+I36131,MAX(0,I36256-Assumptions!$C$12*I36072-I36082-I36095-I36108-I36121))</f>
        <v>0</v>
      </c>
      <c r="J36134" s="16" t="n">
        <f aca="false">J36127*MIN(J36126-J36132+J36131,MAX(0,J36256-Assumptions!$C$12*J36072-J36082-J36095-J36108-J36121))</f>
        <v>0</v>
      </c>
      <c r="K36134" s="16" t="n">
        <f aca="false">K36127*MIN(K36126-K36132+K36131,MAX(0,K36256-Assumptions!$C$12*K36072-K36082-K36095-K36108-K36121))</f>
        <v>0</v>
      </c>
    </row>
    <row r="36135" customFormat="false" ht="15" hidden="false" customHeight="false" outlineLevel="0" collapsed="false">
      <c r="A36135" s="3" t="s">
        <v>337</v>
      </c>
      <c r="G36135" s="16" t="n">
        <f aca="false">Assumptions!$N$61*MIN(G36126+G36133+G36131-G36132-G36134,MAX(0,G36260-G36083-G36096-G36109-G36122))</f>
        <v>0</v>
      </c>
      <c r="H36135" s="16" t="n">
        <f aca="false">Assumptions!$N$61*MIN(H36126+H36133+H36131-H36132-H36134,MAX(0,H36260-H36083-H36096-H36109-H36122))</f>
        <v>0</v>
      </c>
      <c r="I36135" s="16" t="n">
        <f aca="false">Assumptions!$N$61*MIN(I36126+I36133+I36131-I36132-I36134,MAX(0,I36260-I36083-I36096-I36109-I36122))</f>
        <v>0</v>
      </c>
      <c r="J36135" s="16" t="n">
        <f aca="false">Assumptions!$N$61*MIN(J36126+J36133+J36131-J36132-J36134,MAX(0,J36260-J36083-J36096-J36109-J36122))</f>
        <v>0</v>
      </c>
      <c r="K36135" s="16" t="n">
        <f aca="false">Assumptions!$N$61*MIN(K36126+K36133+K36131-K36132-K36134,MAX(0,K36260-K36083-K36096-K36109-K36122))</f>
        <v>0</v>
      </c>
    </row>
    <row r="36136" customFormat="false" ht="15" hidden="false" customHeight="false" outlineLevel="0" collapsed="false">
      <c r="A36136" s="3" t="s">
        <v>338</v>
      </c>
      <c r="G36136" s="16" t="n">
        <f aca="false">G36127*(1-G36072)*(G36126-G36132+G36131-G36134)</f>
        <v>0</v>
      </c>
      <c r="H36136" s="16" t="n">
        <f aca="false">H36127*(1-H36072)*(H36126-H36132+H36131-H36134)</f>
        <v>401.446357881</v>
      </c>
      <c r="I36136" s="16" t="n">
        <f aca="false">I36127*(1-I36072)*(I36126-I36132+I36131-I36134)</f>
        <v>0</v>
      </c>
      <c r="J36136" s="16" t="n">
        <f aca="false">J36127*(1-J36072)*(J36126-J36132+J36131-J36134)</f>
        <v>0</v>
      </c>
      <c r="K36136" s="16" t="n">
        <f aca="false">K36127*(1-K36072)*(K36126-K36132+K36131-K36134)</f>
        <v>0</v>
      </c>
    </row>
    <row r="36137" customFormat="false" ht="15" hidden="false" customHeight="false" outlineLevel="0" collapsed="false">
      <c r="A36137" s="2" t="s">
        <v>339</v>
      </c>
      <c r="F36137" s="28" t="n">
        <f aca="false">Assumptions!$C$61</f>
        <v>450</v>
      </c>
      <c r="G36137" s="17" t="n">
        <f aca="false">G36126+G36133+G36131-G36132-G36134-G36135</f>
        <v>450</v>
      </c>
      <c r="H36137" s="17" t="n">
        <f aca="false">H36126+H36133+H36131-H36132-H36134-H36135</f>
        <v>401.446357881</v>
      </c>
      <c r="I36137" s="17" t="n">
        <f aca="false">I36126+I36133+I36131-I36132-I36134-I36135</f>
        <v>401.446357881</v>
      </c>
      <c r="J36137" s="17" t="n">
        <f aca="false">J36126+J36133+J36131-J36132-J36134-J36135</f>
        <v>401.446357881</v>
      </c>
      <c r="K36137" s="17" t="n">
        <f aca="false">K36126+K36133+K36131-K36132-K36134-K36135</f>
        <v>401.446357881</v>
      </c>
    </row>
    <row r="36138" customFormat="false" ht="15" hidden="false" customHeight="false" outlineLevel="0" collapsed="false">
      <c r="A36138" s="24" t="s">
        <v>344</v>
      </c>
      <c r="B36138" s="25"/>
      <c r="C36138" s="25"/>
      <c r="D36138" s="25"/>
      <c r="E36138" s="25"/>
      <c r="F36138" s="25"/>
      <c r="G36138" s="25"/>
      <c r="H36138" s="25"/>
      <c r="I36138" s="25"/>
      <c r="J36138" s="25"/>
      <c r="K36138" s="25"/>
    </row>
    <row r="36139" customFormat="false" ht="15" hidden="false" customHeight="false" outlineLevel="0" collapsed="false">
      <c r="A36139" s="3" t="s">
        <v>329</v>
      </c>
      <c r="G36139" s="16" t="n">
        <f aca="false">F36150</f>
        <v>350</v>
      </c>
      <c r="H36139" s="16" t="n">
        <f aca="false">G36150</f>
        <v>350</v>
      </c>
      <c r="I36139" s="16" t="n">
        <f aca="false">H36150</f>
        <v>350</v>
      </c>
      <c r="J36139" s="16" t="n">
        <f aca="false">I36150</f>
        <v>350</v>
      </c>
      <c r="K36139" s="16" t="n">
        <f aca="false">J36150</f>
        <v>350</v>
      </c>
    </row>
    <row r="36140" customFormat="false" ht="15" hidden="false" customHeight="false" outlineLevel="0" collapsed="false">
      <c r="A36140" s="3" t="s">
        <v>330</v>
      </c>
      <c r="G36140" s="21" t="n">
        <f aca="false">IF(G36038=Assumptions!$K$62,1,0)</f>
        <v>0</v>
      </c>
      <c r="H36140" s="21" t="n">
        <f aca="false">IF(H36038=Assumptions!$K$62,1,0)</f>
        <v>1</v>
      </c>
      <c r="I36140" s="21" t="n">
        <f aca="false">IF(I36038=Assumptions!$K$62,1,0)</f>
        <v>0</v>
      </c>
      <c r="J36140" s="21" t="n">
        <f aca="false">IF(J36038=Assumptions!$K$62,1,0)</f>
        <v>0</v>
      </c>
      <c r="K36140" s="21" t="n">
        <f aca="false">IF(K36038=Assumptions!$K$62,1,0)</f>
        <v>0</v>
      </c>
    </row>
    <row r="36142" customFormat="false" ht="15" hidden="false" customHeight="false" outlineLevel="0" collapsed="false">
      <c r="A36142" s="3" t="s">
        <v>331</v>
      </c>
      <c r="G36142" s="31" t="n">
        <f aca="false">IF(Assumptions!$I$62=1,MAX(G36064,Assumptions!$G$62)+Assumptions!$F$62+$C$36065,Assumptions!$E$62)</f>
        <v>0.083</v>
      </c>
      <c r="H36142" s="31" t="n">
        <f aca="false">IF(G36389=1,$C$36066,IF(Assumptions!$I$62=1,MAX(H36064,Assumptions!$G$62)+Assumptions!$F$62+$C$36065,Assumptions!$E$62))</f>
        <v>0.083</v>
      </c>
      <c r="I36142" s="31" t="n">
        <f aca="false">IF(H36389=1,$C$36066,IF(Assumptions!$I$62=1,MAX(I36064,Assumptions!$G$62)+Assumptions!$F$62+$C$36065,Assumptions!$E$62))</f>
        <v>0.083</v>
      </c>
      <c r="J36142" s="31" t="n">
        <f aca="false">IF(I36389=1,$C$36066,IF(Assumptions!$I$62=1,MAX(J36064,Assumptions!$G$62)+Assumptions!$F$62+$C$36065,Assumptions!$E$62))</f>
        <v>0.083</v>
      </c>
      <c r="K36142" s="31" t="n">
        <f aca="false">IF(J36389=1,$C$36066,IF(Assumptions!$I$62=1,MAX(K36064,Assumptions!$G$62)+Assumptions!$F$62+$C$36065,Assumptions!$E$62))</f>
        <v>0.083</v>
      </c>
    </row>
    <row r="36143" customFormat="false" ht="15" hidden="false" customHeight="false" outlineLevel="0" collapsed="false">
      <c r="A36143" s="3" t="s">
        <v>332</v>
      </c>
      <c r="G36143" s="16" t="n">
        <f aca="false">G36139*G36142</f>
        <v>29.05</v>
      </c>
      <c r="H36143" s="16" t="n">
        <f aca="false">H36139*H36142</f>
        <v>29.05</v>
      </c>
      <c r="I36143" s="16" t="n">
        <f aca="false">I36139*I36142</f>
        <v>29.05</v>
      </c>
      <c r="J36143" s="16" t="n">
        <f aca="false">J36139*J36142</f>
        <v>29.05</v>
      </c>
      <c r="K36143" s="16" t="n">
        <f aca="false">K36139*K36142</f>
        <v>29.05</v>
      </c>
    </row>
    <row r="36144" customFormat="false" ht="15" hidden="false" customHeight="false" outlineLevel="0" collapsed="false">
      <c r="A36144" s="3" t="s">
        <v>333</v>
      </c>
      <c r="G36144" s="16" t="n">
        <f aca="false">G36139*Assumptions!$H$62</f>
        <v>0</v>
      </c>
      <c r="H36144" s="16" t="n">
        <f aca="false">H36139*Assumptions!$H$62</f>
        <v>0</v>
      </c>
      <c r="I36144" s="16" t="n">
        <f aca="false">I36139*Assumptions!$H$62</f>
        <v>0</v>
      </c>
      <c r="J36144" s="16" t="n">
        <f aca="false">J36139*Assumptions!$H$62</f>
        <v>0</v>
      </c>
      <c r="K36144" s="16" t="n">
        <f aca="false">K36139*Assumptions!$H$62</f>
        <v>0</v>
      </c>
    </row>
    <row r="36145" customFormat="false" ht="15" hidden="false" customHeight="false" outlineLevel="0" collapsed="false">
      <c r="A36145" s="3" t="s">
        <v>334</v>
      </c>
      <c r="G36145" s="16" t="n">
        <f aca="false">MIN(G36139,Assumptions!$L$62*Assumptions!$C$62)</f>
        <v>0</v>
      </c>
      <c r="H36145" s="16" t="n">
        <f aca="false">MIN(H36139,Assumptions!$L$62*Assumptions!$C$62)</f>
        <v>0</v>
      </c>
      <c r="I36145" s="16" t="n">
        <f aca="false">MIN(I36139,Assumptions!$L$62*Assumptions!$C$62)</f>
        <v>0</v>
      </c>
      <c r="J36145" s="16" t="n">
        <f aca="false">MIN(J36139,Assumptions!$L$62*Assumptions!$C$62)</f>
        <v>0</v>
      </c>
      <c r="K36145" s="16" t="n">
        <f aca="false">MIN(K36139,Assumptions!$L$62*Assumptions!$C$62)</f>
        <v>0</v>
      </c>
    </row>
    <row r="36146" customFormat="false" ht="15" hidden="false" customHeight="false" outlineLevel="0" collapsed="false">
      <c r="A36146" s="3" t="s">
        <v>335</v>
      </c>
      <c r="G36146" s="16" t="n">
        <f aca="false">IF(AND(Assumptions!$P$62=1,G36038&lt;Assumptions!$K$62),MIN(MAX(0,-G36254),MAX(0,Assumptions!$D$62-G36139)),0)</f>
        <v>0</v>
      </c>
      <c r="H36146" s="16" t="n">
        <f aca="false">IF(AND(Assumptions!$P$62=1,OR(H36038&lt;Assumptions!$K$62,G36389=1)),MIN(MAX(0,-H36254),MAX(0,Assumptions!$D$62-H36139)),0)</f>
        <v>0</v>
      </c>
      <c r="I36146" s="16" t="n">
        <f aca="false">IF(AND(Assumptions!$P$62=1,OR(I36038&lt;Assumptions!$K$62,H36389=1)),MIN(MAX(0,-I36254),MAX(0,Assumptions!$D$62-I36139)),0)</f>
        <v>0</v>
      </c>
      <c r="J36146" s="16" t="n">
        <f aca="false">IF(AND(Assumptions!$P$62=1,OR(J36038&lt;Assumptions!$K$62,I36389=1)),MIN(MAX(0,-J36254),MAX(0,Assumptions!$D$62-J36139)),0)</f>
        <v>0</v>
      </c>
      <c r="K36146" s="16" t="n">
        <f aca="false">IF(AND(Assumptions!$P$62=1,OR(K36038&lt;Assumptions!$K$62,J36389=1)),MIN(MAX(0,-K36254),MAX(0,Assumptions!$D$62-K36139)),0)</f>
        <v>0</v>
      </c>
    </row>
    <row r="36147" customFormat="false" ht="15" hidden="false" customHeight="false" outlineLevel="0" collapsed="false">
      <c r="A36147" s="3" t="s">
        <v>336</v>
      </c>
      <c r="G36147" s="16" t="n">
        <f aca="false">G36140*MIN(G36139-G36145+G36144,MAX(0,G36256-Assumptions!$C$12*G36072-G36082-G36095-G36108-G36121-G36134))</f>
        <v>0</v>
      </c>
      <c r="H36147" s="16" t="n">
        <f aca="false">H36140*MIN(H36139-H36145+H36144,MAX(0,H36256-Assumptions!$C$12*H36072-H36082-H36095-H36108-H36121-H36134))</f>
        <v>0</v>
      </c>
      <c r="I36147" s="16" t="n">
        <f aca="false">I36140*MIN(I36139-I36145+I36144,MAX(0,I36256-Assumptions!$C$12*I36072-I36082-I36095-I36108-I36121-I36134))</f>
        <v>0</v>
      </c>
      <c r="J36147" s="16" t="n">
        <f aca="false">J36140*MIN(J36139-J36145+J36144,MAX(0,J36256-Assumptions!$C$12*J36072-J36082-J36095-J36108-J36121-J36134))</f>
        <v>0</v>
      </c>
      <c r="K36147" s="16" t="n">
        <f aca="false">K36140*MIN(K36139-K36145+K36144,MAX(0,K36256-Assumptions!$C$12*K36072-K36082-K36095-K36108-K36121-K36134))</f>
        <v>0</v>
      </c>
    </row>
    <row r="36148" customFormat="false" ht="15" hidden="false" customHeight="false" outlineLevel="0" collapsed="false">
      <c r="A36148" s="3" t="s">
        <v>337</v>
      </c>
      <c r="G36148" s="16" t="n">
        <f aca="false">Assumptions!$N$62*MIN(G36139+G36146+G36144-G36145-G36147,MAX(0,G36260-G36083-G36096-G36109-G36122-G36135))</f>
        <v>0</v>
      </c>
      <c r="H36148" s="16" t="n">
        <f aca="false">Assumptions!$N$62*MIN(H36139+H36146+H36144-H36145-H36147,MAX(0,H36260-H36083-H36096-H36109-H36122-H36135))</f>
        <v>0</v>
      </c>
      <c r="I36148" s="16" t="n">
        <f aca="false">Assumptions!$N$62*MIN(I36139+I36146+I36144-I36145-I36147,MAX(0,I36260-I36083-I36096-I36109-I36122-I36135))</f>
        <v>0</v>
      </c>
      <c r="J36148" s="16" t="n">
        <f aca="false">Assumptions!$N$62*MIN(J36139+J36146+J36144-J36145-J36147,MAX(0,J36260-J36083-J36096-J36109-J36122-J36135))</f>
        <v>0</v>
      </c>
      <c r="K36148" s="16" t="n">
        <f aca="false">Assumptions!$N$62*MIN(K36139+K36146+K36144-K36145-K36147,MAX(0,K36260-K36083-K36096-K36109-K36122-K36135))</f>
        <v>0</v>
      </c>
    </row>
    <row r="36149" customFormat="false" ht="15" hidden="false" customHeight="false" outlineLevel="0" collapsed="false">
      <c r="A36149" s="3" t="s">
        <v>338</v>
      </c>
      <c r="G36149" s="16" t="n">
        <f aca="false">G36140*(1-G36072)*(G36139-G36145+G36144-G36147)</f>
        <v>0</v>
      </c>
      <c r="H36149" s="16" t="n">
        <f aca="false">H36140*(1-H36072)*(H36139-H36145+H36144-H36147)</f>
        <v>350</v>
      </c>
      <c r="I36149" s="16" t="n">
        <f aca="false">I36140*(1-I36072)*(I36139-I36145+I36144-I36147)</f>
        <v>0</v>
      </c>
      <c r="J36149" s="16" t="n">
        <f aca="false">J36140*(1-J36072)*(J36139-J36145+J36144-J36147)</f>
        <v>0</v>
      </c>
      <c r="K36149" s="16" t="n">
        <f aca="false">K36140*(1-K36072)*(K36139-K36145+K36144-K36147)</f>
        <v>0</v>
      </c>
    </row>
    <row r="36150" customFormat="false" ht="15" hidden="false" customHeight="false" outlineLevel="0" collapsed="false">
      <c r="A36150" s="2" t="s">
        <v>339</v>
      </c>
      <c r="F36150" s="28" t="n">
        <f aca="false">Assumptions!$C$62</f>
        <v>350</v>
      </c>
      <c r="G36150" s="17" t="n">
        <f aca="false">G36139+G36146+G36144-G36145-G36147-G36148</f>
        <v>350</v>
      </c>
      <c r="H36150" s="17" t="n">
        <f aca="false">H36139+H36146+H36144-H36145-H36147-H36148</f>
        <v>350</v>
      </c>
      <c r="I36150" s="17" t="n">
        <f aca="false">I36139+I36146+I36144-I36145-I36147-I36148</f>
        <v>350</v>
      </c>
      <c r="J36150" s="17" t="n">
        <f aca="false">J36139+J36146+J36144-J36145-J36147-J36148</f>
        <v>350</v>
      </c>
      <c r="K36150" s="17" t="n">
        <f aca="false">K36139+K36146+K36144-K36145-K36147-K36148</f>
        <v>350</v>
      </c>
    </row>
    <row r="36151" customFormat="false" ht="15" hidden="false" customHeight="false" outlineLevel="0" collapsed="false">
      <c r="A36151" s="24" t="s">
        <v>345</v>
      </c>
      <c r="B36151" s="25"/>
      <c r="C36151" s="25"/>
      <c r="D36151" s="25"/>
      <c r="E36151" s="25"/>
      <c r="F36151" s="25"/>
      <c r="G36151" s="25"/>
      <c r="H36151" s="25"/>
      <c r="I36151" s="25"/>
      <c r="J36151" s="25"/>
      <c r="K36151" s="25"/>
    </row>
    <row r="36152" customFormat="false" ht="15" hidden="false" customHeight="false" outlineLevel="0" collapsed="false">
      <c r="A36152" s="3" t="s">
        <v>329</v>
      </c>
      <c r="G36152" s="16" t="n">
        <f aca="false">F36163</f>
        <v>550</v>
      </c>
      <c r="H36152" s="16" t="n">
        <f aca="false">G36163</f>
        <v>550</v>
      </c>
      <c r="I36152" s="16" t="n">
        <f aca="false">H36163</f>
        <v>550</v>
      </c>
      <c r="J36152" s="16" t="n">
        <f aca="false">I36163</f>
        <v>550</v>
      </c>
      <c r="K36152" s="16" t="n">
        <f aca="false">J36163</f>
        <v>550</v>
      </c>
    </row>
    <row r="36153" customFormat="false" ht="15" hidden="false" customHeight="false" outlineLevel="0" collapsed="false">
      <c r="A36153" s="3" t="s">
        <v>330</v>
      </c>
      <c r="G36153" s="21" t="n">
        <f aca="false">IF(G36038=Assumptions!$K$63,1,0)</f>
        <v>0</v>
      </c>
      <c r="H36153" s="21" t="n">
        <f aca="false">IF(H36038=Assumptions!$K$63,1,0)</f>
        <v>0</v>
      </c>
      <c r="I36153" s="21" t="n">
        <f aca="false">IF(I36038=Assumptions!$K$63,1,0)</f>
        <v>1</v>
      </c>
      <c r="J36153" s="21" t="n">
        <f aca="false">IF(J36038=Assumptions!$K$63,1,0)</f>
        <v>0</v>
      </c>
      <c r="K36153" s="21" t="n">
        <f aca="false">IF(K36038=Assumptions!$K$63,1,0)</f>
        <v>0</v>
      </c>
    </row>
    <row r="36155" customFormat="false" ht="15" hidden="false" customHeight="false" outlineLevel="0" collapsed="false">
      <c r="A36155" s="3" t="s">
        <v>331</v>
      </c>
      <c r="G36155" s="31" t="n">
        <f aca="false">IF(Assumptions!$I$63=1,MAX(G36064,Assumptions!$G$63)+Assumptions!$F$63+$C$36065,Assumptions!$E$63)</f>
        <v>0.08875</v>
      </c>
      <c r="H36155" s="31" t="n">
        <f aca="false">IF(G36390=1,$C$36066,IF(Assumptions!$I$63=1,MAX(H36064,Assumptions!$G$63)+Assumptions!$F$63+$C$36065,Assumptions!$E$63))</f>
        <v>0.08875</v>
      </c>
      <c r="I36155" s="31" t="n">
        <f aca="false">IF(H36390=1,$C$36066,IF(Assumptions!$I$63=1,MAX(I36064,Assumptions!$G$63)+Assumptions!$F$63+$C$36065,Assumptions!$E$63))</f>
        <v>0.08875</v>
      </c>
      <c r="J36155" s="31" t="n">
        <f aca="false">IF(I36390=1,$C$36066,IF(Assumptions!$I$63=1,MAX(J36064,Assumptions!$G$63)+Assumptions!$F$63+$C$36065,Assumptions!$E$63))</f>
        <v>0.08875</v>
      </c>
      <c r="K36155" s="31" t="n">
        <f aca="false">IF(J36390=1,$C$36066,IF(Assumptions!$I$63=1,MAX(K36064,Assumptions!$G$63)+Assumptions!$F$63+$C$36065,Assumptions!$E$63))</f>
        <v>0.08875</v>
      </c>
    </row>
    <row r="36156" customFormat="false" ht="15" hidden="false" customHeight="false" outlineLevel="0" collapsed="false">
      <c r="A36156" s="3" t="s">
        <v>332</v>
      </c>
      <c r="G36156" s="16" t="n">
        <f aca="false">G36152*G36155</f>
        <v>48.8125</v>
      </c>
      <c r="H36156" s="16" t="n">
        <f aca="false">H36152*H36155</f>
        <v>48.8125</v>
      </c>
      <c r="I36156" s="16" t="n">
        <f aca="false">I36152*I36155</f>
        <v>48.8125</v>
      </c>
      <c r="J36156" s="16" t="n">
        <f aca="false">J36152*J36155</f>
        <v>48.8125</v>
      </c>
      <c r="K36156" s="16" t="n">
        <f aca="false">K36152*K36155</f>
        <v>48.8125</v>
      </c>
    </row>
    <row r="36157" customFormat="false" ht="15" hidden="false" customHeight="false" outlineLevel="0" collapsed="false">
      <c r="A36157" s="3" t="s">
        <v>333</v>
      </c>
      <c r="G36157" s="16" t="n">
        <f aca="false">G36152*Assumptions!$H$63</f>
        <v>0</v>
      </c>
      <c r="H36157" s="16" t="n">
        <f aca="false">H36152*Assumptions!$H$63</f>
        <v>0</v>
      </c>
      <c r="I36157" s="16" t="n">
        <f aca="false">I36152*Assumptions!$H$63</f>
        <v>0</v>
      </c>
      <c r="J36157" s="16" t="n">
        <f aca="false">J36152*Assumptions!$H$63</f>
        <v>0</v>
      </c>
      <c r="K36157" s="16" t="n">
        <f aca="false">K36152*Assumptions!$H$63</f>
        <v>0</v>
      </c>
    </row>
    <row r="36158" customFormat="false" ht="15" hidden="false" customHeight="false" outlineLevel="0" collapsed="false">
      <c r="A36158" s="3" t="s">
        <v>334</v>
      </c>
      <c r="G36158" s="16" t="n">
        <f aca="false">MIN(G36152,Assumptions!$L$63*Assumptions!$C$63)</f>
        <v>0</v>
      </c>
      <c r="H36158" s="16" t="n">
        <f aca="false">MIN(H36152,Assumptions!$L$63*Assumptions!$C$63)</f>
        <v>0</v>
      </c>
      <c r="I36158" s="16" t="n">
        <f aca="false">MIN(I36152,Assumptions!$L$63*Assumptions!$C$63)</f>
        <v>0</v>
      </c>
      <c r="J36158" s="16" t="n">
        <f aca="false">MIN(J36152,Assumptions!$L$63*Assumptions!$C$63)</f>
        <v>0</v>
      </c>
      <c r="K36158" s="16" t="n">
        <f aca="false">MIN(K36152,Assumptions!$L$63*Assumptions!$C$63)</f>
        <v>0</v>
      </c>
    </row>
    <row r="36159" customFormat="false" ht="15" hidden="false" customHeight="false" outlineLevel="0" collapsed="false">
      <c r="A36159" s="3" t="s">
        <v>335</v>
      </c>
      <c r="G36159" s="16" t="n">
        <f aca="false">IF(AND(Assumptions!$P$63=1,G36038&lt;Assumptions!$K$63),MIN(MAX(0,-G36254),MAX(0,Assumptions!$D$63-G36152)),0)</f>
        <v>0</v>
      </c>
      <c r="H36159" s="16" t="n">
        <f aca="false">IF(AND(Assumptions!$P$63=1,OR(H36038&lt;Assumptions!$K$63,G36390=1)),MIN(MAX(0,-H36254),MAX(0,Assumptions!$D$63-H36152)),0)</f>
        <v>0</v>
      </c>
      <c r="I36159" s="16" t="n">
        <f aca="false">IF(AND(Assumptions!$P$63=1,OR(I36038&lt;Assumptions!$K$63,H36390=1)),MIN(MAX(0,-I36254),MAX(0,Assumptions!$D$63-I36152)),0)</f>
        <v>0</v>
      </c>
      <c r="J36159" s="16" t="n">
        <f aca="false">IF(AND(Assumptions!$P$63=1,OR(J36038&lt;Assumptions!$K$63,I36390=1)),MIN(MAX(0,-J36254),MAX(0,Assumptions!$D$63-J36152)),0)</f>
        <v>0</v>
      </c>
      <c r="K36159" s="16" t="n">
        <f aca="false">IF(AND(Assumptions!$P$63=1,OR(K36038&lt;Assumptions!$K$63,J36390=1)),MIN(MAX(0,-K36254),MAX(0,Assumptions!$D$63-K36152)),0)</f>
        <v>0</v>
      </c>
    </row>
    <row r="36160" customFormat="false" ht="15" hidden="false" customHeight="false" outlineLevel="0" collapsed="false">
      <c r="A36160" s="3" t="s">
        <v>336</v>
      </c>
      <c r="G36160" s="16" t="n">
        <f aca="false">G36153*MIN(G36152-G36158+G36157,MAX(0,G36256-Assumptions!$C$12*G36072-G36082-G36095-G36108-G36121-G36134-G36147))</f>
        <v>0</v>
      </c>
      <c r="H36160" s="16" t="n">
        <f aca="false">H36153*MIN(H36152-H36158+H36157,MAX(0,H36256-Assumptions!$C$12*H36072-H36082-H36095-H36108-H36121-H36134-H36147))</f>
        <v>0</v>
      </c>
      <c r="I36160" s="16" t="n">
        <f aca="false">I36153*MIN(I36152-I36158+I36157,MAX(0,I36256-Assumptions!$C$12*I36072-I36082-I36095-I36108-I36121-I36134-I36147))</f>
        <v>0</v>
      </c>
      <c r="J36160" s="16" t="n">
        <f aca="false">J36153*MIN(J36152-J36158+J36157,MAX(0,J36256-Assumptions!$C$12*J36072-J36082-J36095-J36108-J36121-J36134-J36147))</f>
        <v>0</v>
      </c>
      <c r="K36160" s="16" t="n">
        <f aca="false">K36153*MIN(K36152-K36158+K36157,MAX(0,K36256-Assumptions!$C$12*K36072-K36082-K36095-K36108-K36121-K36134-K36147))</f>
        <v>0</v>
      </c>
    </row>
    <row r="36161" customFormat="false" ht="15" hidden="false" customHeight="false" outlineLevel="0" collapsed="false">
      <c r="A36161" s="3" t="s">
        <v>337</v>
      </c>
      <c r="G36161" s="16" t="n">
        <f aca="false">Assumptions!$N$63*MIN(G36152+G36159+G36157-G36158-G36160,MAX(0,G36260-G36083-G36096-G36109-G36122-G36135-G36148))</f>
        <v>0</v>
      </c>
      <c r="H36161" s="16" t="n">
        <f aca="false">Assumptions!$N$63*MIN(H36152+H36159+H36157-H36158-H36160,MAX(0,H36260-H36083-H36096-H36109-H36122-H36135-H36148))</f>
        <v>0</v>
      </c>
      <c r="I36161" s="16" t="n">
        <f aca="false">Assumptions!$N$63*MIN(I36152+I36159+I36157-I36158-I36160,MAX(0,I36260-I36083-I36096-I36109-I36122-I36135-I36148))</f>
        <v>0</v>
      </c>
      <c r="J36161" s="16" t="n">
        <f aca="false">Assumptions!$N$63*MIN(J36152+J36159+J36157-J36158-J36160,MAX(0,J36260-J36083-J36096-J36109-J36122-J36135-J36148))</f>
        <v>0</v>
      </c>
      <c r="K36161" s="16" t="n">
        <f aca="false">Assumptions!$N$63*MIN(K36152+K36159+K36157-K36158-K36160,MAX(0,K36260-K36083-K36096-K36109-K36122-K36135-K36148))</f>
        <v>0</v>
      </c>
    </row>
    <row r="36162" customFormat="false" ht="15" hidden="false" customHeight="false" outlineLevel="0" collapsed="false">
      <c r="A36162" s="3" t="s">
        <v>338</v>
      </c>
      <c r="G36162" s="16" t="n">
        <f aca="false">G36153*(1-G36072)*(G36152-G36158+G36157-G36160)</f>
        <v>0</v>
      </c>
      <c r="H36162" s="16" t="n">
        <f aca="false">H36153*(1-H36072)*(H36152-H36158+H36157-H36160)</f>
        <v>0</v>
      </c>
      <c r="I36162" s="16" t="n">
        <f aca="false">I36153*(1-I36072)*(I36152-I36158+I36157-I36160)</f>
        <v>550</v>
      </c>
      <c r="J36162" s="16" t="n">
        <f aca="false">J36153*(1-J36072)*(J36152-J36158+J36157-J36160)</f>
        <v>0</v>
      </c>
      <c r="K36162" s="16" t="n">
        <f aca="false">K36153*(1-K36072)*(K36152-K36158+K36157-K36160)</f>
        <v>0</v>
      </c>
    </row>
    <row r="36163" customFormat="false" ht="15" hidden="false" customHeight="false" outlineLevel="0" collapsed="false">
      <c r="A36163" s="2" t="s">
        <v>339</v>
      </c>
      <c r="F36163" s="28" t="n">
        <f aca="false">Assumptions!$C$63</f>
        <v>550</v>
      </c>
      <c r="G36163" s="17" t="n">
        <f aca="false">G36152+G36159+G36157-G36158-G36160-G36161</f>
        <v>550</v>
      </c>
      <c r="H36163" s="17" t="n">
        <f aca="false">H36152+H36159+H36157-H36158-H36160-H36161</f>
        <v>550</v>
      </c>
      <c r="I36163" s="17" t="n">
        <f aca="false">I36152+I36159+I36157-I36158-I36160-I36161</f>
        <v>550</v>
      </c>
      <c r="J36163" s="17" t="n">
        <f aca="false">J36152+J36159+J36157-J36158-J36160-J36161</f>
        <v>550</v>
      </c>
      <c r="K36163" s="17" t="n">
        <f aca="false">K36152+K36159+K36157-K36158-K36160-K36161</f>
        <v>550</v>
      </c>
    </row>
    <row r="36164" customFormat="false" ht="15" hidden="false" customHeight="false" outlineLevel="0" collapsed="false">
      <c r="A36164" s="24" t="s">
        <v>346</v>
      </c>
      <c r="B36164" s="25"/>
      <c r="C36164" s="25"/>
      <c r="D36164" s="25"/>
      <c r="E36164" s="25"/>
      <c r="F36164" s="25"/>
      <c r="G36164" s="25"/>
      <c r="H36164" s="25"/>
      <c r="I36164" s="25"/>
      <c r="J36164" s="25"/>
      <c r="K36164" s="25"/>
    </row>
    <row r="36165" customFormat="false" ht="15" hidden="false" customHeight="false" outlineLevel="0" collapsed="false">
      <c r="A36165" s="3" t="s">
        <v>329</v>
      </c>
      <c r="G36165" s="16" t="n">
        <f aca="false">F36176</f>
        <v>350</v>
      </c>
      <c r="H36165" s="16" t="n">
        <f aca="false">G36176</f>
        <v>350</v>
      </c>
      <c r="I36165" s="16" t="n">
        <f aca="false">H36176</f>
        <v>350</v>
      </c>
      <c r="J36165" s="16" t="n">
        <f aca="false">I36176</f>
        <v>350</v>
      </c>
      <c r="K36165" s="16" t="n">
        <f aca="false">J36176</f>
        <v>350</v>
      </c>
    </row>
    <row r="36166" customFormat="false" ht="15" hidden="false" customHeight="false" outlineLevel="0" collapsed="false">
      <c r="A36166" s="3" t="s">
        <v>330</v>
      </c>
      <c r="G36166" s="21" t="n">
        <f aca="false">IF(G36038=Assumptions!$K$64,1,0)</f>
        <v>0</v>
      </c>
      <c r="H36166" s="21" t="n">
        <f aca="false">IF(H36038=Assumptions!$K$64,1,0)</f>
        <v>0</v>
      </c>
      <c r="I36166" s="21" t="n">
        <f aca="false">IF(I36038=Assumptions!$K$64,1,0)</f>
        <v>0</v>
      </c>
      <c r="J36166" s="21" t="n">
        <f aca="false">IF(J36038=Assumptions!$K$64,1,0)</f>
        <v>1</v>
      </c>
      <c r="K36166" s="21" t="n">
        <f aca="false">IF(K36038=Assumptions!$K$64,1,0)</f>
        <v>0</v>
      </c>
    </row>
    <row r="36168" customFormat="false" ht="15" hidden="false" customHeight="false" outlineLevel="0" collapsed="false">
      <c r="A36168" s="3" t="s">
        <v>331</v>
      </c>
      <c r="G36168" s="31" t="n">
        <f aca="false">IF(Assumptions!$I$64=1,MAX(G36064,Assumptions!$G$64)+Assumptions!$F$64+$C$36065,Assumptions!$E$64)</f>
        <v>0.0455</v>
      </c>
      <c r="H36168" s="31" t="n">
        <f aca="false">IF(G36391=1,$C$36066,IF(Assumptions!$I$64=1,MAX(H36064,Assumptions!$G$64)+Assumptions!$F$64+$C$36065,Assumptions!$E$64))</f>
        <v>0.0455</v>
      </c>
      <c r="I36168" s="31" t="n">
        <f aca="false">IF(H36391=1,$C$36066,IF(Assumptions!$I$64=1,MAX(I36064,Assumptions!$G$64)+Assumptions!$F$64+$C$36065,Assumptions!$E$64))</f>
        <v>0.0455</v>
      </c>
      <c r="J36168" s="31" t="n">
        <f aca="false">IF(I36391=1,$C$36066,IF(Assumptions!$I$64=1,MAX(J36064,Assumptions!$G$64)+Assumptions!$F$64+$C$36065,Assumptions!$E$64))</f>
        <v>0.0455</v>
      </c>
      <c r="K36168" s="31" t="n">
        <f aca="false">IF(J36391=1,$C$36066,IF(Assumptions!$I$64=1,MAX(K36064,Assumptions!$G$64)+Assumptions!$F$64+$C$36065,Assumptions!$E$64))</f>
        <v>0.0455</v>
      </c>
    </row>
    <row r="36169" customFormat="false" ht="15" hidden="false" customHeight="false" outlineLevel="0" collapsed="false">
      <c r="A36169" s="3" t="s">
        <v>332</v>
      </c>
      <c r="G36169" s="16" t="n">
        <f aca="false">G36165*G36168</f>
        <v>15.925</v>
      </c>
      <c r="H36169" s="16" t="n">
        <f aca="false">H36165*H36168</f>
        <v>15.925</v>
      </c>
      <c r="I36169" s="16" t="n">
        <f aca="false">I36165*I36168</f>
        <v>15.925</v>
      </c>
      <c r="J36169" s="16" t="n">
        <f aca="false">J36165*J36168</f>
        <v>15.925</v>
      </c>
      <c r="K36169" s="16" t="n">
        <f aca="false">K36165*K36168</f>
        <v>15.925</v>
      </c>
    </row>
    <row r="36170" customFormat="false" ht="15" hidden="false" customHeight="false" outlineLevel="0" collapsed="false">
      <c r="A36170" s="3" t="s">
        <v>333</v>
      </c>
      <c r="G36170" s="16" t="n">
        <f aca="false">G36165*Assumptions!$H$64</f>
        <v>0</v>
      </c>
      <c r="H36170" s="16" t="n">
        <f aca="false">H36165*Assumptions!$H$64</f>
        <v>0</v>
      </c>
      <c r="I36170" s="16" t="n">
        <f aca="false">I36165*Assumptions!$H$64</f>
        <v>0</v>
      </c>
      <c r="J36170" s="16" t="n">
        <f aca="false">J36165*Assumptions!$H$64</f>
        <v>0</v>
      </c>
      <c r="K36170" s="16" t="n">
        <f aca="false">K36165*Assumptions!$H$64</f>
        <v>0</v>
      </c>
    </row>
    <row r="36171" customFormat="false" ht="15" hidden="false" customHeight="false" outlineLevel="0" collapsed="false">
      <c r="A36171" s="3" t="s">
        <v>334</v>
      </c>
      <c r="G36171" s="16" t="n">
        <f aca="false">MIN(G36165,Assumptions!$L$64*Assumptions!$C$64)</f>
        <v>0</v>
      </c>
      <c r="H36171" s="16" t="n">
        <f aca="false">MIN(H36165,Assumptions!$L$64*Assumptions!$C$64)</f>
        <v>0</v>
      </c>
      <c r="I36171" s="16" t="n">
        <f aca="false">MIN(I36165,Assumptions!$L$64*Assumptions!$C$64)</f>
        <v>0</v>
      </c>
      <c r="J36171" s="16" t="n">
        <f aca="false">MIN(J36165,Assumptions!$L$64*Assumptions!$C$64)</f>
        <v>0</v>
      </c>
      <c r="K36171" s="16" t="n">
        <f aca="false">MIN(K36165,Assumptions!$L$64*Assumptions!$C$64)</f>
        <v>0</v>
      </c>
    </row>
    <row r="36172" customFormat="false" ht="15" hidden="false" customHeight="false" outlineLevel="0" collapsed="false">
      <c r="A36172" s="3" t="s">
        <v>335</v>
      </c>
      <c r="G36172" s="16" t="n">
        <f aca="false">IF(AND(Assumptions!$P$64=1,G36038&lt;Assumptions!$K$64),MIN(MAX(0,-G36254),MAX(0,Assumptions!$D$64-G36165)),0)</f>
        <v>0</v>
      </c>
      <c r="H36172" s="16" t="n">
        <f aca="false">IF(AND(Assumptions!$P$64=1,OR(H36038&lt;Assumptions!$K$64,G36391=1)),MIN(MAX(0,-H36254),MAX(0,Assumptions!$D$64-H36165)),0)</f>
        <v>0</v>
      </c>
      <c r="I36172" s="16" t="n">
        <f aca="false">IF(AND(Assumptions!$P$64=1,OR(I36038&lt;Assumptions!$K$64,H36391=1)),MIN(MAX(0,-I36254),MAX(0,Assumptions!$D$64-I36165)),0)</f>
        <v>0</v>
      </c>
      <c r="J36172" s="16" t="n">
        <f aca="false">IF(AND(Assumptions!$P$64=1,OR(J36038&lt;Assumptions!$K$64,I36391=1)),MIN(MAX(0,-J36254),MAX(0,Assumptions!$D$64-J36165)),0)</f>
        <v>0</v>
      </c>
      <c r="K36172" s="16" t="n">
        <f aca="false">IF(AND(Assumptions!$P$64=1,OR(K36038&lt;Assumptions!$K$64,J36391=1)),MIN(MAX(0,-K36254),MAX(0,Assumptions!$D$64-K36165)),0)</f>
        <v>0</v>
      </c>
    </row>
    <row r="36173" customFormat="false" ht="15" hidden="false" customHeight="false" outlineLevel="0" collapsed="false">
      <c r="A36173" s="3" t="s">
        <v>336</v>
      </c>
      <c r="G36173" s="16" t="n">
        <f aca="false">G36166*MIN(G36165-G36171+G36170,MAX(0,G36256-Assumptions!$C$12*G36072-G36082-G36095-G36108-G36121-G36134-G36147-G36160))</f>
        <v>0</v>
      </c>
      <c r="H36173" s="16" t="n">
        <f aca="false">H36166*MIN(H36165-H36171+H36170,MAX(0,H36256-Assumptions!$C$12*H36072-H36082-H36095-H36108-H36121-H36134-H36147-H36160))</f>
        <v>0</v>
      </c>
      <c r="I36173" s="16" t="n">
        <f aca="false">I36166*MIN(I36165-I36171+I36170,MAX(0,I36256-Assumptions!$C$12*I36072-I36082-I36095-I36108-I36121-I36134-I36147-I36160))</f>
        <v>0</v>
      </c>
      <c r="J36173" s="16" t="n">
        <f aca="false">J36166*MIN(J36165-J36171+J36170,MAX(0,J36256-Assumptions!$C$12*J36072-J36082-J36095-J36108-J36121-J36134-J36147-J36160))</f>
        <v>0</v>
      </c>
      <c r="K36173" s="16" t="n">
        <f aca="false">K36166*MIN(K36165-K36171+K36170,MAX(0,K36256-Assumptions!$C$12*K36072-K36082-K36095-K36108-K36121-K36134-K36147-K36160))</f>
        <v>0</v>
      </c>
    </row>
    <row r="36174" customFormat="false" ht="15" hidden="false" customHeight="false" outlineLevel="0" collapsed="false">
      <c r="A36174" s="3" t="s">
        <v>337</v>
      </c>
      <c r="G36174" s="16" t="n">
        <f aca="false">Assumptions!$N$64*MIN(G36165+G36172+G36170-G36171-G36173,MAX(0,G36260-G36083-G36096-G36109-G36122-G36135-G36148-G36161))</f>
        <v>0</v>
      </c>
      <c r="H36174" s="16" t="n">
        <f aca="false">Assumptions!$N$64*MIN(H36165+H36172+H36170-H36171-H36173,MAX(0,H36260-H36083-H36096-H36109-H36122-H36135-H36148-H36161))</f>
        <v>0</v>
      </c>
      <c r="I36174" s="16" t="n">
        <f aca="false">Assumptions!$N$64*MIN(I36165+I36172+I36170-I36171-I36173,MAX(0,I36260-I36083-I36096-I36109-I36122-I36135-I36148-I36161))</f>
        <v>0</v>
      </c>
      <c r="J36174" s="16" t="n">
        <f aca="false">Assumptions!$N$64*MIN(J36165+J36172+J36170-J36171-J36173,MAX(0,J36260-J36083-J36096-J36109-J36122-J36135-J36148-J36161))</f>
        <v>0</v>
      </c>
      <c r="K36174" s="16" t="n">
        <f aca="false">Assumptions!$N$64*MIN(K36165+K36172+K36170-K36171-K36173,MAX(0,K36260-K36083-K36096-K36109-K36122-K36135-K36148-K36161))</f>
        <v>0</v>
      </c>
    </row>
    <row r="36175" customFormat="false" ht="15" hidden="false" customHeight="false" outlineLevel="0" collapsed="false">
      <c r="A36175" s="3" t="s">
        <v>338</v>
      </c>
      <c r="G36175" s="16" t="n">
        <f aca="false">G36166*(1-G36072)*(G36165-G36171+G36170-G36173)</f>
        <v>0</v>
      </c>
      <c r="H36175" s="16" t="n">
        <f aca="false">H36166*(1-H36072)*(H36165-H36171+H36170-H36173)</f>
        <v>0</v>
      </c>
      <c r="I36175" s="16" t="n">
        <f aca="false">I36166*(1-I36072)*(I36165-I36171+I36170-I36173)</f>
        <v>0</v>
      </c>
      <c r="J36175" s="16" t="n">
        <f aca="false">J36166*(1-J36072)*(J36165-J36171+J36170-J36173)</f>
        <v>350</v>
      </c>
      <c r="K36175" s="16" t="n">
        <f aca="false">K36166*(1-K36072)*(K36165-K36171+K36170-K36173)</f>
        <v>0</v>
      </c>
    </row>
    <row r="36176" customFormat="false" ht="15" hidden="false" customHeight="false" outlineLevel="0" collapsed="false">
      <c r="A36176" s="2" t="s">
        <v>339</v>
      </c>
      <c r="F36176" s="28" t="n">
        <f aca="false">Assumptions!$C$64</f>
        <v>350</v>
      </c>
      <c r="G36176" s="17" t="n">
        <f aca="false">G36165+G36172+G36170-G36171-G36173-G36174</f>
        <v>350</v>
      </c>
      <c r="H36176" s="17" t="n">
        <f aca="false">H36165+H36172+H36170-H36171-H36173-H36174</f>
        <v>350</v>
      </c>
      <c r="I36176" s="17" t="n">
        <f aca="false">I36165+I36172+I36170-I36171-I36173-I36174</f>
        <v>350</v>
      </c>
      <c r="J36176" s="17" t="n">
        <f aca="false">J36165+J36172+J36170-J36171-J36173-J36174</f>
        <v>350</v>
      </c>
      <c r="K36176" s="17" t="n">
        <f aca="false">K36165+K36172+K36170-K36171-K36173-K36174</f>
        <v>350</v>
      </c>
    </row>
    <row r="36177" customFormat="false" ht="15" hidden="false" customHeight="false" outlineLevel="0" collapsed="false">
      <c r="A36177" s="24" t="s">
        <v>347</v>
      </c>
      <c r="B36177" s="25"/>
      <c r="C36177" s="25"/>
      <c r="D36177" s="25"/>
      <c r="E36177" s="25"/>
      <c r="F36177" s="25"/>
      <c r="G36177" s="25"/>
      <c r="H36177" s="25"/>
      <c r="I36177" s="25"/>
      <c r="J36177" s="25"/>
      <c r="K36177" s="25"/>
    </row>
    <row r="36178" customFormat="false" ht="15" hidden="false" customHeight="false" outlineLevel="0" collapsed="false">
      <c r="A36178" s="3" t="s">
        <v>329</v>
      </c>
      <c r="G36178" s="16" t="n">
        <f aca="false">F36189</f>
        <v>300</v>
      </c>
      <c r="H36178" s="16" t="n">
        <f aca="false">G36189</f>
        <v>300</v>
      </c>
      <c r="I36178" s="16" t="n">
        <f aca="false">H36189</f>
        <v>300</v>
      </c>
      <c r="J36178" s="16" t="n">
        <f aca="false">I36189</f>
        <v>300</v>
      </c>
      <c r="K36178" s="16" t="n">
        <f aca="false">J36189</f>
        <v>300</v>
      </c>
    </row>
    <row r="36179" customFormat="false" ht="15" hidden="false" customHeight="false" outlineLevel="0" collapsed="false">
      <c r="A36179" s="3" t="s">
        <v>330</v>
      </c>
      <c r="G36179" s="21" t="n">
        <f aca="false">IF(G36038=Assumptions!$K$65,1,0)</f>
        <v>0</v>
      </c>
      <c r="H36179" s="21" t="n">
        <f aca="false">IF(H36038=Assumptions!$K$65,1,0)</f>
        <v>0</v>
      </c>
      <c r="I36179" s="21" t="n">
        <f aca="false">IF(I36038=Assumptions!$K$65,1,0)</f>
        <v>0</v>
      </c>
      <c r="J36179" s="21" t="n">
        <f aca="false">IF(J36038=Assumptions!$K$65,1,0)</f>
        <v>0</v>
      </c>
      <c r="K36179" s="21" t="n">
        <f aca="false">IF(K36038=Assumptions!$K$65,1,0)</f>
        <v>1</v>
      </c>
    </row>
    <row r="36181" customFormat="false" ht="15" hidden="false" customHeight="false" outlineLevel="0" collapsed="false">
      <c r="A36181" s="3" t="s">
        <v>331</v>
      </c>
      <c r="G36181" s="31" t="n">
        <f aca="false">IF(Assumptions!$I$65=1,MAX(G36064,Assumptions!$G$65)+Assumptions!$F$65+$C$36065,Assumptions!$E$65)</f>
        <v>0.06125</v>
      </c>
      <c r="H36181" s="31" t="n">
        <f aca="false">IF(G36392=1,$C$36066,IF(Assumptions!$I$65=1,MAX(H36064,Assumptions!$G$65)+Assumptions!$F$65+$C$36065,Assumptions!$E$65))</f>
        <v>0.06125</v>
      </c>
      <c r="I36181" s="31" t="n">
        <f aca="false">IF(H36392=1,$C$36066,IF(Assumptions!$I$65=1,MAX(I36064,Assumptions!$G$65)+Assumptions!$F$65+$C$36065,Assumptions!$E$65))</f>
        <v>0.06125</v>
      </c>
      <c r="J36181" s="31" t="n">
        <f aca="false">IF(I36392=1,$C$36066,IF(Assumptions!$I$65=1,MAX(J36064,Assumptions!$G$65)+Assumptions!$F$65+$C$36065,Assumptions!$E$65))</f>
        <v>0.06125</v>
      </c>
      <c r="K36181" s="31" t="n">
        <f aca="false">IF(J36392=1,$C$36066,IF(Assumptions!$I$65=1,MAX(K36064,Assumptions!$G$65)+Assumptions!$F$65+$C$36065,Assumptions!$E$65))</f>
        <v>0.06125</v>
      </c>
    </row>
    <row r="36182" customFormat="false" ht="15" hidden="false" customHeight="false" outlineLevel="0" collapsed="false">
      <c r="A36182" s="3" t="s">
        <v>332</v>
      </c>
      <c r="G36182" s="16" t="n">
        <f aca="false">G36178*G36181</f>
        <v>18.375</v>
      </c>
      <c r="H36182" s="16" t="n">
        <f aca="false">H36178*H36181</f>
        <v>18.375</v>
      </c>
      <c r="I36182" s="16" t="n">
        <f aca="false">I36178*I36181</f>
        <v>18.375</v>
      </c>
      <c r="J36182" s="16" t="n">
        <f aca="false">J36178*J36181</f>
        <v>18.375</v>
      </c>
      <c r="K36182" s="16" t="n">
        <f aca="false">K36178*K36181</f>
        <v>18.375</v>
      </c>
    </row>
    <row r="36183" customFormat="false" ht="15" hidden="false" customHeight="false" outlineLevel="0" collapsed="false">
      <c r="A36183" s="3" t="s">
        <v>333</v>
      </c>
      <c r="G36183" s="16" t="n">
        <f aca="false">G36178*Assumptions!$H$65</f>
        <v>0</v>
      </c>
      <c r="H36183" s="16" t="n">
        <f aca="false">H36178*Assumptions!$H$65</f>
        <v>0</v>
      </c>
      <c r="I36183" s="16" t="n">
        <f aca="false">I36178*Assumptions!$H$65</f>
        <v>0</v>
      </c>
      <c r="J36183" s="16" t="n">
        <f aca="false">J36178*Assumptions!$H$65</f>
        <v>0</v>
      </c>
      <c r="K36183" s="16" t="n">
        <f aca="false">K36178*Assumptions!$H$65</f>
        <v>0</v>
      </c>
    </row>
    <row r="36184" customFormat="false" ht="15" hidden="false" customHeight="false" outlineLevel="0" collapsed="false">
      <c r="A36184" s="3" t="s">
        <v>334</v>
      </c>
      <c r="G36184" s="16" t="n">
        <f aca="false">MIN(G36178,Assumptions!$L$65*Assumptions!$C$65)</f>
        <v>0</v>
      </c>
      <c r="H36184" s="16" t="n">
        <f aca="false">MIN(H36178,Assumptions!$L$65*Assumptions!$C$65)</f>
        <v>0</v>
      </c>
      <c r="I36184" s="16" t="n">
        <f aca="false">MIN(I36178,Assumptions!$L$65*Assumptions!$C$65)</f>
        <v>0</v>
      </c>
      <c r="J36184" s="16" t="n">
        <f aca="false">MIN(J36178,Assumptions!$L$65*Assumptions!$C$65)</f>
        <v>0</v>
      </c>
      <c r="K36184" s="16" t="n">
        <f aca="false">MIN(K36178,Assumptions!$L$65*Assumptions!$C$65)</f>
        <v>0</v>
      </c>
    </row>
    <row r="36185" customFormat="false" ht="15" hidden="false" customHeight="false" outlineLevel="0" collapsed="false">
      <c r="A36185" s="3" t="s">
        <v>335</v>
      </c>
      <c r="G36185" s="16" t="n">
        <f aca="false">IF(AND(Assumptions!$P$65=1,G36038&lt;Assumptions!$K$65),MIN(MAX(0,-G36254),MAX(0,Assumptions!$D$65-G36178)),0)</f>
        <v>0</v>
      </c>
      <c r="H36185" s="16" t="n">
        <f aca="false">IF(AND(Assumptions!$P$65=1,OR(H36038&lt;Assumptions!$K$65,G36392=1)),MIN(MAX(0,-H36254),MAX(0,Assumptions!$D$65-H36178)),0)</f>
        <v>0</v>
      </c>
      <c r="I36185" s="16" t="n">
        <f aca="false">IF(AND(Assumptions!$P$65=1,OR(I36038&lt;Assumptions!$K$65,H36392=1)),MIN(MAX(0,-I36254),MAX(0,Assumptions!$D$65-I36178)),0)</f>
        <v>0</v>
      </c>
      <c r="J36185" s="16" t="n">
        <f aca="false">IF(AND(Assumptions!$P$65=1,OR(J36038&lt;Assumptions!$K$65,I36392=1)),MIN(MAX(0,-J36254),MAX(0,Assumptions!$D$65-J36178)),0)</f>
        <v>0</v>
      </c>
      <c r="K36185" s="16" t="n">
        <f aca="false">IF(AND(Assumptions!$P$65=1,OR(K36038&lt;Assumptions!$K$65,J36392=1)),MIN(MAX(0,-K36254),MAX(0,Assumptions!$D$65-K36178)),0)</f>
        <v>0</v>
      </c>
    </row>
    <row r="36186" customFormat="false" ht="15" hidden="false" customHeight="false" outlineLevel="0" collapsed="false">
      <c r="A36186" s="3" t="s">
        <v>336</v>
      </c>
      <c r="G36186" s="16" t="n">
        <f aca="false">G36179*MIN(G36178-G36184+G36183,MAX(0,G36256-Assumptions!$C$12*G36072-G36082-G36095-G36108-G36121-G36134-G36147-G36160-G36173))</f>
        <v>0</v>
      </c>
      <c r="H36186" s="16" t="n">
        <f aca="false">H36179*MIN(H36178-H36184+H36183,MAX(0,H36256-Assumptions!$C$12*H36072-H36082-H36095-H36108-H36121-H36134-H36147-H36160-H36173))</f>
        <v>0</v>
      </c>
      <c r="I36186" s="16" t="n">
        <f aca="false">I36179*MIN(I36178-I36184+I36183,MAX(0,I36256-Assumptions!$C$12*I36072-I36082-I36095-I36108-I36121-I36134-I36147-I36160-I36173))</f>
        <v>0</v>
      </c>
      <c r="J36186" s="16" t="n">
        <f aca="false">J36179*MIN(J36178-J36184+J36183,MAX(0,J36256-Assumptions!$C$12*J36072-J36082-J36095-J36108-J36121-J36134-J36147-J36160-J36173))</f>
        <v>0</v>
      </c>
      <c r="K36186" s="16" t="n">
        <f aca="false">K36179*MIN(K36178-K36184+K36183,MAX(0,K36256-Assumptions!$C$12*K36072-K36082-K36095-K36108-K36121-K36134-K36147-K36160-K36173))</f>
        <v>0</v>
      </c>
    </row>
    <row r="36187" customFormat="false" ht="15" hidden="false" customHeight="false" outlineLevel="0" collapsed="false">
      <c r="A36187" s="3" t="s">
        <v>337</v>
      </c>
      <c r="G36187" s="16" t="n">
        <f aca="false">Assumptions!$N$65*MIN(G36178+G36185+G36183-G36184-G36186,MAX(0,G36260-G36083-G36096-G36109-G36122-G36135-G36148-G36161-G36174))</f>
        <v>0</v>
      </c>
      <c r="H36187" s="16" t="n">
        <f aca="false">Assumptions!$N$65*MIN(H36178+H36185+H36183-H36184-H36186,MAX(0,H36260-H36083-H36096-H36109-H36122-H36135-H36148-H36161-H36174))</f>
        <v>0</v>
      </c>
      <c r="I36187" s="16" t="n">
        <f aca="false">Assumptions!$N$65*MIN(I36178+I36185+I36183-I36184-I36186,MAX(0,I36260-I36083-I36096-I36109-I36122-I36135-I36148-I36161-I36174))</f>
        <v>0</v>
      </c>
      <c r="J36187" s="16" t="n">
        <f aca="false">Assumptions!$N$65*MIN(J36178+J36185+J36183-J36184-J36186,MAX(0,J36260-J36083-J36096-J36109-J36122-J36135-J36148-J36161-J36174))</f>
        <v>0</v>
      </c>
      <c r="K36187" s="16" t="n">
        <f aca="false">Assumptions!$N$65*MIN(K36178+K36185+K36183-K36184-K36186,MAX(0,K36260-K36083-K36096-K36109-K36122-K36135-K36148-K36161-K36174))</f>
        <v>0</v>
      </c>
    </row>
    <row r="36188" customFormat="false" ht="15" hidden="false" customHeight="false" outlineLevel="0" collapsed="false">
      <c r="A36188" s="3" t="s">
        <v>338</v>
      </c>
      <c r="G36188" s="16" t="n">
        <f aca="false">G36179*(1-G36072)*(G36178-G36184+G36183-G36186)</f>
        <v>0</v>
      </c>
      <c r="H36188" s="16" t="n">
        <f aca="false">H36179*(1-H36072)*(H36178-H36184+H36183-H36186)</f>
        <v>0</v>
      </c>
      <c r="I36188" s="16" t="n">
        <f aca="false">I36179*(1-I36072)*(I36178-I36184+I36183-I36186)</f>
        <v>0</v>
      </c>
      <c r="J36188" s="16" t="n">
        <f aca="false">J36179*(1-J36072)*(J36178-J36184+J36183-J36186)</f>
        <v>0</v>
      </c>
      <c r="K36188" s="16" t="n">
        <f aca="false">K36179*(1-K36072)*(K36178-K36184+K36183-K36186)</f>
        <v>300</v>
      </c>
    </row>
    <row r="36189" customFormat="false" ht="15" hidden="false" customHeight="false" outlineLevel="0" collapsed="false">
      <c r="A36189" s="2" t="s">
        <v>339</v>
      </c>
      <c r="F36189" s="28" t="n">
        <f aca="false">Assumptions!$C$65</f>
        <v>300</v>
      </c>
      <c r="G36189" s="17" t="n">
        <f aca="false">G36178+G36185+G36183-G36184-G36186-G36187</f>
        <v>300</v>
      </c>
      <c r="H36189" s="17" t="n">
        <f aca="false">H36178+H36185+H36183-H36184-H36186-H36187</f>
        <v>300</v>
      </c>
      <c r="I36189" s="17" t="n">
        <f aca="false">I36178+I36185+I36183-I36184-I36186-I36187</f>
        <v>300</v>
      </c>
      <c r="J36189" s="17" t="n">
        <f aca="false">J36178+J36185+J36183-J36184-J36186-J36187</f>
        <v>300</v>
      </c>
      <c r="K36189" s="17" t="n">
        <f aca="false">K36178+K36185+K36183-K36184-K36186-K36187</f>
        <v>300</v>
      </c>
    </row>
    <row r="36190" customFormat="false" ht="15" hidden="false" customHeight="false" outlineLevel="0" collapsed="false">
      <c r="A36190" s="24" t="s">
        <v>348</v>
      </c>
      <c r="B36190" s="25"/>
      <c r="C36190" s="25"/>
      <c r="D36190" s="25"/>
      <c r="E36190" s="25"/>
      <c r="F36190" s="25"/>
      <c r="G36190" s="25"/>
      <c r="H36190" s="25"/>
      <c r="I36190" s="25"/>
      <c r="J36190" s="25"/>
      <c r="K36190" s="25"/>
    </row>
    <row r="36191" customFormat="false" ht="15" hidden="false" customHeight="false" outlineLevel="0" collapsed="false">
      <c r="A36191" s="3" t="s">
        <v>329</v>
      </c>
      <c r="G36191" s="16" t="n">
        <f aca="false">F36202</f>
        <v>78.61</v>
      </c>
      <c r="H36191" s="16" t="n">
        <f aca="false">G36202</f>
        <v>78.61</v>
      </c>
      <c r="I36191" s="16" t="n">
        <f aca="false">H36202</f>
        <v>78.61</v>
      </c>
      <c r="J36191" s="16" t="n">
        <f aca="false">I36202</f>
        <v>78.61</v>
      </c>
      <c r="K36191" s="16" t="n">
        <f aca="false">J36202</f>
        <v>78.61</v>
      </c>
    </row>
    <row r="36192" customFormat="false" ht="15" hidden="false" customHeight="false" outlineLevel="0" collapsed="false">
      <c r="A36192" s="3" t="s">
        <v>330</v>
      </c>
      <c r="G36192" s="21" t="n">
        <f aca="false">IF(G36038=Assumptions!$K$66,1,0)</f>
        <v>0</v>
      </c>
      <c r="H36192" s="21" t="n">
        <f aca="false">IF(H36038=Assumptions!$K$66,1,0)</f>
        <v>0</v>
      </c>
      <c r="I36192" s="21" t="n">
        <f aca="false">IF(I36038=Assumptions!$K$66,1,0)</f>
        <v>0</v>
      </c>
      <c r="J36192" s="21" t="n">
        <f aca="false">IF(J36038=Assumptions!$K$66,1,0)</f>
        <v>0</v>
      </c>
      <c r="K36192" s="21" t="n">
        <f aca="false">IF(K36038=Assumptions!$K$66,1,0)</f>
        <v>0</v>
      </c>
    </row>
    <row r="36194" customFormat="false" ht="15" hidden="false" customHeight="false" outlineLevel="0" collapsed="false">
      <c r="A36194" s="3" t="s">
        <v>331</v>
      </c>
      <c r="G36194" s="31" t="n">
        <f aca="false">IF(Assumptions!$I$66=1,MAX(G36064,Assumptions!$G$66)+Assumptions!$F$66+$C$36065,Assumptions!$E$66)</f>
        <v>0.0691</v>
      </c>
      <c r="H36194" s="31" t="n">
        <f aca="false">IF(G36393=1,$C$36066,IF(Assumptions!$I$66=1,MAX(H36064,Assumptions!$G$66)+Assumptions!$F$66+$C$36065,Assumptions!$E$66))</f>
        <v>0.0676</v>
      </c>
      <c r="I36194" s="31" t="n">
        <f aca="false">IF(H36393=1,$C$36066,IF(Assumptions!$I$66=1,MAX(I36064,Assumptions!$G$66)+Assumptions!$F$66+$C$36065,Assumptions!$E$66))</f>
        <v>0.0651</v>
      </c>
      <c r="J36194" s="31" t="n">
        <f aca="false">IF(I36393=1,$C$36066,IF(Assumptions!$I$66=1,MAX(J36064,Assumptions!$G$66)+Assumptions!$F$66+$C$36065,Assumptions!$E$66))</f>
        <v>0.0651</v>
      </c>
      <c r="K36194" s="31" t="n">
        <f aca="false">IF(J36393=1,$C$36066,IF(Assumptions!$I$66=1,MAX(K36064,Assumptions!$G$66)+Assumptions!$F$66+$C$36065,Assumptions!$E$66))</f>
        <v>0.0651</v>
      </c>
    </row>
    <row r="36195" customFormat="false" ht="15" hidden="false" customHeight="false" outlineLevel="0" collapsed="false">
      <c r="A36195" s="3" t="s">
        <v>332</v>
      </c>
      <c r="G36195" s="16" t="n">
        <f aca="false">G36191*G36194</f>
        <v>5.431951</v>
      </c>
      <c r="H36195" s="16" t="n">
        <f aca="false">H36191*H36194</f>
        <v>5.314036</v>
      </c>
      <c r="I36195" s="16" t="n">
        <f aca="false">I36191*I36194</f>
        <v>5.117511</v>
      </c>
      <c r="J36195" s="16" t="n">
        <f aca="false">J36191*J36194</f>
        <v>5.117511</v>
      </c>
      <c r="K36195" s="16" t="n">
        <f aca="false">K36191*K36194</f>
        <v>5.117511</v>
      </c>
    </row>
    <row r="36196" customFormat="false" ht="15" hidden="false" customHeight="false" outlineLevel="0" collapsed="false">
      <c r="A36196" s="3" t="s">
        <v>333</v>
      </c>
      <c r="G36196" s="16" t="n">
        <f aca="false">G36191*Assumptions!$H$66</f>
        <v>0</v>
      </c>
      <c r="H36196" s="16" t="n">
        <f aca="false">H36191*Assumptions!$H$66</f>
        <v>0</v>
      </c>
      <c r="I36196" s="16" t="n">
        <f aca="false">I36191*Assumptions!$H$66</f>
        <v>0</v>
      </c>
      <c r="J36196" s="16" t="n">
        <f aca="false">J36191*Assumptions!$H$66</f>
        <v>0</v>
      </c>
      <c r="K36196" s="16" t="n">
        <f aca="false">K36191*Assumptions!$H$66</f>
        <v>0</v>
      </c>
    </row>
    <row r="36197" customFormat="false" ht="15" hidden="false" customHeight="false" outlineLevel="0" collapsed="false">
      <c r="A36197" s="3" t="s">
        <v>334</v>
      </c>
      <c r="G36197" s="16" t="n">
        <f aca="false">MIN(G36191,Assumptions!$L$66*Assumptions!$C$66)</f>
        <v>0</v>
      </c>
      <c r="H36197" s="16" t="n">
        <f aca="false">MIN(H36191,Assumptions!$L$66*Assumptions!$C$66)</f>
        <v>0</v>
      </c>
      <c r="I36197" s="16" t="n">
        <f aca="false">MIN(I36191,Assumptions!$L$66*Assumptions!$C$66)</f>
        <v>0</v>
      </c>
      <c r="J36197" s="16" t="n">
        <f aca="false">MIN(J36191,Assumptions!$L$66*Assumptions!$C$66)</f>
        <v>0</v>
      </c>
      <c r="K36197" s="16" t="n">
        <f aca="false">MIN(K36191,Assumptions!$L$66*Assumptions!$C$66)</f>
        <v>0</v>
      </c>
    </row>
    <row r="36198" customFormat="false" ht="15" hidden="false" customHeight="false" outlineLevel="0" collapsed="false">
      <c r="A36198" s="3" t="s">
        <v>335</v>
      </c>
      <c r="G36198" s="16" t="n">
        <f aca="false">IF(AND(Assumptions!$P$66=1,G36038&lt;Assumptions!$K$66),MIN(MAX(0,-G36254),MAX(0,Assumptions!$D$66-G36191)),0)</f>
        <v>0</v>
      </c>
      <c r="H36198" s="16" t="n">
        <f aca="false">IF(AND(Assumptions!$P$66=1,OR(H36038&lt;Assumptions!$K$66,G36393=1)),MIN(MAX(0,-H36254),MAX(0,Assumptions!$D$66-H36191)),0)</f>
        <v>0</v>
      </c>
      <c r="I36198" s="16" t="n">
        <f aca="false">IF(AND(Assumptions!$P$66=1,OR(I36038&lt;Assumptions!$K$66,H36393=1)),MIN(MAX(0,-I36254),MAX(0,Assumptions!$D$66-I36191)),0)</f>
        <v>0</v>
      </c>
      <c r="J36198" s="16" t="n">
        <f aca="false">IF(AND(Assumptions!$P$66=1,OR(J36038&lt;Assumptions!$K$66,I36393=1)),MIN(MAX(0,-J36254),MAX(0,Assumptions!$D$66-J36191)),0)</f>
        <v>0</v>
      </c>
      <c r="K36198" s="16" t="n">
        <f aca="false">IF(AND(Assumptions!$P$66=1,OR(K36038&lt;Assumptions!$K$66,J36393=1)),MIN(MAX(0,-K36254),MAX(0,Assumptions!$D$66-K36191)),0)</f>
        <v>0</v>
      </c>
    </row>
    <row r="36199" customFormat="false" ht="15" hidden="false" customHeight="false" outlineLevel="0" collapsed="false">
      <c r="A36199" s="3" t="s">
        <v>336</v>
      </c>
      <c r="G36199" s="16" t="n">
        <f aca="false">G36192*MIN(G36191-G36197+G36196,MAX(0,G36256-Assumptions!$C$12*G36072-G36082-G36095-G36108-G36121-G36134-G36147-G36160-G36173-G36186))</f>
        <v>0</v>
      </c>
      <c r="H36199" s="16" t="n">
        <f aca="false">H36192*MIN(H36191-H36197+H36196,MAX(0,H36256-Assumptions!$C$12*H36072-H36082-H36095-H36108-H36121-H36134-H36147-H36160-H36173-H36186))</f>
        <v>0</v>
      </c>
      <c r="I36199" s="16" t="n">
        <f aca="false">I36192*MIN(I36191-I36197+I36196,MAX(0,I36256-Assumptions!$C$12*I36072-I36082-I36095-I36108-I36121-I36134-I36147-I36160-I36173-I36186))</f>
        <v>0</v>
      </c>
      <c r="J36199" s="16" t="n">
        <f aca="false">J36192*MIN(J36191-J36197+J36196,MAX(0,J36256-Assumptions!$C$12*J36072-J36082-J36095-J36108-J36121-J36134-J36147-J36160-J36173-J36186))</f>
        <v>0</v>
      </c>
      <c r="K36199" s="16" t="n">
        <f aca="false">K36192*MIN(K36191-K36197+K36196,MAX(0,K36256-Assumptions!$C$12*K36072-K36082-K36095-K36108-K36121-K36134-K36147-K36160-K36173-K36186))</f>
        <v>0</v>
      </c>
    </row>
    <row r="36200" customFormat="false" ht="15" hidden="false" customHeight="false" outlineLevel="0" collapsed="false">
      <c r="A36200" s="3" t="s">
        <v>337</v>
      </c>
      <c r="G36200" s="16" t="n">
        <f aca="false">Assumptions!$N$66*MIN(G36191+G36198+G36196-G36197-G36199,MAX(0,G36260-G36083-G36096-G36109-G36122-G36135-G36148-G36161-G36174-G36187))</f>
        <v>0</v>
      </c>
      <c r="H36200" s="16" t="n">
        <f aca="false">Assumptions!$N$66*MIN(H36191+H36198+H36196-H36197-H36199,MAX(0,H36260-H36083-H36096-H36109-H36122-H36135-H36148-H36161-H36174-H36187))</f>
        <v>0</v>
      </c>
      <c r="I36200" s="16" t="n">
        <f aca="false">Assumptions!$N$66*MIN(I36191+I36198+I36196-I36197-I36199,MAX(0,I36260-I36083-I36096-I36109-I36122-I36135-I36148-I36161-I36174-I36187))</f>
        <v>0</v>
      </c>
      <c r="J36200" s="16" t="n">
        <f aca="false">Assumptions!$N$66*MIN(J36191+J36198+J36196-J36197-J36199,MAX(0,J36260-J36083-J36096-J36109-J36122-J36135-J36148-J36161-J36174-J36187))</f>
        <v>0</v>
      </c>
      <c r="K36200" s="16" t="n">
        <f aca="false">Assumptions!$N$66*MIN(K36191+K36198+K36196-K36197-K36199,MAX(0,K36260-K36083-K36096-K36109-K36122-K36135-K36148-K36161-K36174-K36187))</f>
        <v>0</v>
      </c>
    </row>
    <row r="36201" customFormat="false" ht="15" hidden="false" customHeight="false" outlineLevel="0" collapsed="false">
      <c r="A36201" s="3" t="s">
        <v>338</v>
      </c>
      <c r="G36201" s="16" t="n">
        <f aca="false">G36192*(1-G36072)*(G36191-G36197+G36196-G36199)</f>
        <v>0</v>
      </c>
      <c r="H36201" s="16" t="n">
        <f aca="false">H36192*(1-H36072)*(H36191-H36197+H36196-H36199)</f>
        <v>0</v>
      </c>
      <c r="I36201" s="16" t="n">
        <f aca="false">I36192*(1-I36072)*(I36191-I36197+I36196-I36199)</f>
        <v>0</v>
      </c>
      <c r="J36201" s="16" t="n">
        <f aca="false">J36192*(1-J36072)*(J36191-J36197+J36196-J36199)</f>
        <v>0</v>
      </c>
      <c r="K36201" s="16" t="n">
        <f aca="false">K36192*(1-K36072)*(K36191-K36197+K36196-K36199)</f>
        <v>0</v>
      </c>
    </row>
    <row r="36202" customFormat="false" ht="15" hidden="false" customHeight="false" outlineLevel="0" collapsed="false">
      <c r="A36202" s="2" t="s">
        <v>339</v>
      </c>
      <c r="F36202" s="28" t="n">
        <f aca="false">Assumptions!$C$66</f>
        <v>78.61</v>
      </c>
      <c r="G36202" s="17" t="n">
        <f aca="false">G36191+G36198+G36196-G36197-G36199-G36200</f>
        <v>78.61</v>
      </c>
      <c r="H36202" s="17" t="n">
        <f aca="false">H36191+H36198+H36196-H36197-H36199-H36200</f>
        <v>78.61</v>
      </c>
      <c r="I36202" s="17" t="n">
        <f aca="false">I36191+I36198+I36196-I36197-I36199-I36200</f>
        <v>78.61</v>
      </c>
      <c r="J36202" s="17" t="n">
        <f aca="false">J36191+J36198+J36196-J36197-J36199-J36200</f>
        <v>78.61</v>
      </c>
      <c r="K36202" s="17" t="n">
        <f aca="false">K36191+K36198+K36196-K36197-K36199-K36200</f>
        <v>78.61</v>
      </c>
    </row>
    <row r="36203" customFormat="false" ht="15" hidden="false" customHeight="false" outlineLevel="0" collapsed="false">
      <c r="A36203" s="24" t="s">
        <v>349</v>
      </c>
      <c r="B36203" s="25"/>
      <c r="C36203" s="25"/>
      <c r="D36203" s="25"/>
      <c r="E36203" s="25"/>
      <c r="F36203" s="25"/>
      <c r="G36203" s="25"/>
      <c r="H36203" s="25"/>
      <c r="I36203" s="25"/>
      <c r="J36203" s="25"/>
      <c r="K36203" s="25"/>
    </row>
    <row r="36204" customFormat="false" ht="15" hidden="false" customHeight="false" outlineLevel="0" collapsed="false">
      <c r="A36204" s="2" t="s">
        <v>350</v>
      </c>
      <c r="F36204" s="17" t="n">
        <f aca="false">F36085+F36098+F36111+F36124+F36137+F36150+F36163+F36176+F36189+F36202</f>
        <v>2625.934</v>
      </c>
      <c r="G36204" s="17" t="n">
        <f aca="false">G36085+G36098+G36111+G36124+G36137+G36150+G36163+G36176+G36189+G36202</f>
        <v>2621.934</v>
      </c>
      <c r="H36204" s="17" t="n">
        <f aca="false">H36085+H36098+H36111+H36124+H36137+H36150+H36163+H36176+H36189+H36202</f>
        <v>2569.380357881</v>
      </c>
      <c r="I36204" s="17" t="n">
        <f aca="false">I36085+I36098+I36111+I36124+I36137+I36150+I36163+I36176+I36189+I36202</f>
        <v>2565.380357881</v>
      </c>
      <c r="J36204" s="17" t="n">
        <f aca="false">J36085+J36098+J36111+J36124+J36137+J36150+J36163+J36176+J36189+J36202</f>
        <v>2561.380357881</v>
      </c>
      <c r="K36204" s="17" t="n">
        <f aca="false">K36085+K36098+K36111+K36124+K36137+K36150+K36163+K36176+K36189+K36202</f>
        <v>2557.380357881</v>
      </c>
    </row>
    <row r="36205" customFormat="false" ht="15" hidden="false" customHeight="false" outlineLevel="0" collapsed="false">
      <c r="A36205" s="3" t="s">
        <v>351</v>
      </c>
      <c r="G36205" s="16" t="n">
        <f aca="false">G36075*Assumptions!$C$57+G36088*Assumptions!$C$58+G36101*Assumptions!$C$59+G36114*Assumptions!$C$60+G36127*Assumptions!$C$61+G36140*Assumptions!$C$62+G36153*Assumptions!$C$63+G36166*Assumptions!$C$64+G36179*Assumptions!$C$65+G36192*Assumptions!$C$66</f>
        <v>0</v>
      </c>
      <c r="H36205" s="16" t="n">
        <f aca="false">H36075*Assumptions!$C$57+H36088*Assumptions!$C$58+H36101*Assumptions!$C$59+H36114*Assumptions!$C$60+H36127*Assumptions!$C$61+H36140*Assumptions!$C$62+H36153*Assumptions!$C$63+H36166*Assumptions!$C$64+H36179*Assumptions!$C$65+H36192*Assumptions!$C$66</f>
        <v>800</v>
      </c>
      <c r="I36205" s="16" t="n">
        <f aca="false">I36075*Assumptions!$C$57+I36088*Assumptions!$C$58+I36101*Assumptions!$C$59+I36114*Assumptions!$C$60+I36127*Assumptions!$C$61+I36140*Assumptions!$C$62+I36153*Assumptions!$C$63+I36166*Assumptions!$C$64+I36179*Assumptions!$C$65+I36192*Assumptions!$C$66</f>
        <v>550</v>
      </c>
      <c r="J36205" s="16" t="n">
        <f aca="false">J36075*Assumptions!$C$57+J36088*Assumptions!$C$58+J36101*Assumptions!$C$59+J36114*Assumptions!$C$60+J36127*Assumptions!$C$61+J36140*Assumptions!$C$62+J36153*Assumptions!$C$63+J36166*Assumptions!$C$64+J36179*Assumptions!$C$65+J36192*Assumptions!$C$66</f>
        <v>350</v>
      </c>
      <c r="K36205" s="16" t="n">
        <f aca="false">K36075*Assumptions!$C$57+K36088*Assumptions!$C$58+K36101*Assumptions!$C$59+K36114*Assumptions!$C$60+K36127*Assumptions!$C$61+K36140*Assumptions!$C$62+K36153*Assumptions!$C$63+K36166*Assumptions!$C$64+K36179*Assumptions!$C$65+K36192*Assumptions!$C$66</f>
        <v>700</v>
      </c>
    </row>
    <row r="36206" customFormat="false" ht="15" hidden="false" customHeight="false" outlineLevel="0" collapsed="false">
      <c r="A36206" s="24" t="s">
        <v>352</v>
      </c>
      <c r="B36206" s="25"/>
      <c r="C36206" s="25"/>
      <c r="D36206" s="25"/>
      <c r="E36206" s="25"/>
      <c r="F36206" s="25"/>
      <c r="G36206" s="25"/>
      <c r="H36206" s="25"/>
      <c r="I36206" s="25"/>
      <c r="J36206" s="25"/>
      <c r="K36206" s="25"/>
    </row>
    <row r="36207" customFormat="false" ht="15" hidden="false" customHeight="false" outlineLevel="0" collapsed="false">
      <c r="A36207" s="3" t="s">
        <v>353</v>
      </c>
      <c r="C36207" s="16" t="n">
        <f aca="false">SUMPRODUCT($G$36075:$K$36075,$G$36074:$K$36074-$G$36080:$K$36080+$G$36079:$K$36079)</f>
        <v>380</v>
      </c>
    </row>
    <row r="36208" customFormat="false" ht="15" hidden="false" customHeight="false" outlineLevel="0" collapsed="false">
      <c r="A36208" s="3" t="s">
        <v>354</v>
      </c>
      <c r="C36208" s="16" t="n">
        <f aca="false">SUMPRODUCT($G$36075:$K$36075,$G$36082:$K$36082)</f>
        <v>0</v>
      </c>
    </row>
    <row r="36209" customFormat="false" ht="15" hidden="false" customHeight="false" outlineLevel="0" collapsed="false">
      <c r="A36209" s="3" t="s">
        <v>355</v>
      </c>
      <c r="C36209" s="3" t="str">
        <f aca="false">IF(SUM($G$36075:$K$36075)=0,"n/a (beyond horizon)",IF(SUMPRODUCT($G$36075:$K$36075,$G$36072:$K$36072)&gt;0,"REFINANCING PASS","REFINANCING FAILURE"))</f>
        <v>REFINANCING FAILURE</v>
      </c>
    </row>
    <row r="36210" customFormat="false" ht="15" hidden="false" customHeight="false" outlineLevel="0" collapsed="false">
      <c r="A36210" s="3" t="s">
        <v>356</v>
      </c>
      <c r="C36210" s="3" t="str">
        <f aca="false">IF(SUM($G$36075:$K$36075)=0,"n/a",IF(C36208&gt;=C36207-0.001,"Repaid from cash",IF(SUMPRODUCT($G$36075:$K$36075,$G$36072:$K$36072)&gt;0,IF(C36208&gt;0,"Partly repaid; remainder refinanced","Refinanced"),IF(SUM($G$36084:$K$36084)&gt;0.001,IF(C36208&gt;0,"Partial repayment; PAYMENT DEFAULT","PAYMENT DEFAULT"),"Repaid from cash"))))</f>
        <v>PAYMENT DEFAULT</v>
      </c>
    </row>
    <row r="36211" customFormat="false" ht="15" hidden="false" customHeight="false" outlineLevel="0" collapsed="false">
      <c r="A36211" s="3" t="s">
        <v>357</v>
      </c>
      <c r="C36211" s="16" t="n">
        <f aca="false">SUMPRODUCT($G$36088:$K$36088,$G$36087:$K$36087-$G$36093:$K$36093+$G$36092:$K$36092)</f>
        <v>0</v>
      </c>
    </row>
    <row r="36212" customFormat="false" ht="15" hidden="false" customHeight="false" outlineLevel="0" collapsed="false">
      <c r="A36212" s="3" t="s">
        <v>358</v>
      </c>
      <c r="C36212" s="16" t="n">
        <f aca="false">SUMPRODUCT($G$36088:$K$36088,$G$36095:$K$36095)</f>
        <v>0</v>
      </c>
    </row>
    <row r="36213" customFormat="false" ht="15" hidden="false" customHeight="false" outlineLevel="0" collapsed="false">
      <c r="A36213" s="3" t="s">
        <v>359</v>
      </c>
      <c r="C36213" s="3" t="str">
        <f aca="false">IF(SUM($G$36088:$K$36088)=0,"n/a (beyond horizon)",IF(SUMPRODUCT($G$36088:$K$36088,$G$36072:$K$36072)&gt;0,"REFINANCING PASS","REFINANCING FAILURE"))</f>
        <v>n/a (beyond horizon)</v>
      </c>
    </row>
    <row r="36214" customFormat="false" ht="15" hidden="false" customHeight="false" outlineLevel="0" collapsed="false">
      <c r="A36214" s="3" t="s">
        <v>360</v>
      </c>
      <c r="C36214" s="3" t="str">
        <f aca="false">IF(SUM($G$36088:$K$36088)=0,"n/a",IF(C36212&gt;=C36211-0.001,"Repaid from cash",IF(SUMPRODUCT($G$36088:$K$36088,$G$36072:$K$36072)&gt;0,IF(C36212&gt;0,"Partly repaid; remainder refinanced","Refinanced"),IF(SUM($G$36097:$K$36097)&gt;0.001,IF(C36212&gt;0,"Partial repayment; PAYMENT DEFAULT","PAYMENT DEFAULT"),"Repaid from cash"))))</f>
        <v>n/a</v>
      </c>
    </row>
    <row r="36215" customFormat="false" ht="15" hidden="false" customHeight="false" outlineLevel="0" collapsed="false">
      <c r="A36215" s="3" t="s">
        <v>361</v>
      </c>
      <c r="C36215" s="16" t="n">
        <f aca="false">SUMPRODUCT($G$36101:$K$36101,$G$36100:$K$36100-$G$36106:$K$36106+$G$36105:$K$36105)</f>
        <v>0</v>
      </c>
    </row>
    <row r="36216" customFormat="false" ht="15" hidden="false" customHeight="false" outlineLevel="0" collapsed="false">
      <c r="A36216" s="3" t="s">
        <v>362</v>
      </c>
      <c r="C36216" s="16" t="n">
        <f aca="false">SUMPRODUCT($G$36101:$K$36101,$G$36108:$K$36108)</f>
        <v>0</v>
      </c>
    </row>
    <row r="36217" customFormat="false" ht="15" hidden="false" customHeight="false" outlineLevel="0" collapsed="false">
      <c r="A36217" s="3" t="s">
        <v>363</v>
      </c>
      <c r="C36217" s="3" t="str">
        <f aca="false">IF(SUM($G$36101:$K$36101)=0,"n/a (beyond horizon)",IF(SUMPRODUCT($G$36101:$K$36101,$G$36072:$K$36072)&gt;0,"REFINANCING PASS","REFINANCING FAILURE"))</f>
        <v>n/a (beyond horizon)</v>
      </c>
    </row>
    <row r="36218" customFormat="false" ht="15" hidden="false" customHeight="false" outlineLevel="0" collapsed="false">
      <c r="A36218" s="3" t="s">
        <v>364</v>
      </c>
      <c r="C36218" s="3" t="str">
        <f aca="false">IF(SUM($G$36101:$K$36101)=0,"n/a",IF(C36216&gt;=C36215-0.001,"Repaid from cash",IF(SUMPRODUCT($G$36101:$K$36101,$G$36072:$K$36072)&gt;0,IF(C36216&gt;0,"Partly repaid; remainder refinanced","Refinanced"),IF(SUM($G$36110:$K$36110)&gt;0.001,IF(C36216&gt;0,"Partial repayment; PAYMENT DEFAULT","PAYMENT DEFAULT"),"Repaid from cash"))))</f>
        <v>n/a</v>
      </c>
    </row>
    <row r="36219" customFormat="false" ht="15" hidden="false" customHeight="false" outlineLevel="0" collapsed="false">
      <c r="A36219" s="3" t="s">
        <v>365</v>
      </c>
      <c r="C36219" s="16" t="n">
        <f aca="false">SUMPRODUCT($G$36114:$K$36114,$G$36113:$K$36113-$G$36119:$K$36119+$G$36118:$K$36118)</f>
        <v>0</v>
      </c>
    </row>
    <row r="36220" customFormat="false" ht="15" hidden="false" customHeight="false" outlineLevel="0" collapsed="false">
      <c r="A36220" s="3" t="s">
        <v>366</v>
      </c>
      <c r="C36220" s="16" t="n">
        <f aca="false">SUMPRODUCT($G$36114:$K$36114,$G$36121:$K$36121)</f>
        <v>0</v>
      </c>
    </row>
    <row r="36221" customFormat="false" ht="15" hidden="false" customHeight="false" outlineLevel="0" collapsed="false">
      <c r="A36221" s="3" t="s">
        <v>367</v>
      </c>
      <c r="C36221" s="3" t="str">
        <f aca="false">IF(SUM($G$36114:$K$36114)=0,"n/a (beyond horizon)",IF(SUMPRODUCT($G$36114:$K$36114,$G$36072:$K$36072)&gt;0,"REFINANCING PASS","REFINANCING FAILURE"))</f>
        <v>REFINANCING FAILURE</v>
      </c>
    </row>
    <row r="36222" customFormat="false" ht="15" hidden="false" customHeight="false" outlineLevel="0" collapsed="false">
      <c r="A36222" s="3" t="s">
        <v>368</v>
      </c>
      <c r="C36222" s="3" t="str">
        <f aca="false">IF(SUM($G$36114:$K$36114)=0,"n/a",IF(C36220&gt;=C36219-0.001,"Repaid from cash",IF(SUMPRODUCT($G$36114:$K$36114,$G$36072:$K$36072)&gt;0,IF(C36220&gt;0,"Partly repaid; remainder refinanced","Refinanced"),IF(SUM($G$36123:$K$36123)&gt;0.001,IF(C36220&gt;0,"Partial repayment; PAYMENT DEFAULT","PAYMENT DEFAULT"),"Repaid from cash"))))</f>
        <v>Repaid from cash</v>
      </c>
    </row>
    <row r="36223" customFormat="false" ht="15" hidden="false" customHeight="false" outlineLevel="0" collapsed="false">
      <c r="A36223" s="3" t="s">
        <v>369</v>
      </c>
      <c r="C36223" s="16" t="n">
        <f aca="false">SUMPRODUCT($G$36127:$K$36127,$G$36126:$K$36126-$G$36132:$K$36132+$G$36131:$K$36131)</f>
        <v>450</v>
      </c>
    </row>
    <row r="36224" customFormat="false" ht="15" hidden="false" customHeight="false" outlineLevel="0" collapsed="false">
      <c r="A36224" s="3" t="s">
        <v>370</v>
      </c>
      <c r="C36224" s="16" t="n">
        <f aca="false">SUMPRODUCT($G$36127:$K$36127,$G$36134:$K$36134)</f>
        <v>48.553642119</v>
      </c>
    </row>
    <row r="36225" customFormat="false" ht="15" hidden="false" customHeight="false" outlineLevel="0" collapsed="false">
      <c r="A36225" s="3" t="s">
        <v>371</v>
      </c>
      <c r="C36225" s="3" t="str">
        <f aca="false">IF(SUM($G$36127:$K$36127)=0,"n/a (beyond horizon)",IF(SUMPRODUCT($G$36127:$K$36127,$G$36072:$K$36072)&gt;0,"REFINANCING PASS","REFINANCING FAILURE"))</f>
        <v>REFINANCING FAILURE</v>
      </c>
    </row>
    <row r="36226" customFormat="false" ht="15" hidden="false" customHeight="false" outlineLevel="0" collapsed="false">
      <c r="A36226" s="3" t="s">
        <v>372</v>
      </c>
      <c r="C36226" s="3" t="str">
        <f aca="false">IF(SUM($G$36127:$K$36127)=0,"n/a",IF(C36224&gt;=C36223-0.001,"Repaid from cash",IF(SUMPRODUCT($G$36127:$K$36127,$G$36072:$K$36072)&gt;0,IF(C36224&gt;0,"Partly repaid; remainder refinanced","Refinanced"),IF(SUM($G$36136:$K$36136)&gt;0.001,IF(C36224&gt;0,"Partial repayment; PAYMENT DEFAULT","PAYMENT DEFAULT"),"Repaid from cash"))))</f>
        <v>Partial repayment; PAYMENT DEFAULT</v>
      </c>
    </row>
    <row r="36227" customFormat="false" ht="15" hidden="false" customHeight="false" outlineLevel="0" collapsed="false">
      <c r="A36227" s="3" t="s">
        <v>373</v>
      </c>
      <c r="C36227" s="16" t="n">
        <f aca="false">SUMPRODUCT($G$36140:$K$36140,$G$36139:$K$36139-$G$36145:$K$36145+$G$36144:$K$36144)</f>
        <v>350</v>
      </c>
    </row>
    <row r="36228" customFormat="false" ht="15" hidden="false" customHeight="false" outlineLevel="0" collapsed="false">
      <c r="A36228" s="3" t="s">
        <v>374</v>
      </c>
      <c r="C36228" s="16" t="n">
        <f aca="false">SUMPRODUCT($G$36140:$K$36140,$G$36147:$K$36147)</f>
        <v>0</v>
      </c>
    </row>
    <row r="36229" customFormat="false" ht="15" hidden="false" customHeight="false" outlineLevel="0" collapsed="false">
      <c r="A36229" s="3" t="s">
        <v>375</v>
      </c>
      <c r="C36229" s="3" t="str">
        <f aca="false">IF(SUM($G$36140:$K$36140)=0,"n/a (beyond horizon)",IF(SUMPRODUCT($G$36140:$K$36140,$G$36072:$K$36072)&gt;0,"REFINANCING PASS","REFINANCING FAILURE"))</f>
        <v>REFINANCING FAILURE</v>
      </c>
    </row>
    <row r="36230" customFormat="false" ht="15" hidden="false" customHeight="false" outlineLevel="0" collapsed="false">
      <c r="A36230" s="3" t="s">
        <v>376</v>
      </c>
      <c r="C36230" s="3" t="str">
        <f aca="false">IF(SUM($G$36140:$K$36140)=0,"n/a",IF(C36228&gt;=C36227-0.001,"Repaid from cash",IF(SUMPRODUCT($G$36140:$K$36140,$G$36072:$K$36072)&gt;0,IF(C36228&gt;0,"Partly repaid; remainder refinanced","Refinanced"),IF(SUM($G$36149:$K$36149)&gt;0.001,IF(C36228&gt;0,"Partial repayment; PAYMENT DEFAULT","PAYMENT DEFAULT"),"Repaid from cash"))))</f>
        <v>PAYMENT DEFAULT</v>
      </c>
    </row>
    <row r="36231" customFormat="false" ht="15" hidden="false" customHeight="false" outlineLevel="0" collapsed="false">
      <c r="A36231" s="3" t="s">
        <v>377</v>
      </c>
      <c r="C36231" s="16" t="n">
        <f aca="false">SUMPRODUCT($G$36153:$K$36153,$G$36152:$K$36152-$G$36158:$K$36158+$G$36157:$K$36157)</f>
        <v>550</v>
      </c>
    </row>
    <row r="36232" customFormat="false" ht="15" hidden="false" customHeight="false" outlineLevel="0" collapsed="false">
      <c r="A36232" s="3" t="s">
        <v>378</v>
      </c>
      <c r="C36232" s="16" t="n">
        <f aca="false">SUMPRODUCT($G$36153:$K$36153,$G$36160:$K$36160)</f>
        <v>0</v>
      </c>
    </row>
    <row r="36233" customFormat="false" ht="15" hidden="false" customHeight="false" outlineLevel="0" collapsed="false">
      <c r="A36233" s="3" t="s">
        <v>379</v>
      </c>
      <c r="C36233" s="3" t="str">
        <f aca="false">IF(SUM($G$36153:$K$36153)=0,"n/a (beyond horizon)",IF(SUMPRODUCT($G$36153:$K$36153,$G$36072:$K$36072)&gt;0,"REFINANCING PASS","REFINANCING FAILURE"))</f>
        <v>REFINANCING FAILURE</v>
      </c>
    </row>
    <row r="36234" customFormat="false" ht="15" hidden="false" customHeight="false" outlineLevel="0" collapsed="false">
      <c r="A36234" s="3" t="s">
        <v>380</v>
      </c>
      <c r="C36234" s="3" t="str">
        <f aca="false">IF(SUM($G$36153:$K$36153)=0,"n/a",IF(C36232&gt;=C36231-0.001,"Repaid from cash",IF(SUMPRODUCT($G$36153:$K$36153,$G$36072:$K$36072)&gt;0,IF(C36232&gt;0,"Partly repaid; remainder refinanced","Refinanced"),IF(SUM($G$36162:$K$36162)&gt;0.001,IF(C36232&gt;0,"Partial repayment; PAYMENT DEFAULT","PAYMENT DEFAULT"),"Repaid from cash"))))</f>
        <v>PAYMENT DEFAULT</v>
      </c>
    </row>
    <row r="36235" customFormat="false" ht="15" hidden="false" customHeight="false" outlineLevel="0" collapsed="false">
      <c r="A36235" s="3" t="s">
        <v>381</v>
      </c>
      <c r="C36235" s="16" t="n">
        <f aca="false">SUMPRODUCT($G$36166:$K$36166,$G$36165:$K$36165-$G$36171:$K$36171+$G$36170:$K$36170)</f>
        <v>350</v>
      </c>
    </row>
    <row r="36236" customFormat="false" ht="15" hidden="false" customHeight="false" outlineLevel="0" collapsed="false">
      <c r="A36236" s="3" t="s">
        <v>382</v>
      </c>
      <c r="C36236" s="16" t="n">
        <f aca="false">SUMPRODUCT($G$36166:$K$36166,$G$36173:$K$36173)</f>
        <v>0</v>
      </c>
    </row>
    <row r="36237" customFormat="false" ht="15" hidden="false" customHeight="false" outlineLevel="0" collapsed="false">
      <c r="A36237" s="3" t="s">
        <v>383</v>
      </c>
      <c r="C36237" s="3" t="str">
        <f aca="false">IF(SUM($G$36166:$K$36166)=0,"n/a (beyond horizon)",IF(SUMPRODUCT($G$36166:$K$36166,$G$36072:$K$36072)&gt;0,"REFINANCING PASS","REFINANCING FAILURE"))</f>
        <v>REFINANCING FAILURE</v>
      </c>
    </row>
    <row r="36238" customFormat="false" ht="15" hidden="false" customHeight="false" outlineLevel="0" collapsed="false">
      <c r="A36238" s="3" t="s">
        <v>384</v>
      </c>
      <c r="C36238" s="3" t="str">
        <f aca="false">IF(SUM($G$36166:$K$36166)=0,"n/a",IF(C36236&gt;=C36235-0.001,"Repaid from cash",IF(SUMPRODUCT($G$36166:$K$36166,$G$36072:$K$36072)&gt;0,IF(C36236&gt;0,"Partly repaid; remainder refinanced","Refinanced"),IF(SUM($G$36175:$K$36175)&gt;0.001,IF(C36236&gt;0,"Partial repayment; PAYMENT DEFAULT","PAYMENT DEFAULT"),"Repaid from cash"))))</f>
        <v>PAYMENT DEFAULT</v>
      </c>
    </row>
    <row r="36239" customFormat="false" ht="15" hidden="false" customHeight="false" outlineLevel="0" collapsed="false">
      <c r="A36239" s="3" t="s">
        <v>385</v>
      </c>
      <c r="C36239" s="16" t="n">
        <f aca="false">SUMPRODUCT($G$36179:$K$36179,$G$36178:$K$36178-$G$36184:$K$36184+$G$36183:$K$36183)</f>
        <v>300</v>
      </c>
    </row>
    <row r="36240" customFormat="false" ht="15" hidden="false" customHeight="false" outlineLevel="0" collapsed="false">
      <c r="A36240" s="3" t="s">
        <v>386</v>
      </c>
      <c r="C36240" s="16" t="n">
        <f aca="false">SUMPRODUCT($G$36179:$K$36179,$G$36186:$K$36186)</f>
        <v>0</v>
      </c>
    </row>
    <row r="36241" customFormat="false" ht="15" hidden="false" customHeight="false" outlineLevel="0" collapsed="false">
      <c r="A36241" s="3" t="s">
        <v>387</v>
      </c>
      <c r="C36241" s="3" t="str">
        <f aca="false">IF(SUM($G$36179:$K$36179)=0,"n/a (beyond horizon)",IF(SUMPRODUCT($G$36179:$K$36179,$G$36072:$K$36072)&gt;0,"REFINANCING PASS","REFINANCING FAILURE"))</f>
        <v>REFINANCING FAILURE</v>
      </c>
    </row>
    <row r="36242" customFormat="false" ht="15" hidden="false" customHeight="false" outlineLevel="0" collapsed="false">
      <c r="A36242" s="3" t="s">
        <v>388</v>
      </c>
      <c r="C36242" s="3" t="str">
        <f aca="false">IF(SUM($G$36179:$K$36179)=0,"n/a",IF(C36240&gt;=C36239-0.001,"Repaid from cash",IF(SUMPRODUCT($G$36179:$K$36179,$G$36072:$K$36072)&gt;0,IF(C36240&gt;0,"Partly repaid; remainder refinanced","Refinanced"),IF(SUM($G$36188:$K$36188)&gt;0.001,IF(C36240&gt;0,"Partial repayment; PAYMENT DEFAULT","PAYMENT DEFAULT"),"Repaid from cash"))))</f>
        <v>PAYMENT DEFAULT</v>
      </c>
    </row>
    <row r="36243" customFormat="false" ht="15" hidden="false" customHeight="false" outlineLevel="0" collapsed="false">
      <c r="A36243" s="3" t="s">
        <v>389</v>
      </c>
      <c r="C36243" s="16" t="n">
        <f aca="false">SUMPRODUCT($G$36192:$K$36192,$G$36191:$K$36191-$G$36197:$K$36197+$G$36196:$K$36196)</f>
        <v>0</v>
      </c>
    </row>
    <row r="36244" customFormat="false" ht="15" hidden="false" customHeight="false" outlineLevel="0" collapsed="false">
      <c r="A36244" s="3" t="s">
        <v>390</v>
      </c>
      <c r="C36244" s="16" t="n">
        <f aca="false">SUMPRODUCT($G$36192:$K$36192,$G$36199:$K$36199)</f>
        <v>0</v>
      </c>
    </row>
    <row r="36245" customFormat="false" ht="15" hidden="false" customHeight="false" outlineLevel="0" collapsed="false">
      <c r="A36245" s="3" t="s">
        <v>391</v>
      </c>
      <c r="C36245" s="3" t="str">
        <f aca="false">IF(SUM($G$36192:$K$36192)=0,"n/a (beyond horizon)",IF(SUMPRODUCT($G$36192:$K$36192,$G$36072:$K$36072)&gt;0,"REFINANCING PASS","REFINANCING FAILURE"))</f>
        <v>n/a (beyond horizon)</v>
      </c>
    </row>
    <row r="36246" customFormat="false" ht="15" hidden="false" customHeight="false" outlineLevel="0" collapsed="false">
      <c r="A36246" s="3" t="s">
        <v>392</v>
      </c>
      <c r="C36246" s="3" t="str">
        <f aca="false">IF(SUM($G$36192:$K$36192)=0,"n/a",IF(C36244&gt;=C36243-0.001,"Repaid from cash",IF(SUMPRODUCT($G$36192:$K$36192,$G$36072:$K$36072)&gt;0,IF(C36244&gt;0,"Partly repaid; remainder refinanced","Refinanced"),IF(SUM($G$36201:$K$36201)&gt;0.001,IF(C36244&gt;0,"Partial repayment; PAYMENT DEFAULT","PAYMENT DEFAULT"),"Repaid from cash"))))</f>
        <v>n/a</v>
      </c>
    </row>
    <row r="36247" customFormat="false" ht="15" hidden="false" customHeight="false" outlineLevel="0" collapsed="false">
      <c r="A36247" s="3" t="s">
        <v>393</v>
      </c>
      <c r="C36247" s="21" t="n">
        <f aca="false">IF(C36209="REFINANCING FAILURE",1,0)+IF(C36213="REFINANCING FAILURE",1,0)+IF(C36217="REFINANCING FAILURE",1,0)+IF(C36221="REFINANCING FAILURE",1,0)+IF(C36225="REFINANCING FAILURE",1,0)+IF(C36229="REFINANCING FAILURE",1,0)+IF(C36233="REFINANCING FAILURE",1,0)+IF(C36237="REFINANCING FAILURE",1,0)+IF(C36241="REFINANCING FAILURE",1,0)+IF(C36245="REFINANCING FAILURE",1,0)</f>
        <v>7</v>
      </c>
    </row>
    <row r="36249" customFormat="false" ht="15" hidden="false" customHeight="false" outlineLevel="0" collapsed="false">
      <c r="A36249" s="24" t="s">
        <v>395</v>
      </c>
      <c r="B36249" s="25"/>
      <c r="C36249" s="25"/>
      <c r="D36249" s="25"/>
      <c r="E36249" s="25"/>
      <c r="F36249" s="25"/>
      <c r="G36249" s="25"/>
      <c r="H36249" s="25"/>
      <c r="I36249" s="25"/>
      <c r="J36249" s="25"/>
      <c r="K36249" s="25"/>
    </row>
    <row r="36250" customFormat="false" ht="15" hidden="false" customHeight="false" outlineLevel="0" collapsed="false">
      <c r="A36250" s="3" t="s">
        <v>325</v>
      </c>
      <c r="G36250" s="16" t="n">
        <f aca="false">F36262</f>
        <v>37.87</v>
      </c>
      <c r="H36250" s="16" t="n">
        <f aca="false">G36262</f>
        <v>122.9474204</v>
      </c>
      <c r="I36250" s="16" t="n">
        <f aca="false">H36262</f>
        <v>0</v>
      </c>
      <c r="J36250" s="16" t="n">
        <f aca="false">I36262</f>
        <v>-70.8793844172995</v>
      </c>
      <c r="K36250" s="16" t="n">
        <f aca="false">J36262</f>
        <v>-137.895771657719</v>
      </c>
    </row>
    <row r="36251" customFormat="false" ht="15" hidden="false" customHeight="false" outlineLevel="0" collapsed="false">
      <c r="A36251" s="3" t="s">
        <v>396</v>
      </c>
      <c r="G36251" s="16" t="n">
        <f aca="false">G36061</f>
        <v>-60.9225796</v>
      </c>
      <c r="H36251" s="16" t="n">
        <f aca="false">H36061</f>
        <v>-70.393778281</v>
      </c>
      <c r="I36251" s="16" t="n">
        <f aca="false">I36061</f>
        <v>-66.8793844172995</v>
      </c>
      <c r="J36251" s="16" t="n">
        <f aca="false">J36061</f>
        <v>-63.0163872404195</v>
      </c>
      <c r="K36251" s="16" t="n">
        <f aca="false">K36061</f>
        <v>-59.0959158342138</v>
      </c>
    </row>
    <row r="36252" customFormat="false" ht="15" hidden="false" customHeight="false" outlineLevel="0" collapsed="false">
      <c r="A36252" s="3" t="s">
        <v>397</v>
      </c>
      <c r="G36252" s="16" t="n">
        <f aca="false">CHOOSE($C$36031,Assumptions!$G$82,Assumptions!$G$101,Assumptions!$G$120)</f>
        <v>150</v>
      </c>
      <c r="H36252" s="16" t="n">
        <f aca="false">CHOOSE($C$36031,Assumptions!$H$82,Assumptions!$H$101,Assumptions!$H$120)</f>
        <v>0</v>
      </c>
      <c r="I36252" s="16" t="n">
        <f aca="false">CHOOSE($C$36031,Assumptions!$I$82,Assumptions!$I$101,Assumptions!$I$120)</f>
        <v>0</v>
      </c>
      <c r="J36252" s="16" t="n">
        <f aca="false">CHOOSE($C$36031,Assumptions!$J$82,Assumptions!$J$101,Assumptions!$J$120)</f>
        <v>0</v>
      </c>
      <c r="K36252" s="16" t="n">
        <f aca="false">CHOOSE($C$36031,Assumptions!$K$82,Assumptions!$K$101,Assumptions!$K$120)</f>
        <v>0</v>
      </c>
    </row>
    <row r="36253" customFormat="false" ht="15" hidden="false" customHeight="false" outlineLevel="0" collapsed="false">
      <c r="A36253" s="3" t="s">
        <v>398</v>
      </c>
      <c r="G36253" s="16" t="n">
        <f aca="false">G36080+G36093+G36106+G36119+G36132+G36145+G36158+G36171+G36184+G36197</f>
        <v>4</v>
      </c>
      <c r="H36253" s="16" t="n">
        <f aca="false">H36080+H36093+H36106+H36119+H36132+H36145+H36158+H36171+H36184+H36197</f>
        <v>4</v>
      </c>
      <c r="I36253" s="16" t="n">
        <f aca="false">I36080+I36093+I36106+I36119+I36132+I36145+I36158+I36171+I36184+I36197</f>
        <v>4</v>
      </c>
      <c r="J36253" s="16" t="n">
        <f aca="false">J36080+J36093+J36106+J36119+J36132+J36145+J36158+J36171+J36184+J36197</f>
        <v>4</v>
      </c>
      <c r="K36253" s="16" t="n">
        <f aca="false">K36080+K36093+K36106+K36119+K36132+K36145+K36158+K36171+K36184+K36197</f>
        <v>4</v>
      </c>
    </row>
    <row r="36254" customFormat="false" ht="15" hidden="false" customHeight="false" outlineLevel="0" collapsed="false">
      <c r="A36254" s="2" t="s">
        <v>399</v>
      </c>
      <c r="G36254" s="17" t="n">
        <f aca="false">G36250+G36251+G36252-G36253</f>
        <v>122.9474204</v>
      </c>
      <c r="H36254" s="17" t="n">
        <f aca="false">H36250+H36251+H36252-H36253</f>
        <v>48.553642119</v>
      </c>
      <c r="I36254" s="17" t="n">
        <f aca="false">I36250+I36251+I36252-I36253</f>
        <v>-70.8793844172995</v>
      </c>
      <c r="J36254" s="17" t="n">
        <f aca="false">J36250+J36251+J36252-J36253</f>
        <v>-137.895771657719</v>
      </c>
      <c r="K36254" s="17" t="n">
        <f aca="false">K36250+K36251+K36252-K36253</f>
        <v>-200.991687491933</v>
      </c>
    </row>
    <row r="36255" customFormat="false" ht="15" hidden="false" customHeight="false" outlineLevel="0" collapsed="false">
      <c r="A36255" s="3" t="s">
        <v>400</v>
      </c>
      <c r="G36255" s="16" t="n">
        <f aca="false">G36081+G36094+G36107+G36120+G36133+G36146+G36159+G36172+G36185+G36198</f>
        <v>0</v>
      </c>
      <c r="H36255" s="16" t="n">
        <f aca="false">H36081+H36094+H36107+H36120+H36133+H36146+H36159+H36172+H36185+H36198</f>
        <v>0</v>
      </c>
      <c r="I36255" s="16" t="n">
        <f aca="false">I36081+I36094+I36107+I36120+I36133+I36146+I36159+I36172+I36185+I36198</f>
        <v>0</v>
      </c>
      <c r="J36255" s="16" t="n">
        <f aca="false">J36081+J36094+J36107+J36120+J36133+J36146+J36159+J36172+J36185+J36198</f>
        <v>0</v>
      </c>
      <c r="K36255" s="16" t="n">
        <f aca="false">K36081+K36094+K36107+K36120+K36133+K36146+K36159+K36172+K36185+K36198</f>
        <v>0</v>
      </c>
    </row>
    <row r="36256" customFormat="false" ht="15" hidden="false" customHeight="false" outlineLevel="0" collapsed="false">
      <c r="A36256" s="2" t="s">
        <v>401</v>
      </c>
      <c r="G36256" s="17" t="n">
        <f aca="false">G36254+G36255</f>
        <v>122.9474204</v>
      </c>
      <c r="H36256" s="17" t="n">
        <f aca="false">H36254+H36255</f>
        <v>48.553642119</v>
      </c>
      <c r="I36256" s="17" t="n">
        <f aca="false">I36254+I36255</f>
        <v>-70.8793844172995</v>
      </c>
      <c r="J36256" s="17" t="n">
        <f aca="false">J36254+J36255</f>
        <v>-137.895771657719</v>
      </c>
      <c r="K36256" s="17" t="n">
        <f aca="false">K36254+K36255</f>
        <v>-200.991687491933</v>
      </c>
    </row>
    <row r="36257" customFormat="false" ht="15" hidden="false" customHeight="false" outlineLevel="0" collapsed="false">
      <c r="A36257" s="3" t="s">
        <v>402</v>
      </c>
      <c r="G36257" s="16" t="n">
        <f aca="false">G36082+G36095+G36108+G36121+G36134+G36147+G36160+G36173+G36186+G36199</f>
        <v>0</v>
      </c>
      <c r="H36257" s="16" t="n">
        <f aca="false">H36082+H36095+H36108+H36121+H36134+H36147+H36160+H36173+H36186+H36199</f>
        <v>48.553642119</v>
      </c>
      <c r="I36257" s="16" t="n">
        <f aca="false">I36082+I36095+I36108+I36121+I36134+I36147+I36160+I36173+I36186+I36199</f>
        <v>0</v>
      </c>
      <c r="J36257" s="16" t="n">
        <f aca="false">J36082+J36095+J36108+J36121+J36134+J36147+J36160+J36173+J36186+J36199</f>
        <v>0</v>
      </c>
      <c r="K36257" s="16" t="n">
        <f aca="false">K36082+K36095+K36108+K36121+K36134+K36147+K36160+K36173+K36186+K36199</f>
        <v>0</v>
      </c>
    </row>
    <row r="36258" customFormat="false" ht="15" hidden="false" customHeight="false" outlineLevel="0" collapsed="false">
      <c r="A36258" s="2" t="s">
        <v>403</v>
      </c>
      <c r="G36258" s="17" t="n">
        <f aca="false">G36256-G36257</f>
        <v>122.9474204</v>
      </c>
      <c r="H36258" s="17" t="n">
        <f aca="false">H36256-H36257</f>
        <v>0</v>
      </c>
      <c r="I36258" s="17" t="n">
        <f aca="false">I36256-I36257</f>
        <v>-70.8793844172995</v>
      </c>
      <c r="J36258" s="17" t="n">
        <f aca="false">J36256-J36257</f>
        <v>-137.895771657719</v>
      </c>
      <c r="K36258" s="17" t="n">
        <f aca="false">K36256-K36257</f>
        <v>-200.991687491933</v>
      </c>
    </row>
    <row r="36259" customFormat="false" ht="15" hidden="false" customHeight="false" outlineLevel="0" collapsed="false">
      <c r="A36259" s="3" t="s">
        <v>404</v>
      </c>
      <c r="G36259" s="16" t="n">
        <f aca="false">MAX(0,-G36258)</f>
        <v>0</v>
      </c>
      <c r="H36259" s="16" t="n">
        <f aca="false">MAX(0,-H36258)</f>
        <v>-0</v>
      </c>
      <c r="I36259" s="16" t="n">
        <f aca="false">MAX(0,-I36258)</f>
        <v>70.8793844172995</v>
      </c>
      <c r="J36259" s="16" t="n">
        <f aca="false">MAX(0,-J36258)</f>
        <v>137.895771657719</v>
      </c>
      <c r="K36259" s="16" t="n">
        <f aca="false">MAX(0,-K36258)</f>
        <v>200.991687491933</v>
      </c>
    </row>
    <row r="36260" customFormat="false" ht="15" hidden="false" customHeight="false" outlineLevel="0" collapsed="false">
      <c r="A36260" s="3" t="s">
        <v>405</v>
      </c>
      <c r="G36260" s="16" t="n">
        <f aca="false">MAX(0,G36258-Assumptions!$C$12)*Assumptions!$C$13</f>
        <v>0</v>
      </c>
      <c r="H36260" s="16" t="n">
        <f aca="false">MAX(0,H36258-Assumptions!$C$12)*Assumptions!$C$13</f>
        <v>0</v>
      </c>
      <c r="I36260" s="16" t="n">
        <f aca="false">MAX(0,I36258-Assumptions!$C$12)*Assumptions!$C$13</f>
        <v>0</v>
      </c>
      <c r="J36260" s="16" t="n">
        <f aca="false">MAX(0,J36258-Assumptions!$C$12)*Assumptions!$C$13</f>
        <v>0</v>
      </c>
      <c r="K36260" s="16" t="n">
        <f aca="false">MAX(0,K36258-Assumptions!$C$12)*Assumptions!$C$13</f>
        <v>0</v>
      </c>
    </row>
    <row r="36261" customFormat="false" ht="15" hidden="false" customHeight="false" outlineLevel="0" collapsed="false">
      <c r="A36261" s="3" t="s">
        <v>406</v>
      </c>
      <c r="G36261" s="16" t="n">
        <f aca="false">G36083+G36096+G36109+G36122+G36135+G36148+G36161+G36174+G36187+G36200</f>
        <v>0</v>
      </c>
      <c r="H36261" s="16" t="n">
        <f aca="false">H36083+H36096+H36109+H36122+H36135+H36148+H36161+H36174+H36187+H36200</f>
        <v>0</v>
      </c>
      <c r="I36261" s="16" t="n">
        <f aca="false">I36083+I36096+I36109+I36122+I36135+I36148+I36161+I36174+I36187+I36200</f>
        <v>0</v>
      </c>
      <c r="J36261" s="16" t="n">
        <f aca="false">J36083+J36096+J36109+J36122+J36135+J36148+J36161+J36174+J36187+J36200</f>
        <v>0</v>
      </c>
      <c r="K36261" s="16" t="n">
        <f aca="false">K36083+K36096+K36109+K36122+K36135+K36148+K36161+K36174+K36187+K36200</f>
        <v>0</v>
      </c>
    </row>
    <row r="36262" customFormat="false" ht="15" hidden="false" customHeight="false" outlineLevel="0" collapsed="false">
      <c r="A36262" s="2" t="s">
        <v>407</v>
      </c>
      <c r="F36262" s="28" t="n">
        <f aca="false">Assumptions!$C$11</f>
        <v>37.87</v>
      </c>
      <c r="G36262" s="17" t="n">
        <f aca="false">G36258-G36261</f>
        <v>122.9474204</v>
      </c>
      <c r="H36262" s="17" t="n">
        <f aca="false">H36258-H36261</f>
        <v>0</v>
      </c>
      <c r="I36262" s="17" t="n">
        <f aca="false">I36258-I36261</f>
        <v>-70.8793844172995</v>
      </c>
      <c r="J36262" s="17" t="n">
        <f aca="false">J36258-J36261</f>
        <v>-137.895771657719</v>
      </c>
      <c r="K36262" s="17" t="n">
        <f aca="false">K36258-K36261</f>
        <v>-200.991687491933</v>
      </c>
    </row>
    <row r="36263" customFormat="false" ht="15" hidden="false" customHeight="false" outlineLevel="0" collapsed="false">
      <c r="A36263" s="3" t="s">
        <v>408</v>
      </c>
      <c r="G36263" s="16" t="n">
        <f aca="false">G36084+G36097+G36110+G36123+G36136+G36149+G36162+G36175+G36188+G36201</f>
        <v>0</v>
      </c>
      <c r="H36263" s="16" t="n">
        <f aca="false">H36084+H36097+H36110+H36123+H36136+H36149+H36162+H36175+H36188+H36201</f>
        <v>751.446357881</v>
      </c>
      <c r="I36263" s="16" t="n">
        <f aca="false">I36084+I36097+I36110+I36123+I36136+I36149+I36162+I36175+I36188+I36201</f>
        <v>550</v>
      </c>
      <c r="J36263" s="16" t="n">
        <f aca="false">J36084+J36097+J36110+J36123+J36136+J36149+J36162+J36175+J36188+J36201</f>
        <v>350</v>
      </c>
      <c r="K36263" s="16" t="n">
        <f aca="false">K36084+K36097+K36110+K36123+K36136+K36149+K36162+K36175+K36188+K36201</f>
        <v>680</v>
      </c>
    </row>
    <row r="36264" customFormat="false" ht="15" hidden="false" customHeight="false" outlineLevel="0" collapsed="false">
      <c r="A36264" s="3" t="s">
        <v>409</v>
      </c>
      <c r="G36264" s="21" t="n">
        <f aca="false">IF(OR(G36259&gt;0.001,G36263&gt;0.001),1,0)</f>
        <v>0</v>
      </c>
      <c r="H36264" s="21" t="n">
        <f aca="false">IF(OR(H36259&gt;0.001,H36263&gt;0.001),1,0)</f>
        <v>1</v>
      </c>
      <c r="I36264" s="21" t="n">
        <f aca="false">IF(OR(I36259&gt;0.001,I36263&gt;0.001),1,0)</f>
        <v>1</v>
      </c>
      <c r="J36264" s="21" t="n">
        <f aca="false">IF(OR(J36259&gt;0.001,J36263&gt;0.001),1,0)</f>
        <v>1</v>
      </c>
      <c r="K36264" s="21" t="n">
        <f aca="false">IF(OR(K36259&gt;0.001,K36263&gt;0.001),1,0)</f>
        <v>1</v>
      </c>
    </row>
    <row r="36265" customFormat="false" ht="15" hidden="false" customHeight="false" outlineLevel="0" collapsed="false">
      <c r="A36265" s="3" t="s">
        <v>410</v>
      </c>
      <c r="G36265" s="21" t="n">
        <f aca="false">IF(G36264=1,1,0)</f>
        <v>0</v>
      </c>
      <c r="H36265" s="21" t="n">
        <f aca="false">IF(AND(H36264=1,SUM($G$36264:G36264)=0),1,0)</f>
        <v>1</v>
      </c>
      <c r="I36265" s="21" t="n">
        <f aca="false">IF(AND(I36264=1,SUM($G$36264:H36264)=0),1,0)</f>
        <v>0</v>
      </c>
      <c r="J36265" s="21" t="n">
        <f aca="false">IF(AND(J36264=1,SUM($G$36264:I36264)=0),1,0)</f>
        <v>0</v>
      </c>
      <c r="K36265" s="21" t="n">
        <f aca="false">IF(AND(K36264=1,SUM($G$36264:J36264)=0),1,0)</f>
        <v>0</v>
      </c>
    </row>
    <row r="36266" customFormat="false" ht="15" hidden="false" customHeight="false" outlineLevel="0" collapsed="false">
      <c r="A36266" s="3" t="s">
        <v>411</v>
      </c>
      <c r="G36266" s="16" t="n">
        <f aca="false">(G36204-F36204)-(G36255+G36053-G36253-G36257-G36261)</f>
        <v>0</v>
      </c>
      <c r="H36266" s="16" t="n">
        <f aca="false">(H36204-G36204)-(H36255+H36053-H36253-H36257-H36261)</f>
        <v>-3.83693077310454E-013</v>
      </c>
      <c r="I36266" s="16" t="n">
        <f aca="false">(I36204-H36204)-(I36255+I36053-I36253-I36257-I36261)</f>
        <v>0</v>
      </c>
      <c r="J36266" s="16" t="n">
        <f aca="false">(J36204-I36204)-(J36255+J36053-J36253-J36257-J36261)</f>
        <v>0</v>
      </c>
      <c r="K36266" s="16" t="n">
        <f aca="false">(K36204-J36204)-(K36255+K36053-K36253-K36257-K36261)</f>
        <v>0</v>
      </c>
    </row>
    <row r="36268" customFormat="false" ht="15" hidden="false" customHeight="false" outlineLevel="0" collapsed="false">
      <c r="A36268" s="24" t="s">
        <v>413</v>
      </c>
      <c r="B36268" s="25"/>
      <c r="C36268" s="25"/>
      <c r="D36268" s="25"/>
      <c r="E36268" s="25"/>
      <c r="F36268" s="25"/>
      <c r="G36268" s="25"/>
      <c r="H36268" s="25"/>
      <c r="I36268" s="25"/>
      <c r="J36268" s="25"/>
      <c r="K36268" s="25"/>
    </row>
    <row r="36269" customFormat="false" ht="15" hidden="false" customHeight="false" outlineLevel="0" collapsed="false">
      <c r="A36269" s="3" t="s">
        <v>414</v>
      </c>
      <c r="G36269" s="16" t="n">
        <f aca="false">G36204</f>
        <v>2621.934</v>
      </c>
      <c r="H36269" s="16" t="n">
        <f aca="false">H36204</f>
        <v>2569.380357881</v>
      </c>
      <c r="I36269" s="16" t="n">
        <f aca="false">I36204</f>
        <v>2565.380357881</v>
      </c>
      <c r="J36269" s="16" t="n">
        <f aca="false">J36204</f>
        <v>2561.380357881</v>
      </c>
      <c r="K36269" s="16" t="n">
        <f aca="false">K36204</f>
        <v>2557.380357881</v>
      </c>
    </row>
    <row r="36270" customFormat="false" ht="15" hidden="false" customHeight="false" outlineLevel="0" collapsed="false">
      <c r="A36270" s="3" t="s">
        <v>415</v>
      </c>
      <c r="G36270" s="16" t="n">
        <f aca="false">Assumptions!$O$57*G36085+Assumptions!$O$58*G36098+Assumptions!$O$59*G36111+Assumptions!$O$60*G36124+Assumptions!$O$61*G36137+Assumptions!$O$62*G36150+Assumptions!$O$63*G36163+Assumptions!$O$64*G36176+Assumptions!$O$65*G36189+Assumptions!$O$66*G36202</f>
        <v>543.324</v>
      </c>
      <c r="H36270" s="16" t="n">
        <f aca="false">Assumptions!$O$57*H36085+Assumptions!$O$58*H36098+Assumptions!$O$59*H36111+Assumptions!$O$60*H36124+Assumptions!$O$61*H36137+Assumptions!$O$62*H36150+Assumptions!$O$63*H36163+Assumptions!$O$64*H36176+Assumptions!$O$65*H36189+Assumptions!$O$66*H36202</f>
        <v>539.324</v>
      </c>
      <c r="I36270" s="16" t="n">
        <f aca="false">Assumptions!$O$57*I36085+Assumptions!$O$58*I36098+Assumptions!$O$59*I36111+Assumptions!$O$60*I36124+Assumptions!$O$61*I36137+Assumptions!$O$62*I36150+Assumptions!$O$63*I36163+Assumptions!$O$64*I36176+Assumptions!$O$65*I36189+Assumptions!$O$66*I36202</f>
        <v>535.324</v>
      </c>
      <c r="J36270" s="16" t="n">
        <f aca="false">Assumptions!$O$57*J36085+Assumptions!$O$58*J36098+Assumptions!$O$59*J36111+Assumptions!$O$60*J36124+Assumptions!$O$61*J36137+Assumptions!$O$62*J36150+Assumptions!$O$63*J36163+Assumptions!$O$64*J36176+Assumptions!$O$65*J36189+Assumptions!$O$66*J36202</f>
        <v>531.324</v>
      </c>
      <c r="K36270" s="16" t="n">
        <f aca="false">Assumptions!$O$57*K36085+Assumptions!$O$58*K36098+Assumptions!$O$59*K36111+Assumptions!$O$60*K36124+Assumptions!$O$61*K36137+Assumptions!$O$62*K36150+Assumptions!$O$63*K36163+Assumptions!$O$64*K36176+Assumptions!$O$65*K36189+Assumptions!$O$66*K36202</f>
        <v>527.324</v>
      </c>
    </row>
    <row r="36271" customFormat="false" ht="15" hidden="false" customHeight="false" outlineLevel="0" collapsed="false">
      <c r="A36271" s="3" t="s">
        <v>416</v>
      </c>
      <c r="G36271" s="16" t="n">
        <f aca="false">G36269-G36262</f>
        <v>2498.9865796</v>
      </c>
      <c r="H36271" s="16" t="n">
        <f aca="false">H36269-H36262</f>
        <v>2569.380357881</v>
      </c>
      <c r="I36271" s="16" t="n">
        <f aca="false">I36269-I36262</f>
        <v>2636.2597422983</v>
      </c>
      <c r="J36271" s="16" t="n">
        <f aca="false">J36269-J36262</f>
        <v>2699.27612953872</v>
      </c>
      <c r="K36271" s="16" t="n">
        <f aca="false">K36269-K36262</f>
        <v>2758.37204537293</v>
      </c>
    </row>
    <row r="36272" customFormat="false" ht="15" hidden="false" customHeight="false" outlineLevel="0" collapsed="false">
      <c r="A36272" s="3" t="s">
        <v>417</v>
      </c>
      <c r="G36272" s="32" t="n">
        <f aca="false">IF(G36048&gt;0,G36269/G36048,0)</f>
        <v>11.1954319438308</v>
      </c>
      <c r="H36272" s="32" t="n">
        <f aca="false">IF(H36048&gt;0,H36269/H36048,0)</f>
        <v>11.6601471215067</v>
      </c>
      <c r="I36272" s="32" t="n">
        <f aca="false">IF(I36048&gt;0,I36269/I36048,0)</f>
        <v>11.6419946559354</v>
      </c>
      <c r="J36272" s="32" t="n">
        <f aca="false">IF(J36048&gt;0,J36269/J36048,0)</f>
        <v>11.3913183720481</v>
      </c>
      <c r="K36272" s="32" t="n">
        <f aca="false">IF(K36048&gt;0,K36269/K36048,0)</f>
        <v>11.14717316588</v>
      </c>
    </row>
    <row r="36273" customFormat="false" ht="15" hidden="false" customHeight="false" outlineLevel="0" collapsed="false">
      <c r="A36273" s="3" t="s">
        <v>418</v>
      </c>
      <c r="G36273" s="32" t="n">
        <f aca="false">IF(G36048&gt;0,G36271/G36048,0)</f>
        <v>10.6704570673626</v>
      </c>
      <c r="H36273" s="32" t="n">
        <f aca="false">IF(H36048&gt;0,H36271/H36048,0)</f>
        <v>11.6601471215067</v>
      </c>
      <c r="I36273" s="32" t="n">
        <f aca="false">IF(I36048&gt;0,I36271/I36048,0)</f>
        <v>11.9636535522731</v>
      </c>
      <c r="J36273" s="32" t="n">
        <f aca="false">IF(J36048&gt;0,J36271/J36048,0)</f>
        <v>12.0045871637288</v>
      </c>
      <c r="K36273" s="32" t="n">
        <f aca="false">IF(K36048&gt;0,K36271/K36048,0)</f>
        <v>12.0232607366907</v>
      </c>
    </row>
    <row r="36274" customFormat="false" ht="15" hidden="false" customHeight="false" outlineLevel="0" collapsed="false">
      <c r="A36274" s="3" t="s">
        <v>419</v>
      </c>
      <c r="G36274" s="32" t="n">
        <f aca="false">IF(G36052&gt;0,G36048/G36052,0)</f>
        <v>1.24979041307388</v>
      </c>
      <c r="H36274" s="32" t="n">
        <f aca="false">IF(H36052&gt;0,H36048/H36052,0)</f>
        <v>1.18311222526984</v>
      </c>
      <c r="I36274" s="32" t="n">
        <f aca="false">IF(I36052&gt;0,I36048/I36052,0)</f>
        <v>1.20586587186349</v>
      </c>
      <c r="J36274" s="32" t="n">
        <f aca="false">IF(J36052&gt;0,J36048/J36052,0)</f>
        <v>1.23324745076441</v>
      </c>
      <c r="K36274" s="32" t="n">
        <f aca="false">IF(K36052&gt;0,K36048/K36052,0)</f>
        <v>1.26112583435714</v>
      </c>
    </row>
    <row r="36275" customFormat="false" ht="15" hidden="false" customHeight="false" outlineLevel="0" collapsed="false">
      <c r="A36275" s="3" t="s">
        <v>420</v>
      </c>
      <c r="G36275" s="32" t="n">
        <f aca="false">IF(G36052&gt;0,G36051/G36052,0)</f>
        <v>0.320303767681135</v>
      </c>
      <c r="H36275" s="32" t="n">
        <f aca="false">IF(H36052&gt;0,H36051/H36052,0)</f>
        <v>0.27600176891797</v>
      </c>
      <c r="I36275" s="32" t="n">
        <f aca="false">IF(I36052&gt;0,I36051/I36052,0)</f>
        <v>0.281309842467585</v>
      </c>
      <c r="J36275" s="32" t="n">
        <f aca="false">IF(J36052&gt;0,J36051/J36052,0)</f>
        <v>0.297346009456427</v>
      </c>
      <c r="K36275" s="32" t="n">
        <f aca="false">IF(K36052&gt;0,K36051/K36052,0)</f>
        <v>0.313734968638568</v>
      </c>
    </row>
    <row r="36276" customFormat="false" ht="15" hidden="false" customHeight="false" outlineLevel="0" collapsed="false">
      <c r="A36276" s="3" t="s">
        <v>213</v>
      </c>
      <c r="G36276" s="22" t="n">
        <f aca="false">IF(G36269&gt;0,G36061/G36269,0)</f>
        <v>-0.0232357410979834</v>
      </c>
      <c r="H36276" s="22" t="n">
        <f aca="false">IF(H36269&gt;0,H36061/H36269,0)</f>
        <v>-0.0273971808280867</v>
      </c>
      <c r="I36276" s="22" t="n">
        <f aca="false">IF(I36269&gt;0,I36061/I36269,0)</f>
        <v>-0.0260699682258976</v>
      </c>
      <c r="J36276" s="22" t="n">
        <f aca="false">IF(J36269&gt;0,J36061/J36269,0)</f>
        <v>-0.0246025105355896</v>
      </c>
      <c r="K36276" s="22" t="n">
        <f aca="false">IF(K36269&gt;0,K36061/K36269,0)</f>
        <v>-0.0231079884742603</v>
      </c>
    </row>
    <row r="36277" customFormat="false" ht="15" hidden="false" customHeight="false" outlineLevel="0" collapsed="false">
      <c r="A36277" s="3" t="s">
        <v>421</v>
      </c>
      <c r="G36277" s="32" t="n">
        <f aca="false">IF(G36052+G36253&gt;0,(G36048-G36059-G36056)/(G36052+G36253),0)</f>
        <v>0.783148779220797</v>
      </c>
      <c r="H36277" s="32" t="n">
        <f aca="false">IF(H36052+H36253&gt;0,(H36048-H36059-H36056)/(H36052+H36253),0)</f>
        <v>0.728376128313333</v>
      </c>
      <c r="I36277" s="32" t="n">
        <f aca="false">IF(I36052+I36253&gt;0,(I36048-I36059-I36056)/(I36052+I36253),0)</f>
        <v>0.742084215548814</v>
      </c>
      <c r="J36277" s="32" t="n">
        <f aca="false">IF(J36052+J36253&gt;0,(J36048-J36059-J36056)/(J36052+J36253),0)</f>
        <v>0.763468302110309</v>
      </c>
      <c r="K36277" s="32" t="n">
        <f aca="false">IF(K36052+K36253&gt;0,(K36048-K36059-K36056)/(K36052+K36253),0)</f>
        <v>0.785268063869781</v>
      </c>
    </row>
    <row r="36278" customFormat="false" ht="15" hidden="false" customHeight="false" outlineLevel="0" collapsed="false">
      <c r="A36278" s="3" t="s">
        <v>422</v>
      </c>
      <c r="G36278" s="16" t="n">
        <f aca="false">MAX(0,G36262)+Assumptions!$P$57*MAX(0,Assumptions!$D$57-G36085)+Assumptions!$P$58*MAX(0,Assumptions!$D$58-G36098)+Assumptions!$P$59*MAX(0,Assumptions!$D$59-G36111)+Assumptions!$P$60*MAX(0,Assumptions!$D$60-G36124)+Assumptions!$P$61*MAX(0,Assumptions!$D$61-G36137)+Assumptions!$P$62*MAX(0,Assumptions!$D$62-G36150)+Assumptions!$P$63*MAX(0,Assumptions!$D$63-G36163)+Assumptions!$P$64*MAX(0,Assumptions!$D$64-G36176)+Assumptions!$P$65*MAX(0,Assumptions!$D$65-G36189)+Assumptions!$P$66*MAX(0,Assumptions!$D$66-G36202)</f>
        <v>697.4474204</v>
      </c>
      <c r="H36278" s="16" t="n">
        <f aca="false">MAX(0,H36262)+Assumptions!$P$57*MAX(0,Assumptions!$D$57-H36085)+Assumptions!$P$58*MAX(0,Assumptions!$D$58-H36098)+Assumptions!$P$59*MAX(0,Assumptions!$D$59-H36111)+Assumptions!$P$60*MAX(0,Assumptions!$D$60-H36124)+Assumptions!$P$61*MAX(0,Assumptions!$D$61-H36137)+Assumptions!$P$62*MAX(0,Assumptions!$D$62-H36150)+Assumptions!$P$63*MAX(0,Assumptions!$D$63-H36163)+Assumptions!$P$64*MAX(0,Assumptions!$D$64-H36176)+Assumptions!$P$65*MAX(0,Assumptions!$D$65-H36189)+Assumptions!$P$66*MAX(0,Assumptions!$D$66-H36202)</f>
        <v>574.5</v>
      </c>
      <c r="I36278" s="16" t="n">
        <f aca="false">MAX(0,I36262)+Assumptions!$P$57*MAX(0,Assumptions!$D$57-I36085)+Assumptions!$P$58*MAX(0,Assumptions!$D$58-I36098)+Assumptions!$P$59*MAX(0,Assumptions!$D$59-I36111)+Assumptions!$P$60*MAX(0,Assumptions!$D$60-I36124)+Assumptions!$P$61*MAX(0,Assumptions!$D$61-I36137)+Assumptions!$P$62*MAX(0,Assumptions!$D$62-I36150)+Assumptions!$P$63*MAX(0,Assumptions!$D$63-I36163)+Assumptions!$P$64*MAX(0,Assumptions!$D$64-I36176)+Assumptions!$P$65*MAX(0,Assumptions!$D$65-I36189)+Assumptions!$P$66*MAX(0,Assumptions!$D$66-I36202)</f>
        <v>574.5</v>
      </c>
      <c r="J36278" s="16" t="n">
        <f aca="false">MAX(0,J36262)+Assumptions!$P$57*MAX(0,Assumptions!$D$57-J36085)+Assumptions!$P$58*MAX(0,Assumptions!$D$58-J36098)+Assumptions!$P$59*MAX(0,Assumptions!$D$59-J36111)+Assumptions!$P$60*MAX(0,Assumptions!$D$60-J36124)+Assumptions!$P$61*MAX(0,Assumptions!$D$61-J36137)+Assumptions!$P$62*MAX(0,Assumptions!$D$62-J36150)+Assumptions!$P$63*MAX(0,Assumptions!$D$63-J36163)+Assumptions!$P$64*MAX(0,Assumptions!$D$64-J36176)+Assumptions!$P$65*MAX(0,Assumptions!$D$65-J36189)+Assumptions!$P$66*MAX(0,Assumptions!$D$66-J36202)</f>
        <v>574.5</v>
      </c>
      <c r="K36278" s="16" t="n">
        <f aca="false">MAX(0,K36262)+Assumptions!$P$57*MAX(0,Assumptions!$D$57-K36085)+Assumptions!$P$58*MAX(0,Assumptions!$D$58-K36098)+Assumptions!$P$59*MAX(0,Assumptions!$D$59-K36111)+Assumptions!$P$60*MAX(0,Assumptions!$D$60-K36124)+Assumptions!$P$61*MAX(0,Assumptions!$D$61-K36137)+Assumptions!$P$62*MAX(0,Assumptions!$D$62-K36150)+Assumptions!$P$63*MAX(0,Assumptions!$D$63-K36163)+Assumptions!$P$64*MAX(0,Assumptions!$D$64-K36176)+Assumptions!$P$65*MAX(0,Assumptions!$D$65-K36189)+Assumptions!$P$66*MAX(0,Assumptions!$D$66-K36202)</f>
        <v>574.5</v>
      </c>
    </row>
    <row r="36279" customFormat="false" ht="15" hidden="false" customHeight="false" outlineLevel="0" collapsed="false">
      <c r="A36279" s="3" t="s">
        <v>423</v>
      </c>
      <c r="G36279" s="22" t="n">
        <f aca="false">IF(G36269&gt;0,G36269/(G36269+MAX(0,G36048*CHOOSE($C$36031,Assumptions!$C$90,Assumptions!$C$109,Assumptions!$C$128)-G36271)),0)</f>
        <v>0.971406190801315</v>
      </c>
      <c r="H36279" s="22" t="n">
        <f aca="false">IF(H36269&gt;0,H36269/(H36269+MAX(0,H36048*CHOOSE($C$36031,Assumptions!$C$90,Assumptions!$C$109,Assumptions!$C$128)-H36271)),0)</f>
        <v>1</v>
      </c>
      <c r="I36279" s="22" t="n">
        <f aca="false">IF(I36269&gt;0,I36269/(I36269+MAX(0,I36048*CHOOSE($C$36031,Assumptions!$C$90,Assumptions!$C$109,Assumptions!$C$128)-I36271)),0)</f>
        <v>1</v>
      </c>
      <c r="J36279" s="22" t="n">
        <f aca="false">IF(J36269&gt;0,J36269/(J36269+MAX(0,J36048*CHOOSE($C$36031,Assumptions!$C$90,Assumptions!$C$109,Assumptions!$C$128)-J36271)),0)</f>
        <v>1</v>
      </c>
      <c r="K36279" s="22" t="n">
        <f aca="false">IF(K36269&gt;0,K36269/(K36269+MAX(0,K36048*CHOOSE($C$36031,Assumptions!$C$90,Assumptions!$C$109,Assumptions!$C$128)-K36271)),0)</f>
        <v>1</v>
      </c>
    </row>
    <row r="36280" customFormat="false" ht="15" hidden="false" customHeight="false" outlineLevel="0" collapsed="false">
      <c r="A36280" s="3" t="s">
        <v>424</v>
      </c>
      <c r="G36280" s="22" t="n">
        <f aca="false">IF(G36269&gt;0,MAX(0,G36262)/G36269,0)</f>
        <v>0.0468918822518034</v>
      </c>
      <c r="H36280" s="22" t="n">
        <f aca="false">IF(H36269&gt;0,MAX(0,H36262)/H36269,0)</f>
        <v>0</v>
      </c>
      <c r="I36280" s="22" t="n">
        <f aca="false">IF(I36269&gt;0,MAX(0,I36262)/I36269,0)</f>
        <v>0</v>
      </c>
      <c r="J36280" s="22" t="n">
        <f aca="false">IF(J36269&gt;0,MAX(0,J36262)/J36269,0)</f>
        <v>0</v>
      </c>
      <c r="K36280" s="22" t="n">
        <f aca="false">IF(K36269&gt;0,MAX(0,K36262)/K36269,0)</f>
        <v>0</v>
      </c>
    </row>
    <row r="36281" customFormat="false" ht="15" hidden="false" customHeight="false" outlineLevel="0" collapsed="false">
      <c r="A36281" s="3" t="s">
        <v>425</v>
      </c>
      <c r="G36281" s="16" t="n">
        <f aca="false">Assumptions!$C$31*(1-CHOOSE($C$36031,Assumptions!$C$93,Assumptions!$C$112,Assumptions!$C$131))</f>
        <v>3840.04556666667</v>
      </c>
      <c r="H36281" s="16" t="n">
        <f aca="false">Assumptions!$C$31*(1-CHOOSE($C$36031,Assumptions!$C$93,Assumptions!$C$112,Assumptions!$C$131))</f>
        <v>3840.04556666667</v>
      </c>
      <c r="I36281" s="16" t="n">
        <f aca="false">Assumptions!$C$31*(1-CHOOSE($C$36031,Assumptions!$C$93,Assumptions!$C$112,Assumptions!$C$131))</f>
        <v>3840.04556666667</v>
      </c>
      <c r="J36281" s="16" t="n">
        <f aca="false">Assumptions!$C$31*(1-CHOOSE($C$36031,Assumptions!$C$93,Assumptions!$C$112,Assumptions!$C$131))</f>
        <v>3840.04556666667</v>
      </c>
      <c r="K36281" s="16" t="n">
        <f aca="false">Assumptions!$C$31*(1-CHOOSE($C$36031,Assumptions!$C$93,Assumptions!$C$112,Assumptions!$C$131))</f>
        <v>3840.04556666667</v>
      </c>
    </row>
    <row r="36282" customFormat="false" ht="15" hidden="false" customHeight="false" outlineLevel="0" collapsed="false">
      <c r="A36282" s="24" t="s">
        <v>426</v>
      </c>
      <c r="B36282" s="25"/>
      <c r="C36282" s="25"/>
      <c r="D36282" s="25"/>
      <c r="E36282" s="25"/>
      <c r="F36282" s="25"/>
      <c r="G36282" s="25"/>
      <c r="H36282" s="25"/>
      <c r="I36282" s="25"/>
      <c r="J36282" s="25"/>
      <c r="K36282" s="25"/>
    </row>
    <row r="36283" customFormat="false" ht="15" hidden="false" customHeight="false" outlineLevel="0" collapsed="false">
      <c r="A36283" s="24" t="s">
        <v>427</v>
      </c>
      <c r="B36283" s="25"/>
      <c r="C36283" s="25"/>
      <c r="D36283" s="25"/>
      <c r="E36283" s="25"/>
      <c r="F36283" s="25"/>
      <c r="G36283" s="25"/>
      <c r="H36283" s="25"/>
      <c r="I36283" s="25"/>
      <c r="J36283" s="25"/>
      <c r="K36283" s="25"/>
    </row>
    <row r="36284" customFormat="false" ht="15" hidden="false" customHeight="false" outlineLevel="0" collapsed="false">
      <c r="A36284" s="3" t="s">
        <v>428</v>
      </c>
      <c r="G36284" s="22" t="n">
        <f aca="false">IF(G36281&gt;0,G36269/G36281,99)</f>
        <v>0.68278721032885</v>
      </c>
      <c r="H36284" s="22" t="n">
        <f aca="false">IF(H36281&gt;0,H36269/H36281,99)</f>
        <v>0.6691015284257</v>
      </c>
      <c r="I36284" s="22" t="n">
        <f aca="false">IF(I36281&gt;0,I36269/I36281,99)</f>
        <v>0.668059874119636</v>
      </c>
      <c r="J36284" s="22" t="n">
        <f aca="false">IF(J36281&gt;0,J36269/J36281,99)</f>
        <v>0.667018219813572</v>
      </c>
      <c r="K36284" s="22" t="n">
        <f aca="false">IF(K36281&gt;0,K36269/K36281,99)</f>
        <v>0.665976565507508</v>
      </c>
    </row>
    <row r="36285" customFormat="false" ht="15" hidden="false" customHeight="false" outlineLevel="0" collapsed="false">
      <c r="A36285" s="3" t="s">
        <v>429</v>
      </c>
      <c r="G36285" s="33" t="n">
        <f aca="false">Assumptions!$G$71</f>
        <v>0.6</v>
      </c>
      <c r="H36285" s="33" t="n">
        <f aca="false">Assumptions!$H$71</f>
        <v>0.6</v>
      </c>
      <c r="I36285" s="33" t="n">
        <f aca="false">Assumptions!$I$71</f>
        <v>0.6</v>
      </c>
      <c r="J36285" s="33" t="n">
        <f aca="false">Assumptions!$J$71</f>
        <v>0.6</v>
      </c>
      <c r="K36285" s="33" t="n">
        <f aca="false">Assumptions!$K$71</f>
        <v>0.6</v>
      </c>
    </row>
    <row r="36286" customFormat="false" ht="15" hidden="false" customHeight="false" outlineLevel="0" collapsed="false">
      <c r="A36286" s="3" t="s">
        <v>430</v>
      </c>
      <c r="G36286" s="22" t="n">
        <f aca="false">G36285-G36284</f>
        <v>-0.0827872103288497</v>
      </c>
      <c r="H36286" s="22" t="n">
        <f aca="false">H36285-H36284</f>
        <v>-0.0691015284256999</v>
      </c>
      <c r="I36286" s="22" t="n">
        <f aca="false">I36285-I36284</f>
        <v>-0.0680598741196361</v>
      </c>
      <c r="J36286" s="22" t="n">
        <f aca="false">J36285-J36284</f>
        <v>-0.0670182198135721</v>
      </c>
      <c r="K36286" s="22" t="n">
        <f aca="false">K36285-K36284</f>
        <v>-0.0659765655075082</v>
      </c>
    </row>
    <row r="36287" customFormat="false" ht="15" hidden="false" customHeight="false" outlineLevel="0" collapsed="false">
      <c r="A36287" s="3" t="s">
        <v>431</v>
      </c>
      <c r="G36287" s="22" t="n">
        <f aca="false">IF(G36285=0,0,G36286/ABS(G36285))</f>
        <v>-0.137978683881416</v>
      </c>
      <c r="H36287" s="22" t="n">
        <f aca="false">IF(H36285=0,0,H36286/ABS(H36285))</f>
        <v>-0.115169214042833</v>
      </c>
      <c r="I36287" s="22" t="n">
        <f aca="false">IF(I36285=0,0,I36286/ABS(I36285))</f>
        <v>-0.113433123532727</v>
      </c>
      <c r="J36287" s="22" t="n">
        <f aca="false">IF(J36285=0,0,J36286/ABS(J36285))</f>
        <v>-0.11169703302262</v>
      </c>
      <c r="K36287" s="22" t="n">
        <f aca="false">IF(K36285=0,0,K36286/ABS(K36285))</f>
        <v>-0.109960942512514</v>
      </c>
    </row>
    <row r="36288" customFormat="false" ht="15" hidden="false" customHeight="false" outlineLevel="0" collapsed="false">
      <c r="A36288" s="3" t="s">
        <v>432</v>
      </c>
      <c r="G36288" s="21" t="n">
        <f aca="false">IF(G36286&lt;0,1,0)</f>
        <v>1</v>
      </c>
      <c r="H36288" s="21" t="n">
        <f aca="false">IF(H36286&lt;0,1,0)</f>
        <v>1</v>
      </c>
      <c r="I36288" s="21" t="n">
        <f aca="false">IF(I36286&lt;0,1,0)</f>
        <v>1</v>
      </c>
      <c r="J36288" s="21" t="n">
        <f aca="false">IF(J36286&lt;0,1,0)</f>
        <v>1</v>
      </c>
      <c r="K36288" s="21" t="n">
        <f aca="false">IF(K36286&lt;0,1,0)</f>
        <v>1</v>
      </c>
    </row>
    <row r="36289" customFormat="false" ht="15" hidden="false" customHeight="false" outlineLevel="0" collapsed="false">
      <c r="A36289" s="3" t="s">
        <v>433</v>
      </c>
      <c r="C36289" s="21" t="n">
        <f aca="false">IFERROR(INDEX($G$36038:$K$36038,MATCH(1,$G$36288:$K$36288,0)),0)</f>
        <v>2027</v>
      </c>
    </row>
    <row r="36290" customFormat="false" ht="15" hidden="false" customHeight="false" outlineLevel="0" collapsed="false">
      <c r="A36290" s="3" t="s">
        <v>434</v>
      </c>
      <c r="C36290" s="22" t="n">
        <f aca="false">MIN($G$36287:$K$36287)</f>
        <v>-0.137978683881416</v>
      </c>
    </row>
    <row r="36291" customFormat="false" ht="15" hidden="false" customHeight="false" outlineLevel="0" collapsed="false">
      <c r="A36291" s="24" t="s">
        <v>435</v>
      </c>
      <c r="B36291" s="25"/>
      <c r="C36291" s="25"/>
      <c r="D36291" s="25"/>
      <c r="E36291" s="25"/>
      <c r="F36291" s="25"/>
      <c r="G36291" s="25"/>
      <c r="H36291" s="25"/>
      <c r="I36291" s="25"/>
      <c r="J36291" s="25"/>
      <c r="K36291" s="25"/>
    </row>
    <row r="36292" customFormat="false" ht="15" hidden="false" customHeight="false" outlineLevel="0" collapsed="false">
      <c r="A36292" s="3" t="s">
        <v>428</v>
      </c>
      <c r="G36292" s="32" t="n">
        <f aca="false">IF(G36052&gt;0,G36048/G36052,99)</f>
        <v>1.24979041307388</v>
      </c>
      <c r="H36292" s="32" t="n">
        <f aca="false">IF(H36052&gt;0,H36048/H36052,99)</f>
        <v>1.18311222526984</v>
      </c>
      <c r="I36292" s="32" t="n">
        <f aca="false">IF(I36052&gt;0,I36048/I36052,99)</f>
        <v>1.20586587186349</v>
      </c>
      <c r="J36292" s="32" t="n">
        <f aca="false">IF(J36052&gt;0,J36048/J36052,99)</f>
        <v>1.23324745076441</v>
      </c>
      <c r="K36292" s="32" t="n">
        <f aca="false">IF(K36052&gt;0,K36048/K36052,99)</f>
        <v>1.26112583435714</v>
      </c>
    </row>
    <row r="36293" customFormat="false" ht="15" hidden="false" customHeight="false" outlineLevel="0" collapsed="false">
      <c r="A36293" s="3" t="s">
        <v>429</v>
      </c>
      <c r="G36293" s="34" t="n">
        <f aca="false">Assumptions!$G$72</f>
        <v>1.5</v>
      </c>
      <c r="H36293" s="34" t="n">
        <f aca="false">Assumptions!$H$72</f>
        <v>1.5</v>
      </c>
      <c r="I36293" s="34" t="n">
        <f aca="false">Assumptions!$I$72</f>
        <v>1.5</v>
      </c>
      <c r="J36293" s="34" t="n">
        <f aca="false">Assumptions!$J$72</f>
        <v>1.5</v>
      </c>
      <c r="K36293" s="34" t="n">
        <f aca="false">Assumptions!$K$72</f>
        <v>1.5</v>
      </c>
    </row>
    <row r="36294" customFormat="false" ht="15" hidden="false" customHeight="false" outlineLevel="0" collapsed="false">
      <c r="A36294" s="3" t="s">
        <v>430</v>
      </c>
      <c r="G36294" s="32" t="n">
        <f aca="false">G36292-G36293</f>
        <v>-0.250209586926116</v>
      </c>
      <c r="H36294" s="32" t="n">
        <f aca="false">H36292-H36293</f>
        <v>-0.316887774730159</v>
      </c>
      <c r="I36294" s="32" t="n">
        <f aca="false">I36292-I36293</f>
        <v>-0.294134128136513</v>
      </c>
      <c r="J36294" s="32" t="n">
        <f aca="false">J36292-J36293</f>
        <v>-0.266752549235595</v>
      </c>
      <c r="K36294" s="32" t="n">
        <f aca="false">K36292-K36293</f>
        <v>-0.238874165642862</v>
      </c>
    </row>
    <row r="36295" customFormat="false" ht="15" hidden="false" customHeight="false" outlineLevel="0" collapsed="false">
      <c r="A36295" s="3" t="s">
        <v>431</v>
      </c>
      <c r="G36295" s="22" t="n">
        <f aca="false">IF(G36293=0,0,G36294/ABS(G36293))</f>
        <v>-0.166806391284078</v>
      </c>
      <c r="H36295" s="22" t="n">
        <f aca="false">IF(H36293=0,0,H36294/ABS(H36293))</f>
        <v>-0.211258516486773</v>
      </c>
      <c r="I36295" s="22" t="n">
        <f aca="false">IF(I36293=0,0,I36294/ABS(I36293))</f>
        <v>-0.196089418757675</v>
      </c>
      <c r="J36295" s="22" t="n">
        <f aca="false">IF(J36293=0,0,J36294/ABS(J36293))</f>
        <v>-0.17783503282373</v>
      </c>
      <c r="K36295" s="22" t="n">
        <f aca="false">IF(K36293=0,0,K36294/ABS(K36293))</f>
        <v>-0.159249443761908</v>
      </c>
    </row>
    <row r="36296" customFormat="false" ht="15" hidden="false" customHeight="false" outlineLevel="0" collapsed="false">
      <c r="A36296" s="3" t="s">
        <v>432</v>
      </c>
      <c r="G36296" s="21" t="n">
        <f aca="false">IF(G36294&lt;0,1,0)</f>
        <v>1</v>
      </c>
      <c r="H36296" s="21" t="n">
        <f aca="false">IF(H36294&lt;0,1,0)</f>
        <v>1</v>
      </c>
      <c r="I36296" s="21" t="n">
        <f aca="false">IF(I36294&lt;0,1,0)</f>
        <v>1</v>
      </c>
      <c r="J36296" s="21" t="n">
        <f aca="false">IF(J36294&lt;0,1,0)</f>
        <v>1</v>
      </c>
      <c r="K36296" s="21" t="n">
        <f aca="false">IF(K36294&lt;0,1,0)</f>
        <v>1</v>
      </c>
    </row>
    <row r="36297" customFormat="false" ht="15" hidden="false" customHeight="false" outlineLevel="0" collapsed="false">
      <c r="A36297" s="3" t="s">
        <v>433</v>
      </c>
      <c r="C36297" s="21" t="n">
        <f aca="false">IFERROR(INDEX($G$36038:$K$36038,MATCH(1,$G$36296:$K$36296,0)),0)</f>
        <v>2027</v>
      </c>
    </row>
    <row r="36298" customFormat="false" ht="15" hidden="false" customHeight="false" outlineLevel="0" collapsed="false">
      <c r="A36298" s="3" t="s">
        <v>434</v>
      </c>
      <c r="C36298" s="22" t="n">
        <f aca="false">MIN($G$36295:$K$36295)</f>
        <v>-0.211258516486773</v>
      </c>
    </row>
    <row r="36299" customFormat="false" ht="15" hidden="false" customHeight="false" outlineLevel="0" collapsed="false">
      <c r="A36299" s="24" t="s">
        <v>436</v>
      </c>
      <c r="B36299" s="25"/>
      <c r="C36299" s="25"/>
      <c r="D36299" s="25"/>
      <c r="E36299" s="25"/>
      <c r="F36299" s="25"/>
      <c r="G36299" s="25"/>
      <c r="H36299" s="25"/>
      <c r="I36299" s="25"/>
      <c r="J36299" s="25"/>
      <c r="K36299" s="25"/>
    </row>
    <row r="36300" customFormat="false" ht="15" hidden="false" customHeight="false" outlineLevel="0" collapsed="false">
      <c r="A36300" s="3" t="s">
        <v>428</v>
      </c>
      <c r="G36300" s="22" t="n">
        <f aca="false">IF(G36281&gt;0,G36270/G36281,99)</f>
        <v>0.141488946046968</v>
      </c>
      <c r="H36300" s="22" t="n">
        <f aca="false">IF(H36281&gt;0,H36270/H36281,99)</f>
        <v>0.140447291740904</v>
      </c>
      <c r="I36300" s="22" t="n">
        <f aca="false">IF(I36281&gt;0,I36270/I36281,99)</f>
        <v>0.139405637434841</v>
      </c>
      <c r="J36300" s="22" t="n">
        <f aca="false">IF(J36281&gt;0,J36270/J36281,99)</f>
        <v>0.138363983128777</v>
      </c>
      <c r="K36300" s="22" t="n">
        <f aca="false">IF(K36281&gt;0,K36270/K36281,99)</f>
        <v>0.137322328822713</v>
      </c>
    </row>
    <row r="36301" customFormat="false" ht="15" hidden="false" customHeight="false" outlineLevel="0" collapsed="false">
      <c r="A36301" s="3" t="s">
        <v>429</v>
      </c>
      <c r="G36301" s="33" t="n">
        <f aca="false">Assumptions!$G$73</f>
        <v>0.4</v>
      </c>
      <c r="H36301" s="33" t="n">
        <f aca="false">Assumptions!$H$73</f>
        <v>0.4</v>
      </c>
      <c r="I36301" s="33" t="n">
        <f aca="false">Assumptions!$I$73</f>
        <v>0.4</v>
      </c>
      <c r="J36301" s="33" t="n">
        <f aca="false">Assumptions!$J$73</f>
        <v>0.4</v>
      </c>
      <c r="K36301" s="33" t="n">
        <f aca="false">Assumptions!$K$73</f>
        <v>0.4</v>
      </c>
    </row>
    <row r="36302" customFormat="false" ht="15" hidden="false" customHeight="false" outlineLevel="0" collapsed="false">
      <c r="A36302" s="3" t="s">
        <v>430</v>
      </c>
      <c r="G36302" s="22" t="n">
        <f aca="false">G36301-G36300</f>
        <v>0.258511053953032</v>
      </c>
      <c r="H36302" s="22" t="n">
        <f aca="false">H36301-H36300</f>
        <v>0.259552708259096</v>
      </c>
      <c r="I36302" s="22" t="n">
        <f aca="false">I36301-I36300</f>
        <v>0.26059436256516</v>
      </c>
      <c r="J36302" s="22" t="n">
        <f aca="false">J36301-J36300</f>
        <v>0.261636016871223</v>
      </c>
      <c r="K36302" s="22" t="n">
        <f aca="false">K36301-K36300</f>
        <v>0.262677671177287</v>
      </c>
    </row>
    <row r="36303" customFormat="false" ht="15" hidden="false" customHeight="false" outlineLevel="0" collapsed="false">
      <c r="A36303" s="3" t="s">
        <v>431</v>
      </c>
      <c r="G36303" s="22" t="n">
        <f aca="false">IF(G36301=0,0,G36302/ABS(G36301))</f>
        <v>0.646277634882579</v>
      </c>
      <c r="H36303" s="22" t="n">
        <f aca="false">IF(H36301=0,0,H36302/ABS(H36301))</f>
        <v>0.648881770647739</v>
      </c>
      <c r="I36303" s="22" t="n">
        <f aca="false">IF(I36301=0,0,I36302/ABS(I36301))</f>
        <v>0.651485906412899</v>
      </c>
      <c r="J36303" s="22" t="n">
        <f aca="false">IF(J36301=0,0,J36302/ABS(J36301))</f>
        <v>0.654090042178059</v>
      </c>
      <c r="K36303" s="22" t="n">
        <f aca="false">IF(K36301=0,0,K36302/ABS(K36301))</f>
        <v>0.656694177943218</v>
      </c>
    </row>
    <row r="36304" customFormat="false" ht="15" hidden="false" customHeight="false" outlineLevel="0" collapsed="false">
      <c r="A36304" s="3" t="s">
        <v>432</v>
      </c>
      <c r="G36304" s="21" t="n">
        <f aca="false">IF(G36302&lt;0,1,0)</f>
        <v>0</v>
      </c>
      <c r="H36304" s="21" t="n">
        <f aca="false">IF(H36302&lt;0,1,0)</f>
        <v>0</v>
      </c>
      <c r="I36304" s="21" t="n">
        <f aca="false">IF(I36302&lt;0,1,0)</f>
        <v>0</v>
      </c>
      <c r="J36304" s="21" t="n">
        <f aca="false">IF(J36302&lt;0,1,0)</f>
        <v>0</v>
      </c>
      <c r="K36304" s="21" t="n">
        <f aca="false">IF(K36302&lt;0,1,0)</f>
        <v>0</v>
      </c>
    </row>
    <row r="36305" customFormat="false" ht="15" hidden="false" customHeight="false" outlineLevel="0" collapsed="false">
      <c r="A36305" s="3" t="s">
        <v>433</v>
      </c>
      <c r="C36305" s="21" t="n">
        <f aca="false">IFERROR(INDEX($G$36038:$K$36038,MATCH(1,$G$36304:$K$36304,0)),0)</f>
        <v>0</v>
      </c>
    </row>
    <row r="36306" customFormat="false" ht="15" hidden="false" customHeight="false" outlineLevel="0" collapsed="false">
      <c r="A36306" s="3" t="s">
        <v>434</v>
      </c>
      <c r="C36306" s="22" t="n">
        <f aca="false">MIN($G$36303:$K$36303)</f>
        <v>0.646277634882579</v>
      </c>
    </row>
    <row r="36307" customFormat="false" ht="15" hidden="false" customHeight="false" outlineLevel="0" collapsed="false">
      <c r="A36307" s="24" t="s">
        <v>437</v>
      </c>
      <c r="B36307" s="25"/>
      <c r="C36307" s="25"/>
      <c r="D36307" s="25"/>
      <c r="E36307" s="25"/>
      <c r="F36307" s="25"/>
      <c r="G36307" s="25"/>
      <c r="H36307" s="25"/>
      <c r="I36307" s="25"/>
      <c r="J36307" s="25"/>
      <c r="K36307" s="25"/>
    </row>
    <row r="36308" customFormat="false" ht="15" hidden="false" customHeight="false" outlineLevel="0" collapsed="false">
      <c r="A36308" s="3" t="s">
        <v>428</v>
      </c>
      <c r="G36308" s="16" t="n">
        <f aca="false">G36278</f>
        <v>697.4474204</v>
      </c>
      <c r="H36308" s="16" t="n">
        <f aca="false">H36278</f>
        <v>574.5</v>
      </c>
      <c r="I36308" s="16" t="n">
        <f aca="false">I36278</f>
        <v>574.5</v>
      </c>
      <c r="J36308" s="16" t="n">
        <f aca="false">J36278</f>
        <v>574.5</v>
      </c>
      <c r="K36308" s="16" t="n">
        <f aca="false">K36278</f>
        <v>574.5</v>
      </c>
    </row>
    <row r="36309" customFormat="false" ht="15" hidden="false" customHeight="false" outlineLevel="0" collapsed="false">
      <c r="A36309" s="3" t="s">
        <v>429</v>
      </c>
      <c r="G36309" s="29" t="n">
        <f aca="false">Assumptions!$G$74</f>
        <v>100</v>
      </c>
      <c r="H36309" s="29" t="n">
        <f aca="false">Assumptions!$H$74</f>
        <v>100</v>
      </c>
      <c r="I36309" s="29" t="n">
        <f aca="false">Assumptions!$I$74</f>
        <v>100</v>
      </c>
      <c r="J36309" s="29" t="n">
        <f aca="false">Assumptions!$J$74</f>
        <v>100</v>
      </c>
      <c r="K36309" s="29" t="n">
        <f aca="false">Assumptions!$K$74</f>
        <v>100</v>
      </c>
    </row>
    <row r="36310" customFormat="false" ht="15" hidden="false" customHeight="false" outlineLevel="0" collapsed="false">
      <c r="A36310" s="3" t="s">
        <v>430</v>
      </c>
      <c r="G36310" s="16" t="n">
        <f aca="false">G36308-G36309</f>
        <v>597.4474204</v>
      </c>
      <c r="H36310" s="16" t="n">
        <f aca="false">H36308-H36309</f>
        <v>474.5</v>
      </c>
      <c r="I36310" s="16" t="n">
        <f aca="false">I36308-I36309</f>
        <v>474.5</v>
      </c>
      <c r="J36310" s="16" t="n">
        <f aca="false">J36308-J36309</f>
        <v>474.5</v>
      </c>
      <c r="K36310" s="16" t="n">
        <f aca="false">K36308-K36309</f>
        <v>474.5</v>
      </c>
    </row>
    <row r="36311" customFormat="false" ht="15" hidden="false" customHeight="false" outlineLevel="0" collapsed="false">
      <c r="A36311" s="3" t="s">
        <v>431</v>
      </c>
      <c r="G36311" s="22" t="n">
        <f aca="false">IF(G36309=0,0,G36310/ABS(G36309))</f>
        <v>5.974474204</v>
      </c>
      <c r="H36311" s="22" t="n">
        <f aca="false">IF(H36309=0,0,H36310/ABS(H36309))</f>
        <v>4.745</v>
      </c>
      <c r="I36311" s="22" t="n">
        <f aca="false">IF(I36309=0,0,I36310/ABS(I36309))</f>
        <v>4.745</v>
      </c>
      <c r="J36311" s="22" t="n">
        <f aca="false">IF(J36309=0,0,J36310/ABS(J36309))</f>
        <v>4.745</v>
      </c>
      <c r="K36311" s="22" t="n">
        <f aca="false">IF(K36309=0,0,K36310/ABS(K36309))</f>
        <v>4.745</v>
      </c>
    </row>
    <row r="36312" customFormat="false" ht="15" hidden="false" customHeight="false" outlineLevel="0" collapsed="false">
      <c r="A36312" s="3" t="s">
        <v>432</v>
      </c>
      <c r="G36312" s="21" t="n">
        <f aca="false">IF(G36310&lt;0,1,0)</f>
        <v>0</v>
      </c>
      <c r="H36312" s="21" t="n">
        <f aca="false">IF(H36310&lt;0,1,0)</f>
        <v>0</v>
      </c>
      <c r="I36312" s="21" t="n">
        <f aca="false">IF(I36310&lt;0,1,0)</f>
        <v>0</v>
      </c>
      <c r="J36312" s="21" t="n">
        <f aca="false">IF(J36310&lt;0,1,0)</f>
        <v>0</v>
      </c>
      <c r="K36312" s="21" t="n">
        <f aca="false">IF(K36310&lt;0,1,0)</f>
        <v>0</v>
      </c>
    </row>
    <row r="36313" customFormat="false" ht="15" hidden="false" customHeight="false" outlineLevel="0" collapsed="false">
      <c r="A36313" s="3" t="s">
        <v>433</v>
      </c>
      <c r="C36313" s="21" t="n">
        <f aca="false">IFERROR(INDEX($G$36038:$K$36038,MATCH(1,$G$36312:$K$36312,0)),0)</f>
        <v>0</v>
      </c>
    </row>
    <row r="36314" customFormat="false" ht="15" hidden="false" customHeight="false" outlineLevel="0" collapsed="false">
      <c r="A36314" s="3" t="s">
        <v>434</v>
      </c>
      <c r="C36314" s="22" t="n">
        <f aca="false">MIN($G$36311:$K$36311)</f>
        <v>4.745</v>
      </c>
    </row>
    <row r="36315" customFormat="false" ht="15" hidden="false" customHeight="false" outlineLevel="0" collapsed="false">
      <c r="A36315" s="24" t="s">
        <v>438</v>
      </c>
      <c r="B36315" s="25"/>
      <c r="C36315" s="25"/>
      <c r="D36315" s="25"/>
      <c r="E36315" s="25"/>
      <c r="F36315" s="25"/>
      <c r="G36315" s="25"/>
      <c r="H36315" s="25"/>
      <c r="I36315" s="25"/>
      <c r="J36315" s="25"/>
      <c r="K36315" s="25"/>
    </row>
    <row r="36316" customFormat="false" ht="15" hidden="false" customHeight="false" outlineLevel="0" collapsed="false">
      <c r="A36316" s="3" t="s">
        <v>428</v>
      </c>
      <c r="G36316" s="32" t="n">
        <f aca="false">IF(G36048&gt;0,G36271/G36048,99)</f>
        <v>10.6704570673626</v>
      </c>
      <c r="H36316" s="32" t="n">
        <f aca="false">IF(H36048&gt;0,H36271/H36048,99)</f>
        <v>11.6601471215067</v>
      </c>
      <c r="I36316" s="32" t="n">
        <f aca="false">IF(I36048&gt;0,I36271/I36048,99)</f>
        <v>11.9636535522731</v>
      </c>
      <c r="J36316" s="32" t="n">
        <f aca="false">IF(J36048&gt;0,J36271/J36048,99)</f>
        <v>12.0045871637288</v>
      </c>
      <c r="K36316" s="32" t="n">
        <f aca="false">IF(K36048&gt;0,K36271/K36048,99)</f>
        <v>12.0232607366907</v>
      </c>
    </row>
    <row r="36317" customFormat="false" ht="15" hidden="false" customHeight="false" outlineLevel="0" collapsed="false">
      <c r="A36317" s="3" t="s">
        <v>429</v>
      </c>
      <c r="G36317" s="34" t="n">
        <f aca="false">Assumptions!$G$75</f>
        <v>10.5</v>
      </c>
      <c r="H36317" s="34" t="n">
        <f aca="false">Assumptions!$H$75</f>
        <v>10.5</v>
      </c>
      <c r="I36317" s="34" t="n">
        <f aca="false">Assumptions!$I$75</f>
        <v>10</v>
      </c>
      <c r="J36317" s="34" t="n">
        <f aca="false">Assumptions!$J$75</f>
        <v>10</v>
      </c>
      <c r="K36317" s="34" t="n">
        <f aca="false">Assumptions!$K$75</f>
        <v>9.5</v>
      </c>
    </row>
    <row r="36318" customFormat="false" ht="15" hidden="false" customHeight="false" outlineLevel="0" collapsed="false">
      <c r="A36318" s="3" t="s">
        <v>430</v>
      </c>
      <c r="G36318" s="32" t="n">
        <f aca="false">G36317-G36316</f>
        <v>-0.17045706736263</v>
      </c>
      <c r="H36318" s="32" t="n">
        <f aca="false">H36317-H36316</f>
        <v>-1.16014712150674</v>
      </c>
      <c r="I36318" s="32" t="n">
        <f aca="false">I36317-I36316</f>
        <v>-1.96365355227305</v>
      </c>
      <c r="J36318" s="32" t="n">
        <f aca="false">J36317-J36316</f>
        <v>-2.00458716372878</v>
      </c>
      <c r="K36318" s="32" t="n">
        <f aca="false">K36317-K36316</f>
        <v>-2.52326073669071</v>
      </c>
    </row>
    <row r="36319" customFormat="false" ht="15" hidden="false" customHeight="false" outlineLevel="0" collapsed="false">
      <c r="A36319" s="3" t="s">
        <v>431</v>
      </c>
      <c r="G36319" s="22" t="n">
        <f aca="false">IF(G36317=0,0,G36318/ABS(G36317))</f>
        <v>-0.0162340064154886</v>
      </c>
      <c r="H36319" s="22" t="n">
        <f aca="false">IF(H36317=0,0,H36318/ABS(H36317))</f>
        <v>-0.110490202048261</v>
      </c>
      <c r="I36319" s="22" t="n">
        <f aca="false">IF(I36317=0,0,I36318/ABS(I36317))</f>
        <v>-0.196365355227305</v>
      </c>
      <c r="J36319" s="22" t="n">
        <f aca="false">IF(J36317=0,0,J36318/ABS(J36317))</f>
        <v>-0.200458716372878</v>
      </c>
      <c r="K36319" s="22" t="n">
        <f aca="false">IF(K36317=0,0,K36318/ABS(K36317))</f>
        <v>-0.265606393335864</v>
      </c>
    </row>
    <row r="36320" customFormat="false" ht="15" hidden="false" customHeight="false" outlineLevel="0" collapsed="false">
      <c r="A36320" s="3" t="s">
        <v>432</v>
      </c>
      <c r="G36320" s="21" t="n">
        <f aca="false">IF(G36318&lt;0,1,0)</f>
        <v>1</v>
      </c>
      <c r="H36320" s="21" t="n">
        <f aca="false">IF(H36318&lt;0,1,0)</f>
        <v>1</v>
      </c>
      <c r="I36320" s="21" t="n">
        <f aca="false">IF(I36318&lt;0,1,0)</f>
        <v>1</v>
      </c>
      <c r="J36320" s="21" t="n">
        <f aca="false">IF(J36318&lt;0,1,0)</f>
        <v>1</v>
      </c>
      <c r="K36320" s="21" t="n">
        <f aca="false">IF(K36318&lt;0,1,0)</f>
        <v>1</v>
      </c>
    </row>
    <row r="36321" customFormat="false" ht="15" hidden="false" customHeight="false" outlineLevel="0" collapsed="false">
      <c r="A36321" s="3" t="s">
        <v>433</v>
      </c>
      <c r="C36321" s="21" t="n">
        <f aca="false">IFERROR(INDEX($G$36038:$K$36038,MATCH(1,$G$36320:$K$36320,0)),0)</f>
        <v>2027</v>
      </c>
    </row>
    <row r="36322" customFormat="false" ht="15" hidden="false" customHeight="false" outlineLevel="0" collapsed="false">
      <c r="A36322" s="3" t="s">
        <v>434</v>
      </c>
      <c r="C36322" s="22" t="n">
        <f aca="false">MIN($G$36319:$K$36319)</f>
        <v>-0.265606393335864</v>
      </c>
    </row>
    <row r="36323" customFormat="false" ht="15" hidden="false" customHeight="false" outlineLevel="0" collapsed="false">
      <c r="A36323" s="3" t="s">
        <v>439</v>
      </c>
      <c r="G36323" s="21" t="n">
        <f aca="false">G36288+G36296+G36304+G36312+G36320</f>
        <v>3</v>
      </c>
      <c r="H36323" s="21" t="n">
        <f aca="false">H36288+H36296+H36304+H36312+H36320</f>
        <v>3</v>
      </c>
      <c r="I36323" s="21" t="n">
        <f aca="false">I36288+I36296+I36304+I36312+I36320</f>
        <v>3</v>
      </c>
      <c r="J36323" s="21" t="n">
        <f aca="false">J36288+J36296+J36304+J36312+J36320</f>
        <v>3</v>
      </c>
      <c r="K36323" s="21" t="n">
        <f aca="false">K36288+K36296+K36304+K36312+K36320</f>
        <v>3</v>
      </c>
    </row>
    <row r="36324" customFormat="false" ht="15" hidden="false" customHeight="false" outlineLevel="0" collapsed="false">
      <c r="A36324" s="3" t="s">
        <v>440</v>
      </c>
      <c r="C36324" s="21" t="n">
        <f aca="false">SUM($G$36323:$K$36323)</f>
        <v>15</v>
      </c>
    </row>
    <row r="36325" customFormat="false" ht="15" hidden="false" customHeight="false" outlineLevel="0" collapsed="false">
      <c r="A36325" s="3" t="s">
        <v>441</v>
      </c>
      <c r="C36325" s="22" t="n">
        <f aca="false">MIN(C36290,C36298,C36306,C36314,C36322)</f>
        <v>-0.265606393335864</v>
      </c>
    </row>
    <row r="36327" customFormat="false" ht="15" hidden="false" customHeight="false" outlineLevel="0" collapsed="false">
      <c r="A36327" s="24" t="s">
        <v>543</v>
      </c>
      <c r="B36327" s="25"/>
      <c r="C36327" s="25"/>
      <c r="D36327" s="25"/>
      <c r="E36327" s="25"/>
      <c r="F36327" s="25"/>
      <c r="G36327" s="25"/>
      <c r="H36327" s="25"/>
      <c r="I36327" s="25"/>
      <c r="J36327" s="25"/>
      <c r="K36327" s="25"/>
    </row>
    <row r="36328" customFormat="false" ht="15" hidden="false" customHeight="false" outlineLevel="0" collapsed="false">
      <c r="A36328" s="3" t="s">
        <v>544</v>
      </c>
      <c r="G36328" s="21" t="n">
        <f aca="false">IF($C$36329=1,G36265,IF(G36048=MIN($G$36048:$K$36048),1,0))</f>
        <v>0</v>
      </c>
      <c r="H36328" s="21" t="n">
        <f aca="false">IF($C$36329=1,H36265,IF(AND(H36048=MIN($G$36048:$K$36048),SUM($G$36328:G36328)=0),1,0))</f>
        <v>1</v>
      </c>
      <c r="I36328" s="21" t="n">
        <f aca="false">IF($C$36329=1,I36265,IF(AND(I36048=MIN($G$36048:$K$36048),SUM($G$36328:H36328)=0),1,0))</f>
        <v>0</v>
      </c>
      <c r="J36328" s="21" t="n">
        <f aca="false">IF($C$36329=1,J36265,IF(AND(J36048=MIN($G$36048:$K$36048),SUM($G$36328:I36328)=0),1,0))</f>
        <v>0</v>
      </c>
      <c r="K36328" s="21" t="n">
        <f aca="false">IF($C$36329=1,K36265,IF(AND(K36048=MIN($G$36048:$K$36048),SUM($G$36328:J36328)=0),1,0))</f>
        <v>0</v>
      </c>
    </row>
    <row r="36329" customFormat="false" ht="15" hidden="false" customHeight="false" outlineLevel="0" collapsed="false">
      <c r="A36329" s="3" t="s">
        <v>545</v>
      </c>
      <c r="C36329" s="21" t="n">
        <f aca="false">IF(SUM($G$36265:$K$36265)&gt;0,1,0)</f>
        <v>1</v>
      </c>
    </row>
    <row r="36330" customFormat="false" ht="15" hidden="false" customHeight="false" outlineLevel="0" collapsed="false">
      <c r="A36330" s="3" t="s">
        <v>546</v>
      </c>
      <c r="C36330" s="21" t="n">
        <f aca="false">SUMPRODUCT($G$36328:$K$36328,$G$36038:$K$36038)</f>
        <v>2028</v>
      </c>
    </row>
    <row r="36331" customFormat="false" ht="15" hidden="false" customHeight="false" outlineLevel="0" collapsed="false">
      <c r="A36331" s="3" t="s">
        <v>547</v>
      </c>
      <c r="C36331" s="16" t="n">
        <f aca="false">SUMPRODUCT($G$36328:$K$36328,$G$36048:$K$36048)</f>
        <v>220.355740893</v>
      </c>
    </row>
    <row r="36332" customFormat="false" ht="15" hidden="false" customHeight="false" outlineLevel="0" collapsed="false">
      <c r="A36332" s="3" t="s">
        <v>548</v>
      </c>
      <c r="C36332" s="16" t="n">
        <f aca="false">MAX(0,SUMPRODUCT($G$36328:$K$36328,$G$36262:$K$36262))</f>
        <v>0</v>
      </c>
    </row>
    <row r="36333" customFormat="false" ht="15" hidden="false" customHeight="false" outlineLevel="0" collapsed="false">
      <c r="A36333" s="3" t="s">
        <v>549</v>
      </c>
      <c r="C36333" s="16" t="n">
        <f aca="false">(CHOOSE($C$36031,Assumptions!$C$92,Assumptions!$C$111,Assumptions!$C$130)+$C$36035)*C36331</f>
        <v>1983.201668037</v>
      </c>
    </row>
    <row r="36334" customFormat="false" ht="15" hidden="false" customHeight="false" outlineLevel="0" collapsed="false">
      <c r="A36334" s="3" t="s">
        <v>550</v>
      </c>
      <c r="C36334" s="16" t="n">
        <f aca="false">Assumptions!$C$31*(1-CHOOSE($C$36031,Assumptions!$C$93,Assumptions!$C$112,Assumptions!$C$131))*CHOOSE($C$36031,Assumptions!$C$94,Assumptions!$C$113,Assumptions!$C$132)</f>
        <v>3264.03873166667</v>
      </c>
    </row>
    <row r="36335" customFormat="false" ht="15" hidden="false" customHeight="false" outlineLevel="0" collapsed="false">
      <c r="A36335" s="3" t="s">
        <v>551</v>
      </c>
      <c r="C36335" s="16" t="n">
        <f aca="false">MAX(C36333,C36334)+C36332</f>
        <v>3264.03873166667</v>
      </c>
    </row>
    <row r="36336" customFormat="false" ht="15" hidden="false" customHeight="false" outlineLevel="0" collapsed="false">
      <c r="A36336" s="2" t="s">
        <v>552</v>
      </c>
      <c r="C36336" s="17" t="n">
        <f aca="false">IF(ISNUMBER(Assumptions!$C$14),Assumptions!$C$14,C36335)</f>
        <v>3264.03873166667</v>
      </c>
    </row>
    <row r="36337" customFormat="false" ht="15" hidden="false" customHeight="false" outlineLevel="0" collapsed="false">
      <c r="A36337" s="3" t="s">
        <v>553</v>
      </c>
      <c r="C36337" s="16" t="n">
        <f aca="false">C36336*Assumptions!$C$15</f>
        <v>130.561549266667</v>
      </c>
    </row>
    <row r="36338" customFormat="false" ht="15" hidden="false" customHeight="false" outlineLevel="0" collapsed="false">
      <c r="A36338" s="2" t="s">
        <v>554</v>
      </c>
      <c r="C36338" s="17" t="n">
        <f aca="false">C36336-C36337</f>
        <v>3133.4771824</v>
      </c>
    </row>
    <row r="36339" customFormat="false" ht="15" hidden="false" customHeight="false" outlineLevel="0" collapsed="false">
      <c r="A36339" s="24" t="s">
        <v>555</v>
      </c>
      <c r="B36339" s="25"/>
      <c r="C36339" s="25"/>
      <c r="D36339" s="25"/>
      <c r="E36339" s="25"/>
      <c r="F36339" s="25"/>
      <c r="G36339" s="25"/>
      <c r="H36339" s="25"/>
      <c r="I36339" s="25"/>
      <c r="J36339" s="25"/>
      <c r="K36339" s="25"/>
    </row>
    <row r="36340" customFormat="false" ht="15" hidden="false" customHeight="false" outlineLevel="0" collapsed="false">
      <c r="A36340" s="3" t="s">
        <v>556</v>
      </c>
      <c r="C36340" s="16" t="n">
        <f aca="false">SUMPRODUCT($G$36328:$K$36328,$G$36085:$K$36085)*(1+SUMPRODUCT($G$36328:$K$36328,$G$36077:$K$36077)*Assumptions!$C$16/12)</f>
        <v>402.29</v>
      </c>
    </row>
    <row r="36341" customFormat="false" ht="15" hidden="false" customHeight="false" outlineLevel="0" collapsed="false">
      <c r="A36341" s="3" t="s">
        <v>557</v>
      </c>
      <c r="C36341" s="16" t="n">
        <f aca="false">SUMPRODUCT($G$36328:$K$36328,$G$36098:$K$36098)*(1+SUMPRODUCT($G$36328:$K$36328,$G$36090:$K$36090)*Assumptions!$C$16/12)</f>
        <v>91.30725</v>
      </c>
    </row>
    <row r="36342" customFormat="false" ht="15" hidden="false" customHeight="false" outlineLevel="0" collapsed="false">
      <c r="A36342" s="3" t="s">
        <v>558</v>
      </c>
      <c r="C36342" s="16" t="n">
        <f aca="false">SUMPRODUCT($G$36328:$K$36328,$G$36111:$K$36111)*(1+SUMPRODUCT($G$36328:$K$36328,$G$36103:$K$36103)*Assumptions!$C$16/12)</f>
        <v>58.3715961</v>
      </c>
    </row>
    <row r="36343" customFormat="false" ht="15" hidden="false" customHeight="false" outlineLevel="0" collapsed="false">
      <c r="A36343" s="3" t="s">
        <v>559</v>
      </c>
      <c r="C36343" s="16" t="n">
        <f aca="false">SUMPRODUCT($G$36328:$K$36328,$G$36124:$K$36124)*(1+SUMPRODUCT($G$36328:$K$36328,$G$36116:$K$36116)*Assumptions!$C$16/12)</f>
        <v>0</v>
      </c>
    </row>
    <row r="36344" customFormat="false" ht="15" hidden="false" customHeight="false" outlineLevel="0" collapsed="false">
      <c r="A36344" s="3" t="s">
        <v>560</v>
      </c>
      <c r="C36344" s="16" t="n">
        <f aca="false">SUMPRODUCT($G$36328:$K$36328,$G$36137:$K$36137)*(1+SUMPRODUCT($G$36328:$K$36328,$G$36129:$K$36129)*Assumptions!$C$16/12)</f>
        <v>405.410640665075</v>
      </c>
    </row>
    <row r="36345" customFormat="false" ht="15" hidden="false" customHeight="false" outlineLevel="0" collapsed="false">
      <c r="A36345" s="3" t="s">
        <v>561</v>
      </c>
      <c r="C36345" s="16" t="n">
        <f aca="false">SUMPRODUCT($G$36328:$K$36328,$G$36150:$K$36150)*(1+SUMPRODUCT($G$36328:$K$36328,$G$36142:$K$36142)*Assumptions!$C$16/12)</f>
        <v>357.2625</v>
      </c>
    </row>
    <row r="36346" customFormat="false" ht="15" hidden="false" customHeight="false" outlineLevel="0" collapsed="false">
      <c r="A36346" s="3" t="s">
        <v>562</v>
      </c>
      <c r="C36346" s="16" t="n">
        <f aca="false">SUMPRODUCT($G$36328:$K$36328,$G$36163:$K$36163)*(1+SUMPRODUCT($G$36328:$K$36328,$G$36155:$K$36155)*Assumptions!$C$16/12)</f>
        <v>562.203125</v>
      </c>
    </row>
    <row r="36347" customFormat="false" ht="15" hidden="false" customHeight="false" outlineLevel="0" collapsed="false">
      <c r="A36347" s="3" t="s">
        <v>563</v>
      </c>
      <c r="C36347" s="16" t="n">
        <f aca="false">SUMPRODUCT($G$36328:$K$36328,$G$36176:$K$36176)*(1+SUMPRODUCT($G$36328:$K$36328,$G$36168:$K$36168)*Assumptions!$C$16/12)</f>
        <v>353.98125</v>
      </c>
    </row>
    <row r="36348" customFormat="false" ht="15" hidden="false" customHeight="false" outlineLevel="0" collapsed="false">
      <c r="A36348" s="3" t="s">
        <v>564</v>
      </c>
      <c r="C36348" s="16" t="n">
        <f aca="false">SUMPRODUCT($G$36328:$K$36328,$G$36189:$K$36189)*(1+SUMPRODUCT($G$36328:$K$36328,$G$36181:$K$36181)*Assumptions!$C$16/12)</f>
        <v>304.59375</v>
      </c>
    </row>
    <row r="36349" customFormat="false" ht="15" hidden="false" customHeight="false" outlineLevel="0" collapsed="false">
      <c r="A36349" s="3" t="s">
        <v>565</v>
      </c>
      <c r="C36349" s="16" t="n">
        <f aca="false">SUMPRODUCT($G$36328:$K$36328,$G$36202:$K$36202)*(1+SUMPRODUCT($G$36328:$K$36328,$G$36194:$K$36194)*Assumptions!$C$16/12)</f>
        <v>79.938509</v>
      </c>
    </row>
    <row r="36350" customFormat="false" ht="15" hidden="false" customHeight="false" outlineLevel="0" collapsed="false">
      <c r="A36350" s="24" t="s">
        <v>566</v>
      </c>
      <c r="B36350" s="25"/>
      <c r="C36350" s="25"/>
      <c r="D36350" s="25"/>
      <c r="E36350" s="25"/>
      <c r="F36350" s="25"/>
      <c r="G36350" s="25"/>
      <c r="H36350" s="25"/>
      <c r="I36350" s="25"/>
      <c r="J36350" s="25"/>
      <c r="K36350" s="25"/>
    </row>
    <row r="36351" customFormat="false" ht="15" hidden="false" customHeight="false" outlineLevel="0" collapsed="false">
      <c r="A36351" s="3" t="s">
        <v>556</v>
      </c>
      <c r="C36351" s="27" t="n">
        <f aca="false">Assumptions!$M$57</f>
        <v>1</v>
      </c>
    </row>
    <row r="36352" customFormat="false" ht="15" hidden="false" customHeight="false" outlineLevel="0" collapsed="false">
      <c r="A36352" s="3" t="s">
        <v>557</v>
      </c>
      <c r="C36352" s="27" t="n">
        <f aca="false">Assumptions!$M$58</f>
        <v>1</v>
      </c>
    </row>
    <row r="36353" customFormat="false" ht="15" hidden="false" customHeight="false" outlineLevel="0" collapsed="false">
      <c r="A36353" s="3" t="s">
        <v>558</v>
      </c>
      <c r="C36353" s="27" t="n">
        <f aca="false">Assumptions!$M$59</f>
        <v>1</v>
      </c>
    </row>
    <row r="36354" customFormat="false" ht="15" hidden="false" customHeight="false" outlineLevel="0" collapsed="false">
      <c r="A36354" s="3" t="s">
        <v>559</v>
      </c>
      <c r="C36354" s="27" t="n">
        <f aca="false">Assumptions!$M$60</f>
        <v>2</v>
      </c>
    </row>
    <row r="36355" customFormat="false" ht="15" hidden="false" customHeight="false" outlineLevel="0" collapsed="false">
      <c r="A36355" s="3" t="s">
        <v>560</v>
      </c>
      <c r="C36355" s="27" t="n">
        <f aca="false">Assumptions!$M$61</f>
        <v>2</v>
      </c>
    </row>
    <row r="36356" customFormat="false" ht="15" hidden="false" customHeight="false" outlineLevel="0" collapsed="false">
      <c r="A36356" s="3" t="s">
        <v>561</v>
      </c>
      <c r="C36356" s="27" t="n">
        <f aca="false">Assumptions!$M$62</f>
        <v>2</v>
      </c>
    </row>
    <row r="36357" customFormat="false" ht="15" hidden="false" customHeight="false" outlineLevel="0" collapsed="false">
      <c r="A36357" s="3" t="s">
        <v>562</v>
      </c>
      <c r="C36357" s="27" t="n">
        <f aca="false">Assumptions!$M$63</f>
        <v>2</v>
      </c>
    </row>
    <row r="36358" customFormat="false" ht="15" hidden="false" customHeight="false" outlineLevel="0" collapsed="false">
      <c r="A36358" s="3" t="s">
        <v>563</v>
      </c>
      <c r="C36358" s="27" t="n">
        <f aca="false">Assumptions!$M$64</f>
        <v>2</v>
      </c>
    </row>
    <row r="36359" customFormat="false" ht="15" hidden="false" customHeight="false" outlineLevel="0" collapsed="false">
      <c r="A36359" s="3" t="s">
        <v>564</v>
      </c>
      <c r="C36359" s="27" t="n">
        <f aca="false">Assumptions!$M$65</f>
        <v>2</v>
      </c>
    </row>
    <row r="36360" customFormat="false" ht="15" hidden="false" customHeight="false" outlineLevel="0" collapsed="false">
      <c r="A36360" s="3" t="s">
        <v>565</v>
      </c>
      <c r="C36360" s="27" t="n">
        <f aca="false">Assumptions!$M$66</f>
        <v>3</v>
      </c>
    </row>
    <row r="36361" customFormat="false" ht="15" hidden="false" customHeight="false" outlineLevel="0" collapsed="false">
      <c r="A36361" s="24" t="s">
        <v>567</v>
      </c>
      <c r="B36361" s="25"/>
      <c r="C36361" s="25"/>
      <c r="D36361" s="25"/>
      <c r="E36361" s="25"/>
      <c r="F36361" s="25"/>
      <c r="G36361" s="25"/>
      <c r="H36361" s="25"/>
      <c r="I36361" s="25"/>
      <c r="J36361" s="25"/>
      <c r="K36361" s="25"/>
    </row>
    <row r="36362" customFormat="false" ht="15" hidden="false" customHeight="false" outlineLevel="0" collapsed="false">
      <c r="A36362" s="3" t="s">
        <v>556</v>
      </c>
      <c r="C36362" s="33" t="n">
        <f aca="false">Assumptions!$Q$57</f>
        <v>0.3</v>
      </c>
    </row>
    <row r="36363" customFormat="false" ht="15" hidden="false" customHeight="false" outlineLevel="0" collapsed="false">
      <c r="A36363" s="3" t="s">
        <v>557</v>
      </c>
      <c r="C36363" s="33" t="n">
        <f aca="false">Assumptions!$Q$58</f>
        <v>0.033</v>
      </c>
    </row>
    <row r="36364" customFormat="false" ht="15" hidden="false" customHeight="false" outlineLevel="0" collapsed="false">
      <c r="A36364" s="3" t="s">
        <v>558</v>
      </c>
      <c r="C36364" s="33" t="n">
        <f aca="false">Assumptions!$Q$59</f>
        <v>0.021</v>
      </c>
    </row>
    <row r="36365" customFormat="false" ht="15" hidden="false" customHeight="false" outlineLevel="0" collapsed="false">
      <c r="A36365" s="3" t="s">
        <v>559</v>
      </c>
      <c r="C36365" s="33" t="n">
        <f aca="false">Assumptions!$Q$60</f>
        <v>0</v>
      </c>
    </row>
    <row r="36366" customFormat="false" ht="15" hidden="false" customHeight="false" outlineLevel="0" collapsed="false">
      <c r="A36366" s="3" t="s">
        <v>560</v>
      </c>
      <c r="C36366" s="33" t="n">
        <f aca="false">Assumptions!$Q$61</f>
        <v>0</v>
      </c>
    </row>
    <row r="36367" customFormat="false" ht="15" hidden="false" customHeight="false" outlineLevel="0" collapsed="false">
      <c r="A36367" s="3" t="s">
        <v>561</v>
      </c>
      <c r="C36367" s="33" t="n">
        <f aca="false">Assumptions!$Q$62</f>
        <v>0</v>
      </c>
    </row>
    <row r="36368" customFormat="false" ht="15" hidden="false" customHeight="false" outlineLevel="0" collapsed="false">
      <c r="A36368" s="3" t="s">
        <v>562</v>
      </c>
      <c r="C36368" s="33" t="n">
        <f aca="false">Assumptions!$Q$63</f>
        <v>0</v>
      </c>
    </row>
    <row r="36369" customFormat="false" ht="15" hidden="false" customHeight="false" outlineLevel="0" collapsed="false">
      <c r="A36369" s="3" t="s">
        <v>563</v>
      </c>
      <c r="C36369" s="33" t="n">
        <f aca="false">Assumptions!$Q$64</f>
        <v>0</v>
      </c>
    </row>
    <row r="36370" customFormat="false" ht="15" hidden="false" customHeight="false" outlineLevel="0" collapsed="false">
      <c r="A36370" s="3" t="s">
        <v>564</v>
      </c>
      <c r="C36370" s="33" t="n">
        <f aca="false">Assumptions!$Q$65</f>
        <v>0</v>
      </c>
    </row>
    <row r="36371" customFormat="false" ht="15" hidden="false" customHeight="false" outlineLevel="0" collapsed="false">
      <c r="A36371" s="3" t="s">
        <v>565</v>
      </c>
      <c r="C36371" s="33" t="n">
        <f aca="false">Assumptions!$Q$66</f>
        <v>0</v>
      </c>
    </row>
    <row r="36372" customFormat="false" ht="15" hidden="false" customHeight="false" outlineLevel="0" collapsed="false">
      <c r="A36372" s="24" t="s">
        <v>568</v>
      </c>
      <c r="B36372" s="25"/>
      <c r="C36372" s="25"/>
      <c r="D36372" s="25"/>
      <c r="E36372" s="25"/>
      <c r="F36372" s="25"/>
      <c r="G36372" s="25"/>
      <c r="H36372" s="25"/>
      <c r="I36372" s="25"/>
      <c r="J36372" s="25"/>
      <c r="K36372" s="25"/>
    </row>
    <row r="36373" customFormat="false" ht="15" hidden="false" customHeight="false" outlineLevel="0" collapsed="false">
      <c r="A36373" s="3" t="s">
        <v>556</v>
      </c>
      <c r="C36373" s="16" t="n">
        <f aca="false">IF(C36362&gt;0,MIN(C36340,C36362*$C$36338),0)</f>
        <v>402.29</v>
      </c>
    </row>
    <row r="36374" customFormat="false" ht="15" hidden="false" customHeight="false" outlineLevel="0" collapsed="false">
      <c r="A36374" s="3" t="s">
        <v>557</v>
      </c>
      <c r="C36374" s="16" t="n">
        <f aca="false">IF(C36363&gt;0,MIN(C36341,C36363*$C$36338),0)</f>
        <v>91.30725</v>
      </c>
    </row>
    <row r="36375" customFormat="false" ht="15" hidden="false" customHeight="false" outlineLevel="0" collapsed="false">
      <c r="A36375" s="3" t="s">
        <v>558</v>
      </c>
      <c r="C36375" s="16" t="n">
        <f aca="false">IF(C36364&gt;0,MIN(C36342,C36364*$C$36338),0)</f>
        <v>58.3715961</v>
      </c>
    </row>
    <row r="36376" customFormat="false" ht="15" hidden="false" customHeight="false" outlineLevel="0" collapsed="false">
      <c r="A36376" s="3" t="s">
        <v>559</v>
      </c>
      <c r="C36376" s="16" t="n">
        <f aca="false">IF(C36365&gt;0,MIN(C36343,C36365*$C$36338),0)</f>
        <v>0</v>
      </c>
    </row>
    <row r="36377" customFormat="false" ht="15" hidden="false" customHeight="false" outlineLevel="0" collapsed="false">
      <c r="A36377" s="3" t="s">
        <v>560</v>
      </c>
      <c r="C36377" s="16" t="n">
        <f aca="false">IF(C36366&gt;0,MIN(C36344,C36366*$C$36338),0)</f>
        <v>0</v>
      </c>
    </row>
    <row r="36378" customFormat="false" ht="15" hidden="false" customHeight="false" outlineLevel="0" collapsed="false">
      <c r="A36378" s="3" t="s">
        <v>561</v>
      </c>
      <c r="C36378" s="16" t="n">
        <f aca="false">IF(C36367&gt;0,MIN(C36345,C36367*$C$36338),0)</f>
        <v>0</v>
      </c>
    </row>
    <row r="36379" customFormat="false" ht="15" hidden="false" customHeight="false" outlineLevel="0" collapsed="false">
      <c r="A36379" s="3" t="s">
        <v>562</v>
      </c>
      <c r="C36379" s="16" t="n">
        <f aca="false">IF(C36368&gt;0,MIN(C36346,C36368*$C$36338),0)</f>
        <v>0</v>
      </c>
    </row>
    <row r="36380" customFormat="false" ht="15" hidden="false" customHeight="false" outlineLevel="0" collapsed="false">
      <c r="A36380" s="3" t="s">
        <v>563</v>
      </c>
      <c r="C36380" s="16" t="n">
        <f aca="false">IF(C36369&gt;0,MIN(C36347,C36369*$C$36338),0)</f>
        <v>0</v>
      </c>
    </row>
    <row r="36381" customFormat="false" ht="15" hidden="false" customHeight="false" outlineLevel="0" collapsed="false">
      <c r="A36381" s="3" t="s">
        <v>564</v>
      </c>
      <c r="C36381" s="16" t="n">
        <f aca="false">IF(C36370&gt;0,MIN(C36348,C36370*$C$36338),0)</f>
        <v>0</v>
      </c>
    </row>
    <row r="36382" customFormat="false" ht="15" hidden="false" customHeight="false" outlineLevel="0" collapsed="false">
      <c r="A36382" s="3" t="s">
        <v>565</v>
      </c>
      <c r="C36382" s="16" t="n">
        <f aca="false">IF(C36371&gt;0,MIN(C36349,C36371*$C$36338),0)</f>
        <v>0</v>
      </c>
    </row>
    <row r="36383" customFormat="false" ht="15" hidden="false" customHeight="false" outlineLevel="0" collapsed="false">
      <c r="A36383" s="24" t="s">
        <v>569</v>
      </c>
      <c r="B36383" s="25"/>
      <c r="C36383" s="25"/>
      <c r="D36383" s="25"/>
      <c r="E36383" s="25"/>
      <c r="F36383" s="25"/>
      <c r="G36383" s="25"/>
      <c r="H36383" s="25"/>
      <c r="I36383" s="25"/>
      <c r="J36383" s="25"/>
      <c r="K36383" s="25"/>
    </row>
    <row r="36384" customFormat="false" ht="15" hidden="false" customHeight="false" outlineLevel="0" collapsed="false">
      <c r="A36384" s="3" t="s">
        <v>556</v>
      </c>
      <c r="C36384" s="16" t="n">
        <f aca="false">IF(C36362&gt;0,C36340-C36373,0)</f>
        <v>0</v>
      </c>
      <c r="G36384" s="21" t="n">
        <f aca="false">IF(AND(G36075=1,G36072=1),1,0)</f>
        <v>0</v>
      </c>
      <c r="H36384" s="21" t="n">
        <f aca="false">IF(G36384=1,1,IF(AND(H36075=1,H36072=1),1,0))</f>
        <v>0</v>
      </c>
      <c r="I36384" s="21" t="n">
        <f aca="false">IF(H36384=1,1,IF(AND(I36075=1,I36072=1),1,0))</f>
        <v>0</v>
      </c>
      <c r="J36384" s="21" t="n">
        <f aca="false">IF(I36384=1,1,IF(AND(J36075=1,J36072=1),1,0))</f>
        <v>0</v>
      </c>
      <c r="K36384" s="21" t="n">
        <f aca="false">IF(J36384=1,1,IF(AND(K36075=1,K36072=1),1,0))</f>
        <v>0</v>
      </c>
    </row>
    <row r="36385" customFormat="false" ht="15" hidden="false" customHeight="false" outlineLevel="0" collapsed="false">
      <c r="A36385" s="3" t="s">
        <v>557</v>
      </c>
      <c r="C36385" s="16" t="n">
        <f aca="false">IF(C36363&gt;0,C36341-C36374,0)</f>
        <v>0</v>
      </c>
      <c r="G36385" s="21" t="n">
        <f aca="false">IF(AND(G36088=1,G36072=1),1,0)</f>
        <v>0</v>
      </c>
      <c r="H36385" s="21" t="n">
        <f aca="false">IF(G36385=1,1,IF(AND(H36088=1,H36072=1),1,0))</f>
        <v>0</v>
      </c>
      <c r="I36385" s="21" t="n">
        <f aca="false">IF(H36385=1,1,IF(AND(I36088=1,I36072=1),1,0))</f>
        <v>0</v>
      </c>
      <c r="J36385" s="21" t="n">
        <f aca="false">IF(I36385=1,1,IF(AND(J36088=1,J36072=1),1,0))</f>
        <v>0</v>
      </c>
      <c r="K36385" s="21" t="n">
        <f aca="false">IF(J36385=1,1,IF(AND(K36088=1,K36072=1),1,0))</f>
        <v>0</v>
      </c>
    </row>
    <row r="36386" customFormat="false" ht="15" hidden="false" customHeight="false" outlineLevel="0" collapsed="false">
      <c r="A36386" s="3" t="s">
        <v>558</v>
      </c>
      <c r="C36386" s="16" t="n">
        <f aca="false">IF(C36364&gt;0,C36342-C36375,0)</f>
        <v>0</v>
      </c>
      <c r="G36386" s="21" t="n">
        <f aca="false">IF(AND(G36101=1,G36072=1),1,0)</f>
        <v>0</v>
      </c>
      <c r="H36386" s="21" t="n">
        <f aca="false">IF(G36386=1,1,IF(AND(H36101=1,H36072=1),1,0))</f>
        <v>0</v>
      </c>
      <c r="I36386" s="21" t="n">
        <f aca="false">IF(H36386=1,1,IF(AND(I36101=1,I36072=1),1,0))</f>
        <v>0</v>
      </c>
      <c r="J36386" s="21" t="n">
        <f aca="false">IF(I36386=1,1,IF(AND(J36101=1,J36072=1),1,0))</f>
        <v>0</v>
      </c>
      <c r="K36386" s="21" t="n">
        <f aca="false">IF(J36386=1,1,IF(AND(K36101=1,K36072=1),1,0))</f>
        <v>0</v>
      </c>
    </row>
    <row r="36387" customFormat="false" ht="15" hidden="false" customHeight="false" outlineLevel="0" collapsed="false">
      <c r="A36387" s="3" t="s">
        <v>559</v>
      </c>
      <c r="C36387" s="16" t="n">
        <f aca="false">IF(C36365&gt;0,C36343-C36376,0)</f>
        <v>0</v>
      </c>
      <c r="G36387" s="21" t="n">
        <f aca="false">IF(AND(G36114=1,G36072=1),1,0)</f>
        <v>0</v>
      </c>
      <c r="H36387" s="21" t="n">
        <f aca="false">IF(G36387=1,1,IF(AND(H36114=1,H36072=1),1,0))</f>
        <v>0</v>
      </c>
      <c r="I36387" s="21" t="n">
        <f aca="false">IF(H36387=1,1,IF(AND(I36114=1,I36072=1),1,0))</f>
        <v>0</v>
      </c>
      <c r="J36387" s="21" t="n">
        <f aca="false">IF(I36387=1,1,IF(AND(J36114=1,J36072=1),1,0))</f>
        <v>0</v>
      </c>
      <c r="K36387" s="21" t="n">
        <f aca="false">IF(J36387=1,1,IF(AND(K36114=1,K36072=1),1,0))</f>
        <v>0</v>
      </c>
    </row>
    <row r="36388" customFormat="false" ht="15" hidden="false" customHeight="false" outlineLevel="0" collapsed="false">
      <c r="A36388" s="3" t="s">
        <v>560</v>
      </c>
      <c r="C36388" s="16" t="n">
        <f aca="false">IF(C36366&gt;0,C36344-C36377,0)</f>
        <v>0</v>
      </c>
      <c r="G36388" s="21" t="n">
        <f aca="false">IF(AND(G36127=1,G36072=1),1,0)</f>
        <v>0</v>
      </c>
      <c r="H36388" s="21" t="n">
        <f aca="false">IF(G36388=1,1,IF(AND(H36127=1,H36072=1),1,0))</f>
        <v>0</v>
      </c>
      <c r="I36388" s="21" t="n">
        <f aca="false">IF(H36388=1,1,IF(AND(I36127=1,I36072=1),1,0))</f>
        <v>0</v>
      </c>
      <c r="J36388" s="21" t="n">
        <f aca="false">IF(I36388=1,1,IF(AND(J36127=1,J36072=1),1,0))</f>
        <v>0</v>
      </c>
      <c r="K36388" s="21" t="n">
        <f aca="false">IF(J36388=1,1,IF(AND(K36127=1,K36072=1),1,0))</f>
        <v>0</v>
      </c>
    </row>
    <row r="36389" customFormat="false" ht="15" hidden="false" customHeight="false" outlineLevel="0" collapsed="false">
      <c r="A36389" s="3" t="s">
        <v>561</v>
      </c>
      <c r="C36389" s="16" t="n">
        <f aca="false">IF(C36367&gt;0,C36345-C36378,0)</f>
        <v>0</v>
      </c>
      <c r="G36389" s="21" t="n">
        <f aca="false">IF(AND(G36140=1,G36072=1),1,0)</f>
        <v>0</v>
      </c>
      <c r="H36389" s="21" t="n">
        <f aca="false">IF(G36389=1,1,IF(AND(H36140=1,H36072=1),1,0))</f>
        <v>0</v>
      </c>
      <c r="I36389" s="21" t="n">
        <f aca="false">IF(H36389=1,1,IF(AND(I36140=1,I36072=1),1,0))</f>
        <v>0</v>
      </c>
      <c r="J36389" s="21" t="n">
        <f aca="false">IF(I36389=1,1,IF(AND(J36140=1,J36072=1),1,0))</f>
        <v>0</v>
      </c>
      <c r="K36389" s="21" t="n">
        <f aca="false">IF(J36389=1,1,IF(AND(K36140=1,K36072=1),1,0))</f>
        <v>0</v>
      </c>
    </row>
    <row r="36390" customFormat="false" ht="15" hidden="false" customHeight="false" outlineLevel="0" collapsed="false">
      <c r="A36390" s="3" t="s">
        <v>562</v>
      </c>
      <c r="C36390" s="16" t="n">
        <f aca="false">IF(C36368&gt;0,C36346-C36379,0)</f>
        <v>0</v>
      </c>
      <c r="G36390" s="21" t="n">
        <f aca="false">IF(AND(G36153=1,G36072=1),1,0)</f>
        <v>0</v>
      </c>
      <c r="H36390" s="21" t="n">
        <f aca="false">IF(G36390=1,1,IF(AND(H36153=1,H36072=1),1,0))</f>
        <v>0</v>
      </c>
      <c r="I36390" s="21" t="n">
        <f aca="false">IF(H36390=1,1,IF(AND(I36153=1,I36072=1),1,0))</f>
        <v>0</v>
      </c>
      <c r="J36390" s="21" t="n">
        <f aca="false">IF(I36390=1,1,IF(AND(J36153=1,J36072=1),1,0))</f>
        <v>0</v>
      </c>
      <c r="K36390" s="21" t="n">
        <f aca="false">IF(J36390=1,1,IF(AND(K36153=1,K36072=1),1,0))</f>
        <v>0</v>
      </c>
    </row>
    <row r="36391" customFormat="false" ht="15" hidden="false" customHeight="false" outlineLevel="0" collapsed="false">
      <c r="A36391" s="3" t="s">
        <v>563</v>
      </c>
      <c r="C36391" s="16" t="n">
        <f aca="false">IF(C36369&gt;0,C36347-C36380,0)</f>
        <v>0</v>
      </c>
      <c r="G36391" s="21" t="n">
        <f aca="false">IF(AND(G36166=1,G36072=1),1,0)</f>
        <v>0</v>
      </c>
      <c r="H36391" s="21" t="n">
        <f aca="false">IF(G36391=1,1,IF(AND(H36166=1,H36072=1),1,0))</f>
        <v>0</v>
      </c>
      <c r="I36391" s="21" t="n">
        <f aca="false">IF(H36391=1,1,IF(AND(I36166=1,I36072=1),1,0))</f>
        <v>0</v>
      </c>
      <c r="J36391" s="21" t="n">
        <f aca="false">IF(I36391=1,1,IF(AND(J36166=1,J36072=1),1,0))</f>
        <v>0</v>
      </c>
      <c r="K36391" s="21" t="n">
        <f aca="false">IF(J36391=1,1,IF(AND(K36166=1,K36072=1),1,0))</f>
        <v>0</v>
      </c>
    </row>
    <row r="36392" customFormat="false" ht="15" hidden="false" customHeight="false" outlineLevel="0" collapsed="false">
      <c r="A36392" s="3" t="s">
        <v>564</v>
      </c>
      <c r="C36392" s="16" t="n">
        <f aca="false">IF(C36370&gt;0,C36348-C36381,0)</f>
        <v>0</v>
      </c>
      <c r="G36392" s="21" t="n">
        <f aca="false">IF(AND(G36179=1,G36072=1),1,0)</f>
        <v>0</v>
      </c>
      <c r="H36392" s="21" t="n">
        <f aca="false">IF(G36392=1,1,IF(AND(H36179=1,H36072=1),1,0))</f>
        <v>0</v>
      </c>
      <c r="I36392" s="21" t="n">
        <f aca="false">IF(H36392=1,1,IF(AND(I36179=1,I36072=1),1,0))</f>
        <v>0</v>
      </c>
      <c r="J36392" s="21" t="n">
        <f aca="false">IF(I36392=1,1,IF(AND(J36179=1,J36072=1),1,0))</f>
        <v>0</v>
      </c>
      <c r="K36392" s="21" t="n">
        <f aca="false">IF(J36392=1,1,IF(AND(K36179=1,K36072=1),1,0))</f>
        <v>0</v>
      </c>
    </row>
    <row r="36393" customFormat="false" ht="15" hidden="false" customHeight="false" outlineLevel="0" collapsed="false">
      <c r="A36393" s="3" t="s">
        <v>565</v>
      </c>
      <c r="C36393" s="16" t="n">
        <f aca="false">IF(C36371&gt;0,C36349-C36382,0)</f>
        <v>0</v>
      </c>
      <c r="G36393" s="21" t="n">
        <f aca="false">IF(AND(G36192=1,G36072=1),1,0)</f>
        <v>0</v>
      </c>
      <c r="H36393" s="21" t="n">
        <f aca="false">IF(G36393=1,1,IF(AND(H36192=1,H36072=1),1,0))</f>
        <v>0</v>
      </c>
      <c r="I36393" s="21" t="n">
        <f aca="false">IF(H36393=1,1,IF(AND(I36192=1,I36072=1),1,0))</f>
        <v>0</v>
      </c>
      <c r="J36393" s="21" t="n">
        <f aca="false">IF(I36393=1,1,IF(AND(J36192=1,J36072=1),1,0))</f>
        <v>0</v>
      </c>
      <c r="K36393" s="21" t="n">
        <f aca="false">IF(J36393=1,1,IF(AND(K36192=1,K36072=1),1,0))</f>
        <v>0</v>
      </c>
    </row>
    <row r="36394" customFormat="false" ht="15" hidden="false" customHeight="false" outlineLevel="0" collapsed="false">
      <c r="A36394" s="24" t="s">
        <v>570</v>
      </c>
      <c r="B36394" s="25"/>
      <c r="C36394" s="25"/>
      <c r="D36394" s="25"/>
      <c r="E36394" s="25"/>
      <c r="F36394" s="25"/>
      <c r="G36394" s="25"/>
      <c r="H36394" s="25"/>
      <c r="I36394" s="25"/>
      <c r="J36394" s="25"/>
      <c r="K36394" s="25"/>
    </row>
    <row r="36395" customFormat="false" ht="15" hidden="false" customHeight="false" outlineLevel="0" collapsed="false">
      <c r="A36395" s="3" t="s">
        <v>556</v>
      </c>
      <c r="C36395" s="16" t="n">
        <f aca="false">IF(C36362&gt;0,C36384,C36340)</f>
        <v>0</v>
      </c>
    </row>
    <row r="36396" customFormat="false" ht="15" hidden="false" customHeight="false" outlineLevel="0" collapsed="false">
      <c r="A36396" s="3" t="s">
        <v>557</v>
      </c>
      <c r="C36396" s="16" t="n">
        <f aca="false">IF(C36363&gt;0,C36385,C36341)</f>
        <v>0</v>
      </c>
    </row>
    <row r="36397" customFormat="false" ht="15" hidden="false" customHeight="false" outlineLevel="0" collapsed="false">
      <c r="A36397" s="3" t="s">
        <v>558</v>
      </c>
      <c r="C36397" s="16" t="n">
        <f aca="false">IF(C36364&gt;0,C36386,C36342)</f>
        <v>0</v>
      </c>
    </row>
    <row r="36398" customFormat="false" ht="15" hidden="false" customHeight="false" outlineLevel="0" collapsed="false">
      <c r="A36398" s="3" t="s">
        <v>559</v>
      </c>
      <c r="C36398" s="16" t="n">
        <f aca="false">IF(C36365&gt;0,C36387,C36343)</f>
        <v>0</v>
      </c>
    </row>
    <row r="36399" customFormat="false" ht="15" hidden="false" customHeight="false" outlineLevel="0" collapsed="false">
      <c r="A36399" s="3" t="s">
        <v>560</v>
      </c>
      <c r="C36399" s="16" t="n">
        <f aca="false">IF(C36366&gt;0,C36388,C36344)</f>
        <v>405.410640665075</v>
      </c>
    </row>
    <row r="36400" customFormat="false" ht="15" hidden="false" customHeight="false" outlineLevel="0" collapsed="false">
      <c r="A36400" s="3" t="s">
        <v>561</v>
      </c>
      <c r="C36400" s="16" t="n">
        <f aca="false">IF(C36367&gt;0,C36389,C36345)</f>
        <v>357.2625</v>
      </c>
    </row>
    <row r="36401" customFormat="false" ht="15" hidden="false" customHeight="false" outlineLevel="0" collapsed="false">
      <c r="A36401" s="3" t="s">
        <v>562</v>
      </c>
      <c r="C36401" s="16" t="n">
        <f aca="false">IF(C36368&gt;0,C36390,C36346)</f>
        <v>562.203125</v>
      </c>
    </row>
    <row r="36402" customFormat="false" ht="15" hidden="false" customHeight="false" outlineLevel="0" collapsed="false">
      <c r="A36402" s="3" t="s">
        <v>563</v>
      </c>
      <c r="C36402" s="16" t="n">
        <f aca="false">IF(C36369&gt;0,C36391,C36347)</f>
        <v>353.98125</v>
      </c>
    </row>
    <row r="36403" customFormat="false" ht="15" hidden="false" customHeight="false" outlineLevel="0" collapsed="false">
      <c r="A36403" s="3" t="s">
        <v>564</v>
      </c>
      <c r="C36403" s="16" t="n">
        <f aca="false">IF(C36370&gt;0,C36392,C36348)</f>
        <v>304.59375</v>
      </c>
    </row>
    <row r="36404" customFormat="false" ht="15" hidden="false" customHeight="false" outlineLevel="0" collapsed="false">
      <c r="A36404" s="3" t="s">
        <v>565</v>
      </c>
      <c r="C36404" s="16" t="n">
        <f aca="false">IF(C36371&gt;0,C36393,C36349)</f>
        <v>79.938509</v>
      </c>
    </row>
    <row r="36405" customFormat="false" ht="15" hidden="false" customHeight="false" outlineLevel="0" collapsed="false">
      <c r="A36405" s="24" t="s">
        <v>571</v>
      </c>
      <c r="B36405" s="25"/>
      <c r="C36405" s="25"/>
      <c r="D36405" s="25"/>
      <c r="E36405" s="25"/>
      <c r="F36405" s="25"/>
      <c r="G36405" s="25"/>
      <c r="H36405" s="25"/>
      <c r="I36405" s="25"/>
      <c r="J36405" s="25"/>
      <c r="K36405" s="25"/>
    </row>
    <row r="36406" customFormat="false" ht="15" hidden="false" customHeight="false" outlineLevel="0" collapsed="false">
      <c r="A36406" s="3" t="s">
        <v>556</v>
      </c>
      <c r="C36406" s="21" t="n">
        <f aca="false">IF(C36362&gt;0,Assumptions!$C$17,C36351)</f>
        <v>99</v>
      </c>
    </row>
    <row r="36407" customFormat="false" ht="15" hidden="false" customHeight="false" outlineLevel="0" collapsed="false">
      <c r="A36407" s="3" t="s">
        <v>557</v>
      </c>
      <c r="C36407" s="21" t="n">
        <f aca="false">IF(C36363&gt;0,Assumptions!$C$17,C36352)</f>
        <v>99</v>
      </c>
    </row>
    <row r="36408" customFormat="false" ht="15" hidden="false" customHeight="false" outlineLevel="0" collapsed="false">
      <c r="A36408" s="3" t="s">
        <v>558</v>
      </c>
      <c r="C36408" s="21" t="n">
        <f aca="false">IF(C36364&gt;0,Assumptions!$C$17,C36353)</f>
        <v>99</v>
      </c>
    </row>
    <row r="36409" customFormat="false" ht="15" hidden="false" customHeight="false" outlineLevel="0" collapsed="false">
      <c r="A36409" s="3" t="s">
        <v>559</v>
      </c>
      <c r="C36409" s="21" t="n">
        <f aca="false">IF(C36365&gt;0,Assumptions!$C$17,C36354)</f>
        <v>2</v>
      </c>
    </row>
    <row r="36410" customFormat="false" ht="15" hidden="false" customHeight="false" outlineLevel="0" collapsed="false">
      <c r="A36410" s="3" t="s">
        <v>560</v>
      </c>
      <c r="C36410" s="21" t="n">
        <f aca="false">IF(C36366&gt;0,Assumptions!$C$17,C36355)</f>
        <v>2</v>
      </c>
    </row>
    <row r="36411" customFormat="false" ht="15" hidden="false" customHeight="false" outlineLevel="0" collapsed="false">
      <c r="A36411" s="3" t="s">
        <v>561</v>
      </c>
      <c r="C36411" s="21" t="n">
        <f aca="false">IF(C36367&gt;0,Assumptions!$C$17,C36356)</f>
        <v>2</v>
      </c>
    </row>
    <row r="36412" customFormat="false" ht="15" hidden="false" customHeight="false" outlineLevel="0" collapsed="false">
      <c r="A36412" s="3" t="s">
        <v>562</v>
      </c>
      <c r="C36412" s="21" t="n">
        <f aca="false">IF(C36368&gt;0,Assumptions!$C$17,C36357)</f>
        <v>2</v>
      </c>
    </row>
    <row r="36413" customFormat="false" ht="15" hidden="false" customHeight="false" outlineLevel="0" collapsed="false">
      <c r="A36413" s="3" t="s">
        <v>563</v>
      </c>
      <c r="C36413" s="21" t="n">
        <f aca="false">IF(C36369&gt;0,Assumptions!$C$17,C36358)</f>
        <v>2</v>
      </c>
    </row>
    <row r="36414" customFormat="false" ht="15" hidden="false" customHeight="false" outlineLevel="0" collapsed="false">
      <c r="A36414" s="3" t="s">
        <v>564</v>
      </c>
      <c r="C36414" s="21" t="n">
        <f aca="false">IF(C36370&gt;0,Assumptions!$C$17,C36359)</f>
        <v>2</v>
      </c>
    </row>
    <row r="36415" customFormat="false" ht="15" hidden="false" customHeight="false" outlineLevel="0" collapsed="false">
      <c r="A36415" s="3" t="s">
        <v>565</v>
      </c>
      <c r="C36415" s="21" t="n">
        <f aca="false">IF(C36371&gt;0,Assumptions!$C$17,C36360)</f>
        <v>3</v>
      </c>
    </row>
    <row r="36416" customFormat="false" ht="15" hidden="false" customHeight="false" outlineLevel="0" collapsed="false">
      <c r="A36416" s="24" t="s">
        <v>572</v>
      </c>
      <c r="B36416" s="25"/>
      <c r="C36416" s="25"/>
      <c r="D36416" s="25"/>
      <c r="E36416" s="25"/>
      <c r="F36416" s="25"/>
      <c r="G36416" s="25"/>
      <c r="H36416" s="25"/>
      <c r="I36416" s="25"/>
      <c r="J36416" s="25"/>
      <c r="K36416" s="25"/>
    </row>
    <row r="36417" customFormat="false" ht="15" hidden="false" customHeight="false" outlineLevel="0" collapsed="false">
      <c r="A36417" s="3" t="s">
        <v>556</v>
      </c>
      <c r="C36417" s="16" t="n">
        <f aca="false">SUMPRODUCT(($C$36406:$C$36415&lt;C36406)*$C$36395:$C$36404)</f>
        <v>2063.38977466508</v>
      </c>
    </row>
    <row r="36418" customFormat="false" ht="15" hidden="false" customHeight="false" outlineLevel="0" collapsed="false">
      <c r="A36418" s="3" t="s">
        <v>557</v>
      </c>
      <c r="C36418" s="16" t="n">
        <f aca="false">SUMPRODUCT(($C$36406:$C$36415&lt;C36407)*$C$36395:$C$36404)</f>
        <v>2063.38977466508</v>
      </c>
    </row>
    <row r="36419" customFormat="false" ht="15" hidden="false" customHeight="false" outlineLevel="0" collapsed="false">
      <c r="A36419" s="3" t="s">
        <v>558</v>
      </c>
      <c r="C36419" s="16" t="n">
        <f aca="false">SUMPRODUCT(($C$36406:$C$36415&lt;C36408)*$C$36395:$C$36404)</f>
        <v>2063.38977466508</v>
      </c>
    </row>
    <row r="36420" customFormat="false" ht="15" hidden="false" customHeight="false" outlineLevel="0" collapsed="false">
      <c r="A36420" s="3" t="s">
        <v>559</v>
      </c>
      <c r="C36420" s="16" t="n">
        <f aca="false">SUMPRODUCT(($C$36406:$C$36415&lt;C36409)*$C$36395:$C$36404)</f>
        <v>0</v>
      </c>
    </row>
    <row r="36421" customFormat="false" ht="15" hidden="false" customHeight="false" outlineLevel="0" collapsed="false">
      <c r="A36421" s="3" t="s">
        <v>560</v>
      </c>
      <c r="C36421" s="16" t="n">
        <f aca="false">SUMPRODUCT(($C$36406:$C$36415&lt;C36410)*$C$36395:$C$36404)</f>
        <v>0</v>
      </c>
    </row>
    <row r="36422" customFormat="false" ht="15" hidden="false" customHeight="false" outlineLevel="0" collapsed="false">
      <c r="A36422" s="3" t="s">
        <v>561</v>
      </c>
      <c r="C36422" s="16" t="n">
        <f aca="false">SUMPRODUCT(($C$36406:$C$36415&lt;C36411)*$C$36395:$C$36404)</f>
        <v>0</v>
      </c>
    </row>
    <row r="36423" customFormat="false" ht="15" hidden="false" customHeight="false" outlineLevel="0" collapsed="false">
      <c r="A36423" s="3" t="s">
        <v>562</v>
      </c>
      <c r="C36423" s="16" t="n">
        <f aca="false">SUMPRODUCT(($C$36406:$C$36415&lt;C36412)*$C$36395:$C$36404)</f>
        <v>0</v>
      </c>
    </row>
    <row r="36424" customFormat="false" ht="15" hidden="false" customHeight="false" outlineLevel="0" collapsed="false">
      <c r="A36424" s="3" t="s">
        <v>563</v>
      </c>
      <c r="C36424" s="16" t="n">
        <f aca="false">SUMPRODUCT(($C$36406:$C$36415&lt;C36413)*$C$36395:$C$36404)</f>
        <v>0</v>
      </c>
    </row>
    <row r="36425" customFormat="false" ht="15" hidden="false" customHeight="false" outlineLevel="0" collapsed="false">
      <c r="A36425" s="3" t="s">
        <v>564</v>
      </c>
      <c r="C36425" s="16" t="n">
        <f aca="false">SUMPRODUCT(($C$36406:$C$36415&lt;C36414)*$C$36395:$C$36404)</f>
        <v>0</v>
      </c>
    </row>
    <row r="36426" customFormat="false" ht="15" hidden="false" customHeight="false" outlineLevel="0" collapsed="false">
      <c r="A36426" s="3" t="s">
        <v>565</v>
      </c>
      <c r="C36426" s="16" t="n">
        <f aca="false">SUMPRODUCT(($C$36406:$C$36415&lt;C36415)*$C$36395:$C$36404)</f>
        <v>1983.45126566508</v>
      </c>
    </row>
    <row r="36427" customFormat="false" ht="15" hidden="false" customHeight="false" outlineLevel="0" collapsed="false">
      <c r="A36427" s="24" t="s">
        <v>573</v>
      </c>
      <c r="B36427" s="25"/>
      <c r="C36427" s="25"/>
      <c r="D36427" s="25"/>
      <c r="E36427" s="25"/>
      <c r="F36427" s="25"/>
      <c r="G36427" s="25"/>
      <c r="H36427" s="25"/>
      <c r="I36427" s="25"/>
      <c r="J36427" s="25"/>
      <c r="K36427" s="25"/>
    </row>
    <row r="36428" customFormat="false" ht="15" hidden="false" customHeight="false" outlineLevel="0" collapsed="false">
      <c r="A36428" s="3" t="s">
        <v>556</v>
      </c>
      <c r="C36428" s="16" t="n">
        <f aca="false">SUMPRODUCT(($C$36406:$C$36415=C36406)*$C$36395:$C$36404)</f>
        <v>0</v>
      </c>
    </row>
    <row r="36429" customFormat="false" ht="15" hidden="false" customHeight="false" outlineLevel="0" collapsed="false">
      <c r="A36429" s="3" t="s">
        <v>557</v>
      </c>
      <c r="C36429" s="16" t="n">
        <f aca="false">SUMPRODUCT(($C$36406:$C$36415=C36407)*$C$36395:$C$36404)</f>
        <v>0</v>
      </c>
    </row>
    <row r="36430" customFormat="false" ht="15" hidden="false" customHeight="false" outlineLevel="0" collapsed="false">
      <c r="A36430" s="3" t="s">
        <v>558</v>
      </c>
      <c r="C36430" s="16" t="n">
        <f aca="false">SUMPRODUCT(($C$36406:$C$36415=C36408)*$C$36395:$C$36404)</f>
        <v>0</v>
      </c>
    </row>
    <row r="36431" customFormat="false" ht="15" hidden="false" customHeight="false" outlineLevel="0" collapsed="false">
      <c r="A36431" s="3" t="s">
        <v>559</v>
      </c>
      <c r="C36431" s="16" t="n">
        <f aca="false">SUMPRODUCT(($C$36406:$C$36415=C36409)*$C$36395:$C$36404)</f>
        <v>1983.45126566508</v>
      </c>
    </row>
    <row r="36432" customFormat="false" ht="15" hidden="false" customHeight="false" outlineLevel="0" collapsed="false">
      <c r="A36432" s="3" t="s">
        <v>560</v>
      </c>
      <c r="C36432" s="16" t="n">
        <f aca="false">SUMPRODUCT(($C$36406:$C$36415=C36410)*$C$36395:$C$36404)</f>
        <v>1983.45126566508</v>
      </c>
    </row>
    <row r="36433" customFormat="false" ht="15" hidden="false" customHeight="false" outlineLevel="0" collapsed="false">
      <c r="A36433" s="3" t="s">
        <v>561</v>
      </c>
      <c r="C36433" s="16" t="n">
        <f aca="false">SUMPRODUCT(($C$36406:$C$36415=C36411)*$C$36395:$C$36404)</f>
        <v>1983.45126566508</v>
      </c>
    </row>
    <row r="36434" customFormat="false" ht="15" hidden="false" customHeight="false" outlineLevel="0" collapsed="false">
      <c r="A36434" s="3" t="s">
        <v>562</v>
      </c>
      <c r="C36434" s="16" t="n">
        <f aca="false">SUMPRODUCT(($C$36406:$C$36415=C36412)*$C$36395:$C$36404)</f>
        <v>1983.45126566508</v>
      </c>
    </row>
    <row r="36435" customFormat="false" ht="15" hidden="false" customHeight="false" outlineLevel="0" collapsed="false">
      <c r="A36435" s="3" t="s">
        <v>563</v>
      </c>
      <c r="C36435" s="16" t="n">
        <f aca="false">SUMPRODUCT(($C$36406:$C$36415=C36413)*$C$36395:$C$36404)</f>
        <v>1983.45126566508</v>
      </c>
    </row>
    <row r="36436" customFormat="false" ht="15" hidden="false" customHeight="false" outlineLevel="0" collapsed="false">
      <c r="A36436" s="3" t="s">
        <v>564</v>
      </c>
      <c r="C36436" s="16" t="n">
        <f aca="false">SUMPRODUCT(($C$36406:$C$36415=C36414)*$C$36395:$C$36404)</f>
        <v>1983.45126566508</v>
      </c>
    </row>
    <row r="36437" customFormat="false" ht="15" hidden="false" customHeight="false" outlineLevel="0" collapsed="false">
      <c r="A36437" s="3" t="s">
        <v>565</v>
      </c>
      <c r="C36437" s="16" t="n">
        <f aca="false">SUMPRODUCT(($C$36406:$C$36415=C36415)*$C$36395:$C$36404)</f>
        <v>79.938509</v>
      </c>
    </row>
    <row r="36438" customFormat="false" ht="15" hidden="false" customHeight="false" outlineLevel="0" collapsed="false">
      <c r="A36438" s="24" t="s">
        <v>574</v>
      </c>
      <c r="B36438" s="25"/>
      <c r="C36438" s="25"/>
      <c r="D36438" s="25"/>
      <c r="E36438" s="25"/>
      <c r="F36438" s="25"/>
      <c r="G36438" s="25"/>
      <c r="H36438" s="25"/>
      <c r="I36438" s="25"/>
      <c r="J36438" s="25"/>
      <c r="K36438" s="25"/>
    </row>
    <row r="36439" customFormat="false" ht="15" hidden="false" customHeight="false" outlineLevel="0" collapsed="false">
      <c r="A36439" s="3" t="s">
        <v>556</v>
      </c>
      <c r="C36439" s="16" t="n">
        <f aca="false">IF(C36428=0,0,C36395/C36428*MAX(0,MIN(C36428,$C$36338-SUM($C$36373:$C$36382)-C36417)))</f>
        <v>0</v>
      </c>
    </row>
    <row r="36440" customFormat="false" ht="15" hidden="false" customHeight="false" outlineLevel="0" collapsed="false">
      <c r="A36440" s="3" t="s">
        <v>557</v>
      </c>
      <c r="C36440" s="16" t="n">
        <f aca="false">IF(C36429=0,0,C36396/C36429*MAX(0,MIN(C36429,$C$36338-SUM($C$36373:$C$36382)-C36418)))</f>
        <v>0</v>
      </c>
    </row>
    <row r="36441" customFormat="false" ht="15" hidden="false" customHeight="false" outlineLevel="0" collapsed="false">
      <c r="A36441" s="3" t="s">
        <v>558</v>
      </c>
      <c r="C36441" s="16" t="n">
        <f aca="false">IF(C36430=0,0,C36397/C36430*MAX(0,MIN(C36430,$C$36338-SUM($C$36373:$C$36382)-C36419)))</f>
        <v>0</v>
      </c>
    </row>
    <row r="36442" customFormat="false" ht="15" hidden="false" customHeight="false" outlineLevel="0" collapsed="false">
      <c r="A36442" s="3" t="s">
        <v>559</v>
      </c>
      <c r="C36442" s="16" t="n">
        <f aca="false">IF(C36431=0,0,C36398/C36431*MAX(0,MIN(C36431,$C$36338-SUM($C$36373:$C$36382)-C36420)))</f>
        <v>0</v>
      </c>
    </row>
    <row r="36443" customFormat="false" ht="15" hidden="false" customHeight="false" outlineLevel="0" collapsed="false">
      <c r="A36443" s="3" t="s">
        <v>560</v>
      </c>
      <c r="C36443" s="16" t="n">
        <f aca="false">IF(C36432=0,0,C36399/C36432*MAX(0,MIN(C36432,$C$36338-SUM($C$36373:$C$36382)-C36421)))</f>
        <v>405.410640665075</v>
      </c>
    </row>
    <row r="36444" customFormat="false" ht="15" hidden="false" customHeight="false" outlineLevel="0" collapsed="false">
      <c r="A36444" s="3" t="s">
        <v>561</v>
      </c>
      <c r="C36444" s="16" t="n">
        <f aca="false">IF(C36433=0,0,C36400/C36433*MAX(0,MIN(C36433,$C$36338-SUM($C$36373:$C$36382)-C36422)))</f>
        <v>357.2625</v>
      </c>
    </row>
    <row r="36445" customFormat="false" ht="15" hidden="false" customHeight="false" outlineLevel="0" collapsed="false">
      <c r="A36445" s="3" t="s">
        <v>562</v>
      </c>
      <c r="C36445" s="16" t="n">
        <f aca="false">IF(C36434=0,0,C36401/C36434*MAX(0,MIN(C36434,$C$36338-SUM($C$36373:$C$36382)-C36423)))</f>
        <v>562.203125</v>
      </c>
    </row>
    <row r="36446" customFormat="false" ht="15" hidden="false" customHeight="false" outlineLevel="0" collapsed="false">
      <c r="A36446" s="3" t="s">
        <v>563</v>
      </c>
      <c r="C36446" s="16" t="n">
        <f aca="false">IF(C36435=0,0,C36402/C36435*MAX(0,MIN(C36435,$C$36338-SUM($C$36373:$C$36382)-C36424)))</f>
        <v>353.98125</v>
      </c>
    </row>
    <row r="36447" customFormat="false" ht="15" hidden="false" customHeight="false" outlineLevel="0" collapsed="false">
      <c r="A36447" s="3" t="s">
        <v>564</v>
      </c>
      <c r="C36447" s="16" t="n">
        <f aca="false">IF(C36436=0,0,C36403/C36436*MAX(0,MIN(C36436,$C$36338-SUM($C$36373:$C$36382)-C36425)))</f>
        <v>304.59375</v>
      </c>
    </row>
    <row r="36448" customFormat="false" ht="15" hidden="false" customHeight="false" outlineLevel="0" collapsed="false">
      <c r="A36448" s="3" t="s">
        <v>565</v>
      </c>
      <c r="C36448" s="16" t="n">
        <f aca="false">IF(C36437=0,0,C36404/C36437*MAX(0,MIN(C36437,$C$36338-SUM($C$36373:$C$36382)-C36426)))</f>
        <v>79.938509</v>
      </c>
    </row>
    <row r="36449" customFormat="false" ht="15" hidden="false" customHeight="false" outlineLevel="0" collapsed="false">
      <c r="A36449" s="24" t="s">
        <v>575</v>
      </c>
      <c r="B36449" s="25"/>
      <c r="C36449" s="25"/>
      <c r="D36449" s="25"/>
      <c r="E36449" s="25"/>
      <c r="F36449" s="25"/>
      <c r="G36449" s="25"/>
      <c r="H36449" s="25"/>
      <c r="I36449" s="25"/>
      <c r="J36449" s="25"/>
      <c r="K36449" s="25"/>
    </row>
    <row r="36450" customFormat="false" ht="15" hidden="false" customHeight="false" outlineLevel="0" collapsed="false">
      <c r="A36450" s="2" t="s">
        <v>556</v>
      </c>
      <c r="C36450" s="17" t="n">
        <f aca="false">C36373+C36439</f>
        <v>402.29</v>
      </c>
    </row>
    <row r="36451" customFormat="false" ht="15" hidden="false" customHeight="false" outlineLevel="0" collapsed="false">
      <c r="A36451" s="2" t="s">
        <v>557</v>
      </c>
      <c r="C36451" s="17" t="n">
        <f aca="false">C36374+C36440</f>
        <v>91.30725</v>
      </c>
    </row>
    <row r="36452" customFormat="false" ht="15" hidden="false" customHeight="false" outlineLevel="0" collapsed="false">
      <c r="A36452" s="2" t="s">
        <v>558</v>
      </c>
      <c r="C36452" s="17" t="n">
        <f aca="false">C36375+C36441</f>
        <v>58.3715961</v>
      </c>
    </row>
    <row r="36453" customFormat="false" ht="15" hidden="false" customHeight="false" outlineLevel="0" collapsed="false">
      <c r="A36453" s="2" t="s">
        <v>559</v>
      </c>
      <c r="C36453" s="17" t="n">
        <f aca="false">C36376+C36442</f>
        <v>0</v>
      </c>
    </row>
    <row r="36454" customFormat="false" ht="15" hidden="false" customHeight="false" outlineLevel="0" collapsed="false">
      <c r="A36454" s="2" t="s">
        <v>560</v>
      </c>
      <c r="C36454" s="17" t="n">
        <f aca="false">C36377+C36443</f>
        <v>405.410640665075</v>
      </c>
    </row>
    <row r="36455" customFormat="false" ht="15" hidden="false" customHeight="false" outlineLevel="0" collapsed="false">
      <c r="A36455" s="2" t="s">
        <v>561</v>
      </c>
      <c r="C36455" s="17" t="n">
        <f aca="false">C36378+C36444</f>
        <v>357.2625</v>
      </c>
    </row>
    <row r="36456" customFormat="false" ht="15" hidden="false" customHeight="false" outlineLevel="0" collapsed="false">
      <c r="A36456" s="2" t="s">
        <v>562</v>
      </c>
      <c r="C36456" s="17" t="n">
        <f aca="false">C36379+C36445</f>
        <v>562.203125</v>
      </c>
    </row>
    <row r="36457" customFormat="false" ht="15" hidden="false" customHeight="false" outlineLevel="0" collapsed="false">
      <c r="A36457" s="2" t="s">
        <v>563</v>
      </c>
      <c r="C36457" s="17" t="n">
        <f aca="false">C36380+C36446</f>
        <v>353.98125</v>
      </c>
    </row>
    <row r="36458" customFormat="false" ht="15" hidden="false" customHeight="false" outlineLevel="0" collapsed="false">
      <c r="A36458" s="2" t="s">
        <v>564</v>
      </c>
      <c r="C36458" s="17" t="n">
        <f aca="false">C36381+C36447</f>
        <v>304.59375</v>
      </c>
    </row>
    <row r="36459" customFormat="false" ht="15" hidden="false" customHeight="false" outlineLevel="0" collapsed="false">
      <c r="A36459" s="2" t="s">
        <v>565</v>
      </c>
      <c r="C36459" s="17" t="n">
        <f aca="false">C36382+C36448</f>
        <v>79.938509</v>
      </c>
    </row>
    <row r="36460" customFormat="false" ht="15" hidden="false" customHeight="false" outlineLevel="0" collapsed="false">
      <c r="A36460" s="24" t="s">
        <v>576</v>
      </c>
      <c r="B36460" s="25"/>
      <c r="C36460" s="25"/>
      <c r="D36460" s="25"/>
      <c r="E36460" s="25"/>
      <c r="F36460" s="25"/>
      <c r="G36460" s="25"/>
      <c r="H36460" s="25"/>
      <c r="I36460" s="25"/>
      <c r="J36460" s="25"/>
      <c r="K36460" s="25"/>
    </row>
    <row r="36461" customFormat="false" ht="15" hidden="false" customHeight="false" outlineLevel="0" collapsed="false">
      <c r="A36461" s="3" t="s">
        <v>556</v>
      </c>
      <c r="C36461" s="22" t="n">
        <f aca="false">IF(C36340=0,1,C36450/C36340)</f>
        <v>1</v>
      </c>
    </row>
    <row r="36462" customFormat="false" ht="15" hidden="false" customHeight="false" outlineLevel="0" collapsed="false">
      <c r="A36462" s="3" t="s">
        <v>557</v>
      </c>
      <c r="C36462" s="22" t="n">
        <f aca="false">IF(C36341=0,1,C36451/C36341)</f>
        <v>1</v>
      </c>
    </row>
    <row r="36463" customFormat="false" ht="15" hidden="false" customHeight="false" outlineLevel="0" collapsed="false">
      <c r="A36463" s="3" t="s">
        <v>558</v>
      </c>
      <c r="C36463" s="22" t="n">
        <f aca="false">IF(C36342=0,1,C36452/C36342)</f>
        <v>1</v>
      </c>
    </row>
    <row r="36464" customFormat="false" ht="15" hidden="false" customHeight="false" outlineLevel="0" collapsed="false">
      <c r="A36464" s="3" t="s">
        <v>559</v>
      </c>
      <c r="C36464" s="22" t="n">
        <f aca="false">IF(C36343=0,1,C36453/C36343)</f>
        <v>1</v>
      </c>
    </row>
    <row r="36465" customFormat="false" ht="15" hidden="false" customHeight="false" outlineLevel="0" collapsed="false">
      <c r="A36465" s="3" t="s">
        <v>560</v>
      </c>
      <c r="C36465" s="22" t="n">
        <f aca="false">IF(C36344=0,1,C36454/C36344)</f>
        <v>1</v>
      </c>
    </row>
    <row r="36466" customFormat="false" ht="15" hidden="false" customHeight="false" outlineLevel="0" collapsed="false">
      <c r="A36466" s="3" t="s">
        <v>561</v>
      </c>
      <c r="C36466" s="22" t="n">
        <f aca="false">IF(C36345=0,1,C36455/C36345)</f>
        <v>1</v>
      </c>
    </row>
    <row r="36467" customFormat="false" ht="15" hidden="false" customHeight="false" outlineLevel="0" collapsed="false">
      <c r="A36467" s="3" t="s">
        <v>562</v>
      </c>
      <c r="C36467" s="22" t="n">
        <f aca="false">IF(C36346=0,1,C36456/C36346)</f>
        <v>1</v>
      </c>
    </row>
    <row r="36468" customFormat="false" ht="15" hidden="false" customHeight="false" outlineLevel="0" collapsed="false">
      <c r="A36468" s="3" t="s">
        <v>563</v>
      </c>
      <c r="C36468" s="22" t="n">
        <f aca="false">IF(C36347=0,1,C36457/C36347)</f>
        <v>1</v>
      </c>
    </row>
    <row r="36469" customFormat="false" ht="15" hidden="false" customHeight="false" outlineLevel="0" collapsed="false">
      <c r="A36469" s="3" t="s">
        <v>564</v>
      </c>
      <c r="C36469" s="22" t="n">
        <f aca="false">IF(C36348=0,1,C36458/C36348)</f>
        <v>1</v>
      </c>
    </row>
    <row r="36470" customFormat="false" ht="15" hidden="false" customHeight="false" outlineLevel="0" collapsed="false">
      <c r="A36470" s="3" t="s">
        <v>565</v>
      </c>
      <c r="C36470" s="22" t="n">
        <f aca="false">IF(C36349=0,1,C36459/C36349)</f>
        <v>1</v>
      </c>
    </row>
    <row r="36471" customFormat="false" ht="15" hidden="false" customHeight="false" outlineLevel="0" collapsed="false">
      <c r="A36471" s="24" t="s">
        <v>577</v>
      </c>
      <c r="B36471" s="25"/>
      <c r="C36471" s="25"/>
      <c r="D36471" s="25"/>
      <c r="E36471" s="25"/>
      <c r="F36471" s="25"/>
      <c r="G36471" s="25"/>
      <c r="H36471" s="25"/>
      <c r="I36471" s="25"/>
      <c r="J36471" s="25"/>
      <c r="K36471" s="25"/>
    </row>
    <row r="36472" customFormat="false" ht="15" hidden="false" customHeight="false" outlineLevel="0" collapsed="false">
      <c r="A36472" s="3" t="s">
        <v>556</v>
      </c>
      <c r="C36472" s="16" t="n">
        <f aca="false">C36340-C36450</f>
        <v>0</v>
      </c>
    </row>
    <row r="36473" customFormat="false" ht="15" hidden="false" customHeight="false" outlineLevel="0" collapsed="false">
      <c r="A36473" s="3" t="s">
        <v>557</v>
      </c>
      <c r="C36473" s="16" t="n">
        <f aca="false">C36341-C36451</f>
        <v>0</v>
      </c>
    </row>
    <row r="36474" customFormat="false" ht="15" hidden="false" customHeight="false" outlineLevel="0" collapsed="false">
      <c r="A36474" s="3" t="s">
        <v>558</v>
      </c>
      <c r="C36474" s="16" t="n">
        <f aca="false">C36342-C36452</f>
        <v>0</v>
      </c>
    </row>
    <row r="36475" customFormat="false" ht="15" hidden="false" customHeight="false" outlineLevel="0" collapsed="false">
      <c r="A36475" s="3" t="s">
        <v>559</v>
      </c>
      <c r="C36475" s="16" t="n">
        <f aca="false">C36343-C36453</f>
        <v>0</v>
      </c>
    </row>
    <row r="36476" customFormat="false" ht="15" hidden="false" customHeight="false" outlineLevel="0" collapsed="false">
      <c r="A36476" s="3" t="s">
        <v>560</v>
      </c>
      <c r="C36476" s="16" t="n">
        <f aca="false">C36344-C36454</f>
        <v>0</v>
      </c>
    </row>
    <row r="36477" customFormat="false" ht="15" hidden="false" customHeight="false" outlineLevel="0" collapsed="false">
      <c r="A36477" s="3" t="s">
        <v>561</v>
      </c>
      <c r="C36477" s="16" t="n">
        <f aca="false">C36345-C36455</f>
        <v>0</v>
      </c>
    </row>
    <row r="36478" customFormat="false" ht="15" hidden="false" customHeight="false" outlineLevel="0" collapsed="false">
      <c r="A36478" s="3" t="s">
        <v>562</v>
      </c>
      <c r="C36478" s="16" t="n">
        <f aca="false">C36346-C36456</f>
        <v>0</v>
      </c>
    </row>
    <row r="36479" customFormat="false" ht="15" hidden="false" customHeight="false" outlineLevel="0" collapsed="false">
      <c r="A36479" s="3" t="s">
        <v>563</v>
      </c>
      <c r="C36479" s="16" t="n">
        <f aca="false">C36347-C36457</f>
        <v>0</v>
      </c>
    </row>
    <row r="36480" customFormat="false" ht="15" hidden="false" customHeight="false" outlineLevel="0" collapsed="false">
      <c r="A36480" s="3" t="s">
        <v>564</v>
      </c>
      <c r="C36480" s="16" t="n">
        <f aca="false">C36348-C36458</f>
        <v>0</v>
      </c>
    </row>
    <row r="36481" customFormat="false" ht="15" hidden="false" customHeight="false" outlineLevel="0" collapsed="false">
      <c r="A36481" s="3" t="s">
        <v>565</v>
      </c>
      <c r="C36481" s="16" t="n">
        <f aca="false">C36349-C36459</f>
        <v>0</v>
      </c>
    </row>
    <row r="36482" customFormat="false" ht="15" hidden="false" customHeight="false" outlineLevel="0" collapsed="false">
      <c r="A36482" s="24" t="s">
        <v>578</v>
      </c>
      <c r="B36482" s="25"/>
      <c r="C36482" s="25"/>
      <c r="D36482" s="25"/>
      <c r="E36482" s="25"/>
      <c r="F36482" s="25"/>
      <c r="G36482" s="25"/>
      <c r="H36482" s="25"/>
      <c r="I36482" s="25"/>
      <c r="J36482" s="25"/>
      <c r="K36482" s="25"/>
    </row>
    <row r="36483" customFormat="false" ht="15" hidden="false" customHeight="false" outlineLevel="0" collapsed="false">
      <c r="A36483" s="3" t="s">
        <v>556</v>
      </c>
      <c r="C36483" s="22" t="n">
        <f aca="false">IF(C36340=0,0,C36472/C36340)</f>
        <v>0</v>
      </c>
    </row>
    <row r="36484" customFormat="false" ht="15" hidden="false" customHeight="false" outlineLevel="0" collapsed="false">
      <c r="A36484" s="3" t="s">
        <v>557</v>
      </c>
      <c r="C36484" s="22" t="n">
        <f aca="false">IF(C36341=0,0,C36473/C36341)</f>
        <v>0</v>
      </c>
    </row>
    <row r="36485" customFormat="false" ht="15" hidden="false" customHeight="false" outlineLevel="0" collapsed="false">
      <c r="A36485" s="3" t="s">
        <v>558</v>
      </c>
      <c r="C36485" s="22" t="n">
        <f aca="false">IF(C36342=0,0,C36474/C36342)</f>
        <v>0</v>
      </c>
    </row>
    <row r="36486" customFormat="false" ht="15" hidden="false" customHeight="false" outlineLevel="0" collapsed="false">
      <c r="A36486" s="3" t="s">
        <v>559</v>
      </c>
      <c r="C36486" s="22" t="n">
        <f aca="false">IF(C36343=0,0,C36475/C36343)</f>
        <v>0</v>
      </c>
    </row>
    <row r="36487" customFormat="false" ht="15" hidden="false" customHeight="false" outlineLevel="0" collapsed="false">
      <c r="A36487" s="3" t="s">
        <v>560</v>
      </c>
      <c r="C36487" s="22" t="n">
        <f aca="false">IF(C36344=0,0,C36476/C36344)</f>
        <v>0</v>
      </c>
    </row>
    <row r="36488" customFormat="false" ht="15" hidden="false" customHeight="false" outlineLevel="0" collapsed="false">
      <c r="A36488" s="3" t="s">
        <v>561</v>
      </c>
      <c r="C36488" s="22" t="n">
        <f aca="false">IF(C36345=0,0,C36477/C36345)</f>
        <v>0</v>
      </c>
    </row>
    <row r="36489" customFormat="false" ht="15" hidden="false" customHeight="false" outlineLevel="0" collapsed="false">
      <c r="A36489" s="3" t="s">
        <v>562</v>
      </c>
      <c r="C36489" s="22" t="n">
        <f aca="false">IF(C36346=0,0,C36478/C36346)</f>
        <v>0</v>
      </c>
    </row>
    <row r="36490" customFormat="false" ht="15" hidden="false" customHeight="false" outlineLevel="0" collapsed="false">
      <c r="A36490" s="3" t="s">
        <v>563</v>
      </c>
      <c r="C36490" s="22" t="n">
        <f aca="false">IF(C36347=0,0,C36479/C36347)</f>
        <v>0</v>
      </c>
    </row>
    <row r="36491" customFormat="false" ht="15" hidden="false" customHeight="false" outlineLevel="0" collapsed="false">
      <c r="A36491" s="3" t="s">
        <v>564</v>
      </c>
      <c r="C36491" s="22" t="n">
        <f aca="false">IF(C36348=0,0,C36480/C36348)</f>
        <v>0</v>
      </c>
    </row>
    <row r="36492" customFormat="false" ht="15" hidden="false" customHeight="false" outlineLevel="0" collapsed="false">
      <c r="A36492" s="3" t="s">
        <v>565</v>
      </c>
      <c r="C36492" s="22" t="n">
        <f aca="false">IF(C36349=0,0,C36481/C36349)</f>
        <v>0</v>
      </c>
    </row>
    <row r="36493" customFormat="false" ht="15" hidden="false" customHeight="false" outlineLevel="0" collapsed="false">
      <c r="A36493" s="2" t="s">
        <v>579</v>
      </c>
      <c r="C36493" s="17" t="n">
        <f aca="false">MAX(0,$C$36338-SUM($C$36373:$C$36382)-SUM($C$36395:$C$36404))</f>
        <v>518.118561634925</v>
      </c>
    </row>
    <row r="36494" customFormat="false" ht="15" hidden="false" customHeight="false" outlineLevel="0" collapsed="false">
      <c r="A36494" s="3" t="s">
        <v>580</v>
      </c>
      <c r="C36494" s="16" t="n">
        <f aca="false">SUM($C$36450:$C$36459)+C36493+C36337-C36336</f>
        <v>0</v>
      </c>
    </row>
    <row r="36496" customFormat="false" ht="15" hidden="false" customHeight="false" outlineLevel="0" collapsed="false">
      <c r="A36496" s="24" t="s">
        <v>583</v>
      </c>
      <c r="B36496" s="25"/>
      <c r="C36496" s="25"/>
      <c r="D36496" s="25"/>
      <c r="E36496" s="25"/>
      <c r="F36496" s="25"/>
      <c r="G36496" s="25"/>
      <c r="H36496" s="25"/>
      <c r="I36496" s="25"/>
      <c r="J36496" s="25"/>
      <c r="K36496" s="25"/>
    </row>
    <row r="36497" customFormat="false" ht="15" hidden="false" customHeight="false" outlineLevel="0" collapsed="false">
      <c r="A36497" s="3" t="s">
        <v>584</v>
      </c>
      <c r="C36497" s="27" t="n">
        <f aca="false">Assumptions!$C$34</f>
        <v>1</v>
      </c>
    </row>
    <row r="36498" customFormat="false" ht="15" hidden="false" customHeight="false" outlineLevel="0" collapsed="false">
      <c r="A36498" s="3" t="s">
        <v>585</v>
      </c>
      <c r="C36498" s="29" t="n">
        <f aca="false">Assumptions!$C$35</f>
        <v>100</v>
      </c>
    </row>
    <row r="36499" customFormat="false" ht="15" hidden="false" customHeight="false" outlineLevel="0" collapsed="false">
      <c r="A36499" s="3" t="s">
        <v>586</v>
      </c>
      <c r="C36499" s="40" t="n">
        <f aca="false">Assumptions!$C$36</f>
        <v>98</v>
      </c>
    </row>
    <row r="36500" customFormat="false" ht="15" hidden="false" customHeight="false" outlineLevel="0" collapsed="false">
      <c r="A36500" s="3" t="s">
        <v>587</v>
      </c>
      <c r="C36500" s="16" t="n">
        <f aca="false">C36498*C36499/100*(1+Assumptions!$C$37)</f>
        <v>98.49</v>
      </c>
    </row>
    <row r="36501" customFormat="false" ht="15" hidden="false" customHeight="false" outlineLevel="0" collapsed="false">
      <c r="A36501" s="3" t="s">
        <v>588</v>
      </c>
      <c r="C36501" s="27" t="n">
        <f aca="false">Assumptions!$C$38</f>
        <v>3</v>
      </c>
    </row>
    <row r="36502" customFormat="false" ht="15" hidden="false" customHeight="false" outlineLevel="0" collapsed="false">
      <c r="A36502" s="3" t="s">
        <v>589</v>
      </c>
      <c r="C36502" s="21" t="n">
        <f aca="false">IF(C36329=1,SUMPRODUCT($G$36265:$K$36265,$G$36039:$K$36039),0)</f>
        <v>2</v>
      </c>
    </row>
    <row r="36503" customFormat="false" ht="15" hidden="false" customHeight="false" outlineLevel="0" collapsed="false">
      <c r="A36503" s="3" t="s">
        <v>590</v>
      </c>
      <c r="C36503" s="22" t="n">
        <f aca="false">IFERROR(C36498/CHOOSE(C36497,SUMPRODUCT($G$36328:$K$36328,$G$36085:$K$36085),SUMPRODUCT($G$36328:$K$36328,$G$36098:$K$36098),SUMPRODUCT($G$36328:$K$36328,$G$36111:$K$36111),SUMPRODUCT($G$36328:$K$36328,$G$36124:$K$36124),SUMPRODUCT($G$36328:$K$36328,$G$36137:$K$36137),SUMPRODUCT($G$36328:$K$36328,$G$36150:$K$36150),SUMPRODUCT($G$36328:$K$36328,$G$36163:$K$36163),SUMPRODUCT($G$36328:$K$36328,$G$36176:$K$36176),SUMPRODUCT($G$36328:$K$36328,$G$36189:$K$36189),SUMPRODUCT($G$36328:$K$36328,$G$36202:$K$36202)),0)</f>
        <v>0.255102040816327</v>
      </c>
    </row>
    <row r="36504" customFormat="false" ht="15" hidden="false" customHeight="false" outlineLevel="0" collapsed="false">
      <c r="A36504" s="3" t="s">
        <v>591</v>
      </c>
      <c r="C36504" s="16" t="n">
        <f aca="false">CHOOSE(C36497,C36450,C36451,C36452,C36453,C36454,C36455,C36456,C36457,C36458,C36459)*C36503</f>
        <v>102.625</v>
      </c>
    </row>
    <row r="36505" customFormat="false" ht="15" hidden="false" customHeight="false" outlineLevel="0" collapsed="false">
      <c r="A36505" s="3" t="s">
        <v>592</v>
      </c>
      <c r="C36505" s="22" t="n">
        <f aca="false">CHOOSE(C36497,C36461,C36462,C36463,C36464,C36465,C36466,C36467,C36468,C36469,C36470)</f>
        <v>1</v>
      </c>
    </row>
    <row r="36506" customFormat="false" ht="15" hidden="false" customHeight="false" outlineLevel="0" collapsed="false">
      <c r="A36506" s="3" t="s">
        <v>593</v>
      </c>
      <c r="C36506" s="21" t="n">
        <f aca="false">IF(C36329=1,C36502,C36501)</f>
        <v>2</v>
      </c>
    </row>
    <row r="36507" customFormat="false" ht="15" hidden="false" customHeight="false" outlineLevel="0" collapsed="false">
      <c r="A36507" s="3" t="s">
        <v>594</v>
      </c>
      <c r="C36507" s="35" t="n">
        <f aca="false">CHOOSE($C$36031,Assumptions!$C$91,Assumptions!$C$110,Assumptions!$C$129)</f>
        <v>95</v>
      </c>
    </row>
    <row r="36508" customFormat="false" ht="15" hidden="false" customHeight="false" outlineLevel="0" collapsed="false">
      <c r="A36508" s="3" t="s">
        <v>595</v>
      </c>
      <c r="C36508" s="16" t="n">
        <f aca="false">INDEX($G$36048:$K$36048,C36501)*CHOOSE($C$36031,Assumptions!$C$90,Assumptions!$C$109,Assumptions!$C$128)+MAX(0,INDEX($G$36262:$K$36262,C36501))</f>
        <v>2423.913149823</v>
      </c>
    </row>
    <row r="36509" customFormat="false" ht="15" hidden="false" customHeight="false" outlineLevel="0" collapsed="false">
      <c r="A36509" s="24" t="s">
        <v>596</v>
      </c>
      <c r="B36509" s="25"/>
      <c r="C36509" s="25"/>
      <c r="D36509" s="25"/>
      <c r="E36509" s="25"/>
      <c r="F36509" s="25"/>
      <c r="G36509" s="25"/>
      <c r="H36509" s="25"/>
      <c r="I36509" s="25"/>
      <c r="J36509" s="25"/>
      <c r="K36509" s="25"/>
    </row>
    <row r="36510" customFormat="false" ht="15" hidden="false" customHeight="false" outlineLevel="0" collapsed="false">
      <c r="A36510" s="3" t="s">
        <v>556</v>
      </c>
      <c r="C36510" s="16" t="n">
        <f aca="false">INDEX($G$36085:$K$36085,C36501)</f>
        <v>388</v>
      </c>
    </row>
    <row r="36511" customFormat="false" ht="15" hidden="false" customHeight="false" outlineLevel="0" collapsed="false">
      <c r="A36511" s="3" t="s">
        <v>557</v>
      </c>
      <c r="C36511" s="16" t="n">
        <f aca="false">INDEX($G$36098:$K$36098,C36501)</f>
        <v>90</v>
      </c>
    </row>
    <row r="36512" customFormat="false" ht="15" hidden="false" customHeight="false" outlineLevel="0" collapsed="false">
      <c r="A36512" s="3" t="s">
        <v>558</v>
      </c>
      <c r="C36512" s="16" t="n">
        <f aca="false">INDEX($G$36111:$K$36111,C36501)</f>
        <v>57.324</v>
      </c>
    </row>
    <row r="36513" customFormat="false" ht="15" hidden="false" customHeight="false" outlineLevel="0" collapsed="false">
      <c r="A36513" s="3" t="s">
        <v>559</v>
      </c>
      <c r="C36513" s="16" t="n">
        <f aca="false">INDEX($G$36124:$K$36124,C36501)</f>
        <v>0</v>
      </c>
    </row>
    <row r="36514" customFormat="false" ht="15" hidden="false" customHeight="false" outlineLevel="0" collapsed="false">
      <c r="A36514" s="3" t="s">
        <v>560</v>
      </c>
      <c r="C36514" s="16" t="n">
        <f aca="false">INDEX($G$36137:$K$36137,C36501)</f>
        <v>401.446357881</v>
      </c>
    </row>
    <row r="36515" customFormat="false" ht="15" hidden="false" customHeight="false" outlineLevel="0" collapsed="false">
      <c r="A36515" s="3" t="s">
        <v>561</v>
      </c>
      <c r="C36515" s="16" t="n">
        <f aca="false">INDEX($G$36150:$K$36150,C36501)</f>
        <v>350</v>
      </c>
    </row>
    <row r="36516" customFormat="false" ht="15" hidden="false" customHeight="false" outlineLevel="0" collapsed="false">
      <c r="A36516" s="3" t="s">
        <v>562</v>
      </c>
      <c r="C36516" s="16" t="n">
        <f aca="false">INDEX($G$36163:$K$36163,C36501)</f>
        <v>550</v>
      </c>
    </row>
    <row r="36517" customFormat="false" ht="15" hidden="false" customHeight="false" outlineLevel="0" collapsed="false">
      <c r="A36517" s="3" t="s">
        <v>563</v>
      </c>
      <c r="C36517" s="16" t="n">
        <f aca="false">INDEX($G$36176:$K$36176,C36501)</f>
        <v>350</v>
      </c>
    </row>
    <row r="36518" customFormat="false" ht="15" hidden="false" customHeight="false" outlineLevel="0" collapsed="false">
      <c r="A36518" s="3" t="s">
        <v>564</v>
      </c>
      <c r="C36518" s="16" t="n">
        <f aca="false">INDEX($G$36189:$K$36189,C36501)</f>
        <v>300</v>
      </c>
    </row>
    <row r="36519" customFormat="false" ht="15" hidden="false" customHeight="false" outlineLevel="0" collapsed="false">
      <c r="A36519" s="3" t="s">
        <v>565</v>
      </c>
      <c r="C36519" s="16" t="n">
        <f aca="false">INDEX($G$36202:$K$36202,C36501)</f>
        <v>78.61</v>
      </c>
    </row>
    <row r="36520" customFormat="false" ht="15" hidden="false" customHeight="false" outlineLevel="0" collapsed="false">
      <c r="A36520" s="24" t="s">
        <v>566</v>
      </c>
      <c r="B36520" s="25"/>
      <c r="C36520" s="25"/>
      <c r="D36520" s="25"/>
      <c r="E36520" s="25"/>
      <c r="F36520" s="25"/>
      <c r="G36520" s="25"/>
      <c r="H36520" s="25"/>
      <c r="I36520" s="25"/>
      <c r="J36520" s="25"/>
      <c r="K36520" s="25"/>
    </row>
    <row r="36521" customFormat="false" ht="15" hidden="false" customHeight="false" outlineLevel="0" collapsed="false">
      <c r="A36521" s="3" t="s">
        <v>556</v>
      </c>
      <c r="C36521" s="27" t="n">
        <f aca="false">Assumptions!$M$57</f>
        <v>1</v>
      </c>
    </row>
    <row r="36522" customFormat="false" ht="15" hidden="false" customHeight="false" outlineLevel="0" collapsed="false">
      <c r="A36522" s="3" t="s">
        <v>557</v>
      </c>
      <c r="C36522" s="27" t="n">
        <f aca="false">Assumptions!$M$58</f>
        <v>1</v>
      </c>
    </row>
    <row r="36523" customFormat="false" ht="15" hidden="false" customHeight="false" outlineLevel="0" collapsed="false">
      <c r="A36523" s="3" t="s">
        <v>558</v>
      </c>
      <c r="C36523" s="27" t="n">
        <f aca="false">Assumptions!$M$59</f>
        <v>1</v>
      </c>
    </row>
    <row r="36524" customFormat="false" ht="15" hidden="false" customHeight="false" outlineLevel="0" collapsed="false">
      <c r="A36524" s="3" t="s">
        <v>559</v>
      </c>
      <c r="C36524" s="27" t="n">
        <f aca="false">Assumptions!$M$60</f>
        <v>2</v>
      </c>
    </row>
    <row r="36525" customFormat="false" ht="15" hidden="false" customHeight="false" outlineLevel="0" collapsed="false">
      <c r="A36525" s="3" t="s">
        <v>560</v>
      </c>
      <c r="C36525" s="27" t="n">
        <f aca="false">Assumptions!$M$61</f>
        <v>2</v>
      </c>
    </row>
    <row r="36526" customFormat="false" ht="15" hidden="false" customHeight="false" outlineLevel="0" collapsed="false">
      <c r="A36526" s="3" t="s">
        <v>561</v>
      </c>
      <c r="C36526" s="27" t="n">
        <f aca="false">Assumptions!$M$62</f>
        <v>2</v>
      </c>
    </row>
    <row r="36527" customFormat="false" ht="15" hidden="false" customHeight="false" outlineLevel="0" collapsed="false">
      <c r="A36527" s="3" t="s">
        <v>562</v>
      </c>
      <c r="C36527" s="27" t="n">
        <f aca="false">Assumptions!$M$63</f>
        <v>2</v>
      </c>
    </row>
    <row r="36528" customFormat="false" ht="15" hidden="false" customHeight="false" outlineLevel="0" collapsed="false">
      <c r="A36528" s="3" t="s">
        <v>563</v>
      </c>
      <c r="C36528" s="27" t="n">
        <f aca="false">Assumptions!$M$64</f>
        <v>2</v>
      </c>
    </row>
    <row r="36529" customFormat="false" ht="15" hidden="false" customHeight="false" outlineLevel="0" collapsed="false">
      <c r="A36529" s="3" t="s">
        <v>564</v>
      </c>
      <c r="C36529" s="27" t="n">
        <f aca="false">Assumptions!$M$65</f>
        <v>2</v>
      </c>
    </row>
    <row r="36530" customFormat="false" ht="15" hidden="false" customHeight="false" outlineLevel="0" collapsed="false">
      <c r="A36530" s="3" t="s">
        <v>565</v>
      </c>
      <c r="C36530" s="27" t="n">
        <f aca="false">Assumptions!$M$66</f>
        <v>3</v>
      </c>
    </row>
    <row r="36531" customFormat="false" ht="15" hidden="false" customHeight="false" outlineLevel="0" collapsed="false">
      <c r="A36531" s="24" t="s">
        <v>567</v>
      </c>
      <c r="B36531" s="25"/>
      <c r="C36531" s="25"/>
      <c r="D36531" s="25"/>
      <c r="E36531" s="25"/>
      <c r="F36531" s="25"/>
      <c r="G36531" s="25"/>
      <c r="H36531" s="25"/>
      <c r="I36531" s="25"/>
      <c r="J36531" s="25"/>
      <c r="K36531" s="25"/>
    </row>
    <row r="36532" customFormat="false" ht="15" hidden="false" customHeight="false" outlineLevel="0" collapsed="false">
      <c r="A36532" s="3" t="s">
        <v>556</v>
      </c>
      <c r="C36532" s="33" t="n">
        <f aca="false">Assumptions!$Q$57</f>
        <v>0.3</v>
      </c>
    </row>
    <row r="36533" customFormat="false" ht="15" hidden="false" customHeight="false" outlineLevel="0" collapsed="false">
      <c r="A36533" s="3" t="s">
        <v>557</v>
      </c>
      <c r="C36533" s="33" t="n">
        <f aca="false">Assumptions!$Q$58</f>
        <v>0.033</v>
      </c>
    </row>
    <row r="36534" customFormat="false" ht="15" hidden="false" customHeight="false" outlineLevel="0" collapsed="false">
      <c r="A36534" s="3" t="s">
        <v>558</v>
      </c>
      <c r="C36534" s="33" t="n">
        <f aca="false">Assumptions!$Q$59</f>
        <v>0.021</v>
      </c>
    </row>
    <row r="36535" customFormat="false" ht="15" hidden="false" customHeight="false" outlineLevel="0" collapsed="false">
      <c r="A36535" s="3" t="s">
        <v>559</v>
      </c>
      <c r="C36535" s="33" t="n">
        <f aca="false">Assumptions!$Q$60</f>
        <v>0</v>
      </c>
    </row>
    <row r="36536" customFormat="false" ht="15" hidden="false" customHeight="false" outlineLevel="0" collapsed="false">
      <c r="A36536" s="3" t="s">
        <v>560</v>
      </c>
      <c r="C36536" s="33" t="n">
        <f aca="false">Assumptions!$Q$61</f>
        <v>0</v>
      </c>
    </row>
    <row r="36537" customFormat="false" ht="15" hidden="false" customHeight="false" outlineLevel="0" collapsed="false">
      <c r="A36537" s="3" t="s">
        <v>561</v>
      </c>
      <c r="C36537" s="33" t="n">
        <f aca="false">Assumptions!$Q$62</f>
        <v>0</v>
      </c>
    </row>
    <row r="36538" customFormat="false" ht="15" hidden="false" customHeight="false" outlineLevel="0" collapsed="false">
      <c r="A36538" s="3" t="s">
        <v>562</v>
      </c>
      <c r="C36538" s="33" t="n">
        <f aca="false">Assumptions!$Q$63</f>
        <v>0</v>
      </c>
    </row>
    <row r="36539" customFormat="false" ht="15" hidden="false" customHeight="false" outlineLevel="0" collapsed="false">
      <c r="A36539" s="3" t="s">
        <v>563</v>
      </c>
      <c r="C36539" s="33" t="n">
        <f aca="false">Assumptions!$Q$64</f>
        <v>0</v>
      </c>
    </row>
    <row r="36540" customFormat="false" ht="15" hidden="false" customHeight="false" outlineLevel="0" collapsed="false">
      <c r="A36540" s="3" t="s">
        <v>564</v>
      </c>
      <c r="C36540" s="33" t="n">
        <f aca="false">Assumptions!$Q$65</f>
        <v>0</v>
      </c>
    </row>
    <row r="36541" customFormat="false" ht="15" hidden="false" customHeight="false" outlineLevel="0" collapsed="false">
      <c r="A36541" s="3" t="s">
        <v>565</v>
      </c>
      <c r="C36541" s="33" t="n">
        <f aca="false">Assumptions!$Q$66</f>
        <v>0</v>
      </c>
    </row>
    <row r="36542" customFormat="false" ht="15" hidden="false" customHeight="false" outlineLevel="0" collapsed="false">
      <c r="A36542" s="24" t="s">
        <v>568</v>
      </c>
      <c r="B36542" s="25"/>
      <c r="C36542" s="25"/>
      <c r="D36542" s="25"/>
      <c r="E36542" s="25"/>
      <c r="F36542" s="25"/>
      <c r="G36542" s="25"/>
      <c r="H36542" s="25"/>
      <c r="I36542" s="25"/>
      <c r="J36542" s="25"/>
      <c r="K36542" s="25"/>
    </row>
    <row r="36543" customFormat="false" ht="15" hidden="false" customHeight="false" outlineLevel="0" collapsed="false">
      <c r="A36543" s="3" t="s">
        <v>556</v>
      </c>
      <c r="C36543" s="16" t="n">
        <f aca="false">IF(C36532&gt;0,MIN(C36510,C36532*$C$36508),0)</f>
        <v>388</v>
      </c>
    </row>
    <row r="36544" customFormat="false" ht="15" hidden="false" customHeight="false" outlineLevel="0" collapsed="false">
      <c r="A36544" s="3" t="s">
        <v>557</v>
      </c>
      <c r="C36544" s="16" t="n">
        <f aca="false">IF(C36533&gt;0,MIN(C36511,C36533*$C$36508),0)</f>
        <v>79.989133944159</v>
      </c>
    </row>
    <row r="36545" customFormat="false" ht="15" hidden="false" customHeight="false" outlineLevel="0" collapsed="false">
      <c r="A36545" s="3" t="s">
        <v>558</v>
      </c>
      <c r="C36545" s="16" t="n">
        <f aca="false">IF(C36534&gt;0,MIN(C36512,C36534*$C$36508),0)</f>
        <v>50.902176146283</v>
      </c>
    </row>
    <row r="36546" customFormat="false" ht="15" hidden="false" customHeight="false" outlineLevel="0" collapsed="false">
      <c r="A36546" s="3" t="s">
        <v>559</v>
      </c>
      <c r="C36546" s="16" t="n">
        <f aca="false">IF(C36535&gt;0,MIN(C36513,C36535*$C$36508),0)</f>
        <v>0</v>
      </c>
    </row>
    <row r="36547" customFormat="false" ht="15" hidden="false" customHeight="false" outlineLevel="0" collapsed="false">
      <c r="A36547" s="3" t="s">
        <v>560</v>
      </c>
      <c r="C36547" s="16" t="n">
        <f aca="false">IF(C36536&gt;0,MIN(C36514,C36536*$C$36508),0)</f>
        <v>0</v>
      </c>
    </row>
    <row r="36548" customFormat="false" ht="15" hidden="false" customHeight="false" outlineLevel="0" collapsed="false">
      <c r="A36548" s="3" t="s">
        <v>561</v>
      </c>
      <c r="C36548" s="16" t="n">
        <f aca="false">IF(C36537&gt;0,MIN(C36515,C36537*$C$36508),0)</f>
        <v>0</v>
      </c>
    </row>
    <row r="36549" customFormat="false" ht="15" hidden="false" customHeight="false" outlineLevel="0" collapsed="false">
      <c r="A36549" s="3" t="s">
        <v>562</v>
      </c>
      <c r="C36549" s="16" t="n">
        <f aca="false">IF(C36538&gt;0,MIN(C36516,C36538*$C$36508),0)</f>
        <v>0</v>
      </c>
    </row>
    <row r="36550" customFormat="false" ht="15" hidden="false" customHeight="false" outlineLevel="0" collapsed="false">
      <c r="A36550" s="3" t="s">
        <v>563</v>
      </c>
      <c r="C36550" s="16" t="n">
        <f aca="false">IF(C36539&gt;0,MIN(C36517,C36539*$C$36508),0)</f>
        <v>0</v>
      </c>
    </row>
    <row r="36551" customFormat="false" ht="15" hidden="false" customHeight="false" outlineLevel="0" collapsed="false">
      <c r="A36551" s="3" t="s">
        <v>564</v>
      </c>
      <c r="C36551" s="16" t="n">
        <f aca="false">IF(C36540&gt;0,MIN(C36518,C36540*$C$36508),0)</f>
        <v>0</v>
      </c>
    </row>
    <row r="36552" customFormat="false" ht="15" hidden="false" customHeight="false" outlineLevel="0" collapsed="false">
      <c r="A36552" s="3" t="s">
        <v>565</v>
      </c>
      <c r="C36552" s="16" t="n">
        <f aca="false">IF(C36541&gt;0,MIN(C36519,C36541*$C$36508),0)</f>
        <v>0</v>
      </c>
    </row>
    <row r="36553" customFormat="false" ht="15" hidden="false" customHeight="false" outlineLevel="0" collapsed="false">
      <c r="A36553" s="24" t="s">
        <v>569</v>
      </c>
      <c r="B36553" s="25"/>
      <c r="C36553" s="25"/>
      <c r="D36553" s="25"/>
      <c r="E36553" s="25"/>
      <c r="F36553" s="25"/>
      <c r="G36553" s="25"/>
      <c r="H36553" s="25"/>
      <c r="I36553" s="25"/>
      <c r="J36553" s="25"/>
      <c r="K36553" s="25"/>
    </row>
    <row r="36554" customFormat="false" ht="15" hidden="false" customHeight="false" outlineLevel="0" collapsed="false">
      <c r="A36554" s="3" t="s">
        <v>556</v>
      </c>
      <c r="C36554" s="16" t="n">
        <f aca="false">IF(C36532&gt;0,C36510-C36543,0)</f>
        <v>0</v>
      </c>
    </row>
    <row r="36555" customFormat="false" ht="15" hidden="false" customHeight="false" outlineLevel="0" collapsed="false">
      <c r="A36555" s="3" t="s">
        <v>557</v>
      </c>
      <c r="C36555" s="16" t="n">
        <f aca="false">IF(C36533&gt;0,C36511-C36544,0)</f>
        <v>10.010866055841</v>
      </c>
    </row>
    <row r="36556" customFormat="false" ht="15" hidden="false" customHeight="false" outlineLevel="0" collapsed="false">
      <c r="A36556" s="3" t="s">
        <v>558</v>
      </c>
      <c r="C36556" s="16" t="n">
        <f aca="false">IF(C36534&gt;0,C36512-C36545,0)</f>
        <v>6.42182385371699</v>
      </c>
    </row>
    <row r="36557" customFormat="false" ht="15" hidden="false" customHeight="false" outlineLevel="0" collapsed="false">
      <c r="A36557" s="3" t="s">
        <v>559</v>
      </c>
      <c r="C36557" s="16" t="n">
        <f aca="false">IF(C36535&gt;0,C36513-C36546,0)</f>
        <v>0</v>
      </c>
    </row>
    <row r="36558" customFormat="false" ht="15" hidden="false" customHeight="false" outlineLevel="0" collapsed="false">
      <c r="A36558" s="3" t="s">
        <v>560</v>
      </c>
      <c r="C36558" s="16" t="n">
        <f aca="false">IF(C36536&gt;0,C36514-C36547,0)</f>
        <v>0</v>
      </c>
    </row>
    <row r="36559" customFormat="false" ht="15" hidden="false" customHeight="false" outlineLevel="0" collapsed="false">
      <c r="A36559" s="3" t="s">
        <v>561</v>
      </c>
      <c r="C36559" s="16" t="n">
        <f aca="false">IF(C36537&gt;0,C36515-C36548,0)</f>
        <v>0</v>
      </c>
    </row>
    <row r="36560" customFormat="false" ht="15" hidden="false" customHeight="false" outlineLevel="0" collapsed="false">
      <c r="A36560" s="3" t="s">
        <v>562</v>
      </c>
      <c r="C36560" s="16" t="n">
        <f aca="false">IF(C36538&gt;0,C36516-C36549,0)</f>
        <v>0</v>
      </c>
    </row>
    <row r="36561" customFormat="false" ht="15" hidden="false" customHeight="false" outlineLevel="0" collapsed="false">
      <c r="A36561" s="3" t="s">
        <v>563</v>
      </c>
      <c r="C36561" s="16" t="n">
        <f aca="false">IF(C36539&gt;0,C36517-C36550,0)</f>
        <v>0</v>
      </c>
    </row>
    <row r="36562" customFormat="false" ht="15" hidden="false" customHeight="false" outlineLevel="0" collapsed="false">
      <c r="A36562" s="3" t="s">
        <v>564</v>
      </c>
      <c r="C36562" s="16" t="n">
        <f aca="false">IF(C36540&gt;0,C36518-C36551,0)</f>
        <v>0</v>
      </c>
    </row>
    <row r="36563" customFormat="false" ht="15" hidden="false" customHeight="false" outlineLevel="0" collapsed="false">
      <c r="A36563" s="3" t="s">
        <v>565</v>
      </c>
      <c r="C36563" s="16" t="n">
        <f aca="false">IF(C36541&gt;0,C36519-C36552,0)</f>
        <v>0</v>
      </c>
    </row>
    <row r="36564" customFormat="false" ht="15" hidden="false" customHeight="false" outlineLevel="0" collapsed="false">
      <c r="A36564" s="24" t="s">
        <v>570</v>
      </c>
      <c r="B36564" s="25"/>
      <c r="C36564" s="25"/>
      <c r="D36564" s="25"/>
      <c r="E36564" s="25"/>
      <c r="F36564" s="25"/>
      <c r="G36564" s="25"/>
      <c r="H36564" s="25"/>
      <c r="I36564" s="25"/>
      <c r="J36564" s="25"/>
      <c r="K36564" s="25"/>
    </row>
    <row r="36565" customFormat="false" ht="15" hidden="false" customHeight="false" outlineLevel="0" collapsed="false">
      <c r="A36565" s="3" t="s">
        <v>556</v>
      </c>
      <c r="C36565" s="16" t="n">
        <f aca="false">IF(C36532&gt;0,C36554,C36510)</f>
        <v>0</v>
      </c>
    </row>
    <row r="36566" customFormat="false" ht="15" hidden="false" customHeight="false" outlineLevel="0" collapsed="false">
      <c r="A36566" s="3" t="s">
        <v>557</v>
      </c>
      <c r="C36566" s="16" t="n">
        <f aca="false">IF(C36533&gt;0,C36555,C36511)</f>
        <v>10.010866055841</v>
      </c>
    </row>
    <row r="36567" customFormat="false" ht="15" hidden="false" customHeight="false" outlineLevel="0" collapsed="false">
      <c r="A36567" s="3" t="s">
        <v>558</v>
      </c>
      <c r="C36567" s="16" t="n">
        <f aca="false">IF(C36534&gt;0,C36556,C36512)</f>
        <v>6.42182385371699</v>
      </c>
    </row>
    <row r="36568" customFormat="false" ht="15" hidden="false" customHeight="false" outlineLevel="0" collapsed="false">
      <c r="A36568" s="3" t="s">
        <v>559</v>
      </c>
      <c r="C36568" s="16" t="n">
        <f aca="false">IF(C36535&gt;0,C36557,C36513)</f>
        <v>0</v>
      </c>
    </row>
    <row r="36569" customFormat="false" ht="15" hidden="false" customHeight="false" outlineLevel="0" collapsed="false">
      <c r="A36569" s="3" t="s">
        <v>560</v>
      </c>
      <c r="C36569" s="16" t="n">
        <f aca="false">IF(C36536&gt;0,C36558,C36514)</f>
        <v>401.446357881</v>
      </c>
    </row>
    <row r="36570" customFormat="false" ht="15" hidden="false" customHeight="false" outlineLevel="0" collapsed="false">
      <c r="A36570" s="3" t="s">
        <v>561</v>
      </c>
      <c r="C36570" s="16" t="n">
        <f aca="false">IF(C36537&gt;0,C36559,C36515)</f>
        <v>350</v>
      </c>
    </row>
    <row r="36571" customFormat="false" ht="15" hidden="false" customHeight="false" outlineLevel="0" collapsed="false">
      <c r="A36571" s="3" t="s">
        <v>562</v>
      </c>
      <c r="C36571" s="16" t="n">
        <f aca="false">IF(C36538&gt;0,C36560,C36516)</f>
        <v>550</v>
      </c>
    </row>
    <row r="36572" customFormat="false" ht="15" hidden="false" customHeight="false" outlineLevel="0" collapsed="false">
      <c r="A36572" s="3" t="s">
        <v>563</v>
      </c>
      <c r="C36572" s="16" t="n">
        <f aca="false">IF(C36539&gt;0,C36561,C36517)</f>
        <v>350</v>
      </c>
    </row>
    <row r="36573" customFormat="false" ht="15" hidden="false" customHeight="false" outlineLevel="0" collapsed="false">
      <c r="A36573" s="3" t="s">
        <v>564</v>
      </c>
      <c r="C36573" s="16" t="n">
        <f aca="false">IF(C36540&gt;0,C36562,C36518)</f>
        <v>300</v>
      </c>
    </row>
    <row r="36574" customFormat="false" ht="15" hidden="false" customHeight="false" outlineLevel="0" collapsed="false">
      <c r="A36574" s="3" t="s">
        <v>565</v>
      </c>
      <c r="C36574" s="16" t="n">
        <f aca="false">IF(C36541&gt;0,C36563,C36519)</f>
        <v>78.61</v>
      </c>
    </row>
    <row r="36575" customFormat="false" ht="15" hidden="false" customHeight="false" outlineLevel="0" collapsed="false">
      <c r="A36575" s="24" t="s">
        <v>571</v>
      </c>
      <c r="B36575" s="25"/>
      <c r="C36575" s="25"/>
      <c r="D36575" s="25"/>
      <c r="E36575" s="25"/>
      <c r="F36575" s="25"/>
      <c r="G36575" s="25"/>
      <c r="H36575" s="25"/>
      <c r="I36575" s="25"/>
      <c r="J36575" s="25"/>
      <c r="K36575" s="25"/>
    </row>
    <row r="36576" customFormat="false" ht="15" hidden="false" customHeight="false" outlineLevel="0" collapsed="false">
      <c r="A36576" s="3" t="s">
        <v>556</v>
      </c>
      <c r="C36576" s="21" t="n">
        <f aca="false">IF(C36532&gt;0,Assumptions!$C$17,C36521)</f>
        <v>99</v>
      </c>
    </row>
    <row r="36577" customFormat="false" ht="15" hidden="false" customHeight="false" outlineLevel="0" collapsed="false">
      <c r="A36577" s="3" t="s">
        <v>557</v>
      </c>
      <c r="C36577" s="21" t="n">
        <f aca="false">IF(C36533&gt;0,Assumptions!$C$17,C36522)</f>
        <v>99</v>
      </c>
    </row>
    <row r="36578" customFormat="false" ht="15" hidden="false" customHeight="false" outlineLevel="0" collapsed="false">
      <c r="A36578" s="3" t="s">
        <v>558</v>
      </c>
      <c r="C36578" s="21" t="n">
        <f aca="false">IF(C36534&gt;0,Assumptions!$C$17,C36523)</f>
        <v>99</v>
      </c>
    </row>
    <row r="36579" customFormat="false" ht="15" hidden="false" customHeight="false" outlineLevel="0" collapsed="false">
      <c r="A36579" s="3" t="s">
        <v>559</v>
      </c>
      <c r="C36579" s="21" t="n">
        <f aca="false">IF(C36535&gt;0,Assumptions!$C$17,C36524)</f>
        <v>2</v>
      </c>
    </row>
    <row r="36580" customFormat="false" ht="15" hidden="false" customHeight="false" outlineLevel="0" collapsed="false">
      <c r="A36580" s="3" t="s">
        <v>560</v>
      </c>
      <c r="C36580" s="21" t="n">
        <f aca="false">IF(C36536&gt;0,Assumptions!$C$17,C36525)</f>
        <v>2</v>
      </c>
    </row>
    <row r="36581" customFormat="false" ht="15" hidden="false" customHeight="false" outlineLevel="0" collapsed="false">
      <c r="A36581" s="3" t="s">
        <v>561</v>
      </c>
      <c r="C36581" s="21" t="n">
        <f aca="false">IF(C36537&gt;0,Assumptions!$C$17,C36526)</f>
        <v>2</v>
      </c>
    </row>
    <row r="36582" customFormat="false" ht="15" hidden="false" customHeight="false" outlineLevel="0" collapsed="false">
      <c r="A36582" s="3" t="s">
        <v>562</v>
      </c>
      <c r="C36582" s="21" t="n">
        <f aca="false">IF(C36538&gt;0,Assumptions!$C$17,C36527)</f>
        <v>2</v>
      </c>
    </row>
    <row r="36583" customFormat="false" ht="15" hidden="false" customHeight="false" outlineLevel="0" collapsed="false">
      <c r="A36583" s="3" t="s">
        <v>563</v>
      </c>
      <c r="C36583" s="21" t="n">
        <f aca="false">IF(C36539&gt;0,Assumptions!$C$17,C36528)</f>
        <v>2</v>
      </c>
    </row>
    <row r="36584" customFormat="false" ht="15" hidden="false" customHeight="false" outlineLevel="0" collapsed="false">
      <c r="A36584" s="3" t="s">
        <v>564</v>
      </c>
      <c r="C36584" s="21" t="n">
        <f aca="false">IF(C36540&gt;0,Assumptions!$C$17,C36529)</f>
        <v>2</v>
      </c>
    </row>
    <row r="36585" customFormat="false" ht="15" hidden="false" customHeight="false" outlineLevel="0" collapsed="false">
      <c r="A36585" s="3" t="s">
        <v>565</v>
      </c>
      <c r="C36585" s="21" t="n">
        <f aca="false">IF(C36541&gt;0,Assumptions!$C$17,C36530)</f>
        <v>3</v>
      </c>
    </row>
    <row r="36586" customFormat="false" ht="15" hidden="false" customHeight="false" outlineLevel="0" collapsed="false">
      <c r="A36586" s="24" t="s">
        <v>572</v>
      </c>
      <c r="B36586" s="25"/>
      <c r="C36586" s="25"/>
      <c r="D36586" s="25"/>
      <c r="E36586" s="25"/>
      <c r="F36586" s="25"/>
      <c r="G36586" s="25"/>
      <c r="H36586" s="25"/>
      <c r="I36586" s="25"/>
      <c r="J36586" s="25"/>
      <c r="K36586" s="25"/>
    </row>
    <row r="36587" customFormat="false" ht="15" hidden="false" customHeight="false" outlineLevel="0" collapsed="false">
      <c r="A36587" s="3" t="s">
        <v>556</v>
      </c>
      <c r="C36587" s="16" t="n">
        <f aca="false">SUMPRODUCT(($C$36576:$C$36585&lt;C36576)*$C$36565:$C$36574)</f>
        <v>2030.056357881</v>
      </c>
    </row>
    <row r="36588" customFormat="false" ht="15" hidden="false" customHeight="false" outlineLevel="0" collapsed="false">
      <c r="A36588" s="3" t="s">
        <v>557</v>
      </c>
      <c r="C36588" s="16" t="n">
        <f aca="false">SUMPRODUCT(($C$36576:$C$36585&lt;C36577)*$C$36565:$C$36574)</f>
        <v>2030.056357881</v>
      </c>
    </row>
    <row r="36589" customFormat="false" ht="15" hidden="false" customHeight="false" outlineLevel="0" collapsed="false">
      <c r="A36589" s="3" t="s">
        <v>558</v>
      </c>
      <c r="C36589" s="16" t="n">
        <f aca="false">SUMPRODUCT(($C$36576:$C$36585&lt;C36578)*$C$36565:$C$36574)</f>
        <v>2030.056357881</v>
      </c>
    </row>
    <row r="36590" customFormat="false" ht="15" hidden="false" customHeight="false" outlineLevel="0" collapsed="false">
      <c r="A36590" s="3" t="s">
        <v>559</v>
      </c>
      <c r="C36590" s="16" t="n">
        <f aca="false">SUMPRODUCT(($C$36576:$C$36585&lt;C36579)*$C$36565:$C$36574)</f>
        <v>0</v>
      </c>
    </row>
    <row r="36591" customFormat="false" ht="15" hidden="false" customHeight="false" outlineLevel="0" collapsed="false">
      <c r="A36591" s="3" t="s">
        <v>560</v>
      </c>
      <c r="C36591" s="16" t="n">
        <f aca="false">SUMPRODUCT(($C$36576:$C$36585&lt;C36580)*$C$36565:$C$36574)</f>
        <v>0</v>
      </c>
    </row>
    <row r="36592" customFormat="false" ht="15" hidden="false" customHeight="false" outlineLevel="0" collapsed="false">
      <c r="A36592" s="3" t="s">
        <v>561</v>
      </c>
      <c r="C36592" s="16" t="n">
        <f aca="false">SUMPRODUCT(($C$36576:$C$36585&lt;C36581)*$C$36565:$C$36574)</f>
        <v>0</v>
      </c>
    </row>
    <row r="36593" customFormat="false" ht="15" hidden="false" customHeight="false" outlineLevel="0" collapsed="false">
      <c r="A36593" s="3" t="s">
        <v>562</v>
      </c>
      <c r="C36593" s="16" t="n">
        <f aca="false">SUMPRODUCT(($C$36576:$C$36585&lt;C36582)*$C$36565:$C$36574)</f>
        <v>0</v>
      </c>
    </row>
    <row r="36594" customFormat="false" ht="15" hidden="false" customHeight="false" outlineLevel="0" collapsed="false">
      <c r="A36594" s="3" t="s">
        <v>563</v>
      </c>
      <c r="C36594" s="16" t="n">
        <f aca="false">SUMPRODUCT(($C$36576:$C$36585&lt;C36583)*$C$36565:$C$36574)</f>
        <v>0</v>
      </c>
    </row>
    <row r="36595" customFormat="false" ht="15" hidden="false" customHeight="false" outlineLevel="0" collapsed="false">
      <c r="A36595" s="3" t="s">
        <v>564</v>
      </c>
      <c r="C36595" s="16" t="n">
        <f aca="false">SUMPRODUCT(($C$36576:$C$36585&lt;C36584)*$C$36565:$C$36574)</f>
        <v>0</v>
      </c>
    </row>
    <row r="36596" customFormat="false" ht="15" hidden="false" customHeight="false" outlineLevel="0" collapsed="false">
      <c r="A36596" s="3" t="s">
        <v>565</v>
      </c>
      <c r="C36596" s="16" t="n">
        <f aca="false">SUMPRODUCT(($C$36576:$C$36585&lt;C36585)*$C$36565:$C$36574)</f>
        <v>1951.446357881</v>
      </c>
    </row>
    <row r="36597" customFormat="false" ht="15" hidden="false" customHeight="false" outlineLevel="0" collapsed="false">
      <c r="A36597" s="24" t="s">
        <v>573</v>
      </c>
      <c r="B36597" s="25"/>
      <c r="C36597" s="25"/>
      <c r="D36597" s="25"/>
      <c r="E36597" s="25"/>
      <c r="F36597" s="25"/>
      <c r="G36597" s="25"/>
      <c r="H36597" s="25"/>
      <c r="I36597" s="25"/>
      <c r="J36597" s="25"/>
      <c r="K36597" s="25"/>
    </row>
    <row r="36598" customFormat="false" ht="15" hidden="false" customHeight="false" outlineLevel="0" collapsed="false">
      <c r="A36598" s="3" t="s">
        <v>556</v>
      </c>
      <c r="C36598" s="16" t="n">
        <f aca="false">SUMPRODUCT(($C$36576:$C$36585=C36576)*$C$36565:$C$36574)</f>
        <v>16.432689909558</v>
      </c>
    </row>
    <row r="36599" customFormat="false" ht="15" hidden="false" customHeight="false" outlineLevel="0" collapsed="false">
      <c r="A36599" s="3" t="s">
        <v>557</v>
      </c>
      <c r="C36599" s="16" t="n">
        <f aca="false">SUMPRODUCT(($C$36576:$C$36585=C36577)*$C$36565:$C$36574)</f>
        <v>16.432689909558</v>
      </c>
    </row>
    <row r="36600" customFormat="false" ht="15" hidden="false" customHeight="false" outlineLevel="0" collapsed="false">
      <c r="A36600" s="3" t="s">
        <v>558</v>
      </c>
      <c r="C36600" s="16" t="n">
        <f aca="false">SUMPRODUCT(($C$36576:$C$36585=C36578)*$C$36565:$C$36574)</f>
        <v>16.432689909558</v>
      </c>
    </row>
    <row r="36601" customFormat="false" ht="15" hidden="false" customHeight="false" outlineLevel="0" collapsed="false">
      <c r="A36601" s="3" t="s">
        <v>559</v>
      </c>
      <c r="C36601" s="16" t="n">
        <f aca="false">SUMPRODUCT(($C$36576:$C$36585=C36579)*$C$36565:$C$36574)</f>
        <v>1951.446357881</v>
      </c>
    </row>
    <row r="36602" customFormat="false" ht="15" hidden="false" customHeight="false" outlineLevel="0" collapsed="false">
      <c r="A36602" s="3" t="s">
        <v>560</v>
      </c>
      <c r="C36602" s="16" t="n">
        <f aca="false">SUMPRODUCT(($C$36576:$C$36585=C36580)*$C$36565:$C$36574)</f>
        <v>1951.446357881</v>
      </c>
    </row>
    <row r="36603" customFormat="false" ht="15" hidden="false" customHeight="false" outlineLevel="0" collapsed="false">
      <c r="A36603" s="3" t="s">
        <v>561</v>
      </c>
      <c r="C36603" s="16" t="n">
        <f aca="false">SUMPRODUCT(($C$36576:$C$36585=C36581)*$C$36565:$C$36574)</f>
        <v>1951.446357881</v>
      </c>
    </row>
    <row r="36604" customFormat="false" ht="15" hidden="false" customHeight="false" outlineLevel="0" collapsed="false">
      <c r="A36604" s="3" t="s">
        <v>562</v>
      </c>
      <c r="C36604" s="16" t="n">
        <f aca="false">SUMPRODUCT(($C$36576:$C$36585=C36582)*$C$36565:$C$36574)</f>
        <v>1951.446357881</v>
      </c>
    </row>
    <row r="36605" customFormat="false" ht="15" hidden="false" customHeight="false" outlineLevel="0" collapsed="false">
      <c r="A36605" s="3" t="s">
        <v>563</v>
      </c>
      <c r="C36605" s="16" t="n">
        <f aca="false">SUMPRODUCT(($C$36576:$C$36585=C36583)*$C$36565:$C$36574)</f>
        <v>1951.446357881</v>
      </c>
    </row>
    <row r="36606" customFormat="false" ht="15" hidden="false" customHeight="false" outlineLevel="0" collapsed="false">
      <c r="A36606" s="3" t="s">
        <v>564</v>
      </c>
      <c r="C36606" s="16" t="n">
        <f aca="false">SUMPRODUCT(($C$36576:$C$36585=C36584)*$C$36565:$C$36574)</f>
        <v>1951.446357881</v>
      </c>
    </row>
    <row r="36607" customFormat="false" ht="15" hidden="false" customHeight="false" outlineLevel="0" collapsed="false">
      <c r="A36607" s="3" t="s">
        <v>565</v>
      </c>
      <c r="C36607" s="16" t="n">
        <f aca="false">SUMPRODUCT(($C$36576:$C$36585=C36585)*$C$36565:$C$36574)</f>
        <v>78.61</v>
      </c>
    </row>
    <row r="36608" customFormat="false" ht="15" hidden="false" customHeight="false" outlineLevel="0" collapsed="false">
      <c r="A36608" s="24" t="s">
        <v>574</v>
      </c>
      <c r="B36608" s="25"/>
      <c r="C36608" s="25"/>
      <c r="D36608" s="25"/>
      <c r="E36608" s="25"/>
      <c r="F36608" s="25"/>
      <c r="G36608" s="25"/>
      <c r="H36608" s="25"/>
      <c r="I36608" s="25"/>
      <c r="J36608" s="25"/>
      <c r="K36608" s="25"/>
    </row>
    <row r="36609" customFormat="false" ht="15" hidden="false" customHeight="false" outlineLevel="0" collapsed="false">
      <c r="A36609" s="3" t="s">
        <v>556</v>
      </c>
      <c r="C36609" s="16" t="n">
        <f aca="false">IF(C36598=0,0,C36565/C36598*MAX(0,MIN(C36598,$C$36508-SUM($C$36543:$C$36552)-C36587)))</f>
        <v>0</v>
      </c>
    </row>
    <row r="36610" customFormat="false" ht="15" hidden="false" customHeight="false" outlineLevel="0" collapsed="false">
      <c r="A36610" s="3" t="s">
        <v>557</v>
      </c>
      <c r="C36610" s="16" t="n">
        <f aca="false">IF(C36599=0,0,C36566/C36599*MAX(0,MIN(C36599,$C$36508-SUM($C$36543:$C$36552)-C36588)))</f>
        <v>0</v>
      </c>
    </row>
    <row r="36611" customFormat="false" ht="15" hidden="false" customHeight="false" outlineLevel="0" collapsed="false">
      <c r="A36611" s="3" t="s">
        <v>558</v>
      </c>
      <c r="C36611" s="16" t="n">
        <f aca="false">IF(C36600=0,0,C36567/C36600*MAX(0,MIN(C36600,$C$36508-SUM($C$36543:$C$36552)-C36589)))</f>
        <v>0</v>
      </c>
    </row>
    <row r="36612" customFormat="false" ht="15" hidden="false" customHeight="false" outlineLevel="0" collapsed="false">
      <c r="A36612" s="3" t="s">
        <v>559</v>
      </c>
      <c r="C36612" s="16" t="n">
        <f aca="false">IF(C36601=0,0,C36568/C36601*MAX(0,MIN(C36601,$C$36508-SUM($C$36543:$C$36552)-C36590)))</f>
        <v>0</v>
      </c>
    </row>
    <row r="36613" customFormat="false" ht="15" hidden="false" customHeight="false" outlineLevel="0" collapsed="false">
      <c r="A36613" s="3" t="s">
        <v>560</v>
      </c>
      <c r="C36613" s="16" t="n">
        <f aca="false">IF(C36602=0,0,C36569/C36602*MAX(0,MIN(C36602,$C$36508-SUM($C$36543:$C$36552)-C36591)))</f>
        <v>391.896029401918</v>
      </c>
    </row>
    <row r="36614" customFormat="false" ht="15" hidden="false" customHeight="false" outlineLevel="0" collapsed="false">
      <c r="A36614" s="3" t="s">
        <v>561</v>
      </c>
      <c r="C36614" s="16" t="n">
        <f aca="false">IF(C36603=0,0,C36570/C36603*MAX(0,MIN(C36603,$C$36508-SUM($C$36543:$C$36552)-C36592)))</f>
        <v>341.673570074661</v>
      </c>
    </row>
    <row r="36615" customFormat="false" ht="15" hidden="false" customHeight="false" outlineLevel="0" collapsed="false">
      <c r="A36615" s="3" t="s">
        <v>562</v>
      </c>
      <c r="C36615" s="16" t="n">
        <f aca="false">IF(C36604=0,0,C36571/C36604*MAX(0,MIN(C36604,$C$36508-SUM($C$36543:$C$36552)-C36593)))</f>
        <v>536.915610117324</v>
      </c>
    </row>
    <row r="36616" customFormat="false" ht="15" hidden="false" customHeight="false" outlineLevel="0" collapsed="false">
      <c r="A36616" s="3" t="s">
        <v>563</v>
      </c>
      <c r="C36616" s="16" t="n">
        <f aca="false">IF(C36605=0,0,C36572/C36605*MAX(0,MIN(C36605,$C$36508-SUM($C$36543:$C$36552)-C36594)))</f>
        <v>341.673570074661</v>
      </c>
    </row>
    <row r="36617" customFormat="false" ht="15" hidden="false" customHeight="false" outlineLevel="0" collapsed="false">
      <c r="A36617" s="3" t="s">
        <v>564</v>
      </c>
      <c r="C36617" s="16" t="n">
        <f aca="false">IF(C36606=0,0,C36573/C36606*MAX(0,MIN(C36606,$C$36508-SUM($C$36543:$C$36552)-C36595)))</f>
        <v>292.863060063995</v>
      </c>
    </row>
    <row r="36618" customFormat="false" ht="15" hidden="false" customHeight="false" outlineLevel="0" collapsed="false">
      <c r="A36618" s="3" t="s">
        <v>565</v>
      </c>
      <c r="C36618" s="16" t="n">
        <f aca="false">IF(C36607=0,0,C36574/C36607*MAX(0,MIN(C36607,$C$36508-SUM($C$36543:$C$36552)-C36596)))</f>
        <v>0</v>
      </c>
    </row>
    <row r="36619" customFormat="false" ht="15" hidden="false" customHeight="false" outlineLevel="0" collapsed="false">
      <c r="A36619" s="24" t="s">
        <v>575</v>
      </c>
      <c r="B36619" s="25"/>
      <c r="C36619" s="25"/>
      <c r="D36619" s="25"/>
      <c r="E36619" s="25"/>
      <c r="F36619" s="25"/>
      <c r="G36619" s="25"/>
      <c r="H36619" s="25"/>
      <c r="I36619" s="25"/>
      <c r="J36619" s="25"/>
      <c r="K36619" s="25"/>
    </row>
    <row r="36620" customFormat="false" ht="15" hidden="false" customHeight="false" outlineLevel="0" collapsed="false">
      <c r="A36620" s="2" t="s">
        <v>556</v>
      </c>
      <c r="C36620" s="17" t="n">
        <f aca="false">C36543+C36609</f>
        <v>388</v>
      </c>
    </row>
    <row r="36621" customFormat="false" ht="15" hidden="false" customHeight="false" outlineLevel="0" collapsed="false">
      <c r="A36621" s="2" t="s">
        <v>557</v>
      </c>
      <c r="C36621" s="17" t="n">
        <f aca="false">C36544+C36610</f>
        <v>79.989133944159</v>
      </c>
    </row>
    <row r="36622" customFormat="false" ht="15" hidden="false" customHeight="false" outlineLevel="0" collapsed="false">
      <c r="A36622" s="2" t="s">
        <v>558</v>
      </c>
      <c r="C36622" s="17" t="n">
        <f aca="false">C36545+C36611</f>
        <v>50.902176146283</v>
      </c>
    </row>
    <row r="36623" customFormat="false" ht="15" hidden="false" customHeight="false" outlineLevel="0" collapsed="false">
      <c r="A36623" s="2" t="s">
        <v>559</v>
      </c>
      <c r="C36623" s="17" t="n">
        <f aca="false">C36546+C36612</f>
        <v>0</v>
      </c>
    </row>
    <row r="36624" customFormat="false" ht="15" hidden="false" customHeight="false" outlineLevel="0" collapsed="false">
      <c r="A36624" s="2" t="s">
        <v>560</v>
      </c>
      <c r="C36624" s="17" t="n">
        <f aca="false">C36547+C36613</f>
        <v>391.896029401918</v>
      </c>
    </row>
    <row r="36625" customFormat="false" ht="15" hidden="false" customHeight="false" outlineLevel="0" collapsed="false">
      <c r="A36625" s="2" t="s">
        <v>561</v>
      </c>
      <c r="C36625" s="17" t="n">
        <f aca="false">C36548+C36614</f>
        <v>341.673570074661</v>
      </c>
    </row>
    <row r="36626" customFormat="false" ht="15" hidden="false" customHeight="false" outlineLevel="0" collapsed="false">
      <c r="A36626" s="2" t="s">
        <v>562</v>
      </c>
      <c r="C36626" s="17" t="n">
        <f aca="false">C36549+C36615</f>
        <v>536.915610117324</v>
      </c>
    </row>
    <row r="36627" customFormat="false" ht="15" hidden="false" customHeight="false" outlineLevel="0" collapsed="false">
      <c r="A36627" s="2" t="s">
        <v>563</v>
      </c>
      <c r="C36627" s="17" t="n">
        <f aca="false">C36550+C36616</f>
        <v>341.673570074661</v>
      </c>
    </row>
    <row r="36628" customFormat="false" ht="15" hidden="false" customHeight="false" outlineLevel="0" collapsed="false">
      <c r="A36628" s="2" t="s">
        <v>564</v>
      </c>
      <c r="C36628" s="17" t="n">
        <f aca="false">C36551+C36617</f>
        <v>292.863060063995</v>
      </c>
    </row>
    <row r="36629" customFormat="false" ht="15" hidden="false" customHeight="false" outlineLevel="0" collapsed="false">
      <c r="A36629" s="2" t="s">
        <v>565</v>
      </c>
      <c r="C36629" s="17" t="n">
        <f aca="false">C36552+C36618</f>
        <v>0</v>
      </c>
    </row>
    <row r="36630" customFormat="false" ht="15" hidden="false" customHeight="false" outlineLevel="0" collapsed="false">
      <c r="A36630" s="24" t="s">
        <v>576</v>
      </c>
      <c r="B36630" s="25"/>
      <c r="C36630" s="25"/>
      <c r="D36630" s="25"/>
      <c r="E36630" s="25"/>
      <c r="F36630" s="25"/>
      <c r="G36630" s="25"/>
      <c r="H36630" s="25"/>
      <c r="I36630" s="25"/>
      <c r="J36630" s="25"/>
      <c r="K36630" s="25"/>
    </row>
    <row r="36631" customFormat="false" ht="15" hidden="false" customHeight="false" outlineLevel="0" collapsed="false">
      <c r="A36631" s="3" t="s">
        <v>556</v>
      </c>
      <c r="C36631" s="22" t="n">
        <f aca="false">IF(C36510=0,1,C36620/C36510)</f>
        <v>1</v>
      </c>
    </row>
    <row r="36632" customFormat="false" ht="15" hidden="false" customHeight="false" outlineLevel="0" collapsed="false">
      <c r="A36632" s="3" t="s">
        <v>557</v>
      </c>
      <c r="C36632" s="22" t="n">
        <f aca="false">IF(C36511=0,1,C36621/C36511)</f>
        <v>0.8887681549351</v>
      </c>
    </row>
    <row r="36633" customFormat="false" ht="15" hidden="false" customHeight="false" outlineLevel="0" collapsed="false">
      <c r="A36633" s="3" t="s">
        <v>558</v>
      </c>
      <c r="C36633" s="22" t="n">
        <f aca="false">IF(C36512=0,1,C36622/C36512)</f>
        <v>0.887973207492202</v>
      </c>
    </row>
    <row r="36634" customFormat="false" ht="15" hidden="false" customHeight="false" outlineLevel="0" collapsed="false">
      <c r="A36634" s="3" t="s">
        <v>559</v>
      </c>
      <c r="C36634" s="22" t="n">
        <f aca="false">IF(C36513=0,1,C36623/C36513)</f>
        <v>1</v>
      </c>
    </row>
    <row r="36635" customFormat="false" ht="15" hidden="false" customHeight="false" outlineLevel="0" collapsed="false">
      <c r="A36635" s="3" t="s">
        <v>560</v>
      </c>
      <c r="C36635" s="22" t="n">
        <f aca="false">IF(C36514=0,1,C36624/C36514)</f>
        <v>0.976210200213317</v>
      </c>
    </row>
    <row r="36636" customFormat="false" ht="15" hidden="false" customHeight="false" outlineLevel="0" collapsed="false">
      <c r="A36636" s="3" t="s">
        <v>561</v>
      </c>
      <c r="C36636" s="22" t="n">
        <f aca="false">IF(C36515=0,1,C36625/C36515)</f>
        <v>0.976210200213316</v>
      </c>
    </row>
    <row r="36637" customFormat="false" ht="15" hidden="false" customHeight="false" outlineLevel="0" collapsed="false">
      <c r="A36637" s="3" t="s">
        <v>562</v>
      </c>
      <c r="C36637" s="22" t="n">
        <f aca="false">IF(C36516=0,1,C36626/C36516)</f>
        <v>0.976210200213317</v>
      </c>
    </row>
    <row r="36638" customFormat="false" ht="15" hidden="false" customHeight="false" outlineLevel="0" collapsed="false">
      <c r="A36638" s="3" t="s">
        <v>563</v>
      </c>
      <c r="C36638" s="22" t="n">
        <f aca="false">IF(C36517=0,1,C36627/C36517)</f>
        <v>0.976210200213316</v>
      </c>
    </row>
    <row r="36639" customFormat="false" ht="15" hidden="false" customHeight="false" outlineLevel="0" collapsed="false">
      <c r="A36639" s="3" t="s">
        <v>564</v>
      </c>
      <c r="C36639" s="22" t="n">
        <f aca="false">IF(C36518=0,1,C36628/C36518)</f>
        <v>0.976210200213317</v>
      </c>
    </row>
    <row r="36640" customFormat="false" ht="15" hidden="false" customHeight="false" outlineLevel="0" collapsed="false">
      <c r="A36640" s="3" t="s">
        <v>565</v>
      </c>
      <c r="C36640" s="22" t="n">
        <f aca="false">IF(C36519=0,1,C36629/C36519)</f>
        <v>0</v>
      </c>
    </row>
    <row r="36641" customFormat="false" ht="15" hidden="false" customHeight="false" outlineLevel="0" collapsed="false">
      <c r="A36641" s="24" t="s">
        <v>577</v>
      </c>
      <c r="B36641" s="25"/>
      <c r="C36641" s="25"/>
      <c r="D36641" s="25"/>
      <c r="E36641" s="25"/>
      <c r="F36641" s="25"/>
      <c r="G36641" s="25"/>
      <c r="H36641" s="25"/>
      <c r="I36641" s="25"/>
      <c r="J36641" s="25"/>
      <c r="K36641" s="25"/>
    </row>
    <row r="36642" customFormat="false" ht="15" hidden="false" customHeight="false" outlineLevel="0" collapsed="false">
      <c r="A36642" s="3" t="s">
        <v>556</v>
      </c>
      <c r="C36642" s="16" t="n">
        <f aca="false">C36510-C36620</f>
        <v>0</v>
      </c>
    </row>
    <row r="36643" customFormat="false" ht="15" hidden="false" customHeight="false" outlineLevel="0" collapsed="false">
      <c r="A36643" s="3" t="s">
        <v>557</v>
      </c>
      <c r="C36643" s="16" t="n">
        <f aca="false">C36511-C36621</f>
        <v>10.010866055841</v>
      </c>
    </row>
    <row r="36644" customFormat="false" ht="15" hidden="false" customHeight="false" outlineLevel="0" collapsed="false">
      <c r="A36644" s="3" t="s">
        <v>558</v>
      </c>
      <c r="C36644" s="16" t="n">
        <f aca="false">C36512-C36622</f>
        <v>6.42182385371699</v>
      </c>
    </row>
    <row r="36645" customFormat="false" ht="15" hidden="false" customHeight="false" outlineLevel="0" collapsed="false">
      <c r="A36645" s="3" t="s">
        <v>559</v>
      </c>
      <c r="C36645" s="16" t="n">
        <f aca="false">C36513-C36623</f>
        <v>0</v>
      </c>
    </row>
    <row r="36646" customFormat="false" ht="15" hidden="false" customHeight="false" outlineLevel="0" collapsed="false">
      <c r="A36646" s="3" t="s">
        <v>560</v>
      </c>
      <c r="C36646" s="16" t="n">
        <f aca="false">C36514-C36624</f>
        <v>9.55032847908228</v>
      </c>
    </row>
    <row r="36647" customFormat="false" ht="15" hidden="false" customHeight="false" outlineLevel="0" collapsed="false">
      <c r="A36647" s="3" t="s">
        <v>561</v>
      </c>
      <c r="C36647" s="16" t="n">
        <f aca="false">C36515-C36625</f>
        <v>8.32642992533926</v>
      </c>
    </row>
    <row r="36648" customFormat="false" ht="15" hidden="false" customHeight="false" outlineLevel="0" collapsed="false">
      <c r="A36648" s="3" t="s">
        <v>562</v>
      </c>
      <c r="C36648" s="16" t="n">
        <f aca="false">C36516-C36626</f>
        <v>13.0843898826759</v>
      </c>
    </row>
    <row r="36649" customFormat="false" ht="15" hidden="false" customHeight="false" outlineLevel="0" collapsed="false">
      <c r="A36649" s="3" t="s">
        <v>563</v>
      </c>
      <c r="C36649" s="16" t="n">
        <f aca="false">C36517-C36627</f>
        <v>8.32642992533926</v>
      </c>
    </row>
    <row r="36650" customFormat="false" ht="15" hidden="false" customHeight="false" outlineLevel="0" collapsed="false">
      <c r="A36650" s="3" t="s">
        <v>564</v>
      </c>
      <c r="C36650" s="16" t="n">
        <f aca="false">C36518-C36628</f>
        <v>7.13693993600504</v>
      </c>
    </row>
    <row r="36651" customFormat="false" ht="15" hidden="false" customHeight="false" outlineLevel="0" collapsed="false">
      <c r="A36651" s="3" t="s">
        <v>565</v>
      </c>
      <c r="C36651" s="16" t="n">
        <f aca="false">C36519-C36629</f>
        <v>78.61</v>
      </c>
    </row>
    <row r="36652" customFormat="false" ht="15" hidden="false" customHeight="false" outlineLevel="0" collapsed="false">
      <c r="A36652" s="24" t="s">
        <v>578</v>
      </c>
      <c r="B36652" s="25"/>
      <c r="C36652" s="25"/>
      <c r="D36652" s="25"/>
      <c r="E36652" s="25"/>
      <c r="F36652" s="25"/>
      <c r="G36652" s="25"/>
      <c r="H36652" s="25"/>
      <c r="I36652" s="25"/>
      <c r="J36652" s="25"/>
      <c r="K36652" s="25"/>
    </row>
    <row r="36653" customFormat="false" ht="15" hidden="false" customHeight="false" outlineLevel="0" collapsed="false">
      <c r="A36653" s="3" t="s">
        <v>556</v>
      </c>
      <c r="C36653" s="22" t="n">
        <f aca="false">IF(C36510=0,0,C36642/C36510)</f>
        <v>0</v>
      </c>
    </row>
    <row r="36654" customFormat="false" ht="15" hidden="false" customHeight="false" outlineLevel="0" collapsed="false">
      <c r="A36654" s="3" t="s">
        <v>557</v>
      </c>
      <c r="C36654" s="22" t="n">
        <f aca="false">IF(C36511=0,0,C36643/C36511)</f>
        <v>0.1112318450649</v>
      </c>
    </row>
    <row r="36655" customFormat="false" ht="15" hidden="false" customHeight="false" outlineLevel="0" collapsed="false">
      <c r="A36655" s="3" t="s">
        <v>558</v>
      </c>
      <c r="C36655" s="22" t="n">
        <f aca="false">IF(C36512=0,0,C36644/C36512)</f>
        <v>0.112026792507798</v>
      </c>
    </row>
    <row r="36656" customFormat="false" ht="15" hidden="false" customHeight="false" outlineLevel="0" collapsed="false">
      <c r="A36656" s="3" t="s">
        <v>559</v>
      </c>
      <c r="C36656" s="22" t="n">
        <f aca="false">IF(C36513=0,0,C36645/C36513)</f>
        <v>0</v>
      </c>
    </row>
    <row r="36657" customFormat="false" ht="15" hidden="false" customHeight="false" outlineLevel="0" collapsed="false">
      <c r="A36657" s="3" t="s">
        <v>560</v>
      </c>
      <c r="C36657" s="22" t="n">
        <f aca="false">IF(C36514=0,0,C36646/C36514)</f>
        <v>0.0237897997866835</v>
      </c>
    </row>
    <row r="36658" customFormat="false" ht="15" hidden="false" customHeight="false" outlineLevel="0" collapsed="false">
      <c r="A36658" s="3" t="s">
        <v>561</v>
      </c>
      <c r="C36658" s="22" t="n">
        <f aca="false">IF(C36515=0,0,C36647/C36515)</f>
        <v>0.0237897997866836</v>
      </c>
    </row>
    <row r="36659" customFormat="false" ht="15" hidden="false" customHeight="false" outlineLevel="0" collapsed="false">
      <c r="A36659" s="3" t="s">
        <v>562</v>
      </c>
      <c r="C36659" s="22" t="n">
        <f aca="false">IF(C36516=0,0,C36648/C36516)</f>
        <v>0.0237897997866834</v>
      </c>
    </row>
    <row r="36660" customFormat="false" ht="15" hidden="false" customHeight="false" outlineLevel="0" collapsed="false">
      <c r="A36660" s="3" t="s">
        <v>563</v>
      </c>
      <c r="C36660" s="22" t="n">
        <f aca="false">IF(C36517=0,0,C36649/C36517)</f>
        <v>0.0237897997866836</v>
      </c>
    </row>
    <row r="36661" customFormat="false" ht="15" hidden="false" customHeight="false" outlineLevel="0" collapsed="false">
      <c r="A36661" s="3" t="s">
        <v>564</v>
      </c>
      <c r="C36661" s="22" t="n">
        <f aca="false">IF(C36518=0,0,C36650/C36518)</f>
        <v>0.0237897997866835</v>
      </c>
    </row>
    <row r="36662" customFormat="false" ht="15" hidden="false" customHeight="false" outlineLevel="0" collapsed="false">
      <c r="A36662" s="3" t="s">
        <v>565</v>
      </c>
      <c r="C36662" s="22" t="n">
        <f aca="false">IF(C36519=0,0,C36651/C36519)</f>
        <v>1</v>
      </c>
    </row>
    <row r="36663" customFormat="false" ht="15" hidden="false" customHeight="false" outlineLevel="0" collapsed="false">
      <c r="A36663" s="2" t="s">
        <v>579</v>
      </c>
      <c r="C36663" s="17" t="n">
        <f aca="false">MAX(0,$C$36508-SUM($C$36543:$C$36552)-SUM($C$36565:$C$36574))</f>
        <v>0</v>
      </c>
    </row>
    <row r="36664" customFormat="false" ht="15" hidden="false" customHeight="false" outlineLevel="0" collapsed="false">
      <c r="A36664" s="3" t="s">
        <v>597</v>
      </c>
      <c r="C36664" s="35" t="n">
        <f aca="false">MIN(C36507,100*CHOOSE(C36497,C36631,C36632,C36633,C36634,C36635,C36636,C36637,C36638,C36639,C36640))</f>
        <v>95</v>
      </c>
    </row>
    <row r="36665" customFormat="false" ht="15" hidden="false" customHeight="false" outlineLevel="0" collapsed="false">
      <c r="A36665" s="3" t="s">
        <v>598</v>
      </c>
      <c r="C36665" s="21" t="n">
        <f aca="false">IF(C36329=1,C36502+Assumptions!$C$40,C36501)</f>
        <v>3</v>
      </c>
    </row>
    <row r="36666" customFormat="false" ht="15" hidden="false" customHeight="false" outlineLevel="0" collapsed="false">
      <c r="A36666" s="24" t="s">
        <v>599</v>
      </c>
      <c r="B36666" s="25"/>
      <c r="C36666" s="25"/>
      <c r="D36666" s="25"/>
      <c r="E36666" s="25"/>
      <c r="F36666" s="25"/>
      <c r="G36666" s="25"/>
      <c r="H36666" s="25"/>
      <c r="I36666" s="25"/>
      <c r="J36666" s="25"/>
      <c r="K36666" s="25"/>
    </row>
    <row r="36667" customFormat="false" ht="15" hidden="false" customHeight="false" outlineLevel="0" collapsed="false">
      <c r="A36667" s="3" t="s">
        <v>600</v>
      </c>
      <c r="C36667" s="21" t="n">
        <f aca="false">COLUMN()-COLUMN($C$1)</f>
        <v>0</v>
      </c>
      <c r="D36667" s="21" t="n">
        <f aca="false">COLUMN()-COLUMN($C$1)</f>
        <v>1</v>
      </c>
      <c r="E36667" s="21" t="n">
        <f aca="false">COLUMN()-COLUMN($C$1)</f>
        <v>2</v>
      </c>
      <c r="F36667" s="21" t="n">
        <f aca="false">COLUMN()-COLUMN($C$1)</f>
        <v>3</v>
      </c>
      <c r="G36667" s="21" t="n">
        <f aca="false">COLUMN()-COLUMN($C$1)</f>
        <v>4</v>
      </c>
      <c r="H36667" s="21" t="n">
        <f aca="false">COLUMN()-COLUMN($C$1)</f>
        <v>5</v>
      </c>
      <c r="I36667" s="21" t="n">
        <f aca="false">COLUMN()-COLUMN($C$1)</f>
        <v>6</v>
      </c>
    </row>
    <row r="36668" customFormat="false" ht="15" hidden="false" customHeight="false" outlineLevel="0" collapsed="false">
      <c r="A36668" s="3" t="s">
        <v>601</v>
      </c>
      <c r="D36668" s="31" t="n">
        <f aca="false">CHOOSE($C$36497,G36077,G36090,G36103,G36116,G36129,G36142,G36155,G36168,G36181,G36194)</f>
        <v>0.1065</v>
      </c>
      <c r="E36668" s="31" t="n">
        <f aca="false">CHOOSE($C$36497,H36077,H36090,H36103,H36116,H36129,H36142,H36155,H36168,H36181,H36194)</f>
        <v>0.105</v>
      </c>
      <c r="F36668" s="31" t="n">
        <f aca="false">CHOOSE($C$36497,I36077,I36090,I36103,I36116,I36129,I36142,I36155,I36168,I36181,I36194)</f>
        <v>0.1025</v>
      </c>
      <c r="G36668" s="31" t="n">
        <f aca="false">CHOOSE($C$36497,J36077,J36090,J36103,J36116,J36129,J36142,J36155,J36168,J36181,J36194)</f>
        <v>0.1025</v>
      </c>
      <c r="H36668" s="31" t="n">
        <f aca="false">CHOOSE($C$36497,K36077,K36090,K36103,K36116,K36129,K36142,K36155,K36168,K36181,K36194)</f>
        <v>0.1025</v>
      </c>
    </row>
    <row r="36669" customFormat="false" ht="15" hidden="false" customHeight="false" outlineLevel="0" collapsed="false">
      <c r="A36669" s="3" t="s">
        <v>602</v>
      </c>
      <c r="D36669" s="16" t="n">
        <f aca="false">IF(D36667&lt;=$C$36506,$C$36498*D36668,0)</f>
        <v>10.65</v>
      </c>
      <c r="E36669" s="16" t="n">
        <f aca="false">IF(E36667&lt;=$C$36506,$C$36498*E36668,0)</f>
        <v>10.5</v>
      </c>
      <c r="F36669" s="16" t="n">
        <f aca="false">IF(F36667&lt;=$C$36506,$C$36498*F36668,0)</f>
        <v>0</v>
      </c>
      <c r="G36669" s="16" t="n">
        <f aca="false">IF(G36667&lt;=$C$36506,$C$36498*G36668,0)</f>
        <v>0</v>
      </c>
      <c r="H36669" s="16" t="n">
        <f aca="false">IF(H36667&lt;=$C$36506,$C$36498*H36668,0)</f>
        <v>0</v>
      </c>
    </row>
    <row r="36670" customFormat="false" ht="15" hidden="false" customHeight="false" outlineLevel="0" collapsed="false">
      <c r="A36670" s="3" t="s">
        <v>603</v>
      </c>
      <c r="D36670" s="16" t="n">
        <f aca="false">IF(AND($C$36329=0,D36667=$C$36501),$C$36498*$C$36664/100,0)+IF(AND($C$36329=1,D36667=$C$36665),$C$36504,0)</f>
        <v>0</v>
      </c>
      <c r="E36670" s="16" t="n">
        <f aca="false">IF(AND($C$36329=0,E36667=$C$36501),$C$36498*$C$36664/100,0)+IF(AND($C$36329=1,E36667=$C$36665),$C$36504,0)</f>
        <v>0</v>
      </c>
      <c r="F36670" s="16" t="n">
        <f aca="false">IF(AND($C$36329=0,F36667=$C$36501),$C$36498*$C$36664/100,0)+IF(AND($C$36329=1,F36667=$C$36665),$C$36504,0)</f>
        <v>102.625</v>
      </c>
      <c r="G36670" s="16" t="n">
        <f aca="false">IF(AND($C$36329=0,G36667=$C$36501),$C$36498*$C$36664/100,0)+IF(AND($C$36329=1,G36667=$C$36665),$C$36504,0)</f>
        <v>0</v>
      </c>
      <c r="H36670" s="16" t="n">
        <f aca="false">IF(AND($C$36329=0,H36667=$C$36501),$C$36498*$C$36664/100,0)+IF(AND($C$36329=1,H36667=$C$36665),$C$36504,0)</f>
        <v>0</v>
      </c>
      <c r="I36670" s="16" t="n">
        <f aca="false">IF(AND($C$36329=0,I36667=$C$36501),$C$36498*$C$36664/100,0)+IF(AND($C$36329=1,I36667=$C$36665),$C$36504,0)</f>
        <v>0</v>
      </c>
    </row>
    <row r="36671" customFormat="false" ht="15" hidden="false" customHeight="false" outlineLevel="0" collapsed="false">
      <c r="A36671" s="2" t="s">
        <v>604</v>
      </c>
      <c r="C36671" s="17" t="n">
        <f aca="false">-$C$36500</f>
        <v>-98.49</v>
      </c>
      <c r="D36671" s="17" t="n">
        <f aca="false">D36669+D36670</f>
        <v>10.65</v>
      </c>
      <c r="E36671" s="17" t="n">
        <f aca="false">E36669+E36670</f>
        <v>10.5</v>
      </c>
      <c r="F36671" s="17" t="n">
        <f aca="false">F36669+F36670</f>
        <v>102.625</v>
      </c>
      <c r="G36671" s="17" t="n">
        <f aca="false">G36669+G36670</f>
        <v>0</v>
      </c>
      <c r="H36671" s="17" t="n">
        <f aca="false">H36669+H36670</f>
        <v>0</v>
      </c>
      <c r="I36671" s="17" t="n">
        <f aca="false">I36669+I36670</f>
        <v>0</v>
      </c>
    </row>
    <row r="36672" customFormat="false" ht="15" hidden="false" customHeight="false" outlineLevel="0" collapsed="false">
      <c r="A36672" s="3" t="s">
        <v>605</v>
      </c>
      <c r="C36672" s="16" t="n">
        <f aca="false">SUM($C$36669:$I$36669)</f>
        <v>21.15</v>
      </c>
    </row>
    <row r="36673" customFormat="false" ht="15" hidden="false" customHeight="false" outlineLevel="0" collapsed="false">
      <c r="A36673" s="3" t="s">
        <v>606</v>
      </c>
      <c r="C36673" s="16" t="n">
        <f aca="false">SUM($C$36670:$I$36670)</f>
        <v>102.625</v>
      </c>
    </row>
    <row r="36674" customFormat="false" ht="15" hidden="false" customHeight="false" outlineLevel="0" collapsed="false">
      <c r="A36674" s="3" t="s">
        <v>607</v>
      </c>
      <c r="C36674" s="16" t="n">
        <f aca="false">C36672+C36673</f>
        <v>123.775</v>
      </c>
    </row>
    <row r="36675" customFormat="false" ht="15" hidden="false" customHeight="false" outlineLevel="0" collapsed="false">
      <c r="A36675" s="3" t="s">
        <v>608</v>
      </c>
      <c r="C36675" s="16" t="n">
        <f aca="false">C36673-C36498*C36499/100</f>
        <v>4.62500000000001</v>
      </c>
    </row>
    <row r="36676" customFormat="false" ht="15" hidden="false" customHeight="false" outlineLevel="0" collapsed="false">
      <c r="A36676" s="3" t="s">
        <v>609</v>
      </c>
      <c r="C36676" s="16" t="n">
        <f aca="false">C36674-C36500</f>
        <v>25.285</v>
      </c>
    </row>
    <row r="36677" customFormat="false" ht="15" hidden="false" customHeight="false" outlineLevel="0" collapsed="false">
      <c r="A36677" s="2" t="s">
        <v>484</v>
      </c>
      <c r="C36677" s="44" t="n">
        <f aca="false">C36674/C36500</f>
        <v>1.25672657122551</v>
      </c>
    </row>
    <row r="36678" customFormat="false" ht="15" hidden="false" customHeight="false" outlineLevel="0" collapsed="false">
      <c r="A36678" s="2" t="s">
        <v>483</v>
      </c>
      <c r="C36678" s="42" t="n">
        <f aca="false">IF(C36674&lt;=0,-1,IFERROR(IRR($C$36671:$I$36671,MAX(-0.9,C36677^(1/C36665)-1)),IRR($C$36671:$I$36671,0.1)))</f>
        <v>0.0873962489027792</v>
      </c>
    </row>
    <row r="36679" customFormat="false" ht="15" hidden="false" customHeight="false" outlineLevel="0" collapsed="false">
      <c r="A36679" s="3" t="s">
        <v>610</v>
      </c>
      <c r="C36679" s="32" t="n">
        <f aca="false">MAX($G$36273:$K$36273)</f>
        <v>12.0232607366907</v>
      </c>
    </row>
    <row r="36680" customFormat="false" ht="15" hidden="false" customHeight="false" outlineLevel="0" collapsed="false">
      <c r="A36680" s="3" t="s">
        <v>611</v>
      </c>
      <c r="C36680" s="32" t="n">
        <f aca="false">MIN($G$36274:$K$36274)</f>
        <v>1.18311222526984</v>
      </c>
    </row>
    <row r="36681" customFormat="false" ht="15" hidden="false" customHeight="false" outlineLevel="0" collapsed="false">
      <c r="A36681" s="3" t="s">
        <v>612</v>
      </c>
      <c r="C36681" s="16" t="n">
        <f aca="false">SUM($G$36061:$K$36061)</f>
        <v>-320.308045372933</v>
      </c>
    </row>
    <row r="36685" customFormat="false" ht="15" hidden="false" customHeight="false" outlineLevel="0" collapsed="false">
      <c r="A36685" s="9" t="s">
        <v>1186</v>
      </c>
      <c r="B36685" s="10"/>
      <c r="C36685" s="10"/>
      <c r="D36685" s="10"/>
      <c r="E36685" s="10"/>
      <c r="F36685" s="10"/>
      <c r="G36685" s="10"/>
      <c r="H36685" s="10"/>
      <c r="I36685" s="10"/>
      <c r="J36685" s="10"/>
      <c r="K36685" s="10"/>
    </row>
    <row r="36686" customFormat="false" ht="15" hidden="false" customHeight="false" outlineLevel="0" collapsed="false">
      <c r="A36686" s="3" t="s">
        <v>1126</v>
      </c>
      <c r="C36686" s="11" t="n">
        <v>2</v>
      </c>
    </row>
    <row r="36687" customFormat="false" ht="15" hidden="false" customHeight="false" outlineLevel="0" collapsed="false">
      <c r="A36687" s="3" t="s">
        <v>1127</v>
      </c>
      <c r="C36687" s="19" t="n">
        <v>0</v>
      </c>
    </row>
    <row r="36688" customFormat="false" ht="15" hidden="false" customHeight="false" outlineLevel="0" collapsed="false">
      <c r="A36688" s="3" t="s">
        <v>1128</v>
      </c>
      <c r="C36688" s="19" t="n">
        <v>0</v>
      </c>
    </row>
    <row r="36689" customFormat="false" ht="15" hidden="false" customHeight="false" outlineLevel="0" collapsed="false">
      <c r="A36689" s="3" t="s">
        <v>1129</v>
      </c>
      <c r="C36689" s="19" t="n">
        <v>0</v>
      </c>
    </row>
    <row r="36690" customFormat="false" ht="15" hidden="false" customHeight="false" outlineLevel="0" collapsed="false">
      <c r="A36690" s="3" t="s">
        <v>1130</v>
      </c>
      <c r="C36690" s="34" t="n">
        <f aca="false">Sensitivities!$A$63</f>
        <v>1</v>
      </c>
    </row>
    <row r="36692" customFormat="false" ht="15" hidden="false" customHeight="false" outlineLevel="0" collapsed="false">
      <c r="A36692" s="24" t="s">
        <v>301</v>
      </c>
      <c r="B36692" s="25"/>
      <c r="C36692" s="25"/>
      <c r="D36692" s="25"/>
      <c r="E36692" s="25"/>
      <c r="F36692" s="25"/>
      <c r="G36692" s="25"/>
      <c r="H36692" s="25"/>
      <c r="I36692" s="25"/>
      <c r="J36692" s="25"/>
      <c r="K36692" s="25"/>
    </row>
    <row r="36693" customFormat="false" ht="15" hidden="false" customHeight="false" outlineLevel="0" collapsed="false">
      <c r="A36693" s="3" t="s">
        <v>302</v>
      </c>
      <c r="F36693" s="27" t="n">
        <f aca="false">Assumptions!$C$6</f>
        <v>2026</v>
      </c>
      <c r="G36693" s="21" t="n">
        <f aca="false">F36693+1</f>
        <v>2027</v>
      </c>
      <c r="H36693" s="21" t="n">
        <f aca="false">G36693+1</f>
        <v>2028</v>
      </c>
      <c r="I36693" s="21" t="n">
        <f aca="false">H36693+1</f>
        <v>2029</v>
      </c>
      <c r="J36693" s="21" t="n">
        <f aca="false">I36693+1</f>
        <v>2030</v>
      </c>
      <c r="K36693" s="21" t="n">
        <f aca="false">J36693+1</f>
        <v>2031</v>
      </c>
    </row>
    <row r="36694" customFormat="false" ht="15" hidden="false" customHeight="false" outlineLevel="0" collapsed="false">
      <c r="A36694" s="3" t="s">
        <v>303</v>
      </c>
      <c r="G36694" s="21" t="n">
        <f aca="false">G36693-Assumptions!$C$6</f>
        <v>1</v>
      </c>
      <c r="H36694" s="21" t="n">
        <f aca="false">H36693-Assumptions!$C$6</f>
        <v>2</v>
      </c>
      <c r="I36694" s="21" t="n">
        <f aca="false">I36693-Assumptions!$C$6</f>
        <v>3</v>
      </c>
      <c r="J36694" s="21" t="n">
        <f aca="false">J36693-Assumptions!$C$6</f>
        <v>4</v>
      </c>
      <c r="K36694" s="21" t="n">
        <f aca="false">K36693-Assumptions!$C$6</f>
        <v>5</v>
      </c>
    </row>
    <row r="36695" customFormat="false" ht="15" hidden="false" customHeight="false" outlineLevel="0" collapsed="false">
      <c r="A36695" s="3" t="s">
        <v>180</v>
      </c>
      <c r="G36695" s="22" t="n">
        <f aca="false">CHOOSE($C$36686,Assumptions!$G$79,Assumptions!$G$98,Assumptions!$G$117)+$C$36687</f>
        <v>-0.06</v>
      </c>
      <c r="H36695" s="22" t="n">
        <f aca="false">CHOOSE($C$36686,Assumptions!$H$79,Assumptions!$H$98,Assumptions!$H$117)+$C$36687</f>
        <v>-0.03</v>
      </c>
      <c r="I36695" s="22" t="n">
        <f aca="false">CHOOSE($C$36686,Assumptions!$I$79,Assumptions!$I$98,Assumptions!$I$117)+$C$36687</f>
        <v>0</v>
      </c>
      <c r="J36695" s="22" t="n">
        <f aca="false">CHOOSE($C$36686,Assumptions!$J$79,Assumptions!$J$98,Assumptions!$J$117)+$C$36687</f>
        <v>0.01</v>
      </c>
      <c r="K36695" s="22" t="n">
        <f aca="false">CHOOSE($C$36686,Assumptions!$K$79,Assumptions!$K$98,Assumptions!$K$117)+$C$36687</f>
        <v>0.01</v>
      </c>
    </row>
    <row r="36696" customFormat="false" ht="15" hidden="false" customHeight="false" outlineLevel="0" collapsed="false">
      <c r="A36696" s="3" t="s">
        <v>181</v>
      </c>
      <c r="G36696" s="22" t="n">
        <f aca="false">CHOOSE($C$36686,Assumptions!$G$80,Assumptions!$G$99,Assumptions!$G$118)</f>
        <v>0.573920660818678</v>
      </c>
      <c r="H36696" s="22" t="n">
        <f aca="false">CHOOSE($C$36686,Assumptions!$H$80,Assumptions!$H$99,Assumptions!$H$118)</f>
        <v>0.558920660818678</v>
      </c>
      <c r="I36696" s="22" t="n">
        <f aca="false">CHOOSE($C$36686,Assumptions!$I$80,Assumptions!$I$99,Assumptions!$I$118)</f>
        <v>0.558920660818678</v>
      </c>
      <c r="J36696" s="22" t="n">
        <f aca="false">CHOOSE($C$36686,Assumptions!$J$80,Assumptions!$J$99,Assumptions!$J$118)</f>
        <v>0.563920660818678</v>
      </c>
      <c r="K36696" s="22" t="n">
        <f aca="false">CHOOSE($C$36686,Assumptions!$K$80,Assumptions!$K$99,Assumptions!$K$118)</f>
        <v>0.568920660818678</v>
      </c>
    </row>
    <row r="36697" customFormat="false" ht="15" hidden="false" customHeight="false" outlineLevel="0" collapsed="false">
      <c r="A36697" s="3" t="s">
        <v>182</v>
      </c>
      <c r="G36697" s="22" t="n">
        <f aca="false">CHOOSE($C$36686,Assumptions!$G$81,Assumptions!$G$100,Assumptions!$G$119)+$C$36688</f>
        <v>0.5</v>
      </c>
      <c r="H36697" s="22" t="n">
        <f aca="false">CHOOSE($C$36686,Assumptions!$H$81,Assumptions!$H$100,Assumptions!$H$119)+$C$36688</f>
        <v>0.485</v>
      </c>
      <c r="I36697" s="22" t="n">
        <f aca="false">CHOOSE($C$36686,Assumptions!$I$81,Assumptions!$I$100,Assumptions!$I$119)+$C$36688</f>
        <v>0.485</v>
      </c>
      <c r="J36697" s="22" t="n">
        <f aca="false">CHOOSE($C$36686,Assumptions!$J$81,Assumptions!$J$100,Assumptions!$J$119)+$C$36688</f>
        <v>0.49</v>
      </c>
      <c r="K36697" s="22" t="n">
        <f aca="false">CHOOSE($C$36686,Assumptions!$K$81,Assumptions!$K$100,Assumptions!$K$119)+$C$36688</f>
        <v>0.495</v>
      </c>
    </row>
    <row r="36698" customFormat="false" ht="15" hidden="false" customHeight="false" outlineLevel="0" collapsed="false">
      <c r="A36698" s="24" t="s">
        <v>304</v>
      </c>
      <c r="B36698" s="25"/>
      <c r="C36698" s="25"/>
      <c r="D36698" s="25"/>
      <c r="E36698" s="25"/>
      <c r="F36698" s="25"/>
      <c r="G36698" s="25"/>
      <c r="H36698" s="25"/>
      <c r="I36698" s="25"/>
      <c r="J36698" s="25"/>
      <c r="K36698" s="25"/>
    </row>
    <row r="36699" customFormat="false" ht="15" hidden="false" customHeight="false" outlineLevel="0" collapsed="false">
      <c r="A36699" s="2" t="s">
        <v>275</v>
      </c>
      <c r="F36699" s="28" t="n">
        <f aca="false">'Historical Financials'!G25</f>
        <v>498.291</v>
      </c>
      <c r="G36699" s="17" t="n">
        <f aca="false">F36699*(1+G36695)</f>
        <v>468.39354</v>
      </c>
      <c r="H36699" s="17" t="n">
        <f aca="false">G36699*(1+H36695)</f>
        <v>454.3417338</v>
      </c>
      <c r="I36699" s="17" t="n">
        <f aca="false">H36699*(1+I36695)</f>
        <v>454.3417338</v>
      </c>
      <c r="J36699" s="17" t="n">
        <f aca="false">I36699*(1+J36695)</f>
        <v>458.885151138</v>
      </c>
      <c r="K36699" s="17" t="n">
        <f aca="false">J36699*(1+K36695)</f>
        <v>463.47400264938</v>
      </c>
    </row>
    <row r="36700" customFormat="false" ht="15" hidden="false" customHeight="false" outlineLevel="0" collapsed="false">
      <c r="A36700" s="3" t="s">
        <v>276</v>
      </c>
      <c r="G36700" s="16" t="n">
        <f aca="false">G36699*(1-G36696)</f>
        <v>199.57281</v>
      </c>
      <c r="H36700" s="16" t="n">
        <f aca="false">H36699*(1-H36696)</f>
        <v>200.400751707</v>
      </c>
      <c r="I36700" s="16" t="n">
        <f aca="false">I36699*(1-I36696)</f>
        <v>200.400751707</v>
      </c>
      <c r="J36700" s="16" t="n">
        <f aca="false">J36699*(1-J36696)</f>
        <v>200.11033346838</v>
      </c>
      <c r="K36700" s="16" t="n">
        <f aca="false">K36699*(1-K36696)</f>
        <v>199.794066789817</v>
      </c>
    </row>
    <row r="36701" customFormat="false" ht="15" hidden="false" customHeight="false" outlineLevel="0" collapsed="false">
      <c r="A36701" s="2" t="s">
        <v>277</v>
      </c>
      <c r="G36701" s="17" t="n">
        <f aca="false">G36699-G36700</f>
        <v>268.82073</v>
      </c>
      <c r="H36701" s="17" t="n">
        <f aca="false">H36699-H36700</f>
        <v>253.940982093</v>
      </c>
      <c r="I36701" s="17" t="n">
        <f aca="false">I36699-I36700</f>
        <v>253.940982093</v>
      </c>
      <c r="J36701" s="17" t="n">
        <f aca="false">J36699-J36700</f>
        <v>258.77481766962</v>
      </c>
      <c r="K36701" s="17" t="n">
        <f aca="false">K36699-K36700</f>
        <v>263.679935859563</v>
      </c>
    </row>
    <row r="36702" customFormat="false" ht="15" hidden="false" customHeight="false" outlineLevel="0" collapsed="false">
      <c r="A36702" s="3" t="s">
        <v>305</v>
      </c>
      <c r="G36702" s="16" t="n">
        <f aca="false">G36701-G36703</f>
        <v>34.62396</v>
      </c>
      <c r="H36702" s="16" t="n">
        <f aca="false">H36701-H36703</f>
        <v>33.5852412</v>
      </c>
      <c r="I36702" s="16" t="n">
        <f aca="false">I36701-I36703</f>
        <v>33.5852412</v>
      </c>
      <c r="J36702" s="16" t="n">
        <f aca="false">J36701-J36703</f>
        <v>33.921093612</v>
      </c>
      <c r="K36702" s="16" t="n">
        <f aca="false">K36701-K36703</f>
        <v>34.26030454812</v>
      </c>
    </row>
    <row r="36703" customFormat="false" ht="15" hidden="false" customHeight="false" outlineLevel="0" collapsed="false">
      <c r="A36703" s="2" t="s">
        <v>306</v>
      </c>
      <c r="G36703" s="17" t="n">
        <f aca="false">G36699*G36697</f>
        <v>234.19677</v>
      </c>
      <c r="H36703" s="17" t="n">
        <f aca="false">H36699*H36697</f>
        <v>220.355740893</v>
      </c>
      <c r="I36703" s="17" t="n">
        <f aca="false">I36699*I36697</f>
        <v>220.355740893</v>
      </c>
      <c r="J36703" s="17" t="n">
        <f aca="false">J36699*J36697</f>
        <v>224.85372405762</v>
      </c>
      <c r="K36703" s="17" t="n">
        <f aca="false">K36699*K36697</f>
        <v>229.419631311443</v>
      </c>
    </row>
    <row r="36704" customFormat="false" ht="15" hidden="false" customHeight="false" outlineLevel="0" collapsed="false">
      <c r="A36704" s="3" t="s">
        <v>307</v>
      </c>
      <c r="G36704" s="16" t="n">
        <f aca="false">G36699*'Historical Financials'!G30/'Historical Financials'!G25</f>
        <v>174.17542</v>
      </c>
      <c r="H36704" s="16" t="n">
        <f aca="false">H36699*'Historical Financials'!G30/'Historical Financials'!G25</f>
        <v>168.9501574</v>
      </c>
      <c r="I36704" s="16" t="n">
        <f aca="false">I36699*'Historical Financials'!G30/'Historical Financials'!G25</f>
        <v>168.9501574</v>
      </c>
      <c r="J36704" s="16" t="n">
        <f aca="false">J36699*'Historical Financials'!G30/'Historical Financials'!G25</f>
        <v>170.639658974</v>
      </c>
      <c r="K36704" s="16" t="n">
        <f aca="false">K36699*'Historical Financials'!G30/'Historical Financials'!G25</f>
        <v>172.34605556374</v>
      </c>
    </row>
    <row r="36705" customFormat="false" ht="15" hidden="false" customHeight="false" outlineLevel="0" collapsed="false">
      <c r="A36705" s="3" t="s">
        <v>308</v>
      </c>
      <c r="G36705" s="16" t="n">
        <f aca="false">G36699*'Historical Financials'!G31/'Historical Financials'!G25</f>
        <v>0</v>
      </c>
      <c r="H36705" s="16" t="n">
        <f aca="false">H36699*'Historical Financials'!G31/'Historical Financials'!G25</f>
        <v>0</v>
      </c>
      <c r="I36705" s="16" t="n">
        <f aca="false">I36699*'Historical Financials'!G31/'Historical Financials'!G25</f>
        <v>0</v>
      </c>
      <c r="J36705" s="16" t="n">
        <f aca="false">J36699*'Historical Financials'!G31/'Historical Financials'!G25</f>
        <v>0</v>
      </c>
      <c r="K36705" s="16" t="n">
        <f aca="false">K36699*'Historical Financials'!G31/'Historical Financials'!G25</f>
        <v>0</v>
      </c>
    </row>
    <row r="36706" customFormat="false" ht="15" hidden="false" customHeight="false" outlineLevel="0" collapsed="false">
      <c r="A36706" s="2" t="s">
        <v>309</v>
      </c>
      <c r="G36706" s="17" t="n">
        <f aca="false">G36703-G36704-G36705</f>
        <v>60.02135</v>
      </c>
      <c r="H36706" s="17" t="n">
        <f aca="false">H36703-H36704-H36705</f>
        <v>51.405583493</v>
      </c>
      <c r="I36706" s="17" t="n">
        <f aca="false">I36703-I36704-I36705</f>
        <v>51.405583493</v>
      </c>
      <c r="J36706" s="17" t="n">
        <f aca="false">J36703-J36704-J36705</f>
        <v>54.21406508362</v>
      </c>
      <c r="K36706" s="17" t="n">
        <f aca="false">K36703-K36704-K36705</f>
        <v>57.0735757477031</v>
      </c>
    </row>
    <row r="36707" customFormat="false" ht="15" hidden="false" customHeight="false" outlineLevel="0" collapsed="false">
      <c r="A36707" s="3" t="s">
        <v>310</v>
      </c>
      <c r="G36707" s="16" t="n">
        <f aca="false">G36733+G36746+G36759+G36772+G36785+G36798+G36811+G36824+G36837+G36850</f>
        <v>187.3888354</v>
      </c>
      <c r="H36707" s="16" t="n">
        <f aca="false">H36733+H36746+H36759+H36772+H36785+H36798+H36811+H36824+H36837+H36850</f>
        <v>186.2509204</v>
      </c>
      <c r="I36707" s="16" t="n">
        <f aca="false">I36733+I36746+I36759+I36772+I36785+I36798+I36811+I36824+I36837+I36850</f>
        <v>182.7365265363</v>
      </c>
      <c r="J36707" s="16" t="n">
        <f aca="false">J36733+J36746+J36759+J36772+J36785+J36798+J36811+J36824+J36837+J36850</f>
        <v>182.3265265363</v>
      </c>
      <c r="K36707" s="16" t="n">
        <f aca="false">K36733+K36746+K36759+K36772+K36785+K36798+K36811+K36824+K36837+K36850</f>
        <v>181.9165265363</v>
      </c>
    </row>
    <row r="36708" customFormat="false" ht="15" hidden="false" customHeight="false" outlineLevel="0" collapsed="false">
      <c r="A36708" s="3" t="s">
        <v>311</v>
      </c>
      <c r="G36708" s="16" t="n">
        <f aca="false">G36734+G36747+G36760+G36773+G36786+G36799+G36812+G36825+G36838+G36851</f>
        <v>0</v>
      </c>
      <c r="H36708" s="16" t="n">
        <f aca="false">H36734+H36747+H36760+H36773+H36786+H36799+H36812+H36825+H36838+H36851</f>
        <v>0</v>
      </c>
      <c r="I36708" s="16" t="n">
        <f aca="false">I36734+I36747+I36760+I36773+I36786+I36799+I36812+I36825+I36838+I36851</f>
        <v>0</v>
      </c>
      <c r="J36708" s="16" t="n">
        <f aca="false">J36734+J36747+J36760+J36773+J36786+J36799+J36812+J36825+J36838+J36851</f>
        <v>0</v>
      </c>
      <c r="K36708" s="16" t="n">
        <f aca="false">K36734+K36747+K36760+K36773+K36786+K36799+K36812+K36825+K36838+K36851</f>
        <v>0</v>
      </c>
    </row>
    <row r="36709" customFormat="false" ht="15" hidden="false" customHeight="false" outlineLevel="0" collapsed="false">
      <c r="A36709" s="3" t="s">
        <v>283</v>
      </c>
      <c r="G36709" s="16" t="n">
        <f aca="false">G36707+G36708</f>
        <v>187.3888354</v>
      </c>
      <c r="H36709" s="16" t="n">
        <f aca="false">H36707+H36708</f>
        <v>186.2509204</v>
      </c>
      <c r="I36709" s="16" t="n">
        <f aca="false">I36707+I36708</f>
        <v>182.7365265363</v>
      </c>
      <c r="J36709" s="16" t="n">
        <f aca="false">J36707+J36708</f>
        <v>182.3265265363</v>
      </c>
      <c r="K36709" s="16" t="n">
        <f aca="false">K36707+K36708</f>
        <v>181.9165265363</v>
      </c>
    </row>
    <row r="36710" customFormat="false" ht="15" hidden="false" customHeight="false" outlineLevel="0" collapsed="false">
      <c r="A36710" s="2" t="s">
        <v>284</v>
      </c>
      <c r="G36710" s="17" t="n">
        <f aca="false">G36706-G36709</f>
        <v>-127.3674854</v>
      </c>
      <c r="H36710" s="17" t="n">
        <f aca="false">H36706-H36709</f>
        <v>-134.845336907</v>
      </c>
      <c r="I36710" s="17" t="n">
        <f aca="false">I36706-I36709</f>
        <v>-131.3309430433</v>
      </c>
      <c r="J36710" s="17" t="n">
        <f aca="false">J36706-J36709</f>
        <v>-128.112461452679</v>
      </c>
      <c r="K36710" s="17" t="n">
        <f aca="false">K36706-K36709</f>
        <v>-124.842950788596</v>
      </c>
    </row>
    <row r="36711" customFormat="false" ht="15" hidden="false" customHeight="false" outlineLevel="0" collapsed="false">
      <c r="A36711" s="3" t="s">
        <v>312</v>
      </c>
      <c r="G36711" s="16" t="n">
        <f aca="false">MAX(0,G36710)*Assumptions!$C$9</f>
        <v>0</v>
      </c>
      <c r="H36711" s="16" t="n">
        <f aca="false">MAX(0,H36710)*Assumptions!$C$9</f>
        <v>0</v>
      </c>
      <c r="I36711" s="16" t="n">
        <f aca="false">MAX(0,I36710)*Assumptions!$C$9</f>
        <v>0</v>
      </c>
      <c r="J36711" s="16" t="n">
        <f aca="false">MAX(0,J36710)*Assumptions!$C$9</f>
        <v>0</v>
      </c>
      <c r="K36711" s="16" t="n">
        <f aca="false">MAX(0,K36710)*Assumptions!$C$9</f>
        <v>0</v>
      </c>
    </row>
    <row r="36712" customFormat="false" ht="15" hidden="false" customHeight="false" outlineLevel="0" collapsed="false">
      <c r="A36712" s="2" t="s">
        <v>313</v>
      </c>
      <c r="G36712" s="17" t="n">
        <f aca="false">G36710-G36711</f>
        <v>-127.3674854</v>
      </c>
      <c r="H36712" s="17" t="n">
        <f aca="false">H36710-H36711</f>
        <v>-134.845336907</v>
      </c>
      <c r="I36712" s="17" t="n">
        <f aca="false">I36710-I36711</f>
        <v>-131.3309430433</v>
      </c>
      <c r="J36712" s="17" t="n">
        <f aca="false">J36710-J36711</f>
        <v>-128.112461452679</v>
      </c>
      <c r="K36712" s="17" t="n">
        <f aca="false">K36710-K36711</f>
        <v>-124.842950788596</v>
      </c>
    </row>
    <row r="36713" customFormat="false" ht="15" hidden="false" customHeight="false" outlineLevel="0" collapsed="false">
      <c r="A36713" s="24" t="s">
        <v>314</v>
      </c>
      <c r="B36713" s="25"/>
      <c r="C36713" s="25"/>
      <c r="D36713" s="25"/>
      <c r="E36713" s="25"/>
      <c r="F36713" s="25"/>
      <c r="G36713" s="25"/>
      <c r="H36713" s="25"/>
      <c r="I36713" s="25"/>
      <c r="J36713" s="25"/>
      <c r="K36713" s="25"/>
    </row>
    <row r="36714" customFormat="false" ht="15" hidden="false" customHeight="false" outlineLevel="0" collapsed="false">
      <c r="A36714" s="3" t="s">
        <v>184</v>
      </c>
      <c r="G36714" s="16" t="n">
        <f aca="false">G36699*CHOOSE($C$36686,Assumptions!$C$83,Assumptions!$C$102,Assumptions!$C$121)</f>
        <v>84.3108372</v>
      </c>
      <c r="H36714" s="16" t="n">
        <f aca="false">H36699*CHOOSE($C$36686,Assumptions!$C$83,Assumptions!$C$102,Assumptions!$C$121)</f>
        <v>81.781512084</v>
      </c>
      <c r="I36714" s="16" t="n">
        <f aca="false">I36699*CHOOSE($C$36686,Assumptions!$C$83,Assumptions!$C$102,Assumptions!$C$121)</f>
        <v>81.781512084</v>
      </c>
      <c r="J36714" s="16" t="n">
        <f aca="false">J36699*CHOOSE($C$36686,Assumptions!$C$83,Assumptions!$C$102,Assumptions!$C$121)</f>
        <v>82.59932720484</v>
      </c>
      <c r="K36714" s="16" t="n">
        <f aca="false">K36699*CHOOSE($C$36686,Assumptions!$C$83,Assumptions!$C$102,Assumptions!$C$121)</f>
        <v>83.4253204768884</v>
      </c>
    </row>
    <row r="36715" customFormat="false" ht="15" hidden="false" customHeight="false" outlineLevel="0" collapsed="false">
      <c r="A36715" s="3" t="s">
        <v>315</v>
      </c>
      <c r="G36715" s="16" t="n">
        <f aca="false">CHOOSE($C$36686,Assumptions!$C$84,Assumptions!$C$103,Assumptions!$C$122)*(G36699-F36699)+CHOOSE($C$36686,Assumptions!$C$85,Assumptions!$C$104,Assumptions!$C$123)*G36699</f>
        <v>23.419677</v>
      </c>
      <c r="H36715" s="16" t="n">
        <f aca="false">CHOOSE($C$36686,Assumptions!$C$84,Assumptions!$C$103,Assumptions!$C$122)*(H36699-G36699)+CHOOSE($C$36686,Assumptions!$C$85,Assumptions!$C$104,Assumptions!$C$123)*H36699</f>
        <v>22.71708669</v>
      </c>
      <c r="I36715" s="16" t="n">
        <f aca="false">CHOOSE($C$36686,Assumptions!$C$84,Assumptions!$C$103,Assumptions!$C$122)*(I36699-H36699)+CHOOSE($C$36686,Assumptions!$C$85,Assumptions!$C$104,Assumptions!$C$123)*I36699</f>
        <v>22.71708669</v>
      </c>
      <c r="J36715" s="16" t="n">
        <f aca="false">CHOOSE($C$36686,Assumptions!$C$84,Assumptions!$C$103,Assumptions!$C$122)*(J36699-I36699)+CHOOSE($C$36686,Assumptions!$C$85,Assumptions!$C$104,Assumptions!$C$123)*J36699</f>
        <v>22.9442575569</v>
      </c>
      <c r="K36715" s="16" t="n">
        <f aca="false">CHOOSE($C$36686,Assumptions!$C$84,Assumptions!$C$103,Assumptions!$C$122)*(K36699-J36699)+CHOOSE($C$36686,Assumptions!$C$85,Assumptions!$C$104,Assumptions!$C$123)*K36699</f>
        <v>23.173700132469</v>
      </c>
    </row>
    <row r="36716" customFormat="false" ht="15" hidden="false" customHeight="false" outlineLevel="0" collapsed="false">
      <c r="A36716" s="2" t="s">
        <v>316</v>
      </c>
      <c r="G36716" s="17" t="n">
        <f aca="false">G36712+G36704+G36705+G36708-G36714-G36715</f>
        <v>-60.9225796</v>
      </c>
      <c r="H36716" s="17" t="n">
        <f aca="false">H36712+H36704+H36705+H36708-H36714-H36715</f>
        <v>-70.393778281</v>
      </c>
      <c r="I36716" s="17" t="n">
        <f aca="false">I36712+I36704+I36705+I36708-I36714-I36715</f>
        <v>-66.8793844172995</v>
      </c>
      <c r="J36716" s="17" t="n">
        <f aca="false">J36712+J36704+J36705+J36708-J36714-J36715</f>
        <v>-63.0163872404195</v>
      </c>
      <c r="K36716" s="17" t="n">
        <f aca="false">K36712+K36704+K36705+K36708-K36714-K36715</f>
        <v>-59.0959158342138</v>
      </c>
    </row>
    <row r="36718" customFormat="false" ht="15" hidden="false" customHeight="false" outlineLevel="0" collapsed="false">
      <c r="A36718" s="24" t="s">
        <v>318</v>
      </c>
      <c r="B36718" s="25"/>
      <c r="C36718" s="25"/>
      <c r="D36718" s="25"/>
      <c r="E36718" s="25"/>
      <c r="F36718" s="25"/>
      <c r="G36718" s="25"/>
      <c r="H36718" s="25"/>
      <c r="I36718" s="25"/>
      <c r="J36718" s="25"/>
      <c r="K36718" s="25"/>
    </row>
    <row r="36719" customFormat="false" ht="15" hidden="false" customHeight="false" outlineLevel="0" collapsed="false">
      <c r="A36719" s="3" t="s">
        <v>319</v>
      </c>
      <c r="G36719" s="30" t="n">
        <f aca="false">Assumptions!$G$53</f>
        <v>0.039</v>
      </c>
      <c r="H36719" s="30" t="n">
        <f aca="false">Assumptions!$H$53</f>
        <v>0.0375</v>
      </c>
      <c r="I36719" s="30" t="n">
        <f aca="false">Assumptions!$I$53</f>
        <v>0.035</v>
      </c>
      <c r="J36719" s="30" t="n">
        <f aca="false">Assumptions!$J$53</f>
        <v>0.035</v>
      </c>
      <c r="K36719" s="30" t="n">
        <f aca="false">Assumptions!$K$53</f>
        <v>0.035</v>
      </c>
    </row>
    <row r="36720" customFormat="false" ht="15" hidden="false" customHeight="false" outlineLevel="0" collapsed="false">
      <c r="A36720" s="3" t="s">
        <v>320</v>
      </c>
      <c r="C36720" s="31" t="n">
        <f aca="false">CHOOSE($C$36686,Assumptions!$C$86,Assumptions!$C$105,Assumptions!$C$124)+$C$36689</f>
        <v>0.015</v>
      </c>
    </row>
    <row r="36721" customFormat="false" ht="15" hidden="false" customHeight="false" outlineLevel="0" collapsed="false">
      <c r="A36721" s="3" t="s">
        <v>321</v>
      </c>
      <c r="C36721" s="31" t="n">
        <f aca="false">CHOOSE($C$36686,Assumptions!$C$87,Assumptions!$C$106,Assumptions!$C$125)</f>
        <v>0.1</v>
      </c>
    </row>
    <row r="36722" customFormat="false" ht="15" hidden="false" customHeight="false" outlineLevel="0" collapsed="false">
      <c r="A36722" s="3" t="s">
        <v>322</v>
      </c>
      <c r="C36722" s="32" t="n">
        <f aca="false">CHOOSE($C$36686,Assumptions!$C$88,Assumptions!$C$107,Assumptions!$C$126)</f>
        <v>9.5</v>
      </c>
    </row>
    <row r="36723" customFormat="false" ht="15" hidden="false" customHeight="false" outlineLevel="0" collapsed="false">
      <c r="A36723" s="3" t="s">
        <v>323</v>
      </c>
      <c r="C36723" s="32" t="n">
        <f aca="false">CHOOSE($C$36686,Assumptions!$C$89,Assumptions!$C$108,Assumptions!$C$127)</f>
        <v>1.5</v>
      </c>
    </row>
    <row r="36724" customFormat="false" ht="15" hidden="false" customHeight="false" outlineLevel="0" collapsed="false">
      <c r="A36724" s="3" t="s">
        <v>324</v>
      </c>
      <c r="G36724" s="16" t="n">
        <f aca="false">G36729+G36742+G36755+G36768+G36781+G36794+G36807+G36820+G36833+G36846</f>
        <v>2625.934</v>
      </c>
      <c r="H36724" s="16" t="n">
        <f aca="false">H36729+H36742+H36755+H36768+H36781+H36794+H36807+H36820+H36833+H36846</f>
        <v>2621.934</v>
      </c>
      <c r="I36724" s="16" t="n">
        <f aca="false">I36729+I36742+I36755+I36768+I36781+I36794+I36807+I36820+I36833+I36846</f>
        <v>2569.380357881</v>
      </c>
      <c r="J36724" s="16" t="n">
        <f aca="false">J36729+J36742+J36755+J36768+J36781+J36794+J36807+J36820+J36833+J36846</f>
        <v>2565.380357881</v>
      </c>
      <c r="K36724" s="16" t="n">
        <f aca="false">K36729+K36742+K36755+K36768+K36781+K36794+K36807+K36820+K36833+K36846</f>
        <v>2561.380357881</v>
      </c>
    </row>
    <row r="36725" customFormat="false" ht="15" hidden="false" customHeight="false" outlineLevel="0" collapsed="false">
      <c r="A36725" s="3" t="s">
        <v>325</v>
      </c>
      <c r="G36725" s="16" t="n">
        <f aca="false">F36917</f>
        <v>37.87</v>
      </c>
      <c r="H36725" s="16" t="n">
        <f aca="false">G36917</f>
        <v>122.9474204</v>
      </c>
      <c r="I36725" s="16" t="n">
        <f aca="false">H36917</f>
        <v>0</v>
      </c>
      <c r="J36725" s="16" t="n">
        <f aca="false">I36917</f>
        <v>-70.8793844172995</v>
      </c>
      <c r="K36725" s="16" t="n">
        <f aca="false">J36917</f>
        <v>-137.895771657719</v>
      </c>
    </row>
    <row r="36726" customFormat="false" ht="15" hidden="false" customHeight="false" outlineLevel="0" collapsed="false">
      <c r="A36726" s="3" t="s">
        <v>326</v>
      </c>
      <c r="G36726" s="16" t="n">
        <f aca="false">G36729*IF(G36730=1,$C$36721,IF(Assumptions!$I$57=1,MAX(G36719,Assumptions!$G$57)+Assumptions!$F$57+$C$36720,Assumptions!$E$57))+G36742*IF(G36743=1,$C$36721,IF(Assumptions!$I$58=1,MAX(G36719,Assumptions!$G$58)+Assumptions!$F$58+$C$36720,Assumptions!$E$58))+G36755*IF(G36756=1,$C$36721,IF(Assumptions!$I$59=1,MAX(G36719,Assumptions!$G$59)+Assumptions!$F$59+$C$36720,Assumptions!$E$59))+G36768*IF(G36769=1,$C$36721,IF(Assumptions!$I$60=1,MAX(G36719,Assumptions!$G$60)+Assumptions!$F$60+$C$36720,Assumptions!$E$60))+G36781*IF(G36782=1,$C$36721,IF(Assumptions!$I$61=1,MAX(G36719,Assumptions!$G$61)+Assumptions!$F$61+$C$36720,Assumptions!$E$61))+G36794*IF(G36795=1,$C$36721,IF(Assumptions!$I$62=1,MAX(G36719,Assumptions!$G$62)+Assumptions!$F$62+$C$36720,Assumptions!$E$62))+G36807*IF(G36808=1,$C$36721,IF(Assumptions!$I$63=1,MAX(G36719,Assumptions!$G$63)+Assumptions!$F$63+$C$36720,Assumptions!$E$63))+G36820*IF(G36821=1,$C$36721,IF(Assumptions!$I$64=1,MAX(G36719,Assumptions!$G$64)+Assumptions!$F$64+$C$36720,Assumptions!$E$64))+G36833*IF(G36834=1,$C$36721,IF(Assumptions!$I$65=1,MAX(G36719,Assumptions!$G$65)+Assumptions!$F$65+$C$36720,Assumptions!$E$65))+G36846*IF(G36847=1,$C$36721,IF(Assumptions!$I$66=1,MAX(G36719,Assumptions!$G$66)+Assumptions!$F$66+$C$36720,Assumptions!$E$66))</f>
        <v>187.3888354</v>
      </c>
      <c r="H36726" s="16" t="n">
        <f aca="false">H36729*IF(OR(H36730=1,G37039=1),$C$36721,IF(Assumptions!$I$57=1,MAX(H36719,Assumptions!$G$57)+Assumptions!$F$57+$C$36720,Assumptions!$E$57))+H36742*IF(OR(H36743=1,G37040=1),$C$36721,IF(Assumptions!$I$58=1,MAX(H36719,Assumptions!$G$58)+Assumptions!$F$58+$C$36720,Assumptions!$E$58))+H36755*IF(OR(H36756=1,G37041=1),$C$36721,IF(Assumptions!$I$59=1,MAX(H36719,Assumptions!$G$59)+Assumptions!$F$59+$C$36720,Assumptions!$E$59))+H36768*IF(OR(H36769=1,G37042=1),$C$36721,IF(Assumptions!$I$60=1,MAX(H36719,Assumptions!$G$60)+Assumptions!$F$60+$C$36720,Assumptions!$E$60))+H36781*IF(OR(H36782=1,G37043=1),$C$36721,IF(Assumptions!$I$61=1,MAX(H36719,Assumptions!$G$61)+Assumptions!$F$61+$C$36720,Assumptions!$E$61))+H36794*IF(OR(H36795=1,G37044=1),$C$36721,IF(Assumptions!$I$62=1,MAX(H36719,Assumptions!$G$62)+Assumptions!$F$62+$C$36720,Assumptions!$E$62))+H36807*IF(OR(H36808=1,G37045=1),$C$36721,IF(Assumptions!$I$63=1,MAX(H36719,Assumptions!$G$63)+Assumptions!$F$63+$C$36720,Assumptions!$E$63))+H36820*IF(OR(H36821=1,G37046=1),$C$36721,IF(Assumptions!$I$64=1,MAX(H36719,Assumptions!$G$64)+Assumptions!$F$64+$C$36720,Assumptions!$E$64))+H36833*IF(OR(H36834=1,G37047=1),$C$36721,IF(Assumptions!$I$65=1,MAX(H36719,Assumptions!$G$65)+Assumptions!$F$65+$C$36720,Assumptions!$E$65))+H36846*IF(OR(H36847=1,G37048=1),$C$36721,IF(Assumptions!$I$66=1,MAX(H36719,Assumptions!$G$66)+Assumptions!$F$66+$C$36720,Assumptions!$E$66))</f>
        <v>219.4259204</v>
      </c>
      <c r="I36726" s="16" t="n">
        <f aca="false">I36729*IF(OR(I36730=1,H37039=1),$C$36721,IF(Assumptions!$I$57=1,MAX(I36719,Assumptions!$G$57)+Assumptions!$F$57+$C$36720,Assumptions!$E$57))+I36742*IF(OR(I36743=1,H37040=1),$C$36721,IF(Assumptions!$I$58=1,MAX(I36719,Assumptions!$G$58)+Assumptions!$F$58+$C$36720,Assumptions!$E$58))+I36755*IF(OR(I36756=1,H37041=1),$C$36721,IF(Assumptions!$I$59=1,MAX(I36719,Assumptions!$G$59)+Assumptions!$F$59+$C$36720,Assumptions!$E$59))+I36768*IF(OR(I36769=1,H37042=1),$C$36721,IF(Assumptions!$I$60=1,MAX(I36719,Assumptions!$G$60)+Assumptions!$F$60+$C$36720,Assumptions!$E$60))+I36781*IF(OR(I36782=1,H37043=1),$C$36721,IF(Assumptions!$I$61=1,MAX(I36719,Assumptions!$G$61)+Assumptions!$F$61+$C$36720,Assumptions!$E$61))+I36794*IF(OR(I36795=1,H37044=1),$C$36721,IF(Assumptions!$I$62=1,MAX(I36719,Assumptions!$G$62)+Assumptions!$F$62+$C$36720,Assumptions!$E$62))+I36807*IF(OR(I36808=1,H37045=1),$C$36721,IF(Assumptions!$I$63=1,MAX(I36719,Assumptions!$G$63)+Assumptions!$F$63+$C$36720,Assumptions!$E$63))+I36820*IF(OR(I36821=1,H37046=1),$C$36721,IF(Assumptions!$I$64=1,MAX(I36719,Assumptions!$G$64)+Assumptions!$F$64+$C$36720,Assumptions!$E$64))+I36833*IF(OR(I36834=1,H37047=1),$C$36721,IF(Assumptions!$I$65=1,MAX(I36719,Assumptions!$G$65)+Assumptions!$F$65+$C$36720,Assumptions!$E$65))+I36846*IF(OR(I36847=1,H37048=1),$C$36721,IF(Assumptions!$I$66=1,MAX(I36719,Assumptions!$G$66)+Assumptions!$F$66+$C$36720,Assumptions!$E$66))</f>
        <v>188.9240265363</v>
      </c>
      <c r="J36726" s="16" t="n">
        <f aca="false">J36729*IF(OR(J36730=1,I37039=1),$C$36721,IF(Assumptions!$I$57=1,MAX(J36719,Assumptions!$G$57)+Assumptions!$F$57+$C$36720,Assumptions!$E$57))+J36742*IF(OR(J36743=1,I37040=1),$C$36721,IF(Assumptions!$I$58=1,MAX(J36719,Assumptions!$G$58)+Assumptions!$F$58+$C$36720,Assumptions!$E$58))+J36755*IF(OR(J36756=1,I37041=1),$C$36721,IF(Assumptions!$I$59=1,MAX(J36719,Assumptions!$G$59)+Assumptions!$F$59+$C$36720,Assumptions!$E$59))+J36768*IF(OR(J36769=1,I37042=1),$C$36721,IF(Assumptions!$I$60=1,MAX(J36719,Assumptions!$G$60)+Assumptions!$F$60+$C$36720,Assumptions!$E$60))+J36781*IF(OR(J36782=1,I37043=1),$C$36721,IF(Assumptions!$I$61=1,MAX(J36719,Assumptions!$G$61)+Assumptions!$F$61+$C$36720,Assumptions!$E$61))+J36794*IF(OR(J36795=1,I37044=1),$C$36721,IF(Assumptions!$I$62=1,MAX(J36719,Assumptions!$G$62)+Assumptions!$F$62+$C$36720,Assumptions!$E$62))+J36807*IF(OR(J36808=1,I37045=1),$C$36721,IF(Assumptions!$I$63=1,MAX(J36719,Assumptions!$G$63)+Assumptions!$F$63+$C$36720,Assumptions!$E$63))+J36820*IF(OR(J36821=1,I37046=1),$C$36721,IF(Assumptions!$I$64=1,MAX(J36719,Assumptions!$G$64)+Assumptions!$F$64+$C$36720,Assumptions!$E$64))+J36833*IF(OR(J36834=1,I37047=1),$C$36721,IF(Assumptions!$I$65=1,MAX(J36719,Assumptions!$G$65)+Assumptions!$F$65+$C$36720,Assumptions!$E$65))+J36846*IF(OR(J36847=1,I37048=1),$C$36721,IF(Assumptions!$I$66=1,MAX(J36719,Assumptions!$G$66)+Assumptions!$F$66+$C$36720,Assumptions!$E$66))</f>
        <v>201.401526536299</v>
      </c>
      <c r="K36726" s="16" t="n">
        <f aca="false">K36729*IF(OR(K36730=1,J37039=1),$C$36721,IF(Assumptions!$I$57=1,MAX(K36719,Assumptions!$G$57)+Assumptions!$F$57+$C$36720,Assumptions!$E$57))+K36742*IF(OR(K36743=1,J37040=1),$C$36721,IF(Assumptions!$I$58=1,MAX(K36719,Assumptions!$G$58)+Assumptions!$F$58+$C$36720,Assumptions!$E$58))+K36755*IF(OR(K36756=1,J37041=1),$C$36721,IF(Assumptions!$I$59=1,MAX(K36719,Assumptions!$G$59)+Assumptions!$F$59+$C$36720,Assumptions!$E$59))+K36768*IF(OR(K36769=1,J37042=1),$C$36721,IF(Assumptions!$I$60=1,MAX(K36719,Assumptions!$G$60)+Assumptions!$F$60+$C$36720,Assumptions!$E$60))+K36781*IF(OR(K36782=1,J37043=1),$C$36721,IF(Assumptions!$I$61=1,MAX(K36719,Assumptions!$G$61)+Assumptions!$F$61+$C$36720,Assumptions!$E$61))+K36794*IF(OR(K36795=1,J37044=1),$C$36721,IF(Assumptions!$I$62=1,MAX(K36719,Assumptions!$G$62)+Assumptions!$F$62+$C$36720,Assumptions!$E$62))+K36807*IF(OR(K36808=1,J37045=1),$C$36721,IF(Assumptions!$I$63=1,MAX(K36719,Assumptions!$G$63)+Assumptions!$F$63+$C$36720,Assumptions!$E$63))+K36820*IF(OR(K36821=1,J37046=1),$C$36721,IF(Assumptions!$I$64=1,MAX(K36719,Assumptions!$G$64)+Assumptions!$F$64+$C$36720,Assumptions!$E$64))+K36833*IF(OR(K36834=1,J37047=1),$C$36721,IF(Assumptions!$I$65=1,MAX(K36719,Assumptions!$G$65)+Assumptions!$F$65+$C$36720,Assumptions!$E$65))+K36846*IF(OR(K36847=1,J37048=1),$C$36721,IF(Assumptions!$I$66=1,MAX(K36719,Assumptions!$G$66)+Assumptions!$F$66+$C$36720,Assumptions!$E$66))</f>
        <v>192.5815265363</v>
      </c>
    </row>
    <row r="36727" customFormat="false" ht="15" hidden="false" customHeight="false" outlineLevel="0" collapsed="false">
      <c r="A36727" s="3" t="s">
        <v>327</v>
      </c>
      <c r="G36727" s="21" t="n">
        <f aca="false">IF(G36703&lt;=0,0,IF(AND((G36724-G36725)/G36703&lt;=$C$36722,G36703/G36726&gt;=$C$36723),1,0))</f>
        <v>0</v>
      </c>
      <c r="H36727" s="21" t="n">
        <f aca="false">IF(H36703&lt;=0,0,IF(AND((H36724-H36725)/H36703&lt;=$C$36722,H36703/H36726&gt;=$C$36723),1,0))</f>
        <v>0</v>
      </c>
      <c r="I36727" s="21" t="n">
        <f aca="false">IF(I36703&lt;=0,0,IF(AND((I36724-I36725)/I36703&lt;=$C$36722,I36703/I36726&gt;=$C$36723),1,0))</f>
        <v>0</v>
      </c>
      <c r="J36727" s="21" t="n">
        <f aca="false">IF(J36703&lt;=0,0,IF(AND((J36724-J36725)/J36703&lt;=$C$36722,J36703/J36726&gt;=$C$36723),1,0))</f>
        <v>0</v>
      </c>
      <c r="K36727" s="21" t="n">
        <f aca="false">IF(K36703&lt;=0,0,IF(AND((K36724-K36725)/K36703&lt;=$C$36722,K36703/K36726&gt;=$C$36723),1,0))</f>
        <v>0</v>
      </c>
    </row>
    <row r="36728" customFormat="false" ht="15" hidden="false" customHeight="false" outlineLevel="0" collapsed="false">
      <c r="A36728" s="24" t="s">
        <v>328</v>
      </c>
      <c r="B36728" s="25"/>
      <c r="C36728" s="25"/>
      <c r="D36728" s="25"/>
      <c r="E36728" s="25"/>
      <c r="F36728" s="25"/>
      <c r="G36728" s="25"/>
      <c r="H36728" s="25"/>
      <c r="I36728" s="25"/>
      <c r="J36728" s="25"/>
      <c r="K36728" s="25"/>
    </row>
    <row r="36729" customFormat="false" ht="15" hidden="false" customHeight="false" outlineLevel="0" collapsed="false">
      <c r="A36729" s="3" t="s">
        <v>329</v>
      </c>
      <c r="G36729" s="16" t="n">
        <f aca="false">F36740</f>
        <v>400</v>
      </c>
      <c r="H36729" s="16" t="n">
        <f aca="false">G36740</f>
        <v>396</v>
      </c>
      <c r="I36729" s="16" t="n">
        <f aca="false">H36740</f>
        <v>392</v>
      </c>
      <c r="J36729" s="16" t="n">
        <f aca="false">I36740</f>
        <v>388</v>
      </c>
      <c r="K36729" s="16" t="n">
        <f aca="false">J36740</f>
        <v>384</v>
      </c>
    </row>
    <row r="36730" customFormat="false" ht="15" hidden="false" customHeight="false" outlineLevel="0" collapsed="false">
      <c r="A36730" s="3" t="s">
        <v>330</v>
      </c>
      <c r="G36730" s="21" t="n">
        <f aca="false">IF(G36693=Assumptions!$K$57,1,0)</f>
        <v>0</v>
      </c>
      <c r="H36730" s="21" t="n">
        <f aca="false">IF(H36693=Assumptions!$K$57,1,0)</f>
        <v>0</v>
      </c>
      <c r="I36730" s="21" t="n">
        <f aca="false">IF(I36693=Assumptions!$K$57,1,0)</f>
        <v>0</v>
      </c>
      <c r="J36730" s="21" t="n">
        <f aca="false">IF(J36693=Assumptions!$K$57,1,0)</f>
        <v>0</v>
      </c>
      <c r="K36730" s="21" t="n">
        <f aca="false">IF(K36693=Assumptions!$K$57,1,0)</f>
        <v>1</v>
      </c>
    </row>
    <row r="36732" customFormat="false" ht="15" hidden="false" customHeight="false" outlineLevel="0" collapsed="false">
      <c r="A36732" s="3" t="s">
        <v>331</v>
      </c>
      <c r="G36732" s="31" t="n">
        <f aca="false">IF(Assumptions!$I$57=1,MAX(G36719,Assumptions!$G$57)+Assumptions!$F$57+$C$36720,Assumptions!$E$57)</f>
        <v>0.1065</v>
      </c>
      <c r="H36732" s="31" t="n">
        <f aca="false">IF(G37039=1,$C$36721,IF(Assumptions!$I$57=1,MAX(H36719,Assumptions!$G$57)+Assumptions!$F$57+$C$36720,Assumptions!$E$57))</f>
        <v>0.105</v>
      </c>
      <c r="I36732" s="31" t="n">
        <f aca="false">IF(H37039=1,$C$36721,IF(Assumptions!$I$57=1,MAX(I36719,Assumptions!$G$57)+Assumptions!$F$57+$C$36720,Assumptions!$E$57))</f>
        <v>0.1025</v>
      </c>
      <c r="J36732" s="31" t="n">
        <f aca="false">IF(I37039=1,$C$36721,IF(Assumptions!$I$57=1,MAX(J36719,Assumptions!$G$57)+Assumptions!$F$57+$C$36720,Assumptions!$E$57))</f>
        <v>0.1025</v>
      </c>
      <c r="K36732" s="31" t="n">
        <f aca="false">IF(J37039=1,$C$36721,IF(Assumptions!$I$57=1,MAX(K36719,Assumptions!$G$57)+Assumptions!$F$57+$C$36720,Assumptions!$E$57))</f>
        <v>0.1025</v>
      </c>
    </row>
    <row r="36733" customFormat="false" ht="15" hidden="false" customHeight="false" outlineLevel="0" collapsed="false">
      <c r="A36733" s="3" t="s">
        <v>332</v>
      </c>
      <c r="G36733" s="16" t="n">
        <f aca="false">G36729*G36732</f>
        <v>42.6</v>
      </c>
      <c r="H36733" s="16" t="n">
        <f aca="false">H36729*H36732</f>
        <v>41.58</v>
      </c>
      <c r="I36733" s="16" t="n">
        <f aca="false">I36729*I36732</f>
        <v>40.18</v>
      </c>
      <c r="J36733" s="16" t="n">
        <f aca="false">J36729*J36732</f>
        <v>39.77</v>
      </c>
      <c r="K36733" s="16" t="n">
        <f aca="false">K36729*K36732</f>
        <v>39.36</v>
      </c>
    </row>
    <row r="36734" customFormat="false" ht="15" hidden="false" customHeight="false" outlineLevel="0" collapsed="false">
      <c r="A36734" s="3" t="s">
        <v>333</v>
      </c>
      <c r="G36734" s="16" t="n">
        <f aca="false">G36729*Assumptions!$H$57</f>
        <v>0</v>
      </c>
      <c r="H36734" s="16" t="n">
        <f aca="false">H36729*Assumptions!$H$57</f>
        <v>0</v>
      </c>
      <c r="I36734" s="16" t="n">
        <f aca="false">I36729*Assumptions!$H$57</f>
        <v>0</v>
      </c>
      <c r="J36734" s="16" t="n">
        <f aca="false">J36729*Assumptions!$H$57</f>
        <v>0</v>
      </c>
      <c r="K36734" s="16" t="n">
        <f aca="false">K36729*Assumptions!$H$57</f>
        <v>0</v>
      </c>
    </row>
    <row r="36735" customFormat="false" ht="15" hidden="false" customHeight="false" outlineLevel="0" collapsed="false">
      <c r="A36735" s="3" t="s">
        <v>334</v>
      </c>
      <c r="G36735" s="16" t="n">
        <f aca="false">MIN(G36729,Assumptions!$L$57*Assumptions!$C$57)</f>
        <v>4</v>
      </c>
      <c r="H36735" s="16" t="n">
        <f aca="false">MIN(H36729,Assumptions!$L$57*Assumptions!$C$57)</f>
        <v>4</v>
      </c>
      <c r="I36735" s="16" t="n">
        <f aca="false">MIN(I36729,Assumptions!$L$57*Assumptions!$C$57)</f>
        <v>4</v>
      </c>
      <c r="J36735" s="16" t="n">
        <f aca="false">MIN(J36729,Assumptions!$L$57*Assumptions!$C$57)</f>
        <v>4</v>
      </c>
      <c r="K36735" s="16" t="n">
        <f aca="false">MIN(K36729,Assumptions!$L$57*Assumptions!$C$57)</f>
        <v>4</v>
      </c>
    </row>
    <row r="36736" customFormat="false" ht="15" hidden="false" customHeight="false" outlineLevel="0" collapsed="false">
      <c r="A36736" s="3" t="s">
        <v>335</v>
      </c>
      <c r="G36736" s="16" t="n">
        <f aca="false">IF(AND(Assumptions!$P$57=1,G36693&lt;Assumptions!$K$57),MIN(MAX(0,-G36909),MAX(0,Assumptions!$D$57-G36729)),0)</f>
        <v>0</v>
      </c>
      <c r="H36736" s="16" t="n">
        <f aca="false">IF(AND(Assumptions!$P$57=1,OR(H36693&lt;Assumptions!$K$57,G37039=1)),MIN(MAX(0,-H36909),MAX(0,Assumptions!$D$57-H36729)),0)</f>
        <v>0</v>
      </c>
      <c r="I36736" s="16" t="n">
        <f aca="false">IF(AND(Assumptions!$P$57=1,OR(I36693&lt;Assumptions!$K$57,H37039=1)),MIN(MAX(0,-I36909),MAX(0,Assumptions!$D$57-I36729)),0)</f>
        <v>0</v>
      </c>
      <c r="J36736" s="16" t="n">
        <f aca="false">IF(AND(Assumptions!$P$57=1,OR(J36693&lt;Assumptions!$K$57,I37039=1)),MIN(MAX(0,-J36909),MAX(0,Assumptions!$D$57-J36729)),0)</f>
        <v>0</v>
      </c>
      <c r="K36736" s="16" t="n">
        <f aca="false">IF(AND(Assumptions!$P$57=1,OR(K36693&lt;Assumptions!$K$57,J37039=1)),MIN(MAX(0,-K36909),MAX(0,Assumptions!$D$57-K36729)),0)</f>
        <v>0</v>
      </c>
    </row>
    <row r="36737" customFormat="false" ht="15" hidden="false" customHeight="false" outlineLevel="0" collapsed="false">
      <c r="A36737" s="3" t="s">
        <v>336</v>
      </c>
      <c r="G36737" s="16" t="n">
        <f aca="false">G36730*MIN(G36729-G36735+G36734,MAX(0,G36911-Assumptions!$C$12*G36727))</f>
        <v>0</v>
      </c>
      <c r="H36737" s="16" t="n">
        <f aca="false">H36730*MIN(H36729-H36735+H36734,MAX(0,H36911-Assumptions!$C$12*H36727))</f>
        <v>0</v>
      </c>
      <c r="I36737" s="16" t="n">
        <f aca="false">I36730*MIN(I36729-I36735+I36734,MAX(0,I36911-Assumptions!$C$12*I36727))</f>
        <v>0</v>
      </c>
      <c r="J36737" s="16" t="n">
        <f aca="false">J36730*MIN(J36729-J36735+J36734,MAX(0,J36911-Assumptions!$C$12*J36727))</f>
        <v>0</v>
      </c>
      <c r="K36737" s="16" t="n">
        <f aca="false">K36730*MIN(K36729-K36735+K36734,MAX(0,K36911-Assumptions!$C$12*K36727))</f>
        <v>0</v>
      </c>
    </row>
    <row r="36738" customFormat="false" ht="15" hidden="false" customHeight="false" outlineLevel="0" collapsed="false">
      <c r="A36738" s="3" t="s">
        <v>337</v>
      </c>
      <c r="G36738" s="16" t="n">
        <f aca="false">Assumptions!$N$57*MIN(G36729+G36736+G36734-G36735-G36737,MAX(0,G36915))</f>
        <v>0</v>
      </c>
      <c r="H36738" s="16" t="n">
        <f aca="false">Assumptions!$N$57*MIN(H36729+H36736+H36734-H36735-H36737,MAX(0,H36915))</f>
        <v>0</v>
      </c>
      <c r="I36738" s="16" t="n">
        <f aca="false">Assumptions!$N$57*MIN(I36729+I36736+I36734-I36735-I36737,MAX(0,I36915))</f>
        <v>0</v>
      </c>
      <c r="J36738" s="16" t="n">
        <f aca="false">Assumptions!$N$57*MIN(J36729+J36736+J36734-J36735-J36737,MAX(0,J36915))</f>
        <v>0</v>
      </c>
      <c r="K36738" s="16" t="n">
        <f aca="false">Assumptions!$N$57*MIN(K36729+K36736+K36734-K36735-K36737,MAX(0,K36915))</f>
        <v>0</v>
      </c>
    </row>
    <row r="36739" customFormat="false" ht="15" hidden="false" customHeight="false" outlineLevel="0" collapsed="false">
      <c r="A36739" s="3" t="s">
        <v>338</v>
      </c>
      <c r="G36739" s="16" t="n">
        <f aca="false">G36730*(1-G36727)*(G36729-G36735+G36734-G36737)</f>
        <v>0</v>
      </c>
      <c r="H36739" s="16" t="n">
        <f aca="false">H36730*(1-H36727)*(H36729-H36735+H36734-H36737)</f>
        <v>0</v>
      </c>
      <c r="I36739" s="16" t="n">
        <f aca="false">I36730*(1-I36727)*(I36729-I36735+I36734-I36737)</f>
        <v>0</v>
      </c>
      <c r="J36739" s="16" t="n">
        <f aca="false">J36730*(1-J36727)*(J36729-J36735+J36734-J36737)</f>
        <v>0</v>
      </c>
      <c r="K36739" s="16" t="n">
        <f aca="false">K36730*(1-K36727)*(K36729-K36735+K36734-K36737)</f>
        <v>380</v>
      </c>
    </row>
    <row r="36740" customFormat="false" ht="15" hidden="false" customHeight="false" outlineLevel="0" collapsed="false">
      <c r="A36740" s="2" t="s">
        <v>339</v>
      </c>
      <c r="F36740" s="28" t="n">
        <f aca="false">Assumptions!$C$57</f>
        <v>400</v>
      </c>
      <c r="G36740" s="17" t="n">
        <f aca="false">G36729+G36736+G36734-G36735-G36737-G36738</f>
        <v>396</v>
      </c>
      <c r="H36740" s="17" t="n">
        <f aca="false">H36729+H36736+H36734-H36735-H36737-H36738</f>
        <v>392</v>
      </c>
      <c r="I36740" s="17" t="n">
        <f aca="false">I36729+I36736+I36734-I36735-I36737-I36738</f>
        <v>388</v>
      </c>
      <c r="J36740" s="17" t="n">
        <f aca="false">J36729+J36736+J36734-J36735-J36737-J36738</f>
        <v>384</v>
      </c>
      <c r="K36740" s="17" t="n">
        <f aca="false">K36729+K36736+K36734-K36735-K36737-K36738</f>
        <v>380</v>
      </c>
    </row>
    <row r="36741" customFormat="false" ht="15" hidden="false" customHeight="false" outlineLevel="0" collapsed="false">
      <c r="A36741" s="24" t="s">
        <v>340</v>
      </c>
      <c r="B36741" s="25"/>
      <c r="C36741" s="25"/>
      <c r="D36741" s="25"/>
      <c r="E36741" s="25"/>
      <c r="F36741" s="25"/>
      <c r="G36741" s="25"/>
      <c r="H36741" s="25"/>
      <c r="I36741" s="25"/>
      <c r="J36741" s="25"/>
      <c r="K36741" s="25"/>
    </row>
    <row r="36742" customFormat="false" ht="15" hidden="false" customHeight="false" outlineLevel="0" collapsed="false">
      <c r="A36742" s="3" t="s">
        <v>329</v>
      </c>
      <c r="G36742" s="16" t="n">
        <f aca="false">F36753</f>
        <v>90</v>
      </c>
      <c r="H36742" s="16" t="n">
        <f aca="false">G36753</f>
        <v>90</v>
      </c>
      <c r="I36742" s="16" t="n">
        <f aca="false">H36753</f>
        <v>90</v>
      </c>
      <c r="J36742" s="16" t="n">
        <f aca="false">I36753</f>
        <v>90</v>
      </c>
      <c r="K36742" s="16" t="n">
        <f aca="false">J36753</f>
        <v>90</v>
      </c>
    </row>
    <row r="36743" customFormat="false" ht="15" hidden="false" customHeight="false" outlineLevel="0" collapsed="false">
      <c r="A36743" s="3" t="s">
        <v>330</v>
      </c>
      <c r="G36743" s="21" t="n">
        <f aca="false">IF(G36693=Assumptions!$K$58,1,0)</f>
        <v>0</v>
      </c>
      <c r="H36743" s="21" t="n">
        <f aca="false">IF(H36693=Assumptions!$K$58,1,0)</f>
        <v>0</v>
      </c>
      <c r="I36743" s="21" t="n">
        <f aca="false">IF(I36693=Assumptions!$K$58,1,0)</f>
        <v>0</v>
      </c>
      <c r="J36743" s="21" t="n">
        <f aca="false">IF(J36693=Assumptions!$K$58,1,0)</f>
        <v>0</v>
      </c>
      <c r="K36743" s="21" t="n">
        <f aca="false">IF(K36693=Assumptions!$K$58,1,0)</f>
        <v>0</v>
      </c>
    </row>
    <row r="36745" customFormat="false" ht="15" hidden="false" customHeight="false" outlineLevel="0" collapsed="false">
      <c r="A36745" s="3" t="s">
        <v>331</v>
      </c>
      <c r="G36745" s="31" t="n">
        <f aca="false">IF(Assumptions!$I$58=1,MAX(G36719,Assumptions!$G$58)+Assumptions!$F$58+$C$36720,Assumptions!$E$58)</f>
        <v>0.0581</v>
      </c>
      <c r="H36745" s="31" t="n">
        <f aca="false">IF(G37040=1,$C$36721,IF(Assumptions!$I$58=1,MAX(H36719,Assumptions!$G$58)+Assumptions!$F$58+$C$36720,Assumptions!$E$58))</f>
        <v>0.0581</v>
      </c>
      <c r="I36745" s="31" t="n">
        <f aca="false">IF(H37040=1,$C$36721,IF(Assumptions!$I$58=1,MAX(I36719,Assumptions!$G$58)+Assumptions!$F$58+$C$36720,Assumptions!$E$58))</f>
        <v>0.0581</v>
      </c>
      <c r="J36745" s="31" t="n">
        <f aca="false">IF(I37040=1,$C$36721,IF(Assumptions!$I$58=1,MAX(J36719,Assumptions!$G$58)+Assumptions!$F$58+$C$36720,Assumptions!$E$58))</f>
        <v>0.0581</v>
      </c>
      <c r="K36745" s="31" t="n">
        <f aca="false">IF(J37040=1,$C$36721,IF(Assumptions!$I$58=1,MAX(K36719,Assumptions!$G$58)+Assumptions!$F$58+$C$36720,Assumptions!$E$58))</f>
        <v>0.0581</v>
      </c>
    </row>
    <row r="36746" customFormat="false" ht="15" hidden="false" customHeight="false" outlineLevel="0" collapsed="false">
      <c r="A36746" s="3" t="s">
        <v>332</v>
      </c>
      <c r="G36746" s="16" t="n">
        <f aca="false">G36742*G36745</f>
        <v>5.229</v>
      </c>
      <c r="H36746" s="16" t="n">
        <f aca="false">H36742*H36745</f>
        <v>5.229</v>
      </c>
      <c r="I36746" s="16" t="n">
        <f aca="false">I36742*I36745</f>
        <v>5.229</v>
      </c>
      <c r="J36746" s="16" t="n">
        <f aca="false">J36742*J36745</f>
        <v>5.229</v>
      </c>
      <c r="K36746" s="16" t="n">
        <f aca="false">K36742*K36745</f>
        <v>5.229</v>
      </c>
    </row>
    <row r="36747" customFormat="false" ht="15" hidden="false" customHeight="false" outlineLevel="0" collapsed="false">
      <c r="A36747" s="3" t="s">
        <v>333</v>
      </c>
      <c r="G36747" s="16" t="n">
        <f aca="false">G36742*Assumptions!$H$58</f>
        <v>0</v>
      </c>
      <c r="H36747" s="16" t="n">
        <f aca="false">H36742*Assumptions!$H$58</f>
        <v>0</v>
      </c>
      <c r="I36747" s="16" t="n">
        <f aca="false">I36742*Assumptions!$H$58</f>
        <v>0</v>
      </c>
      <c r="J36747" s="16" t="n">
        <f aca="false">J36742*Assumptions!$H$58</f>
        <v>0</v>
      </c>
      <c r="K36747" s="16" t="n">
        <f aca="false">K36742*Assumptions!$H$58</f>
        <v>0</v>
      </c>
    </row>
    <row r="36748" customFormat="false" ht="15" hidden="false" customHeight="false" outlineLevel="0" collapsed="false">
      <c r="A36748" s="3" t="s">
        <v>334</v>
      </c>
      <c r="G36748" s="16" t="n">
        <f aca="false">MIN(G36742,Assumptions!$L$58*Assumptions!$C$58)</f>
        <v>0</v>
      </c>
      <c r="H36748" s="16" t="n">
        <f aca="false">MIN(H36742,Assumptions!$L$58*Assumptions!$C$58)</f>
        <v>0</v>
      </c>
      <c r="I36748" s="16" t="n">
        <f aca="false">MIN(I36742,Assumptions!$L$58*Assumptions!$C$58)</f>
        <v>0</v>
      </c>
      <c r="J36748" s="16" t="n">
        <f aca="false">MIN(J36742,Assumptions!$L$58*Assumptions!$C$58)</f>
        <v>0</v>
      </c>
      <c r="K36748" s="16" t="n">
        <f aca="false">MIN(K36742,Assumptions!$L$58*Assumptions!$C$58)</f>
        <v>0</v>
      </c>
    </row>
    <row r="36749" customFormat="false" ht="15" hidden="false" customHeight="false" outlineLevel="0" collapsed="false">
      <c r="A36749" s="3" t="s">
        <v>335</v>
      </c>
      <c r="G36749" s="16" t="n">
        <f aca="false">IF(AND(Assumptions!$P$58=1,G36693&lt;Assumptions!$K$58),MIN(MAX(0,-G36909),MAX(0,Assumptions!$D$58-G36742)),0)</f>
        <v>0</v>
      </c>
      <c r="H36749" s="16" t="n">
        <f aca="false">IF(AND(Assumptions!$P$58=1,OR(H36693&lt;Assumptions!$K$58,G37040=1)),MIN(MAX(0,-H36909),MAX(0,Assumptions!$D$58-H36742)),0)</f>
        <v>0</v>
      </c>
      <c r="I36749" s="16" t="n">
        <f aca="false">IF(AND(Assumptions!$P$58=1,OR(I36693&lt;Assumptions!$K$58,H37040=1)),MIN(MAX(0,-I36909),MAX(0,Assumptions!$D$58-I36742)),0)</f>
        <v>0</v>
      </c>
      <c r="J36749" s="16" t="n">
        <f aca="false">IF(AND(Assumptions!$P$58=1,OR(J36693&lt;Assumptions!$K$58,I37040=1)),MIN(MAX(0,-J36909),MAX(0,Assumptions!$D$58-J36742)),0)</f>
        <v>0</v>
      </c>
      <c r="K36749" s="16" t="n">
        <f aca="false">IF(AND(Assumptions!$P$58=1,OR(K36693&lt;Assumptions!$K$58,J37040=1)),MIN(MAX(0,-K36909),MAX(0,Assumptions!$D$58-K36742)),0)</f>
        <v>0</v>
      </c>
    </row>
    <row r="36750" customFormat="false" ht="15" hidden="false" customHeight="false" outlineLevel="0" collapsed="false">
      <c r="A36750" s="3" t="s">
        <v>336</v>
      </c>
      <c r="G36750" s="16" t="n">
        <f aca="false">G36743*MIN(G36742-G36748+G36747,MAX(0,G36911-Assumptions!$C$12*G36727-G36737))</f>
        <v>0</v>
      </c>
      <c r="H36750" s="16" t="n">
        <f aca="false">H36743*MIN(H36742-H36748+H36747,MAX(0,H36911-Assumptions!$C$12*H36727-H36737))</f>
        <v>0</v>
      </c>
      <c r="I36750" s="16" t="n">
        <f aca="false">I36743*MIN(I36742-I36748+I36747,MAX(0,I36911-Assumptions!$C$12*I36727-I36737))</f>
        <v>0</v>
      </c>
      <c r="J36750" s="16" t="n">
        <f aca="false">J36743*MIN(J36742-J36748+J36747,MAX(0,J36911-Assumptions!$C$12*J36727-J36737))</f>
        <v>0</v>
      </c>
      <c r="K36750" s="16" t="n">
        <f aca="false">K36743*MIN(K36742-K36748+K36747,MAX(0,K36911-Assumptions!$C$12*K36727-K36737))</f>
        <v>0</v>
      </c>
    </row>
    <row r="36751" customFormat="false" ht="15" hidden="false" customHeight="false" outlineLevel="0" collapsed="false">
      <c r="A36751" s="3" t="s">
        <v>337</v>
      </c>
      <c r="G36751" s="16" t="n">
        <f aca="false">Assumptions!$N$58*MIN(G36742+G36749+G36747-G36748-G36750,MAX(0,G36915-G36738))</f>
        <v>0</v>
      </c>
      <c r="H36751" s="16" t="n">
        <f aca="false">Assumptions!$N$58*MIN(H36742+H36749+H36747-H36748-H36750,MAX(0,H36915-H36738))</f>
        <v>0</v>
      </c>
      <c r="I36751" s="16" t="n">
        <f aca="false">Assumptions!$N$58*MIN(I36742+I36749+I36747-I36748-I36750,MAX(0,I36915-I36738))</f>
        <v>0</v>
      </c>
      <c r="J36751" s="16" t="n">
        <f aca="false">Assumptions!$N$58*MIN(J36742+J36749+J36747-J36748-J36750,MAX(0,J36915-J36738))</f>
        <v>0</v>
      </c>
      <c r="K36751" s="16" t="n">
        <f aca="false">Assumptions!$N$58*MIN(K36742+K36749+K36747-K36748-K36750,MAX(0,K36915-K36738))</f>
        <v>0</v>
      </c>
    </row>
    <row r="36752" customFormat="false" ht="15" hidden="false" customHeight="false" outlineLevel="0" collapsed="false">
      <c r="A36752" s="3" t="s">
        <v>338</v>
      </c>
      <c r="G36752" s="16" t="n">
        <f aca="false">G36743*(1-G36727)*(G36742-G36748+G36747-G36750)</f>
        <v>0</v>
      </c>
      <c r="H36752" s="16" t="n">
        <f aca="false">H36743*(1-H36727)*(H36742-H36748+H36747-H36750)</f>
        <v>0</v>
      </c>
      <c r="I36752" s="16" t="n">
        <f aca="false">I36743*(1-I36727)*(I36742-I36748+I36747-I36750)</f>
        <v>0</v>
      </c>
      <c r="J36752" s="16" t="n">
        <f aca="false">J36743*(1-J36727)*(J36742-J36748+J36747-J36750)</f>
        <v>0</v>
      </c>
      <c r="K36752" s="16" t="n">
        <f aca="false">K36743*(1-K36727)*(K36742-K36748+K36747-K36750)</f>
        <v>0</v>
      </c>
    </row>
    <row r="36753" customFormat="false" ht="15" hidden="false" customHeight="false" outlineLevel="0" collapsed="false">
      <c r="A36753" s="2" t="s">
        <v>339</v>
      </c>
      <c r="F36753" s="28" t="n">
        <f aca="false">Assumptions!$C$58</f>
        <v>90</v>
      </c>
      <c r="G36753" s="17" t="n">
        <f aca="false">G36742+G36749+G36747-G36748-G36750-G36751</f>
        <v>90</v>
      </c>
      <c r="H36753" s="17" t="n">
        <f aca="false">H36742+H36749+H36747-H36748-H36750-H36751</f>
        <v>90</v>
      </c>
      <c r="I36753" s="17" t="n">
        <f aca="false">I36742+I36749+I36747-I36748-I36750-I36751</f>
        <v>90</v>
      </c>
      <c r="J36753" s="17" t="n">
        <f aca="false">J36742+J36749+J36747-J36748-J36750-J36751</f>
        <v>90</v>
      </c>
      <c r="K36753" s="17" t="n">
        <f aca="false">K36742+K36749+K36747-K36748-K36750-K36751</f>
        <v>90</v>
      </c>
    </row>
    <row r="36754" customFormat="false" ht="15" hidden="false" customHeight="false" outlineLevel="0" collapsed="false">
      <c r="A36754" s="24" t="s">
        <v>341</v>
      </c>
      <c r="B36754" s="25"/>
      <c r="C36754" s="25"/>
      <c r="D36754" s="25"/>
      <c r="E36754" s="25"/>
      <c r="F36754" s="25"/>
      <c r="G36754" s="25"/>
      <c r="H36754" s="25"/>
      <c r="I36754" s="25"/>
      <c r="J36754" s="25"/>
      <c r="K36754" s="25"/>
    </row>
    <row r="36755" customFormat="false" ht="15" hidden="false" customHeight="false" outlineLevel="0" collapsed="false">
      <c r="A36755" s="3" t="s">
        <v>329</v>
      </c>
      <c r="G36755" s="16" t="n">
        <f aca="false">F36766</f>
        <v>57.324</v>
      </c>
      <c r="H36755" s="16" t="n">
        <f aca="false">G36766</f>
        <v>57.324</v>
      </c>
      <c r="I36755" s="16" t="n">
        <f aca="false">H36766</f>
        <v>57.324</v>
      </c>
      <c r="J36755" s="16" t="n">
        <f aca="false">I36766</f>
        <v>57.324</v>
      </c>
      <c r="K36755" s="16" t="n">
        <f aca="false">J36766</f>
        <v>57.324</v>
      </c>
    </row>
    <row r="36756" customFormat="false" ht="15" hidden="false" customHeight="false" outlineLevel="0" collapsed="false">
      <c r="A36756" s="3" t="s">
        <v>330</v>
      </c>
      <c r="G36756" s="21" t="n">
        <f aca="false">IF(G36693=Assumptions!$K$59,1,0)</f>
        <v>0</v>
      </c>
      <c r="H36756" s="21" t="n">
        <f aca="false">IF(H36693=Assumptions!$K$59,1,0)</f>
        <v>0</v>
      </c>
      <c r="I36756" s="21" t="n">
        <f aca="false">IF(I36693=Assumptions!$K$59,1,0)</f>
        <v>0</v>
      </c>
      <c r="J36756" s="21" t="n">
        <f aca="false">IF(J36693=Assumptions!$K$59,1,0)</f>
        <v>0</v>
      </c>
      <c r="K36756" s="21" t="n">
        <f aca="false">IF(K36693=Assumptions!$K$59,1,0)</f>
        <v>0</v>
      </c>
    </row>
    <row r="36758" customFormat="false" ht="15" hidden="false" customHeight="false" outlineLevel="0" collapsed="false">
      <c r="A36758" s="3" t="s">
        <v>331</v>
      </c>
      <c r="G36758" s="31" t="n">
        <f aca="false">IF(Assumptions!$I$59=1,MAX(G36719,Assumptions!$G$59)+Assumptions!$F$59+$C$36720,Assumptions!$E$59)</f>
        <v>0.0731</v>
      </c>
      <c r="H36758" s="31" t="n">
        <f aca="false">IF(G37041=1,$C$36721,IF(Assumptions!$I$59=1,MAX(H36719,Assumptions!$G$59)+Assumptions!$F$59+$C$36720,Assumptions!$E$59))</f>
        <v>0.0731</v>
      </c>
      <c r="I36758" s="31" t="n">
        <f aca="false">IF(H37041=1,$C$36721,IF(Assumptions!$I$59=1,MAX(I36719,Assumptions!$G$59)+Assumptions!$F$59+$C$36720,Assumptions!$E$59))</f>
        <v>0.0731</v>
      </c>
      <c r="J36758" s="31" t="n">
        <f aca="false">IF(I37041=1,$C$36721,IF(Assumptions!$I$59=1,MAX(J36719,Assumptions!$G$59)+Assumptions!$F$59+$C$36720,Assumptions!$E$59))</f>
        <v>0.0731</v>
      </c>
      <c r="K36758" s="31" t="n">
        <f aca="false">IF(J37041=1,$C$36721,IF(Assumptions!$I$59=1,MAX(K36719,Assumptions!$G$59)+Assumptions!$F$59+$C$36720,Assumptions!$E$59))</f>
        <v>0.0731</v>
      </c>
    </row>
    <row r="36759" customFormat="false" ht="15" hidden="false" customHeight="false" outlineLevel="0" collapsed="false">
      <c r="A36759" s="3" t="s">
        <v>332</v>
      </c>
      <c r="G36759" s="16" t="n">
        <f aca="false">G36755*G36758</f>
        <v>4.1903844</v>
      </c>
      <c r="H36759" s="16" t="n">
        <f aca="false">H36755*H36758</f>
        <v>4.1903844</v>
      </c>
      <c r="I36759" s="16" t="n">
        <f aca="false">I36755*I36758</f>
        <v>4.1903844</v>
      </c>
      <c r="J36759" s="16" t="n">
        <f aca="false">J36755*J36758</f>
        <v>4.1903844</v>
      </c>
      <c r="K36759" s="16" t="n">
        <f aca="false">K36755*K36758</f>
        <v>4.1903844</v>
      </c>
    </row>
    <row r="36760" customFormat="false" ht="15" hidden="false" customHeight="false" outlineLevel="0" collapsed="false">
      <c r="A36760" s="3" t="s">
        <v>333</v>
      </c>
      <c r="G36760" s="16" t="n">
        <f aca="false">G36755*Assumptions!$H$59</f>
        <v>0</v>
      </c>
      <c r="H36760" s="16" t="n">
        <f aca="false">H36755*Assumptions!$H$59</f>
        <v>0</v>
      </c>
      <c r="I36760" s="16" t="n">
        <f aca="false">I36755*Assumptions!$H$59</f>
        <v>0</v>
      </c>
      <c r="J36760" s="16" t="n">
        <f aca="false">J36755*Assumptions!$H$59</f>
        <v>0</v>
      </c>
      <c r="K36760" s="16" t="n">
        <f aca="false">K36755*Assumptions!$H$59</f>
        <v>0</v>
      </c>
    </row>
    <row r="36761" customFormat="false" ht="15" hidden="false" customHeight="false" outlineLevel="0" collapsed="false">
      <c r="A36761" s="3" t="s">
        <v>334</v>
      </c>
      <c r="G36761" s="16" t="n">
        <f aca="false">MIN(G36755,Assumptions!$L$59*Assumptions!$C$59)</f>
        <v>0</v>
      </c>
      <c r="H36761" s="16" t="n">
        <f aca="false">MIN(H36755,Assumptions!$L$59*Assumptions!$C$59)</f>
        <v>0</v>
      </c>
      <c r="I36761" s="16" t="n">
        <f aca="false">MIN(I36755,Assumptions!$L$59*Assumptions!$C$59)</f>
        <v>0</v>
      </c>
      <c r="J36761" s="16" t="n">
        <f aca="false">MIN(J36755,Assumptions!$L$59*Assumptions!$C$59)</f>
        <v>0</v>
      </c>
      <c r="K36761" s="16" t="n">
        <f aca="false">MIN(K36755,Assumptions!$L$59*Assumptions!$C$59)</f>
        <v>0</v>
      </c>
    </row>
    <row r="36762" customFormat="false" ht="15" hidden="false" customHeight="false" outlineLevel="0" collapsed="false">
      <c r="A36762" s="3" t="s">
        <v>335</v>
      </c>
      <c r="G36762" s="16" t="n">
        <f aca="false">IF(AND(Assumptions!$P$59=1,G36693&lt;Assumptions!$K$59),MIN(MAX(0,-G36909),MAX(0,Assumptions!$D$59-G36755)),0)</f>
        <v>0</v>
      </c>
      <c r="H36762" s="16" t="n">
        <f aca="false">IF(AND(Assumptions!$P$59=1,OR(H36693&lt;Assumptions!$K$59,G37041=1)),MIN(MAX(0,-H36909),MAX(0,Assumptions!$D$59-H36755)),0)</f>
        <v>0</v>
      </c>
      <c r="I36762" s="16" t="n">
        <f aca="false">IF(AND(Assumptions!$P$59=1,OR(I36693&lt;Assumptions!$K$59,H37041=1)),MIN(MAX(0,-I36909),MAX(0,Assumptions!$D$59-I36755)),0)</f>
        <v>0</v>
      </c>
      <c r="J36762" s="16" t="n">
        <f aca="false">IF(AND(Assumptions!$P$59=1,OR(J36693&lt;Assumptions!$K$59,I37041=1)),MIN(MAX(0,-J36909),MAX(0,Assumptions!$D$59-J36755)),0)</f>
        <v>0</v>
      </c>
      <c r="K36762" s="16" t="n">
        <f aca="false">IF(AND(Assumptions!$P$59=1,OR(K36693&lt;Assumptions!$K$59,J37041=1)),MIN(MAX(0,-K36909),MAX(0,Assumptions!$D$59-K36755)),0)</f>
        <v>0</v>
      </c>
    </row>
    <row r="36763" customFormat="false" ht="15" hidden="false" customHeight="false" outlineLevel="0" collapsed="false">
      <c r="A36763" s="3" t="s">
        <v>336</v>
      </c>
      <c r="G36763" s="16" t="n">
        <f aca="false">G36756*MIN(G36755-G36761+G36760,MAX(0,G36911-Assumptions!$C$12*G36727-G36737-G36750))</f>
        <v>0</v>
      </c>
      <c r="H36763" s="16" t="n">
        <f aca="false">H36756*MIN(H36755-H36761+H36760,MAX(0,H36911-Assumptions!$C$12*H36727-H36737-H36750))</f>
        <v>0</v>
      </c>
      <c r="I36763" s="16" t="n">
        <f aca="false">I36756*MIN(I36755-I36761+I36760,MAX(0,I36911-Assumptions!$C$12*I36727-I36737-I36750))</f>
        <v>0</v>
      </c>
      <c r="J36763" s="16" t="n">
        <f aca="false">J36756*MIN(J36755-J36761+J36760,MAX(0,J36911-Assumptions!$C$12*J36727-J36737-J36750))</f>
        <v>0</v>
      </c>
      <c r="K36763" s="16" t="n">
        <f aca="false">K36756*MIN(K36755-K36761+K36760,MAX(0,K36911-Assumptions!$C$12*K36727-K36737-K36750))</f>
        <v>0</v>
      </c>
    </row>
    <row r="36764" customFormat="false" ht="15" hidden="false" customHeight="false" outlineLevel="0" collapsed="false">
      <c r="A36764" s="3" t="s">
        <v>337</v>
      </c>
      <c r="G36764" s="16" t="n">
        <f aca="false">Assumptions!$N$59*MIN(G36755+G36762+G36760-G36761-G36763,MAX(0,G36915-G36738-G36751))</f>
        <v>0</v>
      </c>
      <c r="H36764" s="16" t="n">
        <f aca="false">Assumptions!$N$59*MIN(H36755+H36762+H36760-H36761-H36763,MAX(0,H36915-H36738-H36751))</f>
        <v>0</v>
      </c>
      <c r="I36764" s="16" t="n">
        <f aca="false">Assumptions!$N$59*MIN(I36755+I36762+I36760-I36761-I36763,MAX(0,I36915-I36738-I36751))</f>
        <v>0</v>
      </c>
      <c r="J36764" s="16" t="n">
        <f aca="false">Assumptions!$N$59*MIN(J36755+J36762+J36760-J36761-J36763,MAX(0,J36915-J36738-J36751))</f>
        <v>0</v>
      </c>
      <c r="K36764" s="16" t="n">
        <f aca="false">Assumptions!$N$59*MIN(K36755+K36762+K36760-K36761-K36763,MAX(0,K36915-K36738-K36751))</f>
        <v>0</v>
      </c>
    </row>
    <row r="36765" customFormat="false" ht="15" hidden="false" customHeight="false" outlineLevel="0" collapsed="false">
      <c r="A36765" s="3" t="s">
        <v>338</v>
      </c>
      <c r="G36765" s="16" t="n">
        <f aca="false">G36756*(1-G36727)*(G36755-G36761+G36760-G36763)</f>
        <v>0</v>
      </c>
      <c r="H36765" s="16" t="n">
        <f aca="false">H36756*(1-H36727)*(H36755-H36761+H36760-H36763)</f>
        <v>0</v>
      </c>
      <c r="I36765" s="16" t="n">
        <f aca="false">I36756*(1-I36727)*(I36755-I36761+I36760-I36763)</f>
        <v>0</v>
      </c>
      <c r="J36765" s="16" t="n">
        <f aca="false">J36756*(1-J36727)*(J36755-J36761+J36760-J36763)</f>
        <v>0</v>
      </c>
      <c r="K36765" s="16" t="n">
        <f aca="false">K36756*(1-K36727)*(K36755-K36761+K36760-K36763)</f>
        <v>0</v>
      </c>
    </row>
    <row r="36766" customFormat="false" ht="15" hidden="false" customHeight="false" outlineLevel="0" collapsed="false">
      <c r="A36766" s="2" t="s">
        <v>339</v>
      </c>
      <c r="F36766" s="28" t="n">
        <f aca="false">Assumptions!$C$59</f>
        <v>57.324</v>
      </c>
      <c r="G36766" s="17" t="n">
        <f aca="false">G36755+G36762+G36760-G36761-G36763-G36764</f>
        <v>57.324</v>
      </c>
      <c r="H36766" s="17" t="n">
        <f aca="false">H36755+H36762+H36760-H36761-H36763-H36764</f>
        <v>57.324</v>
      </c>
      <c r="I36766" s="17" t="n">
        <f aca="false">I36755+I36762+I36760-I36761-I36763-I36764</f>
        <v>57.324</v>
      </c>
      <c r="J36766" s="17" t="n">
        <f aca="false">J36755+J36762+J36760-J36761-J36763-J36764</f>
        <v>57.324</v>
      </c>
      <c r="K36766" s="17" t="n">
        <f aca="false">K36755+K36762+K36760-K36761-K36763-K36764</f>
        <v>57.324</v>
      </c>
    </row>
    <row r="36767" customFormat="false" ht="15" hidden="false" customHeight="false" outlineLevel="0" collapsed="false">
      <c r="A36767" s="24" t="s">
        <v>342</v>
      </c>
      <c r="B36767" s="25"/>
      <c r="C36767" s="25"/>
      <c r="D36767" s="25"/>
      <c r="E36767" s="25"/>
      <c r="F36767" s="25"/>
      <c r="G36767" s="25"/>
      <c r="H36767" s="25"/>
      <c r="I36767" s="25"/>
      <c r="J36767" s="25"/>
      <c r="K36767" s="25"/>
    </row>
    <row r="36768" customFormat="false" ht="15" hidden="false" customHeight="false" outlineLevel="0" collapsed="false">
      <c r="A36768" s="3" t="s">
        <v>329</v>
      </c>
      <c r="G36768" s="16" t="n">
        <f aca="false">F36779</f>
        <v>0</v>
      </c>
      <c r="H36768" s="16" t="n">
        <f aca="false">G36779</f>
        <v>0</v>
      </c>
      <c r="I36768" s="16" t="n">
        <f aca="false">H36779</f>
        <v>0</v>
      </c>
      <c r="J36768" s="16" t="n">
        <f aca="false">I36779</f>
        <v>0</v>
      </c>
      <c r="K36768" s="16" t="n">
        <f aca="false">J36779</f>
        <v>0</v>
      </c>
    </row>
    <row r="36769" customFormat="false" ht="15" hidden="false" customHeight="false" outlineLevel="0" collapsed="false">
      <c r="A36769" s="3" t="s">
        <v>330</v>
      </c>
      <c r="G36769" s="21" t="n">
        <f aca="false">IF(G36693=Assumptions!$K$60,1,0)</f>
        <v>1</v>
      </c>
      <c r="H36769" s="21" t="n">
        <f aca="false">IF(H36693=Assumptions!$K$60,1,0)</f>
        <v>0</v>
      </c>
      <c r="I36769" s="21" t="n">
        <f aca="false">IF(I36693=Assumptions!$K$60,1,0)</f>
        <v>0</v>
      </c>
      <c r="J36769" s="21" t="n">
        <f aca="false">IF(J36693=Assumptions!$K$60,1,0)</f>
        <v>0</v>
      </c>
      <c r="K36769" s="21" t="n">
        <f aca="false">IF(K36693=Assumptions!$K$60,1,0)</f>
        <v>0</v>
      </c>
    </row>
    <row r="36771" customFormat="false" ht="15" hidden="false" customHeight="false" outlineLevel="0" collapsed="false">
      <c r="A36771" s="3" t="s">
        <v>331</v>
      </c>
      <c r="G36771" s="31" t="n">
        <f aca="false">IF(Assumptions!$I$60=1,MAX(G36719,Assumptions!$G$60)+Assumptions!$F$60+$C$36720,Assumptions!$E$60)</f>
        <v>0.069</v>
      </c>
      <c r="H36771" s="31" t="n">
        <f aca="false">IF(G37042=1,$C$36721,IF(Assumptions!$I$60=1,MAX(H36719,Assumptions!$G$60)+Assumptions!$F$60+$C$36720,Assumptions!$E$60))</f>
        <v>0.0675</v>
      </c>
      <c r="I36771" s="31" t="n">
        <f aca="false">IF(H37042=1,$C$36721,IF(Assumptions!$I$60=1,MAX(I36719,Assumptions!$G$60)+Assumptions!$F$60+$C$36720,Assumptions!$E$60))</f>
        <v>0.065</v>
      </c>
      <c r="J36771" s="31" t="n">
        <f aca="false">IF(I37042=1,$C$36721,IF(Assumptions!$I$60=1,MAX(J36719,Assumptions!$G$60)+Assumptions!$F$60+$C$36720,Assumptions!$E$60))</f>
        <v>0.065</v>
      </c>
      <c r="K36771" s="31" t="n">
        <f aca="false">IF(J37042=1,$C$36721,IF(Assumptions!$I$60=1,MAX(K36719,Assumptions!$G$60)+Assumptions!$F$60+$C$36720,Assumptions!$E$60))</f>
        <v>0.065</v>
      </c>
    </row>
    <row r="36772" customFormat="false" ht="15" hidden="false" customHeight="false" outlineLevel="0" collapsed="false">
      <c r="A36772" s="3" t="s">
        <v>332</v>
      </c>
      <c r="G36772" s="16" t="n">
        <f aca="false">G36768*G36771</f>
        <v>0</v>
      </c>
      <c r="H36772" s="16" t="n">
        <f aca="false">H36768*H36771</f>
        <v>0</v>
      </c>
      <c r="I36772" s="16" t="n">
        <f aca="false">I36768*I36771</f>
        <v>0</v>
      </c>
      <c r="J36772" s="16" t="n">
        <f aca="false">J36768*J36771</f>
        <v>0</v>
      </c>
      <c r="K36772" s="16" t="n">
        <f aca="false">K36768*K36771</f>
        <v>0</v>
      </c>
    </row>
    <row r="36773" customFormat="false" ht="15" hidden="false" customHeight="false" outlineLevel="0" collapsed="false">
      <c r="A36773" s="3" t="s">
        <v>333</v>
      </c>
      <c r="G36773" s="16" t="n">
        <f aca="false">G36768*Assumptions!$H$60</f>
        <v>0</v>
      </c>
      <c r="H36773" s="16" t="n">
        <f aca="false">H36768*Assumptions!$H$60</f>
        <v>0</v>
      </c>
      <c r="I36773" s="16" t="n">
        <f aca="false">I36768*Assumptions!$H$60</f>
        <v>0</v>
      </c>
      <c r="J36773" s="16" t="n">
        <f aca="false">J36768*Assumptions!$H$60</f>
        <v>0</v>
      </c>
      <c r="K36773" s="16" t="n">
        <f aca="false">K36768*Assumptions!$H$60</f>
        <v>0</v>
      </c>
    </row>
    <row r="36774" customFormat="false" ht="15" hidden="false" customHeight="false" outlineLevel="0" collapsed="false">
      <c r="A36774" s="3" t="s">
        <v>334</v>
      </c>
      <c r="G36774" s="16" t="n">
        <f aca="false">MIN(G36768,Assumptions!$L$60*Assumptions!$C$60)</f>
        <v>0</v>
      </c>
      <c r="H36774" s="16" t="n">
        <f aca="false">MIN(H36768,Assumptions!$L$60*Assumptions!$C$60)</f>
        <v>0</v>
      </c>
      <c r="I36774" s="16" t="n">
        <f aca="false">MIN(I36768,Assumptions!$L$60*Assumptions!$C$60)</f>
        <v>0</v>
      </c>
      <c r="J36774" s="16" t="n">
        <f aca="false">MIN(J36768,Assumptions!$L$60*Assumptions!$C$60)</f>
        <v>0</v>
      </c>
      <c r="K36774" s="16" t="n">
        <f aca="false">MIN(K36768,Assumptions!$L$60*Assumptions!$C$60)</f>
        <v>0</v>
      </c>
    </row>
    <row r="36775" customFormat="false" ht="15" hidden="false" customHeight="false" outlineLevel="0" collapsed="false">
      <c r="A36775" s="3" t="s">
        <v>335</v>
      </c>
      <c r="G36775" s="16" t="n">
        <f aca="false">IF(AND(Assumptions!$P$60=1,G36693&lt;Assumptions!$K$60),MIN(MAX(0,-G36909),MAX(0,Assumptions!$D$60-G36768)),0)</f>
        <v>0</v>
      </c>
      <c r="H36775" s="16" t="n">
        <f aca="false">IF(AND(Assumptions!$P$60=1,OR(H36693&lt;Assumptions!$K$60,G37042=1)),MIN(MAX(0,-H36909),MAX(0,Assumptions!$D$60-H36768)),0)</f>
        <v>0</v>
      </c>
      <c r="I36775" s="16" t="n">
        <f aca="false">IF(AND(Assumptions!$P$60=1,OR(I36693&lt;Assumptions!$K$60,H37042=1)),MIN(MAX(0,-I36909),MAX(0,Assumptions!$D$60-I36768)),0)</f>
        <v>0</v>
      </c>
      <c r="J36775" s="16" t="n">
        <f aca="false">IF(AND(Assumptions!$P$60=1,OR(J36693&lt;Assumptions!$K$60,I37042=1)),MIN(MAX(0,-J36909),MAX(0,Assumptions!$D$60-J36768)),0)</f>
        <v>0</v>
      </c>
      <c r="K36775" s="16" t="n">
        <f aca="false">IF(AND(Assumptions!$P$60=1,OR(K36693&lt;Assumptions!$K$60,J37042=1)),MIN(MAX(0,-K36909),MAX(0,Assumptions!$D$60-K36768)),0)</f>
        <v>0</v>
      </c>
    </row>
    <row r="36776" customFormat="false" ht="15" hidden="false" customHeight="false" outlineLevel="0" collapsed="false">
      <c r="A36776" s="3" t="s">
        <v>336</v>
      </c>
      <c r="G36776" s="16" t="n">
        <f aca="false">G36769*MIN(G36768-G36774+G36773,MAX(0,G36911-Assumptions!$C$12*G36727-G36737-G36750-G36763))</f>
        <v>0</v>
      </c>
      <c r="H36776" s="16" t="n">
        <f aca="false">H36769*MIN(H36768-H36774+H36773,MAX(0,H36911-Assumptions!$C$12*H36727-H36737-H36750-H36763))</f>
        <v>0</v>
      </c>
      <c r="I36776" s="16" t="n">
        <f aca="false">I36769*MIN(I36768-I36774+I36773,MAX(0,I36911-Assumptions!$C$12*I36727-I36737-I36750-I36763))</f>
        <v>0</v>
      </c>
      <c r="J36776" s="16" t="n">
        <f aca="false">J36769*MIN(J36768-J36774+J36773,MAX(0,J36911-Assumptions!$C$12*J36727-J36737-J36750-J36763))</f>
        <v>0</v>
      </c>
      <c r="K36776" s="16" t="n">
        <f aca="false">K36769*MIN(K36768-K36774+K36773,MAX(0,K36911-Assumptions!$C$12*K36727-K36737-K36750-K36763))</f>
        <v>0</v>
      </c>
    </row>
    <row r="36777" customFormat="false" ht="15" hidden="false" customHeight="false" outlineLevel="0" collapsed="false">
      <c r="A36777" s="3" t="s">
        <v>337</v>
      </c>
      <c r="G36777" s="16" t="n">
        <f aca="false">Assumptions!$N$60*MIN(G36768+G36775+G36773-G36774-G36776,MAX(0,G36915-G36738-G36751-G36764))</f>
        <v>0</v>
      </c>
      <c r="H36777" s="16" t="n">
        <f aca="false">Assumptions!$N$60*MIN(H36768+H36775+H36773-H36774-H36776,MAX(0,H36915-H36738-H36751-H36764))</f>
        <v>0</v>
      </c>
      <c r="I36777" s="16" t="n">
        <f aca="false">Assumptions!$N$60*MIN(I36768+I36775+I36773-I36774-I36776,MAX(0,I36915-I36738-I36751-I36764))</f>
        <v>0</v>
      </c>
      <c r="J36777" s="16" t="n">
        <f aca="false">Assumptions!$N$60*MIN(J36768+J36775+J36773-J36774-J36776,MAX(0,J36915-J36738-J36751-J36764))</f>
        <v>0</v>
      </c>
      <c r="K36777" s="16" t="n">
        <f aca="false">Assumptions!$N$60*MIN(K36768+K36775+K36773-K36774-K36776,MAX(0,K36915-K36738-K36751-K36764))</f>
        <v>0</v>
      </c>
    </row>
    <row r="36778" customFormat="false" ht="15" hidden="false" customHeight="false" outlineLevel="0" collapsed="false">
      <c r="A36778" s="3" t="s">
        <v>338</v>
      </c>
      <c r="G36778" s="16" t="n">
        <f aca="false">G36769*(1-G36727)*(G36768-G36774+G36773-G36776)</f>
        <v>0</v>
      </c>
      <c r="H36778" s="16" t="n">
        <f aca="false">H36769*(1-H36727)*(H36768-H36774+H36773-H36776)</f>
        <v>0</v>
      </c>
      <c r="I36778" s="16" t="n">
        <f aca="false">I36769*(1-I36727)*(I36768-I36774+I36773-I36776)</f>
        <v>0</v>
      </c>
      <c r="J36778" s="16" t="n">
        <f aca="false">J36769*(1-J36727)*(J36768-J36774+J36773-J36776)</f>
        <v>0</v>
      </c>
      <c r="K36778" s="16" t="n">
        <f aca="false">K36769*(1-K36727)*(K36768-K36774+K36773-K36776)</f>
        <v>0</v>
      </c>
    </row>
    <row r="36779" customFormat="false" ht="15" hidden="false" customHeight="false" outlineLevel="0" collapsed="false">
      <c r="A36779" s="2" t="s">
        <v>339</v>
      </c>
      <c r="F36779" s="28" t="n">
        <f aca="false">Assumptions!$C$60</f>
        <v>0</v>
      </c>
      <c r="G36779" s="17" t="n">
        <f aca="false">G36768+G36775+G36773-G36774-G36776-G36777</f>
        <v>0</v>
      </c>
      <c r="H36779" s="17" t="n">
        <f aca="false">H36768+H36775+H36773-H36774-H36776-H36777</f>
        <v>0</v>
      </c>
      <c r="I36779" s="17" t="n">
        <f aca="false">I36768+I36775+I36773-I36774-I36776-I36777</f>
        <v>0</v>
      </c>
      <c r="J36779" s="17" t="n">
        <f aca="false">J36768+J36775+J36773-J36774-J36776-J36777</f>
        <v>0</v>
      </c>
      <c r="K36779" s="17" t="n">
        <f aca="false">K36768+K36775+K36773-K36774-K36776-K36777</f>
        <v>0</v>
      </c>
    </row>
    <row r="36780" customFormat="false" ht="15" hidden="false" customHeight="false" outlineLevel="0" collapsed="false">
      <c r="A36780" s="24" t="s">
        <v>343</v>
      </c>
      <c r="B36780" s="25"/>
      <c r="C36780" s="25"/>
      <c r="D36780" s="25"/>
      <c r="E36780" s="25"/>
      <c r="F36780" s="25"/>
      <c r="G36780" s="25"/>
      <c r="H36780" s="25"/>
      <c r="I36780" s="25"/>
      <c r="J36780" s="25"/>
      <c r="K36780" s="25"/>
    </row>
    <row r="36781" customFormat="false" ht="15" hidden="false" customHeight="false" outlineLevel="0" collapsed="false">
      <c r="A36781" s="3" t="s">
        <v>329</v>
      </c>
      <c r="G36781" s="16" t="n">
        <f aca="false">F36792</f>
        <v>450</v>
      </c>
      <c r="H36781" s="16" t="n">
        <f aca="false">G36792</f>
        <v>450</v>
      </c>
      <c r="I36781" s="16" t="n">
        <f aca="false">H36792</f>
        <v>401.446357881</v>
      </c>
      <c r="J36781" s="16" t="n">
        <f aca="false">I36792</f>
        <v>401.446357881</v>
      </c>
      <c r="K36781" s="16" t="n">
        <f aca="false">J36792</f>
        <v>401.446357881</v>
      </c>
    </row>
    <row r="36782" customFormat="false" ht="15" hidden="false" customHeight="false" outlineLevel="0" collapsed="false">
      <c r="A36782" s="3" t="s">
        <v>330</v>
      </c>
      <c r="G36782" s="21" t="n">
        <f aca="false">IF(G36693=Assumptions!$K$61,1,0)</f>
        <v>0</v>
      </c>
      <c r="H36782" s="21" t="n">
        <f aca="false">IF(H36693=Assumptions!$K$61,1,0)</f>
        <v>1</v>
      </c>
      <c r="I36782" s="21" t="n">
        <f aca="false">IF(I36693=Assumptions!$K$61,1,0)</f>
        <v>0</v>
      </c>
      <c r="J36782" s="21" t="n">
        <f aca="false">IF(J36693=Assumptions!$K$61,1,0)</f>
        <v>0</v>
      </c>
      <c r="K36782" s="21" t="n">
        <f aca="false">IF(K36693=Assumptions!$K$61,1,0)</f>
        <v>0</v>
      </c>
    </row>
    <row r="36784" customFormat="false" ht="15" hidden="false" customHeight="false" outlineLevel="0" collapsed="false">
      <c r="A36784" s="3" t="s">
        <v>331</v>
      </c>
      <c r="G36784" s="31" t="n">
        <f aca="false">IF(Assumptions!$I$61=1,MAX(G36719,Assumptions!$G$61)+Assumptions!$F$61+$C$36720,Assumptions!$E$61)</f>
        <v>0.0395</v>
      </c>
      <c r="H36784" s="31" t="n">
        <f aca="false">IF(G37043=1,$C$36721,IF(Assumptions!$I$61=1,MAX(H36719,Assumptions!$G$61)+Assumptions!$F$61+$C$36720,Assumptions!$E$61))</f>
        <v>0.0395</v>
      </c>
      <c r="I36784" s="31" t="n">
        <f aca="false">IF(H37043=1,$C$36721,IF(Assumptions!$I$61=1,MAX(I36719,Assumptions!$G$61)+Assumptions!$F$61+$C$36720,Assumptions!$E$61))</f>
        <v>0.0395</v>
      </c>
      <c r="J36784" s="31" t="n">
        <f aca="false">IF(I37043=1,$C$36721,IF(Assumptions!$I$61=1,MAX(J36719,Assumptions!$G$61)+Assumptions!$F$61+$C$36720,Assumptions!$E$61))</f>
        <v>0.0395</v>
      </c>
      <c r="K36784" s="31" t="n">
        <f aca="false">IF(J37043=1,$C$36721,IF(Assumptions!$I$61=1,MAX(K36719,Assumptions!$G$61)+Assumptions!$F$61+$C$36720,Assumptions!$E$61))</f>
        <v>0.0395</v>
      </c>
    </row>
    <row r="36785" customFormat="false" ht="15" hidden="false" customHeight="false" outlineLevel="0" collapsed="false">
      <c r="A36785" s="3" t="s">
        <v>332</v>
      </c>
      <c r="G36785" s="16" t="n">
        <f aca="false">G36781*G36784</f>
        <v>17.775</v>
      </c>
      <c r="H36785" s="16" t="n">
        <f aca="false">H36781*H36784</f>
        <v>17.775</v>
      </c>
      <c r="I36785" s="16" t="n">
        <f aca="false">I36781*I36784</f>
        <v>15.8571311362995</v>
      </c>
      <c r="J36785" s="16" t="n">
        <f aca="false">J36781*J36784</f>
        <v>15.8571311362995</v>
      </c>
      <c r="K36785" s="16" t="n">
        <f aca="false">K36781*K36784</f>
        <v>15.8571311362995</v>
      </c>
    </row>
    <row r="36786" customFormat="false" ht="15" hidden="false" customHeight="false" outlineLevel="0" collapsed="false">
      <c r="A36786" s="3" t="s">
        <v>333</v>
      </c>
      <c r="G36786" s="16" t="n">
        <f aca="false">G36781*Assumptions!$H$61</f>
        <v>0</v>
      </c>
      <c r="H36786" s="16" t="n">
        <f aca="false">H36781*Assumptions!$H$61</f>
        <v>0</v>
      </c>
      <c r="I36786" s="16" t="n">
        <f aca="false">I36781*Assumptions!$H$61</f>
        <v>0</v>
      </c>
      <c r="J36786" s="16" t="n">
        <f aca="false">J36781*Assumptions!$H$61</f>
        <v>0</v>
      </c>
      <c r="K36786" s="16" t="n">
        <f aca="false">K36781*Assumptions!$H$61</f>
        <v>0</v>
      </c>
    </row>
    <row r="36787" customFormat="false" ht="15" hidden="false" customHeight="false" outlineLevel="0" collapsed="false">
      <c r="A36787" s="3" t="s">
        <v>334</v>
      </c>
      <c r="G36787" s="16" t="n">
        <f aca="false">MIN(G36781,Assumptions!$L$61*Assumptions!$C$61)</f>
        <v>0</v>
      </c>
      <c r="H36787" s="16" t="n">
        <f aca="false">MIN(H36781,Assumptions!$L$61*Assumptions!$C$61)</f>
        <v>0</v>
      </c>
      <c r="I36787" s="16" t="n">
        <f aca="false">MIN(I36781,Assumptions!$L$61*Assumptions!$C$61)</f>
        <v>0</v>
      </c>
      <c r="J36787" s="16" t="n">
        <f aca="false">MIN(J36781,Assumptions!$L$61*Assumptions!$C$61)</f>
        <v>0</v>
      </c>
      <c r="K36787" s="16" t="n">
        <f aca="false">MIN(K36781,Assumptions!$L$61*Assumptions!$C$61)</f>
        <v>0</v>
      </c>
    </row>
    <row r="36788" customFormat="false" ht="15" hidden="false" customHeight="false" outlineLevel="0" collapsed="false">
      <c r="A36788" s="3" t="s">
        <v>335</v>
      </c>
      <c r="G36788" s="16" t="n">
        <f aca="false">IF(AND(Assumptions!$P$61=1,G36693&lt;Assumptions!$K$61),MIN(MAX(0,-G36909),MAX(0,Assumptions!$D$61-G36781)),0)</f>
        <v>0</v>
      </c>
      <c r="H36788" s="16" t="n">
        <f aca="false">IF(AND(Assumptions!$P$61=1,OR(H36693&lt;Assumptions!$K$61,G37043=1)),MIN(MAX(0,-H36909),MAX(0,Assumptions!$D$61-H36781)),0)</f>
        <v>0</v>
      </c>
      <c r="I36788" s="16" t="n">
        <f aca="false">IF(AND(Assumptions!$P$61=1,OR(I36693&lt;Assumptions!$K$61,H37043=1)),MIN(MAX(0,-I36909),MAX(0,Assumptions!$D$61-I36781)),0)</f>
        <v>0</v>
      </c>
      <c r="J36788" s="16" t="n">
        <f aca="false">IF(AND(Assumptions!$P$61=1,OR(J36693&lt;Assumptions!$K$61,I37043=1)),MIN(MAX(0,-J36909),MAX(0,Assumptions!$D$61-J36781)),0)</f>
        <v>0</v>
      </c>
      <c r="K36788" s="16" t="n">
        <f aca="false">IF(AND(Assumptions!$P$61=1,OR(K36693&lt;Assumptions!$K$61,J37043=1)),MIN(MAX(0,-K36909),MAX(0,Assumptions!$D$61-K36781)),0)</f>
        <v>0</v>
      </c>
    </row>
    <row r="36789" customFormat="false" ht="15" hidden="false" customHeight="false" outlineLevel="0" collapsed="false">
      <c r="A36789" s="3" t="s">
        <v>336</v>
      </c>
      <c r="G36789" s="16" t="n">
        <f aca="false">G36782*MIN(G36781-G36787+G36786,MAX(0,G36911-Assumptions!$C$12*G36727-G36737-G36750-G36763-G36776))</f>
        <v>0</v>
      </c>
      <c r="H36789" s="16" t="n">
        <f aca="false">H36782*MIN(H36781-H36787+H36786,MAX(0,H36911-Assumptions!$C$12*H36727-H36737-H36750-H36763-H36776))</f>
        <v>48.553642119</v>
      </c>
      <c r="I36789" s="16" t="n">
        <f aca="false">I36782*MIN(I36781-I36787+I36786,MAX(0,I36911-Assumptions!$C$12*I36727-I36737-I36750-I36763-I36776))</f>
        <v>0</v>
      </c>
      <c r="J36789" s="16" t="n">
        <f aca="false">J36782*MIN(J36781-J36787+J36786,MAX(0,J36911-Assumptions!$C$12*J36727-J36737-J36750-J36763-J36776))</f>
        <v>0</v>
      </c>
      <c r="K36789" s="16" t="n">
        <f aca="false">K36782*MIN(K36781-K36787+K36786,MAX(0,K36911-Assumptions!$C$12*K36727-K36737-K36750-K36763-K36776))</f>
        <v>0</v>
      </c>
    </row>
    <row r="36790" customFormat="false" ht="15" hidden="false" customHeight="false" outlineLevel="0" collapsed="false">
      <c r="A36790" s="3" t="s">
        <v>337</v>
      </c>
      <c r="G36790" s="16" t="n">
        <f aca="false">Assumptions!$N$61*MIN(G36781+G36788+G36786-G36787-G36789,MAX(0,G36915-G36738-G36751-G36764-G36777))</f>
        <v>0</v>
      </c>
      <c r="H36790" s="16" t="n">
        <f aca="false">Assumptions!$N$61*MIN(H36781+H36788+H36786-H36787-H36789,MAX(0,H36915-H36738-H36751-H36764-H36777))</f>
        <v>0</v>
      </c>
      <c r="I36790" s="16" t="n">
        <f aca="false">Assumptions!$N$61*MIN(I36781+I36788+I36786-I36787-I36789,MAX(0,I36915-I36738-I36751-I36764-I36777))</f>
        <v>0</v>
      </c>
      <c r="J36790" s="16" t="n">
        <f aca="false">Assumptions!$N$61*MIN(J36781+J36788+J36786-J36787-J36789,MAX(0,J36915-J36738-J36751-J36764-J36777))</f>
        <v>0</v>
      </c>
      <c r="K36790" s="16" t="n">
        <f aca="false">Assumptions!$N$61*MIN(K36781+K36788+K36786-K36787-K36789,MAX(0,K36915-K36738-K36751-K36764-K36777))</f>
        <v>0</v>
      </c>
    </row>
    <row r="36791" customFormat="false" ht="15" hidden="false" customHeight="false" outlineLevel="0" collapsed="false">
      <c r="A36791" s="3" t="s">
        <v>338</v>
      </c>
      <c r="G36791" s="16" t="n">
        <f aca="false">G36782*(1-G36727)*(G36781-G36787+G36786-G36789)</f>
        <v>0</v>
      </c>
      <c r="H36791" s="16" t="n">
        <f aca="false">H36782*(1-H36727)*(H36781-H36787+H36786-H36789)</f>
        <v>401.446357881</v>
      </c>
      <c r="I36791" s="16" t="n">
        <f aca="false">I36782*(1-I36727)*(I36781-I36787+I36786-I36789)</f>
        <v>0</v>
      </c>
      <c r="J36791" s="16" t="n">
        <f aca="false">J36782*(1-J36727)*(J36781-J36787+J36786-J36789)</f>
        <v>0</v>
      </c>
      <c r="K36791" s="16" t="n">
        <f aca="false">K36782*(1-K36727)*(K36781-K36787+K36786-K36789)</f>
        <v>0</v>
      </c>
    </row>
    <row r="36792" customFormat="false" ht="15" hidden="false" customHeight="false" outlineLevel="0" collapsed="false">
      <c r="A36792" s="2" t="s">
        <v>339</v>
      </c>
      <c r="F36792" s="28" t="n">
        <f aca="false">Assumptions!$C$61</f>
        <v>450</v>
      </c>
      <c r="G36792" s="17" t="n">
        <f aca="false">G36781+G36788+G36786-G36787-G36789-G36790</f>
        <v>450</v>
      </c>
      <c r="H36792" s="17" t="n">
        <f aca="false">H36781+H36788+H36786-H36787-H36789-H36790</f>
        <v>401.446357881</v>
      </c>
      <c r="I36792" s="17" t="n">
        <f aca="false">I36781+I36788+I36786-I36787-I36789-I36790</f>
        <v>401.446357881</v>
      </c>
      <c r="J36792" s="17" t="n">
        <f aca="false">J36781+J36788+J36786-J36787-J36789-J36790</f>
        <v>401.446357881</v>
      </c>
      <c r="K36792" s="17" t="n">
        <f aca="false">K36781+K36788+K36786-K36787-K36789-K36790</f>
        <v>401.446357881</v>
      </c>
    </row>
    <row r="36793" customFormat="false" ht="15" hidden="false" customHeight="false" outlineLevel="0" collapsed="false">
      <c r="A36793" s="24" t="s">
        <v>344</v>
      </c>
      <c r="B36793" s="25"/>
      <c r="C36793" s="25"/>
      <c r="D36793" s="25"/>
      <c r="E36793" s="25"/>
      <c r="F36793" s="25"/>
      <c r="G36793" s="25"/>
      <c r="H36793" s="25"/>
      <c r="I36793" s="25"/>
      <c r="J36793" s="25"/>
      <c r="K36793" s="25"/>
    </row>
    <row r="36794" customFormat="false" ht="15" hidden="false" customHeight="false" outlineLevel="0" collapsed="false">
      <c r="A36794" s="3" t="s">
        <v>329</v>
      </c>
      <c r="G36794" s="16" t="n">
        <f aca="false">F36805</f>
        <v>350</v>
      </c>
      <c r="H36794" s="16" t="n">
        <f aca="false">G36805</f>
        <v>350</v>
      </c>
      <c r="I36794" s="16" t="n">
        <f aca="false">H36805</f>
        <v>350</v>
      </c>
      <c r="J36794" s="16" t="n">
        <f aca="false">I36805</f>
        <v>350</v>
      </c>
      <c r="K36794" s="16" t="n">
        <f aca="false">J36805</f>
        <v>350</v>
      </c>
    </row>
    <row r="36795" customFormat="false" ht="15" hidden="false" customHeight="false" outlineLevel="0" collapsed="false">
      <c r="A36795" s="3" t="s">
        <v>330</v>
      </c>
      <c r="G36795" s="21" t="n">
        <f aca="false">IF(G36693=Assumptions!$K$62,1,0)</f>
        <v>0</v>
      </c>
      <c r="H36795" s="21" t="n">
        <f aca="false">IF(H36693=Assumptions!$K$62,1,0)</f>
        <v>1</v>
      </c>
      <c r="I36795" s="21" t="n">
        <f aca="false">IF(I36693=Assumptions!$K$62,1,0)</f>
        <v>0</v>
      </c>
      <c r="J36795" s="21" t="n">
        <f aca="false">IF(J36693=Assumptions!$K$62,1,0)</f>
        <v>0</v>
      </c>
      <c r="K36795" s="21" t="n">
        <f aca="false">IF(K36693=Assumptions!$K$62,1,0)</f>
        <v>0</v>
      </c>
    </row>
    <row r="36797" customFormat="false" ht="15" hidden="false" customHeight="false" outlineLevel="0" collapsed="false">
      <c r="A36797" s="3" t="s">
        <v>331</v>
      </c>
      <c r="G36797" s="31" t="n">
        <f aca="false">IF(Assumptions!$I$62=1,MAX(G36719,Assumptions!$G$62)+Assumptions!$F$62+$C$36720,Assumptions!$E$62)</f>
        <v>0.083</v>
      </c>
      <c r="H36797" s="31" t="n">
        <f aca="false">IF(G37044=1,$C$36721,IF(Assumptions!$I$62=1,MAX(H36719,Assumptions!$G$62)+Assumptions!$F$62+$C$36720,Assumptions!$E$62))</f>
        <v>0.083</v>
      </c>
      <c r="I36797" s="31" t="n">
        <f aca="false">IF(H37044=1,$C$36721,IF(Assumptions!$I$62=1,MAX(I36719,Assumptions!$G$62)+Assumptions!$F$62+$C$36720,Assumptions!$E$62))</f>
        <v>0.083</v>
      </c>
      <c r="J36797" s="31" t="n">
        <f aca="false">IF(I37044=1,$C$36721,IF(Assumptions!$I$62=1,MAX(J36719,Assumptions!$G$62)+Assumptions!$F$62+$C$36720,Assumptions!$E$62))</f>
        <v>0.083</v>
      </c>
      <c r="K36797" s="31" t="n">
        <f aca="false">IF(J37044=1,$C$36721,IF(Assumptions!$I$62=1,MAX(K36719,Assumptions!$G$62)+Assumptions!$F$62+$C$36720,Assumptions!$E$62))</f>
        <v>0.083</v>
      </c>
    </row>
    <row r="36798" customFormat="false" ht="15" hidden="false" customHeight="false" outlineLevel="0" collapsed="false">
      <c r="A36798" s="3" t="s">
        <v>332</v>
      </c>
      <c r="G36798" s="16" t="n">
        <f aca="false">G36794*G36797</f>
        <v>29.05</v>
      </c>
      <c r="H36798" s="16" t="n">
        <f aca="false">H36794*H36797</f>
        <v>29.05</v>
      </c>
      <c r="I36798" s="16" t="n">
        <f aca="false">I36794*I36797</f>
        <v>29.05</v>
      </c>
      <c r="J36798" s="16" t="n">
        <f aca="false">J36794*J36797</f>
        <v>29.05</v>
      </c>
      <c r="K36798" s="16" t="n">
        <f aca="false">K36794*K36797</f>
        <v>29.05</v>
      </c>
    </row>
    <row r="36799" customFormat="false" ht="15" hidden="false" customHeight="false" outlineLevel="0" collapsed="false">
      <c r="A36799" s="3" t="s">
        <v>333</v>
      </c>
      <c r="G36799" s="16" t="n">
        <f aca="false">G36794*Assumptions!$H$62</f>
        <v>0</v>
      </c>
      <c r="H36799" s="16" t="n">
        <f aca="false">H36794*Assumptions!$H$62</f>
        <v>0</v>
      </c>
      <c r="I36799" s="16" t="n">
        <f aca="false">I36794*Assumptions!$H$62</f>
        <v>0</v>
      </c>
      <c r="J36799" s="16" t="n">
        <f aca="false">J36794*Assumptions!$H$62</f>
        <v>0</v>
      </c>
      <c r="K36799" s="16" t="n">
        <f aca="false">K36794*Assumptions!$H$62</f>
        <v>0</v>
      </c>
    </row>
    <row r="36800" customFormat="false" ht="15" hidden="false" customHeight="false" outlineLevel="0" collapsed="false">
      <c r="A36800" s="3" t="s">
        <v>334</v>
      </c>
      <c r="G36800" s="16" t="n">
        <f aca="false">MIN(G36794,Assumptions!$L$62*Assumptions!$C$62)</f>
        <v>0</v>
      </c>
      <c r="H36800" s="16" t="n">
        <f aca="false">MIN(H36794,Assumptions!$L$62*Assumptions!$C$62)</f>
        <v>0</v>
      </c>
      <c r="I36800" s="16" t="n">
        <f aca="false">MIN(I36794,Assumptions!$L$62*Assumptions!$C$62)</f>
        <v>0</v>
      </c>
      <c r="J36800" s="16" t="n">
        <f aca="false">MIN(J36794,Assumptions!$L$62*Assumptions!$C$62)</f>
        <v>0</v>
      </c>
      <c r="K36800" s="16" t="n">
        <f aca="false">MIN(K36794,Assumptions!$L$62*Assumptions!$C$62)</f>
        <v>0</v>
      </c>
    </row>
    <row r="36801" customFormat="false" ht="15" hidden="false" customHeight="false" outlineLevel="0" collapsed="false">
      <c r="A36801" s="3" t="s">
        <v>335</v>
      </c>
      <c r="G36801" s="16" t="n">
        <f aca="false">IF(AND(Assumptions!$P$62=1,G36693&lt;Assumptions!$K$62),MIN(MAX(0,-G36909),MAX(0,Assumptions!$D$62-G36794)),0)</f>
        <v>0</v>
      </c>
      <c r="H36801" s="16" t="n">
        <f aca="false">IF(AND(Assumptions!$P$62=1,OR(H36693&lt;Assumptions!$K$62,G37044=1)),MIN(MAX(0,-H36909),MAX(0,Assumptions!$D$62-H36794)),0)</f>
        <v>0</v>
      </c>
      <c r="I36801" s="16" t="n">
        <f aca="false">IF(AND(Assumptions!$P$62=1,OR(I36693&lt;Assumptions!$K$62,H37044=1)),MIN(MAX(0,-I36909),MAX(0,Assumptions!$D$62-I36794)),0)</f>
        <v>0</v>
      </c>
      <c r="J36801" s="16" t="n">
        <f aca="false">IF(AND(Assumptions!$P$62=1,OR(J36693&lt;Assumptions!$K$62,I37044=1)),MIN(MAX(0,-J36909),MAX(0,Assumptions!$D$62-J36794)),0)</f>
        <v>0</v>
      </c>
      <c r="K36801" s="16" t="n">
        <f aca="false">IF(AND(Assumptions!$P$62=1,OR(K36693&lt;Assumptions!$K$62,J37044=1)),MIN(MAX(0,-K36909),MAX(0,Assumptions!$D$62-K36794)),0)</f>
        <v>0</v>
      </c>
    </row>
    <row r="36802" customFormat="false" ht="15" hidden="false" customHeight="false" outlineLevel="0" collapsed="false">
      <c r="A36802" s="3" t="s">
        <v>336</v>
      </c>
      <c r="G36802" s="16" t="n">
        <f aca="false">G36795*MIN(G36794-G36800+G36799,MAX(0,G36911-Assumptions!$C$12*G36727-G36737-G36750-G36763-G36776-G36789))</f>
        <v>0</v>
      </c>
      <c r="H36802" s="16" t="n">
        <f aca="false">H36795*MIN(H36794-H36800+H36799,MAX(0,H36911-Assumptions!$C$12*H36727-H36737-H36750-H36763-H36776-H36789))</f>
        <v>0</v>
      </c>
      <c r="I36802" s="16" t="n">
        <f aca="false">I36795*MIN(I36794-I36800+I36799,MAX(0,I36911-Assumptions!$C$12*I36727-I36737-I36750-I36763-I36776-I36789))</f>
        <v>0</v>
      </c>
      <c r="J36802" s="16" t="n">
        <f aca="false">J36795*MIN(J36794-J36800+J36799,MAX(0,J36911-Assumptions!$C$12*J36727-J36737-J36750-J36763-J36776-J36789))</f>
        <v>0</v>
      </c>
      <c r="K36802" s="16" t="n">
        <f aca="false">K36795*MIN(K36794-K36800+K36799,MAX(0,K36911-Assumptions!$C$12*K36727-K36737-K36750-K36763-K36776-K36789))</f>
        <v>0</v>
      </c>
    </row>
    <row r="36803" customFormat="false" ht="15" hidden="false" customHeight="false" outlineLevel="0" collapsed="false">
      <c r="A36803" s="3" t="s">
        <v>337</v>
      </c>
      <c r="G36803" s="16" t="n">
        <f aca="false">Assumptions!$N$62*MIN(G36794+G36801+G36799-G36800-G36802,MAX(0,G36915-G36738-G36751-G36764-G36777-G36790))</f>
        <v>0</v>
      </c>
      <c r="H36803" s="16" t="n">
        <f aca="false">Assumptions!$N$62*MIN(H36794+H36801+H36799-H36800-H36802,MAX(0,H36915-H36738-H36751-H36764-H36777-H36790))</f>
        <v>0</v>
      </c>
      <c r="I36803" s="16" t="n">
        <f aca="false">Assumptions!$N$62*MIN(I36794+I36801+I36799-I36800-I36802,MAX(0,I36915-I36738-I36751-I36764-I36777-I36790))</f>
        <v>0</v>
      </c>
      <c r="J36803" s="16" t="n">
        <f aca="false">Assumptions!$N$62*MIN(J36794+J36801+J36799-J36800-J36802,MAX(0,J36915-J36738-J36751-J36764-J36777-J36790))</f>
        <v>0</v>
      </c>
      <c r="K36803" s="16" t="n">
        <f aca="false">Assumptions!$N$62*MIN(K36794+K36801+K36799-K36800-K36802,MAX(0,K36915-K36738-K36751-K36764-K36777-K36790))</f>
        <v>0</v>
      </c>
    </row>
    <row r="36804" customFormat="false" ht="15" hidden="false" customHeight="false" outlineLevel="0" collapsed="false">
      <c r="A36804" s="3" t="s">
        <v>338</v>
      </c>
      <c r="G36804" s="16" t="n">
        <f aca="false">G36795*(1-G36727)*(G36794-G36800+G36799-G36802)</f>
        <v>0</v>
      </c>
      <c r="H36804" s="16" t="n">
        <f aca="false">H36795*(1-H36727)*(H36794-H36800+H36799-H36802)</f>
        <v>350</v>
      </c>
      <c r="I36804" s="16" t="n">
        <f aca="false">I36795*(1-I36727)*(I36794-I36800+I36799-I36802)</f>
        <v>0</v>
      </c>
      <c r="J36804" s="16" t="n">
        <f aca="false">J36795*(1-J36727)*(J36794-J36800+J36799-J36802)</f>
        <v>0</v>
      </c>
      <c r="K36804" s="16" t="n">
        <f aca="false">K36795*(1-K36727)*(K36794-K36800+K36799-K36802)</f>
        <v>0</v>
      </c>
    </row>
    <row r="36805" customFormat="false" ht="15" hidden="false" customHeight="false" outlineLevel="0" collapsed="false">
      <c r="A36805" s="2" t="s">
        <v>339</v>
      </c>
      <c r="F36805" s="28" t="n">
        <f aca="false">Assumptions!$C$62</f>
        <v>350</v>
      </c>
      <c r="G36805" s="17" t="n">
        <f aca="false">G36794+G36801+G36799-G36800-G36802-G36803</f>
        <v>350</v>
      </c>
      <c r="H36805" s="17" t="n">
        <f aca="false">H36794+H36801+H36799-H36800-H36802-H36803</f>
        <v>350</v>
      </c>
      <c r="I36805" s="17" t="n">
        <f aca="false">I36794+I36801+I36799-I36800-I36802-I36803</f>
        <v>350</v>
      </c>
      <c r="J36805" s="17" t="n">
        <f aca="false">J36794+J36801+J36799-J36800-J36802-J36803</f>
        <v>350</v>
      </c>
      <c r="K36805" s="17" t="n">
        <f aca="false">K36794+K36801+K36799-K36800-K36802-K36803</f>
        <v>350</v>
      </c>
    </row>
    <row r="36806" customFormat="false" ht="15" hidden="false" customHeight="false" outlineLevel="0" collapsed="false">
      <c r="A36806" s="24" t="s">
        <v>345</v>
      </c>
      <c r="B36806" s="25"/>
      <c r="C36806" s="25"/>
      <c r="D36806" s="25"/>
      <c r="E36806" s="25"/>
      <c r="F36806" s="25"/>
      <c r="G36806" s="25"/>
      <c r="H36806" s="25"/>
      <c r="I36806" s="25"/>
      <c r="J36806" s="25"/>
      <c r="K36806" s="25"/>
    </row>
    <row r="36807" customFormat="false" ht="15" hidden="false" customHeight="false" outlineLevel="0" collapsed="false">
      <c r="A36807" s="3" t="s">
        <v>329</v>
      </c>
      <c r="G36807" s="16" t="n">
        <f aca="false">F36818</f>
        <v>550</v>
      </c>
      <c r="H36807" s="16" t="n">
        <f aca="false">G36818</f>
        <v>550</v>
      </c>
      <c r="I36807" s="16" t="n">
        <f aca="false">H36818</f>
        <v>550</v>
      </c>
      <c r="J36807" s="16" t="n">
        <f aca="false">I36818</f>
        <v>550</v>
      </c>
      <c r="K36807" s="16" t="n">
        <f aca="false">J36818</f>
        <v>550</v>
      </c>
    </row>
    <row r="36808" customFormat="false" ht="15" hidden="false" customHeight="false" outlineLevel="0" collapsed="false">
      <c r="A36808" s="3" t="s">
        <v>330</v>
      </c>
      <c r="G36808" s="21" t="n">
        <f aca="false">IF(G36693=Assumptions!$K$63,1,0)</f>
        <v>0</v>
      </c>
      <c r="H36808" s="21" t="n">
        <f aca="false">IF(H36693=Assumptions!$K$63,1,0)</f>
        <v>0</v>
      </c>
      <c r="I36808" s="21" t="n">
        <f aca="false">IF(I36693=Assumptions!$K$63,1,0)</f>
        <v>1</v>
      </c>
      <c r="J36808" s="21" t="n">
        <f aca="false">IF(J36693=Assumptions!$K$63,1,0)</f>
        <v>0</v>
      </c>
      <c r="K36808" s="21" t="n">
        <f aca="false">IF(K36693=Assumptions!$K$63,1,0)</f>
        <v>0</v>
      </c>
    </row>
    <row r="36810" customFormat="false" ht="15" hidden="false" customHeight="false" outlineLevel="0" collapsed="false">
      <c r="A36810" s="3" t="s">
        <v>331</v>
      </c>
      <c r="G36810" s="31" t="n">
        <f aca="false">IF(Assumptions!$I$63=1,MAX(G36719,Assumptions!$G$63)+Assumptions!$F$63+$C$36720,Assumptions!$E$63)</f>
        <v>0.08875</v>
      </c>
      <c r="H36810" s="31" t="n">
        <f aca="false">IF(G37045=1,$C$36721,IF(Assumptions!$I$63=1,MAX(H36719,Assumptions!$G$63)+Assumptions!$F$63+$C$36720,Assumptions!$E$63))</f>
        <v>0.08875</v>
      </c>
      <c r="I36810" s="31" t="n">
        <f aca="false">IF(H37045=1,$C$36721,IF(Assumptions!$I$63=1,MAX(I36719,Assumptions!$G$63)+Assumptions!$F$63+$C$36720,Assumptions!$E$63))</f>
        <v>0.08875</v>
      </c>
      <c r="J36810" s="31" t="n">
        <f aca="false">IF(I37045=1,$C$36721,IF(Assumptions!$I$63=1,MAX(J36719,Assumptions!$G$63)+Assumptions!$F$63+$C$36720,Assumptions!$E$63))</f>
        <v>0.08875</v>
      </c>
      <c r="K36810" s="31" t="n">
        <f aca="false">IF(J37045=1,$C$36721,IF(Assumptions!$I$63=1,MAX(K36719,Assumptions!$G$63)+Assumptions!$F$63+$C$36720,Assumptions!$E$63))</f>
        <v>0.08875</v>
      </c>
    </row>
    <row r="36811" customFormat="false" ht="15" hidden="false" customHeight="false" outlineLevel="0" collapsed="false">
      <c r="A36811" s="3" t="s">
        <v>332</v>
      </c>
      <c r="G36811" s="16" t="n">
        <f aca="false">G36807*G36810</f>
        <v>48.8125</v>
      </c>
      <c r="H36811" s="16" t="n">
        <f aca="false">H36807*H36810</f>
        <v>48.8125</v>
      </c>
      <c r="I36811" s="16" t="n">
        <f aca="false">I36807*I36810</f>
        <v>48.8125</v>
      </c>
      <c r="J36811" s="16" t="n">
        <f aca="false">J36807*J36810</f>
        <v>48.8125</v>
      </c>
      <c r="K36811" s="16" t="n">
        <f aca="false">K36807*K36810</f>
        <v>48.8125</v>
      </c>
    </row>
    <row r="36812" customFormat="false" ht="15" hidden="false" customHeight="false" outlineLevel="0" collapsed="false">
      <c r="A36812" s="3" t="s">
        <v>333</v>
      </c>
      <c r="G36812" s="16" t="n">
        <f aca="false">G36807*Assumptions!$H$63</f>
        <v>0</v>
      </c>
      <c r="H36812" s="16" t="n">
        <f aca="false">H36807*Assumptions!$H$63</f>
        <v>0</v>
      </c>
      <c r="I36812" s="16" t="n">
        <f aca="false">I36807*Assumptions!$H$63</f>
        <v>0</v>
      </c>
      <c r="J36812" s="16" t="n">
        <f aca="false">J36807*Assumptions!$H$63</f>
        <v>0</v>
      </c>
      <c r="K36812" s="16" t="n">
        <f aca="false">K36807*Assumptions!$H$63</f>
        <v>0</v>
      </c>
    </row>
    <row r="36813" customFormat="false" ht="15" hidden="false" customHeight="false" outlineLevel="0" collapsed="false">
      <c r="A36813" s="3" t="s">
        <v>334</v>
      </c>
      <c r="G36813" s="16" t="n">
        <f aca="false">MIN(G36807,Assumptions!$L$63*Assumptions!$C$63)</f>
        <v>0</v>
      </c>
      <c r="H36813" s="16" t="n">
        <f aca="false">MIN(H36807,Assumptions!$L$63*Assumptions!$C$63)</f>
        <v>0</v>
      </c>
      <c r="I36813" s="16" t="n">
        <f aca="false">MIN(I36807,Assumptions!$L$63*Assumptions!$C$63)</f>
        <v>0</v>
      </c>
      <c r="J36813" s="16" t="n">
        <f aca="false">MIN(J36807,Assumptions!$L$63*Assumptions!$C$63)</f>
        <v>0</v>
      </c>
      <c r="K36813" s="16" t="n">
        <f aca="false">MIN(K36807,Assumptions!$L$63*Assumptions!$C$63)</f>
        <v>0</v>
      </c>
    </row>
    <row r="36814" customFormat="false" ht="15" hidden="false" customHeight="false" outlineLevel="0" collapsed="false">
      <c r="A36814" s="3" t="s">
        <v>335</v>
      </c>
      <c r="G36814" s="16" t="n">
        <f aca="false">IF(AND(Assumptions!$P$63=1,G36693&lt;Assumptions!$K$63),MIN(MAX(0,-G36909),MAX(0,Assumptions!$D$63-G36807)),0)</f>
        <v>0</v>
      </c>
      <c r="H36814" s="16" t="n">
        <f aca="false">IF(AND(Assumptions!$P$63=1,OR(H36693&lt;Assumptions!$K$63,G37045=1)),MIN(MAX(0,-H36909),MAX(0,Assumptions!$D$63-H36807)),0)</f>
        <v>0</v>
      </c>
      <c r="I36814" s="16" t="n">
        <f aca="false">IF(AND(Assumptions!$P$63=1,OR(I36693&lt;Assumptions!$K$63,H37045=1)),MIN(MAX(0,-I36909),MAX(0,Assumptions!$D$63-I36807)),0)</f>
        <v>0</v>
      </c>
      <c r="J36814" s="16" t="n">
        <f aca="false">IF(AND(Assumptions!$P$63=1,OR(J36693&lt;Assumptions!$K$63,I37045=1)),MIN(MAX(0,-J36909),MAX(0,Assumptions!$D$63-J36807)),0)</f>
        <v>0</v>
      </c>
      <c r="K36814" s="16" t="n">
        <f aca="false">IF(AND(Assumptions!$P$63=1,OR(K36693&lt;Assumptions!$K$63,J37045=1)),MIN(MAX(0,-K36909),MAX(0,Assumptions!$D$63-K36807)),0)</f>
        <v>0</v>
      </c>
    </row>
    <row r="36815" customFormat="false" ht="15" hidden="false" customHeight="false" outlineLevel="0" collapsed="false">
      <c r="A36815" s="3" t="s">
        <v>336</v>
      </c>
      <c r="G36815" s="16" t="n">
        <f aca="false">G36808*MIN(G36807-G36813+G36812,MAX(0,G36911-Assumptions!$C$12*G36727-G36737-G36750-G36763-G36776-G36789-G36802))</f>
        <v>0</v>
      </c>
      <c r="H36815" s="16" t="n">
        <f aca="false">H36808*MIN(H36807-H36813+H36812,MAX(0,H36911-Assumptions!$C$12*H36727-H36737-H36750-H36763-H36776-H36789-H36802))</f>
        <v>0</v>
      </c>
      <c r="I36815" s="16" t="n">
        <f aca="false">I36808*MIN(I36807-I36813+I36812,MAX(0,I36911-Assumptions!$C$12*I36727-I36737-I36750-I36763-I36776-I36789-I36802))</f>
        <v>0</v>
      </c>
      <c r="J36815" s="16" t="n">
        <f aca="false">J36808*MIN(J36807-J36813+J36812,MAX(0,J36911-Assumptions!$C$12*J36727-J36737-J36750-J36763-J36776-J36789-J36802))</f>
        <v>0</v>
      </c>
      <c r="K36815" s="16" t="n">
        <f aca="false">K36808*MIN(K36807-K36813+K36812,MAX(0,K36911-Assumptions!$C$12*K36727-K36737-K36750-K36763-K36776-K36789-K36802))</f>
        <v>0</v>
      </c>
    </row>
    <row r="36816" customFormat="false" ht="15" hidden="false" customHeight="false" outlineLevel="0" collapsed="false">
      <c r="A36816" s="3" t="s">
        <v>337</v>
      </c>
      <c r="G36816" s="16" t="n">
        <f aca="false">Assumptions!$N$63*MIN(G36807+G36814+G36812-G36813-G36815,MAX(0,G36915-G36738-G36751-G36764-G36777-G36790-G36803))</f>
        <v>0</v>
      </c>
      <c r="H36816" s="16" t="n">
        <f aca="false">Assumptions!$N$63*MIN(H36807+H36814+H36812-H36813-H36815,MAX(0,H36915-H36738-H36751-H36764-H36777-H36790-H36803))</f>
        <v>0</v>
      </c>
      <c r="I36816" s="16" t="n">
        <f aca="false">Assumptions!$N$63*MIN(I36807+I36814+I36812-I36813-I36815,MAX(0,I36915-I36738-I36751-I36764-I36777-I36790-I36803))</f>
        <v>0</v>
      </c>
      <c r="J36816" s="16" t="n">
        <f aca="false">Assumptions!$N$63*MIN(J36807+J36814+J36812-J36813-J36815,MAX(0,J36915-J36738-J36751-J36764-J36777-J36790-J36803))</f>
        <v>0</v>
      </c>
      <c r="K36816" s="16" t="n">
        <f aca="false">Assumptions!$N$63*MIN(K36807+K36814+K36812-K36813-K36815,MAX(0,K36915-K36738-K36751-K36764-K36777-K36790-K36803))</f>
        <v>0</v>
      </c>
    </row>
    <row r="36817" customFormat="false" ht="15" hidden="false" customHeight="false" outlineLevel="0" collapsed="false">
      <c r="A36817" s="3" t="s">
        <v>338</v>
      </c>
      <c r="G36817" s="16" t="n">
        <f aca="false">G36808*(1-G36727)*(G36807-G36813+G36812-G36815)</f>
        <v>0</v>
      </c>
      <c r="H36817" s="16" t="n">
        <f aca="false">H36808*(1-H36727)*(H36807-H36813+H36812-H36815)</f>
        <v>0</v>
      </c>
      <c r="I36817" s="16" t="n">
        <f aca="false">I36808*(1-I36727)*(I36807-I36813+I36812-I36815)</f>
        <v>550</v>
      </c>
      <c r="J36817" s="16" t="n">
        <f aca="false">J36808*(1-J36727)*(J36807-J36813+J36812-J36815)</f>
        <v>0</v>
      </c>
      <c r="K36817" s="16" t="n">
        <f aca="false">K36808*(1-K36727)*(K36807-K36813+K36812-K36815)</f>
        <v>0</v>
      </c>
    </row>
    <row r="36818" customFormat="false" ht="15" hidden="false" customHeight="false" outlineLevel="0" collapsed="false">
      <c r="A36818" s="2" t="s">
        <v>339</v>
      </c>
      <c r="F36818" s="28" t="n">
        <f aca="false">Assumptions!$C$63</f>
        <v>550</v>
      </c>
      <c r="G36818" s="17" t="n">
        <f aca="false">G36807+G36814+G36812-G36813-G36815-G36816</f>
        <v>550</v>
      </c>
      <c r="H36818" s="17" t="n">
        <f aca="false">H36807+H36814+H36812-H36813-H36815-H36816</f>
        <v>550</v>
      </c>
      <c r="I36818" s="17" t="n">
        <f aca="false">I36807+I36814+I36812-I36813-I36815-I36816</f>
        <v>550</v>
      </c>
      <c r="J36818" s="17" t="n">
        <f aca="false">J36807+J36814+J36812-J36813-J36815-J36816</f>
        <v>550</v>
      </c>
      <c r="K36818" s="17" t="n">
        <f aca="false">K36807+K36814+K36812-K36813-K36815-K36816</f>
        <v>550</v>
      </c>
    </row>
    <row r="36819" customFormat="false" ht="15" hidden="false" customHeight="false" outlineLevel="0" collapsed="false">
      <c r="A36819" s="24" t="s">
        <v>346</v>
      </c>
      <c r="B36819" s="25"/>
      <c r="C36819" s="25"/>
      <c r="D36819" s="25"/>
      <c r="E36819" s="25"/>
      <c r="F36819" s="25"/>
      <c r="G36819" s="25"/>
      <c r="H36819" s="25"/>
      <c r="I36819" s="25"/>
      <c r="J36819" s="25"/>
      <c r="K36819" s="25"/>
    </row>
    <row r="36820" customFormat="false" ht="15" hidden="false" customHeight="false" outlineLevel="0" collapsed="false">
      <c r="A36820" s="3" t="s">
        <v>329</v>
      </c>
      <c r="G36820" s="16" t="n">
        <f aca="false">F36831</f>
        <v>350</v>
      </c>
      <c r="H36820" s="16" t="n">
        <f aca="false">G36831</f>
        <v>350</v>
      </c>
      <c r="I36820" s="16" t="n">
        <f aca="false">H36831</f>
        <v>350</v>
      </c>
      <c r="J36820" s="16" t="n">
        <f aca="false">I36831</f>
        <v>350</v>
      </c>
      <c r="K36820" s="16" t="n">
        <f aca="false">J36831</f>
        <v>350</v>
      </c>
    </row>
    <row r="36821" customFormat="false" ht="15" hidden="false" customHeight="false" outlineLevel="0" collapsed="false">
      <c r="A36821" s="3" t="s">
        <v>330</v>
      </c>
      <c r="G36821" s="21" t="n">
        <f aca="false">IF(G36693=Assumptions!$K$64,1,0)</f>
        <v>0</v>
      </c>
      <c r="H36821" s="21" t="n">
        <f aca="false">IF(H36693=Assumptions!$K$64,1,0)</f>
        <v>0</v>
      </c>
      <c r="I36821" s="21" t="n">
        <f aca="false">IF(I36693=Assumptions!$K$64,1,0)</f>
        <v>0</v>
      </c>
      <c r="J36821" s="21" t="n">
        <f aca="false">IF(J36693=Assumptions!$K$64,1,0)</f>
        <v>1</v>
      </c>
      <c r="K36821" s="21" t="n">
        <f aca="false">IF(K36693=Assumptions!$K$64,1,0)</f>
        <v>0</v>
      </c>
    </row>
    <row r="36823" customFormat="false" ht="15" hidden="false" customHeight="false" outlineLevel="0" collapsed="false">
      <c r="A36823" s="3" t="s">
        <v>331</v>
      </c>
      <c r="G36823" s="31" t="n">
        <f aca="false">IF(Assumptions!$I$64=1,MAX(G36719,Assumptions!$G$64)+Assumptions!$F$64+$C$36720,Assumptions!$E$64)</f>
        <v>0.0455</v>
      </c>
      <c r="H36823" s="31" t="n">
        <f aca="false">IF(G37046=1,$C$36721,IF(Assumptions!$I$64=1,MAX(H36719,Assumptions!$G$64)+Assumptions!$F$64+$C$36720,Assumptions!$E$64))</f>
        <v>0.0455</v>
      </c>
      <c r="I36823" s="31" t="n">
        <f aca="false">IF(H37046=1,$C$36721,IF(Assumptions!$I$64=1,MAX(I36719,Assumptions!$G$64)+Assumptions!$F$64+$C$36720,Assumptions!$E$64))</f>
        <v>0.0455</v>
      </c>
      <c r="J36823" s="31" t="n">
        <f aca="false">IF(I37046=1,$C$36721,IF(Assumptions!$I$64=1,MAX(J36719,Assumptions!$G$64)+Assumptions!$F$64+$C$36720,Assumptions!$E$64))</f>
        <v>0.0455</v>
      </c>
      <c r="K36823" s="31" t="n">
        <f aca="false">IF(J37046=1,$C$36721,IF(Assumptions!$I$64=1,MAX(K36719,Assumptions!$G$64)+Assumptions!$F$64+$C$36720,Assumptions!$E$64))</f>
        <v>0.0455</v>
      </c>
    </row>
    <row r="36824" customFormat="false" ht="15" hidden="false" customHeight="false" outlineLevel="0" collapsed="false">
      <c r="A36824" s="3" t="s">
        <v>332</v>
      </c>
      <c r="G36824" s="16" t="n">
        <f aca="false">G36820*G36823</f>
        <v>15.925</v>
      </c>
      <c r="H36824" s="16" t="n">
        <f aca="false">H36820*H36823</f>
        <v>15.925</v>
      </c>
      <c r="I36824" s="16" t="n">
        <f aca="false">I36820*I36823</f>
        <v>15.925</v>
      </c>
      <c r="J36824" s="16" t="n">
        <f aca="false">J36820*J36823</f>
        <v>15.925</v>
      </c>
      <c r="K36824" s="16" t="n">
        <f aca="false">K36820*K36823</f>
        <v>15.925</v>
      </c>
    </row>
    <row r="36825" customFormat="false" ht="15" hidden="false" customHeight="false" outlineLevel="0" collapsed="false">
      <c r="A36825" s="3" t="s">
        <v>333</v>
      </c>
      <c r="G36825" s="16" t="n">
        <f aca="false">G36820*Assumptions!$H$64</f>
        <v>0</v>
      </c>
      <c r="H36825" s="16" t="n">
        <f aca="false">H36820*Assumptions!$H$64</f>
        <v>0</v>
      </c>
      <c r="I36825" s="16" t="n">
        <f aca="false">I36820*Assumptions!$H$64</f>
        <v>0</v>
      </c>
      <c r="J36825" s="16" t="n">
        <f aca="false">J36820*Assumptions!$H$64</f>
        <v>0</v>
      </c>
      <c r="K36825" s="16" t="n">
        <f aca="false">K36820*Assumptions!$H$64</f>
        <v>0</v>
      </c>
    </row>
    <row r="36826" customFormat="false" ht="15" hidden="false" customHeight="false" outlineLevel="0" collapsed="false">
      <c r="A36826" s="3" t="s">
        <v>334</v>
      </c>
      <c r="G36826" s="16" t="n">
        <f aca="false">MIN(G36820,Assumptions!$L$64*Assumptions!$C$64)</f>
        <v>0</v>
      </c>
      <c r="H36826" s="16" t="n">
        <f aca="false">MIN(H36820,Assumptions!$L$64*Assumptions!$C$64)</f>
        <v>0</v>
      </c>
      <c r="I36826" s="16" t="n">
        <f aca="false">MIN(I36820,Assumptions!$L$64*Assumptions!$C$64)</f>
        <v>0</v>
      </c>
      <c r="J36826" s="16" t="n">
        <f aca="false">MIN(J36820,Assumptions!$L$64*Assumptions!$C$64)</f>
        <v>0</v>
      </c>
      <c r="K36826" s="16" t="n">
        <f aca="false">MIN(K36820,Assumptions!$L$64*Assumptions!$C$64)</f>
        <v>0</v>
      </c>
    </row>
    <row r="36827" customFormat="false" ht="15" hidden="false" customHeight="false" outlineLevel="0" collapsed="false">
      <c r="A36827" s="3" t="s">
        <v>335</v>
      </c>
      <c r="G36827" s="16" t="n">
        <f aca="false">IF(AND(Assumptions!$P$64=1,G36693&lt;Assumptions!$K$64),MIN(MAX(0,-G36909),MAX(0,Assumptions!$D$64-G36820)),0)</f>
        <v>0</v>
      </c>
      <c r="H36827" s="16" t="n">
        <f aca="false">IF(AND(Assumptions!$P$64=1,OR(H36693&lt;Assumptions!$K$64,G37046=1)),MIN(MAX(0,-H36909),MAX(0,Assumptions!$D$64-H36820)),0)</f>
        <v>0</v>
      </c>
      <c r="I36827" s="16" t="n">
        <f aca="false">IF(AND(Assumptions!$P$64=1,OR(I36693&lt;Assumptions!$K$64,H37046=1)),MIN(MAX(0,-I36909),MAX(0,Assumptions!$D$64-I36820)),0)</f>
        <v>0</v>
      </c>
      <c r="J36827" s="16" t="n">
        <f aca="false">IF(AND(Assumptions!$P$64=1,OR(J36693&lt;Assumptions!$K$64,I37046=1)),MIN(MAX(0,-J36909),MAX(0,Assumptions!$D$64-J36820)),0)</f>
        <v>0</v>
      </c>
      <c r="K36827" s="16" t="n">
        <f aca="false">IF(AND(Assumptions!$P$64=1,OR(K36693&lt;Assumptions!$K$64,J37046=1)),MIN(MAX(0,-K36909),MAX(0,Assumptions!$D$64-K36820)),0)</f>
        <v>0</v>
      </c>
    </row>
    <row r="36828" customFormat="false" ht="15" hidden="false" customHeight="false" outlineLevel="0" collapsed="false">
      <c r="A36828" s="3" t="s">
        <v>336</v>
      </c>
      <c r="G36828" s="16" t="n">
        <f aca="false">G36821*MIN(G36820-G36826+G36825,MAX(0,G36911-Assumptions!$C$12*G36727-G36737-G36750-G36763-G36776-G36789-G36802-G36815))</f>
        <v>0</v>
      </c>
      <c r="H36828" s="16" t="n">
        <f aca="false">H36821*MIN(H36820-H36826+H36825,MAX(0,H36911-Assumptions!$C$12*H36727-H36737-H36750-H36763-H36776-H36789-H36802-H36815))</f>
        <v>0</v>
      </c>
      <c r="I36828" s="16" t="n">
        <f aca="false">I36821*MIN(I36820-I36826+I36825,MAX(0,I36911-Assumptions!$C$12*I36727-I36737-I36750-I36763-I36776-I36789-I36802-I36815))</f>
        <v>0</v>
      </c>
      <c r="J36828" s="16" t="n">
        <f aca="false">J36821*MIN(J36820-J36826+J36825,MAX(0,J36911-Assumptions!$C$12*J36727-J36737-J36750-J36763-J36776-J36789-J36802-J36815))</f>
        <v>0</v>
      </c>
      <c r="K36828" s="16" t="n">
        <f aca="false">K36821*MIN(K36820-K36826+K36825,MAX(0,K36911-Assumptions!$C$12*K36727-K36737-K36750-K36763-K36776-K36789-K36802-K36815))</f>
        <v>0</v>
      </c>
    </row>
    <row r="36829" customFormat="false" ht="15" hidden="false" customHeight="false" outlineLevel="0" collapsed="false">
      <c r="A36829" s="3" t="s">
        <v>337</v>
      </c>
      <c r="G36829" s="16" t="n">
        <f aca="false">Assumptions!$N$64*MIN(G36820+G36827+G36825-G36826-G36828,MAX(0,G36915-G36738-G36751-G36764-G36777-G36790-G36803-G36816))</f>
        <v>0</v>
      </c>
      <c r="H36829" s="16" t="n">
        <f aca="false">Assumptions!$N$64*MIN(H36820+H36827+H36825-H36826-H36828,MAX(0,H36915-H36738-H36751-H36764-H36777-H36790-H36803-H36816))</f>
        <v>0</v>
      </c>
      <c r="I36829" s="16" t="n">
        <f aca="false">Assumptions!$N$64*MIN(I36820+I36827+I36825-I36826-I36828,MAX(0,I36915-I36738-I36751-I36764-I36777-I36790-I36803-I36816))</f>
        <v>0</v>
      </c>
      <c r="J36829" s="16" t="n">
        <f aca="false">Assumptions!$N$64*MIN(J36820+J36827+J36825-J36826-J36828,MAX(0,J36915-J36738-J36751-J36764-J36777-J36790-J36803-J36816))</f>
        <v>0</v>
      </c>
      <c r="K36829" s="16" t="n">
        <f aca="false">Assumptions!$N$64*MIN(K36820+K36827+K36825-K36826-K36828,MAX(0,K36915-K36738-K36751-K36764-K36777-K36790-K36803-K36816))</f>
        <v>0</v>
      </c>
    </row>
    <row r="36830" customFormat="false" ht="15" hidden="false" customHeight="false" outlineLevel="0" collapsed="false">
      <c r="A36830" s="3" t="s">
        <v>338</v>
      </c>
      <c r="G36830" s="16" t="n">
        <f aca="false">G36821*(1-G36727)*(G36820-G36826+G36825-G36828)</f>
        <v>0</v>
      </c>
      <c r="H36830" s="16" t="n">
        <f aca="false">H36821*(1-H36727)*(H36820-H36826+H36825-H36828)</f>
        <v>0</v>
      </c>
      <c r="I36830" s="16" t="n">
        <f aca="false">I36821*(1-I36727)*(I36820-I36826+I36825-I36828)</f>
        <v>0</v>
      </c>
      <c r="J36830" s="16" t="n">
        <f aca="false">J36821*(1-J36727)*(J36820-J36826+J36825-J36828)</f>
        <v>350</v>
      </c>
      <c r="K36830" s="16" t="n">
        <f aca="false">K36821*(1-K36727)*(K36820-K36826+K36825-K36828)</f>
        <v>0</v>
      </c>
    </row>
    <row r="36831" customFormat="false" ht="15" hidden="false" customHeight="false" outlineLevel="0" collapsed="false">
      <c r="A36831" s="2" t="s">
        <v>339</v>
      </c>
      <c r="F36831" s="28" t="n">
        <f aca="false">Assumptions!$C$64</f>
        <v>350</v>
      </c>
      <c r="G36831" s="17" t="n">
        <f aca="false">G36820+G36827+G36825-G36826-G36828-G36829</f>
        <v>350</v>
      </c>
      <c r="H36831" s="17" t="n">
        <f aca="false">H36820+H36827+H36825-H36826-H36828-H36829</f>
        <v>350</v>
      </c>
      <c r="I36831" s="17" t="n">
        <f aca="false">I36820+I36827+I36825-I36826-I36828-I36829</f>
        <v>350</v>
      </c>
      <c r="J36831" s="17" t="n">
        <f aca="false">J36820+J36827+J36825-J36826-J36828-J36829</f>
        <v>350</v>
      </c>
      <c r="K36831" s="17" t="n">
        <f aca="false">K36820+K36827+K36825-K36826-K36828-K36829</f>
        <v>350</v>
      </c>
    </row>
    <row r="36832" customFormat="false" ht="15" hidden="false" customHeight="false" outlineLevel="0" collapsed="false">
      <c r="A36832" s="24" t="s">
        <v>347</v>
      </c>
      <c r="B36832" s="25"/>
      <c r="C36832" s="25"/>
      <c r="D36832" s="25"/>
      <c r="E36832" s="25"/>
      <c r="F36832" s="25"/>
      <c r="G36832" s="25"/>
      <c r="H36832" s="25"/>
      <c r="I36832" s="25"/>
      <c r="J36832" s="25"/>
      <c r="K36832" s="25"/>
    </row>
    <row r="36833" customFormat="false" ht="15" hidden="false" customHeight="false" outlineLevel="0" collapsed="false">
      <c r="A36833" s="3" t="s">
        <v>329</v>
      </c>
      <c r="G36833" s="16" t="n">
        <f aca="false">F36844</f>
        <v>300</v>
      </c>
      <c r="H36833" s="16" t="n">
        <f aca="false">G36844</f>
        <v>300</v>
      </c>
      <c r="I36833" s="16" t="n">
        <f aca="false">H36844</f>
        <v>300</v>
      </c>
      <c r="J36833" s="16" t="n">
        <f aca="false">I36844</f>
        <v>300</v>
      </c>
      <c r="K36833" s="16" t="n">
        <f aca="false">J36844</f>
        <v>300</v>
      </c>
    </row>
    <row r="36834" customFormat="false" ht="15" hidden="false" customHeight="false" outlineLevel="0" collapsed="false">
      <c r="A36834" s="3" t="s">
        <v>330</v>
      </c>
      <c r="G36834" s="21" t="n">
        <f aca="false">IF(G36693=Assumptions!$K$65,1,0)</f>
        <v>0</v>
      </c>
      <c r="H36834" s="21" t="n">
        <f aca="false">IF(H36693=Assumptions!$K$65,1,0)</f>
        <v>0</v>
      </c>
      <c r="I36834" s="21" t="n">
        <f aca="false">IF(I36693=Assumptions!$K$65,1,0)</f>
        <v>0</v>
      </c>
      <c r="J36834" s="21" t="n">
        <f aca="false">IF(J36693=Assumptions!$K$65,1,0)</f>
        <v>0</v>
      </c>
      <c r="K36834" s="21" t="n">
        <f aca="false">IF(K36693=Assumptions!$K$65,1,0)</f>
        <v>1</v>
      </c>
    </row>
    <row r="36836" customFormat="false" ht="15" hidden="false" customHeight="false" outlineLevel="0" collapsed="false">
      <c r="A36836" s="3" t="s">
        <v>331</v>
      </c>
      <c r="G36836" s="31" t="n">
        <f aca="false">IF(Assumptions!$I$65=1,MAX(G36719,Assumptions!$G$65)+Assumptions!$F$65+$C$36720,Assumptions!$E$65)</f>
        <v>0.06125</v>
      </c>
      <c r="H36836" s="31" t="n">
        <f aca="false">IF(G37047=1,$C$36721,IF(Assumptions!$I$65=1,MAX(H36719,Assumptions!$G$65)+Assumptions!$F$65+$C$36720,Assumptions!$E$65))</f>
        <v>0.06125</v>
      </c>
      <c r="I36836" s="31" t="n">
        <f aca="false">IF(H37047=1,$C$36721,IF(Assumptions!$I$65=1,MAX(I36719,Assumptions!$G$65)+Assumptions!$F$65+$C$36720,Assumptions!$E$65))</f>
        <v>0.06125</v>
      </c>
      <c r="J36836" s="31" t="n">
        <f aca="false">IF(I37047=1,$C$36721,IF(Assumptions!$I$65=1,MAX(J36719,Assumptions!$G$65)+Assumptions!$F$65+$C$36720,Assumptions!$E$65))</f>
        <v>0.06125</v>
      </c>
      <c r="K36836" s="31" t="n">
        <f aca="false">IF(J37047=1,$C$36721,IF(Assumptions!$I$65=1,MAX(K36719,Assumptions!$G$65)+Assumptions!$F$65+$C$36720,Assumptions!$E$65))</f>
        <v>0.06125</v>
      </c>
    </row>
    <row r="36837" customFormat="false" ht="15" hidden="false" customHeight="false" outlineLevel="0" collapsed="false">
      <c r="A36837" s="3" t="s">
        <v>332</v>
      </c>
      <c r="G36837" s="16" t="n">
        <f aca="false">G36833*G36836</f>
        <v>18.375</v>
      </c>
      <c r="H36837" s="16" t="n">
        <f aca="false">H36833*H36836</f>
        <v>18.375</v>
      </c>
      <c r="I36837" s="16" t="n">
        <f aca="false">I36833*I36836</f>
        <v>18.375</v>
      </c>
      <c r="J36837" s="16" t="n">
        <f aca="false">J36833*J36836</f>
        <v>18.375</v>
      </c>
      <c r="K36837" s="16" t="n">
        <f aca="false">K36833*K36836</f>
        <v>18.375</v>
      </c>
    </row>
    <row r="36838" customFormat="false" ht="15" hidden="false" customHeight="false" outlineLevel="0" collapsed="false">
      <c r="A36838" s="3" t="s">
        <v>333</v>
      </c>
      <c r="G36838" s="16" t="n">
        <f aca="false">G36833*Assumptions!$H$65</f>
        <v>0</v>
      </c>
      <c r="H36838" s="16" t="n">
        <f aca="false">H36833*Assumptions!$H$65</f>
        <v>0</v>
      </c>
      <c r="I36838" s="16" t="n">
        <f aca="false">I36833*Assumptions!$H$65</f>
        <v>0</v>
      </c>
      <c r="J36838" s="16" t="n">
        <f aca="false">J36833*Assumptions!$H$65</f>
        <v>0</v>
      </c>
      <c r="K36838" s="16" t="n">
        <f aca="false">K36833*Assumptions!$H$65</f>
        <v>0</v>
      </c>
    </row>
    <row r="36839" customFormat="false" ht="15" hidden="false" customHeight="false" outlineLevel="0" collapsed="false">
      <c r="A36839" s="3" t="s">
        <v>334</v>
      </c>
      <c r="G36839" s="16" t="n">
        <f aca="false">MIN(G36833,Assumptions!$L$65*Assumptions!$C$65)</f>
        <v>0</v>
      </c>
      <c r="H36839" s="16" t="n">
        <f aca="false">MIN(H36833,Assumptions!$L$65*Assumptions!$C$65)</f>
        <v>0</v>
      </c>
      <c r="I36839" s="16" t="n">
        <f aca="false">MIN(I36833,Assumptions!$L$65*Assumptions!$C$65)</f>
        <v>0</v>
      </c>
      <c r="J36839" s="16" t="n">
        <f aca="false">MIN(J36833,Assumptions!$L$65*Assumptions!$C$65)</f>
        <v>0</v>
      </c>
      <c r="K36839" s="16" t="n">
        <f aca="false">MIN(K36833,Assumptions!$L$65*Assumptions!$C$65)</f>
        <v>0</v>
      </c>
    </row>
    <row r="36840" customFormat="false" ht="15" hidden="false" customHeight="false" outlineLevel="0" collapsed="false">
      <c r="A36840" s="3" t="s">
        <v>335</v>
      </c>
      <c r="G36840" s="16" t="n">
        <f aca="false">IF(AND(Assumptions!$P$65=1,G36693&lt;Assumptions!$K$65),MIN(MAX(0,-G36909),MAX(0,Assumptions!$D$65-G36833)),0)</f>
        <v>0</v>
      </c>
      <c r="H36840" s="16" t="n">
        <f aca="false">IF(AND(Assumptions!$P$65=1,OR(H36693&lt;Assumptions!$K$65,G37047=1)),MIN(MAX(0,-H36909),MAX(0,Assumptions!$D$65-H36833)),0)</f>
        <v>0</v>
      </c>
      <c r="I36840" s="16" t="n">
        <f aca="false">IF(AND(Assumptions!$P$65=1,OR(I36693&lt;Assumptions!$K$65,H37047=1)),MIN(MAX(0,-I36909),MAX(0,Assumptions!$D$65-I36833)),0)</f>
        <v>0</v>
      </c>
      <c r="J36840" s="16" t="n">
        <f aca="false">IF(AND(Assumptions!$P$65=1,OR(J36693&lt;Assumptions!$K$65,I37047=1)),MIN(MAX(0,-J36909),MAX(0,Assumptions!$D$65-J36833)),0)</f>
        <v>0</v>
      </c>
      <c r="K36840" s="16" t="n">
        <f aca="false">IF(AND(Assumptions!$P$65=1,OR(K36693&lt;Assumptions!$K$65,J37047=1)),MIN(MAX(0,-K36909),MAX(0,Assumptions!$D$65-K36833)),0)</f>
        <v>0</v>
      </c>
    </row>
    <row r="36841" customFormat="false" ht="15" hidden="false" customHeight="false" outlineLevel="0" collapsed="false">
      <c r="A36841" s="3" t="s">
        <v>336</v>
      </c>
      <c r="G36841" s="16" t="n">
        <f aca="false">G36834*MIN(G36833-G36839+G36838,MAX(0,G36911-Assumptions!$C$12*G36727-G36737-G36750-G36763-G36776-G36789-G36802-G36815-G36828))</f>
        <v>0</v>
      </c>
      <c r="H36841" s="16" t="n">
        <f aca="false">H36834*MIN(H36833-H36839+H36838,MAX(0,H36911-Assumptions!$C$12*H36727-H36737-H36750-H36763-H36776-H36789-H36802-H36815-H36828))</f>
        <v>0</v>
      </c>
      <c r="I36841" s="16" t="n">
        <f aca="false">I36834*MIN(I36833-I36839+I36838,MAX(0,I36911-Assumptions!$C$12*I36727-I36737-I36750-I36763-I36776-I36789-I36802-I36815-I36828))</f>
        <v>0</v>
      </c>
      <c r="J36841" s="16" t="n">
        <f aca="false">J36834*MIN(J36833-J36839+J36838,MAX(0,J36911-Assumptions!$C$12*J36727-J36737-J36750-J36763-J36776-J36789-J36802-J36815-J36828))</f>
        <v>0</v>
      </c>
      <c r="K36841" s="16" t="n">
        <f aca="false">K36834*MIN(K36833-K36839+K36838,MAX(0,K36911-Assumptions!$C$12*K36727-K36737-K36750-K36763-K36776-K36789-K36802-K36815-K36828))</f>
        <v>0</v>
      </c>
    </row>
    <row r="36842" customFormat="false" ht="15" hidden="false" customHeight="false" outlineLevel="0" collapsed="false">
      <c r="A36842" s="3" t="s">
        <v>337</v>
      </c>
      <c r="G36842" s="16" t="n">
        <f aca="false">Assumptions!$N$65*MIN(G36833+G36840+G36838-G36839-G36841,MAX(0,G36915-G36738-G36751-G36764-G36777-G36790-G36803-G36816-G36829))</f>
        <v>0</v>
      </c>
      <c r="H36842" s="16" t="n">
        <f aca="false">Assumptions!$N$65*MIN(H36833+H36840+H36838-H36839-H36841,MAX(0,H36915-H36738-H36751-H36764-H36777-H36790-H36803-H36816-H36829))</f>
        <v>0</v>
      </c>
      <c r="I36842" s="16" t="n">
        <f aca="false">Assumptions!$N$65*MIN(I36833+I36840+I36838-I36839-I36841,MAX(0,I36915-I36738-I36751-I36764-I36777-I36790-I36803-I36816-I36829))</f>
        <v>0</v>
      </c>
      <c r="J36842" s="16" t="n">
        <f aca="false">Assumptions!$N$65*MIN(J36833+J36840+J36838-J36839-J36841,MAX(0,J36915-J36738-J36751-J36764-J36777-J36790-J36803-J36816-J36829))</f>
        <v>0</v>
      </c>
      <c r="K36842" s="16" t="n">
        <f aca="false">Assumptions!$N$65*MIN(K36833+K36840+K36838-K36839-K36841,MAX(0,K36915-K36738-K36751-K36764-K36777-K36790-K36803-K36816-K36829))</f>
        <v>0</v>
      </c>
    </row>
    <row r="36843" customFormat="false" ht="15" hidden="false" customHeight="false" outlineLevel="0" collapsed="false">
      <c r="A36843" s="3" t="s">
        <v>338</v>
      </c>
      <c r="G36843" s="16" t="n">
        <f aca="false">G36834*(1-G36727)*(G36833-G36839+G36838-G36841)</f>
        <v>0</v>
      </c>
      <c r="H36843" s="16" t="n">
        <f aca="false">H36834*(1-H36727)*(H36833-H36839+H36838-H36841)</f>
        <v>0</v>
      </c>
      <c r="I36843" s="16" t="n">
        <f aca="false">I36834*(1-I36727)*(I36833-I36839+I36838-I36841)</f>
        <v>0</v>
      </c>
      <c r="J36843" s="16" t="n">
        <f aca="false">J36834*(1-J36727)*(J36833-J36839+J36838-J36841)</f>
        <v>0</v>
      </c>
      <c r="K36843" s="16" t="n">
        <f aca="false">K36834*(1-K36727)*(K36833-K36839+K36838-K36841)</f>
        <v>300</v>
      </c>
    </row>
    <row r="36844" customFormat="false" ht="15" hidden="false" customHeight="false" outlineLevel="0" collapsed="false">
      <c r="A36844" s="2" t="s">
        <v>339</v>
      </c>
      <c r="F36844" s="28" t="n">
        <f aca="false">Assumptions!$C$65</f>
        <v>300</v>
      </c>
      <c r="G36844" s="17" t="n">
        <f aca="false">G36833+G36840+G36838-G36839-G36841-G36842</f>
        <v>300</v>
      </c>
      <c r="H36844" s="17" t="n">
        <f aca="false">H36833+H36840+H36838-H36839-H36841-H36842</f>
        <v>300</v>
      </c>
      <c r="I36844" s="17" t="n">
        <f aca="false">I36833+I36840+I36838-I36839-I36841-I36842</f>
        <v>300</v>
      </c>
      <c r="J36844" s="17" t="n">
        <f aca="false">J36833+J36840+J36838-J36839-J36841-J36842</f>
        <v>300</v>
      </c>
      <c r="K36844" s="17" t="n">
        <f aca="false">K36833+K36840+K36838-K36839-K36841-K36842</f>
        <v>300</v>
      </c>
    </row>
    <row r="36845" customFormat="false" ht="15" hidden="false" customHeight="false" outlineLevel="0" collapsed="false">
      <c r="A36845" s="24" t="s">
        <v>348</v>
      </c>
      <c r="B36845" s="25"/>
      <c r="C36845" s="25"/>
      <c r="D36845" s="25"/>
      <c r="E36845" s="25"/>
      <c r="F36845" s="25"/>
      <c r="G36845" s="25"/>
      <c r="H36845" s="25"/>
      <c r="I36845" s="25"/>
      <c r="J36845" s="25"/>
      <c r="K36845" s="25"/>
    </row>
    <row r="36846" customFormat="false" ht="15" hidden="false" customHeight="false" outlineLevel="0" collapsed="false">
      <c r="A36846" s="3" t="s">
        <v>329</v>
      </c>
      <c r="G36846" s="16" t="n">
        <f aca="false">F36857</f>
        <v>78.61</v>
      </c>
      <c r="H36846" s="16" t="n">
        <f aca="false">G36857</f>
        <v>78.61</v>
      </c>
      <c r="I36846" s="16" t="n">
        <f aca="false">H36857</f>
        <v>78.61</v>
      </c>
      <c r="J36846" s="16" t="n">
        <f aca="false">I36857</f>
        <v>78.61</v>
      </c>
      <c r="K36846" s="16" t="n">
        <f aca="false">J36857</f>
        <v>78.61</v>
      </c>
    </row>
    <row r="36847" customFormat="false" ht="15" hidden="false" customHeight="false" outlineLevel="0" collapsed="false">
      <c r="A36847" s="3" t="s">
        <v>330</v>
      </c>
      <c r="G36847" s="21" t="n">
        <f aca="false">IF(G36693=Assumptions!$K$66,1,0)</f>
        <v>0</v>
      </c>
      <c r="H36847" s="21" t="n">
        <f aca="false">IF(H36693=Assumptions!$K$66,1,0)</f>
        <v>0</v>
      </c>
      <c r="I36847" s="21" t="n">
        <f aca="false">IF(I36693=Assumptions!$K$66,1,0)</f>
        <v>0</v>
      </c>
      <c r="J36847" s="21" t="n">
        <f aca="false">IF(J36693=Assumptions!$K$66,1,0)</f>
        <v>0</v>
      </c>
      <c r="K36847" s="21" t="n">
        <f aca="false">IF(K36693=Assumptions!$K$66,1,0)</f>
        <v>0</v>
      </c>
    </row>
    <row r="36849" customFormat="false" ht="15" hidden="false" customHeight="false" outlineLevel="0" collapsed="false">
      <c r="A36849" s="3" t="s">
        <v>331</v>
      </c>
      <c r="G36849" s="31" t="n">
        <f aca="false">IF(Assumptions!$I$66=1,MAX(G36719,Assumptions!$G$66)+Assumptions!$F$66+$C$36720,Assumptions!$E$66)</f>
        <v>0.0691</v>
      </c>
      <c r="H36849" s="31" t="n">
        <f aca="false">IF(G37048=1,$C$36721,IF(Assumptions!$I$66=1,MAX(H36719,Assumptions!$G$66)+Assumptions!$F$66+$C$36720,Assumptions!$E$66))</f>
        <v>0.0676</v>
      </c>
      <c r="I36849" s="31" t="n">
        <f aca="false">IF(H37048=1,$C$36721,IF(Assumptions!$I$66=1,MAX(I36719,Assumptions!$G$66)+Assumptions!$F$66+$C$36720,Assumptions!$E$66))</f>
        <v>0.0651</v>
      </c>
      <c r="J36849" s="31" t="n">
        <f aca="false">IF(I37048=1,$C$36721,IF(Assumptions!$I$66=1,MAX(J36719,Assumptions!$G$66)+Assumptions!$F$66+$C$36720,Assumptions!$E$66))</f>
        <v>0.0651</v>
      </c>
      <c r="K36849" s="31" t="n">
        <f aca="false">IF(J37048=1,$C$36721,IF(Assumptions!$I$66=1,MAX(K36719,Assumptions!$G$66)+Assumptions!$F$66+$C$36720,Assumptions!$E$66))</f>
        <v>0.0651</v>
      </c>
    </row>
    <row r="36850" customFormat="false" ht="15" hidden="false" customHeight="false" outlineLevel="0" collapsed="false">
      <c r="A36850" s="3" t="s">
        <v>332</v>
      </c>
      <c r="G36850" s="16" t="n">
        <f aca="false">G36846*G36849</f>
        <v>5.431951</v>
      </c>
      <c r="H36850" s="16" t="n">
        <f aca="false">H36846*H36849</f>
        <v>5.314036</v>
      </c>
      <c r="I36850" s="16" t="n">
        <f aca="false">I36846*I36849</f>
        <v>5.117511</v>
      </c>
      <c r="J36850" s="16" t="n">
        <f aca="false">J36846*J36849</f>
        <v>5.117511</v>
      </c>
      <c r="K36850" s="16" t="n">
        <f aca="false">K36846*K36849</f>
        <v>5.117511</v>
      </c>
    </row>
    <row r="36851" customFormat="false" ht="15" hidden="false" customHeight="false" outlineLevel="0" collapsed="false">
      <c r="A36851" s="3" t="s">
        <v>333</v>
      </c>
      <c r="G36851" s="16" t="n">
        <f aca="false">G36846*Assumptions!$H$66</f>
        <v>0</v>
      </c>
      <c r="H36851" s="16" t="n">
        <f aca="false">H36846*Assumptions!$H$66</f>
        <v>0</v>
      </c>
      <c r="I36851" s="16" t="n">
        <f aca="false">I36846*Assumptions!$H$66</f>
        <v>0</v>
      </c>
      <c r="J36851" s="16" t="n">
        <f aca="false">J36846*Assumptions!$H$66</f>
        <v>0</v>
      </c>
      <c r="K36851" s="16" t="n">
        <f aca="false">K36846*Assumptions!$H$66</f>
        <v>0</v>
      </c>
    </row>
    <row r="36852" customFormat="false" ht="15" hidden="false" customHeight="false" outlineLevel="0" collapsed="false">
      <c r="A36852" s="3" t="s">
        <v>334</v>
      </c>
      <c r="G36852" s="16" t="n">
        <f aca="false">MIN(G36846,Assumptions!$L$66*Assumptions!$C$66)</f>
        <v>0</v>
      </c>
      <c r="H36852" s="16" t="n">
        <f aca="false">MIN(H36846,Assumptions!$L$66*Assumptions!$C$66)</f>
        <v>0</v>
      </c>
      <c r="I36852" s="16" t="n">
        <f aca="false">MIN(I36846,Assumptions!$L$66*Assumptions!$C$66)</f>
        <v>0</v>
      </c>
      <c r="J36852" s="16" t="n">
        <f aca="false">MIN(J36846,Assumptions!$L$66*Assumptions!$C$66)</f>
        <v>0</v>
      </c>
      <c r="K36852" s="16" t="n">
        <f aca="false">MIN(K36846,Assumptions!$L$66*Assumptions!$C$66)</f>
        <v>0</v>
      </c>
    </row>
    <row r="36853" customFormat="false" ht="15" hidden="false" customHeight="false" outlineLevel="0" collapsed="false">
      <c r="A36853" s="3" t="s">
        <v>335</v>
      </c>
      <c r="G36853" s="16" t="n">
        <f aca="false">IF(AND(Assumptions!$P$66=1,G36693&lt;Assumptions!$K$66),MIN(MAX(0,-G36909),MAX(0,Assumptions!$D$66-G36846)),0)</f>
        <v>0</v>
      </c>
      <c r="H36853" s="16" t="n">
        <f aca="false">IF(AND(Assumptions!$P$66=1,OR(H36693&lt;Assumptions!$K$66,G37048=1)),MIN(MAX(0,-H36909),MAX(0,Assumptions!$D$66-H36846)),0)</f>
        <v>0</v>
      </c>
      <c r="I36853" s="16" t="n">
        <f aca="false">IF(AND(Assumptions!$P$66=1,OR(I36693&lt;Assumptions!$K$66,H37048=1)),MIN(MAX(0,-I36909),MAX(0,Assumptions!$D$66-I36846)),0)</f>
        <v>0</v>
      </c>
      <c r="J36853" s="16" t="n">
        <f aca="false">IF(AND(Assumptions!$P$66=1,OR(J36693&lt;Assumptions!$K$66,I37048=1)),MIN(MAX(0,-J36909),MAX(0,Assumptions!$D$66-J36846)),0)</f>
        <v>0</v>
      </c>
      <c r="K36853" s="16" t="n">
        <f aca="false">IF(AND(Assumptions!$P$66=1,OR(K36693&lt;Assumptions!$K$66,J37048=1)),MIN(MAX(0,-K36909),MAX(0,Assumptions!$D$66-K36846)),0)</f>
        <v>0</v>
      </c>
    </row>
    <row r="36854" customFormat="false" ht="15" hidden="false" customHeight="false" outlineLevel="0" collapsed="false">
      <c r="A36854" s="3" t="s">
        <v>336</v>
      </c>
      <c r="G36854" s="16" t="n">
        <f aca="false">G36847*MIN(G36846-G36852+G36851,MAX(0,G36911-Assumptions!$C$12*G36727-G36737-G36750-G36763-G36776-G36789-G36802-G36815-G36828-G36841))</f>
        <v>0</v>
      </c>
      <c r="H36854" s="16" t="n">
        <f aca="false">H36847*MIN(H36846-H36852+H36851,MAX(0,H36911-Assumptions!$C$12*H36727-H36737-H36750-H36763-H36776-H36789-H36802-H36815-H36828-H36841))</f>
        <v>0</v>
      </c>
      <c r="I36854" s="16" t="n">
        <f aca="false">I36847*MIN(I36846-I36852+I36851,MAX(0,I36911-Assumptions!$C$12*I36727-I36737-I36750-I36763-I36776-I36789-I36802-I36815-I36828-I36841))</f>
        <v>0</v>
      </c>
      <c r="J36854" s="16" t="n">
        <f aca="false">J36847*MIN(J36846-J36852+J36851,MAX(0,J36911-Assumptions!$C$12*J36727-J36737-J36750-J36763-J36776-J36789-J36802-J36815-J36828-J36841))</f>
        <v>0</v>
      </c>
      <c r="K36854" s="16" t="n">
        <f aca="false">K36847*MIN(K36846-K36852+K36851,MAX(0,K36911-Assumptions!$C$12*K36727-K36737-K36750-K36763-K36776-K36789-K36802-K36815-K36828-K36841))</f>
        <v>0</v>
      </c>
    </row>
    <row r="36855" customFormat="false" ht="15" hidden="false" customHeight="false" outlineLevel="0" collapsed="false">
      <c r="A36855" s="3" t="s">
        <v>337</v>
      </c>
      <c r="G36855" s="16" t="n">
        <f aca="false">Assumptions!$N$66*MIN(G36846+G36853+G36851-G36852-G36854,MAX(0,G36915-G36738-G36751-G36764-G36777-G36790-G36803-G36816-G36829-G36842))</f>
        <v>0</v>
      </c>
      <c r="H36855" s="16" t="n">
        <f aca="false">Assumptions!$N$66*MIN(H36846+H36853+H36851-H36852-H36854,MAX(0,H36915-H36738-H36751-H36764-H36777-H36790-H36803-H36816-H36829-H36842))</f>
        <v>0</v>
      </c>
      <c r="I36855" s="16" t="n">
        <f aca="false">Assumptions!$N$66*MIN(I36846+I36853+I36851-I36852-I36854,MAX(0,I36915-I36738-I36751-I36764-I36777-I36790-I36803-I36816-I36829-I36842))</f>
        <v>0</v>
      </c>
      <c r="J36855" s="16" t="n">
        <f aca="false">Assumptions!$N$66*MIN(J36846+J36853+J36851-J36852-J36854,MAX(0,J36915-J36738-J36751-J36764-J36777-J36790-J36803-J36816-J36829-J36842))</f>
        <v>0</v>
      </c>
      <c r="K36855" s="16" t="n">
        <f aca="false">Assumptions!$N$66*MIN(K36846+K36853+K36851-K36852-K36854,MAX(0,K36915-K36738-K36751-K36764-K36777-K36790-K36803-K36816-K36829-K36842))</f>
        <v>0</v>
      </c>
    </row>
    <row r="36856" customFormat="false" ht="15" hidden="false" customHeight="false" outlineLevel="0" collapsed="false">
      <c r="A36856" s="3" t="s">
        <v>338</v>
      </c>
      <c r="G36856" s="16" t="n">
        <f aca="false">G36847*(1-G36727)*(G36846-G36852+G36851-G36854)</f>
        <v>0</v>
      </c>
      <c r="H36856" s="16" t="n">
        <f aca="false">H36847*(1-H36727)*(H36846-H36852+H36851-H36854)</f>
        <v>0</v>
      </c>
      <c r="I36856" s="16" t="n">
        <f aca="false">I36847*(1-I36727)*(I36846-I36852+I36851-I36854)</f>
        <v>0</v>
      </c>
      <c r="J36856" s="16" t="n">
        <f aca="false">J36847*(1-J36727)*(J36846-J36852+J36851-J36854)</f>
        <v>0</v>
      </c>
      <c r="K36856" s="16" t="n">
        <f aca="false">K36847*(1-K36727)*(K36846-K36852+K36851-K36854)</f>
        <v>0</v>
      </c>
    </row>
    <row r="36857" customFormat="false" ht="15" hidden="false" customHeight="false" outlineLevel="0" collapsed="false">
      <c r="A36857" s="2" t="s">
        <v>339</v>
      </c>
      <c r="F36857" s="28" t="n">
        <f aca="false">Assumptions!$C$66</f>
        <v>78.61</v>
      </c>
      <c r="G36857" s="17" t="n">
        <f aca="false">G36846+G36853+G36851-G36852-G36854-G36855</f>
        <v>78.61</v>
      </c>
      <c r="H36857" s="17" t="n">
        <f aca="false">H36846+H36853+H36851-H36852-H36854-H36855</f>
        <v>78.61</v>
      </c>
      <c r="I36857" s="17" t="n">
        <f aca="false">I36846+I36853+I36851-I36852-I36854-I36855</f>
        <v>78.61</v>
      </c>
      <c r="J36857" s="17" t="n">
        <f aca="false">J36846+J36853+J36851-J36852-J36854-J36855</f>
        <v>78.61</v>
      </c>
      <c r="K36857" s="17" t="n">
        <f aca="false">K36846+K36853+K36851-K36852-K36854-K36855</f>
        <v>78.61</v>
      </c>
    </row>
    <row r="36858" customFormat="false" ht="15" hidden="false" customHeight="false" outlineLevel="0" collapsed="false">
      <c r="A36858" s="24" t="s">
        <v>349</v>
      </c>
      <c r="B36858" s="25"/>
      <c r="C36858" s="25"/>
      <c r="D36858" s="25"/>
      <c r="E36858" s="25"/>
      <c r="F36858" s="25"/>
      <c r="G36858" s="25"/>
      <c r="H36858" s="25"/>
      <c r="I36858" s="25"/>
      <c r="J36858" s="25"/>
      <c r="K36858" s="25"/>
    </row>
    <row r="36859" customFormat="false" ht="15" hidden="false" customHeight="false" outlineLevel="0" collapsed="false">
      <c r="A36859" s="2" t="s">
        <v>350</v>
      </c>
      <c r="F36859" s="17" t="n">
        <f aca="false">F36740+F36753+F36766+F36779+F36792+F36805+F36818+F36831+F36844+F36857</f>
        <v>2625.934</v>
      </c>
      <c r="G36859" s="17" t="n">
        <f aca="false">G36740+G36753+G36766+G36779+G36792+G36805+G36818+G36831+G36844+G36857</f>
        <v>2621.934</v>
      </c>
      <c r="H36859" s="17" t="n">
        <f aca="false">H36740+H36753+H36766+H36779+H36792+H36805+H36818+H36831+H36844+H36857</f>
        <v>2569.380357881</v>
      </c>
      <c r="I36859" s="17" t="n">
        <f aca="false">I36740+I36753+I36766+I36779+I36792+I36805+I36818+I36831+I36844+I36857</f>
        <v>2565.380357881</v>
      </c>
      <c r="J36859" s="17" t="n">
        <f aca="false">J36740+J36753+J36766+J36779+J36792+J36805+J36818+J36831+J36844+J36857</f>
        <v>2561.380357881</v>
      </c>
      <c r="K36859" s="17" t="n">
        <f aca="false">K36740+K36753+K36766+K36779+K36792+K36805+K36818+K36831+K36844+K36857</f>
        <v>2557.380357881</v>
      </c>
    </row>
    <row r="36860" customFormat="false" ht="15" hidden="false" customHeight="false" outlineLevel="0" collapsed="false">
      <c r="A36860" s="3" t="s">
        <v>351</v>
      </c>
      <c r="G36860" s="16" t="n">
        <f aca="false">G36730*Assumptions!$C$57+G36743*Assumptions!$C$58+G36756*Assumptions!$C$59+G36769*Assumptions!$C$60+G36782*Assumptions!$C$61+G36795*Assumptions!$C$62+G36808*Assumptions!$C$63+G36821*Assumptions!$C$64+G36834*Assumptions!$C$65+G36847*Assumptions!$C$66</f>
        <v>0</v>
      </c>
      <c r="H36860" s="16" t="n">
        <f aca="false">H36730*Assumptions!$C$57+H36743*Assumptions!$C$58+H36756*Assumptions!$C$59+H36769*Assumptions!$C$60+H36782*Assumptions!$C$61+H36795*Assumptions!$C$62+H36808*Assumptions!$C$63+H36821*Assumptions!$C$64+H36834*Assumptions!$C$65+H36847*Assumptions!$C$66</f>
        <v>800</v>
      </c>
      <c r="I36860" s="16" t="n">
        <f aca="false">I36730*Assumptions!$C$57+I36743*Assumptions!$C$58+I36756*Assumptions!$C$59+I36769*Assumptions!$C$60+I36782*Assumptions!$C$61+I36795*Assumptions!$C$62+I36808*Assumptions!$C$63+I36821*Assumptions!$C$64+I36834*Assumptions!$C$65+I36847*Assumptions!$C$66</f>
        <v>550</v>
      </c>
      <c r="J36860" s="16" t="n">
        <f aca="false">J36730*Assumptions!$C$57+J36743*Assumptions!$C$58+J36756*Assumptions!$C$59+J36769*Assumptions!$C$60+J36782*Assumptions!$C$61+J36795*Assumptions!$C$62+J36808*Assumptions!$C$63+J36821*Assumptions!$C$64+J36834*Assumptions!$C$65+J36847*Assumptions!$C$66</f>
        <v>350</v>
      </c>
      <c r="K36860" s="16" t="n">
        <f aca="false">K36730*Assumptions!$C$57+K36743*Assumptions!$C$58+K36756*Assumptions!$C$59+K36769*Assumptions!$C$60+K36782*Assumptions!$C$61+K36795*Assumptions!$C$62+K36808*Assumptions!$C$63+K36821*Assumptions!$C$64+K36834*Assumptions!$C$65+K36847*Assumptions!$C$66</f>
        <v>700</v>
      </c>
    </row>
    <row r="36861" customFormat="false" ht="15" hidden="false" customHeight="false" outlineLevel="0" collapsed="false">
      <c r="A36861" s="24" t="s">
        <v>352</v>
      </c>
      <c r="B36861" s="25"/>
      <c r="C36861" s="25"/>
      <c r="D36861" s="25"/>
      <c r="E36861" s="25"/>
      <c r="F36861" s="25"/>
      <c r="G36861" s="25"/>
      <c r="H36861" s="25"/>
      <c r="I36861" s="25"/>
      <c r="J36861" s="25"/>
      <c r="K36861" s="25"/>
    </row>
    <row r="36862" customFormat="false" ht="15" hidden="false" customHeight="false" outlineLevel="0" collapsed="false">
      <c r="A36862" s="3" t="s">
        <v>353</v>
      </c>
      <c r="C36862" s="16" t="n">
        <f aca="false">SUMPRODUCT($G$36730:$K$36730,$G$36729:$K$36729-$G$36735:$K$36735+$G$36734:$K$36734)</f>
        <v>380</v>
      </c>
    </row>
    <row r="36863" customFormat="false" ht="15" hidden="false" customHeight="false" outlineLevel="0" collapsed="false">
      <c r="A36863" s="3" t="s">
        <v>354</v>
      </c>
      <c r="C36863" s="16" t="n">
        <f aca="false">SUMPRODUCT($G$36730:$K$36730,$G$36737:$K$36737)</f>
        <v>0</v>
      </c>
    </row>
    <row r="36864" customFormat="false" ht="15" hidden="false" customHeight="false" outlineLevel="0" collapsed="false">
      <c r="A36864" s="3" t="s">
        <v>355</v>
      </c>
      <c r="C36864" s="3" t="str">
        <f aca="false">IF(SUM($G$36730:$K$36730)=0,"n/a (beyond horizon)",IF(SUMPRODUCT($G$36730:$K$36730,$G$36727:$K$36727)&gt;0,"REFINANCING PASS","REFINANCING FAILURE"))</f>
        <v>REFINANCING FAILURE</v>
      </c>
    </row>
    <row r="36865" customFormat="false" ht="15" hidden="false" customHeight="false" outlineLevel="0" collapsed="false">
      <c r="A36865" s="3" t="s">
        <v>356</v>
      </c>
      <c r="C36865" s="3" t="str">
        <f aca="false">IF(SUM($G$36730:$K$36730)=0,"n/a",IF(C36863&gt;=C36862-0.001,"Repaid from cash",IF(SUMPRODUCT($G$36730:$K$36730,$G$36727:$K$36727)&gt;0,IF(C36863&gt;0,"Partly repaid; remainder refinanced","Refinanced"),IF(SUM($G$36739:$K$36739)&gt;0.001,IF(C36863&gt;0,"Partial repayment; PAYMENT DEFAULT","PAYMENT DEFAULT"),"Repaid from cash"))))</f>
        <v>PAYMENT DEFAULT</v>
      </c>
    </row>
    <row r="36866" customFormat="false" ht="15" hidden="false" customHeight="false" outlineLevel="0" collapsed="false">
      <c r="A36866" s="3" t="s">
        <v>357</v>
      </c>
      <c r="C36866" s="16" t="n">
        <f aca="false">SUMPRODUCT($G$36743:$K$36743,$G$36742:$K$36742-$G$36748:$K$36748+$G$36747:$K$36747)</f>
        <v>0</v>
      </c>
    </row>
    <row r="36867" customFormat="false" ht="15" hidden="false" customHeight="false" outlineLevel="0" collapsed="false">
      <c r="A36867" s="3" t="s">
        <v>358</v>
      </c>
      <c r="C36867" s="16" t="n">
        <f aca="false">SUMPRODUCT($G$36743:$K$36743,$G$36750:$K$36750)</f>
        <v>0</v>
      </c>
    </row>
    <row r="36868" customFormat="false" ht="15" hidden="false" customHeight="false" outlineLevel="0" collapsed="false">
      <c r="A36868" s="3" t="s">
        <v>359</v>
      </c>
      <c r="C36868" s="3" t="str">
        <f aca="false">IF(SUM($G$36743:$K$36743)=0,"n/a (beyond horizon)",IF(SUMPRODUCT($G$36743:$K$36743,$G$36727:$K$36727)&gt;0,"REFINANCING PASS","REFINANCING FAILURE"))</f>
        <v>n/a (beyond horizon)</v>
      </c>
    </row>
    <row r="36869" customFormat="false" ht="15" hidden="false" customHeight="false" outlineLevel="0" collapsed="false">
      <c r="A36869" s="3" t="s">
        <v>360</v>
      </c>
      <c r="C36869" s="3" t="str">
        <f aca="false">IF(SUM($G$36743:$K$36743)=0,"n/a",IF(C36867&gt;=C36866-0.001,"Repaid from cash",IF(SUMPRODUCT($G$36743:$K$36743,$G$36727:$K$36727)&gt;0,IF(C36867&gt;0,"Partly repaid; remainder refinanced","Refinanced"),IF(SUM($G$36752:$K$36752)&gt;0.001,IF(C36867&gt;0,"Partial repayment; PAYMENT DEFAULT","PAYMENT DEFAULT"),"Repaid from cash"))))</f>
        <v>n/a</v>
      </c>
    </row>
    <row r="36870" customFormat="false" ht="15" hidden="false" customHeight="false" outlineLevel="0" collapsed="false">
      <c r="A36870" s="3" t="s">
        <v>361</v>
      </c>
      <c r="C36870" s="16" t="n">
        <f aca="false">SUMPRODUCT($G$36756:$K$36756,$G$36755:$K$36755-$G$36761:$K$36761+$G$36760:$K$36760)</f>
        <v>0</v>
      </c>
    </row>
    <row r="36871" customFormat="false" ht="15" hidden="false" customHeight="false" outlineLevel="0" collapsed="false">
      <c r="A36871" s="3" t="s">
        <v>362</v>
      </c>
      <c r="C36871" s="16" t="n">
        <f aca="false">SUMPRODUCT($G$36756:$K$36756,$G$36763:$K$36763)</f>
        <v>0</v>
      </c>
    </row>
    <row r="36872" customFormat="false" ht="15" hidden="false" customHeight="false" outlineLevel="0" collapsed="false">
      <c r="A36872" s="3" t="s">
        <v>363</v>
      </c>
      <c r="C36872" s="3" t="str">
        <f aca="false">IF(SUM($G$36756:$K$36756)=0,"n/a (beyond horizon)",IF(SUMPRODUCT($G$36756:$K$36756,$G$36727:$K$36727)&gt;0,"REFINANCING PASS","REFINANCING FAILURE"))</f>
        <v>n/a (beyond horizon)</v>
      </c>
    </row>
    <row r="36873" customFormat="false" ht="15" hidden="false" customHeight="false" outlineLevel="0" collapsed="false">
      <c r="A36873" s="3" t="s">
        <v>364</v>
      </c>
      <c r="C36873" s="3" t="str">
        <f aca="false">IF(SUM($G$36756:$K$36756)=0,"n/a",IF(C36871&gt;=C36870-0.001,"Repaid from cash",IF(SUMPRODUCT($G$36756:$K$36756,$G$36727:$K$36727)&gt;0,IF(C36871&gt;0,"Partly repaid; remainder refinanced","Refinanced"),IF(SUM($G$36765:$K$36765)&gt;0.001,IF(C36871&gt;0,"Partial repayment; PAYMENT DEFAULT","PAYMENT DEFAULT"),"Repaid from cash"))))</f>
        <v>n/a</v>
      </c>
    </row>
    <row r="36874" customFormat="false" ht="15" hidden="false" customHeight="false" outlineLevel="0" collapsed="false">
      <c r="A36874" s="3" t="s">
        <v>365</v>
      </c>
      <c r="C36874" s="16" t="n">
        <f aca="false">SUMPRODUCT($G$36769:$K$36769,$G$36768:$K$36768-$G$36774:$K$36774+$G$36773:$K$36773)</f>
        <v>0</v>
      </c>
    </row>
    <row r="36875" customFormat="false" ht="15" hidden="false" customHeight="false" outlineLevel="0" collapsed="false">
      <c r="A36875" s="3" t="s">
        <v>366</v>
      </c>
      <c r="C36875" s="16" t="n">
        <f aca="false">SUMPRODUCT($G$36769:$K$36769,$G$36776:$K$36776)</f>
        <v>0</v>
      </c>
    </row>
    <row r="36876" customFormat="false" ht="15" hidden="false" customHeight="false" outlineLevel="0" collapsed="false">
      <c r="A36876" s="3" t="s">
        <v>367</v>
      </c>
      <c r="C36876" s="3" t="str">
        <f aca="false">IF(SUM($G$36769:$K$36769)=0,"n/a (beyond horizon)",IF(SUMPRODUCT($G$36769:$K$36769,$G$36727:$K$36727)&gt;0,"REFINANCING PASS","REFINANCING FAILURE"))</f>
        <v>REFINANCING FAILURE</v>
      </c>
    </row>
    <row r="36877" customFormat="false" ht="15" hidden="false" customHeight="false" outlineLevel="0" collapsed="false">
      <c r="A36877" s="3" t="s">
        <v>368</v>
      </c>
      <c r="C36877" s="3" t="str">
        <f aca="false">IF(SUM($G$36769:$K$36769)=0,"n/a",IF(C36875&gt;=C36874-0.001,"Repaid from cash",IF(SUMPRODUCT($G$36769:$K$36769,$G$36727:$K$36727)&gt;0,IF(C36875&gt;0,"Partly repaid; remainder refinanced","Refinanced"),IF(SUM($G$36778:$K$36778)&gt;0.001,IF(C36875&gt;0,"Partial repayment; PAYMENT DEFAULT","PAYMENT DEFAULT"),"Repaid from cash"))))</f>
        <v>Repaid from cash</v>
      </c>
    </row>
    <row r="36878" customFormat="false" ht="15" hidden="false" customHeight="false" outlineLevel="0" collapsed="false">
      <c r="A36878" s="3" t="s">
        <v>369</v>
      </c>
      <c r="C36878" s="16" t="n">
        <f aca="false">SUMPRODUCT($G$36782:$K$36782,$G$36781:$K$36781-$G$36787:$K$36787+$G$36786:$K$36786)</f>
        <v>450</v>
      </c>
    </row>
    <row r="36879" customFormat="false" ht="15" hidden="false" customHeight="false" outlineLevel="0" collapsed="false">
      <c r="A36879" s="3" t="s">
        <v>370</v>
      </c>
      <c r="C36879" s="16" t="n">
        <f aca="false">SUMPRODUCT($G$36782:$K$36782,$G$36789:$K$36789)</f>
        <v>48.553642119</v>
      </c>
    </row>
    <row r="36880" customFormat="false" ht="15" hidden="false" customHeight="false" outlineLevel="0" collapsed="false">
      <c r="A36880" s="3" t="s">
        <v>371</v>
      </c>
      <c r="C36880" s="3" t="str">
        <f aca="false">IF(SUM($G$36782:$K$36782)=0,"n/a (beyond horizon)",IF(SUMPRODUCT($G$36782:$K$36782,$G$36727:$K$36727)&gt;0,"REFINANCING PASS","REFINANCING FAILURE"))</f>
        <v>REFINANCING FAILURE</v>
      </c>
    </row>
    <row r="36881" customFormat="false" ht="15" hidden="false" customHeight="false" outlineLevel="0" collapsed="false">
      <c r="A36881" s="3" t="s">
        <v>372</v>
      </c>
      <c r="C36881" s="3" t="str">
        <f aca="false">IF(SUM($G$36782:$K$36782)=0,"n/a",IF(C36879&gt;=C36878-0.001,"Repaid from cash",IF(SUMPRODUCT($G$36782:$K$36782,$G$36727:$K$36727)&gt;0,IF(C36879&gt;0,"Partly repaid; remainder refinanced","Refinanced"),IF(SUM($G$36791:$K$36791)&gt;0.001,IF(C36879&gt;0,"Partial repayment; PAYMENT DEFAULT","PAYMENT DEFAULT"),"Repaid from cash"))))</f>
        <v>Partial repayment; PAYMENT DEFAULT</v>
      </c>
    </row>
    <row r="36882" customFormat="false" ht="15" hidden="false" customHeight="false" outlineLevel="0" collapsed="false">
      <c r="A36882" s="3" t="s">
        <v>373</v>
      </c>
      <c r="C36882" s="16" t="n">
        <f aca="false">SUMPRODUCT($G$36795:$K$36795,$G$36794:$K$36794-$G$36800:$K$36800+$G$36799:$K$36799)</f>
        <v>350</v>
      </c>
    </row>
    <row r="36883" customFormat="false" ht="15" hidden="false" customHeight="false" outlineLevel="0" collapsed="false">
      <c r="A36883" s="3" t="s">
        <v>374</v>
      </c>
      <c r="C36883" s="16" t="n">
        <f aca="false">SUMPRODUCT($G$36795:$K$36795,$G$36802:$K$36802)</f>
        <v>0</v>
      </c>
    </row>
    <row r="36884" customFormat="false" ht="15" hidden="false" customHeight="false" outlineLevel="0" collapsed="false">
      <c r="A36884" s="3" t="s">
        <v>375</v>
      </c>
      <c r="C36884" s="3" t="str">
        <f aca="false">IF(SUM($G$36795:$K$36795)=0,"n/a (beyond horizon)",IF(SUMPRODUCT($G$36795:$K$36795,$G$36727:$K$36727)&gt;0,"REFINANCING PASS","REFINANCING FAILURE"))</f>
        <v>REFINANCING FAILURE</v>
      </c>
    </row>
    <row r="36885" customFormat="false" ht="15" hidden="false" customHeight="false" outlineLevel="0" collapsed="false">
      <c r="A36885" s="3" t="s">
        <v>376</v>
      </c>
      <c r="C36885" s="3" t="str">
        <f aca="false">IF(SUM($G$36795:$K$36795)=0,"n/a",IF(C36883&gt;=C36882-0.001,"Repaid from cash",IF(SUMPRODUCT($G$36795:$K$36795,$G$36727:$K$36727)&gt;0,IF(C36883&gt;0,"Partly repaid; remainder refinanced","Refinanced"),IF(SUM($G$36804:$K$36804)&gt;0.001,IF(C36883&gt;0,"Partial repayment; PAYMENT DEFAULT","PAYMENT DEFAULT"),"Repaid from cash"))))</f>
        <v>PAYMENT DEFAULT</v>
      </c>
    </row>
    <row r="36886" customFormat="false" ht="15" hidden="false" customHeight="false" outlineLevel="0" collapsed="false">
      <c r="A36886" s="3" t="s">
        <v>377</v>
      </c>
      <c r="C36886" s="16" t="n">
        <f aca="false">SUMPRODUCT($G$36808:$K$36808,$G$36807:$K$36807-$G$36813:$K$36813+$G$36812:$K$36812)</f>
        <v>550</v>
      </c>
    </row>
    <row r="36887" customFormat="false" ht="15" hidden="false" customHeight="false" outlineLevel="0" collapsed="false">
      <c r="A36887" s="3" t="s">
        <v>378</v>
      </c>
      <c r="C36887" s="16" t="n">
        <f aca="false">SUMPRODUCT($G$36808:$K$36808,$G$36815:$K$36815)</f>
        <v>0</v>
      </c>
    </row>
    <row r="36888" customFormat="false" ht="15" hidden="false" customHeight="false" outlineLevel="0" collapsed="false">
      <c r="A36888" s="3" t="s">
        <v>379</v>
      </c>
      <c r="C36888" s="3" t="str">
        <f aca="false">IF(SUM($G$36808:$K$36808)=0,"n/a (beyond horizon)",IF(SUMPRODUCT($G$36808:$K$36808,$G$36727:$K$36727)&gt;0,"REFINANCING PASS","REFINANCING FAILURE"))</f>
        <v>REFINANCING FAILURE</v>
      </c>
    </row>
    <row r="36889" customFormat="false" ht="15" hidden="false" customHeight="false" outlineLevel="0" collapsed="false">
      <c r="A36889" s="3" t="s">
        <v>380</v>
      </c>
      <c r="C36889" s="3" t="str">
        <f aca="false">IF(SUM($G$36808:$K$36808)=0,"n/a",IF(C36887&gt;=C36886-0.001,"Repaid from cash",IF(SUMPRODUCT($G$36808:$K$36808,$G$36727:$K$36727)&gt;0,IF(C36887&gt;0,"Partly repaid; remainder refinanced","Refinanced"),IF(SUM($G$36817:$K$36817)&gt;0.001,IF(C36887&gt;0,"Partial repayment; PAYMENT DEFAULT","PAYMENT DEFAULT"),"Repaid from cash"))))</f>
        <v>PAYMENT DEFAULT</v>
      </c>
    </row>
    <row r="36890" customFormat="false" ht="15" hidden="false" customHeight="false" outlineLevel="0" collapsed="false">
      <c r="A36890" s="3" t="s">
        <v>381</v>
      </c>
      <c r="C36890" s="16" t="n">
        <f aca="false">SUMPRODUCT($G$36821:$K$36821,$G$36820:$K$36820-$G$36826:$K$36826+$G$36825:$K$36825)</f>
        <v>350</v>
      </c>
    </row>
    <row r="36891" customFormat="false" ht="15" hidden="false" customHeight="false" outlineLevel="0" collapsed="false">
      <c r="A36891" s="3" t="s">
        <v>382</v>
      </c>
      <c r="C36891" s="16" t="n">
        <f aca="false">SUMPRODUCT($G$36821:$K$36821,$G$36828:$K$36828)</f>
        <v>0</v>
      </c>
    </row>
    <row r="36892" customFormat="false" ht="15" hidden="false" customHeight="false" outlineLevel="0" collapsed="false">
      <c r="A36892" s="3" t="s">
        <v>383</v>
      </c>
      <c r="C36892" s="3" t="str">
        <f aca="false">IF(SUM($G$36821:$K$36821)=0,"n/a (beyond horizon)",IF(SUMPRODUCT($G$36821:$K$36821,$G$36727:$K$36727)&gt;0,"REFINANCING PASS","REFINANCING FAILURE"))</f>
        <v>REFINANCING FAILURE</v>
      </c>
    </row>
    <row r="36893" customFormat="false" ht="15" hidden="false" customHeight="false" outlineLevel="0" collapsed="false">
      <c r="A36893" s="3" t="s">
        <v>384</v>
      </c>
      <c r="C36893" s="3" t="str">
        <f aca="false">IF(SUM($G$36821:$K$36821)=0,"n/a",IF(C36891&gt;=C36890-0.001,"Repaid from cash",IF(SUMPRODUCT($G$36821:$K$36821,$G$36727:$K$36727)&gt;0,IF(C36891&gt;0,"Partly repaid; remainder refinanced","Refinanced"),IF(SUM($G$36830:$K$36830)&gt;0.001,IF(C36891&gt;0,"Partial repayment; PAYMENT DEFAULT","PAYMENT DEFAULT"),"Repaid from cash"))))</f>
        <v>PAYMENT DEFAULT</v>
      </c>
    </row>
    <row r="36894" customFormat="false" ht="15" hidden="false" customHeight="false" outlineLevel="0" collapsed="false">
      <c r="A36894" s="3" t="s">
        <v>385</v>
      </c>
      <c r="C36894" s="16" t="n">
        <f aca="false">SUMPRODUCT($G$36834:$K$36834,$G$36833:$K$36833-$G$36839:$K$36839+$G$36838:$K$36838)</f>
        <v>300</v>
      </c>
    </row>
    <row r="36895" customFormat="false" ht="15" hidden="false" customHeight="false" outlineLevel="0" collapsed="false">
      <c r="A36895" s="3" t="s">
        <v>386</v>
      </c>
      <c r="C36895" s="16" t="n">
        <f aca="false">SUMPRODUCT($G$36834:$K$36834,$G$36841:$K$36841)</f>
        <v>0</v>
      </c>
    </row>
    <row r="36896" customFormat="false" ht="15" hidden="false" customHeight="false" outlineLevel="0" collapsed="false">
      <c r="A36896" s="3" t="s">
        <v>387</v>
      </c>
      <c r="C36896" s="3" t="str">
        <f aca="false">IF(SUM($G$36834:$K$36834)=0,"n/a (beyond horizon)",IF(SUMPRODUCT($G$36834:$K$36834,$G$36727:$K$36727)&gt;0,"REFINANCING PASS","REFINANCING FAILURE"))</f>
        <v>REFINANCING FAILURE</v>
      </c>
    </row>
    <row r="36897" customFormat="false" ht="15" hidden="false" customHeight="false" outlineLevel="0" collapsed="false">
      <c r="A36897" s="3" t="s">
        <v>388</v>
      </c>
      <c r="C36897" s="3" t="str">
        <f aca="false">IF(SUM($G$36834:$K$36834)=0,"n/a",IF(C36895&gt;=C36894-0.001,"Repaid from cash",IF(SUMPRODUCT($G$36834:$K$36834,$G$36727:$K$36727)&gt;0,IF(C36895&gt;0,"Partly repaid; remainder refinanced","Refinanced"),IF(SUM($G$36843:$K$36843)&gt;0.001,IF(C36895&gt;0,"Partial repayment; PAYMENT DEFAULT","PAYMENT DEFAULT"),"Repaid from cash"))))</f>
        <v>PAYMENT DEFAULT</v>
      </c>
    </row>
    <row r="36898" customFormat="false" ht="15" hidden="false" customHeight="false" outlineLevel="0" collapsed="false">
      <c r="A36898" s="3" t="s">
        <v>389</v>
      </c>
      <c r="C36898" s="16" t="n">
        <f aca="false">SUMPRODUCT($G$36847:$K$36847,$G$36846:$K$36846-$G$36852:$K$36852+$G$36851:$K$36851)</f>
        <v>0</v>
      </c>
    </row>
    <row r="36899" customFormat="false" ht="15" hidden="false" customHeight="false" outlineLevel="0" collapsed="false">
      <c r="A36899" s="3" t="s">
        <v>390</v>
      </c>
      <c r="C36899" s="16" t="n">
        <f aca="false">SUMPRODUCT($G$36847:$K$36847,$G$36854:$K$36854)</f>
        <v>0</v>
      </c>
    </row>
    <row r="36900" customFormat="false" ht="15" hidden="false" customHeight="false" outlineLevel="0" collapsed="false">
      <c r="A36900" s="3" t="s">
        <v>391</v>
      </c>
      <c r="C36900" s="3" t="str">
        <f aca="false">IF(SUM($G$36847:$K$36847)=0,"n/a (beyond horizon)",IF(SUMPRODUCT($G$36847:$K$36847,$G$36727:$K$36727)&gt;0,"REFINANCING PASS","REFINANCING FAILURE"))</f>
        <v>n/a (beyond horizon)</v>
      </c>
    </row>
    <row r="36901" customFormat="false" ht="15" hidden="false" customHeight="false" outlineLevel="0" collapsed="false">
      <c r="A36901" s="3" t="s">
        <v>392</v>
      </c>
      <c r="C36901" s="3" t="str">
        <f aca="false">IF(SUM($G$36847:$K$36847)=0,"n/a",IF(C36899&gt;=C36898-0.001,"Repaid from cash",IF(SUMPRODUCT($G$36847:$K$36847,$G$36727:$K$36727)&gt;0,IF(C36899&gt;0,"Partly repaid; remainder refinanced","Refinanced"),IF(SUM($G$36856:$K$36856)&gt;0.001,IF(C36899&gt;0,"Partial repayment; PAYMENT DEFAULT","PAYMENT DEFAULT"),"Repaid from cash"))))</f>
        <v>n/a</v>
      </c>
    </row>
    <row r="36902" customFormat="false" ht="15" hidden="false" customHeight="false" outlineLevel="0" collapsed="false">
      <c r="A36902" s="3" t="s">
        <v>393</v>
      </c>
      <c r="C36902" s="21" t="n">
        <f aca="false">IF(C36864="REFINANCING FAILURE",1,0)+IF(C36868="REFINANCING FAILURE",1,0)+IF(C36872="REFINANCING FAILURE",1,0)+IF(C36876="REFINANCING FAILURE",1,0)+IF(C36880="REFINANCING FAILURE",1,0)+IF(C36884="REFINANCING FAILURE",1,0)+IF(C36888="REFINANCING FAILURE",1,0)+IF(C36892="REFINANCING FAILURE",1,0)+IF(C36896="REFINANCING FAILURE",1,0)+IF(C36900="REFINANCING FAILURE",1,0)</f>
        <v>7</v>
      </c>
    </row>
    <row r="36904" customFormat="false" ht="15" hidden="false" customHeight="false" outlineLevel="0" collapsed="false">
      <c r="A36904" s="24" t="s">
        <v>395</v>
      </c>
      <c r="B36904" s="25"/>
      <c r="C36904" s="25"/>
      <c r="D36904" s="25"/>
      <c r="E36904" s="25"/>
      <c r="F36904" s="25"/>
      <c r="G36904" s="25"/>
      <c r="H36904" s="25"/>
      <c r="I36904" s="25"/>
      <c r="J36904" s="25"/>
      <c r="K36904" s="25"/>
    </row>
    <row r="36905" customFormat="false" ht="15" hidden="false" customHeight="false" outlineLevel="0" collapsed="false">
      <c r="A36905" s="3" t="s">
        <v>325</v>
      </c>
      <c r="G36905" s="16" t="n">
        <f aca="false">F36917</f>
        <v>37.87</v>
      </c>
      <c r="H36905" s="16" t="n">
        <f aca="false">G36917</f>
        <v>122.9474204</v>
      </c>
      <c r="I36905" s="16" t="n">
        <f aca="false">H36917</f>
        <v>0</v>
      </c>
      <c r="J36905" s="16" t="n">
        <f aca="false">I36917</f>
        <v>-70.8793844172995</v>
      </c>
      <c r="K36905" s="16" t="n">
        <f aca="false">J36917</f>
        <v>-137.895771657719</v>
      </c>
    </row>
    <row r="36906" customFormat="false" ht="15" hidden="false" customHeight="false" outlineLevel="0" collapsed="false">
      <c r="A36906" s="3" t="s">
        <v>396</v>
      </c>
      <c r="G36906" s="16" t="n">
        <f aca="false">G36716</f>
        <v>-60.9225796</v>
      </c>
      <c r="H36906" s="16" t="n">
        <f aca="false">H36716</f>
        <v>-70.393778281</v>
      </c>
      <c r="I36906" s="16" t="n">
        <f aca="false">I36716</f>
        <v>-66.8793844172995</v>
      </c>
      <c r="J36906" s="16" t="n">
        <f aca="false">J36716</f>
        <v>-63.0163872404195</v>
      </c>
      <c r="K36906" s="16" t="n">
        <f aca="false">K36716</f>
        <v>-59.0959158342138</v>
      </c>
    </row>
    <row r="36907" customFormat="false" ht="15" hidden="false" customHeight="false" outlineLevel="0" collapsed="false">
      <c r="A36907" s="3" t="s">
        <v>397</v>
      </c>
      <c r="G36907" s="16" t="n">
        <f aca="false">CHOOSE($C$36686,Assumptions!$G$82,Assumptions!$G$101,Assumptions!$G$120)</f>
        <v>150</v>
      </c>
      <c r="H36907" s="16" t="n">
        <f aca="false">CHOOSE($C$36686,Assumptions!$H$82,Assumptions!$H$101,Assumptions!$H$120)</f>
        <v>0</v>
      </c>
      <c r="I36907" s="16" t="n">
        <f aca="false">CHOOSE($C$36686,Assumptions!$I$82,Assumptions!$I$101,Assumptions!$I$120)</f>
        <v>0</v>
      </c>
      <c r="J36907" s="16" t="n">
        <f aca="false">CHOOSE($C$36686,Assumptions!$J$82,Assumptions!$J$101,Assumptions!$J$120)</f>
        <v>0</v>
      </c>
      <c r="K36907" s="16" t="n">
        <f aca="false">CHOOSE($C$36686,Assumptions!$K$82,Assumptions!$K$101,Assumptions!$K$120)</f>
        <v>0</v>
      </c>
    </row>
    <row r="36908" customFormat="false" ht="15" hidden="false" customHeight="false" outlineLevel="0" collapsed="false">
      <c r="A36908" s="3" t="s">
        <v>398</v>
      </c>
      <c r="G36908" s="16" t="n">
        <f aca="false">G36735+G36748+G36761+G36774+G36787+G36800+G36813+G36826+G36839+G36852</f>
        <v>4</v>
      </c>
      <c r="H36908" s="16" t="n">
        <f aca="false">H36735+H36748+H36761+H36774+H36787+H36800+H36813+H36826+H36839+H36852</f>
        <v>4</v>
      </c>
      <c r="I36908" s="16" t="n">
        <f aca="false">I36735+I36748+I36761+I36774+I36787+I36800+I36813+I36826+I36839+I36852</f>
        <v>4</v>
      </c>
      <c r="J36908" s="16" t="n">
        <f aca="false">J36735+J36748+J36761+J36774+J36787+J36800+J36813+J36826+J36839+J36852</f>
        <v>4</v>
      </c>
      <c r="K36908" s="16" t="n">
        <f aca="false">K36735+K36748+K36761+K36774+K36787+K36800+K36813+K36826+K36839+K36852</f>
        <v>4</v>
      </c>
    </row>
    <row r="36909" customFormat="false" ht="15" hidden="false" customHeight="false" outlineLevel="0" collapsed="false">
      <c r="A36909" s="2" t="s">
        <v>399</v>
      </c>
      <c r="G36909" s="17" t="n">
        <f aca="false">G36905+G36906+G36907-G36908</f>
        <v>122.9474204</v>
      </c>
      <c r="H36909" s="17" t="n">
        <f aca="false">H36905+H36906+H36907-H36908</f>
        <v>48.553642119</v>
      </c>
      <c r="I36909" s="17" t="n">
        <f aca="false">I36905+I36906+I36907-I36908</f>
        <v>-70.8793844172995</v>
      </c>
      <c r="J36909" s="17" t="n">
        <f aca="false">J36905+J36906+J36907-J36908</f>
        <v>-137.895771657719</v>
      </c>
      <c r="K36909" s="17" t="n">
        <f aca="false">K36905+K36906+K36907-K36908</f>
        <v>-200.991687491933</v>
      </c>
    </row>
    <row r="36910" customFormat="false" ht="15" hidden="false" customHeight="false" outlineLevel="0" collapsed="false">
      <c r="A36910" s="3" t="s">
        <v>400</v>
      </c>
      <c r="G36910" s="16" t="n">
        <f aca="false">G36736+G36749+G36762+G36775+G36788+G36801+G36814+G36827+G36840+G36853</f>
        <v>0</v>
      </c>
      <c r="H36910" s="16" t="n">
        <f aca="false">H36736+H36749+H36762+H36775+H36788+H36801+H36814+H36827+H36840+H36853</f>
        <v>0</v>
      </c>
      <c r="I36910" s="16" t="n">
        <f aca="false">I36736+I36749+I36762+I36775+I36788+I36801+I36814+I36827+I36840+I36853</f>
        <v>0</v>
      </c>
      <c r="J36910" s="16" t="n">
        <f aca="false">J36736+J36749+J36762+J36775+J36788+J36801+J36814+J36827+J36840+J36853</f>
        <v>0</v>
      </c>
      <c r="K36910" s="16" t="n">
        <f aca="false">K36736+K36749+K36762+K36775+K36788+K36801+K36814+K36827+K36840+K36853</f>
        <v>0</v>
      </c>
    </row>
    <row r="36911" customFormat="false" ht="15" hidden="false" customHeight="false" outlineLevel="0" collapsed="false">
      <c r="A36911" s="2" t="s">
        <v>401</v>
      </c>
      <c r="G36911" s="17" t="n">
        <f aca="false">G36909+G36910</f>
        <v>122.9474204</v>
      </c>
      <c r="H36911" s="17" t="n">
        <f aca="false">H36909+H36910</f>
        <v>48.553642119</v>
      </c>
      <c r="I36911" s="17" t="n">
        <f aca="false">I36909+I36910</f>
        <v>-70.8793844172995</v>
      </c>
      <c r="J36911" s="17" t="n">
        <f aca="false">J36909+J36910</f>
        <v>-137.895771657719</v>
      </c>
      <c r="K36911" s="17" t="n">
        <f aca="false">K36909+K36910</f>
        <v>-200.991687491933</v>
      </c>
    </row>
    <row r="36912" customFormat="false" ht="15" hidden="false" customHeight="false" outlineLevel="0" collapsed="false">
      <c r="A36912" s="3" t="s">
        <v>402</v>
      </c>
      <c r="G36912" s="16" t="n">
        <f aca="false">G36737+G36750+G36763+G36776+G36789+G36802+G36815+G36828+G36841+G36854</f>
        <v>0</v>
      </c>
      <c r="H36912" s="16" t="n">
        <f aca="false">H36737+H36750+H36763+H36776+H36789+H36802+H36815+H36828+H36841+H36854</f>
        <v>48.553642119</v>
      </c>
      <c r="I36912" s="16" t="n">
        <f aca="false">I36737+I36750+I36763+I36776+I36789+I36802+I36815+I36828+I36841+I36854</f>
        <v>0</v>
      </c>
      <c r="J36912" s="16" t="n">
        <f aca="false">J36737+J36750+J36763+J36776+J36789+J36802+J36815+J36828+J36841+J36854</f>
        <v>0</v>
      </c>
      <c r="K36912" s="16" t="n">
        <f aca="false">K36737+K36750+K36763+K36776+K36789+K36802+K36815+K36828+K36841+K36854</f>
        <v>0</v>
      </c>
    </row>
    <row r="36913" customFormat="false" ht="15" hidden="false" customHeight="false" outlineLevel="0" collapsed="false">
      <c r="A36913" s="2" t="s">
        <v>403</v>
      </c>
      <c r="G36913" s="17" t="n">
        <f aca="false">G36911-G36912</f>
        <v>122.9474204</v>
      </c>
      <c r="H36913" s="17" t="n">
        <f aca="false">H36911-H36912</f>
        <v>0</v>
      </c>
      <c r="I36913" s="17" t="n">
        <f aca="false">I36911-I36912</f>
        <v>-70.8793844172995</v>
      </c>
      <c r="J36913" s="17" t="n">
        <f aca="false">J36911-J36912</f>
        <v>-137.895771657719</v>
      </c>
      <c r="K36913" s="17" t="n">
        <f aca="false">K36911-K36912</f>
        <v>-200.991687491933</v>
      </c>
    </row>
    <row r="36914" customFormat="false" ht="15" hidden="false" customHeight="false" outlineLevel="0" collapsed="false">
      <c r="A36914" s="3" t="s">
        <v>404</v>
      </c>
      <c r="G36914" s="16" t="n">
        <f aca="false">MAX(0,-G36913)</f>
        <v>0</v>
      </c>
      <c r="H36914" s="16" t="n">
        <f aca="false">MAX(0,-H36913)</f>
        <v>-0</v>
      </c>
      <c r="I36914" s="16" t="n">
        <f aca="false">MAX(0,-I36913)</f>
        <v>70.8793844172995</v>
      </c>
      <c r="J36914" s="16" t="n">
        <f aca="false">MAX(0,-J36913)</f>
        <v>137.895771657719</v>
      </c>
      <c r="K36914" s="16" t="n">
        <f aca="false">MAX(0,-K36913)</f>
        <v>200.991687491933</v>
      </c>
    </row>
    <row r="36915" customFormat="false" ht="15" hidden="false" customHeight="false" outlineLevel="0" collapsed="false">
      <c r="A36915" s="3" t="s">
        <v>405</v>
      </c>
      <c r="G36915" s="16" t="n">
        <f aca="false">MAX(0,G36913-Assumptions!$C$12)*Assumptions!$C$13</f>
        <v>0</v>
      </c>
      <c r="H36915" s="16" t="n">
        <f aca="false">MAX(0,H36913-Assumptions!$C$12)*Assumptions!$C$13</f>
        <v>0</v>
      </c>
      <c r="I36915" s="16" t="n">
        <f aca="false">MAX(0,I36913-Assumptions!$C$12)*Assumptions!$C$13</f>
        <v>0</v>
      </c>
      <c r="J36915" s="16" t="n">
        <f aca="false">MAX(0,J36913-Assumptions!$C$12)*Assumptions!$C$13</f>
        <v>0</v>
      </c>
      <c r="K36915" s="16" t="n">
        <f aca="false">MAX(0,K36913-Assumptions!$C$12)*Assumptions!$C$13</f>
        <v>0</v>
      </c>
    </row>
    <row r="36916" customFormat="false" ht="15" hidden="false" customHeight="false" outlineLevel="0" collapsed="false">
      <c r="A36916" s="3" t="s">
        <v>406</v>
      </c>
      <c r="G36916" s="16" t="n">
        <f aca="false">G36738+G36751+G36764+G36777+G36790+G36803+G36816+G36829+G36842+G36855</f>
        <v>0</v>
      </c>
      <c r="H36916" s="16" t="n">
        <f aca="false">H36738+H36751+H36764+H36777+H36790+H36803+H36816+H36829+H36842+H36855</f>
        <v>0</v>
      </c>
      <c r="I36916" s="16" t="n">
        <f aca="false">I36738+I36751+I36764+I36777+I36790+I36803+I36816+I36829+I36842+I36855</f>
        <v>0</v>
      </c>
      <c r="J36916" s="16" t="n">
        <f aca="false">J36738+J36751+J36764+J36777+J36790+J36803+J36816+J36829+J36842+J36855</f>
        <v>0</v>
      </c>
      <c r="K36916" s="16" t="n">
        <f aca="false">K36738+K36751+K36764+K36777+K36790+K36803+K36816+K36829+K36842+K36855</f>
        <v>0</v>
      </c>
    </row>
    <row r="36917" customFormat="false" ht="15" hidden="false" customHeight="false" outlineLevel="0" collapsed="false">
      <c r="A36917" s="2" t="s">
        <v>407</v>
      </c>
      <c r="F36917" s="28" t="n">
        <f aca="false">Assumptions!$C$11</f>
        <v>37.87</v>
      </c>
      <c r="G36917" s="17" t="n">
        <f aca="false">G36913-G36916</f>
        <v>122.9474204</v>
      </c>
      <c r="H36917" s="17" t="n">
        <f aca="false">H36913-H36916</f>
        <v>0</v>
      </c>
      <c r="I36917" s="17" t="n">
        <f aca="false">I36913-I36916</f>
        <v>-70.8793844172995</v>
      </c>
      <c r="J36917" s="17" t="n">
        <f aca="false">J36913-J36916</f>
        <v>-137.895771657719</v>
      </c>
      <c r="K36917" s="17" t="n">
        <f aca="false">K36913-K36916</f>
        <v>-200.991687491933</v>
      </c>
    </row>
    <row r="36918" customFormat="false" ht="15" hidden="false" customHeight="false" outlineLevel="0" collapsed="false">
      <c r="A36918" s="3" t="s">
        <v>408</v>
      </c>
      <c r="G36918" s="16" t="n">
        <f aca="false">G36739+G36752+G36765+G36778+G36791+G36804+G36817+G36830+G36843+G36856</f>
        <v>0</v>
      </c>
      <c r="H36918" s="16" t="n">
        <f aca="false">H36739+H36752+H36765+H36778+H36791+H36804+H36817+H36830+H36843+H36856</f>
        <v>751.446357881</v>
      </c>
      <c r="I36918" s="16" t="n">
        <f aca="false">I36739+I36752+I36765+I36778+I36791+I36804+I36817+I36830+I36843+I36856</f>
        <v>550</v>
      </c>
      <c r="J36918" s="16" t="n">
        <f aca="false">J36739+J36752+J36765+J36778+J36791+J36804+J36817+J36830+J36843+J36856</f>
        <v>350</v>
      </c>
      <c r="K36918" s="16" t="n">
        <f aca="false">K36739+K36752+K36765+K36778+K36791+K36804+K36817+K36830+K36843+K36856</f>
        <v>680</v>
      </c>
    </row>
    <row r="36919" customFormat="false" ht="15" hidden="false" customHeight="false" outlineLevel="0" collapsed="false">
      <c r="A36919" s="3" t="s">
        <v>409</v>
      </c>
      <c r="G36919" s="21" t="n">
        <f aca="false">IF(OR(G36914&gt;0.001,G36918&gt;0.001),1,0)</f>
        <v>0</v>
      </c>
      <c r="H36919" s="21" t="n">
        <f aca="false">IF(OR(H36914&gt;0.001,H36918&gt;0.001),1,0)</f>
        <v>1</v>
      </c>
      <c r="I36919" s="21" t="n">
        <f aca="false">IF(OR(I36914&gt;0.001,I36918&gt;0.001),1,0)</f>
        <v>1</v>
      </c>
      <c r="J36919" s="21" t="n">
        <f aca="false">IF(OR(J36914&gt;0.001,J36918&gt;0.001),1,0)</f>
        <v>1</v>
      </c>
      <c r="K36919" s="21" t="n">
        <f aca="false">IF(OR(K36914&gt;0.001,K36918&gt;0.001),1,0)</f>
        <v>1</v>
      </c>
    </row>
    <row r="36920" customFormat="false" ht="15" hidden="false" customHeight="false" outlineLevel="0" collapsed="false">
      <c r="A36920" s="3" t="s">
        <v>410</v>
      </c>
      <c r="G36920" s="21" t="n">
        <f aca="false">IF(G36919=1,1,0)</f>
        <v>0</v>
      </c>
      <c r="H36920" s="21" t="n">
        <f aca="false">IF(AND(H36919=1,SUM($G$36919:G36919)=0),1,0)</f>
        <v>1</v>
      </c>
      <c r="I36920" s="21" t="n">
        <f aca="false">IF(AND(I36919=1,SUM($G$36919:H36919)=0),1,0)</f>
        <v>0</v>
      </c>
      <c r="J36920" s="21" t="n">
        <f aca="false">IF(AND(J36919=1,SUM($G$36919:I36919)=0),1,0)</f>
        <v>0</v>
      </c>
      <c r="K36920" s="21" t="n">
        <f aca="false">IF(AND(K36919=1,SUM($G$36919:J36919)=0),1,0)</f>
        <v>0</v>
      </c>
    </row>
    <row r="36921" customFormat="false" ht="15" hidden="false" customHeight="false" outlineLevel="0" collapsed="false">
      <c r="A36921" s="3" t="s">
        <v>411</v>
      </c>
      <c r="G36921" s="16" t="n">
        <f aca="false">(G36859-F36859)-(G36910+G36708-G36908-G36912-G36916)</f>
        <v>0</v>
      </c>
      <c r="H36921" s="16" t="n">
        <f aca="false">(H36859-G36859)-(H36910+H36708-H36908-H36912-H36916)</f>
        <v>-3.83693077310454E-013</v>
      </c>
      <c r="I36921" s="16" t="n">
        <f aca="false">(I36859-H36859)-(I36910+I36708-I36908-I36912-I36916)</f>
        <v>0</v>
      </c>
      <c r="J36921" s="16" t="n">
        <f aca="false">(J36859-I36859)-(J36910+J36708-J36908-J36912-J36916)</f>
        <v>0</v>
      </c>
      <c r="K36921" s="16" t="n">
        <f aca="false">(K36859-J36859)-(K36910+K36708-K36908-K36912-K36916)</f>
        <v>0</v>
      </c>
    </row>
    <row r="36923" customFormat="false" ht="15" hidden="false" customHeight="false" outlineLevel="0" collapsed="false">
      <c r="A36923" s="24" t="s">
        <v>413</v>
      </c>
      <c r="B36923" s="25"/>
      <c r="C36923" s="25"/>
      <c r="D36923" s="25"/>
      <c r="E36923" s="25"/>
      <c r="F36923" s="25"/>
      <c r="G36923" s="25"/>
      <c r="H36923" s="25"/>
      <c r="I36923" s="25"/>
      <c r="J36923" s="25"/>
      <c r="K36923" s="25"/>
    </row>
    <row r="36924" customFormat="false" ht="15" hidden="false" customHeight="false" outlineLevel="0" collapsed="false">
      <c r="A36924" s="3" t="s">
        <v>414</v>
      </c>
      <c r="G36924" s="16" t="n">
        <f aca="false">G36859</f>
        <v>2621.934</v>
      </c>
      <c r="H36924" s="16" t="n">
        <f aca="false">H36859</f>
        <v>2569.380357881</v>
      </c>
      <c r="I36924" s="16" t="n">
        <f aca="false">I36859</f>
        <v>2565.380357881</v>
      </c>
      <c r="J36924" s="16" t="n">
        <f aca="false">J36859</f>
        <v>2561.380357881</v>
      </c>
      <c r="K36924" s="16" t="n">
        <f aca="false">K36859</f>
        <v>2557.380357881</v>
      </c>
    </row>
    <row r="36925" customFormat="false" ht="15" hidden="false" customHeight="false" outlineLevel="0" collapsed="false">
      <c r="A36925" s="3" t="s">
        <v>415</v>
      </c>
      <c r="G36925" s="16" t="n">
        <f aca="false">Assumptions!$O$57*G36740+Assumptions!$O$58*G36753+Assumptions!$O$59*G36766+Assumptions!$O$60*G36779+Assumptions!$O$61*G36792+Assumptions!$O$62*G36805+Assumptions!$O$63*G36818+Assumptions!$O$64*G36831+Assumptions!$O$65*G36844+Assumptions!$O$66*G36857</f>
        <v>543.324</v>
      </c>
      <c r="H36925" s="16" t="n">
        <f aca="false">Assumptions!$O$57*H36740+Assumptions!$O$58*H36753+Assumptions!$O$59*H36766+Assumptions!$O$60*H36779+Assumptions!$O$61*H36792+Assumptions!$O$62*H36805+Assumptions!$O$63*H36818+Assumptions!$O$64*H36831+Assumptions!$O$65*H36844+Assumptions!$O$66*H36857</f>
        <v>539.324</v>
      </c>
      <c r="I36925" s="16" t="n">
        <f aca="false">Assumptions!$O$57*I36740+Assumptions!$O$58*I36753+Assumptions!$O$59*I36766+Assumptions!$O$60*I36779+Assumptions!$O$61*I36792+Assumptions!$O$62*I36805+Assumptions!$O$63*I36818+Assumptions!$O$64*I36831+Assumptions!$O$65*I36844+Assumptions!$O$66*I36857</f>
        <v>535.324</v>
      </c>
      <c r="J36925" s="16" t="n">
        <f aca="false">Assumptions!$O$57*J36740+Assumptions!$O$58*J36753+Assumptions!$O$59*J36766+Assumptions!$O$60*J36779+Assumptions!$O$61*J36792+Assumptions!$O$62*J36805+Assumptions!$O$63*J36818+Assumptions!$O$64*J36831+Assumptions!$O$65*J36844+Assumptions!$O$66*J36857</f>
        <v>531.324</v>
      </c>
      <c r="K36925" s="16" t="n">
        <f aca="false">Assumptions!$O$57*K36740+Assumptions!$O$58*K36753+Assumptions!$O$59*K36766+Assumptions!$O$60*K36779+Assumptions!$O$61*K36792+Assumptions!$O$62*K36805+Assumptions!$O$63*K36818+Assumptions!$O$64*K36831+Assumptions!$O$65*K36844+Assumptions!$O$66*K36857</f>
        <v>527.324</v>
      </c>
    </row>
    <row r="36926" customFormat="false" ht="15" hidden="false" customHeight="false" outlineLevel="0" collapsed="false">
      <c r="A36926" s="3" t="s">
        <v>416</v>
      </c>
      <c r="G36926" s="16" t="n">
        <f aca="false">G36924-G36917</f>
        <v>2498.9865796</v>
      </c>
      <c r="H36926" s="16" t="n">
        <f aca="false">H36924-H36917</f>
        <v>2569.380357881</v>
      </c>
      <c r="I36926" s="16" t="n">
        <f aca="false">I36924-I36917</f>
        <v>2636.2597422983</v>
      </c>
      <c r="J36926" s="16" t="n">
        <f aca="false">J36924-J36917</f>
        <v>2699.27612953872</v>
      </c>
      <c r="K36926" s="16" t="n">
        <f aca="false">K36924-K36917</f>
        <v>2758.37204537293</v>
      </c>
    </row>
    <row r="36927" customFormat="false" ht="15" hidden="false" customHeight="false" outlineLevel="0" collapsed="false">
      <c r="A36927" s="3" t="s">
        <v>417</v>
      </c>
      <c r="G36927" s="32" t="n">
        <f aca="false">IF(G36703&gt;0,G36924/G36703,0)</f>
        <v>11.1954319438308</v>
      </c>
      <c r="H36927" s="32" t="n">
        <f aca="false">IF(H36703&gt;0,H36924/H36703,0)</f>
        <v>11.6601471215067</v>
      </c>
      <c r="I36927" s="32" t="n">
        <f aca="false">IF(I36703&gt;0,I36924/I36703,0)</f>
        <v>11.6419946559354</v>
      </c>
      <c r="J36927" s="32" t="n">
        <f aca="false">IF(J36703&gt;0,J36924/J36703,0)</f>
        <v>11.3913183720481</v>
      </c>
      <c r="K36927" s="32" t="n">
        <f aca="false">IF(K36703&gt;0,K36924/K36703,0)</f>
        <v>11.14717316588</v>
      </c>
    </row>
    <row r="36928" customFormat="false" ht="15" hidden="false" customHeight="false" outlineLevel="0" collapsed="false">
      <c r="A36928" s="3" t="s">
        <v>418</v>
      </c>
      <c r="G36928" s="32" t="n">
        <f aca="false">IF(G36703&gt;0,G36926/G36703,0)</f>
        <v>10.6704570673626</v>
      </c>
      <c r="H36928" s="32" t="n">
        <f aca="false">IF(H36703&gt;0,H36926/H36703,0)</f>
        <v>11.6601471215067</v>
      </c>
      <c r="I36928" s="32" t="n">
        <f aca="false">IF(I36703&gt;0,I36926/I36703,0)</f>
        <v>11.9636535522731</v>
      </c>
      <c r="J36928" s="32" t="n">
        <f aca="false">IF(J36703&gt;0,J36926/J36703,0)</f>
        <v>12.0045871637288</v>
      </c>
      <c r="K36928" s="32" t="n">
        <f aca="false">IF(K36703&gt;0,K36926/K36703,0)</f>
        <v>12.0232607366907</v>
      </c>
    </row>
    <row r="36929" customFormat="false" ht="15" hidden="false" customHeight="false" outlineLevel="0" collapsed="false">
      <c r="A36929" s="3" t="s">
        <v>419</v>
      </c>
      <c r="G36929" s="32" t="n">
        <f aca="false">IF(G36707&gt;0,G36703/G36707,0)</f>
        <v>1.24979041307388</v>
      </c>
      <c r="H36929" s="32" t="n">
        <f aca="false">IF(H36707&gt;0,H36703/H36707,0)</f>
        <v>1.18311222526984</v>
      </c>
      <c r="I36929" s="32" t="n">
        <f aca="false">IF(I36707&gt;0,I36703/I36707,0)</f>
        <v>1.20586587186349</v>
      </c>
      <c r="J36929" s="32" t="n">
        <f aca="false">IF(J36707&gt;0,J36703/J36707,0)</f>
        <v>1.23324745076441</v>
      </c>
      <c r="K36929" s="32" t="n">
        <f aca="false">IF(K36707&gt;0,K36703/K36707,0)</f>
        <v>1.26112583435714</v>
      </c>
    </row>
    <row r="36930" customFormat="false" ht="15" hidden="false" customHeight="false" outlineLevel="0" collapsed="false">
      <c r="A36930" s="3" t="s">
        <v>420</v>
      </c>
      <c r="G36930" s="32" t="n">
        <f aca="false">IF(G36707&gt;0,G36706/G36707,0)</f>
        <v>0.320303767681135</v>
      </c>
      <c r="H36930" s="32" t="n">
        <f aca="false">IF(H36707&gt;0,H36706/H36707,0)</f>
        <v>0.27600176891797</v>
      </c>
      <c r="I36930" s="32" t="n">
        <f aca="false">IF(I36707&gt;0,I36706/I36707,0)</f>
        <v>0.281309842467585</v>
      </c>
      <c r="J36930" s="32" t="n">
        <f aca="false">IF(J36707&gt;0,J36706/J36707,0)</f>
        <v>0.297346009456427</v>
      </c>
      <c r="K36930" s="32" t="n">
        <f aca="false">IF(K36707&gt;0,K36706/K36707,0)</f>
        <v>0.313734968638568</v>
      </c>
    </row>
    <row r="36931" customFormat="false" ht="15" hidden="false" customHeight="false" outlineLevel="0" collapsed="false">
      <c r="A36931" s="3" t="s">
        <v>213</v>
      </c>
      <c r="G36931" s="22" t="n">
        <f aca="false">IF(G36924&gt;0,G36716/G36924,0)</f>
        <v>-0.0232357410979834</v>
      </c>
      <c r="H36931" s="22" t="n">
        <f aca="false">IF(H36924&gt;0,H36716/H36924,0)</f>
        <v>-0.0273971808280867</v>
      </c>
      <c r="I36931" s="22" t="n">
        <f aca="false">IF(I36924&gt;0,I36716/I36924,0)</f>
        <v>-0.0260699682258976</v>
      </c>
      <c r="J36931" s="22" t="n">
        <f aca="false">IF(J36924&gt;0,J36716/J36924,0)</f>
        <v>-0.0246025105355896</v>
      </c>
      <c r="K36931" s="22" t="n">
        <f aca="false">IF(K36924&gt;0,K36716/K36924,0)</f>
        <v>-0.0231079884742603</v>
      </c>
    </row>
    <row r="36932" customFormat="false" ht="15" hidden="false" customHeight="false" outlineLevel="0" collapsed="false">
      <c r="A36932" s="3" t="s">
        <v>421</v>
      </c>
      <c r="G36932" s="32" t="n">
        <f aca="false">IF(G36707+G36908&gt;0,(G36703-G36714-G36711)/(G36707+G36908),0)</f>
        <v>0.783148779220797</v>
      </c>
      <c r="H36932" s="32" t="n">
        <f aca="false">IF(H36707+H36908&gt;0,(H36703-H36714-H36711)/(H36707+H36908),0)</f>
        <v>0.728376128313333</v>
      </c>
      <c r="I36932" s="32" t="n">
        <f aca="false">IF(I36707+I36908&gt;0,(I36703-I36714-I36711)/(I36707+I36908),0)</f>
        <v>0.742084215548814</v>
      </c>
      <c r="J36932" s="32" t="n">
        <f aca="false">IF(J36707+J36908&gt;0,(J36703-J36714-J36711)/(J36707+J36908),0)</f>
        <v>0.763468302110309</v>
      </c>
      <c r="K36932" s="32" t="n">
        <f aca="false">IF(K36707+K36908&gt;0,(K36703-K36714-K36711)/(K36707+K36908),0)</f>
        <v>0.785268063869781</v>
      </c>
    </row>
    <row r="36933" customFormat="false" ht="15" hidden="false" customHeight="false" outlineLevel="0" collapsed="false">
      <c r="A36933" s="3" t="s">
        <v>422</v>
      </c>
      <c r="G36933" s="16" t="n">
        <f aca="false">MAX(0,G36917)+Assumptions!$P$57*MAX(0,Assumptions!$D$57-G36740)+Assumptions!$P$58*MAX(0,Assumptions!$D$58-G36753)+Assumptions!$P$59*MAX(0,Assumptions!$D$59-G36766)+Assumptions!$P$60*MAX(0,Assumptions!$D$60-G36779)+Assumptions!$P$61*MAX(0,Assumptions!$D$61-G36792)+Assumptions!$P$62*MAX(0,Assumptions!$D$62-G36805)+Assumptions!$P$63*MAX(0,Assumptions!$D$63-G36818)+Assumptions!$P$64*MAX(0,Assumptions!$D$64-G36831)+Assumptions!$P$65*MAX(0,Assumptions!$D$65-G36844)+Assumptions!$P$66*MAX(0,Assumptions!$D$66-G36857)</f>
        <v>697.4474204</v>
      </c>
      <c r="H36933" s="16" t="n">
        <f aca="false">MAX(0,H36917)+Assumptions!$P$57*MAX(0,Assumptions!$D$57-H36740)+Assumptions!$P$58*MAX(0,Assumptions!$D$58-H36753)+Assumptions!$P$59*MAX(0,Assumptions!$D$59-H36766)+Assumptions!$P$60*MAX(0,Assumptions!$D$60-H36779)+Assumptions!$P$61*MAX(0,Assumptions!$D$61-H36792)+Assumptions!$P$62*MAX(0,Assumptions!$D$62-H36805)+Assumptions!$P$63*MAX(0,Assumptions!$D$63-H36818)+Assumptions!$P$64*MAX(0,Assumptions!$D$64-H36831)+Assumptions!$P$65*MAX(0,Assumptions!$D$65-H36844)+Assumptions!$P$66*MAX(0,Assumptions!$D$66-H36857)</f>
        <v>574.5</v>
      </c>
      <c r="I36933" s="16" t="n">
        <f aca="false">MAX(0,I36917)+Assumptions!$P$57*MAX(0,Assumptions!$D$57-I36740)+Assumptions!$P$58*MAX(0,Assumptions!$D$58-I36753)+Assumptions!$P$59*MAX(0,Assumptions!$D$59-I36766)+Assumptions!$P$60*MAX(0,Assumptions!$D$60-I36779)+Assumptions!$P$61*MAX(0,Assumptions!$D$61-I36792)+Assumptions!$P$62*MAX(0,Assumptions!$D$62-I36805)+Assumptions!$P$63*MAX(0,Assumptions!$D$63-I36818)+Assumptions!$P$64*MAX(0,Assumptions!$D$64-I36831)+Assumptions!$P$65*MAX(0,Assumptions!$D$65-I36844)+Assumptions!$P$66*MAX(0,Assumptions!$D$66-I36857)</f>
        <v>574.5</v>
      </c>
      <c r="J36933" s="16" t="n">
        <f aca="false">MAX(0,J36917)+Assumptions!$P$57*MAX(0,Assumptions!$D$57-J36740)+Assumptions!$P$58*MAX(0,Assumptions!$D$58-J36753)+Assumptions!$P$59*MAX(0,Assumptions!$D$59-J36766)+Assumptions!$P$60*MAX(0,Assumptions!$D$60-J36779)+Assumptions!$P$61*MAX(0,Assumptions!$D$61-J36792)+Assumptions!$P$62*MAX(0,Assumptions!$D$62-J36805)+Assumptions!$P$63*MAX(0,Assumptions!$D$63-J36818)+Assumptions!$P$64*MAX(0,Assumptions!$D$64-J36831)+Assumptions!$P$65*MAX(0,Assumptions!$D$65-J36844)+Assumptions!$P$66*MAX(0,Assumptions!$D$66-J36857)</f>
        <v>574.5</v>
      </c>
      <c r="K36933" s="16" t="n">
        <f aca="false">MAX(0,K36917)+Assumptions!$P$57*MAX(0,Assumptions!$D$57-K36740)+Assumptions!$P$58*MAX(0,Assumptions!$D$58-K36753)+Assumptions!$P$59*MAX(0,Assumptions!$D$59-K36766)+Assumptions!$P$60*MAX(0,Assumptions!$D$60-K36779)+Assumptions!$P$61*MAX(0,Assumptions!$D$61-K36792)+Assumptions!$P$62*MAX(0,Assumptions!$D$62-K36805)+Assumptions!$P$63*MAX(0,Assumptions!$D$63-K36818)+Assumptions!$P$64*MAX(0,Assumptions!$D$64-K36831)+Assumptions!$P$65*MAX(0,Assumptions!$D$65-K36844)+Assumptions!$P$66*MAX(0,Assumptions!$D$66-K36857)</f>
        <v>574.5</v>
      </c>
    </row>
    <row r="36934" customFormat="false" ht="15" hidden="false" customHeight="false" outlineLevel="0" collapsed="false">
      <c r="A36934" s="3" t="s">
        <v>423</v>
      </c>
      <c r="G36934" s="22" t="n">
        <f aca="false">IF(G36924&gt;0,G36924/(G36924+MAX(0,G36703*CHOOSE($C$36686,Assumptions!$C$90,Assumptions!$C$109,Assumptions!$C$128)-G36926)),0)</f>
        <v>0.971406190801315</v>
      </c>
      <c r="H36934" s="22" t="n">
        <f aca="false">IF(H36924&gt;0,H36924/(H36924+MAX(0,H36703*CHOOSE($C$36686,Assumptions!$C$90,Assumptions!$C$109,Assumptions!$C$128)-H36926)),0)</f>
        <v>1</v>
      </c>
      <c r="I36934" s="22" t="n">
        <f aca="false">IF(I36924&gt;0,I36924/(I36924+MAX(0,I36703*CHOOSE($C$36686,Assumptions!$C$90,Assumptions!$C$109,Assumptions!$C$128)-I36926)),0)</f>
        <v>1</v>
      </c>
      <c r="J36934" s="22" t="n">
        <f aca="false">IF(J36924&gt;0,J36924/(J36924+MAX(0,J36703*CHOOSE($C$36686,Assumptions!$C$90,Assumptions!$C$109,Assumptions!$C$128)-J36926)),0)</f>
        <v>1</v>
      </c>
      <c r="K36934" s="22" t="n">
        <f aca="false">IF(K36924&gt;0,K36924/(K36924+MAX(0,K36703*CHOOSE($C$36686,Assumptions!$C$90,Assumptions!$C$109,Assumptions!$C$128)-K36926)),0)</f>
        <v>1</v>
      </c>
    </row>
    <row r="36935" customFormat="false" ht="15" hidden="false" customHeight="false" outlineLevel="0" collapsed="false">
      <c r="A36935" s="3" t="s">
        <v>424</v>
      </c>
      <c r="G36935" s="22" t="n">
        <f aca="false">IF(G36924&gt;0,MAX(0,G36917)/G36924,0)</f>
        <v>0.0468918822518034</v>
      </c>
      <c r="H36935" s="22" t="n">
        <f aca="false">IF(H36924&gt;0,MAX(0,H36917)/H36924,0)</f>
        <v>0</v>
      </c>
      <c r="I36935" s="22" t="n">
        <f aca="false">IF(I36924&gt;0,MAX(0,I36917)/I36924,0)</f>
        <v>0</v>
      </c>
      <c r="J36935" s="22" t="n">
        <f aca="false">IF(J36924&gt;0,MAX(0,J36917)/J36924,0)</f>
        <v>0</v>
      </c>
      <c r="K36935" s="22" t="n">
        <f aca="false">IF(K36924&gt;0,MAX(0,K36917)/K36924,0)</f>
        <v>0</v>
      </c>
    </row>
    <row r="36936" customFormat="false" ht="15" hidden="false" customHeight="false" outlineLevel="0" collapsed="false">
      <c r="A36936" s="3" t="s">
        <v>425</v>
      </c>
      <c r="G36936" s="16" t="n">
        <f aca="false">Assumptions!$C$31*(1-CHOOSE($C$36686,Assumptions!$C$93,Assumptions!$C$112,Assumptions!$C$131))</f>
        <v>3840.04556666667</v>
      </c>
      <c r="H36936" s="16" t="n">
        <f aca="false">Assumptions!$C$31*(1-CHOOSE($C$36686,Assumptions!$C$93,Assumptions!$C$112,Assumptions!$C$131))</f>
        <v>3840.04556666667</v>
      </c>
      <c r="I36936" s="16" t="n">
        <f aca="false">Assumptions!$C$31*(1-CHOOSE($C$36686,Assumptions!$C$93,Assumptions!$C$112,Assumptions!$C$131))</f>
        <v>3840.04556666667</v>
      </c>
      <c r="J36936" s="16" t="n">
        <f aca="false">Assumptions!$C$31*(1-CHOOSE($C$36686,Assumptions!$C$93,Assumptions!$C$112,Assumptions!$C$131))</f>
        <v>3840.04556666667</v>
      </c>
      <c r="K36936" s="16" t="n">
        <f aca="false">Assumptions!$C$31*(1-CHOOSE($C$36686,Assumptions!$C$93,Assumptions!$C$112,Assumptions!$C$131))</f>
        <v>3840.04556666667</v>
      </c>
    </row>
    <row r="36937" customFormat="false" ht="15" hidden="false" customHeight="false" outlineLevel="0" collapsed="false">
      <c r="A36937" s="24" t="s">
        <v>426</v>
      </c>
      <c r="B36937" s="25"/>
      <c r="C36937" s="25"/>
      <c r="D36937" s="25"/>
      <c r="E36937" s="25"/>
      <c r="F36937" s="25"/>
      <c r="G36937" s="25"/>
      <c r="H36937" s="25"/>
      <c r="I36937" s="25"/>
      <c r="J36937" s="25"/>
      <c r="K36937" s="25"/>
    </row>
    <row r="36938" customFormat="false" ht="15" hidden="false" customHeight="false" outlineLevel="0" collapsed="false">
      <c r="A36938" s="24" t="s">
        <v>427</v>
      </c>
      <c r="B36938" s="25"/>
      <c r="C36938" s="25"/>
      <c r="D36938" s="25"/>
      <c r="E36938" s="25"/>
      <c r="F36938" s="25"/>
      <c r="G36938" s="25"/>
      <c r="H36938" s="25"/>
      <c r="I36938" s="25"/>
      <c r="J36938" s="25"/>
      <c r="K36938" s="25"/>
    </row>
    <row r="36939" customFormat="false" ht="15" hidden="false" customHeight="false" outlineLevel="0" collapsed="false">
      <c r="A36939" s="3" t="s">
        <v>428</v>
      </c>
      <c r="G36939" s="22" t="n">
        <f aca="false">IF(G36936&gt;0,G36924/G36936,99)</f>
        <v>0.68278721032885</v>
      </c>
      <c r="H36939" s="22" t="n">
        <f aca="false">IF(H36936&gt;0,H36924/H36936,99)</f>
        <v>0.6691015284257</v>
      </c>
      <c r="I36939" s="22" t="n">
        <f aca="false">IF(I36936&gt;0,I36924/I36936,99)</f>
        <v>0.668059874119636</v>
      </c>
      <c r="J36939" s="22" t="n">
        <f aca="false">IF(J36936&gt;0,J36924/J36936,99)</f>
        <v>0.667018219813572</v>
      </c>
      <c r="K36939" s="22" t="n">
        <f aca="false">IF(K36936&gt;0,K36924/K36936,99)</f>
        <v>0.665976565507508</v>
      </c>
    </row>
    <row r="36940" customFormat="false" ht="15" hidden="false" customHeight="false" outlineLevel="0" collapsed="false">
      <c r="A36940" s="3" t="s">
        <v>429</v>
      </c>
      <c r="G36940" s="33" t="n">
        <f aca="false">Assumptions!$G$71</f>
        <v>0.6</v>
      </c>
      <c r="H36940" s="33" t="n">
        <f aca="false">Assumptions!$H$71</f>
        <v>0.6</v>
      </c>
      <c r="I36940" s="33" t="n">
        <f aca="false">Assumptions!$I$71</f>
        <v>0.6</v>
      </c>
      <c r="J36940" s="33" t="n">
        <f aca="false">Assumptions!$J$71</f>
        <v>0.6</v>
      </c>
      <c r="K36940" s="33" t="n">
        <f aca="false">Assumptions!$K$71</f>
        <v>0.6</v>
      </c>
    </row>
    <row r="36941" customFormat="false" ht="15" hidden="false" customHeight="false" outlineLevel="0" collapsed="false">
      <c r="A36941" s="3" t="s">
        <v>430</v>
      </c>
      <c r="G36941" s="22" t="n">
        <f aca="false">G36940-G36939</f>
        <v>-0.0827872103288497</v>
      </c>
      <c r="H36941" s="22" t="n">
        <f aca="false">H36940-H36939</f>
        <v>-0.0691015284256999</v>
      </c>
      <c r="I36941" s="22" t="n">
        <f aca="false">I36940-I36939</f>
        <v>-0.0680598741196361</v>
      </c>
      <c r="J36941" s="22" t="n">
        <f aca="false">J36940-J36939</f>
        <v>-0.0670182198135721</v>
      </c>
      <c r="K36941" s="22" t="n">
        <f aca="false">K36940-K36939</f>
        <v>-0.0659765655075082</v>
      </c>
    </row>
    <row r="36942" customFormat="false" ht="15" hidden="false" customHeight="false" outlineLevel="0" collapsed="false">
      <c r="A36942" s="3" t="s">
        <v>431</v>
      </c>
      <c r="G36942" s="22" t="n">
        <f aca="false">IF(G36940=0,0,G36941/ABS(G36940))</f>
        <v>-0.137978683881416</v>
      </c>
      <c r="H36942" s="22" t="n">
        <f aca="false">IF(H36940=0,0,H36941/ABS(H36940))</f>
        <v>-0.115169214042833</v>
      </c>
      <c r="I36942" s="22" t="n">
        <f aca="false">IF(I36940=0,0,I36941/ABS(I36940))</f>
        <v>-0.113433123532727</v>
      </c>
      <c r="J36942" s="22" t="n">
        <f aca="false">IF(J36940=0,0,J36941/ABS(J36940))</f>
        <v>-0.11169703302262</v>
      </c>
      <c r="K36942" s="22" t="n">
        <f aca="false">IF(K36940=0,0,K36941/ABS(K36940))</f>
        <v>-0.109960942512514</v>
      </c>
    </row>
    <row r="36943" customFormat="false" ht="15" hidden="false" customHeight="false" outlineLevel="0" collapsed="false">
      <c r="A36943" s="3" t="s">
        <v>432</v>
      </c>
      <c r="G36943" s="21" t="n">
        <f aca="false">IF(G36941&lt;0,1,0)</f>
        <v>1</v>
      </c>
      <c r="H36943" s="21" t="n">
        <f aca="false">IF(H36941&lt;0,1,0)</f>
        <v>1</v>
      </c>
      <c r="I36943" s="21" t="n">
        <f aca="false">IF(I36941&lt;0,1,0)</f>
        <v>1</v>
      </c>
      <c r="J36943" s="21" t="n">
        <f aca="false">IF(J36941&lt;0,1,0)</f>
        <v>1</v>
      </c>
      <c r="K36943" s="21" t="n">
        <f aca="false">IF(K36941&lt;0,1,0)</f>
        <v>1</v>
      </c>
    </row>
    <row r="36944" customFormat="false" ht="15" hidden="false" customHeight="false" outlineLevel="0" collapsed="false">
      <c r="A36944" s="3" t="s">
        <v>433</v>
      </c>
      <c r="C36944" s="21" t="n">
        <f aca="false">IFERROR(INDEX($G$36693:$K$36693,MATCH(1,$G$36943:$K$36943,0)),0)</f>
        <v>2027</v>
      </c>
    </row>
    <row r="36945" customFormat="false" ht="15" hidden="false" customHeight="false" outlineLevel="0" collapsed="false">
      <c r="A36945" s="3" t="s">
        <v>434</v>
      </c>
      <c r="C36945" s="22" t="n">
        <f aca="false">MIN($G$36942:$K$36942)</f>
        <v>-0.137978683881416</v>
      </c>
    </row>
    <row r="36946" customFormat="false" ht="15" hidden="false" customHeight="false" outlineLevel="0" collapsed="false">
      <c r="A36946" s="24" t="s">
        <v>435</v>
      </c>
      <c r="B36946" s="25"/>
      <c r="C36946" s="25"/>
      <c r="D36946" s="25"/>
      <c r="E36946" s="25"/>
      <c r="F36946" s="25"/>
      <c r="G36946" s="25"/>
      <c r="H36946" s="25"/>
      <c r="I36946" s="25"/>
      <c r="J36946" s="25"/>
      <c r="K36946" s="25"/>
    </row>
    <row r="36947" customFormat="false" ht="15" hidden="false" customHeight="false" outlineLevel="0" collapsed="false">
      <c r="A36947" s="3" t="s">
        <v>428</v>
      </c>
      <c r="G36947" s="32" t="n">
        <f aca="false">IF(G36707&gt;0,G36703/G36707,99)</f>
        <v>1.24979041307388</v>
      </c>
      <c r="H36947" s="32" t="n">
        <f aca="false">IF(H36707&gt;0,H36703/H36707,99)</f>
        <v>1.18311222526984</v>
      </c>
      <c r="I36947" s="32" t="n">
        <f aca="false">IF(I36707&gt;0,I36703/I36707,99)</f>
        <v>1.20586587186349</v>
      </c>
      <c r="J36947" s="32" t="n">
        <f aca="false">IF(J36707&gt;0,J36703/J36707,99)</f>
        <v>1.23324745076441</v>
      </c>
      <c r="K36947" s="32" t="n">
        <f aca="false">IF(K36707&gt;0,K36703/K36707,99)</f>
        <v>1.26112583435714</v>
      </c>
    </row>
    <row r="36948" customFormat="false" ht="15" hidden="false" customHeight="false" outlineLevel="0" collapsed="false">
      <c r="A36948" s="3" t="s">
        <v>429</v>
      </c>
      <c r="G36948" s="34" t="n">
        <f aca="false">Assumptions!$G$72</f>
        <v>1.5</v>
      </c>
      <c r="H36948" s="34" t="n">
        <f aca="false">Assumptions!$H$72</f>
        <v>1.5</v>
      </c>
      <c r="I36948" s="34" t="n">
        <f aca="false">Assumptions!$I$72</f>
        <v>1.5</v>
      </c>
      <c r="J36948" s="34" t="n">
        <f aca="false">Assumptions!$J$72</f>
        <v>1.5</v>
      </c>
      <c r="K36948" s="34" t="n">
        <f aca="false">Assumptions!$K$72</f>
        <v>1.5</v>
      </c>
    </row>
    <row r="36949" customFormat="false" ht="15" hidden="false" customHeight="false" outlineLevel="0" collapsed="false">
      <c r="A36949" s="3" t="s">
        <v>430</v>
      </c>
      <c r="G36949" s="32" t="n">
        <f aca="false">G36947-G36948</f>
        <v>-0.250209586926116</v>
      </c>
      <c r="H36949" s="32" t="n">
        <f aca="false">H36947-H36948</f>
        <v>-0.316887774730159</v>
      </c>
      <c r="I36949" s="32" t="n">
        <f aca="false">I36947-I36948</f>
        <v>-0.294134128136513</v>
      </c>
      <c r="J36949" s="32" t="n">
        <f aca="false">J36947-J36948</f>
        <v>-0.266752549235595</v>
      </c>
      <c r="K36949" s="32" t="n">
        <f aca="false">K36947-K36948</f>
        <v>-0.238874165642862</v>
      </c>
    </row>
    <row r="36950" customFormat="false" ht="15" hidden="false" customHeight="false" outlineLevel="0" collapsed="false">
      <c r="A36950" s="3" t="s">
        <v>431</v>
      </c>
      <c r="G36950" s="22" t="n">
        <f aca="false">IF(G36948=0,0,G36949/ABS(G36948))</f>
        <v>-0.166806391284078</v>
      </c>
      <c r="H36950" s="22" t="n">
        <f aca="false">IF(H36948=0,0,H36949/ABS(H36948))</f>
        <v>-0.211258516486773</v>
      </c>
      <c r="I36950" s="22" t="n">
        <f aca="false">IF(I36948=0,0,I36949/ABS(I36948))</f>
        <v>-0.196089418757675</v>
      </c>
      <c r="J36950" s="22" t="n">
        <f aca="false">IF(J36948=0,0,J36949/ABS(J36948))</f>
        <v>-0.17783503282373</v>
      </c>
      <c r="K36950" s="22" t="n">
        <f aca="false">IF(K36948=0,0,K36949/ABS(K36948))</f>
        <v>-0.159249443761908</v>
      </c>
    </row>
    <row r="36951" customFormat="false" ht="15" hidden="false" customHeight="false" outlineLevel="0" collapsed="false">
      <c r="A36951" s="3" t="s">
        <v>432</v>
      </c>
      <c r="G36951" s="21" t="n">
        <f aca="false">IF(G36949&lt;0,1,0)</f>
        <v>1</v>
      </c>
      <c r="H36951" s="21" t="n">
        <f aca="false">IF(H36949&lt;0,1,0)</f>
        <v>1</v>
      </c>
      <c r="I36951" s="21" t="n">
        <f aca="false">IF(I36949&lt;0,1,0)</f>
        <v>1</v>
      </c>
      <c r="J36951" s="21" t="n">
        <f aca="false">IF(J36949&lt;0,1,0)</f>
        <v>1</v>
      </c>
      <c r="K36951" s="21" t="n">
        <f aca="false">IF(K36949&lt;0,1,0)</f>
        <v>1</v>
      </c>
    </row>
    <row r="36952" customFormat="false" ht="15" hidden="false" customHeight="false" outlineLevel="0" collapsed="false">
      <c r="A36952" s="3" t="s">
        <v>433</v>
      </c>
      <c r="C36952" s="21" t="n">
        <f aca="false">IFERROR(INDEX($G$36693:$K$36693,MATCH(1,$G$36951:$K$36951,0)),0)</f>
        <v>2027</v>
      </c>
    </row>
    <row r="36953" customFormat="false" ht="15" hidden="false" customHeight="false" outlineLevel="0" collapsed="false">
      <c r="A36953" s="3" t="s">
        <v>434</v>
      </c>
      <c r="C36953" s="22" t="n">
        <f aca="false">MIN($G$36950:$K$36950)</f>
        <v>-0.211258516486773</v>
      </c>
    </row>
    <row r="36954" customFormat="false" ht="15" hidden="false" customHeight="false" outlineLevel="0" collapsed="false">
      <c r="A36954" s="24" t="s">
        <v>436</v>
      </c>
      <c r="B36954" s="25"/>
      <c r="C36954" s="25"/>
      <c r="D36954" s="25"/>
      <c r="E36954" s="25"/>
      <c r="F36954" s="25"/>
      <c r="G36954" s="25"/>
      <c r="H36954" s="25"/>
      <c r="I36954" s="25"/>
      <c r="J36954" s="25"/>
      <c r="K36954" s="25"/>
    </row>
    <row r="36955" customFormat="false" ht="15" hidden="false" customHeight="false" outlineLevel="0" collapsed="false">
      <c r="A36955" s="3" t="s">
        <v>428</v>
      </c>
      <c r="G36955" s="22" t="n">
        <f aca="false">IF(G36936&gt;0,G36925/G36936,99)</f>
        <v>0.141488946046968</v>
      </c>
      <c r="H36955" s="22" t="n">
        <f aca="false">IF(H36936&gt;0,H36925/H36936,99)</f>
        <v>0.140447291740904</v>
      </c>
      <c r="I36955" s="22" t="n">
        <f aca="false">IF(I36936&gt;0,I36925/I36936,99)</f>
        <v>0.139405637434841</v>
      </c>
      <c r="J36955" s="22" t="n">
        <f aca="false">IF(J36936&gt;0,J36925/J36936,99)</f>
        <v>0.138363983128777</v>
      </c>
      <c r="K36955" s="22" t="n">
        <f aca="false">IF(K36936&gt;0,K36925/K36936,99)</f>
        <v>0.137322328822713</v>
      </c>
    </row>
    <row r="36956" customFormat="false" ht="15" hidden="false" customHeight="false" outlineLevel="0" collapsed="false">
      <c r="A36956" s="3" t="s">
        <v>429</v>
      </c>
      <c r="G36956" s="33" t="n">
        <f aca="false">Assumptions!$G$73</f>
        <v>0.4</v>
      </c>
      <c r="H36956" s="33" t="n">
        <f aca="false">Assumptions!$H$73</f>
        <v>0.4</v>
      </c>
      <c r="I36956" s="33" t="n">
        <f aca="false">Assumptions!$I$73</f>
        <v>0.4</v>
      </c>
      <c r="J36956" s="33" t="n">
        <f aca="false">Assumptions!$J$73</f>
        <v>0.4</v>
      </c>
      <c r="K36956" s="33" t="n">
        <f aca="false">Assumptions!$K$73</f>
        <v>0.4</v>
      </c>
    </row>
    <row r="36957" customFormat="false" ht="15" hidden="false" customHeight="false" outlineLevel="0" collapsed="false">
      <c r="A36957" s="3" t="s">
        <v>430</v>
      </c>
      <c r="G36957" s="22" t="n">
        <f aca="false">G36956-G36955</f>
        <v>0.258511053953032</v>
      </c>
      <c r="H36957" s="22" t="n">
        <f aca="false">H36956-H36955</f>
        <v>0.259552708259096</v>
      </c>
      <c r="I36957" s="22" t="n">
        <f aca="false">I36956-I36955</f>
        <v>0.26059436256516</v>
      </c>
      <c r="J36957" s="22" t="n">
        <f aca="false">J36956-J36955</f>
        <v>0.261636016871223</v>
      </c>
      <c r="K36957" s="22" t="n">
        <f aca="false">K36956-K36955</f>
        <v>0.262677671177287</v>
      </c>
    </row>
    <row r="36958" customFormat="false" ht="15" hidden="false" customHeight="false" outlineLevel="0" collapsed="false">
      <c r="A36958" s="3" t="s">
        <v>431</v>
      </c>
      <c r="G36958" s="22" t="n">
        <f aca="false">IF(G36956=0,0,G36957/ABS(G36956))</f>
        <v>0.646277634882579</v>
      </c>
      <c r="H36958" s="22" t="n">
        <f aca="false">IF(H36956=0,0,H36957/ABS(H36956))</f>
        <v>0.648881770647739</v>
      </c>
      <c r="I36958" s="22" t="n">
        <f aca="false">IF(I36956=0,0,I36957/ABS(I36956))</f>
        <v>0.651485906412899</v>
      </c>
      <c r="J36958" s="22" t="n">
        <f aca="false">IF(J36956=0,0,J36957/ABS(J36956))</f>
        <v>0.654090042178059</v>
      </c>
      <c r="K36958" s="22" t="n">
        <f aca="false">IF(K36956=0,0,K36957/ABS(K36956))</f>
        <v>0.656694177943218</v>
      </c>
    </row>
    <row r="36959" customFormat="false" ht="15" hidden="false" customHeight="false" outlineLevel="0" collapsed="false">
      <c r="A36959" s="3" t="s">
        <v>432</v>
      </c>
      <c r="G36959" s="21" t="n">
        <f aca="false">IF(G36957&lt;0,1,0)</f>
        <v>0</v>
      </c>
      <c r="H36959" s="21" t="n">
        <f aca="false">IF(H36957&lt;0,1,0)</f>
        <v>0</v>
      </c>
      <c r="I36959" s="21" t="n">
        <f aca="false">IF(I36957&lt;0,1,0)</f>
        <v>0</v>
      </c>
      <c r="J36959" s="21" t="n">
        <f aca="false">IF(J36957&lt;0,1,0)</f>
        <v>0</v>
      </c>
      <c r="K36959" s="21" t="n">
        <f aca="false">IF(K36957&lt;0,1,0)</f>
        <v>0</v>
      </c>
    </row>
    <row r="36960" customFormat="false" ht="15" hidden="false" customHeight="false" outlineLevel="0" collapsed="false">
      <c r="A36960" s="3" t="s">
        <v>433</v>
      </c>
      <c r="C36960" s="21" t="n">
        <f aca="false">IFERROR(INDEX($G$36693:$K$36693,MATCH(1,$G$36959:$K$36959,0)),0)</f>
        <v>0</v>
      </c>
    </row>
    <row r="36961" customFormat="false" ht="15" hidden="false" customHeight="false" outlineLevel="0" collapsed="false">
      <c r="A36961" s="3" t="s">
        <v>434</v>
      </c>
      <c r="C36961" s="22" t="n">
        <f aca="false">MIN($G$36958:$K$36958)</f>
        <v>0.646277634882579</v>
      </c>
    </row>
    <row r="36962" customFormat="false" ht="15" hidden="false" customHeight="false" outlineLevel="0" collapsed="false">
      <c r="A36962" s="24" t="s">
        <v>437</v>
      </c>
      <c r="B36962" s="25"/>
      <c r="C36962" s="25"/>
      <c r="D36962" s="25"/>
      <c r="E36962" s="25"/>
      <c r="F36962" s="25"/>
      <c r="G36962" s="25"/>
      <c r="H36962" s="25"/>
      <c r="I36962" s="25"/>
      <c r="J36962" s="25"/>
      <c r="K36962" s="25"/>
    </row>
    <row r="36963" customFormat="false" ht="15" hidden="false" customHeight="false" outlineLevel="0" collapsed="false">
      <c r="A36963" s="3" t="s">
        <v>428</v>
      </c>
      <c r="G36963" s="16" t="n">
        <f aca="false">G36933</f>
        <v>697.4474204</v>
      </c>
      <c r="H36963" s="16" t="n">
        <f aca="false">H36933</f>
        <v>574.5</v>
      </c>
      <c r="I36963" s="16" t="n">
        <f aca="false">I36933</f>
        <v>574.5</v>
      </c>
      <c r="J36963" s="16" t="n">
        <f aca="false">J36933</f>
        <v>574.5</v>
      </c>
      <c r="K36963" s="16" t="n">
        <f aca="false">K36933</f>
        <v>574.5</v>
      </c>
    </row>
    <row r="36964" customFormat="false" ht="15" hidden="false" customHeight="false" outlineLevel="0" collapsed="false">
      <c r="A36964" s="3" t="s">
        <v>429</v>
      </c>
      <c r="G36964" s="29" t="n">
        <f aca="false">Assumptions!$G$74</f>
        <v>100</v>
      </c>
      <c r="H36964" s="29" t="n">
        <f aca="false">Assumptions!$H$74</f>
        <v>100</v>
      </c>
      <c r="I36964" s="29" t="n">
        <f aca="false">Assumptions!$I$74</f>
        <v>100</v>
      </c>
      <c r="J36964" s="29" t="n">
        <f aca="false">Assumptions!$J$74</f>
        <v>100</v>
      </c>
      <c r="K36964" s="29" t="n">
        <f aca="false">Assumptions!$K$74</f>
        <v>100</v>
      </c>
    </row>
    <row r="36965" customFormat="false" ht="15" hidden="false" customHeight="false" outlineLevel="0" collapsed="false">
      <c r="A36965" s="3" t="s">
        <v>430</v>
      </c>
      <c r="G36965" s="16" t="n">
        <f aca="false">G36963-G36964</f>
        <v>597.4474204</v>
      </c>
      <c r="H36965" s="16" t="n">
        <f aca="false">H36963-H36964</f>
        <v>474.5</v>
      </c>
      <c r="I36965" s="16" t="n">
        <f aca="false">I36963-I36964</f>
        <v>474.5</v>
      </c>
      <c r="J36965" s="16" t="n">
        <f aca="false">J36963-J36964</f>
        <v>474.5</v>
      </c>
      <c r="K36965" s="16" t="n">
        <f aca="false">K36963-K36964</f>
        <v>474.5</v>
      </c>
    </row>
    <row r="36966" customFormat="false" ht="15" hidden="false" customHeight="false" outlineLevel="0" collapsed="false">
      <c r="A36966" s="3" t="s">
        <v>431</v>
      </c>
      <c r="G36966" s="22" t="n">
        <f aca="false">IF(G36964=0,0,G36965/ABS(G36964))</f>
        <v>5.974474204</v>
      </c>
      <c r="H36966" s="22" t="n">
        <f aca="false">IF(H36964=0,0,H36965/ABS(H36964))</f>
        <v>4.745</v>
      </c>
      <c r="I36966" s="22" t="n">
        <f aca="false">IF(I36964=0,0,I36965/ABS(I36964))</f>
        <v>4.745</v>
      </c>
      <c r="J36966" s="22" t="n">
        <f aca="false">IF(J36964=0,0,J36965/ABS(J36964))</f>
        <v>4.745</v>
      </c>
      <c r="K36966" s="22" t="n">
        <f aca="false">IF(K36964=0,0,K36965/ABS(K36964))</f>
        <v>4.745</v>
      </c>
    </row>
    <row r="36967" customFormat="false" ht="15" hidden="false" customHeight="false" outlineLevel="0" collapsed="false">
      <c r="A36967" s="3" t="s">
        <v>432</v>
      </c>
      <c r="G36967" s="21" t="n">
        <f aca="false">IF(G36965&lt;0,1,0)</f>
        <v>0</v>
      </c>
      <c r="H36967" s="21" t="n">
        <f aca="false">IF(H36965&lt;0,1,0)</f>
        <v>0</v>
      </c>
      <c r="I36967" s="21" t="n">
        <f aca="false">IF(I36965&lt;0,1,0)</f>
        <v>0</v>
      </c>
      <c r="J36967" s="21" t="n">
        <f aca="false">IF(J36965&lt;0,1,0)</f>
        <v>0</v>
      </c>
      <c r="K36967" s="21" t="n">
        <f aca="false">IF(K36965&lt;0,1,0)</f>
        <v>0</v>
      </c>
    </row>
    <row r="36968" customFormat="false" ht="15" hidden="false" customHeight="false" outlineLevel="0" collapsed="false">
      <c r="A36968" s="3" t="s">
        <v>433</v>
      </c>
      <c r="C36968" s="21" t="n">
        <f aca="false">IFERROR(INDEX($G$36693:$K$36693,MATCH(1,$G$36967:$K$36967,0)),0)</f>
        <v>0</v>
      </c>
    </row>
    <row r="36969" customFormat="false" ht="15" hidden="false" customHeight="false" outlineLevel="0" collapsed="false">
      <c r="A36969" s="3" t="s">
        <v>434</v>
      </c>
      <c r="C36969" s="22" t="n">
        <f aca="false">MIN($G$36966:$K$36966)</f>
        <v>4.745</v>
      </c>
    </row>
    <row r="36970" customFormat="false" ht="15" hidden="false" customHeight="false" outlineLevel="0" collapsed="false">
      <c r="A36970" s="24" t="s">
        <v>438</v>
      </c>
      <c r="B36970" s="25"/>
      <c r="C36970" s="25"/>
      <c r="D36970" s="25"/>
      <c r="E36970" s="25"/>
      <c r="F36970" s="25"/>
      <c r="G36970" s="25"/>
      <c r="H36970" s="25"/>
      <c r="I36970" s="25"/>
      <c r="J36970" s="25"/>
      <c r="K36970" s="25"/>
    </row>
    <row r="36971" customFormat="false" ht="15" hidden="false" customHeight="false" outlineLevel="0" collapsed="false">
      <c r="A36971" s="3" t="s">
        <v>428</v>
      </c>
      <c r="G36971" s="32" t="n">
        <f aca="false">IF(G36703&gt;0,G36926/G36703,99)</f>
        <v>10.6704570673626</v>
      </c>
      <c r="H36971" s="32" t="n">
        <f aca="false">IF(H36703&gt;0,H36926/H36703,99)</f>
        <v>11.6601471215067</v>
      </c>
      <c r="I36971" s="32" t="n">
        <f aca="false">IF(I36703&gt;0,I36926/I36703,99)</f>
        <v>11.9636535522731</v>
      </c>
      <c r="J36971" s="32" t="n">
        <f aca="false">IF(J36703&gt;0,J36926/J36703,99)</f>
        <v>12.0045871637288</v>
      </c>
      <c r="K36971" s="32" t="n">
        <f aca="false">IF(K36703&gt;0,K36926/K36703,99)</f>
        <v>12.0232607366907</v>
      </c>
    </row>
    <row r="36972" customFormat="false" ht="15" hidden="false" customHeight="false" outlineLevel="0" collapsed="false">
      <c r="A36972" s="3" t="s">
        <v>429</v>
      </c>
      <c r="G36972" s="34" t="n">
        <f aca="false">Assumptions!$G$75</f>
        <v>10.5</v>
      </c>
      <c r="H36972" s="34" t="n">
        <f aca="false">Assumptions!$H$75</f>
        <v>10.5</v>
      </c>
      <c r="I36972" s="34" t="n">
        <f aca="false">Assumptions!$I$75</f>
        <v>10</v>
      </c>
      <c r="J36972" s="34" t="n">
        <f aca="false">Assumptions!$J$75</f>
        <v>10</v>
      </c>
      <c r="K36972" s="34" t="n">
        <f aca="false">Assumptions!$K$75</f>
        <v>9.5</v>
      </c>
    </row>
    <row r="36973" customFormat="false" ht="15" hidden="false" customHeight="false" outlineLevel="0" collapsed="false">
      <c r="A36973" s="3" t="s">
        <v>430</v>
      </c>
      <c r="G36973" s="32" t="n">
        <f aca="false">G36972-G36971</f>
        <v>-0.17045706736263</v>
      </c>
      <c r="H36973" s="32" t="n">
        <f aca="false">H36972-H36971</f>
        <v>-1.16014712150674</v>
      </c>
      <c r="I36973" s="32" t="n">
        <f aca="false">I36972-I36971</f>
        <v>-1.96365355227305</v>
      </c>
      <c r="J36973" s="32" t="n">
        <f aca="false">J36972-J36971</f>
        <v>-2.00458716372878</v>
      </c>
      <c r="K36973" s="32" t="n">
        <f aca="false">K36972-K36971</f>
        <v>-2.52326073669071</v>
      </c>
    </row>
    <row r="36974" customFormat="false" ht="15" hidden="false" customHeight="false" outlineLevel="0" collapsed="false">
      <c r="A36974" s="3" t="s">
        <v>431</v>
      </c>
      <c r="G36974" s="22" t="n">
        <f aca="false">IF(G36972=0,0,G36973/ABS(G36972))</f>
        <v>-0.0162340064154886</v>
      </c>
      <c r="H36974" s="22" t="n">
        <f aca="false">IF(H36972=0,0,H36973/ABS(H36972))</f>
        <v>-0.110490202048261</v>
      </c>
      <c r="I36974" s="22" t="n">
        <f aca="false">IF(I36972=0,0,I36973/ABS(I36972))</f>
        <v>-0.196365355227305</v>
      </c>
      <c r="J36974" s="22" t="n">
        <f aca="false">IF(J36972=0,0,J36973/ABS(J36972))</f>
        <v>-0.200458716372878</v>
      </c>
      <c r="K36974" s="22" t="n">
        <f aca="false">IF(K36972=0,0,K36973/ABS(K36972))</f>
        <v>-0.265606393335864</v>
      </c>
    </row>
    <row r="36975" customFormat="false" ht="15" hidden="false" customHeight="false" outlineLevel="0" collapsed="false">
      <c r="A36975" s="3" t="s">
        <v>432</v>
      </c>
      <c r="G36975" s="21" t="n">
        <f aca="false">IF(G36973&lt;0,1,0)</f>
        <v>1</v>
      </c>
      <c r="H36975" s="21" t="n">
        <f aca="false">IF(H36973&lt;0,1,0)</f>
        <v>1</v>
      </c>
      <c r="I36975" s="21" t="n">
        <f aca="false">IF(I36973&lt;0,1,0)</f>
        <v>1</v>
      </c>
      <c r="J36975" s="21" t="n">
        <f aca="false">IF(J36973&lt;0,1,0)</f>
        <v>1</v>
      </c>
      <c r="K36975" s="21" t="n">
        <f aca="false">IF(K36973&lt;0,1,0)</f>
        <v>1</v>
      </c>
    </row>
    <row r="36976" customFormat="false" ht="15" hidden="false" customHeight="false" outlineLevel="0" collapsed="false">
      <c r="A36976" s="3" t="s">
        <v>433</v>
      </c>
      <c r="C36976" s="21" t="n">
        <f aca="false">IFERROR(INDEX($G$36693:$K$36693,MATCH(1,$G$36975:$K$36975,0)),0)</f>
        <v>2027</v>
      </c>
    </row>
    <row r="36977" customFormat="false" ht="15" hidden="false" customHeight="false" outlineLevel="0" collapsed="false">
      <c r="A36977" s="3" t="s">
        <v>434</v>
      </c>
      <c r="C36977" s="22" t="n">
        <f aca="false">MIN($G$36974:$K$36974)</f>
        <v>-0.265606393335864</v>
      </c>
    </row>
    <row r="36978" customFormat="false" ht="15" hidden="false" customHeight="false" outlineLevel="0" collapsed="false">
      <c r="A36978" s="3" t="s">
        <v>439</v>
      </c>
      <c r="G36978" s="21" t="n">
        <f aca="false">G36943+G36951+G36959+G36967+G36975</f>
        <v>3</v>
      </c>
      <c r="H36978" s="21" t="n">
        <f aca="false">H36943+H36951+H36959+H36967+H36975</f>
        <v>3</v>
      </c>
      <c r="I36978" s="21" t="n">
        <f aca="false">I36943+I36951+I36959+I36967+I36975</f>
        <v>3</v>
      </c>
      <c r="J36978" s="21" t="n">
        <f aca="false">J36943+J36951+J36959+J36967+J36975</f>
        <v>3</v>
      </c>
      <c r="K36978" s="21" t="n">
        <f aca="false">K36943+K36951+K36959+K36967+K36975</f>
        <v>3</v>
      </c>
    </row>
    <row r="36979" customFormat="false" ht="15" hidden="false" customHeight="false" outlineLevel="0" collapsed="false">
      <c r="A36979" s="3" t="s">
        <v>440</v>
      </c>
      <c r="C36979" s="21" t="n">
        <f aca="false">SUM($G$36978:$K$36978)</f>
        <v>15</v>
      </c>
    </row>
    <row r="36980" customFormat="false" ht="15" hidden="false" customHeight="false" outlineLevel="0" collapsed="false">
      <c r="A36980" s="3" t="s">
        <v>441</v>
      </c>
      <c r="C36980" s="22" t="n">
        <f aca="false">MIN(C36945,C36953,C36961,C36969,C36977)</f>
        <v>-0.265606393335864</v>
      </c>
    </row>
    <row r="36982" customFormat="false" ht="15" hidden="false" customHeight="false" outlineLevel="0" collapsed="false">
      <c r="A36982" s="24" t="s">
        <v>543</v>
      </c>
      <c r="B36982" s="25"/>
      <c r="C36982" s="25"/>
      <c r="D36982" s="25"/>
      <c r="E36982" s="25"/>
      <c r="F36982" s="25"/>
      <c r="G36982" s="25"/>
      <c r="H36982" s="25"/>
      <c r="I36982" s="25"/>
      <c r="J36982" s="25"/>
      <c r="K36982" s="25"/>
    </row>
    <row r="36983" customFormat="false" ht="15" hidden="false" customHeight="false" outlineLevel="0" collapsed="false">
      <c r="A36983" s="3" t="s">
        <v>544</v>
      </c>
      <c r="G36983" s="21" t="n">
        <f aca="false">IF($C$36984=1,G36920,IF(G36703=MIN($G$36703:$K$36703),1,0))</f>
        <v>0</v>
      </c>
      <c r="H36983" s="21" t="n">
        <f aca="false">IF($C$36984=1,H36920,IF(AND(H36703=MIN($G$36703:$K$36703),SUM($G$36983:G36983)=0),1,0))</f>
        <v>1</v>
      </c>
      <c r="I36983" s="21" t="n">
        <f aca="false">IF($C$36984=1,I36920,IF(AND(I36703=MIN($G$36703:$K$36703),SUM($G$36983:H36983)=0),1,0))</f>
        <v>0</v>
      </c>
      <c r="J36983" s="21" t="n">
        <f aca="false">IF($C$36984=1,J36920,IF(AND(J36703=MIN($G$36703:$K$36703),SUM($G$36983:I36983)=0),1,0))</f>
        <v>0</v>
      </c>
      <c r="K36983" s="21" t="n">
        <f aca="false">IF($C$36984=1,K36920,IF(AND(K36703=MIN($G$36703:$K$36703),SUM($G$36983:J36983)=0),1,0))</f>
        <v>0</v>
      </c>
    </row>
    <row r="36984" customFormat="false" ht="15" hidden="false" customHeight="false" outlineLevel="0" collapsed="false">
      <c r="A36984" s="3" t="s">
        <v>545</v>
      </c>
      <c r="C36984" s="21" t="n">
        <f aca="false">IF(SUM($G$36920:$K$36920)&gt;0,1,0)</f>
        <v>1</v>
      </c>
    </row>
    <row r="36985" customFormat="false" ht="15" hidden="false" customHeight="false" outlineLevel="0" collapsed="false">
      <c r="A36985" s="3" t="s">
        <v>546</v>
      </c>
      <c r="C36985" s="21" t="n">
        <f aca="false">SUMPRODUCT($G$36983:$K$36983,$G$36693:$K$36693)</f>
        <v>2028</v>
      </c>
    </row>
    <row r="36986" customFormat="false" ht="15" hidden="false" customHeight="false" outlineLevel="0" collapsed="false">
      <c r="A36986" s="3" t="s">
        <v>547</v>
      </c>
      <c r="C36986" s="16" t="n">
        <f aca="false">SUMPRODUCT($G$36983:$K$36983,$G$36703:$K$36703)</f>
        <v>220.355740893</v>
      </c>
    </row>
    <row r="36987" customFormat="false" ht="15" hidden="false" customHeight="false" outlineLevel="0" collapsed="false">
      <c r="A36987" s="3" t="s">
        <v>548</v>
      </c>
      <c r="C36987" s="16" t="n">
        <f aca="false">MAX(0,SUMPRODUCT($G$36983:$K$36983,$G$36917:$K$36917))</f>
        <v>0</v>
      </c>
    </row>
    <row r="36988" customFormat="false" ht="15" hidden="false" customHeight="false" outlineLevel="0" collapsed="false">
      <c r="A36988" s="3" t="s">
        <v>549</v>
      </c>
      <c r="C36988" s="16" t="n">
        <f aca="false">(CHOOSE($C$36686,Assumptions!$C$92,Assumptions!$C$111,Assumptions!$C$130)+$C$36690)*C36986</f>
        <v>2203.55740893</v>
      </c>
    </row>
    <row r="36989" customFormat="false" ht="15" hidden="false" customHeight="false" outlineLevel="0" collapsed="false">
      <c r="A36989" s="3" t="s">
        <v>550</v>
      </c>
      <c r="C36989" s="16" t="n">
        <f aca="false">Assumptions!$C$31*(1-CHOOSE($C$36686,Assumptions!$C$93,Assumptions!$C$112,Assumptions!$C$131))*CHOOSE($C$36686,Assumptions!$C$94,Assumptions!$C$113,Assumptions!$C$132)</f>
        <v>3264.03873166667</v>
      </c>
    </row>
    <row r="36990" customFormat="false" ht="15" hidden="false" customHeight="false" outlineLevel="0" collapsed="false">
      <c r="A36990" s="3" t="s">
        <v>551</v>
      </c>
      <c r="C36990" s="16" t="n">
        <f aca="false">MAX(C36988,C36989)+C36987</f>
        <v>3264.03873166667</v>
      </c>
    </row>
    <row r="36991" customFormat="false" ht="15" hidden="false" customHeight="false" outlineLevel="0" collapsed="false">
      <c r="A36991" s="2" t="s">
        <v>552</v>
      </c>
      <c r="C36991" s="17" t="n">
        <f aca="false">IF(ISNUMBER(Assumptions!$C$14),Assumptions!$C$14,C36990)</f>
        <v>3264.03873166667</v>
      </c>
    </row>
    <row r="36992" customFormat="false" ht="15" hidden="false" customHeight="false" outlineLevel="0" collapsed="false">
      <c r="A36992" s="3" t="s">
        <v>553</v>
      </c>
      <c r="C36992" s="16" t="n">
        <f aca="false">C36991*Assumptions!$C$15</f>
        <v>130.561549266667</v>
      </c>
    </row>
    <row r="36993" customFormat="false" ht="15" hidden="false" customHeight="false" outlineLevel="0" collapsed="false">
      <c r="A36993" s="2" t="s">
        <v>554</v>
      </c>
      <c r="C36993" s="17" t="n">
        <f aca="false">C36991-C36992</f>
        <v>3133.4771824</v>
      </c>
    </row>
    <row r="36994" customFormat="false" ht="15" hidden="false" customHeight="false" outlineLevel="0" collapsed="false">
      <c r="A36994" s="24" t="s">
        <v>555</v>
      </c>
      <c r="B36994" s="25"/>
      <c r="C36994" s="25"/>
      <c r="D36994" s="25"/>
      <c r="E36994" s="25"/>
      <c r="F36994" s="25"/>
      <c r="G36994" s="25"/>
      <c r="H36994" s="25"/>
      <c r="I36994" s="25"/>
      <c r="J36994" s="25"/>
      <c r="K36994" s="25"/>
    </row>
    <row r="36995" customFormat="false" ht="15" hidden="false" customHeight="false" outlineLevel="0" collapsed="false">
      <c r="A36995" s="3" t="s">
        <v>556</v>
      </c>
      <c r="C36995" s="16" t="n">
        <f aca="false">SUMPRODUCT($G$36983:$K$36983,$G$36740:$K$36740)*(1+SUMPRODUCT($G$36983:$K$36983,$G$36732:$K$36732)*Assumptions!$C$16/12)</f>
        <v>402.29</v>
      </c>
    </row>
    <row r="36996" customFormat="false" ht="15" hidden="false" customHeight="false" outlineLevel="0" collapsed="false">
      <c r="A36996" s="3" t="s">
        <v>557</v>
      </c>
      <c r="C36996" s="16" t="n">
        <f aca="false">SUMPRODUCT($G$36983:$K$36983,$G$36753:$K$36753)*(1+SUMPRODUCT($G$36983:$K$36983,$G$36745:$K$36745)*Assumptions!$C$16/12)</f>
        <v>91.30725</v>
      </c>
    </row>
    <row r="36997" customFormat="false" ht="15" hidden="false" customHeight="false" outlineLevel="0" collapsed="false">
      <c r="A36997" s="3" t="s">
        <v>558</v>
      </c>
      <c r="C36997" s="16" t="n">
        <f aca="false">SUMPRODUCT($G$36983:$K$36983,$G$36766:$K$36766)*(1+SUMPRODUCT($G$36983:$K$36983,$G$36758:$K$36758)*Assumptions!$C$16/12)</f>
        <v>58.3715961</v>
      </c>
    </row>
    <row r="36998" customFormat="false" ht="15" hidden="false" customHeight="false" outlineLevel="0" collapsed="false">
      <c r="A36998" s="3" t="s">
        <v>559</v>
      </c>
      <c r="C36998" s="16" t="n">
        <f aca="false">SUMPRODUCT($G$36983:$K$36983,$G$36779:$K$36779)*(1+SUMPRODUCT($G$36983:$K$36983,$G$36771:$K$36771)*Assumptions!$C$16/12)</f>
        <v>0</v>
      </c>
    </row>
    <row r="36999" customFormat="false" ht="15" hidden="false" customHeight="false" outlineLevel="0" collapsed="false">
      <c r="A36999" s="3" t="s">
        <v>560</v>
      </c>
      <c r="C36999" s="16" t="n">
        <f aca="false">SUMPRODUCT($G$36983:$K$36983,$G$36792:$K$36792)*(1+SUMPRODUCT($G$36983:$K$36983,$G$36784:$K$36784)*Assumptions!$C$16/12)</f>
        <v>405.410640665075</v>
      </c>
    </row>
    <row r="37000" customFormat="false" ht="15" hidden="false" customHeight="false" outlineLevel="0" collapsed="false">
      <c r="A37000" s="3" t="s">
        <v>561</v>
      </c>
      <c r="C37000" s="16" t="n">
        <f aca="false">SUMPRODUCT($G$36983:$K$36983,$G$36805:$K$36805)*(1+SUMPRODUCT($G$36983:$K$36983,$G$36797:$K$36797)*Assumptions!$C$16/12)</f>
        <v>357.2625</v>
      </c>
    </row>
    <row r="37001" customFormat="false" ht="15" hidden="false" customHeight="false" outlineLevel="0" collapsed="false">
      <c r="A37001" s="3" t="s">
        <v>562</v>
      </c>
      <c r="C37001" s="16" t="n">
        <f aca="false">SUMPRODUCT($G$36983:$K$36983,$G$36818:$K$36818)*(1+SUMPRODUCT($G$36983:$K$36983,$G$36810:$K$36810)*Assumptions!$C$16/12)</f>
        <v>562.203125</v>
      </c>
    </row>
    <row r="37002" customFormat="false" ht="15" hidden="false" customHeight="false" outlineLevel="0" collapsed="false">
      <c r="A37002" s="3" t="s">
        <v>563</v>
      </c>
      <c r="C37002" s="16" t="n">
        <f aca="false">SUMPRODUCT($G$36983:$K$36983,$G$36831:$K$36831)*(1+SUMPRODUCT($G$36983:$K$36983,$G$36823:$K$36823)*Assumptions!$C$16/12)</f>
        <v>353.98125</v>
      </c>
    </row>
    <row r="37003" customFormat="false" ht="15" hidden="false" customHeight="false" outlineLevel="0" collapsed="false">
      <c r="A37003" s="3" t="s">
        <v>564</v>
      </c>
      <c r="C37003" s="16" t="n">
        <f aca="false">SUMPRODUCT($G$36983:$K$36983,$G$36844:$K$36844)*(1+SUMPRODUCT($G$36983:$K$36983,$G$36836:$K$36836)*Assumptions!$C$16/12)</f>
        <v>304.59375</v>
      </c>
    </row>
    <row r="37004" customFormat="false" ht="15" hidden="false" customHeight="false" outlineLevel="0" collapsed="false">
      <c r="A37004" s="3" t="s">
        <v>565</v>
      </c>
      <c r="C37004" s="16" t="n">
        <f aca="false">SUMPRODUCT($G$36983:$K$36983,$G$36857:$K$36857)*(1+SUMPRODUCT($G$36983:$K$36983,$G$36849:$K$36849)*Assumptions!$C$16/12)</f>
        <v>79.938509</v>
      </c>
    </row>
    <row r="37005" customFormat="false" ht="15" hidden="false" customHeight="false" outlineLevel="0" collapsed="false">
      <c r="A37005" s="24" t="s">
        <v>566</v>
      </c>
      <c r="B37005" s="25"/>
      <c r="C37005" s="25"/>
      <c r="D37005" s="25"/>
      <c r="E37005" s="25"/>
      <c r="F37005" s="25"/>
      <c r="G37005" s="25"/>
      <c r="H37005" s="25"/>
      <c r="I37005" s="25"/>
      <c r="J37005" s="25"/>
      <c r="K37005" s="25"/>
    </row>
    <row r="37006" customFormat="false" ht="15" hidden="false" customHeight="false" outlineLevel="0" collapsed="false">
      <c r="A37006" s="3" t="s">
        <v>556</v>
      </c>
      <c r="C37006" s="27" t="n">
        <f aca="false">Assumptions!$M$57</f>
        <v>1</v>
      </c>
    </row>
    <row r="37007" customFormat="false" ht="15" hidden="false" customHeight="false" outlineLevel="0" collapsed="false">
      <c r="A37007" s="3" t="s">
        <v>557</v>
      </c>
      <c r="C37007" s="27" t="n">
        <f aca="false">Assumptions!$M$58</f>
        <v>1</v>
      </c>
    </row>
    <row r="37008" customFormat="false" ht="15" hidden="false" customHeight="false" outlineLevel="0" collapsed="false">
      <c r="A37008" s="3" t="s">
        <v>558</v>
      </c>
      <c r="C37008" s="27" t="n">
        <f aca="false">Assumptions!$M$59</f>
        <v>1</v>
      </c>
    </row>
    <row r="37009" customFormat="false" ht="15" hidden="false" customHeight="false" outlineLevel="0" collapsed="false">
      <c r="A37009" s="3" t="s">
        <v>559</v>
      </c>
      <c r="C37009" s="27" t="n">
        <f aca="false">Assumptions!$M$60</f>
        <v>2</v>
      </c>
    </row>
    <row r="37010" customFormat="false" ht="15" hidden="false" customHeight="false" outlineLevel="0" collapsed="false">
      <c r="A37010" s="3" t="s">
        <v>560</v>
      </c>
      <c r="C37010" s="27" t="n">
        <f aca="false">Assumptions!$M$61</f>
        <v>2</v>
      </c>
    </row>
    <row r="37011" customFormat="false" ht="15" hidden="false" customHeight="false" outlineLevel="0" collapsed="false">
      <c r="A37011" s="3" t="s">
        <v>561</v>
      </c>
      <c r="C37011" s="27" t="n">
        <f aca="false">Assumptions!$M$62</f>
        <v>2</v>
      </c>
    </row>
    <row r="37012" customFormat="false" ht="15" hidden="false" customHeight="false" outlineLevel="0" collapsed="false">
      <c r="A37012" s="3" t="s">
        <v>562</v>
      </c>
      <c r="C37012" s="27" t="n">
        <f aca="false">Assumptions!$M$63</f>
        <v>2</v>
      </c>
    </row>
    <row r="37013" customFormat="false" ht="15" hidden="false" customHeight="false" outlineLevel="0" collapsed="false">
      <c r="A37013" s="3" t="s">
        <v>563</v>
      </c>
      <c r="C37013" s="27" t="n">
        <f aca="false">Assumptions!$M$64</f>
        <v>2</v>
      </c>
    </row>
    <row r="37014" customFormat="false" ht="15" hidden="false" customHeight="false" outlineLevel="0" collapsed="false">
      <c r="A37014" s="3" t="s">
        <v>564</v>
      </c>
      <c r="C37014" s="27" t="n">
        <f aca="false">Assumptions!$M$65</f>
        <v>2</v>
      </c>
    </row>
    <row r="37015" customFormat="false" ht="15" hidden="false" customHeight="false" outlineLevel="0" collapsed="false">
      <c r="A37015" s="3" t="s">
        <v>565</v>
      </c>
      <c r="C37015" s="27" t="n">
        <f aca="false">Assumptions!$M$66</f>
        <v>3</v>
      </c>
    </row>
    <row r="37016" customFormat="false" ht="15" hidden="false" customHeight="false" outlineLevel="0" collapsed="false">
      <c r="A37016" s="24" t="s">
        <v>567</v>
      </c>
      <c r="B37016" s="25"/>
      <c r="C37016" s="25"/>
      <c r="D37016" s="25"/>
      <c r="E37016" s="25"/>
      <c r="F37016" s="25"/>
      <c r="G37016" s="25"/>
      <c r="H37016" s="25"/>
      <c r="I37016" s="25"/>
      <c r="J37016" s="25"/>
      <c r="K37016" s="25"/>
    </row>
    <row r="37017" customFormat="false" ht="15" hidden="false" customHeight="false" outlineLevel="0" collapsed="false">
      <c r="A37017" s="3" t="s">
        <v>556</v>
      </c>
      <c r="C37017" s="33" t="n">
        <f aca="false">Assumptions!$Q$57</f>
        <v>0.3</v>
      </c>
    </row>
    <row r="37018" customFormat="false" ht="15" hidden="false" customHeight="false" outlineLevel="0" collapsed="false">
      <c r="A37018" s="3" t="s">
        <v>557</v>
      </c>
      <c r="C37018" s="33" t="n">
        <f aca="false">Assumptions!$Q$58</f>
        <v>0.033</v>
      </c>
    </row>
    <row r="37019" customFormat="false" ht="15" hidden="false" customHeight="false" outlineLevel="0" collapsed="false">
      <c r="A37019" s="3" t="s">
        <v>558</v>
      </c>
      <c r="C37019" s="33" t="n">
        <f aca="false">Assumptions!$Q$59</f>
        <v>0.021</v>
      </c>
    </row>
    <row r="37020" customFormat="false" ht="15" hidden="false" customHeight="false" outlineLevel="0" collapsed="false">
      <c r="A37020" s="3" t="s">
        <v>559</v>
      </c>
      <c r="C37020" s="33" t="n">
        <f aca="false">Assumptions!$Q$60</f>
        <v>0</v>
      </c>
    </row>
    <row r="37021" customFormat="false" ht="15" hidden="false" customHeight="false" outlineLevel="0" collapsed="false">
      <c r="A37021" s="3" t="s">
        <v>560</v>
      </c>
      <c r="C37021" s="33" t="n">
        <f aca="false">Assumptions!$Q$61</f>
        <v>0</v>
      </c>
    </row>
    <row r="37022" customFormat="false" ht="15" hidden="false" customHeight="false" outlineLevel="0" collapsed="false">
      <c r="A37022" s="3" t="s">
        <v>561</v>
      </c>
      <c r="C37022" s="33" t="n">
        <f aca="false">Assumptions!$Q$62</f>
        <v>0</v>
      </c>
    </row>
    <row r="37023" customFormat="false" ht="15" hidden="false" customHeight="false" outlineLevel="0" collapsed="false">
      <c r="A37023" s="3" t="s">
        <v>562</v>
      </c>
      <c r="C37023" s="33" t="n">
        <f aca="false">Assumptions!$Q$63</f>
        <v>0</v>
      </c>
    </row>
    <row r="37024" customFormat="false" ht="15" hidden="false" customHeight="false" outlineLevel="0" collapsed="false">
      <c r="A37024" s="3" t="s">
        <v>563</v>
      </c>
      <c r="C37024" s="33" t="n">
        <f aca="false">Assumptions!$Q$64</f>
        <v>0</v>
      </c>
    </row>
    <row r="37025" customFormat="false" ht="15" hidden="false" customHeight="false" outlineLevel="0" collapsed="false">
      <c r="A37025" s="3" t="s">
        <v>564</v>
      </c>
      <c r="C37025" s="33" t="n">
        <f aca="false">Assumptions!$Q$65</f>
        <v>0</v>
      </c>
    </row>
    <row r="37026" customFormat="false" ht="15" hidden="false" customHeight="false" outlineLevel="0" collapsed="false">
      <c r="A37026" s="3" t="s">
        <v>565</v>
      </c>
      <c r="C37026" s="33" t="n">
        <f aca="false">Assumptions!$Q$66</f>
        <v>0</v>
      </c>
    </row>
    <row r="37027" customFormat="false" ht="15" hidden="false" customHeight="false" outlineLevel="0" collapsed="false">
      <c r="A37027" s="24" t="s">
        <v>568</v>
      </c>
      <c r="B37027" s="25"/>
      <c r="C37027" s="25"/>
      <c r="D37027" s="25"/>
      <c r="E37027" s="25"/>
      <c r="F37027" s="25"/>
      <c r="G37027" s="25"/>
      <c r="H37027" s="25"/>
      <c r="I37027" s="25"/>
      <c r="J37027" s="25"/>
      <c r="K37027" s="25"/>
    </row>
    <row r="37028" customFormat="false" ht="15" hidden="false" customHeight="false" outlineLevel="0" collapsed="false">
      <c r="A37028" s="3" t="s">
        <v>556</v>
      </c>
      <c r="C37028" s="16" t="n">
        <f aca="false">IF(C37017&gt;0,MIN(C36995,C37017*$C$36993),0)</f>
        <v>402.29</v>
      </c>
    </row>
    <row r="37029" customFormat="false" ht="15" hidden="false" customHeight="false" outlineLevel="0" collapsed="false">
      <c r="A37029" s="3" t="s">
        <v>557</v>
      </c>
      <c r="C37029" s="16" t="n">
        <f aca="false">IF(C37018&gt;0,MIN(C36996,C37018*$C$36993),0)</f>
        <v>91.30725</v>
      </c>
    </row>
    <row r="37030" customFormat="false" ht="15" hidden="false" customHeight="false" outlineLevel="0" collapsed="false">
      <c r="A37030" s="3" t="s">
        <v>558</v>
      </c>
      <c r="C37030" s="16" t="n">
        <f aca="false">IF(C37019&gt;0,MIN(C36997,C37019*$C$36993),0)</f>
        <v>58.3715961</v>
      </c>
    </row>
    <row r="37031" customFormat="false" ht="15" hidden="false" customHeight="false" outlineLevel="0" collapsed="false">
      <c r="A37031" s="3" t="s">
        <v>559</v>
      </c>
      <c r="C37031" s="16" t="n">
        <f aca="false">IF(C37020&gt;0,MIN(C36998,C37020*$C$36993),0)</f>
        <v>0</v>
      </c>
    </row>
    <row r="37032" customFormat="false" ht="15" hidden="false" customHeight="false" outlineLevel="0" collapsed="false">
      <c r="A37032" s="3" t="s">
        <v>560</v>
      </c>
      <c r="C37032" s="16" t="n">
        <f aca="false">IF(C37021&gt;0,MIN(C36999,C37021*$C$36993),0)</f>
        <v>0</v>
      </c>
    </row>
    <row r="37033" customFormat="false" ht="15" hidden="false" customHeight="false" outlineLevel="0" collapsed="false">
      <c r="A37033" s="3" t="s">
        <v>561</v>
      </c>
      <c r="C37033" s="16" t="n">
        <f aca="false">IF(C37022&gt;0,MIN(C37000,C37022*$C$36993),0)</f>
        <v>0</v>
      </c>
    </row>
    <row r="37034" customFormat="false" ht="15" hidden="false" customHeight="false" outlineLevel="0" collapsed="false">
      <c r="A37034" s="3" t="s">
        <v>562</v>
      </c>
      <c r="C37034" s="16" t="n">
        <f aca="false">IF(C37023&gt;0,MIN(C37001,C37023*$C$36993),0)</f>
        <v>0</v>
      </c>
    </row>
    <row r="37035" customFormat="false" ht="15" hidden="false" customHeight="false" outlineLevel="0" collapsed="false">
      <c r="A37035" s="3" t="s">
        <v>563</v>
      </c>
      <c r="C37035" s="16" t="n">
        <f aca="false">IF(C37024&gt;0,MIN(C37002,C37024*$C$36993),0)</f>
        <v>0</v>
      </c>
    </row>
    <row r="37036" customFormat="false" ht="15" hidden="false" customHeight="false" outlineLevel="0" collapsed="false">
      <c r="A37036" s="3" t="s">
        <v>564</v>
      </c>
      <c r="C37036" s="16" t="n">
        <f aca="false">IF(C37025&gt;0,MIN(C37003,C37025*$C$36993),0)</f>
        <v>0</v>
      </c>
    </row>
    <row r="37037" customFormat="false" ht="15" hidden="false" customHeight="false" outlineLevel="0" collapsed="false">
      <c r="A37037" s="3" t="s">
        <v>565</v>
      </c>
      <c r="C37037" s="16" t="n">
        <f aca="false">IF(C37026&gt;0,MIN(C37004,C37026*$C$36993),0)</f>
        <v>0</v>
      </c>
    </row>
    <row r="37038" customFormat="false" ht="15" hidden="false" customHeight="false" outlineLevel="0" collapsed="false">
      <c r="A37038" s="24" t="s">
        <v>569</v>
      </c>
      <c r="B37038" s="25"/>
      <c r="C37038" s="25"/>
      <c r="D37038" s="25"/>
      <c r="E37038" s="25"/>
      <c r="F37038" s="25"/>
      <c r="G37038" s="25"/>
      <c r="H37038" s="25"/>
      <c r="I37038" s="25"/>
      <c r="J37038" s="25"/>
      <c r="K37038" s="25"/>
    </row>
    <row r="37039" customFormat="false" ht="15" hidden="false" customHeight="false" outlineLevel="0" collapsed="false">
      <c r="A37039" s="3" t="s">
        <v>556</v>
      </c>
      <c r="C37039" s="16" t="n">
        <f aca="false">IF(C37017&gt;0,C36995-C37028,0)</f>
        <v>0</v>
      </c>
      <c r="G37039" s="21" t="n">
        <f aca="false">IF(AND(G36730=1,G36727=1),1,0)</f>
        <v>0</v>
      </c>
      <c r="H37039" s="21" t="n">
        <f aca="false">IF(G37039=1,1,IF(AND(H36730=1,H36727=1),1,0))</f>
        <v>0</v>
      </c>
      <c r="I37039" s="21" t="n">
        <f aca="false">IF(H37039=1,1,IF(AND(I36730=1,I36727=1),1,0))</f>
        <v>0</v>
      </c>
      <c r="J37039" s="21" t="n">
        <f aca="false">IF(I37039=1,1,IF(AND(J36730=1,J36727=1),1,0))</f>
        <v>0</v>
      </c>
      <c r="K37039" s="21" t="n">
        <f aca="false">IF(J37039=1,1,IF(AND(K36730=1,K36727=1),1,0))</f>
        <v>0</v>
      </c>
    </row>
    <row r="37040" customFormat="false" ht="15" hidden="false" customHeight="false" outlineLevel="0" collapsed="false">
      <c r="A37040" s="3" t="s">
        <v>557</v>
      </c>
      <c r="C37040" s="16" t="n">
        <f aca="false">IF(C37018&gt;0,C36996-C37029,0)</f>
        <v>0</v>
      </c>
      <c r="G37040" s="21" t="n">
        <f aca="false">IF(AND(G36743=1,G36727=1),1,0)</f>
        <v>0</v>
      </c>
      <c r="H37040" s="21" t="n">
        <f aca="false">IF(G37040=1,1,IF(AND(H36743=1,H36727=1),1,0))</f>
        <v>0</v>
      </c>
      <c r="I37040" s="21" t="n">
        <f aca="false">IF(H37040=1,1,IF(AND(I36743=1,I36727=1),1,0))</f>
        <v>0</v>
      </c>
      <c r="J37040" s="21" t="n">
        <f aca="false">IF(I37040=1,1,IF(AND(J36743=1,J36727=1),1,0))</f>
        <v>0</v>
      </c>
      <c r="K37040" s="21" t="n">
        <f aca="false">IF(J37040=1,1,IF(AND(K36743=1,K36727=1),1,0))</f>
        <v>0</v>
      </c>
    </row>
    <row r="37041" customFormat="false" ht="15" hidden="false" customHeight="false" outlineLevel="0" collapsed="false">
      <c r="A37041" s="3" t="s">
        <v>558</v>
      </c>
      <c r="C37041" s="16" t="n">
        <f aca="false">IF(C37019&gt;0,C36997-C37030,0)</f>
        <v>0</v>
      </c>
      <c r="G37041" s="21" t="n">
        <f aca="false">IF(AND(G36756=1,G36727=1),1,0)</f>
        <v>0</v>
      </c>
      <c r="H37041" s="21" t="n">
        <f aca="false">IF(G37041=1,1,IF(AND(H36756=1,H36727=1),1,0))</f>
        <v>0</v>
      </c>
      <c r="I37041" s="21" t="n">
        <f aca="false">IF(H37041=1,1,IF(AND(I36756=1,I36727=1),1,0))</f>
        <v>0</v>
      </c>
      <c r="J37041" s="21" t="n">
        <f aca="false">IF(I37041=1,1,IF(AND(J36756=1,J36727=1),1,0))</f>
        <v>0</v>
      </c>
      <c r="K37041" s="21" t="n">
        <f aca="false">IF(J37041=1,1,IF(AND(K36756=1,K36727=1),1,0))</f>
        <v>0</v>
      </c>
    </row>
    <row r="37042" customFormat="false" ht="15" hidden="false" customHeight="false" outlineLevel="0" collapsed="false">
      <c r="A37042" s="3" t="s">
        <v>559</v>
      </c>
      <c r="C37042" s="16" t="n">
        <f aca="false">IF(C37020&gt;0,C36998-C37031,0)</f>
        <v>0</v>
      </c>
      <c r="G37042" s="21" t="n">
        <f aca="false">IF(AND(G36769=1,G36727=1),1,0)</f>
        <v>0</v>
      </c>
      <c r="H37042" s="21" t="n">
        <f aca="false">IF(G37042=1,1,IF(AND(H36769=1,H36727=1),1,0))</f>
        <v>0</v>
      </c>
      <c r="I37042" s="21" t="n">
        <f aca="false">IF(H37042=1,1,IF(AND(I36769=1,I36727=1),1,0))</f>
        <v>0</v>
      </c>
      <c r="J37042" s="21" t="n">
        <f aca="false">IF(I37042=1,1,IF(AND(J36769=1,J36727=1),1,0))</f>
        <v>0</v>
      </c>
      <c r="K37042" s="21" t="n">
        <f aca="false">IF(J37042=1,1,IF(AND(K36769=1,K36727=1),1,0))</f>
        <v>0</v>
      </c>
    </row>
    <row r="37043" customFormat="false" ht="15" hidden="false" customHeight="false" outlineLevel="0" collapsed="false">
      <c r="A37043" s="3" t="s">
        <v>560</v>
      </c>
      <c r="C37043" s="16" t="n">
        <f aca="false">IF(C37021&gt;0,C36999-C37032,0)</f>
        <v>0</v>
      </c>
      <c r="G37043" s="21" t="n">
        <f aca="false">IF(AND(G36782=1,G36727=1),1,0)</f>
        <v>0</v>
      </c>
      <c r="H37043" s="21" t="n">
        <f aca="false">IF(G37043=1,1,IF(AND(H36782=1,H36727=1),1,0))</f>
        <v>0</v>
      </c>
      <c r="I37043" s="21" t="n">
        <f aca="false">IF(H37043=1,1,IF(AND(I36782=1,I36727=1),1,0))</f>
        <v>0</v>
      </c>
      <c r="J37043" s="21" t="n">
        <f aca="false">IF(I37043=1,1,IF(AND(J36782=1,J36727=1),1,0))</f>
        <v>0</v>
      </c>
      <c r="K37043" s="21" t="n">
        <f aca="false">IF(J37043=1,1,IF(AND(K36782=1,K36727=1),1,0))</f>
        <v>0</v>
      </c>
    </row>
    <row r="37044" customFormat="false" ht="15" hidden="false" customHeight="false" outlineLevel="0" collapsed="false">
      <c r="A37044" s="3" t="s">
        <v>561</v>
      </c>
      <c r="C37044" s="16" t="n">
        <f aca="false">IF(C37022&gt;0,C37000-C37033,0)</f>
        <v>0</v>
      </c>
      <c r="G37044" s="21" t="n">
        <f aca="false">IF(AND(G36795=1,G36727=1),1,0)</f>
        <v>0</v>
      </c>
      <c r="H37044" s="21" t="n">
        <f aca="false">IF(G37044=1,1,IF(AND(H36795=1,H36727=1),1,0))</f>
        <v>0</v>
      </c>
      <c r="I37044" s="21" t="n">
        <f aca="false">IF(H37044=1,1,IF(AND(I36795=1,I36727=1),1,0))</f>
        <v>0</v>
      </c>
      <c r="J37044" s="21" t="n">
        <f aca="false">IF(I37044=1,1,IF(AND(J36795=1,J36727=1),1,0))</f>
        <v>0</v>
      </c>
      <c r="K37044" s="21" t="n">
        <f aca="false">IF(J37044=1,1,IF(AND(K36795=1,K36727=1),1,0))</f>
        <v>0</v>
      </c>
    </row>
    <row r="37045" customFormat="false" ht="15" hidden="false" customHeight="false" outlineLevel="0" collapsed="false">
      <c r="A37045" s="3" t="s">
        <v>562</v>
      </c>
      <c r="C37045" s="16" t="n">
        <f aca="false">IF(C37023&gt;0,C37001-C37034,0)</f>
        <v>0</v>
      </c>
      <c r="G37045" s="21" t="n">
        <f aca="false">IF(AND(G36808=1,G36727=1),1,0)</f>
        <v>0</v>
      </c>
      <c r="H37045" s="21" t="n">
        <f aca="false">IF(G37045=1,1,IF(AND(H36808=1,H36727=1),1,0))</f>
        <v>0</v>
      </c>
      <c r="I37045" s="21" t="n">
        <f aca="false">IF(H37045=1,1,IF(AND(I36808=1,I36727=1),1,0))</f>
        <v>0</v>
      </c>
      <c r="J37045" s="21" t="n">
        <f aca="false">IF(I37045=1,1,IF(AND(J36808=1,J36727=1),1,0))</f>
        <v>0</v>
      </c>
      <c r="K37045" s="21" t="n">
        <f aca="false">IF(J37045=1,1,IF(AND(K36808=1,K36727=1),1,0))</f>
        <v>0</v>
      </c>
    </row>
    <row r="37046" customFormat="false" ht="15" hidden="false" customHeight="false" outlineLevel="0" collapsed="false">
      <c r="A37046" s="3" t="s">
        <v>563</v>
      </c>
      <c r="C37046" s="16" t="n">
        <f aca="false">IF(C37024&gt;0,C37002-C37035,0)</f>
        <v>0</v>
      </c>
      <c r="G37046" s="21" t="n">
        <f aca="false">IF(AND(G36821=1,G36727=1),1,0)</f>
        <v>0</v>
      </c>
      <c r="H37046" s="21" t="n">
        <f aca="false">IF(G37046=1,1,IF(AND(H36821=1,H36727=1),1,0))</f>
        <v>0</v>
      </c>
      <c r="I37046" s="21" t="n">
        <f aca="false">IF(H37046=1,1,IF(AND(I36821=1,I36727=1),1,0))</f>
        <v>0</v>
      </c>
      <c r="J37046" s="21" t="n">
        <f aca="false">IF(I37046=1,1,IF(AND(J36821=1,J36727=1),1,0))</f>
        <v>0</v>
      </c>
      <c r="K37046" s="21" t="n">
        <f aca="false">IF(J37046=1,1,IF(AND(K36821=1,K36727=1),1,0))</f>
        <v>0</v>
      </c>
    </row>
    <row r="37047" customFormat="false" ht="15" hidden="false" customHeight="false" outlineLevel="0" collapsed="false">
      <c r="A37047" s="3" t="s">
        <v>564</v>
      </c>
      <c r="C37047" s="16" t="n">
        <f aca="false">IF(C37025&gt;0,C37003-C37036,0)</f>
        <v>0</v>
      </c>
      <c r="G37047" s="21" t="n">
        <f aca="false">IF(AND(G36834=1,G36727=1),1,0)</f>
        <v>0</v>
      </c>
      <c r="H37047" s="21" t="n">
        <f aca="false">IF(G37047=1,1,IF(AND(H36834=1,H36727=1),1,0))</f>
        <v>0</v>
      </c>
      <c r="I37047" s="21" t="n">
        <f aca="false">IF(H37047=1,1,IF(AND(I36834=1,I36727=1),1,0))</f>
        <v>0</v>
      </c>
      <c r="J37047" s="21" t="n">
        <f aca="false">IF(I37047=1,1,IF(AND(J36834=1,J36727=1),1,0))</f>
        <v>0</v>
      </c>
      <c r="K37047" s="21" t="n">
        <f aca="false">IF(J37047=1,1,IF(AND(K36834=1,K36727=1),1,0))</f>
        <v>0</v>
      </c>
    </row>
    <row r="37048" customFormat="false" ht="15" hidden="false" customHeight="false" outlineLevel="0" collapsed="false">
      <c r="A37048" s="3" t="s">
        <v>565</v>
      </c>
      <c r="C37048" s="16" t="n">
        <f aca="false">IF(C37026&gt;0,C37004-C37037,0)</f>
        <v>0</v>
      </c>
      <c r="G37048" s="21" t="n">
        <f aca="false">IF(AND(G36847=1,G36727=1),1,0)</f>
        <v>0</v>
      </c>
      <c r="H37048" s="21" t="n">
        <f aca="false">IF(G37048=1,1,IF(AND(H36847=1,H36727=1),1,0))</f>
        <v>0</v>
      </c>
      <c r="I37048" s="21" t="n">
        <f aca="false">IF(H37048=1,1,IF(AND(I36847=1,I36727=1),1,0))</f>
        <v>0</v>
      </c>
      <c r="J37048" s="21" t="n">
        <f aca="false">IF(I37048=1,1,IF(AND(J36847=1,J36727=1),1,0))</f>
        <v>0</v>
      </c>
      <c r="K37048" s="21" t="n">
        <f aca="false">IF(J37048=1,1,IF(AND(K36847=1,K36727=1),1,0))</f>
        <v>0</v>
      </c>
    </row>
    <row r="37049" customFormat="false" ht="15" hidden="false" customHeight="false" outlineLevel="0" collapsed="false">
      <c r="A37049" s="24" t="s">
        <v>570</v>
      </c>
      <c r="B37049" s="25"/>
      <c r="C37049" s="25"/>
      <c r="D37049" s="25"/>
      <c r="E37049" s="25"/>
      <c r="F37049" s="25"/>
      <c r="G37049" s="25"/>
      <c r="H37049" s="25"/>
      <c r="I37049" s="25"/>
      <c r="J37049" s="25"/>
      <c r="K37049" s="25"/>
    </row>
    <row r="37050" customFormat="false" ht="15" hidden="false" customHeight="false" outlineLevel="0" collapsed="false">
      <c r="A37050" s="3" t="s">
        <v>556</v>
      </c>
      <c r="C37050" s="16" t="n">
        <f aca="false">IF(C37017&gt;0,C37039,C36995)</f>
        <v>0</v>
      </c>
    </row>
    <row r="37051" customFormat="false" ht="15" hidden="false" customHeight="false" outlineLevel="0" collapsed="false">
      <c r="A37051" s="3" t="s">
        <v>557</v>
      </c>
      <c r="C37051" s="16" t="n">
        <f aca="false">IF(C37018&gt;0,C37040,C36996)</f>
        <v>0</v>
      </c>
    </row>
    <row r="37052" customFormat="false" ht="15" hidden="false" customHeight="false" outlineLevel="0" collapsed="false">
      <c r="A37052" s="3" t="s">
        <v>558</v>
      </c>
      <c r="C37052" s="16" t="n">
        <f aca="false">IF(C37019&gt;0,C37041,C36997)</f>
        <v>0</v>
      </c>
    </row>
    <row r="37053" customFormat="false" ht="15" hidden="false" customHeight="false" outlineLevel="0" collapsed="false">
      <c r="A37053" s="3" t="s">
        <v>559</v>
      </c>
      <c r="C37053" s="16" t="n">
        <f aca="false">IF(C37020&gt;0,C37042,C36998)</f>
        <v>0</v>
      </c>
    </row>
    <row r="37054" customFormat="false" ht="15" hidden="false" customHeight="false" outlineLevel="0" collapsed="false">
      <c r="A37054" s="3" t="s">
        <v>560</v>
      </c>
      <c r="C37054" s="16" t="n">
        <f aca="false">IF(C37021&gt;0,C37043,C36999)</f>
        <v>405.410640665075</v>
      </c>
    </row>
    <row r="37055" customFormat="false" ht="15" hidden="false" customHeight="false" outlineLevel="0" collapsed="false">
      <c r="A37055" s="3" t="s">
        <v>561</v>
      </c>
      <c r="C37055" s="16" t="n">
        <f aca="false">IF(C37022&gt;0,C37044,C37000)</f>
        <v>357.2625</v>
      </c>
    </row>
    <row r="37056" customFormat="false" ht="15" hidden="false" customHeight="false" outlineLevel="0" collapsed="false">
      <c r="A37056" s="3" t="s">
        <v>562</v>
      </c>
      <c r="C37056" s="16" t="n">
        <f aca="false">IF(C37023&gt;0,C37045,C37001)</f>
        <v>562.203125</v>
      </c>
    </row>
    <row r="37057" customFormat="false" ht="15" hidden="false" customHeight="false" outlineLevel="0" collapsed="false">
      <c r="A37057" s="3" t="s">
        <v>563</v>
      </c>
      <c r="C37057" s="16" t="n">
        <f aca="false">IF(C37024&gt;0,C37046,C37002)</f>
        <v>353.98125</v>
      </c>
    </row>
    <row r="37058" customFormat="false" ht="15" hidden="false" customHeight="false" outlineLevel="0" collapsed="false">
      <c r="A37058" s="3" t="s">
        <v>564</v>
      </c>
      <c r="C37058" s="16" t="n">
        <f aca="false">IF(C37025&gt;0,C37047,C37003)</f>
        <v>304.59375</v>
      </c>
    </row>
    <row r="37059" customFormat="false" ht="15" hidden="false" customHeight="false" outlineLevel="0" collapsed="false">
      <c r="A37059" s="3" t="s">
        <v>565</v>
      </c>
      <c r="C37059" s="16" t="n">
        <f aca="false">IF(C37026&gt;0,C37048,C37004)</f>
        <v>79.938509</v>
      </c>
    </row>
    <row r="37060" customFormat="false" ht="15" hidden="false" customHeight="false" outlineLevel="0" collapsed="false">
      <c r="A37060" s="24" t="s">
        <v>571</v>
      </c>
      <c r="B37060" s="25"/>
      <c r="C37060" s="25"/>
      <c r="D37060" s="25"/>
      <c r="E37060" s="25"/>
      <c r="F37060" s="25"/>
      <c r="G37060" s="25"/>
      <c r="H37060" s="25"/>
      <c r="I37060" s="25"/>
      <c r="J37060" s="25"/>
      <c r="K37060" s="25"/>
    </row>
    <row r="37061" customFormat="false" ht="15" hidden="false" customHeight="false" outlineLevel="0" collapsed="false">
      <c r="A37061" s="3" t="s">
        <v>556</v>
      </c>
      <c r="C37061" s="21" t="n">
        <f aca="false">IF(C37017&gt;0,Assumptions!$C$17,C37006)</f>
        <v>99</v>
      </c>
    </row>
    <row r="37062" customFormat="false" ht="15" hidden="false" customHeight="false" outlineLevel="0" collapsed="false">
      <c r="A37062" s="3" t="s">
        <v>557</v>
      </c>
      <c r="C37062" s="21" t="n">
        <f aca="false">IF(C37018&gt;0,Assumptions!$C$17,C37007)</f>
        <v>99</v>
      </c>
    </row>
    <row r="37063" customFormat="false" ht="15" hidden="false" customHeight="false" outlineLevel="0" collapsed="false">
      <c r="A37063" s="3" t="s">
        <v>558</v>
      </c>
      <c r="C37063" s="21" t="n">
        <f aca="false">IF(C37019&gt;0,Assumptions!$C$17,C37008)</f>
        <v>99</v>
      </c>
    </row>
    <row r="37064" customFormat="false" ht="15" hidden="false" customHeight="false" outlineLevel="0" collapsed="false">
      <c r="A37064" s="3" t="s">
        <v>559</v>
      </c>
      <c r="C37064" s="21" t="n">
        <f aca="false">IF(C37020&gt;0,Assumptions!$C$17,C37009)</f>
        <v>2</v>
      </c>
    </row>
    <row r="37065" customFormat="false" ht="15" hidden="false" customHeight="false" outlineLevel="0" collapsed="false">
      <c r="A37065" s="3" t="s">
        <v>560</v>
      </c>
      <c r="C37065" s="21" t="n">
        <f aca="false">IF(C37021&gt;0,Assumptions!$C$17,C37010)</f>
        <v>2</v>
      </c>
    </row>
    <row r="37066" customFormat="false" ht="15" hidden="false" customHeight="false" outlineLevel="0" collapsed="false">
      <c r="A37066" s="3" t="s">
        <v>561</v>
      </c>
      <c r="C37066" s="21" t="n">
        <f aca="false">IF(C37022&gt;0,Assumptions!$C$17,C37011)</f>
        <v>2</v>
      </c>
    </row>
    <row r="37067" customFormat="false" ht="15" hidden="false" customHeight="false" outlineLevel="0" collapsed="false">
      <c r="A37067" s="3" t="s">
        <v>562</v>
      </c>
      <c r="C37067" s="21" t="n">
        <f aca="false">IF(C37023&gt;0,Assumptions!$C$17,C37012)</f>
        <v>2</v>
      </c>
    </row>
    <row r="37068" customFormat="false" ht="15" hidden="false" customHeight="false" outlineLevel="0" collapsed="false">
      <c r="A37068" s="3" t="s">
        <v>563</v>
      </c>
      <c r="C37068" s="21" t="n">
        <f aca="false">IF(C37024&gt;0,Assumptions!$C$17,C37013)</f>
        <v>2</v>
      </c>
    </row>
    <row r="37069" customFormat="false" ht="15" hidden="false" customHeight="false" outlineLevel="0" collapsed="false">
      <c r="A37069" s="3" t="s">
        <v>564</v>
      </c>
      <c r="C37069" s="21" t="n">
        <f aca="false">IF(C37025&gt;0,Assumptions!$C$17,C37014)</f>
        <v>2</v>
      </c>
    </row>
    <row r="37070" customFormat="false" ht="15" hidden="false" customHeight="false" outlineLevel="0" collapsed="false">
      <c r="A37070" s="3" t="s">
        <v>565</v>
      </c>
      <c r="C37070" s="21" t="n">
        <f aca="false">IF(C37026&gt;0,Assumptions!$C$17,C37015)</f>
        <v>3</v>
      </c>
    </row>
    <row r="37071" customFormat="false" ht="15" hidden="false" customHeight="false" outlineLevel="0" collapsed="false">
      <c r="A37071" s="24" t="s">
        <v>572</v>
      </c>
      <c r="B37071" s="25"/>
      <c r="C37071" s="25"/>
      <c r="D37071" s="25"/>
      <c r="E37071" s="25"/>
      <c r="F37071" s="25"/>
      <c r="G37071" s="25"/>
      <c r="H37071" s="25"/>
      <c r="I37071" s="25"/>
      <c r="J37071" s="25"/>
      <c r="K37071" s="25"/>
    </row>
    <row r="37072" customFormat="false" ht="15" hidden="false" customHeight="false" outlineLevel="0" collapsed="false">
      <c r="A37072" s="3" t="s">
        <v>556</v>
      </c>
      <c r="C37072" s="16" t="n">
        <f aca="false">SUMPRODUCT(($C$37061:$C$37070&lt;C37061)*$C$37050:$C$37059)</f>
        <v>2063.38977466508</v>
      </c>
    </row>
    <row r="37073" customFormat="false" ht="15" hidden="false" customHeight="false" outlineLevel="0" collapsed="false">
      <c r="A37073" s="3" t="s">
        <v>557</v>
      </c>
      <c r="C37073" s="16" t="n">
        <f aca="false">SUMPRODUCT(($C$37061:$C$37070&lt;C37062)*$C$37050:$C$37059)</f>
        <v>2063.38977466508</v>
      </c>
    </row>
    <row r="37074" customFormat="false" ht="15" hidden="false" customHeight="false" outlineLevel="0" collapsed="false">
      <c r="A37074" s="3" t="s">
        <v>558</v>
      </c>
      <c r="C37074" s="16" t="n">
        <f aca="false">SUMPRODUCT(($C$37061:$C$37070&lt;C37063)*$C$37050:$C$37059)</f>
        <v>2063.38977466508</v>
      </c>
    </row>
    <row r="37075" customFormat="false" ht="15" hidden="false" customHeight="false" outlineLevel="0" collapsed="false">
      <c r="A37075" s="3" t="s">
        <v>559</v>
      </c>
      <c r="C37075" s="16" t="n">
        <f aca="false">SUMPRODUCT(($C$37061:$C$37070&lt;C37064)*$C$37050:$C$37059)</f>
        <v>0</v>
      </c>
    </row>
    <row r="37076" customFormat="false" ht="15" hidden="false" customHeight="false" outlineLevel="0" collapsed="false">
      <c r="A37076" s="3" t="s">
        <v>560</v>
      </c>
      <c r="C37076" s="16" t="n">
        <f aca="false">SUMPRODUCT(($C$37061:$C$37070&lt;C37065)*$C$37050:$C$37059)</f>
        <v>0</v>
      </c>
    </row>
    <row r="37077" customFormat="false" ht="15" hidden="false" customHeight="false" outlineLevel="0" collapsed="false">
      <c r="A37077" s="3" t="s">
        <v>561</v>
      </c>
      <c r="C37077" s="16" t="n">
        <f aca="false">SUMPRODUCT(($C$37061:$C$37070&lt;C37066)*$C$37050:$C$37059)</f>
        <v>0</v>
      </c>
    </row>
    <row r="37078" customFormat="false" ht="15" hidden="false" customHeight="false" outlineLevel="0" collapsed="false">
      <c r="A37078" s="3" t="s">
        <v>562</v>
      </c>
      <c r="C37078" s="16" t="n">
        <f aca="false">SUMPRODUCT(($C$37061:$C$37070&lt;C37067)*$C$37050:$C$37059)</f>
        <v>0</v>
      </c>
    </row>
    <row r="37079" customFormat="false" ht="15" hidden="false" customHeight="false" outlineLevel="0" collapsed="false">
      <c r="A37079" s="3" t="s">
        <v>563</v>
      </c>
      <c r="C37079" s="16" t="n">
        <f aca="false">SUMPRODUCT(($C$37061:$C$37070&lt;C37068)*$C$37050:$C$37059)</f>
        <v>0</v>
      </c>
    </row>
    <row r="37080" customFormat="false" ht="15" hidden="false" customHeight="false" outlineLevel="0" collapsed="false">
      <c r="A37080" s="3" t="s">
        <v>564</v>
      </c>
      <c r="C37080" s="16" t="n">
        <f aca="false">SUMPRODUCT(($C$37061:$C$37070&lt;C37069)*$C$37050:$C$37059)</f>
        <v>0</v>
      </c>
    </row>
    <row r="37081" customFormat="false" ht="15" hidden="false" customHeight="false" outlineLevel="0" collapsed="false">
      <c r="A37081" s="3" t="s">
        <v>565</v>
      </c>
      <c r="C37081" s="16" t="n">
        <f aca="false">SUMPRODUCT(($C$37061:$C$37070&lt;C37070)*$C$37050:$C$37059)</f>
        <v>1983.45126566508</v>
      </c>
    </row>
    <row r="37082" customFormat="false" ht="15" hidden="false" customHeight="false" outlineLevel="0" collapsed="false">
      <c r="A37082" s="24" t="s">
        <v>573</v>
      </c>
      <c r="B37082" s="25"/>
      <c r="C37082" s="25"/>
      <c r="D37082" s="25"/>
      <c r="E37082" s="25"/>
      <c r="F37082" s="25"/>
      <c r="G37082" s="25"/>
      <c r="H37082" s="25"/>
      <c r="I37082" s="25"/>
      <c r="J37082" s="25"/>
      <c r="K37082" s="25"/>
    </row>
    <row r="37083" customFormat="false" ht="15" hidden="false" customHeight="false" outlineLevel="0" collapsed="false">
      <c r="A37083" s="3" t="s">
        <v>556</v>
      </c>
      <c r="C37083" s="16" t="n">
        <f aca="false">SUMPRODUCT(($C$37061:$C$37070=C37061)*$C$37050:$C$37059)</f>
        <v>0</v>
      </c>
    </row>
    <row r="37084" customFormat="false" ht="15" hidden="false" customHeight="false" outlineLevel="0" collapsed="false">
      <c r="A37084" s="3" t="s">
        <v>557</v>
      </c>
      <c r="C37084" s="16" t="n">
        <f aca="false">SUMPRODUCT(($C$37061:$C$37070=C37062)*$C$37050:$C$37059)</f>
        <v>0</v>
      </c>
    </row>
    <row r="37085" customFormat="false" ht="15" hidden="false" customHeight="false" outlineLevel="0" collapsed="false">
      <c r="A37085" s="3" t="s">
        <v>558</v>
      </c>
      <c r="C37085" s="16" t="n">
        <f aca="false">SUMPRODUCT(($C$37061:$C$37070=C37063)*$C$37050:$C$37059)</f>
        <v>0</v>
      </c>
    </row>
    <row r="37086" customFormat="false" ht="15" hidden="false" customHeight="false" outlineLevel="0" collapsed="false">
      <c r="A37086" s="3" t="s">
        <v>559</v>
      </c>
      <c r="C37086" s="16" t="n">
        <f aca="false">SUMPRODUCT(($C$37061:$C$37070=C37064)*$C$37050:$C$37059)</f>
        <v>1983.45126566508</v>
      </c>
    </row>
    <row r="37087" customFormat="false" ht="15" hidden="false" customHeight="false" outlineLevel="0" collapsed="false">
      <c r="A37087" s="3" t="s">
        <v>560</v>
      </c>
      <c r="C37087" s="16" t="n">
        <f aca="false">SUMPRODUCT(($C$37061:$C$37070=C37065)*$C$37050:$C$37059)</f>
        <v>1983.45126566508</v>
      </c>
    </row>
    <row r="37088" customFormat="false" ht="15" hidden="false" customHeight="false" outlineLevel="0" collapsed="false">
      <c r="A37088" s="3" t="s">
        <v>561</v>
      </c>
      <c r="C37088" s="16" t="n">
        <f aca="false">SUMPRODUCT(($C$37061:$C$37070=C37066)*$C$37050:$C$37059)</f>
        <v>1983.45126566508</v>
      </c>
    </row>
    <row r="37089" customFormat="false" ht="15" hidden="false" customHeight="false" outlineLevel="0" collapsed="false">
      <c r="A37089" s="3" t="s">
        <v>562</v>
      </c>
      <c r="C37089" s="16" t="n">
        <f aca="false">SUMPRODUCT(($C$37061:$C$37070=C37067)*$C$37050:$C$37059)</f>
        <v>1983.45126566508</v>
      </c>
    </row>
    <row r="37090" customFormat="false" ht="15" hidden="false" customHeight="false" outlineLevel="0" collapsed="false">
      <c r="A37090" s="3" t="s">
        <v>563</v>
      </c>
      <c r="C37090" s="16" t="n">
        <f aca="false">SUMPRODUCT(($C$37061:$C$37070=C37068)*$C$37050:$C$37059)</f>
        <v>1983.45126566508</v>
      </c>
    </row>
    <row r="37091" customFormat="false" ht="15" hidden="false" customHeight="false" outlineLevel="0" collapsed="false">
      <c r="A37091" s="3" t="s">
        <v>564</v>
      </c>
      <c r="C37091" s="16" t="n">
        <f aca="false">SUMPRODUCT(($C$37061:$C$37070=C37069)*$C$37050:$C$37059)</f>
        <v>1983.45126566508</v>
      </c>
    </row>
    <row r="37092" customFormat="false" ht="15" hidden="false" customHeight="false" outlineLevel="0" collapsed="false">
      <c r="A37092" s="3" t="s">
        <v>565</v>
      </c>
      <c r="C37092" s="16" t="n">
        <f aca="false">SUMPRODUCT(($C$37061:$C$37070=C37070)*$C$37050:$C$37059)</f>
        <v>79.938509</v>
      </c>
    </row>
    <row r="37093" customFormat="false" ht="15" hidden="false" customHeight="false" outlineLevel="0" collapsed="false">
      <c r="A37093" s="24" t="s">
        <v>574</v>
      </c>
      <c r="B37093" s="25"/>
      <c r="C37093" s="25"/>
      <c r="D37093" s="25"/>
      <c r="E37093" s="25"/>
      <c r="F37093" s="25"/>
      <c r="G37093" s="25"/>
      <c r="H37093" s="25"/>
      <c r="I37093" s="25"/>
      <c r="J37093" s="25"/>
      <c r="K37093" s="25"/>
    </row>
    <row r="37094" customFormat="false" ht="15" hidden="false" customHeight="false" outlineLevel="0" collapsed="false">
      <c r="A37094" s="3" t="s">
        <v>556</v>
      </c>
      <c r="C37094" s="16" t="n">
        <f aca="false">IF(C37083=0,0,C37050/C37083*MAX(0,MIN(C37083,$C$36993-SUM($C$37028:$C$37037)-C37072)))</f>
        <v>0</v>
      </c>
    </row>
    <row r="37095" customFormat="false" ht="15" hidden="false" customHeight="false" outlineLevel="0" collapsed="false">
      <c r="A37095" s="3" t="s">
        <v>557</v>
      </c>
      <c r="C37095" s="16" t="n">
        <f aca="false">IF(C37084=0,0,C37051/C37084*MAX(0,MIN(C37084,$C$36993-SUM($C$37028:$C$37037)-C37073)))</f>
        <v>0</v>
      </c>
    </row>
    <row r="37096" customFormat="false" ht="15" hidden="false" customHeight="false" outlineLevel="0" collapsed="false">
      <c r="A37096" s="3" t="s">
        <v>558</v>
      </c>
      <c r="C37096" s="16" t="n">
        <f aca="false">IF(C37085=0,0,C37052/C37085*MAX(0,MIN(C37085,$C$36993-SUM($C$37028:$C$37037)-C37074)))</f>
        <v>0</v>
      </c>
    </row>
    <row r="37097" customFormat="false" ht="15" hidden="false" customHeight="false" outlineLevel="0" collapsed="false">
      <c r="A37097" s="3" t="s">
        <v>559</v>
      </c>
      <c r="C37097" s="16" t="n">
        <f aca="false">IF(C37086=0,0,C37053/C37086*MAX(0,MIN(C37086,$C$36993-SUM($C$37028:$C$37037)-C37075)))</f>
        <v>0</v>
      </c>
    </row>
    <row r="37098" customFormat="false" ht="15" hidden="false" customHeight="false" outlineLevel="0" collapsed="false">
      <c r="A37098" s="3" t="s">
        <v>560</v>
      </c>
      <c r="C37098" s="16" t="n">
        <f aca="false">IF(C37087=0,0,C37054/C37087*MAX(0,MIN(C37087,$C$36993-SUM($C$37028:$C$37037)-C37076)))</f>
        <v>405.410640665075</v>
      </c>
    </row>
    <row r="37099" customFormat="false" ht="15" hidden="false" customHeight="false" outlineLevel="0" collapsed="false">
      <c r="A37099" s="3" t="s">
        <v>561</v>
      </c>
      <c r="C37099" s="16" t="n">
        <f aca="false">IF(C37088=0,0,C37055/C37088*MAX(0,MIN(C37088,$C$36993-SUM($C$37028:$C$37037)-C37077)))</f>
        <v>357.2625</v>
      </c>
    </row>
    <row r="37100" customFormat="false" ht="15" hidden="false" customHeight="false" outlineLevel="0" collapsed="false">
      <c r="A37100" s="3" t="s">
        <v>562</v>
      </c>
      <c r="C37100" s="16" t="n">
        <f aca="false">IF(C37089=0,0,C37056/C37089*MAX(0,MIN(C37089,$C$36993-SUM($C$37028:$C$37037)-C37078)))</f>
        <v>562.203125</v>
      </c>
    </row>
    <row r="37101" customFormat="false" ht="15" hidden="false" customHeight="false" outlineLevel="0" collapsed="false">
      <c r="A37101" s="3" t="s">
        <v>563</v>
      </c>
      <c r="C37101" s="16" t="n">
        <f aca="false">IF(C37090=0,0,C37057/C37090*MAX(0,MIN(C37090,$C$36993-SUM($C$37028:$C$37037)-C37079)))</f>
        <v>353.98125</v>
      </c>
    </row>
    <row r="37102" customFormat="false" ht="15" hidden="false" customHeight="false" outlineLevel="0" collapsed="false">
      <c r="A37102" s="3" t="s">
        <v>564</v>
      </c>
      <c r="C37102" s="16" t="n">
        <f aca="false">IF(C37091=0,0,C37058/C37091*MAX(0,MIN(C37091,$C$36993-SUM($C$37028:$C$37037)-C37080)))</f>
        <v>304.59375</v>
      </c>
    </row>
    <row r="37103" customFormat="false" ht="15" hidden="false" customHeight="false" outlineLevel="0" collapsed="false">
      <c r="A37103" s="3" t="s">
        <v>565</v>
      </c>
      <c r="C37103" s="16" t="n">
        <f aca="false">IF(C37092=0,0,C37059/C37092*MAX(0,MIN(C37092,$C$36993-SUM($C$37028:$C$37037)-C37081)))</f>
        <v>79.938509</v>
      </c>
    </row>
    <row r="37104" customFormat="false" ht="15" hidden="false" customHeight="false" outlineLevel="0" collapsed="false">
      <c r="A37104" s="24" t="s">
        <v>575</v>
      </c>
      <c r="B37104" s="25"/>
      <c r="C37104" s="25"/>
      <c r="D37104" s="25"/>
      <c r="E37104" s="25"/>
      <c r="F37104" s="25"/>
      <c r="G37104" s="25"/>
      <c r="H37104" s="25"/>
      <c r="I37104" s="25"/>
      <c r="J37104" s="25"/>
      <c r="K37104" s="25"/>
    </row>
    <row r="37105" customFormat="false" ht="15" hidden="false" customHeight="false" outlineLevel="0" collapsed="false">
      <c r="A37105" s="2" t="s">
        <v>556</v>
      </c>
      <c r="C37105" s="17" t="n">
        <f aca="false">C37028+C37094</f>
        <v>402.29</v>
      </c>
    </row>
    <row r="37106" customFormat="false" ht="15" hidden="false" customHeight="false" outlineLevel="0" collapsed="false">
      <c r="A37106" s="2" t="s">
        <v>557</v>
      </c>
      <c r="C37106" s="17" t="n">
        <f aca="false">C37029+C37095</f>
        <v>91.30725</v>
      </c>
    </row>
    <row r="37107" customFormat="false" ht="15" hidden="false" customHeight="false" outlineLevel="0" collapsed="false">
      <c r="A37107" s="2" t="s">
        <v>558</v>
      </c>
      <c r="C37107" s="17" t="n">
        <f aca="false">C37030+C37096</f>
        <v>58.3715961</v>
      </c>
    </row>
    <row r="37108" customFormat="false" ht="15" hidden="false" customHeight="false" outlineLevel="0" collapsed="false">
      <c r="A37108" s="2" t="s">
        <v>559</v>
      </c>
      <c r="C37108" s="17" t="n">
        <f aca="false">C37031+C37097</f>
        <v>0</v>
      </c>
    </row>
    <row r="37109" customFormat="false" ht="15" hidden="false" customHeight="false" outlineLevel="0" collapsed="false">
      <c r="A37109" s="2" t="s">
        <v>560</v>
      </c>
      <c r="C37109" s="17" t="n">
        <f aca="false">C37032+C37098</f>
        <v>405.410640665075</v>
      </c>
    </row>
    <row r="37110" customFormat="false" ht="15" hidden="false" customHeight="false" outlineLevel="0" collapsed="false">
      <c r="A37110" s="2" t="s">
        <v>561</v>
      </c>
      <c r="C37110" s="17" t="n">
        <f aca="false">C37033+C37099</f>
        <v>357.2625</v>
      </c>
    </row>
    <row r="37111" customFormat="false" ht="15" hidden="false" customHeight="false" outlineLevel="0" collapsed="false">
      <c r="A37111" s="2" t="s">
        <v>562</v>
      </c>
      <c r="C37111" s="17" t="n">
        <f aca="false">C37034+C37100</f>
        <v>562.203125</v>
      </c>
    </row>
    <row r="37112" customFormat="false" ht="15" hidden="false" customHeight="false" outlineLevel="0" collapsed="false">
      <c r="A37112" s="2" t="s">
        <v>563</v>
      </c>
      <c r="C37112" s="17" t="n">
        <f aca="false">C37035+C37101</f>
        <v>353.98125</v>
      </c>
    </row>
    <row r="37113" customFormat="false" ht="15" hidden="false" customHeight="false" outlineLevel="0" collapsed="false">
      <c r="A37113" s="2" t="s">
        <v>564</v>
      </c>
      <c r="C37113" s="17" t="n">
        <f aca="false">C37036+C37102</f>
        <v>304.59375</v>
      </c>
    </row>
    <row r="37114" customFormat="false" ht="15" hidden="false" customHeight="false" outlineLevel="0" collapsed="false">
      <c r="A37114" s="2" t="s">
        <v>565</v>
      </c>
      <c r="C37114" s="17" t="n">
        <f aca="false">C37037+C37103</f>
        <v>79.938509</v>
      </c>
    </row>
    <row r="37115" customFormat="false" ht="15" hidden="false" customHeight="false" outlineLevel="0" collapsed="false">
      <c r="A37115" s="24" t="s">
        <v>576</v>
      </c>
      <c r="B37115" s="25"/>
      <c r="C37115" s="25"/>
      <c r="D37115" s="25"/>
      <c r="E37115" s="25"/>
      <c r="F37115" s="25"/>
      <c r="G37115" s="25"/>
      <c r="H37115" s="25"/>
      <c r="I37115" s="25"/>
      <c r="J37115" s="25"/>
      <c r="K37115" s="25"/>
    </row>
    <row r="37116" customFormat="false" ht="15" hidden="false" customHeight="false" outlineLevel="0" collapsed="false">
      <c r="A37116" s="3" t="s">
        <v>556</v>
      </c>
      <c r="C37116" s="22" t="n">
        <f aca="false">IF(C36995=0,1,C37105/C36995)</f>
        <v>1</v>
      </c>
    </row>
    <row r="37117" customFormat="false" ht="15" hidden="false" customHeight="false" outlineLevel="0" collapsed="false">
      <c r="A37117" s="3" t="s">
        <v>557</v>
      </c>
      <c r="C37117" s="22" t="n">
        <f aca="false">IF(C36996=0,1,C37106/C36996)</f>
        <v>1</v>
      </c>
    </row>
    <row r="37118" customFormat="false" ht="15" hidden="false" customHeight="false" outlineLevel="0" collapsed="false">
      <c r="A37118" s="3" t="s">
        <v>558</v>
      </c>
      <c r="C37118" s="22" t="n">
        <f aca="false">IF(C36997=0,1,C37107/C36997)</f>
        <v>1</v>
      </c>
    </row>
    <row r="37119" customFormat="false" ht="15" hidden="false" customHeight="false" outlineLevel="0" collapsed="false">
      <c r="A37119" s="3" t="s">
        <v>559</v>
      </c>
      <c r="C37119" s="22" t="n">
        <f aca="false">IF(C36998=0,1,C37108/C36998)</f>
        <v>1</v>
      </c>
    </row>
    <row r="37120" customFormat="false" ht="15" hidden="false" customHeight="false" outlineLevel="0" collapsed="false">
      <c r="A37120" s="3" t="s">
        <v>560</v>
      </c>
      <c r="C37120" s="22" t="n">
        <f aca="false">IF(C36999=0,1,C37109/C36999)</f>
        <v>1</v>
      </c>
    </row>
    <row r="37121" customFormat="false" ht="15" hidden="false" customHeight="false" outlineLevel="0" collapsed="false">
      <c r="A37121" s="3" t="s">
        <v>561</v>
      </c>
      <c r="C37121" s="22" t="n">
        <f aca="false">IF(C37000=0,1,C37110/C37000)</f>
        <v>1</v>
      </c>
    </row>
    <row r="37122" customFormat="false" ht="15" hidden="false" customHeight="false" outlineLevel="0" collapsed="false">
      <c r="A37122" s="3" t="s">
        <v>562</v>
      </c>
      <c r="C37122" s="22" t="n">
        <f aca="false">IF(C37001=0,1,C37111/C37001)</f>
        <v>1</v>
      </c>
    </row>
    <row r="37123" customFormat="false" ht="15" hidden="false" customHeight="false" outlineLevel="0" collapsed="false">
      <c r="A37123" s="3" t="s">
        <v>563</v>
      </c>
      <c r="C37123" s="22" t="n">
        <f aca="false">IF(C37002=0,1,C37112/C37002)</f>
        <v>1</v>
      </c>
    </row>
    <row r="37124" customFormat="false" ht="15" hidden="false" customHeight="false" outlineLevel="0" collapsed="false">
      <c r="A37124" s="3" t="s">
        <v>564</v>
      </c>
      <c r="C37124" s="22" t="n">
        <f aca="false">IF(C37003=0,1,C37113/C37003)</f>
        <v>1</v>
      </c>
    </row>
    <row r="37125" customFormat="false" ht="15" hidden="false" customHeight="false" outlineLevel="0" collapsed="false">
      <c r="A37125" s="3" t="s">
        <v>565</v>
      </c>
      <c r="C37125" s="22" t="n">
        <f aca="false">IF(C37004=0,1,C37114/C37004)</f>
        <v>1</v>
      </c>
    </row>
    <row r="37126" customFormat="false" ht="15" hidden="false" customHeight="false" outlineLevel="0" collapsed="false">
      <c r="A37126" s="24" t="s">
        <v>577</v>
      </c>
      <c r="B37126" s="25"/>
      <c r="C37126" s="25"/>
      <c r="D37126" s="25"/>
      <c r="E37126" s="25"/>
      <c r="F37126" s="25"/>
      <c r="G37126" s="25"/>
      <c r="H37126" s="25"/>
      <c r="I37126" s="25"/>
      <c r="J37126" s="25"/>
      <c r="K37126" s="25"/>
    </row>
    <row r="37127" customFormat="false" ht="15" hidden="false" customHeight="false" outlineLevel="0" collapsed="false">
      <c r="A37127" s="3" t="s">
        <v>556</v>
      </c>
      <c r="C37127" s="16" t="n">
        <f aca="false">C36995-C37105</f>
        <v>0</v>
      </c>
    </row>
    <row r="37128" customFormat="false" ht="15" hidden="false" customHeight="false" outlineLevel="0" collapsed="false">
      <c r="A37128" s="3" t="s">
        <v>557</v>
      </c>
      <c r="C37128" s="16" t="n">
        <f aca="false">C36996-C37106</f>
        <v>0</v>
      </c>
    </row>
    <row r="37129" customFormat="false" ht="15" hidden="false" customHeight="false" outlineLevel="0" collapsed="false">
      <c r="A37129" s="3" t="s">
        <v>558</v>
      </c>
      <c r="C37129" s="16" t="n">
        <f aca="false">C36997-C37107</f>
        <v>0</v>
      </c>
    </row>
    <row r="37130" customFormat="false" ht="15" hidden="false" customHeight="false" outlineLevel="0" collapsed="false">
      <c r="A37130" s="3" t="s">
        <v>559</v>
      </c>
      <c r="C37130" s="16" t="n">
        <f aca="false">C36998-C37108</f>
        <v>0</v>
      </c>
    </row>
    <row r="37131" customFormat="false" ht="15" hidden="false" customHeight="false" outlineLevel="0" collapsed="false">
      <c r="A37131" s="3" t="s">
        <v>560</v>
      </c>
      <c r="C37131" s="16" t="n">
        <f aca="false">C36999-C37109</f>
        <v>0</v>
      </c>
    </row>
    <row r="37132" customFormat="false" ht="15" hidden="false" customHeight="false" outlineLevel="0" collapsed="false">
      <c r="A37132" s="3" t="s">
        <v>561</v>
      </c>
      <c r="C37132" s="16" t="n">
        <f aca="false">C37000-C37110</f>
        <v>0</v>
      </c>
    </row>
    <row r="37133" customFormat="false" ht="15" hidden="false" customHeight="false" outlineLevel="0" collapsed="false">
      <c r="A37133" s="3" t="s">
        <v>562</v>
      </c>
      <c r="C37133" s="16" t="n">
        <f aca="false">C37001-C37111</f>
        <v>0</v>
      </c>
    </row>
    <row r="37134" customFormat="false" ht="15" hidden="false" customHeight="false" outlineLevel="0" collapsed="false">
      <c r="A37134" s="3" t="s">
        <v>563</v>
      </c>
      <c r="C37134" s="16" t="n">
        <f aca="false">C37002-C37112</f>
        <v>0</v>
      </c>
    </row>
    <row r="37135" customFormat="false" ht="15" hidden="false" customHeight="false" outlineLevel="0" collapsed="false">
      <c r="A37135" s="3" t="s">
        <v>564</v>
      </c>
      <c r="C37135" s="16" t="n">
        <f aca="false">C37003-C37113</f>
        <v>0</v>
      </c>
    </row>
    <row r="37136" customFormat="false" ht="15" hidden="false" customHeight="false" outlineLevel="0" collapsed="false">
      <c r="A37136" s="3" t="s">
        <v>565</v>
      </c>
      <c r="C37136" s="16" t="n">
        <f aca="false">C37004-C37114</f>
        <v>0</v>
      </c>
    </row>
    <row r="37137" customFormat="false" ht="15" hidden="false" customHeight="false" outlineLevel="0" collapsed="false">
      <c r="A37137" s="24" t="s">
        <v>578</v>
      </c>
      <c r="B37137" s="25"/>
      <c r="C37137" s="25"/>
      <c r="D37137" s="25"/>
      <c r="E37137" s="25"/>
      <c r="F37137" s="25"/>
      <c r="G37137" s="25"/>
      <c r="H37137" s="25"/>
      <c r="I37137" s="25"/>
      <c r="J37137" s="25"/>
      <c r="K37137" s="25"/>
    </row>
    <row r="37138" customFormat="false" ht="15" hidden="false" customHeight="false" outlineLevel="0" collapsed="false">
      <c r="A37138" s="3" t="s">
        <v>556</v>
      </c>
      <c r="C37138" s="22" t="n">
        <f aca="false">IF(C36995=0,0,C37127/C36995)</f>
        <v>0</v>
      </c>
    </row>
    <row r="37139" customFormat="false" ht="15" hidden="false" customHeight="false" outlineLevel="0" collapsed="false">
      <c r="A37139" s="3" t="s">
        <v>557</v>
      </c>
      <c r="C37139" s="22" t="n">
        <f aca="false">IF(C36996=0,0,C37128/C36996)</f>
        <v>0</v>
      </c>
    </row>
    <row r="37140" customFormat="false" ht="15" hidden="false" customHeight="false" outlineLevel="0" collapsed="false">
      <c r="A37140" s="3" t="s">
        <v>558</v>
      </c>
      <c r="C37140" s="22" t="n">
        <f aca="false">IF(C36997=0,0,C37129/C36997)</f>
        <v>0</v>
      </c>
    </row>
    <row r="37141" customFormat="false" ht="15" hidden="false" customHeight="false" outlineLevel="0" collapsed="false">
      <c r="A37141" s="3" t="s">
        <v>559</v>
      </c>
      <c r="C37141" s="22" t="n">
        <f aca="false">IF(C36998=0,0,C37130/C36998)</f>
        <v>0</v>
      </c>
    </row>
    <row r="37142" customFormat="false" ht="15" hidden="false" customHeight="false" outlineLevel="0" collapsed="false">
      <c r="A37142" s="3" t="s">
        <v>560</v>
      </c>
      <c r="C37142" s="22" t="n">
        <f aca="false">IF(C36999=0,0,C37131/C36999)</f>
        <v>0</v>
      </c>
    </row>
    <row r="37143" customFormat="false" ht="15" hidden="false" customHeight="false" outlineLevel="0" collapsed="false">
      <c r="A37143" s="3" t="s">
        <v>561</v>
      </c>
      <c r="C37143" s="22" t="n">
        <f aca="false">IF(C37000=0,0,C37132/C37000)</f>
        <v>0</v>
      </c>
    </row>
    <row r="37144" customFormat="false" ht="15" hidden="false" customHeight="false" outlineLevel="0" collapsed="false">
      <c r="A37144" s="3" t="s">
        <v>562</v>
      </c>
      <c r="C37144" s="22" t="n">
        <f aca="false">IF(C37001=0,0,C37133/C37001)</f>
        <v>0</v>
      </c>
    </row>
    <row r="37145" customFormat="false" ht="15" hidden="false" customHeight="false" outlineLevel="0" collapsed="false">
      <c r="A37145" s="3" t="s">
        <v>563</v>
      </c>
      <c r="C37145" s="22" t="n">
        <f aca="false">IF(C37002=0,0,C37134/C37002)</f>
        <v>0</v>
      </c>
    </row>
    <row r="37146" customFormat="false" ht="15" hidden="false" customHeight="false" outlineLevel="0" collapsed="false">
      <c r="A37146" s="3" t="s">
        <v>564</v>
      </c>
      <c r="C37146" s="22" t="n">
        <f aca="false">IF(C37003=0,0,C37135/C37003)</f>
        <v>0</v>
      </c>
    </row>
    <row r="37147" customFormat="false" ht="15" hidden="false" customHeight="false" outlineLevel="0" collapsed="false">
      <c r="A37147" s="3" t="s">
        <v>565</v>
      </c>
      <c r="C37147" s="22" t="n">
        <f aca="false">IF(C37004=0,0,C37136/C37004)</f>
        <v>0</v>
      </c>
    </row>
    <row r="37148" customFormat="false" ht="15" hidden="false" customHeight="false" outlineLevel="0" collapsed="false">
      <c r="A37148" s="2" t="s">
        <v>579</v>
      </c>
      <c r="C37148" s="17" t="n">
        <f aca="false">MAX(0,$C$36993-SUM($C$37028:$C$37037)-SUM($C$37050:$C$37059))</f>
        <v>518.118561634925</v>
      </c>
    </row>
    <row r="37149" customFormat="false" ht="15" hidden="false" customHeight="false" outlineLevel="0" collapsed="false">
      <c r="A37149" s="3" t="s">
        <v>580</v>
      </c>
      <c r="C37149" s="16" t="n">
        <f aca="false">SUM($C$37105:$C$37114)+C37148+C36992-C36991</f>
        <v>0</v>
      </c>
    </row>
    <row r="37151" customFormat="false" ht="15" hidden="false" customHeight="false" outlineLevel="0" collapsed="false">
      <c r="A37151" s="24" t="s">
        <v>583</v>
      </c>
      <c r="B37151" s="25"/>
      <c r="C37151" s="25"/>
      <c r="D37151" s="25"/>
      <c r="E37151" s="25"/>
      <c r="F37151" s="25"/>
      <c r="G37151" s="25"/>
      <c r="H37151" s="25"/>
      <c r="I37151" s="25"/>
      <c r="J37151" s="25"/>
      <c r="K37151" s="25"/>
    </row>
    <row r="37152" customFormat="false" ht="15" hidden="false" customHeight="false" outlineLevel="0" collapsed="false">
      <c r="A37152" s="3" t="s">
        <v>584</v>
      </c>
      <c r="C37152" s="27" t="n">
        <f aca="false">Assumptions!$C$34</f>
        <v>1</v>
      </c>
    </row>
    <row r="37153" customFormat="false" ht="15" hidden="false" customHeight="false" outlineLevel="0" collapsed="false">
      <c r="A37153" s="3" t="s">
        <v>585</v>
      </c>
      <c r="C37153" s="29" t="n">
        <f aca="false">Assumptions!$C$35</f>
        <v>100</v>
      </c>
    </row>
    <row r="37154" customFormat="false" ht="15" hidden="false" customHeight="false" outlineLevel="0" collapsed="false">
      <c r="A37154" s="3" t="s">
        <v>586</v>
      </c>
      <c r="C37154" s="40" t="n">
        <f aca="false">Assumptions!$C$36</f>
        <v>98</v>
      </c>
    </row>
    <row r="37155" customFormat="false" ht="15" hidden="false" customHeight="false" outlineLevel="0" collapsed="false">
      <c r="A37155" s="3" t="s">
        <v>587</v>
      </c>
      <c r="C37155" s="16" t="n">
        <f aca="false">C37153*C37154/100*(1+Assumptions!$C$37)</f>
        <v>98.49</v>
      </c>
    </row>
    <row r="37156" customFormat="false" ht="15" hidden="false" customHeight="false" outlineLevel="0" collapsed="false">
      <c r="A37156" s="3" t="s">
        <v>588</v>
      </c>
      <c r="C37156" s="27" t="n">
        <f aca="false">Assumptions!$C$38</f>
        <v>3</v>
      </c>
    </row>
    <row r="37157" customFormat="false" ht="15" hidden="false" customHeight="false" outlineLevel="0" collapsed="false">
      <c r="A37157" s="3" t="s">
        <v>589</v>
      </c>
      <c r="C37157" s="21" t="n">
        <f aca="false">IF(C36984=1,SUMPRODUCT($G$36920:$K$36920,$G$36694:$K$36694),0)</f>
        <v>2</v>
      </c>
    </row>
    <row r="37158" customFormat="false" ht="15" hidden="false" customHeight="false" outlineLevel="0" collapsed="false">
      <c r="A37158" s="3" t="s">
        <v>590</v>
      </c>
      <c r="C37158" s="22" t="n">
        <f aca="false">IFERROR(C37153/CHOOSE(C37152,SUMPRODUCT($G$36983:$K$36983,$G$36740:$K$36740),SUMPRODUCT($G$36983:$K$36983,$G$36753:$K$36753),SUMPRODUCT($G$36983:$K$36983,$G$36766:$K$36766),SUMPRODUCT($G$36983:$K$36983,$G$36779:$K$36779),SUMPRODUCT($G$36983:$K$36983,$G$36792:$K$36792),SUMPRODUCT($G$36983:$K$36983,$G$36805:$K$36805),SUMPRODUCT($G$36983:$K$36983,$G$36818:$K$36818),SUMPRODUCT($G$36983:$K$36983,$G$36831:$K$36831),SUMPRODUCT($G$36983:$K$36983,$G$36844:$K$36844),SUMPRODUCT($G$36983:$K$36983,$G$36857:$K$36857)),0)</f>
        <v>0.255102040816327</v>
      </c>
    </row>
    <row r="37159" customFormat="false" ht="15" hidden="false" customHeight="false" outlineLevel="0" collapsed="false">
      <c r="A37159" s="3" t="s">
        <v>591</v>
      </c>
      <c r="C37159" s="16" t="n">
        <f aca="false">CHOOSE(C37152,C37105,C37106,C37107,C37108,C37109,C37110,C37111,C37112,C37113,C37114)*C37158</f>
        <v>102.625</v>
      </c>
    </row>
    <row r="37160" customFormat="false" ht="15" hidden="false" customHeight="false" outlineLevel="0" collapsed="false">
      <c r="A37160" s="3" t="s">
        <v>592</v>
      </c>
      <c r="C37160" s="22" t="n">
        <f aca="false">CHOOSE(C37152,C37116,C37117,C37118,C37119,C37120,C37121,C37122,C37123,C37124,C37125)</f>
        <v>1</v>
      </c>
    </row>
    <row r="37161" customFormat="false" ht="15" hidden="false" customHeight="false" outlineLevel="0" collapsed="false">
      <c r="A37161" s="3" t="s">
        <v>593</v>
      </c>
      <c r="C37161" s="21" t="n">
        <f aca="false">IF(C36984=1,C37157,C37156)</f>
        <v>2</v>
      </c>
    </row>
    <row r="37162" customFormat="false" ht="15" hidden="false" customHeight="false" outlineLevel="0" collapsed="false">
      <c r="A37162" s="3" t="s">
        <v>594</v>
      </c>
      <c r="C37162" s="35" t="n">
        <f aca="false">CHOOSE($C$36686,Assumptions!$C$91,Assumptions!$C$110,Assumptions!$C$129)</f>
        <v>95</v>
      </c>
    </row>
    <row r="37163" customFormat="false" ht="15" hidden="false" customHeight="false" outlineLevel="0" collapsed="false">
      <c r="A37163" s="3" t="s">
        <v>595</v>
      </c>
      <c r="C37163" s="16" t="n">
        <f aca="false">INDEX($G$36703:$K$36703,C37156)*CHOOSE($C$36686,Assumptions!$C$90,Assumptions!$C$109,Assumptions!$C$128)+MAX(0,INDEX($G$36917:$K$36917,C37156))</f>
        <v>2423.913149823</v>
      </c>
    </row>
    <row r="37164" customFormat="false" ht="15" hidden="false" customHeight="false" outlineLevel="0" collapsed="false">
      <c r="A37164" s="24" t="s">
        <v>596</v>
      </c>
      <c r="B37164" s="25"/>
      <c r="C37164" s="25"/>
      <c r="D37164" s="25"/>
      <c r="E37164" s="25"/>
      <c r="F37164" s="25"/>
      <c r="G37164" s="25"/>
      <c r="H37164" s="25"/>
      <c r="I37164" s="25"/>
      <c r="J37164" s="25"/>
      <c r="K37164" s="25"/>
    </row>
    <row r="37165" customFormat="false" ht="15" hidden="false" customHeight="false" outlineLevel="0" collapsed="false">
      <c r="A37165" s="3" t="s">
        <v>556</v>
      </c>
      <c r="C37165" s="16" t="n">
        <f aca="false">INDEX($G$36740:$K$36740,C37156)</f>
        <v>388</v>
      </c>
    </row>
    <row r="37166" customFormat="false" ht="15" hidden="false" customHeight="false" outlineLevel="0" collapsed="false">
      <c r="A37166" s="3" t="s">
        <v>557</v>
      </c>
      <c r="C37166" s="16" t="n">
        <f aca="false">INDEX($G$36753:$K$36753,C37156)</f>
        <v>90</v>
      </c>
    </row>
    <row r="37167" customFormat="false" ht="15" hidden="false" customHeight="false" outlineLevel="0" collapsed="false">
      <c r="A37167" s="3" t="s">
        <v>558</v>
      </c>
      <c r="C37167" s="16" t="n">
        <f aca="false">INDEX($G$36766:$K$36766,C37156)</f>
        <v>57.324</v>
      </c>
    </row>
    <row r="37168" customFormat="false" ht="15" hidden="false" customHeight="false" outlineLevel="0" collapsed="false">
      <c r="A37168" s="3" t="s">
        <v>559</v>
      </c>
      <c r="C37168" s="16" t="n">
        <f aca="false">INDEX($G$36779:$K$36779,C37156)</f>
        <v>0</v>
      </c>
    </row>
    <row r="37169" customFormat="false" ht="15" hidden="false" customHeight="false" outlineLevel="0" collapsed="false">
      <c r="A37169" s="3" t="s">
        <v>560</v>
      </c>
      <c r="C37169" s="16" t="n">
        <f aca="false">INDEX($G$36792:$K$36792,C37156)</f>
        <v>401.446357881</v>
      </c>
    </row>
    <row r="37170" customFormat="false" ht="15" hidden="false" customHeight="false" outlineLevel="0" collapsed="false">
      <c r="A37170" s="3" t="s">
        <v>561</v>
      </c>
      <c r="C37170" s="16" t="n">
        <f aca="false">INDEX($G$36805:$K$36805,C37156)</f>
        <v>350</v>
      </c>
    </row>
    <row r="37171" customFormat="false" ht="15" hidden="false" customHeight="false" outlineLevel="0" collapsed="false">
      <c r="A37171" s="3" t="s">
        <v>562</v>
      </c>
      <c r="C37171" s="16" t="n">
        <f aca="false">INDEX($G$36818:$K$36818,C37156)</f>
        <v>550</v>
      </c>
    </row>
    <row r="37172" customFormat="false" ht="15" hidden="false" customHeight="false" outlineLevel="0" collapsed="false">
      <c r="A37172" s="3" t="s">
        <v>563</v>
      </c>
      <c r="C37172" s="16" t="n">
        <f aca="false">INDEX($G$36831:$K$36831,C37156)</f>
        <v>350</v>
      </c>
    </row>
    <row r="37173" customFormat="false" ht="15" hidden="false" customHeight="false" outlineLevel="0" collapsed="false">
      <c r="A37173" s="3" t="s">
        <v>564</v>
      </c>
      <c r="C37173" s="16" t="n">
        <f aca="false">INDEX($G$36844:$K$36844,C37156)</f>
        <v>300</v>
      </c>
    </row>
    <row r="37174" customFormat="false" ht="15" hidden="false" customHeight="false" outlineLevel="0" collapsed="false">
      <c r="A37174" s="3" t="s">
        <v>565</v>
      </c>
      <c r="C37174" s="16" t="n">
        <f aca="false">INDEX($G$36857:$K$36857,C37156)</f>
        <v>78.61</v>
      </c>
    </row>
    <row r="37175" customFormat="false" ht="15" hidden="false" customHeight="false" outlineLevel="0" collapsed="false">
      <c r="A37175" s="24" t="s">
        <v>566</v>
      </c>
      <c r="B37175" s="25"/>
      <c r="C37175" s="25"/>
      <c r="D37175" s="25"/>
      <c r="E37175" s="25"/>
      <c r="F37175" s="25"/>
      <c r="G37175" s="25"/>
      <c r="H37175" s="25"/>
      <c r="I37175" s="25"/>
      <c r="J37175" s="25"/>
      <c r="K37175" s="25"/>
    </row>
    <row r="37176" customFormat="false" ht="15" hidden="false" customHeight="false" outlineLevel="0" collapsed="false">
      <c r="A37176" s="3" t="s">
        <v>556</v>
      </c>
      <c r="C37176" s="27" t="n">
        <f aca="false">Assumptions!$M$57</f>
        <v>1</v>
      </c>
    </row>
    <row r="37177" customFormat="false" ht="15" hidden="false" customHeight="false" outlineLevel="0" collapsed="false">
      <c r="A37177" s="3" t="s">
        <v>557</v>
      </c>
      <c r="C37177" s="27" t="n">
        <f aca="false">Assumptions!$M$58</f>
        <v>1</v>
      </c>
    </row>
    <row r="37178" customFormat="false" ht="15" hidden="false" customHeight="false" outlineLevel="0" collapsed="false">
      <c r="A37178" s="3" t="s">
        <v>558</v>
      </c>
      <c r="C37178" s="27" t="n">
        <f aca="false">Assumptions!$M$59</f>
        <v>1</v>
      </c>
    </row>
    <row r="37179" customFormat="false" ht="15" hidden="false" customHeight="false" outlineLevel="0" collapsed="false">
      <c r="A37179" s="3" t="s">
        <v>559</v>
      </c>
      <c r="C37179" s="27" t="n">
        <f aca="false">Assumptions!$M$60</f>
        <v>2</v>
      </c>
    </row>
    <row r="37180" customFormat="false" ht="15" hidden="false" customHeight="false" outlineLevel="0" collapsed="false">
      <c r="A37180" s="3" t="s">
        <v>560</v>
      </c>
      <c r="C37180" s="27" t="n">
        <f aca="false">Assumptions!$M$61</f>
        <v>2</v>
      </c>
    </row>
    <row r="37181" customFormat="false" ht="15" hidden="false" customHeight="false" outlineLevel="0" collapsed="false">
      <c r="A37181" s="3" t="s">
        <v>561</v>
      </c>
      <c r="C37181" s="27" t="n">
        <f aca="false">Assumptions!$M$62</f>
        <v>2</v>
      </c>
    </row>
    <row r="37182" customFormat="false" ht="15" hidden="false" customHeight="false" outlineLevel="0" collapsed="false">
      <c r="A37182" s="3" t="s">
        <v>562</v>
      </c>
      <c r="C37182" s="27" t="n">
        <f aca="false">Assumptions!$M$63</f>
        <v>2</v>
      </c>
    </row>
    <row r="37183" customFormat="false" ht="15" hidden="false" customHeight="false" outlineLevel="0" collapsed="false">
      <c r="A37183" s="3" t="s">
        <v>563</v>
      </c>
      <c r="C37183" s="27" t="n">
        <f aca="false">Assumptions!$M$64</f>
        <v>2</v>
      </c>
    </row>
    <row r="37184" customFormat="false" ht="15" hidden="false" customHeight="false" outlineLevel="0" collapsed="false">
      <c r="A37184" s="3" t="s">
        <v>564</v>
      </c>
      <c r="C37184" s="27" t="n">
        <f aca="false">Assumptions!$M$65</f>
        <v>2</v>
      </c>
    </row>
    <row r="37185" customFormat="false" ht="15" hidden="false" customHeight="false" outlineLevel="0" collapsed="false">
      <c r="A37185" s="3" t="s">
        <v>565</v>
      </c>
      <c r="C37185" s="27" t="n">
        <f aca="false">Assumptions!$M$66</f>
        <v>3</v>
      </c>
    </row>
    <row r="37186" customFormat="false" ht="15" hidden="false" customHeight="false" outlineLevel="0" collapsed="false">
      <c r="A37186" s="24" t="s">
        <v>567</v>
      </c>
      <c r="B37186" s="25"/>
      <c r="C37186" s="25"/>
      <c r="D37186" s="25"/>
      <c r="E37186" s="25"/>
      <c r="F37186" s="25"/>
      <c r="G37186" s="25"/>
      <c r="H37186" s="25"/>
      <c r="I37186" s="25"/>
      <c r="J37186" s="25"/>
      <c r="K37186" s="25"/>
    </row>
    <row r="37187" customFormat="false" ht="15" hidden="false" customHeight="false" outlineLevel="0" collapsed="false">
      <c r="A37187" s="3" t="s">
        <v>556</v>
      </c>
      <c r="C37187" s="33" t="n">
        <f aca="false">Assumptions!$Q$57</f>
        <v>0.3</v>
      </c>
    </row>
    <row r="37188" customFormat="false" ht="15" hidden="false" customHeight="false" outlineLevel="0" collapsed="false">
      <c r="A37188" s="3" t="s">
        <v>557</v>
      </c>
      <c r="C37188" s="33" t="n">
        <f aca="false">Assumptions!$Q$58</f>
        <v>0.033</v>
      </c>
    </row>
    <row r="37189" customFormat="false" ht="15" hidden="false" customHeight="false" outlineLevel="0" collapsed="false">
      <c r="A37189" s="3" t="s">
        <v>558</v>
      </c>
      <c r="C37189" s="33" t="n">
        <f aca="false">Assumptions!$Q$59</f>
        <v>0.021</v>
      </c>
    </row>
    <row r="37190" customFormat="false" ht="15" hidden="false" customHeight="false" outlineLevel="0" collapsed="false">
      <c r="A37190" s="3" t="s">
        <v>559</v>
      </c>
      <c r="C37190" s="33" t="n">
        <f aca="false">Assumptions!$Q$60</f>
        <v>0</v>
      </c>
    </row>
    <row r="37191" customFormat="false" ht="15" hidden="false" customHeight="false" outlineLevel="0" collapsed="false">
      <c r="A37191" s="3" t="s">
        <v>560</v>
      </c>
      <c r="C37191" s="33" t="n">
        <f aca="false">Assumptions!$Q$61</f>
        <v>0</v>
      </c>
    </row>
    <row r="37192" customFormat="false" ht="15" hidden="false" customHeight="false" outlineLevel="0" collapsed="false">
      <c r="A37192" s="3" t="s">
        <v>561</v>
      </c>
      <c r="C37192" s="33" t="n">
        <f aca="false">Assumptions!$Q$62</f>
        <v>0</v>
      </c>
    </row>
    <row r="37193" customFormat="false" ht="15" hidden="false" customHeight="false" outlineLevel="0" collapsed="false">
      <c r="A37193" s="3" t="s">
        <v>562</v>
      </c>
      <c r="C37193" s="33" t="n">
        <f aca="false">Assumptions!$Q$63</f>
        <v>0</v>
      </c>
    </row>
    <row r="37194" customFormat="false" ht="15" hidden="false" customHeight="false" outlineLevel="0" collapsed="false">
      <c r="A37194" s="3" t="s">
        <v>563</v>
      </c>
      <c r="C37194" s="33" t="n">
        <f aca="false">Assumptions!$Q$64</f>
        <v>0</v>
      </c>
    </row>
    <row r="37195" customFormat="false" ht="15" hidden="false" customHeight="false" outlineLevel="0" collapsed="false">
      <c r="A37195" s="3" t="s">
        <v>564</v>
      </c>
      <c r="C37195" s="33" t="n">
        <f aca="false">Assumptions!$Q$65</f>
        <v>0</v>
      </c>
    </row>
    <row r="37196" customFormat="false" ht="15" hidden="false" customHeight="false" outlineLevel="0" collapsed="false">
      <c r="A37196" s="3" t="s">
        <v>565</v>
      </c>
      <c r="C37196" s="33" t="n">
        <f aca="false">Assumptions!$Q$66</f>
        <v>0</v>
      </c>
    </row>
    <row r="37197" customFormat="false" ht="15" hidden="false" customHeight="false" outlineLevel="0" collapsed="false">
      <c r="A37197" s="24" t="s">
        <v>568</v>
      </c>
      <c r="B37197" s="25"/>
      <c r="C37197" s="25"/>
      <c r="D37197" s="25"/>
      <c r="E37197" s="25"/>
      <c r="F37197" s="25"/>
      <c r="G37197" s="25"/>
      <c r="H37197" s="25"/>
      <c r="I37197" s="25"/>
      <c r="J37197" s="25"/>
      <c r="K37197" s="25"/>
    </row>
    <row r="37198" customFormat="false" ht="15" hidden="false" customHeight="false" outlineLevel="0" collapsed="false">
      <c r="A37198" s="3" t="s">
        <v>556</v>
      </c>
      <c r="C37198" s="16" t="n">
        <f aca="false">IF(C37187&gt;0,MIN(C37165,C37187*$C$37163),0)</f>
        <v>388</v>
      </c>
    </row>
    <row r="37199" customFormat="false" ht="15" hidden="false" customHeight="false" outlineLevel="0" collapsed="false">
      <c r="A37199" s="3" t="s">
        <v>557</v>
      </c>
      <c r="C37199" s="16" t="n">
        <f aca="false">IF(C37188&gt;0,MIN(C37166,C37188*$C$37163),0)</f>
        <v>79.989133944159</v>
      </c>
    </row>
    <row r="37200" customFormat="false" ht="15" hidden="false" customHeight="false" outlineLevel="0" collapsed="false">
      <c r="A37200" s="3" t="s">
        <v>558</v>
      </c>
      <c r="C37200" s="16" t="n">
        <f aca="false">IF(C37189&gt;0,MIN(C37167,C37189*$C$37163),0)</f>
        <v>50.902176146283</v>
      </c>
    </row>
    <row r="37201" customFormat="false" ht="15" hidden="false" customHeight="false" outlineLevel="0" collapsed="false">
      <c r="A37201" s="3" t="s">
        <v>559</v>
      </c>
      <c r="C37201" s="16" t="n">
        <f aca="false">IF(C37190&gt;0,MIN(C37168,C37190*$C$37163),0)</f>
        <v>0</v>
      </c>
    </row>
    <row r="37202" customFormat="false" ht="15" hidden="false" customHeight="false" outlineLevel="0" collapsed="false">
      <c r="A37202" s="3" t="s">
        <v>560</v>
      </c>
      <c r="C37202" s="16" t="n">
        <f aca="false">IF(C37191&gt;0,MIN(C37169,C37191*$C$37163),0)</f>
        <v>0</v>
      </c>
    </row>
    <row r="37203" customFormat="false" ht="15" hidden="false" customHeight="false" outlineLevel="0" collapsed="false">
      <c r="A37203" s="3" t="s">
        <v>561</v>
      </c>
      <c r="C37203" s="16" t="n">
        <f aca="false">IF(C37192&gt;0,MIN(C37170,C37192*$C$37163),0)</f>
        <v>0</v>
      </c>
    </row>
    <row r="37204" customFormat="false" ht="15" hidden="false" customHeight="false" outlineLevel="0" collapsed="false">
      <c r="A37204" s="3" t="s">
        <v>562</v>
      </c>
      <c r="C37204" s="16" t="n">
        <f aca="false">IF(C37193&gt;0,MIN(C37171,C37193*$C$37163),0)</f>
        <v>0</v>
      </c>
    </row>
    <row r="37205" customFormat="false" ht="15" hidden="false" customHeight="false" outlineLevel="0" collapsed="false">
      <c r="A37205" s="3" t="s">
        <v>563</v>
      </c>
      <c r="C37205" s="16" t="n">
        <f aca="false">IF(C37194&gt;0,MIN(C37172,C37194*$C$37163),0)</f>
        <v>0</v>
      </c>
    </row>
    <row r="37206" customFormat="false" ht="15" hidden="false" customHeight="false" outlineLevel="0" collapsed="false">
      <c r="A37206" s="3" t="s">
        <v>564</v>
      </c>
      <c r="C37206" s="16" t="n">
        <f aca="false">IF(C37195&gt;0,MIN(C37173,C37195*$C$37163),0)</f>
        <v>0</v>
      </c>
    </row>
    <row r="37207" customFormat="false" ht="15" hidden="false" customHeight="false" outlineLevel="0" collapsed="false">
      <c r="A37207" s="3" t="s">
        <v>565</v>
      </c>
      <c r="C37207" s="16" t="n">
        <f aca="false">IF(C37196&gt;0,MIN(C37174,C37196*$C$37163),0)</f>
        <v>0</v>
      </c>
    </row>
    <row r="37208" customFormat="false" ht="15" hidden="false" customHeight="false" outlineLevel="0" collapsed="false">
      <c r="A37208" s="24" t="s">
        <v>569</v>
      </c>
      <c r="B37208" s="25"/>
      <c r="C37208" s="25"/>
      <c r="D37208" s="25"/>
      <c r="E37208" s="25"/>
      <c r="F37208" s="25"/>
      <c r="G37208" s="25"/>
      <c r="H37208" s="25"/>
      <c r="I37208" s="25"/>
      <c r="J37208" s="25"/>
      <c r="K37208" s="25"/>
    </row>
    <row r="37209" customFormat="false" ht="15" hidden="false" customHeight="false" outlineLevel="0" collapsed="false">
      <c r="A37209" s="3" t="s">
        <v>556</v>
      </c>
      <c r="C37209" s="16" t="n">
        <f aca="false">IF(C37187&gt;0,C37165-C37198,0)</f>
        <v>0</v>
      </c>
    </row>
    <row r="37210" customFormat="false" ht="15" hidden="false" customHeight="false" outlineLevel="0" collapsed="false">
      <c r="A37210" s="3" t="s">
        <v>557</v>
      </c>
      <c r="C37210" s="16" t="n">
        <f aca="false">IF(C37188&gt;0,C37166-C37199,0)</f>
        <v>10.010866055841</v>
      </c>
    </row>
    <row r="37211" customFormat="false" ht="15" hidden="false" customHeight="false" outlineLevel="0" collapsed="false">
      <c r="A37211" s="3" t="s">
        <v>558</v>
      </c>
      <c r="C37211" s="16" t="n">
        <f aca="false">IF(C37189&gt;0,C37167-C37200,0)</f>
        <v>6.42182385371699</v>
      </c>
    </row>
    <row r="37212" customFormat="false" ht="15" hidden="false" customHeight="false" outlineLevel="0" collapsed="false">
      <c r="A37212" s="3" t="s">
        <v>559</v>
      </c>
      <c r="C37212" s="16" t="n">
        <f aca="false">IF(C37190&gt;0,C37168-C37201,0)</f>
        <v>0</v>
      </c>
    </row>
    <row r="37213" customFormat="false" ht="15" hidden="false" customHeight="false" outlineLevel="0" collapsed="false">
      <c r="A37213" s="3" t="s">
        <v>560</v>
      </c>
      <c r="C37213" s="16" t="n">
        <f aca="false">IF(C37191&gt;0,C37169-C37202,0)</f>
        <v>0</v>
      </c>
    </row>
    <row r="37214" customFormat="false" ht="15" hidden="false" customHeight="false" outlineLevel="0" collapsed="false">
      <c r="A37214" s="3" t="s">
        <v>561</v>
      </c>
      <c r="C37214" s="16" t="n">
        <f aca="false">IF(C37192&gt;0,C37170-C37203,0)</f>
        <v>0</v>
      </c>
    </row>
    <row r="37215" customFormat="false" ht="15" hidden="false" customHeight="false" outlineLevel="0" collapsed="false">
      <c r="A37215" s="3" t="s">
        <v>562</v>
      </c>
      <c r="C37215" s="16" t="n">
        <f aca="false">IF(C37193&gt;0,C37171-C37204,0)</f>
        <v>0</v>
      </c>
    </row>
    <row r="37216" customFormat="false" ht="15" hidden="false" customHeight="false" outlineLevel="0" collapsed="false">
      <c r="A37216" s="3" t="s">
        <v>563</v>
      </c>
      <c r="C37216" s="16" t="n">
        <f aca="false">IF(C37194&gt;0,C37172-C37205,0)</f>
        <v>0</v>
      </c>
    </row>
    <row r="37217" customFormat="false" ht="15" hidden="false" customHeight="false" outlineLevel="0" collapsed="false">
      <c r="A37217" s="3" t="s">
        <v>564</v>
      </c>
      <c r="C37217" s="16" t="n">
        <f aca="false">IF(C37195&gt;0,C37173-C37206,0)</f>
        <v>0</v>
      </c>
    </row>
    <row r="37218" customFormat="false" ht="15" hidden="false" customHeight="false" outlineLevel="0" collapsed="false">
      <c r="A37218" s="3" t="s">
        <v>565</v>
      </c>
      <c r="C37218" s="16" t="n">
        <f aca="false">IF(C37196&gt;0,C37174-C37207,0)</f>
        <v>0</v>
      </c>
    </row>
    <row r="37219" customFormat="false" ht="15" hidden="false" customHeight="false" outlineLevel="0" collapsed="false">
      <c r="A37219" s="24" t="s">
        <v>570</v>
      </c>
      <c r="B37219" s="25"/>
      <c r="C37219" s="25"/>
      <c r="D37219" s="25"/>
      <c r="E37219" s="25"/>
      <c r="F37219" s="25"/>
      <c r="G37219" s="25"/>
      <c r="H37219" s="25"/>
      <c r="I37219" s="25"/>
      <c r="J37219" s="25"/>
      <c r="K37219" s="25"/>
    </row>
    <row r="37220" customFormat="false" ht="15" hidden="false" customHeight="false" outlineLevel="0" collapsed="false">
      <c r="A37220" s="3" t="s">
        <v>556</v>
      </c>
      <c r="C37220" s="16" t="n">
        <f aca="false">IF(C37187&gt;0,C37209,C37165)</f>
        <v>0</v>
      </c>
    </row>
    <row r="37221" customFormat="false" ht="15" hidden="false" customHeight="false" outlineLevel="0" collapsed="false">
      <c r="A37221" s="3" t="s">
        <v>557</v>
      </c>
      <c r="C37221" s="16" t="n">
        <f aca="false">IF(C37188&gt;0,C37210,C37166)</f>
        <v>10.010866055841</v>
      </c>
    </row>
    <row r="37222" customFormat="false" ht="15" hidden="false" customHeight="false" outlineLevel="0" collapsed="false">
      <c r="A37222" s="3" t="s">
        <v>558</v>
      </c>
      <c r="C37222" s="16" t="n">
        <f aca="false">IF(C37189&gt;0,C37211,C37167)</f>
        <v>6.42182385371699</v>
      </c>
    </row>
    <row r="37223" customFormat="false" ht="15" hidden="false" customHeight="false" outlineLevel="0" collapsed="false">
      <c r="A37223" s="3" t="s">
        <v>559</v>
      </c>
      <c r="C37223" s="16" t="n">
        <f aca="false">IF(C37190&gt;0,C37212,C37168)</f>
        <v>0</v>
      </c>
    </row>
    <row r="37224" customFormat="false" ht="15" hidden="false" customHeight="false" outlineLevel="0" collapsed="false">
      <c r="A37224" s="3" t="s">
        <v>560</v>
      </c>
      <c r="C37224" s="16" t="n">
        <f aca="false">IF(C37191&gt;0,C37213,C37169)</f>
        <v>401.446357881</v>
      </c>
    </row>
    <row r="37225" customFormat="false" ht="15" hidden="false" customHeight="false" outlineLevel="0" collapsed="false">
      <c r="A37225" s="3" t="s">
        <v>561</v>
      </c>
      <c r="C37225" s="16" t="n">
        <f aca="false">IF(C37192&gt;0,C37214,C37170)</f>
        <v>350</v>
      </c>
    </row>
    <row r="37226" customFormat="false" ht="15" hidden="false" customHeight="false" outlineLevel="0" collapsed="false">
      <c r="A37226" s="3" t="s">
        <v>562</v>
      </c>
      <c r="C37226" s="16" t="n">
        <f aca="false">IF(C37193&gt;0,C37215,C37171)</f>
        <v>550</v>
      </c>
    </row>
    <row r="37227" customFormat="false" ht="15" hidden="false" customHeight="false" outlineLevel="0" collapsed="false">
      <c r="A37227" s="3" t="s">
        <v>563</v>
      </c>
      <c r="C37227" s="16" t="n">
        <f aca="false">IF(C37194&gt;0,C37216,C37172)</f>
        <v>350</v>
      </c>
    </row>
    <row r="37228" customFormat="false" ht="15" hidden="false" customHeight="false" outlineLevel="0" collapsed="false">
      <c r="A37228" s="3" t="s">
        <v>564</v>
      </c>
      <c r="C37228" s="16" t="n">
        <f aca="false">IF(C37195&gt;0,C37217,C37173)</f>
        <v>300</v>
      </c>
    </row>
    <row r="37229" customFormat="false" ht="15" hidden="false" customHeight="false" outlineLevel="0" collapsed="false">
      <c r="A37229" s="3" t="s">
        <v>565</v>
      </c>
      <c r="C37229" s="16" t="n">
        <f aca="false">IF(C37196&gt;0,C37218,C37174)</f>
        <v>78.61</v>
      </c>
    </row>
    <row r="37230" customFormat="false" ht="15" hidden="false" customHeight="false" outlineLevel="0" collapsed="false">
      <c r="A37230" s="24" t="s">
        <v>571</v>
      </c>
      <c r="B37230" s="25"/>
      <c r="C37230" s="25"/>
      <c r="D37230" s="25"/>
      <c r="E37230" s="25"/>
      <c r="F37230" s="25"/>
      <c r="G37230" s="25"/>
      <c r="H37230" s="25"/>
      <c r="I37230" s="25"/>
      <c r="J37230" s="25"/>
      <c r="K37230" s="25"/>
    </row>
    <row r="37231" customFormat="false" ht="15" hidden="false" customHeight="false" outlineLevel="0" collapsed="false">
      <c r="A37231" s="3" t="s">
        <v>556</v>
      </c>
      <c r="C37231" s="21" t="n">
        <f aca="false">IF(C37187&gt;0,Assumptions!$C$17,C37176)</f>
        <v>99</v>
      </c>
    </row>
    <row r="37232" customFormat="false" ht="15" hidden="false" customHeight="false" outlineLevel="0" collapsed="false">
      <c r="A37232" s="3" t="s">
        <v>557</v>
      </c>
      <c r="C37232" s="21" t="n">
        <f aca="false">IF(C37188&gt;0,Assumptions!$C$17,C37177)</f>
        <v>99</v>
      </c>
    </row>
    <row r="37233" customFormat="false" ht="15" hidden="false" customHeight="false" outlineLevel="0" collapsed="false">
      <c r="A37233" s="3" t="s">
        <v>558</v>
      </c>
      <c r="C37233" s="21" t="n">
        <f aca="false">IF(C37189&gt;0,Assumptions!$C$17,C37178)</f>
        <v>99</v>
      </c>
    </row>
    <row r="37234" customFormat="false" ht="15" hidden="false" customHeight="false" outlineLevel="0" collapsed="false">
      <c r="A37234" s="3" t="s">
        <v>559</v>
      </c>
      <c r="C37234" s="21" t="n">
        <f aca="false">IF(C37190&gt;0,Assumptions!$C$17,C37179)</f>
        <v>2</v>
      </c>
    </row>
    <row r="37235" customFormat="false" ht="15" hidden="false" customHeight="false" outlineLevel="0" collapsed="false">
      <c r="A37235" s="3" t="s">
        <v>560</v>
      </c>
      <c r="C37235" s="21" t="n">
        <f aca="false">IF(C37191&gt;0,Assumptions!$C$17,C37180)</f>
        <v>2</v>
      </c>
    </row>
    <row r="37236" customFormat="false" ht="15" hidden="false" customHeight="false" outlineLevel="0" collapsed="false">
      <c r="A37236" s="3" t="s">
        <v>561</v>
      </c>
      <c r="C37236" s="21" t="n">
        <f aca="false">IF(C37192&gt;0,Assumptions!$C$17,C37181)</f>
        <v>2</v>
      </c>
    </row>
    <row r="37237" customFormat="false" ht="15" hidden="false" customHeight="false" outlineLevel="0" collapsed="false">
      <c r="A37237" s="3" t="s">
        <v>562</v>
      </c>
      <c r="C37237" s="21" t="n">
        <f aca="false">IF(C37193&gt;0,Assumptions!$C$17,C37182)</f>
        <v>2</v>
      </c>
    </row>
    <row r="37238" customFormat="false" ht="15" hidden="false" customHeight="false" outlineLevel="0" collapsed="false">
      <c r="A37238" s="3" t="s">
        <v>563</v>
      </c>
      <c r="C37238" s="21" t="n">
        <f aca="false">IF(C37194&gt;0,Assumptions!$C$17,C37183)</f>
        <v>2</v>
      </c>
    </row>
    <row r="37239" customFormat="false" ht="15" hidden="false" customHeight="false" outlineLevel="0" collapsed="false">
      <c r="A37239" s="3" t="s">
        <v>564</v>
      </c>
      <c r="C37239" s="21" t="n">
        <f aca="false">IF(C37195&gt;0,Assumptions!$C$17,C37184)</f>
        <v>2</v>
      </c>
    </row>
    <row r="37240" customFormat="false" ht="15" hidden="false" customHeight="false" outlineLevel="0" collapsed="false">
      <c r="A37240" s="3" t="s">
        <v>565</v>
      </c>
      <c r="C37240" s="21" t="n">
        <f aca="false">IF(C37196&gt;0,Assumptions!$C$17,C37185)</f>
        <v>3</v>
      </c>
    </row>
    <row r="37241" customFormat="false" ht="15" hidden="false" customHeight="false" outlineLevel="0" collapsed="false">
      <c r="A37241" s="24" t="s">
        <v>572</v>
      </c>
      <c r="B37241" s="25"/>
      <c r="C37241" s="25"/>
      <c r="D37241" s="25"/>
      <c r="E37241" s="25"/>
      <c r="F37241" s="25"/>
      <c r="G37241" s="25"/>
      <c r="H37241" s="25"/>
      <c r="I37241" s="25"/>
      <c r="J37241" s="25"/>
      <c r="K37241" s="25"/>
    </row>
    <row r="37242" customFormat="false" ht="15" hidden="false" customHeight="false" outlineLevel="0" collapsed="false">
      <c r="A37242" s="3" t="s">
        <v>556</v>
      </c>
      <c r="C37242" s="16" t="n">
        <f aca="false">SUMPRODUCT(($C$37231:$C$37240&lt;C37231)*$C$37220:$C$37229)</f>
        <v>2030.056357881</v>
      </c>
    </row>
    <row r="37243" customFormat="false" ht="15" hidden="false" customHeight="false" outlineLevel="0" collapsed="false">
      <c r="A37243" s="3" t="s">
        <v>557</v>
      </c>
      <c r="C37243" s="16" t="n">
        <f aca="false">SUMPRODUCT(($C$37231:$C$37240&lt;C37232)*$C$37220:$C$37229)</f>
        <v>2030.056357881</v>
      </c>
    </row>
    <row r="37244" customFormat="false" ht="15" hidden="false" customHeight="false" outlineLevel="0" collapsed="false">
      <c r="A37244" s="3" t="s">
        <v>558</v>
      </c>
      <c r="C37244" s="16" t="n">
        <f aca="false">SUMPRODUCT(($C$37231:$C$37240&lt;C37233)*$C$37220:$C$37229)</f>
        <v>2030.056357881</v>
      </c>
    </row>
    <row r="37245" customFormat="false" ht="15" hidden="false" customHeight="false" outlineLevel="0" collapsed="false">
      <c r="A37245" s="3" t="s">
        <v>559</v>
      </c>
      <c r="C37245" s="16" t="n">
        <f aca="false">SUMPRODUCT(($C$37231:$C$37240&lt;C37234)*$C$37220:$C$37229)</f>
        <v>0</v>
      </c>
    </row>
    <row r="37246" customFormat="false" ht="15" hidden="false" customHeight="false" outlineLevel="0" collapsed="false">
      <c r="A37246" s="3" t="s">
        <v>560</v>
      </c>
      <c r="C37246" s="16" t="n">
        <f aca="false">SUMPRODUCT(($C$37231:$C$37240&lt;C37235)*$C$37220:$C$37229)</f>
        <v>0</v>
      </c>
    </row>
    <row r="37247" customFormat="false" ht="15" hidden="false" customHeight="false" outlineLevel="0" collapsed="false">
      <c r="A37247" s="3" t="s">
        <v>561</v>
      </c>
      <c r="C37247" s="16" t="n">
        <f aca="false">SUMPRODUCT(($C$37231:$C$37240&lt;C37236)*$C$37220:$C$37229)</f>
        <v>0</v>
      </c>
    </row>
    <row r="37248" customFormat="false" ht="15" hidden="false" customHeight="false" outlineLevel="0" collapsed="false">
      <c r="A37248" s="3" t="s">
        <v>562</v>
      </c>
      <c r="C37248" s="16" t="n">
        <f aca="false">SUMPRODUCT(($C$37231:$C$37240&lt;C37237)*$C$37220:$C$37229)</f>
        <v>0</v>
      </c>
    </row>
    <row r="37249" customFormat="false" ht="15" hidden="false" customHeight="false" outlineLevel="0" collapsed="false">
      <c r="A37249" s="3" t="s">
        <v>563</v>
      </c>
      <c r="C37249" s="16" t="n">
        <f aca="false">SUMPRODUCT(($C$37231:$C$37240&lt;C37238)*$C$37220:$C$37229)</f>
        <v>0</v>
      </c>
    </row>
    <row r="37250" customFormat="false" ht="15" hidden="false" customHeight="false" outlineLevel="0" collapsed="false">
      <c r="A37250" s="3" t="s">
        <v>564</v>
      </c>
      <c r="C37250" s="16" t="n">
        <f aca="false">SUMPRODUCT(($C$37231:$C$37240&lt;C37239)*$C$37220:$C$37229)</f>
        <v>0</v>
      </c>
    </row>
    <row r="37251" customFormat="false" ht="15" hidden="false" customHeight="false" outlineLevel="0" collapsed="false">
      <c r="A37251" s="3" t="s">
        <v>565</v>
      </c>
      <c r="C37251" s="16" t="n">
        <f aca="false">SUMPRODUCT(($C$37231:$C$37240&lt;C37240)*$C$37220:$C$37229)</f>
        <v>1951.446357881</v>
      </c>
    </row>
    <row r="37252" customFormat="false" ht="15" hidden="false" customHeight="false" outlineLevel="0" collapsed="false">
      <c r="A37252" s="24" t="s">
        <v>573</v>
      </c>
      <c r="B37252" s="25"/>
      <c r="C37252" s="25"/>
      <c r="D37252" s="25"/>
      <c r="E37252" s="25"/>
      <c r="F37252" s="25"/>
      <c r="G37252" s="25"/>
      <c r="H37252" s="25"/>
      <c r="I37252" s="25"/>
      <c r="J37252" s="25"/>
      <c r="K37252" s="25"/>
    </row>
    <row r="37253" customFormat="false" ht="15" hidden="false" customHeight="false" outlineLevel="0" collapsed="false">
      <c r="A37253" s="3" t="s">
        <v>556</v>
      </c>
      <c r="C37253" s="16" t="n">
        <f aca="false">SUMPRODUCT(($C$37231:$C$37240=C37231)*$C$37220:$C$37229)</f>
        <v>16.432689909558</v>
      </c>
    </row>
    <row r="37254" customFormat="false" ht="15" hidden="false" customHeight="false" outlineLevel="0" collapsed="false">
      <c r="A37254" s="3" t="s">
        <v>557</v>
      </c>
      <c r="C37254" s="16" t="n">
        <f aca="false">SUMPRODUCT(($C$37231:$C$37240=C37232)*$C$37220:$C$37229)</f>
        <v>16.432689909558</v>
      </c>
    </row>
    <row r="37255" customFormat="false" ht="15" hidden="false" customHeight="false" outlineLevel="0" collapsed="false">
      <c r="A37255" s="3" t="s">
        <v>558</v>
      </c>
      <c r="C37255" s="16" t="n">
        <f aca="false">SUMPRODUCT(($C$37231:$C$37240=C37233)*$C$37220:$C$37229)</f>
        <v>16.432689909558</v>
      </c>
    </row>
    <row r="37256" customFormat="false" ht="15" hidden="false" customHeight="false" outlineLevel="0" collapsed="false">
      <c r="A37256" s="3" t="s">
        <v>559</v>
      </c>
      <c r="C37256" s="16" t="n">
        <f aca="false">SUMPRODUCT(($C$37231:$C$37240=C37234)*$C$37220:$C$37229)</f>
        <v>1951.446357881</v>
      </c>
    </row>
    <row r="37257" customFormat="false" ht="15" hidden="false" customHeight="false" outlineLevel="0" collapsed="false">
      <c r="A37257" s="3" t="s">
        <v>560</v>
      </c>
      <c r="C37257" s="16" t="n">
        <f aca="false">SUMPRODUCT(($C$37231:$C$37240=C37235)*$C$37220:$C$37229)</f>
        <v>1951.446357881</v>
      </c>
    </row>
    <row r="37258" customFormat="false" ht="15" hidden="false" customHeight="false" outlineLevel="0" collapsed="false">
      <c r="A37258" s="3" t="s">
        <v>561</v>
      </c>
      <c r="C37258" s="16" t="n">
        <f aca="false">SUMPRODUCT(($C$37231:$C$37240=C37236)*$C$37220:$C$37229)</f>
        <v>1951.446357881</v>
      </c>
    </row>
    <row r="37259" customFormat="false" ht="15" hidden="false" customHeight="false" outlineLevel="0" collapsed="false">
      <c r="A37259" s="3" t="s">
        <v>562</v>
      </c>
      <c r="C37259" s="16" t="n">
        <f aca="false">SUMPRODUCT(($C$37231:$C$37240=C37237)*$C$37220:$C$37229)</f>
        <v>1951.446357881</v>
      </c>
    </row>
    <row r="37260" customFormat="false" ht="15" hidden="false" customHeight="false" outlineLevel="0" collapsed="false">
      <c r="A37260" s="3" t="s">
        <v>563</v>
      </c>
      <c r="C37260" s="16" t="n">
        <f aca="false">SUMPRODUCT(($C$37231:$C$37240=C37238)*$C$37220:$C$37229)</f>
        <v>1951.446357881</v>
      </c>
    </row>
    <row r="37261" customFormat="false" ht="15" hidden="false" customHeight="false" outlineLevel="0" collapsed="false">
      <c r="A37261" s="3" t="s">
        <v>564</v>
      </c>
      <c r="C37261" s="16" t="n">
        <f aca="false">SUMPRODUCT(($C$37231:$C$37240=C37239)*$C$37220:$C$37229)</f>
        <v>1951.446357881</v>
      </c>
    </row>
    <row r="37262" customFormat="false" ht="15" hidden="false" customHeight="false" outlineLevel="0" collapsed="false">
      <c r="A37262" s="3" t="s">
        <v>565</v>
      </c>
      <c r="C37262" s="16" t="n">
        <f aca="false">SUMPRODUCT(($C$37231:$C$37240=C37240)*$C$37220:$C$37229)</f>
        <v>78.61</v>
      </c>
    </row>
    <row r="37263" customFormat="false" ht="15" hidden="false" customHeight="false" outlineLevel="0" collapsed="false">
      <c r="A37263" s="24" t="s">
        <v>574</v>
      </c>
      <c r="B37263" s="25"/>
      <c r="C37263" s="25"/>
      <c r="D37263" s="25"/>
      <c r="E37263" s="25"/>
      <c r="F37263" s="25"/>
      <c r="G37263" s="25"/>
      <c r="H37263" s="25"/>
      <c r="I37263" s="25"/>
      <c r="J37263" s="25"/>
      <c r="K37263" s="25"/>
    </row>
    <row r="37264" customFormat="false" ht="15" hidden="false" customHeight="false" outlineLevel="0" collapsed="false">
      <c r="A37264" s="3" t="s">
        <v>556</v>
      </c>
      <c r="C37264" s="16" t="n">
        <f aca="false">IF(C37253=0,0,C37220/C37253*MAX(0,MIN(C37253,$C$37163-SUM($C$37198:$C$37207)-C37242)))</f>
        <v>0</v>
      </c>
    </row>
    <row r="37265" customFormat="false" ht="15" hidden="false" customHeight="false" outlineLevel="0" collapsed="false">
      <c r="A37265" s="3" t="s">
        <v>557</v>
      </c>
      <c r="C37265" s="16" t="n">
        <f aca="false">IF(C37254=0,0,C37221/C37254*MAX(0,MIN(C37254,$C$37163-SUM($C$37198:$C$37207)-C37243)))</f>
        <v>0</v>
      </c>
    </row>
    <row r="37266" customFormat="false" ht="15" hidden="false" customHeight="false" outlineLevel="0" collapsed="false">
      <c r="A37266" s="3" t="s">
        <v>558</v>
      </c>
      <c r="C37266" s="16" t="n">
        <f aca="false">IF(C37255=0,0,C37222/C37255*MAX(0,MIN(C37255,$C$37163-SUM($C$37198:$C$37207)-C37244)))</f>
        <v>0</v>
      </c>
    </row>
    <row r="37267" customFormat="false" ht="15" hidden="false" customHeight="false" outlineLevel="0" collapsed="false">
      <c r="A37267" s="3" t="s">
        <v>559</v>
      </c>
      <c r="C37267" s="16" t="n">
        <f aca="false">IF(C37256=0,0,C37223/C37256*MAX(0,MIN(C37256,$C$37163-SUM($C$37198:$C$37207)-C37245)))</f>
        <v>0</v>
      </c>
    </row>
    <row r="37268" customFormat="false" ht="15" hidden="false" customHeight="false" outlineLevel="0" collapsed="false">
      <c r="A37268" s="3" t="s">
        <v>560</v>
      </c>
      <c r="C37268" s="16" t="n">
        <f aca="false">IF(C37257=0,0,C37224/C37257*MAX(0,MIN(C37257,$C$37163-SUM($C$37198:$C$37207)-C37246)))</f>
        <v>391.896029401918</v>
      </c>
    </row>
    <row r="37269" customFormat="false" ht="15" hidden="false" customHeight="false" outlineLevel="0" collapsed="false">
      <c r="A37269" s="3" t="s">
        <v>561</v>
      </c>
      <c r="C37269" s="16" t="n">
        <f aca="false">IF(C37258=0,0,C37225/C37258*MAX(0,MIN(C37258,$C$37163-SUM($C$37198:$C$37207)-C37247)))</f>
        <v>341.673570074661</v>
      </c>
    </row>
    <row r="37270" customFormat="false" ht="15" hidden="false" customHeight="false" outlineLevel="0" collapsed="false">
      <c r="A37270" s="3" t="s">
        <v>562</v>
      </c>
      <c r="C37270" s="16" t="n">
        <f aca="false">IF(C37259=0,0,C37226/C37259*MAX(0,MIN(C37259,$C$37163-SUM($C$37198:$C$37207)-C37248)))</f>
        <v>536.915610117324</v>
      </c>
    </row>
    <row r="37271" customFormat="false" ht="15" hidden="false" customHeight="false" outlineLevel="0" collapsed="false">
      <c r="A37271" s="3" t="s">
        <v>563</v>
      </c>
      <c r="C37271" s="16" t="n">
        <f aca="false">IF(C37260=0,0,C37227/C37260*MAX(0,MIN(C37260,$C$37163-SUM($C$37198:$C$37207)-C37249)))</f>
        <v>341.673570074661</v>
      </c>
    </row>
    <row r="37272" customFormat="false" ht="15" hidden="false" customHeight="false" outlineLevel="0" collapsed="false">
      <c r="A37272" s="3" t="s">
        <v>564</v>
      </c>
      <c r="C37272" s="16" t="n">
        <f aca="false">IF(C37261=0,0,C37228/C37261*MAX(0,MIN(C37261,$C$37163-SUM($C$37198:$C$37207)-C37250)))</f>
        <v>292.863060063995</v>
      </c>
    </row>
    <row r="37273" customFormat="false" ht="15" hidden="false" customHeight="false" outlineLevel="0" collapsed="false">
      <c r="A37273" s="3" t="s">
        <v>565</v>
      </c>
      <c r="C37273" s="16" t="n">
        <f aca="false">IF(C37262=0,0,C37229/C37262*MAX(0,MIN(C37262,$C$37163-SUM($C$37198:$C$37207)-C37251)))</f>
        <v>0</v>
      </c>
    </row>
    <row r="37274" customFormat="false" ht="15" hidden="false" customHeight="false" outlineLevel="0" collapsed="false">
      <c r="A37274" s="24" t="s">
        <v>575</v>
      </c>
      <c r="B37274" s="25"/>
      <c r="C37274" s="25"/>
      <c r="D37274" s="25"/>
      <c r="E37274" s="25"/>
      <c r="F37274" s="25"/>
      <c r="G37274" s="25"/>
      <c r="H37274" s="25"/>
      <c r="I37274" s="25"/>
      <c r="J37274" s="25"/>
      <c r="K37274" s="25"/>
    </row>
    <row r="37275" customFormat="false" ht="15" hidden="false" customHeight="false" outlineLevel="0" collapsed="false">
      <c r="A37275" s="2" t="s">
        <v>556</v>
      </c>
      <c r="C37275" s="17" t="n">
        <f aca="false">C37198+C37264</f>
        <v>388</v>
      </c>
    </row>
    <row r="37276" customFormat="false" ht="15" hidden="false" customHeight="false" outlineLevel="0" collapsed="false">
      <c r="A37276" s="2" t="s">
        <v>557</v>
      </c>
      <c r="C37276" s="17" t="n">
        <f aca="false">C37199+C37265</f>
        <v>79.989133944159</v>
      </c>
    </row>
    <row r="37277" customFormat="false" ht="15" hidden="false" customHeight="false" outlineLevel="0" collapsed="false">
      <c r="A37277" s="2" t="s">
        <v>558</v>
      </c>
      <c r="C37277" s="17" t="n">
        <f aca="false">C37200+C37266</f>
        <v>50.902176146283</v>
      </c>
    </row>
    <row r="37278" customFormat="false" ht="15" hidden="false" customHeight="false" outlineLevel="0" collapsed="false">
      <c r="A37278" s="2" t="s">
        <v>559</v>
      </c>
      <c r="C37278" s="17" t="n">
        <f aca="false">C37201+C37267</f>
        <v>0</v>
      </c>
    </row>
    <row r="37279" customFormat="false" ht="15" hidden="false" customHeight="false" outlineLevel="0" collapsed="false">
      <c r="A37279" s="2" t="s">
        <v>560</v>
      </c>
      <c r="C37279" s="17" t="n">
        <f aca="false">C37202+C37268</f>
        <v>391.896029401918</v>
      </c>
    </row>
    <row r="37280" customFormat="false" ht="15" hidden="false" customHeight="false" outlineLevel="0" collapsed="false">
      <c r="A37280" s="2" t="s">
        <v>561</v>
      </c>
      <c r="C37280" s="17" t="n">
        <f aca="false">C37203+C37269</f>
        <v>341.673570074661</v>
      </c>
    </row>
    <row r="37281" customFormat="false" ht="15" hidden="false" customHeight="false" outlineLevel="0" collapsed="false">
      <c r="A37281" s="2" t="s">
        <v>562</v>
      </c>
      <c r="C37281" s="17" t="n">
        <f aca="false">C37204+C37270</f>
        <v>536.915610117324</v>
      </c>
    </row>
    <row r="37282" customFormat="false" ht="15" hidden="false" customHeight="false" outlineLevel="0" collapsed="false">
      <c r="A37282" s="2" t="s">
        <v>563</v>
      </c>
      <c r="C37282" s="17" t="n">
        <f aca="false">C37205+C37271</f>
        <v>341.673570074661</v>
      </c>
    </row>
    <row r="37283" customFormat="false" ht="15" hidden="false" customHeight="false" outlineLevel="0" collapsed="false">
      <c r="A37283" s="2" t="s">
        <v>564</v>
      </c>
      <c r="C37283" s="17" t="n">
        <f aca="false">C37206+C37272</f>
        <v>292.863060063995</v>
      </c>
    </row>
    <row r="37284" customFormat="false" ht="15" hidden="false" customHeight="false" outlineLevel="0" collapsed="false">
      <c r="A37284" s="2" t="s">
        <v>565</v>
      </c>
      <c r="C37284" s="17" t="n">
        <f aca="false">C37207+C37273</f>
        <v>0</v>
      </c>
    </row>
    <row r="37285" customFormat="false" ht="15" hidden="false" customHeight="false" outlineLevel="0" collapsed="false">
      <c r="A37285" s="24" t="s">
        <v>576</v>
      </c>
      <c r="B37285" s="25"/>
      <c r="C37285" s="25"/>
      <c r="D37285" s="25"/>
      <c r="E37285" s="25"/>
      <c r="F37285" s="25"/>
      <c r="G37285" s="25"/>
      <c r="H37285" s="25"/>
      <c r="I37285" s="25"/>
      <c r="J37285" s="25"/>
      <c r="K37285" s="25"/>
    </row>
    <row r="37286" customFormat="false" ht="15" hidden="false" customHeight="false" outlineLevel="0" collapsed="false">
      <c r="A37286" s="3" t="s">
        <v>556</v>
      </c>
      <c r="C37286" s="22" t="n">
        <f aca="false">IF(C37165=0,1,C37275/C37165)</f>
        <v>1</v>
      </c>
    </row>
    <row r="37287" customFormat="false" ht="15" hidden="false" customHeight="false" outlineLevel="0" collapsed="false">
      <c r="A37287" s="3" t="s">
        <v>557</v>
      </c>
      <c r="C37287" s="22" t="n">
        <f aca="false">IF(C37166=0,1,C37276/C37166)</f>
        <v>0.8887681549351</v>
      </c>
    </row>
    <row r="37288" customFormat="false" ht="15" hidden="false" customHeight="false" outlineLevel="0" collapsed="false">
      <c r="A37288" s="3" t="s">
        <v>558</v>
      </c>
      <c r="C37288" s="22" t="n">
        <f aca="false">IF(C37167=0,1,C37277/C37167)</f>
        <v>0.887973207492202</v>
      </c>
    </row>
    <row r="37289" customFormat="false" ht="15" hidden="false" customHeight="false" outlineLevel="0" collapsed="false">
      <c r="A37289" s="3" t="s">
        <v>559</v>
      </c>
      <c r="C37289" s="22" t="n">
        <f aca="false">IF(C37168=0,1,C37278/C37168)</f>
        <v>1</v>
      </c>
    </row>
    <row r="37290" customFormat="false" ht="15" hidden="false" customHeight="false" outlineLevel="0" collapsed="false">
      <c r="A37290" s="3" t="s">
        <v>560</v>
      </c>
      <c r="C37290" s="22" t="n">
        <f aca="false">IF(C37169=0,1,C37279/C37169)</f>
        <v>0.976210200213317</v>
      </c>
    </row>
    <row r="37291" customFormat="false" ht="15" hidden="false" customHeight="false" outlineLevel="0" collapsed="false">
      <c r="A37291" s="3" t="s">
        <v>561</v>
      </c>
      <c r="C37291" s="22" t="n">
        <f aca="false">IF(C37170=0,1,C37280/C37170)</f>
        <v>0.976210200213316</v>
      </c>
    </row>
    <row r="37292" customFormat="false" ht="15" hidden="false" customHeight="false" outlineLevel="0" collapsed="false">
      <c r="A37292" s="3" t="s">
        <v>562</v>
      </c>
      <c r="C37292" s="22" t="n">
        <f aca="false">IF(C37171=0,1,C37281/C37171)</f>
        <v>0.976210200213317</v>
      </c>
    </row>
    <row r="37293" customFormat="false" ht="15" hidden="false" customHeight="false" outlineLevel="0" collapsed="false">
      <c r="A37293" s="3" t="s">
        <v>563</v>
      </c>
      <c r="C37293" s="22" t="n">
        <f aca="false">IF(C37172=0,1,C37282/C37172)</f>
        <v>0.976210200213316</v>
      </c>
    </row>
    <row r="37294" customFormat="false" ht="15" hidden="false" customHeight="false" outlineLevel="0" collapsed="false">
      <c r="A37294" s="3" t="s">
        <v>564</v>
      </c>
      <c r="C37294" s="22" t="n">
        <f aca="false">IF(C37173=0,1,C37283/C37173)</f>
        <v>0.976210200213317</v>
      </c>
    </row>
    <row r="37295" customFormat="false" ht="15" hidden="false" customHeight="false" outlineLevel="0" collapsed="false">
      <c r="A37295" s="3" t="s">
        <v>565</v>
      </c>
      <c r="C37295" s="22" t="n">
        <f aca="false">IF(C37174=0,1,C37284/C37174)</f>
        <v>0</v>
      </c>
    </row>
    <row r="37296" customFormat="false" ht="15" hidden="false" customHeight="false" outlineLevel="0" collapsed="false">
      <c r="A37296" s="24" t="s">
        <v>577</v>
      </c>
      <c r="B37296" s="25"/>
      <c r="C37296" s="25"/>
      <c r="D37296" s="25"/>
      <c r="E37296" s="25"/>
      <c r="F37296" s="25"/>
      <c r="G37296" s="25"/>
      <c r="H37296" s="25"/>
      <c r="I37296" s="25"/>
      <c r="J37296" s="25"/>
      <c r="K37296" s="25"/>
    </row>
    <row r="37297" customFormat="false" ht="15" hidden="false" customHeight="false" outlineLevel="0" collapsed="false">
      <c r="A37297" s="3" t="s">
        <v>556</v>
      </c>
      <c r="C37297" s="16" t="n">
        <f aca="false">C37165-C37275</f>
        <v>0</v>
      </c>
    </row>
    <row r="37298" customFormat="false" ht="15" hidden="false" customHeight="false" outlineLevel="0" collapsed="false">
      <c r="A37298" s="3" t="s">
        <v>557</v>
      </c>
      <c r="C37298" s="16" t="n">
        <f aca="false">C37166-C37276</f>
        <v>10.010866055841</v>
      </c>
    </row>
    <row r="37299" customFormat="false" ht="15" hidden="false" customHeight="false" outlineLevel="0" collapsed="false">
      <c r="A37299" s="3" t="s">
        <v>558</v>
      </c>
      <c r="C37299" s="16" t="n">
        <f aca="false">C37167-C37277</f>
        <v>6.42182385371699</v>
      </c>
    </row>
    <row r="37300" customFormat="false" ht="15" hidden="false" customHeight="false" outlineLevel="0" collapsed="false">
      <c r="A37300" s="3" t="s">
        <v>559</v>
      </c>
      <c r="C37300" s="16" t="n">
        <f aca="false">C37168-C37278</f>
        <v>0</v>
      </c>
    </row>
    <row r="37301" customFormat="false" ht="15" hidden="false" customHeight="false" outlineLevel="0" collapsed="false">
      <c r="A37301" s="3" t="s">
        <v>560</v>
      </c>
      <c r="C37301" s="16" t="n">
        <f aca="false">C37169-C37279</f>
        <v>9.55032847908228</v>
      </c>
    </row>
    <row r="37302" customFormat="false" ht="15" hidden="false" customHeight="false" outlineLevel="0" collapsed="false">
      <c r="A37302" s="3" t="s">
        <v>561</v>
      </c>
      <c r="C37302" s="16" t="n">
        <f aca="false">C37170-C37280</f>
        <v>8.32642992533926</v>
      </c>
    </row>
    <row r="37303" customFormat="false" ht="15" hidden="false" customHeight="false" outlineLevel="0" collapsed="false">
      <c r="A37303" s="3" t="s">
        <v>562</v>
      </c>
      <c r="C37303" s="16" t="n">
        <f aca="false">C37171-C37281</f>
        <v>13.0843898826759</v>
      </c>
    </row>
    <row r="37304" customFormat="false" ht="15" hidden="false" customHeight="false" outlineLevel="0" collapsed="false">
      <c r="A37304" s="3" t="s">
        <v>563</v>
      </c>
      <c r="C37304" s="16" t="n">
        <f aca="false">C37172-C37282</f>
        <v>8.32642992533926</v>
      </c>
    </row>
    <row r="37305" customFormat="false" ht="15" hidden="false" customHeight="false" outlineLevel="0" collapsed="false">
      <c r="A37305" s="3" t="s">
        <v>564</v>
      </c>
      <c r="C37305" s="16" t="n">
        <f aca="false">C37173-C37283</f>
        <v>7.13693993600504</v>
      </c>
    </row>
    <row r="37306" customFormat="false" ht="15" hidden="false" customHeight="false" outlineLevel="0" collapsed="false">
      <c r="A37306" s="3" t="s">
        <v>565</v>
      </c>
      <c r="C37306" s="16" t="n">
        <f aca="false">C37174-C37284</f>
        <v>78.61</v>
      </c>
    </row>
    <row r="37307" customFormat="false" ht="15" hidden="false" customHeight="false" outlineLevel="0" collapsed="false">
      <c r="A37307" s="24" t="s">
        <v>578</v>
      </c>
      <c r="B37307" s="25"/>
      <c r="C37307" s="25"/>
      <c r="D37307" s="25"/>
      <c r="E37307" s="25"/>
      <c r="F37307" s="25"/>
      <c r="G37307" s="25"/>
      <c r="H37307" s="25"/>
      <c r="I37307" s="25"/>
      <c r="J37307" s="25"/>
      <c r="K37307" s="25"/>
    </row>
    <row r="37308" customFormat="false" ht="15" hidden="false" customHeight="false" outlineLevel="0" collapsed="false">
      <c r="A37308" s="3" t="s">
        <v>556</v>
      </c>
      <c r="C37308" s="22" t="n">
        <f aca="false">IF(C37165=0,0,C37297/C37165)</f>
        <v>0</v>
      </c>
    </row>
    <row r="37309" customFormat="false" ht="15" hidden="false" customHeight="false" outlineLevel="0" collapsed="false">
      <c r="A37309" s="3" t="s">
        <v>557</v>
      </c>
      <c r="C37309" s="22" t="n">
        <f aca="false">IF(C37166=0,0,C37298/C37166)</f>
        <v>0.1112318450649</v>
      </c>
    </row>
    <row r="37310" customFormat="false" ht="15" hidden="false" customHeight="false" outlineLevel="0" collapsed="false">
      <c r="A37310" s="3" t="s">
        <v>558</v>
      </c>
      <c r="C37310" s="22" t="n">
        <f aca="false">IF(C37167=0,0,C37299/C37167)</f>
        <v>0.112026792507798</v>
      </c>
    </row>
    <row r="37311" customFormat="false" ht="15" hidden="false" customHeight="false" outlineLevel="0" collapsed="false">
      <c r="A37311" s="3" t="s">
        <v>559</v>
      </c>
      <c r="C37311" s="22" t="n">
        <f aca="false">IF(C37168=0,0,C37300/C37168)</f>
        <v>0</v>
      </c>
    </row>
    <row r="37312" customFormat="false" ht="15" hidden="false" customHeight="false" outlineLevel="0" collapsed="false">
      <c r="A37312" s="3" t="s">
        <v>560</v>
      </c>
      <c r="C37312" s="22" t="n">
        <f aca="false">IF(C37169=0,0,C37301/C37169)</f>
        <v>0.0237897997866835</v>
      </c>
    </row>
    <row r="37313" customFormat="false" ht="15" hidden="false" customHeight="false" outlineLevel="0" collapsed="false">
      <c r="A37313" s="3" t="s">
        <v>561</v>
      </c>
      <c r="C37313" s="22" t="n">
        <f aca="false">IF(C37170=0,0,C37302/C37170)</f>
        <v>0.0237897997866836</v>
      </c>
    </row>
    <row r="37314" customFormat="false" ht="15" hidden="false" customHeight="false" outlineLevel="0" collapsed="false">
      <c r="A37314" s="3" t="s">
        <v>562</v>
      </c>
      <c r="C37314" s="22" t="n">
        <f aca="false">IF(C37171=0,0,C37303/C37171)</f>
        <v>0.0237897997866834</v>
      </c>
    </row>
    <row r="37315" customFormat="false" ht="15" hidden="false" customHeight="false" outlineLevel="0" collapsed="false">
      <c r="A37315" s="3" t="s">
        <v>563</v>
      </c>
      <c r="C37315" s="22" t="n">
        <f aca="false">IF(C37172=0,0,C37304/C37172)</f>
        <v>0.0237897997866836</v>
      </c>
    </row>
    <row r="37316" customFormat="false" ht="15" hidden="false" customHeight="false" outlineLevel="0" collapsed="false">
      <c r="A37316" s="3" t="s">
        <v>564</v>
      </c>
      <c r="C37316" s="22" t="n">
        <f aca="false">IF(C37173=0,0,C37305/C37173)</f>
        <v>0.0237897997866835</v>
      </c>
    </row>
    <row r="37317" customFormat="false" ht="15" hidden="false" customHeight="false" outlineLevel="0" collapsed="false">
      <c r="A37317" s="3" t="s">
        <v>565</v>
      </c>
      <c r="C37317" s="22" t="n">
        <f aca="false">IF(C37174=0,0,C37306/C37174)</f>
        <v>1</v>
      </c>
    </row>
    <row r="37318" customFormat="false" ht="15" hidden="false" customHeight="false" outlineLevel="0" collapsed="false">
      <c r="A37318" s="2" t="s">
        <v>579</v>
      </c>
      <c r="C37318" s="17" t="n">
        <f aca="false">MAX(0,$C$37163-SUM($C$37198:$C$37207)-SUM($C$37220:$C$37229))</f>
        <v>0</v>
      </c>
    </row>
    <row r="37319" customFormat="false" ht="15" hidden="false" customHeight="false" outlineLevel="0" collapsed="false">
      <c r="A37319" s="3" t="s">
        <v>597</v>
      </c>
      <c r="C37319" s="35" t="n">
        <f aca="false">MIN(C37162,100*CHOOSE(C37152,C37286,C37287,C37288,C37289,C37290,C37291,C37292,C37293,C37294,C37295))</f>
        <v>95</v>
      </c>
    </row>
    <row r="37320" customFormat="false" ht="15" hidden="false" customHeight="false" outlineLevel="0" collapsed="false">
      <c r="A37320" s="3" t="s">
        <v>598</v>
      </c>
      <c r="C37320" s="21" t="n">
        <f aca="false">IF(C36984=1,C37157+Assumptions!$C$40,C37156)</f>
        <v>3</v>
      </c>
    </row>
    <row r="37321" customFormat="false" ht="15" hidden="false" customHeight="false" outlineLevel="0" collapsed="false">
      <c r="A37321" s="24" t="s">
        <v>599</v>
      </c>
      <c r="B37321" s="25"/>
      <c r="C37321" s="25"/>
      <c r="D37321" s="25"/>
      <c r="E37321" s="25"/>
      <c r="F37321" s="25"/>
      <c r="G37321" s="25"/>
      <c r="H37321" s="25"/>
      <c r="I37321" s="25"/>
      <c r="J37321" s="25"/>
      <c r="K37321" s="25"/>
    </row>
    <row r="37322" customFormat="false" ht="15" hidden="false" customHeight="false" outlineLevel="0" collapsed="false">
      <c r="A37322" s="3" t="s">
        <v>600</v>
      </c>
      <c r="C37322" s="21" t="n">
        <f aca="false">COLUMN()-COLUMN($C$1)</f>
        <v>0</v>
      </c>
      <c r="D37322" s="21" t="n">
        <f aca="false">COLUMN()-COLUMN($C$1)</f>
        <v>1</v>
      </c>
      <c r="E37322" s="21" t="n">
        <f aca="false">COLUMN()-COLUMN($C$1)</f>
        <v>2</v>
      </c>
      <c r="F37322" s="21" t="n">
        <f aca="false">COLUMN()-COLUMN($C$1)</f>
        <v>3</v>
      </c>
      <c r="G37322" s="21" t="n">
        <f aca="false">COLUMN()-COLUMN($C$1)</f>
        <v>4</v>
      </c>
      <c r="H37322" s="21" t="n">
        <f aca="false">COLUMN()-COLUMN($C$1)</f>
        <v>5</v>
      </c>
      <c r="I37322" s="21" t="n">
        <f aca="false">COLUMN()-COLUMN($C$1)</f>
        <v>6</v>
      </c>
    </row>
    <row r="37323" customFormat="false" ht="15" hidden="false" customHeight="false" outlineLevel="0" collapsed="false">
      <c r="A37323" s="3" t="s">
        <v>601</v>
      </c>
      <c r="D37323" s="31" t="n">
        <f aca="false">CHOOSE($C$37152,G36732,G36745,G36758,G36771,G36784,G36797,G36810,G36823,G36836,G36849)</f>
        <v>0.1065</v>
      </c>
      <c r="E37323" s="31" t="n">
        <f aca="false">CHOOSE($C$37152,H36732,H36745,H36758,H36771,H36784,H36797,H36810,H36823,H36836,H36849)</f>
        <v>0.105</v>
      </c>
      <c r="F37323" s="31" t="n">
        <f aca="false">CHOOSE($C$37152,I36732,I36745,I36758,I36771,I36784,I36797,I36810,I36823,I36836,I36849)</f>
        <v>0.1025</v>
      </c>
      <c r="G37323" s="31" t="n">
        <f aca="false">CHOOSE($C$37152,J36732,J36745,J36758,J36771,J36784,J36797,J36810,J36823,J36836,J36849)</f>
        <v>0.1025</v>
      </c>
      <c r="H37323" s="31" t="n">
        <f aca="false">CHOOSE($C$37152,K36732,K36745,K36758,K36771,K36784,K36797,K36810,K36823,K36836,K36849)</f>
        <v>0.1025</v>
      </c>
    </row>
    <row r="37324" customFormat="false" ht="15" hidden="false" customHeight="false" outlineLevel="0" collapsed="false">
      <c r="A37324" s="3" t="s">
        <v>602</v>
      </c>
      <c r="D37324" s="16" t="n">
        <f aca="false">IF(D37322&lt;=$C$37161,$C$37153*D37323,0)</f>
        <v>10.65</v>
      </c>
      <c r="E37324" s="16" t="n">
        <f aca="false">IF(E37322&lt;=$C$37161,$C$37153*E37323,0)</f>
        <v>10.5</v>
      </c>
      <c r="F37324" s="16" t="n">
        <f aca="false">IF(F37322&lt;=$C$37161,$C$37153*F37323,0)</f>
        <v>0</v>
      </c>
      <c r="G37324" s="16" t="n">
        <f aca="false">IF(G37322&lt;=$C$37161,$C$37153*G37323,0)</f>
        <v>0</v>
      </c>
      <c r="H37324" s="16" t="n">
        <f aca="false">IF(H37322&lt;=$C$37161,$C$37153*H37323,0)</f>
        <v>0</v>
      </c>
    </row>
    <row r="37325" customFormat="false" ht="15" hidden="false" customHeight="false" outlineLevel="0" collapsed="false">
      <c r="A37325" s="3" t="s">
        <v>603</v>
      </c>
      <c r="D37325" s="16" t="n">
        <f aca="false">IF(AND($C$36984=0,D37322=$C$37156),$C$37153*$C$37319/100,0)+IF(AND($C$36984=1,D37322=$C$37320),$C$37159,0)</f>
        <v>0</v>
      </c>
      <c r="E37325" s="16" t="n">
        <f aca="false">IF(AND($C$36984=0,E37322=$C$37156),$C$37153*$C$37319/100,0)+IF(AND($C$36984=1,E37322=$C$37320),$C$37159,0)</f>
        <v>0</v>
      </c>
      <c r="F37325" s="16" t="n">
        <f aca="false">IF(AND($C$36984=0,F37322=$C$37156),$C$37153*$C$37319/100,0)+IF(AND($C$36984=1,F37322=$C$37320),$C$37159,0)</f>
        <v>102.625</v>
      </c>
      <c r="G37325" s="16" t="n">
        <f aca="false">IF(AND($C$36984=0,G37322=$C$37156),$C$37153*$C$37319/100,0)+IF(AND($C$36984=1,G37322=$C$37320),$C$37159,0)</f>
        <v>0</v>
      </c>
      <c r="H37325" s="16" t="n">
        <f aca="false">IF(AND($C$36984=0,H37322=$C$37156),$C$37153*$C$37319/100,0)+IF(AND($C$36984=1,H37322=$C$37320),$C$37159,0)</f>
        <v>0</v>
      </c>
      <c r="I37325" s="16" t="n">
        <f aca="false">IF(AND($C$36984=0,I37322=$C$37156),$C$37153*$C$37319/100,0)+IF(AND($C$36984=1,I37322=$C$37320),$C$37159,0)</f>
        <v>0</v>
      </c>
    </row>
    <row r="37326" customFormat="false" ht="15" hidden="false" customHeight="false" outlineLevel="0" collapsed="false">
      <c r="A37326" s="2" t="s">
        <v>604</v>
      </c>
      <c r="C37326" s="17" t="n">
        <f aca="false">-$C$37155</f>
        <v>-98.49</v>
      </c>
      <c r="D37326" s="17" t="n">
        <f aca="false">D37324+D37325</f>
        <v>10.65</v>
      </c>
      <c r="E37326" s="17" t="n">
        <f aca="false">E37324+E37325</f>
        <v>10.5</v>
      </c>
      <c r="F37326" s="17" t="n">
        <f aca="false">F37324+F37325</f>
        <v>102.625</v>
      </c>
      <c r="G37326" s="17" t="n">
        <f aca="false">G37324+G37325</f>
        <v>0</v>
      </c>
      <c r="H37326" s="17" t="n">
        <f aca="false">H37324+H37325</f>
        <v>0</v>
      </c>
      <c r="I37326" s="17" t="n">
        <f aca="false">I37324+I37325</f>
        <v>0</v>
      </c>
    </row>
    <row r="37327" customFormat="false" ht="15" hidden="false" customHeight="false" outlineLevel="0" collapsed="false">
      <c r="A37327" s="3" t="s">
        <v>605</v>
      </c>
      <c r="C37327" s="16" t="n">
        <f aca="false">SUM($C$37324:$I$37324)</f>
        <v>21.15</v>
      </c>
    </row>
    <row r="37328" customFormat="false" ht="15" hidden="false" customHeight="false" outlineLevel="0" collapsed="false">
      <c r="A37328" s="3" t="s">
        <v>606</v>
      </c>
      <c r="C37328" s="16" t="n">
        <f aca="false">SUM($C$37325:$I$37325)</f>
        <v>102.625</v>
      </c>
    </row>
    <row r="37329" customFormat="false" ht="15" hidden="false" customHeight="false" outlineLevel="0" collapsed="false">
      <c r="A37329" s="3" t="s">
        <v>607</v>
      </c>
      <c r="C37329" s="16" t="n">
        <f aca="false">C37327+C37328</f>
        <v>123.775</v>
      </c>
    </row>
    <row r="37330" customFormat="false" ht="15" hidden="false" customHeight="false" outlineLevel="0" collapsed="false">
      <c r="A37330" s="3" t="s">
        <v>608</v>
      </c>
      <c r="C37330" s="16" t="n">
        <f aca="false">C37328-C37153*C37154/100</f>
        <v>4.62500000000001</v>
      </c>
    </row>
    <row r="37331" customFormat="false" ht="15" hidden="false" customHeight="false" outlineLevel="0" collapsed="false">
      <c r="A37331" s="3" t="s">
        <v>609</v>
      </c>
      <c r="C37331" s="16" t="n">
        <f aca="false">C37329-C37155</f>
        <v>25.285</v>
      </c>
    </row>
    <row r="37332" customFormat="false" ht="15" hidden="false" customHeight="false" outlineLevel="0" collapsed="false">
      <c r="A37332" s="2" t="s">
        <v>484</v>
      </c>
      <c r="C37332" s="44" t="n">
        <f aca="false">C37329/C37155</f>
        <v>1.25672657122551</v>
      </c>
    </row>
    <row r="37333" customFormat="false" ht="15" hidden="false" customHeight="false" outlineLevel="0" collapsed="false">
      <c r="A37333" s="2" t="s">
        <v>483</v>
      </c>
      <c r="C37333" s="42" t="n">
        <f aca="false">IF(C37329&lt;=0,-1,IFERROR(IRR($C$37326:$I$37326,MAX(-0.9,C37332^(1/C37320)-1)),IRR($C$37326:$I$37326,0.1)))</f>
        <v>0.0873962489027792</v>
      </c>
    </row>
    <row r="37334" customFormat="false" ht="15" hidden="false" customHeight="false" outlineLevel="0" collapsed="false">
      <c r="A37334" s="3" t="s">
        <v>610</v>
      </c>
      <c r="C37334" s="32" t="n">
        <f aca="false">MAX($G$36928:$K$36928)</f>
        <v>12.0232607366907</v>
      </c>
    </row>
    <row r="37335" customFormat="false" ht="15" hidden="false" customHeight="false" outlineLevel="0" collapsed="false">
      <c r="A37335" s="3" t="s">
        <v>611</v>
      </c>
      <c r="C37335" s="32" t="n">
        <f aca="false">MIN($G$36929:$K$36929)</f>
        <v>1.18311222526984</v>
      </c>
    </row>
    <row r="37336" customFormat="false" ht="15" hidden="false" customHeight="false" outlineLevel="0" collapsed="false">
      <c r="A37336" s="3" t="s">
        <v>612</v>
      </c>
      <c r="C37336" s="16" t="n">
        <f aca="false">SUM($G$36716:$K$36716)</f>
        <v>-320.308045372933</v>
      </c>
    </row>
    <row r="37340" customFormat="false" ht="15" hidden="false" customHeight="false" outlineLevel="0" collapsed="false">
      <c r="A37340" s="9" t="s">
        <v>1187</v>
      </c>
      <c r="B37340" s="10"/>
      <c r="C37340" s="10"/>
      <c r="D37340" s="10"/>
      <c r="E37340" s="10"/>
      <c r="F37340" s="10"/>
      <c r="G37340" s="10"/>
      <c r="H37340" s="10"/>
      <c r="I37340" s="10"/>
      <c r="J37340" s="10"/>
      <c r="K37340" s="10"/>
    </row>
    <row r="37341" customFormat="false" ht="15" hidden="false" customHeight="false" outlineLevel="0" collapsed="false">
      <c r="A37341" s="3" t="s">
        <v>1126</v>
      </c>
      <c r="C37341" s="11" t="n">
        <v>2</v>
      </c>
    </row>
    <row r="37342" customFormat="false" ht="15" hidden="false" customHeight="false" outlineLevel="0" collapsed="false">
      <c r="A37342" s="3" t="s">
        <v>1127</v>
      </c>
      <c r="C37342" s="19" t="n">
        <v>0</v>
      </c>
    </row>
    <row r="37343" customFormat="false" ht="15" hidden="false" customHeight="false" outlineLevel="0" collapsed="false">
      <c r="A37343" s="3" t="s">
        <v>1128</v>
      </c>
      <c r="C37343" s="19" t="n">
        <v>0</v>
      </c>
    </row>
    <row r="37344" customFormat="false" ht="15" hidden="false" customHeight="false" outlineLevel="0" collapsed="false">
      <c r="A37344" s="3" t="s">
        <v>1129</v>
      </c>
      <c r="C37344" s="19" t="n">
        <v>0</v>
      </c>
    </row>
    <row r="37345" customFormat="false" ht="15" hidden="false" customHeight="false" outlineLevel="0" collapsed="false">
      <c r="A37345" s="3" t="s">
        <v>1130</v>
      </c>
      <c r="C37345" s="34" t="n">
        <f aca="false">Sensitivities!$A$64</f>
        <v>2</v>
      </c>
    </row>
    <row r="37347" customFormat="false" ht="15" hidden="false" customHeight="false" outlineLevel="0" collapsed="false">
      <c r="A37347" s="24" t="s">
        <v>301</v>
      </c>
      <c r="B37347" s="25"/>
      <c r="C37347" s="25"/>
      <c r="D37347" s="25"/>
      <c r="E37347" s="25"/>
      <c r="F37347" s="25"/>
      <c r="G37347" s="25"/>
      <c r="H37347" s="25"/>
      <c r="I37347" s="25"/>
      <c r="J37347" s="25"/>
      <c r="K37347" s="25"/>
    </row>
    <row r="37348" customFormat="false" ht="15" hidden="false" customHeight="false" outlineLevel="0" collapsed="false">
      <c r="A37348" s="3" t="s">
        <v>302</v>
      </c>
      <c r="F37348" s="27" t="n">
        <f aca="false">Assumptions!$C$6</f>
        <v>2026</v>
      </c>
      <c r="G37348" s="21" t="n">
        <f aca="false">F37348+1</f>
        <v>2027</v>
      </c>
      <c r="H37348" s="21" t="n">
        <f aca="false">G37348+1</f>
        <v>2028</v>
      </c>
      <c r="I37348" s="21" t="n">
        <f aca="false">H37348+1</f>
        <v>2029</v>
      </c>
      <c r="J37348" s="21" t="n">
        <f aca="false">I37348+1</f>
        <v>2030</v>
      </c>
      <c r="K37348" s="21" t="n">
        <f aca="false">J37348+1</f>
        <v>2031</v>
      </c>
    </row>
    <row r="37349" customFormat="false" ht="15" hidden="false" customHeight="false" outlineLevel="0" collapsed="false">
      <c r="A37349" s="3" t="s">
        <v>303</v>
      </c>
      <c r="G37349" s="21" t="n">
        <f aca="false">G37348-Assumptions!$C$6</f>
        <v>1</v>
      </c>
      <c r="H37349" s="21" t="n">
        <f aca="false">H37348-Assumptions!$C$6</f>
        <v>2</v>
      </c>
      <c r="I37349" s="21" t="n">
        <f aca="false">I37348-Assumptions!$C$6</f>
        <v>3</v>
      </c>
      <c r="J37349" s="21" t="n">
        <f aca="false">J37348-Assumptions!$C$6</f>
        <v>4</v>
      </c>
      <c r="K37349" s="21" t="n">
        <f aca="false">K37348-Assumptions!$C$6</f>
        <v>5</v>
      </c>
    </row>
    <row r="37350" customFormat="false" ht="15" hidden="false" customHeight="false" outlineLevel="0" collapsed="false">
      <c r="A37350" s="3" t="s">
        <v>180</v>
      </c>
      <c r="G37350" s="22" t="n">
        <f aca="false">CHOOSE($C$37341,Assumptions!$G$79,Assumptions!$G$98,Assumptions!$G$117)+$C$37342</f>
        <v>-0.06</v>
      </c>
      <c r="H37350" s="22" t="n">
        <f aca="false">CHOOSE($C$37341,Assumptions!$H$79,Assumptions!$H$98,Assumptions!$H$117)+$C$37342</f>
        <v>-0.03</v>
      </c>
      <c r="I37350" s="22" t="n">
        <f aca="false">CHOOSE($C$37341,Assumptions!$I$79,Assumptions!$I$98,Assumptions!$I$117)+$C$37342</f>
        <v>0</v>
      </c>
      <c r="J37350" s="22" t="n">
        <f aca="false">CHOOSE($C$37341,Assumptions!$J$79,Assumptions!$J$98,Assumptions!$J$117)+$C$37342</f>
        <v>0.01</v>
      </c>
      <c r="K37350" s="22" t="n">
        <f aca="false">CHOOSE($C$37341,Assumptions!$K$79,Assumptions!$K$98,Assumptions!$K$117)+$C$37342</f>
        <v>0.01</v>
      </c>
    </row>
    <row r="37351" customFormat="false" ht="15" hidden="false" customHeight="false" outlineLevel="0" collapsed="false">
      <c r="A37351" s="3" t="s">
        <v>181</v>
      </c>
      <c r="G37351" s="22" t="n">
        <f aca="false">CHOOSE($C$37341,Assumptions!$G$80,Assumptions!$G$99,Assumptions!$G$118)</f>
        <v>0.573920660818678</v>
      </c>
      <c r="H37351" s="22" t="n">
        <f aca="false">CHOOSE($C$37341,Assumptions!$H$80,Assumptions!$H$99,Assumptions!$H$118)</f>
        <v>0.558920660818678</v>
      </c>
      <c r="I37351" s="22" t="n">
        <f aca="false">CHOOSE($C$37341,Assumptions!$I$80,Assumptions!$I$99,Assumptions!$I$118)</f>
        <v>0.558920660818678</v>
      </c>
      <c r="J37351" s="22" t="n">
        <f aca="false">CHOOSE($C$37341,Assumptions!$J$80,Assumptions!$J$99,Assumptions!$J$118)</f>
        <v>0.563920660818678</v>
      </c>
      <c r="K37351" s="22" t="n">
        <f aca="false">CHOOSE($C$37341,Assumptions!$K$80,Assumptions!$K$99,Assumptions!$K$118)</f>
        <v>0.568920660818678</v>
      </c>
    </row>
    <row r="37352" customFormat="false" ht="15" hidden="false" customHeight="false" outlineLevel="0" collapsed="false">
      <c r="A37352" s="3" t="s">
        <v>182</v>
      </c>
      <c r="G37352" s="22" t="n">
        <f aca="false">CHOOSE($C$37341,Assumptions!$G$81,Assumptions!$G$100,Assumptions!$G$119)+$C$37343</f>
        <v>0.5</v>
      </c>
      <c r="H37352" s="22" t="n">
        <f aca="false">CHOOSE($C$37341,Assumptions!$H$81,Assumptions!$H$100,Assumptions!$H$119)+$C$37343</f>
        <v>0.485</v>
      </c>
      <c r="I37352" s="22" t="n">
        <f aca="false">CHOOSE($C$37341,Assumptions!$I$81,Assumptions!$I$100,Assumptions!$I$119)+$C$37343</f>
        <v>0.485</v>
      </c>
      <c r="J37352" s="22" t="n">
        <f aca="false">CHOOSE($C$37341,Assumptions!$J$81,Assumptions!$J$100,Assumptions!$J$119)+$C$37343</f>
        <v>0.49</v>
      </c>
      <c r="K37352" s="22" t="n">
        <f aca="false">CHOOSE($C$37341,Assumptions!$K$81,Assumptions!$K$100,Assumptions!$K$119)+$C$37343</f>
        <v>0.495</v>
      </c>
    </row>
    <row r="37353" customFormat="false" ht="15" hidden="false" customHeight="false" outlineLevel="0" collapsed="false">
      <c r="A37353" s="24" t="s">
        <v>304</v>
      </c>
      <c r="B37353" s="25"/>
      <c r="C37353" s="25"/>
      <c r="D37353" s="25"/>
      <c r="E37353" s="25"/>
      <c r="F37353" s="25"/>
      <c r="G37353" s="25"/>
      <c r="H37353" s="25"/>
      <c r="I37353" s="25"/>
      <c r="J37353" s="25"/>
      <c r="K37353" s="25"/>
    </row>
    <row r="37354" customFormat="false" ht="15" hidden="false" customHeight="false" outlineLevel="0" collapsed="false">
      <c r="A37354" s="2" t="s">
        <v>275</v>
      </c>
      <c r="F37354" s="28" t="n">
        <f aca="false">'Historical Financials'!G25</f>
        <v>498.291</v>
      </c>
      <c r="G37354" s="17" t="n">
        <f aca="false">F37354*(1+G37350)</f>
        <v>468.39354</v>
      </c>
      <c r="H37354" s="17" t="n">
        <f aca="false">G37354*(1+H37350)</f>
        <v>454.3417338</v>
      </c>
      <c r="I37354" s="17" t="n">
        <f aca="false">H37354*(1+I37350)</f>
        <v>454.3417338</v>
      </c>
      <c r="J37354" s="17" t="n">
        <f aca="false">I37354*(1+J37350)</f>
        <v>458.885151138</v>
      </c>
      <c r="K37354" s="17" t="n">
        <f aca="false">J37354*(1+K37350)</f>
        <v>463.47400264938</v>
      </c>
    </row>
    <row r="37355" customFormat="false" ht="15" hidden="false" customHeight="false" outlineLevel="0" collapsed="false">
      <c r="A37355" s="3" t="s">
        <v>276</v>
      </c>
      <c r="G37355" s="16" t="n">
        <f aca="false">G37354*(1-G37351)</f>
        <v>199.57281</v>
      </c>
      <c r="H37355" s="16" t="n">
        <f aca="false">H37354*(1-H37351)</f>
        <v>200.400751707</v>
      </c>
      <c r="I37355" s="16" t="n">
        <f aca="false">I37354*(1-I37351)</f>
        <v>200.400751707</v>
      </c>
      <c r="J37355" s="16" t="n">
        <f aca="false">J37354*(1-J37351)</f>
        <v>200.11033346838</v>
      </c>
      <c r="K37355" s="16" t="n">
        <f aca="false">K37354*(1-K37351)</f>
        <v>199.794066789817</v>
      </c>
    </row>
    <row r="37356" customFormat="false" ht="15" hidden="false" customHeight="false" outlineLevel="0" collapsed="false">
      <c r="A37356" s="2" t="s">
        <v>277</v>
      </c>
      <c r="G37356" s="17" t="n">
        <f aca="false">G37354-G37355</f>
        <v>268.82073</v>
      </c>
      <c r="H37356" s="17" t="n">
        <f aca="false">H37354-H37355</f>
        <v>253.940982093</v>
      </c>
      <c r="I37356" s="17" t="n">
        <f aca="false">I37354-I37355</f>
        <v>253.940982093</v>
      </c>
      <c r="J37356" s="17" t="n">
        <f aca="false">J37354-J37355</f>
        <v>258.77481766962</v>
      </c>
      <c r="K37356" s="17" t="n">
        <f aca="false">K37354-K37355</f>
        <v>263.679935859563</v>
      </c>
    </row>
    <row r="37357" customFormat="false" ht="15" hidden="false" customHeight="false" outlineLevel="0" collapsed="false">
      <c r="A37357" s="3" t="s">
        <v>305</v>
      </c>
      <c r="G37357" s="16" t="n">
        <f aca="false">G37356-G37358</f>
        <v>34.62396</v>
      </c>
      <c r="H37357" s="16" t="n">
        <f aca="false">H37356-H37358</f>
        <v>33.5852412</v>
      </c>
      <c r="I37357" s="16" t="n">
        <f aca="false">I37356-I37358</f>
        <v>33.5852412</v>
      </c>
      <c r="J37357" s="16" t="n">
        <f aca="false">J37356-J37358</f>
        <v>33.921093612</v>
      </c>
      <c r="K37357" s="16" t="n">
        <f aca="false">K37356-K37358</f>
        <v>34.26030454812</v>
      </c>
    </row>
    <row r="37358" customFormat="false" ht="15" hidden="false" customHeight="false" outlineLevel="0" collapsed="false">
      <c r="A37358" s="2" t="s">
        <v>306</v>
      </c>
      <c r="G37358" s="17" t="n">
        <f aca="false">G37354*G37352</f>
        <v>234.19677</v>
      </c>
      <c r="H37358" s="17" t="n">
        <f aca="false">H37354*H37352</f>
        <v>220.355740893</v>
      </c>
      <c r="I37358" s="17" t="n">
        <f aca="false">I37354*I37352</f>
        <v>220.355740893</v>
      </c>
      <c r="J37358" s="17" t="n">
        <f aca="false">J37354*J37352</f>
        <v>224.85372405762</v>
      </c>
      <c r="K37358" s="17" t="n">
        <f aca="false">K37354*K37352</f>
        <v>229.419631311443</v>
      </c>
    </row>
    <row r="37359" customFormat="false" ht="15" hidden="false" customHeight="false" outlineLevel="0" collapsed="false">
      <c r="A37359" s="3" t="s">
        <v>307</v>
      </c>
      <c r="G37359" s="16" t="n">
        <f aca="false">G37354*'Historical Financials'!G30/'Historical Financials'!G25</f>
        <v>174.17542</v>
      </c>
      <c r="H37359" s="16" t="n">
        <f aca="false">H37354*'Historical Financials'!G30/'Historical Financials'!G25</f>
        <v>168.9501574</v>
      </c>
      <c r="I37359" s="16" t="n">
        <f aca="false">I37354*'Historical Financials'!G30/'Historical Financials'!G25</f>
        <v>168.9501574</v>
      </c>
      <c r="J37359" s="16" t="n">
        <f aca="false">J37354*'Historical Financials'!G30/'Historical Financials'!G25</f>
        <v>170.639658974</v>
      </c>
      <c r="K37359" s="16" t="n">
        <f aca="false">K37354*'Historical Financials'!G30/'Historical Financials'!G25</f>
        <v>172.34605556374</v>
      </c>
    </row>
    <row r="37360" customFormat="false" ht="15" hidden="false" customHeight="false" outlineLevel="0" collapsed="false">
      <c r="A37360" s="3" t="s">
        <v>308</v>
      </c>
      <c r="G37360" s="16" t="n">
        <f aca="false">G37354*'Historical Financials'!G31/'Historical Financials'!G25</f>
        <v>0</v>
      </c>
      <c r="H37360" s="16" t="n">
        <f aca="false">H37354*'Historical Financials'!G31/'Historical Financials'!G25</f>
        <v>0</v>
      </c>
      <c r="I37360" s="16" t="n">
        <f aca="false">I37354*'Historical Financials'!G31/'Historical Financials'!G25</f>
        <v>0</v>
      </c>
      <c r="J37360" s="16" t="n">
        <f aca="false">J37354*'Historical Financials'!G31/'Historical Financials'!G25</f>
        <v>0</v>
      </c>
      <c r="K37360" s="16" t="n">
        <f aca="false">K37354*'Historical Financials'!G31/'Historical Financials'!G25</f>
        <v>0</v>
      </c>
    </row>
    <row r="37361" customFormat="false" ht="15" hidden="false" customHeight="false" outlineLevel="0" collapsed="false">
      <c r="A37361" s="2" t="s">
        <v>309</v>
      </c>
      <c r="G37361" s="17" t="n">
        <f aca="false">G37358-G37359-G37360</f>
        <v>60.02135</v>
      </c>
      <c r="H37361" s="17" t="n">
        <f aca="false">H37358-H37359-H37360</f>
        <v>51.405583493</v>
      </c>
      <c r="I37361" s="17" t="n">
        <f aca="false">I37358-I37359-I37360</f>
        <v>51.405583493</v>
      </c>
      <c r="J37361" s="17" t="n">
        <f aca="false">J37358-J37359-J37360</f>
        <v>54.21406508362</v>
      </c>
      <c r="K37361" s="17" t="n">
        <f aca="false">K37358-K37359-K37360</f>
        <v>57.0735757477031</v>
      </c>
    </row>
    <row r="37362" customFormat="false" ht="15" hidden="false" customHeight="false" outlineLevel="0" collapsed="false">
      <c r="A37362" s="3" t="s">
        <v>310</v>
      </c>
      <c r="G37362" s="16" t="n">
        <f aca="false">G37388+G37401+G37414+G37427+G37440+G37453+G37466+G37479+G37492+G37505</f>
        <v>187.3888354</v>
      </c>
      <c r="H37362" s="16" t="n">
        <f aca="false">H37388+H37401+H37414+H37427+H37440+H37453+H37466+H37479+H37492+H37505</f>
        <v>186.2509204</v>
      </c>
      <c r="I37362" s="16" t="n">
        <f aca="false">I37388+I37401+I37414+I37427+I37440+I37453+I37466+I37479+I37492+I37505</f>
        <v>182.7365265363</v>
      </c>
      <c r="J37362" s="16" t="n">
        <f aca="false">J37388+J37401+J37414+J37427+J37440+J37453+J37466+J37479+J37492+J37505</f>
        <v>182.3265265363</v>
      </c>
      <c r="K37362" s="16" t="n">
        <f aca="false">K37388+K37401+K37414+K37427+K37440+K37453+K37466+K37479+K37492+K37505</f>
        <v>181.9165265363</v>
      </c>
    </row>
    <row r="37363" customFormat="false" ht="15" hidden="false" customHeight="false" outlineLevel="0" collapsed="false">
      <c r="A37363" s="3" t="s">
        <v>311</v>
      </c>
      <c r="G37363" s="16" t="n">
        <f aca="false">G37389+G37402+G37415+G37428+G37441+G37454+G37467+G37480+G37493+G37506</f>
        <v>0</v>
      </c>
      <c r="H37363" s="16" t="n">
        <f aca="false">H37389+H37402+H37415+H37428+H37441+H37454+H37467+H37480+H37493+H37506</f>
        <v>0</v>
      </c>
      <c r="I37363" s="16" t="n">
        <f aca="false">I37389+I37402+I37415+I37428+I37441+I37454+I37467+I37480+I37493+I37506</f>
        <v>0</v>
      </c>
      <c r="J37363" s="16" t="n">
        <f aca="false">J37389+J37402+J37415+J37428+J37441+J37454+J37467+J37480+J37493+J37506</f>
        <v>0</v>
      </c>
      <c r="K37363" s="16" t="n">
        <f aca="false">K37389+K37402+K37415+K37428+K37441+K37454+K37467+K37480+K37493+K37506</f>
        <v>0</v>
      </c>
    </row>
    <row r="37364" customFormat="false" ht="15" hidden="false" customHeight="false" outlineLevel="0" collapsed="false">
      <c r="A37364" s="3" t="s">
        <v>283</v>
      </c>
      <c r="G37364" s="16" t="n">
        <f aca="false">G37362+G37363</f>
        <v>187.3888354</v>
      </c>
      <c r="H37364" s="16" t="n">
        <f aca="false">H37362+H37363</f>
        <v>186.2509204</v>
      </c>
      <c r="I37364" s="16" t="n">
        <f aca="false">I37362+I37363</f>
        <v>182.7365265363</v>
      </c>
      <c r="J37364" s="16" t="n">
        <f aca="false">J37362+J37363</f>
        <v>182.3265265363</v>
      </c>
      <c r="K37364" s="16" t="n">
        <f aca="false">K37362+K37363</f>
        <v>181.9165265363</v>
      </c>
    </row>
    <row r="37365" customFormat="false" ht="15" hidden="false" customHeight="false" outlineLevel="0" collapsed="false">
      <c r="A37365" s="2" t="s">
        <v>284</v>
      </c>
      <c r="G37365" s="17" t="n">
        <f aca="false">G37361-G37364</f>
        <v>-127.3674854</v>
      </c>
      <c r="H37365" s="17" t="n">
        <f aca="false">H37361-H37364</f>
        <v>-134.845336907</v>
      </c>
      <c r="I37365" s="17" t="n">
        <f aca="false">I37361-I37364</f>
        <v>-131.3309430433</v>
      </c>
      <c r="J37365" s="17" t="n">
        <f aca="false">J37361-J37364</f>
        <v>-128.112461452679</v>
      </c>
      <c r="K37365" s="17" t="n">
        <f aca="false">K37361-K37364</f>
        <v>-124.842950788596</v>
      </c>
    </row>
    <row r="37366" customFormat="false" ht="15" hidden="false" customHeight="false" outlineLevel="0" collapsed="false">
      <c r="A37366" s="3" t="s">
        <v>312</v>
      </c>
      <c r="G37366" s="16" t="n">
        <f aca="false">MAX(0,G37365)*Assumptions!$C$9</f>
        <v>0</v>
      </c>
      <c r="H37366" s="16" t="n">
        <f aca="false">MAX(0,H37365)*Assumptions!$C$9</f>
        <v>0</v>
      </c>
      <c r="I37366" s="16" t="n">
        <f aca="false">MAX(0,I37365)*Assumptions!$C$9</f>
        <v>0</v>
      </c>
      <c r="J37366" s="16" t="n">
        <f aca="false">MAX(0,J37365)*Assumptions!$C$9</f>
        <v>0</v>
      </c>
      <c r="K37366" s="16" t="n">
        <f aca="false">MAX(0,K37365)*Assumptions!$C$9</f>
        <v>0</v>
      </c>
    </row>
    <row r="37367" customFormat="false" ht="15" hidden="false" customHeight="false" outlineLevel="0" collapsed="false">
      <c r="A37367" s="2" t="s">
        <v>313</v>
      </c>
      <c r="G37367" s="17" t="n">
        <f aca="false">G37365-G37366</f>
        <v>-127.3674854</v>
      </c>
      <c r="H37367" s="17" t="n">
        <f aca="false">H37365-H37366</f>
        <v>-134.845336907</v>
      </c>
      <c r="I37367" s="17" t="n">
        <f aca="false">I37365-I37366</f>
        <v>-131.3309430433</v>
      </c>
      <c r="J37367" s="17" t="n">
        <f aca="false">J37365-J37366</f>
        <v>-128.112461452679</v>
      </c>
      <c r="K37367" s="17" t="n">
        <f aca="false">K37365-K37366</f>
        <v>-124.842950788596</v>
      </c>
    </row>
    <row r="37368" customFormat="false" ht="15" hidden="false" customHeight="false" outlineLevel="0" collapsed="false">
      <c r="A37368" s="24" t="s">
        <v>314</v>
      </c>
      <c r="B37368" s="25"/>
      <c r="C37368" s="25"/>
      <c r="D37368" s="25"/>
      <c r="E37368" s="25"/>
      <c r="F37368" s="25"/>
      <c r="G37368" s="25"/>
      <c r="H37368" s="25"/>
      <c r="I37368" s="25"/>
      <c r="J37368" s="25"/>
      <c r="K37368" s="25"/>
    </row>
    <row r="37369" customFormat="false" ht="15" hidden="false" customHeight="false" outlineLevel="0" collapsed="false">
      <c r="A37369" s="3" t="s">
        <v>184</v>
      </c>
      <c r="G37369" s="16" t="n">
        <f aca="false">G37354*CHOOSE($C$37341,Assumptions!$C$83,Assumptions!$C$102,Assumptions!$C$121)</f>
        <v>84.3108372</v>
      </c>
      <c r="H37369" s="16" t="n">
        <f aca="false">H37354*CHOOSE($C$37341,Assumptions!$C$83,Assumptions!$C$102,Assumptions!$C$121)</f>
        <v>81.781512084</v>
      </c>
      <c r="I37369" s="16" t="n">
        <f aca="false">I37354*CHOOSE($C$37341,Assumptions!$C$83,Assumptions!$C$102,Assumptions!$C$121)</f>
        <v>81.781512084</v>
      </c>
      <c r="J37369" s="16" t="n">
        <f aca="false">J37354*CHOOSE($C$37341,Assumptions!$C$83,Assumptions!$C$102,Assumptions!$C$121)</f>
        <v>82.59932720484</v>
      </c>
      <c r="K37369" s="16" t="n">
        <f aca="false">K37354*CHOOSE($C$37341,Assumptions!$C$83,Assumptions!$C$102,Assumptions!$C$121)</f>
        <v>83.4253204768884</v>
      </c>
    </row>
    <row r="37370" customFormat="false" ht="15" hidden="false" customHeight="false" outlineLevel="0" collapsed="false">
      <c r="A37370" s="3" t="s">
        <v>315</v>
      </c>
      <c r="G37370" s="16" t="n">
        <f aca="false">CHOOSE($C$37341,Assumptions!$C$84,Assumptions!$C$103,Assumptions!$C$122)*(G37354-F37354)+CHOOSE($C$37341,Assumptions!$C$85,Assumptions!$C$104,Assumptions!$C$123)*G37354</f>
        <v>23.419677</v>
      </c>
      <c r="H37370" s="16" t="n">
        <f aca="false">CHOOSE($C$37341,Assumptions!$C$84,Assumptions!$C$103,Assumptions!$C$122)*(H37354-G37354)+CHOOSE($C$37341,Assumptions!$C$85,Assumptions!$C$104,Assumptions!$C$123)*H37354</f>
        <v>22.71708669</v>
      </c>
      <c r="I37370" s="16" t="n">
        <f aca="false">CHOOSE($C$37341,Assumptions!$C$84,Assumptions!$C$103,Assumptions!$C$122)*(I37354-H37354)+CHOOSE($C$37341,Assumptions!$C$85,Assumptions!$C$104,Assumptions!$C$123)*I37354</f>
        <v>22.71708669</v>
      </c>
      <c r="J37370" s="16" t="n">
        <f aca="false">CHOOSE($C$37341,Assumptions!$C$84,Assumptions!$C$103,Assumptions!$C$122)*(J37354-I37354)+CHOOSE($C$37341,Assumptions!$C$85,Assumptions!$C$104,Assumptions!$C$123)*J37354</f>
        <v>22.9442575569</v>
      </c>
      <c r="K37370" s="16" t="n">
        <f aca="false">CHOOSE($C$37341,Assumptions!$C$84,Assumptions!$C$103,Assumptions!$C$122)*(K37354-J37354)+CHOOSE($C$37341,Assumptions!$C$85,Assumptions!$C$104,Assumptions!$C$123)*K37354</f>
        <v>23.173700132469</v>
      </c>
    </row>
    <row r="37371" customFormat="false" ht="15" hidden="false" customHeight="false" outlineLevel="0" collapsed="false">
      <c r="A37371" s="2" t="s">
        <v>316</v>
      </c>
      <c r="G37371" s="17" t="n">
        <f aca="false">G37367+G37359+G37360+G37363-G37369-G37370</f>
        <v>-60.9225796</v>
      </c>
      <c r="H37371" s="17" t="n">
        <f aca="false">H37367+H37359+H37360+H37363-H37369-H37370</f>
        <v>-70.393778281</v>
      </c>
      <c r="I37371" s="17" t="n">
        <f aca="false">I37367+I37359+I37360+I37363-I37369-I37370</f>
        <v>-66.8793844172995</v>
      </c>
      <c r="J37371" s="17" t="n">
        <f aca="false">J37367+J37359+J37360+J37363-J37369-J37370</f>
        <v>-63.0163872404195</v>
      </c>
      <c r="K37371" s="17" t="n">
        <f aca="false">K37367+K37359+K37360+K37363-K37369-K37370</f>
        <v>-59.0959158342138</v>
      </c>
    </row>
    <row r="37373" customFormat="false" ht="15" hidden="false" customHeight="false" outlineLevel="0" collapsed="false">
      <c r="A37373" s="24" t="s">
        <v>318</v>
      </c>
      <c r="B37373" s="25"/>
      <c r="C37373" s="25"/>
      <c r="D37373" s="25"/>
      <c r="E37373" s="25"/>
      <c r="F37373" s="25"/>
      <c r="G37373" s="25"/>
      <c r="H37373" s="25"/>
      <c r="I37373" s="25"/>
      <c r="J37373" s="25"/>
      <c r="K37373" s="25"/>
    </row>
    <row r="37374" customFormat="false" ht="15" hidden="false" customHeight="false" outlineLevel="0" collapsed="false">
      <c r="A37374" s="3" t="s">
        <v>319</v>
      </c>
      <c r="G37374" s="30" t="n">
        <f aca="false">Assumptions!$G$53</f>
        <v>0.039</v>
      </c>
      <c r="H37374" s="30" t="n">
        <f aca="false">Assumptions!$H$53</f>
        <v>0.0375</v>
      </c>
      <c r="I37374" s="30" t="n">
        <f aca="false">Assumptions!$I$53</f>
        <v>0.035</v>
      </c>
      <c r="J37374" s="30" t="n">
        <f aca="false">Assumptions!$J$53</f>
        <v>0.035</v>
      </c>
      <c r="K37374" s="30" t="n">
        <f aca="false">Assumptions!$K$53</f>
        <v>0.035</v>
      </c>
    </row>
    <row r="37375" customFormat="false" ht="15" hidden="false" customHeight="false" outlineLevel="0" collapsed="false">
      <c r="A37375" s="3" t="s">
        <v>320</v>
      </c>
      <c r="C37375" s="31" t="n">
        <f aca="false">CHOOSE($C$37341,Assumptions!$C$86,Assumptions!$C$105,Assumptions!$C$124)+$C$37344</f>
        <v>0.015</v>
      </c>
    </row>
    <row r="37376" customFormat="false" ht="15" hidden="false" customHeight="false" outlineLevel="0" collapsed="false">
      <c r="A37376" s="3" t="s">
        <v>321</v>
      </c>
      <c r="C37376" s="31" t="n">
        <f aca="false">CHOOSE($C$37341,Assumptions!$C$87,Assumptions!$C$106,Assumptions!$C$125)</f>
        <v>0.1</v>
      </c>
    </row>
    <row r="37377" customFormat="false" ht="15" hidden="false" customHeight="false" outlineLevel="0" collapsed="false">
      <c r="A37377" s="3" t="s">
        <v>322</v>
      </c>
      <c r="C37377" s="32" t="n">
        <f aca="false">CHOOSE($C$37341,Assumptions!$C$88,Assumptions!$C$107,Assumptions!$C$126)</f>
        <v>9.5</v>
      </c>
    </row>
    <row r="37378" customFormat="false" ht="15" hidden="false" customHeight="false" outlineLevel="0" collapsed="false">
      <c r="A37378" s="3" t="s">
        <v>323</v>
      </c>
      <c r="C37378" s="32" t="n">
        <f aca="false">CHOOSE($C$37341,Assumptions!$C$89,Assumptions!$C$108,Assumptions!$C$127)</f>
        <v>1.5</v>
      </c>
    </row>
    <row r="37379" customFormat="false" ht="15" hidden="false" customHeight="false" outlineLevel="0" collapsed="false">
      <c r="A37379" s="3" t="s">
        <v>324</v>
      </c>
      <c r="G37379" s="16" t="n">
        <f aca="false">G37384+G37397+G37410+G37423+G37436+G37449+G37462+G37475+G37488+G37501</f>
        <v>2625.934</v>
      </c>
      <c r="H37379" s="16" t="n">
        <f aca="false">H37384+H37397+H37410+H37423+H37436+H37449+H37462+H37475+H37488+H37501</f>
        <v>2621.934</v>
      </c>
      <c r="I37379" s="16" t="n">
        <f aca="false">I37384+I37397+I37410+I37423+I37436+I37449+I37462+I37475+I37488+I37501</f>
        <v>2569.380357881</v>
      </c>
      <c r="J37379" s="16" t="n">
        <f aca="false">J37384+J37397+J37410+J37423+J37436+J37449+J37462+J37475+J37488+J37501</f>
        <v>2565.380357881</v>
      </c>
      <c r="K37379" s="16" t="n">
        <f aca="false">K37384+K37397+K37410+K37423+K37436+K37449+K37462+K37475+K37488+K37501</f>
        <v>2561.380357881</v>
      </c>
    </row>
    <row r="37380" customFormat="false" ht="15" hidden="false" customHeight="false" outlineLevel="0" collapsed="false">
      <c r="A37380" s="3" t="s">
        <v>325</v>
      </c>
      <c r="G37380" s="16" t="n">
        <f aca="false">F37572</f>
        <v>37.87</v>
      </c>
      <c r="H37380" s="16" t="n">
        <f aca="false">G37572</f>
        <v>122.9474204</v>
      </c>
      <c r="I37380" s="16" t="n">
        <f aca="false">H37572</f>
        <v>0</v>
      </c>
      <c r="J37380" s="16" t="n">
        <f aca="false">I37572</f>
        <v>-70.8793844172995</v>
      </c>
      <c r="K37380" s="16" t="n">
        <f aca="false">J37572</f>
        <v>-137.895771657719</v>
      </c>
    </row>
    <row r="37381" customFormat="false" ht="15" hidden="false" customHeight="false" outlineLevel="0" collapsed="false">
      <c r="A37381" s="3" t="s">
        <v>326</v>
      </c>
      <c r="G37381" s="16" t="n">
        <f aca="false">G37384*IF(G37385=1,$C$37376,IF(Assumptions!$I$57=1,MAX(G37374,Assumptions!$G$57)+Assumptions!$F$57+$C$37375,Assumptions!$E$57))+G37397*IF(G37398=1,$C$37376,IF(Assumptions!$I$58=1,MAX(G37374,Assumptions!$G$58)+Assumptions!$F$58+$C$37375,Assumptions!$E$58))+G37410*IF(G37411=1,$C$37376,IF(Assumptions!$I$59=1,MAX(G37374,Assumptions!$G$59)+Assumptions!$F$59+$C$37375,Assumptions!$E$59))+G37423*IF(G37424=1,$C$37376,IF(Assumptions!$I$60=1,MAX(G37374,Assumptions!$G$60)+Assumptions!$F$60+$C$37375,Assumptions!$E$60))+G37436*IF(G37437=1,$C$37376,IF(Assumptions!$I$61=1,MAX(G37374,Assumptions!$G$61)+Assumptions!$F$61+$C$37375,Assumptions!$E$61))+G37449*IF(G37450=1,$C$37376,IF(Assumptions!$I$62=1,MAX(G37374,Assumptions!$G$62)+Assumptions!$F$62+$C$37375,Assumptions!$E$62))+G37462*IF(G37463=1,$C$37376,IF(Assumptions!$I$63=1,MAX(G37374,Assumptions!$G$63)+Assumptions!$F$63+$C$37375,Assumptions!$E$63))+G37475*IF(G37476=1,$C$37376,IF(Assumptions!$I$64=1,MAX(G37374,Assumptions!$G$64)+Assumptions!$F$64+$C$37375,Assumptions!$E$64))+G37488*IF(G37489=1,$C$37376,IF(Assumptions!$I$65=1,MAX(G37374,Assumptions!$G$65)+Assumptions!$F$65+$C$37375,Assumptions!$E$65))+G37501*IF(G37502=1,$C$37376,IF(Assumptions!$I$66=1,MAX(G37374,Assumptions!$G$66)+Assumptions!$F$66+$C$37375,Assumptions!$E$66))</f>
        <v>187.3888354</v>
      </c>
      <c r="H37381" s="16" t="n">
        <f aca="false">H37384*IF(OR(H37385=1,G37694=1),$C$37376,IF(Assumptions!$I$57=1,MAX(H37374,Assumptions!$G$57)+Assumptions!$F$57+$C$37375,Assumptions!$E$57))+H37397*IF(OR(H37398=1,G37695=1),$C$37376,IF(Assumptions!$I$58=1,MAX(H37374,Assumptions!$G$58)+Assumptions!$F$58+$C$37375,Assumptions!$E$58))+H37410*IF(OR(H37411=1,G37696=1),$C$37376,IF(Assumptions!$I$59=1,MAX(H37374,Assumptions!$G$59)+Assumptions!$F$59+$C$37375,Assumptions!$E$59))+H37423*IF(OR(H37424=1,G37697=1),$C$37376,IF(Assumptions!$I$60=1,MAX(H37374,Assumptions!$G$60)+Assumptions!$F$60+$C$37375,Assumptions!$E$60))+H37436*IF(OR(H37437=1,G37698=1),$C$37376,IF(Assumptions!$I$61=1,MAX(H37374,Assumptions!$G$61)+Assumptions!$F$61+$C$37375,Assumptions!$E$61))+H37449*IF(OR(H37450=1,G37699=1),$C$37376,IF(Assumptions!$I$62=1,MAX(H37374,Assumptions!$G$62)+Assumptions!$F$62+$C$37375,Assumptions!$E$62))+H37462*IF(OR(H37463=1,G37700=1),$C$37376,IF(Assumptions!$I$63=1,MAX(H37374,Assumptions!$G$63)+Assumptions!$F$63+$C$37375,Assumptions!$E$63))+H37475*IF(OR(H37476=1,G37701=1),$C$37376,IF(Assumptions!$I$64=1,MAX(H37374,Assumptions!$G$64)+Assumptions!$F$64+$C$37375,Assumptions!$E$64))+H37488*IF(OR(H37489=1,G37702=1),$C$37376,IF(Assumptions!$I$65=1,MAX(H37374,Assumptions!$G$65)+Assumptions!$F$65+$C$37375,Assumptions!$E$65))+H37501*IF(OR(H37502=1,G37703=1),$C$37376,IF(Assumptions!$I$66=1,MAX(H37374,Assumptions!$G$66)+Assumptions!$F$66+$C$37375,Assumptions!$E$66))</f>
        <v>219.4259204</v>
      </c>
      <c r="I37381" s="16" t="n">
        <f aca="false">I37384*IF(OR(I37385=1,H37694=1),$C$37376,IF(Assumptions!$I$57=1,MAX(I37374,Assumptions!$G$57)+Assumptions!$F$57+$C$37375,Assumptions!$E$57))+I37397*IF(OR(I37398=1,H37695=1),$C$37376,IF(Assumptions!$I$58=1,MAX(I37374,Assumptions!$G$58)+Assumptions!$F$58+$C$37375,Assumptions!$E$58))+I37410*IF(OR(I37411=1,H37696=1),$C$37376,IF(Assumptions!$I$59=1,MAX(I37374,Assumptions!$G$59)+Assumptions!$F$59+$C$37375,Assumptions!$E$59))+I37423*IF(OR(I37424=1,H37697=1),$C$37376,IF(Assumptions!$I$60=1,MAX(I37374,Assumptions!$G$60)+Assumptions!$F$60+$C$37375,Assumptions!$E$60))+I37436*IF(OR(I37437=1,H37698=1),$C$37376,IF(Assumptions!$I$61=1,MAX(I37374,Assumptions!$G$61)+Assumptions!$F$61+$C$37375,Assumptions!$E$61))+I37449*IF(OR(I37450=1,H37699=1),$C$37376,IF(Assumptions!$I$62=1,MAX(I37374,Assumptions!$G$62)+Assumptions!$F$62+$C$37375,Assumptions!$E$62))+I37462*IF(OR(I37463=1,H37700=1),$C$37376,IF(Assumptions!$I$63=1,MAX(I37374,Assumptions!$G$63)+Assumptions!$F$63+$C$37375,Assumptions!$E$63))+I37475*IF(OR(I37476=1,H37701=1),$C$37376,IF(Assumptions!$I$64=1,MAX(I37374,Assumptions!$G$64)+Assumptions!$F$64+$C$37375,Assumptions!$E$64))+I37488*IF(OR(I37489=1,H37702=1),$C$37376,IF(Assumptions!$I$65=1,MAX(I37374,Assumptions!$G$65)+Assumptions!$F$65+$C$37375,Assumptions!$E$65))+I37501*IF(OR(I37502=1,H37703=1),$C$37376,IF(Assumptions!$I$66=1,MAX(I37374,Assumptions!$G$66)+Assumptions!$F$66+$C$37375,Assumptions!$E$66))</f>
        <v>188.9240265363</v>
      </c>
      <c r="J37381" s="16" t="n">
        <f aca="false">J37384*IF(OR(J37385=1,I37694=1),$C$37376,IF(Assumptions!$I$57=1,MAX(J37374,Assumptions!$G$57)+Assumptions!$F$57+$C$37375,Assumptions!$E$57))+J37397*IF(OR(J37398=1,I37695=1),$C$37376,IF(Assumptions!$I$58=1,MAX(J37374,Assumptions!$G$58)+Assumptions!$F$58+$C$37375,Assumptions!$E$58))+J37410*IF(OR(J37411=1,I37696=1),$C$37376,IF(Assumptions!$I$59=1,MAX(J37374,Assumptions!$G$59)+Assumptions!$F$59+$C$37375,Assumptions!$E$59))+J37423*IF(OR(J37424=1,I37697=1),$C$37376,IF(Assumptions!$I$60=1,MAX(J37374,Assumptions!$G$60)+Assumptions!$F$60+$C$37375,Assumptions!$E$60))+J37436*IF(OR(J37437=1,I37698=1),$C$37376,IF(Assumptions!$I$61=1,MAX(J37374,Assumptions!$G$61)+Assumptions!$F$61+$C$37375,Assumptions!$E$61))+J37449*IF(OR(J37450=1,I37699=1),$C$37376,IF(Assumptions!$I$62=1,MAX(J37374,Assumptions!$G$62)+Assumptions!$F$62+$C$37375,Assumptions!$E$62))+J37462*IF(OR(J37463=1,I37700=1),$C$37376,IF(Assumptions!$I$63=1,MAX(J37374,Assumptions!$G$63)+Assumptions!$F$63+$C$37375,Assumptions!$E$63))+J37475*IF(OR(J37476=1,I37701=1),$C$37376,IF(Assumptions!$I$64=1,MAX(J37374,Assumptions!$G$64)+Assumptions!$F$64+$C$37375,Assumptions!$E$64))+J37488*IF(OR(J37489=1,I37702=1),$C$37376,IF(Assumptions!$I$65=1,MAX(J37374,Assumptions!$G$65)+Assumptions!$F$65+$C$37375,Assumptions!$E$65))+J37501*IF(OR(J37502=1,I37703=1),$C$37376,IF(Assumptions!$I$66=1,MAX(J37374,Assumptions!$G$66)+Assumptions!$F$66+$C$37375,Assumptions!$E$66))</f>
        <v>201.401526536299</v>
      </c>
      <c r="K37381" s="16" t="n">
        <f aca="false">K37384*IF(OR(K37385=1,J37694=1),$C$37376,IF(Assumptions!$I$57=1,MAX(K37374,Assumptions!$G$57)+Assumptions!$F$57+$C$37375,Assumptions!$E$57))+K37397*IF(OR(K37398=1,J37695=1),$C$37376,IF(Assumptions!$I$58=1,MAX(K37374,Assumptions!$G$58)+Assumptions!$F$58+$C$37375,Assumptions!$E$58))+K37410*IF(OR(K37411=1,J37696=1),$C$37376,IF(Assumptions!$I$59=1,MAX(K37374,Assumptions!$G$59)+Assumptions!$F$59+$C$37375,Assumptions!$E$59))+K37423*IF(OR(K37424=1,J37697=1),$C$37376,IF(Assumptions!$I$60=1,MAX(K37374,Assumptions!$G$60)+Assumptions!$F$60+$C$37375,Assumptions!$E$60))+K37436*IF(OR(K37437=1,J37698=1),$C$37376,IF(Assumptions!$I$61=1,MAX(K37374,Assumptions!$G$61)+Assumptions!$F$61+$C$37375,Assumptions!$E$61))+K37449*IF(OR(K37450=1,J37699=1),$C$37376,IF(Assumptions!$I$62=1,MAX(K37374,Assumptions!$G$62)+Assumptions!$F$62+$C$37375,Assumptions!$E$62))+K37462*IF(OR(K37463=1,J37700=1),$C$37376,IF(Assumptions!$I$63=1,MAX(K37374,Assumptions!$G$63)+Assumptions!$F$63+$C$37375,Assumptions!$E$63))+K37475*IF(OR(K37476=1,J37701=1),$C$37376,IF(Assumptions!$I$64=1,MAX(K37374,Assumptions!$G$64)+Assumptions!$F$64+$C$37375,Assumptions!$E$64))+K37488*IF(OR(K37489=1,J37702=1),$C$37376,IF(Assumptions!$I$65=1,MAX(K37374,Assumptions!$G$65)+Assumptions!$F$65+$C$37375,Assumptions!$E$65))+K37501*IF(OR(K37502=1,J37703=1),$C$37376,IF(Assumptions!$I$66=1,MAX(K37374,Assumptions!$G$66)+Assumptions!$F$66+$C$37375,Assumptions!$E$66))</f>
        <v>192.5815265363</v>
      </c>
    </row>
    <row r="37382" customFormat="false" ht="15" hidden="false" customHeight="false" outlineLevel="0" collapsed="false">
      <c r="A37382" s="3" t="s">
        <v>327</v>
      </c>
      <c r="G37382" s="21" t="n">
        <f aca="false">IF(G37358&lt;=0,0,IF(AND((G37379-G37380)/G37358&lt;=$C$37377,G37358/G37381&gt;=$C$37378),1,0))</f>
        <v>0</v>
      </c>
      <c r="H37382" s="21" t="n">
        <f aca="false">IF(H37358&lt;=0,0,IF(AND((H37379-H37380)/H37358&lt;=$C$37377,H37358/H37381&gt;=$C$37378),1,0))</f>
        <v>0</v>
      </c>
      <c r="I37382" s="21" t="n">
        <f aca="false">IF(I37358&lt;=0,0,IF(AND((I37379-I37380)/I37358&lt;=$C$37377,I37358/I37381&gt;=$C$37378),1,0))</f>
        <v>0</v>
      </c>
      <c r="J37382" s="21" t="n">
        <f aca="false">IF(J37358&lt;=0,0,IF(AND((J37379-J37380)/J37358&lt;=$C$37377,J37358/J37381&gt;=$C$37378),1,0))</f>
        <v>0</v>
      </c>
      <c r="K37382" s="21" t="n">
        <f aca="false">IF(K37358&lt;=0,0,IF(AND((K37379-K37380)/K37358&lt;=$C$37377,K37358/K37381&gt;=$C$37378),1,0))</f>
        <v>0</v>
      </c>
    </row>
    <row r="37383" customFormat="false" ht="15" hidden="false" customHeight="false" outlineLevel="0" collapsed="false">
      <c r="A37383" s="24" t="s">
        <v>328</v>
      </c>
      <c r="B37383" s="25"/>
      <c r="C37383" s="25"/>
      <c r="D37383" s="25"/>
      <c r="E37383" s="25"/>
      <c r="F37383" s="25"/>
      <c r="G37383" s="25"/>
      <c r="H37383" s="25"/>
      <c r="I37383" s="25"/>
      <c r="J37383" s="25"/>
      <c r="K37383" s="25"/>
    </row>
    <row r="37384" customFormat="false" ht="15" hidden="false" customHeight="false" outlineLevel="0" collapsed="false">
      <c r="A37384" s="3" t="s">
        <v>329</v>
      </c>
      <c r="G37384" s="16" t="n">
        <f aca="false">F37395</f>
        <v>400</v>
      </c>
      <c r="H37384" s="16" t="n">
        <f aca="false">G37395</f>
        <v>396</v>
      </c>
      <c r="I37384" s="16" t="n">
        <f aca="false">H37395</f>
        <v>392</v>
      </c>
      <c r="J37384" s="16" t="n">
        <f aca="false">I37395</f>
        <v>388</v>
      </c>
      <c r="K37384" s="16" t="n">
        <f aca="false">J37395</f>
        <v>384</v>
      </c>
    </row>
    <row r="37385" customFormat="false" ht="15" hidden="false" customHeight="false" outlineLevel="0" collapsed="false">
      <c r="A37385" s="3" t="s">
        <v>330</v>
      </c>
      <c r="G37385" s="21" t="n">
        <f aca="false">IF(G37348=Assumptions!$K$57,1,0)</f>
        <v>0</v>
      </c>
      <c r="H37385" s="21" t="n">
        <f aca="false">IF(H37348=Assumptions!$K$57,1,0)</f>
        <v>0</v>
      </c>
      <c r="I37385" s="21" t="n">
        <f aca="false">IF(I37348=Assumptions!$K$57,1,0)</f>
        <v>0</v>
      </c>
      <c r="J37385" s="21" t="n">
        <f aca="false">IF(J37348=Assumptions!$K$57,1,0)</f>
        <v>0</v>
      </c>
      <c r="K37385" s="21" t="n">
        <f aca="false">IF(K37348=Assumptions!$K$57,1,0)</f>
        <v>1</v>
      </c>
    </row>
    <row r="37387" customFormat="false" ht="15" hidden="false" customHeight="false" outlineLevel="0" collapsed="false">
      <c r="A37387" s="3" t="s">
        <v>331</v>
      </c>
      <c r="G37387" s="31" t="n">
        <f aca="false">IF(Assumptions!$I$57=1,MAX(G37374,Assumptions!$G$57)+Assumptions!$F$57+$C$37375,Assumptions!$E$57)</f>
        <v>0.1065</v>
      </c>
      <c r="H37387" s="31" t="n">
        <f aca="false">IF(G37694=1,$C$37376,IF(Assumptions!$I$57=1,MAX(H37374,Assumptions!$G$57)+Assumptions!$F$57+$C$37375,Assumptions!$E$57))</f>
        <v>0.105</v>
      </c>
      <c r="I37387" s="31" t="n">
        <f aca="false">IF(H37694=1,$C$37376,IF(Assumptions!$I$57=1,MAX(I37374,Assumptions!$G$57)+Assumptions!$F$57+$C$37375,Assumptions!$E$57))</f>
        <v>0.1025</v>
      </c>
      <c r="J37387" s="31" t="n">
        <f aca="false">IF(I37694=1,$C$37376,IF(Assumptions!$I$57=1,MAX(J37374,Assumptions!$G$57)+Assumptions!$F$57+$C$37375,Assumptions!$E$57))</f>
        <v>0.1025</v>
      </c>
      <c r="K37387" s="31" t="n">
        <f aca="false">IF(J37694=1,$C$37376,IF(Assumptions!$I$57=1,MAX(K37374,Assumptions!$G$57)+Assumptions!$F$57+$C$37375,Assumptions!$E$57))</f>
        <v>0.1025</v>
      </c>
    </row>
    <row r="37388" customFormat="false" ht="15" hidden="false" customHeight="false" outlineLevel="0" collapsed="false">
      <c r="A37388" s="3" t="s">
        <v>332</v>
      </c>
      <c r="G37388" s="16" t="n">
        <f aca="false">G37384*G37387</f>
        <v>42.6</v>
      </c>
      <c r="H37388" s="16" t="n">
        <f aca="false">H37384*H37387</f>
        <v>41.58</v>
      </c>
      <c r="I37388" s="16" t="n">
        <f aca="false">I37384*I37387</f>
        <v>40.18</v>
      </c>
      <c r="J37388" s="16" t="n">
        <f aca="false">J37384*J37387</f>
        <v>39.77</v>
      </c>
      <c r="K37388" s="16" t="n">
        <f aca="false">K37384*K37387</f>
        <v>39.36</v>
      </c>
    </row>
    <row r="37389" customFormat="false" ht="15" hidden="false" customHeight="false" outlineLevel="0" collapsed="false">
      <c r="A37389" s="3" t="s">
        <v>333</v>
      </c>
      <c r="G37389" s="16" t="n">
        <f aca="false">G37384*Assumptions!$H$57</f>
        <v>0</v>
      </c>
      <c r="H37389" s="16" t="n">
        <f aca="false">H37384*Assumptions!$H$57</f>
        <v>0</v>
      </c>
      <c r="I37389" s="16" t="n">
        <f aca="false">I37384*Assumptions!$H$57</f>
        <v>0</v>
      </c>
      <c r="J37389" s="16" t="n">
        <f aca="false">J37384*Assumptions!$H$57</f>
        <v>0</v>
      </c>
      <c r="K37389" s="16" t="n">
        <f aca="false">K37384*Assumptions!$H$57</f>
        <v>0</v>
      </c>
    </row>
    <row r="37390" customFormat="false" ht="15" hidden="false" customHeight="false" outlineLevel="0" collapsed="false">
      <c r="A37390" s="3" t="s">
        <v>334</v>
      </c>
      <c r="G37390" s="16" t="n">
        <f aca="false">MIN(G37384,Assumptions!$L$57*Assumptions!$C$57)</f>
        <v>4</v>
      </c>
      <c r="H37390" s="16" t="n">
        <f aca="false">MIN(H37384,Assumptions!$L$57*Assumptions!$C$57)</f>
        <v>4</v>
      </c>
      <c r="I37390" s="16" t="n">
        <f aca="false">MIN(I37384,Assumptions!$L$57*Assumptions!$C$57)</f>
        <v>4</v>
      </c>
      <c r="J37390" s="16" t="n">
        <f aca="false">MIN(J37384,Assumptions!$L$57*Assumptions!$C$57)</f>
        <v>4</v>
      </c>
      <c r="K37390" s="16" t="n">
        <f aca="false">MIN(K37384,Assumptions!$L$57*Assumptions!$C$57)</f>
        <v>4</v>
      </c>
    </row>
    <row r="37391" customFormat="false" ht="15" hidden="false" customHeight="false" outlineLevel="0" collapsed="false">
      <c r="A37391" s="3" t="s">
        <v>335</v>
      </c>
      <c r="G37391" s="16" t="n">
        <f aca="false">IF(AND(Assumptions!$P$57=1,G37348&lt;Assumptions!$K$57),MIN(MAX(0,-G37564),MAX(0,Assumptions!$D$57-G37384)),0)</f>
        <v>0</v>
      </c>
      <c r="H37391" s="16" t="n">
        <f aca="false">IF(AND(Assumptions!$P$57=1,OR(H37348&lt;Assumptions!$K$57,G37694=1)),MIN(MAX(0,-H37564),MAX(0,Assumptions!$D$57-H37384)),0)</f>
        <v>0</v>
      </c>
      <c r="I37391" s="16" t="n">
        <f aca="false">IF(AND(Assumptions!$P$57=1,OR(I37348&lt;Assumptions!$K$57,H37694=1)),MIN(MAX(0,-I37564),MAX(0,Assumptions!$D$57-I37384)),0)</f>
        <v>0</v>
      </c>
      <c r="J37391" s="16" t="n">
        <f aca="false">IF(AND(Assumptions!$P$57=1,OR(J37348&lt;Assumptions!$K$57,I37694=1)),MIN(MAX(0,-J37564),MAX(0,Assumptions!$D$57-J37384)),0)</f>
        <v>0</v>
      </c>
      <c r="K37391" s="16" t="n">
        <f aca="false">IF(AND(Assumptions!$P$57=1,OR(K37348&lt;Assumptions!$K$57,J37694=1)),MIN(MAX(0,-K37564),MAX(0,Assumptions!$D$57-K37384)),0)</f>
        <v>0</v>
      </c>
    </row>
    <row r="37392" customFormat="false" ht="15" hidden="false" customHeight="false" outlineLevel="0" collapsed="false">
      <c r="A37392" s="3" t="s">
        <v>336</v>
      </c>
      <c r="G37392" s="16" t="n">
        <f aca="false">G37385*MIN(G37384-G37390+G37389,MAX(0,G37566-Assumptions!$C$12*G37382))</f>
        <v>0</v>
      </c>
      <c r="H37392" s="16" t="n">
        <f aca="false">H37385*MIN(H37384-H37390+H37389,MAX(0,H37566-Assumptions!$C$12*H37382))</f>
        <v>0</v>
      </c>
      <c r="I37392" s="16" t="n">
        <f aca="false">I37385*MIN(I37384-I37390+I37389,MAX(0,I37566-Assumptions!$C$12*I37382))</f>
        <v>0</v>
      </c>
      <c r="J37392" s="16" t="n">
        <f aca="false">J37385*MIN(J37384-J37390+J37389,MAX(0,J37566-Assumptions!$C$12*J37382))</f>
        <v>0</v>
      </c>
      <c r="K37392" s="16" t="n">
        <f aca="false">K37385*MIN(K37384-K37390+K37389,MAX(0,K37566-Assumptions!$C$12*K37382))</f>
        <v>0</v>
      </c>
    </row>
    <row r="37393" customFormat="false" ht="15" hidden="false" customHeight="false" outlineLevel="0" collapsed="false">
      <c r="A37393" s="3" t="s">
        <v>337</v>
      </c>
      <c r="G37393" s="16" t="n">
        <f aca="false">Assumptions!$N$57*MIN(G37384+G37391+G37389-G37390-G37392,MAX(0,G37570))</f>
        <v>0</v>
      </c>
      <c r="H37393" s="16" t="n">
        <f aca="false">Assumptions!$N$57*MIN(H37384+H37391+H37389-H37390-H37392,MAX(0,H37570))</f>
        <v>0</v>
      </c>
      <c r="I37393" s="16" t="n">
        <f aca="false">Assumptions!$N$57*MIN(I37384+I37391+I37389-I37390-I37392,MAX(0,I37570))</f>
        <v>0</v>
      </c>
      <c r="J37393" s="16" t="n">
        <f aca="false">Assumptions!$N$57*MIN(J37384+J37391+J37389-J37390-J37392,MAX(0,J37570))</f>
        <v>0</v>
      </c>
      <c r="K37393" s="16" t="n">
        <f aca="false">Assumptions!$N$57*MIN(K37384+K37391+K37389-K37390-K37392,MAX(0,K37570))</f>
        <v>0</v>
      </c>
    </row>
    <row r="37394" customFormat="false" ht="15" hidden="false" customHeight="false" outlineLevel="0" collapsed="false">
      <c r="A37394" s="3" t="s">
        <v>338</v>
      </c>
      <c r="G37394" s="16" t="n">
        <f aca="false">G37385*(1-G37382)*(G37384-G37390+G37389-G37392)</f>
        <v>0</v>
      </c>
      <c r="H37394" s="16" t="n">
        <f aca="false">H37385*(1-H37382)*(H37384-H37390+H37389-H37392)</f>
        <v>0</v>
      </c>
      <c r="I37394" s="16" t="n">
        <f aca="false">I37385*(1-I37382)*(I37384-I37390+I37389-I37392)</f>
        <v>0</v>
      </c>
      <c r="J37394" s="16" t="n">
        <f aca="false">J37385*(1-J37382)*(J37384-J37390+J37389-J37392)</f>
        <v>0</v>
      </c>
      <c r="K37394" s="16" t="n">
        <f aca="false">K37385*(1-K37382)*(K37384-K37390+K37389-K37392)</f>
        <v>380</v>
      </c>
    </row>
    <row r="37395" customFormat="false" ht="15" hidden="false" customHeight="false" outlineLevel="0" collapsed="false">
      <c r="A37395" s="2" t="s">
        <v>339</v>
      </c>
      <c r="F37395" s="28" t="n">
        <f aca="false">Assumptions!$C$57</f>
        <v>400</v>
      </c>
      <c r="G37395" s="17" t="n">
        <f aca="false">G37384+G37391+G37389-G37390-G37392-G37393</f>
        <v>396</v>
      </c>
      <c r="H37395" s="17" t="n">
        <f aca="false">H37384+H37391+H37389-H37390-H37392-H37393</f>
        <v>392</v>
      </c>
      <c r="I37395" s="17" t="n">
        <f aca="false">I37384+I37391+I37389-I37390-I37392-I37393</f>
        <v>388</v>
      </c>
      <c r="J37395" s="17" t="n">
        <f aca="false">J37384+J37391+J37389-J37390-J37392-J37393</f>
        <v>384</v>
      </c>
      <c r="K37395" s="17" t="n">
        <f aca="false">K37384+K37391+K37389-K37390-K37392-K37393</f>
        <v>380</v>
      </c>
    </row>
    <row r="37396" customFormat="false" ht="15" hidden="false" customHeight="false" outlineLevel="0" collapsed="false">
      <c r="A37396" s="24" t="s">
        <v>340</v>
      </c>
      <c r="B37396" s="25"/>
      <c r="C37396" s="25"/>
      <c r="D37396" s="25"/>
      <c r="E37396" s="25"/>
      <c r="F37396" s="25"/>
      <c r="G37396" s="25"/>
      <c r="H37396" s="25"/>
      <c r="I37396" s="25"/>
      <c r="J37396" s="25"/>
      <c r="K37396" s="25"/>
    </row>
    <row r="37397" customFormat="false" ht="15" hidden="false" customHeight="false" outlineLevel="0" collapsed="false">
      <c r="A37397" s="3" t="s">
        <v>329</v>
      </c>
      <c r="G37397" s="16" t="n">
        <f aca="false">F37408</f>
        <v>90</v>
      </c>
      <c r="H37397" s="16" t="n">
        <f aca="false">G37408</f>
        <v>90</v>
      </c>
      <c r="I37397" s="16" t="n">
        <f aca="false">H37408</f>
        <v>90</v>
      </c>
      <c r="J37397" s="16" t="n">
        <f aca="false">I37408</f>
        <v>90</v>
      </c>
      <c r="K37397" s="16" t="n">
        <f aca="false">J37408</f>
        <v>90</v>
      </c>
    </row>
    <row r="37398" customFormat="false" ht="15" hidden="false" customHeight="false" outlineLevel="0" collapsed="false">
      <c r="A37398" s="3" t="s">
        <v>330</v>
      </c>
      <c r="G37398" s="21" t="n">
        <f aca="false">IF(G37348=Assumptions!$K$58,1,0)</f>
        <v>0</v>
      </c>
      <c r="H37398" s="21" t="n">
        <f aca="false">IF(H37348=Assumptions!$K$58,1,0)</f>
        <v>0</v>
      </c>
      <c r="I37398" s="21" t="n">
        <f aca="false">IF(I37348=Assumptions!$K$58,1,0)</f>
        <v>0</v>
      </c>
      <c r="J37398" s="21" t="n">
        <f aca="false">IF(J37348=Assumptions!$K$58,1,0)</f>
        <v>0</v>
      </c>
      <c r="K37398" s="21" t="n">
        <f aca="false">IF(K37348=Assumptions!$K$58,1,0)</f>
        <v>0</v>
      </c>
    </row>
    <row r="37400" customFormat="false" ht="15" hidden="false" customHeight="false" outlineLevel="0" collapsed="false">
      <c r="A37400" s="3" t="s">
        <v>331</v>
      </c>
      <c r="G37400" s="31" t="n">
        <f aca="false">IF(Assumptions!$I$58=1,MAX(G37374,Assumptions!$G$58)+Assumptions!$F$58+$C$37375,Assumptions!$E$58)</f>
        <v>0.0581</v>
      </c>
      <c r="H37400" s="31" t="n">
        <f aca="false">IF(G37695=1,$C$37376,IF(Assumptions!$I$58=1,MAX(H37374,Assumptions!$G$58)+Assumptions!$F$58+$C$37375,Assumptions!$E$58))</f>
        <v>0.0581</v>
      </c>
      <c r="I37400" s="31" t="n">
        <f aca="false">IF(H37695=1,$C$37376,IF(Assumptions!$I$58=1,MAX(I37374,Assumptions!$G$58)+Assumptions!$F$58+$C$37375,Assumptions!$E$58))</f>
        <v>0.0581</v>
      </c>
      <c r="J37400" s="31" t="n">
        <f aca="false">IF(I37695=1,$C$37376,IF(Assumptions!$I$58=1,MAX(J37374,Assumptions!$G$58)+Assumptions!$F$58+$C$37375,Assumptions!$E$58))</f>
        <v>0.0581</v>
      </c>
      <c r="K37400" s="31" t="n">
        <f aca="false">IF(J37695=1,$C$37376,IF(Assumptions!$I$58=1,MAX(K37374,Assumptions!$G$58)+Assumptions!$F$58+$C$37375,Assumptions!$E$58))</f>
        <v>0.0581</v>
      </c>
    </row>
    <row r="37401" customFormat="false" ht="15" hidden="false" customHeight="false" outlineLevel="0" collapsed="false">
      <c r="A37401" s="3" t="s">
        <v>332</v>
      </c>
      <c r="G37401" s="16" t="n">
        <f aca="false">G37397*G37400</f>
        <v>5.229</v>
      </c>
      <c r="H37401" s="16" t="n">
        <f aca="false">H37397*H37400</f>
        <v>5.229</v>
      </c>
      <c r="I37401" s="16" t="n">
        <f aca="false">I37397*I37400</f>
        <v>5.229</v>
      </c>
      <c r="J37401" s="16" t="n">
        <f aca="false">J37397*J37400</f>
        <v>5.229</v>
      </c>
      <c r="K37401" s="16" t="n">
        <f aca="false">K37397*K37400</f>
        <v>5.229</v>
      </c>
    </row>
    <row r="37402" customFormat="false" ht="15" hidden="false" customHeight="false" outlineLevel="0" collapsed="false">
      <c r="A37402" s="3" t="s">
        <v>333</v>
      </c>
      <c r="G37402" s="16" t="n">
        <f aca="false">G37397*Assumptions!$H$58</f>
        <v>0</v>
      </c>
      <c r="H37402" s="16" t="n">
        <f aca="false">H37397*Assumptions!$H$58</f>
        <v>0</v>
      </c>
      <c r="I37402" s="16" t="n">
        <f aca="false">I37397*Assumptions!$H$58</f>
        <v>0</v>
      </c>
      <c r="J37402" s="16" t="n">
        <f aca="false">J37397*Assumptions!$H$58</f>
        <v>0</v>
      </c>
      <c r="K37402" s="16" t="n">
        <f aca="false">K37397*Assumptions!$H$58</f>
        <v>0</v>
      </c>
    </row>
    <row r="37403" customFormat="false" ht="15" hidden="false" customHeight="false" outlineLevel="0" collapsed="false">
      <c r="A37403" s="3" t="s">
        <v>334</v>
      </c>
      <c r="G37403" s="16" t="n">
        <f aca="false">MIN(G37397,Assumptions!$L$58*Assumptions!$C$58)</f>
        <v>0</v>
      </c>
      <c r="H37403" s="16" t="n">
        <f aca="false">MIN(H37397,Assumptions!$L$58*Assumptions!$C$58)</f>
        <v>0</v>
      </c>
      <c r="I37403" s="16" t="n">
        <f aca="false">MIN(I37397,Assumptions!$L$58*Assumptions!$C$58)</f>
        <v>0</v>
      </c>
      <c r="J37403" s="16" t="n">
        <f aca="false">MIN(J37397,Assumptions!$L$58*Assumptions!$C$58)</f>
        <v>0</v>
      </c>
      <c r="K37403" s="16" t="n">
        <f aca="false">MIN(K37397,Assumptions!$L$58*Assumptions!$C$58)</f>
        <v>0</v>
      </c>
    </row>
    <row r="37404" customFormat="false" ht="15" hidden="false" customHeight="false" outlineLevel="0" collapsed="false">
      <c r="A37404" s="3" t="s">
        <v>335</v>
      </c>
      <c r="G37404" s="16" t="n">
        <f aca="false">IF(AND(Assumptions!$P$58=1,G37348&lt;Assumptions!$K$58),MIN(MAX(0,-G37564),MAX(0,Assumptions!$D$58-G37397)),0)</f>
        <v>0</v>
      </c>
      <c r="H37404" s="16" t="n">
        <f aca="false">IF(AND(Assumptions!$P$58=1,OR(H37348&lt;Assumptions!$K$58,G37695=1)),MIN(MAX(0,-H37564),MAX(0,Assumptions!$D$58-H37397)),0)</f>
        <v>0</v>
      </c>
      <c r="I37404" s="16" t="n">
        <f aca="false">IF(AND(Assumptions!$P$58=1,OR(I37348&lt;Assumptions!$K$58,H37695=1)),MIN(MAX(0,-I37564),MAX(0,Assumptions!$D$58-I37397)),0)</f>
        <v>0</v>
      </c>
      <c r="J37404" s="16" t="n">
        <f aca="false">IF(AND(Assumptions!$P$58=1,OR(J37348&lt;Assumptions!$K$58,I37695=1)),MIN(MAX(0,-J37564),MAX(0,Assumptions!$D$58-J37397)),0)</f>
        <v>0</v>
      </c>
      <c r="K37404" s="16" t="n">
        <f aca="false">IF(AND(Assumptions!$P$58=1,OR(K37348&lt;Assumptions!$K$58,J37695=1)),MIN(MAX(0,-K37564),MAX(0,Assumptions!$D$58-K37397)),0)</f>
        <v>0</v>
      </c>
    </row>
    <row r="37405" customFormat="false" ht="15" hidden="false" customHeight="false" outlineLevel="0" collapsed="false">
      <c r="A37405" s="3" t="s">
        <v>336</v>
      </c>
      <c r="G37405" s="16" t="n">
        <f aca="false">G37398*MIN(G37397-G37403+G37402,MAX(0,G37566-Assumptions!$C$12*G37382-G37392))</f>
        <v>0</v>
      </c>
      <c r="H37405" s="16" t="n">
        <f aca="false">H37398*MIN(H37397-H37403+H37402,MAX(0,H37566-Assumptions!$C$12*H37382-H37392))</f>
        <v>0</v>
      </c>
      <c r="I37405" s="16" t="n">
        <f aca="false">I37398*MIN(I37397-I37403+I37402,MAX(0,I37566-Assumptions!$C$12*I37382-I37392))</f>
        <v>0</v>
      </c>
      <c r="J37405" s="16" t="n">
        <f aca="false">J37398*MIN(J37397-J37403+J37402,MAX(0,J37566-Assumptions!$C$12*J37382-J37392))</f>
        <v>0</v>
      </c>
      <c r="K37405" s="16" t="n">
        <f aca="false">K37398*MIN(K37397-K37403+K37402,MAX(0,K37566-Assumptions!$C$12*K37382-K37392))</f>
        <v>0</v>
      </c>
    </row>
    <row r="37406" customFormat="false" ht="15" hidden="false" customHeight="false" outlineLevel="0" collapsed="false">
      <c r="A37406" s="3" t="s">
        <v>337</v>
      </c>
      <c r="G37406" s="16" t="n">
        <f aca="false">Assumptions!$N$58*MIN(G37397+G37404+G37402-G37403-G37405,MAX(0,G37570-G37393))</f>
        <v>0</v>
      </c>
      <c r="H37406" s="16" t="n">
        <f aca="false">Assumptions!$N$58*MIN(H37397+H37404+H37402-H37403-H37405,MAX(0,H37570-H37393))</f>
        <v>0</v>
      </c>
      <c r="I37406" s="16" t="n">
        <f aca="false">Assumptions!$N$58*MIN(I37397+I37404+I37402-I37403-I37405,MAX(0,I37570-I37393))</f>
        <v>0</v>
      </c>
      <c r="J37406" s="16" t="n">
        <f aca="false">Assumptions!$N$58*MIN(J37397+J37404+J37402-J37403-J37405,MAX(0,J37570-J37393))</f>
        <v>0</v>
      </c>
      <c r="K37406" s="16" t="n">
        <f aca="false">Assumptions!$N$58*MIN(K37397+K37404+K37402-K37403-K37405,MAX(0,K37570-K37393))</f>
        <v>0</v>
      </c>
    </row>
    <row r="37407" customFormat="false" ht="15" hidden="false" customHeight="false" outlineLevel="0" collapsed="false">
      <c r="A37407" s="3" t="s">
        <v>338</v>
      </c>
      <c r="G37407" s="16" t="n">
        <f aca="false">G37398*(1-G37382)*(G37397-G37403+G37402-G37405)</f>
        <v>0</v>
      </c>
      <c r="H37407" s="16" t="n">
        <f aca="false">H37398*(1-H37382)*(H37397-H37403+H37402-H37405)</f>
        <v>0</v>
      </c>
      <c r="I37407" s="16" t="n">
        <f aca="false">I37398*(1-I37382)*(I37397-I37403+I37402-I37405)</f>
        <v>0</v>
      </c>
      <c r="J37407" s="16" t="n">
        <f aca="false">J37398*(1-J37382)*(J37397-J37403+J37402-J37405)</f>
        <v>0</v>
      </c>
      <c r="K37407" s="16" t="n">
        <f aca="false">K37398*(1-K37382)*(K37397-K37403+K37402-K37405)</f>
        <v>0</v>
      </c>
    </row>
    <row r="37408" customFormat="false" ht="15" hidden="false" customHeight="false" outlineLevel="0" collapsed="false">
      <c r="A37408" s="2" t="s">
        <v>339</v>
      </c>
      <c r="F37408" s="28" t="n">
        <f aca="false">Assumptions!$C$58</f>
        <v>90</v>
      </c>
      <c r="G37408" s="17" t="n">
        <f aca="false">G37397+G37404+G37402-G37403-G37405-G37406</f>
        <v>90</v>
      </c>
      <c r="H37408" s="17" t="n">
        <f aca="false">H37397+H37404+H37402-H37403-H37405-H37406</f>
        <v>90</v>
      </c>
      <c r="I37408" s="17" t="n">
        <f aca="false">I37397+I37404+I37402-I37403-I37405-I37406</f>
        <v>90</v>
      </c>
      <c r="J37408" s="17" t="n">
        <f aca="false">J37397+J37404+J37402-J37403-J37405-J37406</f>
        <v>90</v>
      </c>
      <c r="K37408" s="17" t="n">
        <f aca="false">K37397+K37404+K37402-K37403-K37405-K37406</f>
        <v>90</v>
      </c>
    </row>
    <row r="37409" customFormat="false" ht="15" hidden="false" customHeight="false" outlineLevel="0" collapsed="false">
      <c r="A37409" s="24" t="s">
        <v>341</v>
      </c>
      <c r="B37409" s="25"/>
      <c r="C37409" s="25"/>
      <c r="D37409" s="25"/>
      <c r="E37409" s="25"/>
      <c r="F37409" s="25"/>
      <c r="G37409" s="25"/>
      <c r="H37409" s="25"/>
      <c r="I37409" s="25"/>
      <c r="J37409" s="25"/>
      <c r="K37409" s="25"/>
    </row>
    <row r="37410" customFormat="false" ht="15" hidden="false" customHeight="false" outlineLevel="0" collapsed="false">
      <c r="A37410" s="3" t="s">
        <v>329</v>
      </c>
      <c r="G37410" s="16" t="n">
        <f aca="false">F37421</f>
        <v>57.324</v>
      </c>
      <c r="H37410" s="16" t="n">
        <f aca="false">G37421</f>
        <v>57.324</v>
      </c>
      <c r="I37410" s="16" t="n">
        <f aca="false">H37421</f>
        <v>57.324</v>
      </c>
      <c r="J37410" s="16" t="n">
        <f aca="false">I37421</f>
        <v>57.324</v>
      </c>
      <c r="K37410" s="16" t="n">
        <f aca="false">J37421</f>
        <v>57.324</v>
      </c>
    </row>
    <row r="37411" customFormat="false" ht="15" hidden="false" customHeight="false" outlineLevel="0" collapsed="false">
      <c r="A37411" s="3" t="s">
        <v>330</v>
      </c>
      <c r="G37411" s="21" t="n">
        <f aca="false">IF(G37348=Assumptions!$K$59,1,0)</f>
        <v>0</v>
      </c>
      <c r="H37411" s="21" t="n">
        <f aca="false">IF(H37348=Assumptions!$K$59,1,0)</f>
        <v>0</v>
      </c>
      <c r="I37411" s="21" t="n">
        <f aca="false">IF(I37348=Assumptions!$K$59,1,0)</f>
        <v>0</v>
      </c>
      <c r="J37411" s="21" t="n">
        <f aca="false">IF(J37348=Assumptions!$K$59,1,0)</f>
        <v>0</v>
      </c>
      <c r="K37411" s="21" t="n">
        <f aca="false">IF(K37348=Assumptions!$K$59,1,0)</f>
        <v>0</v>
      </c>
    </row>
    <row r="37413" customFormat="false" ht="15" hidden="false" customHeight="false" outlineLevel="0" collapsed="false">
      <c r="A37413" s="3" t="s">
        <v>331</v>
      </c>
      <c r="G37413" s="31" t="n">
        <f aca="false">IF(Assumptions!$I$59=1,MAX(G37374,Assumptions!$G$59)+Assumptions!$F$59+$C$37375,Assumptions!$E$59)</f>
        <v>0.0731</v>
      </c>
      <c r="H37413" s="31" t="n">
        <f aca="false">IF(G37696=1,$C$37376,IF(Assumptions!$I$59=1,MAX(H37374,Assumptions!$G$59)+Assumptions!$F$59+$C$37375,Assumptions!$E$59))</f>
        <v>0.0731</v>
      </c>
      <c r="I37413" s="31" t="n">
        <f aca="false">IF(H37696=1,$C$37376,IF(Assumptions!$I$59=1,MAX(I37374,Assumptions!$G$59)+Assumptions!$F$59+$C$37375,Assumptions!$E$59))</f>
        <v>0.0731</v>
      </c>
      <c r="J37413" s="31" t="n">
        <f aca="false">IF(I37696=1,$C$37376,IF(Assumptions!$I$59=1,MAX(J37374,Assumptions!$G$59)+Assumptions!$F$59+$C$37375,Assumptions!$E$59))</f>
        <v>0.0731</v>
      </c>
      <c r="K37413" s="31" t="n">
        <f aca="false">IF(J37696=1,$C$37376,IF(Assumptions!$I$59=1,MAX(K37374,Assumptions!$G$59)+Assumptions!$F$59+$C$37375,Assumptions!$E$59))</f>
        <v>0.0731</v>
      </c>
    </row>
    <row r="37414" customFormat="false" ht="15" hidden="false" customHeight="false" outlineLevel="0" collapsed="false">
      <c r="A37414" s="3" t="s">
        <v>332</v>
      </c>
      <c r="G37414" s="16" t="n">
        <f aca="false">G37410*G37413</f>
        <v>4.1903844</v>
      </c>
      <c r="H37414" s="16" t="n">
        <f aca="false">H37410*H37413</f>
        <v>4.1903844</v>
      </c>
      <c r="I37414" s="16" t="n">
        <f aca="false">I37410*I37413</f>
        <v>4.1903844</v>
      </c>
      <c r="J37414" s="16" t="n">
        <f aca="false">J37410*J37413</f>
        <v>4.1903844</v>
      </c>
      <c r="K37414" s="16" t="n">
        <f aca="false">K37410*K37413</f>
        <v>4.1903844</v>
      </c>
    </row>
    <row r="37415" customFormat="false" ht="15" hidden="false" customHeight="false" outlineLevel="0" collapsed="false">
      <c r="A37415" s="3" t="s">
        <v>333</v>
      </c>
      <c r="G37415" s="16" t="n">
        <f aca="false">G37410*Assumptions!$H$59</f>
        <v>0</v>
      </c>
      <c r="H37415" s="16" t="n">
        <f aca="false">H37410*Assumptions!$H$59</f>
        <v>0</v>
      </c>
      <c r="I37415" s="16" t="n">
        <f aca="false">I37410*Assumptions!$H$59</f>
        <v>0</v>
      </c>
      <c r="J37415" s="16" t="n">
        <f aca="false">J37410*Assumptions!$H$59</f>
        <v>0</v>
      </c>
      <c r="K37415" s="16" t="n">
        <f aca="false">K37410*Assumptions!$H$59</f>
        <v>0</v>
      </c>
    </row>
    <row r="37416" customFormat="false" ht="15" hidden="false" customHeight="false" outlineLevel="0" collapsed="false">
      <c r="A37416" s="3" t="s">
        <v>334</v>
      </c>
      <c r="G37416" s="16" t="n">
        <f aca="false">MIN(G37410,Assumptions!$L$59*Assumptions!$C$59)</f>
        <v>0</v>
      </c>
      <c r="H37416" s="16" t="n">
        <f aca="false">MIN(H37410,Assumptions!$L$59*Assumptions!$C$59)</f>
        <v>0</v>
      </c>
      <c r="I37416" s="16" t="n">
        <f aca="false">MIN(I37410,Assumptions!$L$59*Assumptions!$C$59)</f>
        <v>0</v>
      </c>
      <c r="J37416" s="16" t="n">
        <f aca="false">MIN(J37410,Assumptions!$L$59*Assumptions!$C$59)</f>
        <v>0</v>
      </c>
      <c r="K37416" s="16" t="n">
        <f aca="false">MIN(K37410,Assumptions!$L$59*Assumptions!$C$59)</f>
        <v>0</v>
      </c>
    </row>
    <row r="37417" customFormat="false" ht="15" hidden="false" customHeight="false" outlineLevel="0" collapsed="false">
      <c r="A37417" s="3" t="s">
        <v>335</v>
      </c>
      <c r="G37417" s="16" t="n">
        <f aca="false">IF(AND(Assumptions!$P$59=1,G37348&lt;Assumptions!$K$59),MIN(MAX(0,-G37564),MAX(0,Assumptions!$D$59-G37410)),0)</f>
        <v>0</v>
      </c>
      <c r="H37417" s="16" t="n">
        <f aca="false">IF(AND(Assumptions!$P$59=1,OR(H37348&lt;Assumptions!$K$59,G37696=1)),MIN(MAX(0,-H37564),MAX(0,Assumptions!$D$59-H37410)),0)</f>
        <v>0</v>
      </c>
      <c r="I37417" s="16" t="n">
        <f aca="false">IF(AND(Assumptions!$P$59=1,OR(I37348&lt;Assumptions!$K$59,H37696=1)),MIN(MAX(0,-I37564),MAX(0,Assumptions!$D$59-I37410)),0)</f>
        <v>0</v>
      </c>
      <c r="J37417" s="16" t="n">
        <f aca="false">IF(AND(Assumptions!$P$59=1,OR(J37348&lt;Assumptions!$K$59,I37696=1)),MIN(MAX(0,-J37564),MAX(0,Assumptions!$D$59-J37410)),0)</f>
        <v>0</v>
      </c>
      <c r="K37417" s="16" t="n">
        <f aca="false">IF(AND(Assumptions!$P$59=1,OR(K37348&lt;Assumptions!$K$59,J37696=1)),MIN(MAX(0,-K37564),MAX(0,Assumptions!$D$59-K37410)),0)</f>
        <v>0</v>
      </c>
    </row>
    <row r="37418" customFormat="false" ht="15" hidden="false" customHeight="false" outlineLevel="0" collapsed="false">
      <c r="A37418" s="3" t="s">
        <v>336</v>
      </c>
      <c r="G37418" s="16" t="n">
        <f aca="false">G37411*MIN(G37410-G37416+G37415,MAX(0,G37566-Assumptions!$C$12*G37382-G37392-G37405))</f>
        <v>0</v>
      </c>
      <c r="H37418" s="16" t="n">
        <f aca="false">H37411*MIN(H37410-H37416+H37415,MAX(0,H37566-Assumptions!$C$12*H37382-H37392-H37405))</f>
        <v>0</v>
      </c>
      <c r="I37418" s="16" t="n">
        <f aca="false">I37411*MIN(I37410-I37416+I37415,MAX(0,I37566-Assumptions!$C$12*I37382-I37392-I37405))</f>
        <v>0</v>
      </c>
      <c r="J37418" s="16" t="n">
        <f aca="false">J37411*MIN(J37410-J37416+J37415,MAX(0,J37566-Assumptions!$C$12*J37382-J37392-J37405))</f>
        <v>0</v>
      </c>
      <c r="K37418" s="16" t="n">
        <f aca="false">K37411*MIN(K37410-K37416+K37415,MAX(0,K37566-Assumptions!$C$12*K37382-K37392-K37405))</f>
        <v>0</v>
      </c>
    </row>
    <row r="37419" customFormat="false" ht="15" hidden="false" customHeight="false" outlineLevel="0" collapsed="false">
      <c r="A37419" s="3" t="s">
        <v>337</v>
      </c>
      <c r="G37419" s="16" t="n">
        <f aca="false">Assumptions!$N$59*MIN(G37410+G37417+G37415-G37416-G37418,MAX(0,G37570-G37393-G37406))</f>
        <v>0</v>
      </c>
      <c r="H37419" s="16" t="n">
        <f aca="false">Assumptions!$N$59*MIN(H37410+H37417+H37415-H37416-H37418,MAX(0,H37570-H37393-H37406))</f>
        <v>0</v>
      </c>
      <c r="I37419" s="16" t="n">
        <f aca="false">Assumptions!$N$59*MIN(I37410+I37417+I37415-I37416-I37418,MAX(0,I37570-I37393-I37406))</f>
        <v>0</v>
      </c>
      <c r="J37419" s="16" t="n">
        <f aca="false">Assumptions!$N$59*MIN(J37410+J37417+J37415-J37416-J37418,MAX(0,J37570-J37393-J37406))</f>
        <v>0</v>
      </c>
      <c r="K37419" s="16" t="n">
        <f aca="false">Assumptions!$N$59*MIN(K37410+K37417+K37415-K37416-K37418,MAX(0,K37570-K37393-K37406))</f>
        <v>0</v>
      </c>
    </row>
    <row r="37420" customFormat="false" ht="15" hidden="false" customHeight="false" outlineLevel="0" collapsed="false">
      <c r="A37420" s="3" t="s">
        <v>338</v>
      </c>
      <c r="G37420" s="16" t="n">
        <f aca="false">G37411*(1-G37382)*(G37410-G37416+G37415-G37418)</f>
        <v>0</v>
      </c>
      <c r="H37420" s="16" t="n">
        <f aca="false">H37411*(1-H37382)*(H37410-H37416+H37415-H37418)</f>
        <v>0</v>
      </c>
      <c r="I37420" s="16" t="n">
        <f aca="false">I37411*(1-I37382)*(I37410-I37416+I37415-I37418)</f>
        <v>0</v>
      </c>
      <c r="J37420" s="16" t="n">
        <f aca="false">J37411*(1-J37382)*(J37410-J37416+J37415-J37418)</f>
        <v>0</v>
      </c>
      <c r="K37420" s="16" t="n">
        <f aca="false">K37411*(1-K37382)*(K37410-K37416+K37415-K37418)</f>
        <v>0</v>
      </c>
    </row>
    <row r="37421" customFormat="false" ht="15" hidden="false" customHeight="false" outlineLevel="0" collapsed="false">
      <c r="A37421" s="2" t="s">
        <v>339</v>
      </c>
      <c r="F37421" s="28" t="n">
        <f aca="false">Assumptions!$C$59</f>
        <v>57.324</v>
      </c>
      <c r="G37421" s="17" t="n">
        <f aca="false">G37410+G37417+G37415-G37416-G37418-G37419</f>
        <v>57.324</v>
      </c>
      <c r="H37421" s="17" t="n">
        <f aca="false">H37410+H37417+H37415-H37416-H37418-H37419</f>
        <v>57.324</v>
      </c>
      <c r="I37421" s="17" t="n">
        <f aca="false">I37410+I37417+I37415-I37416-I37418-I37419</f>
        <v>57.324</v>
      </c>
      <c r="J37421" s="17" t="n">
        <f aca="false">J37410+J37417+J37415-J37416-J37418-J37419</f>
        <v>57.324</v>
      </c>
      <c r="K37421" s="17" t="n">
        <f aca="false">K37410+K37417+K37415-K37416-K37418-K37419</f>
        <v>57.324</v>
      </c>
    </row>
    <row r="37422" customFormat="false" ht="15" hidden="false" customHeight="false" outlineLevel="0" collapsed="false">
      <c r="A37422" s="24" t="s">
        <v>342</v>
      </c>
      <c r="B37422" s="25"/>
      <c r="C37422" s="25"/>
      <c r="D37422" s="25"/>
      <c r="E37422" s="25"/>
      <c r="F37422" s="25"/>
      <c r="G37422" s="25"/>
      <c r="H37422" s="25"/>
      <c r="I37422" s="25"/>
      <c r="J37422" s="25"/>
      <c r="K37422" s="25"/>
    </row>
    <row r="37423" customFormat="false" ht="15" hidden="false" customHeight="false" outlineLevel="0" collapsed="false">
      <c r="A37423" s="3" t="s">
        <v>329</v>
      </c>
      <c r="G37423" s="16" t="n">
        <f aca="false">F37434</f>
        <v>0</v>
      </c>
      <c r="H37423" s="16" t="n">
        <f aca="false">G37434</f>
        <v>0</v>
      </c>
      <c r="I37423" s="16" t="n">
        <f aca="false">H37434</f>
        <v>0</v>
      </c>
      <c r="J37423" s="16" t="n">
        <f aca="false">I37434</f>
        <v>0</v>
      </c>
      <c r="K37423" s="16" t="n">
        <f aca="false">J37434</f>
        <v>0</v>
      </c>
    </row>
    <row r="37424" customFormat="false" ht="15" hidden="false" customHeight="false" outlineLevel="0" collapsed="false">
      <c r="A37424" s="3" t="s">
        <v>330</v>
      </c>
      <c r="G37424" s="21" t="n">
        <f aca="false">IF(G37348=Assumptions!$K$60,1,0)</f>
        <v>1</v>
      </c>
      <c r="H37424" s="21" t="n">
        <f aca="false">IF(H37348=Assumptions!$K$60,1,0)</f>
        <v>0</v>
      </c>
      <c r="I37424" s="21" t="n">
        <f aca="false">IF(I37348=Assumptions!$K$60,1,0)</f>
        <v>0</v>
      </c>
      <c r="J37424" s="21" t="n">
        <f aca="false">IF(J37348=Assumptions!$K$60,1,0)</f>
        <v>0</v>
      </c>
      <c r="K37424" s="21" t="n">
        <f aca="false">IF(K37348=Assumptions!$K$60,1,0)</f>
        <v>0</v>
      </c>
    </row>
    <row r="37426" customFormat="false" ht="15" hidden="false" customHeight="false" outlineLevel="0" collapsed="false">
      <c r="A37426" s="3" t="s">
        <v>331</v>
      </c>
      <c r="G37426" s="31" t="n">
        <f aca="false">IF(Assumptions!$I$60=1,MAX(G37374,Assumptions!$G$60)+Assumptions!$F$60+$C$37375,Assumptions!$E$60)</f>
        <v>0.069</v>
      </c>
      <c r="H37426" s="31" t="n">
        <f aca="false">IF(G37697=1,$C$37376,IF(Assumptions!$I$60=1,MAX(H37374,Assumptions!$G$60)+Assumptions!$F$60+$C$37375,Assumptions!$E$60))</f>
        <v>0.0675</v>
      </c>
      <c r="I37426" s="31" t="n">
        <f aca="false">IF(H37697=1,$C$37376,IF(Assumptions!$I$60=1,MAX(I37374,Assumptions!$G$60)+Assumptions!$F$60+$C$37375,Assumptions!$E$60))</f>
        <v>0.065</v>
      </c>
      <c r="J37426" s="31" t="n">
        <f aca="false">IF(I37697=1,$C$37376,IF(Assumptions!$I$60=1,MAX(J37374,Assumptions!$G$60)+Assumptions!$F$60+$C$37375,Assumptions!$E$60))</f>
        <v>0.065</v>
      </c>
      <c r="K37426" s="31" t="n">
        <f aca="false">IF(J37697=1,$C$37376,IF(Assumptions!$I$60=1,MAX(K37374,Assumptions!$G$60)+Assumptions!$F$60+$C$37375,Assumptions!$E$60))</f>
        <v>0.065</v>
      </c>
    </row>
    <row r="37427" customFormat="false" ht="15" hidden="false" customHeight="false" outlineLevel="0" collapsed="false">
      <c r="A37427" s="3" t="s">
        <v>332</v>
      </c>
      <c r="G37427" s="16" t="n">
        <f aca="false">G37423*G37426</f>
        <v>0</v>
      </c>
      <c r="H37427" s="16" t="n">
        <f aca="false">H37423*H37426</f>
        <v>0</v>
      </c>
      <c r="I37427" s="16" t="n">
        <f aca="false">I37423*I37426</f>
        <v>0</v>
      </c>
      <c r="J37427" s="16" t="n">
        <f aca="false">J37423*J37426</f>
        <v>0</v>
      </c>
      <c r="K37427" s="16" t="n">
        <f aca="false">K37423*K37426</f>
        <v>0</v>
      </c>
    </row>
    <row r="37428" customFormat="false" ht="15" hidden="false" customHeight="false" outlineLevel="0" collapsed="false">
      <c r="A37428" s="3" t="s">
        <v>333</v>
      </c>
      <c r="G37428" s="16" t="n">
        <f aca="false">G37423*Assumptions!$H$60</f>
        <v>0</v>
      </c>
      <c r="H37428" s="16" t="n">
        <f aca="false">H37423*Assumptions!$H$60</f>
        <v>0</v>
      </c>
      <c r="I37428" s="16" t="n">
        <f aca="false">I37423*Assumptions!$H$60</f>
        <v>0</v>
      </c>
      <c r="J37428" s="16" t="n">
        <f aca="false">J37423*Assumptions!$H$60</f>
        <v>0</v>
      </c>
      <c r="K37428" s="16" t="n">
        <f aca="false">K37423*Assumptions!$H$60</f>
        <v>0</v>
      </c>
    </row>
    <row r="37429" customFormat="false" ht="15" hidden="false" customHeight="false" outlineLevel="0" collapsed="false">
      <c r="A37429" s="3" t="s">
        <v>334</v>
      </c>
      <c r="G37429" s="16" t="n">
        <f aca="false">MIN(G37423,Assumptions!$L$60*Assumptions!$C$60)</f>
        <v>0</v>
      </c>
      <c r="H37429" s="16" t="n">
        <f aca="false">MIN(H37423,Assumptions!$L$60*Assumptions!$C$60)</f>
        <v>0</v>
      </c>
      <c r="I37429" s="16" t="n">
        <f aca="false">MIN(I37423,Assumptions!$L$60*Assumptions!$C$60)</f>
        <v>0</v>
      </c>
      <c r="J37429" s="16" t="n">
        <f aca="false">MIN(J37423,Assumptions!$L$60*Assumptions!$C$60)</f>
        <v>0</v>
      </c>
      <c r="K37429" s="16" t="n">
        <f aca="false">MIN(K37423,Assumptions!$L$60*Assumptions!$C$60)</f>
        <v>0</v>
      </c>
    </row>
    <row r="37430" customFormat="false" ht="15" hidden="false" customHeight="false" outlineLevel="0" collapsed="false">
      <c r="A37430" s="3" t="s">
        <v>335</v>
      </c>
      <c r="G37430" s="16" t="n">
        <f aca="false">IF(AND(Assumptions!$P$60=1,G37348&lt;Assumptions!$K$60),MIN(MAX(0,-G37564),MAX(0,Assumptions!$D$60-G37423)),0)</f>
        <v>0</v>
      </c>
      <c r="H37430" s="16" t="n">
        <f aca="false">IF(AND(Assumptions!$P$60=1,OR(H37348&lt;Assumptions!$K$60,G37697=1)),MIN(MAX(0,-H37564),MAX(0,Assumptions!$D$60-H37423)),0)</f>
        <v>0</v>
      </c>
      <c r="I37430" s="16" t="n">
        <f aca="false">IF(AND(Assumptions!$P$60=1,OR(I37348&lt;Assumptions!$K$60,H37697=1)),MIN(MAX(0,-I37564),MAX(0,Assumptions!$D$60-I37423)),0)</f>
        <v>0</v>
      </c>
      <c r="J37430" s="16" t="n">
        <f aca="false">IF(AND(Assumptions!$P$60=1,OR(J37348&lt;Assumptions!$K$60,I37697=1)),MIN(MAX(0,-J37564),MAX(0,Assumptions!$D$60-J37423)),0)</f>
        <v>0</v>
      </c>
      <c r="K37430" s="16" t="n">
        <f aca="false">IF(AND(Assumptions!$P$60=1,OR(K37348&lt;Assumptions!$K$60,J37697=1)),MIN(MAX(0,-K37564),MAX(0,Assumptions!$D$60-K37423)),0)</f>
        <v>0</v>
      </c>
    </row>
    <row r="37431" customFormat="false" ht="15" hidden="false" customHeight="false" outlineLevel="0" collapsed="false">
      <c r="A37431" s="3" t="s">
        <v>336</v>
      </c>
      <c r="G37431" s="16" t="n">
        <f aca="false">G37424*MIN(G37423-G37429+G37428,MAX(0,G37566-Assumptions!$C$12*G37382-G37392-G37405-G37418))</f>
        <v>0</v>
      </c>
      <c r="H37431" s="16" t="n">
        <f aca="false">H37424*MIN(H37423-H37429+H37428,MAX(0,H37566-Assumptions!$C$12*H37382-H37392-H37405-H37418))</f>
        <v>0</v>
      </c>
      <c r="I37431" s="16" t="n">
        <f aca="false">I37424*MIN(I37423-I37429+I37428,MAX(0,I37566-Assumptions!$C$12*I37382-I37392-I37405-I37418))</f>
        <v>0</v>
      </c>
      <c r="J37431" s="16" t="n">
        <f aca="false">J37424*MIN(J37423-J37429+J37428,MAX(0,J37566-Assumptions!$C$12*J37382-J37392-J37405-J37418))</f>
        <v>0</v>
      </c>
      <c r="K37431" s="16" t="n">
        <f aca="false">K37424*MIN(K37423-K37429+K37428,MAX(0,K37566-Assumptions!$C$12*K37382-K37392-K37405-K37418))</f>
        <v>0</v>
      </c>
    </row>
    <row r="37432" customFormat="false" ht="15" hidden="false" customHeight="false" outlineLevel="0" collapsed="false">
      <c r="A37432" s="3" t="s">
        <v>337</v>
      </c>
      <c r="G37432" s="16" t="n">
        <f aca="false">Assumptions!$N$60*MIN(G37423+G37430+G37428-G37429-G37431,MAX(0,G37570-G37393-G37406-G37419))</f>
        <v>0</v>
      </c>
      <c r="H37432" s="16" t="n">
        <f aca="false">Assumptions!$N$60*MIN(H37423+H37430+H37428-H37429-H37431,MAX(0,H37570-H37393-H37406-H37419))</f>
        <v>0</v>
      </c>
      <c r="I37432" s="16" t="n">
        <f aca="false">Assumptions!$N$60*MIN(I37423+I37430+I37428-I37429-I37431,MAX(0,I37570-I37393-I37406-I37419))</f>
        <v>0</v>
      </c>
      <c r="J37432" s="16" t="n">
        <f aca="false">Assumptions!$N$60*MIN(J37423+J37430+J37428-J37429-J37431,MAX(0,J37570-J37393-J37406-J37419))</f>
        <v>0</v>
      </c>
      <c r="K37432" s="16" t="n">
        <f aca="false">Assumptions!$N$60*MIN(K37423+K37430+K37428-K37429-K37431,MAX(0,K37570-K37393-K37406-K37419))</f>
        <v>0</v>
      </c>
    </row>
    <row r="37433" customFormat="false" ht="15" hidden="false" customHeight="false" outlineLevel="0" collapsed="false">
      <c r="A37433" s="3" t="s">
        <v>338</v>
      </c>
      <c r="G37433" s="16" t="n">
        <f aca="false">G37424*(1-G37382)*(G37423-G37429+G37428-G37431)</f>
        <v>0</v>
      </c>
      <c r="H37433" s="16" t="n">
        <f aca="false">H37424*(1-H37382)*(H37423-H37429+H37428-H37431)</f>
        <v>0</v>
      </c>
      <c r="I37433" s="16" t="n">
        <f aca="false">I37424*(1-I37382)*(I37423-I37429+I37428-I37431)</f>
        <v>0</v>
      </c>
      <c r="J37433" s="16" t="n">
        <f aca="false">J37424*(1-J37382)*(J37423-J37429+J37428-J37431)</f>
        <v>0</v>
      </c>
      <c r="K37433" s="16" t="n">
        <f aca="false">K37424*(1-K37382)*(K37423-K37429+K37428-K37431)</f>
        <v>0</v>
      </c>
    </row>
    <row r="37434" customFormat="false" ht="15" hidden="false" customHeight="false" outlineLevel="0" collapsed="false">
      <c r="A37434" s="2" t="s">
        <v>339</v>
      </c>
      <c r="F37434" s="28" t="n">
        <f aca="false">Assumptions!$C$60</f>
        <v>0</v>
      </c>
      <c r="G37434" s="17" t="n">
        <f aca="false">G37423+G37430+G37428-G37429-G37431-G37432</f>
        <v>0</v>
      </c>
      <c r="H37434" s="17" t="n">
        <f aca="false">H37423+H37430+H37428-H37429-H37431-H37432</f>
        <v>0</v>
      </c>
      <c r="I37434" s="17" t="n">
        <f aca="false">I37423+I37430+I37428-I37429-I37431-I37432</f>
        <v>0</v>
      </c>
      <c r="J37434" s="17" t="n">
        <f aca="false">J37423+J37430+J37428-J37429-J37431-J37432</f>
        <v>0</v>
      </c>
      <c r="K37434" s="17" t="n">
        <f aca="false">K37423+K37430+K37428-K37429-K37431-K37432</f>
        <v>0</v>
      </c>
    </row>
    <row r="37435" customFormat="false" ht="15" hidden="false" customHeight="false" outlineLevel="0" collapsed="false">
      <c r="A37435" s="24" t="s">
        <v>343</v>
      </c>
      <c r="B37435" s="25"/>
      <c r="C37435" s="25"/>
      <c r="D37435" s="25"/>
      <c r="E37435" s="25"/>
      <c r="F37435" s="25"/>
      <c r="G37435" s="25"/>
      <c r="H37435" s="25"/>
      <c r="I37435" s="25"/>
      <c r="J37435" s="25"/>
      <c r="K37435" s="25"/>
    </row>
    <row r="37436" customFormat="false" ht="15" hidden="false" customHeight="false" outlineLevel="0" collapsed="false">
      <c r="A37436" s="3" t="s">
        <v>329</v>
      </c>
      <c r="G37436" s="16" t="n">
        <f aca="false">F37447</f>
        <v>450</v>
      </c>
      <c r="H37436" s="16" t="n">
        <f aca="false">G37447</f>
        <v>450</v>
      </c>
      <c r="I37436" s="16" t="n">
        <f aca="false">H37447</f>
        <v>401.446357881</v>
      </c>
      <c r="J37436" s="16" t="n">
        <f aca="false">I37447</f>
        <v>401.446357881</v>
      </c>
      <c r="K37436" s="16" t="n">
        <f aca="false">J37447</f>
        <v>401.446357881</v>
      </c>
    </row>
    <row r="37437" customFormat="false" ht="15" hidden="false" customHeight="false" outlineLevel="0" collapsed="false">
      <c r="A37437" s="3" t="s">
        <v>330</v>
      </c>
      <c r="G37437" s="21" t="n">
        <f aca="false">IF(G37348=Assumptions!$K$61,1,0)</f>
        <v>0</v>
      </c>
      <c r="H37437" s="21" t="n">
        <f aca="false">IF(H37348=Assumptions!$K$61,1,0)</f>
        <v>1</v>
      </c>
      <c r="I37437" s="21" t="n">
        <f aca="false">IF(I37348=Assumptions!$K$61,1,0)</f>
        <v>0</v>
      </c>
      <c r="J37437" s="21" t="n">
        <f aca="false">IF(J37348=Assumptions!$K$61,1,0)</f>
        <v>0</v>
      </c>
      <c r="K37437" s="21" t="n">
        <f aca="false">IF(K37348=Assumptions!$K$61,1,0)</f>
        <v>0</v>
      </c>
    </row>
    <row r="37439" customFormat="false" ht="15" hidden="false" customHeight="false" outlineLevel="0" collapsed="false">
      <c r="A37439" s="3" t="s">
        <v>331</v>
      </c>
      <c r="G37439" s="31" t="n">
        <f aca="false">IF(Assumptions!$I$61=1,MAX(G37374,Assumptions!$G$61)+Assumptions!$F$61+$C$37375,Assumptions!$E$61)</f>
        <v>0.0395</v>
      </c>
      <c r="H37439" s="31" t="n">
        <f aca="false">IF(G37698=1,$C$37376,IF(Assumptions!$I$61=1,MAX(H37374,Assumptions!$G$61)+Assumptions!$F$61+$C$37375,Assumptions!$E$61))</f>
        <v>0.0395</v>
      </c>
      <c r="I37439" s="31" t="n">
        <f aca="false">IF(H37698=1,$C$37376,IF(Assumptions!$I$61=1,MAX(I37374,Assumptions!$G$61)+Assumptions!$F$61+$C$37375,Assumptions!$E$61))</f>
        <v>0.0395</v>
      </c>
      <c r="J37439" s="31" t="n">
        <f aca="false">IF(I37698=1,$C$37376,IF(Assumptions!$I$61=1,MAX(J37374,Assumptions!$G$61)+Assumptions!$F$61+$C$37375,Assumptions!$E$61))</f>
        <v>0.0395</v>
      </c>
      <c r="K37439" s="31" t="n">
        <f aca="false">IF(J37698=1,$C$37376,IF(Assumptions!$I$61=1,MAX(K37374,Assumptions!$G$61)+Assumptions!$F$61+$C$37375,Assumptions!$E$61))</f>
        <v>0.0395</v>
      </c>
    </row>
    <row r="37440" customFormat="false" ht="15" hidden="false" customHeight="false" outlineLevel="0" collapsed="false">
      <c r="A37440" s="3" t="s">
        <v>332</v>
      </c>
      <c r="G37440" s="16" t="n">
        <f aca="false">G37436*G37439</f>
        <v>17.775</v>
      </c>
      <c r="H37440" s="16" t="n">
        <f aca="false">H37436*H37439</f>
        <v>17.775</v>
      </c>
      <c r="I37440" s="16" t="n">
        <f aca="false">I37436*I37439</f>
        <v>15.8571311362995</v>
      </c>
      <c r="J37440" s="16" t="n">
        <f aca="false">J37436*J37439</f>
        <v>15.8571311362995</v>
      </c>
      <c r="K37440" s="16" t="n">
        <f aca="false">K37436*K37439</f>
        <v>15.8571311362995</v>
      </c>
    </row>
    <row r="37441" customFormat="false" ht="15" hidden="false" customHeight="false" outlineLevel="0" collapsed="false">
      <c r="A37441" s="3" t="s">
        <v>333</v>
      </c>
      <c r="G37441" s="16" t="n">
        <f aca="false">G37436*Assumptions!$H$61</f>
        <v>0</v>
      </c>
      <c r="H37441" s="16" t="n">
        <f aca="false">H37436*Assumptions!$H$61</f>
        <v>0</v>
      </c>
      <c r="I37441" s="16" t="n">
        <f aca="false">I37436*Assumptions!$H$61</f>
        <v>0</v>
      </c>
      <c r="J37441" s="16" t="n">
        <f aca="false">J37436*Assumptions!$H$61</f>
        <v>0</v>
      </c>
      <c r="K37441" s="16" t="n">
        <f aca="false">K37436*Assumptions!$H$61</f>
        <v>0</v>
      </c>
    </row>
    <row r="37442" customFormat="false" ht="15" hidden="false" customHeight="false" outlineLevel="0" collapsed="false">
      <c r="A37442" s="3" t="s">
        <v>334</v>
      </c>
      <c r="G37442" s="16" t="n">
        <f aca="false">MIN(G37436,Assumptions!$L$61*Assumptions!$C$61)</f>
        <v>0</v>
      </c>
      <c r="H37442" s="16" t="n">
        <f aca="false">MIN(H37436,Assumptions!$L$61*Assumptions!$C$61)</f>
        <v>0</v>
      </c>
      <c r="I37442" s="16" t="n">
        <f aca="false">MIN(I37436,Assumptions!$L$61*Assumptions!$C$61)</f>
        <v>0</v>
      </c>
      <c r="J37442" s="16" t="n">
        <f aca="false">MIN(J37436,Assumptions!$L$61*Assumptions!$C$61)</f>
        <v>0</v>
      </c>
      <c r="K37442" s="16" t="n">
        <f aca="false">MIN(K37436,Assumptions!$L$61*Assumptions!$C$61)</f>
        <v>0</v>
      </c>
    </row>
    <row r="37443" customFormat="false" ht="15" hidden="false" customHeight="false" outlineLevel="0" collapsed="false">
      <c r="A37443" s="3" t="s">
        <v>335</v>
      </c>
      <c r="G37443" s="16" t="n">
        <f aca="false">IF(AND(Assumptions!$P$61=1,G37348&lt;Assumptions!$K$61),MIN(MAX(0,-G37564),MAX(0,Assumptions!$D$61-G37436)),0)</f>
        <v>0</v>
      </c>
      <c r="H37443" s="16" t="n">
        <f aca="false">IF(AND(Assumptions!$P$61=1,OR(H37348&lt;Assumptions!$K$61,G37698=1)),MIN(MAX(0,-H37564),MAX(0,Assumptions!$D$61-H37436)),0)</f>
        <v>0</v>
      </c>
      <c r="I37443" s="16" t="n">
        <f aca="false">IF(AND(Assumptions!$P$61=1,OR(I37348&lt;Assumptions!$K$61,H37698=1)),MIN(MAX(0,-I37564),MAX(0,Assumptions!$D$61-I37436)),0)</f>
        <v>0</v>
      </c>
      <c r="J37443" s="16" t="n">
        <f aca="false">IF(AND(Assumptions!$P$61=1,OR(J37348&lt;Assumptions!$K$61,I37698=1)),MIN(MAX(0,-J37564),MAX(0,Assumptions!$D$61-J37436)),0)</f>
        <v>0</v>
      </c>
      <c r="K37443" s="16" t="n">
        <f aca="false">IF(AND(Assumptions!$P$61=1,OR(K37348&lt;Assumptions!$K$61,J37698=1)),MIN(MAX(0,-K37564),MAX(0,Assumptions!$D$61-K37436)),0)</f>
        <v>0</v>
      </c>
    </row>
    <row r="37444" customFormat="false" ht="15" hidden="false" customHeight="false" outlineLevel="0" collapsed="false">
      <c r="A37444" s="3" t="s">
        <v>336</v>
      </c>
      <c r="G37444" s="16" t="n">
        <f aca="false">G37437*MIN(G37436-G37442+G37441,MAX(0,G37566-Assumptions!$C$12*G37382-G37392-G37405-G37418-G37431))</f>
        <v>0</v>
      </c>
      <c r="H37444" s="16" t="n">
        <f aca="false">H37437*MIN(H37436-H37442+H37441,MAX(0,H37566-Assumptions!$C$12*H37382-H37392-H37405-H37418-H37431))</f>
        <v>48.553642119</v>
      </c>
      <c r="I37444" s="16" t="n">
        <f aca="false">I37437*MIN(I37436-I37442+I37441,MAX(0,I37566-Assumptions!$C$12*I37382-I37392-I37405-I37418-I37431))</f>
        <v>0</v>
      </c>
      <c r="J37444" s="16" t="n">
        <f aca="false">J37437*MIN(J37436-J37442+J37441,MAX(0,J37566-Assumptions!$C$12*J37382-J37392-J37405-J37418-J37431))</f>
        <v>0</v>
      </c>
      <c r="K37444" s="16" t="n">
        <f aca="false">K37437*MIN(K37436-K37442+K37441,MAX(0,K37566-Assumptions!$C$12*K37382-K37392-K37405-K37418-K37431))</f>
        <v>0</v>
      </c>
    </row>
    <row r="37445" customFormat="false" ht="15" hidden="false" customHeight="false" outlineLevel="0" collapsed="false">
      <c r="A37445" s="3" t="s">
        <v>337</v>
      </c>
      <c r="G37445" s="16" t="n">
        <f aca="false">Assumptions!$N$61*MIN(G37436+G37443+G37441-G37442-G37444,MAX(0,G37570-G37393-G37406-G37419-G37432))</f>
        <v>0</v>
      </c>
      <c r="H37445" s="16" t="n">
        <f aca="false">Assumptions!$N$61*MIN(H37436+H37443+H37441-H37442-H37444,MAX(0,H37570-H37393-H37406-H37419-H37432))</f>
        <v>0</v>
      </c>
      <c r="I37445" s="16" t="n">
        <f aca="false">Assumptions!$N$61*MIN(I37436+I37443+I37441-I37442-I37444,MAX(0,I37570-I37393-I37406-I37419-I37432))</f>
        <v>0</v>
      </c>
      <c r="J37445" s="16" t="n">
        <f aca="false">Assumptions!$N$61*MIN(J37436+J37443+J37441-J37442-J37444,MAX(0,J37570-J37393-J37406-J37419-J37432))</f>
        <v>0</v>
      </c>
      <c r="K37445" s="16" t="n">
        <f aca="false">Assumptions!$N$61*MIN(K37436+K37443+K37441-K37442-K37444,MAX(0,K37570-K37393-K37406-K37419-K37432))</f>
        <v>0</v>
      </c>
    </row>
    <row r="37446" customFormat="false" ht="15" hidden="false" customHeight="false" outlineLevel="0" collapsed="false">
      <c r="A37446" s="3" t="s">
        <v>338</v>
      </c>
      <c r="G37446" s="16" t="n">
        <f aca="false">G37437*(1-G37382)*(G37436-G37442+G37441-G37444)</f>
        <v>0</v>
      </c>
      <c r="H37446" s="16" t="n">
        <f aca="false">H37437*(1-H37382)*(H37436-H37442+H37441-H37444)</f>
        <v>401.446357881</v>
      </c>
      <c r="I37446" s="16" t="n">
        <f aca="false">I37437*(1-I37382)*(I37436-I37442+I37441-I37444)</f>
        <v>0</v>
      </c>
      <c r="J37446" s="16" t="n">
        <f aca="false">J37437*(1-J37382)*(J37436-J37442+J37441-J37444)</f>
        <v>0</v>
      </c>
      <c r="K37446" s="16" t="n">
        <f aca="false">K37437*(1-K37382)*(K37436-K37442+K37441-K37444)</f>
        <v>0</v>
      </c>
    </row>
    <row r="37447" customFormat="false" ht="15" hidden="false" customHeight="false" outlineLevel="0" collapsed="false">
      <c r="A37447" s="2" t="s">
        <v>339</v>
      </c>
      <c r="F37447" s="28" t="n">
        <f aca="false">Assumptions!$C$61</f>
        <v>450</v>
      </c>
      <c r="G37447" s="17" t="n">
        <f aca="false">G37436+G37443+G37441-G37442-G37444-G37445</f>
        <v>450</v>
      </c>
      <c r="H37447" s="17" t="n">
        <f aca="false">H37436+H37443+H37441-H37442-H37444-H37445</f>
        <v>401.446357881</v>
      </c>
      <c r="I37447" s="17" t="n">
        <f aca="false">I37436+I37443+I37441-I37442-I37444-I37445</f>
        <v>401.446357881</v>
      </c>
      <c r="J37447" s="17" t="n">
        <f aca="false">J37436+J37443+J37441-J37442-J37444-J37445</f>
        <v>401.446357881</v>
      </c>
      <c r="K37447" s="17" t="n">
        <f aca="false">K37436+K37443+K37441-K37442-K37444-K37445</f>
        <v>401.446357881</v>
      </c>
    </row>
    <row r="37448" customFormat="false" ht="15" hidden="false" customHeight="false" outlineLevel="0" collapsed="false">
      <c r="A37448" s="24" t="s">
        <v>344</v>
      </c>
      <c r="B37448" s="25"/>
      <c r="C37448" s="25"/>
      <c r="D37448" s="25"/>
      <c r="E37448" s="25"/>
      <c r="F37448" s="25"/>
      <c r="G37448" s="25"/>
      <c r="H37448" s="25"/>
      <c r="I37448" s="25"/>
      <c r="J37448" s="25"/>
      <c r="K37448" s="25"/>
    </row>
    <row r="37449" customFormat="false" ht="15" hidden="false" customHeight="false" outlineLevel="0" collapsed="false">
      <c r="A37449" s="3" t="s">
        <v>329</v>
      </c>
      <c r="G37449" s="16" t="n">
        <f aca="false">F37460</f>
        <v>350</v>
      </c>
      <c r="H37449" s="16" t="n">
        <f aca="false">G37460</f>
        <v>350</v>
      </c>
      <c r="I37449" s="16" t="n">
        <f aca="false">H37460</f>
        <v>350</v>
      </c>
      <c r="J37449" s="16" t="n">
        <f aca="false">I37460</f>
        <v>350</v>
      </c>
      <c r="K37449" s="16" t="n">
        <f aca="false">J37460</f>
        <v>350</v>
      </c>
    </row>
    <row r="37450" customFormat="false" ht="15" hidden="false" customHeight="false" outlineLevel="0" collapsed="false">
      <c r="A37450" s="3" t="s">
        <v>330</v>
      </c>
      <c r="G37450" s="21" t="n">
        <f aca="false">IF(G37348=Assumptions!$K$62,1,0)</f>
        <v>0</v>
      </c>
      <c r="H37450" s="21" t="n">
        <f aca="false">IF(H37348=Assumptions!$K$62,1,0)</f>
        <v>1</v>
      </c>
      <c r="I37450" s="21" t="n">
        <f aca="false">IF(I37348=Assumptions!$K$62,1,0)</f>
        <v>0</v>
      </c>
      <c r="J37450" s="21" t="n">
        <f aca="false">IF(J37348=Assumptions!$K$62,1,0)</f>
        <v>0</v>
      </c>
      <c r="K37450" s="21" t="n">
        <f aca="false">IF(K37348=Assumptions!$K$62,1,0)</f>
        <v>0</v>
      </c>
    </row>
    <row r="37452" customFormat="false" ht="15" hidden="false" customHeight="false" outlineLevel="0" collapsed="false">
      <c r="A37452" s="3" t="s">
        <v>331</v>
      </c>
      <c r="G37452" s="31" t="n">
        <f aca="false">IF(Assumptions!$I$62=1,MAX(G37374,Assumptions!$G$62)+Assumptions!$F$62+$C$37375,Assumptions!$E$62)</f>
        <v>0.083</v>
      </c>
      <c r="H37452" s="31" t="n">
        <f aca="false">IF(G37699=1,$C$37376,IF(Assumptions!$I$62=1,MAX(H37374,Assumptions!$G$62)+Assumptions!$F$62+$C$37375,Assumptions!$E$62))</f>
        <v>0.083</v>
      </c>
      <c r="I37452" s="31" t="n">
        <f aca="false">IF(H37699=1,$C$37376,IF(Assumptions!$I$62=1,MAX(I37374,Assumptions!$G$62)+Assumptions!$F$62+$C$37375,Assumptions!$E$62))</f>
        <v>0.083</v>
      </c>
      <c r="J37452" s="31" t="n">
        <f aca="false">IF(I37699=1,$C$37376,IF(Assumptions!$I$62=1,MAX(J37374,Assumptions!$G$62)+Assumptions!$F$62+$C$37375,Assumptions!$E$62))</f>
        <v>0.083</v>
      </c>
      <c r="K37452" s="31" t="n">
        <f aca="false">IF(J37699=1,$C$37376,IF(Assumptions!$I$62=1,MAX(K37374,Assumptions!$G$62)+Assumptions!$F$62+$C$37375,Assumptions!$E$62))</f>
        <v>0.083</v>
      </c>
    </row>
    <row r="37453" customFormat="false" ht="15" hidden="false" customHeight="false" outlineLevel="0" collapsed="false">
      <c r="A37453" s="3" t="s">
        <v>332</v>
      </c>
      <c r="G37453" s="16" t="n">
        <f aca="false">G37449*G37452</f>
        <v>29.05</v>
      </c>
      <c r="H37453" s="16" t="n">
        <f aca="false">H37449*H37452</f>
        <v>29.05</v>
      </c>
      <c r="I37453" s="16" t="n">
        <f aca="false">I37449*I37452</f>
        <v>29.05</v>
      </c>
      <c r="J37453" s="16" t="n">
        <f aca="false">J37449*J37452</f>
        <v>29.05</v>
      </c>
      <c r="K37453" s="16" t="n">
        <f aca="false">K37449*K37452</f>
        <v>29.05</v>
      </c>
    </row>
    <row r="37454" customFormat="false" ht="15" hidden="false" customHeight="false" outlineLevel="0" collapsed="false">
      <c r="A37454" s="3" t="s">
        <v>333</v>
      </c>
      <c r="G37454" s="16" t="n">
        <f aca="false">G37449*Assumptions!$H$62</f>
        <v>0</v>
      </c>
      <c r="H37454" s="16" t="n">
        <f aca="false">H37449*Assumptions!$H$62</f>
        <v>0</v>
      </c>
      <c r="I37454" s="16" t="n">
        <f aca="false">I37449*Assumptions!$H$62</f>
        <v>0</v>
      </c>
      <c r="J37454" s="16" t="n">
        <f aca="false">J37449*Assumptions!$H$62</f>
        <v>0</v>
      </c>
      <c r="K37454" s="16" t="n">
        <f aca="false">K37449*Assumptions!$H$62</f>
        <v>0</v>
      </c>
    </row>
    <row r="37455" customFormat="false" ht="15" hidden="false" customHeight="false" outlineLevel="0" collapsed="false">
      <c r="A37455" s="3" t="s">
        <v>334</v>
      </c>
      <c r="G37455" s="16" t="n">
        <f aca="false">MIN(G37449,Assumptions!$L$62*Assumptions!$C$62)</f>
        <v>0</v>
      </c>
      <c r="H37455" s="16" t="n">
        <f aca="false">MIN(H37449,Assumptions!$L$62*Assumptions!$C$62)</f>
        <v>0</v>
      </c>
      <c r="I37455" s="16" t="n">
        <f aca="false">MIN(I37449,Assumptions!$L$62*Assumptions!$C$62)</f>
        <v>0</v>
      </c>
      <c r="J37455" s="16" t="n">
        <f aca="false">MIN(J37449,Assumptions!$L$62*Assumptions!$C$62)</f>
        <v>0</v>
      </c>
      <c r="K37455" s="16" t="n">
        <f aca="false">MIN(K37449,Assumptions!$L$62*Assumptions!$C$62)</f>
        <v>0</v>
      </c>
    </row>
    <row r="37456" customFormat="false" ht="15" hidden="false" customHeight="false" outlineLevel="0" collapsed="false">
      <c r="A37456" s="3" t="s">
        <v>335</v>
      </c>
      <c r="G37456" s="16" t="n">
        <f aca="false">IF(AND(Assumptions!$P$62=1,G37348&lt;Assumptions!$K$62),MIN(MAX(0,-G37564),MAX(0,Assumptions!$D$62-G37449)),0)</f>
        <v>0</v>
      </c>
      <c r="H37456" s="16" t="n">
        <f aca="false">IF(AND(Assumptions!$P$62=1,OR(H37348&lt;Assumptions!$K$62,G37699=1)),MIN(MAX(0,-H37564),MAX(0,Assumptions!$D$62-H37449)),0)</f>
        <v>0</v>
      </c>
      <c r="I37456" s="16" t="n">
        <f aca="false">IF(AND(Assumptions!$P$62=1,OR(I37348&lt;Assumptions!$K$62,H37699=1)),MIN(MAX(0,-I37564),MAX(0,Assumptions!$D$62-I37449)),0)</f>
        <v>0</v>
      </c>
      <c r="J37456" s="16" t="n">
        <f aca="false">IF(AND(Assumptions!$P$62=1,OR(J37348&lt;Assumptions!$K$62,I37699=1)),MIN(MAX(0,-J37564),MAX(0,Assumptions!$D$62-J37449)),0)</f>
        <v>0</v>
      </c>
      <c r="K37456" s="16" t="n">
        <f aca="false">IF(AND(Assumptions!$P$62=1,OR(K37348&lt;Assumptions!$K$62,J37699=1)),MIN(MAX(0,-K37564),MAX(0,Assumptions!$D$62-K37449)),0)</f>
        <v>0</v>
      </c>
    </row>
    <row r="37457" customFormat="false" ht="15" hidden="false" customHeight="false" outlineLevel="0" collapsed="false">
      <c r="A37457" s="3" t="s">
        <v>336</v>
      </c>
      <c r="G37457" s="16" t="n">
        <f aca="false">G37450*MIN(G37449-G37455+G37454,MAX(0,G37566-Assumptions!$C$12*G37382-G37392-G37405-G37418-G37431-G37444))</f>
        <v>0</v>
      </c>
      <c r="H37457" s="16" t="n">
        <f aca="false">H37450*MIN(H37449-H37455+H37454,MAX(0,H37566-Assumptions!$C$12*H37382-H37392-H37405-H37418-H37431-H37444))</f>
        <v>0</v>
      </c>
      <c r="I37457" s="16" t="n">
        <f aca="false">I37450*MIN(I37449-I37455+I37454,MAX(0,I37566-Assumptions!$C$12*I37382-I37392-I37405-I37418-I37431-I37444))</f>
        <v>0</v>
      </c>
      <c r="J37457" s="16" t="n">
        <f aca="false">J37450*MIN(J37449-J37455+J37454,MAX(0,J37566-Assumptions!$C$12*J37382-J37392-J37405-J37418-J37431-J37444))</f>
        <v>0</v>
      </c>
      <c r="K37457" s="16" t="n">
        <f aca="false">K37450*MIN(K37449-K37455+K37454,MAX(0,K37566-Assumptions!$C$12*K37382-K37392-K37405-K37418-K37431-K37444))</f>
        <v>0</v>
      </c>
    </row>
    <row r="37458" customFormat="false" ht="15" hidden="false" customHeight="false" outlineLevel="0" collapsed="false">
      <c r="A37458" s="3" t="s">
        <v>337</v>
      </c>
      <c r="G37458" s="16" t="n">
        <f aca="false">Assumptions!$N$62*MIN(G37449+G37456+G37454-G37455-G37457,MAX(0,G37570-G37393-G37406-G37419-G37432-G37445))</f>
        <v>0</v>
      </c>
      <c r="H37458" s="16" t="n">
        <f aca="false">Assumptions!$N$62*MIN(H37449+H37456+H37454-H37455-H37457,MAX(0,H37570-H37393-H37406-H37419-H37432-H37445))</f>
        <v>0</v>
      </c>
      <c r="I37458" s="16" t="n">
        <f aca="false">Assumptions!$N$62*MIN(I37449+I37456+I37454-I37455-I37457,MAX(0,I37570-I37393-I37406-I37419-I37432-I37445))</f>
        <v>0</v>
      </c>
      <c r="J37458" s="16" t="n">
        <f aca="false">Assumptions!$N$62*MIN(J37449+J37456+J37454-J37455-J37457,MAX(0,J37570-J37393-J37406-J37419-J37432-J37445))</f>
        <v>0</v>
      </c>
      <c r="K37458" s="16" t="n">
        <f aca="false">Assumptions!$N$62*MIN(K37449+K37456+K37454-K37455-K37457,MAX(0,K37570-K37393-K37406-K37419-K37432-K37445))</f>
        <v>0</v>
      </c>
    </row>
    <row r="37459" customFormat="false" ht="15" hidden="false" customHeight="false" outlineLevel="0" collapsed="false">
      <c r="A37459" s="3" t="s">
        <v>338</v>
      </c>
      <c r="G37459" s="16" t="n">
        <f aca="false">G37450*(1-G37382)*(G37449-G37455+G37454-G37457)</f>
        <v>0</v>
      </c>
      <c r="H37459" s="16" t="n">
        <f aca="false">H37450*(1-H37382)*(H37449-H37455+H37454-H37457)</f>
        <v>350</v>
      </c>
      <c r="I37459" s="16" t="n">
        <f aca="false">I37450*(1-I37382)*(I37449-I37455+I37454-I37457)</f>
        <v>0</v>
      </c>
      <c r="J37459" s="16" t="n">
        <f aca="false">J37450*(1-J37382)*(J37449-J37455+J37454-J37457)</f>
        <v>0</v>
      </c>
      <c r="K37459" s="16" t="n">
        <f aca="false">K37450*(1-K37382)*(K37449-K37455+K37454-K37457)</f>
        <v>0</v>
      </c>
    </row>
    <row r="37460" customFormat="false" ht="15" hidden="false" customHeight="false" outlineLevel="0" collapsed="false">
      <c r="A37460" s="2" t="s">
        <v>339</v>
      </c>
      <c r="F37460" s="28" t="n">
        <f aca="false">Assumptions!$C$62</f>
        <v>350</v>
      </c>
      <c r="G37460" s="17" t="n">
        <f aca="false">G37449+G37456+G37454-G37455-G37457-G37458</f>
        <v>350</v>
      </c>
      <c r="H37460" s="17" t="n">
        <f aca="false">H37449+H37456+H37454-H37455-H37457-H37458</f>
        <v>350</v>
      </c>
      <c r="I37460" s="17" t="n">
        <f aca="false">I37449+I37456+I37454-I37455-I37457-I37458</f>
        <v>350</v>
      </c>
      <c r="J37460" s="17" t="n">
        <f aca="false">J37449+J37456+J37454-J37455-J37457-J37458</f>
        <v>350</v>
      </c>
      <c r="K37460" s="17" t="n">
        <f aca="false">K37449+K37456+K37454-K37455-K37457-K37458</f>
        <v>350</v>
      </c>
    </row>
    <row r="37461" customFormat="false" ht="15" hidden="false" customHeight="false" outlineLevel="0" collapsed="false">
      <c r="A37461" s="24" t="s">
        <v>345</v>
      </c>
      <c r="B37461" s="25"/>
      <c r="C37461" s="25"/>
      <c r="D37461" s="25"/>
      <c r="E37461" s="25"/>
      <c r="F37461" s="25"/>
      <c r="G37461" s="25"/>
      <c r="H37461" s="25"/>
      <c r="I37461" s="25"/>
      <c r="J37461" s="25"/>
      <c r="K37461" s="25"/>
    </row>
    <row r="37462" customFormat="false" ht="15" hidden="false" customHeight="false" outlineLevel="0" collapsed="false">
      <c r="A37462" s="3" t="s">
        <v>329</v>
      </c>
      <c r="G37462" s="16" t="n">
        <f aca="false">F37473</f>
        <v>550</v>
      </c>
      <c r="H37462" s="16" t="n">
        <f aca="false">G37473</f>
        <v>550</v>
      </c>
      <c r="I37462" s="16" t="n">
        <f aca="false">H37473</f>
        <v>550</v>
      </c>
      <c r="J37462" s="16" t="n">
        <f aca="false">I37473</f>
        <v>550</v>
      </c>
      <c r="K37462" s="16" t="n">
        <f aca="false">J37473</f>
        <v>550</v>
      </c>
    </row>
    <row r="37463" customFormat="false" ht="15" hidden="false" customHeight="false" outlineLevel="0" collapsed="false">
      <c r="A37463" s="3" t="s">
        <v>330</v>
      </c>
      <c r="G37463" s="21" t="n">
        <f aca="false">IF(G37348=Assumptions!$K$63,1,0)</f>
        <v>0</v>
      </c>
      <c r="H37463" s="21" t="n">
        <f aca="false">IF(H37348=Assumptions!$K$63,1,0)</f>
        <v>0</v>
      </c>
      <c r="I37463" s="21" t="n">
        <f aca="false">IF(I37348=Assumptions!$K$63,1,0)</f>
        <v>1</v>
      </c>
      <c r="J37463" s="21" t="n">
        <f aca="false">IF(J37348=Assumptions!$K$63,1,0)</f>
        <v>0</v>
      </c>
      <c r="K37463" s="21" t="n">
        <f aca="false">IF(K37348=Assumptions!$K$63,1,0)</f>
        <v>0</v>
      </c>
    </row>
    <row r="37465" customFormat="false" ht="15" hidden="false" customHeight="false" outlineLevel="0" collapsed="false">
      <c r="A37465" s="3" t="s">
        <v>331</v>
      </c>
      <c r="G37465" s="31" t="n">
        <f aca="false">IF(Assumptions!$I$63=1,MAX(G37374,Assumptions!$G$63)+Assumptions!$F$63+$C$37375,Assumptions!$E$63)</f>
        <v>0.08875</v>
      </c>
      <c r="H37465" s="31" t="n">
        <f aca="false">IF(G37700=1,$C$37376,IF(Assumptions!$I$63=1,MAX(H37374,Assumptions!$G$63)+Assumptions!$F$63+$C$37375,Assumptions!$E$63))</f>
        <v>0.08875</v>
      </c>
      <c r="I37465" s="31" t="n">
        <f aca="false">IF(H37700=1,$C$37376,IF(Assumptions!$I$63=1,MAX(I37374,Assumptions!$G$63)+Assumptions!$F$63+$C$37375,Assumptions!$E$63))</f>
        <v>0.08875</v>
      </c>
      <c r="J37465" s="31" t="n">
        <f aca="false">IF(I37700=1,$C$37376,IF(Assumptions!$I$63=1,MAX(J37374,Assumptions!$G$63)+Assumptions!$F$63+$C$37375,Assumptions!$E$63))</f>
        <v>0.08875</v>
      </c>
      <c r="K37465" s="31" t="n">
        <f aca="false">IF(J37700=1,$C$37376,IF(Assumptions!$I$63=1,MAX(K37374,Assumptions!$G$63)+Assumptions!$F$63+$C$37375,Assumptions!$E$63))</f>
        <v>0.08875</v>
      </c>
    </row>
    <row r="37466" customFormat="false" ht="15" hidden="false" customHeight="false" outlineLevel="0" collapsed="false">
      <c r="A37466" s="3" t="s">
        <v>332</v>
      </c>
      <c r="G37466" s="16" t="n">
        <f aca="false">G37462*G37465</f>
        <v>48.8125</v>
      </c>
      <c r="H37466" s="16" t="n">
        <f aca="false">H37462*H37465</f>
        <v>48.8125</v>
      </c>
      <c r="I37466" s="16" t="n">
        <f aca="false">I37462*I37465</f>
        <v>48.8125</v>
      </c>
      <c r="J37466" s="16" t="n">
        <f aca="false">J37462*J37465</f>
        <v>48.8125</v>
      </c>
      <c r="K37466" s="16" t="n">
        <f aca="false">K37462*K37465</f>
        <v>48.8125</v>
      </c>
    </row>
    <row r="37467" customFormat="false" ht="15" hidden="false" customHeight="false" outlineLevel="0" collapsed="false">
      <c r="A37467" s="3" t="s">
        <v>333</v>
      </c>
      <c r="G37467" s="16" t="n">
        <f aca="false">G37462*Assumptions!$H$63</f>
        <v>0</v>
      </c>
      <c r="H37467" s="16" t="n">
        <f aca="false">H37462*Assumptions!$H$63</f>
        <v>0</v>
      </c>
      <c r="I37467" s="16" t="n">
        <f aca="false">I37462*Assumptions!$H$63</f>
        <v>0</v>
      </c>
      <c r="J37467" s="16" t="n">
        <f aca="false">J37462*Assumptions!$H$63</f>
        <v>0</v>
      </c>
      <c r="K37467" s="16" t="n">
        <f aca="false">K37462*Assumptions!$H$63</f>
        <v>0</v>
      </c>
    </row>
    <row r="37468" customFormat="false" ht="15" hidden="false" customHeight="false" outlineLevel="0" collapsed="false">
      <c r="A37468" s="3" t="s">
        <v>334</v>
      </c>
      <c r="G37468" s="16" t="n">
        <f aca="false">MIN(G37462,Assumptions!$L$63*Assumptions!$C$63)</f>
        <v>0</v>
      </c>
      <c r="H37468" s="16" t="n">
        <f aca="false">MIN(H37462,Assumptions!$L$63*Assumptions!$C$63)</f>
        <v>0</v>
      </c>
      <c r="I37468" s="16" t="n">
        <f aca="false">MIN(I37462,Assumptions!$L$63*Assumptions!$C$63)</f>
        <v>0</v>
      </c>
      <c r="J37468" s="16" t="n">
        <f aca="false">MIN(J37462,Assumptions!$L$63*Assumptions!$C$63)</f>
        <v>0</v>
      </c>
      <c r="K37468" s="16" t="n">
        <f aca="false">MIN(K37462,Assumptions!$L$63*Assumptions!$C$63)</f>
        <v>0</v>
      </c>
    </row>
    <row r="37469" customFormat="false" ht="15" hidden="false" customHeight="false" outlineLevel="0" collapsed="false">
      <c r="A37469" s="3" t="s">
        <v>335</v>
      </c>
      <c r="G37469" s="16" t="n">
        <f aca="false">IF(AND(Assumptions!$P$63=1,G37348&lt;Assumptions!$K$63),MIN(MAX(0,-G37564),MAX(0,Assumptions!$D$63-G37462)),0)</f>
        <v>0</v>
      </c>
      <c r="H37469" s="16" t="n">
        <f aca="false">IF(AND(Assumptions!$P$63=1,OR(H37348&lt;Assumptions!$K$63,G37700=1)),MIN(MAX(0,-H37564),MAX(0,Assumptions!$D$63-H37462)),0)</f>
        <v>0</v>
      </c>
      <c r="I37469" s="16" t="n">
        <f aca="false">IF(AND(Assumptions!$P$63=1,OR(I37348&lt;Assumptions!$K$63,H37700=1)),MIN(MAX(0,-I37564),MAX(0,Assumptions!$D$63-I37462)),0)</f>
        <v>0</v>
      </c>
      <c r="J37469" s="16" t="n">
        <f aca="false">IF(AND(Assumptions!$P$63=1,OR(J37348&lt;Assumptions!$K$63,I37700=1)),MIN(MAX(0,-J37564),MAX(0,Assumptions!$D$63-J37462)),0)</f>
        <v>0</v>
      </c>
      <c r="K37469" s="16" t="n">
        <f aca="false">IF(AND(Assumptions!$P$63=1,OR(K37348&lt;Assumptions!$K$63,J37700=1)),MIN(MAX(0,-K37564),MAX(0,Assumptions!$D$63-K37462)),0)</f>
        <v>0</v>
      </c>
    </row>
    <row r="37470" customFormat="false" ht="15" hidden="false" customHeight="false" outlineLevel="0" collapsed="false">
      <c r="A37470" s="3" t="s">
        <v>336</v>
      </c>
      <c r="G37470" s="16" t="n">
        <f aca="false">G37463*MIN(G37462-G37468+G37467,MAX(0,G37566-Assumptions!$C$12*G37382-G37392-G37405-G37418-G37431-G37444-G37457))</f>
        <v>0</v>
      </c>
      <c r="H37470" s="16" t="n">
        <f aca="false">H37463*MIN(H37462-H37468+H37467,MAX(0,H37566-Assumptions!$C$12*H37382-H37392-H37405-H37418-H37431-H37444-H37457))</f>
        <v>0</v>
      </c>
      <c r="I37470" s="16" t="n">
        <f aca="false">I37463*MIN(I37462-I37468+I37467,MAX(0,I37566-Assumptions!$C$12*I37382-I37392-I37405-I37418-I37431-I37444-I37457))</f>
        <v>0</v>
      </c>
      <c r="J37470" s="16" t="n">
        <f aca="false">J37463*MIN(J37462-J37468+J37467,MAX(0,J37566-Assumptions!$C$12*J37382-J37392-J37405-J37418-J37431-J37444-J37457))</f>
        <v>0</v>
      </c>
      <c r="K37470" s="16" t="n">
        <f aca="false">K37463*MIN(K37462-K37468+K37467,MAX(0,K37566-Assumptions!$C$12*K37382-K37392-K37405-K37418-K37431-K37444-K37457))</f>
        <v>0</v>
      </c>
    </row>
    <row r="37471" customFormat="false" ht="15" hidden="false" customHeight="false" outlineLevel="0" collapsed="false">
      <c r="A37471" s="3" t="s">
        <v>337</v>
      </c>
      <c r="G37471" s="16" t="n">
        <f aca="false">Assumptions!$N$63*MIN(G37462+G37469+G37467-G37468-G37470,MAX(0,G37570-G37393-G37406-G37419-G37432-G37445-G37458))</f>
        <v>0</v>
      </c>
      <c r="H37471" s="16" t="n">
        <f aca="false">Assumptions!$N$63*MIN(H37462+H37469+H37467-H37468-H37470,MAX(0,H37570-H37393-H37406-H37419-H37432-H37445-H37458))</f>
        <v>0</v>
      </c>
      <c r="I37471" s="16" t="n">
        <f aca="false">Assumptions!$N$63*MIN(I37462+I37469+I37467-I37468-I37470,MAX(0,I37570-I37393-I37406-I37419-I37432-I37445-I37458))</f>
        <v>0</v>
      </c>
      <c r="J37471" s="16" t="n">
        <f aca="false">Assumptions!$N$63*MIN(J37462+J37469+J37467-J37468-J37470,MAX(0,J37570-J37393-J37406-J37419-J37432-J37445-J37458))</f>
        <v>0</v>
      </c>
      <c r="K37471" s="16" t="n">
        <f aca="false">Assumptions!$N$63*MIN(K37462+K37469+K37467-K37468-K37470,MAX(0,K37570-K37393-K37406-K37419-K37432-K37445-K37458))</f>
        <v>0</v>
      </c>
    </row>
    <row r="37472" customFormat="false" ht="15" hidden="false" customHeight="false" outlineLevel="0" collapsed="false">
      <c r="A37472" s="3" t="s">
        <v>338</v>
      </c>
      <c r="G37472" s="16" t="n">
        <f aca="false">G37463*(1-G37382)*(G37462-G37468+G37467-G37470)</f>
        <v>0</v>
      </c>
      <c r="H37472" s="16" t="n">
        <f aca="false">H37463*(1-H37382)*(H37462-H37468+H37467-H37470)</f>
        <v>0</v>
      </c>
      <c r="I37472" s="16" t="n">
        <f aca="false">I37463*(1-I37382)*(I37462-I37468+I37467-I37470)</f>
        <v>550</v>
      </c>
      <c r="J37472" s="16" t="n">
        <f aca="false">J37463*(1-J37382)*(J37462-J37468+J37467-J37470)</f>
        <v>0</v>
      </c>
      <c r="K37472" s="16" t="n">
        <f aca="false">K37463*(1-K37382)*(K37462-K37468+K37467-K37470)</f>
        <v>0</v>
      </c>
    </row>
    <row r="37473" customFormat="false" ht="15" hidden="false" customHeight="false" outlineLevel="0" collapsed="false">
      <c r="A37473" s="2" t="s">
        <v>339</v>
      </c>
      <c r="F37473" s="28" t="n">
        <f aca="false">Assumptions!$C$63</f>
        <v>550</v>
      </c>
      <c r="G37473" s="17" t="n">
        <f aca="false">G37462+G37469+G37467-G37468-G37470-G37471</f>
        <v>550</v>
      </c>
      <c r="H37473" s="17" t="n">
        <f aca="false">H37462+H37469+H37467-H37468-H37470-H37471</f>
        <v>550</v>
      </c>
      <c r="I37473" s="17" t="n">
        <f aca="false">I37462+I37469+I37467-I37468-I37470-I37471</f>
        <v>550</v>
      </c>
      <c r="J37473" s="17" t="n">
        <f aca="false">J37462+J37469+J37467-J37468-J37470-J37471</f>
        <v>550</v>
      </c>
      <c r="K37473" s="17" t="n">
        <f aca="false">K37462+K37469+K37467-K37468-K37470-K37471</f>
        <v>550</v>
      </c>
    </row>
    <row r="37474" customFormat="false" ht="15" hidden="false" customHeight="false" outlineLevel="0" collapsed="false">
      <c r="A37474" s="24" t="s">
        <v>346</v>
      </c>
      <c r="B37474" s="25"/>
      <c r="C37474" s="25"/>
      <c r="D37474" s="25"/>
      <c r="E37474" s="25"/>
      <c r="F37474" s="25"/>
      <c r="G37474" s="25"/>
      <c r="H37474" s="25"/>
      <c r="I37474" s="25"/>
      <c r="J37474" s="25"/>
      <c r="K37474" s="25"/>
    </row>
    <row r="37475" customFormat="false" ht="15" hidden="false" customHeight="false" outlineLevel="0" collapsed="false">
      <c r="A37475" s="3" t="s">
        <v>329</v>
      </c>
      <c r="G37475" s="16" t="n">
        <f aca="false">F37486</f>
        <v>350</v>
      </c>
      <c r="H37475" s="16" t="n">
        <f aca="false">G37486</f>
        <v>350</v>
      </c>
      <c r="I37475" s="16" t="n">
        <f aca="false">H37486</f>
        <v>350</v>
      </c>
      <c r="J37475" s="16" t="n">
        <f aca="false">I37486</f>
        <v>350</v>
      </c>
      <c r="K37475" s="16" t="n">
        <f aca="false">J37486</f>
        <v>350</v>
      </c>
    </row>
    <row r="37476" customFormat="false" ht="15" hidden="false" customHeight="false" outlineLevel="0" collapsed="false">
      <c r="A37476" s="3" t="s">
        <v>330</v>
      </c>
      <c r="G37476" s="21" t="n">
        <f aca="false">IF(G37348=Assumptions!$K$64,1,0)</f>
        <v>0</v>
      </c>
      <c r="H37476" s="21" t="n">
        <f aca="false">IF(H37348=Assumptions!$K$64,1,0)</f>
        <v>0</v>
      </c>
      <c r="I37476" s="21" t="n">
        <f aca="false">IF(I37348=Assumptions!$K$64,1,0)</f>
        <v>0</v>
      </c>
      <c r="J37476" s="21" t="n">
        <f aca="false">IF(J37348=Assumptions!$K$64,1,0)</f>
        <v>1</v>
      </c>
      <c r="K37476" s="21" t="n">
        <f aca="false">IF(K37348=Assumptions!$K$64,1,0)</f>
        <v>0</v>
      </c>
    </row>
    <row r="37478" customFormat="false" ht="15" hidden="false" customHeight="false" outlineLevel="0" collapsed="false">
      <c r="A37478" s="3" t="s">
        <v>331</v>
      </c>
      <c r="G37478" s="31" t="n">
        <f aca="false">IF(Assumptions!$I$64=1,MAX(G37374,Assumptions!$G$64)+Assumptions!$F$64+$C$37375,Assumptions!$E$64)</f>
        <v>0.0455</v>
      </c>
      <c r="H37478" s="31" t="n">
        <f aca="false">IF(G37701=1,$C$37376,IF(Assumptions!$I$64=1,MAX(H37374,Assumptions!$G$64)+Assumptions!$F$64+$C$37375,Assumptions!$E$64))</f>
        <v>0.0455</v>
      </c>
      <c r="I37478" s="31" t="n">
        <f aca="false">IF(H37701=1,$C$37376,IF(Assumptions!$I$64=1,MAX(I37374,Assumptions!$G$64)+Assumptions!$F$64+$C$37375,Assumptions!$E$64))</f>
        <v>0.0455</v>
      </c>
      <c r="J37478" s="31" t="n">
        <f aca="false">IF(I37701=1,$C$37376,IF(Assumptions!$I$64=1,MAX(J37374,Assumptions!$G$64)+Assumptions!$F$64+$C$37375,Assumptions!$E$64))</f>
        <v>0.0455</v>
      </c>
      <c r="K37478" s="31" t="n">
        <f aca="false">IF(J37701=1,$C$37376,IF(Assumptions!$I$64=1,MAX(K37374,Assumptions!$G$64)+Assumptions!$F$64+$C$37375,Assumptions!$E$64))</f>
        <v>0.0455</v>
      </c>
    </row>
    <row r="37479" customFormat="false" ht="15" hidden="false" customHeight="false" outlineLevel="0" collapsed="false">
      <c r="A37479" s="3" t="s">
        <v>332</v>
      </c>
      <c r="G37479" s="16" t="n">
        <f aca="false">G37475*G37478</f>
        <v>15.925</v>
      </c>
      <c r="H37479" s="16" t="n">
        <f aca="false">H37475*H37478</f>
        <v>15.925</v>
      </c>
      <c r="I37479" s="16" t="n">
        <f aca="false">I37475*I37478</f>
        <v>15.925</v>
      </c>
      <c r="J37479" s="16" t="n">
        <f aca="false">J37475*J37478</f>
        <v>15.925</v>
      </c>
      <c r="K37479" s="16" t="n">
        <f aca="false">K37475*K37478</f>
        <v>15.925</v>
      </c>
    </row>
    <row r="37480" customFormat="false" ht="15" hidden="false" customHeight="false" outlineLevel="0" collapsed="false">
      <c r="A37480" s="3" t="s">
        <v>333</v>
      </c>
      <c r="G37480" s="16" t="n">
        <f aca="false">G37475*Assumptions!$H$64</f>
        <v>0</v>
      </c>
      <c r="H37480" s="16" t="n">
        <f aca="false">H37475*Assumptions!$H$64</f>
        <v>0</v>
      </c>
      <c r="I37480" s="16" t="n">
        <f aca="false">I37475*Assumptions!$H$64</f>
        <v>0</v>
      </c>
      <c r="J37480" s="16" t="n">
        <f aca="false">J37475*Assumptions!$H$64</f>
        <v>0</v>
      </c>
      <c r="K37480" s="16" t="n">
        <f aca="false">K37475*Assumptions!$H$64</f>
        <v>0</v>
      </c>
    </row>
    <row r="37481" customFormat="false" ht="15" hidden="false" customHeight="false" outlineLevel="0" collapsed="false">
      <c r="A37481" s="3" t="s">
        <v>334</v>
      </c>
      <c r="G37481" s="16" t="n">
        <f aca="false">MIN(G37475,Assumptions!$L$64*Assumptions!$C$64)</f>
        <v>0</v>
      </c>
      <c r="H37481" s="16" t="n">
        <f aca="false">MIN(H37475,Assumptions!$L$64*Assumptions!$C$64)</f>
        <v>0</v>
      </c>
      <c r="I37481" s="16" t="n">
        <f aca="false">MIN(I37475,Assumptions!$L$64*Assumptions!$C$64)</f>
        <v>0</v>
      </c>
      <c r="J37481" s="16" t="n">
        <f aca="false">MIN(J37475,Assumptions!$L$64*Assumptions!$C$64)</f>
        <v>0</v>
      </c>
      <c r="K37481" s="16" t="n">
        <f aca="false">MIN(K37475,Assumptions!$L$64*Assumptions!$C$64)</f>
        <v>0</v>
      </c>
    </row>
    <row r="37482" customFormat="false" ht="15" hidden="false" customHeight="false" outlineLevel="0" collapsed="false">
      <c r="A37482" s="3" t="s">
        <v>335</v>
      </c>
      <c r="G37482" s="16" t="n">
        <f aca="false">IF(AND(Assumptions!$P$64=1,G37348&lt;Assumptions!$K$64),MIN(MAX(0,-G37564),MAX(0,Assumptions!$D$64-G37475)),0)</f>
        <v>0</v>
      </c>
      <c r="H37482" s="16" t="n">
        <f aca="false">IF(AND(Assumptions!$P$64=1,OR(H37348&lt;Assumptions!$K$64,G37701=1)),MIN(MAX(0,-H37564),MAX(0,Assumptions!$D$64-H37475)),0)</f>
        <v>0</v>
      </c>
      <c r="I37482" s="16" t="n">
        <f aca="false">IF(AND(Assumptions!$P$64=1,OR(I37348&lt;Assumptions!$K$64,H37701=1)),MIN(MAX(0,-I37564),MAX(0,Assumptions!$D$64-I37475)),0)</f>
        <v>0</v>
      </c>
      <c r="J37482" s="16" t="n">
        <f aca="false">IF(AND(Assumptions!$P$64=1,OR(J37348&lt;Assumptions!$K$64,I37701=1)),MIN(MAX(0,-J37564),MAX(0,Assumptions!$D$64-J37475)),0)</f>
        <v>0</v>
      </c>
      <c r="K37482" s="16" t="n">
        <f aca="false">IF(AND(Assumptions!$P$64=1,OR(K37348&lt;Assumptions!$K$64,J37701=1)),MIN(MAX(0,-K37564),MAX(0,Assumptions!$D$64-K37475)),0)</f>
        <v>0</v>
      </c>
    </row>
    <row r="37483" customFormat="false" ht="15" hidden="false" customHeight="false" outlineLevel="0" collapsed="false">
      <c r="A37483" s="3" t="s">
        <v>336</v>
      </c>
      <c r="G37483" s="16" t="n">
        <f aca="false">G37476*MIN(G37475-G37481+G37480,MAX(0,G37566-Assumptions!$C$12*G37382-G37392-G37405-G37418-G37431-G37444-G37457-G37470))</f>
        <v>0</v>
      </c>
      <c r="H37483" s="16" t="n">
        <f aca="false">H37476*MIN(H37475-H37481+H37480,MAX(0,H37566-Assumptions!$C$12*H37382-H37392-H37405-H37418-H37431-H37444-H37457-H37470))</f>
        <v>0</v>
      </c>
      <c r="I37483" s="16" t="n">
        <f aca="false">I37476*MIN(I37475-I37481+I37480,MAX(0,I37566-Assumptions!$C$12*I37382-I37392-I37405-I37418-I37431-I37444-I37457-I37470))</f>
        <v>0</v>
      </c>
      <c r="J37483" s="16" t="n">
        <f aca="false">J37476*MIN(J37475-J37481+J37480,MAX(0,J37566-Assumptions!$C$12*J37382-J37392-J37405-J37418-J37431-J37444-J37457-J37470))</f>
        <v>0</v>
      </c>
      <c r="K37483" s="16" t="n">
        <f aca="false">K37476*MIN(K37475-K37481+K37480,MAX(0,K37566-Assumptions!$C$12*K37382-K37392-K37405-K37418-K37431-K37444-K37457-K37470))</f>
        <v>0</v>
      </c>
    </row>
    <row r="37484" customFormat="false" ht="15" hidden="false" customHeight="false" outlineLevel="0" collapsed="false">
      <c r="A37484" s="3" t="s">
        <v>337</v>
      </c>
      <c r="G37484" s="16" t="n">
        <f aca="false">Assumptions!$N$64*MIN(G37475+G37482+G37480-G37481-G37483,MAX(0,G37570-G37393-G37406-G37419-G37432-G37445-G37458-G37471))</f>
        <v>0</v>
      </c>
      <c r="H37484" s="16" t="n">
        <f aca="false">Assumptions!$N$64*MIN(H37475+H37482+H37480-H37481-H37483,MAX(0,H37570-H37393-H37406-H37419-H37432-H37445-H37458-H37471))</f>
        <v>0</v>
      </c>
      <c r="I37484" s="16" t="n">
        <f aca="false">Assumptions!$N$64*MIN(I37475+I37482+I37480-I37481-I37483,MAX(0,I37570-I37393-I37406-I37419-I37432-I37445-I37458-I37471))</f>
        <v>0</v>
      </c>
      <c r="J37484" s="16" t="n">
        <f aca="false">Assumptions!$N$64*MIN(J37475+J37482+J37480-J37481-J37483,MAX(0,J37570-J37393-J37406-J37419-J37432-J37445-J37458-J37471))</f>
        <v>0</v>
      </c>
      <c r="K37484" s="16" t="n">
        <f aca="false">Assumptions!$N$64*MIN(K37475+K37482+K37480-K37481-K37483,MAX(0,K37570-K37393-K37406-K37419-K37432-K37445-K37458-K37471))</f>
        <v>0</v>
      </c>
    </row>
    <row r="37485" customFormat="false" ht="15" hidden="false" customHeight="false" outlineLevel="0" collapsed="false">
      <c r="A37485" s="3" t="s">
        <v>338</v>
      </c>
      <c r="G37485" s="16" t="n">
        <f aca="false">G37476*(1-G37382)*(G37475-G37481+G37480-G37483)</f>
        <v>0</v>
      </c>
      <c r="H37485" s="16" t="n">
        <f aca="false">H37476*(1-H37382)*(H37475-H37481+H37480-H37483)</f>
        <v>0</v>
      </c>
      <c r="I37485" s="16" t="n">
        <f aca="false">I37476*(1-I37382)*(I37475-I37481+I37480-I37483)</f>
        <v>0</v>
      </c>
      <c r="J37485" s="16" t="n">
        <f aca="false">J37476*(1-J37382)*(J37475-J37481+J37480-J37483)</f>
        <v>350</v>
      </c>
      <c r="K37485" s="16" t="n">
        <f aca="false">K37476*(1-K37382)*(K37475-K37481+K37480-K37483)</f>
        <v>0</v>
      </c>
    </row>
    <row r="37486" customFormat="false" ht="15" hidden="false" customHeight="false" outlineLevel="0" collapsed="false">
      <c r="A37486" s="2" t="s">
        <v>339</v>
      </c>
      <c r="F37486" s="28" t="n">
        <f aca="false">Assumptions!$C$64</f>
        <v>350</v>
      </c>
      <c r="G37486" s="17" t="n">
        <f aca="false">G37475+G37482+G37480-G37481-G37483-G37484</f>
        <v>350</v>
      </c>
      <c r="H37486" s="17" t="n">
        <f aca="false">H37475+H37482+H37480-H37481-H37483-H37484</f>
        <v>350</v>
      </c>
      <c r="I37486" s="17" t="n">
        <f aca="false">I37475+I37482+I37480-I37481-I37483-I37484</f>
        <v>350</v>
      </c>
      <c r="J37486" s="17" t="n">
        <f aca="false">J37475+J37482+J37480-J37481-J37483-J37484</f>
        <v>350</v>
      </c>
      <c r="K37486" s="17" t="n">
        <f aca="false">K37475+K37482+K37480-K37481-K37483-K37484</f>
        <v>350</v>
      </c>
    </row>
    <row r="37487" customFormat="false" ht="15" hidden="false" customHeight="false" outlineLevel="0" collapsed="false">
      <c r="A37487" s="24" t="s">
        <v>347</v>
      </c>
      <c r="B37487" s="25"/>
      <c r="C37487" s="25"/>
      <c r="D37487" s="25"/>
      <c r="E37487" s="25"/>
      <c r="F37487" s="25"/>
      <c r="G37487" s="25"/>
      <c r="H37487" s="25"/>
      <c r="I37487" s="25"/>
      <c r="J37487" s="25"/>
      <c r="K37487" s="25"/>
    </row>
    <row r="37488" customFormat="false" ht="15" hidden="false" customHeight="false" outlineLevel="0" collapsed="false">
      <c r="A37488" s="3" t="s">
        <v>329</v>
      </c>
      <c r="G37488" s="16" t="n">
        <f aca="false">F37499</f>
        <v>300</v>
      </c>
      <c r="H37488" s="16" t="n">
        <f aca="false">G37499</f>
        <v>300</v>
      </c>
      <c r="I37488" s="16" t="n">
        <f aca="false">H37499</f>
        <v>300</v>
      </c>
      <c r="J37488" s="16" t="n">
        <f aca="false">I37499</f>
        <v>300</v>
      </c>
      <c r="K37488" s="16" t="n">
        <f aca="false">J37499</f>
        <v>300</v>
      </c>
    </row>
    <row r="37489" customFormat="false" ht="15" hidden="false" customHeight="false" outlineLevel="0" collapsed="false">
      <c r="A37489" s="3" t="s">
        <v>330</v>
      </c>
      <c r="G37489" s="21" t="n">
        <f aca="false">IF(G37348=Assumptions!$K$65,1,0)</f>
        <v>0</v>
      </c>
      <c r="H37489" s="21" t="n">
        <f aca="false">IF(H37348=Assumptions!$K$65,1,0)</f>
        <v>0</v>
      </c>
      <c r="I37489" s="21" t="n">
        <f aca="false">IF(I37348=Assumptions!$K$65,1,0)</f>
        <v>0</v>
      </c>
      <c r="J37489" s="21" t="n">
        <f aca="false">IF(J37348=Assumptions!$K$65,1,0)</f>
        <v>0</v>
      </c>
      <c r="K37489" s="21" t="n">
        <f aca="false">IF(K37348=Assumptions!$K$65,1,0)</f>
        <v>1</v>
      </c>
    </row>
    <row r="37491" customFormat="false" ht="15" hidden="false" customHeight="false" outlineLevel="0" collapsed="false">
      <c r="A37491" s="3" t="s">
        <v>331</v>
      </c>
      <c r="G37491" s="31" t="n">
        <f aca="false">IF(Assumptions!$I$65=1,MAX(G37374,Assumptions!$G$65)+Assumptions!$F$65+$C$37375,Assumptions!$E$65)</f>
        <v>0.06125</v>
      </c>
      <c r="H37491" s="31" t="n">
        <f aca="false">IF(G37702=1,$C$37376,IF(Assumptions!$I$65=1,MAX(H37374,Assumptions!$G$65)+Assumptions!$F$65+$C$37375,Assumptions!$E$65))</f>
        <v>0.06125</v>
      </c>
      <c r="I37491" s="31" t="n">
        <f aca="false">IF(H37702=1,$C$37376,IF(Assumptions!$I$65=1,MAX(I37374,Assumptions!$G$65)+Assumptions!$F$65+$C$37375,Assumptions!$E$65))</f>
        <v>0.06125</v>
      </c>
      <c r="J37491" s="31" t="n">
        <f aca="false">IF(I37702=1,$C$37376,IF(Assumptions!$I$65=1,MAX(J37374,Assumptions!$G$65)+Assumptions!$F$65+$C$37375,Assumptions!$E$65))</f>
        <v>0.06125</v>
      </c>
      <c r="K37491" s="31" t="n">
        <f aca="false">IF(J37702=1,$C$37376,IF(Assumptions!$I$65=1,MAX(K37374,Assumptions!$G$65)+Assumptions!$F$65+$C$37375,Assumptions!$E$65))</f>
        <v>0.06125</v>
      </c>
    </row>
    <row r="37492" customFormat="false" ht="15" hidden="false" customHeight="false" outlineLevel="0" collapsed="false">
      <c r="A37492" s="3" t="s">
        <v>332</v>
      </c>
      <c r="G37492" s="16" t="n">
        <f aca="false">G37488*G37491</f>
        <v>18.375</v>
      </c>
      <c r="H37492" s="16" t="n">
        <f aca="false">H37488*H37491</f>
        <v>18.375</v>
      </c>
      <c r="I37492" s="16" t="n">
        <f aca="false">I37488*I37491</f>
        <v>18.375</v>
      </c>
      <c r="J37492" s="16" t="n">
        <f aca="false">J37488*J37491</f>
        <v>18.375</v>
      </c>
      <c r="K37492" s="16" t="n">
        <f aca="false">K37488*K37491</f>
        <v>18.375</v>
      </c>
    </row>
    <row r="37493" customFormat="false" ht="15" hidden="false" customHeight="false" outlineLevel="0" collapsed="false">
      <c r="A37493" s="3" t="s">
        <v>333</v>
      </c>
      <c r="G37493" s="16" t="n">
        <f aca="false">G37488*Assumptions!$H$65</f>
        <v>0</v>
      </c>
      <c r="H37493" s="16" t="n">
        <f aca="false">H37488*Assumptions!$H$65</f>
        <v>0</v>
      </c>
      <c r="I37493" s="16" t="n">
        <f aca="false">I37488*Assumptions!$H$65</f>
        <v>0</v>
      </c>
      <c r="J37493" s="16" t="n">
        <f aca="false">J37488*Assumptions!$H$65</f>
        <v>0</v>
      </c>
      <c r="K37493" s="16" t="n">
        <f aca="false">K37488*Assumptions!$H$65</f>
        <v>0</v>
      </c>
    </row>
    <row r="37494" customFormat="false" ht="15" hidden="false" customHeight="false" outlineLevel="0" collapsed="false">
      <c r="A37494" s="3" t="s">
        <v>334</v>
      </c>
      <c r="G37494" s="16" t="n">
        <f aca="false">MIN(G37488,Assumptions!$L$65*Assumptions!$C$65)</f>
        <v>0</v>
      </c>
      <c r="H37494" s="16" t="n">
        <f aca="false">MIN(H37488,Assumptions!$L$65*Assumptions!$C$65)</f>
        <v>0</v>
      </c>
      <c r="I37494" s="16" t="n">
        <f aca="false">MIN(I37488,Assumptions!$L$65*Assumptions!$C$65)</f>
        <v>0</v>
      </c>
      <c r="J37494" s="16" t="n">
        <f aca="false">MIN(J37488,Assumptions!$L$65*Assumptions!$C$65)</f>
        <v>0</v>
      </c>
      <c r="K37494" s="16" t="n">
        <f aca="false">MIN(K37488,Assumptions!$L$65*Assumptions!$C$65)</f>
        <v>0</v>
      </c>
    </row>
    <row r="37495" customFormat="false" ht="15" hidden="false" customHeight="false" outlineLevel="0" collapsed="false">
      <c r="A37495" s="3" t="s">
        <v>335</v>
      </c>
      <c r="G37495" s="16" t="n">
        <f aca="false">IF(AND(Assumptions!$P$65=1,G37348&lt;Assumptions!$K$65),MIN(MAX(0,-G37564),MAX(0,Assumptions!$D$65-G37488)),0)</f>
        <v>0</v>
      </c>
      <c r="H37495" s="16" t="n">
        <f aca="false">IF(AND(Assumptions!$P$65=1,OR(H37348&lt;Assumptions!$K$65,G37702=1)),MIN(MAX(0,-H37564),MAX(0,Assumptions!$D$65-H37488)),0)</f>
        <v>0</v>
      </c>
      <c r="I37495" s="16" t="n">
        <f aca="false">IF(AND(Assumptions!$P$65=1,OR(I37348&lt;Assumptions!$K$65,H37702=1)),MIN(MAX(0,-I37564),MAX(0,Assumptions!$D$65-I37488)),0)</f>
        <v>0</v>
      </c>
      <c r="J37495" s="16" t="n">
        <f aca="false">IF(AND(Assumptions!$P$65=1,OR(J37348&lt;Assumptions!$K$65,I37702=1)),MIN(MAX(0,-J37564),MAX(0,Assumptions!$D$65-J37488)),0)</f>
        <v>0</v>
      </c>
      <c r="K37495" s="16" t="n">
        <f aca="false">IF(AND(Assumptions!$P$65=1,OR(K37348&lt;Assumptions!$K$65,J37702=1)),MIN(MAX(0,-K37564),MAX(0,Assumptions!$D$65-K37488)),0)</f>
        <v>0</v>
      </c>
    </row>
    <row r="37496" customFormat="false" ht="15" hidden="false" customHeight="false" outlineLevel="0" collapsed="false">
      <c r="A37496" s="3" t="s">
        <v>336</v>
      </c>
      <c r="G37496" s="16" t="n">
        <f aca="false">G37489*MIN(G37488-G37494+G37493,MAX(0,G37566-Assumptions!$C$12*G37382-G37392-G37405-G37418-G37431-G37444-G37457-G37470-G37483))</f>
        <v>0</v>
      </c>
      <c r="H37496" s="16" t="n">
        <f aca="false">H37489*MIN(H37488-H37494+H37493,MAX(0,H37566-Assumptions!$C$12*H37382-H37392-H37405-H37418-H37431-H37444-H37457-H37470-H37483))</f>
        <v>0</v>
      </c>
      <c r="I37496" s="16" t="n">
        <f aca="false">I37489*MIN(I37488-I37494+I37493,MAX(0,I37566-Assumptions!$C$12*I37382-I37392-I37405-I37418-I37431-I37444-I37457-I37470-I37483))</f>
        <v>0</v>
      </c>
      <c r="J37496" s="16" t="n">
        <f aca="false">J37489*MIN(J37488-J37494+J37493,MAX(0,J37566-Assumptions!$C$12*J37382-J37392-J37405-J37418-J37431-J37444-J37457-J37470-J37483))</f>
        <v>0</v>
      </c>
      <c r="K37496" s="16" t="n">
        <f aca="false">K37489*MIN(K37488-K37494+K37493,MAX(0,K37566-Assumptions!$C$12*K37382-K37392-K37405-K37418-K37431-K37444-K37457-K37470-K37483))</f>
        <v>0</v>
      </c>
    </row>
    <row r="37497" customFormat="false" ht="15" hidden="false" customHeight="false" outlineLevel="0" collapsed="false">
      <c r="A37497" s="3" t="s">
        <v>337</v>
      </c>
      <c r="G37497" s="16" t="n">
        <f aca="false">Assumptions!$N$65*MIN(G37488+G37495+G37493-G37494-G37496,MAX(0,G37570-G37393-G37406-G37419-G37432-G37445-G37458-G37471-G37484))</f>
        <v>0</v>
      </c>
      <c r="H37497" s="16" t="n">
        <f aca="false">Assumptions!$N$65*MIN(H37488+H37495+H37493-H37494-H37496,MAX(0,H37570-H37393-H37406-H37419-H37432-H37445-H37458-H37471-H37484))</f>
        <v>0</v>
      </c>
      <c r="I37497" s="16" t="n">
        <f aca="false">Assumptions!$N$65*MIN(I37488+I37495+I37493-I37494-I37496,MAX(0,I37570-I37393-I37406-I37419-I37432-I37445-I37458-I37471-I37484))</f>
        <v>0</v>
      </c>
      <c r="J37497" s="16" t="n">
        <f aca="false">Assumptions!$N$65*MIN(J37488+J37495+J37493-J37494-J37496,MAX(0,J37570-J37393-J37406-J37419-J37432-J37445-J37458-J37471-J37484))</f>
        <v>0</v>
      </c>
      <c r="K37497" s="16" t="n">
        <f aca="false">Assumptions!$N$65*MIN(K37488+K37495+K37493-K37494-K37496,MAX(0,K37570-K37393-K37406-K37419-K37432-K37445-K37458-K37471-K37484))</f>
        <v>0</v>
      </c>
    </row>
    <row r="37498" customFormat="false" ht="15" hidden="false" customHeight="false" outlineLevel="0" collapsed="false">
      <c r="A37498" s="3" t="s">
        <v>338</v>
      </c>
      <c r="G37498" s="16" t="n">
        <f aca="false">G37489*(1-G37382)*(G37488-G37494+G37493-G37496)</f>
        <v>0</v>
      </c>
      <c r="H37498" s="16" t="n">
        <f aca="false">H37489*(1-H37382)*(H37488-H37494+H37493-H37496)</f>
        <v>0</v>
      </c>
      <c r="I37498" s="16" t="n">
        <f aca="false">I37489*(1-I37382)*(I37488-I37494+I37493-I37496)</f>
        <v>0</v>
      </c>
      <c r="J37498" s="16" t="n">
        <f aca="false">J37489*(1-J37382)*(J37488-J37494+J37493-J37496)</f>
        <v>0</v>
      </c>
      <c r="K37498" s="16" t="n">
        <f aca="false">K37489*(1-K37382)*(K37488-K37494+K37493-K37496)</f>
        <v>300</v>
      </c>
    </row>
    <row r="37499" customFormat="false" ht="15" hidden="false" customHeight="false" outlineLevel="0" collapsed="false">
      <c r="A37499" s="2" t="s">
        <v>339</v>
      </c>
      <c r="F37499" s="28" t="n">
        <f aca="false">Assumptions!$C$65</f>
        <v>300</v>
      </c>
      <c r="G37499" s="17" t="n">
        <f aca="false">G37488+G37495+G37493-G37494-G37496-G37497</f>
        <v>300</v>
      </c>
      <c r="H37499" s="17" t="n">
        <f aca="false">H37488+H37495+H37493-H37494-H37496-H37497</f>
        <v>300</v>
      </c>
      <c r="I37499" s="17" t="n">
        <f aca="false">I37488+I37495+I37493-I37494-I37496-I37497</f>
        <v>300</v>
      </c>
      <c r="J37499" s="17" t="n">
        <f aca="false">J37488+J37495+J37493-J37494-J37496-J37497</f>
        <v>300</v>
      </c>
      <c r="K37499" s="17" t="n">
        <f aca="false">K37488+K37495+K37493-K37494-K37496-K37497</f>
        <v>300</v>
      </c>
    </row>
    <row r="37500" customFormat="false" ht="15" hidden="false" customHeight="false" outlineLevel="0" collapsed="false">
      <c r="A37500" s="24" t="s">
        <v>348</v>
      </c>
      <c r="B37500" s="25"/>
      <c r="C37500" s="25"/>
      <c r="D37500" s="25"/>
      <c r="E37500" s="25"/>
      <c r="F37500" s="25"/>
      <c r="G37500" s="25"/>
      <c r="H37500" s="25"/>
      <c r="I37500" s="25"/>
      <c r="J37500" s="25"/>
      <c r="K37500" s="25"/>
    </row>
    <row r="37501" customFormat="false" ht="15" hidden="false" customHeight="false" outlineLevel="0" collapsed="false">
      <c r="A37501" s="3" t="s">
        <v>329</v>
      </c>
      <c r="G37501" s="16" t="n">
        <f aca="false">F37512</f>
        <v>78.61</v>
      </c>
      <c r="H37501" s="16" t="n">
        <f aca="false">G37512</f>
        <v>78.61</v>
      </c>
      <c r="I37501" s="16" t="n">
        <f aca="false">H37512</f>
        <v>78.61</v>
      </c>
      <c r="J37501" s="16" t="n">
        <f aca="false">I37512</f>
        <v>78.61</v>
      </c>
      <c r="K37501" s="16" t="n">
        <f aca="false">J37512</f>
        <v>78.61</v>
      </c>
    </row>
    <row r="37502" customFormat="false" ht="15" hidden="false" customHeight="false" outlineLevel="0" collapsed="false">
      <c r="A37502" s="3" t="s">
        <v>330</v>
      </c>
      <c r="G37502" s="21" t="n">
        <f aca="false">IF(G37348=Assumptions!$K$66,1,0)</f>
        <v>0</v>
      </c>
      <c r="H37502" s="21" t="n">
        <f aca="false">IF(H37348=Assumptions!$K$66,1,0)</f>
        <v>0</v>
      </c>
      <c r="I37502" s="21" t="n">
        <f aca="false">IF(I37348=Assumptions!$K$66,1,0)</f>
        <v>0</v>
      </c>
      <c r="J37502" s="21" t="n">
        <f aca="false">IF(J37348=Assumptions!$K$66,1,0)</f>
        <v>0</v>
      </c>
      <c r="K37502" s="21" t="n">
        <f aca="false">IF(K37348=Assumptions!$K$66,1,0)</f>
        <v>0</v>
      </c>
    </row>
    <row r="37504" customFormat="false" ht="15" hidden="false" customHeight="false" outlineLevel="0" collapsed="false">
      <c r="A37504" s="3" t="s">
        <v>331</v>
      </c>
      <c r="G37504" s="31" t="n">
        <f aca="false">IF(Assumptions!$I$66=1,MAX(G37374,Assumptions!$G$66)+Assumptions!$F$66+$C$37375,Assumptions!$E$66)</f>
        <v>0.0691</v>
      </c>
      <c r="H37504" s="31" t="n">
        <f aca="false">IF(G37703=1,$C$37376,IF(Assumptions!$I$66=1,MAX(H37374,Assumptions!$G$66)+Assumptions!$F$66+$C$37375,Assumptions!$E$66))</f>
        <v>0.0676</v>
      </c>
      <c r="I37504" s="31" t="n">
        <f aca="false">IF(H37703=1,$C$37376,IF(Assumptions!$I$66=1,MAX(I37374,Assumptions!$G$66)+Assumptions!$F$66+$C$37375,Assumptions!$E$66))</f>
        <v>0.0651</v>
      </c>
      <c r="J37504" s="31" t="n">
        <f aca="false">IF(I37703=1,$C$37376,IF(Assumptions!$I$66=1,MAX(J37374,Assumptions!$G$66)+Assumptions!$F$66+$C$37375,Assumptions!$E$66))</f>
        <v>0.0651</v>
      </c>
      <c r="K37504" s="31" t="n">
        <f aca="false">IF(J37703=1,$C$37376,IF(Assumptions!$I$66=1,MAX(K37374,Assumptions!$G$66)+Assumptions!$F$66+$C$37375,Assumptions!$E$66))</f>
        <v>0.0651</v>
      </c>
    </row>
    <row r="37505" customFormat="false" ht="15" hidden="false" customHeight="false" outlineLevel="0" collapsed="false">
      <c r="A37505" s="3" t="s">
        <v>332</v>
      </c>
      <c r="G37505" s="16" t="n">
        <f aca="false">G37501*G37504</f>
        <v>5.431951</v>
      </c>
      <c r="H37505" s="16" t="n">
        <f aca="false">H37501*H37504</f>
        <v>5.314036</v>
      </c>
      <c r="I37505" s="16" t="n">
        <f aca="false">I37501*I37504</f>
        <v>5.117511</v>
      </c>
      <c r="J37505" s="16" t="n">
        <f aca="false">J37501*J37504</f>
        <v>5.117511</v>
      </c>
      <c r="K37505" s="16" t="n">
        <f aca="false">K37501*K37504</f>
        <v>5.117511</v>
      </c>
    </row>
    <row r="37506" customFormat="false" ht="15" hidden="false" customHeight="false" outlineLevel="0" collapsed="false">
      <c r="A37506" s="3" t="s">
        <v>333</v>
      </c>
      <c r="G37506" s="16" t="n">
        <f aca="false">G37501*Assumptions!$H$66</f>
        <v>0</v>
      </c>
      <c r="H37506" s="16" t="n">
        <f aca="false">H37501*Assumptions!$H$66</f>
        <v>0</v>
      </c>
      <c r="I37506" s="16" t="n">
        <f aca="false">I37501*Assumptions!$H$66</f>
        <v>0</v>
      </c>
      <c r="J37506" s="16" t="n">
        <f aca="false">J37501*Assumptions!$H$66</f>
        <v>0</v>
      </c>
      <c r="K37506" s="16" t="n">
        <f aca="false">K37501*Assumptions!$H$66</f>
        <v>0</v>
      </c>
    </row>
    <row r="37507" customFormat="false" ht="15" hidden="false" customHeight="false" outlineLevel="0" collapsed="false">
      <c r="A37507" s="3" t="s">
        <v>334</v>
      </c>
      <c r="G37507" s="16" t="n">
        <f aca="false">MIN(G37501,Assumptions!$L$66*Assumptions!$C$66)</f>
        <v>0</v>
      </c>
      <c r="H37507" s="16" t="n">
        <f aca="false">MIN(H37501,Assumptions!$L$66*Assumptions!$C$66)</f>
        <v>0</v>
      </c>
      <c r="I37507" s="16" t="n">
        <f aca="false">MIN(I37501,Assumptions!$L$66*Assumptions!$C$66)</f>
        <v>0</v>
      </c>
      <c r="J37507" s="16" t="n">
        <f aca="false">MIN(J37501,Assumptions!$L$66*Assumptions!$C$66)</f>
        <v>0</v>
      </c>
      <c r="K37507" s="16" t="n">
        <f aca="false">MIN(K37501,Assumptions!$L$66*Assumptions!$C$66)</f>
        <v>0</v>
      </c>
    </row>
    <row r="37508" customFormat="false" ht="15" hidden="false" customHeight="false" outlineLevel="0" collapsed="false">
      <c r="A37508" s="3" t="s">
        <v>335</v>
      </c>
      <c r="G37508" s="16" t="n">
        <f aca="false">IF(AND(Assumptions!$P$66=1,G37348&lt;Assumptions!$K$66),MIN(MAX(0,-G37564),MAX(0,Assumptions!$D$66-G37501)),0)</f>
        <v>0</v>
      </c>
      <c r="H37508" s="16" t="n">
        <f aca="false">IF(AND(Assumptions!$P$66=1,OR(H37348&lt;Assumptions!$K$66,G37703=1)),MIN(MAX(0,-H37564),MAX(0,Assumptions!$D$66-H37501)),0)</f>
        <v>0</v>
      </c>
      <c r="I37508" s="16" t="n">
        <f aca="false">IF(AND(Assumptions!$P$66=1,OR(I37348&lt;Assumptions!$K$66,H37703=1)),MIN(MAX(0,-I37564),MAX(0,Assumptions!$D$66-I37501)),0)</f>
        <v>0</v>
      </c>
      <c r="J37508" s="16" t="n">
        <f aca="false">IF(AND(Assumptions!$P$66=1,OR(J37348&lt;Assumptions!$K$66,I37703=1)),MIN(MAX(0,-J37564),MAX(0,Assumptions!$D$66-J37501)),0)</f>
        <v>0</v>
      </c>
      <c r="K37508" s="16" t="n">
        <f aca="false">IF(AND(Assumptions!$P$66=1,OR(K37348&lt;Assumptions!$K$66,J37703=1)),MIN(MAX(0,-K37564),MAX(0,Assumptions!$D$66-K37501)),0)</f>
        <v>0</v>
      </c>
    </row>
    <row r="37509" customFormat="false" ht="15" hidden="false" customHeight="false" outlineLevel="0" collapsed="false">
      <c r="A37509" s="3" t="s">
        <v>336</v>
      </c>
      <c r="G37509" s="16" t="n">
        <f aca="false">G37502*MIN(G37501-G37507+G37506,MAX(0,G37566-Assumptions!$C$12*G37382-G37392-G37405-G37418-G37431-G37444-G37457-G37470-G37483-G37496))</f>
        <v>0</v>
      </c>
      <c r="H37509" s="16" t="n">
        <f aca="false">H37502*MIN(H37501-H37507+H37506,MAX(0,H37566-Assumptions!$C$12*H37382-H37392-H37405-H37418-H37431-H37444-H37457-H37470-H37483-H37496))</f>
        <v>0</v>
      </c>
      <c r="I37509" s="16" t="n">
        <f aca="false">I37502*MIN(I37501-I37507+I37506,MAX(0,I37566-Assumptions!$C$12*I37382-I37392-I37405-I37418-I37431-I37444-I37457-I37470-I37483-I37496))</f>
        <v>0</v>
      </c>
      <c r="J37509" s="16" t="n">
        <f aca="false">J37502*MIN(J37501-J37507+J37506,MAX(0,J37566-Assumptions!$C$12*J37382-J37392-J37405-J37418-J37431-J37444-J37457-J37470-J37483-J37496))</f>
        <v>0</v>
      </c>
      <c r="K37509" s="16" t="n">
        <f aca="false">K37502*MIN(K37501-K37507+K37506,MAX(0,K37566-Assumptions!$C$12*K37382-K37392-K37405-K37418-K37431-K37444-K37457-K37470-K37483-K37496))</f>
        <v>0</v>
      </c>
    </row>
    <row r="37510" customFormat="false" ht="15" hidden="false" customHeight="false" outlineLevel="0" collapsed="false">
      <c r="A37510" s="3" t="s">
        <v>337</v>
      </c>
      <c r="G37510" s="16" t="n">
        <f aca="false">Assumptions!$N$66*MIN(G37501+G37508+G37506-G37507-G37509,MAX(0,G37570-G37393-G37406-G37419-G37432-G37445-G37458-G37471-G37484-G37497))</f>
        <v>0</v>
      </c>
      <c r="H37510" s="16" t="n">
        <f aca="false">Assumptions!$N$66*MIN(H37501+H37508+H37506-H37507-H37509,MAX(0,H37570-H37393-H37406-H37419-H37432-H37445-H37458-H37471-H37484-H37497))</f>
        <v>0</v>
      </c>
      <c r="I37510" s="16" t="n">
        <f aca="false">Assumptions!$N$66*MIN(I37501+I37508+I37506-I37507-I37509,MAX(0,I37570-I37393-I37406-I37419-I37432-I37445-I37458-I37471-I37484-I37497))</f>
        <v>0</v>
      </c>
      <c r="J37510" s="16" t="n">
        <f aca="false">Assumptions!$N$66*MIN(J37501+J37508+J37506-J37507-J37509,MAX(0,J37570-J37393-J37406-J37419-J37432-J37445-J37458-J37471-J37484-J37497))</f>
        <v>0</v>
      </c>
      <c r="K37510" s="16" t="n">
        <f aca="false">Assumptions!$N$66*MIN(K37501+K37508+K37506-K37507-K37509,MAX(0,K37570-K37393-K37406-K37419-K37432-K37445-K37458-K37471-K37484-K37497))</f>
        <v>0</v>
      </c>
    </row>
    <row r="37511" customFormat="false" ht="15" hidden="false" customHeight="false" outlineLevel="0" collapsed="false">
      <c r="A37511" s="3" t="s">
        <v>338</v>
      </c>
      <c r="G37511" s="16" t="n">
        <f aca="false">G37502*(1-G37382)*(G37501-G37507+G37506-G37509)</f>
        <v>0</v>
      </c>
      <c r="H37511" s="16" t="n">
        <f aca="false">H37502*(1-H37382)*(H37501-H37507+H37506-H37509)</f>
        <v>0</v>
      </c>
      <c r="I37511" s="16" t="n">
        <f aca="false">I37502*(1-I37382)*(I37501-I37507+I37506-I37509)</f>
        <v>0</v>
      </c>
      <c r="J37511" s="16" t="n">
        <f aca="false">J37502*(1-J37382)*(J37501-J37507+J37506-J37509)</f>
        <v>0</v>
      </c>
      <c r="K37511" s="16" t="n">
        <f aca="false">K37502*(1-K37382)*(K37501-K37507+K37506-K37509)</f>
        <v>0</v>
      </c>
    </row>
    <row r="37512" customFormat="false" ht="15" hidden="false" customHeight="false" outlineLevel="0" collapsed="false">
      <c r="A37512" s="2" t="s">
        <v>339</v>
      </c>
      <c r="F37512" s="28" t="n">
        <f aca="false">Assumptions!$C$66</f>
        <v>78.61</v>
      </c>
      <c r="G37512" s="17" t="n">
        <f aca="false">G37501+G37508+G37506-G37507-G37509-G37510</f>
        <v>78.61</v>
      </c>
      <c r="H37512" s="17" t="n">
        <f aca="false">H37501+H37508+H37506-H37507-H37509-H37510</f>
        <v>78.61</v>
      </c>
      <c r="I37512" s="17" t="n">
        <f aca="false">I37501+I37508+I37506-I37507-I37509-I37510</f>
        <v>78.61</v>
      </c>
      <c r="J37512" s="17" t="n">
        <f aca="false">J37501+J37508+J37506-J37507-J37509-J37510</f>
        <v>78.61</v>
      </c>
      <c r="K37512" s="17" t="n">
        <f aca="false">K37501+K37508+K37506-K37507-K37509-K37510</f>
        <v>78.61</v>
      </c>
    </row>
    <row r="37513" customFormat="false" ht="15" hidden="false" customHeight="false" outlineLevel="0" collapsed="false">
      <c r="A37513" s="24" t="s">
        <v>349</v>
      </c>
      <c r="B37513" s="25"/>
      <c r="C37513" s="25"/>
      <c r="D37513" s="25"/>
      <c r="E37513" s="25"/>
      <c r="F37513" s="25"/>
      <c r="G37513" s="25"/>
      <c r="H37513" s="25"/>
      <c r="I37513" s="25"/>
      <c r="J37513" s="25"/>
      <c r="K37513" s="25"/>
    </row>
    <row r="37514" customFormat="false" ht="15" hidden="false" customHeight="false" outlineLevel="0" collapsed="false">
      <c r="A37514" s="2" t="s">
        <v>350</v>
      </c>
      <c r="F37514" s="17" t="n">
        <f aca="false">F37395+F37408+F37421+F37434+F37447+F37460+F37473+F37486+F37499+F37512</f>
        <v>2625.934</v>
      </c>
      <c r="G37514" s="17" t="n">
        <f aca="false">G37395+G37408+G37421+G37434+G37447+G37460+G37473+G37486+G37499+G37512</f>
        <v>2621.934</v>
      </c>
      <c r="H37514" s="17" t="n">
        <f aca="false">H37395+H37408+H37421+H37434+H37447+H37460+H37473+H37486+H37499+H37512</f>
        <v>2569.380357881</v>
      </c>
      <c r="I37514" s="17" t="n">
        <f aca="false">I37395+I37408+I37421+I37434+I37447+I37460+I37473+I37486+I37499+I37512</f>
        <v>2565.380357881</v>
      </c>
      <c r="J37514" s="17" t="n">
        <f aca="false">J37395+J37408+J37421+J37434+J37447+J37460+J37473+J37486+J37499+J37512</f>
        <v>2561.380357881</v>
      </c>
      <c r="K37514" s="17" t="n">
        <f aca="false">K37395+K37408+K37421+K37434+K37447+K37460+K37473+K37486+K37499+K37512</f>
        <v>2557.380357881</v>
      </c>
    </row>
    <row r="37515" customFormat="false" ht="15" hidden="false" customHeight="false" outlineLevel="0" collapsed="false">
      <c r="A37515" s="3" t="s">
        <v>351</v>
      </c>
      <c r="G37515" s="16" t="n">
        <f aca="false">G37385*Assumptions!$C$57+G37398*Assumptions!$C$58+G37411*Assumptions!$C$59+G37424*Assumptions!$C$60+G37437*Assumptions!$C$61+G37450*Assumptions!$C$62+G37463*Assumptions!$C$63+G37476*Assumptions!$C$64+G37489*Assumptions!$C$65+G37502*Assumptions!$C$66</f>
        <v>0</v>
      </c>
      <c r="H37515" s="16" t="n">
        <f aca="false">H37385*Assumptions!$C$57+H37398*Assumptions!$C$58+H37411*Assumptions!$C$59+H37424*Assumptions!$C$60+H37437*Assumptions!$C$61+H37450*Assumptions!$C$62+H37463*Assumptions!$C$63+H37476*Assumptions!$C$64+H37489*Assumptions!$C$65+H37502*Assumptions!$C$66</f>
        <v>800</v>
      </c>
      <c r="I37515" s="16" t="n">
        <f aca="false">I37385*Assumptions!$C$57+I37398*Assumptions!$C$58+I37411*Assumptions!$C$59+I37424*Assumptions!$C$60+I37437*Assumptions!$C$61+I37450*Assumptions!$C$62+I37463*Assumptions!$C$63+I37476*Assumptions!$C$64+I37489*Assumptions!$C$65+I37502*Assumptions!$C$66</f>
        <v>550</v>
      </c>
      <c r="J37515" s="16" t="n">
        <f aca="false">J37385*Assumptions!$C$57+J37398*Assumptions!$C$58+J37411*Assumptions!$C$59+J37424*Assumptions!$C$60+J37437*Assumptions!$C$61+J37450*Assumptions!$C$62+J37463*Assumptions!$C$63+J37476*Assumptions!$C$64+J37489*Assumptions!$C$65+J37502*Assumptions!$C$66</f>
        <v>350</v>
      </c>
      <c r="K37515" s="16" t="n">
        <f aca="false">K37385*Assumptions!$C$57+K37398*Assumptions!$C$58+K37411*Assumptions!$C$59+K37424*Assumptions!$C$60+K37437*Assumptions!$C$61+K37450*Assumptions!$C$62+K37463*Assumptions!$C$63+K37476*Assumptions!$C$64+K37489*Assumptions!$C$65+K37502*Assumptions!$C$66</f>
        <v>700</v>
      </c>
    </row>
    <row r="37516" customFormat="false" ht="15" hidden="false" customHeight="false" outlineLevel="0" collapsed="false">
      <c r="A37516" s="24" t="s">
        <v>352</v>
      </c>
      <c r="B37516" s="25"/>
      <c r="C37516" s="25"/>
      <c r="D37516" s="25"/>
      <c r="E37516" s="25"/>
      <c r="F37516" s="25"/>
      <c r="G37516" s="25"/>
      <c r="H37516" s="25"/>
      <c r="I37516" s="25"/>
      <c r="J37516" s="25"/>
      <c r="K37516" s="25"/>
    </row>
    <row r="37517" customFormat="false" ht="15" hidden="false" customHeight="false" outlineLevel="0" collapsed="false">
      <c r="A37517" s="3" t="s">
        <v>353</v>
      </c>
      <c r="C37517" s="16" t="n">
        <f aca="false">SUMPRODUCT($G$37385:$K$37385,$G$37384:$K$37384-$G$37390:$K$37390+$G$37389:$K$37389)</f>
        <v>380</v>
      </c>
    </row>
    <row r="37518" customFormat="false" ht="15" hidden="false" customHeight="false" outlineLevel="0" collapsed="false">
      <c r="A37518" s="3" t="s">
        <v>354</v>
      </c>
      <c r="C37518" s="16" t="n">
        <f aca="false">SUMPRODUCT($G$37385:$K$37385,$G$37392:$K$37392)</f>
        <v>0</v>
      </c>
    </row>
    <row r="37519" customFormat="false" ht="15" hidden="false" customHeight="false" outlineLevel="0" collapsed="false">
      <c r="A37519" s="3" t="s">
        <v>355</v>
      </c>
      <c r="C37519" s="3" t="str">
        <f aca="false">IF(SUM($G$37385:$K$37385)=0,"n/a (beyond horizon)",IF(SUMPRODUCT($G$37385:$K$37385,$G$37382:$K$37382)&gt;0,"REFINANCING PASS","REFINANCING FAILURE"))</f>
        <v>REFINANCING FAILURE</v>
      </c>
    </row>
    <row r="37520" customFormat="false" ht="15" hidden="false" customHeight="false" outlineLevel="0" collapsed="false">
      <c r="A37520" s="3" t="s">
        <v>356</v>
      </c>
      <c r="C37520" s="3" t="str">
        <f aca="false">IF(SUM($G$37385:$K$37385)=0,"n/a",IF(C37518&gt;=C37517-0.001,"Repaid from cash",IF(SUMPRODUCT($G$37385:$K$37385,$G$37382:$K$37382)&gt;0,IF(C37518&gt;0,"Partly repaid; remainder refinanced","Refinanced"),IF(SUM($G$37394:$K$37394)&gt;0.001,IF(C37518&gt;0,"Partial repayment; PAYMENT DEFAULT","PAYMENT DEFAULT"),"Repaid from cash"))))</f>
        <v>PAYMENT DEFAULT</v>
      </c>
    </row>
    <row r="37521" customFormat="false" ht="15" hidden="false" customHeight="false" outlineLevel="0" collapsed="false">
      <c r="A37521" s="3" t="s">
        <v>357</v>
      </c>
      <c r="C37521" s="16" t="n">
        <f aca="false">SUMPRODUCT($G$37398:$K$37398,$G$37397:$K$37397-$G$37403:$K$37403+$G$37402:$K$37402)</f>
        <v>0</v>
      </c>
    </row>
    <row r="37522" customFormat="false" ht="15" hidden="false" customHeight="false" outlineLevel="0" collapsed="false">
      <c r="A37522" s="3" t="s">
        <v>358</v>
      </c>
      <c r="C37522" s="16" t="n">
        <f aca="false">SUMPRODUCT($G$37398:$K$37398,$G$37405:$K$37405)</f>
        <v>0</v>
      </c>
    </row>
    <row r="37523" customFormat="false" ht="15" hidden="false" customHeight="false" outlineLevel="0" collapsed="false">
      <c r="A37523" s="3" t="s">
        <v>359</v>
      </c>
      <c r="C37523" s="3" t="str">
        <f aca="false">IF(SUM($G$37398:$K$37398)=0,"n/a (beyond horizon)",IF(SUMPRODUCT($G$37398:$K$37398,$G$37382:$K$37382)&gt;0,"REFINANCING PASS","REFINANCING FAILURE"))</f>
        <v>n/a (beyond horizon)</v>
      </c>
    </row>
    <row r="37524" customFormat="false" ht="15" hidden="false" customHeight="false" outlineLevel="0" collapsed="false">
      <c r="A37524" s="3" t="s">
        <v>360</v>
      </c>
      <c r="C37524" s="3" t="str">
        <f aca="false">IF(SUM($G$37398:$K$37398)=0,"n/a",IF(C37522&gt;=C37521-0.001,"Repaid from cash",IF(SUMPRODUCT($G$37398:$K$37398,$G$37382:$K$37382)&gt;0,IF(C37522&gt;0,"Partly repaid; remainder refinanced","Refinanced"),IF(SUM($G$37407:$K$37407)&gt;0.001,IF(C37522&gt;0,"Partial repayment; PAYMENT DEFAULT","PAYMENT DEFAULT"),"Repaid from cash"))))</f>
        <v>n/a</v>
      </c>
    </row>
    <row r="37525" customFormat="false" ht="15" hidden="false" customHeight="false" outlineLevel="0" collapsed="false">
      <c r="A37525" s="3" t="s">
        <v>361</v>
      </c>
      <c r="C37525" s="16" t="n">
        <f aca="false">SUMPRODUCT($G$37411:$K$37411,$G$37410:$K$37410-$G$37416:$K$37416+$G$37415:$K$37415)</f>
        <v>0</v>
      </c>
    </row>
    <row r="37526" customFormat="false" ht="15" hidden="false" customHeight="false" outlineLevel="0" collapsed="false">
      <c r="A37526" s="3" t="s">
        <v>362</v>
      </c>
      <c r="C37526" s="16" t="n">
        <f aca="false">SUMPRODUCT($G$37411:$K$37411,$G$37418:$K$37418)</f>
        <v>0</v>
      </c>
    </row>
    <row r="37527" customFormat="false" ht="15" hidden="false" customHeight="false" outlineLevel="0" collapsed="false">
      <c r="A37527" s="3" t="s">
        <v>363</v>
      </c>
      <c r="C37527" s="3" t="str">
        <f aca="false">IF(SUM($G$37411:$K$37411)=0,"n/a (beyond horizon)",IF(SUMPRODUCT($G$37411:$K$37411,$G$37382:$K$37382)&gt;0,"REFINANCING PASS","REFINANCING FAILURE"))</f>
        <v>n/a (beyond horizon)</v>
      </c>
    </row>
    <row r="37528" customFormat="false" ht="15" hidden="false" customHeight="false" outlineLevel="0" collapsed="false">
      <c r="A37528" s="3" t="s">
        <v>364</v>
      </c>
      <c r="C37528" s="3" t="str">
        <f aca="false">IF(SUM($G$37411:$K$37411)=0,"n/a",IF(C37526&gt;=C37525-0.001,"Repaid from cash",IF(SUMPRODUCT($G$37411:$K$37411,$G$37382:$K$37382)&gt;0,IF(C37526&gt;0,"Partly repaid; remainder refinanced","Refinanced"),IF(SUM($G$37420:$K$37420)&gt;0.001,IF(C37526&gt;0,"Partial repayment; PAYMENT DEFAULT","PAYMENT DEFAULT"),"Repaid from cash"))))</f>
        <v>n/a</v>
      </c>
    </row>
    <row r="37529" customFormat="false" ht="15" hidden="false" customHeight="false" outlineLevel="0" collapsed="false">
      <c r="A37529" s="3" t="s">
        <v>365</v>
      </c>
      <c r="C37529" s="16" t="n">
        <f aca="false">SUMPRODUCT($G$37424:$K$37424,$G$37423:$K$37423-$G$37429:$K$37429+$G$37428:$K$37428)</f>
        <v>0</v>
      </c>
    </row>
    <row r="37530" customFormat="false" ht="15" hidden="false" customHeight="false" outlineLevel="0" collapsed="false">
      <c r="A37530" s="3" t="s">
        <v>366</v>
      </c>
      <c r="C37530" s="16" t="n">
        <f aca="false">SUMPRODUCT($G$37424:$K$37424,$G$37431:$K$37431)</f>
        <v>0</v>
      </c>
    </row>
    <row r="37531" customFormat="false" ht="15" hidden="false" customHeight="false" outlineLevel="0" collapsed="false">
      <c r="A37531" s="3" t="s">
        <v>367</v>
      </c>
      <c r="C37531" s="3" t="str">
        <f aca="false">IF(SUM($G$37424:$K$37424)=0,"n/a (beyond horizon)",IF(SUMPRODUCT($G$37424:$K$37424,$G$37382:$K$37382)&gt;0,"REFINANCING PASS","REFINANCING FAILURE"))</f>
        <v>REFINANCING FAILURE</v>
      </c>
    </row>
    <row r="37532" customFormat="false" ht="15" hidden="false" customHeight="false" outlineLevel="0" collapsed="false">
      <c r="A37532" s="3" t="s">
        <v>368</v>
      </c>
      <c r="C37532" s="3" t="str">
        <f aca="false">IF(SUM($G$37424:$K$37424)=0,"n/a",IF(C37530&gt;=C37529-0.001,"Repaid from cash",IF(SUMPRODUCT($G$37424:$K$37424,$G$37382:$K$37382)&gt;0,IF(C37530&gt;0,"Partly repaid; remainder refinanced","Refinanced"),IF(SUM($G$37433:$K$37433)&gt;0.001,IF(C37530&gt;0,"Partial repayment; PAYMENT DEFAULT","PAYMENT DEFAULT"),"Repaid from cash"))))</f>
        <v>Repaid from cash</v>
      </c>
    </row>
    <row r="37533" customFormat="false" ht="15" hidden="false" customHeight="false" outlineLevel="0" collapsed="false">
      <c r="A37533" s="3" t="s">
        <v>369</v>
      </c>
      <c r="C37533" s="16" t="n">
        <f aca="false">SUMPRODUCT($G$37437:$K$37437,$G$37436:$K$37436-$G$37442:$K$37442+$G$37441:$K$37441)</f>
        <v>450</v>
      </c>
    </row>
    <row r="37534" customFormat="false" ht="15" hidden="false" customHeight="false" outlineLevel="0" collapsed="false">
      <c r="A37534" s="3" t="s">
        <v>370</v>
      </c>
      <c r="C37534" s="16" t="n">
        <f aca="false">SUMPRODUCT($G$37437:$K$37437,$G$37444:$K$37444)</f>
        <v>48.553642119</v>
      </c>
    </row>
    <row r="37535" customFormat="false" ht="15" hidden="false" customHeight="false" outlineLevel="0" collapsed="false">
      <c r="A37535" s="3" t="s">
        <v>371</v>
      </c>
      <c r="C37535" s="3" t="str">
        <f aca="false">IF(SUM($G$37437:$K$37437)=0,"n/a (beyond horizon)",IF(SUMPRODUCT($G$37437:$K$37437,$G$37382:$K$37382)&gt;0,"REFINANCING PASS","REFINANCING FAILURE"))</f>
        <v>REFINANCING FAILURE</v>
      </c>
    </row>
    <row r="37536" customFormat="false" ht="15" hidden="false" customHeight="false" outlineLevel="0" collapsed="false">
      <c r="A37536" s="3" t="s">
        <v>372</v>
      </c>
      <c r="C37536" s="3" t="str">
        <f aca="false">IF(SUM($G$37437:$K$37437)=0,"n/a",IF(C37534&gt;=C37533-0.001,"Repaid from cash",IF(SUMPRODUCT($G$37437:$K$37437,$G$37382:$K$37382)&gt;0,IF(C37534&gt;0,"Partly repaid; remainder refinanced","Refinanced"),IF(SUM($G$37446:$K$37446)&gt;0.001,IF(C37534&gt;0,"Partial repayment; PAYMENT DEFAULT","PAYMENT DEFAULT"),"Repaid from cash"))))</f>
        <v>Partial repayment; PAYMENT DEFAULT</v>
      </c>
    </row>
    <row r="37537" customFormat="false" ht="15" hidden="false" customHeight="false" outlineLevel="0" collapsed="false">
      <c r="A37537" s="3" t="s">
        <v>373</v>
      </c>
      <c r="C37537" s="16" t="n">
        <f aca="false">SUMPRODUCT($G$37450:$K$37450,$G$37449:$K$37449-$G$37455:$K$37455+$G$37454:$K$37454)</f>
        <v>350</v>
      </c>
    </row>
    <row r="37538" customFormat="false" ht="15" hidden="false" customHeight="false" outlineLevel="0" collapsed="false">
      <c r="A37538" s="3" t="s">
        <v>374</v>
      </c>
      <c r="C37538" s="16" t="n">
        <f aca="false">SUMPRODUCT($G$37450:$K$37450,$G$37457:$K$37457)</f>
        <v>0</v>
      </c>
    </row>
    <row r="37539" customFormat="false" ht="15" hidden="false" customHeight="false" outlineLevel="0" collapsed="false">
      <c r="A37539" s="3" t="s">
        <v>375</v>
      </c>
      <c r="C37539" s="3" t="str">
        <f aca="false">IF(SUM($G$37450:$K$37450)=0,"n/a (beyond horizon)",IF(SUMPRODUCT($G$37450:$K$37450,$G$37382:$K$37382)&gt;0,"REFINANCING PASS","REFINANCING FAILURE"))</f>
        <v>REFINANCING FAILURE</v>
      </c>
    </row>
    <row r="37540" customFormat="false" ht="15" hidden="false" customHeight="false" outlineLevel="0" collapsed="false">
      <c r="A37540" s="3" t="s">
        <v>376</v>
      </c>
      <c r="C37540" s="3" t="str">
        <f aca="false">IF(SUM($G$37450:$K$37450)=0,"n/a",IF(C37538&gt;=C37537-0.001,"Repaid from cash",IF(SUMPRODUCT($G$37450:$K$37450,$G$37382:$K$37382)&gt;0,IF(C37538&gt;0,"Partly repaid; remainder refinanced","Refinanced"),IF(SUM($G$37459:$K$37459)&gt;0.001,IF(C37538&gt;0,"Partial repayment; PAYMENT DEFAULT","PAYMENT DEFAULT"),"Repaid from cash"))))</f>
        <v>PAYMENT DEFAULT</v>
      </c>
    </row>
    <row r="37541" customFormat="false" ht="15" hidden="false" customHeight="false" outlineLevel="0" collapsed="false">
      <c r="A37541" s="3" t="s">
        <v>377</v>
      </c>
      <c r="C37541" s="16" t="n">
        <f aca="false">SUMPRODUCT($G$37463:$K$37463,$G$37462:$K$37462-$G$37468:$K$37468+$G$37467:$K$37467)</f>
        <v>550</v>
      </c>
    </row>
    <row r="37542" customFormat="false" ht="15" hidden="false" customHeight="false" outlineLevel="0" collapsed="false">
      <c r="A37542" s="3" t="s">
        <v>378</v>
      </c>
      <c r="C37542" s="16" t="n">
        <f aca="false">SUMPRODUCT($G$37463:$K$37463,$G$37470:$K$37470)</f>
        <v>0</v>
      </c>
    </row>
    <row r="37543" customFormat="false" ht="15" hidden="false" customHeight="false" outlineLevel="0" collapsed="false">
      <c r="A37543" s="3" t="s">
        <v>379</v>
      </c>
      <c r="C37543" s="3" t="str">
        <f aca="false">IF(SUM($G$37463:$K$37463)=0,"n/a (beyond horizon)",IF(SUMPRODUCT($G$37463:$K$37463,$G$37382:$K$37382)&gt;0,"REFINANCING PASS","REFINANCING FAILURE"))</f>
        <v>REFINANCING FAILURE</v>
      </c>
    </row>
    <row r="37544" customFormat="false" ht="15" hidden="false" customHeight="false" outlineLevel="0" collapsed="false">
      <c r="A37544" s="3" t="s">
        <v>380</v>
      </c>
      <c r="C37544" s="3" t="str">
        <f aca="false">IF(SUM($G$37463:$K$37463)=0,"n/a",IF(C37542&gt;=C37541-0.001,"Repaid from cash",IF(SUMPRODUCT($G$37463:$K$37463,$G$37382:$K$37382)&gt;0,IF(C37542&gt;0,"Partly repaid; remainder refinanced","Refinanced"),IF(SUM($G$37472:$K$37472)&gt;0.001,IF(C37542&gt;0,"Partial repayment; PAYMENT DEFAULT","PAYMENT DEFAULT"),"Repaid from cash"))))</f>
        <v>PAYMENT DEFAULT</v>
      </c>
    </row>
    <row r="37545" customFormat="false" ht="15" hidden="false" customHeight="false" outlineLevel="0" collapsed="false">
      <c r="A37545" s="3" t="s">
        <v>381</v>
      </c>
      <c r="C37545" s="16" t="n">
        <f aca="false">SUMPRODUCT($G$37476:$K$37476,$G$37475:$K$37475-$G$37481:$K$37481+$G$37480:$K$37480)</f>
        <v>350</v>
      </c>
    </row>
    <row r="37546" customFormat="false" ht="15" hidden="false" customHeight="false" outlineLevel="0" collapsed="false">
      <c r="A37546" s="3" t="s">
        <v>382</v>
      </c>
      <c r="C37546" s="16" t="n">
        <f aca="false">SUMPRODUCT($G$37476:$K$37476,$G$37483:$K$37483)</f>
        <v>0</v>
      </c>
    </row>
    <row r="37547" customFormat="false" ht="15" hidden="false" customHeight="false" outlineLevel="0" collapsed="false">
      <c r="A37547" s="3" t="s">
        <v>383</v>
      </c>
      <c r="C37547" s="3" t="str">
        <f aca="false">IF(SUM($G$37476:$K$37476)=0,"n/a (beyond horizon)",IF(SUMPRODUCT($G$37476:$K$37476,$G$37382:$K$37382)&gt;0,"REFINANCING PASS","REFINANCING FAILURE"))</f>
        <v>REFINANCING FAILURE</v>
      </c>
    </row>
    <row r="37548" customFormat="false" ht="15" hidden="false" customHeight="false" outlineLevel="0" collapsed="false">
      <c r="A37548" s="3" t="s">
        <v>384</v>
      </c>
      <c r="C37548" s="3" t="str">
        <f aca="false">IF(SUM($G$37476:$K$37476)=0,"n/a",IF(C37546&gt;=C37545-0.001,"Repaid from cash",IF(SUMPRODUCT($G$37476:$K$37476,$G$37382:$K$37382)&gt;0,IF(C37546&gt;0,"Partly repaid; remainder refinanced","Refinanced"),IF(SUM($G$37485:$K$37485)&gt;0.001,IF(C37546&gt;0,"Partial repayment; PAYMENT DEFAULT","PAYMENT DEFAULT"),"Repaid from cash"))))</f>
        <v>PAYMENT DEFAULT</v>
      </c>
    </row>
    <row r="37549" customFormat="false" ht="15" hidden="false" customHeight="false" outlineLevel="0" collapsed="false">
      <c r="A37549" s="3" t="s">
        <v>385</v>
      </c>
      <c r="C37549" s="16" t="n">
        <f aca="false">SUMPRODUCT($G$37489:$K$37489,$G$37488:$K$37488-$G$37494:$K$37494+$G$37493:$K$37493)</f>
        <v>300</v>
      </c>
    </row>
    <row r="37550" customFormat="false" ht="15" hidden="false" customHeight="false" outlineLevel="0" collapsed="false">
      <c r="A37550" s="3" t="s">
        <v>386</v>
      </c>
      <c r="C37550" s="16" t="n">
        <f aca="false">SUMPRODUCT($G$37489:$K$37489,$G$37496:$K$37496)</f>
        <v>0</v>
      </c>
    </row>
    <row r="37551" customFormat="false" ht="15" hidden="false" customHeight="false" outlineLevel="0" collapsed="false">
      <c r="A37551" s="3" t="s">
        <v>387</v>
      </c>
      <c r="C37551" s="3" t="str">
        <f aca="false">IF(SUM($G$37489:$K$37489)=0,"n/a (beyond horizon)",IF(SUMPRODUCT($G$37489:$K$37489,$G$37382:$K$37382)&gt;0,"REFINANCING PASS","REFINANCING FAILURE"))</f>
        <v>REFINANCING FAILURE</v>
      </c>
    </row>
    <row r="37552" customFormat="false" ht="15" hidden="false" customHeight="false" outlineLevel="0" collapsed="false">
      <c r="A37552" s="3" t="s">
        <v>388</v>
      </c>
      <c r="C37552" s="3" t="str">
        <f aca="false">IF(SUM($G$37489:$K$37489)=0,"n/a",IF(C37550&gt;=C37549-0.001,"Repaid from cash",IF(SUMPRODUCT($G$37489:$K$37489,$G$37382:$K$37382)&gt;0,IF(C37550&gt;0,"Partly repaid; remainder refinanced","Refinanced"),IF(SUM($G$37498:$K$37498)&gt;0.001,IF(C37550&gt;0,"Partial repayment; PAYMENT DEFAULT","PAYMENT DEFAULT"),"Repaid from cash"))))</f>
        <v>PAYMENT DEFAULT</v>
      </c>
    </row>
    <row r="37553" customFormat="false" ht="15" hidden="false" customHeight="false" outlineLevel="0" collapsed="false">
      <c r="A37553" s="3" t="s">
        <v>389</v>
      </c>
      <c r="C37553" s="16" t="n">
        <f aca="false">SUMPRODUCT($G$37502:$K$37502,$G$37501:$K$37501-$G$37507:$K$37507+$G$37506:$K$37506)</f>
        <v>0</v>
      </c>
    </row>
    <row r="37554" customFormat="false" ht="15" hidden="false" customHeight="false" outlineLevel="0" collapsed="false">
      <c r="A37554" s="3" t="s">
        <v>390</v>
      </c>
      <c r="C37554" s="16" t="n">
        <f aca="false">SUMPRODUCT($G$37502:$K$37502,$G$37509:$K$37509)</f>
        <v>0</v>
      </c>
    </row>
    <row r="37555" customFormat="false" ht="15" hidden="false" customHeight="false" outlineLevel="0" collapsed="false">
      <c r="A37555" s="3" t="s">
        <v>391</v>
      </c>
      <c r="C37555" s="3" t="str">
        <f aca="false">IF(SUM($G$37502:$K$37502)=0,"n/a (beyond horizon)",IF(SUMPRODUCT($G$37502:$K$37502,$G$37382:$K$37382)&gt;0,"REFINANCING PASS","REFINANCING FAILURE"))</f>
        <v>n/a (beyond horizon)</v>
      </c>
    </row>
    <row r="37556" customFormat="false" ht="15" hidden="false" customHeight="false" outlineLevel="0" collapsed="false">
      <c r="A37556" s="3" t="s">
        <v>392</v>
      </c>
      <c r="C37556" s="3" t="str">
        <f aca="false">IF(SUM($G$37502:$K$37502)=0,"n/a",IF(C37554&gt;=C37553-0.001,"Repaid from cash",IF(SUMPRODUCT($G$37502:$K$37502,$G$37382:$K$37382)&gt;0,IF(C37554&gt;0,"Partly repaid; remainder refinanced","Refinanced"),IF(SUM($G$37511:$K$37511)&gt;0.001,IF(C37554&gt;0,"Partial repayment; PAYMENT DEFAULT","PAYMENT DEFAULT"),"Repaid from cash"))))</f>
        <v>n/a</v>
      </c>
    </row>
    <row r="37557" customFormat="false" ht="15" hidden="false" customHeight="false" outlineLevel="0" collapsed="false">
      <c r="A37557" s="3" t="s">
        <v>393</v>
      </c>
      <c r="C37557" s="21" t="n">
        <f aca="false">IF(C37519="REFINANCING FAILURE",1,0)+IF(C37523="REFINANCING FAILURE",1,0)+IF(C37527="REFINANCING FAILURE",1,0)+IF(C37531="REFINANCING FAILURE",1,0)+IF(C37535="REFINANCING FAILURE",1,0)+IF(C37539="REFINANCING FAILURE",1,0)+IF(C37543="REFINANCING FAILURE",1,0)+IF(C37547="REFINANCING FAILURE",1,0)+IF(C37551="REFINANCING FAILURE",1,0)+IF(C37555="REFINANCING FAILURE",1,0)</f>
        <v>7</v>
      </c>
    </row>
    <row r="37559" customFormat="false" ht="15" hidden="false" customHeight="false" outlineLevel="0" collapsed="false">
      <c r="A37559" s="24" t="s">
        <v>395</v>
      </c>
      <c r="B37559" s="25"/>
      <c r="C37559" s="25"/>
      <c r="D37559" s="25"/>
      <c r="E37559" s="25"/>
      <c r="F37559" s="25"/>
      <c r="G37559" s="25"/>
      <c r="H37559" s="25"/>
      <c r="I37559" s="25"/>
      <c r="J37559" s="25"/>
      <c r="K37559" s="25"/>
    </row>
    <row r="37560" customFormat="false" ht="15" hidden="false" customHeight="false" outlineLevel="0" collapsed="false">
      <c r="A37560" s="3" t="s">
        <v>325</v>
      </c>
      <c r="G37560" s="16" t="n">
        <f aca="false">F37572</f>
        <v>37.87</v>
      </c>
      <c r="H37560" s="16" t="n">
        <f aca="false">G37572</f>
        <v>122.9474204</v>
      </c>
      <c r="I37560" s="16" t="n">
        <f aca="false">H37572</f>
        <v>0</v>
      </c>
      <c r="J37560" s="16" t="n">
        <f aca="false">I37572</f>
        <v>-70.8793844172995</v>
      </c>
      <c r="K37560" s="16" t="n">
        <f aca="false">J37572</f>
        <v>-137.895771657719</v>
      </c>
    </row>
    <row r="37561" customFormat="false" ht="15" hidden="false" customHeight="false" outlineLevel="0" collapsed="false">
      <c r="A37561" s="3" t="s">
        <v>396</v>
      </c>
      <c r="G37561" s="16" t="n">
        <f aca="false">G37371</f>
        <v>-60.9225796</v>
      </c>
      <c r="H37561" s="16" t="n">
        <f aca="false">H37371</f>
        <v>-70.393778281</v>
      </c>
      <c r="I37561" s="16" t="n">
        <f aca="false">I37371</f>
        <v>-66.8793844172995</v>
      </c>
      <c r="J37561" s="16" t="n">
        <f aca="false">J37371</f>
        <v>-63.0163872404195</v>
      </c>
      <c r="K37561" s="16" t="n">
        <f aca="false">K37371</f>
        <v>-59.0959158342138</v>
      </c>
    </row>
    <row r="37562" customFormat="false" ht="15" hidden="false" customHeight="false" outlineLevel="0" collapsed="false">
      <c r="A37562" s="3" t="s">
        <v>397</v>
      </c>
      <c r="G37562" s="16" t="n">
        <f aca="false">CHOOSE($C$37341,Assumptions!$G$82,Assumptions!$G$101,Assumptions!$G$120)</f>
        <v>150</v>
      </c>
      <c r="H37562" s="16" t="n">
        <f aca="false">CHOOSE($C$37341,Assumptions!$H$82,Assumptions!$H$101,Assumptions!$H$120)</f>
        <v>0</v>
      </c>
      <c r="I37562" s="16" t="n">
        <f aca="false">CHOOSE($C$37341,Assumptions!$I$82,Assumptions!$I$101,Assumptions!$I$120)</f>
        <v>0</v>
      </c>
      <c r="J37562" s="16" t="n">
        <f aca="false">CHOOSE($C$37341,Assumptions!$J$82,Assumptions!$J$101,Assumptions!$J$120)</f>
        <v>0</v>
      </c>
      <c r="K37562" s="16" t="n">
        <f aca="false">CHOOSE($C$37341,Assumptions!$K$82,Assumptions!$K$101,Assumptions!$K$120)</f>
        <v>0</v>
      </c>
    </row>
    <row r="37563" customFormat="false" ht="15" hidden="false" customHeight="false" outlineLevel="0" collapsed="false">
      <c r="A37563" s="3" t="s">
        <v>398</v>
      </c>
      <c r="G37563" s="16" t="n">
        <f aca="false">G37390+G37403+G37416+G37429+G37442+G37455+G37468+G37481+G37494+G37507</f>
        <v>4</v>
      </c>
      <c r="H37563" s="16" t="n">
        <f aca="false">H37390+H37403+H37416+H37429+H37442+H37455+H37468+H37481+H37494+H37507</f>
        <v>4</v>
      </c>
      <c r="I37563" s="16" t="n">
        <f aca="false">I37390+I37403+I37416+I37429+I37442+I37455+I37468+I37481+I37494+I37507</f>
        <v>4</v>
      </c>
      <c r="J37563" s="16" t="n">
        <f aca="false">J37390+J37403+J37416+J37429+J37442+J37455+J37468+J37481+J37494+J37507</f>
        <v>4</v>
      </c>
      <c r="K37563" s="16" t="n">
        <f aca="false">K37390+K37403+K37416+K37429+K37442+K37455+K37468+K37481+K37494+K37507</f>
        <v>4</v>
      </c>
    </row>
    <row r="37564" customFormat="false" ht="15" hidden="false" customHeight="false" outlineLevel="0" collapsed="false">
      <c r="A37564" s="2" t="s">
        <v>399</v>
      </c>
      <c r="G37564" s="17" t="n">
        <f aca="false">G37560+G37561+G37562-G37563</f>
        <v>122.9474204</v>
      </c>
      <c r="H37564" s="17" t="n">
        <f aca="false">H37560+H37561+H37562-H37563</f>
        <v>48.553642119</v>
      </c>
      <c r="I37564" s="17" t="n">
        <f aca="false">I37560+I37561+I37562-I37563</f>
        <v>-70.8793844172995</v>
      </c>
      <c r="J37564" s="17" t="n">
        <f aca="false">J37560+J37561+J37562-J37563</f>
        <v>-137.895771657719</v>
      </c>
      <c r="K37564" s="17" t="n">
        <f aca="false">K37560+K37561+K37562-K37563</f>
        <v>-200.991687491933</v>
      </c>
    </row>
    <row r="37565" customFormat="false" ht="15" hidden="false" customHeight="false" outlineLevel="0" collapsed="false">
      <c r="A37565" s="3" t="s">
        <v>400</v>
      </c>
      <c r="G37565" s="16" t="n">
        <f aca="false">G37391+G37404+G37417+G37430+G37443+G37456+G37469+G37482+G37495+G37508</f>
        <v>0</v>
      </c>
      <c r="H37565" s="16" t="n">
        <f aca="false">H37391+H37404+H37417+H37430+H37443+H37456+H37469+H37482+H37495+H37508</f>
        <v>0</v>
      </c>
      <c r="I37565" s="16" t="n">
        <f aca="false">I37391+I37404+I37417+I37430+I37443+I37456+I37469+I37482+I37495+I37508</f>
        <v>0</v>
      </c>
      <c r="J37565" s="16" t="n">
        <f aca="false">J37391+J37404+J37417+J37430+J37443+J37456+J37469+J37482+J37495+J37508</f>
        <v>0</v>
      </c>
      <c r="K37565" s="16" t="n">
        <f aca="false">K37391+K37404+K37417+K37430+K37443+K37456+K37469+K37482+K37495+K37508</f>
        <v>0</v>
      </c>
    </row>
    <row r="37566" customFormat="false" ht="15" hidden="false" customHeight="false" outlineLevel="0" collapsed="false">
      <c r="A37566" s="2" t="s">
        <v>401</v>
      </c>
      <c r="G37566" s="17" t="n">
        <f aca="false">G37564+G37565</f>
        <v>122.9474204</v>
      </c>
      <c r="H37566" s="17" t="n">
        <f aca="false">H37564+H37565</f>
        <v>48.553642119</v>
      </c>
      <c r="I37566" s="17" t="n">
        <f aca="false">I37564+I37565</f>
        <v>-70.8793844172995</v>
      </c>
      <c r="J37566" s="17" t="n">
        <f aca="false">J37564+J37565</f>
        <v>-137.895771657719</v>
      </c>
      <c r="K37566" s="17" t="n">
        <f aca="false">K37564+K37565</f>
        <v>-200.991687491933</v>
      </c>
    </row>
    <row r="37567" customFormat="false" ht="15" hidden="false" customHeight="false" outlineLevel="0" collapsed="false">
      <c r="A37567" s="3" t="s">
        <v>402</v>
      </c>
      <c r="G37567" s="16" t="n">
        <f aca="false">G37392+G37405+G37418+G37431+G37444+G37457+G37470+G37483+G37496+G37509</f>
        <v>0</v>
      </c>
      <c r="H37567" s="16" t="n">
        <f aca="false">H37392+H37405+H37418+H37431+H37444+H37457+H37470+H37483+H37496+H37509</f>
        <v>48.553642119</v>
      </c>
      <c r="I37567" s="16" t="n">
        <f aca="false">I37392+I37405+I37418+I37431+I37444+I37457+I37470+I37483+I37496+I37509</f>
        <v>0</v>
      </c>
      <c r="J37567" s="16" t="n">
        <f aca="false">J37392+J37405+J37418+J37431+J37444+J37457+J37470+J37483+J37496+J37509</f>
        <v>0</v>
      </c>
      <c r="K37567" s="16" t="n">
        <f aca="false">K37392+K37405+K37418+K37431+K37444+K37457+K37470+K37483+K37496+K37509</f>
        <v>0</v>
      </c>
    </row>
    <row r="37568" customFormat="false" ht="15" hidden="false" customHeight="false" outlineLevel="0" collapsed="false">
      <c r="A37568" s="2" t="s">
        <v>403</v>
      </c>
      <c r="G37568" s="17" t="n">
        <f aca="false">G37566-G37567</f>
        <v>122.9474204</v>
      </c>
      <c r="H37568" s="17" t="n">
        <f aca="false">H37566-H37567</f>
        <v>0</v>
      </c>
      <c r="I37568" s="17" t="n">
        <f aca="false">I37566-I37567</f>
        <v>-70.8793844172995</v>
      </c>
      <c r="J37568" s="17" t="n">
        <f aca="false">J37566-J37567</f>
        <v>-137.895771657719</v>
      </c>
      <c r="K37568" s="17" t="n">
        <f aca="false">K37566-K37567</f>
        <v>-200.991687491933</v>
      </c>
    </row>
    <row r="37569" customFormat="false" ht="15" hidden="false" customHeight="false" outlineLevel="0" collapsed="false">
      <c r="A37569" s="3" t="s">
        <v>404</v>
      </c>
      <c r="G37569" s="16" t="n">
        <f aca="false">MAX(0,-G37568)</f>
        <v>0</v>
      </c>
      <c r="H37569" s="16" t="n">
        <f aca="false">MAX(0,-H37568)</f>
        <v>-0</v>
      </c>
      <c r="I37569" s="16" t="n">
        <f aca="false">MAX(0,-I37568)</f>
        <v>70.8793844172995</v>
      </c>
      <c r="J37569" s="16" t="n">
        <f aca="false">MAX(0,-J37568)</f>
        <v>137.895771657719</v>
      </c>
      <c r="K37569" s="16" t="n">
        <f aca="false">MAX(0,-K37568)</f>
        <v>200.991687491933</v>
      </c>
    </row>
    <row r="37570" customFormat="false" ht="15" hidden="false" customHeight="false" outlineLevel="0" collapsed="false">
      <c r="A37570" s="3" t="s">
        <v>405</v>
      </c>
      <c r="G37570" s="16" t="n">
        <f aca="false">MAX(0,G37568-Assumptions!$C$12)*Assumptions!$C$13</f>
        <v>0</v>
      </c>
      <c r="H37570" s="16" t="n">
        <f aca="false">MAX(0,H37568-Assumptions!$C$12)*Assumptions!$C$13</f>
        <v>0</v>
      </c>
      <c r="I37570" s="16" t="n">
        <f aca="false">MAX(0,I37568-Assumptions!$C$12)*Assumptions!$C$13</f>
        <v>0</v>
      </c>
      <c r="J37570" s="16" t="n">
        <f aca="false">MAX(0,J37568-Assumptions!$C$12)*Assumptions!$C$13</f>
        <v>0</v>
      </c>
      <c r="K37570" s="16" t="n">
        <f aca="false">MAX(0,K37568-Assumptions!$C$12)*Assumptions!$C$13</f>
        <v>0</v>
      </c>
    </row>
    <row r="37571" customFormat="false" ht="15" hidden="false" customHeight="false" outlineLevel="0" collapsed="false">
      <c r="A37571" s="3" t="s">
        <v>406</v>
      </c>
      <c r="G37571" s="16" t="n">
        <f aca="false">G37393+G37406+G37419+G37432+G37445+G37458+G37471+G37484+G37497+G37510</f>
        <v>0</v>
      </c>
      <c r="H37571" s="16" t="n">
        <f aca="false">H37393+H37406+H37419+H37432+H37445+H37458+H37471+H37484+H37497+H37510</f>
        <v>0</v>
      </c>
      <c r="I37571" s="16" t="n">
        <f aca="false">I37393+I37406+I37419+I37432+I37445+I37458+I37471+I37484+I37497+I37510</f>
        <v>0</v>
      </c>
      <c r="J37571" s="16" t="n">
        <f aca="false">J37393+J37406+J37419+J37432+J37445+J37458+J37471+J37484+J37497+J37510</f>
        <v>0</v>
      </c>
      <c r="K37571" s="16" t="n">
        <f aca="false">K37393+K37406+K37419+K37432+K37445+K37458+K37471+K37484+K37497+K37510</f>
        <v>0</v>
      </c>
    </row>
    <row r="37572" customFormat="false" ht="15" hidden="false" customHeight="false" outlineLevel="0" collapsed="false">
      <c r="A37572" s="2" t="s">
        <v>407</v>
      </c>
      <c r="F37572" s="28" t="n">
        <f aca="false">Assumptions!$C$11</f>
        <v>37.87</v>
      </c>
      <c r="G37572" s="17" t="n">
        <f aca="false">G37568-G37571</f>
        <v>122.9474204</v>
      </c>
      <c r="H37572" s="17" t="n">
        <f aca="false">H37568-H37571</f>
        <v>0</v>
      </c>
      <c r="I37572" s="17" t="n">
        <f aca="false">I37568-I37571</f>
        <v>-70.8793844172995</v>
      </c>
      <c r="J37572" s="17" t="n">
        <f aca="false">J37568-J37571</f>
        <v>-137.895771657719</v>
      </c>
      <c r="K37572" s="17" t="n">
        <f aca="false">K37568-K37571</f>
        <v>-200.991687491933</v>
      </c>
    </row>
    <row r="37573" customFormat="false" ht="15" hidden="false" customHeight="false" outlineLevel="0" collapsed="false">
      <c r="A37573" s="3" t="s">
        <v>408</v>
      </c>
      <c r="G37573" s="16" t="n">
        <f aca="false">G37394+G37407+G37420+G37433+G37446+G37459+G37472+G37485+G37498+G37511</f>
        <v>0</v>
      </c>
      <c r="H37573" s="16" t="n">
        <f aca="false">H37394+H37407+H37420+H37433+H37446+H37459+H37472+H37485+H37498+H37511</f>
        <v>751.446357881</v>
      </c>
      <c r="I37573" s="16" t="n">
        <f aca="false">I37394+I37407+I37420+I37433+I37446+I37459+I37472+I37485+I37498+I37511</f>
        <v>550</v>
      </c>
      <c r="J37573" s="16" t="n">
        <f aca="false">J37394+J37407+J37420+J37433+J37446+J37459+J37472+J37485+J37498+J37511</f>
        <v>350</v>
      </c>
      <c r="K37573" s="16" t="n">
        <f aca="false">K37394+K37407+K37420+K37433+K37446+K37459+K37472+K37485+K37498+K37511</f>
        <v>680</v>
      </c>
    </row>
    <row r="37574" customFormat="false" ht="15" hidden="false" customHeight="false" outlineLevel="0" collapsed="false">
      <c r="A37574" s="3" t="s">
        <v>409</v>
      </c>
      <c r="G37574" s="21" t="n">
        <f aca="false">IF(OR(G37569&gt;0.001,G37573&gt;0.001),1,0)</f>
        <v>0</v>
      </c>
      <c r="H37574" s="21" t="n">
        <f aca="false">IF(OR(H37569&gt;0.001,H37573&gt;0.001),1,0)</f>
        <v>1</v>
      </c>
      <c r="I37574" s="21" t="n">
        <f aca="false">IF(OR(I37569&gt;0.001,I37573&gt;0.001),1,0)</f>
        <v>1</v>
      </c>
      <c r="J37574" s="21" t="n">
        <f aca="false">IF(OR(J37569&gt;0.001,J37573&gt;0.001),1,0)</f>
        <v>1</v>
      </c>
      <c r="K37574" s="21" t="n">
        <f aca="false">IF(OR(K37569&gt;0.001,K37573&gt;0.001),1,0)</f>
        <v>1</v>
      </c>
    </row>
    <row r="37575" customFormat="false" ht="15" hidden="false" customHeight="false" outlineLevel="0" collapsed="false">
      <c r="A37575" s="3" t="s">
        <v>410</v>
      </c>
      <c r="G37575" s="21" t="n">
        <f aca="false">IF(G37574=1,1,0)</f>
        <v>0</v>
      </c>
      <c r="H37575" s="21" t="n">
        <f aca="false">IF(AND(H37574=1,SUM($G$37574:G37574)=0),1,0)</f>
        <v>1</v>
      </c>
      <c r="I37575" s="21" t="n">
        <f aca="false">IF(AND(I37574=1,SUM($G$37574:H37574)=0),1,0)</f>
        <v>0</v>
      </c>
      <c r="J37575" s="21" t="n">
        <f aca="false">IF(AND(J37574=1,SUM($G$37574:I37574)=0),1,0)</f>
        <v>0</v>
      </c>
      <c r="K37575" s="21" t="n">
        <f aca="false">IF(AND(K37574=1,SUM($G$37574:J37574)=0),1,0)</f>
        <v>0</v>
      </c>
    </row>
    <row r="37576" customFormat="false" ht="15" hidden="false" customHeight="false" outlineLevel="0" collapsed="false">
      <c r="A37576" s="3" t="s">
        <v>411</v>
      </c>
      <c r="G37576" s="16" t="n">
        <f aca="false">(G37514-F37514)-(G37565+G37363-G37563-G37567-G37571)</f>
        <v>0</v>
      </c>
      <c r="H37576" s="16" t="n">
        <f aca="false">(H37514-G37514)-(H37565+H37363-H37563-H37567-H37571)</f>
        <v>-3.83693077310454E-013</v>
      </c>
      <c r="I37576" s="16" t="n">
        <f aca="false">(I37514-H37514)-(I37565+I37363-I37563-I37567-I37571)</f>
        <v>0</v>
      </c>
      <c r="J37576" s="16" t="n">
        <f aca="false">(J37514-I37514)-(J37565+J37363-J37563-J37567-J37571)</f>
        <v>0</v>
      </c>
      <c r="K37576" s="16" t="n">
        <f aca="false">(K37514-J37514)-(K37565+K37363-K37563-K37567-K37571)</f>
        <v>0</v>
      </c>
    </row>
    <row r="37578" customFormat="false" ht="15" hidden="false" customHeight="false" outlineLevel="0" collapsed="false">
      <c r="A37578" s="24" t="s">
        <v>413</v>
      </c>
      <c r="B37578" s="25"/>
      <c r="C37578" s="25"/>
      <c r="D37578" s="25"/>
      <c r="E37578" s="25"/>
      <c r="F37578" s="25"/>
      <c r="G37578" s="25"/>
      <c r="H37578" s="25"/>
      <c r="I37578" s="25"/>
      <c r="J37578" s="25"/>
      <c r="K37578" s="25"/>
    </row>
    <row r="37579" customFormat="false" ht="15" hidden="false" customHeight="false" outlineLevel="0" collapsed="false">
      <c r="A37579" s="3" t="s">
        <v>414</v>
      </c>
      <c r="G37579" s="16" t="n">
        <f aca="false">G37514</f>
        <v>2621.934</v>
      </c>
      <c r="H37579" s="16" t="n">
        <f aca="false">H37514</f>
        <v>2569.380357881</v>
      </c>
      <c r="I37579" s="16" t="n">
        <f aca="false">I37514</f>
        <v>2565.380357881</v>
      </c>
      <c r="J37579" s="16" t="n">
        <f aca="false">J37514</f>
        <v>2561.380357881</v>
      </c>
      <c r="K37579" s="16" t="n">
        <f aca="false">K37514</f>
        <v>2557.380357881</v>
      </c>
    </row>
    <row r="37580" customFormat="false" ht="15" hidden="false" customHeight="false" outlineLevel="0" collapsed="false">
      <c r="A37580" s="3" t="s">
        <v>415</v>
      </c>
      <c r="G37580" s="16" t="n">
        <f aca="false">Assumptions!$O$57*G37395+Assumptions!$O$58*G37408+Assumptions!$O$59*G37421+Assumptions!$O$60*G37434+Assumptions!$O$61*G37447+Assumptions!$O$62*G37460+Assumptions!$O$63*G37473+Assumptions!$O$64*G37486+Assumptions!$O$65*G37499+Assumptions!$O$66*G37512</f>
        <v>543.324</v>
      </c>
      <c r="H37580" s="16" t="n">
        <f aca="false">Assumptions!$O$57*H37395+Assumptions!$O$58*H37408+Assumptions!$O$59*H37421+Assumptions!$O$60*H37434+Assumptions!$O$61*H37447+Assumptions!$O$62*H37460+Assumptions!$O$63*H37473+Assumptions!$O$64*H37486+Assumptions!$O$65*H37499+Assumptions!$O$66*H37512</f>
        <v>539.324</v>
      </c>
      <c r="I37580" s="16" t="n">
        <f aca="false">Assumptions!$O$57*I37395+Assumptions!$O$58*I37408+Assumptions!$O$59*I37421+Assumptions!$O$60*I37434+Assumptions!$O$61*I37447+Assumptions!$O$62*I37460+Assumptions!$O$63*I37473+Assumptions!$O$64*I37486+Assumptions!$O$65*I37499+Assumptions!$O$66*I37512</f>
        <v>535.324</v>
      </c>
      <c r="J37580" s="16" t="n">
        <f aca="false">Assumptions!$O$57*J37395+Assumptions!$O$58*J37408+Assumptions!$O$59*J37421+Assumptions!$O$60*J37434+Assumptions!$O$61*J37447+Assumptions!$O$62*J37460+Assumptions!$O$63*J37473+Assumptions!$O$64*J37486+Assumptions!$O$65*J37499+Assumptions!$O$66*J37512</f>
        <v>531.324</v>
      </c>
      <c r="K37580" s="16" t="n">
        <f aca="false">Assumptions!$O$57*K37395+Assumptions!$O$58*K37408+Assumptions!$O$59*K37421+Assumptions!$O$60*K37434+Assumptions!$O$61*K37447+Assumptions!$O$62*K37460+Assumptions!$O$63*K37473+Assumptions!$O$64*K37486+Assumptions!$O$65*K37499+Assumptions!$O$66*K37512</f>
        <v>527.324</v>
      </c>
    </row>
    <row r="37581" customFormat="false" ht="15" hidden="false" customHeight="false" outlineLevel="0" collapsed="false">
      <c r="A37581" s="3" t="s">
        <v>416</v>
      </c>
      <c r="G37581" s="16" t="n">
        <f aca="false">G37579-G37572</f>
        <v>2498.9865796</v>
      </c>
      <c r="H37581" s="16" t="n">
        <f aca="false">H37579-H37572</f>
        <v>2569.380357881</v>
      </c>
      <c r="I37581" s="16" t="n">
        <f aca="false">I37579-I37572</f>
        <v>2636.2597422983</v>
      </c>
      <c r="J37581" s="16" t="n">
        <f aca="false">J37579-J37572</f>
        <v>2699.27612953872</v>
      </c>
      <c r="K37581" s="16" t="n">
        <f aca="false">K37579-K37572</f>
        <v>2758.37204537293</v>
      </c>
    </row>
    <row r="37582" customFormat="false" ht="15" hidden="false" customHeight="false" outlineLevel="0" collapsed="false">
      <c r="A37582" s="3" t="s">
        <v>417</v>
      </c>
      <c r="G37582" s="32" t="n">
        <f aca="false">IF(G37358&gt;0,G37579/G37358,0)</f>
        <v>11.1954319438308</v>
      </c>
      <c r="H37582" s="32" t="n">
        <f aca="false">IF(H37358&gt;0,H37579/H37358,0)</f>
        <v>11.6601471215067</v>
      </c>
      <c r="I37582" s="32" t="n">
        <f aca="false">IF(I37358&gt;0,I37579/I37358,0)</f>
        <v>11.6419946559354</v>
      </c>
      <c r="J37582" s="32" t="n">
        <f aca="false">IF(J37358&gt;0,J37579/J37358,0)</f>
        <v>11.3913183720481</v>
      </c>
      <c r="K37582" s="32" t="n">
        <f aca="false">IF(K37358&gt;0,K37579/K37358,0)</f>
        <v>11.14717316588</v>
      </c>
    </row>
    <row r="37583" customFormat="false" ht="15" hidden="false" customHeight="false" outlineLevel="0" collapsed="false">
      <c r="A37583" s="3" t="s">
        <v>418</v>
      </c>
      <c r="G37583" s="32" t="n">
        <f aca="false">IF(G37358&gt;0,G37581/G37358,0)</f>
        <v>10.6704570673626</v>
      </c>
      <c r="H37583" s="32" t="n">
        <f aca="false">IF(H37358&gt;0,H37581/H37358,0)</f>
        <v>11.6601471215067</v>
      </c>
      <c r="I37583" s="32" t="n">
        <f aca="false">IF(I37358&gt;0,I37581/I37358,0)</f>
        <v>11.9636535522731</v>
      </c>
      <c r="J37583" s="32" t="n">
        <f aca="false">IF(J37358&gt;0,J37581/J37358,0)</f>
        <v>12.0045871637288</v>
      </c>
      <c r="K37583" s="32" t="n">
        <f aca="false">IF(K37358&gt;0,K37581/K37358,0)</f>
        <v>12.0232607366907</v>
      </c>
    </row>
    <row r="37584" customFormat="false" ht="15" hidden="false" customHeight="false" outlineLevel="0" collapsed="false">
      <c r="A37584" s="3" t="s">
        <v>419</v>
      </c>
      <c r="G37584" s="32" t="n">
        <f aca="false">IF(G37362&gt;0,G37358/G37362,0)</f>
        <v>1.24979041307388</v>
      </c>
      <c r="H37584" s="32" t="n">
        <f aca="false">IF(H37362&gt;0,H37358/H37362,0)</f>
        <v>1.18311222526984</v>
      </c>
      <c r="I37584" s="32" t="n">
        <f aca="false">IF(I37362&gt;0,I37358/I37362,0)</f>
        <v>1.20586587186349</v>
      </c>
      <c r="J37584" s="32" t="n">
        <f aca="false">IF(J37362&gt;0,J37358/J37362,0)</f>
        <v>1.23324745076441</v>
      </c>
      <c r="K37584" s="32" t="n">
        <f aca="false">IF(K37362&gt;0,K37358/K37362,0)</f>
        <v>1.26112583435714</v>
      </c>
    </row>
    <row r="37585" customFormat="false" ht="15" hidden="false" customHeight="false" outlineLevel="0" collapsed="false">
      <c r="A37585" s="3" t="s">
        <v>420</v>
      </c>
      <c r="G37585" s="32" t="n">
        <f aca="false">IF(G37362&gt;0,G37361/G37362,0)</f>
        <v>0.320303767681135</v>
      </c>
      <c r="H37585" s="32" t="n">
        <f aca="false">IF(H37362&gt;0,H37361/H37362,0)</f>
        <v>0.27600176891797</v>
      </c>
      <c r="I37585" s="32" t="n">
        <f aca="false">IF(I37362&gt;0,I37361/I37362,0)</f>
        <v>0.281309842467585</v>
      </c>
      <c r="J37585" s="32" t="n">
        <f aca="false">IF(J37362&gt;0,J37361/J37362,0)</f>
        <v>0.297346009456427</v>
      </c>
      <c r="K37585" s="32" t="n">
        <f aca="false">IF(K37362&gt;0,K37361/K37362,0)</f>
        <v>0.313734968638568</v>
      </c>
    </row>
    <row r="37586" customFormat="false" ht="15" hidden="false" customHeight="false" outlineLevel="0" collapsed="false">
      <c r="A37586" s="3" t="s">
        <v>213</v>
      </c>
      <c r="G37586" s="22" t="n">
        <f aca="false">IF(G37579&gt;0,G37371/G37579,0)</f>
        <v>-0.0232357410979834</v>
      </c>
      <c r="H37586" s="22" t="n">
        <f aca="false">IF(H37579&gt;0,H37371/H37579,0)</f>
        <v>-0.0273971808280867</v>
      </c>
      <c r="I37586" s="22" t="n">
        <f aca="false">IF(I37579&gt;0,I37371/I37579,0)</f>
        <v>-0.0260699682258976</v>
      </c>
      <c r="J37586" s="22" t="n">
        <f aca="false">IF(J37579&gt;0,J37371/J37579,0)</f>
        <v>-0.0246025105355896</v>
      </c>
      <c r="K37586" s="22" t="n">
        <f aca="false">IF(K37579&gt;0,K37371/K37579,0)</f>
        <v>-0.0231079884742603</v>
      </c>
    </row>
    <row r="37587" customFormat="false" ht="15" hidden="false" customHeight="false" outlineLevel="0" collapsed="false">
      <c r="A37587" s="3" t="s">
        <v>421</v>
      </c>
      <c r="G37587" s="32" t="n">
        <f aca="false">IF(G37362+G37563&gt;0,(G37358-G37369-G37366)/(G37362+G37563),0)</f>
        <v>0.783148779220797</v>
      </c>
      <c r="H37587" s="32" t="n">
        <f aca="false">IF(H37362+H37563&gt;0,(H37358-H37369-H37366)/(H37362+H37563),0)</f>
        <v>0.728376128313333</v>
      </c>
      <c r="I37587" s="32" t="n">
        <f aca="false">IF(I37362+I37563&gt;0,(I37358-I37369-I37366)/(I37362+I37563),0)</f>
        <v>0.742084215548814</v>
      </c>
      <c r="J37587" s="32" t="n">
        <f aca="false">IF(J37362+J37563&gt;0,(J37358-J37369-J37366)/(J37362+J37563),0)</f>
        <v>0.763468302110309</v>
      </c>
      <c r="K37587" s="32" t="n">
        <f aca="false">IF(K37362+K37563&gt;0,(K37358-K37369-K37366)/(K37362+K37563),0)</f>
        <v>0.785268063869781</v>
      </c>
    </row>
    <row r="37588" customFormat="false" ht="15" hidden="false" customHeight="false" outlineLevel="0" collapsed="false">
      <c r="A37588" s="3" t="s">
        <v>422</v>
      </c>
      <c r="G37588" s="16" t="n">
        <f aca="false">MAX(0,G37572)+Assumptions!$P$57*MAX(0,Assumptions!$D$57-G37395)+Assumptions!$P$58*MAX(0,Assumptions!$D$58-G37408)+Assumptions!$P$59*MAX(0,Assumptions!$D$59-G37421)+Assumptions!$P$60*MAX(0,Assumptions!$D$60-G37434)+Assumptions!$P$61*MAX(0,Assumptions!$D$61-G37447)+Assumptions!$P$62*MAX(0,Assumptions!$D$62-G37460)+Assumptions!$P$63*MAX(0,Assumptions!$D$63-G37473)+Assumptions!$P$64*MAX(0,Assumptions!$D$64-G37486)+Assumptions!$P$65*MAX(0,Assumptions!$D$65-G37499)+Assumptions!$P$66*MAX(0,Assumptions!$D$66-G37512)</f>
        <v>697.4474204</v>
      </c>
      <c r="H37588" s="16" t="n">
        <f aca="false">MAX(0,H37572)+Assumptions!$P$57*MAX(0,Assumptions!$D$57-H37395)+Assumptions!$P$58*MAX(0,Assumptions!$D$58-H37408)+Assumptions!$P$59*MAX(0,Assumptions!$D$59-H37421)+Assumptions!$P$60*MAX(0,Assumptions!$D$60-H37434)+Assumptions!$P$61*MAX(0,Assumptions!$D$61-H37447)+Assumptions!$P$62*MAX(0,Assumptions!$D$62-H37460)+Assumptions!$P$63*MAX(0,Assumptions!$D$63-H37473)+Assumptions!$P$64*MAX(0,Assumptions!$D$64-H37486)+Assumptions!$P$65*MAX(0,Assumptions!$D$65-H37499)+Assumptions!$P$66*MAX(0,Assumptions!$D$66-H37512)</f>
        <v>574.5</v>
      </c>
      <c r="I37588" s="16" t="n">
        <f aca="false">MAX(0,I37572)+Assumptions!$P$57*MAX(0,Assumptions!$D$57-I37395)+Assumptions!$P$58*MAX(0,Assumptions!$D$58-I37408)+Assumptions!$P$59*MAX(0,Assumptions!$D$59-I37421)+Assumptions!$P$60*MAX(0,Assumptions!$D$60-I37434)+Assumptions!$P$61*MAX(0,Assumptions!$D$61-I37447)+Assumptions!$P$62*MAX(0,Assumptions!$D$62-I37460)+Assumptions!$P$63*MAX(0,Assumptions!$D$63-I37473)+Assumptions!$P$64*MAX(0,Assumptions!$D$64-I37486)+Assumptions!$P$65*MAX(0,Assumptions!$D$65-I37499)+Assumptions!$P$66*MAX(0,Assumptions!$D$66-I37512)</f>
        <v>574.5</v>
      </c>
      <c r="J37588" s="16" t="n">
        <f aca="false">MAX(0,J37572)+Assumptions!$P$57*MAX(0,Assumptions!$D$57-J37395)+Assumptions!$P$58*MAX(0,Assumptions!$D$58-J37408)+Assumptions!$P$59*MAX(0,Assumptions!$D$59-J37421)+Assumptions!$P$60*MAX(0,Assumptions!$D$60-J37434)+Assumptions!$P$61*MAX(0,Assumptions!$D$61-J37447)+Assumptions!$P$62*MAX(0,Assumptions!$D$62-J37460)+Assumptions!$P$63*MAX(0,Assumptions!$D$63-J37473)+Assumptions!$P$64*MAX(0,Assumptions!$D$64-J37486)+Assumptions!$P$65*MAX(0,Assumptions!$D$65-J37499)+Assumptions!$P$66*MAX(0,Assumptions!$D$66-J37512)</f>
        <v>574.5</v>
      </c>
      <c r="K37588" s="16" t="n">
        <f aca="false">MAX(0,K37572)+Assumptions!$P$57*MAX(0,Assumptions!$D$57-K37395)+Assumptions!$P$58*MAX(0,Assumptions!$D$58-K37408)+Assumptions!$P$59*MAX(0,Assumptions!$D$59-K37421)+Assumptions!$P$60*MAX(0,Assumptions!$D$60-K37434)+Assumptions!$P$61*MAX(0,Assumptions!$D$61-K37447)+Assumptions!$P$62*MAX(0,Assumptions!$D$62-K37460)+Assumptions!$P$63*MAX(0,Assumptions!$D$63-K37473)+Assumptions!$P$64*MAX(0,Assumptions!$D$64-K37486)+Assumptions!$P$65*MAX(0,Assumptions!$D$65-K37499)+Assumptions!$P$66*MAX(0,Assumptions!$D$66-K37512)</f>
        <v>574.5</v>
      </c>
    </row>
    <row r="37589" customFormat="false" ht="15" hidden="false" customHeight="false" outlineLevel="0" collapsed="false">
      <c r="A37589" s="3" t="s">
        <v>423</v>
      </c>
      <c r="G37589" s="22" t="n">
        <f aca="false">IF(G37579&gt;0,G37579/(G37579+MAX(0,G37358*CHOOSE($C$37341,Assumptions!$C$90,Assumptions!$C$109,Assumptions!$C$128)-G37581)),0)</f>
        <v>0.971406190801315</v>
      </c>
      <c r="H37589" s="22" t="n">
        <f aca="false">IF(H37579&gt;0,H37579/(H37579+MAX(0,H37358*CHOOSE($C$37341,Assumptions!$C$90,Assumptions!$C$109,Assumptions!$C$128)-H37581)),0)</f>
        <v>1</v>
      </c>
      <c r="I37589" s="22" t="n">
        <f aca="false">IF(I37579&gt;0,I37579/(I37579+MAX(0,I37358*CHOOSE($C$37341,Assumptions!$C$90,Assumptions!$C$109,Assumptions!$C$128)-I37581)),0)</f>
        <v>1</v>
      </c>
      <c r="J37589" s="22" t="n">
        <f aca="false">IF(J37579&gt;0,J37579/(J37579+MAX(0,J37358*CHOOSE($C$37341,Assumptions!$C$90,Assumptions!$C$109,Assumptions!$C$128)-J37581)),0)</f>
        <v>1</v>
      </c>
      <c r="K37589" s="22" t="n">
        <f aca="false">IF(K37579&gt;0,K37579/(K37579+MAX(0,K37358*CHOOSE($C$37341,Assumptions!$C$90,Assumptions!$C$109,Assumptions!$C$128)-K37581)),0)</f>
        <v>1</v>
      </c>
    </row>
    <row r="37590" customFormat="false" ht="15" hidden="false" customHeight="false" outlineLevel="0" collapsed="false">
      <c r="A37590" s="3" t="s">
        <v>424</v>
      </c>
      <c r="G37590" s="22" t="n">
        <f aca="false">IF(G37579&gt;0,MAX(0,G37572)/G37579,0)</f>
        <v>0.0468918822518034</v>
      </c>
      <c r="H37590" s="22" t="n">
        <f aca="false">IF(H37579&gt;0,MAX(0,H37572)/H37579,0)</f>
        <v>0</v>
      </c>
      <c r="I37590" s="22" t="n">
        <f aca="false">IF(I37579&gt;0,MAX(0,I37572)/I37579,0)</f>
        <v>0</v>
      </c>
      <c r="J37590" s="22" t="n">
        <f aca="false">IF(J37579&gt;0,MAX(0,J37572)/J37579,0)</f>
        <v>0</v>
      </c>
      <c r="K37590" s="22" t="n">
        <f aca="false">IF(K37579&gt;0,MAX(0,K37572)/K37579,0)</f>
        <v>0</v>
      </c>
    </row>
    <row r="37591" customFormat="false" ht="15" hidden="false" customHeight="false" outlineLevel="0" collapsed="false">
      <c r="A37591" s="3" t="s">
        <v>425</v>
      </c>
      <c r="G37591" s="16" t="n">
        <f aca="false">Assumptions!$C$31*(1-CHOOSE($C$37341,Assumptions!$C$93,Assumptions!$C$112,Assumptions!$C$131))</f>
        <v>3840.04556666667</v>
      </c>
      <c r="H37591" s="16" t="n">
        <f aca="false">Assumptions!$C$31*(1-CHOOSE($C$37341,Assumptions!$C$93,Assumptions!$C$112,Assumptions!$C$131))</f>
        <v>3840.04556666667</v>
      </c>
      <c r="I37591" s="16" t="n">
        <f aca="false">Assumptions!$C$31*(1-CHOOSE($C$37341,Assumptions!$C$93,Assumptions!$C$112,Assumptions!$C$131))</f>
        <v>3840.04556666667</v>
      </c>
      <c r="J37591" s="16" t="n">
        <f aca="false">Assumptions!$C$31*(1-CHOOSE($C$37341,Assumptions!$C$93,Assumptions!$C$112,Assumptions!$C$131))</f>
        <v>3840.04556666667</v>
      </c>
      <c r="K37591" s="16" t="n">
        <f aca="false">Assumptions!$C$31*(1-CHOOSE($C$37341,Assumptions!$C$93,Assumptions!$C$112,Assumptions!$C$131))</f>
        <v>3840.04556666667</v>
      </c>
    </row>
    <row r="37592" customFormat="false" ht="15" hidden="false" customHeight="false" outlineLevel="0" collapsed="false">
      <c r="A37592" s="24" t="s">
        <v>426</v>
      </c>
      <c r="B37592" s="25"/>
      <c r="C37592" s="25"/>
      <c r="D37592" s="25"/>
      <c r="E37592" s="25"/>
      <c r="F37592" s="25"/>
      <c r="G37592" s="25"/>
      <c r="H37592" s="25"/>
      <c r="I37592" s="25"/>
      <c r="J37592" s="25"/>
      <c r="K37592" s="25"/>
    </row>
    <row r="37593" customFormat="false" ht="15" hidden="false" customHeight="false" outlineLevel="0" collapsed="false">
      <c r="A37593" s="24" t="s">
        <v>427</v>
      </c>
      <c r="B37593" s="25"/>
      <c r="C37593" s="25"/>
      <c r="D37593" s="25"/>
      <c r="E37593" s="25"/>
      <c r="F37593" s="25"/>
      <c r="G37593" s="25"/>
      <c r="H37593" s="25"/>
      <c r="I37593" s="25"/>
      <c r="J37593" s="25"/>
      <c r="K37593" s="25"/>
    </row>
    <row r="37594" customFormat="false" ht="15" hidden="false" customHeight="false" outlineLevel="0" collapsed="false">
      <c r="A37594" s="3" t="s">
        <v>428</v>
      </c>
      <c r="G37594" s="22" t="n">
        <f aca="false">IF(G37591&gt;0,G37579/G37591,99)</f>
        <v>0.68278721032885</v>
      </c>
      <c r="H37594" s="22" t="n">
        <f aca="false">IF(H37591&gt;0,H37579/H37591,99)</f>
        <v>0.6691015284257</v>
      </c>
      <c r="I37594" s="22" t="n">
        <f aca="false">IF(I37591&gt;0,I37579/I37591,99)</f>
        <v>0.668059874119636</v>
      </c>
      <c r="J37594" s="22" t="n">
        <f aca="false">IF(J37591&gt;0,J37579/J37591,99)</f>
        <v>0.667018219813572</v>
      </c>
      <c r="K37594" s="22" t="n">
        <f aca="false">IF(K37591&gt;0,K37579/K37591,99)</f>
        <v>0.665976565507508</v>
      </c>
    </row>
    <row r="37595" customFormat="false" ht="15" hidden="false" customHeight="false" outlineLevel="0" collapsed="false">
      <c r="A37595" s="3" t="s">
        <v>429</v>
      </c>
      <c r="G37595" s="33" t="n">
        <f aca="false">Assumptions!$G$71</f>
        <v>0.6</v>
      </c>
      <c r="H37595" s="33" t="n">
        <f aca="false">Assumptions!$H$71</f>
        <v>0.6</v>
      </c>
      <c r="I37595" s="33" t="n">
        <f aca="false">Assumptions!$I$71</f>
        <v>0.6</v>
      </c>
      <c r="J37595" s="33" t="n">
        <f aca="false">Assumptions!$J$71</f>
        <v>0.6</v>
      </c>
      <c r="K37595" s="33" t="n">
        <f aca="false">Assumptions!$K$71</f>
        <v>0.6</v>
      </c>
    </row>
    <row r="37596" customFormat="false" ht="15" hidden="false" customHeight="false" outlineLevel="0" collapsed="false">
      <c r="A37596" s="3" t="s">
        <v>430</v>
      </c>
      <c r="G37596" s="22" t="n">
        <f aca="false">G37595-G37594</f>
        <v>-0.0827872103288497</v>
      </c>
      <c r="H37596" s="22" t="n">
        <f aca="false">H37595-H37594</f>
        <v>-0.0691015284256999</v>
      </c>
      <c r="I37596" s="22" t="n">
        <f aca="false">I37595-I37594</f>
        <v>-0.0680598741196361</v>
      </c>
      <c r="J37596" s="22" t="n">
        <f aca="false">J37595-J37594</f>
        <v>-0.0670182198135721</v>
      </c>
      <c r="K37596" s="22" t="n">
        <f aca="false">K37595-K37594</f>
        <v>-0.0659765655075082</v>
      </c>
    </row>
    <row r="37597" customFormat="false" ht="15" hidden="false" customHeight="false" outlineLevel="0" collapsed="false">
      <c r="A37597" s="3" t="s">
        <v>431</v>
      </c>
      <c r="G37597" s="22" t="n">
        <f aca="false">IF(G37595=0,0,G37596/ABS(G37595))</f>
        <v>-0.137978683881416</v>
      </c>
      <c r="H37597" s="22" t="n">
        <f aca="false">IF(H37595=0,0,H37596/ABS(H37595))</f>
        <v>-0.115169214042833</v>
      </c>
      <c r="I37597" s="22" t="n">
        <f aca="false">IF(I37595=0,0,I37596/ABS(I37595))</f>
        <v>-0.113433123532727</v>
      </c>
      <c r="J37597" s="22" t="n">
        <f aca="false">IF(J37595=0,0,J37596/ABS(J37595))</f>
        <v>-0.11169703302262</v>
      </c>
      <c r="K37597" s="22" t="n">
        <f aca="false">IF(K37595=0,0,K37596/ABS(K37595))</f>
        <v>-0.109960942512514</v>
      </c>
    </row>
    <row r="37598" customFormat="false" ht="15" hidden="false" customHeight="false" outlineLevel="0" collapsed="false">
      <c r="A37598" s="3" t="s">
        <v>432</v>
      </c>
      <c r="G37598" s="21" t="n">
        <f aca="false">IF(G37596&lt;0,1,0)</f>
        <v>1</v>
      </c>
      <c r="H37598" s="21" t="n">
        <f aca="false">IF(H37596&lt;0,1,0)</f>
        <v>1</v>
      </c>
      <c r="I37598" s="21" t="n">
        <f aca="false">IF(I37596&lt;0,1,0)</f>
        <v>1</v>
      </c>
      <c r="J37598" s="21" t="n">
        <f aca="false">IF(J37596&lt;0,1,0)</f>
        <v>1</v>
      </c>
      <c r="K37598" s="21" t="n">
        <f aca="false">IF(K37596&lt;0,1,0)</f>
        <v>1</v>
      </c>
    </row>
    <row r="37599" customFormat="false" ht="15" hidden="false" customHeight="false" outlineLevel="0" collapsed="false">
      <c r="A37599" s="3" t="s">
        <v>433</v>
      </c>
      <c r="C37599" s="21" t="n">
        <f aca="false">IFERROR(INDEX($G$37348:$K$37348,MATCH(1,$G$37598:$K$37598,0)),0)</f>
        <v>2027</v>
      </c>
    </row>
    <row r="37600" customFormat="false" ht="15" hidden="false" customHeight="false" outlineLevel="0" collapsed="false">
      <c r="A37600" s="3" t="s">
        <v>434</v>
      </c>
      <c r="C37600" s="22" t="n">
        <f aca="false">MIN($G$37597:$K$37597)</f>
        <v>-0.137978683881416</v>
      </c>
    </row>
    <row r="37601" customFormat="false" ht="15" hidden="false" customHeight="false" outlineLevel="0" collapsed="false">
      <c r="A37601" s="24" t="s">
        <v>435</v>
      </c>
      <c r="B37601" s="25"/>
      <c r="C37601" s="25"/>
      <c r="D37601" s="25"/>
      <c r="E37601" s="25"/>
      <c r="F37601" s="25"/>
      <c r="G37601" s="25"/>
      <c r="H37601" s="25"/>
      <c r="I37601" s="25"/>
      <c r="J37601" s="25"/>
      <c r="K37601" s="25"/>
    </row>
    <row r="37602" customFormat="false" ht="15" hidden="false" customHeight="false" outlineLevel="0" collapsed="false">
      <c r="A37602" s="3" t="s">
        <v>428</v>
      </c>
      <c r="G37602" s="32" t="n">
        <f aca="false">IF(G37362&gt;0,G37358/G37362,99)</f>
        <v>1.24979041307388</v>
      </c>
      <c r="H37602" s="32" t="n">
        <f aca="false">IF(H37362&gt;0,H37358/H37362,99)</f>
        <v>1.18311222526984</v>
      </c>
      <c r="I37602" s="32" t="n">
        <f aca="false">IF(I37362&gt;0,I37358/I37362,99)</f>
        <v>1.20586587186349</v>
      </c>
      <c r="J37602" s="32" t="n">
        <f aca="false">IF(J37362&gt;0,J37358/J37362,99)</f>
        <v>1.23324745076441</v>
      </c>
      <c r="K37602" s="32" t="n">
        <f aca="false">IF(K37362&gt;0,K37358/K37362,99)</f>
        <v>1.26112583435714</v>
      </c>
    </row>
    <row r="37603" customFormat="false" ht="15" hidden="false" customHeight="false" outlineLevel="0" collapsed="false">
      <c r="A37603" s="3" t="s">
        <v>429</v>
      </c>
      <c r="G37603" s="34" t="n">
        <f aca="false">Assumptions!$G$72</f>
        <v>1.5</v>
      </c>
      <c r="H37603" s="34" t="n">
        <f aca="false">Assumptions!$H$72</f>
        <v>1.5</v>
      </c>
      <c r="I37603" s="34" t="n">
        <f aca="false">Assumptions!$I$72</f>
        <v>1.5</v>
      </c>
      <c r="J37603" s="34" t="n">
        <f aca="false">Assumptions!$J$72</f>
        <v>1.5</v>
      </c>
      <c r="K37603" s="34" t="n">
        <f aca="false">Assumptions!$K$72</f>
        <v>1.5</v>
      </c>
    </row>
    <row r="37604" customFormat="false" ht="15" hidden="false" customHeight="false" outlineLevel="0" collapsed="false">
      <c r="A37604" s="3" t="s">
        <v>430</v>
      </c>
      <c r="G37604" s="32" t="n">
        <f aca="false">G37602-G37603</f>
        <v>-0.250209586926116</v>
      </c>
      <c r="H37604" s="32" t="n">
        <f aca="false">H37602-H37603</f>
        <v>-0.316887774730159</v>
      </c>
      <c r="I37604" s="32" t="n">
        <f aca="false">I37602-I37603</f>
        <v>-0.294134128136513</v>
      </c>
      <c r="J37604" s="32" t="n">
        <f aca="false">J37602-J37603</f>
        <v>-0.266752549235595</v>
      </c>
      <c r="K37604" s="32" t="n">
        <f aca="false">K37602-K37603</f>
        <v>-0.238874165642862</v>
      </c>
    </row>
    <row r="37605" customFormat="false" ht="15" hidden="false" customHeight="false" outlineLevel="0" collapsed="false">
      <c r="A37605" s="3" t="s">
        <v>431</v>
      </c>
      <c r="G37605" s="22" t="n">
        <f aca="false">IF(G37603=0,0,G37604/ABS(G37603))</f>
        <v>-0.166806391284078</v>
      </c>
      <c r="H37605" s="22" t="n">
        <f aca="false">IF(H37603=0,0,H37604/ABS(H37603))</f>
        <v>-0.211258516486773</v>
      </c>
      <c r="I37605" s="22" t="n">
        <f aca="false">IF(I37603=0,0,I37604/ABS(I37603))</f>
        <v>-0.196089418757675</v>
      </c>
      <c r="J37605" s="22" t="n">
        <f aca="false">IF(J37603=0,0,J37604/ABS(J37603))</f>
        <v>-0.17783503282373</v>
      </c>
      <c r="K37605" s="22" t="n">
        <f aca="false">IF(K37603=0,0,K37604/ABS(K37603))</f>
        <v>-0.159249443761908</v>
      </c>
    </row>
    <row r="37606" customFormat="false" ht="15" hidden="false" customHeight="false" outlineLevel="0" collapsed="false">
      <c r="A37606" s="3" t="s">
        <v>432</v>
      </c>
      <c r="G37606" s="21" t="n">
        <f aca="false">IF(G37604&lt;0,1,0)</f>
        <v>1</v>
      </c>
      <c r="H37606" s="21" t="n">
        <f aca="false">IF(H37604&lt;0,1,0)</f>
        <v>1</v>
      </c>
      <c r="I37606" s="21" t="n">
        <f aca="false">IF(I37604&lt;0,1,0)</f>
        <v>1</v>
      </c>
      <c r="J37606" s="21" t="n">
        <f aca="false">IF(J37604&lt;0,1,0)</f>
        <v>1</v>
      </c>
      <c r="K37606" s="21" t="n">
        <f aca="false">IF(K37604&lt;0,1,0)</f>
        <v>1</v>
      </c>
    </row>
    <row r="37607" customFormat="false" ht="15" hidden="false" customHeight="false" outlineLevel="0" collapsed="false">
      <c r="A37607" s="3" t="s">
        <v>433</v>
      </c>
      <c r="C37607" s="21" t="n">
        <f aca="false">IFERROR(INDEX($G$37348:$K$37348,MATCH(1,$G$37606:$K$37606,0)),0)</f>
        <v>2027</v>
      </c>
    </row>
    <row r="37608" customFormat="false" ht="15" hidden="false" customHeight="false" outlineLevel="0" collapsed="false">
      <c r="A37608" s="3" t="s">
        <v>434</v>
      </c>
      <c r="C37608" s="22" t="n">
        <f aca="false">MIN($G$37605:$K$37605)</f>
        <v>-0.211258516486773</v>
      </c>
    </row>
    <row r="37609" customFormat="false" ht="15" hidden="false" customHeight="false" outlineLevel="0" collapsed="false">
      <c r="A37609" s="24" t="s">
        <v>436</v>
      </c>
      <c r="B37609" s="25"/>
      <c r="C37609" s="25"/>
      <c r="D37609" s="25"/>
      <c r="E37609" s="25"/>
      <c r="F37609" s="25"/>
      <c r="G37609" s="25"/>
      <c r="H37609" s="25"/>
      <c r="I37609" s="25"/>
      <c r="J37609" s="25"/>
      <c r="K37609" s="25"/>
    </row>
    <row r="37610" customFormat="false" ht="15" hidden="false" customHeight="false" outlineLevel="0" collapsed="false">
      <c r="A37610" s="3" t="s">
        <v>428</v>
      </c>
      <c r="G37610" s="22" t="n">
        <f aca="false">IF(G37591&gt;0,G37580/G37591,99)</f>
        <v>0.141488946046968</v>
      </c>
      <c r="H37610" s="22" t="n">
        <f aca="false">IF(H37591&gt;0,H37580/H37591,99)</f>
        <v>0.140447291740904</v>
      </c>
      <c r="I37610" s="22" t="n">
        <f aca="false">IF(I37591&gt;0,I37580/I37591,99)</f>
        <v>0.139405637434841</v>
      </c>
      <c r="J37610" s="22" t="n">
        <f aca="false">IF(J37591&gt;0,J37580/J37591,99)</f>
        <v>0.138363983128777</v>
      </c>
      <c r="K37610" s="22" t="n">
        <f aca="false">IF(K37591&gt;0,K37580/K37591,99)</f>
        <v>0.137322328822713</v>
      </c>
    </row>
    <row r="37611" customFormat="false" ht="15" hidden="false" customHeight="false" outlineLevel="0" collapsed="false">
      <c r="A37611" s="3" t="s">
        <v>429</v>
      </c>
      <c r="G37611" s="33" t="n">
        <f aca="false">Assumptions!$G$73</f>
        <v>0.4</v>
      </c>
      <c r="H37611" s="33" t="n">
        <f aca="false">Assumptions!$H$73</f>
        <v>0.4</v>
      </c>
      <c r="I37611" s="33" t="n">
        <f aca="false">Assumptions!$I$73</f>
        <v>0.4</v>
      </c>
      <c r="J37611" s="33" t="n">
        <f aca="false">Assumptions!$J$73</f>
        <v>0.4</v>
      </c>
      <c r="K37611" s="33" t="n">
        <f aca="false">Assumptions!$K$73</f>
        <v>0.4</v>
      </c>
    </row>
    <row r="37612" customFormat="false" ht="15" hidden="false" customHeight="false" outlineLevel="0" collapsed="false">
      <c r="A37612" s="3" t="s">
        <v>430</v>
      </c>
      <c r="G37612" s="22" t="n">
        <f aca="false">G37611-G37610</f>
        <v>0.258511053953032</v>
      </c>
      <c r="H37612" s="22" t="n">
        <f aca="false">H37611-H37610</f>
        <v>0.259552708259096</v>
      </c>
      <c r="I37612" s="22" t="n">
        <f aca="false">I37611-I37610</f>
        <v>0.26059436256516</v>
      </c>
      <c r="J37612" s="22" t="n">
        <f aca="false">J37611-J37610</f>
        <v>0.261636016871223</v>
      </c>
      <c r="K37612" s="22" t="n">
        <f aca="false">K37611-K37610</f>
        <v>0.262677671177287</v>
      </c>
    </row>
    <row r="37613" customFormat="false" ht="15" hidden="false" customHeight="false" outlineLevel="0" collapsed="false">
      <c r="A37613" s="3" t="s">
        <v>431</v>
      </c>
      <c r="G37613" s="22" t="n">
        <f aca="false">IF(G37611=0,0,G37612/ABS(G37611))</f>
        <v>0.646277634882579</v>
      </c>
      <c r="H37613" s="22" t="n">
        <f aca="false">IF(H37611=0,0,H37612/ABS(H37611))</f>
        <v>0.648881770647739</v>
      </c>
      <c r="I37613" s="22" t="n">
        <f aca="false">IF(I37611=0,0,I37612/ABS(I37611))</f>
        <v>0.651485906412899</v>
      </c>
      <c r="J37613" s="22" t="n">
        <f aca="false">IF(J37611=0,0,J37612/ABS(J37611))</f>
        <v>0.654090042178059</v>
      </c>
      <c r="K37613" s="22" t="n">
        <f aca="false">IF(K37611=0,0,K37612/ABS(K37611))</f>
        <v>0.656694177943218</v>
      </c>
    </row>
    <row r="37614" customFormat="false" ht="15" hidden="false" customHeight="false" outlineLevel="0" collapsed="false">
      <c r="A37614" s="3" t="s">
        <v>432</v>
      </c>
      <c r="G37614" s="21" t="n">
        <f aca="false">IF(G37612&lt;0,1,0)</f>
        <v>0</v>
      </c>
      <c r="H37614" s="21" t="n">
        <f aca="false">IF(H37612&lt;0,1,0)</f>
        <v>0</v>
      </c>
      <c r="I37614" s="21" t="n">
        <f aca="false">IF(I37612&lt;0,1,0)</f>
        <v>0</v>
      </c>
      <c r="J37614" s="21" t="n">
        <f aca="false">IF(J37612&lt;0,1,0)</f>
        <v>0</v>
      </c>
      <c r="K37614" s="21" t="n">
        <f aca="false">IF(K37612&lt;0,1,0)</f>
        <v>0</v>
      </c>
    </row>
    <row r="37615" customFormat="false" ht="15" hidden="false" customHeight="false" outlineLevel="0" collapsed="false">
      <c r="A37615" s="3" t="s">
        <v>433</v>
      </c>
      <c r="C37615" s="21" t="n">
        <f aca="false">IFERROR(INDEX($G$37348:$K$37348,MATCH(1,$G$37614:$K$37614,0)),0)</f>
        <v>0</v>
      </c>
    </row>
    <row r="37616" customFormat="false" ht="15" hidden="false" customHeight="false" outlineLevel="0" collapsed="false">
      <c r="A37616" s="3" t="s">
        <v>434</v>
      </c>
      <c r="C37616" s="22" t="n">
        <f aca="false">MIN($G$37613:$K$37613)</f>
        <v>0.646277634882579</v>
      </c>
    </row>
    <row r="37617" customFormat="false" ht="15" hidden="false" customHeight="false" outlineLevel="0" collapsed="false">
      <c r="A37617" s="24" t="s">
        <v>437</v>
      </c>
      <c r="B37617" s="25"/>
      <c r="C37617" s="25"/>
      <c r="D37617" s="25"/>
      <c r="E37617" s="25"/>
      <c r="F37617" s="25"/>
      <c r="G37617" s="25"/>
      <c r="H37617" s="25"/>
      <c r="I37617" s="25"/>
      <c r="J37617" s="25"/>
      <c r="K37617" s="25"/>
    </row>
    <row r="37618" customFormat="false" ht="15" hidden="false" customHeight="false" outlineLevel="0" collapsed="false">
      <c r="A37618" s="3" t="s">
        <v>428</v>
      </c>
      <c r="G37618" s="16" t="n">
        <f aca="false">G37588</f>
        <v>697.4474204</v>
      </c>
      <c r="H37618" s="16" t="n">
        <f aca="false">H37588</f>
        <v>574.5</v>
      </c>
      <c r="I37618" s="16" t="n">
        <f aca="false">I37588</f>
        <v>574.5</v>
      </c>
      <c r="J37618" s="16" t="n">
        <f aca="false">J37588</f>
        <v>574.5</v>
      </c>
      <c r="K37618" s="16" t="n">
        <f aca="false">K37588</f>
        <v>574.5</v>
      </c>
    </row>
    <row r="37619" customFormat="false" ht="15" hidden="false" customHeight="false" outlineLevel="0" collapsed="false">
      <c r="A37619" s="3" t="s">
        <v>429</v>
      </c>
      <c r="G37619" s="29" t="n">
        <f aca="false">Assumptions!$G$74</f>
        <v>100</v>
      </c>
      <c r="H37619" s="29" t="n">
        <f aca="false">Assumptions!$H$74</f>
        <v>100</v>
      </c>
      <c r="I37619" s="29" t="n">
        <f aca="false">Assumptions!$I$74</f>
        <v>100</v>
      </c>
      <c r="J37619" s="29" t="n">
        <f aca="false">Assumptions!$J$74</f>
        <v>100</v>
      </c>
      <c r="K37619" s="29" t="n">
        <f aca="false">Assumptions!$K$74</f>
        <v>100</v>
      </c>
    </row>
    <row r="37620" customFormat="false" ht="15" hidden="false" customHeight="false" outlineLevel="0" collapsed="false">
      <c r="A37620" s="3" t="s">
        <v>430</v>
      </c>
      <c r="G37620" s="16" t="n">
        <f aca="false">G37618-G37619</f>
        <v>597.4474204</v>
      </c>
      <c r="H37620" s="16" t="n">
        <f aca="false">H37618-H37619</f>
        <v>474.5</v>
      </c>
      <c r="I37620" s="16" t="n">
        <f aca="false">I37618-I37619</f>
        <v>474.5</v>
      </c>
      <c r="J37620" s="16" t="n">
        <f aca="false">J37618-J37619</f>
        <v>474.5</v>
      </c>
      <c r="K37620" s="16" t="n">
        <f aca="false">K37618-K37619</f>
        <v>474.5</v>
      </c>
    </row>
    <row r="37621" customFormat="false" ht="15" hidden="false" customHeight="false" outlineLevel="0" collapsed="false">
      <c r="A37621" s="3" t="s">
        <v>431</v>
      </c>
      <c r="G37621" s="22" t="n">
        <f aca="false">IF(G37619=0,0,G37620/ABS(G37619))</f>
        <v>5.974474204</v>
      </c>
      <c r="H37621" s="22" t="n">
        <f aca="false">IF(H37619=0,0,H37620/ABS(H37619))</f>
        <v>4.745</v>
      </c>
      <c r="I37621" s="22" t="n">
        <f aca="false">IF(I37619=0,0,I37620/ABS(I37619))</f>
        <v>4.745</v>
      </c>
      <c r="J37621" s="22" t="n">
        <f aca="false">IF(J37619=0,0,J37620/ABS(J37619))</f>
        <v>4.745</v>
      </c>
      <c r="K37621" s="22" t="n">
        <f aca="false">IF(K37619=0,0,K37620/ABS(K37619))</f>
        <v>4.745</v>
      </c>
    </row>
    <row r="37622" customFormat="false" ht="15" hidden="false" customHeight="false" outlineLevel="0" collapsed="false">
      <c r="A37622" s="3" t="s">
        <v>432</v>
      </c>
      <c r="G37622" s="21" t="n">
        <f aca="false">IF(G37620&lt;0,1,0)</f>
        <v>0</v>
      </c>
      <c r="H37622" s="21" t="n">
        <f aca="false">IF(H37620&lt;0,1,0)</f>
        <v>0</v>
      </c>
      <c r="I37622" s="21" t="n">
        <f aca="false">IF(I37620&lt;0,1,0)</f>
        <v>0</v>
      </c>
      <c r="J37622" s="21" t="n">
        <f aca="false">IF(J37620&lt;0,1,0)</f>
        <v>0</v>
      </c>
      <c r="K37622" s="21" t="n">
        <f aca="false">IF(K37620&lt;0,1,0)</f>
        <v>0</v>
      </c>
    </row>
    <row r="37623" customFormat="false" ht="15" hidden="false" customHeight="false" outlineLevel="0" collapsed="false">
      <c r="A37623" s="3" t="s">
        <v>433</v>
      </c>
      <c r="C37623" s="21" t="n">
        <f aca="false">IFERROR(INDEX($G$37348:$K$37348,MATCH(1,$G$37622:$K$37622,0)),0)</f>
        <v>0</v>
      </c>
    </row>
    <row r="37624" customFormat="false" ht="15" hidden="false" customHeight="false" outlineLevel="0" collapsed="false">
      <c r="A37624" s="3" t="s">
        <v>434</v>
      </c>
      <c r="C37624" s="22" t="n">
        <f aca="false">MIN($G$37621:$K$37621)</f>
        <v>4.745</v>
      </c>
    </row>
    <row r="37625" customFormat="false" ht="15" hidden="false" customHeight="false" outlineLevel="0" collapsed="false">
      <c r="A37625" s="24" t="s">
        <v>438</v>
      </c>
      <c r="B37625" s="25"/>
      <c r="C37625" s="25"/>
      <c r="D37625" s="25"/>
      <c r="E37625" s="25"/>
      <c r="F37625" s="25"/>
      <c r="G37625" s="25"/>
      <c r="H37625" s="25"/>
      <c r="I37625" s="25"/>
      <c r="J37625" s="25"/>
      <c r="K37625" s="25"/>
    </row>
    <row r="37626" customFormat="false" ht="15" hidden="false" customHeight="false" outlineLevel="0" collapsed="false">
      <c r="A37626" s="3" t="s">
        <v>428</v>
      </c>
      <c r="G37626" s="32" t="n">
        <f aca="false">IF(G37358&gt;0,G37581/G37358,99)</f>
        <v>10.6704570673626</v>
      </c>
      <c r="H37626" s="32" t="n">
        <f aca="false">IF(H37358&gt;0,H37581/H37358,99)</f>
        <v>11.6601471215067</v>
      </c>
      <c r="I37626" s="32" t="n">
        <f aca="false">IF(I37358&gt;0,I37581/I37358,99)</f>
        <v>11.9636535522731</v>
      </c>
      <c r="J37626" s="32" t="n">
        <f aca="false">IF(J37358&gt;0,J37581/J37358,99)</f>
        <v>12.0045871637288</v>
      </c>
      <c r="K37626" s="32" t="n">
        <f aca="false">IF(K37358&gt;0,K37581/K37358,99)</f>
        <v>12.0232607366907</v>
      </c>
    </row>
    <row r="37627" customFormat="false" ht="15" hidden="false" customHeight="false" outlineLevel="0" collapsed="false">
      <c r="A37627" s="3" t="s">
        <v>429</v>
      </c>
      <c r="G37627" s="34" t="n">
        <f aca="false">Assumptions!$G$75</f>
        <v>10.5</v>
      </c>
      <c r="H37627" s="34" t="n">
        <f aca="false">Assumptions!$H$75</f>
        <v>10.5</v>
      </c>
      <c r="I37627" s="34" t="n">
        <f aca="false">Assumptions!$I$75</f>
        <v>10</v>
      </c>
      <c r="J37627" s="34" t="n">
        <f aca="false">Assumptions!$J$75</f>
        <v>10</v>
      </c>
      <c r="K37627" s="34" t="n">
        <f aca="false">Assumptions!$K$75</f>
        <v>9.5</v>
      </c>
    </row>
    <row r="37628" customFormat="false" ht="15" hidden="false" customHeight="false" outlineLevel="0" collapsed="false">
      <c r="A37628" s="3" t="s">
        <v>430</v>
      </c>
      <c r="G37628" s="32" t="n">
        <f aca="false">G37627-G37626</f>
        <v>-0.17045706736263</v>
      </c>
      <c r="H37628" s="32" t="n">
        <f aca="false">H37627-H37626</f>
        <v>-1.16014712150674</v>
      </c>
      <c r="I37628" s="32" t="n">
        <f aca="false">I37627-I37626</f>
        <v>-1.96365355227305</v>
      </c>
      <c r="J37628" s="32" t="n">
        <f aca="false">J37627-J37626</f>
        <v>-2.00458716372878</v>
      </c>
      <c r="K37628" s="32" t="n">
        <f aca="false">K37627-K37626</f>
        <v>-2.52326073669071</v>
      </c>
    </row>
    <row r="37629" customFormat="false" ht="15" hidden="false" customHeight="false" outlineLevel="0" collapsed="false">
      <c r="A37629" s="3" t="s">
        <v>431</v>
      </c>
      <c r="G37629" s="22" t="n">
        <f aca="false">IF(G37627=0,0,G37628/ABS(G37627))</f>
        <v>-0.0162340064154886</v>
      </c>
      <c r="H37629" s="22" t="n">
        <f aca="false">IF(H37627=0,0,H37628/ABS(H37627))</f>
        <v>-0.110490202048261</v>
      </c>
      <c r="I37629" s="22" t="n">
        <f aca="false">IF(I37627=0,0,I37628/ABS(I37627))</f>
        <v>-0.196365355227305</v>
      </c>
      <c r="J37629" s="22" t="n">
        <f aca="false">IF(J37627=0,0,J37628/ABS(J37627))</f>
        <v>-0.200458716372878</v>
      </c>
      <c r="K37629" s="22" t="n">
        <f aca="false">IF(K37627=0,0,K37628/ABS(K37627))</f>
        <v>-0.265606393335864</v>
      </c>
    </row>
    <row r="37630" customFormat="false" ht="15" hidden="false" customHeight="false" outlineLevel="0" collapsed="false">
      <c r="A37630" s="3" t="s">
        <v>432</v>
      </c>
      <c r="G37630" s="21" t="n">
        <f aca="false">IF(G37628&lt;0,1,0)</f>
        <v>1</v>
      </c>
      <c r="H37630" s="21" t="n">
        <f aca="false">IF(H37628&lt;0,1,0)</f>
        <v>1</v>
      </c>
      <c r="I37630" s="21" t="n">
        <f aca="false">IF(I37628&lt;0,1,0)</f>
        <v>1</v>
      </c>
      <c r="J37630" s="21" t="n">
        <f aca="false">IF(J37628&lt;0,1,0)</f>
        <v>1</v>
      </c>
      <c r="K37630" s="21" t="n">
        <f aca="false">IF(K37628&lt;0,1,0)</f>
        <v>1</v>
      </c>
    </row>
    <row r="37631" customFormat="false" ht="15" hidden="false" customHeight="false" outlineLevel="0" collapsed="false">
      <c r="A37631" s="3" t="s">
        <v>433</v>
      </c>
      <c r="C37631" s="21" t="n">
        <f aca="false">IFERROR(INDEX($G$37348:$K$37348,MATCH(1,$G$37630:$K$37630,0)),0)</f>
        <v>2027</v>
      </c>
    </row>
    <row r="37632" customFormat="false" ht="15" hidden="false" customHeight="false" outlineLevel="0" collapsed="false">
      <c r="A37632" s="3" t="s">
        <v>434</v>
      </c>
      <c r="C37632" s="22" t="n">
        <f aca="false">MIN($G$37629:$K$37629)</f>
        <v>-0.265606393335864</v>
      </c>
    </row>
    <row r="37633" customFormat="false" ht="15" hidden="false" customHeight="false" outlineLevel="0" collapsed="false">
      <c r="A37633" s="3" t="s">
        <v>439</v>
      </c>
      <c r="G37633" s="21" t="n">
        <f aca="false">G37598+G37606+G37614+G37622+G37630</f>
        <v>3</v>
      </c>
      <c r="H37633" s="21" t="n">
        <f aca="false">H37598+H37606+H37614+H37622+H37630</f>
        <v>3</v>
      </c>
      <c r="I37633" s="21" t="n">
        <f aca="false">I37598+I37606+I37614+I37622+I37630</f>
        <v>3</v>
      </c>
      <c r="J37633" s="21" t="n">
        <f aca="false">J37598+J37606+J37614+J37622+J37630</f>
        <v>3</v>
      </c>
      <c r="K37633" s="21" t="n">
        <f aca="false">K37598+K37606+K37614+K37622+K37630</f>
        <v>3</v>
      </c>
    </row>
    <row r="37634" customFormat="false" ht="15" hidden="false" customHeight="false" outlineLevel="0" collapsed="false">
      <c r="A37634" s="3" t="s">
        <v>440</v>
      </c>
      <c r="C37634" s="21" t="n">
        <f aca="false">SUM($G$37633:$K$37633)</f>
        <v>15</v>
      </c>
    </row>
    <row r="37635" customFormat="false" ht="15" hidden="false" customHeight="false" outlineLevel="0" collapsed="false">
      <c r="A37635" s="3" t="s">
        <v>441</v>
      </c>
      <c r="C37635" s="22" t="n">
        <f aca="false">MIN(C37600,C37608,C37616,C37624,C37632)</f>
        <v>-0.265606393335864</v>
      </c>
    </row>
    <row r="37637" customFormat="false" ht="15" hidden="false" customHeight="false" outlineLevel="0" collapsed="false">
      <c r="A37637" s="24" t="s">
        <v>543</v>
      </c>
      <c r="B37637" s="25"/>
      <c r="C37637" s="25"/>
      <c r="D37637" s="25"/>
      <c r="E37637" s="25"/>
      <c r="F37637" s="25"/>
      <c r="G37637" s="25"/>
      <c r="H37637" s="25"/>
      <c r="I37637" s="25"/>
      <c r="J37637" s="25"/>
      <c r="K37637" s="25"/>
    </row>
    <row r="37638" customFormat="false" ht="15" hidden="false" customHeight="false" outlineLevel="0" collapsed="false">
      <c r="A37638" s="3" t="s">
        <v>544</v>
      </c>
      <c r="G37638" s="21" t="n">
        <f aca="false">IF($C$37639=1,G37575,IF(G37358=MIN($G$37358:$K$37358),1,0))</f>
        <v>0</v>
      </c>
      <c r="H37638" s="21" t="n">
        <f aca="false">IF($C$37639=1,H37575,IF(AND(H37358=MIN($G$37358:$K$37358),SUM($G$37638:G37638)=0),1,0))</f>
        <v>1</v>
      </c>
      <c r="I37638" s="21" t="n">
        <f aca="false">IF($C$37639=1,I37575,IF(AND(I37358=MIN($G$37358:$K$37358),SUM($G$37638:H37638)=0),1,0))</f>
        <v>0</v>
      </c>
      <c r="J37638" s="21" t="n">
        <f aca="false">IF($C$37639=1,J37575,IF(AND(J37358=MIN($G$37358:$K$37358),SUM($G$37638:I37638)=0),1,0))</f>
        <v>0</v>
      </c>
      <c r="K37638" s="21" t="n">
        <f aca="false">IF($C$37639=1,K37575,IF(AND(K37358=MIN($G$37358:$K$37358),SUM($G$37638:J37638)=0),1,0))</f>
        <v>0</v>
      </c>
    </row>
    <row r="37639" customFormat="false" ht="15" hidden="false" customHeight="false" outlineLevel="0" collapsed="false">
      <c r="A37639" s="3" t="s">
        <v>545</v>
      </c>
      <c r="C37639" s="21" t="n">
        <f aca="false">IF(SUM($G$37575:$K$37575)&gt;0,1,0)</f>
        <v>1</v>
      </c>
    </row>
    <row r="37640" customFormat="false" ht="15" hidden="false" customHeight="false" outlineLevel="0" collapsed="false">
      <c r="A37640" s="3" t="s">
        <v>546</v>
      </c>
      <c r="C37640" s="21" t="n">
        <f aca="false">SUMPRODUCT($G$37638:$K$37638,$G$37348:$K$37348)</f>
        <v>2028</v>
      </c>
    </row>
    <row r="37641" customFormat="false" ht="15" hidden="false" customHeight="false" outlineLevel="0" collapsed="false">
      <c r="A37641" s="3" t="s">
        <v>547</v>
      </c>
      <c r="C37641" s="16" t="n">
        <f aca="false">SUMPRODUCT($G$37638:$K$37638,$G$37358:$K$37358)</f>
        <v>220.355740893</v>
      </c>
    </row>
    <row r="37642" customFormat="false" ht="15" hidden="false" customHeight="false" outlineLevel="0" collapsed="false">
      <c r="A37642" s="3" t="s">
        <v>548</v>
      </c>
      <c r="C37642" s="16" t="n">
        <f aca="false">MAX(0,SUMPRODUCT($G$37638:$K$37638,$G$37572:$K$37572))</f>
        <v>0</v>
      </c>
    </row>
    <row r="37643" customFormat="false" ht="15" hidden="false" customHeight="false" outlineLevel="0" collapsed="false">
      <c r="A37643" s="3" t="s">
        <v>549</v>
      </c>
      <c r="C37643" s="16" t="n">
        <f aca="false">(CHOOSE($C$37341,Assumptions!$C$92,Assumptions!$C$111,Assumptions!$C$130)+$C$37345)*C37641</f>
        <v>2423.913149823</v>
      </c>
    </row>
    <row r="37644" customFormat="false" ht="15" hidden="false" customHeight="false" outlineLevel="0" collapsed="false">
      <c r="A37644" s="3" t="s">
        <v>550</v>
      </c>
      <c r="C37644" s="16" t="n">
        <f aca="false">Assumptions!$C$31*(1-CHOOSE($C$37341,Assumptions!$C$93,Assumptions!$C$112,Assumptions!$C$131))*CHOOSE($C$37341,Assumptions!$C$94,Assumptions!$C$113,Assumptions!$C$132)</f>
        <v>3264.03873166667</v>
      </c>
    </row>
    <row r="37645" customFormat="false" ht="15" hidden="false" customHeight="false" outlineLevel="0" collapsed="false">
      <c r="A37645" s="3" t="s">
        <v>551</v>
      </c>
      <c r="C37645" s="16" t="n">
        <f aca="false">MAX(C37643,C37644)+C37642</f>
        <v>3264.03873166667</v>
      </c>
    </row>
    <row r="37646" customFormat="false" ht="15" hidden="false" customHeight="false" outlineLevel="0" collapsed="false">
      <c r="A37646" s="2" t="s">
        <v>552</v>
      </c>
      <c r="C37646" s="17" t="n">
        <f aca="false">IF(ISNUMBER(Assumptions!$C$14),Assumptions!$C$14,C37645)</f>
        <v>3264.03873166667</v>
      </c>
    </row>
    <row r="37647" customFormat="false" ht="15" hidden="false" customHeight="false" outlineLevel="0" collapsed="false">
      <c r="A37647" s="3" t="s">
        <v>553</v>
      </c>
      <c r="C37647" s="16" t="n">
        <f aca="false">C37646*Assumptions!$C$15</f>
        <v>130.561549266667</v>
      </c>
    </row>
    <row r="37648" customFormat="false" ht="15" hidden="false" customHeight="false" outlineLevel="0" collapsed="false">
      <c r="A37648" s="2" t="s">
        <v>554</v>
      </c>
      <c r="C37648" s="17" t="n">
        <f aca="false">C37646-C37647</f>
        <v>3133.4771824</v>
      </c>
    </row>
    <row r="37649" customFormat="false" ht="15" hidden="false" customHeight="false" outlineLevel="0" collapsed="false">
      <c r="A37649" s="24" t="s">
        <v>555</v>
      </c>
      <c r="B37649" s="25"/>
      <c r="C37649" s="25"/>
      <c r="D37649" s="25"/>
      <c r="E37649" s="25"/>
      <c r="F37649" s="25"/>
      <c r="G37649" s="25"/>
      <c r="H37649" s="25"/>
      <c r="I37649" s="25"/>
      <c r="J37649" s="25"/>
      <c r="K37649" s="25"/>
    </row>
    <row r="37650" customFormat="false" ht="15" hidden="false" customHeight="false" outlineLevel="0" collapsed="false">
      <c r="A37650" s="3" t="s">
        <v>556</v>
      </c>
      <c r="C37650" s="16" t="n">
        <f aca="false">SUMPRODUCT($G$37638:$K$37638,$G$37395:$K$37395)*(1+SUMPRODUCT($G$37638:$K$37638,$G$37387:$K$37387)*Assumptions!$C$16/12)</f>
        <v>402.29</v>
      </c>
    </row>
    <row r="37651" customFormat="false" ht="15" hidden="false" customHeight="false" outlineLevel="0" collapsed="false">
      <c r="A37651" s="3" t="s">
        <v>557</v>
      </c>
      <c r="C37651" s="16" t="n">
        <f aca="false">SUMPRODUCT($G$37638:$K$37638,$G$37408:$K$37408)*(1+SUMPRODUCT($G$37638:$K$37638,$G$37400:$K$37400)*Assumptions!$C$16/12)</f>
        <v>91.30725</v>
      </c>
    </row>
    <row r="37652" customFormat="false" ht="15" hidden="false" customHeight="false" outlineLevel="0" collapsed="false">
      <c r="A37652" s="3" t="s">
        <v>558</v>
      </c>
      <c r="C37652" s="16" t="n">
        <f aca="false">SUMPRODUCT($G$37638:$K$37638,$G$37421:$K$37421)*(1+SUMPRODUCT($G$37638:$K$37638,$G$37413:$K$37413)*Assumptions!$C$16/12)</f>
        <v>58.3715961</v>
      </c>
    </row>
    <row r="37653" customFormat="false" ht="15" hidden="false" customHeight="false" outlineLevel="0" collapsed="false">
      <c r="A37653" s="3" t="s">
        <v>559</v>
      </c>
      <c r="C37653" s="16" t="n">
        <f aca="false">SUMPRODUCT($G$37638:$K$37638,$G$37434:$K$37434)*(1+SUMPRODUCT($G$37638:$K$37638,$G$37426:$K$37426)*Assumptions!$C$16/12)</f>
        <v>0</v>
      </c>
    </row>
    <row r="37654" customFormat="false" ht="15" hidden="false" customHeight="false" outlineLevel="0" collapsed="false">
      <c r="A37654" s="3" t="s">
        <v>560</v>
      </c>
      <c r="C37654" s="16" t="n">
        <f aca="false">SUMPRODUCT($G$37638:$K$37638,$G$37447:$K$37447)*(1+SUMPRODUCT($G$37638:$K$37638,$G$37439:$K$37439)*Assumptions!$C$16/12)</f>
        <v>405.410640665075</v>
      </c>
    </row>
    <row r="37655" customFormat="false" ht="15" hidden="false" customHeight="false" outlineLevel="0" collapsed="false">
      <c r="A37655" s="3" t="s">
        <v>561</v>
      </c>
      <c r="C37655" s="16" t="n">
        <f aca="false">SUMPRODUCT($G$37638:$K$37638,$G$37460:$K$37460)*(1+SUMPRODUCT($G$37638:$K$37638,$G$37452:$K$37452)*Assumptions!$C$16/12)</f>
        <v>357.2625</v>
      </c>
    </row>
    <row r="37656" customFormat="false" ht="15" hidden="false" customHeight="false" outlineLevel="0" collapsed="false">
      <c r="A37656" s="3" t="s">
        <v>562</v>
      </c>
      <c r="C37656" s="16" t="n">
        <f aca="false">SUMPRODUCT($G$37638:$K$37638,$G$37473:$K$37473)*(1+SUMPRODUCT($G$37638:$K$37638,$G$37465:$K$37465)*Assumptions!$C$16/12)</f>
        <v>562.203125</v>
      </c>
    </row>
    <row r="37657" customFormat="false" ht="15" hidden="false" customHeight="false" outlineLevel="0" collapsed="false">
      <c r="A37657" s="3" t="s">
        <v>563</v>
      </c>
      <c r="C37657" s="16" t="n">
        <f aca="false">SUMPRODUCT($G$37638:$K$37638,$G$37486:$K$37486)*(1+SUMPRODUCT($G$37638:$K$37638,$G$37478:$K$37478)*Assumptions!$C$16/12)</f>
        <v>353.98125</v>
      </c>
    </row>
    <row r="37658" customFormat="false" ht="15" hidden="false" customHeight="false" outlineLevel="0" collapsed="false">
      <c r="A37658" s="3" t="s">
        <v>564</v>
      </c>
      <c r="C37658" s="16" t="n">
        <f aca="false">SUMPRODUCT($G$37638:$K$37638,$G$37499:$K$37499)*(1+SUMPRODUCT($G$37638:$K$37638,$G$37491:$K$37491)*Assumptions!$C$16/12)</f>
        <v>304.59375</v>
      </c>
    </row>
    <row r="37659" customFormat="false" ht="15" hidden="false" customHeight="false" outlineLevel="0" collapsed="false">
      <c r="A37659" s="3" t="s">
        <v>565</v>
      </c>
      <c r="C37659" s="16" t="n">
        <f aca="false">SUMPRODUCT($G$37638:$K$37638,$G$37512:$K$37512)*(1+SUMPRODUCT($G$37638:$K$37638,$G$37504:$K$37504)*Assumptions!$C$16/12)</f>
        <v>79.938509</v>
      </c>
    </row>
    <row r="37660" customFormat="false" ht="15" hidden="false" customHeight="false" outlineLevel="0" collapsed="false">
      <c r="A37660" s="24" t="s">
        <v>566</v>
      </c>
      <c r="B37660" s="25"/>
      <c r="C37660" s="25"/>
      <c r="D37660" s="25"/>
      <c r="E37660" s="25"/>
      <c r="F37660" s="25"/>
      <c r="G37660" s="25"/>
      <c r="H37660" s="25"/>
      <c r="I37660" s="25"/>
      <c r="J37660" s="25"/>
      <c r="K37660" s="25"/>
    </row>
    <row r="37661" customFormat="false" ht="15" hidden="false" customHeight="false" outlineLevel="0" collapsed="false">
      <c r="A37661" s="3" t="s">
        <v>556</v>
      </c>
      <c r="C37661" s="27" t="n">
        <f aca="false">Assumptions!$M$57</f>
        <v>1</v>
      </c>
    </row>
    <row r="37662" customFormat="false" ht="15" hidden="false" customHeight="false" outlineLevel="0" collapsed="false">
      <c r="A37662" s="3" t="s">
        <v>557</v>
      </c>
      <c r="C37662" s="27" t="n">
        <f aca="false">Assumptions!$M$58</f>
        <v>1</v>
      </c>
    </row>
    <row r="37663" customFormat="false" ht="15" hidden="false" customHeight="false" outlineLevel="0" collapsed="false">
      <c r="A37663" s="3" t="s">
        <v>558</v>
      </c>
      <c r="C37663" s="27" t="n">
        <f aca="false">Assumptions!$M$59</f>
        <v>1</v>
      </c>
    </row>
    <row r="37664" customFormat="false" ht="15" hidden="false" customHeight="false" outlineLevel="0" collapsed="false">
      <c r="A37664" s="3" t="s">
        <v>559</v>
      </c>
      <c r="C37664" s="27" t="n">
        <f aca="false">Assumptions!$M$60</f>
        <v>2</v>
      </c>
    </row>
    <row r="37665" customFormat="false" ht="15" hidden="false" customHeight="false" outlineLevel="0" collapsed="false">
      <c r="A37665" s="3" t="s">
        <v>560</v>
      </c>
      <c r="C37665" s="27" t="n">
        <f aca="false">Assumptions!$M$61</f>
        <v>2</v>
      </c>
    </row>
    <row r="37666" customFormat="false" ht="15" hidden="false" customHeight="false" outlineLevel="0" collapsed="false">
      <c r="A37666" s="3" t="s">
        <v>561</v>
      </c>
      <c r="C37666" s="27" t="n">
        <f aca="false">Assumptions!$M$62</f>
        <v>2</v>
      </c>
    </row>
    <row r="37667" customFormat="false" ht="15" hidden="false" customHeight="false" outlineLevel="0" collapsed="false">
      <c r="A37667" s="3" t="s">
        <v>562</v>
      </c>
      <c r="C37667" s="27" t="n">
        <f aca="false">Assumptions!$M$63</f>
        <v>2</v>
      </c>
    </row>
    <row r="37668" customFormat="false" ht="15" hidden="false" customHeight="false" outlineLevel="0" collapsed="false">
      <c r="A37668" s="3" t="s">
        <v>563</v>
      </c>
      <c r="C37668" s="27" t="n">
        <f aca="false">Assumptions!$M$64</f>
        <v>2</v>
      </c>
    </row>
    <row r="37669" customFormat="false" ht="15" hidden="false" customHeight="false" outlineLevel="0" collapsed="false">
      <c r="A37669" s="3" t="s">
        <v>564</v>
      </c>
      <c r="C37669" s="27" t="n">
        <f aca="false">Assumptions!$M$65</f>
        <v>2</v>
      </c>
    </row>
    <row r="37670" customFormat="false" ht="15" hidden="false" customHeight="false" outlineLevel="0" collapsed="false">
      <c r="A37670" s="3" t="s">
        <v>565</v>
      </c>
      <c r="C37670" s="27" t="n">
        <f aca="false">Assumptions!$M$66</f>
        <v>3</v>
      </c>
    </row>
    <row r="37671" customFormat="false" ht="15" hidden="false" customHeight="false" outlineLevel="0" collapsed="false">
      <c r="A37671" s="24" t="s">
        <v>567</v>
      </c>
      <c r="B37671" s="25"/>
      <c r="C37671" s="25"/>
      <c r="D37671" s="25"/>
      <c r="E37671" s="25"/>
      <c r="F37671" s="25"/>
      <c r="G37671" s="25"/>
      <c r="H37671" s="25"/>
      <c r="I37671" s="25"/>
      <c r="J37671" s="25"/>
      <c r="K37671" s="25"/>
    </row>
    <row r="37672" customFormat="false" ht="15" hidden="false" customHeight="false" outlineLevel="0" collapsed="false">
      <c r="A37672" s="3" t="s">
        <v>556</v>
      </c>
      <c r="C37672" s="33" t="n">
        <f aca="false">Assumptions!$Q$57</f>
        <v>0.3</v>
      </c>
    </row>
    <row r="37673" customFormat="false" ht="15" hidden="false" customHeight="false" outlineLevel="0" collapsed="false">
      <c r="A37673" s="3" t="s">
        <v>557</v>
      </c>
      <c r="C37673" s="33" t="n">
        <f aca="false">Assumptions!$Q$58</f>
        <v>0.033</v>
      </c>
    </row>
    <row r="37674" customFormat="false" ht="15" hidden="false" customHeight="false" outlineLevel="0" collapsed="false">
      <c r="A37674" s="3" t="s">
        <v>558</v>
      </c>
      <c r="C37674" s="33" t="n">
        <f aca="false">Assumptions!$Q$59</f>
        <v>0.021</v>
      </c>
    </row>
    <row r="37675" customFormat="false" ht="15" hidden="false" customHeight="false" outlineLevel="0" collapsed="false">
      <c r="A37675" s="3" t="s">
        <v>559</v>
      </c>
      <c r="C37675" s="33" t="n">
        <f aca="false">Assumptions!$Q$60</f>
        <v>0</v>
      </c>
    </row>
    <row r="37676" customFormat="false" ht="15" hidden="false" customHeight="false" outlineLevel="0" collapsed="false">
      <c r="A37676" s="3" t="s">
        <v>560</v>
      </c>
      <c r="C37676" s="33" t="n">
        <f aca="false">Assumptions!$Q$61</f>
        <v>0</v>
      </c>
    </row>
    <row r="37677" customFormat="false" ht="15" hidden="false" customHeight="false" outlineLevel="0" collapsed="false">
      <c r="A37677" s="3" t="s">
        <v>561</v>
      </c>
      <c r="C37677" s="33" t="n">
        <f aca="false">Assumptions!$Q$62</f>
        <v>0</v>
      </c>
    </row>
    <row r="37678" customFormat="false" ht="15" hidden="false" customHeight="false" outlineLevel="0" collapsed="false">
      <c r="A37678" s="3" t="s">
        <v>562</v>
      </c>
      <c r="C37678" s="33" t="n">
        <f aca="false">Assumptions!$Q$63</f>
        <v>0</v>
      </c>
    </row>
    <row r="37679" customFormat="false" ht="15" hidden="false" customHeight="false" outlineLevel="0" collapsed="false">
      <c r="A37679" s="3" t="s">
        <v>563</v>
      </c>
      <c r="C37679" s="33" t="n">
        <f aca="false">Assumptions!$Q$64</f>
        <v>0</v>
      </c>
    </row>
    <row r="37680" customFormat="false" ht="15" hidden="false" customHeight="false" outlineLevel="0" collapsed="false">
      <c r="A37680" s="3" t="s">
        <v>564</v>
      </c>
      <c r="C37680" s="33" t="n">
        <f aca="false">Assumptions!$Q$65</f>
        <v>0</v>
      </c>
    </row>
    <row r="37681" customFormat="false" ht="15" hidden="false" customHeight="false" outlineLevel="0" collapsed="false">
      <c r="A37681" s="3" t="s">
        <v>565</v>
      </c>
      <c r="C37681" s="33" t="n">
        <f aca="false">Assumptions!$Q$66</f>
        <v>0</v>
      </c>
    </row>
    <row r="37682" customFormat="false" ht="15" hidden="false" customHeight="false" outlineLevel="0" collapsed="false">
      <c r="A37682" s="24" t="s">
        <v>568</v>
      </c>
      <c r="B37682" s="25"/>
      <c r="C37682" s="25"/>
      <c r="D37682" s="25"/>
      <c r="E37682" s="25"/>
      <c r="F37682" s="25"/>
      <c r="G37682" s="25"/>
      <c r="H37682" s="25"/>
      <c r="I37682" s="25"/>
      <c r="J37682" s="25"/>
      <c r="K37682" s="25"/>
    </row>
    <row r="37683" customFormat="false" ht="15" hidden="false" customHeight="false" outlineLevel="0" collapsed="false">
      <c r="A37683" s="3" t="s">
        <v>556</v>
      </c>
      <c r="C37683" s="16" t="n">
        <f aca="false">IF(C37672&gt;0,MIN(C37650,C37672*$C$37648),0)</f>
        <v>402.29</v>
      </c>
    </row>
    <row r="37684" customFormat="false" ht="15" hidden="false" customHeight="false" outlineLevel="0" collapsed="false">
      <c r="A37684" s="3" t="s">
        <v>557</v>
      </c>
      <c r="C37684" s="16" t="n">
        <f aca="false">IF(C37673&gt;0,MIN(C37651,C37673*$C$37648),0)</f>
        <v>91.30725</v>
      </c>
    </row>
    <row r="37685" customFormat="false" ht="15" hidden="false" customHeight="false" outlineLevel="0" collapsed="false">
      <c r="A37685" s="3" t="s">
        <v>558</v>
      </c>
      <c r="C37685" s="16" t="n">
        <f aca="false">IF(C37674&gt;0,MIN(C37652,C37674*$C$37648),0)</f>
        <v>58.3715961</v>
      </c>
    </row>
    <row r="37686" customFormat="false" ht="15" hidden="false" customHeight="false" outlineLevel="0" collapsed="false">
      <c r="A37686" s="3" t="s">
        <v>559</v>
      </c>
      <c r="C37686" s="16" t="n">
        <f aca="false">IF(C37675&gt;0,MIN(C37653,C37675*$C$37648),0)</f>
        <v>0</v>
      </c>
    </row>
    <row r="37687" customFormat="false" ht="15" hidden="false" customHeight="false" outlineLevel="0" collapsed="false">
      <c r="A37687" s="3" t="s">
        <v>560</v>
      </c>
      <c r="C37687" s="16" t="n">
        <f aca="false">IF(C37676&gt;0,MIN(C37654,C37676*$C$37648),0)</f>
        <v>0</v>
      </c>
    </row>
    <row r="37688" customFormat="false" ht="15" hidden="false" customHeight="false" outlineLevel="0" collapsed="false">
      <c r="A37688" s="3" t="s">
        <v>561</v>
      </c>
      <c r="C37688" s="16" t="n">
        <f aca="false">IF(C37677&gt;0,MIN(C37655,C37677*$C$37648),0)</f>
        <v>0</v>
      </c>
    </row>
    <row r="37689" customFormat="false" ht="15" hidden="false" customHeight="false" outlineLevel="0" collapsed="false">
      <c r="A37689" s="3" t="s">
        <v>562</v>
      </c>
      <c r="C37689" s="16" t="n">
        <f aca="false">IF(C37678&gt;0,MIN(C37656,C37678*$C$37648),0)</f>
        <v>0</v>
      </c>
    </row>
    <row r="37690" customFormat="false" ht="15" hidden="false" customHeight="false" outlineLevel="0" collapsed="false">
      <c r="A37690" s="3" t="s">
        <v>563</v>
      </c>
      <c r="C37690" s="16" t="n">
        <f aca="false">IF(C37679&gt;0,MIN(C37657,C37679*$C$37648),0)</f>
        <v>0</v>
      </c>
    </row>
    <row r="37691" customFormat="false" ht="15" hidden="false" customHeight="false" outlineLevel="0" collapsed="false">
      <c r="A37691" s="3" t="s">
        <v>564</v>
      </c>
      <c r="C37691" s="16" t="n">
        <f aca="false">IF(C37680&gt;0,MIN(C37658,C37680*$C$37648),0)</f>
        <v>0</v>
      </c>
    </row>
    <row r="37692" customFormat="false" ht="15" hidden="false" customHeight="false" outlineLevel="0" collapsed="false">
      <c r="A37692" s="3" t="s">
        <v>565</v>
      </c>
      <c r="C37692" s="16" t="n">
        <f aca="false">IF(C37681&gt;0,MIN(C37659,C37681*$C$37648),0)</f>
        <v>0</v>
      </c>
    </row>
    <row r="37693" customFormat="false" ht="15" hidden="false" customHeight="false" outlineLevel="0" collapsed="false">
      <c r="A37693" s="24" t="s">
        <v>569</v>
      </c>
      <c r="B37693" s="25"/>
      <c r="C37693" s="25"/>
      <c r="D37693" s="25"/>
      <c r="E37693" s="25"/>
      <c r="F37693" s="25"/>
      <c r="G37693" s="25"/>
      <c r="H37693" s="25"/>
      <c r="I37693" s="25"/>
      <c r="J37693" s="25"/>
      <c r="K37693" s="25"/>
    </row>
    <row r="37694" customFormat="false" ht="15" hidden="false" customHeight="false" outlineLevel="0" collapsed="false">
      <c r="A37694" s="3" t="s">
        <v>556</v>
      </c>
      <c r="C37694" s="16" t="n">
        <f aca="false">IF(C37672&gt;0,C37650-C37683,0)</f>
        <v>0</v>
      </c>
      <c r="G37694" s="21" t="n">
        <f aca="false">IF(AND(G37385=1,G37382=1),1,0)</f>
        <v>0</v>
      </c>
      <c r="H37694" s="21" t="n">
        <f aca="false">IF(G37694=1,1,IF(AND(H37385=1,H37382=1),1,0))</f>
        <v>0</v>
      </c>
      <c r="I37694" s="21" t="n">
        <f aca="false">IF(H37694=1,1,IF(AND(I37385=1,I37382=1),1,0))</f>
        <v>0</v>
      </c>
      <c r="J37694" s="21" t="n">
        <f aca="false">IF(I37694=1,1,IF(AND(J37385=1,J37382=1),1,0))</f>
        <v>0</v>
      </c>
      <c r="K37694" s="21" t="n">
        <f aca="false">IF(J37694=1,1,IF(AND(K37385=1,K37382=1),1,0))</f>
        <v>0</v>
      </c>
    </row>
    <row r="37695" customFormat="false" ht="15" hidden="false" customHeight="false" outlineLevel="0" collapsed="false">
      <c r="A37695" s="3" t="s">
        <v>557</v>
      </c>
      <c r="C37695" s="16" t="n">
        <f aca="false">IF(C37673&gt;0,C37651-C37684,0)</f>
        <v>0</v>
      </c>
      <c r="G37695" s="21" t="n">
        <f aca="false">IF(AND(G37398=1,G37382=1),1,0)</f>
        <v>0</v>
      </c>
      <c r="H37695" s="21" t="n">
        <f aca="false">IF(G37695=1,1,IF(AND(H37398=1,H37382=1),1,0))</f>
        <v>0</v>
      </c>
      <c r="I37695" s="21" t="n">
        <f aca="false">IF(H37695=1,1,IF(AND(I37398=1,I37382=1),1,0))</f>
        <v>0</v>
      </c>
      <c r="J37695" s="21" t="n">
        <f aca="false">IF(I37695=1,1,IF(AND(J37398=1,J37382=1),1,0))</f>
        <v>0</v>
      </c>
      <c r="K37695" s="21" t="n">
        <f aca="false">IF(J37695=1,1,IF(AND(K37398=1,K37382=1),1,0))</f>
        <v>0</v>
      </c>
    </row>
    <row r="37696" customFormat="false" ht="15" hidden="false" customHeight="false" outlineLevel="0" collapsed="false">
      <c r="A37696" s="3" t="s">
        <v>558</v>
      </c>
      <c r="C37696" s="16" t="n">
        <f aca="false">IF(C37674&gt;0,C37652-C37685,0)</f>
        <v>0</v>
      </c>
      <c r="G37696" s="21" t="n">
        <f aca="false">IF(AND(G37411=1,G37382=1),1,0)</f>
        <v>0</v>
      </c>
      <c r="H37696" s="21" t="n">
        <f aca="false">IF(G37696=1,1,IF(AND(H37411=1,H37382=1),1,0))</f>
        <v>0</v>
      </c>
      <c r="I37696" s="21" t="n">
        <f aca="false">IF(H37696=1,1,IF(AND(I37411=1,I37382=1),1,0))</f>
        <v>0</v>
      </c>
      <c r="J37696" s="21" t="n">
        <f aca="false">IF(I37696=1,1,IF(AND(J37411=1,J37382=1),1,0))</f>
        <v>0</v>
      </c>
      <c r="K37696" s="21" t="n">
        <f aca="false">IF(J37696=1,1,IF(AND(K37411=1,K37382=1),1,0))</f>
        <v>0</v>
      </c>
    </row>
    <row r="37697" customFormat="false" ht="15" hidden="false" customHeight="false" outlineLevel="0" collapsed="false">
      <c r="A37697" s="3" t="s">
        <v>559</v>
      </c>
      <c r="C37697" s="16" t="n">
        <f aca="false">IF(C37675&gt;0,C37653-C37686,0)</f>
        <v>0</v>
      </c>
      <c r="G37697" s="21" t="n">
        <f aca="false">IF(AND(G37424=1,G37382=1),1,0)</f>
        <v>0</v>
      </c>
      <c r="H37697" s="21" t="n">
        <f aca="false">IF(G37697=1,1,IF(AND(H37424=1,H37382=1),1,0))</f>
        <v>0</v>
      </c>
      <c r="I37697" s="21" t="n">
        <f aca="false">IF(H37697=1,1,IF(AND(I37424=1,I37382=1),1,0))</f>
        <v>0</v>
      </c>
      <c r="J37697" s="21" t="n">
        <f aca="false">IF(I37697=1,1,IF(AND(J37424=1,J37382=1),1,0))</f>
        <v>0</v>
      </c>
      <c r="K37697" s="21" t="n">
        <f aca="false">IF(J37697=1,1,IF(AND(K37424=1,K37382=1),1,0))</f>
        <v>0</v>
      </c>
    </row>
    <row r="37698" customFormat="false" ht="15" hidden="false" customHeight="false" outlineLevel="0" collapsed="false">
      <c r="A37698" s="3" t="s">
        <v>560</v>
      </c>
      <c r="C37698" s="16" t="n">
        <f aca="false">IF(C37676&gt;0,C37654-C37687,0)</f>
        <v>0</v>
      </c>
      <c r="G37698" s="21" t="n">
        <f aca="false">IF(AND(G37437=1,G37382=1),1,0)</f>
        <v>0</v>
      </c>
      <c r="H37698" s="21" t="n">
        <f aca="false">IF(G37698=1,1,IF(AND(H37437=1,H37382=1),1,0))</f>
        <v>0</v>
      </c>
      <c r="I37698" s="21" t="n">
        <f aca="false">IF(H37698=1,1,IF(AND(I37437=1,I37382=1),1,0))</f>
        <v>0</v>
      </c>
      <c r="J37698" s="21" t="n">
        <f aca="false">IF(I37698=1,1,IF(AND(J37437=1,J37382=1),1,0))</f>
        <v>0</v>
      </c>
      <c r="K37698" s="21" t="n">
        <f aca="false">IF(J37698=1,1,IF(AND(K37437=1,K37382=1),1,0))</f>
        <v>0</v>
      </c>
    </row>
    <row r="37699" customFormat="false" ht="15" hidden="false" customHeight="false" outlineLevel="0" collapsed="false">
      <c r="A37699" s="3" t="s">
        <v>561</v>
      </c>
      <c r="C37699" s="16" t="n">
        <f aca="false">IF(C37677&gt;0,C37655-C37688,0)</f>
        <v>0</v>
      </c>
      <c r="G37699" s="21" t="n">
        <f aca="false">IF(AND(G37450=1,G37382=1),1,0)</f>
        <v>0</v>
      </c>
      <c r="H37699" s="21" t="n">
        <f aca="false">IF(G37699=1,1,IF(AND(H37450=1,H37382=1),1,0))</f>
        <v>0</v>
      </c>
      <c r="I37699" s="21" t="n">
        <f aca="false">IF(H37699=1,1,IF(AND(I37450=1,I37382=1),1,0))</f>
        <v>0</v>
      </c>
      <c r="J37699" s="21" t="n">
        <f aca="false">IF(I37699=1,1,IF(AND(J37450=1,J37382=1),1,0))</f>
        <v>0</v>
      </c>
      <c r="K37699" s="21" t="n">
        <f aca="false">IF(J37699=1,1,IF(AND(K37450=1,K37382=1),1,0))</f>
        <v>0</v>
      </c>
    </row>
    <row r="37700" customFormat="false" ht="15" hidden="false" customHeight="false" outlineLevel="0" collapsed="false">
      <c r="A37700" s="3" t="s">
        <v>562</v>
      </c>
      <c r="C37700" s="16" t="n">
        <f aca="false">IF(C37678&gt;0,C37656-C37689,0)</f>
        <v>0</v>
      </c>
      <c r="G37700" s="21" t="n">
        <f aca="false">IF(AND(G37463=1,G37382=1),1,0)</f>
        <v>0</v>
      </c>
      <c r="H37700" s="21" t="n">
        <f aca="false">IF(G37700=1,1,IF(AND(H37463=1,H37382=1),1,0))</f>
        <v>0</v>
      </c>
      <c r="I37700" s="21" t="n">
        <f aca="false">IF(H37700=1,1,IF(AND(I37463=1,I37382=1),1,0))</f>
        <v>0</v>
      </c>
      <c r="J37700" s="21" t="n">
        <f aca="false">IF(I37700=1,1,IF(AND(J37463=1,J37382=1),1,0))</f>
        <v>0</v>
      </c>
      <c r="K37700" s="21" t="n">
        <f aca="false">IF(J37700=1,1,IF(AND(K37463=1,K37382=1),1,0))</f>
        <v>0</v>
      </c>
    </row>
    <row r="37701" customFormat="false" ht="15" hidden="false" customHeight="false" outlineLevel="0" collapsed="false">
      <c r="A37701" s="3" t="s">
        <v>563</v>
      </c>
      <c r="C37701" s="16" t="n">
        <f aca="false">IF(C37679&gt;0,C37657-C37690,0)</f>
        <v>0</v>
      </c>
      <c r="G37701" s="21" t="n">
        <f aca="false">IF(AND(G37476=1,G37382=1),1,0)</f>
        <v>0</v>
      </c>
      <c r="H37701" s="21" t="n">
        <f aca="false">IF(G37701=1,1,IF(AND(H37476=1,H37382=1),1,0))</f>
        <v>0</v>
      </c>
      <c r="I37701" s="21" t="n">
        <f aca="false">IF(H37701=1,1,IF(AND(I37476=1,I37382=1),1,0))</f>
        <v>0</v>
      </c>
      <c r="J37701" s="21" t="n">
        <f aca="false">IF(I37701=1,1,IF(AND(J37476=1,J37382=1),1,0))</f>
        <v>0</v>
      </c>
      <c r="K37701" s="21" t="n">
        <f aca="false">IF(J37701=1,1,IF(AND(K37476=1,K37382=1),1,0))</f>
        <v>0</v>
      </c>
    </row>
    <row r="37702" customFormat="false" ht="15" hidden="false" customHeight="false" outlineLevel="0" collapsed="false">
      <c r="A37702" s="3" t="s">
        <v>564</v>
      </c>
      <c r="C37702" s="16" t="n">
        <f aca="false">IF(C37680&gt;0,C37658-C37691,0)</f>
        <v>0</v>
      </c>
      <c r="G37702" s="21" t="n">
        <f aca="false">IF(AND(G37489=1,G37382=1),1,0)</f>
        <v>0</v>
      </c>
      <c r="H37702" s="21" t="n">
        <f aca="false">IF(G37702=1,1,IF(AND(H37489=1,H37382=1),1,0))</f>
        <v>0</v>
      </c>
      <c r="I37702" s="21" t="n">
        <f aca="false">IF(H37702=1,1,IF(AND(I37489=1,I37382=1),1,0))</f>
        <v>0</v>
      </c>
      <c r="J37702" s="21" t="n">
        <f aca="false">IF(I37702=1,1,IF(AND(J37489=1,J37382=1),1,0))</f>
        <v>0</v>
      </c>
      <c r="K37702" s="21" t="n">
        <f aca="false">IF(J37702=1,1,IF(AND(K37489=1,K37382=1),1,0))</f>
        <v>0</v>
      </c>
    </row>
    <row r="37703" customFormat="false" ht="15" hidden="false" customHeight="false" outlineLevel="0" collapsed="false">
      <c r="A37703" s="3" t="s">
        <v>565</v>
      </c>
      <c r="C37703" s="16" t="n">
        <f aca="false">IF(C37681&gt;0,C37659-C37692,0)</f>
        <v>0</v>
      </c>
      <c r="G37703" s="21" t="n">
        <f aca="false">IF(AND(G37502=1,G37382=1),1,0)</f>
        <v>0</v>
      </c>
      <c r="H37703" s="21" t="n">
        <f aca="false">IF(G37703=1,1,IF(AND(H37502=1,H37382=1),1,0))</f>
        <v>0</v>
      </c>
      <c r="I37703" s="21" t="n">
        <f aca="false">IF(H37703=1,1,IF(AND(I37502=1,I37382=1),1,0))</f>
        <v>0</v>
      </c>
      <c r="J37703" s="21" t="n">
        <f aca="false">IF(I37703=1,1,IF(AND(J37502=1,J37382=1),1,0))</f>
        <v>0</v>
      </c>
      <c r="K37703" s="21" t="n">
        <f aca="false">IF(J37703=1,1,IF(AND(K37502=1,K37382=1),1,0))</f>
        <v>0</v>
      </c>
    </row>
    <row r="37704" customFormat="false" ht="15" hidden="false" customHeight="false" outlineLevel="0" collapsed="false">
      <c r="A37704" s="24" t="s">
        <v>570</v>
      </c>
      <c r="B37704" s="25"/>
      <c r="C37704" s="25"/>
      <c r="D37704" s="25"/>
      <c r="E37704" s="25"/>
      <c r="F37704" s="25"/>
      <c r="G37704" s="25"/>
      <c r="H37704" s="25"/>
      <c r="I37704" s="25"/>
      <c r="J37704" s="25"/>
      <c r="K37704" s="25"/>
    </row>
    <row r="37705" customFormat="false" ht="15" hidden="false" customHeight="false" outlineLevel="0" collapsed="false">
      <c r="A37705" s="3" t="s">
        <v>556</v>
      </c>
      <c r="C37705" s="16" t="n">
        <f aca="false">IF(C37672&gt;0,C37694,C37650)</f>
        <v>0</v>
      </c>
    </row>
    <row r="37706" customFormat="false" ht="15" hidden="false" customHeight="false" outlineLevel="0" collapsed="false">
      <c r="A37706" s="3" t="s">
        <v>557</v>
      </c>
      <c r="C37706" s="16" t="n">
        <f aca="false">IF(C37673&gt;0,C37695,C37651)</f>
        <v>0</v>
      </c>
    </row>
    <row r="37707" customFormat="false" ht="15" hidden="false" customHeight="false" outlineLevel="0" collapsed="false">
      <c r="A37707" s="3" t="s">
        <v>558</v>
      </c>
      <c r="C37707" s="16" t="n">
        <f aca="false">IF(C37674&gt;0,C37696,C37652)</f>
        <v>0</v>
      </c>
    </row>
    <row r="37708" customFormat="false" ht="15" hidden="false" customHeight="false" outlineLevel="0" collapsed="false">
      <c r="A37708" s="3" t="s">
        <v>559</v>
      </c>
      <c r="C37708" s="16" t="n">
        <f aca="false">IF(C37675&gt;0,C37697,C37653)</f>
        <v>0</v>
      </c>
    </row>
    <row r="37709" customFormat="false" ht="15" hidden="false" customHeight="false" outlineLevel="0" collapsed="false">
      <c r="A37709" s="3" t="s">
        <v>560</v>
      </c>
      <c r="C37709" s="16" t="n">
        <f aca="false">IF(C37676&gt;0,C37698,C37654)</f>
        <v>405.410640665075</v>
      </c>
    </row>
    <row r="37710" customFormat="false" ht="15" hidden="false" customHeight="false" outlineLevel="0" collapsed="false">
      <c r="A37710" s="3" t="s">
        <v>561</v>
      </c>
      <c r="C37710" s="16" t="n">
        <f aca="false">IF(C37677&gt;0,C37699,C37655)</f>
        <v>357.2625</v>
      </c>
    </row>
    <row r="37711" customFormat="false" ht="15" hidden="false" customHeight="false" outlineLevel="0" collapsed="false">
      <c r="A37711" s="3" t="s">
        <v>562</v>
      </c>
      <c r="C37711" s="16" t="n">
        <f aca="false">IF(C37678&gt;0,C37700,C37656)</f>
        <v>562.203125</v>
      </c>
    </row>
    <row r="37712" customFormat="false" ht="15" hidden="false" customHeight="false" outlineLevel="0" collapsed="false">
      <c r="A37712" s="3" t="s">
        <v>563</v>
      </c>
      <c r="C37712" s="16" t="n">
        <f aca="false">IF(C37679&gt;0,C37701,C37657)</f>
        <v>353.98125</v>
      </c>
    </row>
    <row r="37713" customFormat="false" ht="15" hidden="false" customHeight="false" outlineLevel="0" collapsed="false">
      <c r="A37713" s="3" t="s">
        <v>564</v>
      </c>
      <c r="C37713" s="16" t="n">
        <f aca="false">IF(C37680&gt;0,C37702,C37658)</f>
        <v>304.59375</v>
      </c>
    </row>
    <row r="37714" customFormat="false" ht="15" hidden="false" customHeight="false" outlineLevel="0" collapsed="false">
      <c r="A37714" s="3" t="s">
        <v>565</v>
      </c>
      <c r="C37714" s="16" t="n">
        <f aca="false">IF(C37681&gt;0,C37703,C37659)</f>
        <v>79.938509</v>
      </c>
    </row>
    <row r="37715" customFormat="false" ht="15" hidden="false" customHeight="false" outlineLevel="0" collapsed="false">
      <c r="A37715" s="24" t="s">
        <v>571</v>
      </c>
      <c r="B37715" s="25"/>
      <c r="C37715" s="25"/>
      <c r="D37715" s="25"/>
      <c r="E37715" s="25"/>
      <c r="F37715" s="25"/>
      <c r="G37715" s="25"/>
      <c r="H37715" s="25"/>
      <c r="I37715" s="25"/>
      <c r="J37715" s="25"/>
      <c r="K37715" s="25"/>
    </row>
    <row r="37716" customFormat="false" ht="15" hidden="false" customHeight="false" outlineLevel="0" collapsed="false">
      <c r="A37716" s="3" t="s">
        <v>556</v>
      </c>
      <c r="C37716" s="21" t="n">
        <f aca="false">IF(C37672&gt;0,Assumptions!$C$17,C37661)</f>
        <v>99</v>
      </c>
    </row>
    <row r="37717" customFormat="false" ht="15" hidden="false" customHeight="false" outlineLevel="0" collapsed="false">
      <c r="A37717" s="3" t="s">
        <v>557</v>
      </c>
      <c r="C37717" s="21" t="n">
        <f aca="false">IF(C37673&gt;0,Assumptions!$C$17,C37662)</f>
        <v>99</v>
      </c>
    </row>
    <row r="37718" customFormat="false" ht="15" hidden="false" customHeight="false" outlineLevel="0" collapsed="false">
      <c r="A37718" s="3" t="s">
        <v>558</v>
      </c>
      <c r="C37718" s="21" t="n">
        <f aca="false">IF(C37674&gt;0,Assumptions!$C$17,C37663)</f>
        <v>99</v>
      </c>
    </row>
    <row r="37719" customFormat="false" ht="15" hidden="false" customHeight="false" outlineLevel="0" collapsed="false">
      <c r="A37719" s="3" t="s">
        <v>559</v>
      </c>
      <c r="C37719" s="21" t="n">
        <f aca="false">IF(C37675&gt;0,Assumptions!$C$17,C37664)</f>
        <v>2</v>
      </c>
    </row>
    <row r="37720" customFormat="false" ht="15" hidden="false" customHeight="false" outlineLevel="0" collapsed="false">
      <c r="A37720" s="3" t="s">
        <v>560</v>
      </c>
      <c r="C37720" s="21" t="n">
        <f aca="false">IF(C37676&gt;0,Assumptions!$C$17,C37665)</f>
        <v>2</v>
      </c>
    </row>
    <row r="37721" customFormat="false" ht="15" hidden="false" customHeight="false" outlineLevel="0" collapsed="false">
      <c r="A37721" s="3" t="s">
        <v>561</v>
      </c>
      <c r="C37721" s="21" t="n">
        <f aca="false">IF(C37677&gt;0,Assumptions!$C$17,C37666)</f>
        <v>2</v>
      </c>
    </row>
    <row r="37722" customFormat="false" ht="15" hidden="false" customHeight="false" outlineLevel="0" collapsed="false">
      <c r="A37722" s="3" t="s">
        <v>562</v>
      </c>
      <c r="C37722" s="21" t="n">
        <f aca="false">IF(C37678&gt;0,Assumptions!$C$17,C37667)</f>
        <v>2</v>
      </c>
    </row>
    <row r="37723" customFormat="false" ht="15" hidden="false" customHeight="false" outlineLevel="0" collapsed="false">
      <c r="A37723" s="3" t="s">
        <v>563</v>
      </c>
      <c r="C37723" s="21" t="n">
        <f aca="false">IF(C37679&gt;0,Assumptions!$C$17,C37668)</f>
        <v>2</v>
      </c>
    </row>
    <row r="37724" customFormat="false" ht="15" hidden="false" customHeight="false" outlineLevel="0" collapsed="false">
      <c r="A37724" s="3" t="s">
        <v>564</v>
      </c>
      <c r="C37724" s="21" t="n">
        <f aca="false">IF(C37680&gt;0,Assumptions!$C$17,C37669)</f>
        <v>2</v>
      </c>
    </row>
    <row r="37725" customFormat="false" ht="15" hidden="false" customHeight="false" outlineLevel="0" collapsed="false">
      <c r="A37725" s="3" t="s">
        <v>565</v>
      </c>
      <c r="C37725" s="21" t="n">
        <f aca="false">IF(C37681&gt;0,Assumptions!$C$17,C37670)</f>
        <v>3</v>
      </c>
    </row>
    <row r="37726" customFormat="false" ht="15" hidden="false" customHeight="false" outlineLevel="0" collapsed="false">
      <c r="A37726" s="24" t="s">
        <v>572</v>
      </c>
      <c r="B37726" s="25"/>
      <c r="C37726" s="25"/>
      <c r="D37726" s="25"/>
      <c r="E37726" s="25"/>
      <c r="F37726" s="25"/>
      <c r="G37726" s="25"/>
      <c r="H37726" s="25"/>
      <c r="I37726" s="25"/>
      <c r="J37726" s="25"/>
      <c r="K37726" s="25"/>
    </row>
    <row r="37727" customFormat="false" ht="15" hidden="false" customHeight="false" outlineLevel="0" collapsed="false">
      <c r="A37727" s="3" t="s">
        <v>556</v>
      </c>
      <c r="C37727" s="16" t="n">
        <f aca="false">SUMPRODUCT(($C$37716:$C$37725&lt;C37716)*$C$37705:$C$37714)</f>
        <v>2063.38977466508</v>
      </c>
    </row>
    <row r="37728" customFormat="false" ht="15" hidden="false" customHeight="false" outlineLevel="0" collapsed="false">
      <c r="A37728" s="3" t="s">
        <v>557</v>
      </c>
      <c r="C37728" s="16" t="n">
        <f aca="false">SUMPRODUCT(($C$37716:$C$37725&lt;C37717)*$C$37705:$C$37714)</f>
        <v>2063.38977466508</v>
      </c>
    </row>
    <row r="37729" customFormat="false" ht="15" hidden="false" customHeight="false" outlineLevel="0" collapsed="false">
      <c r="A37729" s="3" t="s">
        <v>558</v>
      </c>
      <c r="C37729" s="16" t="n">
        <f aca="false">SUMPRODUCT(($C$37716:$C$37725&lt;C37718)*$C$37705:$C$37714)</f>
        <v>2063.38977466508</v>
      </c>
    </row>
    <row r="37730" customFormat="false" ht="15" hidden="false" customHeight="false" outlineLevel="0" collapsed="false">
      <c r="A37730" s="3" t="s">
        <v>559</v>
      </c>
      <c r="C37730" s="16" t="n">
        <f aca="false">SUMPRODUCT(($C$37716:$C$37725&lt;C37719)*$C$37705:$C$37714)</f>
        <v>0</v>
      </c>
    </row>
    <row r="37731" customFormat="false" ht="15" hidden="false" customHeight="false" outlineLevel="0" collapsed="false">
      <c r="A37731" s="3" t="s">
        <v>560</v>
      </c>
      <c r="C37731" s="16" t="n">
        <f aca="false">SUMPRODUCT(($C$37716:$C$37725&lt;C37720)*$C$37705:$C$37714)</f>
        <v>0</v>
      </c>
    </row>
    <row r="37732" customFormat="false" ht="15" hidden="false" customHeight="false" outlineLevel="0" collapsed="false">
      <c r="A37732" s="3" t="s">
        <v>561</v>
      </c>
      <c r="C37732" s="16" t="n">
        <f aca="false">SUMPRODUCT(($C$37716:$C$37725&lt;C37721)*$C$37705:$C$37714)</f>
        <v>0</v>
      </c>
    </row>
    <row r="37733" customFormat="false" ht="15" hidden="false" customHeight="false" outlineLevel="0" collapsed="false">
      <c r="A37733" s="3" t="s">
        <v>562</v>
      </c>
      <c r="C37733" s="16" t="n">
        <f aca="false">SUMPRODUCT(($C$37716:$C$37725&lt;C37722)*$C$37705:$C$37714)</f>
        <v>0</v>
      </c>
    </row>
    <row r="37734" customFormat="false" ht="15" hidden="false" customHeight="false" outlineLevel="0" collapsed="false">
      <c r="A37734" s="3" t="s">
        <v>563</v>
      </c>
      <c r="C37734" s="16" t="n">
        <f aca="false">SUMPRODUCT(($C$37716:$C$37725&lt;C37723)*$C$37705:$C$37714)</f>
        <v>0</v>
      </c>
    </row>
    <row r="37735" customFormat="false" ht="15" hidden="false" customHeight="false" outlineLevel="0" collapsed="false">
      <c r="A37735" s="3" t="s">
        <v>564</v>
      </c>
      <c r="C37735" s="16" t="n">
        <f aca="false">SUMPRODUCT(($C$37716:$C$37725&lt;C37724)*$C$37705:$C$37714)</f>
        <v>0</v>
      </c>
    </row>
    <row r="37736" customFormat="false" ht="15" hidden="false" customHeight="false" outlineLevel="0" collapsed="false">
      <c r="A37736" s="3" t="s">
        <v>565</v>
      </c>
      <c r="C37736" s="16" t="n">
        <f aca="false">SUMPRODUCT(($C$37716:$C$37725&lt;C37725)*$C$37705:$C$37714)</f>
        <v>1983.45126566508</v>
      </c>
    </row>
    <row r="37737" customFormat="false" ht="15" hidden="false" customHeight="false" outlineLevel="0" collapsed="false">
      <c r="A37737" s="24" t="s">
        <v>573</v>
      </c>
      <c r="B37737" s="25"/>
      <c r="C37737" s="25"/>
      <c r="D37737" s="25"/>
      <c r="E37737" s="25"/>
      <c r="F37737" s="25"/>
      <c r="G37737" s="25"/>
      <c r="H37737" s="25"/>
      <c r="I37737" s="25"/>
      <c r="J37737" s="25"/>
      <c r="K37737" s="25"/>
    </row>
    <row r="37738" customFormat="false" ht="15" hidden="false" customHeight="false" outlineLevel="0" collapsed="false">
      <c r="A37738" s="3" t="s">
        <v>556</v>
      </c>
      <c r="C37738" s="16" t="n">
        <f aca="false">SUMPRODUCT(($C$37716:$C$37725=C37716)*$C$37705:$C$37714)</f>
        <v>0</v>
      </c>
    </row>
    <row r="37739" customFormat="false" ht="15" hidden="false" customHeight="false" outlineLevel="0" collapsed="false">
      <c r="A37739" s="3" t="s">
        <v>557</v>
      </c>
      <c r="C37739" s="16" t="n">
        <f aca="false">SUMPRODUCT(($C$37716:$C$37725=C37717)*$C$37705:$C$37714)</f>
        <v>0</v>
      </c>
    </row>
    <row r="37740" customFormat="false" ht="15" hidden="false" customHeight="false" outlineLevel="0" collapsed="false">
      <c r="A37740" s="3" t="s">
        <v>558</v>
      </c>
      <c r="C37740" s="16" t="n">
        <f aca="false">SUMPRODUCT(($C$37716:$C$37725=C37718)*$C$37705:$C$37714)</f>
        <v>0</v>
      </c>
    </row>
    <row r="37741" customFormat="false" ht="15" hidden="false" customHeight="false" outlineLevel="0" collapsed="false">
      <c r="A37741" s="3" t="s">
        <v>559</v>
      </c>
      <c r="C37741" s="16" t="n">
        <f aca="false">SUMPRODUCT(($C$37716:$C$37725=C37719)*$C$37705:$C$37714)</f>
        <v>1983.45126566508</v>
      </c>
    </row>
    <row r="37742" customFormat="false" ht="15" hidden="false" customHeight="false" outlineLevel="0" collapsed="false">
      <c r="A37742" s="3" t="s">
        <v>560</v>
      </c>
      <c r="C37742" s="16" t="n">
        <f aca="false">SUMPRODUCT(($C$37716:$C$37725=C37720)*$C$37705:$C$37714)</f>
        <v>1983.45126566508</v>
      </c>
    </row>
    <row r="37743" customFormat="false" ht="15" hidden="false" customHeight="false" outlineLevel="0" collapsed="false">
      <c r="A37743" s="3" t="s">
        <v>561</v>
      </c>
      <c r="C37743" s="16" t="n">
        <f aca="false">SUMPRODUCT(($C$37716:$C$37725=C37721)*$C$37705:$C$37714)</f>
        <v>1983.45126566508</v>
      </c>
    </row>
    <row r="37744" customFormat="false" ht="15" hidden="false" customHeight="false" outlineLevel="0" collapsed="false">
      <c r="A37744" s="3" t="s">
        <v>562</v>
      </c>
      <c r="C37744" s="16" t="n">
        <f aca="false">SUMPRODUCT(($C$37716:$C$37725=C37722)*$C$37705:$C$37714)</f>
        <v>1983.45126566508</v>
      </c>
    </row>
    <row r="37745" customFormat="false" ht="15" hidden="false" customHeight="false" outlineLevel="0" collapsed="false">
      <c r="A37745" s="3" t="s">
        <v>563</v>
      </c>
      <c r="C37745" s="16" t="n">
        <f aca="false">SUMPRODUCT(($C$37716:$C$37725=C37723)*$C$37705:$C$37714)</f>
        <v>1983.45126566508</v>
      </c>
    </row>
    <row r="37746" customFormat="false" ht="15" hidden="false" customHeight="false" outlineLevel="0" collapsed="false">
      <c r="A37746" s="3" t="s">
        <v>564</v>
      </c>
      <c r="C37746" s="16" t="n">
        <f aca="false">SUMPRODUCT(($C$37716:$C$37725=C37724)*$C$37705:$C$37714)</f>
        <v>1983.45126566508</v>
      </c>
    </row>
    <row r="37747" customFormat="false" ht="15" hidden="false" customHeight="false" outlineLevel="0" collapsed="false">
      <c r="A37747" s="3" t="s">
        <v>565</v>
      </c>
      <c r="C37747" s="16" t="n">
        <f aca="false">SUMPRODUCT(($C$37716:$C$37725=C37725)*$C$37705:$C$37714)</f>
        <v>79.938509</v>
      </c>
    </row>
    <row r="37748" customFormat="false" ht="15" hidden="false" customHeight="false" outlineLevel="0" collapsed="false">
      <c r="A37748" s="24" t="s">
        <v>574</v>
      </c>
      <c r="B37748" s="25"/>
      <c r="C37748" s="25"/>
      <c r="D37748" s="25"/>
      <c r="E37748" s="25"/>
      <c r="F37748" s="25"/>
      <c r="G37748" s="25"/>
      <c r="H37748" s="25"/>
      <c r="I37748" s="25"/>
      <c r="J37748" s="25"/>
      <c r="K37748" s="25"/>
    </row>
    <row r="37749" customFormat="false" ht="15" hidden="false" customHeight="false" outlineLevel="0" collapsed="false">
      <c r="A37749" s="3" t="s">
        <v>556</v>
      </c>
      <c r="C37749" s="16" t="n">
        <f aca="false">IF(C37738=0,0,C37705/C37738*MAX(0,MIN(C37738,$C$37648-SUM($C$37683:$C$37692)-C37727)))</f>
        <v>0</v>
      </c>
    </row>
    <row r="37750" customFormat="false" ht="15" hidden="false" customHeight="false" outlineLevel="0" collapsed="false">
      <c r="A37750" s="3" t="s">
        <v>557</v>
      </c>
      <c r="C37750" s="16" t="n">
        <f aca="false">IF(C37739=0,0,C37706/C37739*MAX(0,MIN(C37739,$C$37648-SUM($C$37683:$C$37692)-C37728)))</f>
        <v>0</v>
      </c>
    </row>
    <row r="37751" customFormat="false" ht="15" hidden="false" customHeight="false" outlineLevel="0" collapsed="false">
      <c r="A37751" s="3" t="s">
        <v>558</v>
      </c>
      <c r="C37751" s="16" t="n">
        <f aca="false">IF(C37740=0,0,C37707/C37740*MAX(0,MIN(C37740,$C$37648-SUM($C$37683:$C$37692)-C37729)))</f>
        <v>0</v>
      </c>
    </row>
    <row r="37752" customFormat="false" ht="15" hidden="false" customHeight="false" outlineLevel="0" collapsed="false">
      <c r="A37752" s="3" t="s">
        <v>559</v>
      </c>
      <c r="C37752" s="16" t="n">
        <f aca="false">IF(C37741=0,0,C37708/C37741*MAX(0,MIN(C37741,$C$37648-SUM($C$37683:$C$37692)-C37730)))</f>
        <v>0</v>
      </c>
    </row>
    <row r="37753" customFormat="false" ht="15" hidden="false" customHeight="false" outlineLevel="0" collapsed="false">
      <c r="A37753" s="3" t="s">
        <v>560</v>
      </c>
      <c r="C37753" s="16" t="n">
        <f aca="false">IF(C37742=0,0,C37709/C37742*MAX(0,MIN(C37742,$C$37648-SUM($C$37683:$C$37692)-C37731)))</f>
        <v>405.410640665075</v>
      </c>
    </row>
    <row r="37754" customFormat="false" ht="15" hidden="false" customHeight="false" outlineLevel="0" collapsed="false">
      <c r="A37754" s="3" t="s">
        <v>561</v>
      </c>
      <c r="C37754" s="16" t="n">
        <f aca="false">IF(C37743=0,0,C37710/C37743*MAX(0,MIN(C37743,$C$37648-SUM($C$37683:$C$37692)-C37732)))</f>
        <v>357.2625</v>
      </c>
    </row>
    <row r="37755" customFormat="false" ht="15" hidden="false" customHeight="false" outlineLevel="0" collapsed="false">
      <c r="A37755" s="3" t="s">
        <v>562</v>
      </c>
      <c r="C37755" s="16" t="n">
        <f aca="false">IF(C37744=0,0,C37711/C37744*MAX(0,MIN(C37744,$C$37648-SUM($C$37683:$C$37692)-C37733)))</f>
        <v>562.203125</v>
      </c>
    </row>
    <row r="37756" customFormat="false" ht="15" hidden="false" customHeight="false" outlineLevel="0" collapsed="false">
      <c r="A37756" s="3" t="s">
        <v>563</v>
      </c>
      <c r="C37756" s="16" t="n">
        <f aca="false">IF(C37745=0,0,C37712/C37745*MAX(0,MIN(C37745,$C$37648-SUM($C$37683:$C$37692)-C37734)))</f>
        <v>353.98125</v>
      </c>
    </row>
    <row r="37757" customFormat="false" ht="15" hidden="false" customHeight="false" outlineLevel="0" collapsed="false">
      <c r="A37757" s="3" t="s">
        <v>564</v>
      </c>
      <c r="C37757" s="16" t="n">
        <f aca="false">IF(C37746=0,0,C37713/C37746*MAX(0,MIN(C37746,$C$37648-SUM($C$37683:$C$37692)-C37735)))</f>
        <v>304.59375</v>
      </c>
    </row>
    <row r="37758" customFormat="false" ht="15" hidden="false" customHeight="false" outlineLevel="0" collapsed="false">
      <c r="A37758" s="3" t="s">
        <v>565</v>
      </c>
      <c r="C37758" s="16" t="n">
        <f aca="false">IF(C37747=0,0,C37714/C37747*MAX(0,MIN(C37747,$C$37648-SUM($C$37683:$C$37692)-C37736)))</f>
        <v>79.938509</v>
      </c>
    </row>
    <row r="37759" customFormat="false" ht="15" hidden="false" customHeight="false" outlineLevel="0" collapsed="false">
      <c r="A37759" s="24" t="s">
        <v>575</v>
      </c>
      <c r="B37759" s="25"/>
      <c r="C37759" s="25"/>
      <c r="D37759" s="25"/>
      <c r="E37759" s="25"/>
      <c r="F37759" s="25"/>
      <c r="G37759" s="25"/>
      <c r="H37759" s="25"/>
      <c r="I37759" s="25"/>
      <c r="J37759" s="25"/>
      <c r="K37759" s="25"/>
    </row>
    <row r="37760" customFormat="false" ht="15" hidden="false" customHeight="false" outlineLevel="0" collapsed="false">
      <c r="A37760" s="2" t="s">
        <v>556</v>
      </c>
      <c r="C37760" s="17" t="n">
        <f aca="false">C37683+C37749</f>
        <v>402.29</v>
      </c>
    </row>
    <row r="37761" customFormat="false" ht="15" hidden="false" customHeight="false" outlineLevel="0" collapsed="false">
      <c r="A37761" s="2" t="s">
        <v>557</v>
      </c>
      <c r="C37761" s="17" t="n">
        <f aca="false">C37684+C37750</f>
        <v>91.30725</v>
      </c>
    </row>
    <row r="37762" customFormat="false" ht="15" hidden="false" customHeight="false" outlineLevel="0" collapsed="false">
      <c r="A37762" s="2" t="s">
        <v>558</v>
      </c>
      <c r="C37762" s="17" t="n">
        <f aca="false">C37685+C37751</f>
        <v>58.3715961</v>
      </c>
    </row>
    <row r="37763" customFormat="false" ht="15" hidden="false" customHeight="false" outlineLevel="0" collapsed="false">
      <c r="A37763" s="2" t="s">
        <v>559</v>
      </c>
      <c r="C37763" s="17" t="n">
        <f aca="false">C37686+C37752</f>
        <v>0</v>
      </c>
    </row>
    <row r="37764" customFormat="false" ht="15" hidden="false" customHeight="false" outlineLevel="0" collapsed="false">
      <c r="A37764" s="2" t="s">
        <v>560</v>
      </c>
      <c r="C37764" s="17" t="n">
        <f aca="false">C37687+C37753</f>
        <v>405.410640665075</v>
      </c>
    </row>
    <row r="37765" customFormat="false" ht="15" hidden="false" customHeight="false" outlineLevel="0" collapsed="false">
      <c r="A37765" s="2" t="s">
        <v>561</v>
      </c>
      <c r="C37765" s="17" t="n">
        <f aca="false">C37688+C37754</f>
        <v>357.2625</v>
      </c>
    </row>
    <row r="37766" customFormat="false" ht="15" hidden="false" customHeight="false" outlineLevel="0" collapsed="false">
      <c r="A37766" s="2" t="s">
        <v>562</v>
      </c>
      <c r="C37766" s="17" t="n">
        <f aca="false">C37689+C37755</f>
        <v>562.203125</v>
      </c>
    </row>
    <row r="37767" customFormat="false" ht="15" hidden="false" customHeight="false" outlineLevel="0" collapsed="false">
      <c r="A37767" s="2" t="s">
        <v>563</v>
      </c>
      <c r="C37767" s="17" t="n">
        <f aca="false">C37690+C37756</f>
        <v>353.98125</v>
      </c>
    </row>
    <row r="37768" customFormat="false" ht="15" hidden="false" customHeight="false" outlineLevel="0" collapsed="false">
      <c r="A37768" s="2" t="s">
        <v>564</v>
      </c>
      <c r="C37768" s="17" t="n">
        <f aca="false">C37691+C37757</f>
        <v>304.59375</v>
      </c>
    </row>
    <row r="37769" customFormat="false" ht="15" hidden="false" customHeight="false" outlineLevel="0" collapsed="false">
      <c r="A37769" s="2" t="s">
        <v>565</v>
      </c>
      <c r="C37769" s="17" t="n">
        <f aca="false">C37692+C37758</f>
        <v>79.938509</v>
      </c>
    </row>
    <row r="37770" customFormat="false" ht="15" hidden="false" customHeight="false" outlineLevel="0" collapsed="false">
      <c r="A37770" s="24" t="s">
        <v>576</v>
      </c>
      <c r="B37770" s="25"/>
      <c r="C37770" s="25"/>
      <c r="D37770" s="25"/>
      <c r="E37770" s="25"/>
      <c r="F37770" s="25"/>
      <c r="G37770" s="25"/>
      <c r="H37770" s="25"/>
      <c r="I37770" s="25"/>
      <c r="J37770" s="25"/>
      <c r="K37770" s="25"/>
    </row>
    <row r="37771" customFormat="false" ht="15" hidden="false" customHeight="false" outlineLevel="0" collapsed="false">
      <c r="A37771" s="3" t="s">
        <v>556</v>
      </c>
      <c r="C37771" s="22" t="n">
        <f aca="false">IF(C37650=0,1,C37760/C37650)</f>
        <v>1</v>
      </c>
    </row>
    <row r="37772" customFormat="false" ht="15" hidden="false" customHeight="false" outlineLevel="0" collapsed="false">
      <c r="A37772" s="3" t="s">
        <v>557</v>
      </c>
      <c r="C37772" s="22" t="n">
        <f aca="false">IF(C37651=0,1,C37761/C37651)</f>
        <v>1</v>
      </c>
    </row>
    <row r="37773" customFormat="false" ht="15" hidden="false" customHeight="false" outlineLevel="0" collapsed="false">
      <c r="A37773" s="3" t="s">
        <v>558</v>
      </c>
      <c r="C37773" s="22" t="n">
        <f aca="false">IF(C37652=0,1,C37762/C37652)</f>
        <v>1</v>
      </c>
    </row>
    <row r="37774" customFormat="false" ht="15" hidden="false" customHeight="false" outlineLevel="0" collapsed="false">
      <c r="A37774" s="3" t="s">
        <v>559</v>
      </c>
      <c r="C37774" s="22" t="n">
        <f aca="false">IF(C37653=0,1,C37763/C37653)</f>
        <v>1</v>
      </c>
    </row>
    <row r="37775" customFormat="false" ht="15" hidden="false" customHeight="false" outlineLevel="0" collapsed="false">
      <c r="A37775" s="3" t="s">
        <v>560</v>
      </c>
      <c r="C37775" s="22" t="n">
        <f aca="false">IF(C37654=0,1,C37764/C37654)</f>
        <v>1</v>
      </c>
    </row>
    <row r="37776" customFormat="false" ht="15" hidden="false" customHeight="false" outlineLevel="0" collapsed="false">
      <c r="A37776" s="3" t="s">
        <v>561</v>
      </c>
      <c r="C37776" s="22" t="n">
        <f aca="false">IF(C37655=0,1,C37765/C37655)</f>
        <v>1</v>
      </c>
    </row>
    <row r="37777" customFormat="false" ht="15" hidden="false" customHeight="false" outlineLevel="0" collapsed="false">
      <c r="A37777" s="3" t="s">
        <v>562</v>
      </c>
      <c r="C37777" s="22" t="n">
        <f aca="false">IF(C37656=0,1,C37766/C37656)</f>
        <v>1</v>
      </c>
    </row>
    <row r="37778" customFormat="false" ht="15" hidden="false" customHeight="false" outlineLevel="0" collapsed="false">
      <c r="A37778" s="3" t="s">
        <v>563</v>
      </c>
      <c r="C37778" s="22" t="n">
        <f aca="false">IF(C37657=0,1,C37767/C37657)</f>
        <v>1</v>
      </c>
    </row>
    <row r="37779" customFormat="false" ht="15" hidden="false" customHeight="false" outlineLevel="0" collapsed="false">
      <c r="A37779" s="3" t="s">
        <v>564</v>
      </c>
      <c r="C37779" s="22" t="n">
        <f aca="false">IF(C37658=0,1,C37768/C37658)</f>
        <v>1</v>
      </c>
    </row>
    <row r="37780" customFormat="false" ht="15" hidden="false" customHeight="false" outlineLevel="0" collapsed="false">
      <c r="A37780" s="3" t="s">
        <v>565</v>
      </c>
      <c r="C37780" s="22" t="n">
        <f aca="false">IF(C37659=0,1,C37769/C37659)</f>
        <v>1</v>
      </c>
    </row>
    <row r="37781" customFormat="false" ht="15" hidden="false" customHeight="false" outlineLevel="0" collapsed="false">
      <c r="A37781" s="24" t="s">
        <v>577</v>
      </c>
      <c r="B37781" s="25"/>
      <c r="C37781" s="25"/>
      <c r="D37781" s="25"/>
      <c r="E37781" s="25"/>
      <c r="F37781" s="25"/>
      <c r="G37781" s="25"/>
      <c r="H37781" s="25"/>
      <c r="I37781" s="25"/>
      <c r="J37781" s="25"/>
      <c r="K37781" s="25"/>
    </row>
    <row r="37782" customFormat="false" ht="15" hidden="false" customHeight="false" outlineLevel="0" collapsed="false">
      <c r="A37782" s="3" t="s">
        <v>556</v>
      </c>
      <c r="C37782" s="16" t="n">
        <f aca="false">C37650-C37760</f>
        <v>0</v>
      </c>
    </row>
    <row r="37783" customFormat="false" ht="15" hidden="false" customHeight="false" outlineLevel="0" collapsed="false">
      <c r="A37783" s="3" t="s">
        <v>557</v>
      </c>
      <c r="C37783" s="16" t="n">
        <f aca="false">C37651-C37761</f>
        <v>0</v>
      </c>
    </row>
    <row r="37784" customFormat="false" ht="15" hidden="false" customHeight="false" outlineLevel="0" collapsed="false">
      <c r="A37784" s="3" t="s">
        <v>558</v>
      </c>
      <c r="C37784" s="16" t="n">
        <f aca="false">C37652-C37762</f>
        <v>0</v>
      </c>
    </row>
    <row r="37785" customFormat="false" ht="15" hidden="false" customHeight="false" outlineLevel="0" collapsed="false">
      <c r="A37785" s="3" t="s">
        <v>559</v>
      </c>
      <c r="C37785" s="16" t="n">
        <f aca="false">C37653-C37763</f>
        <v>0</v>
      </c>
    </row>
    <row r="37786" customFormat="false" ht="15" hidden="false" customHeight="false" outlineLevel="0" collapsed="false">
      <c r="A37786" s="3" t="s">
        <v>560</v>
      </c>
      <c r="C37786" s="16" t="n">
        <f aca="false">C37654-C37764</f>
        <v>0</v>
      </c>
    </row>
    <row r="37787" customFormat="false" ht="15" hidden="false" customHeight="false" outlineLevel="0" collapsed="false">
      <c r="A37787" s="3" t="s">
        <v>561</v>
      </c>
      <c r="C37787" s="16" t="n">
        <f aca="false">C37655-C37765</f>
        <v>0</v>
      </c>
    </row>
    <row r="37788" customFormat="false" ht="15" hidden="false" customHeight="false" outlineLevel="0" collapsed="false">
      <c r="A37788" s="3" t="s">
        <v>562</v>
      </c>
      <c r="C37788" s="16" t="n">
        <f aca="false">C37656-C37766</f>
        <v>0</v>
      </c>
    </row>
    <row r="37789" customFormat="false" ht="15" hidden="false" customHeight="false" outlineLevel="0" collapsed="false">
      <c r="A37789" s="3" t="s">
        <v>563</v>
      </c>
      <c r="C37789" s="16" t="n">
        <f aca="false">C37657-C37767</f>
        <v>0</v>
      </c>
    </row>
    <row r="37790" customFormat="false" ht="15" hidden="false" customHeight="false" outlineLevel="0" collapsed="false">
      <c r="A37790" s="3" t="s">
        <v>564</v>
      </c>
      <c r="C37790" s="16" t="n">
        <f aca="false">C37658-C37768</f>
        <v>0</v>
      </c>
    </row>
    <row r="37791" customFormat="false" ht="15" hidden="false" customHeight="false" outlineLevel="0" collapsed="false">
      <c r="A37791" s="3" t="s">
        <v>565</v>
      </c>
      <c r="C37791" s="16" t="n">
        <f aca="false">C37659-C37769</f>
        <v>0</v>
      </c>
    </row>
    <row r="37792" customFormat="false" ht="15" hidden="false" customHeight="false" outlineLevel="0" collapsed="false">
      <c r="A37792" s="24" t="s">
        <v>578</v>
      </c>
      <c r="B37792" s="25"/>
      <c r="C37792" s="25"/>
      <c r="D37792" s="25"/>
      <c r="E37792" s="25"/>
      <c r="F37792" s="25"/>
      <c r="G37792" s="25"/>
      <c r="H37792" s="25"/>
      <c r="I37792" s="25"/>
      <c r="J37792" s="25"/>
      <c r="K37792" s="25"/>
    </row>
    <row r="37793" customFormat="false" ht="15" hidden="false" customHeight="false" outlineLevel="0" collapsed="false">
      <c r="A37793" s="3" t="s">
        <v>556</v>
      </c>
      <c r="C37793" s="22" t="n">
        <f aca="false">IF(C37650=0,0,C37782/C37650)</f>
        <v>0</v>
      </c>
    </row>
    <row r="37794" customFormat="false" ht="15" hidden="false" customHeight="false" outlineLevel="0" collapsed="false">
      <c r="A37794" s="3" t="s">
        <v>557</v>
      </c>
      <c r="C37794" s="22" t="n">
        <f aca="false">IF(C37651=0,0,C37783/C37651)</f>
        <v>0</v>
      </c>
    </row>
    <row r="37795" customFormat="false" ht="15" hidden="false" customHeight="false" outlineLevel="0" collapsed="false">
      <c r="A37795" s="3" t="s">
        <v>558</v>
      </c>
      <c r="C37795" s="22" t="n">
        <f aca="false">IF(C37652=0,0,C37784/C37652)</f>
        <v>0</v>
      </c>
    </row>
    <row r="37796" customFormat="false" ht="15" hidden="false" customHeight="false" outlineLevel="0" collapsed="false">
      <c r="A37796" s="3" t="s">
        <v>559</v>
      </c>
      <c r="C37796" s="22" t="n">
        <f aca="false">IF(C37653=0,0,C37785/C37653)</f>
        <v>0</v>
      </c>
    </row>
    <row r="37797" customFormat="false" ht="15" hidden="false" customHeight="false" outlineLevel="0" collapsed="false">
      <c r="A37797" s="3" t="s">
        <v>560</v>
      </c>
      <c r="C37797" s="22" t="n">
        <f aca="false">IF(C37654=0,0,C37786/C37654)</f>
        <v>0</v>
      </c>
    </row>
    <row r="37798" customFormat="false" ht="15" hidden="false" customHeight="false" outlineLevel="0" collapsed="false">
      <c r="A37798" s="3" t="s">
        <v>561</v>
      </c>
      <c r="C37798" s="22" t="n">
        <f aca="false">IF(C37655=0,0,C37787/C37655)</f>
        <v>0</v>
      </c>
    </row>
    <row r="37799" customFormat="false" ht="15" hidden="false" customHeight="false" outlineLevel="0" collapsed="false">
      <c r="A37799" s="3" t="s">
        <v>562</v>
      </c>
      <c r="C37799" s="22" t="n">
        <f aca="false">IF(C37656=0,0,C37788/C37656)</f>
        <v>0</v>
      </c>
    </row>
    <row r="37800" customFormat="false" ht="15" hidden="false" customHeight="false" outlineLevel="0" collapsed="false">
      <c r="A37800" s="3" t="s">
        <v>563</v>
      </c>
      <c r="C37800" s="22" t="n">
        <f aca="false">IF(C37657=0,0,C37789/C37657)</f>
        <v>0</v>
      </c>
    </row>
    <row r="37801" customFormat="false" ht="15" hidden="false" customHeight="false" outlineLevel="0" collapsed="false">
      <c r="A37801" s="3" t="s">
        <v>564</v>
      </c>
      <c r="C37801" s="22" t="n">
        <f aca="false">IF(C37658=0,0,C37790/C37658)</f>
        <v>0</v>
      </c>
    </row>
    <row r="37802" customFormat="false" ht="15" hidden="false" customHeight="false" outlineLevel="0" collapsed="false">
      <c r="A37802" s="3" t="s">
        <v>565</v>
      </c>
      <c r="C37802" s="22" t="n">
        <f aca="false">IF(C37659=0,0,C37791/C37659)</f>
        <v>0</v>
      </c>
    </row>
    <row r="37803" customFormat="false" ht="15" hidden="false" customHeight="false" outlineLevel="0" collapsed="false">
      <c r="A37803" s="2" t="s">
        <v>579</v>
      </c>
      <c r="C37803" s="17" t="n">
        <f aca="false">MAX(0,$C$37648-SUM($C$37683:$C$37692)-SUM($C$37705:$C$37714))</f>
        <v>518.118561634925</v>
      </c>
    </row>
    <row r="37804" customFormat="false" ht="15" hidden="false" customHeight="false" outlineLevel="0" collapsed="false">
      <c r="A37804" s="3" t="s">
        <v>580</v>
      </c>
      <c r="C37804" s="16" t="n">
        <f aca="false">SUM($C$37760:$C$37769)+C37803+C37647-C37646</f>
        <v>0</v>
      </c>
    </row>
    <row r="37806" customFormat="false" ht="15" hidden="false" customHeight="false" outlineLevel="0" collapsed="false">
      <c r="A37806" s="24" t="s">
        <v>583</v>
      </c>
      <c r="B37806" s="25"/>
      <c r="C37806" s="25"/>
      <c r="D37806" s="25"/>
      <c r="E37806" s="25"/>
      <c r="F37806" s="25"/>
      <c r="G37806" s="25"/>
      <c r="H37806" s="25"/>
      <c r="I37806" s="25"/>
      <c r="J37806" s="25"/>
      <c r="K37806" s="25"/>
    </row>
    <row r="37807" customFormat="false" ht="15" hidden="false" customHeight="false" outlineLevel="0" collapsed="false">
      <c r="A37807" s="3" t="s">
        <v>584</v>
      </c>
      <c r="C37807" s="27" t="n">
        <f aca="false">Assumptions!$C$34</f>
        <v>1</v>
      </c>
    </row>
    <row r="37808" customFormat="false" ht="15" hidden="false" customHeight="false" outlineLevel="0" collapsed="false">
      <c r="A37808" s="3" t="s">
        <v>585</v>
      </c>
      <c r="C37808" s="29" t="n">
        <f aca="false">Assumptions!$C$35</f>
        <v>100</v>
      </c>
    </row>
    <row r="37809" customFormat="false" ht="15" hidden="false" customHeight="false" outlineLevel="0" collapsed="false">
      <c r="A37809" s="3" t="s">
        <v>586</v>
      </c>
      <c r="C37809" s="40" t="n">
        <f aca="false">Assumptions!$C$36</f>
        <v>98</v>
      </c>
    </row>
    <row r="37810" customFormat="false" ht="15" hidden="false" customHeight="false" outlineLevel="0" collapsed="false">
      <c r="A37810" s="3" t="s">
        <v>587</v>
      </c>
      <c r="C37810" s="16" t="n">
        <f aca="false">C37808*C37809/100*(1+Assumptions!$C$37)</f>
        <v>98.49</v>
      </c>
    </row>
    <row r="37811" customFormat="false" ht="15" hidden="false" customHeight="false" outlineLevel="0" collapsed="false">
      <c r="A37811" s="3" t="s">
        <v>588</v>
      </c>
      <c r="C37811" s="27" t="n">
        <f aca="false">Assumptions!$C$38</f>
        <v>3</v>
      </c>
    </row>
    <row r="37812" customFormat="false" ht="15" hidden="false" customHeight="false" outlineLevel="0" collapsed="false">
      <c r="A37812" s="3" t="s">
        <v>589</v>
      </c>
      <c r="C37812" s="21" t="n">
        <f aca="false">IF(C37639=1,SUMPRODUCT($G$37575:$K$37575,$G$37349:$K$37349),0)</f>
        <v>2</v>
      </c>
    </row>
    <row r="37813" customFormat="false" ht="15" hidden="false" customHeight="false" outlineLevel="0" collapsed="false">
      <c r="A37813" s="3" t="s">
        <v>590</v>
      </c>
      <c r="C37813" s="22" t="n">
        <f aca="false">IFERROR(C37808/CHOOSE(C37807,SUMPRODUCT($G$37638:$K$37638,$G$37395:$K$37395),SUMPRODUCT($G$37638:$K$37638,$G$37408:$K$37408),SUMPRODUCT($G$37638:$K$37638,$G$37421:$K$37421),SUMPRODUCT($G$37638:$K$37638,$G$37434:$K$37434),SUMPRODUCT($G$37638:$K$37638,$G$37447:$K$37447),SUMPRODUCT($G$37638:$K$37638,$G$37460:$K$37460),SUMPRODUCT($G$37638:$K$37638,$G$37473:$K$37473),SUMPRODUCT($G$37638:$K$37638,$G$37486:$K$37486),SUMPRODUCT($G$37638:$K$37638,$G$37499:$K$37499),SUMPRODUCT($G$37638:$K$37638,$G$37512:$K$37512)),0)</f>
        <v>0.255102040816327</v>
      </c>
    </row>
    <row r="37814" customFormat="false" ht="15" hidden="false" customHeight="false" outlineLevel="0" collapsed="false">
      <c r="A37814" s="3" t="s">
        <v>591</v>
      </c>
      <c r="C37814" s="16" t="n">
        <f aca="false">CHOOSE(C37807,C37760,C37761,C37762,C37763,C37764,C37765,C37766,C37767,C37768,C37769)*C37813</f>
        <v>102.625</v>
      </c>
    </row>
    <row r="37815" customFormat="false" ht="15" hidden="false" customHeight="false" outlineLevel="0" collapsed="false">
      <c r="A37815" s="3" t="s">
        <v>592</v>
      </c>
      <c r="C37815" s="22" t="n">
        <f aca="false">CHOOSE(C37807,C37771,C37772,C37773,C37774,C37775,C37776,C37777,C37778,C37779,C37780)</f>
        <v>1</v>
      </c>
    </row>
    <row r="37816" customFormat="false" ht="15" hidden="false" customHeight="false" outlineLevel="0" collapsed="false">
      <c r="A37816" s="3" t="s">
        <v>593</v>
      </c>
      <c r="C37816" s="21" t="n">
        <f aca="false">IF(C37639=1,C37812,C37811)</f>
        <v>2</v>
      </c>
    </row>
    <row r="37817" customFormat="false" ht="15" hidden="false" customHeight="false" outlineLevel="0" collapsed="false">
      <c r="A37817" s="3" t="s">
        <v>594</v>
      </c>
      <c r="C37817" s="35" t="n">
        <f aca="false">CHOOSE($C$37341,Assumptions!$C$91,Assumptions!$C$110,Assumptions!$C$129)</f>
        <v>95</v>
      </c>
    </row>
    <row r="37818" customFormat="false" ht="15" hidden="false" customHeight="false" outlineLevel="0" collapsed="false">
      <c r="A37818" s="3" t="s">
        <v>595</v>
      </c>
      <c r="C37818" s="16" t="n">
        <f aca="false">INDEX($G$37358:$K$37358,C37811)*CHOOSE($C$37341,Assumptions!$C$90,Assumptions!$C$109,Assumptions!$C$128)+MAX(0,INDEX($G$37572:$K$37572,C37811))</f>
        <v>2423.913149823</v>
      </c>
    </row>
    <row r="37819" customFormat="false" ht="15" hidden="false" customHeight="false" outlineLevel="0" collapsed="false">
      <c r="A37819" s="24" t="s">
        <v>596</v>
      </c>
      <c r="B37819" s="25"/>
      <c r="C37819" s="25"/>
      <c r="D37819" s="25"/>
      <c r="E37819" s="25"/>
      <c r="F37819" s="25"/>
      <c r="G37819" s="25"/>
      <c r="H37819" s="25"/>
      <c r="I37819" s="25"/>
      <c r="J37819" s="25"/>
      <c r="K37819" s="25"/>
    </row>
    <row r="37820" customFormat="false" ht="15" hidden="false" customHeight="false" outlineLevel="0" collapsed="false">
      <c r="A37820" s="3" t="s">
        <v>556</v>
      </c>
      <c r="C37820" s="16" t="n">
        <f aca="false">INDEX($G$37395:$K$37395,C37811)</f>
        <v>388</v>
      </c>
    </row>
    <row r="37821" customFormat="false" ht="15" hidden="false" customHeight="false" outlineLevel="0" collapsed="false">
      <c r="A37821" s="3" t="s">
        <v>557</v>
      </c>
      <c r="C37821" s="16" t="n">
        <f aca="false">INDEX($G$37408:$K$37408,C37811)</f>
        <v>90</v>
      </c>
    </row>
    <row r="37822" customFormat="false" ht="15" hidden="false" customHeight="false" outlineLevel="0" collapsed="false">
      <c r="A37822" s="3" t="s">
        <v>558</v>
      </c>
      <c r="C37822" s="16" t="n">
        <f aca="false">INDEX($G$37421:$K$37421,C37811)</f>
        <v>57.324</v>
      </c>
    </row>
    <row r="37823" customFormat="false" ht="15" hidden="false" customHeight="false" outlineLevel="0" collapsed="false">
      <c r="A37823" s="3" t="s">
        <v>559</v>
      </c>
      <c r="C37823" s="16" t="n">
        <f aca="false">INDEX($G$37434:$K$37434,C37811)</f>
        <v>0</v>
      </c>
    </row>
    <row r="37824" customFormat="false" ht="15" hidden="false" customHeight="false" outlineLevel="0" collapsed="false">
      <c r="A37824" s="3" t="s">
        <v>560</v>
      </c>
      <c r="C37824" s="16" t="n">
        <f aca="false">INDEX($G$37447:$K$37447,C37811)</f>
        <v>401.446357881</v>
      </c>
    </row>
    <row r="37825" customFormat="false" ht="15" hidden="false" customHeight="false" outlineLevel="0" collapsed="false">
      <c r="A37825" s="3" t="s">
        <v>561</v>
      </c>
      <c r="C37825" s="16" t="n">
        <f aca="false">INDEX($G$37460:$K$37460,C37811)</f>
        <v>350</v>
      </c>
    </row>
    <row r="37826" customFormat="false" ht="15" hidden="false" customHeight="false" outlineLevel="0" collapsed="false">
      <c r="A37826" s="3" t="s">
        <v>562</v>
      </c>
      <c r="C37826" s="16" t="n">
        <f aca="false">INDEX($G$37473:$K$37473,C37811)</f>
        <v>550</v>
      </c>
    </row>
    <row r="37827" customFormat="false" ht="15" hidden="false" customHeight="false" outlineLevel="0" collapsed="false">
      <c r="A37827" s="3" t="s">
        <v>563</v>
      </c>
      <c r="C37827" s="16" t="n">
        <f aca="false">INDEX($G$37486:$K$37486,C37811)</f>
        <v>350</v>
      </c>
    </row>
    <row r="37828" customFormat="false" ht="15" hidden="false" customHeight="false" outlineLevel="0" collapsed="false">
      <c r="A37828" s="3" t="s">
        <v>564</v>
      </c>
      <c r="C37828" s="16" t="n">
        <f aca="false">INDEX($G$37499:$K$37499,C37811)</f>
        <v>300</v>
      </c>
    </row>
    <row r="37829" customFormat="false" ht="15" hidden="false" customHeight="false" outlineLevel="0" collapsed="false">
      <c r="A37829" s="3" t="s">
        <v>565</v>
      </c>
      <c r="C37829" s="16" t="n">
        <f aca="false">INDEX($G$37512:$K$37512,C37811)</f>
        <v>78.61</v>
      </c>
    </row>
    <row r="37830" customFormat="false" ht="15" hidden="false" customHeight="false" outlineLevel="0" collapsed="false">
      <c r="A37830" s="24" t="s">
        <v>566</v>
      </c>
      <c r="B37830" s="25"/>
      <c r="C37830" s="25"/>
      <c r="D37830" s="25"/>
      <c r="E37830" s="25"/>
      <c r="F37830" s="25"/>
      <c r="G37830" s="25"/>
      <c r="H37830" s="25"/>
      <c r="I37830" s="25"/>
      <c r="J37830" s="25"/>
      <c r="K37830" s="25"/>
    </row>
    <row r="37831" customFormat="false" ht="15" hidden="false" customHeight="false" outlineLevel="0" collapsed="false">
      <c r="A37831" s="3" t="s">
        <v>556</v>
      </c>
      <c r="C37831" s="27" t="n">
        <f aca="false">Assumptions!$M$57</f>
        <v>1</v>
      </c>
    </row>
    <row r="37832" customFormat="false" ht="15" hidden="false" customHeight="false" outlineLevel="0" collapsed="false">
      <c r="A37832" s="3" t="s">
        <v>557</v>
      </c>
      <c r="C37832" s="27" t="n">
        <f aca="false">Assumptions!$M$58</f>
        <v>1</v>
      </c>
    </row>
    <row r="37833" customFormat="false" ht="15" hidden="false" customHeight="false" outlineLevel="0" collapsed="false">
      <c r="A37833" s="3" t="s">
        <v>558</v>
      </c>
      <c r="C37833" s="27" t="n">
        <f aca="false">Assumptions!$M$59</f>
        <v>1</v>
      </c>
    </row>
    <row r="37834" customFormat="false" ht="15" hidden="false" customHeight="false" outlineLevel="0" collapsed="false">
      <c r="A37834" s="3" t="s">
        <v>559</v>
      </c>
      <c r="C37834" s="27" t="n">
        <f aca="false">Assumptions!$M$60</f>
        <v>2</v>
      </c>
    </row>
    <row r="37835" customFormat="false" ht="15" hidden="false" customHeight="false" outlineLevel="0" collapsed="false">
      <c r="A37835" s="3" t="s">
        <v>560</v>
      </c>
      <c r="C37835" s="27" t="n">
        <f aca="false">Assumptions!$M$61</f>
        <v>2</v>
      </c>
    </row>
    <row r="37836" customFormat="false" ht="15" hidden="false" customHeight="false" outlineLevel="0" collapsed="false">
      <c r="A37836" s="3" t="s">
        <v>561</v>
      </c>
      <c r="C37836" s="27" t="n">
        <f aca="false">Assumptions!$M$62</f>
        <v>2</v>
      </c>
    </row>
    <row r="37837" customFormat="false" ht="15" hidden="false" customHeight="false" outlineLevel="0" collapsed="false">
      <c r="A37837" s="3" t="s">
        <v>562</v>
      </c>
      <c r="C37837" s="27" t="n">
        <f aca="false">Assumptions!$M$63</f>
        <v>2</v>
      </c>
    </row>
    <row r="37838" customFormat="false" ht="15" hidden="false" customHeight="false" outlineLevel="0" collapsed="false">
      <c r="A37838" s="3" t="s">
        <v>563</v>
      </c>
      <c r="C37838" s="27" t="n">
        <f aca="false">Assumptions!$M$64</f>
        <v>2</v>
      </c>
    </row>
    <row r="37839" customFormat="false" ht="15" hidden="false" customHeight="false" outlineLevel="0" collapsed="false">
      <c r="A37839" s="3" t="s">
        <v>564</v>
      </c>
      <c r="C37839" s="27" t="n">
        <f aca="false">Assumptions!$M$65</f>
        <v>2</v>
      </c>
    </row>
    <row r="37840" customFormat="false" ht="15" hidden="false" customHeight="false" outlineLevel="0" collapsed="false">
      <c r="A37840" s="3" t="s">
        <v>565</v>
      </c>
      <c r="C37840" s="27" t="n">
        <f aca="false">Assumptions!$M$66</f>
        <v>3</v>
      </c>
    </row>
    <row r="37841" customFormat="false" ht="15" hidden="false" customHeight="false" outlineLevel="0" collapsed="false">
      <c r="A37841" s="24" t="s">
        <v>567</v>
      </c>
      <c r="B37841" s="25"/>
      <c r="C37841" s="25"/>
      <c r="D37841" s="25"/>
      <c r="E37841" s="25"/>
      <c r="F37841" s="25"/>
      <c r="G37841" s="25"/>
      <c r="H37841" s="25"/>
      <c r="I37841" s="25"/>
      <c r="J37841" s="25"/>
      <c r="K37841" s="25"/>
    </row>
    <row r="37842" customFormat="false" ht="15" hidden="false" customHeight="false" outlineLevel="0" collapsed="false">
      <c r="A37842" s="3" t="s">
        <v>556</v>
      </c>
      <c r="C37842" s="33" t="n">
        <f aca="false">Assumptions!$Q$57</f>
        <v>0.3</v>
      </c>
    </row>
    <row r="37843" customFormat="false" ht="15" hidden="false" customHeight="false" outlineLevel="0" collapsed="false">
      <c r="A37843" s="3" t="s">
        <v>557</v>
      </c>
      <c r="C37843" s="33" t="n">
        <f aca="false">Assumptions!$Q$58</f>
        <v>0.033</v>
      </c>
    </row>
    <row r="37844" customFormat="false" ht="15" hidden="false" customHeight="false" outlineLevel="0" collapsed="false">
      <c r="A37844" s="3" t="s">
        <v>558</v>
      </c>
      <c r="C37844" s="33" t="n">
        <f aca="false">Assumptions!$Q$59</f>
        <v>0.021</v>
      </c>
    </row>
    <row r="37845" customFormat="false" ht="15" hidden="false" customHeight="false" outlineLevel="0" collapsed="false">
      <c r="A37845" s="3" t="s">
        <v>559</v>
      </c>
      <c r="C37845" s="33" t="n">
        <f aca="false">Assumptions!$Q$60</f>
        <v>0</v>
      </c>
    </row>
    <row r="37846" customFormat="false" ht="15" hidden="false" customHeight="false" outlineLevel="0" collapsed="false">
      <c r="A37846" s="3" t="s">
        <v>560</v>
      </c>
      <c r="C37846" s="33" t="n">
        <f aca="false">Assumptions!$Q$61</f>
        <v>0</v>
      </c>
    </row>
    <row r="37847" customFormat="false" ht="15" hidden="false" customHeight="false" outlineLevel="0" collapsed="false">
      <c r="A37847" s="3" t="s">
        <v>561</v>
      </c>
      <c r="C37847" s="33" t="n">
        <f aca="false">Assumptions!$Q$62</f>
        <v>0</v>
      </c>
    </row>
    <row r="37848" customFormat="false" ht="15" hidden="false" customHeight="false" outlineLevel="0" collapsed="false">
      <c r="A37848" s="3" t="s">
        <v>562</v>
      </c>
      <c r="C37848" s="33" t="n">
        <f aca="false">Assumptions!$Q$63</f>
        <v>0</v>
      </c>
    </row>
    <row r="37849" customFormat="false" ht="15" hidden="false" customHeight="false" outlineLevel="0" collapsed="false">
      <c r="A37849" s="3" t="s">
        <v>563</v>
      </c>
      <c r="C37849" s="33" t="n">
        <f aca="false">Assumptions!$Q$64</f>
        <v>0</v>
      </c>
    </row>
    <row r="37850" customFormat="false" ht="15" hidden="false" customHeight="false" outlineLevel="0" collapsed="false">
      <c r="A37850" s="3" t="s">
        <v>564</v>
      </c>
      <c r="C37850" s="33" t="n">
        <f aca="false">Assumptions!$Q$65</f>
        <v>0</v>
      </c>
    </row>
    <row r="37851" customFormat="false" ht="15" hidden="false" customHeight="false" outlineLevel="0" collapsed="false">
      <c r="A37851" s="3" t="s">
        <v>565</v>
      </c>
      <c r="C37851" s="33" t="n">
        <f aca="false">Assumptions!$Q$66</f>
        <v>0</v>
      </c>
    </row>
    <row r="37852" customFormat="false" ht="15" hidden="false" customHeight="false" outlineLevel="0" collapsed="false">
      <c r="A37852" s="24" t="s">
        <v>568</v>
      </c>
      <c r="B37852" s="25"/>
      <c r="C37852" s="25"/>
      <c r="D37852" s="25"/>
      <c r="E37852" s="25"/>
      <c r="F37852" s="25"/>
      <c r="G37852" s="25"/>
      <c r="H37852" s="25"/>
      <c r="I37852" s="25"/>
      <c r="J37852" s="25"/>
      <c r="K37852" s="25"/>
    </row>
    <row r="37853" customFormat="false" ht="15" hidden="false" customHeight="false" outlineLevel="0" collapsed="false">
      <c r="A37853" s="3" t="s">
        <v>556</v>
      </c>
      <c r="C37853" s="16" t="n">
        <f aca="false">IF(C37842&gt;0,MIN(C37820,C37842*$C$37818),0)</f>
        <v>388</v>
      </c>
    </row>
    <row r="37854" customFormat="false" ht="15" hidden="false" customHeight="false" outlineLevel="0" collapsed="false">
      <c r="A37854" s="3" t="s">
        <v>557</v>
      </c>
      <c r="C37854" s="16" t="n">
        <f aca="false">IF(C37843&gt;0,MIN(C37821,C37843*$C$37818),0)</f>
        <v>79.989133944159</v>
      </c>
    </row>
    <row r="37855" customFormat="false" ht="15" hidden="false" customHeight="false" outlineLevel="0" collapsed="false">
      <c r="A37855" s="3" t="s">
        <v>558</v>
      </c>
      <c r="C37855" s="16" t="n">
        <f aca="false">IF(C37844&gt;0,MIN(C37822,C37844*$C$37818),0)</f>
        <v>50.902176146283</v>
      </c>
    </row>
    <row r="37856" customFormat="false" ht="15" hidden="false" customHeight="false" outlineLevel="0" collapsed="false">
      <c r="A37856" s="3" t="s">
        <v>559</v>
      </c>
      <c r="C37856" s="16" t="n">
        <f aca="false">IF(C37845&gt;0,MIN(C37823,C37845*$C$37818),0)</f>
        <v>0</v>
      </c>
    </row>
    <row r="37857" customFormat="false" ht="15" hidden="false" customHeight="false" outlineLevel="0" collapsed="false">
      <c r="A37857" s="3" t="s">
        <v>560</v>
      </c>
      <c r="C37857" s="16" t="n">
        <f aca="false">IF(C37846&gt;0,MIN(C37824,C37846*$C$37818),0)</f>
        <v>0</v>
      </c>
    </row>
    <row r="37858" customFormat="false" ht="15" hidden="false" customHeight="false" outlineLevel="0" collapsed="false">
      <c r="A37858" s="3" t="s">
        <v>561</v>
      </c>
      <c r="C37858" s="16" t="n">
        <f aca="false">IF(C37847&gt;0,MIN(C37825,C37847*$C$37818),0)</f>
        <v>0</v>
      </c>
    </row>
    <row r="37859" customFormat="false" ht="15" hidden="false" customHeight="false" outlineLevel="0" collapsed="false">
      <c r="A37859" s="3" t="s">
        <v>562</v>
      </c>
      <c r="C37859" s="16" t="n">
        <f aca="false">IF(C37848&gt;0,MIN(C37826,C37848*$C$37818),0)</f>
        <v>0</v>
      </c>
    </row>
    <row r="37860" customFormat="false" ht="15" hidden="false" customHeight="false" outlineLevel="0" collapsed="false">
      <c r="A37860" s="3" t="s">
        <v>563</v>
      </c>
      <c r="C37860" s="16" t="n">
        <f aca="false">IF(C37849&gt;0,MIN(C37827,C37849*$C$37818),0)</f>
        <v>0</v>
      </c>
    </row>
    <row r="37861" customFormat="false" ht="15" hidden="false" customHeight="false" outlineLevel="0" collapsed="false">
      <c r="A37861" s="3" t="s">
        <v>564</v>
      </c>
      <c r="C37861" s="16" t="n">
        <f aca="false">IF(C37850&gt;0,MIN(C37828,C37850*$C$37818),0)</f>
        <v>0</v>
      </c>
    </row>
    <row r="37862" customFormat="false" ht="15" hidden="false" customHeight="false" outlineLevel="0" collapsed="false">
      <c r="A37862" s="3" t="s">
        <v>565</v>
      </c>
      <c r="C37862" s="16" t="n">
        <f aca="false">IF(C37851&gt;0,MIN(C37829,C37851*$C$37818),0)</f>
        <v>0</v>
      </c>
    </row>
    <row r="37863" customFormat="false" ht="15" hidden="false" customHeight="false" outlineLevel="0" collapsed="false">
      <c r="A37863" s="24" t="s">
        <v>569</v>
      </c>
      <c r="B37863" s="25"/>
      <c r="C37863" s="25"/>
      <c r="D37863" s="25"/>
      <c r="E37863" s="25"/>
      <c r="F37863" s="25"/>
      <c r="G37863" s="25"/>
      <c r="H37863" s="25"/>
      <c r="I37863" s="25"/>
      <c r="J37863" s="25"/>
      <c r="K37863" s="25"/>
    </row>
    <row r="37864" customFormat="false" ht="15" hidden="false" customHeight="false" outlineLevel="0" collapsed="false">
      <c r="A37864" s="3" t="s">
        <v>556</v>
      </c>
      <c r="C37864" s="16" t="n">
        <f aca="false">IF(C37842&gt;0,C37820-C37853,0)</f>
        <v>0</v>
      </c>
    </row>
    <row r="37865" customFormat="false" ht="15" hidden="false" customHeight="false" outlineLevel="0" collapsed="false">
      <c r="A37865" s="3" t="s">
        <v>557</v>
      </c>
      <c r="C37865" s="16" t="n">
        <f aca="false">IF(C37843&gt;0,C37821-C37854,0)</f>
        <v>10.010866055841</v>
      </c>
    </row>
    <row r="37866" customFormat="false" ht="15" hidden="false" customHeight="false" outlineLevel="0" collapsed="false">
      <c r="A37866" s="3" t="s">
        <v>558</v>
      </c>
      <c r="C37866" s="16" t="n">
        <f aca="false">IF(C37844&gt;0,C37822-C37855,0)</f>
        <v>6.42182385371699</v>
      </c>
    </row>
    <row r="37867" customFormat="false" ht="15" hidden="false" customHeight="false" outlineLevel="0" collapsed="false">
      <c r="A37867" s="3" t="s">
        <v>559</v>
      </c>
      <c r="C37867" s="16" t="n">
        <f aca="false">IF(C37845&gt;0,C37823-C37856,0)</f>
        <v>0</v>
      </c>
    </row>
    <row r="37868" customFormat="false" ht="15" hidden="false" customHeight="false" outlineLevel="0" collapsed="false">
      <c r="A37868" s="3" t="s">
        <v>560</v>
      </c>
      <c r="C37868" s="16" t="n">
        <f aca="false">IF(C37846&gt;0,C37824-C37857,0)</f>
        <v>0</v>
      </c>
    </row>
    <row r="37869" customFormat="false" ht="15" hidden="false" customHeight="false" outlineLevel="0" collapsed="false">
      <c r="A37869" s="3" t="s">
        <v>561</v>
      </c>
      <c r="C37869" s="16" t="n">
        <f aca="false">IF(C37847&gt;0,C37825-C37858,0)</f>
        <v>0</v>
      </c>
    </row>
    <row r="37870" customFormat="false" ht="15" hidden="false" customHeight="false" outlineLevel="0" collapsed="false">
      <c r="A37870" s="3" t="s">
        <v>562</v>
      </c>
      <c r="C37870" s="16" t="n">
        <f aca="false">IF(C37848&gt;0,C37826-C37859,0)</f>
        <v>0</v>
      </c>
    </row>
    <row r="37871" customFormat="false" ht="15" hidden="false" customHeight="false" outlineLevel="0" collapsed="false">
      <c r="A37871" s="3" t="s">
        <v>563</v>
      </c>
      <c r="C37871" s="16" t="n">
        <f aca="false">IF(C37849&gt;0,C37827-C37860,0)</f>
        <v>0</v>
      </c>
    </row>
    <row r="37872" customFormat="false" ht="15" hidden="false" customHeight="false" outlineLevel="0" collapsed="false">
      <c r="A37872" s="3" t="s">
        <v>564</v>
      </c>
      <c r="C37872" s="16" t="n">
        <f aca="false">IF(C37850&gt;0,C37828-C37861,0)</f>
        <v>0</v>
      </c>
    </row>
    <row r="37873" customFormat="false" ht="15" hidden="false" customHeight="false" outlineLevel="0" collapsed="false">
      <c r="A37873" s="3" t="s">
        <v>565</v>
      </c>
      <c r="C37873" s="16" t="n">
        <f aca="false">IF(C37851&gt;0,C37829-C37862,0)</f>
        <v>0</v>
      </c>
    </row>
    <row r="37874" customFormat="false" ht="15" hidden="false" customHeight="false" outlineLevel="0" collapsed="false">
      <c r="A37874" s="24" t="s">
        <v>570</v>
      </c>
      <c r="B37874" s="25"/>
      <c r="C37874" s="25"/>
      <c r="D37874" s="25"/>
      <c r="E37874" s="25"/>
      <c r="F37874" s="25"/>
      <c r="G37874" s="25"/>
      <c r="H37874" s="25"/>
      <c r="I37874" s="25"/>
      <c r="J37874" s="25"/>
      <c r="K37874" s="25"/>
    </row>
    <row r="37875" customFormat="false" ht="15" hidden="false" customHeight="false" outlineLevel="0" collapsed="false">
      <c r="A37875" s="3" t="s">
        <v>556</v>
      </c>
      <c r="C37875" s="16" t="n">
        <f aca="false">IF(C37842&gt;0,C37864,C37820)</f>
        <v>0</v>
      </c>
    </row>
    <row r="37876" customFormat="false" ht="15" hidden="false" customHeight="false" outlineLevel="0" collapsed="false">
      <c r="A37876" s="3" t="s">
        <v>557</v>
      </c>
      <c r="C37876" s="16" t="n">
        <f aca="false">IF(C37843&gt;0,C37865,C37821)</f>
        <v>10.010866055841</v>
      </c>
    </row>
    <row r="37877" customFormat="false" ht="15" hidden="false" customHeight="false" outlineLevel="0" collapsed="false">
      <c r="A37877" s="3" t="s">
        <v>558</v>
      </c>
      <c r="C37877" s="16" t="n">
        <f aca="false">IF(C37844&gt;0,C37866,C37822)</f>
        <v>6.42182385371699</v>
      </c>
    </row>
    <row r="37878" customFormat="false" ht="15" hidden="false" customHeight="false" outlineLevel="0" collapsed="false">
      <c r="A37878" s="3" t="s">
        <v>559</v>
      </c>
      <c r="C37878" s="16" t="n">
        <f aca="false">IF(C37845&gt;0,C37867,C37823)</f>
        <v>0</v>
      </c>
    </row>
    <row r="37879" customFormat="false" ht="15" hidden="false" customHeight="false" outlineLevel="0" collapsed="false">
      <c r="A37879" s="3" t="s">
        <v>560</v>
      </c>
      <c r="C37879" s="16" t="n">
        <f aca="false">IF(C37846&gt;0,C37868,C37824)</f>
        <v>401.446357881</v>
      </c>
    </row>
    <row r="37880" customFormat="false" ht="15" hidden="false" customHeight="false" outlineLevel="0" collapsed="false">
      <c r="A37880" s="3" t="s">
        <v>561</v>
      </c>
      <c r="C37880" s="16" t="n">
        <f aca="false">IF(C37847&gt;0,C37869,C37825)</f>
        <v>350</v>
      </c>
    </row>
    <row r="37881" customFormat="false" ht="15" hidden="false" customHeight="false" outlineLevel="0" collapsed="false">
      <c r="A37881" s="3" t="s">
        <v>562</v>
      </c>
      <c r="C37881" s="16" t="n">
        <f aca="false">IF(C37848&gt;0,C37870,C37826)</f>
        <v>550</v>
      </c>
    </row>
    <row r="37882" customFormat="false" ht="15" hidden="false" customHeight="false" outlineLevel="0" collapsed="false">
      <c r="A37882" s="3" t="s">
        <v>563</v>
      </c>
      <c r="C37882" s="16" t="n">
        <f aca="false">IF(C37849&gt;0,C37871,C37827)</f>
        <v>350</v>
      </c>
    </row>
    <row r="37883" customFormat="false" ht="15" hidden="false" customHeight="false" outlineLevel="0" collapsed="false">
      <c r="A37883" s="3" t="s">
        <v>564</v>
      </c>
      <c r="C37883" s="16" t="n">
        <f aca="false">IF(C37850&gt;0,C37872,C37828)</f>
        <v>300</v>
      </c>
    </row>
    <row r="37884" customFormat="false" ht="15" hidden="false" customHeight="false" outlineLevel="0" collapsed="false">
      <c r="A37884" s="3" t="s">
        <v>565</v>
      </c>
      <c r="C37884" s="16" t="n">
        <f aca="false">IF(C37851&gt;0,C37873,C37829)</f>
        <v>78.61</v>
      </c>
    </row>
    <row r="37885" customFormat="false" ht="15" hidden="false" customHeight="false" outlineLevel="0" collapsed="false">
      <c r="A37885" s="24" t="s">
        <v>571</v>
      </c>
      <c r="B37885" s="25"/>
      <c r="C37885" s="25"/>
      <c r="D37885" s="25"/>
      <c r="E37885" s="25"/>
      <c r="F37885" s="25"/>
      <c r="G37885" s="25"/>
      <c r="H37885" s="25"/>
      <c r="I37885" s="25"/>
      <c r="J37885" s="25"/>
      <c r="K37885" s="25"/>
    </row>
    <row r="37886" customFormat="false" ht="15" hidden="false" customHeight="false" outlineLevel="0" collapsed="false">
      <c r="A37886" s="3" t="s">
        <v>556</v>
      </c>
      <c r="C37886" s="21" t="n">
        <f aca="false">IF(C37842&gt;0,Assumptions!$C$17,C37831)</f>
        <v>99</v>
      </c>
    </row>
    <row r="37887" customFormat="false" ht="15" hidden="false" customHeight="false" outlineLevel="0" collapsed="false">
      <c r="A37887" s="3" t="s">
        <v>557</v>
      </c>
      <c r="C37887" s="21" t="n">
        <f aca="false">IF(C37843&gt;0,Assumptions!$C$17,C37832)</f>
        <v>99</v>
      </c>
    </row>
    <row r="37888" customFormat="false" ht="15" hidden="false" customHeight="false" outlineLevel="0" collapsed="false">
      <c r="A37888" s="3" t="s">
        <v>558</v>
      </c>
      <c r="C37888" s="21" t="n">
        <f aca="false">IF(C37844&gt;0,Assumptions!$C$17,C37833)</f>
        <v>99</v>
      </c>
    </row>
    <row r="37889" customFormat="false" ht="15" hidden="false" customHeight="false" outlineLevel="0" collapsed="false">
      <c r="A37889" s="3" t="s">
        <v>559</v>
      </c>
      <c r="C37889" s="21" t="n">
        <f aca="false">IF(C37845&gt;0,Assumptions!$C$17,C37834)</f>
        <v>2</v>
      </c>
    </row>
    <row r="37890" customFormat="false" ht="15" hidden="false" customHeight="false" outlineLevel="0" collapsed="false">
      <c r="A37890" s="3" t="s">
        <v>560</v>
      </c>
      <c r="C37890" s="21" t="n">
        <f aca="false">IF(C37846&gt;0,Assumptions!$C$17,C37835)</f>
        <v>2</v>
      </c>
    </row>
    <row r="37891" customFormat="false" ht="15" hidden="false" customHeight="false" outlineLevel="0" collapsed="false">
      <c r="A37891" s="3" t="s">
        <v>561</v>
      </c>
      <c r="C37891" s="21" t="n">
        <f aca="false">IF(C37847&gt;0,Assumptions!$C$17,C37836)</f>
        <v>2</v>
      </c>
    </row>
    <row r="37892" customFormat="false" ht="15" hidden="false" customHeight="false" outlineLevel="0" collapsed="false">
      <c r="A37892" s="3" t="s">
        <v>562</v>
      </c>
      <c r="C37892" s="21" t="n">
        <f aca="false">IF(C37848&gt;0,Assumptions!$C$17,C37837)</f>
        <v>2</v>
      </c>
    </row>
    <row r="37893" customFormat="false" ht="15" hidden="false" customHeight="false" outlineLevel="0" collapsed="false">
      <c r="A37893" s="3" t="s">
        <v>563</v>
      </c>
      <c r="C37893" s="21" t="n">
        <f aca="false">IF(C37849&gt;0,Assumptions!$C$17,C37838)</f>
        <v>2</v>
      </c>
    </row>
    <row r="37894" customFormat="false" ht="15" hidden="false" customHeight="false" outlineLevel="0" collapsed="false">
      <c r="A37894" s="3" t="s">
        <v>564</v>
      </c>
      <c r="C37894" s="21" t="n">
        <f aca="false">IF(C37850&gt;0,Assumptions!$C$17,C37839)</f>
        <v>2</v>
      </c>
    </row>
    <row r="37895" customFormat="false" ht="15" hidden="false" customHeight="false" outlineLevel="0" collapsed="false">
      <c r="A37895" s="3" t="s">
        <v>565</v>
      </c>
      <c r="C37895" s="21" t="n">
        <f aca="false">IF(C37851&gt;0,Assumptions!$C$17,C37840)</f>
        <v>3</v>
      </c>
    </row>
    <row r="37896" customFormat="false" ht="15" hidden="false" customHeight="false" outlineLevel="0" collapsed="false">
      <c r="A37896" s="24" t="s">
        <v>572</v>
      </c>
      <c r="B37896" s="25"/>
      <c r="C37896" s="25"/>
      <c r="D37896" s="25"/>
      <c r="E37896" s="25"/>
      <c r="F37896" s="25"/>
      <c r="G37896" s="25"/>
      <c r="H37896" s="25"/>
      <c r="I37896" s="25"/>
      <c r="J37896" s="25"/>
      <c r="K37896" s="25"/>
    </row>
    <row r="37897" customFormat="false" ht="15" hidden="false" customHeight="false" outlineLevel="0" collapsed="false">
      <c r="A37897" s="3" t="s">
        <v>556</v>
      </c>
      <c r="C37897" s="16" t="n">
        <f aca="false">SUMPRODUCT(($C$37886:$C$37895&lt;C37886)*$C$37875:$C$37884)</f>
        <v>2030.056357881</v>
      </c>
    </row>
    <row r="37898" customFormat="false" ht="15" hidden="false" customHeight="false" outlineLevel="0" collapsed="false">
      <c r="A37898" s="3" t="s">
        <v>557</v>
      </c>
      <c r="C37898" s="16" t="n">
        <f aca="false">SUMPRODUCT(($C$37886:$C$37895&lt;C37887)*$C$37875:$C$37884)</f>
        <v>2030.056357881</v>
      </c>
    </row>
    <row r="37899" customFormat="false" ht="15" hidden="false" customHeight="false" outlineLevel="0" collapsed="false">
      <c r="A37899" s="3" t="s">
        <v>558</v>
      </c>
      <c r="C37899" s="16" t="n">
        <f aca="false">SUMPRODUCT(($C$37886:$C$37895&lt;C37888)*$C$37875:$C$37884)</f>
        <v>2030.056357881</v>
      </c>
    </row>
    <row r="37900" customFormat="false" ht="15" hidden="false" customHeight="false" outlineLevel="0" collapsed="false">
      <c r="A37900" s="3" t="s">
        <v>559</v>
      </c>
      <c r="C37900" s="16" t="n">
        <f aca="false">SUMPRODUCT(($C$37886:$C$37895&lt;C37889)*$C$37875:$C$37884)</f>
        <v>0</v>
      </c>
    </row>
    <row r="37901" customFormat="false" ht="15" hidden="false" customHeight="false" outlineLevel="0" collapsed="false">
      <c r="A37901" s="3" t="s">
        <v>560</v>
      </c>
      <c r="C37901" s="16" t="n">
        <f aca="false">SUMPRODUCT(($C$37886:$C$37895&lt;C37890)*$C$37875:$C$37884)</f>
        <v>0</v>
      </c>
    </row>
    <row r="37902" customFormat="false" ht="15" hidden="false" customHeight="false" outlineLevel="0" collapsed="false">
      <c r="A37902" s="3" t="s">
        <v>561</v>
      </c>
      <c r="C37902" s="16" t="n">
        <f aca="false">SUMPRODUCT(($C$37886:$C$37895&lt;C37891)*$C$37875:$C$37884)</f>
        <v>0</v>
      </c>
    </row>
    <row r="37903" customFormat="false" ht="15" hidden="false" customHeight="false" outlineLevel="0" collapsed="false">
      <c r="A37903" s="3" t="s">
        <v>562</v>
      </c>
      <c r="C37903" s="16" t="n">
        <f aca="false">SUMPRODUCT(($C$37886:$C$37895&lt;C37892)*$C$37875:$C$37884)</f>
        <v>0</v>
      </c>
    </row>
    <row r="37904" customFormat="false" ht="15" hidden="false" customHeight="false" outlineLevel="0" collapsed="false">
      <c r="A37904" s="3" t="s">
        <v>563</v>
      </c>
      <c r="C37904" s="16" t="n">
        <f aca="false">SUMPRODUCT(($C$37886:$C$37895&lt;C37893)*$C$37875:$C$37884)</f>
        <v>0</v>
      </c>
    </row>
    <row r="37905" customFormat="false" ht="15" hidden="false" customHeight="false" outlineLevel="0" collapsed="false">
      <c r="A37905" s="3" t="s">
        <v>564</v>
      </c>
      <c r="C37905" s="16" t="n">
        <f aca="false">SUMPRODUCT(($C$37886:$C$37895&lt;C37894)*$C$37875:$C$37884)</f>
        <v>0</v>
      </c>
    </row>
    <row r="37906" customFormat="false" ht="15" hidden="false" customHeight="false" outlineLevel="0" collapsed="false">
      <c r="A37906" s="3" t="s">
        <v>565</v>
      </c>
      <c r="C37906" s="16" t="n">
        <f aca="false">SUMPRODUCT(($C$37886:$C$37895&lt;C37895)*$C$37875:$C$37884)</f>
        <v>1951.446357881</v>
      </c>
    </row>
    <row r="37907" customFormat="false" ht="15" hidden="false" customHeight="false" outlineLevel="0" collapsed="false">
      <c r="A37907" s="24" t="s">
        <v>573</v>
      </c>
      <c r="B37907" s="25"/>
      <c r="C37907" s="25"/>
      <c r="D37907" s="25"/>
      <c r="E37907" s="25"/>
      <c r="F37907" s="25"/>
      <c r="G37907" s="25"/>
      <c r="H37907" s="25"/>
      <c r="I37907" s="25"/>
      <c r="J37907" s="25"/>
      <c r="K37907" s="25"/>
    </row>
    <row r="37908" customFormat="false" ht="15" hidden="false" customHeight="false" outlineLevel="0" collapsed="false">
      <c r="A37908" s="3" t="s">
        <v>556</v>
      </c>
      <c r="C37908" s="16" t="n">
        <f aca="false">SUMPRODUCT(($C$37886:$C$37895=C37886)*$C$37875:$C$37884)</f>
        <v>16.432689909558</v>
      </c>
    </row>
    <row r="37909" customFormat="false" ht="15" hidden="false" customHeight="false" outlineLevel="0" collapsed="false">
      <c r="A37909" s="3" t="s">
        <v>557</v>
      </c>
      <c r="C37909" s="16" t="n">
        <f aca="false">SUMPRODUCT(($C$37886:$C$37895=C37887)*$C$37875:$C$37884)</f>
        <v>16.432689909558</v>
      </c>
    </row>
    <row r="37910" customFormat="false" ht="15" hidden="false" customHeight="false" outlineLevel="0" collapsed="false">
      <c r="A37910" s="3" t="s">
        <v>558</v>
      </c>
      <c r="C37910" s="16" t="n">
        <f aca="false">SUMPRODUCT(($C$37886:$C$37895=C37888)*$C$37875:$C$37884)</f>
        <v>16.432689909558</v>
      </c>
    </row>
    <row r="37911" customFormat="false" ht="15" hidden="false" customHeight="false" outlineLevel="0" collapsed="false">
      <c r="A37911" s="3" t="s">
        <v>559</v>
      </c>
      <c r="C37911" s="16" t="n">
        <f aca="false">SUMPRODUCT(($C$37886:$C$37895=C37889)*$C$37875:$C$37884)</f>
        <v>1951.446357881</v>
      </c>
    </row>
    <row r="37912" customFormat="false" ht="15" hidden="false" customHeight="false" outlineLevel="0" collapsed="false">
      <c r="A37912" s="3" t="s">
        <v>560</v>
      </c>
      <c r="C37912" s="16" t="n">
        <f aca="false">SUMPRODUCT(($C$37886:$C$37895=C37890)*$C$37875:$C$37884)</f>
        <v>1951.446357881</v>
      </c>
    </row>
    <row r="37913" customFormat="false" ht="15" hidden="false" customHeight="false" outlineLevel="0" collapsed="false">
      <c r="A37913" s="3" t="s">
        <v>561</v>
      </c>
      <c r="C37913" s="16" t="n">
        <f aca="false">SUMPRODUCT(($C$37886:$C$37895=C37891)*$C$37875:$C$37884)</f>
        <v>1951.446357881</v>
      </c>
    </row>
    <row r="37914" customFormat="false" ht="15" hidden="false" customHeight="false" outlineLevel="0" collapsed="false">
      <c r="A37914" s="3" t="s">
        <v>562</v>
      </c>
      <c r="C37914" s="16" t="n">
        <f aca="false">SUMPRODUCT(($C$37886:$C$37895=C37892)*$C$37875:$C$37884)</f>
        <v>1951.446357881</v>
      </c>
    </row>
    <row r="37915" customFormat="false" ht="15" hidden="false" customHeight="false" outlineLevel="0" collapsed="false">
      <c r="A37915" s="3" t="s">
        <v>563</v>
      </c>
      <c r="C37915" s="16" t="n">
        <f aca="false">SUMPRODUCT(($C$37886:$C$37895=C37893)*$C$37875:$C$37884)</f>
        <v>1951.446357881</v>
      </c>
    </row>
    <row r="37916" customFormat="false" ht="15" hidden="false" customHeight="false" outlineLevel="0" collapsed="false">
      <c r="A37916" s="3" t="s">
        <v>564</v>
      </c>
      <c r="C37916" s="16" t="n">
        <f aca="false">SUMPRODUCT(($C$37886:$C$37895=C37894)*$C$37875:$C$37884)</f>
        <v>1951.446357881</v>
      </c>
    </row>
    <row r="37917" customFormat="false" ht="15" hidden="false" customHeight="false" outlineLevel="0" collapsed="false">
      <c r="A37917" s="3" t="s">
        <v>565</v>
      </c>
      <c r="C37917" s="16" t="n">
        <f aca="false">SUMPRODUCT(($C$37886:$C$37895=C37895)*$C$37875:$C$37884)</f>
        <v>78.61</v>
      </c>
    </row>
    <row r="37918" customFormat="false" ht="15" hidden="false" customHeight="false" outlineLevel="0" collapsed="false">
      <c r="A37918" s="24" t="s">
        <v>574</v>
      </c>
      <c r="B37918" s="25"/>
      <c r="C37918" s="25"/>
      <c r="D37918" s="25"/>
      <c r="E37918" s="25"/>
      <c r="F37918" s="25"/>
      <c r="G37918" s="25"/>
      <c r="H37918" s="25"/>
      <c r="I37918" s="25"/>
      <c r="J37918" s="25"/>
      <c r="K37918" s="25"/>
    </row>
    <row r="37919" customFormat="false" ht="15" hidden="false" customHeight="false" outlineLevel="0" collapsed="false">
      <c r="A37919" s="3" t="s">
        <v>556</v>
      </c>
      <c r="C37919" s="16" t="n">
        <f aca="false">IF(C37908=0,0,C37875/C37908*MAX(0,MIN(C37908,$C$37818-SUM($C$37853:$C$37862)-C37897)))</f>
        <v>0</v>
      </c>
    </row>
    <row r="37920" customFormat="false" ht="15" hidden="false" customHeight="false" outlineLevel="0" collapsed="false">
      <c r="A37920" s="3" t="s">
        <v>557</v>
      </c>
      <c r="C37920" s="16" t="n">
        <f aca="false">IF(C37909=0,0,C37876/C37909*MAX(0,MIN(C37909,$C$37818-SUM($C$37853:$C$37862)-C37898)))</f>
        <v>0</v>
      </c>
    </row>
    <row r="37921" customFormat="false" ht="15" hidden="false" customHeight="false" outlineLevel="0" collapsed="false">
      <c r="A37921" s="3" t="s">
        <v>558</v>
      </c>
      <c r="C37921" s="16" t="n">
        <f aca="false">IF(C37910=0,0,C37877/C37910*MAX(0,MIN(C37910,$C$37818-SUM($C$37853:$C$37862)-C37899)))</f>
        <v>0</v>
      </c>
    </row>
    <row r="37922" customFormat="false" ht="15" hidden="false" customHeight="false" outlineLevel="0" collapsed="false">
      <c r="A37922" s="3" t="s">
        <v>559</v>
      </c>
      <c r="C37922" s="16" t="n">
        <f aca="false">IF(C37911=0,0,C37878/C37911*MAX(0,MIN(C37911,$C$37818-SUM($C$37853:$C$37862)-C37900)))</f>
        <v>0</v>
      </c>
    </row>
    <row r="37923" customFormat="false" ht="15" hidden="false" customHeight="false" outlineLevel="0" collapsed="false">
      <c r="A37923" s="3" t="s">
        <v>560</v>
      </c>
      <c r="C37923" s="16" t="n">
        <f aca="false">IF(C37912=0,0,C37879/C37912*MAX(0,MIN(C37912,$C$37818-SUM($C$37853:$C$37862)-C37901)))</f>
        <v>391.896029401918</v>
      </c>
    </row>
    <row r="37924" customFormat="false" ht="15" hidden="false" customHeight="false" outlineLevel="0" collapsed="false">
      <c r="A37924" s="3" t="s">
        <v>561</v>
      </c>
      <c r="C37924" s="16" t="n">
        <f aca="false">IF(C37913=0,0,C37880/C37913*MAX(0,MIN(C37913,$C$37818-SUM($C$37853:$C$37862)-C37902)))</f>
        <v>341.673570074661</v>
      </c>
    </row>
    <row r="37925" customFormat="false" ht="15" hidden="false" customHeight="false" outlineLevel="0" collapsed="false">
      <c r="A37925" s="3" t="s">
        <v>562</v>
      </c>
      <c r="C37925" s="16" t="n">
        <f aca="false">IF(C37914=0,0,C37881/C37914*MAX(0,MIN(C37914,$C$37818-SUM($C$37853:$C$37862)-C37903)))</f>
        <v>536.915610117324</v>
      </c>
    </row>
    <row r="37926" customFormat="false" ht="15" hidden="false" customHeight="false" outlineLevel="0" collapsed="false">
      <c r="A37926" s="3" t="s">
        <v>563</v>
      </c>
      <c r="C37926" s="16" t="n">
        <f aca="false">IF(C37915=0,0,C37882/C37915*MAX(0,MIN(C37915,$C$37818-SUM($C$37853:$C$37862)-C37904)))</f>
        <v>341.673570074661</v>
      </c>
    </row>
    <row r="37927" customFormat="false" ht="15" hidden="false" customHeight="false" outlineLevel="0" collapsed="false">
      <c r="A37927" s="3" t="s">
        <v>564</v>
      </c>
      <c r="C37927" s="16" t="n">
        <f aca="false">IF(C37916=0,0,C37883/C37916*MAX(0,MIN(C37916,$C$37818-SUM($C$37853:$C$37862)-C37905)))</f>
        <v>292.863060063995</v>
      </c>
    </row>
    <row r="37928" customFormat="false" ht="15" hidden="false" customHeight="false" outlineLevel="0" collapsed="false">
      <c r="A37928" s="3" t="s">
        <v>565</v>
      </c>
      <c r="C37928" s="16" t="n">
        <f aca="false">IF(C37917=0,0,C37884/C37917*MAX(0,MIN(C37917,$C$37818-SUM($C$37853:$C$37862)-C37906)))</f>
        <v>0</v>
      </c>
    </row>
    <row r="37929" customFormat="false" ht="15" hidden="false" customHeight="false" outlineLevel="0" collapsed="false">
      <c r="A37929" s="24" t="s">
        <v>575</v>
      </c>
      <c r="B37929" s="25"/>
      <c r="C37929" s="25"/>
      <c r="D37929" s="25"/>
      <c r="E37929" s="25"/>
      <c r="F37929" s="25"/>
      <c r="G37929" s="25"/>
      <c r="H37929" s="25"/>
      <c r="I37929" s="25"/>
      <c r="J37929" s="25"/>
      <c r="K37929" s="25"/>
    </row>
    <row r="37930" customFormat="false" ht="15" hidden="false" customHeight="false" outlineLevel="0" collapsed="false">
      <c r="A37930" s="2" t="s">
        <v>556</v>
      </c>
      <c r="C37930" s="17" t="n">
        <f aca="false">C37853+C37919</f>
        <v>388</v>
      </c>
    </row>
    <row r="37931" customFormat="false" ht="15" hidden="false" customHeight="false" outlineLevel="0" collapsed="false">
      <c r="A37931" s="2" t="s">
        <v>557</v>
      </c>
      <c r="C37931" s="17" t="n">
        <f aca="false">C37854+C37920</f>
        <v>79.989133944159</v>
      </c>
    </row>
    <row r="37932" customFormat="false" ht="15" hidden="false" customHeight="false" outlineLevel="0" collapsed="false">
      <c r="A37932" s="2" t="s">
        <v>558</v>
      </c>
      <c r="C37932" s="17" t="n">
        <f aca="false">C37855+C37921</f>
        <v>50.902176146283</v>
      </c>
    </row>
    <row r="37933" customFormat="false" ht="15" hidden="false" customHeight="false" outlineLevel="0" collapsed="false">
      <c r="A37933" s="2" t="s">
        <v>559</v>
      </c>
      <c r="C37933" s="17" t="n">
        <f aca="false">C37856+C37922</f>
        <v>0</v>
      </c>
    </row>
    <row r="37934" customFormat="false" ht="15" hidden="false" customHeight="false" outlineLevel="0" collapsed="false">
      <c r="A37934" s="2" t="s">
        <v>560</v>
      </c>
      <c r="C37934" s="17" t="n">
        <f aca="false">C37857+C37923</f>
        <v>391.896029401918</v>
      </c>
    </row>
    <row r="37935" customFormat="false" ht="15" hidden="false" customHeight="false" outlineLevel="0" collapsed="false">
      <c r="A37935" s="2" t="s">
        <v>561</v>
      </c>
      <c r="C37935" s="17" t="n">
        <f aca="false">C37858+C37924</f>
        <v>341.673570074661</v>
      </c>
    </row>
    <row r="37936" customFormat="false" ht="15" hidden="false" customHeight="false" outlineLevel="0" collapsed="false">
      <c r="A37936" s="2" t="s">
        <v>562</v>
      </c>
      <c r="C37936" s="17" t="n">
        <f aca="false">C37859+C37925</f>
        <v>536.915610117324</v>
      </c>
    </row>
    <row r="37937" customFormat="false" ht="15" hidden="false" customHeight="false" outlineLevel="0" collapsed="false">
      <c r="A37937" s="2" t="s">
        <v>563</v>
      </c>
      <c r="C37937" s="17" t="n">
        <f aca="false">C37860+C37926</f>
        <v>341.673570074661</v>
      </c>
    </row>
    <row r="37938" customFormat="false" ht="15" hidden="false" customHeight="false" outlineLevel="0" collapsed="false">
      <c r="A37938" s="2" t="s">
        <v>564</v>
      </c>
      <c r="C37938" s="17" t="n">
        <f aca="false">C37861+C37927</f>
        <v>292.863060063995</v>
      </c>
    </row>
    <row r="37939" customFormat="false" ht="15" hidden="false" customHeight="false" outlineLevel="0" collapsed="false">
      <c r="A37939" s="2" t="s">
        <v>565</v>
      </c>
      <c r="C37939" s="17" t="n">
        <f aca="false">C37862+C37928</f>
        <v>0</v>
      </c>
    </row>
    <row r="37940" customFormat="false" ht="15" hidden="false" customHeight="false" outlineLevel="0" collapsed="false">
      <c r="A37940" s="24" t="s">
        <v>576</v>
      </c>
      <c r="B37940" s="25"/>
      <c r="C37940" s="25"/>
      <c r="D37940" s="25"/>
      <c r="E37940" s="25"/>
      <c r="F37940" s="25"/>
      <c r="G37940" s="25"/>
      <c r="H37940" s="25"/>
      <c r="I37940" s="25"/>
      <c r="J37940" s="25"/>
      <c r="K37940" s="25"/>
    </row>
    <row r="37941" customFormat="false" ht="15" hidden="false" customHeight="false" outlineLevel="0" collapsed="false">
      <c r="A37941" s="3" t="s">
        <v>556</v>
      </c>
      <c r="C37941" s="22" t="n">
        <f aca="false">IF(C37820=0,1,C37930/C37820)</f>
        <v>1</v>
      </c>
    </row>
    <row r="37942" customFormat="false" ht="15" hidden="false" customHeight="false" outlineLevel="0" collapsed="false">
      <c r="A37942" s="3" t="s">
        <v>557</v>
      </c>
      <c r="C37942" s="22" t="n">
        <f aca="false">IF(C37821=0,1,C37931/C37821)</f>
        <v>0.8887681549351</v>
      </c>
    </row>
    <row r="37943" customFormat="false" ht="15" hidden="false" customHeight="false" outlineLevel="0" collapsed="false">
      <c r="A37943" s="3" t="s">
        <v>558</v>
      </c>
      <c r="C37943" s="22" t="n">
        <f aca="false">IF(C37822=0,1,C37932/C37822)</f>
        <v>0.887973207492202</v>
      </c>
    </row>
    <row r="37944" customFormat="false" ht="15" hidden="false" customHeight="false" outlineLevel="0" collapsed="false">
      <c r="A37944" s="3" t="s">
        <v>559</v>
      </c>
      <c r="C37944" s="22" t="n">
        <f aca="false">IF(C37823=0,1,C37933/C37823)</f>
        <v>1</v>
      </c>
    </row>
    <row r="37945" customFormat="false" ht="15" hidden="false" customHeight="false" outlineLevel="0" collapsed="false">
      <c r="A37945" s="3" t="s">
        <v>560</v>
      </c>
      <c r="C37945" s="22" t="n">
        <f aca="false">IF(C37824=0,1,C37934/C37824)</f>
        <v>0.976210200213317</v>
      </c>
    </row>
    <row r="37946" customFormat="false" ht="15" hidden="false" customHeight="false" outlineLevel="0" collapsed="false">
      <c r="A37946" s="3" t="s">
        <v>561</v>
      </c>
      <c r="C37946" s="22" t="n">
        <f aca="false">IF(C37825=0,1,C37935/C37825)</f>
        <v>0.976210200213316</v>
      </c>
    </row>
    <row r="37947" customFormat="false" ht="15" hidden="false" customHeight="false" outlineLevel="0" collapsed="false">
      <c r="A37947" s="3" t="s">
        <v>562</v>
      </c>
      <c r="C37947" s="22" t="n">
        <f aca="false">IF(C37826=0,1,C37936/C37826)</f>
        <v>0.976210200213317</v>
      </c>
    </row>
    <row r="37948" customFormat="false" ht="15" hidden="false" customHeight="false" outlineLevel="0" collapsed="false">
      <c r="A37948" s="3" t="s">
        <v>563</v>
      </c>
      <c r="C37948" s="22" t="n">
        <f aca="false">IF(C37827=0,1,C37937/C37827)</f>
        <v>0.976210200213316</v>
      </c>
    </row>
    <row r="37949" customFormat="false" ht="15" hidden="false" customHeight="false" outlineLevel="0" collapsed="false">
      <c r="A37949" s="3" t="s">
        <v>564</v>
      </c>
      <c r="C37949" s="22" t="n">
        <f aca="false">IF(C37828=0,1,C37938/C37828)</f>
        <v>0.976210200213317</v>
      </c>
    </row>
    <row r="37950" customFormat="false" ht="15" hidden="false" customHeight="false" outlineLevel="0" collapsed="false">
      <c r="A37950" s="3" t="s">
        <v>565</v>
      </c>
      <c r="C37950" s="22" t="n">
        <f aca="false">IF(C37829=0,1,C37939/C37829)</f>
        <v>0</v>
      </c>
    </row>
    <row r="37951" customFormat="false" ht="15" hidden="false" customHeight="false" outlineLevel="0" collapsed="false">
      <c r="A37951" s="24" t="s">
        <v>577</v>
      </c>
      <c r="B37951" s="25"/>
      <c r="C37951" s="25"/>
      <c r="D37951" s="25"/>
      <c r="E37951" s="25"/>
      <c r="F37951" s="25"/>
      <c r="G37951" s="25"/>
      <c r="H37951" s="25"/>
      <c r="I37951" s="25"/>
      <c r="J37951" s="25"/>
      <c r="K37951" s="25"/>
    </row>
    <row r="37952" customFormat="false" ht="15" hidden="false" customHeight="false" outlineLevel="0" collapsed="false">
      <c r="A37952" s="3" t="s">
        <v>556</v>
      </c>
      <c r="C37952" s="16" t="n">
        <f aca="false">C37820-C37930</f>
        <v>0</v>
      </c>
    </row>
    <row r="37953" customFormat="false" ht="15" hidden="false" customHeight="false" outlineLevel="0" collapsed="false">
      <c r="A37953" s="3" t="s">
        <v>557</v>
      </c>
      <c r="C37953" s="16" t="n">
        <f aca="false">C37821-C37931</f>
        <v>10.010866055841</v>
      </c>
    </row>
    <row r="37954" customFormat="false" ht="15" hidden="false" customHeight="false" outlineLevel="0" collapsed="false">
      <c r="A37954" s="3" t="s">
        <v>558</v>
      </c>
      <c r="C37954" s="16" t="n">
        <f aca="false">C37822-C37932</f>
        <v>6.42182385371699</v>
      </c>
    </row>
    <row r="37955" customFormat="false" ht="15" hidden="false" customHeight="false" outlineLevel="0" collapsed="false">
      <c r="A37955" s="3" t="s">
        <v>559</v>
      </c>
      <c r="C37955" s="16" t="n">
        <f aca="false">C37823-C37933</f>
        <v>0</v>
      </c>
    </row>
    <row r="37956" customFormat="false" ht="15" hidden="false" customHeight="false" outlineLevel="0" collapsed="false">
      <c r="A37956" s="3" t="s">
        <v>560</v>
      </c>
      <c r="C37956" s="16" t="n">
        <f aca="false">C37824-C37934</f>
        <v>9.55032847908228</v>
      </c>
    </row>
    <row r="37957" customFormat="false" ht="15" hidden="false" customHeight="false" outlineLevel="0" collapsed="false">
      <c r="A37957" s="3" t="s">
        <v>561</v>
      </c>
      <c r="C37957" s="16" t="n">
        <f aca="false">C37825-C37935</f>
        <v>8.32642992533926</v>
      </c>
    </row>
    <row r="37958" customFormat="false" ht="15" hidden="false" customHeight="false" outlineLevel="0" collapsed="false">
      <c r="A37958" s="3" t="s">
        <v>562</v>
      </c>
      <c r="C37958" s="16" t="n">
        <f aca="false">C37826-C37936</f>
        <v>13.0843898826759</v>
      </c>
    </row>
    <row r="37959" customFormat="false" ht="15" hidden="false" customHeight="false" outlineLevel="0" collapsed="false">
      <c r="A37959" s="3" t="s">
        <v>563</v>
      </c>
      <c r="C37959" s="16" t="n">
        <f aca="false">C37827-C37937</f>
        <v>8.32642992533926</v>
      </c>
    </row>
    <row r="37960" customFormat="false" ht="15" hidden="false" customHeight="false" outlineLevel="0" collapsed="false">
      <c r="A37960" s="3" t="s">
        <v>564</v>
      </c>
      <c r="C37960" s="16" t="n">
        <f aca="false">C37828-C37938</f>
        <v>7.13693993600504</v>
      </c>
    </row>
    <row r="37961" customFormat="false" ht="15" hidden="false" customHeight="false" outlineLevel="0" collapsed="false">
      <c r="A37961" s="3" t="s">
        <v>565</v>
      </c>
      <c r="C37961" s="16" t="n">
        <f aca="false">C37829-C37939</f>
        <v>78.61</v>
      </c>
    </row>
    <row r="37962" customFormat="false" ht="15" hidden="false" customHeight="false" outlineLevel="0" collapsed="false">
      <c r="A37962" s="24" t="s">
        <v>578</v>
      </c>
      <c r="B37962" s="25"/>
      <c r="C37962" s="25"/>
      <c r="D37962" s="25"/>
      <c r="E37962" s="25"/>
      <c r="F37962" s="25"/>
      <c r="G37962" s="25"/>
      <c r="H37962" s="25"/>
      <c r="I37962" s="25"/>
      <c r="J37962" s="25"/>
      <c r="K37962" s="25"/>
    </row>
    <row r="37963" customFormat="false" ht="15" hidden="false" customHeight="false" outlineLevel="0" collapsed="false">
      <c r="A37963" s="3" t="s">
        <v>556</v>
      </c>
      <c r="C37963" s="22" t="n">
        <f aca="false">IF(C37820=0,0,C37952/C37820)</f>
        <v>0</v>
      </c>
    </row>
    <row r="37964" customFormat="false" ht="15" hidden="false" customHeight="false" outlineLevel="0" collapsed="false">
      <c r="A37964" s="3" t="s">
        <v>557</v>
      </c>
      <c r="C37964" s="22" t="n">
        <f aca="false">IF(C37821=0,0,C37953/C37821)</f>
        <v>0.1112318450649</v>
      </c>
    </row>
    <row r="37965" customFormat="false" ht="15" hidden="false" customHeight="false" outlineLevel="0" collapsed="false">
      <c r="A37965" s="3" t="s">
        <v>558</v>
      </c>
      <c r="C37965" s="22" t="n">
        <f aca="false">IF(C37822=0,0,C37954/C37822)</f>
        <v>0.112026792507798</v>
      </c>
    </row>
    <row r="37966" customFormat="false" ht="15" hidden="false" customHeight="false" outlineLevel="0" collapsed="false">
      <c r="A37966" s="3" t="s">
        <v>559</v>
      </c>
      <c r="C37966" s="22" t="n">
        <f aca="false">IF(C37823=0,0,C37955/C37823)</f>
        <v>0</v>
      </c>
    </row>
    <row r="37967" customFormat="false" ht="15" hidden="false" customHeight="false" outlineLevel="0" collapsed="false">
      <c r="A37967" s="3" t="s">
        <v>560</v>
      </c>
      <c r="C37967" s="22" t="n">
        <f aca="false">IF(C37824=0,0,C37956/C37824)</f>
        <v>0.0237897997866835</v>
      </c>
    </row>
    <row r="37968" customFormat="false" ht="15" hidden="false" customHeight="false" outlineLevel="0" collapsed="false">
      <c r="A37968" s="3" t="s">
        <v>561</v>
      </c>
      <c r="C37968" s="22" t="n">
        <f aca="false">IF(C37825=0,0,C37957/C37825)</f>
        <v>0.0237897997866836</v>
      </c>
    </row>
    <row r="37969" customFormat="false" ht="15" hidden="false" customHeight="false" outlineLevel="0" collapsed="false">
      <c r="A37969" s="3" t="s">
        <v>562</v>
      </c>
      <c r="C37969" s="22" t="n">
        <f aca="false">IF(C37826=0,0,C37958/C37826)</f>
        <v>0.0237897997866834</v>
      </c>
    </row>
    <row r="37970" customFormat="false" ht="15" hidden="false" customHeight="false" outlineLevel="0" collapsed="false">
      <c r="A37970" s="3" t="s">
        <v>563</v>
      </c>
      <c r="C37970" s="22" t="n">
        <f aca="false">IF(C37827=0,0,C37959/C37827)</f>
        <v>0.0237897997866836</v>
      </c>
    </row>
    <row r="37971" customFormat="false" ht="15" hidden="false" customHeight="false" outlineLevel="0" collapsed="false">
      <c r="A37971" s="3" t="s">
        <v>564</v>
      </c>
      <c r="C37971" s="22" t="n">
        <f aca="false">IF(C37828=0,0,C37960/C37828)</f>
        <v>0.0237897997866835</v>
      </c>
    </row>
    <row r="37972" customFormat="false" ht="15" hidden="false" customHeight="false" outlineLevel="0" collapsed="false">
      <c r="A37972" s="3" t="s">
        <v>565</v>
      </c>
      <c r="C37972" s="22" t="n">
        <f aca="false">IF(C37829=0,0,C37961/C37829)</f>
        <v>1</v>
      </c>
    </row>
    <row r="37973" customFormat="false" ht="15" hidden="false" customHeight="false" outlineLevel="0" collapsed="false">
      <c r="A37973" s="2" t="s">
        <v>579</v>
      </c>
      <c r="C37973" s="17" t="n">
        <f aca="false">MAX(0,$C$37818-SUM($C$37853:$C$37862)-SUM($C$37875:$C$37884))</f>
        <v>0</v>
      </c>
    </row>
    <row r="37974" customFormat="false" ht="15" hidden="false" customHeight="false" outlineLevel="0" collapsed="false">
      <c r="A37974" s="3" t="s">
        <v>597</v>
      </c>
      <c r="C37974" s="35" t="n">
        <f aca="false">MIN(C37817,100*CHOOSE(C37807,C37941,C37942,C37943,C37944,C37945,C37946,C37947,C37948,C37949,C37950))</f>
        <v>95</v>
      </c>
    </row>
    <row r="37975" customFormat="false" ht="15" hidden="false" customHeight="false" outlineLevel="0" collapsed="false">
      <c r="A37975" s="3" t="s">
        <v>598</v>
      </c>
      <c r="C37975" s="21" t="n">
        <f aca="false">IF(C37639=1,C37812+Assumptions!$C$40,C37811)</f>
        <v>3</v>
      </c>
    </row>
    <row r="37976" customFormat="false" ht="15" hidden="false" customHeight="false" outlineLevel="0" collapsed="false">
      <c r="A37976" s="24" t="s">
        <v>599</v>
      </c>
      <c r="B37976" s="25"/>
      <c r="C37976" s="25"/>
      <c r="D37976" s="25"/>
      <c r="E37976" s="25"/>
      <c r="F37976" s="25"/>
      <c r="G37976" s="25"/>
      <c r="H37976" s="25"/>
      <c r="I37976" s="25"/>
      <c r="J37976" s="25"/>
      <c r="K37976" s="25"/>
    </row>
    <row r="37977" customFormat="false" ht="15" hidden="false" customHeight="false" outlineLevel="0" collapsed="false">
      <c r="A37977" s="3" t="s">
        <v>600</v>
      </c>
      <c r="C37977" s="21" t="n">
        <f aca="false">COLUMN()-COLUMN($C$1)</f>
        <v>0</v>
      </c>
      <c r="D37977" s="21" t="n">
        <f aca="false">COLUMN()-COLUMN($C$1)</f>
        <v>1</v>
      </c>
      <c r="E37977" s="21" t="n">
        <f aca="false">COLUMN()-COLUMN($C$1)</f>
        <v>2</v>
      </c>
      <c r="F37977" s="21" t="n">
        <f aca="false">COLUMN()-COLUMN($C$1)</f>
        <v>3</v>
      </c>
      <c r="G37977" s="21" t="n">
        <f aca="false">COLUMN()-COLUMN($C$1)</f>
        <v>4</v>
      </c>
      <c r="H37977" s="21" t="n">
        <f aca="false">COLUMN()-COLUMN($C$1)</f>
        <v>5</v>
      </c>
      <c r="I37977" s="21" t="n">
        <f aca="false">COLUMN()-COLUMN($C$1)</f>
        <v>6</v>
      </c>
    </row>
    <row r="37978" customFormat="false" ht="15" hidden="false" customHeight="false" outlineLevel="0" collapsed="false">
      <c r="A37978" s="3" t="s">
        <v>601</v>
      </c>
      <c r="D37978" s="31" t="n">
        <f aca="false">CHOOSE($C$37807,G37387,G37400,G37413,G37426,G37439,G37452,G37465,G37478,G37491,G37504)</f>
        <v>0.1065</v>
      </c>
      <c r="E37978" s="31" t="n">
        <f aca="false">CHOOSE($C$37807,H37387,H37400,H37413,H37426,H37439,H37452,H37465,H37478,H37491,H37504)</f>
        <v>0.105</v>
      </c>
      <c r="F37978" s="31" t="n">
        <f aca="false">CHOOSE($C$37807,I37387,I37400,I37413,I37426,I37439,I37452,I37465,I37478,I37491,I37504)</f>
        <v>0.1025</v>
      </c>
      <c r="G37978" s="31" t="n">
        <f aca="false">CHOOSE($C$37807,J37387,J37400,J37413,J37426,J37439,J37452,J37465,J37478,J37491,J37504)</f>
        <v>0.1025</v>
      </c>
      <c r="H37978" s="31" t="n">
        <f aca="false">CHOOSE($C$37807,K37387,K37400,K37413,K37426,K37439,K37452,K37465,K37478,K37491,K37504)</f>
        <v>0.1025</v>
      </c>
    </row>
    <row r="37979" customFormat="false" ht="15" hidden="false" customHeight="false" outlineLevel="0" collapsed="false">
      <c r="A37979" s="3" t="s">
        <v>602</v>
      </c>
      <c r="D37979" s="16" t="n">
        <f aca="false">IF(D37977&lt;=$C$37816,$C$37808*D37978,0)</f>
        <v>10.65</v>
      </c>
      <c r="E37979" s="16" t="n">
        <f aca="false">IF(E37977&lt;=$C$37816,$C$37808*E37978,0)</f>
        <v>10.5</v>
      </c>
      <c r="F37979" s="16" t="n">
        <f aca="false">IF(F37977&lt;=$C$37816,$C$37808*F37978,0)</f>
        <v>0</v>
      </c>
      <c r="G37979" s="16" t="n">
        <f aca="false">IF(G37977&lt;=$C$37816,$C$37808*G37978,0)</f>
        <v>0</v>
      </c>
      <c r="H37979" s="16" t="n">
        <f aca="false">IF(H37977&lt;=$C$37816,$C$37808*H37978,0)</f>
        <v>0</v>
      </c>
    </row>
    <row r="37980" customFormat="false" ht="15" hidden="false" customHeight="false" outlineLevel="0" collapsed="false">
      <c r="A37980" s="3" t="s">
        <v>603</v>
      </c>
      <c r="D37980" s="16" t="n">
        <f aca="false">IF(AND($C$37639=0,D37977=$C$37811),$C$37808*$C$37974/100,0)+IF(AND($C$37639=1,D37977=$C$37975),$C$37814,0)</f>
        <v>0</v>
      </c>
      <c r="E37980" s="16" t="n">
        <f aca="false">IF(AND($C$37639=0,E37977=$C$37811),$C$37808*$C$37974/100,0)+IF(AND($C$37639=1,E37977=$C$37975),$C$37814,0)</f>
        <v>0</v>
      </c>
      <c r="F37980" s="16" t="n">
        <f aca="false">IF(AND($C$37639=0,F37977=$C$37811),$C$37808*$C$37974/100,0)+IF(AND($C$37639=1,F37977=$C$37975),$C$37814,0)</f>
        <v>102.625</v>
      </c>
      <c r="G37980" s="16" t="n">
        <f aca="false">IF(AND($C$37639=0,G37977=$C$37811),$C$37808*$C$37974/100,0)+IF(AND($C$37639=1,G37977=$C$37975),$C$37814,0)</f>
        <v>0</v>
      </c>
      <c r="H37980" s="16" t="n">
        <f aca="false">IF(AND($C$37639=0,H37977=$C$37811),$C$37808*$C$37974/100,0)+IF(AND($C$37639=1,H37977=$C$37975),$C$37814,0)</f>
        <v>0</v>
      </c>
      <c r="I37980" s="16" t="n">
        <f aca="false">IF(AND($C$37639=0,I37977=$C$37811),$C$37808*$C$37974/100,0)+IF(AND($C$37639=1,I37977=$C$37975),$C$37814,0)</f>
        <v>0</v>
      </c>
    </row>
    <row r="37981" customFormat="false" ht="15" hidden="false" customHeight="false" outlineLevel="0" collapsed="false">
      <c r="A37981" s="2" t="s">
        <v>604</v>
      </c>
      <c r="C37981" s="17" t="n">
        <f aca="false">-$C$37810</f>
        <v>-98.49</v>
      </c>
      <c r="D37981" s="17" t="n">
        <f aca="false">D37979+D37980</f>
        <v>10.65</v>
      </c>
      <c r="E37981" s="17" t="n">
        <f aca="false">E37979+E37980</f>
        <v>10.5</v>
      </c>
      <c r="F37981" s="17" t="n">
        <f aca="false">F37979+F37980</f>
        <v>102.625</v>
      </c>
      <c r="G37981" s="17" t="n">
        <f aca="false">G37979+G37980</f>
        <v>0</v>
      </c>
      <c r="H37981" s="17" t="n">
        <f aca="false">H37979+H37980</f>
        <v>0</v>
      </c>
      <c r="I37981" s="17" t="n">
        <f aca="false">I37979+I37980</f>
        <v>0</v>
      </c>
    </row>
    <row r="37982" customFormat="false" ht="15" hidden="false" customHeight="false" outlineLevel="0" collapsed="false">
      <c r="A37982" s="3" t="s">
        <v>605</v>
      </c>
      <c r="C37982" s="16" t="n">
        <f aca="false">SUM($C$37979:$I$37979)</f>
        <v>21.15</v>
      </c>
    </row>
    <row r="37983" customFormat="false" ht="15" hidden="false" customHeight="false" outlineLevel="0" collapsed="false">
      <c r="A37983" s="3" t="s">
        <v>606</v>
      </c>
      <c r="C37983" s="16" t="n">
        <f aca="false">SUM($C$37980:$I$37980)</f>
        <v>102.625</v>
      </c>
    </row>
    <row r="37984" customFormat="false" ht="15" hidden="false" customHeight="false" outlineLevel="0" collapsed="false">
      <c r="A37984" s="3" t="s">
        <v>607</v>
      </c>
      <c r="C37984" s="16" t="n">
        <f aca="false">C37982+C37983</f>
        <v>123.775</v>
      </c>
    </row>
    <row r="37985" customFormat="false" ht="15" hidden="false" customHeight="false" outlineLevel="0" collapsed="false">
      <c r="A37985" s="3" t="s">
        <v>608</v>
      </c>
      <c r="C37985" s="16" t="n">
        <f aca="false">C37983-C37808*C37809/100</f>
        <v>4.62500000000001</v>
      </c>
    </row>
    <row r="37986" customFormat="false" ht="15" hidden="false" customHeight="false" outlineLevel="0" collapsed="false">
      <c r="A37986" s="3" t="s">
        <v>609</v>
      </c>
      <c r="C37986" s="16" t="n">
        <f aca="false">C37984-C37810</f>
        <v>25.285</v>
      </c>
    </row>
    <row r="37987" customFormat="false" ht="15" hidden="false" customHeight="false" outlineLevel="0" collapsed="false">
      <c r="A37987" s="2" t="s">
        <v>484</v>
      </c>
      <c r="C37987" s="44" t="n">
        <f aca="false">C37984/C37810</f>
        <v>1.25672657122551</v>
      </c>
    </row>
    <row r="37988" customFormat="false" ht="15" hidden="false" customHeight="false" outlineLevel="0" collapsed="false">
      <c r="A37988" s="2" t="s">
        <v>483</v>
      </c>
      <c r="C37988" s="42" t="n">
        <f aca="false">IF(C37984&lt;=0,-1,IFERROR(IRR($C$37981:$I$37981,MAX(-0.9,C37987^(1/C37975)-1)),IRR($C$37981:$I$37981,0.1)))</f>
        <v>0.0873962489027792</v>
      </c>
    </row>
    <row r="37989" customFormat="false" ht="15" hidden="false" customHeight="false" outlineLevel="0" collapsed="false">
      <c r="A37989" s="3" t="s">
        <v>610</v>
      </c>
      <c r="C37989" s="32" t="n">
        <f aca="false">MAX($G$37583:$K$37583)</f>
        <v>12.0232607366907</v>
      </c>
    </row>
    <row r="37990" customFormat="false" ht="15" hidden="false" customHeight="false" outlineLevel="0" collapsed="false">
      <c r="A37990" s="3" t="s">
        <v>611</v>
      </c>
      <c r="C37990" s="32" t="n">
        <f aca="false">MIN($G$37584:$K$37584)</f>
        <v>1.18311222526984</v>
      </c>
    </row>
    <row r="37991" customFormat="false" ht="15" hidden="false" customHeight="false" outlineLevel="0" collapsed="false">
      <c r="A37991" s="3" t="s">
        <v>612</v>
      </c>
      <c r="C37991" s="16" t="n">
        <f aca="false">SUM($G$37371:$K$37371)</f>
        <v>-320.308045372933</v>
      </c>
    </row>
    <row r="37995" customFormat="false" ht="15" hidden="false" customHeight="false" outlineLevel="0" collapsed="false">
      <c r="A37995" s="9" t="s">
        <v>1188</v>
      </c>
      <c r="B37995" s="10"/>
      <c r="C37995" s="10"/>
      <c r="D37995" s="10"/>
      <c r="E37995" s="10"/>
      <c r="F37995" s="10"/>
      <c r="G37995" s="10"/>
      <c r="H37995" s="10"/>
      <c r="I37995" s="10"/>
      <c r="J37995" s="10"/>
      <c r="K37995" s="10"/>
    </row>
    <row r="37996" customFormat="false" ht="15" hidden="false" customHeight="false" outlineLevel="0" collapsed="false">
      <c r="A37996" s="3" t="s">
        <v>1126</v>
      </c>
      <c r="C37996" s="11" t="n">
        <v>3</v>
      </c>
    </row>
    <row r="37997" customFormat="false" ht="15" hidden="false" customHeight="false" outlineLevel="0" collapsed="false">
      <c r="A37997" s="3" t="s">
        <v>1127</v>
      </c>
      <c r="C37997" s="19" t="n">
        <v>0</v>
      </c>
    </row>
    <row r="37998" customFormat="false" ht="15" hidden="false" customHeight="false" outlineLevel="0" collapsed="false">
      <c r="A37998" s="3" t="s">
        <v>1128</v>
      </c>
      <c r="C37998" s="19" t="n">
        <v>0</v>
      </c>
    </row>
    <row r="37999" customFormat="false" ht="15" hidden="false" customHeight="false" outlineLevel="0" collapsed="false">
      <c r="A37999" s="3" t="s">
        <v>1129</v>
      </c>
      <c r="C37999" s="19" t="n">
        <v>0</v>
      </c>
    </row>
    <row r="38000" customFormat="false" ht="15" hidden="false" customHeight="false" outlineLevel="0" collapsed="false">
      <c r="A38000" s="3" t="s">
        <v>1130</v>
      </c>
      <c r="C38000" s="34" t="n">
        <f aca="false">Sensitivities!$A$60</f>
        <v>-2</v>
      </c>
    </row>
    <row r="38002" customFormat="false" ht="15" hidden="false" customHeight="false" outlineLevel="0" collapsed="false">
      <c r="A38002" s="24" t="s">
        <v>301</v>
      </c>
      <c r="B38002" s="25"/>
      <c r="C38002" s="25"/>
      <c r="D38002" s="25"/>
      <c r="E38002" s="25"/>
      <c r="F38002" s="25"/>
      <c r="G38002" s="25"/>
      <c r="H38002" s="25"/>
      <c r="I38002" s="25"/>
      <c r="J38002" s="25"/>
      <c r="K38002" s="25"/>
    </row>
    <row r="38003" customFormat="false" ht="15" hidden="false" customHeight="false" outlineLevel="0" collapsed="false">
      <c r="A38003" s="3" t="s">
        <v>302</v>
      </c>
      <c r="F38003" s="27" t="n">
        <f aca="false">Assumptions!$C$6</f>
        <v>2026</v>
      </c>
      <c r="G38003" s="21" t="n">
        <f aca="false">F38003+1</f>
        <v>2027</v>
      </c>
      <c r="H38003" s="21" t="n">
        <f aca="false">G38003+1</f>
        <v>2028</v>
      </c>
      <c r="I38003" s="21" t="n">
        <f aca="false">H38003+1</f>
        <v>2029</v>
      </c>
      <c r="J38003" s="21" t="n">
        <f aca="false">I38003+1</f>
        <v>2030</v>
      </c>
      <c r="K38003" s="21" t="n">
        <f aca="false">J38003+1</f>
        <v>2031</v>
      </c>
    </row>
    <row r="38004" customFormat="false" ht="15" hidden="false" customHeight="false" outlineLevel="0" collapsed="false">
      <c r="A38004" s="3" t="s">
        <v>303</v>
      </c>
      <c r="G38004" s="21" t="n">
        <f aca="false">G38003-Assumptions!$C$6</f>
        <v>1</v>
      </c>
      <c r="H38004" s="21" t="n">
        <f aca="false">H38003-Assumptions!$C$6</f>
        <v>2</v>
      </c>
      <c r="I38004" s="21" t="n">
        <f aca="false">I38003-Assumptions!$C$6</f>
        <v>3</v>
      </c>
      <c r="J38004" s="21" t="n">
        <f aca="false">J38003-Assumptions!$C$6</f>
        <v>4</v>
      </c>
      <c r="K38004" s="21" t="n">
        <f aca="false">K38003-Assumptions!$C$6</f>
        <v>5</v>
      </c>
    </row>
    <row r="38005" customFormat="false" ht="15" hidden="false" customHeight="false" outlineLevel="0" collapsed="false">
      <c r="A38005" s="3" t="s">
        <v>180</v>
      </c>
      <c r="G38005" s="22" t="n">
        <f aca="false">CHOOSE($C$37996,Assumptions!$G$79,Assumptions!$G$98,Assumptions!$G$117)+$C$37997</f>
        <v>-0.1</v>
      </c>
      <c r="H38005" s="22" t="n">
        <f aca="false">CHOOSE($C$37996,Assumptions!$H$79,Assumptions!$H$98,Assumptions!$H$117)+$C$37997</f>
        <v>-0.07</v>
      </c>
      <c r="I38005" s="22" t="n">
        <f aca="false">CHOOSE($C$37996,Assumptions!$I$79,Assumptions!$I$98,Assumptions!$I$117)+$C$37997</f>
        <v>-0.03</v>
      </c>
      <c r="J38005" s="22" t="n">
        <f aca="false">CHOOSE($C$37996,Assumptions!$J$79,Assumptions!$J$98,Assumptions!$J$117)+$C$37997</f>
        <v>0</v>
      </c>
      <c r="K38005" s="22" t="n">
        <f aca="false">CHOOSE($C$37996,Assumptions!$K$79,Assumptions!$K$98,Assumptions!$K$117)+$C$37997</f>
        <v>0.01</v>
      </c>
    </row>
    <row r="38006" customFormat="false" ht="15" hidden="false" customHeight="false" outlineLevel="0" collapsed="false">
      <c r="A38006" s="3" t="s">
        <v>181</v>
      </c>
      <c r="G38006" s="22" t="n">
        <f aca="false">CHOOSE($C$37996,Assumptions!$G$80,Assumptions!$G$99,Assumptions!$G$118)</f>
        <v>0.533920660818678</v>
      </c>
      <c r="H38006" s="22" t="n">
        <f aca="false">CHOOSE($C$37996,Assumptions!$H$80,Assumptions!$H$99,Assumptions!$H$118)</f>
        <v>0.503920660818678</v>
      </c>
      <c r="I38006" s="22" t="n">
        <f aca="false">CHOOSE($C$37996,Assumptions!$I$80,Assumptions!$I$99,Assumptions!$I$118)</f>
        <v>0.498920660818678</v>
      </c>
      <c r="J38006" s="22" t="n">
        <f aca="false">CHOOSE($C$37996,Assumptions!$J$80,Assumptions!$J$99,Assumptions!$J$118)</f>
        <v>0.503920660818678</v>
      </c>
      <c r="K38006" s="22" t="n">
        <f aca="false">CHOOSE($C$37996,Assumptions!$K$80,Assumptions!$K$99,Assumptions!$K$118)</f>
        <v>0.513920660818678</v>
      </c>
    </row>
    <row r="38007" customFormat="false" ht="15" hidden="false" customHeight="false" outlineLevel="0" collapsed="false">
      <c r="A38007" s="3" t="s">
        <v>182</v>
      </c>
      <c r="G38007" s="22" t="n">
        <f aca="false">CHOOSE($C$37996,Assumptions!$G$81,Assumptions!$G$100,Assumptions!$G$119)+$C$37998</f>
        <v>0.46</v>
      </c>
      <c r="H38007" s="22" t="n">
        <f aca="false">CHOOSE($C$37996,Assumptions!$H$81,Assumptions!$H$100,Assumptions!$H$119)+$C$37998</f>
        <v>0.43</v>
      </c>
      <c r="I38007" s="22" t="n">
        <f aca="false">CHOOSE($C$37996,Assumptions!$I$81,Assumptions!$I$100,Assumptions!$I$119)+$C$37998</f>
        <v>0.425</v>
      </c>
      <c r="J38007" s="22" t="n">
        <f aca="false">CHOOSE($C$37996,Assumptions!$J$81,Assumptions!$J$100,Assumptions!$J$119)+$C$37998</f>
        <v>0.43</v>
      </c>
      <c r="K38007" s="22" t="n">
        <f aca="false">CHOOSE($C$37996,Assumptions!$K$81,Assumptions!$K$100,Assumptions!$K$119)+$C$37998</f>
        <v>0.44</v>
      </c>
    </row>
    <row r="38008" customFormat="false" ht="15" hidden="false" customHeight="false" outlineLevel="0" collapsed="false">
      <c r="A38008" s="24" t="s">
        <v>304</v>
      </c>
      <c r="B38008" s="25"/>
      <c r="C38008" s="25"/>
      <c r="D38008" s="25"/>
      <c r="E38008" s="25"/>
      <c r="F38008" s="25"/>
      <c r="G38008" s="25"/>
      <c r="H38008" s="25"/>
      <c r="I38008" s="25"/>
      <c r="J38008" s="25"/>
      <c r="K38008" s="25"/>
    </row>
    <row r="38009" customFormat="false" ht="15" hidden="false" customHeight="false" outlineLevel="0" collapsed="false">
      <c r="A38009" s="2" t="s">
        <v>275</v>
      </c>
      <c r="F38009" s="28" t="n">
        <f aca="false">'Historical Financials'!G25</f>
        <v>498.291</v>
      </c>
      <c r="G38009" s="17" t="n">
        <f aca="false">F38009*(1+G38005)</f>
        <v>448.4619</v>
      </c>
      <c r="H38009" s="17" t="n">
        <f aca="false">G38009*(1+H38005)</f>
        <v>417.069567</v>
      </c>
      <c r="I38009" s="17" t="n">
        <f aca="false">H38009*(1+I38005)</f>
        <v>404.55747999</v>
      </c>
      <c r="J38009" s="17" t="n">
        <f aca="false">I38009*(1+J38005)</f>
        <v>404.55747999</v>
      </c>
      <c r="K38009" s="17" t="n">
        <f aca="false">J38009*(1+K38005)</f>
        <v>408.6030547899</v>
      </c>
    </row>
    <row r="38010" customFormat="false" ht="15" hidden="false" customHeight="false" outlineLevel="0" collapsed="false">
      <c r="A38010" s="3" t="s">
        <v>276</v>
      </c>
      <c r="G38010" s="16" t="n">
        <f aca="false">G38009*(1-G38006)</f>
        <v>209.018826</v>
      </c>
      <c r="H38010" s="16" t="n">
        <f aca="false">H38009*(1-H38006)</f>
        <v>206.89959519</v>
      </c>
      <c r="I38010" s="16" t="n">
        <f aca="false">I38009*(1-I38006)</f>
        <v>202.71539473425</v>
      </c>
      <c r="J38010" s="16" t="n">
        <f aca="false">J38009*(1-J38006)</f>
        <v>200.6926073343</v>
      </c>
      <c r="K38010" s="16" t="n">
        <f aca="false">K38009*(1-K38006)</f>
        <v>198.613502859744</v>
      </c>
    </row>
    <row r="38011" customFormat="false" ht="15" hidden="false" customHeight="false" outlineLevel="0" collapsed="false">
      <c r="A38011" s="2" t="s">
        <v>277</v>
      </c>
      <c r="G38011" s="17" t="n">
        <f aca="false">G38009-G38010</f>
        <v>239.443074</v>
      </c>
      <c r="H38011" s="17" t="n">
        <f aca="false">H38009-H38010</f>
        <v>210.16997181</v>
      </c>
      <c r="I38011" s="17" t="n">
        <f aca="false">I38009-I38010</f>
        <v>201.84208525575</v>
      </c>
      <c r="J38011" s="17" t="n">
        <f aca="false">J38009-J38010</f>
        <v>203.8648726557</v>
      </c>
      <c r="K38011" s="17" t="n">
        <f aca="false">K38009-K38010</f>
        <v>209.989551930156</v>
      </c>
    </row>
    <row r="38012" customFormat="false" ht="15" hidden="false" customHeight="false" outlineLevel="0" collapsed="false">
      <c r="A38012" s="3" t="s">
        <v>305</v>
      </c>
      <c r="G38012" s="16" t="n">
        <f aca="false">G38011-G38013</f>
        <v>33.1505999999999</v>
      </c>
      <c r="H38012" s="16" t="n">
        <f aca="false">H38011-H38013</f>
        <v>30.830058</v>
      </c>
      <c r="I38012" s="16" t="n">
        <f aca="false">I38011-I38013</f>
        <v>29.90515626</v>
      </c>
      <c r="J38012" s="16" t="n">
        <f aca="false">J38011-J38013</f>
        <v>29.90515626</v>
      </c>
      <c r="K38012" s="16" t="n">
        <f aca="false">K38011-K38013</f>
        <v>30.2042078226</v>
      </c>
    </row>
    <row r="38013" customFormat="false" ht="15" hidden="false" customHeight="false" outlineLevel="0" collapsed="false">
      <c r="A38013" s="2" t="s">
        <v>306</v>
      </c>
      <c r="G38013" s="17" t="n">
        <f aca="false">G38009*G38007</f>
        <v>206.292474</v>
      </c>
      <c r="H38013" s="17" t="n">
        <f aca="false">H38009*H38007</f>
        <v>179.33991381</v>
      </c>
      <c r="I38013" s="17" t="n">
        <f aca="false">I38009*I38007</f>
        <v>171.93692899575</v>
      </c>
      <c r="J38013" s="17" t="n">
        <f aca="false">J38009*J38007</f>
        <v>173.9597163957</v>
      </c>
      <c r="K38013" s="17" t="n">
        <f aca="false">K38009*K38007</f>
        <v>179.785344107556</v>
      </c>
    </row>
    <row r="38014" customFormat="false" ht="15" hidden="false" customHeight="false" outlineLevel="0" collapsed="false">
      <c r="A38014" s="3" t="s">
        <v>307</v>
      </c>
      <c r="G38014" s="16" t="n">
        <f aca="false">G38009*'Historical Financials'!G30/'Historical Financials'!G25</f>
        <v>166.7637</v>
      </c>
      <c r="H38014" s="16" t="n">
        <f aca="false">H38009*'Historical Financials'!G30/'Historical Financials'!G25</f>
        <v>155.090241</v>
      </c>
      <c r="I38014" s="16" t="n">
        <f aca="false">I38009*'Historical Financials'!G30/'Historical Financials'!G25</f>
        <v>150.43753377</v>
      </c>
      <c r="J38014" s="16" t="n">
        <f aca="false">J38009*'Historical Financials'!G30/'Historical Financials'!G25</f>
        <v>150.43753377</v>
      </c>
      <c r="K38014" s="16" t="n">
        <f aca="false">K38009*'Historical Financials'!G30/'Historical Financials'!G25</f>
        <v>151.9419091077</v>
      </c>
    </row>
    <row r="38015" customFormat="false" ht="15" hidden="false" customHeight="false" outlineLevel="0" collapsed="false">
      <c r="A38015" s="3" t="s">
        <v>308</v>
      </c>
      <c r="G38015" s="16" t="n">
        <f aca="false">G38009*'Historical Financials'!G31/'Historical Financials'!G25</f>
        <v>0</v>
      </c>
      <c r="H38015" s="16" t="n">
        <f aca="false">H38009*'Historical Financials'!G31/'Historical Financials'!G25</f>
        <v>0</v>
      </c>
      <c r="I38015" s="16" t="n">
        <f aca="false">I38009*'Historical Financials'!G31/'Historical Financials'!G25</f>
        <v>0</v>
      </c>
      <c r="J38015" s="16" t="n">
        <f aca="false">J38009*'Historical Financials'!G31/'Historical Financials'!G25</f>
        <v>0</v>
      </c>
      <c r="K38015" s="16" t="n">
        <f aca="false">K38009*'Historical Financials'!G31/'Historical Financials'!G25</f>
        <v>0</v>
      </c>
    </row>
    <row r="38016" customFormat="false" ht="15" hidden="false" customHeight="false" outlineLevel="0" collapsed="false">
      <c r="A38016" s="2" t="s">
        <v>309</v>
      </c>
      <c r="G38016" s="17" t="n">
        <f aca="false">G38013-G38014-G38015</f>
        <v>39.528774</v>
      </c>
      <c r="H38016" s="17" t="n">
        <f aca="false">H38013-H38014-H38015</f>
        <v>24.24967281</v>
      </c>
      <c r="I38016" s="17" t="n">
        <f aca="false">I38013-I38014-I38015</f>
        <v>21.49939522575</v>
      </c>
      <c r="J38016" s="17" t="n">
        <f aca="false">J38013-J38014-J38015</f>
        <v>23.5221826257</v>
      </c>
      <c r="K38016" s="17" t="n">
        <f aca="false">K38013-K38014-K38015</f>
        <v>27.843434999856</v>
      </c>
    </row>
    <row r="38017" customFormat="false" ht="15" hidden="false" customHeight="false" outlineLevel="0" collapsed="false">
      <c r="A38017" s="3" t="s">
        <v>310</v>
      </c>
      <c r="G38017" s="16" t="n">
        <f aca="false">G38043+G38056+G38069+G38082+G38095+G38108+G38121+G38134+G38147+G38160</f>
        <v>194.5679854</v>
      </c>
      <c r="H38017" s="16" t="n">
        <f aca="false">H38043+H38056+H38069+H38082+H38095+H38108+H38121+H38134+H38147+H38160</f>
        <v>193.3700704</v>
      </c>
      <c r="I38017" s="16" t="n">
        <f aca="false">I38043+I38056+I38069+I38082+I38095+I38108+I38121+I38134+I38147+I38160</f>
        <v>191.11925836865</v>
      </c>
      <c r="J38017" s="16" t="n">
        <f aca="false">J38043+J38056+J38069+J38082+J38095+J38108+J38121+J38134+J38147+J38160</f>
        <v>190.64925836865</v>
      </c>
      <c r="K38017" s="16" t="n">
        <f aca="false">K38043+K38056+K38069+K38082+K38095+K38108+K38121+K38134+K38147+K38160</f>
        <v>190.17925836865</v>
      </c>
    </row>
    <row r="38018" customFormat="false" ht="15" hidden="false" customHeight="false" outlineLevel="0" collapsed="false">
      <c r="A38018" s="3" t="s">
        <v>311</v>
      </c>
      <c r="G38018" s="16" t="n">
        <f aca="false">G38044+G38057+G38070+G38083+G38096+G38109+G38122+G38135+G38148+G38161</f>
        <v>0</v>
      </c>
      <c r="H38018" s="16" t="n">
        <f aca="false">H38044+H38057+H38070+H38083+H38096+H38109+H38122+H38135+H38148+H38161</f>
        <v>0</v>
      </c>
      <c r="I38018" s="16" t="n">
        <f aca="false">I38044+I38057+I38070+I38083+I38096+I38109+I38122+I38135+I38148+I38161</f>
        <v>0</v>
      </c>
      <c r="J38018" s="16" t="n">
        <f aca="false">J38044+J38057+J38070+J38083+J38096+J38109+J38122+J38135+J38148+J38161</f>
        <v>0</v>
      </c>
      <c r="K38018" s="16" t="n">
        <f aca="false">K38044+K38057+K38070+K38083+K38096+K38109+K38122+K38135+K38148+K38161</f>
        <v>0</v>
      </c>
    </row>
    <row r="38019" customFormat="false" ht="15" hidden="false" customHeight="false" outlineLevel="0" collapsed="false">
      <c r="A38019" s="3" t="s">
        <v>283</v>
      </c>
      <c r="G38019" s="16" t="n">
        <f aca="false">G38017+G38018</f>
        <v>194.5679854</v>
      </c>
      <c r="H38019" s="16" t="n">
        <f aca="false">H38017+H38018</f>
        <v>193.3700704</v>
      </c>
      <c r="I38019" s="16" t="n">
        <f aca="false">I38017+I38018</f>
        <v>191.11925836865</v>
      </c>
      <c r="J38019" s="16" t="n">
        <f aca="false">J38017+J38018</f>
        <v>190.64925836865</v>
      </c>
      <c r="K38019" s="16" t="n">
        <f aca="false">K38017+K38018</f>
        <v>190.17925836865</v>
      </c>
    </row>
    <row r="38020" customFormat="false" ht="15" hidden="false" customHeight="false" outlineLevel="0" collapsed="false">
      <c r="A38020" s="2" t="s">
        <v>284</v>
      </c>
      <c r="G38020" s="17" t="n">
        <f aca="false">G38016-G38019</f>
        <v>-155.0392114</v>
      </c>
      <c r="H38020" s="17" t="n">
        <f aca="false">H38016-H38019</f>
        <v>-169.12039759</v>
      </c>
      <c r="I38020" s="17" t="n">
        <f aca="false">I38016-I38019</f>
        <v>-169.6198631429</v>
      </c>
      <c r="J38020" s="17" t="n">
        <f aca="false">J38016-J38019</f>
        <v>-167.12707574295</v>
      </c>
      <c r="K38020" s="17" t="n">
        <f aca="false">K38016-K38019</f>
        <v>-162.335823368794</v>
      </c>
    </row>
    <row r="38021" customFormat="false" ht="15" hidden="false" customHeight="false" outlineLevel="0" collapsed="false">
      <c r="A38021" s="3" t="s">
        <v>312</v>
      </c>
      <c r="G38021" s="16" t="n">
        <f aca="false">MAX(0,G38020)*Assumptions!$C$9</f>
        <v>0</v>
      </c>
      <c r="H38021" s="16" t="n">
        <f aca="false">MAX(0,H38020)*Assumptions!$C$9</f>
        <v>0</v>
      </c>
      <c r="I38021" s="16" t="n">
        <f aca="false">MAX(0,I38020)*Assumptions!$C$9</f>
        <v>0</v>
      </c>
      <c r="J38021" s="16" t="n">
        <f aca="false">MAX(0,J38020)*Assumptions!$C$9</f>
        <v>0</v>
      </c>
      <c r="K38021" s="16" t="n">
        <f aca="false">MAX(0,K38020)*Assumptions!$C$9</f>
        <v>0</v>
      </c>
    </row>
    <row r="38022" customFormat="false" ht="15" hidden="false" customHeight="false" outlineLevel="0" collapsed="false">
      <c r="A38022" s="2" t="s">
        <v>313</v>
      </c>
      <c r="G38022" s="17" t="n">
        <f aca="false">G38020-G38021</f>
        <v>-155.0392114</v>
      </c>
      <c r="H38022" s="17" t="n">
        <f aca="false">H38020-H38021</f>
        <v>-169.12039759</v>
      </c>
      <c r="I38022" s="17" t="n">
        <f aca="false">I38020-I38021</f>
        <v>-169.6198631429</v>
      </c>
      <c r="J38022" s="17" t="n">
        <f aca="false">J38020-J38021</f>
        <v>-167.12707574295</v>
      </c>
      <c r="K38022" s="17" t="n">
        <f aca="false">K38020-K38021</f>
        <v>-162.335823368794</v>
      </c>
    </row>
    <row r="38023" customFormat="false" ht="15" hidden="false" customHeight="false" outlineLevel="0" collapsed="false">
      <c r="A38023" s="24" t="s">
        <v>314</v>
      </c>
      <c r="B38023" s="25"/>
      <c r="C38023" s="25"/>
      <c r="D38023" s="25"/>
      <c r="E38023" s="25"/>
      <c r="F38023" s="25"/>
      <c r="G38023" s="25"/>
      <c r="H38023" s="25"/>
      <c r="I38023" s="25"/>
      <c r="J38023" s="25"/>
      <c r="K38023" s="25"/>
    </row>
    <row r="38024" customFormat="false" ht="15" hidden="false" customHeight="false" outlineLevel="0" collapsed="false">
      <c r="A38024" s="3" t="s">
        <v>184</v>
      </c>
      <c r="G38024" s="16" t="n">
        <f aca="false">G38009*CHOOSE($C$37996,Assumptions!$C$83,Assumptions!$C$102,Assumptions!$C$121)</f>
        <v>58.300047</v>
      </c>
      <c r="H38024" s="16" t="n">
        <f aca="false">H38009*CHOOSE($C$37996,Assumptions!$C$83,Assumptions!$C$102,Assumptions!$C$121)</f>
        <v>54.21904371</v>
      </c>
      <c r="I38024" s="16" t="n">
        <f aca="false">I38009*CHOOSE($C$37996,Assumptions!$C$83,Assumptions!$C$102,Assumptions!$C$121)</f>
        <v>52.5924723987</v>
      </c>
      <c r="J38024" s="16" t="n">
        <f aca="false">J38009*CHOOSE($C$37996,Assumptions!$C$83,Assumptions!$C$102,Assumptions!$C$121)</f>
        <v>52.5924723987</v>
      </c>
      <c r="K38024" s="16" t="n">
        <f aca="false">K38009*CHOOSE($C$37996,Assumptions!$C$83,Assumptions!$C$102,Assumptions!$C$121)</f>
        <v>53.118397122687</v>
      </c>
    </row>
    <row r="38025" customFormat="false" ht="15" hidden="false" customHeight="false" outlineLevel="0" collapsed="false">
      <c r="A38025" s="3" t="s">
        <v>315</v>
      </c>
      <c r="G38025" s="16" t="n">
        <f aca="false">CHOOSE($C$37996,Assumptions!$C$84,Assumptions!$C$103,Assumptions!$C$122)*(G38009-F38009)+CHOOSE($C$37996,Assumptions!$C$85,Assumptions!$C$104,Assumptions!$C$123)*G38009</f>
        <v>0</v>
      </c>
      <c r="H38025" s="16" t="n">
        <f aca="false">CHOOSE($C$37996,Assumptions!$C$84,Assumptions!$C$103,Assumptions!$C$122)*(H38009-G38009)+CHOOSE($C$37996,Assumptions!$C$85,Assumptions!$C$104,Assumptions!$C$123)*H38009</f>
        <v>0</v>
      </c>
      <c r="I38025" s="16" t="n">
        <f aca="false">CHOOSE($C$37996,Assumptions!$C$84,Assumptions!$C$103,Assumptions!$C$122)*(I38009-H38009)+CHOOSE($C$37996,Assumptions!$C$85,Assumptions!$C$104,Assumptions!$C$123)*I38009</f>
        <v>0</v>
      </c>
      <c r="J38025" s="16" t="n">
        <f aca="false">CHOOSE($C$37996,Assumptions!$C$84,Assumptions!$C$103,Assumptions!$C$122)*(J38009-I38009)+CHOOSE($C$37996,Assumptions!$C$85,Assumptions!$C$104,Assumptions!$C$123)*J38009</f>
        <v>0</v>
      </c>
      <c r="K38025" s="16" t="n">
        <f aca="false">CHOOSE($C$37996,Assumptions!$C$84,Assumptions!$C$103,Assumptions!$C$122)*(K38009-J38009)+CHOOSE($C$37996,Assumptions!$C$85,Assumptions!$C$104,Assumptions!$C$123)*K38009</f>
        <v>0</v>
      </c>
    </row>
    <row r="38026" customFormat="false" ht="15" hidden="false" customHeight="false" outlineLevel="0" collapsed="false">
      <c r="A38026" s="2" t="s">
        <v>316</v>
      </c>
      <c r="G38026" s="17" t="n">
        <f aca="false">G38022+G38014+G38015+G38018-G38024-G38025</f>
        <v>-46.5755584</v>
      </c>
      <c r="H38026" s="17" t="n">
        <f aca="false">H38022+H38014+H38015+H38018-H38024-H38025</f>
        <v>-68.2492003</v>
      </c>
      <c r="I38026" s="17" t="n">
        <f aca="false">I38022+I38014+I38015+I38018-I38024-I38025</f>
        <v>-71.7748017716</v>
      </c>
      <c r="J38026" s="17" t="n">
        <f aca="false">J38022+J38014+J38015+J38018-J38024-J38025</f>
        <v>-69.28201437165</v>
      </c>
      <c r="K38026" s="17" t="n">
        <f aca="false">K38022+K38014+K38015+K38018-K38024-K38025</f>
        <v>-63.512311383781</v>
      </c>
    </row>
    <row r="38028" customFormat="false" ht="15" hidden="false" customHeight="false" outlineLevel="0" collapsed="false">
      <c r="A38028" s="24" t="s">
        <v>318</v>
      </c>
      <c r="B38028" s="25"/>
      <c r="C38028" s="25"/>
      <c r="D38028" s="25"/>
      <c r="E38028" s="25"/>
      <c r="F38028" s="25"/>
      <c r="G38028" s="25"/>
      <c r="H38028" s="25"/>
      <c r="I38028" s="25"/>
      <c r="J38028" s="25"/>
      <c r="K38028" s="25"/>
    </row>
    <row r="38029" customFormat="false" ht="15" hidden="false" customHeight="false" outlineLevel="0" collapsed="false">
      <c r="A38029" s="3" t="s">
        <v>319</v>
      </c>
      <c r="G38029" s="30" t="n">
        <f aca="false">Assumptions!$G$53</f>
        <v>0.039</v>
      </c>
      <c r="H38029" s="30" t="n">
        <f aca="false">Assumptions!$H$53</f>
        <v>0.0375</v>
      </c>
      <c r="I38029" s="30" t="n">
        <f aca="false">Assumptions!$I$53</f>
        <v>0.035</v>
      </c>
      <c r="J38029" s="30" t="n">
        <f aca="false">Assumptions!$J$53</f>
        <v>0.035</v>
      </c>
      <c r="K38029" s="30" t="n">
        <f aca="false">Assumptions!$K$53</f>
        <v>0.035</v>
      </c>
    </row>
    <row r="38030" customFormat="false" ht="15" hidden="false" customHeight="false" outlineLevel="0" collapsed="false">
      <c r="A38030" s="3" t="s">
        <v>320</v>
      </c>
      <c r="C38030" s="31" t="n">
        <f aca="false">CHOOSE($C$37996,Assumptions!$C$86,Assumptions!$C$105,Assumptions!$C$124)+$C$37999</f>
        <v>0.03</v>
      </c>
    </row>
    <row r="38031" customFormat="false" ht="15" hidden="false" customHeight="false" outlineLevel="0" collapsed="false">
      <c r="A38031" s="3" t="s">
        <v>321</v>
      </c>
      <c r="C38031" s="31" t="n">
        <f aca="false">CHOOSE($C$37996,Assumptions!$C$87,Assumptions!$C$106,Assumptions!$C$125)</f>
        <v>0.12</v>
      </c>
    </row>
    <row r="38032" customFormat="false" ht="15" hidden="false" customHeight="false" outlineLevel="0" collapsed="false">
      <c r="A38032" s="3" t="s">
        <v>322</v>
      </c>
      <c r="C38032" s="32" t="n">
        <f aca="false">CHOOSE($C$37996,Assumptions!$C$88,Assumptions!$C$107,Assumptions!$C$126)</f>
        <v>9</v>
      </c>
    </row>
    <row r="38033" customFormat="false" ht="15" hidden="false" customHeight="false" outlineLevel="0" collapsed="false">
      <c r="A38033" s="3" t="s">
        <v>323</v>
      </c>
      <c r="C38033" s="32" t="n">
        <f aca="false">CHOOSE($C$37996,Assumptions!$C$89,Assumptions!$C$108,Assumptions!$C$127)</f>
        <v>1.75</v>
      </c>
    </row>
    <row r="38034" customFormat="false" ht="15" hidden="false" customHeight="false" outlineLevel="0" collapsed="false">
      <c r="A38034" s="3" t="s">
        <v>324</v>
      </c>
      <c r="G38034" s="16" t="n">
        <f aca="false">G38039+G38052+G38065+G38078+G38091+G38104+G38117+G38130+G38143+G38156</f>
        <v>2625.934</v>
      </c>
      <c r="H38034" s="16" t="n">
        <f aca="false">H38039+H38052+H38065+H38078+H38091+H38104+H38117+H38130+H38143+H38156</f>
        <v>2621.934</v>
      </c>
      <c r="I38034" s="16" t="n">
        <f aca="false">I38039+I38052+I38065+I38078+I38091+I38104+I38117+I38130+I38143+I38156</f>
        <v>2602.8887587</v>
      </c>
      <c r="J38034" s="16" t="n">
        <f aca="false">J38039+J38052+J38065+J38078+J38091+J38104+J38117+J38130+J38143+J38156</f>
        <v>2598.8887587</v>
      </c>
      <c r="K38034" s="16" t="n">
        <f aca="false">K38039+K38052+K38065+K38078+K38091+K38104+K38117+K38130+K38143+K38156</f>
        <v>2594.8887587</v>
      </c>
    </row>
    <row r="38035" customFormat="false" ht="15" hidden="false" customHeight="false" outlineLevel="0" collapsed="false">
      <c r="A38035" s="3" t="s">
        <v>325</v>
      </c>
      <c r="G38035" s="16" t="n">
        <f aca="false">F38227</f>
        <v>37.87</v>
      </c>
      <c r="H38035" s="16" t="n">
        <f aca="false">G38227</f>
        <v>87.2944416</v>
      </c>
      <c r="I38035" s="16" t="n">
        <f aca="false">H38227</f>
        <v>0</v>
      </c>
      <c r="J38035" s="16" t="n">
        <f aca="false">I38227</f>
        <v>-75.7748017716</v>
      </c>
      <c r="K38035" s="16" t="n">
        <f aca="false">J38227</f>
        <v>-149.05681614325</v>
      </c>
    </row>
    <row r="38036" customFormat="false" ht="15" hidden="false" customHeight="false" outlineLevel="0" collapsed="false">
      <c r="A38036" s="3" t="s">
        <v>326</v>
      </c>
      <c r="G38036" s="16" t="n">
        <f aca="false">G38039*IF(G38040=1,$C$38031,IF(Assumptions!$I$57=1,MAX(G38029,Assumptions!$G$57)+Assumptions!$F$57+$C$38030,Assumptions!$E$57))+G38052*IF(G38053=1,$C$38031,IF(Assumptions!$I$58=1,MAX(G38029,Assumptions!$G$58)+Assumptions!$F$58+$C$38030,Assumptions!$E$58))+G38065*IF(G38066=1,$C$38031,IF(Assumptions!$I$59=1,MAX(G38029,Assumptions!$G$59)+Assumptions!$F$59+$C$38030,Assumptions!$E$59))+G38078*IF(G38079=1,$C$38031,IF(Assumptions!$I$60=1,MAX(G38029,Assumptions!$G$60)+Assumptions!$F$60+$C$38030,Assumptions!$E$60))+G38091*IF(G38092=1,$C$38031,IF(Assumptions!$I$61=1,MAX(G38029,Assumptions!$G$61)+Assumptions!$F$61+$C$38030,Assumptions!$E$61))+G38104*IF(G38105=1,$C$38031,IF(Assumptions!$I$62=1,MAX(G38029,Assumptions!$G$62)+Assumptions!$F$62+$C$38030,Assumptions!$E$62))+G38117*IF(G38118=1,$C$38031,IF(Assumptions!$I$63=1,MAX(G38029,Assumptions!$G$63)+Assumptions!$F$63+$C$38030,Assumptions!$E$63))+G38130*IF(G38131=1,$C$38031,IF(Assumptions!$I$64=1,MAX(G38029,Assumptions!$G$64)+Assumptions!$F$64+$C$38030,Assumptions!$E$64))+G38143*IF(G38144=1,$C$38031,IF(Assumptions!$I$65=1,MAX(G38029,Assumptions!$G$65)+Assumptions!$F$65+$C$38030,Assumptions!$E$65))+G38156*IF(G38157=1,$C$38031,IF(Assumptions!$I$66=1,MAX(G38029,Assumptions!$G$66)+Assumptions!$F$66+$C$38030,Assumptions!$E$66))</f>
        <v>194.5679854</v>
      </c>
      <c r="H38036" s="16" t="n">
        <f aca="false">H38039*IF(OR(H38040=1,G38349=1),$C$38031,IF(Assumptions!$I$57=1,MAX(H38029,Assumptions!$G$57)+Assumptions!$F$57+$C$38030,Assumptions!$E$57))+H38052*IF(OR(H38053=1,G38350=1),$C$38031,IF(Assumptions!$I$58=1,MAX(H38029,Assumptions!$G$58)+Assumptions!$F$58+$C$38030,Assumptions!$E$58))+H38065*IF(OR(H38066=1,G38351=1),$C$38031,IF(Assumptions!$I$59=1,MAX(H38029,Assumptions!$G$59)+Assumptions!$F$59+$C$38030,Assumptions!$E$59))+H38078*IF(OR(H38079=1,G38352=1),$C$38031,IF(Assumptions!$I$60=1,MAX(H38029,Assumptions!$G$60)+Assumptions!$F$60+$C$38030,Assumptions!$E$60))+H38091*IF(OR(H38092=1,G38353=1),$C$38031,IF(Assumptions!$I$61=1,MAX(H38029,Assumptions!$G$61)+Assumptions!$F$61+$C$38030,Assumptions!$E$61))+H38104*IF(OR(H38105=1,G38354=1),$C$38031,IF(Assumptions!$I$62=1,MAX(H38029,Assumptions!$G$62)+Assumptions!$F$62+$C$38030,Assumptions!$E$62))+H38117*IF(OR(H38118=1,G38355=1),$C$38031,IF(Assumptions!$I$63=1,MAX(H38029,Assumptions!$G$63)+Assumptions!$F$63+$C$38030,Assumptions!$E$63))+H38130*IF(OR(H38131=1,G38356=1),$C$38031,IF(Assumptions!$I$64=1,MAX(H38029,Assumptions!$G$64)+Assumptions!$F$64+$C$38030,Assumptions!$E$64))+H38143*IF(OR(H38144=1,G38357=1),$C$38031,IF(Assumptions!$I$65=1,MAX(H38029,Assumptions!$G$65)+Assumptions!$F$65+$C$38030,Assumptions!$E$65))+H38156*IF(OR(H38157=1,G38358=1),$C$38031,IF(Assumptions!$I$66=1,MAX(H38029,Assumptions!$G$66)+Assumptions!$F$66+$C$38030,Assumptions!$E$66))</f>
        <v>242.5450704</v>
      </c>
      <c r="I38036" s="16" t="n">
        <f aca="false">I38039*IF(OR(I38040=1,H38349=1),$C$38031,IF(Assumptions!$I$57=1,MAX(I38029,Assumptions!$G$57)+Assumptions!$F$57+$C$38030,Assumptions!$E$57))+I38052*IF(OR(I38053=1,H38350=1),$C$38031,IF(Assumptions!$I$58=1,MAX(I38029,Assumptions!$G$58)+Assumptions!$F$58+$C$38030,Assumptions!$E$58))+I38065*IF(OR(I38066=1,H38351=1),$C$38031,IF(Assumptions!$I$59=1,MAX(I38029,Assumptions!$G$59)+Assumptions!$F$59+$C$38030,Assumptions!$E$59))+I38078*IF(OR(I38079=1,H38352=1),$C$38031,IF(Assumptions!$I$60=1,MAX(I38029,Assumptions!$G$60)+Assumptions!$F$60+$C$38030,Assumptions!$E$60))+I38091*IF(OR(I38092=1,H38353=1),$C$38031,IF(Assumptions!$I$61=1,MAX(I38029,Assumptions!$G$61)+Assumptions!$F$61+$C$38030,Assumptions!$E$61))+I38104*IF(OR(I38105=1,H38354=1),$C$38031,IF(Assumptions!$I$62=1,MAX(I38029,Assumptions!$G$62)+Assumptions!$F$62+$C$38030,Assumptions!$E$62))+I38117*IF(OR(I38118=1,H38355=1),$C$38031,IF(Assumptions!$I$63=1,MAX(I38029,Assumptions!$G$63)+Assumptions!$F$63+$C$38030,Assumptions!$E$63))+I38130*IF(OR(I38131=1,H38356=1),$C$38031,IF(Assumptions!$I$64=1,MAX(I38029,Assumptions!$G$64)+Assumptions!$F$64+$C$38030,Assumptions!$E$64))+I38143*IF(OR(I38144=1,H38357=1),$C$38031,IF(Assumptions!$I$65=1,MAX(I38029,Assumptions!$G$65)+Assumptions!$F$65+$C$38030,Assumptions!$E$65))+I38156*IF(OR(I38157=1,H38358=1),$C$38031,IF(Assumptions!$I$66=1,MAX(I38029,Assumptions!$G$66)+Assumptions!$F$66+$C$38030,Assumptions!$E$66))</f>
        <v>208.30675836865</v>
      </c>
      <c r="J38036" s="16" t="n">
        <f aca="false">J38039*IF(OR(J38040=1,I38349=1),$C$38031,IF(Assumptions!$I$57=1,MAX(J38029,Assumptions!$G$57)+Assumptions!$F$57+$C$38030,Assumptions!$E$57))+J38052*IF(OR(J38053=1,I38350=1),$C$38031,IF(Assumptions!$I$58=1,MAX(J38029,Assumptions!$G$58)+Assumptions!$F$58+$C$38030,Assumptions!$E$58))+J38065*IF(OR(J38066=1,I38351=1),$C$38031,IF(Assumptions!$I$59=1,MAX(J38029,Assumptions!$G$59)+Assumptions!$F$59+$C$38030,Assumptions!$E$59))+J38078*IF(OR(J38079=1,I38352=1),$C$38031,IF(Assumptions!$I$60=1,MAX(J38029,Assumptions!$G$60)+Assumptions!$F$60+$C$38030,Assumptions!$E$60))+J38091*IF(OR(J38092=1,I38353=1),$C$38031,IF(Assumptions!$I$61=1,MAX(J38029,Assumptions!$G$61)+Assumptions!$F$61+$C$38030,Assumptions!$E$61))+J38104*IF(OR(J38105=1,I38354=1),$C$38031,IF(Assumptions!$I$62=1,MAX(J38029,Assumptions!$G$62)+Assumptions!$F$62+$C$38030,Assumptions!$E$62))+J38117*IF(OR(J38118=1,I38355=1),$C$38031,IF(Assumptions!$I$63=1,MAX(J38029,Assumptions!$G$63)+Assumptions!$F$63+$C$38030,Assumptions!$E$63))+J38130*IF(OR(J38131=1,I38356=1),$C$38031,IF(Assumptions!$I$64=1,MAX(J38029,Assumptions!$G$64)+Assumptions!$F$64+$C$38030,Assumptions!$E$64))+J38143*IF(OR(J38144=1,I38357=1),$C$38031,IF(Assumptions!$I$65=1,MAX(J38029,Assumptions!$G$65)+Assumptions!$F$65+$C$38030,Assumptions!$E$65))+J38156*IF(OR(J38157=1,I38358=1),$C$38031,IF(Assumptions!$I$66=1,MAX(J38029,Assumptions!$G$66)+Assumptions!$F$66+$C$38030,Assumptions!$E$66))</f>
        <v>216.72425836865</v>
      </c>
      <c r="K38036" s="16" t="n">
        <f aca="false">K38039*IF(OR(K38040=1,J38349=1),$C$38031,IF(Assumptions!$I$57=1,MAX(K38029,Assumptions!$G$57)+Assumptions!$F$57+$C$38030,Assumptions!$E$57))+K38052*IF(OR(K38053=1,J38350=1),$C$38031,IF(Assumptions!$I$58=1,MAX(K38029,Assumptions!$G$58)+Assumptions!$F$58+$C$38030,Assumptions!$E$58))+K38065*IF(OR(K38066=1,J38351=1),$C$38031,IF(Assumptions!$I$59=1,MAX(K38029,Assumptions!$G$59)+Assumptions!$F$59+$C$38030,Assumptions!$E$59))+K38078*IF(OR(K38079=1,J38352=1),$C$38031,IF(Assumptions!$I$60=1,MAX(K38029,Assumptions!$G$60)+Assumptions!$F$60+$C$38030,Assumptions!$E$60))+K38091*IF(OR(K38092=1,J38353=1),$C$38031,IF(Assumptions!$I$61=1,MAX(K38029,Assumptions!$G$61)+Assumptions!$F$61+$C$38030,Assumptions!$E$61))+K38104*IF(OR(K38105=1,J38354=1),$C$38031,IF(Assumptions!$I$62=1,MAX(K38029,Assumptions!$G$62)+Assumptions!$F$62+$C$38030,Assumptions!$E$62))+K38117*IF(OR(K38118=1,J38355=1),$C$38031,IF(Assumptions!$I$63=1,MAX(K38029,Assumptions!$G$63)+Assumptions!$F$63+$C$38030,Assumptions!$E$63))+K38130*IF(OR(K38131=1,J38356=1),$C$38031,IF(Assumptions!$I$64=1,MAX(K38029,Assumptions!$G$64)+Assumptions!$F$64+$C$38030,Assumptions!$E$64))+K38143*IF(OR(K38144=1,J38357=1),$C$38031,IF(Assumptions!$I$65=1,MAX(K38029,Assumptions!$G$65)+Assumptions!$F$65+$C$38030,Assumptions!$E$65))+K38156*IF(OR(K38157=1,J38358=1),$C$38031,IF(Assumptions!$I$66=1,MAX(K38029,Assumptions!$G$66)+Assumptions!$F$66+$C$38030,Assumptions!$E$66))</f>
        <v>208.76425836865</v>
      </c>
    </row>
    <row r="38037" customFormat="false" ht="15" hidden="false" customHeight="false" outlineLevel="0" collapsed="false">
      <c r="A38037" s="3" t="s">
        <v>327</v>
      </c>
      <c r="G38037" s="21" t="n">
        <f aca="false">IF(G38013&lt;=0,0,IF(AND((G38034-G38035)/G38013&lt;=$C$38032,G38013/G38036&gt;=$C$38033),1,0))</f>
        <v>0</v>
      </c>
      <c r="H38037" s="21" t="n">
        <f aca="false">IF(H38013&lt;=0,0,IF(AND((H38034-H38035)/H38013&lt;=$C$38032,H38013/H38036&gt;=$C$38033),1,0))</f>
        <v>0</v>
      </c>
      <c r="I38037" s="21" t="n">
        <f aca="false">IF(I38013&lt;=0,0,IF(AND((I38034-I38035)/I38013&lt;=$C$38032,I38013/I38036&gt;=$C$38033),1,0))</f>
        <v>0</v>
      </c>
      <c r="J38037" s="21" t="n">
        <f aca="false">IF(J38013&lt;=0,0,IF(AND((J38034-J38035)/J38013&lt;=$C$38032,J38013/J38036&gt;=$C$38033),1,0))</f>
        <v>0</v>
      </c>
      <c r="K38037" s="21" t="n">
        <f aca="false">IF(K38013&lt;=0,0,IF(AND((K38034-K38035)/K38013&lt;=$C$38032,K38013/K38036&gt;=$C$38033),1,0))</f>
        <v>0</v>
      </c>
    </row>
    <row r="38038" customFormat="false" ht="15" hidden="false" customHeight="false" outlineLevel="0" collapsed="false">
      <c r="A38038" s="24" t="s">
        <v>328</v>
      </c>
      <c r="B38038" s="25"/>
      <c r="C38038" s="25"/>
      <c r="D38038" s="25"/>
      <c r="E38038" s="25"/>
      <c r="F38038" s="25"/>
      <c r="G38038" s="25"/>
      <c r="H38038" s="25"/>
      <c r="I38038" s="25"/>
      <c r="J38038" s="25"/>
      <c r="K38038" s="25"/>
    </row>
    <row r="38039" customFormat="false" ht="15" hidden="false" customHeight="false" outlineLevel="0" collapsed="false">
      <c r="A38039" s="3" t="s">
        <v>329</v>
      </c>
      <c r="G38039" s="16" t="n">
        <f aca="false">F38050</f>
        <v>400</v>
      </c>
      <c r="H38039" s="16" t="n">
        <f aca="false">G38050</f>
        <v>396</v>
      </c>
      <c r="I38039" s="16" t="n">
        <f aca="false">H38050</f>
        <v>392</v>
      </c>
      <c r="J38039" s="16" t="n">
        <f aca="false">I38050</f>
        <v>388</v>
      </c>
      <c r="K38039" s="16" t="n">
        <f aca="false">J38050</f>
        <v>384</v>
      </c>
    </row>
    <row r="38040" customFormat="false" ht="15" hidden="false" customHeight="false" outlineLevel="0" collapsed="false">
      <c r="A38040" s="3" t="s">
        <v>330</v>
      </c>
      <c r="G38040" s="21" t="n">
        <f aca="false">IF(G38003=Assumptions!$K$57,1,0)</f>
        <v>0</v>
      </c>
      <c r="H38040" s="21" t="n">
        <f aca="false">IF(H38003=Assumptions!$K$57,1,0)</f>
        <v>0</v>
      </c>
      <c r="I38040" s="21" t="n">
        <f aca="false">IF(I38003=Assumptions!$K$57,1,0)</f>
        <v>0</v>
      </c>
      <c r="J38040" s="21" t="n">
        <f aca="false">IF(J38003=Assumptions!$K$57,1,0)</f>
        <v>0</v>
      </c>
      <c r="K38040" s="21" t="n">
        <f aca="false">IF(K38003=Assumptions!$K$57,1,0)</f>
        <v>1</v>
      </c>
    </row>
    <row r="38042" customFormat="false" ht="15" hidden="false" customHeight="false" outlineLevel="0" collapsed="false">
      <c r="A38042" s="3" t="s">
        <v>331</v>
      </c>
      <c r="G38042" s="31" t="n">
        <f aca="false">IF(Assumptions!$I$57=1,MAX(G38029,Assumptions!$G$57)+Assumptions!$F$57+$C$38030,Assumptions!$E$57)</f>
        <v>0.1215</v>
      </c>
      <c r="H38042" s="31" t="n">
        <f aca="false">IF(G38349=1,$C$38031,IF(Assumptions!$I$57=1,MAX(H38029,Assumptions!$G$57)+Assumptions!$F$57+$C$38030,Assumptions!$E$57))</f>
        <v>0.12</v>
      </c>
      <c r="I38042" s="31" t="n">
        <f aca="false">IF(H38349=1,$C$38031,IF(Assumptions!$I$57=1,MAX(I38029,Assumptions!$G$57)+Assumptions!$F$57+$C$38030,Assumptions!$E$57))</f>
        <v>0.1175</v>
      </c>
      <c r="J38042" s="31" t="n">
        <f aca="false">IF(I38349=1,$C$38031,IF(Assumptions!$I$57=1,MAX(J38029,Assumptions!$G$57)+Assumptions!$F$57+$C$38030,Assumptions!$E$57))</f>
        <v>0.1175</v>
      </c>
      <c r="K38042" s="31" t="n">
        <f aca="false">IF(J38349=1,$C$38031,IF(Assumptions!$I$57=1,MAX(K38029,Assumptions!$G$57)+Assumptions!$F$57+$C$38030,Assumptions!$E$57))</f>
        <v>0.1175</v>
      </c>
    </row>
    <row r="38043" customFormat="false" ht="15" hidden="false" customHeight="false" outlineLevel="0" collapsed="false">
      <c r="A38043" s="3" t="s">
        <v>332</v>
      </c>
      <c r="G38043" s="16" t="n">
        <f aca="false">G38039*G38042</f>
        <v>48.6</v>
      </c>
      <c r="H38043" s="16" t="n">
        <f aca="false">H38039*H38042</f>
        <v>47.52</v>
      </c>
      <c r="I38043" s="16" t="n">
        <f aca="false">I38039*I38042</f>
        <v>46.06</v>
      </c>
      <c r="J38043" s="16" t="n">
        <f aca="false">J38039*J38042</f>
        <v>45.59</v>
      </c>
      <c r="K38043" s="16" t="n">
        <f aca="false">K38039*K38042</f>
        <v>45.12</v>
      </c>
    </row>
    <row r="38044" customFormat="false" ht="15" hidden="false" customHeight="false" outlineLevel="0" collapsed="false">
      <c r="A38044" s="3" t="s">
        <v>333</v>
      </c>
      <c r="G38044" s="16" t="n">
        <f aca="false">G38039*Assumptions!$H$57</f>
        <v>0</v>
      </c>
      <c r="H38044" s="16" t="n">
        <f aca="false">H38039*Assumptions!$H$57</f>
        <v>0</v>
      </c>
      <c r="I38044" s="16" t="n">
        <f aca="false">I38039*Assumptions!$H$57</f>
        <v>0</v>
      </c>
      <c r="J38044" s="16" t="n">
        <f aca="false">J38039*Assumptions!$H$57</f>
        <v>0</v>
      </c>
      <c r="K38044" s="16" t="n">
        <f aca="false">K38039*Assumptions!$H$57</f>
        <v>0</v>
      </c>
    </row>
    <row r="38045" customFormat="false" ht="15" hidden="false" customHeight="false" outlineLevel="0" collapsed="false">
      <c r="A38045" s="3" t="s">
        <v>334</v>
      </c>
      <c r="G38045" s="16" t="n">
        <f aca="false">MIN(G38039,Assumptions!$L$57*Assumptions!$C$57)</f>
        <v>4</v>
      </c>
      <c r="H38045" s="16" t="n">
        <f aca="false">MIN(H38039,Assumptions!$L$57*Assumptions!$C$57)</f>
        <v>4</v>
      </c>
      <c r="I38045" s="16" t="n">
        <f aca="false">MIN(I38039,Assumptions!$L$57*Assumptions!$C$57)</f>
        <v>4</v>
      </c>
      <c r="J38045" s="16" t="n">
        <f aca="false">MIN(J38039,Assumptions!$L$57*Assumptions!$C$57)</f>
        <v>4</v>
      </c>
      <c r="K38045" s="16" t="n">
        <f aca="false">MIN(K38039,Assumptions!$L$57*Assumptions!$C$57)</f>
        <v>4</v>
      </c>
    </row>
    <row r="38046" customFormat="false" ht="15" hidden="false" customHeight="false" outlineLevel="0" collapsed="false">
      <c r="A38046" s="3" t="s">
        <v>335</v>
      </c>
      <c r="G38046" s="16" t="n">
        <f aca="false">IF(AND(Assumptions!$P$57=1,G38003&lt;Assumptions!$K$57),MIN(MAX(0,-G38219),MAX(0,Assumptions!$D$57-G38039)),0)</f>
        <v>0</v>
      </c>
      <c r="H38046" s="16" t="n">
        <f aca="false">IF(AND(Assumptions!$P$57=1,OR(H38003&lt;Assumptions!$K$57,G38349=1)),MIN(MAX(0,-H38219),MAX(0,Assumptions!$D$57-H38039)),0)</f>
        <v>0</v>
      </c>
      <c r="I38046" s="16" t="n">
        <f aca="false">IF(AND(Assumptions!$P$57=1,OR(I38003&lt;Assumptions!$K$57,H38349=1)),MIN(MAX(0,-I38219),MAX(0,Assumptions!$D$57-I38039)),0)</f>
        <v>0</v>
      </c>
      <c r="J38046" s="16" t="n">
        <f aca="false">IF(AND(Assumptions!$P$57=1,OR(J38003&lt;Assumptions!$K$57,I38349=1)),MIN(MAX(0,-J38219),MAX(0,Assumptions!$D$57-J38039)),0)</f>
        <v>0</v>
      </c>
      <c r="K38046" s="16" t="n">
        <f aca="false">IF(AND(Assumptions!$P$57=1,OR(K38003&lt;Assumptions!$K$57,J38349=1)),MIN(MAX(0,-K38219),MAX(0,Assumptions!$D$57-K38039)),0)</f>
        <v>0</v>
      </c>
    </row>
    <row r="38047" customFormat="false" ht="15" hidden="false" customHeight="false" outlineLevel="0" collapsed="false">
      <c r="A38047" s="3" t="s">
        <v>336</v>
      </c>
      <c r="G38047" s="16" t="n">
        <f aca="false">G38040*MIN(G38039-G38045+G38044,MAX(0,G38221-Assumptions!$C$12*G38037))</f>
        <v>0</v>
      </c>
      <c r="H38047" s="16" t="n">
        <f aca="false">H38040*MIN(H38039-H38045+H38044,MAX(0,H38221-Assumptions!$C$12*H38037))</f>
        <v>0</v>
      </c>
      <c r="I38047" s="16" t="n">
        <f aca="false">I38040*MIN(I38039-I38045+I38044,MAX(0,I38221-Assumptions!$C$12*I38037))</f>
        <v>0</v>
      </c>
      <c r="J38047" s="16" t="n">
        <f aca="false">J38040*MIN(J38039-J38045+J38044,MAX(0,J38221-Assumptions!$C$12*J38037))</f>
        <v>0</v>
      </c>
      <c r="K38047" s="16" t="n">
        <f aca="false">K38040*MIN(K38039-K38045+K38044,MAX(0,K38221-Assumptions!$C$12*K38037))</f>
        <v>0</v>
      </c>
    </row>
    <row r="38048" customFormat="false" ht="15" hidden="false" customHeight="false" outlineLevel="0" collapsed="false">
      <c r="A38048" s="3" t="s">
        <v>337</v>
      </c>
      <c r="G38048" s="16" t="n">
        <f aca="false">Assumptions!$N$57*MIN(G38039+G38046+G38044-G38045-G38047,MAX(0,G38225))</f>
        <v>0</v>
      </c>
      <c r="H38048" s="16" t="n">
        <f aca="false">Assumptions!$N$57*MIN(H38039+H38046+H38044-H38045-H38047,MAX(0,H38225))</f>
        <v>0</v>
      </c>
      <c r="I38048" s="16" t="n">
        <f aca="false">Assumptions!$N$57*MIN(I38039+I38046+I38044-I38045-I38047,MAX(0,I38225))</f>
        <v>0</v>
      </c>
      <c r="J38048" s="16" t="n">
        <f aca="false">Assumptions!$N$57*MIN(J38039+J38046+J38044-J38045-J38047,MAX(0,J38225))</f>
        <v>0</v>
      </c>
      <c r="K38048" s="16" t="n">
        <f aca="false">Assumptions!$N$57*MIN(K38039+K38046+K38044-K38045-K38047,MAX(0,K38225))</f>
        <v>0</v>
      </c>
    </row>
    <row r="38049" customFormat="false" ht="15" hidden="false" customHeight="false" outlineLevel="0" collapsed="false">
      <c r="A38049" s="3" t="s">
        <v>338</v>
      </c>
      <c r="G38049" s="16" t="n">
        <f aca="false">G38040*(1-G38037)*(G38039-G38045+G38044-G38047)</f>
        <v>0</v>
      </c>
      <c r="H38049" s="16" t="n">
        <f aca="false">H38040*(1-H38037)*(H38039-H38045+H38044-H38047)</f>
        <v>0</v>
      </c>
      <c r="I38049" s="16" t="n">
        <f aca="false">I38040*(1-I38037)*(I38039-I38045+I38044-I38047)</f>
        <v>0</v>
      </c>
      <c r="J38049" s="16" t="n">
        <f aca="false">J38040*(1-J38037)*(J38039-J38045+J38044-J38047)</f>
        <v>0</v>
      </c>
      <c r="K38049" s="16" t="n">
        <f aca="false">K38040*(1-K38037)*(K38039-K38045+K38044-K38047)</f>
        <v>380</v>
      </c>
    </row>
    <row r="38050" customFormat="false" ht="15" hidden="false" customHeight="false" outlineLevel="0" collapsed="false">
      <c r="A38050" s="2" t="s">
        <v>339</v>
      </c>
      <c r="F38050" s="28" t="n">
        <f aca="false">Assumptions!$C$57</f>
        <v>400</v>
      </c>
      <c r="G38050" s="17" t="n">
        <f aca="false">G38039+G38046+G38044-G38045-G38047-G38048</f>
        <v>396</v>
      </c>
      <c r="H38050" s="17" t="n">
        <f aca="false">H38039+H38046+H38044-H38045-H38047-H38048</f>
        <v>392</v>
      </c>
      <c r="I38050" s="17" t="n">
        <f aca="false">I38039+I38046+I38044-I38045-I38047-I38048</f>
        <v>388</v>
      </c>
      <c r="J38050" s="17" t="n">
        <f aca="false">J38039+J38046+J38044-J38045-J38047-J38048</f>
        <v>384</v>
      </c>
      <c r="K38050" s="17" t="n">
        <f aca="false">K38039+K38046+K38044-K38045-K38047-K38048</f>
        <v>380</v>
      </c>
    </row>
    <row r="38051" customFormat="false" ht="15" hidden="false" customHeight="false" outlineLevel="0" collapsed="false">
      <c r="A38051" s="24" t="s">
        <v>340</v>
      </c>
      <c r="B38051" s="25"/>
      <c r="C38051" s="25"/>
      <c r="D38051" s="25"/>
      <c r="E38051" s="25"/>
      <c r="F38051" s="25"/>
      <c r="G38051" s="25"/>
      <c r="H38051" s="25"/>
      <c r="I38051" s="25"/>
      <c r="J38051" s="25"/>
      <c r="K38051" s="25"/>
    </row>
    <row r="38052" customFormat="false" ht="15" hidden="false" customHeight="false" outlineLevel="0" collapsed="false">
      <c r="A38052" s="3" t="s">
        <v>329</v>
      </c>
      <c r="G38052" s="16" t="n">
        <f aca="false">F38063</f>
        <v>90</v>
      </c>
      <c r="H38052" s="16" t="n">
        <f aca="false">G38063</f>
        <v>90</v>
      </c>
      <c r="I38052" s="16" t="n">
        <f aca="false">H38063</f>
        <v>90</v>
      </c>
      <c r="J38052" s="16" t="n">
        <f aca="false">I38063</f>
        <v>90</v>
      </c>
      <c r="K38052" s="16" t="n">
        <f aca="false">J38063</f>
        <v>90</v>
      </c>
    </row>
    <row r="38053" customFormat="false" ht="15" hidden="false" customHeight="false" outlineLevel="0" collapsed="false">
      <c r="A38053" s="3" t="s">
        <v>330</v>
      </c>
      <c r="G38053" s="21" t="n">
        <f aca="false">IF(G38003=Assumptions!$K$58,1,0)</f>
        <v>0</v>
      </c>
      <c r="H38053" s="21" t="n">
        <f aca="false">IF(H38003=Assumptions!$K$58,1,0)</f>
        <v>0</v>
      </c>
      <c r="I38053" s="21" t="n">
        <f aca="false">IF(I38003=Assumptions!$K$58,1,0)</f>
        <v>0</v>
      </c>
      <c r="J38053" s="21" t="n">
        <f aca="false">IF(J38003=Assumptions!$K$58,1,0)</f>
        <v>0</v>
      </c>
      <c r="K38053" s="21" t="n">
        <f aca="false">IF(K38003=Assumptions!$K$58,1,0)</f>
        <v>0</v>
      </c>
    </row>
    <row r="38055" customFormat="false" ht="15" hidden="false" customHeight="false" outlineLevel="0" collapsed="false">
      <c r="A38055" s="3" t="s">
        <v>331</v>
      </c>
      <c r="G38055" s="31" t="n">
        <f aca="false">IF(Assumptions!$I$58=1,MAX(G38029,Assumptions!$G$58)+Assumptions!$F$58+$C$38030,Assumptions!$E$58)</f>
        <v>0.0581</v>
      </c>
      <c r="H38055" s="31" t="n">
        <f aca="false">IF(G38350=1,$C$38031,IF(Assumptions!$I$58=1,MAX(H38029,Assumptions!$G$58)+Assumptions!$F$58+$C$38030,Assumptions!$E$58))</f>
        <v>0.0581</v>
      </c>
      <c r="I38055" s="31" t="n">
        <f aca="false">IF(H38350=1,$C$38031,IF(Assumptions!$I$58=1,MAX(I38029,Assumptions!$G$58)+Assumptions!$F$58+$C$38030,Assumptions!$E$58))</f>
        <v>0.0581</v>
      </c>
      <c r="J38055" s="31" t="n">
        <f aca="false">IF(I38350=1,$C$38031,IF(Assumptions!$I$58=1,MAX(J38029,Assumptions!$G$58)+Assumptions!$F$58+$C$38030,Assumptions!$E$58))</f>
        <v>0.0581</v>
      </c>
      <c r="K38055" s="31" t="n">
        <f aca="false">IF(J38350=1,$C$38031,IF(Assumptions!$I$58=1,MAX(K38029,Assumptions!$G$58)+Assumptions!$F$58+$C$38030,Assumptions!$E$58))</f>
        <v>0.0581</v>
      </c>
    </row>
    <row r="38056" customFormat="false" ht="15" hidden="false" customHeight="false" outlineLevel="0" collapsed="false">
      <c r="A38056" s="3" t="s">
        <v>332</v>
      </c>
      <c r="G38056" s="16" t="n">
        <f aca="false">G38052*G38055</f>
        <v>5.229</v>
      </c>
      <c r="H38056" s="16" t="n">
        <f aca="false">H38052*H38055</f>
        <v>5.229</v>
      </c>
      <c r="I38056" s="16" t="n">
        <f aca="false">I38052*I38055</f>
        <v>5.229</v>
      </c>
      <c r="J38056" s="16" t="n">
        <f aca="false">J38052*J38055</f>
        <v>5.229</v>
      </c>
      <c r="K38056" s="16" t="n">
        <f aca="false">K38052*K38055</f>
        <v>5.229</v>
      </c>
    </row>
    <row r="38057" customFormat="false" ht="15" hidden="false" customHeight="false" outlineLevel="0" collapsed="false">
      <c r="A38057" s="3" t="s">
        <v>333</v>
      </c>
      <c r="G38057" s="16" t="n">
        <f aca="false">G38052*Assumptions!$H$58</f>
        <v>0</v>
      </c>
      <c r="H38057" s="16" t="n">
        <f aca="false">H38052*Assumptions!$H$58</f>
        <v>0</v>
      </c>
      <c r="I38057" s="16" t="n">
        <f aca="false">I38052*Assumptions!$H$58</f>
        <v>0</v>
      </c>
      <c r="J38057" s="16" t="n">
        <f aca="false">J38052*Assumptions!$H$58</f>
        <v>0</v>
      </c>
      <c r="K38057" s="16" t="n">
        <f aca="false">K38052*Assumptions!$H$58</f>
        <v>0</v>
      </c>
    </row>
    <row r="38058" customFormat="false" ht="15" hidden="false" customHeight="false" outlineLevel="0" collapsed="false">
      <c r="A38058" s="3" t="s">
        <v>334</v>
      </c>
      <c r="G38058" s="16" t="n">
        <f aca="false">MIN(G38052,Assumptions!$L$58*Assumptions!$C$58)</f>
        <v>0</v>
      </c>
      <c r="H38058" s="16" t="n">
        <f aca="false">MIN(H38052,Assumptions!$L$58*Assumptions!$C$58)</f>
        <v>0</v>
      </c>
      <c r="I38058" s="16" t="n">
        <f aca="false">MIN(I38052,Assumptions!$L$58*Assumptions!$C$58)</f>
        <v>0</v>
      </c>
      <c r="J38058" s="16" t="n">
        <f aca="false">MIN(J38052,Assumptions!$L$58*Assumptions!$C$58)</f>
        <v>0</v>
      </c>
      <c r="K38058" s="16" t="n">
        <f aca="false">MIN(K38052,Assumptions!$L$58*Assumptions!$C$58)</f>
        <v>0</v>
      </c>
    </row>
    <row r="38059" customFormat="false" ht="15" hidden="false" customHeight="false" outlineLevel="0" collapsed="false">
      <c r="A38059" s="3" t="s">
        <v>335</v>
      </c>
      <c r="G38059" s="16" t="n">
        <f aca="false">IF(AND(Assumptions!$P$58=1,G38003&lt;Assumptions!$K$58),MIN(MAX(0,-G38219),MAX(0,Assumptions!$D$58-G38052)),0)</f>
        <v>0</v>
      </c>
      <c r="H38059" s="16" t="n">
        <f aca="false">IF(AND(Assumptions!$P$58=1,OR(H38003&lt;Assumptions!$K$58,G38350=1)),MIN(MAX(0,-H38219),MAX(0,Assumptions!$D$58-H38052)),0)</f>
        <v>0</v>
      </c>
      <c r="I38059" s="16" t="n">
        <f aca="false">IF(AND(Assumptions!$P$58=1,OR(I38003&lt;Assumptions!$K$58,H38350=1)),MIN(MAX(0,-I38219),MAX(0,Assumptions!$D$58-I38052)),0)</f>
        <v>0</v>
      </c>
      <c r="J38059" s="16" t="n">
        <f aca="false">IF(AND(Assumptions!$P$58=1,OR(J38003&lt;Assumptions!$K$58,I38350=1)),MIN(MAX(0,-J38219),MAX(0,Assumptions!$D$58-J38052)),0)</f>
        <v>0</v>
      </c>
      <c r="K38059" s="16" t="n">
        <f aca="false">IF(AND(Assumptions!$P$58=1,OR(K38003&lt;Assumptions!$K$58,J38350=1)),MIN(MAX(0,-K38219),MAX(0,Assumptions!$D$58-K38052)),0)</f>
        <v>0</v>
      </c>
    </row>
    <row r="38060" customFormat="false" ht="15" hidden="false" customHeight="false" outlineLevel="0" collapsed="false">
      <c r="A38060" s="3" t="s">
        <v>336</v>
      </c>
      <c r="G38060" s="16" t="n">
        <f aca="false">G38053*MIN(G38052-G38058+G38057,MAX(0,G38221-Assumptions!$C$12*G38037-G38047))</f>
        <v>0</v>
      </c>
      <c r="H38060" s="16" t="n">
        <f aca="false">H38053*MIN(H38052-H38058+H38057,MAX(0,H38221-Assumptions!$C$12*H38037-H38047))</f>
        <v>0</v>
      </c>
      <c r="I38060" s="16" t="n">
        <f aca="false">I38053*MIN(I38052-I38058+I38057,MAX(0,I38221-Assumptions!$C$12*I38037-I38047))</f>
        <v>0</v>
      </c>
      <c r="J38060" s="16" t="n">
        <f aca="false">J38053*MIN(J38052-J38058+J38057,MAX(0,J38221-Assumptions!$C$12*J38037-J38047))</f>
        <v>0</v>
      </c>
      <c r="K38060" s="16" t="n">
        <f aca="false">K38053*MIN(K38052-K38058+K38057,MAX(0,K38221-Assumptions!$C$12*K38037-K38047))</f>
        <v>0</v>
      </c>
    </row>
    <row r="38061" customFormat="false" ht="15" hidden="false" customHeight="false" outlineLevel="0" collapsed="false">
      <c r="A38061" s="3" t="s">
        <v>337</v>
      </c>
      <c r="G38061" s="16" t="n">
        <f aca="false">Assumptions!$N$58*MIN(G38052+G38059+G38057-G38058-G38060,MAX(0,G38225-G38048))</f>
        <v>0</v>
      </c>
      <c r="H38061" s="16" t="n">
        <f aca="false">Assumptions!$N$58*MIN(H38052+H38059+H38057-H38058-H38060,MAX(0,H38225-H38048))</f>
        <v>0</v>
      </c>
      <c r="I38061" s="16" t="n">
        <f aca="false">Assumptions!$N$58*MIN(I38052+I38059+I38057-I38058-I38060,MAX(0,I38225-I38048))</f>
        <v>0</v>
      </c>
      <c r="J38061" s="16" t="n">
        <f aca="false">Assumptions!$N$58*MIN(J38052+J38059+J38057-J38058-J38060,MAX(0,J38225-J38048))</f>
        <v>0</v>
      </c>
      <c r="K38061" s="16" t="n">
        <f aca="false">Assumptions!$N$58*MIN(K38052+K38059+K38057-K38058-K38060,MAX(0,K38225-K38048))</f>
        <v>0</v>
      </c>
    </row>
    <row r="38062" customFormat="false" ht="15" hidden="false" customHeight="false" outlineLevel="0" collapsed="false">
      <c r="A38062" s="3" t="s">
        <v>338</v>
      </c>
      <c r="G38062" s="16" t="n">
        <f aca="false">G38053*(1-G38037)*(G38052-G38058+G38057-G38060)</f>
        <v>0</v>
      </c>
      <c r="H38062" s="16" t="n">
        <f aca="false">H38053*(1-H38037)*(H38052-H38058+H38057-H38060)</f>
        <v>0</v>
      </c>
      <c r="I38062" s="16" t="n">
        <f aca="false">I38053*(1-I38037)*(I38052-I38058+I38057-I38060)</f>
        <v>0</v>
      </c>
      <c r="J38062" s="16" t="n">
        <f aca="false">J38053*(1-J38037)*(J38052-J38058+J38057-J38060)</f>
        <v>0</v>
      </c>
      <c r="K38062" s="16" t="n">
        <f aca="false">K38053*(1-K38037)*(K38052-K38058+K38057-K38060)</f>
        <v>0</v>
      </c>
    </row>
    <row r="38063" customFormat="false" ht="15" hidden="false" customHeight="false" outlineLevel="0" collapsed="false">
      <c r="A38063" s="2" t="s">
        <v>339</v>
      </c>
      <c r="F38063" s="28" t="n">
        <f aca="false">Assumptions!$C$58</f>
        <v>90</v>
      </c>
      <c r="G38063" s="17" t="n">
        <f aca="false">G38052+G38059+G38057-G38058-G38060-G38061</f>
        <v>90</v>
      </c>
      <c r="H38063" s="17" t="n">
        <f aca="false">H38052+H38059+H38057-H38058-H38060-H38061</f>
        <v>90</v>
      </c>
      <c r="I38063" s="17" t="n">
        <f aca="false">I38052+I38059+I38057-I38058-I38060-I38061</f>
        <v>90</v>
      </c>
      <c r="J38063" s="17" t="n">
        <f aca="false">J38052+J38059+J38057-J38058-J38060-J38061</f>
        <v>90</v>
      </c>
      <c r="K38063" s="17" t="n">
        <f aca="false">K38052+K38059+K38057-K38058-K38060-K38061</f>
        <v>90</v>
      </c>
    </row>
    <row r="38064" customFormat="false" ht="15" hidden="false" customHeight="false" outlineLevel="0" collapsed="false">
      <c r="A38064" s="24" t="s">
        <v>341</v>
      </c>
      <c r="B38064" s="25"/>
      <c r="C38064" s="25"/>
      <c r="D38064" s="25"/>
      <c r="E38064" s="25"/>
      <c r="F38064" s="25"/>
      <c r="G38064" s="25"/>
      <c r="H38064" s="25"/>
      <c r="I38064" s="25"/>
      <c r="J38064" s="25"/>
      <c r="K38064" s="25"/>
    </row>
    <row r="38065" customFormat="false" ht="15" hidden="false" customHeight="false" outlineLevel="0" collapsed="false">
      <c r="A38065" s="3" t="s">
        <v>329</v>
      </c>
      <c r="G38065" s="16" t="n">
        <f aca="false">F38076</f>
        <v>57.324</v>
      </c>
      <c r="H38065" s="16" t="n">
        <f aca="false">G38076</f>
        <v>57.324</v>
      </c>
      <c r="I38065" s="16" t="n">
        <f aca="false">H38076</f>
        <v>57.324</v>
      </c>
      <c r="J38065" s="16" t="n">
        <f aca="false">I38076</f>
        <v>57.324</v>
      </c>
      <c r="K38065" s="16" t="n">
        <f aca="false">J38076</f>
        <v>57.324</v>
      </c>
    </row>
    <row r="38066" customFormat="false" ht="15" hidden="false" customHeight="false" outlineLevel="0" collapsed="false">
      <c r="A38066" s="3" t="s">
        <v>330</v>
      </c>
      <c r="G38066" s="21" t="n">
        <f aca="false">IF(G38003=Assumptions!$K$59,1,0)</f>
        <v>0</v>
      </c>
      <c r="H38066" s="21" t="n">
        <f aca="false">IF(H38003=Assumptions!$K$59,1,0)</f>
        <v>0</v>
      </c>
      <c r="I38066" s="21" t="n">
        <f aca="false">IF(I38003=Assumptions!$K$59,1,0)</f>
        <v>0</v>
      </c>
      <c r="J38066" s="21" t="n">
        <f aca="false">IF(J38003=Assumptions!$K$59,1,0)</f>
        <v>0</v>
      </c>
      <c r="K38066" s="21" t="n">
        <f aca="false">IF(K38003=Assumptions!$K$59,1,0)</f>
        <v>0</v>
      </c>
    </row>
    <row r="38068" customFormat="false" ht="15" hidden="false" customHeight="false" outlineLevel="0" collapsed="false">
      <c r="A38068" s="3" t="s">
        <v>331</v>
      </c>
      <c r="G38068" s="31" t="n">
        <f aca="false">IF(Assumptions!$I$59=1,MAX(G38029,Assumptions!$G$59)+Assumptions!$F$59+$C$38030,Assumptions!$E$59)</f>
        <v>0.0731</v>
      </c>
      <c r="H38068" s="31" t="n">
        <f aca="false">IF(G38351=1,$C$38031,IF(Assumptions!$I$59=1,MAX(H38029,Assumptions!$G$59)+Assumptions!$F$59+$C$38030,Assumptions!$E$59))</f>
        <v>0.0731</v>
      </c>
      <c r="I38068" s="31" t="n">
        <f aca="false">IF(H38351=1,$C$38031,IF(Assumptions!$I$59=1,MAX(I38029,Assumptions!$G$59)+Assumptions!$F$59+$C$38030,Assumptions!$E$59))</f>
        <v>0.0731</v>
      </c>
      <c r="J38068" s="31" t="n">
        <f aca="false">IF(I38351=1,$C$38031,IF(Assumptions!$I$59=1,MAX(J38029,Assumptions!$G$59)+Assumptions!$F$59+$C$38030,Assumptions!$E$59))</f>
        <v>0.0731</v>
      </c>
      <c r="K38068" s="31" t="n">
        <f aca="false">IF(J38351=1,$C$38031,IF(Assumptions!$I$59=1,MAX(K38029,Assumptions!$G$59)+Assumptions!$F$59+$C$38030,Assumptions!$E$59))</f>
        <v>0.0731</v>
      </c>
    </row>
    <row r="38069" customFormat="false" ht="15" hidden="false" customHeight="false" outlineLevel="0" collapsed="false">
      <c r="A38069" s="3" t="s">
        <v>332</v>
      </c>
      <c r="G38069" s="16" t="n">
        <f aca="false">G38065*G38068</f>
        <v>4.1903844</v>
      </c>
      <c r="H38069" s="16" t="n">
        <f aca="false">H38065*H38068</f>
        <v>4.1903844</v>
      </c>
      <c r="I38069" s="16" t="n">
        <f aca="false">I38065*I38068</f>
        <v>4.1903844</v>
      </c>
      <c r="J38069" s="16" t="n">
        <f aca="false">J38065*J38068</f>
        <v>4.1903844</v>
      </c>
      <c r="K38069" s="16" t="n">
        <f aca="false">K38065*K38068</f>
        <v>4.1903844</v>
      </c>
    </row>
    <row r="38070" customFormat="false" ht="15" hidden="false" customHeight="false" outlineLevel="0" collapsed="false">
      <c r="A38070" s="3" t="s">
        <v>333</v>
      </c>
      <c r="G38070" s="16" t="n">
        <f aca="false">G38065*Assumptions!$H$59</f>
        <v>0</v>
      </c>
      <c r="H38070" s="16" t="n">
        <f aca="false">H38065*Assumptions!$H$59</f>
        <v>0</v>
      </c>
      <c r="I38070" s="16" t="n">
        <f aca="false">I38065*Assumptions!$H$59</f>
        <v>0</v>
      </c>
      <c r="J38070" s="16" t="n">
        <f aca="false">J38065*Assumptions!$H$59</f>
        <v>0</v>
      </c>
      <c r="K38070" s="16" t="n">
        <f aca="false">K38065*Assumptions!$H$59</f>
        <v>0</v>
      </c>
    </row>
    <row r="38071" customFormat="false" ht="15" hidden="false" customHeight="false" outlineLevel="0" collapsed="false">
      <c r="A38071" s="3" t="s">
        <v>334</v>
      </c>
      <c r="G38071" s="16" t="n">
        <f aca="false">MIN(G38065,Assumptions!$L$59*Assumptions!$C$59)</f>
        <v>0</v>
      </c>
      <c r="H38071" s="16" t="n">
        <f aca="false">MIN(H38065,Assumptions!$L$59*Assumptions!$C$59)</f>
        <v>0</v>
      </c>
      <c r="I38071" s="16" t="n">
        <f aca="false">MIN(I38065,Assumptions!$L$59*Assumptions!$C$59)</f>
        <v>0</v>
      </c>
      <c r="J38071" s="16" t="n">
        <f aca="false">MIN(J38065,Assumptions!$L$59*Assumptions!$C$59)</f>
        <v>0</v>
      </c>
      <c r="K38071" s="16" t="n">
        <f aca="false">MIN(K38065,Assumptions!$L$59*Assumptions!$C$59)</f>
        <v>0</v>
      </c>
    </row>
    <row r="38072" customFormat="false" ht="15" hidden="false" customHeight="false" outlineLevel="0" collapsed="false">
      <c r="A38072" s="3" t="s">
        <v>335</v>
      </c>
      <c r="G38072" s="16" t="n">
        <f aca="false">IF(AND(Assumptions!$P$59=1,G38003&lt;Assumptions!$K$59),MIN(MAX(0,-G38219),MAX(0,Assumptions!$D$59-G38065)),0)</f>
        <v>0</v>
      </c>
      <c r="H38072" s="16" t="n">
        <f aca="false">IF(AND(Assumptions!$P$59=1,OR(H38003&lt;Assumptions!$K$59,G38351=1)),MIN(MAX(0,-H38219),MAX(0,Assumptions!$D$59-H38065)),0)</f>
        <v>0</v>
      </c>
      <c r="I38072" s="16" t="n">
        <f aca="false">IF(AND(Assumptions!$P$59=1,OR(I38003&lt;Assumptions!$K$59,H38351=1)),MIN(MAX(0,-I38219),MAX(0,Assumptions!$D$59-I38065)),0)</f>
        <v>0</v>
      </c>
      <c r="J38072" s="16" t="n">
        <f aca="false">IF(AND(Assumptions!$P$59=1,OR(J38003&lt;Assumptions!$K$59,I38351=1)),MIN(MAX(0,-J38219),MAX(0,Assumptions!$D$59-J38065)),0)</f>
        <v>0</v>
      </c>
      <c r="K38072" s="16" t="n">
        <f aca="false">IF(AND(Assumptions!$P$59=1,OR(K38003&lt;Assumptions!$K$59,J38351=1)),MIN(MAX(0,-K38219),MAX(0,Assumptions!$D$59-K38065)),0)</f>
        <v>0</v>
      </c>
    </row>
    <row r="38073" customFormat="false" ht="15" hidden="false" customHeight="false" outlineLevel="0" collapsed="false">
      <c r="A38073" s="3" t="s">
        <v>336</v>
      </c>
      <c r="G38073" s="16" t="n">
        <f aca="false">G38066*MIN(G38065-G38071+G38070,MAX(0,G38221-Assumptions!$C$12*G38037-G38047-G38060))</f>
        <v>0</v>
      </c>
      <c r="H38073" s="16" t="n">
        <f aca="false">H38066*MIN(H38065-H38071+H38070,MAX(0,H38221-Assumptions!$C$12*H38037-H38047-H38060))</f>
        <v>0</v>
      </c>
      <c r="I38073" s="16" t="n">
        <f aca="false">I38066*MIN(I38065-I38071+I38070,MAX(0,I38221-Assumptions!$C$12*I38037-I38047-I38060))</f>
        <v>0</v>
      </c>
      <c r="J38073" s="16" t="n">
        <f aca="false">J38066*MIN(J38065-J38071+J38070,MAX(0,J38221-Assumptions!$C$12*J38037-J38047-J38060))</f>
        <v>0</v>
      </c>
      <c r="K38073" s="16" t="n">
        <f aca="false">K38066*MIN(K38065-K38071+K38070,MAX(0,K38221-Assumptions!$C$12*K38037-K38047-K38060))</f>
        <v>0</v>
      </c>
    </row>
    <row r="38074" customFormat="false" ht="15" hidden="false" customHeight="false" outlineLevel="0" collapsed="false">
      <c r="A38074" s="3" t="s">
        <v>337</v>
      </c>
      <c r="G38074" s="16" t="n">
        <f aca="false">Assumptions!$N$59*MIN(G38065+G38072+G38070-G38071-G38073,MAX(0,G38225-G38048-G38061))</f>
        <v>0</v>
      </c>
      <c r="H38074" s="16" t="n">
        <f aca="false">Assumptions!$N$59*MIN(H38065+H38072+H38070-H38071-H38073,MAX(0,H38225-H38048-H38061))</f>
        <v>0</v>
      </c>
      <c r="I38074" s="16" t="n">
        <f aca="false">Assumptions!$N$59*MIN(I38065+I38072+I38070-I38071-I38073,MAX(0,I38225-I38048-I38061))</f>
        <v>0</v>
      </c>
      <c r="J38074" s="16" t="n">
        <f aca="false">Assumptions!$N$59*MIN(J38065+J38072+J38070-J38071-J38073,MAX(0,J38225-J38048-J38061))</f>
        <v>0</v>
      </c>
      <c r="K38074" s="16" t="n">
        <f aca="false">Assumptions!$N$59*MIN(K38065+K38072+K38070-K38071-K38073,MAX(0,K38225-K38048-K38061))</f>
        <v>0</v>
      </c>
    </row>
    <row r="38075" customFormat="false" ht="15" hidden="false" customHeight="false" outlineLevel="0" collapsed="false">
      <c r="A38075" s="3" t="s">
        <v>338</v>
      </c>
      <c r="G38075" s="16" t="n">
        <f aca="false">G38066*(1-G38037)*(G38065-G38071+G38070-G38073)</f>
        <v>0</v>
      </c>
      <c r="H38075" s="16" t="n">
        <f aca="false">H38066*(1-H38037)*(H38065-H38071+H38070-H38073)</f>
        <v>0</v>
      </c>
      <c r="I38075" s="16" t="n">
        <f aca="false">I38066*(1-I38037)*(I38065-I38071+I38070-I38073)</f>
        <v>0</v>
      </c>
      <c r="J38075" s="16" t="n">
        <f aca="false">J38066*(1-J38037)*(J38065-J38071+J38070-J38073)</f>
        <v>0</v>
      </c>
      <c r="K38075" s="16" t="n">
        <f aca="false">K38066*(1-K38037)*(K38065-K38071+K38070-K38073)</f>
        <v>0</v>
      </c>
    </row>
    <row r="38076" customFormat="false" ht="15" hidden="false" customHeight="false" outlineLevel="0" collapsed="false">
      <c r="A38076" s="2" t="s">
        <v>339</v>
      </c>
      <c r="F38076" s="28" t="n">
        <f aca="false">Assumptions!$C$59</f>
        <v>57.324</v>
      </c>
      <c r="G38076" s="17" t="n">
        <f aca="false">G38065+G38072+G38070-G38071-G38073-G38074</f>
        <v>57.324</v>
      </c>
      <c r="H38076" s="17" t="n">
        <f aca="false">H38065+H38072+H38070-H38071-H38073-H38074</f>
        <v>57.324</v>
      </c>
      <c r="I38076" s="17" t="n">
        <f aca="false">I38065+I38072+I38070-I38071-I38073-I38074</f>
        <v>57.324</v>
      </c>
      <c r="J38076" s="17" t="n">
        <f aca="false">J38065+J38072+J38070-J38071-J38073-J38074</f>
        <v>57.324</v>
      </c>
      <c r="K38076" s="17" t="n">
        <f aca="false">K38065+K38072+K38070-K38071-K38073-K38074</f>
        <v>57.324</v>
      </c>
    </row>
    <row r="38077" customFormat="false" ht="15" hidden="false" customHeight="false" outlineLevel="0" collapsed="false">
      <c r="A38077" s="24" t="s">
        <v>342</v>
      </c>
      <c r="B38077" s="25"/>
      <c r="C38077" s="25"/>
      <c r="D38077" s="25"/>
      <c r="E38077" s="25"/>
      <c r="F38077" s="25"/>
      <c r="G38077" s="25"/>
      <c r="H38077" s="25"/>
      <c r="I38077" s="25"/>
      <c r="J38077" s="25"/>
      <c r="K38077" s="25"/>
    </row>
    <row r="38078" customFormat="false" ht="15" hidden="false" customHeight="false" outlineLevel="0" collapsed="false">
      <c r="A38078" s="3" t="s">
        <v>329</v>
      </c>
      <c r="G38078" s="16" t="n">
        <f aca="false">F38089</f>
        <v>0</v>
      </c>
      <c r="H38078" s="16" t="n">
        <f aca="false">G38089</f>
        <v>0</v>
      </c>
      <c r="I38078" s="16" t="n">
        <f aca="false">H38089</f>
        <v>0</v>
      </c>
      <c r="J38078" s="16" t="n">
        <f aca="false">I38089</f>
        <v>0</v>
      </c>
      <c r="K38078" s="16" t="n">
        <f aca="false">J38089</f>
        <v>0</v>
      </c>
    </row>
    <row r="38079" customFormat="false" ht="15" hidden="false" customHeight="false" outlineLevel="0" collapsed="false">
      <c r="A38079" s="3" t="s">
        <v>330</v>
      </c>
      <c r="G38079" s="21" t="n">
        <f aca="false">IF(G38003=Assumptions!$K$60,1,0)</f>
        <v>1</v>
      </c>
      <c r="H38079" s="21" t="n">
        <f aca="false">IF(H38003=Assumptions!$K$60,1,0)</f>
        <v>0</v>
      </c>
      <c r="I38079" s="21" t="n">
        <f aca="false">IF(I38003=Assumptions!$K$60,1,0)</f>
        <v>0</v>
      </c>
      <c r="J38079" s="21" t="n">
        <f aca="false">IF(J38003=Assumptions!$K$60,1,0)</f>
        <v>0</v>
      </c>
      <c r="K38079" s="21" t="n">
        <f aca="false">IF(K38003=Assumptions!$K$60,1,0)</f>
        <v>0</v>
      </c>
    </row>
    <row r="38081" customFormat="false" ht="15" hidden="false" customHeight="false" outlineLevel="0" collapsed="false">
      <c r="A38081" s="3" t="s">
        <v>331</v>
      </c>
      <c r="G38081" s="31" t="n">
        <f aca="false">IF(Assumptions!$I$60=1,MAX(G38029,Assumptions!$G$60)+Assumptions!$F$60+$C$38030,Assumptions!$E$60)</f>
        <v>0.084</v>
      </c>
      <c r="H38081" s="31" t="n">
        <f aca="false">IF(G38352=1,$C$38031,IF(Assumptions!$I$60=1,MAX(H38029,Assumptions!$G$60)+Assumptions!$F$60+$C$38030,Assumptions!$E$60))</f>
        <v>0.0825</v>
      </c>
      <c r="I38081" s="31" t="n">
        <f aca="false">IF(H38352=1,$C$38031,IF(Assumptions!$I$60=1,MAX(I38029,Assumptions!$G$60)+Assumptions!$F$60+$C$38030,Assumptions!$E$60))</f>
        <v>0.08</v>
      </c>
      <c r="J38081" s="31" t="n">
        <f aca="false">IF(I38352=1,$C$38031,IF(Assumptions!$I$60=1,MAX(J38029,Assumptions!$G$60)+Assumptions!$F$60+$C$38030,Assumptions!$E$60))</f>
        <v>0.08</v>
      </c>
      <c r="K38081" s="31" t="n">
        <f aca="false">IF(J38352=1,$C$38031,IF(Assumptions!$I$60=1,MAX(K38029,Assumptions!$G$60)+Assumptions!$F$60+$C$38030,Assumptions!$E$60))</f>
        <v>0.08</v>
      </c>
    </row>
    <row r="38082" customFormat="false" ht="15" hidden="false" customHeight="false" outlineLevel="0" collapsed="false">
      <c r="A38082" s="3" t="s">
        <v>332</v>
      </c>
      <c r="G38082" s="16" t="n">
        <f aca="false">G38078*G38081</f>
        <v>0</v>
      </c>
      <c r="H38082" s="16" t="n">
        <f aca="false">H38078*H38081</f>
        <v>0</v>
      </c>
      <c r="I38082" s="16" t="n">
        <f aca="false">I38078*I38081</f>
        <v>0</v>
      </c>
      <c r="J38082" s="16" t="n">
        <f aca="false">J38078*J38081</f>
        <v>0</v>
      </c>
      <c r="K38082" s="16" t="n">
        <f aca="false">K38078*K38081</f>
        <v>0</v>
      </c>
    </row>
    <row r="38083" customFormat="false" ht="15" hidden="false" customHeight="false" outlineLevel="0" collapsed="false">
      <c r="A38083" s="3" t="s">
        <v>333</v>
      </c>
      <c r="G38083" s="16" t="n">
        <f aca="false">G38078*Assumptions!$H$60</f>
        <v>0</v>
      </c>
      <c r="H38083" s="16" t="n">
        <f aca="false">H38078*Assumptions!$H$60</f>
        <v>0</v>
      </c>
      <c r="I38083" s="16" t="n">
        <f aca="false">I38078*Assumptions!$H$60</f>
        <v>0</v>
      </c>
      <c r="J38083" s="16" t="n">
        <f aca="false">J38078*Assumptions!$H$60</f>
        <v>0</v>
      </c>
      <c r="K38083" s="16" t="n">
        <f aca="false">K38078*Assumptions!$H$60</f>
        <v>0</v>
      </c>
    </row>
    <row r="38084" customFormat="false" ht="15" hidden="false" customHeight="false" outlineLevel="0" collapsed="false">
      <c r="A38084" s="3" t="s">
        <v>334</v>
      </c>
      <c r="G38084" s="16" t="n">
        <f aca="false">MIN(G38078,Assumptions!$L$60*Assumptions!$C$60)</f>
        <v>0</v>
      </c>
      <c r="H38084" s="16" t="n">
        <f aca="false">MIN(H38078,Assumptions!$L$60*Assumptions!$C$60)</f>
        <v>0</v>
      </c>
      <c r="I38084" s="16" t="n">
        <f aca="false">MIN(I38078,Assumptions!$L$60*Assumptions!$C$60)</f>
        <v>0</v>
      </c>
      <c r="J38084" s="16" t="n">
        <f aca="false">MIN(J38078,Assumptions!$L$60*Assumptions!$C$60)</f>
        <v>0</v>
      </c>
      <c r="K38084" s="16" t="n">
        <f aca="false">MIN(K38078,Assumptions!$L$60*Assumptions!$C$60)</f>
        <v>0</v>
      </c>
    </row>
    <row r="38085" customFormat="false" ht="15" hidden="false" customHeight="false" outlineLevel="0" collapsed="false">
      <c r="A38085" s="3" t="s">
        <v>335</v>
      </c>
      <c r="G38085" s="16" t="n">
        <f aca="false">IF(AND(Assumptions!$P$60=1,G38003&lt;Assumptions!$K$60),MIN(MAX(0,-G38219),MAX(0,Assumptions!$D$60-G38078)),0)</f>
        <v>0</v>
      </c>
      <c r="H38085" s="16" t="n">
        <f aca="false">IF(AND(Assumptions!$P$60=1,OR(H38003&lt;Assumptions!$K$60,G38352=1)),MIN(MAX(0,-H38219),MAX(0,Assumptions!$D$60-H38078)),0)</f>
        <v>0</v>
      </c>
      <c r="I38085" s="16" t="n">
        <f aca="false">IF(AND(Assumptions!$P$60=1,OR(I38003&lt;Assumptions!$K$60,H38352=1)),MIN(MAX(0,-I38219),MAX(0,Assumptions!$D$60-I38078)),0)</f>
        <v>0</v>
      </c>
      <c r="J38085" s="16" t="n">
        <f aca="false">IF(AND(Assumptions!$P$60=1,OR(J38003&lt;Assumptions!$K$60,I38352=1)),MIN(MAX(0,-J38219),MAX(0,Assumptions!$D$60-J38078)),0)</f>
        <v>0</v>
      </c>
      <c r="K38085" s="16" t="n">
        <f aca="false">IF(AND(Assumptions!$P$60=1,OR(K38003&lt;Assumptions!$K$60,J38352=1)),MIN(MAX(0,-K38219),MAX(0,Assumptions!$D$60-K38078)),0)</f>
        <v>0</v>
      </c>
    </row>
    <row r="38086" customFormat="false" ht="15" hidden="false" customHeight="false" outlineLevel="0" collapsed="false">
      <c r="A38086" s="3" t="s">
        <v>336</v>
      </c>
      <c r="G38086" s="16" t="n">
        <f aca="false">G38079*MIN(G38078-G38084+G38083,MAX(0,G38221-Assumptions!$C$12*G38037-G38047-G38060-G38073))</f>
        <v>0</v>
      </c>
      <c r="H38086" s="16" t="n">
        <f aca="false">H38079*MIN(H38078-H38084+H38083,MAX(0,H38221-Assumptions!$C$12*H38037-H38047-H38060-H38073))</f>
        <v>0</v>
      </c>
      <c r="I38086" s="16" t="n">
        <f aca="false">I38079*MIN(I38078-I38084+I38083,MAX(0,I38221-Assumptions!$C$12*I38037-I38047-I38060-I38073))</f>
        <v>0</v>
      </c>
      <c r="J38086" s="16" t="n">
        <f aca="false">J38079*MIN(J38078-J38084+J38083,MAX(0,J38221-Assumptions!$C$12*J38037-J38047-J38060-J38073))</f>
        <v>0</v>
      </c>
      <c r="K38086" s="16" t="n">
        <f aca="false">K38079*MIN(K38078-K38084+K38083,MAX(0,K38221-Assumptions!$C$12*K38037-K38047-K38060-K38073))</f>
        <v>0</v>
      </c>
    </row>
    <row r="38087" customFormat="false" ht="15" hidden="false" customHeight="false" outlineLevel="0" collapsed="false">
      <c r="A38087" s="3" t="s">
        <v>337</v>
      </c>
      <c r="G38087" s="16" t="n">
        <f aca="false">Assumptions!$N$60*MIN(G38078+G38085+G38083-G38084-G38086,MAX(0,G38225-G38048-G38061-G38074))</f>
        <v>0</v>
      </c>
      <c r="H38087" s="16" t="n">
        <f aca="false">Assumptions!$N$60*MIN(H38078+H38085+H38083-H38084-H38086,MAX(0,H38225-H38048-H38061-H38074))</f>
        <v>0</v>
      </c>
      <c r="I38087" s="16" t="n">
        <f aca="false">Assumptions!$N$60*MIN(I38078+I38085+I38083-I38084-I38086,MAX(0,I38225-I38048-I38061-I38074))</f>
        <v>0</v>
      </c>
      <c r="J38087" s="16" t="n">
        <f aca="false">Assumptions!$N$60*MIN(J38078+J38085+J38083-J38084-J38086,MAX(0,J38225-J38048-J38061-J38074))</f>
        <v>0</v>
      </c>
      <c r="K38087" s="16" t="n">
        <f aca="false">Assumptions!$N$60*MIN(K38078+K38085+K38083-K38084-K38086,MAX(0,K38225-K38048-K38061-K38074))</f>
        <v>0</v>
      </c>
    </row>
    <row r="38088" customFormat="false" ht="15" hidden="false" customHeight="false" outlineLevel="0" collapsed="false">
      <c r="A38088" s="3" t="s">
        <v>338</v>
      </c>
      <c r="G38088" s="16" t="n">
        <f aca="false">G38079*(1-G38037)*(G38078-G38084+G38083-G38086)</f>
        <v>0</v>
      </c>
      <c r="H38088" s="16" t="n">
        <f aca="false">H38079*(1-H38037)*(H38078-H38084+H38083-H38086)</f>
        <v>0</v>
      </c>
      <c r="I38088" s="16" t="n">
        <f aca="false">I38079*(1-I38037)*(I38078-I38084+I38083-I38086)</f>
        <v>0</v>
      </c>
      <c r="J38088" s="16" t="n">
        <f aca="false">J38079*(1-J38037)*(J38078-J38084+J38083-J38086)</f>
        <v>0</v>
      </c>
      <c r="K38088" s="16" t="n">
        <f aca="false">K38079*(1-K38037)*(K38078-K38084+K38083-K38086)</f>
        <v>0</v>
      </c>
    </row>
    <row r="38089" customFormat="false" ht="15" hidden="false" customHeight="false" outlineLevel="0" collapsed="false">
      <c r="A38089" s="2" t="s">
        <v>339</v>
      </c>
      <c r="F38089" s="28" t="n">
        <f aca="false">Assumptions!$C$60</f>
        <v>0</v>
      </c>
      <c r="G38089" s="17" t="n">
        <f aca="false">G38078+G38085+G38083-G38084-G38086-G38087</f>
        <v>0</v>
      </c>
      <c r="H38089" s="17" t="n">
        <f aca="false">H38078+H38085+H38083-H38084-H38086-H38087</f>
        <v>0</v>
      </c>
      <c r="I38089" s="17" t="n">
        <f aca="false">I38078+I38085+I38083-I38084-I38086-I38087</f>
        <v>0</v>
      </c>
      <c r="J38089" s="17" t="n">
        <f aca="false">J38078+J38085+J38083-J38084-J38086-J38087</f>
        <v>0</v>
      </c>
      <c r="K38089" s="17" t="n">
        <f aca="false">K38078+K38085+K38083-K38084-K38086-K38087</f>
        <v>0</v>
      </c>
    </row>
    <row r="38090" customFormat="false" ht="15" hidden="false" customHeight="false" outlineLevel="0" collapsed="false">
      <c r="A38090" s="24" t="s">
        <v>343</v>
      </c>
      <c r="B38090" s="25"/>
      <c r="C38090" s="25"/>
      <c r="D38090" s="25"/>
      <c r="E38090" s="25"/>
      <c r="F38090" s="25"/>
      <c r="G38090" s="25"/>
      <c r="H38090" s="25"/>
      <c r="I38090" s="25"/>
      <c r="J38090" s="25"/>
      <c r="K38090" s="25"/>
    </row>
    <row r="38091" customFormat="false" ht="15" hidden="false" customHeight="false" outlineLevel="0" collapsed="false">
      <c r="A38091" s="3" t="s">
        <v>329</v>
      </c>
      <c r="G38091" s="16" t="n">
        <f aca="false">F38102</f>
        <v>450</v>
      </c>
      <c r="H38091" s="16" t="n">
        <f aca="false">G38102</f>
        <v>450</v>
      </c>
      <c r="I38091" s="16" t="n">
        <f aca="false">H38102</f>
        <v>434.9547587</v>
      </c>
      <c r="J38091" s="16" t="n">
        <f aca="false">I38102</f>
        <v>434.9547587</v>
      </c>
      <c r="K38091" s="16" t="n">
        <f aca="false">J38102</f>
        <v>434.9547587</v>
      </c>
    </row>
    <row r="38092" customFormat="false" ht="15" hidden="false" customHeight="false" outlineLevel="0" collapsed="false">
      <c r="A38092" s="3" t="s">
        <v>330</v>
      </c>
      <c r="G38092" s="21" t="n">
        <f aca="false">IF(G38003=Assumptions!$K$61,1,0)</f>
        <v>0</v>
      </c>
      <c r="H38092" s="21" t="n">
        <f aca="false">IF(H38003=Assumptions!$K$61,1,0)</f>
        <v>1</v>
      </c>
      <c r="I38092" s="21" t="n">
        <f aca="false">IF(I38003=Assumptions!$K$61,1,0)</f>
        <v>0</v>
      </c>
      <c r="J38092" s="21" t="n">
        <f aca="false">IF(J38003=Assumptions!$K$61,1,0)</f>
        <v>0</v>
      </c>
      <c r="K38092" s="21" t="n">
        <f aca="false">IF(K38003=Assumptions!$K$61,1,0)</f>
        <v>0</v>
      </c>
    </row>
    <row r="38094" customFormat="false" ht="15" hidden="false" customHeight="false" outlineLevel="0" collapsed="false">
      <c r="A38094" s="3" t="s">
        <v>331</v>
      </c>
      <c r="G38094" s="31" t="n">
        <f aca="false">IF(Assumptions!$I$61=1,MAX(G38029,Assumptions!$G$61)+Assumptions!$F$61+$C$38030,Assumptions!$E$61)</f>
        <v>0.0395</v>
      </c>
      <c r="H38094" s="31" t="n">
        <f aca="false">IF(G38353=1,$C$38031,IF(Assumptions!$I$61=1,MAX(H38029,Assumptions!$G$61)+Assumptions!$F$61+$C$38030,Assumptions!$E$61))</f>
        <v>0.0395</v>
      </c>
      <c r="I38094" s="31" t="n">
        <f aca="false">IF(H38353=1,$C$38031,IF(Assumptions!$I$61=1,MAX(I38029,Assumptions!$G$61)+Assumptions!$F$61+$C$38030,Assumptions!$E$61))</f>
        <v>0.0395</v>
      </c>
      <c r="J38094" s="31" t="n">
        <f aca="false">IF(I38353=1,$C$38031,IF(Assumptions!$I$61=1,MAX(J38029,Assumptions!$G$61)+Assumptions!$F$61+$C$38030,Assumptions!$E$61))</f>
        <v>0.0395</v>
      </c>
      <c r="K38094" s="31" t="n">
        <f aca="false">IF(J38353=1,$C$38031,IF(Assumptions!$I$61=1,MAX(K38029,Assumptions!$G$61)+Assumptions!$F$61+$C$38030,Assumptions!$E$61))</f>
        <v>0.0395</v>
      </c>
    </row>
    <row r="38095" customFormat="false" ht="15" hidden="false" customHeight="false" outlineLevel="0" collapsed="false">
      <c r="A38095" s="3" t="s">
        <v>332</v>
      </c>
      <c r="G38095" s="16" t="n">
        <f aca="false">G38091*G38094</f>
        <v>17.775</v>
      </c>
      <c r="H38095" s="16" t="n">
        <f aca="false">H38091*H38094</f>
        <v>17.775</v>
      </c>
      <c r="I38095" s="16" t="n">
        <f aca="false">I38091*I38094</f>
        <v>17.18071296865</v>
      </c>
      <c r="J38095" s="16" t="n">
        <f aca="false">J38091*J38094</f>
        <v>17.18071296865</v>
      </c>
      <c r="K38095" s="16" t="n">
        <f aca="false">K38091*K38094</f>
        <v>17.18071296865</v>
      </c>
    </row>
    <row r="38096" customFormat="false" ht="15" hidden="false" customHeight="false" outlineLevel="0" collapsed="false">
      <c r="A38096" s="3" t="s">
        <v>333</v>
      </c>
      <c r="G38096" s="16" t="n">
        <f aca="false">G38091*Assumptions!$H$61</f>
        <v>0</v>
      </c>
      <c r="H38096" s="16" t="n">
        <f aca="false">H38091*Assumptions!$H$61</f>
        <v>0</v>
      </c>
      <c r="I38096" s="16" t="n">
        <f aca="false">I38091*Assumptions!$H$61</f>
        <v>0</v>
      </c>
      <c r="J38096" s="16" t="n">
        <f aca="false">J38091*Assumptions!$H$61</f>
        <v>0</v>
      </c>
      <c r="K38096" s="16" t="n">
        <f aca="false">K38091*Assumptions!$H$61</f>
        <v>0</v>
      </c>
    </row>
    <row r="38097" customFormat="false" ht="15" hidden="false" customHeight="false" outlineLevel="0" collapsed="false">
      <c r="A38097" s="3" t="s">
        <v>334</v>
      </c>
      <c r="G38097" s="16" t="n">
        <f aca="false">MIN(G38091,Assumptions!$L$61*Assumptions!$C$61)</f>
        <v>0</v>
      </c>
      <c r="H38097" s="16" t="n">
        <f aca="false">MIN(H38091,Assumptions!$L$61*Assumptions!$C$61)</f>
        <v>0</v>
      </c>
      <c r="I38097" s="16" t="n">
        <f aca="false">MIN(I38091,Assumptions!$L$61*Assumptions!$C$61)</f>
        <v>0</v>
      </c>
      <c r="J38097" s="16" t="n">
        <f aca="false">MIN(J38091,Assumptions!$L$61*Assumptions!$C$61)</f>
        <v>0</v>
      </c>
      <c r="K38097" s="16" t="n">
        <f aca="false">MIN(K38091,Assumptions!$L$61*Assumptions!$C$61)</f>
        <v>0</v>
      </c>
    </row>
    <row r="38098" customFormat="false" ht="15" hidden="false" customHeight="false" outlineLevel="0" collapsed="false">
      <c r="A38098" s="3" t="s">
        <v>335</v>
      </c>
      <c r="G38098" s="16" t="n">
        <f aca="false">IF(AND(Assumptions!$P$61=1,G38003&lt;Assumptions!$K$61),MIN(MAX(0,-G38219),MAX(0,Assumptions!$D$61-G38091)),0)</f>
        <v>0</v>
      </c>
      <c r="H38098" s="16" t="n">
        <f aca="false">IF(AND(Assumptions!$P$61=1,OR(H38003&lt;Assumptions!$K$61,G38353=1)),MIN(MAX(0,-H38219),MAX(0,Assumptions!$D$61-H38091)),0)</f>
        <v>0</v>
      </c>
      <c r="I38098" s="16" t="n">
        <f aca="false">IF(AND(Assumptions!$P$61=1,OR(I38003&lt;Assumptions!$K$61,H38353=1)),MIN(MAX(0,-I38219),MAX(0,Assumptions!$D$61-I38091)),0)</f>
        <v>0</v>
      </c>
      <c r="J38098" s="16" t="n">
        <f aca="false">IF(AND(Assumptions!$P$61=1,OR(J38003&lt;Assumptions!$K$61,I38353=1)),MIN(MAX(0,-J38219),MAX(0,Assumptions!$D$61-J38091)),0)</f>
        <v>0</v>
      </c>
      <c r="K38098" s="16" t="n">
        <f aca="false">IF(AND(Assumptions!$P$61=1,OR(K38003&lt;Assumptions!$K$61,J38353=1)),MIN(MAX(0,-K38219),MAX(0,Assumptions!$D$61-K38091)),0)</f>
        <v>0</v>
      </c>
    </row>
    <row r="38099" customFormat="false" ht="15" hidden="false" customHeight="false" outlineLevel="0" collapsed="false">
      <c r="A38099" s="3" t="s">
        <v>336</v>
      </c>
      <c r="G38099" s="16" t="n">
        <f aca="false">G38092*MIN(G38091-G38097+G38096,MAX(0,G38221-Assumptions!$C$12*G38037-G38047-G38060-G38073-G38086))</f>
        <v>0</v>
      </c>
      <c r="H38099" s="16" t="n">
        <f aca="false">H38092*MIN(H38091-H38097+H38096,MAX(0,H38221-Assumptions!$C$12*H38037-H38047-H38060-H38073-H38086))</f>
        <v>15.0452413</v>
      </c>
      <c r="I38099" s="16" t="n">
        <f aca="false">I38092*MIN(I38091-I38097+I38096,MAX(0,I38221-Assumptions!$C$12*I38037-I38047-I38060-I38073-I38086))</f>
        <v>0</v>
      </c>
      <c r="J38099" s="16" t="n">
        <f aca="false">J38092*MIN(J38091-J38097+J38096,MAX(0,J38221-Assumptions!$C$12*J38037-J38047-J38060-J38073-J38086))</f>
        <v>0</v>
      </c>
      <c r="K38099" s="16" t="n">
        <f aca="false">K38092*MIN(K38091-K38097+K38096,MAX(0,K38221-Assumptions!$C$12*K38037-K38047-K38060-K38073-K38086))</f>
        <v>0</v>
      </c>
    </row>
    <row r="38100" customFormat="false" ht="15" hidden="false" customHeight="false" outlineLevel="0" collapsed="false">
      <c r="A38100" s="3" t="s">
        <v>337</v>
      </c>
      <c r="G38100" s="16" t="n">
        <f aca="false">Assumptions!$N$61*MIN(G38091+G38098+G38096-G38097-G38099,MAX(0,G38225-G38048-G38061-G38074-G38087))</f>
        <v>0</v>
      </c>
      <c r="H38100" s="16" t="n">
        <f aca="false">Assumptions!$N$61*MIN(H38091+H38098+H38096-H38097-H38099,MAX(0,H38225-H38048-H38061-H38074-H38087))</f>
        <v>0</v>
      </c>
      <c r="I38100" s="16" t="n">
        <f aca="false">Assumptions!$N$61*MIN(I38091+I38098+I38096-I38097-I38099,MAX(0,I38225-I38048-I38061-I38074-I38087))</f>
        <v>0</v>
      </c>
      <c r="J38100" s="16" t="n">
        <f aca="false">Assumptions!$N$61*MIN(J38091+J38098+J38096-J38097-J38099,MAX(0,J38225-J38048-J38061-J38074-J38087))</f>
        <v>0</v>
      </c>
      <c r="K38100" s="16" t="n">
        <f aca="false">Assumptions!$N$61*MIN(K38091+K38098+K38096-K38097-K38099,MAX(0,K38225-K38048-K38061-K38074-K38087))</f>
        <v>0</v>
      </c>
    </row>
    <row r="38101" customFormat="false" ht="15" hidden="false" customHeight="false" outlineLevel="0" collapsed="false">
      <c r="A38101" s="3" t="s">
        <v>338</v>
      </c>
      <c r="G38101" s="16" t="n">
        <f aca="false">G38092*(1-G38037)*(G38091-G38097+G38096-G38099)</f>
        <v>0</v>
      </c>
      <c r="H38101" s="16" t="n">
        <f aca="false">H38092*(1-H38037)*(H38091-H38097+H38096-H38099)</f>
        <v>434.9547587</v>
      </c>
      <c r="I38101" s="16" t="n">
        <f aca="false">I38092*(1-I38037)*(I38091-I38097+I38096-I38099)</f>
        <v>0</v>
      </c>
      <c r="J38101" s="16" t="n">
        <f aca="false">J38092*(1-J38037)*(J38091-J38097+J38096-J38099)</f>
        <v>0</v>
      </c>
      <c r="K38101" s="16" t="n">
        <f aca="false">K38092*(1-K38037)*(K38091-K38097+K38096-K38099)</f>
        <v>0</v>
      </c>
    </row>
    <row r="38102" customFormat="false" ht="15" hidden="false" customHeight="false" outlineLevel="0" collapsed="false">
      <c r="A38102" s="2" t="s">
        <v>339</v>
      </c>
      <c r="F38102" s="28" t="n">
        <f aca="false">Assumptions!$C$61</f>
        <v>450</v>
      </c>
      <c r="G38102" s="17" t="n">
        <f aca="false">G38091+G38098+G38096-G38097-G38099-G38100</f>
        <v>450</v>
      </c>
      <c r="H38102" s="17" t="n">
        <f aca="false">H38091+H38098+H38096-H38097-H38099-H38100</f>
        <v>434.9547587</v>
      </c>
      <c r="I38102" s="17" t="n">
        <f aca="false">I38091+I38098+I38096-I38097-I38099-I38100</f>
        <v>434.9547587</v>
      </c>
      <c r="J38102" s="17" t="n">
        <f aca="false">J38091+J38098+J38096-J38097-J38099-J38100</f>
        <v>434.9547587</v>
      </c>
      <c r="K38102" s="17" t="n">
        <f aca="false">K38091+K38098+K38096-K38097-K38099-K38100</f>
        <v>434.9547587</v>
      </c>
    </row>
    <row r="38103" customFormat="false" ht="15" hidden="false" customHeight="false" outlineLevel="0" collapsed="false">
      <c r="A38103" s="24" t="s">
        <v>344</v>
      </c>
      <c r="B38103" s="25"/>
      <c r="C38103" s="25"/>
      <c r="D38103" s="25"/>
      <c r="E38103" s="25"/>
      <c r="F38103" s="25"/>
      <c r="G38103" s="25"/>
      <c r="H38103" s="25"/>
      <c r="I38103" s="25"/>
      <c r="J38103" s="25"/>
      <c r="K38103" s="25"/>
    </row>
    <row r="38104" customFormat="false" ht="15" hidden="false" customHeight="false" outlineLevel="0" collapsed="false">
      <c r="A38104" s="3" t="s">
        <v>329</v>
      </c>
      <c r="G38104" s="16" t="n">
        <f aca="false">F38115</f>
        <v>350</v>
      </c>
      <c r="H38104" s="16" t="n">
        <f aca="false">G38115</f>
        <v>350</v>
      </c>
      <c r="I38104" s="16" t="n">
        <f aca="false">H38115</f>
        <v>350</v>
      </c>
      <c r="J38104" s="16" t="n">
        <f aca="false">I38115</f>
        <v>350</v>
      </c>
      <c r="K38104" s="16" t="n">
        <f aca="false">J38115</f>
        <v>350</v>
      </c>
    </row>
    <row r="38105" customFormat="false" ht="15" hidden="false" customHeight="false" outlineLevel="0" collapsed="false">
      <c r="A38105" s="3" t="s">
        <v>330</v>
      </c>
      <c r="G38105" s="21" t="n">
        <f aca="false">IF(G38003=Assumptions!$K$62,1,0)</f>
        <v>0</v>
      </c>
      <c r="H38105" s="21" t="n">
        <f aca="false">IF(H38003=Assumptions!$K$62,1,0)</f>
        <v>1</v>
      </c>
      <c r="I38105" s="21" t="n">
        <f aca="false">IF(I38003=Assumptions!$K$62,1,0)</f>
        <v>0</v>
      </c>
      <c r="J38105" s="21" t="n">
        <f aca="false">IF(J38003=Assumptions!$K$62,1,0)</f>
        <v>0</v>
      </c>
      <c r="K38105" s="21" t="n">
        <f aca="false">IF(K38003=Assumptions!$K$62,1,0)</f>
        <v>0</v>
      </c>
    </row>
    <row r="38107" customFormat="false" ht="15" hidden="false" customHeight="false" outlineLevel="0" collapsed="false">
      <c r="A38107" s="3" t="s">
        <v>331</v>
      </c>
      <c r="G38107" s="31" t="n">
        <f aca="false">IF(Assumptions!$I$62=1,MAX(G38029,Assumptions!$G$62)+Assumptions!$F$62+$C$38030,Assumptions!$E$62)</f>
        <v>0.083</v>
      </c>
      <c r="H38107" s="31" t="n">
        <f aca="false">IF(G38354=1,$C$38031,IF(Assumptions!$I$62=1,MAX(H38029,Assumptions!$G$62)+Assumptions!$F$62+$C$38030,Assumptions!$E$62))</f>
        <v>0.083</v>
      </c>
      <c r="I38107" s="31" t="n">
        <f aca="false">IF(H38354=1,$C$38031,IF(Assumptions!$I$62=1,MAX(I38029,Assumptions!$G$62)+Assumptions!$F$62+$C$38030,Assumptions!$E$62))</f>
        <v>0.083</v>
      </c>
      <c r="J38107" s="31" t="n">
        <f aca="false">IF(I38354=1,$C$38031,IF(Assumptions!$I$62=1,MAX(J38029,Assumptions!$G$62)+Assumptions!$F$62+$C$38030,Assumptions!$E$62))</f>
        <v>0.083</v>
      </c>
      <c r="K38107" s="31" t="n">
        <f aca="false">IF(J38354=1,$C$38031,IF(Assumptions!$I$62=1,MAX(K38029,Assumptions!$G$62)+Assumptions!$F$62+$C$38030,Assumptions!$E$62))</f>
        <v>0.083</v>
      </c>
    </row>
    <row r="38108" customFormat="false" ht="15" hidden="false" customHeight="false" outlineLevel="0" collapsed="false">
      <c r="A38108" s="3" t="s">
        <v>332</v>
      </c>
      <c r="G38108" s="16" t="n">
        <f aca="false">G38104*G38107</f>
        <v>29.05</v>
      </c>
      <c r="H38108" s="16" t="n">
        <f aca="false">H38104*H38107</f>
        <v>29.05</v>
      </c>
      <c r="I38108" s="16" t="n">
        <f aca="false">I38104*I38107</f>
        <v>29.05</v>
      </c>
      <c r="J38108" s="16" t="n">
        <f aca="false">J38104*J38107</f>
        <v>29.05</v>
      </c>
      <c r="K38108" s="16" t="n">
        <f aca="false">K38104*K38107</f>
        <v>29.05</v>
      </c>
    </row>
    <row r="38109" customFormat="false" ht="15" hidden="false" customHeight="false" outlineLevel="0" collapsed="false">
      <c r="A38109" s="3" t="s">
        <v>333</v>
      </c>
      <c r="G38109" s="16" t="n">
        <f aca="false">G38104*Assumptions!$H$62</f>
        <v>0</v>
      </c>
      <c r="H38109" s="16" t="n">
        <f aca="false">H38104*Assumptions!$H$62</f>
        <v>0</v>
      </c>
      <c r="I38109" s="16" t="n">
        <f aca="false">I38104*Assumptions!$H$62</f>
        <v>0</v>
      </c>
      <c r="J38109" s="16" t="n">
        <f aca="false">J38104*Assumptions!$H$62</f>
        <v>0</v>
      </c>
      <c r="K38109" s="16" t="n">
        <f aca="false">K38104*Assumptions!$H$62</f>
        <v>0</v>
      </c>
    </row>
    <row r="38110" customFormat="false" ht="15" hidden="false" customHeight="false" outlineLevel="0" collapsed="false">
      <c r="A38110" s="3" t="s">
        <v>334</v>
      </c>
      <c r="G38110" s="16" t="n">
        <f aca="false">MIN(G38104,Assumptions!$L$62*Assumptions!$C$62)</f>
        <v>0</v>
      </c>
      <c r="H38110" s="16" t="n">
        <f aca="false">MIN(H38104,Assumptions!$L$62*Assumptions!$C$62)</f>
        <v>0</v>
      </c>
      <c r="I38110" s="16" t="n">
        <f aca="false">MIN(I38104,Assumptions!$L$62*Assumptions!$C$62)</f>
        <v>0</v>
      </c>
      <c r="J38110" s="16" t="n">
        <f aca="false">MIN(J38104,Assumptions!$L$62*Assumptions!$C$62)</f>
        <v>0</v>
      </c>
      <c r="K38110" s="16" t="n">
        <f aca="false">MIN(K38104,Assumptions!$L$62*Assumptions!$C$62)</f>
        <v>0</v>
      </c>
    </row>
    <row r="38111" customFormat="false" ht="15" hidden="false" customHeight="false" outlineLevel="0" collapsed="false">
      <c r="A38111" s="3" t="s">
        <v>335</v>
      </c>
      <c r="G38111" s="16" t="n">
        <f aca="false">IF(AND(Assumptions!$P$62=1,G38003&lt;Assumptions!$K$62),MIN(MAX(0,-G38219),MAX(0,Assumptions!$D$62-G38104)),0)</f>
        <v>0</v>
      </c>
      <c r="H38111" s="16" t="n">
        <f aca="false">IF(AND(Assumptions!$P$62=1,OR(H38003&lt;Assumptions!$K$62,G38354=1)),MIN(MAX(0,-H38219),MAX(0,Assumptions!$D$62-H38104)),0)</f>
        <v>0</v>
      </c>
      <c r="I38111" s="16" t="n">
        <f aca="false">IF(AND(Assumptions!$P$62=1,OR(I38003&lt;Assumptions!$K$62,H38354=1)),MIN(MAX(0,-I38219),MAX(0,Assumptions!$D$62-I38104)),0)</f>
        <v>0</v>
      </c>
      <c r="J38111" s="16" t="n">
        <f aca="false">IF(AND(Assumptions!$P$62=1,OR(J38003&lt;Assumptions!$K$62,I38354=1)),MIN(MAX(0,-J38219),MAX(0,Assumptions!$D$62-J38104)),0)</f>
        <v>0</v>
      </c>
      <c r="K38111" s="16" t="n">
        <f aca="false">IF(AND(Assumptions!$P$62=1,OR(K38003&lt;Assumptions!$K$62,J38354=1)),MIN(MAX(0,-K38219),MAX(0,Assumptions!$D$62-K38104)),0)</f>
        <v>0</v>
      </c>
    </row>
    <row r="38112" customFormat="false" ht="15" hidden="false" customHeight="false" outlineLevel="0" collapsed="false">
      <c r="A38112" s="3" t="s">
        <v>336</v>
      </c>
      <c r="G38112" s="16" t="n">
        <f aca="false">G38105*MIN(G38104-G38110+G38109,MAX(0,G38221-Assumptions!$C$12*G38037-G38047-G38060-G38073-G38086-G38099))</f>
        <v>0</v>
      </c>
      <c r="H38112" s="16" t="n">
        <f aca="false">H38105*MIN(H38104-H38110+H38109,MAX(0,H38221-Assumptions!$C$12*H38037-H38047-H38060-H38073-H38086-H38099))</f>
        <v>0</v>
      </c>
      <c r="I38112" s="16" t="n">
        <f aca="false">I38105*MIN(I38104-I38110+I38109,MAX(0,I38221-Assumptions!$C$12*I38037-I38047-I38060-I38073-I38086-I38099))</f>
        <v>0</v>
      </c>
      <c r="J38112" s="16" t="n">
        <f aca="false">J38105*MIN(J38104-J38110+J38109,MAX(0,J38221-Assumptions!$C$12*J38037-J38047-J38060-J38073-J38086-J38099))</f>
        <v>0</v>
      </c>
      <c r="K38112" s="16" t="n">
        <f aca="false">K38105*MIN(K38104-K38110+K38109,MAX(0,K38221-Assumptions!$C$12*K38037-K38047-K38060-K38073-K38086-K38099))</f>
        <v>0</v>
      </c>
    </row>
    <row r="38113" customFormat="false" ht="15" hidden="false" customHeight="false" outlineLevel="0" collapsed="false">
      <c r="A38113" s="3" t="s">
        <v>337</v>
      </c>
      <c r="G38113" s="16" t="n">
        <f aca="false">Assumptions!$N$62*MIN(G38104+G38111+G38109-G38110-G38112,MAX(0,G38225-G38048-G38061-G38074-G38087-G38100))</f>
        <v>0</v>
      </c>
      <c r="H38113" s="16" t="n">
        <f aca="false">Assumptions!$N$62*MIN(H38104+H38111+H38109-H38110-H38112,MAX(0,H38225-H38048-H38061-H38074-H38087-H38100))</f>
        <v>0</v>
      </c>
      <c r="I38113" s="16" t="n">
        <f aca="false">Assumptions!$N$62*MIN(I38104+I38111+I38109-I38110-I38112,MAX(0,I38225-I38048-I38061-I38074-I38087-I38100))</f>
        <v>0</v>
      </c>
      <c r="J38113" s="16" t="n">
        <f aca="false">Assumptions!$N$62*MIN(J38104+J38111+J38109-J38110-J38112,MAX(0,J38225-J38048-J38061-J38074-J38087-J38100))</f>
        <v>0</v>
      </c>
      <c r="K38113" s="16" t="n">
        <f aca="false">Assumptions!$N$62*MIN(K38104+K38111+K38109-K38110-K38112,MAX(0,K38225-K38048-K38061-K38074-K38087-K38100))</f>
        <v>0</v>
      </c>
    </row>
    <row r="38114" customFormat="false" ht="15" hidden="false" customHeight="false" outlineLevel="0" collapsed="false">
      <c r="A38114" s="3" t="s">
        <v>338</v>
      </c>
      <c r="G38114" s="16" t="n">
        <f aca="false">G38105*(1-G38037)*(G38104-G38110+G38109-G38112)</f>
        <v>0</v>
      </c>
      <c r="H38114" s="16" t="n">
        <f aca="false">H38105*(1-H38037)*(H38104-H38110+H38109-H38112)</f>
        <v>350</v>
      </c>
      <c r="I38114" s="16" t="n">
        <f aca="false">I38105*(1-I38037)*(I38104-I38110+I38109-I38112)</f>
        <v>0</v>
      </c>
      <c r="J38114" s="16" t="n">
        <f aca="false">J38105*(1-J38037)*(J38104-J38110+J38109-J38112)</f>
        <v>0</v>
      </c>
      <c r="K38114" s="16" t="n">
        <f aca="false">K38105*(1-K38037)*(K38104-K38110+K38109-K38112)</f>
        <v>0</v>
      </c>
    </row>
    <row r="38115" customFormat="false" ht="15" hidden="false" customHeight="false" outlineLevel="0" collapsed="false">
      <c r="A38115" s="2" t="s">
        <v>339</v>
      </c>
      <c r="F38115" s="28" t="n">
        <f aca="false">Assumptions!$C$62</f>
        <v>350</v>
      </c>
      <c r="G38115" s="17" t="n">
        <f aca="false">G38104+G38111+G38109-G38110-G38112-G38113</f>
        <v>350</v>
      </c>
      <c r="H38115" s="17" t="n">
        <f aca="false">H38104+H38111+H38109-H38110-H38112-H38113</f>
        <v>350</v>
      </c>
      <c r="I38115" s="17" t="n">
        <f aca="false">I38104+I38111+I38109-I38110-I38112-I38113</f>
        <v>350</v>
      </c>
      <c r="J38115" s="17" t="n">
        <f aca="false">J38104+J38111+J38109-J38110-J38112-J38113</f>
        <v>350</v>
      </c>
      <c r="K38115" s="17" t="n">
        <f aca="false">K38104+K38111+K38109-K38110-K38112-K38113</f>
        <v>350</v>
      </c>
    </row>
    <row r="38116" customFormat="false" ht="15" hidden="false" customHeight="false" outlineLevel="0" collapsed="false">
      <c r="A38116" s="24" t="s">
        <v>345</v>
      </c>
      <c r="B38116" s="25"/>
      <c r="C38116" s="25"/>
      <c r="D38116" s="25"/>
      <c r="E38116" s="25"/>
      <c r="F38116" s="25"/>
      <c r="G38116" s="25"/>
      <c r="H38116" s="25"/>
      <c r="I38116" s="25"/>
      <c r="J38116" s="25"/>
      <c r="K38116" s="25"/>
    </row>
    <row r="38117" customFormat="false" ht="15" hidden="false" customHeight="false" outlineLevel="0" collapsed="false">
      <c r="A38117" s="3" t="s">
        <v>329</v>
      </c>
      <c r="G38117" s="16" t="n">
        <f aca="false">F38128</f>
        <v>550</v>
      </c>
      <c r="H38117" s="16" t="n">
        <f aca="false">G38128</f>
        <v>550</v>
      </c>
      <c r="I38117" s="16" t="n">
        <f aca="false">H38128</f>
        <v>550</v>
      </c>
      <c r="J38117" s="16" t="n">
        <f aca="false">I38128</f>
        <v>550</v>
      </c>
      <c r="K38117" s="16" t="n">
        <f aca="false">J38128</f>
        <v>550</v>
      </c>
    </row>
    <row r="38118" customFormat="false" ht="15" hidden="false" customHeight="false" outlineLevel="0" collapsed="false">
      <c r="A38118" s="3" t="s">
        <v>330</v>
      </c>
      <c r="G38118" s="21" t="n">
        <f aca="false">IF(G38003=Assumptions!$K$63,1,0)</f>
        <v>0</v>
      </c>
      <c r="H38118" s="21" t="n">
        <f aca="false">IF(H38003=Assumptions!$K$63,1,0)</f>
        <v>0</v>
      </c>
      <c r="I38118" s="21" t="n">
        <f aca="false">IF(I38003=Assumptions!$K$63,1,0)</f>
        <v>1</v>
      </c>
      <c r="J38118" s="21" t="n">
        <f aca="false">IF(J38003=Assumptions!$K$63,1,0)</f>
        <v>0</v>
      </c>
      <c r="K38118" s="21" t="n">
        <f aca="false">IF(K38003=Assumptions!$K$63,1,0)</f>
        <v>0</v>
      </c>
    </row>
    <row r="38120" customFormat="false" ht="15" hidden="false" customHeight="false" outlineLevel="0" collapsed="false">
      <c r="A38120" s="3" t="s">
        <v>331</v>
      </c>
      <c r="G38120" s="31" t="n">
        <f aca="false">IF(Assumptions!$I$63=1,MAX(G38029,Assumptions!$G$63)+Assumptions!$F$63+$C$38030,Assumptions!$E$63)</f>
        <v>0.08875</v>
      </c>
      <c r="H38120" s="31" t="n">
        <f aca="false">IF(G38355=1,$C$38031,IF(Assumptions!$I$63=1,MAX(H38029,Assumptions!$G$63)+Assumptions!$F$63+$C$38030,Assumptions!$E$63))</f>
        <v>0.08875</v>
      </c>
      <c r="I38120" s="31" t="n">
        <f aca="false">IF(H38355=1,$C$38031,IF(Assumptions!$I$63=1,MAX(I38029,Assumptions!$G$63)+Assumptions!$F$63+$C$38030,Assumptions!$E$63))</f>
        <v>0.08875</v>
      </c>
      <c r="J38120" s="31" t="n">
        <f aca="false">IF(I38355=1,$C$38031,IF(Assumptions!$I$63=1,MAX(J38029,Assumptions!$G$63)+Assumptions!$F$63+$C$38030,Assumptions!$E$63))</f>
        <v>0.08875</v>
      </c>
      <c r="K38120" s="31" t="n">
        <f aca="false">IF(J38355=1,$C$38031,IF(Assumptions!$I$63=1,MAX(K38029,Assumptions!$G$63)+Assumptions!$F$63+$C$38030,Assumptions!$E$63))</f>
        <v>0.08875</v>
      </c>
    </row>
    <row r="38121" customFormat="false" ht="15" hidden="false" customHeight="false" outlineLevel="0" collapsed="false">
      <c r="A38121" s="3" t="s">
        <v>332</v>
      </c>
      <c r="G38121" s="16" t="n">
        <f aca="false">G38117*G38120</f>
        <v>48.8125</v>
      </c>
      <c r="H38121" s="16" t="n">
        <f aca="false">H38117*H38120</f>
        <v>48.8125</v>
      </c>
      <c r="I38121" s="16" t="n">
        <f aca="false">I38117*I38120</f>
        <v>48.8125</v>
      </c>
      <c r="J38121" s="16" t="n">
        <f aca="false">J38117*J38120</f>
        <v>48.8125</v>
      </c>
      <c r="K38121" s="16" t="n">
        <f aca="false">K38117*K38120</f>
        <v>48.8125</v>
      </c>
    </row>
    <row r="38122" customFormat="false" ht="15" hidden="false" customHeight="false" outlineLevel="0" collapsed="false">
      <c r="A38122" s="3" t="s">
        <v>333</v>
      </c>
      <c r="G38122" s="16" t="n">
        <f aca="false">G38117*Assumptions!$H$63</f>
        <v>0</v>
      </c>
      <c r="H38122" s="16" t="n">
        <f aca="false">H38117*Assumptions!$H$63</f>
        <v>0</v>
      </c>
      <c r="I38122" s="16" t="n">
        <f aca="false">I38117*Assumptions!$H$63</f>
        <v>0</v>
      </c>
      <c r="J38122" s="16" t="n">
        <f aca="false">J38117*Assumptions!$H$63</f>
        <v>0</v>
      </c>
      <c r="K38122" s="16" t="n">
        <f aca="false">K38117*Assumptions!$H$63</f>
        <v>0</v>
      </c>
    </row>
    <row r="38123" customFormat="false" ht="15" hidden="false" customHeight="false" outlineLevel="0" collapsed="false">
      <c r="A38123" s="3" t="s">
        <v>334</v>
      </c>
      <c r="G38123" s="16" t="n">
        <f aca="false">MIN(G38117,Assumptions!$L$63*Assumptions!$C$63)</f>
        <v>0</v>
      </c>
      <c r="H38123" s="16" t="n">
        <f aca="false">MIN(H38117,Assumptions!$L$63*Assumptions!$C$63)</f>
        <v>0</v>
      </c>
      <c r="I38123" s="16" t="n">
        <f aca="false">MIN(I38117,Assumptions!$L$63*Assumptions!$C$63)</f>
        <v>0</v>
      </c>
      <c r="J38123" s="16" t="n">
        <f aca="false">MIN(J38117,Assumptions!$L$63*Assumptions!$C$63)</f>
        <v>0</v>
      </c>
      <c r="K38123" s="16" t="n">
        <f aca="false">MIN(K38117,Assumptions!$L$63*Assumptions!$C$63)</f>
        <v>0</v>
      </c>
    </row>
    <row r="38124" customFormat="false" ht="15" hidden="false" customHeight="false" outlineLevel="0" collapsed="false">
      <c r="A38124" s="3" t="s">
        <v>335</v>
      </c>
      <c r="G38124" s="16" t="n">
        <f aca="false">IF(AND(Assumptions!$P$63=1,G38003&lt;Assumptions!$K$63),MIN(MAX(0,-G38219),MAX(0,Assumptions!$D$63-G38117)),0)</f>
        <v>0</v>
      </c>
      <c r="H38124" s="16" t="n">
        <f aca="false">IF(AND(Assumptions!$P$63=1,OR(H38003&lt;Assumptions!$K$63,G38355=1)),MIN(MAX(0,-H38219),MAX(0,Assumptions!$D$63-H38117)),0)</f>
        <v>0</v>
      </c>
      <c r="I38124" s="16" t="n">
        <f aca="false">IF(AND(Assumptions!$P$63=1,OR(I38003&lt;Assumptions!$K$63,H38355=1)),MIN(MAX(0,-I38219),MAX(0,Assumptions!$D$63-I38117)),0)</f>
        <v>0</v>
      </c>
      <c r="J38124" s="16" t="n">
        <f aca="false">IF(AND(Assumptions!$P$63=1,OR(J38003&lt;Assumptions!$K$63,I38355=1)),MIN(MAX(0,-J38219),MAX(0,Assumptions!$D$63-J38117)),0)</f>
        <v>0</v>
      </c>
      <c r="K38124" s="16" t="n">
        <f aca="false">IF(AND(Assumptions!$P$63=1,OR(K38003&lt;Assumptions!$K$63,J38355=1)),MIN(MAX(0,-K38219),MAX(0,Assumptions!$D$63-K38117)),0)</f>
        <v>0</v>
      </c>
    </row>
    <row r="38125" customFormat="false" ht="15" hidden="false" customHeight="false" outlineLevel="0" collapsed="false">
      <c r="A38125" s="3" t="s">
        <v>336</v>
      </c>
      <c r="G38125" s="16" t="n">
        <f aca="false">G38118*MIN(G38117-G38123+G38122,MAX(0,G38221-Assumptions!$C$12*G38037-G38047-G38060-G38073-G38086-G38099-G38112))</f>
        <v>0</v>
      </c>
      <c r="H38125" s="16" t="n">
        <f aca="false">H38118*MIN(H38117-H38123+H38122,MAX(0,H38221-Assumptions!$C$12*H38037-H38047-H38060-H38073-H38086-H38099-H38112))</f>
        <v>0</v>
      </c>
      <c r="I38125" s="16" t="n">
        <f aca="false">I38118*MIN(I38117-I38123+I38122,MAX(0,I38221-Assumptions!$C$12*I38037-I38047-I38060-I38073-I38086-I38099-I38112))</f>
        <v>0</v>
      </c>
      <c r="J38125" s="16" t="n">
        <f aca="false">J38118*MIN(J38117-J38123+J38122,MAX(0,J38221-Assumptions!$C$12*J38037-J38047-J38060-J38073-J38086-J38099-J38112))</f>
        <v>0</v>
      </c>
      <c r="K38125" s="16" t="n">
        <f aca="false">K38118*MIN(K38117-K38123+K38122,MAX(0,K38221-Assumptions!$C$12*K38037-K38047-K38060-K38073-K38086-K38099-K38112))</f>
        <v>0</v>
      </c>
    </row>
    <row r="38126" customFormat="false" ht="15" hidden="false" customHeight="false" outlineLevel="0" collapsed="false">
      <c r="A38126" s="3" t="s">
        <v>337</v>
      </c>
      <c r="G38126" s="16" t="n">
        <f aca="false">Assumptions!$N$63*MIN(G38117+G38124+G38122-G38123-G38125,MAX(0,G38225-G38048-G38061-G38074-G38087-G38100-G38113))</f>
        <v>0</v>
      </c>
      <c r="H38126" s="16" t="n">
        <f aca="false">Assumptions!$N$63*MIN(H38117+H38124+H38122-H38123-H38125,MAX(0,H38225-H38048-H38061-H38074-H38087-H38100-H38113))</f>
        <v>0</v>
      </c>
      <c r="I38126" s="16" t="n">
        <f aca="false">Assumptions!$N$63*MIN(I38117+I38124+I38122-I38123-I38125,MAX(0,I38225-I38048-I38061-I38074-I38087-I38100-I38113))</f>
        <v>0</v>
      </c>
      <c r="J38126" s="16" t="n">
        <f aca="false">Assumptions!$N$63*MIN(J38117+J38124+J38122-J38123-J38125,MAX(0,J38225-J38048-J38061-J38074-J38087-J38100-J38113))</f>
        <v>0</v>
      </c>
      <c r="K38126" s="16" t="n">
        <f aca="false">Assumptions!$N$63*MIN(K38117+K38124+K38122-K38123-K38125,MAX(0,K38225-K38048-K38061-K38074-K38087-K38100-K38113))</f>
        <v>0</v>
      </c>
    </row>
    <row r="38127" customFormat="false" ht="15" hidden="false" customHeight="false" outlineLevel="0" collapsed="false">
      <c r="A38127" s="3" t="s">
        <v>338</v>
      </c>
      <c r="G38127" s="16" t="n">
        <f aca="false">G38118*(1-G38037)*(G38117-G38123+G38122-G38125)</f>
        <v>0</v>
      </c>
      <c r="H38127" s="16" t="n">
        <f aca="false">H38118*(1-H38037)*(H38117-H38123+H38122-H38125)</f>
        <v>0</v>
      </c>
      <c r="I38127" s="16" t="n">
        <f aca="false">I38118*(1-I38037)*(I38117-I38123+I38122-I38125)</f>
        <v>550</v>
      </c>
      <c r="J38127" s="16" t="n">
        <f aca="false">J38118*(1-J38037)*(J38117-J38123+J38122-J38125)</f>
        <v>0</v>
      </c>
      <c r="K38127" s="16" t="n">
        <f aca="false">K38118*(1-K38037)*(K38117-K38123+K38122-K38125)</f>
        <v>0</v>
      </c>
    </row>
    <row r="38128" customFormat="false" ht="15" hidden="false" customHeight="false" outlineLevel="0" collapsed="false">
      <c r="A38128" s="2" t="s">
        <v>339</v>
      </c>
      <c r="F38128" s="28" t="n">
        <f aca="false">Assumptions!$C$63</f>
        <v>550</v>
      </c>
      <c r="G38128" s="17" t="n">
        <f aca="false">G38117+G38124+G38122-G38123-G38125-G38126</f>
        <v>550</v>
      </c>
      <c r="H38128" s="17" t="n">
        <f aca="false">H38117+H38124+H38122-H38123-H38125-H38126</f>
        <v>550</v>
      </c>
      <c r="I38128" s="17" t="n">
        <f aca="false">I38117+I38124+I38122-I38123-I38125-I38126</f>
        <v>550</v>
      </c>
      <c r="J38128" s="17" t="n">
        <f aca="false">J38117+J38124+J38122-J38123-J38125-J38126</f>
        <v>550</v>
      </c>
      <c r="K38128" s="17" t="n">
        <f aca="false">K38117+K38124+K38122-K38123-K38125-K38126</f>
        <v>550</v>
      </c>
    </row>
    <row r="38129" customFormat="false" ht="15" hidden="false" customHeight="false" outlineLevel="0" collapsed="false">
      <c r="A38129" s="24" t="s">
        <v>346</v>
      </c>
      <c r="B38129" s="25"/>
      <c r="C38129" s="25"/>
      <c r="D38129" s="25"/>
      <c r="E38129" s="25"/>
      <c r="F38129" s="25"/>
      <c r="G38129" s="25"/>
      <c r="H38129" s="25"/>
      <c r="I38129" s="25"/>
      <c r="J38129" s="25"/>
      <c r="K38129" s="25"/>
    </row>
    <row r="38130" customFormat="false" ht="15" hidden="false" customHeight="false" outlineLevel="0" collapsed="false">
      <c r="A38130" s="3" t="s">
        <v>329</v>
      </c>
      <c r="G38130" s="16" t="n">
        <f aca="false">F38141</f>
        <v>350</v>
      </c>
      <c r="H38130" s="16" t="n">
        <f aca="false">G38141</f>
        <v>350</v>
      </c>
      <c r="I38130" s="16" t="n">
        <f aca="false">H38141</f>
        <v>350</v>
      </c>
      <c r="J38130" s="16" t="n">
        <f aca="false">I38141</f>
        <v>350</v>
      </c>
      <c r="K38130" s="16" t="n">
        <f aca="false">J38141</f>
        <v>350</v>
      </c>
    </row>
    <row r="38131" customFormat="false" ht="15" hidden="false" customHeight="false" outlineLevel="0" collapsed="false">
      <c r="A38131" s="3" t="s">
        <v>330</v>
      </c>
      <c r="G38131" s="21" t="n">
        <f aca="false">IF(G38003=Assumptions!$K$64,1,0)</f>
        <v>0</v>
      </c>
      <c r="H38131" s="21" t="n">
        <f aca="false">IF(H38003=Assumptions!$K$64,1,0)</f>
        <v>0</v>
      </c>
      <c r="I38131" s="21" t="n">
        <f aca="false">IF(I38003=Assumptions!$K$64,1,0)</f>
        <v>0</v>
      </c>
      <c r="J38131" s="21" t="n">
        <f aca="false">IF(J38003=Assumptions!$K$64,1,0)</f>
        <v>1</v>
      </c>
      <c r="K38131" s="21" t="n">
        <f aca="false">IF(K38003=Assumptions!$K$64,1,0)</f>
        <v>0</v>
      </c>
    </row>
    <row r="38133" customFormat="false" ht="15" hidden="false" customHeight="false" outlineLevel="0" collapsed="false">
      <c r="A38133" s="3" t="s">
        <v>331</v>
      </c>
      <c r="G38133" s="31" t="n">
        <f aca="false">IF(Assumptions!$I$64=1,MAX(G38029,Assumptions!$G$64)+Assumptions!$F$64+$C$38030,Assumptions!$E$64)</f>
        <v>0.0455</v>
      </c>
      <c r="H38133" s="31" t="n">
        <f aca="false">IF(G38356=1,$C$38031,IF(Assumptions!$I$64=1,MAX(H38029,Assumptions!$G$64)+Assumptions!$F$64+$C$38030,Assumptions!$E$64))</f>
        <v>0.0455</v>
      </c>
      <c r="I38133" s="31" t="n">
        <f aca="false">IF(H38356=1,$C$38031,IF(Assumptions!$I$64=1,MAX(I38029,Assumptions!$G$64)+Assumptions!$F$64+$C$38030,Assumptions!$E$64))</f>
        <v>0.0455</v>
      </c>
      <c r="J38133" s="31" t="n">
        <f aca="false">IF(I38356=1,$C$38031,IF(Assumptions!$I$64=1,MAX(J38029,Assumptions!$G$64)+Assumptions!$F$64+$C$38030,Assumptions!$E$64))</f>
        <v>0.0455</v>
      </c>
      <c r="K38133" s="31" t="n">
        <f aca="false">IF(J38356=1,$C$38031,IF(Assumptions!$I$64=1,MAX(K38029,Assumptions!$G$64)+Assumptions!$F$64+$C$38030,Assumptions!$E$64))</f>
        <v>0.0455</v>
      </c>
    </row>
    <row r="38134" customFormat="false" ht="15" hidden="false" customHeight="false" outlineLevel="0" collapsed="false">
      <c r="A38134" s="3" t="s">
        <v>332</v>
      </c>
      <c r="G38134" s="16" t="n">
        <f aca="false">G38130*G38133</f>
        <v>15.925</v>
      </c>
      <c r="H38134" s="16" t="n">
        <f aca="false">H38130*H38133</f>
        <v>15.925</v>
      </c>
      <c r="I38134" s="16" t="n">
        <f aca="false">I38130*I38133</f>
        <v>15.925</v>
      </c>
      <c r="J38134" s="16" t="n">
        <f aca="false">J38130*J38133</f>
        <v>15.925</v>
      </c>
      <c r="K38134" s="16" t="n">
        <f aca="false">K38130*K38133</f>
        <v>15.925</v>
      </c>
    </row>
    <row r="38135" customFormat="false" ht="15" hidden="false" customHeight="false" outlineLevel="0" collapsed="false">
      <c r="A38135" s="3" t="s">
        <v>333</v>
      </c>
      <c r="G38135" s="16" t="n">
        <f aca="false">G38130*Assumptions!$H$64</f>
        <v>0</v>
      </c>
      <c r="H38135" s="16" t="n">
        <f aca="false">H38130*Assumptions!$H$64</f>
        <v>0</v>
      </c>
      <c r="I38135" s="16" t="n">
        <f aca="false">I38130*Assumptions!$H$64</f>
        <v>0</v>
      </c>
      <c r="J38135" s="16" t="n">
        <f aca="false">J38130*Assumptions!$H$64</f>
        <v>0</v>
      </c>
      <c r="K38135" s="16" t="n">
        <f aca="false">K38130*Assumptions!$H$64</f>
        <v>0</v>
      </c>
    </row>
    <row r="38136" customFormat="false" ht="15" hidden="false" customHeight="false" outlineLevel="0" collapsed="false">
      <c r="A38136" s="3" t="s">
        <v>334</v>
      </c>
      <c r="G38136" s="16" t="n">
        <f aca="false">MIN(G38130,Assumptions!$L$64*Assumptions!$C$64)</f>
        <v>0</v>
      </c>
      <c r="H38136" s="16" t="n">
        <f aca="false">MIN(H38130,Assumptions!$L$64*Assumptions!$C$64)</f>
        <v>0</v>
      </c>
      <c r="I38136" s="16" t="n">
        <f aca="false">MIN(I38130,Assumptions!$L$64*Assumptions!$C$64)</f>
        <v>0</v>
      </c>
      <c r="J38136" s="16" t="n">
        <f aca="false">MIN(J38130,Assumptions!$L$64*Assumptions!$C$64)</f>
        <v>0</v>
      </c>
      <c r="K38136" s="16" t="n">
        <f aca="false">MIN(K38130,Assumptions!$L$64*Assumptions!$C$64)</f>
        <v>0</v>
      </c>
    </row>
    <row r="38137" customFormat="false" ht="15" hidden="false" customHeight="false" outlineLevel="0" collapsed="false">
      <c r="A38137" s="3" t="s">
        <v>335</v>
      </c>
      <c r="G38137" s="16" t="n">
        <f aca="false">IF(AND(Assumptions!$P$64=1,G38003&lt;Assumptions!$K$64),MIN(MAX(0,-G38219),MAX(0,Assumptions!$D$64-G38130)),0)</f>
        <v>0</v>
      </c>
      <c r="H38137" s="16" t="n">
        <f aca="false">IF(AND(Assumptions!$P$64=1,OR(H38003&lt;Assumptions!$K$64,G38356=1)),MIN(MAX(0,-H38219),MAX(0,Assumptions!$D$64-H38130)),0)</f>
        <v>0</v>
      </c>
      <c r="I38137" s="16" t="n">
        <f aca="false">IF(AND(Assumptions!$P$64=1,OR(I38003&lt;Assumptions!$K$64,H38356=1)),MIN(MAX(0,-I38219),MAX(0,Assumptions!$D$64-I38130)),0)</f>
        <v>0</v>
      </c>
      <c r="J38137" s="16" t="n">
        <f aca="false">IF(AND(Assumptions!$P$64=1,OR(J38003&lt;Assumptions!$K$64,I38356=1)),MIN(MAX(0,-J38219),MAX(0,Assumptions!$D$64-J38130)),0)</f>
        <v>0</v>
      </c>
      <c r="K38137" s="16" t="n">
        <f aca="false">IF(AND(Assumptions!$P$64=1,OR(K38003&lt;Assumptions!$K$64,J38356=1)),MIN(MAX(0,-K38219),MAX(0,Assumptions!$D$64-K38130)),0)</f>
        <v>0</v>
      </c>
    </row>
    <row r="38138" customFormat="false" ht="15" hidden="false" customHeight="false" outlineLevel="0" collapsed="false">
      <c r="A38138" s="3" t="s">
        <v>336</v>
      </c>
      <c r="G38138" s="16" t="n">
        <f aca="false">G38131*MIN(G38130-G38136+G38135,MAX(0,G38221-Assumptions!$C$12*G38037-G38047-G38060-G38073-G38086-G38099-G38112-G38125))</f>
        <v>0</v>
      </c>
      <c r="H38138" s="16" t="n">
        <f aca="false">H38131*MIN(H38130-H38136+H38135,MAX(0,H38221-Assumptions!$C$12*H38037-H38047-H38060-H38073-H38086-H38099-H38112-H38125))</f>
        <v>0</v>
      </c>
      <c r="I38138" s="16" t="n">
        <f aca="false">I38131*MIN(I38130-I38136+I38135,MAX(0,I38221-Assumptions!$C$12*I38037-I38047-I38060-I38073-I38086-I38099-I38112-I38125))</f>
        <v>0</v>
      </c>
      <c r="J38138" s="16" t="n">
        <f aca="false">J38131*MIN(J38130-J38136+J38135,MAX(0,J38221-Assumptions!$C$12*J38037-J38047-J38060-J38073-J38086-J38099-J38112-J38125))</f>
        <v>0</v>
      </c>
      <c r="K38138" s="16" t="n">
        <f aca="false">K38131*MIN(K38130-K38136+K38135,MAX(0,K38221-Assumptions!$C$12*K38037-K38047-K38060-K38073-K38086-K38099-K38112-K38125))</f>
        <v>0</v>
      </c>
    </row>
    <row r="38139" customFormat="false" ht="15" hidden="false" customHeight="false" outlineLevel="0" collapsed="false">
      <c r="A38139" s="3" t="s">
        <v>337</v>
      </c>
      <c r="G38139" s="16" t="n">
        <f aca="false">Assumptions!$N$64*MIN(G38130+G38137+G38135-G38136-G38138,MAX(0,G38225-G38048-G38061-G38074-G38087-G38100-G38113-G38126))</f>
        <v>0</v>
      </c>
      <c r="H38139" s="16" t="n">
        <f aca="false">Assumptions!$N$64*MIN(H38130+H38137+H38135-H38136-H38138,MAX(0,H38225-H38048-H38061-H38074-H38087-H38100-H38113-H38126))</f>
        <v>0</v>
      </c>
      <c r="I38139" s="16" t="n">
        <f aca="false">Assumptions!$N$64*MIN(I38130+I38137+I38135-I38136-I38138,MAX(0,I38225-I38048-I38061-I38074-I38087-I38100-I38113-I38126))</f>
        <v>0</v>
      </c>
      <c r="J38139" s="16" t="n">
        <f aca="false">Assumptions!$N$64*MIN(J38130+J38137+J38135-J38136-J38138,MAX(0,J38225-J38048-J38061-J38074-J38087-J38100-J38113-J38126))</f>
        <v>0</v>
      </c>
      <c r="K38139" s="16" t="n">
        <f aca="false">Assumptions!$N$64*MIN(K38130+K38137+K38135-K38136-K38138,MAX(0,K38225-K38048-K38061-K38074-K38087-K38100-K38113-K38126))</f>
        <v>0</v>
      </c>
    </row>
    <row r="38140" customFormat="false" ht="15" hidden="false" customHeight="false" outlineLevel="0" collapsed="false">
      <c r="A38140" s="3" t="s">
        <v>338</v>
      </c>
      <c r="G38140" s="16" t="n">
        <f aca="false">G38131*(1-G38037)*(G38130-G38136+G38135-G38138)</f>
        <v>0</v>
      </c>
      <c r="H38140" s="16" t="n">
        <f aca="false">H38131*(1-H38037)*(H38130-H38136+H38135-H38138)</f>
        <v>0</v>
      </c>
      <c r="I38140" s="16" t="n">
        <f aca="false">I38131*(1-I38037)*(I38130-I38136+I38135-I38138)</f>
        <v>0</v>
      </c>
      <c r="J38140" s="16" t="n">
        <f aca="false">J38131*(1-J38037)*(J38130-J38136+J38135-J38138)</f>
        <v>350</v>
      </c>
      <c r="K38140" s="16" t="n">
        <f aca="false">K38131*(1-K38037)*(K38130-K38136+K38135-K38138)</f>
        <v>0</v>
      </c>
    </row>
    <row r="38141" customFormat="false" ht="15" hidden="false" customHeight="false" outlineLevel="0" collapsed="false">
      <c r="A38141" s="2" t="s">
        <v>339</v>
      </c>
      <c r="F38141" s="28" t="n">
        <f aca="false">Assumptions!$C$64</f>
        <v>350</v>
      </c>
      <c r="G38141" s="17" t="n">
        <f aca="false">G38130+G38137+G38135-G38136-G38138-G38139</f>
        <v>350</v>
      </c>
      <c r="H38141" s="17" t="n">
        <f aca="false">H38130+H38137+H38135-H38136-H38138-H38139</f>
        <v>350</v>
      </c>
      <c r="I38141" s="17" t="n">
        <f aca="false">I38130+I38137+I38135-I38136-I38138-I38139</f>
        <v>350</v>
      </c>
      <c r="J38141" s="17" t="n">
        <f aca="false">J38130+J38137+J38135-J38136-J38138-J38139</f>
        <v>350</v>
      </c>
      <c r="K38141" s="17" t="n">
        <f aca="false">K38130+K38137+K38135-K38136-K38138-K38139</f>
        <v>350</v>
      </c>
    </row>
    <row r="38142" customFormat="false" ht="15" hidden="false" customHeight="false" outlineLevel="0" collapsed="false">
      <c r="A38142" s="24" t="s">
        <v>347</v>
      </c>
      <c r="B38142" s="25"/>
      <c r="C38142" s="25"/>
      <c r="D38142" s="25"/>
      <c r="E38142" s="25"/>
      <c r="F38142" s="25"/>
      <c r="G38142" s="25"/>
      <c r="H38142" s="25"/>
      <c r="I38142" s="25"/>
      <c r="J38142" s="25"/>
      <c r="K38142" s="25"/>
    </row>
    <row r="38143" customFormat="false" ht="15" hidden="false" customHeight="false" outlineLevel="0" collapsed="false">
      <c r="A38143" s="3" t="s">
        <v>329</v>
      </c>
      <c r="G38143" s="16" t="n">
        <f aca="false">F38154</f>
        <v>300</v>
      </c>
      <c r="H38143" s="16" t="n">
        <f aca="false">G38154</f>
        <v>300</v>
      </c>
      <c r="I38143" s="16" t="n">
        <f aca="false">H38154</f>
        <v>300</v>
      </c>
      <c r="J38143" s="16" t="n">
        <f aca="false">I38154</f>
        <v>300</v>
      </c>
      <c r="K38143" s="16" t="n">
        <f aca="false">J38154</f>
        <v>300</v>
      </c>
    </row>
    <row r="38144" customFormat="false" ht="15" hidden="false" customHeight="false" outlineLevel="0" collapsed="false">
      <c r="A38144" s="3" t="s">
        <v>330</v>
      </c>
      <c r="G38144" s="21" t="n">
        <f aca="false">IF(G38003=Assumptions!$K$65,1,0)</f>
        <v>0</v>
      </c>
      <c r="H38144" s="21" t="n">
        <f aca="false">IF(H38003=Assumptions!$K$65,1,0)</f>
        <v>0</v>
      </c>
      <c r="I38144" s="21" t="n">
        <f aca="false">IF(I38003=Assumptions!$K$65,1,0)</f>
        <v>0</v>
      </c>
      <c r="J38144" s="21" t="n">
        <f aca="false">IF(J38003=Assumptions!$K$65,1,0)</f>
        <v>0</v>
      </c>
      <c r="K38144" s="21" t="n">
        <f aca="false">IF(K38003=Assumptions!$K$65,1,0)</f>
        <v>1</v>
      </c>
    </row>
    <row r="38146" customFormat="false" ht="15" hidden="false" customHeight="false" outlineLevel="0" collapsed="false">
      <c r="A38146" s="3" t="s">
        <v>331</v>
      </c>
      <c r="G38146" s="31" t="n">
        <f aca="false">IF(Assumptions!$I$65=1,MAX(G38029,Assumptions!$G$65)+Assumptions!$F$65+$C$38030,Assumptions!$E$65)</f>
        <v>0.06125</v>
      </c>
      <c r="H38146" s="31" t="n">
        <f aca="false">IF(G38357=1,$C$38031,IF(Assumptions!$I$65=1,MAX(H38029,Assumptions!$G$65)+Assumptions!$F$65+$C$38030,Assumptions!$E$65))</f>
        <v>0.06125</v>
      </c>
      <c r="I38146" s="31" t="n">
        <f aca="false">IF(H38357=1,$C$38031,IF(Assumptions!$I$65=1,MAX(I38029,Assumptions!$G$65)+Assumptions!$F$65+$C$38030,Assumptions!$E$65))</f>
        <v>0.06125</v>
      </c>
      <c r="J38146" s="31" t="n">
        <f aca="false">IF(I38357=1,$C$38031,IF(Assumptions!$I$65=1,MAX(J38029,Assumptions!$G$65)+Assumptions!$F$65+$C$38030,Assumptions!$E$65))</f>
        <v>0.06125</v>
      </c>
      <c r="K38146" s="31" t="n">
        <f aca="false">IF(J38357=1,$C$38031,IF(Assumptions!$I$65=1,MAX(K38029,Assumptions!$G$65)+Assumptions!$F$65+$C$38030,Assumptions!$E$65))</f>
        <v>0.06125</v>
      </c>
    </row>
    <row r="38147" customFormat="false" ht="15" hidden="false" customHeight="false" outlineLevel="0" collapsed="false">
      <c r="A38147" s="3" t="s">
        <v>332</v>
      </c>
      <c r="G38147" s="16" t="n">
        <f aca="false">G38143*G38146</f>
        <v>18.375</v>
      </c>
      <c r="H38147" s="16" t="n">
        <f aca="false">H38143*H38146</f>
        <v>18.375</v>
      </c>
      <c r="I38147" s="16" t="n">
        <f aca="false">I38143*I38146</f>
        <v>18.375</v>
      </c>
      <c r="J38147" s="16" t="n">
        <f aca="false">J38143*J38146</f>
        <v>18.375</v>
      </c>
      <c r="K38147" s="16" t="n">
        <f aca="false">K38143*K38146</f>
        <v>18.375</v>
      </c>
    </row>
    <row r="38148" customFormat="false" ht="15" hidden="false" customHeight="false" outlineLevel="0" collapsed="false">
      <c r="A38148" s="3" t="s">
        <v>333</v>
      </c>
      <c r="G38148" s="16" t="n">
        <f aca="false">G38143*Assumptions!$H$65</f>
        <v>0</v>
      </c>
      <c r="H38148" s="16" t="n">
        <f aca="false">H38143*Assumptions!$H$65</f>
        <v>0</v>
      </c>
      <c r="I38148" s="16" t="n">
        <f aca="false">I38143*Assumptions!$H$65</f>
        <v>0</v>
      </c>
      <c r="J38148" s="16" t="n">
        <f aca="false">J38143*Assumptions!$H$65</f>
        <v>0</v>
      </c>
      <c r="K38148" s="16" t="n">
        <f aca="false">K38143*Assumptions!$H$65</f>
        <v>0</v>
      </c>
    </row>
    <row r="38149" customFormat="false" ht="15" hidden="false" customHeight="false" outlineLevel="0" collapsed="false">
      <c r="A38149" s="3" t="s">
        <v>334</v>
      </c>
      <c r="G38149" s="16" t="n">
        <f aca="false">MIN(G38143,Assumptions!$L$65*Assumptions!$C$65)</f>
        <v>0</v>
      </c>
      <c r="H38149" s="16" t="n">
        <f aca="false">MIN(H38143,Assumptions!$L$65*Assumptions!$C$65)</f>
        <v>0</v>
      </c>
      <c r="I38149" s="16" t="n">
        <f aca="false">MIN(I38143,Assumptions!$L$65*Assumptions!$C$65)</f>
        <v>0</v>
      </c>
      <c r="J38149" s="16" t="n">
        <f aca="false">MIN(J38143,Assumptions!$L$65*Assumptions!$C$65)</f>
        <v>0</v>
      </c>
      <c r="K38149" s="16" t="n">
        <f aca="false">MIN(K38143,Assumptions!$L$65*Assumptions!$C$65)</f>
        <v>0</v>
      </c>
    </row>
    <row r="38150" customFormat="false" ht="15" hidden="false" customHeight="false" outlineLevel="0" collapsed="false">
      <c r="A38150" s="3" t="s">
        <v>335</v>
      </c>
      <c r="G38150" s="16" t="n">
        <f aca="false">IF(AND(Assumptions!$P$65=1,G38003&lt;Assumptions!$K$65),MIN(MAX(0,-G38219),MAX(0,Assumptions!$D$65-G38143)),0)</f>
        <v>0</v>
      </c>
      <c r="H38150" s="16" t="n">
        <f aca="false">IF(AND(Assumptions!$P$65=1,OR(H38003&lt;Assumptions!$K$65,G38357=1)),MIN(MAX(0,-H38219),MAX(0,Assumptions!$D$65-H38143)),0)</f>
        <v>0</v>
      </c>
      <c r="I38150" s="16" t="n">
        <f aca="false">IF(AND(Assumptions!$P$65=1,OR(I38003&lt;Assumptions!$K$65,H38357=1)),MIN(MAX(0,-I38219),MAX(0,Assumptions!$D$65-I38143)),0)</f>
        <v>0</v>
      </c>
      <c r="J38150" s="16" t="n">
        <f aca="false">IF(AND(Assumptions!$P$65=1,OR(J38003&lt;Assumptions!$K$65,I38357=1)),MIN(MAX(0,-J38219),MAX(0,Assumptions!$D$65-J38143)),0)</f>
        <v>0</v>
      </c>
      <c r="K38150" s="16" t="n">
        <f aca="false">IF(AND(Assumptions!$P$65=1,OR(K38003&lt;Assumptions!$K$65,J38357=1)),MIN(MAX(0,-K38219),MAX(0,Assumptions!$D$65-K38143)),0)</f>
        <v>0</v>
      </c>
    </row>
    <row r="38151" customFormat="false" ht="15" hidden="false" customHeight="false" outlineLevel="0" collapsed="false">
      <c r="A38151" s="3" t="s">
        <v>336</v>
      </c>
      <c r="G38151" s="16" t="n">
        <f aca="false">G38144*MIN(G38143-G38149+G38148,MAX(0,G38221-Assumptions!$C$12*G38037-G38047-G38060-G38073-G38086-G38099-G38112-G38125-G38138))</f>
        <v>0</v>
      </c>
      <c r="H38151" s="16" t="n">
        <f aca="false">H38144*MIN(H38143-H38149+H38148,MAX(0,H38221-Assumptions!$C$12*H38037-H38047-H38060-H38073-H38086-H38099-H38112-H38125-H38138))</f>
        <v>0</v>
      </c>
      <c r="I38151" s="16" t="n">
        <f aca="false">I38144*MIN(I38143-I38149+I38148,MAX(0,I38221-Assumptions!$C$12*I38037-I38047-I38060-I38073-I38086-I38099-I38112-I38125-I38138))</f>
        <v>0</v>
      </c>
      <c r="J38151" s="16" t="n">
        <f aca="false">J38144*MIN(J38143-J38149+J38148,MAX(0,J38221-Assumptions!$C$12*J38037-J38047-J38060-J38073-J38086-J38099-J38112-J38125-J38138))</f>
        <v>0</v>
      </c>
      <c r="K38151" s="16" t="n">
        <f aca="false">K38144*MIN(K38143-K38149+K38148,MAX(0,K38221-Assumptions!$C$12*K38037-K38047-K38060-K38073-K38086-K38099-K38112-K38125-K38138))</f>
        <v>0</v>
      </c>
    </row>
    <row r="38152" customFormat="false" ht="15" hidden="false" customHeight="false" outlineLevel="0" collapsed="false">
      <c r="A38152" s="3" t="s">
        <v>337</v>
      </c>
      <c r="G38152" s="16" t="n">
        <f aca="false">Assumptions!$N$65*MIN(G38143+G38150+G38148-G38149-G38151,MAX(0,G38225-G38048-G38061-G38074-G38087-G38100-G38113-G38126-G38139))</f>
        <v>0</v>
      </c>
      <c r="H38152" s="16" t="n">
        <f aca="false">Assumptions!$N$65*MIN(H38143+H38150+H38148-H38149-H38151,MAX(0,H38225-H38048-H38061-H38074-H38087-H38100-H38113-H38126-H38139))</f>
        <v>0</v>
      </c>
      <c r="I38152" s="16" t="n">
        <f aca="false">Assumptions!$N$65*MIN(I38143+I38150+I38148-I38149-I38151,MAX(0,I38225-I38048-I38061-I38074-I38087-I38100-I38113-I38126-I38139))</f>
        <v>0</v>
      </c>
      <c r="J38152" s="16" t="n">
        <f aca="false">Assumptions!$N$65*MIN(J38143+J38150+J38148-J38149-J38151,MAX(0,J38225-J38048-J38061-J38074-J38087-J38100-J38113-J38126-J38139))</f>
        <v>0</v>
      </c>
      <c r="K38152" s="16" t="n">
        <f aca="false">Assumptions!$N$65*MIN(K38143+K38150+K38148-K38149-K38151,MAX(0,K38225-K38048-K38061-K38074-K38087-K38100-K38113-K38126-K38139))</f>
        <v>0</v>
      </c>
    </row>
    <row r="38153" customFormat="false" ht="15" hidden="false" customHeight="false" outlineLevel="0" collapsed="false">
      <c r="A38153" s="3" t="s">
        <v>338</v>
      </c>
      <c r="G38153" s="16" t="n">
        <f aca="false">G38144*(1-G38037)*(G38143-G38149+G38148-G38151)</f>
        <v>0</v>
      </c>
      <c r="H38153" s="16" t="n">
        <f aca="false">H38144*(1-H38037)*(H38143-H38149+H38148-H38151)</f>
        <v>0</v>
      </c>
      <c r="I38153" s="16" t="n">
        <f aca="false">I38144*(1-I38037)*(I38143-I38149+I38148-I38151)</f>
        <v>0</v>
      </c>
      <c r="J38153" s="16" t="n">
        <f aca="false">J38144*(1-J38037)*(J38143-J38149+J38148-J38151)</f>
        <v>0</v>
      </c>
      <c r="K38153" s="16" t="n">
        <f aca="false">K38144*(1-K38037)*(K38143-K38149+K38148-K38151)</f>
        <v>300</v>
      </c>
    </row>
    <row r="38154" customFormat="false" ht="15" hidden="false" customHeight="false" outlineLevel="0" collapsed="false">
      <c r="A38154" s="2" t="s">
        <v>339</v>
      </c>
      <c r="F38154" s="28" t="n">
        <f aca="false">Assumptions!$C$65</f>
        <v>300</v>
      </c>
      <c r="G38154" s="17" t="n">
        <f aca="false">G38143+G38150+G38148-G38149-G38151-G38152</f>
        <v>300</v>
      </c>
      <c r="H38154" s="17" t="n">
        <f aca="false">H38143+H38150+H38148-H38149-H38151-H38152</f>
        <v>300</v>
      </c>
      <c r="I38154" s="17" t="n">
        <f aca="false">I38143+I38150+I38148-I38149-I38151-I38152</f>
        <v>300</v>
      </c>
      <c r="J38154" s="17" t="n">
        <f aca="false">J38143+J38150+J38148-J38149-J38151-J38152</f>
        <v>300</v>
      </c>
      <c r="K38154" s="17" t="n">
        <f aca="false">K38143+K38150+K38148-K38149-K38151-K38152</f>
        <v>300</v>
      </c>
    </row>
    <row r="38155" customFormat="false" ht="15" hidden="false" customHeight="false" outlineLevel="0" collapsed="false">
      <c r="A38155" s="24" t="s">
        <v>348</v>
      </c>
      <c r="B38155" s="25"/>
      <c r="C38155" s="25"/>
      <c r="D38155" s="25"/>
      <c r="E38155" s="25"/>
      <c r="F38155" s="25"/>
      <c r="G38155" s="25"/>
      <c r="H38155" s="25"/>
      <c r="I38155" s="25"/>
      <c r="J38155" s="25"/>
      <c r="K38155" s="25"/>
    </row>
    <row r="38156" customFormat="false" ht="15" hidden="false" customHeight="false" outlineLevel="0" collapsed="false">
      <c r="A38156" s="3" t="s">
        <v>329</v>
      </c>
      <c r="G38156" s="16" t="n">
        <f aca="false">F38167</f>
        <v>78.61</v>
      </c>
      <c r="H38156" s="16" t="n">
        <f aca="false">G38167</f>
        <v>78.61</v>
      </c>
      <c r="I38156" s="16" t="n">
        <f aca="false">H38167</f>
        <v>78.61</v>
      </c>
      <c r="J38156" s="16" t="n">
        <f aca="false">I38167</f>
        <v>78.61</v>
      </c>
      <c r="K38156" s="16" t="n">
        <f aca="false">J38167</f>
        <v>78.61</v>
      </c>
    </row>
    <row r="38157" customFormat="false" ht="15" hidden="false" customHeight="false" outlineLevel="0" collapsed="false">
      <c r="A38157" s="3" t="s">
        <v>330</v>
      </c>
      <c r="G38157" s="21" t="n">
        <f aca="false">IF(G38003=Assumptions!$K$66,1,0)</f>
        <v>0</v>
      </c>
      <c r="H38157" s="21" t="n">
        <f aca="false">IF(H38003=Assumptions!$K$66,1,0)</f>
        <v>0</v>
      </c>
      <c r="I38157" s="21" t="n">
        <f aca="false">IF(I38003=Assumptions!$K$66,1,0)</f>
        <v>0</v>
      </c>
      <c r="J38157" s="21" t="n">
        <f aca="false">IF(J38003=Assumptions!$K$66,1,0)</f>
        <v>0</v>
      </c>
      <c r="K38157" s="21" t="n">
        <f aca="false">IF(K38003=Assumptions!$K$66,1,0)</f>
        <v>0</v>
      </c>
    </row>
    <row r="38159" customFormat="false" ht="15" hidden="false" customHeight="false" outlineLevel="0" collapsed="false">
      <c r="A38159" s="3" t="s">
        <v>331</v>
      </c>
      <c r="G38159" s="31" t="n">
        <f aca="false">IF(Assumptions!$I$66=1,MAX(G38029,Assumptions!$G$66)+Assumptions!$F$66+$C$38030,Assumptions!$E$66)</f>
        <v>0.0841</v>
      </c>
      <c r="H38159" s="31" t="n">
        <f aca="false">IF(G38358=1,$C$38031,IF(Assumptions!$I$66=1,MAX(H38029,Assumptions!$G$66)+Assumptions!$F$66+$C$38030,Assumptions!$E$66))</f>
        <v>0.0826</v>
      </c>
      <c r="I38159" s="31" t="n">
        <f aca="false">IF(H38358=1,$C$38031,IF(Assumptions!$I$66=1,MAX(I38029,Assumptions!$G$66)+Assumptions!$F$66+$C$38030,Assumptions!$E$66))</f>
        <v>0.0801</v>
      </c>
      <c r="J38159" s="31" t="n">
        <f aca="false">IF(I38358=1,$C$38031,IF(Assumptions!$I$66=1,MAX(J38029,Assumptions!$G$66)+Assumptions!$F$66+$C$38030,Assumptions!$E$66))</f>
        <v>0.0801</v>
      </c>
      <c r="K38159" s="31" t="n">
        <f aca="false">IF(J38358=1,$C$38031,IF(Assumptions!$I$66=1,MAX(K38029,Assumptions!$G$66)+Assumptions!$F$66+$C$38030,Assumptions!$E$66))</f>
        <v>0.0801</v>
      </c>
    </row>
    <row r="38160" customFormat="false" ht="15" hidden="false" customHeight="false" outlineLevel="0" collapsed="false">
      <c r="A38160" s="3" t="s">
        <v>332</v>
      </c>
      <c r="G38160" s="16" t="n">
        <f aca="false">G38156*G38159</f>
        <v>6.611101</v>
      </c>
      <c r="H38160" s="16" t="n">
        <f aca="false">H38156*H38159</f>
        <v>6.493186</v>
      </c>
      <c r="I38160" s="16" t="n">
        <f aca="false">I38156*I38159</f>
        <v>6.296661</v>
      </c>
      <c r="J38160" s="16" t="n">
        <f aca="false">J38156*J38159</f>
        <v>6.296661</v>
      </c>
      <c r="K38160" s="16" t="n">
        <f aca="false">K38156*K38159</f>
        <v>6.296661</v>
      </c>
    </row>
    <row r="38161" customFormat="false" ht="15" hidden="false" customHeight="false" outlineLevel="0" collapsed="false">
      <c r="A38161" s="3" t="s">
        <v>333</v>
      </c>
      <c r="G38161" s="16" t="n">
        <f aca="false">G38156*Assumptions!$H$66</f>
        <v>0</v>
      </c>
      <c r="H38161" s="16" t="n">
        <f aca="false">H38156*Assumptions!$H$66</f>
        <v>0</v>
      </c>
      <c r="I38161" s="16" t="n">
        <f aca="false">I38156*Assumptions!$H$66</f>
        <v>0</v>
      </c>
      <c r="J38161" s="16" t="n">
        <f aca="false">J38156*Assumptions!$H$66</f>
        <v>0</v>
      </c>
      <c r="K38161" s="16" t="n">
        <f aca="false">K38156*Assumptions!$H$66</f>
        <v>0</v>
      </c>
    </row>
    <row r="38162" customFormat="false" ht="15" hidden="false" customHeight="false" outlineLevel="0" collapsed="false">
      <c r="A38162" s="3" t="s">
        <v>334</v>
      </c>
      <c r="G38162" s="16" t="n">
        <f aca="false">MIN(G38156,Assumptions!$L$66*Assumptions!$C$66)</f>
        <v>0</v>
      </c>
      <c r="H38162" s="16" t="n">
        <f aca="false">MIN(H38156,Assumptions!$L$66*Assumptions!$C$66)</f>
        <v>0</v>
      </c>
      <c r="I38162" s="16" t="n">
        <f aca="false">MIN(I38156,Assumptions!$L$66*Assumptions!$C$66)</f>
        <v>0</v>
      </c>
      <c r="J38162" s="16" t="n">
        <f aca="false">MIN(J38156,Assumptions!$L$66*Assumptions!$C$66)</f>
        <v>0</v>
      </c>
      <c r="K38162" s="16" t="n">
        <f aca="false">MIN(K38156,Assumptions!$L$66*Assumptions!$C$66)</f>
        <v>0</v>
      </c>
    </row>
    <row r="38163" customFormat="false" ht="15" hidden="false" customHeight="false" outlineLevel="0" collapsed="false">
      <c r="A38163" s="3" t="s">
        <v>335</v>
      </c>
      <c r="G38163" s="16" t="n">
        <f aca="false">IF(AND(Assumptions!$P$66=1,G38003&lt;Assumptions!$K$66),MIN(MAX(0,-G38219),MAX(0,Assumptions!$D$66-G38156)),0)</f>
        <v>0</v>
      </c>
      <c r="H38163" s="16" t="n">
        <f aca="false">IF(AND(Assumptions!$P$66=1,OR(H38003&lt;Assumptions!$K$66,G38358=1)),MIN(MAX(0,-H38219),MAX(0,Assumptions!$D$66-H38156)),0)</f>
        <v>0</v>
      </c>
      <c r="I38163" s="16" t="n">
        <f aca="false">IF(AND(Assumptions!$P$66=1,OR(I38003&lt;Assumptions!$K$66,H38358=1)),MIN(MAX(0,-I38219),MAX(0,Assumptions!$D$66-I38156)),0)</f>
        <v>0</v>
      </c>
      <c r="J38163" s="16" t="n">
        <f aca="false">IF(AND(Assumptions!$P$66=1,OR(J38003&lt;Assumptions!$K$66,I38358=1)),MIN(MAX(0,-J38219),MAX(0,Assumptions!$D$66-J38156)),0)</f>
        <v>0</v>
      </c>
      <c r="K38163" s="16" t="n">
        <f aca="false">IF(AND(Assumptions!$P$66=1,OR(K38003&lt;Assumptions!$K$66,J38358=1)),MIN(MAX(0,-K38219),MAX(0,Assumptions!$D$66-K38156)),0)</f>
        <v>0</v>
      </c>
    </row>
    <row r="38164" customFormat="false" ht="15" hidden="false" customHeight="false" outlineLevel="0" collapsed="false">
      <c r="A38164" s="3" t="s">
        <v>336</v>
      </c>
      <c r="G38164" s="16" t="n">
        <f aca="false">G38157*MIN(G38156-G38162+G38161,MAX(0,G38221-Assumptions!$C$12*G38037-G38047-G38060-G38073-G38086-G38099-G38112-G38125-G38138-G38151))</f>
        <v>0</v>
      </c>
      <c r="H38164" s="16" t="n">
        <f aca="false">H38157*MIN(H38156-H38162+H38161,MAX(0,H38221-Assumptions!$C$12*H38037-H38047-H38060-H38073-H38086-H38099-H38112-H38125-H38138-H38151))</f>
        <v>0</v>
      </c>
      <c r="I38164" s="16" t="n">
        <f aca="false">I38157*MIN(I38156-I38162+I38161,MAX(0,I38221-Assumptions!$C$12*I38037-I38047-I38060-I38073-I38086-I38099-I38112-I38125-I38138-I38151))</f>
        <v>0</v>
      </c>
      <c r="J38164" s="16" t="n">
        <f aca="false">J38157*MIN(J38156-J38162+J38161,MAX(0,J38221-Assumptions!$C$12*J38037-J38047-J38060-J38073-J38086-J38099-J38112-J38125-J38138-J38151))</f>
        <v>0</v>
      </c>
      <c r="K38164" s="16" t="n">
        <f aca="false">K38157*MIN(K38156-K38162+K38161,MAX(0,K38221-Assumptions!$C$12*K38037-K38047-K38060-K38073-K38086-K38099-K38112-K38125-K38138-K38151))</f>
        <v>0</v>
      </c>
    </row>
    <row r="38165" customFormat="false" ht="15" hidden="false" customHeight="false" outlineLevel="0" collapsed="false">
      <c r="A38165" s="3" t="s">
        <v>337</v>
      </c>
      <c r="G38165" s="16" t="n">
        <f aca="false">Assumptions!$N$66*MIN(G38156+G38163+G38161-G38162-G38164,MAX(0,G38225-G38048-G38061-G38074-G38087-G38100-G38113-G38126-G38139-G38152))</f>
        <v>0</v>
      </c>
      <c r="H38165" s="16" t="n">
        <f aca="false">Assumptions!$N$66*MIN(H38156+H38163+H38161-H38162-H38164,MAX(0,H38225-H38048-H38061-H38074-H38087-H38100-H38113-H38126-H38139-H38152))</f>
        <v>0</v>
      </c>
      <c r="I38165" s="16" t="n">
        <f aca="false">Assumptions!$N$66*MIN(I38156+I38163+I38161-I38162-I38164,MAX(0,I38225-I38048-I38061-I38074-I38087-I38100-I38113-I38126-I38139-I38152))</f>
        <v>0</v>
      </c>
      <c r="J38165" s="16" t="n">
        <f aca="false">Assumptions!$N$66*MIN(J38156+J38163+J38161-J38162-J38164,MAX(0,J38225-J38048-J38061-J38074-J38087-J38100-J38113-J38126-J38139-J38152))</f>
        <v>0</v>
      </c>
      <c r="K38165" s="16" t="n">
        <f aca="false">Assumptions!$N$66*MIN(K38156+K38163+K38161-K38162-K38164,MAX(0,K38225-K38048-K38061-K38074-K38087-K38100-K38113-K38126-K38139-K38152))</f>
        <v>0</v>
      </c>
    </row>
    <row r="38166" customFormat="false" ht="15" hidden="false" customHeight="false" outlineLevel="0" collapsed="false">
      <c r="A38166" s="3" t="s">
        <v>338</v>
      </c>
      <c r="G38166" s="16" t="n">
        <f aca="false">G38157*(1-G38037)*(G38156-G38162+G38161-G38164)</f>
        <v>0</v>
      </c>
      <c r="H38166" s="16" t="n">
        <f aca="false">H38157*(1-H38037)*(H38156-H38162+H38161-H38164)</f>
        <v>0</v>
      </c>
      <c r="I38166" s="16" t="n">
        <f aca="false">I38157*(1-I38037)*(I38156-I38162+I38161-I38164)</f>
        <v>0</v>
      </c>
      <c r="J38166" s="16" t="n">
        <f aca="false">J38157*(1-J38037)*(J38156-J38162+J38161-J38164)</f>
        <v>0</v>
      </c>
      <c r="K38166" s="16" t="n">
        <f aca="false">K38157*(1-K38037)*(K38156-K38162+K38161-K38164)</f>
        <v>0</v>
      </c>
    </row>
    <row r="38167" customFormat="false" ht="15" hidden="false" customHeight="false" outlineLevel="0" collapsed="false">
      <c r="A38167" s="2" t="s">
        <v>339</v>
      </c>
      <c r="F38167" s="28" t="n">
        <f aca="false">Assumptions!$C$66</f>
        <v>78.61</v>
      </c>
      <c r="G38167" s="17" t="n">
        <f aca="false">G38156+G38163+G38161-G38162-G38164-G38165</f>
        <v>78.61</v>
      </c>
      <c r="H38167" s="17" t="n">
        <f aca="false">H38156+H38163+H38161-H38162-H38164-H38165</f>
        <v>78.61</v>
      </c>
      <c r="I38167" s="17" t="n">
        <f aca="false">I38156+I38163+I38161-I38162-I38164-I38165</f>
        <v>78.61</v>
      </c>
      <c r="J38167" s="17" t="n">
        <f aca="false">J38156+J38163+J38161-J38162-J38164-J38165</f>
        <v>78.61</v>
      </c>
      <c r="K38167" s="17" t="n">
        <f aca="false">K38156+K38163+K38161-K38162-K38164-K38165</f>
        <v>78.61</v>
      </c>
    </row>
    <row r="38168" customFormat="false" ht="15" hidden="false" customHeight="false" outlineLevel="0" collapsed="false">
      <c r="A38168" s="24" t="s">
        <v>349</v>
      </c>
      <c r="B38168" s="25"/>
      <c r="C38168" s="25"/>
      <c r="D38168" s="25"/>
      <c r="E38168" s="25"/>
      <c r="F38168" s="25"/>
      <c r="G38168" s="25"/>
      <c r="H38168" s="25"/>
      <c r="I38168" s="25"/>
      <c r="J38168" s="25"/>
      <c r="K38168" s="25"/>
    </row>
    <row r="38169" customFormat="false" ht="15" hidden="false" customHeight="false" outlineLevel="0" collapsed="false">
      <c r="A38169" s="2" t="s">
        <v>350</v>
      </c>
      <c r="F38169" s="17" t="n">
        <f aca="false">F38050+F38063+F38076+F38089+F38102+F38115+F38128+F38141+F38154+F38167</f>
        <v>2625.934</v>
      </c>
      <c r="G38169" s="17" t="n">
        <f aca="false">G38050+G38063+G38076+G38089+G38102+G38115+G38128+G38141+G38154+G38167</f>
        <v>2621.934</v>
      </c>
      <c r="H38169" s="17" t="n">
        <f aca="false">H38050+H38063+H38076+H38089+H38102+H38115+H38128+H38141+H38154+H38167</f>
        <v>2602.8887587</v>
      </c>
      <c r="I38169" s="17" t="n">
        <f aca="false">I38050+I38063+I38076+I38089+I38102+I38115+I38128+I38141+I38154+I38167</f>
        <v>2598.8887587</v>
      </c>
      <c r="J38169" s="17" t="n">
        <f aca="false">J38050+J38063+J38076+J38089+J38102+J38115+J38128+J38141+J38154+J38167</f>
        <v>2594.8887587</v>
      </c>
      <c r="K38169" s="17" t="n">
        <f aca="false">K38050+K38063+K38076+K38089+K38102+K38115+K38128+K38141+K38154+K38167</f>
        <v>2590.8887587</v>
      </c>
    </row>
    <row r="38170" customFormat="false" ht="15" hidden="false" customHeight="false" outlineLevel="0" collapsed="false">
      <c r="A38170" s="3" t="s">
        <v>351</v>
      </c>
      <c r="G38170" s="16" t="n">
        <f aca="false">G38040*Assumptions!$C$57+G38053*Assumptions!$C$58+G38066*Assumptions!$C$59+G38079*Assumptions!$C$60+G38092*Assumptions!$C$61+G38105*Assumptions!$C$62+G38118*Assumptions!$C$63+G38131*Assumptions!$C$64+G38144*Assumptions!$C$65+G38157*Assumptions!$C$66</f>
        <v>0</v>
      </c>
      <c r="H38170" s="16" t="n">
        <f aca="false">H38040*Assumptions!$C$57+H38053*Assumptions!$C$58+H38066*Assumptions!$C$59+H38079*Assumptions!$C$60+H38092*Assumptions!$C$61+H38105*Assumptions!$C$62+H38118*Assumptions!$C$63+H38131*Assumptions!$C$64+H38144*Assumptions!$C$65+H38157*Assumptions!$C$66</f>
        <v>800</v>
      </c>
      <c r="I38170" s="16" t="n">
        <f aca="false">I38040*Assumptions!$C$57+I38053*Assumptions!$C$58+I38066*Assumptions!$C$59+I38079*Assumptions!$C$60+I38092*Assumptions!$C$61+I38105*Assumptions!$C$62+I38118*Assumptions!$C$63+I38131*Assumptions!$C$64+I38144*Assumptions!$C$65+I38157*Assumptions!$C$66</f>
        <v>550</v>
      </c>
      <c r="J38170" s="16" t="n">
        <f aca="false">J38040*Assumptions!$C$57+J38053*Assumptions!$C$58+J38066*Assumptions!$C$59+J38079*Assumptions!$C$60+J38092*Assumptions!$C$61+J38105*Assumptions!$C$62+J38118*Assumptions!$C$63+J38131*Assumptions!$C$64+J38144*Assumptions!$C$65+J38157*Assumptions!$C$66</f>
        <v>350</v>
      </c>
      <c r="K38170" s="16" t="n">
        <f aca="false">K38040*Assumptions!$C$57+K38053*Assumptions!$C$58+K38066*Assumptions!$C$59+K38079*Assumptions!$C$60+K38092*Assumptions!$C$61+K38105*Assumptions!$C$62+K38118*Assumptions!$C$63+K38131*Assumptions!$C$64+K38144*Assumptions!$C$65+K38157*Assumptions!$C$66</f>
        <v>700</v>
      </c>
    </row>
    <row r="38171" customFormat="false" ht="15" hidden="false" customHeight="false" outlineLevel="0" collapsed="false">
      <c r="A38171" s="24" t="s">
        <v>352</v>
      </c>
      <c r="B38171" s="25"/>
      <c r="C38171" s="25"/>
      <c r="D38171" s="25"/>
      <c r="E38171" s="25"/>
      <c r="F38171" s="25"/>
      <c r="G38171" s="25"/>
      <c r="H38171" s="25"/>
      <c r="I38171" s="25"/>
      <c r="J38171" s="25"/>
      <c r="K38171" s="25"/>
    </row>
    <row r="38172" customFormat="false" ht="15" hidden="false" customHeight="false" outlineLevel="0" collapsed="false">
      <c r="A38172" s="3" t="s">
        <v>353</v>
      </c>
      <c r="C38172" s="16" t="n">
        <f aca="false">SUMPRODUCT($G$38040:$K$38040,$G$38039:$K$38039-$G$38045:$K$38045+$G$38044:$K$38044)</f>
        <v>380</v>
      </c>
    </row>
    <row r="38173" customFormat="false" ht="15" hidden="false" customHeight="false" outlineLevel="0" collapsed="false">
      <c r="A38173" s="3" t="s">
        <v>354</v>
      </c>
      <c r="C38173" s="16" t="n">
        <f aca="false">SUMPRODUCT($G$38040:$K$38040,$G$38047:$K$38047)</f>
        <v>0</v>
      </c>
    </row>
    <row r="38174" customFormat="false" ht="15" hidden="false" customHeight="false" outlineLevel="0" collapsed="false">
      <c r="A38174" s="3" t="s">
        <v>355</v>
      </c>
      <c r="C38174" s="3" t="str">
        <f aca="false">IF(SUM($G$38040:$K$38040)=0,"n/a (beyond horizon)",IF(SUMPRODUCT($G$38040:$K$38040,$G$38037:$K$38037)&gt;0,"REFINANCING PASS","REFINANCING FAILURE"))</f>
        <v>REFINANCING FAILURE</v>
      </c>
    </row>
    <row r="38175" customFormat="false" ht="15" hidden="false" customHeight="false" outlineLevel="0" collapsed="false">
      <c r="A38175" s="3" t="s">
        <v>356</v>
      </c>
      <c r="C38175" s="3" t="str">
        <f aca="false">IF(SUM($G$38040:$K$38040)=0,"n/a",IF(C38173&gt;=C38172-0.001,"Repaid from cash",IF(SUMPRODUCT($G$38040:$K$38040,$G$38037:$K$38037)&gt;0,IF(C38173&gt;0,"Partly repaid; remainder refinanced","Refinanced"),IF(SUM($G$38049:$K$38049)&gt;0.001,IF(C38173&gt;0,"Partial repayment; PAYMENT DEFAULT","PAYMENT DEFAULT"),"Repaid from cash"))))</f>
        <v>PAYMENT DEFAULT</v>
      </c>
    </row>
    <row r="38176" customFormat="false" ht="15" hidden="false" customHeight="false" outlineLevel="0" collapsed="false">
      <c r="A38176" s="3" t="s">
        <v>357</v>
      </c>
      <c r="C38176" s="16" t="n">
        <f aca="false">SUMPRODUCT($G$38053:$K$38053,$G$38052:$K$38052-$G$38058:$K$38058+$G$38057:$K$38057)</f>
        <v>0</v>
      </c>
    </row>
    <row r="38177" customFormat="false" ht="15" hidden="false" customHeight="false" outlineLevel="0" collapsed="false">
      <c r="A38177" s="3" t="s">
        <v>358</v>
      </c>
      <c r="C38177" s="16" t="n">
        <f aca="false">SUMPRODUCT($G$38053:$K$38053,$G$38060:$K$38060)</f>
        <v>0</v>
      </c>
    </row>
    <row r="38178" customFormat="false" ht="15" hidden="false" customHeight="false" outlineLevel="0" collapsed="false">
      <c r="A38178" s="3" t="s">
        <v>359</v>
      </c>
      <c r="C38178" s="3" t="str">
        <f aca="false">IF(SUM($G$38053:$K$38053)=0,"n/a (beyond horizon)",IF(SUMPRODUCT($G$38053:$K$38053,$G$38037:$K$38037)&gt;0,"REFINANCING PASS","REFINANCING FAILURE"))</f>
        <v>n/a (beyond horizon)</v>
      </c>
    </row>
    <row r="38179" customFormat="false" ht="15" hidden="false" customHeight="false" outlineLevel="0" collapsed="false">
      <c r="A38179" s="3" t="s">
        <v>360</v>
      </c>
      <c r="C38179" s="3" t="str">
        <f aca="false">IF(SUM($G$38053:$K$38053)=0,"n/a",IF(C38177&gt;=C38176-0.001,"Repaid from cash",IF(SUMPRODUCT($G$38053:$K$38053,$G$38037:$K$38037)&gt;0,IF(C38177&gt;0,"Partly repaid; remainder refinanced","Refinanced"),IF(SUM($G$38062:$K$38062)&gt;0.001,IF(C38177&gt;0,"Partial repayment; PAYMENT DEFAULT","PAYMENT DEFAULT"),"Repaid from cash"))))</f>
        <v>n/a</v>
      </c>
    </row>
    <row r="38180" customFormat="false" ht="15" hidden="false" customHeight="false" outlineLevel="0" collapsed="false">
      <c r="A38180" s="3" t="s">
        <v>361</v>
      </c>
      <c r="C38180" s="16" t="n">
        <f aca="false">SUMPRODUCT($G$38066:$K$38066,$G$38065:$K$38065-$G$38071:$K$38071+$G$38070:$K$38070)</f>
        <v>0</v>
      </c>
    </row>
    <row r="38181" customFormat="false" ht="15" hidden="false" customHeight="false" outlineLevel="0" collapsed="false">
      <c r="A38181" s="3" t="s">
        <v>362</v>
      </c>
      <c r="C38181" s="16" t="n">
        <f aca="false">SUMPRODUCT($G$38066:$K$38066,$G$38073:$K$38073)</f>
        <v>0</v>
      </c>
    </row>
    <row r="38182" customFormat="false" ht="15" hidden="false" customHeight="false" outlineLevel="0" collapsed="false">
      <c r="A38182" s="3" t="s">
        <v>363</v>
      </c>
      <c r="C38182" s="3" t="str">
        <f aca="false">IF(SUM($G$38066:$K$38066)=0,"n/a (beyond horizon)",IF(SUMPRODUCT($G$38066:$K$38066,$G$38037:$K$38037)&gt;0,"REFINANCING PASS","REFINANCING FAILURE"))</f>
        <v>n/a (beyond horizon)</v>
      </c>
    </row>
    <row r="38183" customFormat="false" ht="15" hidden="false" customHeight="false" outlineLevel="0" collapsed="false">
      <c r="A38183" s="3" t="s">
        <v>364</v>
      </c>
      <c r="C38183" s="3" t="str">
        <f aca="false">IF(SUM($G$38066:$K$38066)=0,"n/a",IF(C38181&gt;=C38180-0.001,"Repaid from cash",IF(SUMPRODUCT($G$38066:$K$38066,$G$38037:$K$38037)&gt;0,IF(C38181&gt;0,"Partly repaid; remainder refinanced","Refinanced"),IF(SUM($G$38075:$K$38075)&gt;0.001,IF(C38181&gt;0,"Partial repayment; PAYMENT DEFAULT","PAYMENT DEFAULT"),"Repaid from cash"))))</f>
        <v>n/a</v>
      </c>
    </row>
    <row r="38184" customFormat="false" ht="15" hidden="false" customHeight="false" outlineLevel="0" collapsed="false">
      <c r="A38184" s="3" t="s">
        <v>365</v>
      </c>
      <c r="C38184" s="16" t="n">
        <f aca="false">SUMPRODUCT($G$38079:$K$38079,$G$38078:$K$38078-$G$38084:$K$38084+$G$38083:$K$38083)</f>
        <v>0</v>
      </c>
    </row>
    <row r="38185" customFormat="false" ht="15" hidden="false" customHeight="false" outlineLevel="0" collapsed="false">
      <c r="A38185" s="3" t="s">
        <v>366</v>
      </c>
      <c r="C38185" s="16" t="n">
        <f aca="false">SUMPRODUCT($G$38079:$K$38079,$G$38086:$K$38086)</f>
        <v>0</v>
      </c>
    </row>
    <row r="38186" customFormat="false" ht="15" hidden="false" customHeight="false" outlineLevel="0" collapsed="false">
      <c r="A38186" s="3" t="s">
        <v>367</v>
      </c>
      <c r="C38186" s="3" t="str">
        <f aca="false">IF(SUM($G$38079:$K$38079)=0,"n/a (beyond horizon)",IF(SUMPRODUCT($G$38079:$K$38079,$G$38037:$K$38037)&gt;0,"REFINANCING PASS","REFINANCING FAILURE"))</f>
        <v>REFINANCING FAILURE</v>
      </c>
    </row>
    <row r="38187" customFormat="false" ht="15" hidden="false" customHeight="false" outlineLevel="0" collapsed="false">
      <c r="A38187" s="3" t="s">
        <v>368</v>
      </c>
      <c r="C38187" s="3" t="str">
        <f aca="false">IF(SUM($G$38079:$K$38079)=0,"n/a",IF(C38185&gt;=C38184-0.001,"Repaid from cash",IF(SUMPRODUCT($G$38079:$K$38079,$G$38037:$K$38037)&gt;0,IF(C38185&gt;0,"Partly repaid; remainder refinanced","Refinanced"),IF(SUM($G$38088:$K$38088)&gt;0.001,IF(C38185&gt;0,"Partial repayment; PAYMENT DEFAULT","PAYMENT DEFAULT"),"Repaid from cash"))))</f>
        <v>Repaid from cash</v>
      </c>
    </row>
    <row r="38188" customFormat="false" ht="15" hidden="false" customHeight="false" outlineLevel="0" collapsed="false">
      <c r="A38188" s="3" t="s">
        <v>369</v>
      </c>
      <c r="C38188" s="16" t="n">
        <f aca="false">SUMPRODUCT($G$38092:$K$38092,$G$38091:$K$38091-$G$38097:$K$38097+$G$38096:$K$38096)</f>
        <v>450</v>
      </c>
    </row>
    <row r="38189" customFormat="false" ht="15" hidden="false" customHeight="false" outlineLevel="0" collapsed="false">
      <c r="A38189" s="3" t="s">
        <v>370</v>
      </c>
      <c r="C38189" s="16" t="n">
        <f aca="false">SUMPRODUCT($G$38092:$K$38092,$G$38099:$K$38099)</f>
        <v>15.0452413</v>
      </c>
    </row>
    <row r="38190" customFormat="false" ht="15" hidden="false" customHeight="false" outlineLevel="0" collapsed="false">
      <c r="A38190" s="3" t="s">
        <v>371</v>
      </c>
      <c r="C38190" s="3" t="str">
        <f aca="false">IF(SUM($G$38092:$K$38092)=0,"n/a (beyond horizon)",IF(SUMPRODUCT($G$38092:$K$38092,$G$38037:$K$38037)&gt;0,"REFINANCING PASS","REFINANCING FAILURE"))</f>
        <v>REFINANCING FAILURE</v>
      </c>
    </row>
    <row r="38191" customFormat="false" ht="15" hidden="false" customHeight="false" outlineLevel="0" collapsed="false">
      <c r="A38191" s="3" t="s">
        <v>372</v>
      </c>
      <c r="C38191" s="3" t="str">
        <f aca="false">IF(SUM($G$38092:$K$38092)=0,"n/a",IF(C38189&gt;=C38188-0.001,"Repaid from cash",IF(SUMPRODUCT($G$38092:$K$38092,$G$38037:$K$38037)&gt;0,IF(C38189&gt;0,"Partly repaid; remainder refinanced","Refinanced"),IF(SUM($G$38101:$K$38101)&gt;0.001,IF(C38189&gt;0,"Partial repayment; PAYMENT DEFAULT","PAYMENT DEFAULT"),"Repaid from cash"))))</f>
        <v>Partial repayment; PAYMENT DEFAULT</v>
      </c>
    </row>
    <row r="38192" customFormat="false" ht="15" hidden="false" customHeight="false" outlineLevel="0" collapsed="false">
      <c r="A38192" s="3" t="s">
        <v>373</v>
      </c>
      <c r="C38192" s="16" t="n">
        <f aca="false">SUMPRODUCT($G$38105:$K$38105,$G$38104:$K$38104-$G$38110:$K$38110+$G$38109:$K$38109)</f>
        <v>350</v>
      </c>
    </row>
    <row r="38193" customFormat="false" ht="15" hidden="false" customHeight="false" outlineLevel="0" collapsed="false">
      <c r="A38193" s="3" t="s">
        <v>374</v>
      </c>
      <c r="C38193" s="16" t="n">
        <f aca="false">SUMPRODUCT($G$38105:$K$38105,$G$38112:$K$38112)</f>
        <v>0</v>
      </c>
    </row>
    <row r="38194" customFormat="false" ht="15" hidden="false" customHeight="false" outlineLevel="0" collapsed="false">
      <c r="A38194" s="3" t="s">
        <v>375</v>
      </c>
      <c r="C38194" s="3" t="str">
        <f aca="false">IF(SUM($G$38105:$K$38105)=0,"n/a (beyond horizon)",IF(SUMPRODUCT($G$38105:$K$38105,$G$38037:$K$38037)&gt;0,"REFINANCING PASS","REFINANCING FAILURE"))</f>
        <v>REFINANCING FAILURE</v>
      </c>
    </row>
    <row r="38195" customFormat="false" ht="15" hidden="false" customHeight="false" outlineLevel="0" collapsed="false">
      <c r="A38195" s="3" t="s">
        <v>376</v>
      </c>
      <c r="C38195" s="3" t="str">
        <f aca="false">IF(SUM($G$38105:$K$38105)=0,"n/a",IF(C38193&gt;=C38192-0.001,"Repaid from cash",IF(SUMPRODUCT($G$38105:$K$38105,$G$38037:$K$38037)&gt;0,IF(C38193&gt;0,"Partly repaid; remainder refinanced","Refinanced"),IF(SUM($G$38114:$K$38114)&gt;0.001,IF(C38193&gt;0,"Partial repayment; PAYMENT DEFAULT","PAYMENT DEFAULT"),"Repaid from cash"))))</f>
        <v>PAYMENT DEFAULT</v>
      </c>
    </row>
    <row r="38196" customFormat="false" ht="15" hidden="false" customHeight="false" outlineLevel="0" collapsed="false">
      <c r="A38196" s="3" t="s">
        <v>377</v>
      </c>
      <c r="C38196" s="16" t="n">
        <f aca="false">SUMPRODUCT($G$38118:$K$38118,$G$38117:$K$38117-$G$38123:$K$38123+$G$38122:$K$38122)</f>
        <v>550</v>
      </c>
    </row>
    <row r="38197" customFormat="false" ht="15" hidden="false" customHeight="false" outlineLevel="0" collapsed="false">
      <c r="A38197" s="3" t="s">
        <v>378</v>
      </c>
      <c r="C38197" s="16" t="n">
        <f aca="false">SUMPRODUCT($G$38118:$K$38118,$G$38125:$K$38125)</f>
        <v>0</v>
      </c>
    </row>
    <row r="38198" customFormat="false" ht="15" hidden="false" customHeight="false" outlineLevel="0" collapsed="false">
      <c r="A38198" s="3" t="s">
        <v>379</v>
      </c>
      <c r="C38198" s="3" t="str">
        <f aca="false">IF(SUM($G$38118:$K$38118)=0,"n/a (beyond horizon)",IF(SUMPRODUCT($G$38118:$K$38118,$G$38037:$K$38037)&gt;0,"REFINANCING PASS","REFINANCING FAILURE"))</f>
        <v>REFINANCING FAILURE</v>
      </c>
    </row>
    <row r="38199" customFormat="false" ht="15" hidden="false" customHeight="false" outlineLevel="0" collapsed="false">
      <c r="A38199" s="3" t="s">
        <v>380</v>
      </c>
      <c r="C38199" s="3" t="str">
        <f aca="false">IF(SUM($G$38118:$K$38118)=0,"n/a",IF(C38197&gt;=C38196-0.001,"Repaid from cash",IF(SUMPRODUCT($G$38118:$K$38118,$G$38037:$K$38037)&gt;0,IF(C38197&gt;0,"Partly repaid; remainder refinanced","Refinanced"),IF(SUM($G$38127:$K$38127)&gt;0.001,IF(C38197&gt;0,"Partial repayment; PAYMENT DEFAULT","PAYMENT DEFAULT"),"Repaid from cash"))))</f>
        <v>PAYMENT DEFAULT</v>
      </c>
    </row>
    <row r="38200" customFormat="false" ht="15" hidden="false" customHeight="false" outlineLevel="0" collapsed="false">
      <c r="A38200" s="3" t="s">
        <v>381</v>
      </c>
      <c r="C38200" s="16" t="n">
        <f aca="false">SUMPRODUCT($G$38131:$K$38131,$G$38130:$K$38130-$G$38136:$K$38136+$G$38135:$K$38135)</f>
        <v>350</v>
      </c>
    </row>
    <row r="38201" customFormat="false" ht="15" hidden="false" customHeight="false" outlineLevel="0" collapsed="false">
      <c r="A38201" s="3" t="s">
        <v>382</v>
      </c>
      <c r="C38201" s="16" t="n">
        <f aca="false">SUMPRODUCT($G$38131:$K$38131,$G$38138:$K$38138)</f>
        <v>0</v>
      </c>
    </row>
    <row r="38202" customFormat="false" ht="15" hidden="false" customHeight="false" outlineLevel="0" collapsed="false">
      <c r="A38202" s="3" t="s">
        <v>383</v>
      </c>
      <c r="C38202" s="3" t="str">
        <f aca="false">IF(SUM($G$38131:$K$38131)=0,"n/a (beyond horizon)",IF(SUMPRODUCT($G$38131:$K$38131,$G$38037:$K$38037)&gt;0,"REFINANCING PASS","REFINANCING FAILURE"))</f>
        <v>REFINANCING FAILURE</v>
      </c>
    </row>
    <row r="38203" customFormat="false" ht="15" hidden="false" customHeight="false" outlineLevel="0" collapsed="false">
      <c r="A38203" s="3" t="s">
        <v>384</v>
      </c>
      <c r="C38203" s="3" t="str">
        <f aca="false">IF(SUM($G$38131:$K$38131)=0,"n/a",IF(C38201&gt;=C38200-0.001,"Repaid from cash",IF(SUMPRODUCT($G$38131:$K$38131,$G$38037:$K$38037)&gt;0,IF(C38201&gt;0,"Partly repaid; remainder refinanced","Refinanced"),IF(SUM($G$38140:$K$38140)&gt;0.001,IF(C38201&gt;0,"Partial repayment; PAYMENT DEFAULT","PAYMENT DEFAULT"),"Repaid from cash"))))</f>
        <v>PAYMENT DEFAULT</v>
      </c>
    </row>
    <row r="38204" customFormat="false" ht="15" hidden="false" customHeight="false" outlineLevel="0" collapsed="false">
      <c r="A38204" s="3" t="s">
        <v>385</v>
      </c>
      <c r="C38204" s="16" t="n">
        <f aca="false">SUMPRODUCT($G$38144:$K$38144,$G$38143:$K$38143-$G$38149:$K$38149+$G$38148:$K$38148)</f>
        <v>300</v>
      </c>
    </row>
    <row r="38205" customFormat="false" ht="15" hidden="false" customHeight="false" outlineLevel="0" collapsed="false">
      <c r="A38205" s="3" t="s">
        <v>386</v>
      </c>
      <c r="C38205" s="16" t="n">
        <f aca="false">SUMPRODUCT($G$38144:$K$38144,$G$38151:$K$38151)</f>
        <v>0</v>
      </c>
    </row>
    <row r="38206" customFormat="false" ht="15" hidden="false" customHeight="false" outlineLevel="0" collapsed="false">
      <c r="A38206" s="3" t="s">
        <v>387</v>
      </c>
      <c r="C38206" s="3" t="str">
        <f aca="false">IF(SUM($G$38144:$K$38144)=0,"n/a (beyond horizon)",IF(SUMPRODUCT($G$38144:$K$38144,$G$38037:$K$38037)&gt;0,"REFINANCING PASS","REFINANCING FAILURE"))</f>
        <v>REFINANCING FAILURE</v>
      </c>
    </row>
    <row r="38207" customFormat="false" ht="15" hidden="false" customHeight="false" outlineLevel="0" collapsed="false">
      <c r="A38207" s="3" t="s">
        <v>388</v>
      </c>
      <c r="C38207" s="3" t="str">
        <f aca="false">IF(SUM($G$38144:$K$38144)=0,"n/a",IF(C38205&gt;=C38204-0.001,"Repaid from cash",IF(SUMPRODUCT($G$38144:$K$38144,$G$38037:$K$38037)&gt;0,IF(C38205&gt;0,"Partly repaid; remainder refinanced","Refinanced"),IF(SUM($G$38153:$K$38153)&gt;0.001,IF(C38205&gt;0,"Partial repayment; PAYMENT DEFAULT","PAYMENT DEFAULT"),"Repaid from cash"))))</f>
        <v>PAYMENT DEFAULT</v>
      </c>
    </row>
    <row r="38208" customFormat="false" ht="15" hidden="false" customHeight="false" outlineLevel="0" collapsed="false">
      <c r="A38208" s="3" t="s">
        <v>389</v>
      </c>
      <c r="C38208" s="16" t="n">
        <f aca="false">SUMPRODUCT($G$38157:$K$38157,$G$38156:$K$38156-$G$38162:$K$38162+$G$38161:$K$38161)</f>
        <v>0</v>
      </c>
    </row>
    <row r="38209" customFormat="false" ht="15" hidden="false" customHeight="false" outlineLevel="0" collapsed="false">
      <c r="A38209" s="3" t="s">
        <v>390</v>
      </c>
      <c r="C38209" s="16" t="n">
        <f aca="false">SUMPRODUCT($G$38157:$K$38157,$G$38164:$K$38164)</f>
        <v>0</v>
      </c>
    </row>
    <row r="38210" customFormat="false" ht="15" hidden="false" customHeight="false" outlineLevel="0" collapsed="false">
      <c r="A38210" s="3" t="s">
        <v>391</v>
      </c>
      <c r="C38210" s="3" t="str">
        <f aca="false">IF(SUM($G$38157:$K$38157)=0,"n/a (beyond horizon)",IF(SUMPRODUCT($G$38157:$K$38157,$G$38037:$K$38037)&gt;0,"REFINANCING PASS","REFINANCING FAILURE"))</f>
        <v>n/a (beyond horizon)</v>
      </c>
    </row>
    <row r="38211" customFormat="false" ht="15" hidden="false" customHeight="false" outlineLevel="0" collapsed="false">
      <c r="A38211" s="3" t="s">
        <v>392</v>
      </c>
      <c r="C38211" s="3" t="str">
        <f aca="false">IF(SUM($G$38157:$K$38157)=0,"n/a",IF(C38209&gt;=C38208-0.001,"Repaid from cash",IF(SUMPRODUCT($G$38157:$K$38157,$G$38037:$K$38037)&gt;0,IF(C38209&gt;0,"Partly repaid; remainder refinanced","Refinanced"),IF(SUM($G$38166:$K$38166)&gt;0.001,IF(C38209&gt;0,"Partial repayment; PAYMENT DEFAULT","PAYMENT DEFAULT"),"Repaid from cash"))))</f>
        <v>n/a</v>
      </c>
    </row>
    <row r="38212" customFormat="false" ht="15" hidden="false" customHeight="false" outlineLevel="0" collapsed="false">
      <c r="A38212" s="3" t="s">
        <v>393</v>
      </c>
      <c r="C38212" s="21" t="n">
        <f aca="false">IF(C38174="REFINANCING FAILURE",1,0)+IF(C38178="REFINANCING FAILURE",1,0)+IF(C38182="REFINANCING FAILURE",1,0)+IF(C38186="REFINANCING FAILURE",1,0)+IF(C38190="REFINANCING FAILURE",1,0)+IF(C38194="REFINANCING FAILURE",1,0)+IF(C38198="REFINANCING FAILURE",1,0)+IF(C38202="REFINANCING FAILURE",1,0)+IF(C38206="REFINANCING FAILURE",1,0)+IF(C38210="REFINANCING FAILURE",1,0)</f>
        <v>7</v>
      </c>
    </row>
    <row r="38214" customFormat="false" ht="15" hidden="false" customHeight="false" outlineLevel="0" collapsed="false">
      <c r="A38214" s="24" t="s">
        <v>395</v>
      </c>
      <c r="B38214" s="25"/>
      <c r="C38214" s="25"/>
      <c r="D38214" s="25"/>
      <c r="E38214" s="25"/>
      <c r="F38214" s="25"/>
      <c r="G38214" s="25"/>
      <c r="H38214" s="25"/>
      <c r="I38214" s="25"/>
      <c r="J38214" s="25"/>
      <c r="K38214" s="25"/>
    </row>
    <row r="38215" customFormat="false" ht="15" hidden="false" customHeight="false" outlineLevel="0" collapsed="false">
      <c r="A38215" s="3" t="s">
        <v>325</v>
      </c>
      <c r="G38215" s="16" t="n">
        <f aca="false">F38227</f>
        <v>37.87</v>
      </c>
      <c r="H38215" s="16" t="n">
        <f aca="false">G38227</f>
        <v>87.2944416</v>
      </c>
      <c r="I38215" s="16" t="n">
        <f aca="false">H38227</f>
        <v>0</v>
      </c>
      <c r="J38215" s="16" t="n">
        <f aca="false">I38227</f>
        <v>-75.7748017716</v>
      </c>
      <c r="K38215" s="16" t="n">
        <f aca="false">J38227</f>
        <v>-149.05681614325</v>
      </c>
    </row>
    <row r="38216" customFormat="false" ht="15" hidden="false" customHeight="false" outlineLevel="0" collapsed="false">
      <c r="A38216" s="3" t="s">
        <v>396</v>
      </c>
      <c r="G38216" s="16" t="n">
        <f aca="false">G38026</f>
        <v>-46.5755584</v>
      </c>
      <c r="H38216" s="16" t="n">
        <f aca="false">H38026</f>
        <v>-68.2492003</v>
      </c>
      <c r="I38216" s="16" t="n">
        <f aca="false">I38026</f>
        <v>-71.7748017716</v>
      </c>
      <c r="J38216" s="16" t="n">
        <f aca="false">J38026</f>
        <v>-69.28201437165</v>
      </c>
      <c r="K38216" s="16" t="n">
        <f aca="false">K38026</f>
        <v>-63.512311383781</v>
      </c>
    </row>
    <row r="38217" customFormat="false" ht="15" hidden="false" customHeight="false" outlineLevel="0" collapsed="false">
      <c r="A38217" s="3" t="s">
        <v>397</v>
      </c>
      <c r="G38217" s="16" t="n">
        <f aca="false">CHOOSE($C$37996,Assumptions!$G$82,Assumptions!$G$101,Assumptions!$G$120)</f>
        <v>100</v>
      </c>
      <c r="H38217" s="16" t="n">
        <f aca="false">CHOOSE($C$37996,Assumptions!$H$82,Assumptions!$H$101,Assumptions!$H$120)</f>
        <v>0</v>
      </c>
      <c r="I38217" s="16" t="n">
        <f aca="false">CHOOSE($C$37996,Assumptions!$I$82,Assumptions!$I$101,Assumptions!$I$120)</f>
        <v>0</v>
      </c>
      <c r="J38217" s="16" t="n">
        <f aca="false">CHOOSE($C$37996,Assumptions!$J$82,Assumptions!$J$101,Assumptions!$J$120)</f>
        <v>0</v>
      </c>
      <c r="K38217" s="16" t="n">
        <f aca="false">CHOOSE($C$37996,Assumptions!$K$82,Assumptions!$K$101,Assumptions!$K$120)</f>
        <v>0</v>
      </c>
    </row>
    <row r="38218" customFormat="false" ht="15" hidden="false" customHeight="false" outlineLevel="0" collapsed="false">
      <c r="A38218" s="3" t="s">
        <v>398</v>
      </c>
      <c r="G38218" s="16" t="n">
        <f aca="false">G38045+G38058+G38071+G38084+G38097+G38110+G38123+G38136+G38149+G38162</f>
        <v>4</v>
      </c>
      <c r="H38218" s="16" t="n">
        <f aca="false">H38045+H38058+H38071+H38084+H38097+H38110+H38123+H38136+H38149+H38162</f>
        <v>4</v>
      </c>
      <c r="I38218" s="16" t="n">
        <f aca="false">I38045+I38058+I38071+I38084+I38097+I38110+I38123+I38136+I38149+I38162</f>
        <v>4</v>
      </c>
      <c r="J38218" s="16" t="n">
        <f aca="false">J38045+J38058+J38071+J38084+J38097+J38110+J38123+J38136+J38149+J38162</f>
        <v>4</v>
      </c>
      <c r="K38218" s="16" t="n">
        <f aca="false">K38045+K38058+K38071+K38084+K38097+K38110+K38123+K38136+K38149+K38162</f>
        <v>4</v>
      </c>
    </row>
    <row r="38219" customFormat="false" ht="15" hidden="false" customHeight="false" outlineLevel="0" collapsed="false">
      <c r="A38219" s="2" t="s">
        <v>399</v>
      </c>
      <c r="G38219" s="17" t="n">
        <f aca="false">G38215+G38216+G38217-G38218</f>
        <v>87.2944416</v>
      </c>
      <c r="H38219" s="17" t="n">
        <f aca="false">H38215+H38216+H38217-H38218</f>
        <v>15.0452413</v>
      </c>
      <c r="I38219" s="17" t="n">
        <f aca="false">I38215+I38216+I38217-I38218</f>
        <v>-75.7748017716</v>
      </c>
      <c r="J38219" s="17" t="n">
        <f aca="false">J38215+J38216+J38217-J38218</f>
        <v>-149.05681614325</v>
      </c>
      <c r="K38219" s="17" t="n">
        <f aca="false">K38215+K38216+K38217-K38218</f>
        <v>-216.569127527031</v>
      </c>
    </row>
    <row r="38220" customFormat="false" ht="15" hidden="false" customHeight="false" outlineLevel="0" collapsed="false">
      <c r="A38220" s="3" t="s">
        <v>400</v>
      </c>
      <c r="G38220" s="16" t="n">
        <f aca="false">G38046+G38059+G38072+G38085+G38098+G38111+G38124+G38137+G38150+G38163</f>
        <v>0</v>
      </c>
      <c r="H38220" s="16" t="n">
        <f aca="false">H38046+H38059+H38072+H38085+H38098+H38111+H38124+H38137+H38150+H38163</f>
        <v>0</v>
      </c>
      <c r="I38220" s="16" t="n">
        <f aca="false">I38046+I38059+I38072+I38085+I38098+I38111+I38124+I38137+I38150+I38163</f>
        <v>0</v>
      </c>
      <c r="J38220" s="16" t="n">
        <f aca="false">J38046+J38059+J38072+J38085+J38098+J38111+J38124+J38137+J38150+J38163</f>
        <v>0</v>
      </c>
      <c r="K38220" s="16" t="n">
        <f aca="false">K38046+K38059+K38072+K38085+K38098+K38111+K38124+K38137+K38150+K38163</f>
        <v>0</v>
      </c>
    </row>
    <row r="38221" customFormat="false" ht="15" hidden="false" customHeight="false" outlineLevel="0" collapsed="false">
      <c r="A38221" s="2" t="s">
        <v>401</v>
      </c>
      <c r="G38221" s="17" t="n">
        <f aca="false">G38219+G38220</f>
        <v>87.2944416</v>
      </c>
      <c r="H38221" s="17" t="n">
        <f aca="false">H38219+H38220</f>
        <v>15.0452413</v>
      </c>
      <c r="I38221" s="17" t="n">
        <f aca="false">I38219+I38220</f>
        <v>-75.7748017716</v>
      </c>
      <c r="J38221" s="17" t="n">
        <f aca="false">J38219+J38220</f>
        <v>-149.05681614325</v>
      </c>
      <c r="K38221" s="17" t="n">
        <f aca="false">K38219+K38220</f>
        <v>-216.569127527031</v>
      </c>
    </row>
    <row r="38222" customFormat="false" ht="15" hidden="false" customHeight="false" outlineLevel="0" collapsed="false">
      <c r="A38222" s="3" t="s">
        <v>402</v>
      </c>
      <c r="G38222" s="16" t="n">
        <f aca="false">G38047+G38060+G38073+G38086+G38099+G38112+G38125+G38138+G38151+G38164</f>
        <v>0</v>
      </c>
      <c r="H38222" s="16" t="n">
        <f aca="false">H38047+H38060+H38073+H38086+H38099+H38112+H38125+H38138+H38151+H38164</f>
        <v>15.0452413</v>
      </c>
      <c r="I38222" s="16" t="n">
        <f aca="false">I38047+I38060+I38073+I38086+I38099+I38112+I38125+I38138+I38151+I38164</f>
        <v>0</v>
      </c>
      <c r="J38222" s="16" t="n">
        <f aca="false">J38047+J38060+J38073+J38086+J38099+J38112+J38125+J38138+J38151+J38164</f>
        <v>0</v>
      </c>
      <c r="K38222" s="16" t="n">
        <f aca="false">K38047+K38060+K38073+K38086+K38099+K38112+K38125+K38138+K38151+K38164</f>
        <v>0</v>
      </c>
    </row>
    <row r="38223" customFormat="false" ht="15" hidden="false" customHeight="false" outlineLevel="0" collapsed="false">
      <c r="A38223" s="2" t="s">
        <v>403</v>
      </c>
      <c r="G38223" s="17" t="n">
        <f aca="false">G38221-G38222</f>
        <v>87.2944416</v>
      </c>
      <c r="H38223" s="17" t="n">
        <f aca="false">H38221-H38222</f>
        <v>0</v>
      </c>
      <c r="I38223" s="17" t="n">
        <f aca="false">I38221-I38222</f>
        <v>-75.7748017716</v>
      </c>
      <c r="J38223" s="17" t="n">
        <f aca="false">J38221-J38222</f>
        <v>-149.05681614325</v>
      </c>
      <c r="K38223" s="17" t="n">
        <f aca="false">K38221-K38222</f>
        <v>-216.569127527031</v>
      </c>
    </row>
    <row r="38224" customFormat="false" ht="15" hidden="false" customHeight="false" outlineLevel="0" collapsed="false">
      <c r="A38224" s="3" t="s">
        <v>404</v>
      </c>
      <c r="G38224" s="16" t="n">
        <f aca="false">MAX(0,-G38223)</f>
        <v>0</v>
      </c>
      <c r="H38224" s="16" t="n">
        <f aca="false">MAX(0,-H38223)</f>
        <v>-0</v>
      </c>
      <c r="I38224" s="16" t="n">
        <f aca="false">MAX(0,-I38223)</f>
        <v>75.7748017716</v>
      </c>
      <c r="J38224" s="16" t="n">
        <f aca="false">MAX(0,-J38223)</f>
        <v>149.05681614325</v>
      </c>
      <c r="K38224" s="16" t="n">
        <f aca="false">MAX(0,-K38223)</f>
        <v>216.569127527031</v>
      </c>
    </row>
    <row r="38225" customFormat="false" ht="15" hidden="false" customHeight="false" outlineLevel="0" collapsed="false">
      <c r="A38225" s="3" t="s">
        <v>405</v>
      </c>
      <c r="G38225" s="16" t="n">
        <f aca="false">MAX(0,G38223-Assumptions!$C$12)*Assumptions!$C$13</f>
        <v>0</v>
      </c>
      <c r="H38225" s="16" t="n">
        <f aca="false">MAX(0,H38223-Assumptions!$C$12)*Assumptions!$C$13</f>
        <v>0</v>
      </c>
      <c r="I38225" s="16" t="n">
        <f aca="false">MAX(0,I38223-Assumptions!$C$12)*Assumptions!$C$13</f>
        <v>0</v>
      </c>
      <c r="J38225" s="16" t="n">
        <f aca="false">MAX(0,J38223-Assumptions!$C$12)*Assumptions!$C$13</f>
        <v>0</v>
      </c>
      <c r="K38225" s="16" t="n">
        <f aca="false">MAX(0,K38223-Assumptions!$C$12)*Assumptions!$C$13</f>
        <v>0</v>
      </c>
    </row>
    <row r="38226" customFormat="false" ht="15" hidden="false" customHeight="false" outlineLevel="0" collapsed="false">
      <c r="A38226" s="3" t="s">
        <v>406</v>
      </c>
      <c r="G38226" s="16" t="n">
        <f aca="false">G38048+G38061+G38074+G38087+G38100+G38113+G38126+G38139+G38152+G38165</f>
        <v>0</v>
      </c>
      <c r="H38226" s="16" t="n">
        <f aca="false">H38048+H38061+H38074+H38087+H38100+H38113+H38126+H38139+H38152+H38165</f>
        <v>0</v>
      </c>
      <c r="I38226" s="16" t="n">
        <f aca="false">I38048+I38061+I38074+I38087+I38100+I38113+I38126+I38139+I38152+I38165</f>
        <v>0</v>
      </c>
      <c r="J38226" s="16" t="n">
        <f aca="false">J38048+J38061+J38074+J38087+J38100+J38113+J38126+J38139+J38152+J38165</f>
        <v>0</v>
      </c>
      <c r="K38226" s="16" t="n">
        <f aca="false">K38048+K38061+K38074+K38087+K38100+K38113+K38126+K38139+K38152+K38165</f>
        <v>0</v>
      </c>
    </row>
    <row r="38227" customFormat="false" ht="15" hidden="false" customHeight="false" outlineLevel="0" collapsed="false">
      <c r="A38227" s="2" t="s">
        <v>407</v>
      </c>
      <c r="F38227" s="28" t="n">
        <f aca="false">Assumptions!$C$11</f>
        <v>37.87</v>
      </c>
      <c r="G38227" s="17" t="n">
        <f aca="false">G38223-G38226</f>
        <v>87.2944416</v>
      </c>
      <c r="H38227" s="17" t="n">
        <f aca="false">H38223-H38226</f>
        <v>0</v>
      </c>
      <c r="I38227" s="17" t="n">
        <f aca="false">I38223-I38226</f>
        <v>-75.7748017716</v>
      </c>
      <c r="J38227" s="17" t="n">
        <f aca="false">J38223-J38226</f>
        <v>-149.05681614325</v>
      </c>
      <c r="K38227" s="17" t="n">
        <f aca="false">K38223-K38226</f>
        <v>-216.569127527031</v>
      </c>
    </row>
    <row r="38228" customFormat="false" ht="15" hidden="false" customHeight="false" outlineLevel="0" collapsed="false">
      <c r="A38228" s="3" t="s">
        <v>408</v>
      </c>
      <c r="G38228" s="16" t="n">
        <f aca="false">G38049+G38062+G38075+G38088+G38101+G38114+G38127+G38140+G38153+G38166</f>
        <v>0</v>
      </c>
      <c r="H38228" s="16" t="n">
        <f aca="false">H38049+H38062+H38075+H38088+H38101+H38114+H38127+H38140+H38153+H38166</f>
        <v>784.9547587</v>
      </c>
      <c r="I38228" s="16" t="n">
        <f aca="false">I38049+I38062+I38075+I38088+I38101+I38114+I38127+I38140+I38153+I38166</f>
        <v>550</v>
      </c>
      <c r="J38228" s="16" t="n">
        <f aca="false">J38049+J38062+J38075+J38088+J38101+J38114+J38127+J38140+J38153+J38166</f>
        <v>350</v>
      </c>
      <c r="K38228" s="16" t="n">
        <f aca="false">K38049+K38062+K38075+K38088+K38101+K38114+K38127+K38140+K38153+K38166</f>
        <v>680</v>
      </c>
    </row>
    <row r="38229" customFormat="false" ht="15" hidden="false" customHeight="false" outlineLevel="0" collapsed="false">
      <c r="A38229" s="3" t="s">
        <v>409</v>
      </c>
      <c r="G38229" s="21" t="n">
        <f aca="false">IF(OR(G38224&gt;0.001,G38228&gt;0.001),1,0)</f>
        <v>0</v>
      </c>
      <c r="H38229" s="21" t="n">
        <f aca="false">IF(OR(H38224&gt;0.001,H38228&gt;0.001),1,0)</f>
        <v>1</v>
      </c>
      <c r="I38229" s="21" t="n">
        <f aca="false">IF(OR(I38224&gt;0.001,I38228&gt;0.001),1,0)</f>
        <v>1</v>
      </c>
      <c r="J38229" s="21" t="n">
        <f aca="false">IF(OR(J38224&gt;0.001,J38228&gt;0.001),1,0)</f>
        <v>1</v>
      </c>
      <c r="K38229" s="21" t="n">
        <f aca="false">IF(OR(K38224&gt;0.001,K38228&gt;0.001),1,0)</f>
        <v>1</v>
      </c>
    </row>
    <row r="38230" customFormat="false" ht="15" hidden="false" customHeight="false" outlineLevel="0" collapsed="false">
      <c r="A38230" s="3" t="s">
        <v>410</v>
      </c>
      <c r="G38230" s="21" t="n">
        <f aca="false">IF(G38229=1,1,0)</f>
        <v>0</v>
      </c>
      <c r="H38230" s="21" t="n">
        <f aca="false">IF(AND(H38229=1,SUM($G$38229:G38229)=0),1,0)</f>
        <v>1</v>
      </c>
      <c r="I38230" s="21" t="n">
        <f aca="false">IF(AND(I38229=1,SUM($G$38229:H38229)=0),1,0)</f>
        <v>0</v>
      </c>
      <c r="J38230" s="21" t="n">
        <f aca="false">IF(AND(J38229=1,SUM($G$38229:I38229)=0),1,0)</f>
        <v>0</v>
      </c>
      <c r="K38230" s="21" t="n">
        <f aca="false">IF(AND(K38229=1,SUM($G$38229:J38229)=0),1,0)</f>
        <v>0</v>
      </c>
    </row>
    <row r="38231" customFormat="false" ht="15" hidden="false" customHeight="false" outlineLevel="0" collapsed="false">
      <c r="A38231" s="3" t="s">
        <v>411</v>
      </c>
      <c r="G38231" s="16" t="n">
        <f aca="false">(G38169-F38169)-(G38220+G38018-G38218-G38222-G38226)</f>
        <v>0</v>
      </c>
      <c r="H38231" s="16" t="n">
        <f aca="false">(H38169-G38169)-(H38220+H38018-H38218-H38222-H38226)</f>
        <v>-2.27373675443232E-013</v>
      </c>
      <c r="I38231" s="16" t="n">
        <f aca="false">(I38169-H38169)-(I38220+I38018-I38218-I38222-I38226)</f>
        <v>0</v>
      </c>
      <c r="J38231" s="16" t="n">
        <f aca="false">(J38169-I38169)-(J38220+J38018-J38218-J38222-J38226)</f>
        <v>0</v>
      </c>
      <c r="K38231" s="16" t="n">
        <f aca="false">(K38169-J38169)-(K38220+K38018-K38218-K38222-K38226)</f>
        <v>0</v>
      </c>
    </row>
    <row r="38233" customFormat="false" ht="15" hidden="false" customHeight="false" outlineLevel="0" collapsed="false">
      <c r="A38233" s="24" t="s">
        <v>413</v>
      </c>
      <c r="B38233" s="25"/>
      <c r="C38233" s="25"/>
      <c r="D38233" s="25"/>
      <c r="E38233" s="25"/>
      <c r="F38233" s="25"/>
      <c r="G38233" s="25"/>
      <c r="H38233" s="25"/>
      <c r="I38233" s="25"/>
      <c r="J38233" s="25"/>
      <c r="K38233" s="25"/>
    </row>
    <row r="38234" customFormat="false" ht="15" hidden="false" customHeight="false" outlineLevel="0" collapsed="false">
      <c r="A38234" s="3" t="s">
        <v>414</v>
      </c>
      <c r="G38234" s="16" t="n">
        <f aca="false">G38169</f>
        <v>2621.934</v>
      </c>
      <c r="H38234" s="16" t="n">
        <f aca="false">H38169</f>
        <v>2602.8887587</v>
      </c>
      <c r="I38234" s="16" t="n">
        <f aca="false">I38169</f>
        <v>2598.8887587</v>
      </c>
      <c r="J38234" s="16" t="n">
        <f aca="false">J38169</f>
        <v>2594.8887587</v>
      </c>
      <c r="K38234" s="16" t="n">
        <f aca="false">K38169</f>
        <v>2590.8887587</v>
      </c>
    </row>
    <row r="38235" customFormat="false" ht="15" hidden="false" customHeight="false" outlineLevel="0" collapsed="false">
      <c r="A38235" s="3" t="s">
        <v>415</v>
      </c>
      <c r="G38235" s="16" t="n">
        <f aca="false">Assumptions!$O$57*G38050+Assumptions!$O$58*G38063+Assumptions!$O$59*G38076+Assumptions!$O$60*G38089+Assumptions!$O$61*G38102+Assumptions!$O$62*G38115+Assumptions!$O$63*G38128+Assumptions!$O$64*G38141+Assumptions!$O$65*G38154+Assumptions!$O$66*G38167</f>
        <v>543.324</v>
      </c>
      <c r="H38235" s="16" t="n">
        <f aca="false">Assumptions!$O$57*H38050+Assumptions!$O$58*H38063+Assumptions!$O$59*H38076+Assumptions!$O$60*H38089+Assumptions!$O$61*H38102+Assumptions!$O$62*H38115+Assumptions!$O$63*H38128+Assumptions!$O$64*H38141+Assumptions!$O$65*H38154+Assumptions!$O$66*H38167</f>
        <v>539.324</v>
      </c>
      <c r="I38235" s="16" t="n">
        <f aca="false">Assumptions!$O$57*I38050+Assumptions!$O$58*I38063+Assumptions!$O$59*I38076+Assumptions!$O$60*I38089+Assumptions!$O$61*I38102+Assumptions!$O$62*I38115+Assumptions!$O$63*I38128+Assumptions!$O$64*I38141+Assumptions!$O$65*I38154+Assumptions!$O$66*I38167</f>
        <v>535.324</v>
      </c>
      <c r="J38235" s="16" t="n">
        <f aca="false">Assumptions!$O$57*J38050+Assumptions!$O$58*J38063+Assumptions!$O$59*J38076+Assumptions!$O$60*J38089+Assumptions!$O$61*J38102+Assumptions!$O$62*J38115+Assumptions!$O$63*J38128+Assumptions!$O$64*J38141+Assumptions!$O$65*J38154+Assumptions!$O$66*J38167</f>
        <v>531.324</v>
      </c>
      <c r="K38235" s="16" t="n">
        <f aca="false">Assumptions!$O$57*K38050+Assumptions!$O$58*K38063+Assumptions!$O$59*K38076+Assumptions!$O$60*K38089+Assumptions!$O$61*K38102+Assumptions!$O$62*K38115+Assumptions!$O$63*K38128+Assumptions!$O$64*K38141+Assumptions!$O$65*K38154+Assumptions!$O$66*K38167</f>
        <v>527.324</v>
      </c>
    </row>
    <row r="38236" customFormat="false" ht="15" hidden="false" customHeight="false" outlineLevel="0" collapsed="false">
      <c r="A38236" s="3" t="s">
        <v>416</v>
      </c>
      <c r="G38236" s="16" t="n">
        <f aca="false">G38234-G38227</f>
        <v>2534.6395584</v>
      </c>
      <c r="H38236" s="16" t="n">
        <f aca="false">H38234-H38227</f>
        <v>2602.8887587</v>
      </c>
      <c r="I38236" s="16" t="n">
        <f aca="false">I38234-I38227</f>
        <v>2674.6635604716</v>
      </c>
      <c r="J38236" s="16" t="n">
        <f aca="false">J38234-J38227</f>
        <v>2743.94557484325</v>
      </c>
      <c r="K38236" s="16" t="n">
        <f aca="false">K38234-K38227</f>
        <v>2807.45788622703</v>
      </c>
    </row>
    <row r="38237" customFormat="false" ht="15" hidden="false" customHeight="false" outlineLevel="0" collapsed="false">
      <c r="A38237" s="3" t="s">
        <v>417</v>
      </c>
      <c r="G38237" s="32" t="n">
        <f aca="false">IF(G38013&gt;0,G38234/G38013,0)</f>
        <v>12.7097898879239</v>
      </c>
      <c r="H38237" s="32" t="n">
        <f aca="false">IF(H38013&gt;0,H38234/H38013,0)</f>
        <v>14.5137170159321</v>
      </c>
      <c r="I38237" s="32" t="n">
        <f aca="false">IF(I38013&gt;0,I38234/I38013,0)</f>
        <v>15.1153610447715</v>
      </c>
      <c r="J38237" s="32" t="n">
        <f aca="false">IF(J38013&gt;0,J38234/J38013,0)</f>
        <v>14.9166072034602</v>
      </c>
      <c r="K38237" s="32" t="n">
        <f aca="false">IF(K38013&gt;0,K38234/K38013,0)</f>
        <v>14.4110120408369</v>
      </c>
    </row>
    <row r="38238" customFormat="false" ht="15" hidden="false" customHeight="false" outlineLevel="0" collapsed="false">
      <c r="A38238" s="3" t="s">
        <v>418</v>
      </c>
      <c r="G38238" s="32" t="n">
        <f aca="false">IF(G38013&gt;0,G38236/G38013,0)</f>
        <v>12.2866312534504</v>
      </c>
      <c r="H38238" s="32" t="n">
        <f aca="false">IF(H38013&gt;0,H38236/H38013,0)</f>
        <v>14.5137170159321</v>
      </c>
      <c r="I38238" s="32" t="n">
        <f aca="false">IF(I38013&gt;0,I38236/I38013,0)</f>
        <v>15.5560738236619</v>
      </c>
      <c r="J38238" s="32" t="n">
        <f aca="false">IF(J38013&gt;0,J38236/J38013,0)</f>
        <v>15.7734539449449</v>
      </c>
      <c r="K38238" s="32" t="n">
        <f aca="false">IF(K38013&gt;0,K38236/K38013,0)</f>
        <v>15.6156103833885</v>
      </c>
    </row>
    <row r="38239" customFormat="false" ht="15" hidden="false" customHeight="false" outlineLevel="0" collapsed="false">
      <c r="A38239" s="3" t="s">
        <v>419</v>
      </c>
      <c r="G38239" s="32" t="n">
        <f aca="false">IF(G38017&gt;0,G38013/G38017,0)</f>
        <v>1.06025908412371</v>
      </c>
      <c r="H38239" s="32" t="n">
        <f aca="false">IF(H38017&gt;0,H38013/H38017,0)</f>
        <v>0.927444011573365</v>
      </c>
      <c r="I38239" s="32" t="n">
        <f aca="false">IF(I38017&gt;0,I38013/I38017,0)</f>
        <v>0.899631625108658</v>
      </c>
      <c r="J38239" s="32" t="n">
        <f aca="false">IF(J38017&gt;0,J38013/J38017,0)</f>
        <v>0.912459444554051</v>
      </c>
      <c r="K38239" s="32" t="n">
        <f aca="false">IF(K38017&gt;0,K38013/K38017,0)</f>
        <v>0.945346751531936</v>
      </c>
    </row>
    <row r="38240" customFormat="false" ht="15" hidden="false" customHeight="false" outlineLevel="0" collapsed="false">
      <c r="A38240" s="3" t="s">
        <v>420</v>
      </c>
      <c r="G38240" s="32" t="n">
        <f aca="false">IF(G38017&gt;0,G38016/G38017,0)</f>
        <v>0.20316175818306</v>
      </c>
      <c r="H38240" s="32" t="n">
        <f aca="false">IF(H38017&gt;0,H38016/H38017,0)</f>
        <v>0.125405512651662</v>
      </c>
      <c r="I38240" s="32" t="n">
        <f aca="false">IF(I38017&gt;0,I38016/I38017,0)</f>
        <v>0.112492039835566</v>
      </c>
      <c r="J38240" s="32" t="n">
        <f aca="false">IF(J38017&gt;0,J38016/J38017,0)</f>
        <v>0.123379355508513</v>
      </c>
      <c r="K38240" s="32" t="n">
        <f aca="false">IF(K38017&gt;0,K38016/K38017,0)</f>
        <v>0.146406265534401</v>
      </c>
    </row>
    <row r="38241" customFormat="false" ht="15" hidden="false" customHeight="false" outlineLevel="0" collapsed="false">
      <c r="A38241" s="3" t="s">
        <v>213</v>
      </c>
      <c r="G38241" s="22" t="n">
        <f aca="false">IF(G38234&gt;0,G38026/G38234,0)</f>
        <v>-0.0177638180060978</v>
      </c>
      <c r="H38241" s="22" t="n">
        <f aca="false">IF(H38234&gt;0,H38026/H38234,0)</f>
        <v>-0.0262205597806979</v>
      </c>
      <c r="I38241" s="22" t="n">
        <f aca="false">IF(I38234&gt;0,I38026/I38234,0)</f>
        <v>-0.0276174967209842</v>
      </c>
      <c r="J38241" s="22" t="n">
        <f aca="false">IF(J38234&gt;0,J38026/J38234,0)</f>
        <v>-0.0266994159727908</v>
      </c>
      <c r="K38241" s="22" t="n">
        <f aca="false">IF(K38234&gt;0,K38026/K38234,0)</f>
        <v>-0.0245137160638455</v>
      </c>
    </row>
    <row r="38242" customFormat="false" ht="15" hidden="false" customHeight="false" outlineLevel="0" collapsed="false">
      <c r="A38242" s="3" t="s">
        <v>421</v>
      </c>
      <c r="G38242" s="32" t="n">
        <f aca="false">IF(G38017+G38218&gt;0,(G38013-G38024-G38021)/(G38017+G38218),0)</f>
        <v>0.745298526859104</v>
      </c>
      <c r="H38242" s="32" t="n">
        <f aca="false">IF(H38017+H38218&gt;0,(H38013-H38024-H38021)/(H38017+H38218),0)</f>
        <v>0.633940444194116</v>
      </c>
      <c r="I38242" s="32" t="n">
        <f aca="false">IF(I38017+I38218&gt;0,(I38013-I38024-I38021)/(I38017+I38218),0)</f>
        <v>0.611648781339491</v>
      </c>
      <c r="J38242" s="32" t="n">
        <f aca="false">IF(J38017+J38218&gt;0,(J38013-J38024-J38021)/(J38017+J38218),0)</f>
        <v>0.623517628652559</v>
      </c>
      <c r="K38242" s="32" t="n">
        <f aca="false">IF(K38017+K38218&gt;0,(K38013-K38024-K38021)/(K38017+K38218),0)</f>
        <v>0.652319655812009</v>
      </c>
    </row>
    <row r="38243" customFormat="false" ht="15" hidden="false" customHeight="false" outlineLevel="0" collapsed="false">
      <c r="A38243" s="3" t="s">
        <v>422</v>
      </c>
      <c r="G38243" s="16" t="n">
        <f aca="false">MAX(0,G38227)+Assumptions!$P$57*MAX(0,Assumptions!$D$57-G38050)+Assumptions!$P$58*MAX(0,Assumptions!$D$58-G38063)+Assumptions!$P$59*MAX(0,Assumptions!$D$59-G38076)+Assumptions!$P$60*MAX(0,Assumptions!$D$60-G38089)+Assumptions!$P$61*MAX(0,Assumptions!$D$61-G38102)+Assumptions!$P$62*MAX(0,Assumptions!$D$62-G38115)+Assumptions!$P$63*MAX(0,Assumptions!$D$63-G38128)+Assumptions!$P$64*MAX(0,Assumptions!$D$64-G38141)+Assumptions!$P$65*MAX(0,Assumptions!$D$65-G38154)+Assumptions!$P$66*MAX(0,Assumptions!$D$66-G38167)</f>
        <v>661.7944416</v>
      </c>
      <c r="H38243" s="16" t="n">
        <f aca="false">MAX(0,H38227)+Assumptions!$P$57*MAX(0,Assumptions!$D$57-H38050)+Assumptions!$P$58*MAX(0,Assumptions!$D$58-H38063)+Assumptions!$P$59*MAX(0,Assumptions!$D$59-H38076)+Assumptions!$P$60*MAX(0,Assumptions!$D$60-H38089)+Assumptions!$P$61*MAX(0,Assumptions!$D$61-H38102)+Assumptions!$P$62*MAX(0,Assumptions!$D$62-H38115)+Assumptions!$P$63*MAX(0,Assumptions!$D$63-H38128)+Assumptions!$P$64*MAX(0,Assumptions!$D$64-H38141)+Assumptions!$P$65*MAX(0,Assumptions!$D$65-H38154)+Assumptions!$P$66*MAX(0,Assumptions!$D$66-H38167)</f>
        <v>574.5</v>
      </c>
      <c r="I38243" s="16" t="n">
        <f aca="false">MAX(0,I38227)+Assumptions!$P$57*MAX(0,Assumptions!$D$57-I38050)+Assumptions!$P$58*MAX(0,Assumptions!$D$58-I38063)+Assumptions!$P$59*MAX(0,Assumptions!$D$59-I38076)+Assumptions!$P$60*MAX(0,Assumptions!$D$60-I38089)+Assumptions!$P$61*MAX(0,Assumptions!$D$61-I38102)+Assumptions!$P$62*MAX(0,Assumptions!$D$62-I38115)+Assumptions!$P$63*MAX(0,Assumptions!$D$63-I38128)+Assumptions!$P$64*MAX(0,Assumptions!$D$64-I38141)+Assumptions!$P$65*MAX(0,Assumptions!$D$65-I38154)+Assumptions!$P$66*MAX(0,Assumptions!$D$66-I38167)</f>
        <v>574.5</v>
      </c>
      <c r="J38243" s="16" t="n">
        <f aca="false">MAX(0,J38227)+Assumptions!$P$57*MAX(0,Assumptions!$D$57-J38050)+Assumptions!$P$58*MAX(0,Assumptions!$D$58-J38063)+Assumptions!$P$59*MAX(0,Assumptions!$D$59-J38076)+Assumptions!$P$60*MAX(0,Assumptions!$D$60-J38089)+Assumptions!$P$61*MAX(0,Assumptions!$D$61-J38102)+Assumptions!$P$62*MAX(0,Assumptions!$D$62-J38115)+Assumptions!$P$63*MAX(0,Assumptions!$D$63-J38128)+Assumptions!$P$64*MAX(0,Assumptions!$D$64-J38141)+Assumptions!$P$65*MAX(0,Assumptions!$D$65-J38154)+Assumptions!$P$66*MAX(0,Assumptions!$D$66-J38167)</f>
        <v>574.5</v>
      </c>
      <c r="K38243" s="16" t="n">
        <f aca="false">MAX(0,K38227)+Assumptions!$P$57*MAX(0,Assumptions!$D$57-K38050)+Assumptions!$P$58*MAX(0,Assumptions!$D$58-K38063)+Assumptions!$P$59*MAX(0,Assumptions!$D$59-K38076)+Assumptions!$P$60*MAX(0,Assumptions!$D$60-K38089)+Assumptions!$P$61*MAX(0,Assumptions!$D$61-K38102)+Assumptions!$P$62*MAX(0,Assumptions!$D$62-K38115)+Assumptions!$P$63*MAX(0,Assumptions!$D$63-K38128)+Assumptions!$P$64*MAX(0,Assumptions!$D$64-K38141)+Assumptions!$P$65*MAX(0,Assumptions!$D$65-K38154)+Assumptions!$P$66*MAX(0,Assumptions!$D$66-K38167)</f>
        <v>574.5</v>
      </c>
    </row>
    <row r="38244" customFormat="false" ht="15" hidden="false" customHeight="false" outlineLevel="0" collapsed="false">
      <c r="A38244" s="3" t="s">
        <v>423</v>
      </c>
      <c r="G38244" s="22" t="n">
        <f aca="false">IF(G38234&gt;0,G38234/(G38234+MAX(0,G38013*CHOOSE($C$37996,Assumptions!$C$90,Assumptions!$C$109,Assumptions!$C$128)-G38236)),0)</f>
        <v>1</v>
      </c>
      <c r="H38244" s="22" t="n">
        <f aca="false">IF(H38234&gt;0,H38234/(H38234+MAX(0,H38013*CHOOSE($C$37996,Assumptions!$C$90,Assumptions!$C$109,Assumptions!$C$128)-H38236)),0)</f>
        <v>1</v>
      </c>
      <c r="I38244" s="22" t="n">
        <f aca="false">IF(I38234&gt;0,I38234/(I38234+MAX(0,I38013*CHOOSE($C$37996,Assumptions!$C$90,Assumptions!$C$109,Assumptions!$C$128)-I38236)),0)</f>
        <v>1</v>
      </c>
      <c r="J38244" s="22" t="n">
        <f aca="false">IF(J38234&gt;0,J38234/(J38234+MAX(0,J38013*CHOOSE($C$37996,Assumptions!$C$90,Assumptions!$C$109,Assumptions!$C$128)-J38236)),0)</f>
        <v>1</v>
      </c>
      <c r="K38244" s="22" t="n">
        <f aca="false">IF(K38234&gt;0,K38234/(K38234+MAX(0,K38013*CHOOSE($C$37996,Assumptions!$C$90,Assumptions!$C$109,Assumptions!$C$128)-K38236)),0)</f>
        <v>1</v>
      </c>
    </row>
    <row r="38245" customFormat="false" ht="15" hidden="false" customHeight="false" outlineLevel="0" collapsed="false">
      <c r="A38245" s="3" t="s">
        <v>424</v>
      </c>
      <c r="G38245" s="22" t="n">
        <f aca="false">IF(G38234&gt;0,MAX(0,G38227)/G38234,0)</f>
        <v>0.0332939126614171</v>
      </c>
      <c r="H38245" s="22" t="n">
        <f aca="false">IF(H38234&gt;0,MAX(0,H38227)/H38234,0)</f>
        <v>0</v>
      </c>
      <c r="I38245" s="22" t="n">
        <f aca="false">IF(I38234&gt;0,MAX(0,I38227)/I38234,0)</f>
        <v>0</v>
      </c>
      <c r="J38245" s="22" t="n">
        <f aca="false">IF(J38234&gt;0,MAX(0,J38227)/J38234,0)</f>
        <v>0</v>
      </c>
      <c r="K38245" s="22" t="n">
        <f aca="false">IF(K38234&gt;0,MAX(0,K38227)/K38234,0)</f>
        <v>0</v>
      </c>
    </row>
    <row r="38246" customFormat="false" ht="15" hidden="false" customHeight="false" outlineLevel="0" collapsed="false">
      <c r="A38246" s="3" t="s">
        <v>425</v>
      </c>
      <c r="G38246" s="16" t="n">
        <f aca="false">Assumptions!$C$31*(1-CHOOSE($C$37996,Assumptions!$C$93,Assumptions!$C$112,Assumptions!$C$131))</f>
        <v>3162.39046666667</v>
      </c>
      <c r="H38246" s="16" t="n">
        <f aca="false">Assumptions!$C$31*(1-CHOOSE($C$37996,Assumptions!$C$93,Assumptions!$C$112,Assumptions!$C$131))</f>
        <v>3162.39046666667</v>
      </c>
      <c r="I38246" s="16" t="n">
        <f aca="false">Assumptions!$C$31*(1-CHOOSE($C$37996,Assumptions!$C$93,Assumptions!$C$112,Assumptions!$C$131))</f>
        <v>3162.39046666667</v>
      </c>
      <c r="J38246" s="16" t="n">
        <f aca="false">Assumptions!$C$31*(1-CHOOSE($C$37996,Assumptions!$C$93,Assumptions!$C$112,Assumptions!$C$131))</f>
        <v>3162.39046666667</v>
      </c>
      <c r="K38246" s="16" t="n">
        <f aca="false">Assumptions!$C$31*(1-CHOOSE($C$37996,Assumptions!$C$93,Assumptions!$C$112,Assumptions!$C$131))</f>
        <v>3162.39046666667</v>
      </c>
    </row>
    <row r="38247" customFormat="false" ht="15" hidden="false" customHeight="false" outlineLevel="0" collapsed="false">
      <c r="A38247" s="24" t="s">
        <v>426</v>
      </c>
      <c r="B38247" s="25"/>
      <c r="C38247" s="25"/>
      <c r="D38247" s="25"/>
      <c r="E38247" s="25"/>
      <c r="F38247" s="25"/>
      <c r="G38247" s="25"/>
      <c r="H38247" s="25"/>
      <c r="I38247" s="25"/>
      <c r="J38247" s="25"/>
      <c r="K38247" s="25"/>
    </row>
    <row r="38248" customFormat="false" ht="15" hidden="false" customHeight="false" outlineLevel="0" collapsed="false">
      <c r="A38248" s="24" t="s">
        <v>427</v>
      </c>
      <c r="B38248" s="25"/>
      <c r="C38248" s="25"/>
      <c r="D38248" s="25"/>
      <c r="E38248" s="25"/>
      <c r="F38248" s="25"/>
      <c r="G38248" s="25"/>
      <c r="H38248" s="25"/>
      <c r="I38248" s="25"/>
      <c r="J38248" s="25"/>
      <c r="K38248" s="25"/>
    </row>
    <row r="38249" customFormat="false" ht="15" hidden="false" customHeight="false" outlineLevel="0" collapsed="false">
      <c r="A38249" s="3" t="s">
        <v>428</v>
      </c>
      <c r="G38249" s="22" t="n">
        <f aca="false">IF(G38246&gt;0,G38234/G38246,99)</f>
        <v>0.829098755399318</v>
      </c>
      <c r="H38249" s="22" t="n">
        <f aca="false">IF(H38246&gt;0,H38234/H38246,99)</f>
        <v>0.823076336124801</v>
      </c>
      <c r="I38249" s="22" t="n">
        <f aca="false">IF(I38246&gt;0,I38234/I38246,99)</f>
        <v>0.821811470181724</v>
      </c>
      <c r="J38249" s="22" t="n">
        <f aca="false">IF(J38246&gt;0,J38234/J38246,99)</f>
        <v>0.820546604238646</v>
      </c>
      <c r="K38249" s="22" t="n">
        <f aca="false">IF(K38246&gt;0,K38234/K38246,99)</f>
        <v>0.819281738295568</v>
      </c>
    </row>
    <row r="38250" customFormat="false" ht="15" hidden="false" customHeight="false" outlineLevel="0" collapsed="false">
      <c r="A38250" s="3" t="s">
        <v>429</v>
      </c>
      <c r="G38250" s="33" t="n">
        <f aca="false">Assumptions!$G$71</f>
        <v>0.6</v>
      </c>
      <c r="H38250" s="33" t="n">
        <f aca="false">Assumptions!$H$71</f>
        <v>0.6</v>
      </c>
      <c r="I38250" s="33" t="n">
        <f aca="false">Assumptions!$I$71</f>
        <v>0.6</v>
      </c>
      <c r="J38250" s="33" t="n">
        <f aca="false">Assumptions!$J$71</f>
        <v>0.6</v>
      </c>
      <c r="K38250" s="33" t="n">
        <f aca="false">Assumptions!$K$71</f>
        <v>0.6</v>
      </c>
    </row>
    <row r="38251" customFormat="false" ht="15" hidden="false" customHeight="false" outlineLevel="0" collapsed="false">
      <c r="A38251" s="3" t="s">
        <v>430</v>
      </c>
      <c r="G38251" s="22" t="n">
        <f aca="false">G38250-G38249</f>
        <v>-0.229098755399318</v>
      </c>
      <c r="H38251" s="22" t="n">
        <f aca="false">H38250-H38249</f>
        <v>-0.223076336124801</v>
      </c>
      <c r="I38251" s="22" t="n">
        <f aca="false">I38250-I38249</f>
        <v>-0.221811470181724</v>
      </c>
      <c r="J38251" s="22" t="n">
        <f aca="false">J38250-J38249</f>
        <v>-0.220546604238646</v>
      </c>
      <c r="K38251" s="22" t="n">
        <f aca="false">K38250-K38249</f>
        <v>-0.219281738295568</v>
      </c>
    </row>
    <row r="38252" customFormat="false" ht="15" hidden="false" customHeight="false" outlineLevel="0" collapsed="false">
      <c r="A38252" s="3" t="s">
        <v>431</v>
      </c>
      <c r="G38252" s="22" t="n">
        <f aca="false">IF(G38250=0,0,G38251/ABS(G38250))</f>
        <v>-0.381831258998863</v>
      </c>
      <c r="H38252" s="22" t="n">
        <f aca="false">IF(H38250=0,0,H38251/ABS(H38250))</f>
        <v>-0.371793893541335</v>
      </c>
      <c r="I38252" s="22" t="n">
        <f aca="false">IF(I38250=0,0,I38251/ABS(I38250))</f>
        <v>-0.369685783636206</v>
      </c>
      <c r="J38252" s="22" t="n">
        <f aca="false">IF(J38250=0,0,J38251/ABS(J38250))</f>
        <v>-0.367577673731077</v>
      </c>
      <c r="K38252" s="22" t="n">
        <f aca="false">IF(K38250=0,0,K38251/ABS(K38250))</f>
        <v>-0.365469563825947</v>
      </c>
    </row>
    <row r="38253" customFormat="false" ht="15" hidden="false" customHeight="false" outlineLevel="0" collapsed="false">
      <c r="A38253" s="3" t="s">
        <v>432</v>
      </c>
      <c r="G38253" s="21" t="n">
        <f aca="false">IF(G38251&lt;0,1,0)</f>
        <v>1</v>
      </c>
      <c r="H38253" s="21" t="n">
        <f aca="false">IF(H38251&lt;0,1,0)</f>
        <v>1</v>
      </c>
      <c r="I38253" s="21" t="n">
        <f aca="false">IF(I38251&lt;0,1,0)</f>
        <v>1</v>
      </c>
      <c r="J38253" s="21" t="n">
        <f aca="false">IF(J38251&lt;0,1,0)</f>
        <v>1</v>
      </c>
      <c r="K38253" s="21" t="n">
        <f aca="false">IF(K38251&lt;0,1,0)</f>
        <v>1</v>
      </c>
    </row>
    <row r="38254" customFormat="false" ht="15" hidden="false" customHeight="false" outlineLevel="0" collapsed="false">
      <c r="A38254" s="3" t="s">
        <v>433</v>
      </c>
      <c r="C38254" s="21" t="n">
        <f aca="false">IFERROR(INDEX($G$38003:$K$38003,MATCH(1,$G$38253:$K$38253,0)),0)</f>
        <v>2027</v>
      </c>
    </row>
    <row r="38255" customFormat="false" ht="15" hidden="false" customHeight="false" outlineLevel="0" collapsed="false">
      <c r="A38255" s="3" t="s">
        <v>434</v>
      </c>
      <c r="C38255" s="22" t="n">
        <f aca="false">MIN($G$38252:$K$38252)</f>
        <v>-0.381831258998863</v>
      </c>
    </row>
    <row r="38256" customFormat="false" ht="15" hidden="false" customHeight="false" outlineLevel="0" collapsed="false">
      <c r="A38256" s="24" t="s">
        <v>435</v>
      </c>
      <c r="B38256" s="25"/>
      <c r="C38256" s="25"/>
      <c r="D38256" s="25"/>
      <c r="E38256" s="25"/>
      <c r="F38256" s="25"/>
      <c r="G38256" s="25"/>
      <c r="H38256" s="25"/>
      <c r="I38256" s="25"/>
      <c r="J38256" s="25"/>
      <c r="K38256" s="25"/>
    </row>
    <row r="38257" customFormat="false" ht="15" hidden="false" customHeight="false" outlineLevel="0" collapsed="false">
      <c r="A38257" s="3" t="s">
        <v>428</v>
      </c>
      <c r="G38257" s="32" t="n">
        <f aca="false">IF(G38017&gt;0,G38013/G38017,99)</f>
        <v>1.06025908412371</v>
      </c>
      <c r="H38257" s="32" t="n">
        <f aca="false">IF(H38017&gt;0,H38013/H38017,99)</f>
        <v>0.927444011573365</v>
      </c>
      <c r="I38257" s="32" t="n">
        <f aca="false">IF(I38017&gt;0,I38013/I38017,99)</f>
        <v>0.899631625108658</v>
      </c>
      <c r="J38257" s="32" t="n">
        <f aca="false">IF(J38017&gt;0,J38013/J38017,99)</f>
        <v>0.912459444554051</v>
      </c>
      <c r="K38257" s="32" t="n">
        <f aca="false">IF(K38017&gt;0,K38013/K38017,99)</f>
        <v>0.945346751531936</v>
      </c>
    </row>
    <row r="38258" customFormat="false" ht="15" hidden="false" customHeight="false" outlineLevel="0" collapsed="false">
      <c r="A38258" s="3" t="s">
        <v>429</v>
      </c>
      <c r="G38258" s="34" t="n">
        <f aca="false">Assumptions!$G$72</f>
        <v>1.5</v>
      </c>
      <c r="H38258" s="34" t="n">
        <f aca="false">Assumptions!$H$72</f>
        <v>1.5</v>
      </c>
      <c r="I38258" s="34" t="n">
        <f aca="false">Assumptions!$I$72</f>
        <v>1.5</v>
      </c>
      <c r="J38258" s="34" t="n">
        <f aca="false">Assumptions!$J$72</f>
        <v>1.5</v>
      </c>
      <c r="K38258" s="34" t="n">
        <f aca="false">Assumptions!$K$72</f>
        <v>1.5</v>
      </c>
    </row>
    <row r="38259" customFormat="false" ht="15" hidden="false" customHeight="false" outlineLevel="0" collapsed="false">
      <c r="A38259" s="3" t="s">
        <v>430</v>
      </c>
      <c r="G38259" s="32" t="n">
        <f aca="false">G38257-G38258</f>
        <v>-0.439740915876287</v>
      </c>
      <c r="H38259" s="32" t="n">
        <f aca="false">H38257-H38258</f>
        <v>-0.572555988426635</v>
      </c>
      <c r="I38259" s="32" t="n">
        <f aca="false">I38257-I38258</f>
        <v>-0.600368374891342</v>
      </c>
      <c r="J38259" s="32" t="n">
        <f aca="false">J38257-J38258</f>
        <v>-0.58754055544595</v>
      </c>
      <c r="K38259" s="32" t="n">
        <f aca="false">K38257-K38258</f>
        <v>-0.554653248468064</v>
      </c>
    </row>
    <row r="38260" customFormat="false" ht="15" hidden="false" customHeight="false" outlineLevel="0" collapsed="false">
      <c r="A38260" s="3" t="s">
        <v>431</v>
      </c>
      <c r="G38260" s="22" t="n">
        <f aca="false">IF(G38258=0,0,G38259/ABS(G38258))</f>
        <v>-0.293160610584191</v>
      </c>
      <c r="H38260" s="22" t="n">
        <f aca="false">IF(H38258=0,0,H38259/ABS(H38258))</f>
        <v>-0.381703992284423</v>
      </c>
      <c r="I38260" s="22" t="n">
        <f aca="false">IF(I38258=0,0,I38259/ABS(I38258))</f>
        <v>-0.400245583260895</v>
      </c>
      <c r="J38260" s="22" t="n">
        <f aca="false">IF(J38258=0,0,J38259/ABS(J38258))</f>
        <v>-0.391693703630633</v>
      </c>
      <c r="K38260" s="22" t="n">
        <f aca="false">IF(K38258=0,0,K38259/ABS(K38258))</f>
        <v>-0.369768832312043</v>
      </c>
    </row>
    <row r="38261" customFormat="false" ht="15" hidden="false" customHeight="false" outlineLevel="0" collapsed="false">
      <c r="A38261" s="3" t="s">
        <v>432</v>
      </c>
      <c r="G38261" s="21" t="n">
        <f aca="false">IF(G38259&lt;0,1,0)</f>
        <v>1</v>
      </c>
      <c r="H38261" s="21" t="n">
        <f aca="false">IF(H38259&lt;0,1,0)</f>
        <v>1</v>
      </c>
      <c r="I38261" s="21" t="n">
        <f aca="false">IF(I38259&lt;0,1,0)</f>
        <v>1</v>
      </c>
      <c r="J38261" s="21" t="n">
        <f aca="false">IF(J38259&lt;0,1,0)</f>
        <v>1</v>
      </c>
      <c r="K38261" s="21" t="n">
        <f aca="false">IF(K38259&lt;0,1,0)</f>
        <v>1</v>
      </c>
    </row>
    <row r="38262" customFormat="false" ht="15" hidden="false" customHeight="false" outlineLevel="0" collapsed="false">
      <c r="A38262" s="3" t="s">
        <v>433</v>
      </c>
      <c r="C38262" s="21" t="n">
        <f aca="false">IFERROR(INDEX($G$38003:$K$38003,MATCH(1,$G$38261:$K$38261,0)),0)</f>
        <v>2027</v>
      </c>
    </row>
    <row r="38263" customFormat="false" ht="15" hidden="false" customHeight="false" outlineLevel="0" collapsed="false">
      <c r="A38263" s="3" t="s">
        <v>434</v>
      </c>
      <c r="C38263" s="22" t="n">
        <f aca="false">MIN($G$38260:$K$38260)</f>
        <v>-0.400245583260895</v>
      </c>
    </row>
    <row r="38264" customFormat="false" ht="15" hidden="false" customHeight="false" outlineLevel="0" collapsed="false">
      <c r="A38264" s="24" t="s">
        <v>436</v>
      </c>
      <c r="B38264" s="25"/>
      <c r="C38264" s="25"/>
      <c r="D38264" s="25"/>
      <c r="E38264" s="25"/>
      <c r="F38264" s="25"/>
      <c r="G38264" s="25"/>
      <c r="H38264" s="25"/>
      <c r="I38264" s="25"/>
      <c r="J38264" s="25"/>
      <c r="K38264" s="25"/>
    </row>
    <row r="38265" customFormat="false" ht="15" hidden="false" customHeight="false" outlineLevel="0" collapsed="false">
      <c r="A38265" s="3" t="s">
        <v>428</v>
      </c>
      <c r="G38265" s="22" t="n">
        <f aca="false">IF(G38246&gt;0,G38235/G38246,99)</f>
        <v>0.171808005914176</v>
      </c>
      <c r="H38265" s="22" t="n">
        <f aca="false">IF(H38246&gt;0,H38235/H38246,99)</f>
        <v>0.170543139971098</v>
      </c>
      <c r="I38265" s="22" t="n">
        <f aca="false">IF(I38246&gt;0,I38235/I38246,99)</f>
        <v>0.169278274028021</v>
      </c>
      <c r="J38265" s="22" t="n">
        <f aca="false">IF(J38246&gt;0,J38235/J38246,99)</f>
        <v>0.168013408084943</v>
      </c>
      <c r="K38265" s="22" t="n">
        <f aca="false">IF(K38246&gt;0,K38235/K38246,99)</f>
        <v>0.166748542141865</v>
      </c>
    </row>
    <row r="38266" customFormat="false" ht="15" hidden="false" customHeight="false" outlineLevel="0" collapsed="false">
      <c r="A38266" s="3" t="s">
        <v>429</v>
      </c>
      <c r="G38266" s="33" t="n">
        <f aca="false">Assumptions!$G$73</f>
        <v>0.4</v>
      </c>
      <c r="H38266" s="33" t="n">
        <f aca="false">Assumptions!$H$73</f>
        <v>0.4</v>
      </c>
      <c r="I38266" s="33" t="n">
        <f aca="false">Assumptions!$I$73</f>
        <v>0.4</v>
      </c>
      <c r="J38266" s="33" t="n">
        <f aca="false">Assumptions!$J$73</f>
        <v>0.4</v>
      </c>
      <c r="K38266" s="33" t="n">
        <f aca="false">Assumptions!$K$73</f>
        <v>0.4</v>
      </c>
    </row>
    <row r="38267" customFormat="false" ht="15" hidden="false" customHeight="false" outlineLevel="0" collapsed="false">
      <c r="A38267" s="3" t="s">
        <v>430</v>
      </c>
      <c r="G38267" s="22" t="n">
        <f aca="false">G38266-G38265</f>
        <v>0.228191994085824</v>
      </c>
      <c r="H38267" s="22" t="n">
        <f aca="false">H38266-H38265</f>
        <v>0.229456860028902</v>
      </c>
      <c r="I38267" s="22" t="n">
        <f aca="false">I38266-I38265</f>
        <v>0.230721725971979</v>
      </c>
      <c r="J38267" s="22" t="n">
        <f aca="false">J38266-J38265</f>
        <v>0.231986591915057</v>
      </c>
      <c r="K38267" s="22" t="n">
        <f aca="false">K38266-K38265</f>
        <v>0.233251457858135</v>
      </c>
    </row>
    <row r="38268" customFormat="false" ht="15" hidden="false" customHeight="false" outlineLevel="0" collapsed="false">
      <c r="A38268" s="3" t="s">
        <v>431</v>
      </c>
      <c r="G38268" s="22" t="n">
        <f aca="false">IF(G38266=0,0,G38267/ABS(G38266))</f>
        <v>0.57047998521456</v>
      </c>
      <c r="H38268" s="22" t="n">
        <f aca="false">IF(H38266=0,0,H38267/ABS(H38266))</f>
        <v>0.573642150072254</v>
      </c>
      <c r="I38268" s="22" t="n">
        <f aca="false">IF(I38266=0,0,I38267/ABS(I38266))</f>
        <v>0.576804314929948</v>
      </c>
      <c r="J38268" s="22" t="n">
        <f aca="false">IF(J38266=0,0,J38267/ABS(J38266))</f>
        <v>0.579966479787643</v>
      </c>
      <c r="K38268" s="22" t="n">
        <f aca="false">IF(K38266=0,0,K38267/ABS(K38266))</f>
        <v>0.583128644645337</v>
      </c>
    </row>
    <row r="38269" customFormat="false" ht="15" hidden="false" customHeight="false" outlineLevel="0" collapsed="false">
      <c r="A38269" s="3" t="s">
        <v>432</v>
      </c>
      <c r="G38269" s="21" t="n">
        <f aca="false">IF(G38267&lt;0,1,0)</f>
        <v>0</v>
      </c>
      <c r="H38269" s="21" t="n">
        <f aca="false">IF(H38267&lt;0,1,0)</f>
        <v>0</v>
      </c>
      <c r="I38269" s="21" t="n">
        <f aca="false">IF(I38267&lt;0,1,0)</f>
        <v>0</v>
      </c>
      <c r="J38269" s="21" t="n">
        <f aca="false">IF(J38267&lt;0,1,0)</f>
        <v>0</v>
      </c>
      <c r="K38269" s="21" t="n">
        <f aca="false">IF(K38267&lt;0,1,0)</f>
        <v>0</v>
      </c>
    </row>
    <row r="38270" customFormat="false" ht="15" hidden="false" customHeight="false" outlineLevel="0" collapsed="false">
      <c r="A38270" s="3" t="s">
        <v>433</v>
      </c>
      <c r="C38270" s="21" t="n">
        <f aca="false">IFERROR(INDEX($G$38003:$K$38003,MATCH(1,$G$38269:$K$38269,0)),0)</f>
        <v>0</v>
      </c>
    </row>
    <row r="38271" customFormat="false" ht="15" hidden="false" customHeight="false" outlineLevel="0" collapsed="false">
      <c r="A38271" s="3" t="s">
        <v>434</v>
      </c>
      <c r="C38271" s="22" t="n">
        <f aca="false">MIN($G$38268:$K$38268)</f>
        <v>0.57047998521456</v>
      </c>
    </row>
    <row r="38272" customFormat="false" ht="15" hidden="false" customHeight="false" outlineLevel="0" collapsed="false">
      <c r="A38272" s="24" t="s">
        <v>437</v>
      </c>
      <c r="B38272" s="25"/>
      <c r="C38272" s="25"/>
      <c r="D38272" s="25"/>
      <c r="E38272" s="25"/>
      <c r="F38272" s="25"/>
      <c r="G38272" s="25"/>
      <c r="H38272" s="25"/>
      <c r="I38272" s="25"/>
      <c r="J38272" s="25"/>
      <c r="K38272" s="25"/>
    </row>
    <row r="38273" customFormat="false" ht="15" hidden="false" customHeight="false" outlineLevel="0" collapsed="false">
      <c r="A38273" s="3" t="s">
        <v>428</v>
      </c>
      <c r="G38273" s="16" t="n">
        <f aca="false">G38243</f>
        <v>661.7944416</v>
      </c>
      <c r="H38273" s="16" t="n">
        <f aca="false">H38243</f>
        <v>574.5</v>
      </c>
      <c r="I38273" s="16" t="n">
        <f aca="false">I38243</f>
        <v>574.5</v>
      </c>
      <c r="J38273" s="16" t="n">
        <f aca="false">J38243</f>
        <v>574.5</v>
      </c>
      <c r="K38273" s="16" t="n">
        <f aca="false">K38243</f>
        <v>574.5</v>
      </c>
    </row>
    <row r="38274" customFormat="false" ht="15" hidden="false" customHeight="false" outlineLevel="0" collapsed="false">
      <c r="A38274" s="3" t="s">
        <v>429</v>
      </c>
      <c r="G38274" s="29" t="n">
        <f aca="false">Assumptions!$G$74</f>
        <v>100</v>
      </c>
      <c r="H38274" s="29" t="n">
        <f aca="false">Assumptions!$H$74</f>
        <v>100</v>
      </c>
      <c r="I38274" s="29" t="n">
        <f aca="false">Assumptions!$I$74</f>
        <v>100</v>
      </c>
      <c r="J38274" s="29" t="n">
        <f aca="false">Assumptions!$J$74</f>
        <v>100</v>
      </c>
      <c r="K38274" s="29" t="n">
        <f aca="false">Assumptions!$K$74</f>
        <v>100</v>
      </c>
    </row>
    <row r="38275" customFormat="false" ht="15" hidden="false" customHeight="false" outlineLevel="0" collapsed="false">
      <c r="A38275" s="3" t="s">
        <v>430</v>
      </c>
      <c r="G38275" s="16" t="n">
        <f aca="false">G38273-G38274</f>
        <v>561.7944416</v>
      </c>
      <c r="H38275" s="16" t="n">
        <f aca="false">H38273-H38274</f>
        <v>474.5</v>
      </c>
      <c r="I38275" s="16" t="n">
        <f aca="false">I38273-I38274</f>
        <v>474.5</v>
      </c>
      <c r="J38275" s="16" t="n">
        <f aca="false">J38273-J38274</f>
        <v>474.5</v>
      </c>
      <c r="K38275" s="16" t="n">
        <f aca="false">K38273-K38274</f>
        <v>474.5</v>
      </c>
    </row>
    <row r="38276" customFormat="false" ht="15" hidden="false" customHeight="false" outlineLevel="0" collapsed="false">
      <c r="A38276" s="3" t="s">
        <v>431</v>
      </c>
      <c r="G38276" s="22" t="n">
        <f aca="false">IF(G38274=0,0,G38275/ABS(G38274))</f>
        <v>5.617944416</v>
      </c>
      <c r="H38276" s="22" t="n">
        <f aca="false">IF(H38274=0,0,H38275/ABS(H38274))</f>
        <v>4.745</v>
      </c>
      <c r="I38276" s="22" t="n">
        <f aca="false">IF(I38274=0,0,I38275/ABS(I38274))</f>
        <v>4.745</v>
      </c>
      <c r="J38276" s="22" t="n">
        <f aca="false">IF(J38274=0,0,J38275/ABS(J38274))</f>
        <v>4.745</v>
      </c>
      <c r="K38276" s="22" t="n">
        <f aca="false">IF(K38274=0,0,K38275/ABS(K38274))</f>
        <v>4.745</v>
      </c>
    </row>
    <row r="38277" customFormat="false" ht="15" hidden="false" customHeight="false" outlineLevel="0" collapsed="false">
      <c r="A38277" s="3" t="s">
        <v>432</v>
      </c>
      <c r="G38277" s="21" t="n">
        <f aca="false">IF(G38275&lt;0,1,0)</f>
        <v>0</v>
      </c>
      <c r="H38277" s="21" t="n">
        <f aca="false">IF(H38275&lt;0,1,0)</f>
        <v>0</v>
      </c>
      <c r="I38277" s="21" t="n">
        <f aca="false">IF(I38275&lt;0,1,0)</f>
        <v>0</v>
      </c>
      <c r="J38277" s="21" t="n">
        <f aca="false">IF(J38275&lt;0,1,0)</f>
        <v>0</v>
      </c>
      <c r="K38277" s="21" t="n">
        <f aca="false">IF(K38275&lt;0,1,0)</f>
        <v>0</v>
      </c>
    </row>
    <row r="38278" customFormat="false" ht="15" hidden="false" customHeight="false" outlineLevel="0" collapsed="false">
      <c r="A38278" s="3" t="s">
        <v>433</v>
      </c>
      <c r="C38278" s="21" t="n">
        <f aca="false">IFERROR(INDEX($G$38003:$K$38003,MATCH(1,$G$38277:$K$38277,0)),0)</f>
        <v>0</v>
      </c>
    </row>
    <row r="38279" customFormat="false" ht="15" hidden="false" customHeight="false" outlineLevel="0" collapsed="false">
      <c r="A38279" s="3" t="s">
        <v>434</v>
      </c>
      <c r="C38279" s="22" t="n">
        <f aca="false">MIN($G$38276:$K$38276)</f>
        <v>4.745</v>
      </c>
    </row>
    <row r="38280" customFormat="false" ht="15" hidden="false" customHeight="false" outlineLevel="0" collapsed="false">
      <c r="A38280" s="24" t="s">
        <v>438</v>
      </c>
      <c r="B38280" s="25"/>
      <c r="C38280" s="25"/>
      <c r="D38280" s="25"/>
      <c r="E38280" s="25"/>
      <c r="F38280" s="25"/>
      <c r="G38280" s="25"/>
      <c r="H38280" s="25"/>
      <c r="I38280" s="25"/>
      <c r="J38280" s="25"/>
      <c r="K38280" s="25"/>
    </row>
    <row r="38281" customFormat="false" ht="15" hidden="false" customHeight="false" outlineLevel="0" collapsed="false">
      <c r="A38281" s="3" t="s">
        <v>428</v>
      </c>
      <c r="G38281" s="32" t="n">
        <f aca="false">IF(G38013&gt;0,G38236/G38013,99)</f>
        <v>12.2866312534504</v>
      </c>
      <c r="H38281" s="32" t="n">
        <f aca="false">IF(H38013&gt;0,H38236/H38013,99)</f>
        <v>14.5137170159321</v>
      </c>
      <c r="I38281" s="32" t="n">
        <f aca="false">IF(I38013&gt;0,I38236/I38013,99)</f>
        <v>15.5560738236619</v>
      </c>
      <c r="J38281" s="32" t="n">
        <f aca="false">IF(J38013&gt;0,J38236/J38013,99)</f>
        <v>15.7734539449449</v>
      </c>
      <c r="K38281" s="32" t="n">
        <f aca="false">IF(K38013&gt;0,K38236/K38013,99)</f>
        <v>15.6156103833885</v>
      </c>
    </row>
    <row r="38282" customFormat="false" ht="15" hidden="false" customHeight="false" outlineLevel="0" collapsed="false">
      <c r="A38282" s="3" t="s">
        <v>429</v>
      </c>
      <c r="G38282" s="34" t="n">
        <f aca="false">Assumptions!$G$75</f>
        <v>10.5</v>
      </c>
      <c r="H38282" s="34" t="n">
        <f aca="false">Assumptions!$H$75</f>
        <v>10.5</v>
      </c>
      <c r="I38282" s="34" t="n">
        <f aca="false">Assumptions!$I$75</f>
        <v>10</v>
      </c>
      <c r="J38282" s="34" t="n">
        <f aca="false">Assumptions!$J$75</f>
        <v>10</v>
      </c>
      <c r="K38282" s="34" t="n">
        <f aca="false">Assumptions!$K$75</f>
        <v>9.5</v>
      </c>
    </row>
    <row r="38283" customFormat="false" ht="15" hidden="false" customHeight="false" outlineLevel="0" collapsed="false">
      <c r="A38283" s="3" t="s">
        <v>430</v>
      </c>
      <c r="G38283" s="32" t="n">
        <f aca="false">G38282-G38281</f>
        <v>-1.78663125345038</v>
      </c>
      <c r="H38283" s="32" t="n">
        <f aca="false">H38282-H38281</f>
        <v>-4.01371701593214</v>
      </c>
      <c r="I38283" s="32" t="n">
        <f aca="false">I38282-I38281</f>
        <v>-5.55607382366189</v>
      </c>
      <c r="J38283" s="32" t="n">
        <f aca="false">J38282-J38281</f>
        <v>-5.7734539449449</v>
      </c>
      <c r="K38283" s="32" t="n">
        <f aca="false">K38282-K38281</f>
        <v>-6.11561038338853</v>
      </c>
    </row>
    <row r="38284" customFormat="false" ht="15" hidden="false" customHeight="false" outlineLevel="0" collapsed="false">
      <c r="A38284" s="3" t="s">
        <v>431</v>
      </c>
      <c r="G38284" s="22" t="n">
        <f aca="false">IF(G38282=0,0,G38283/ABS(G38282))</f>
        <v>-0.170155357471464</v>
      </c>
      <c r="H38284" s="22" t="n">
        <f aca="false">IF(H38282=0,0,H38283/ABS(H38282))</f>
        <v>-0.382258763422108</v>
      </c>
      <c r="I38284" s="22" t="n">
        <f aca="false">IF(I38282=0,0,I38283/ABS(I38282))</f>
        <v>-0.555607382366189</v>
      </c>
      <c r="J38284" s="22" t="n">
        <f aca="false">IF(J38282=0,0,J38283/ABS(J38282))</f>
        <v>-0.57734539449449</v>
      </c>
      <c r="K38284" s="22" t="n">
        <f aca="false">IF(K38282=0,0,K38283/ABS(K38282))</f>
        <v>-0.643748461409318</v>
      </c>
    </row>
    <row r="38285" customFormat="false" ht="15" hidden="false" customHeight="false" outlineLevel="0" collapsed="false">
      <c r="A38285" s="3" t="s">
        <v>432</v>
      </c>
      <c r="G38285" s="21" t="n">
        <f aca="false">IF(G38283&lt;0,1,0)</f>
        <v>1</v>
      </c>
      <c r="H38285" s="21" t="n">
        <f aca="false">IF(H38283&lt;0,1,0)</f>
        <v>1</v>
      </c>
      <c r="I38285" s="21" t="n">
        <f aca="false">IF(I38283&lt;0,1,0)</f>
        <v>1</v>
      </c>
      <c r="J38285" s="21" t="n">
        <f aca="false">IF(J38283&lt;0,1,0)</f>
        <v>1</v>
      </c>
      <c r="K38285" s="21" t="n">
        <f aca="false">IF(K38283&lt;0,1,0)</f>
        <v>1</v>
      </c>
    </row>
    <row r="38286" customFormat="false" ht="15" hidden="false" customHeight="false" outlineLevel="0" collapsed="false">
      <c r="A38286" s="3" t="s">
        <v>433</v>
      </c>
      <c r="C38286" s="21" t="n">
        <f aca="false">IFERROR(INDEX($G$38003:$K$38003,MATCH(1,$G$38285:$K$38285,0)),0)</f>
        <v>2027</v>
      </c>
    </row>
    <row r="38287" customFormat="false" ht="15" hidden="false" customHeight="false" outlineLevel="0" collapsed="false">
      <c r="A38287" s="3" t="s">
        <v>434</v>
      </c>
      <c r="C38287" s="22" t="n">
        <f aca="false">MIN($G$38284:$K$38284)</f>
        <v>-0.643748461409318</v>
      </c>
    </row>
    <row r="38288" customFormat="false" ht="15" hidden="false" customHeight="false" outlineLevel="0" collapsed="false">
      <c r="A38288" s="3" t="s">
        <v>439</v>
      </c>
      <c r="G38288" s="21" t="n">
        <f aca="false">G38253+G38261+G38269+G38277+G38285</f>
        <v>3</v>
      </c>
      <c r="H38288" s="21" t="n">
        <f aca="false">H38253+H38261+H38269+H38277+H38285</f>
        <v>3</v>
      </c>
      <c r="I38288" s="21" t="n">
        <f aca="false">I38253+I38261+I38269+I38277+I38285</f>
        <v>3</v>
      </c>
      <c r="J38288" s="21" t="n">
        <f aca="false">J38253+J38261+J38269+J38277+J38285</f>
        <v>3</v>
      </c>
      <c r="K38288" s="21" t="n">
        <f aca="false">K38253+K38261+K38269+K38277+K38285</f>
        <v>3</v>
      </c>
    </row>
    <row r="38289" customFormat="false" ht="15" hidden="false" customHeight="false" outlineLevel="0" collapsed="false">
      <c r="A38289" s="3" t="s">
        <v>440</v>
      </c>
      <c r="C38289" s="21" t="n">
        <f aca="false">SUM($G$38288:$K$38288)</f>
        <v>15</v>
      </c>
    </row>
    <row r="38290" customFormat="false" ht="15" hidden="false" customHeight="false" outlineLevel="0" collapsed="false">
      <c r="A38290" s="3" t="s">
        <v>441</v>
      </c>
      <c r="C38290" s="22" t="n">
        <f aca="false">MIN(C38255,C38263,C38271,C38279,C38287)</f>
        <v>-0.643748461409318</v>
      </c>
    </row>
    <row r="38292" customFormat="false" ht="15" hidden="false" customHeight="false" outlineLevel="0" collapsed="false">
      <c r="A38292" s="24" t="s">
        <v>543</v>
      </c>
      <c r="B38292" s="25"/>
      <c r="C38292" s="25"/>
      <c r="D38292" s="25"/>
      <c r="E38292" s="25"/>
      <c r="F38292" s="25"/>
      <c r="G38292" s="25"/>
      <c r="H38292" s="25"/>
      <c r="I38292" s="25"/>
      <c r="J38292" s="25"/>
      <c r="K38292" s="25"/>
    </row>
    <row r="38293" customFormat="false" ht="15" hidden="false" customHeight="false" outlineLevel="0" collapsed="false">
      <c r="A38293" s="3" t="s">
        <v>544</v>
      </c>
      <c r="G38293" s="21" t="n">
        <f aca="false">IF($C$38294=1,G38230,IF(G38013=MIN($G$38013:$K$38013),1,0))</f>
        <v>0</v>
      </c>
      <c r="H38293" s="21" t="n">
        <f aca="false">IF($C$38294=1,H38230,IF(AND(H38013=MIN($G$38013:$K$38013),SUM($G$38293:G38293)=0),1,0))</f>
        <v>1</v>
      </c>
      <c r="I38293" s="21" t="n">
        <f aca="false">IF($C$38294=1,I38230,IF(AND(I38013=MIN($G$38013:$K$38013),SUM($G$38293:H38293)=0),1,0))</f>
        <v>0</v>
      </c>
      <c r="J38293" s="21" t="n">
        <f aca="false">IF($C$38294=1,J38230,IF(AND(J38013=MIN($G$38013:$K$38013),SUM($G$38293:I38293)=0),1,0))</f>
        <v>0</v>
      </c>
      <c r="K38293" s="21" t="n">
        <f aca="false">IF($C$38294=1,K38230,IF(AND(K38013=MIN($G$38013:$K$38013),SUM($G$38293:J38293)=0),1,0))</f>
        <v>0</v>
      </c>
    </row>
    <row r="38294" customFormat="false" ht="15" hidden="false" customHeight="false" outlineLevel="0" collapsed="false">
      <c r="A38294" s="3" t="s">
        <v>545</v>
      </c>
      <c r="C38294" s="21" t="n">
        <f aca="false">IF(SUM($G$38230:$K$38230)&gt;0,1,0)</f>
        <v>1</v>
      </c>
    </row>
    <row r="38295" customFormat="false" ht="15" hidden="false" customHeight="false" outlineLevel="0" collapsed="false">
      <c r="A38295" s="3" t="s">
        <v>546</v>
      </c>
      <c r="C38295" s="21" t="n">
        <f aca="false">SUMPRODUCT($G$38293:$K$38293,$G$38003:$K$38003)</f>
        <v>2028</v>
      </c>
    </row>
    <row r="38296" customFormat="false" ht="15" hidden="false" customHeight="false" outlineLevel="0" collapsed="false">
      <c r="A38296" s="3" t="s">
        <v>547</v>
      </c>
      <c r="C38296" s="16" t="n">
        <f aca="false">SUMPRODUCT($G$38293:$K$38293,$G$38013:$K$38013)</f>
        <v>179.33991381</v>
      </c>
    </row>
    <row r="38297" customFormat="false" ht="15" hidden="false" customHeight="false" outlineLevel="0" collapsed="false">
      <c r="A38297" s="3" t="s">
        <v>548</v>
      </c>
      <c r="C38297" s="16" t="n">
        <f aca="false">MAX(0,SUMPRODUCT($G$38293:$K$38293,$G$38227:$K$38227))</f>
        <v>0</v>
      </c>
    </row>
    <row r="38298" customFormat="false" ht="15" hidden="false" customHeight="false" outlineLevel="0" collapsed="false">
      <c r="A38298" s="3" t="s">
        <v>549</v>
      </c>
      <c r="C38298" s="16" t="n">
        <f aca="false">(CHOOSE($C$37996,Assumptions!$C$92,Assumptions!$C$111,Assumptions!$C$130)+$C$38000)*C38296</f>
        <v>1076.03948286</v>
      </c>
    </row>
    <row r="38299" customFormat="false" ht="15" hidden="false" customHeight="false" outlineLevel="0" collapsed="false">
      <c r="A38299" s="3" t="s">
        <v>550</v>
      </c>
      <c r="C38299" s="16" t="n">
        <f aca="false">Assumptions!$C$31*(1-CHOOSE($C$37996,Assumptions!$C$93,Assumptions!$C$112,Assumptions!$C$131))*CHOOSE($C$37996,Assumptions!$C$94,Assumptions!$C$113,Assumptions!$C$132)</f>
        <v>2688.03189666667</v>
      </c>
    </row>
    <row r="38300" customFormat="false" ht="15" hidden="false" customHeight="false" outlineLevel="0" collapsed="false">
      <c r="A38300" s="3" t="s">
        <v>551</v>
      </c>
      <c r="C38300" s="16" t="n">
        <f aca="false">MAX(C38298,C38299)+C38297</f>
        <v>2688.03189666667</v>
      </c>
    </row>
    <row r="38301" customFormat="false" ht="15" hidden="false" customHeight="false" outlineLevel="0" collapsed="false">
      <c r="A38301" s="2" t="s">
        <v>552</v>
      </c>
      <c r="C38301" s="17" t="n">
        <f aca="false">IF(ISNUMBER(Assumptions!$C$14),Assumptions!$C$14,C38300)</f>
        <v>2688.03189666667</v>
      </c>
    </row>
    <row r="38302" customFormat="false" ht="15" hidden="false" customHeight="false" outlineLevel="0" collapsed="false">
      <c r="A38302" s="3" t="s">
        <v>553</v>
      </c>
      <c r="C38302" s="16" t="n">
        <f aca="false">C38301*Assumptions!$C$15</f>
        <v>107.521275866667</v>
      </c>
    </row>
    <row r="38303" customFormat="false" ht="15" hidden="false" customHeight="false" outlineLevel="0" collapsed="false">
      <c r="A38303" s="2" t="s">
        <v>554</v>
      </c>
      <c r="C38303" s="17" t="n">
        <f aca="false">C38301-C38302</f>
        <v>2580.5106208</v>
      </c>
    </row>
    <row r="38304" customFormat="false" ht="15" hidden="false" customHeight="false" outlineLevel="0" collapsed="false">
      <c r="A38304" s="24" t="s">
        <v>555</v>
      </c>
      <c r="B38304" s="25"/>
      <c r="C38304" s="25"/>
      <c r="D38304" s="25"/>
      <c r="E38304" s="25"/>
      <c r="F38304" s="25"/>
      <c r="G38304" s="25"/>
      <c r="H38304" s="25"/>
      <c r="I38304" s="25"/>
      <c r="J38304" s="25"/>
      <c r="K38304" s="25"/>
    </row>
    <row r="38305" customFormat="false" ht="15" hidden="false" customHeight="false" outlineLevel="0" collapsed="false">
      <c r="A38305" s="3" t="s">
        <v>556</v>
      </c>
      <c r="C38305" s="16" t="n">
        <f aca="false">SUMPRODUCT($G$38293:$K$38293,$G$38050:$K$38050)*(1+SUMPRODUCT($G$38293:$K$38293,$G$38042:$K$38042)*Assumptions!$C$16/12)</f>
        <v>403.76</v>
      </c>
    </row>
    <row r="38306" customFormat="false" ht="15" hidden="false" customHeight="false" outlineLevel="0" collapsed="false">
      <c r="A38306" s="3" t="s">
        <v>557</v>
      </c>
      <c r="C38306" s="16" t="n">
        <f aca="false">SUMPRODUCT($G$38293:$K$38293,$G$38063:$K$38063)*(1+SUMPRODUCT($G$38293:$K$38293,$G$38055:$K$38055)*Assumptions!$C$16/12)</f>
        <v>91.30725</v>
      </c>
    </row>
    <row r="38307" customFormat="false" ht="15" hidden="false" customHeight="false" outlineLevel="0" collapsed="false">
      <c r="A38307" s="3" t="s">
        <v>558</v>
      </c>
      <c r="C38307" s="16" t="n">
        <f aca="false">SUMPRODUCT($G$38293:$K$38293,$G$38076:$K$38076)*(1+SUMPRODUCT($G$38293:$K$38293,$G$38068:$K$38068)*Assumptions!$C$16/12)</f>
        <v>58.3715961</v>
      </c>
    </row>
    <row r="38308" customFormat="false" ht="15" hidden="false" customHeight="false" outlineLevel="0" collapsed="false">
      <c r="A38308" s="3" t="s">
        <v>559</v>
      </c>
      <c r="C38308" s="16" t="n">
        <f aca="false">SUMPRODUCT($G$38293:$K$38293,$G$38089:$K$38089)*(1+SUMPRODUCT($G$38293:$K$38293,$G$38081:$K$38081)*Assumptions!$C$16/12)</f>
        <v>0</v>
      </c>
    </row>
    <row r="38309" customFormat="false" ht="15" hidden="false" customHeight="false" outlineLevel="0" collapsed="false">
      <c r="A38309" s="3" t="s">
        <v>560</v>
      </c>
      <c r="C38309" s="16" t="n">
        <f aca="false">SUMPRODUCT($G$38293:$K$38293,$G$38102:$K$38102)*(1+SUMPRODUCT($G$38293:$K$38293,$G$38094:$K$38094)*Assumptions!$C$16/12)</f>
        <v>439.249936942163</v>
      </c>
    </row>
    <row r="38310" customFormat="false" ht="15" hidden="false" customHeight="false" outlineLevel="0" collapsed="false">
      <c r="A38310" s="3" t="s">
        <v>561</v>
      </c>
      <c r="C38310" s="16" t="n">
        <f aca="false">SUMPRODUCT($G$38293:$K$38293,$G$38115:$K$38115)*(1+SUMPRODUCT($G$38293:$K$38293,$G$38107:$K$38107)*Assumptions!$C$16/12)</f>
        <v>357.2625</v>
      </c>
    </row>
    <row r="38311" customFormat="false" ht="15" hidden="false" customHeight="false" outlineLevel="0" collapsed="false">
      <c r="A38311" s="3" t="s">
        <v>562</v>
      </c>
      <c r="C38311" s="16" t="n">
        <f aca="false">SUMPRODUCT($G$38293:$K$38293,$G$38128:$K$38128)*(1+SUMPRODUCT($G$38293:$K$38293,$G$38120:$K$38120)*Assumptions!$C$16/12)</f>
        <v>562.203125</v>
      </c>
    </row>
    <row r="38312" customFormat="false" ht="15" hidden="false" customHeight="false" outlineLevel="0" collapsed="false">
      <c r="A38312" s="3" t="s">
        <v>563</v>
      </c>
      <c r="C38312" s="16" t="n">
        <f aca="false">SUMPRODUCT($G$38293:$K$38293,$G$38141:$K$38141)*(1+SUMPRODUCT($G$38293:$K$38293,$G$38133:$K$38133)*Assumptions!$C$16/12)</f>
        <v>353.98125</v>
      </c>
    </row>
    <row r="38313" customFormat="false" ht="15" hidden="false" customHeight="false" outlineLevel="0" collapsed="false">
      <c r="A38313" s="3" t="s">
        <v>564</v>
      </c>
      <c r="C38313" s="16" t="n">
        <f aca="false">SUMPRODUCT($G$38293:$K$38293,$G$38154:$K$38154)*(1+SUMPRODUCT($G$38293:$K$38293,$G$38146:$K$38146)*Assumptions!$C$16/12)</f>
        <v>304.59375</v>
      </c>
    </row>
    <row r="38314" customFormat="false" ht="15" hidden="false" customHeight="false" outlineLevel="0" collapsed="false">
      <c r="A38314" s="3" t="s">
        <v>565</v>
      </c>
      <c r="C38314" s="16" t="n">
        <f aca="false">SUMPRODUCT($G$38293:$K$38293,$G$38167:$K$38167)*(1+SUMPRODUCT($G$38293:$K$38293,$G$38159:$K$38159)*Assumptions!$C$16/12)</f>
        <v>80.2332965</v>
      </c>
    </row>
    <row r="38315" customFormat="false" ht="15" hidden="false" customHeight="false" outlineLevel="0" collapsed="false">
      <c r="A38315" s="24" t="s">
        <v>566</v>
      </c>
      <c r="B38315" s="25"/>
      <c r="C38315" s="25"/>
      <c r="D38315" s="25"/>
      <c r="E38315" s="25"/>
      <c r="F38315" s="25"/>
      <c r="G38315" s="25"/>
      <c r="H38315" s="25"/>
      <c r="I38315" s="25"/>
      <c r="J38315" s="25"/>
      <c r="K38315" s="25"/>
    </row>
    <row r="38316" customFormat="false" ht="15" hidden="false" customHeight="false" outlineLevel="0" collapsed="false">
      <c r="A38316" s="3" t="s">
        <v>556</v>
      </c>
      <c r="C38316" s="27" t="n">
        <f aca="false">Assumptions!$M$57</f>
        <v>1</v>
      </c>
    </row>
    <row r="38317" customFormat="false" ht="15" hidden="false" customHeight="false" outlineLevel="0" collapsed="false">
      <c r="A38317" s="3" t="s">
        <v>557</v>
      </c>
      <c r="C38317" s="27" t="n">
        <f aca="false">Assumptions!$M$58</f>
        <v>1</v>
      </c>
    </row>
    <row r="38318" customFormat="false" ht="15" hidden="false" customHeight="false" outlineLevel="0" collapsed="false">
      <c r="A38318" s="3" t="s">
        <v>558</v>
      </c>
      <c r="C38318" s="27" t="n">
        <f aca="false">Assumptions!$M$59</f>
        <v>1</v>
      </c>
    </row>
    <row r="38319" customFormat="false" ht="15" hidden="false" customHeight="false" outlineLevel="0" collapsed="false">
      <c r="A38319" s="3" t="s">
        <v>559</v>
      </c>
      <c r="C38319" s="27" t="n">
        <f aca="false">Assumptions!$M$60</f>
        <v>2</v>
      </c>
    </row>
    <row r="38320" customFormat="false" ht="15" hidden="false" customHeight="false" outlineLevel="0" collapsed="false">
      <c r="A38320" s="3" t="s">
        <v>560</v>
      </c>
      <c r="C38320" s="27" t="n">
        <f aca="false">Assumptions!$M$61</f>
        <v>2</v>
      </c>
    </row>
    <row r="38321" customFormat="false" ht="15" hidden="false" customHeight="false" outlineLevel="0" collapsed="false">
      <c r="A38321" s="3" t="s">
        <v>561</v>
      </c>
      <c r="C38321" s="27" t="n">
        <f aca="false">Assumptions!$M$62</f>
        <v>2</v>
      </c>
    </row>
    <row r="38322" customFormat="false" ht="15" hidden="false" customHeight="false" outlineLevel="0" collapsed="false">
      <c r="A38322" s="3" t="s">
        <v>562</v>
      </c>
      <c r="C38322" s="27" t="n">
        <f aca="false">Assumptions!$M$63</f>
        <v>2</v>
      </c>
    </row>
    <row r="38323" customFormat="false" ht="15" hidden="false" customHeight="false" outlineLevel="0" collapsed="false">
      <c r="A38323" s="3" t="s">
        <v>563</v>
      </c>
      <c r="C38323" s="27" t="n">
        <f aca="false">Assumptions!$M$64</f>
        <v>2</v>
      </c>
    </row>
    <row r="38324" customFormat="false" ht="15" hidden="false" customHeight="false" outlineLevel="0" collapsed="false">
      <c r="A38324" s="3" t="s">
        <v>564</v>
      </c>
      <c r="C38324" s="27" t="n">
        <f aca="false">Assumptions!$M$65</f>
        <v>2</v>
      </c>
    </row>
    <row r="38325" customFormat="false" ht="15" hidden="false" customHeight="false" outlineLevel="0" collapsed="false">
      <c r="A38325" s="3" t="s">
        <v>565</v>
      </c>
      <c r="C38325" s="27" t="n">
        <f aca="false">Assumptions!$M$66</f>
        <v>3</v>
      </c>
    </row>
    <row r="38326" customFormat="false" ht="15" hidden="false" customHeight="false" outlineLevel="0" collapsed="false">
      <c r="A38326" s="24" t="s">
        <v>567</v>
      </c>
      <c r="B38326" s="25"/>
      <c r="C38326" s="25"/>
      <c r="D38326" s="25"/>
      <c r="E38326" s="25"/>
      <c r="F38326" s="25"/>
      <c r="G38326" s="25"/>
      <c r="H38326" s="25"/>
      <c r="I38326" s="25"/>
      <c r="J38326" s="25"/>
      <c r="K38326" s="25"/>
    </row>
    <row r="38327" customFormat="false" ht="15" hidden="false" customHeight="false" outlineLevel="0" collapsed="false">
      <c r="A38327" s="3" t="s">
        <v>556</v>
      </c>
      <c r="C38327" s="33" t="n">
        <f aca="false">Assumptions!$Q$57</f>
        <v>0.3</v>
      </c>
    </row>
    <row r="38328" customFormat="false" ht="15" hidden="false" customHeight="false" outlineLevel="0" collapsed="false">
      <c r="A38328" s="3" t="s">
        <v>557</v>
      </c>
      <c r="C38328" s="33" t="n">
        <f aca="false">Assumptions!$Q$58</f>
        <v>0.033</v>
      </c>
    </row>
    <row r="38329" customFormat="false" ht="15" hidden="false" customHeight="false" outlineLevel="0" collapsed="false">
      <c r="A38329" s="3" t="s">
        <v>558</v>
      </c>
      <c r="C38329" s="33" t="n">
        <f aca="false">Assumptions!$Q$59</f>
        <v>0.021</v>
      </c>
    </row>
    <row r="38330" customFormat="false" ht="15" hidden="false" customHeight="false" outlineLevel="0" collapsed="false">
      <c r="A38330" s="3" t="s">
        <v>559</v>
      </c>
      <c r="C38330" s="33" t="n">
        <f aca="false">Assumptions!$Q$60</f>
        <v>0</v>
      </c>
    </row>
    <row r="38331" customFormat="false" ht="15" hidden="false" customHeight="false" outlineLevel="0" collapsed="false">
      <c r="A38331" s="3" t="s">
        <v>560</v>
      </c>
      <c r="C38331" s="33" t="n">
        <f aca="false">Assumptions!$Q$61</f>
        <v>0</v>
      </c>
    </row>
    <row r="38332" customFormat="false" ht="15" hidden="false" customHeight="false" outlineLevel="0" collapsed="false">
      <c r="A38332" s="3" t="s">
        <v>561</v>
      </c>
      <c r="C38332" s="33" t="n">
        <f aca="false">Assumptions!$Q$62</f>
        <v>0</v>
      </c>
    </row>
    <row r="38333" customFormat="false" ht="15" hidden="false" customHeight="false" outlineLevel="0" collapsed="false">
      <c r="A38333" s="3" t="s">
        <v>562</v>
      </c>
      <c r="C38333" s="33" t="n">
        <f aca="false">Assumptions!$Q$63</f>
        <v>0</v>
      </c>
    </row>
    <row r="38334" customFormat="false" ht="15" hidden="false" customHeight="false" outlineLevel="0" collapsed="false">
      <c r="A38334" s="3" t="s">
        <v>563</v>
      </c>
      <c r="C38334" s="33" t="n">
        <f aca="false">Assumptions!$Q$64</f>
        <v>0</v>
      </c>
    </row>
    <row r="38335" customFormat="false" ht="15" hidden="false" customHeight="false" outlineLevel="0" collapsed="false">
      <c r="A38335" s="3" t="s">
        <v>564</v>
      </c>
      <c r="C38335" s="33" t="n">
        <f aca="false">Assumptions!$Q$65</f>
        <v>0</v>
      </c>
    </row>
    <row r="38336" customFormat="false" ht="15" hidden="false" customHeight="false" outlineLevel="0" collapsed="false">
      <c r="A38336" s="3" t="s">
        <v>565</v>
      </c>
      <c r="C38336" s="33" t="n">
        <f aca="false">Assumptions!$Q$66</f>
        <v>0</v>
      </c>
    </row>
    <row r="38337" customFormat="false" ht="15" hidden="false" customHeight="false" outlineLevel="0" collapsed="false">
      <c r="A38337" s="24" t="s">
        <v>568</v>
      </c>
      <c r="B38337" s="25"/>
      <c r="C38337" s="25"/>
      <c r="D38337" s="25"/>
      <c r="E38337" s="25"/>
      <c r="F38337" s="25"/>
      <c r="G38337" s="25"/>
      <c r="H38337" s="25"/>
      <c r="I38337" s="25"/>
      <c r="J38337" s="25"/>
      <c r="K38337" s="25"/>
    </row>
    <row r="38338" customFormat="false" ht="15" hidden="false" customHeight="false" outlineLevel="0" collapsed="false">
      <c r="A38338" s="3" t="s">
        <v>556</v>
      </c>
      <c r="C38338" s="16" t="n">
        <f aca="false">IF(C38327&gt;0,MIN(C38305,C38327*$C$38303),0)</f>
        <v>403.76</v>
      </c>
    </row>
    <row r="38339" customFormat="false" ht="15" hidden="false" customHeight="false" outlineLevel="0" collapsed="false">
      <c r="A38339" s="3" t="s">
        <v>557</v>
      </c>
      <c r="C38339" s="16" t="n">
        <f aca="false">IF(C38328&gt;0,MIN(C38306,C38328*$C$38303),0)</f>
        <v>85.1568504864</v>
      </c>
    </row>
    <row r="38340" customFormat="false" ht="15" hidden="false" customHeight="false" outlineLevel="0" collapsed="false">
      <c r="A38340" s="3" t="s">
        <v>558</v>
      </c>
      <c r="C38340" s="16" t="n">
        <f aca="false">IF(C38329&gt;0,MIN(C38307,C38329*$C$38303),0)</f>
        <v>54.1907230368</v>
      </c>
    </row>
    <row r="38341" customFormat="false" ht="15" hidden="false" customHeight="false" outlineLevel="0" collapsed="false">
      <c r="A38341" s="3" t="s">
        <v>559</v>
      </c>
      <c r="C38341" s="16" t="n">
        <f aca="false">IF(C38330&gt;0,MIN(C38308,C38330*$C$38303),0)</f>
        <v>0</v>
      </c>
    </row>
    <row r="38342" customFormat="false" ht="15" hidden="false" customHeight="false" outlineLevel="0" collapsed="false">
      <c r="A38342" s="3" t="s">
        <v>560</v>
      </c>
      <c r="C38342" s="16" t="n">
        <f aca="false">IF(C38331&gt;0,MIN(C38309,C38331*$C$38303),0)</f>
        <v>0</v>
      </c>
    </row>
    <row r="38343" customFormat="false" ht="15" hidden="false" customHeight="false" outlineLevel="0" collapsed="false">
      <c r="A38343" s="3" t="s">
        <v>561</v>
      </c>
      <c r="C38343" s="16" t="n">
        <f aca="false">IF(C38332&gt;0,MIN(C38310,C38332*$C$38303),0)</f>
        <v>0</v>
      </c>
    </row>
    <row r="38344" customFormat="false" ht="15" hidden="false" customHeight="false" outlineLevel="0" collapsed="false">
      <c r="A38344" s="3" t="s">
        <v>562</v>
      </c>
      <c r="C38344" s="16" t="n">
        <f aca="false">IF(C38333&gt;0,MIN(C38311,C38333*$C$38303),0)</f>
        <v>0</v>
      </c>
    </row>
    <row r="38345" customFormat="false" ht="15" hidden="false" customHeight="false" outlineLevel="0" collapsed="false">
      <c r="A38345" s="3" t="s">
        <v>563</v>
      </c>
      <c r="C38345" s="16" t="n">
        <f aca="false">IF(C38334&gt;0,MIN(C38312,C38334*$C$38303),0)</f>
        <v>0</v>
      </c>
    </row>
    <row r="38346" customFormat="false" ht="15" hidden="false" customHeight="false" outlineLevel="0" collapsed="false">
      <c r="A38346" s="3" t="s">
        <v>564</v>
      </c>
      <c r="C38346" s="16" t="n">
        <f aca="false">IF(C38335&gt;0,MIN(C38313,C38335*$C$38303),0)</f>
        <v>0</v>
      </c>
    </row>
    <row r="38347" customFormat="false" ht="15" hidden="false" customHeight="false" outlineLevel="0" collapsed="false">
      <c r="A38347" s="3" t="s">
        <v>565</v>
      </c>
      <c r="C38347" s="16" t="n">
        <f aca="false">IF(C38336&gt;0,MIN(C38314,C38336*$C$38303),0)</f>
        <v>0</v>
      </c>
    </row>
    <row r="38348" customFormat="false" ht="15" hidden="false" customHeight="false" outlineLevel="0" collapsed="false">
      <c r="A38348" s="24" t="s">
        <v>569</v>
      </c>
      <c r="B38348" s="25"/>
      <c r="C38348" s="25"/>
      <c r="D38348" s="25"/>
      <c r="E38348" s="25"/>
      <c r="F38348" s="25"/>
      <c r="G38348" s="25"/>
      <c r="H38348" s="25"/>
      <c r="I38348" s="25"/>
      <c r="J38348" s="25"/>
      <c r="K38348" s="25"/>
    </row>
    <row r="38349" customFormat="false" ht="15" hidden="false" customHeight="false" outlineLevel="0" collapsed="false">
      <c r="A38349" s="3" t="s">
        <v>556</v>
      </c>
      <c r="C38349" s="16" t="n">
        <f aca="false">IF(C38327&gt;0,C38305-C38338,0)</f>
        <v>0</v>
      </c>
      <c r="G38349" s="21" t="n">
        <f aca="false">IF(AND(G38040=1,G38037=1),1,0)</f>
        <v>0</v>
      </c>
      <c r="H38349" s="21" t="n">
        <f aca="false">IF(G38349=1,1,IF(AND(H38040=1,H38037=1),1,0))</f>
        <v>0</v>
      </c>
      <c r="I38349" s="21" t="n">
        <f aca="false">IF(H38349=1,1,IF(AND(I38040=1,I38037=1),1,0))</f>
        <v>0</v>
      </c>
      <c r="J38349" s="21" t="n">
        <f aca="false">IF(I38349=1,1,IF(AND(J38040=1,J38037=1),1,0))</f>
        <v>0</v>
      </c>
      <c r="K38349" s="21" t="n">
        <f aca="false">IF(J38349=1,1,IF(AND(K38040=1,K38037=1),1,0))</f>
        <v>0</v>
      </c>
    </row>
    <row r="38350" customFormat="false" ht="15" hidden="false" customHeight="false" outlineLevel="0" collapsed="false">
      <c r="A38350" s="3" t="s">
        <v>557</v>
      </c>
      <c r="C38350" s="16" t="n">
        <f aca="false">IF(C38328&gt;0,C38306-C38339,0)</f>
        <v>6.15039951360001</v>
      </c>
      <c r="G38350" s="21" t="n">
        <f aca="false">IF(AND(G38053=1,G38037=1),1,0)</f>
        <v>0</v>
      </c>
      <c r="H38350" s="21" t="n">
        <f aca="false">IF(G38350=1,1,IF(AND(H38053=1,H38037=1),1,0))</f>
        <v>0</v>
      </c>
      <c r="I38350" s="21" t="n">
        <f aca="false">IF(H38350=1,1,IF(AND(I38053=1,I38037=1),1,0))</f>
        <v>0</v>
      </c>
      <c r="J38350" s="21" t="n">
        <f aca="false">IF(I38350=1,1,IF(AND(J38053=1,J38037=1),1,0))</f>
        <v>0</v>
      </c>
      <c r="K38350" s="21" t="n">
        <f aca="false">IF(J38350=1,1,IF(AND(K38053=1,K38037=1),1,0))</f>
        <v>0</v>
      </c>
    </row>
    <row r="38351" customFormat="false" ht="15" hidden="false" customHeight="false" outlineLevel="0" collapsed="false">
      <c r="A38351" s="3" t="s">
        <v>558</v>
      </c>
      <c r="C38351" s="16" t="n">
        <f aca="false">IF(C38329&gt;0,C38307-C38340,0)</f>
        <v>4.1808730632</v>
      </c>
      <c r="G38351" s="21" t="n">
        <f aca="false">IF(AND(G38066=1,G38037=1),1,0)</f>
        <v>0</v>
      </c>
      <c r="H38351" s="21" t="n">
        <f aca="false">IF(G38351=1,1,IF(AND(H38066=1,H38037=1),1,0))</f>
        <v>0</v>
      </c>
      <c r="I38351" s="21" t="n">
        <f aca="false">IF(H38351=1,1,IF(AND(I38066=1,I38037=1),1,0))</f>
        <v>0</v>
      </c>
      <c r="J38351" s="21" t="n">
        <f aca="false">IF(I38351=1,1,IF(AND(J38066=1,J38037=1),1,0))</f>
        <v>0</v>
      </c>
      <c r="K38351" s="21" t="n">
        <f aca="false">IF(J38351=1,1,IF(AND(K38066=1,K38037=1),1,0))</f>
        <v>0</v>
      </c>
    </row>
    <row r="38352" customFormat="false" ht="15" hidden="false" customHeight="false" outlineLevel="0" collapsed="false">
      <c r="A38352" s="3" t="s">
        <v>559</v>
      </c>
      <c r="C38352" s="16" t="n">
        <f aca="false">IF(C38330&gt;0,C38308-C38341,0)</f>
        <v>0</v>
      </c>
      <c r="G38352" s="21" t="n">
        <f aca="false">IF(AND(G38079=1,G38037=1),1,0)</f>
        <v>0</v>
      </c>
      <c r="H38352" s="21" t="n">
        <f aca="false">IF(G38352=1,1,IF(AND(H38079=1,H38037=1),1,0))</f>
        <v>0</v>
      </c>
      <c r="I38352" s="21" t="n">
        <f aca="false">IF(H38352=1,1,IF(AND(I38079=1,I38037=1),1,0))</f>
        <v>0</v>
      </c>
      <c r="J38352" s="21" t="n">
        <f aca="false">IF(I38352=1,1,IF(AND(J38079=1,J38037=1),1,0))</f>
        <v>0</v>
      </c>
      <c r="K38352" s="21" t="n">
        <f aca="false">IF(J38352=1,1,IF(AND(K38079=1,K38037=1),1,0))</f>
        <v>0</v>
      </c>
    </row>
    <row r="38353" customFormat="false" ht="15" hidden="false" customHeight="false" outlineLevel="0" collapsed="false">
      <c r="A38353" s="3" t="s">
        <v>560</v>
      </c>
      <c r="C38353" s="16" t="n">
        <f aca="false">IF(C38331&gt;0,C38309-C38342,0)</f>
        <v>0</v>
      </c>
      <c r="G38353" s="21" t="n">
        <f aca="false">IF(AND(G38092=1,G38037=1),1,0)</f>
        <v>0</v>
      </c>
      <c r="H38353" s="21" t="n">
        <f aca="false">IF(G38353=1,1,IF(AND(H38092=1,H38037=1),1,0))</f>
        <v>0</v>
      </c>
      <c r="I38353" s="21" t="n">
        <f aca="false">IF(H38353=1,1,IF(AND(I38092=1,I38037=1),1,0))</f>
        <v>0</v>
      </c>
      <c r="J38353" s="21" t="n">
        <f aca="false">IF(I38353=1,1,IF(AND(J38092=1,J38037=1),1,0))</f>
        <v>0</v>
      </c>
      <c r="K38353" s="21" t="n">
        <f aca="false">IF(J38353=1,1,IF(AND(K38092=1,K38037=1),1,0))</f>
        <v>0</v>
      </c>
    </row>
    <row r="38354" customFormat="false" ht="15" hidden="false" customHeight="false" outlineLevel="0" collapsed="false">
      <c r="A38354" s="3" t="s">
        <v>561</v>
      </c>
      <c r="C38354" s="16" t="n">
        <f aca="false">IF(C38332&gt;0,C38310-C38343,0)</f>
        <v>0</v>
      </c>
      <c r="G38354" s="21" t="n">
        <f aca="false">IF(AND(G38105=1,G38037=1),1,0)</f>
        <v>0</v>
      </c>
      <c r="H38354" s="21" t="n">
        <f aca="false">IF(G38354=1,1,IF(AND(H38105=1,H38037=1),1,0))</f>
        <v>0</v>
      </c>
      <c r="I38354" s="21" t="n">
        <f aca="false">IF(H38354=1,1,IF(AND(I38105=1,I38037=1),1,0))</f>
        <v>0</v>
      </c>
      <c r="J38354" s="21" t="n">
        <f aca="false">IF(I38354=1,1,IF(AND(J38105=1,J38037=1),1,0))</f>
        <v>0</v>
      </c>
      <c r="K38354" s="21" t="n">
        <f aca="false">IF(J38354=1,1,IF(AND(K38105=1,K38037=1),1,0))</f>
        <v>0</v>
      </c>
    </row>
    <row r="38355" customFormat="false" ht="15" hidden="false" customHeight="false" outlineLevel="0" collapsed="false">
      <c r="A38355" s="3" t="s">
        <v>562</v>
      </c>
      <c r="C38355" s="16" t="n">
        <f aca="false">IF(C38333&gt;0,C38311-C38344,0)</f>
        <v>0</v>
      </c>
      <c r="G38355" s="21" t="n">
        <f aca="false">IF(AND(G38118=1,G38037=1),1,0)</f>
        <v>0</v>
      </c>
      <c r="H38355" s="21" t="n">
        <f aca="false">IF(G38355=1,1,IF(AND(H38118=1,H38037=1),1,0))</f>
        <v>0</v>
      </c>
      <c r="I38355" s="21" t="n">
        <f aca="false">IF(H38355=1,1,IF(AND(I38118=1,I38037=1),1,0))</f>
        <v>0</v>
      </c>
      <c r="J38355" s="21" t="n">
        <f aca="false">IF(I38355=1,1,IF(AND(J38118=1,J38037=1),1,0))</f>
        <v>0</v>
      </c>
      <c r="K38355" s="21" t="n">
        <f aca="false">IF(J38355=1,1,IF(AND(K38118=1,K38037=1),1,0))</f>
        <v>0</v>
      </c>
    </row>
    <row r="38356" customFormat="false" ht="15" hidden="false" customHeight="false" outlineLevel="0" collapsed="false">
      <c r="A38356" s="3" t="s">
        <v>563</v>
      </c>
      <c r="C38356" s="16" t="n">
        <f aca="false">IF(C38334&gt;0,C38312-C38345,0)</f>
        <v>0</v>
      </c>
      <c r="G38356" s="21" t="n">
        <f aca="false">IF(AND(G38131=1,G38037=1),1,0)</f>
        <v>0</v>
      </c>
      <c r="H38356" s="21" t="n">
        <f aca="false">IF(G38356=1,1,IF(AND(H38131=1,H38037=1),1,0))</f>
        <v>0</v>
      </c>
      <c r="I38356" s="21" t="n">
        <f aca="false">IF(H38356=1,1,IF(AND(I38131=1,I38037=1),1,0))</f>
        <v>0</v>
      </c>
      <c r="J38356" s="21" t="n">
        <f aca="false">IF(I38356=1,1,IF(AND(J38131=1,J38037=1),1,0))</f>
        <v>0</v>
      </c>
      <c r="K38356" s="21" t="n">
        <f aca="false">IF(J38356=1,1,IF(AND(K38131=1,K38037=1),1,0))</f>
        <v>0</v>
      </c>
    </row>
    <row r="38357" customFormat="false" ht="15" hidden="false" customHeight="false" outlineLevel="0" collapsed="false">
      <c r="A38357" s="3" t="s">
        <v>564</v>
      </c>
      <c r="C38357" s="16" t="n">
        <f aca="false">IF(C38335&gt;0,C38313-C38346,0)</f>
        <v>0</v>
      </c>
      <c r="G38357" s="21" t="n">
        <f aca="false">IF(AND(G38144=1,G38037=1),1,0)</f>
        <v>0</v>
      </c>
      <c r="H38357" s="21" t="n">
        <f aca="false">IF(G38357=1,1,IF(AND(H38144=1,H38037=1),1,0))</f>
        <v>0</v>
      </c>
      <c r="I38357" s="21" t="n">
        <f aca="false">IF(H38357=1,1,IF(AND(I38144=1,I38037=1),1,0))</f>
        <v>0</v>
      </c>
      <c r="J38357" s="21" t="n">
        <f aca="false">IF(I38357=1,1,IF(AND(J38144=1,J38037=1),1,0))</f>
        <v>0</v>
      </c>
      <c r="K38357" s="21" t="n">
        <f aca="false">IF(J38357=1,1,IF(AND(K38144=1,K38037=1),1,0))</f>
        <v>0</v>
      </c>
    </row>
    <row r="38358" customFormat="false" ht="15" hidden="false" customHeight="false" outlineLevel="0" collapsed="false">
      <c r="A38358" s="3" t="s">
        <v>565</v>
      </c>
      <c r="C38358" s="16" t="n">
        <f aca="false">IF(C38336&gt;0,C38314-C38347,0)</f>
        <v>0</v>
      </c>
      <c r="G38358" s="21" t="n">
        <f aca="false">IF(AND(G38157=1,G38037=1),1,0)</f>
        <v>0</v>
      </c>
      <c r="H38358" s="21" t="n">
        <f aca="false">IF(G38358=1,1,IF(AND(H38157=1,H38037=1),1,0))</f>
        <v>0</v>
      </c>
      <c r="I38358" s="21" t="n">
        <f aca="false">IF(H38358=1,1,IF(AND(I38157=1,I38037=1),1,0))</f>
        <v>0</v>
      </c>
      <c r="J38358" s="21" t="n">
        <f aca="false">IF(I38358=1,1,IF(AND(J38157=1,J38037=1),1,0))</f>
        <v>0</v>
      </c>
      <c r="K38358" s="21" t="n">
        <f aca="false">IF(J38358=1,1,IF(AND(K38157=1,K38037=1),1,0))</f>
        <v>0</v>
      </c>
    </row>
    <row r="38359" customFormat="false" ht="15" hidden="false" customHeight="false" outlineLevel="0" collapsed="false">
      <c r="A38359" s="24" t="s">
        <v>570</v>
      </c>
      <c r="B38359" s="25"/>
      <c r="C38359" s="25"/>
      <c r="D38359" s="25"/>
      <c r="E38359" s="25"/>
      <c r="F38359" s="25"/>
      <c r="G38359" s="25"/>
      <c r="H38359" s="25"/>
      <c r="I38359" s="25"/>
      <c r="J38359" s="25"/>
      <c r="K38359" s="25"/>
    </row>
    <row r="38360" customFormat="false" ht="15" hidden="false" customHeight="false" outlineLevel="0" collapsed="false">
      <c r="A38360" s="3" t="s">
        <v>556</v>
      </c>
      <c r="C38360" s="16" t="n">
        <f aca="false">IF(C38327&gt;0,C38349,C38305)</f>
        <v>0</v>
      </c>
    </row>
    <row r="38361" customFormat="false" ht="15" hidden="false" customHeight="false" outlineLevel="0" collapsed="false">
      <c r="A38361" s="3" t="s">
        <v>557</v>
      </c>
      <c r="C38361" s="16" t="n">
        <f aca="false">IF(C38328&gt;0,C38350,C38306)</f>
        <v>6.15039951360001</v>
      </c>
    </row>
    <row r="38362" customFormat="false" ht="15" hidden="false" customHeight="false" outlineLevel="0" collapsed="false">
      <c r="A38362" s="3" t="s">
        <v>558</v>
      </c>
      <c r="C38362" s="16" t="n">
        <f aca="false">IF(C38329&gt;0,C38351,C38307)</f>
        <v>4.1808730632</v>
      </c>
    </row>
    <row r="38363" customFormat="false" ht="15" hidden="false" customHeight="false" outlineLevel="0" collapsed="false">
      <c r="A38363" s="3" t="s">
        <v>559</v>
      </c>
      <c r="C38363" s="16" t="n">
        <f aca="false">IF(C38330&gt;0,C38352,C38308)</f>
        <v>0</v>
      </c>
    </row>
    <row r="38364" customFormat="false" ht="15" hidden="false" customHeight="false" outlineLevel="0" collapsed="false">
      <c r="A38364" s="3" t="s">
        <v>560</v>
      </c>
      <c r="C38364" s="16" t="n">
        <f aca="false">IF(C38331&gt;0,C38353,C38309)</f>
        <v>439.249936942163</v>
      </c>
    </row>
    <row r="38365" customFormat="false" ht="15" hidden="false" customHeight="false" outlineLevel="0" collapsed="false">
      <c r="A38365" s="3" t="s">
        <v>561</v>
      </c>
      <c r="C38365" s="16" t="n">
        <f aca="false">IF(C38332&gt;0,C38354,C38310)</f>
        <v>357.2625</v>
      </c>
    </row>
    <row r="38366" customFormat="false" ht="15" hidden="false" customHeight="false" outlineLevel="0" collapsed="false">
      <c r="A38366" s="3" t="s">
        <v>562</v>
      </c>
      <c r="C38366" s="16" t="n">
        <f aca="false">IF(C38333&gt;0,C38355,C38311)</f>
        <v>562.203125</v>
      </c>
    </row>
    <row r="38367" customFormat="false" ht="15" hidden="false" customHeight="false" outlineLevel="0" collapsed="false">
      <c r="A38367" s="3" t="s">
        <v>563</v>
      </c>
      <c r="C38367" s="16" t="n">
        <f aca="false">IF(C38334&gt;0,C38356,C38312)</f>
        <v>353.98125</v>
      </c>
    </row>
    <row r="38368" customFormat="false" ht="15" hidden="false" customHeight="false" outlineLevel="0" collapsed="false">
      <c r="A38368" s="3" t="s">
        <v>564</v>
      </c>
      <c r="C38368" s="16" t="n">
        <f aca="false">IF(C38335&gt;0,C38357,C38313)</f>
        <v>304.59375</v>
      </c>
    </row>
    <row r="38369" customFormat="false" ht="15" hidden="false" customHeight="false" outlineLevel="0" collapsed="false">
      <c r="A38369" s="3" t="s">
        <v>565</v>
      </c>
      <c r="C38369" s="16" t="n">
        <f aca="false">IF(C38336&gt;0,C38358,C38314)</f>
        <v>80.2332965</v>
      </c>
    </row>
    <row r="38370" customFormat="false" ht="15" hidden="false" customHeight="false" outlineLevel="0" collapsed="false">
      <c r="A38370" s="24" t="s">
        <v>571</v>
      </c>
      <c r="B38370" s="25"/>
      <c r="C38370" s="25"/>
      <c r="D38370" s="25"/>
      <c r="E38370" s="25"/>
      <c r="F38370" s="25"/>
      <c r="G38370" s="25"/>
      <c r="H38370" s="25"/>
      <c r="I38370" s="25"/>
      <c r="J38370" s="25"/>
      <c r="K38370" s="25"/>
    </row>
    <row r="38371" customFormat="false" ht="15" hidden="false" customHeight="false" outlineLevel="0" collapsed="false">
      <c r="A38371" s="3" t="s">
        <v>556</v>
      </c>
      <c r="C38371" s="21" t="n">
        <f aca="false">IF(C38327&gt;0,Assumptions!$C$17,C38316)</f>
        <v>99</v>
      </c>
    </row>
    <row r="38372" customFormat="false" ht="15" hidden="false" customHeight="false" outlineLevel="0" collapsed="false">
      <c r="A38372" s="3" t="s">
        <v>557</v>
      </c>
      <c r="C38372" s="21" t="n">
        <f aca="false">IF(C38328&gt;0,Assumptions!$C$17,C38317)</f>
        <v>99</v>
      </c>
    </row>
    <row r="38373" customFormat="false" ht="15" hidden="false" customHeight="false" outlineLevel="0" collapsed="false">
      <c r="A38373" s="3" t="s">
        <v>558</v>
      </c>
      <c r="C38373" s="21" t="n">
        <f aca="false">IF(C38329&gt;0,Assumptions!$C$17,C38318)</f>
        <v>99</v>
      </c>
    </row>
    <row r="38374" customFormat="false" ht="15" hidden="false" customHeight="false" outlineLevel="0" collapsed="false">
      <c r="A38374" s="3" t="s">
        <v>559</v>
      </c>
      <c r="C38374" s="21" t="n">
        <f aca="false">IF(C38330&gt;0,Assumptions!$C$17,C38319)</f>
        <v>2</v>
      </c>
    </row>
    <row r="38375" customFormat="false" ht="15" hidden="false" customHeight="false" outlineLevel="0" collapsed="false">
      <c r="A38375" s="3" t="s">
        <v>560</v>
      </c>
      <c r="C38375" s="21" t="n">
        <f aca="false">IF(C38331&gt;0,Assumptions!$C$17,C38320)</f>
        <v>2</v>
      </c>
    </row>
    <row r="38376" customFormat="false" ht="15" hidden="false" customHeight="false" outlineLevel="0" collapsed="false">
      <c r="A38376" s="3" t="s">
        <v>561</v>
      </c>
      <c r="C38376" s="21" t="n">
        <f aca="false">IF(C38332&gt;0,Assumptions!$C$17,C38321)</f>
        <v>2</v>
      </c>
    </row>
    <row r="38377" customFormat="false" ht="15" hidden="false" customHeight="false" outlineLevel="0" collapsed="false">
      <c r="A38377" s="3" t="s">
        <v>562</v>
      </c>
      <c r="C38377" s="21" t="n">
        <f aca="false">IF(C38333&gt;0,Assumptions!$C$17,C38322)</f>
        <v>2</v>
      </c>
    </row>
    <row r="38378" customFormat="false" ht="15" hidden="false" customHeight="false" outlineLevel="0" collapsed="false">
      <c r="A38378" s="3" t="s">
        <v>563</v>
      </c>
      <c r="C38378" s="21" t="n">
        <f aca="false">IF(C38334&gt;0,Assumptions!$C$17,C38323)</f>
        <v>2</v>
      </c>
    </row>
    <row r="38379" customFormat="false" ht="15" hidden="false" customHeight="false" outlineLevel="0" collapsed="false">
      <c r="A38379" s="3" t="s">
        <v>564</v>
      </c>
      <c r="C38379" s="21" t="n">
        <f aca="false">IF(C38335&gt;0,Assumptions!$C$17,C38324)</f>
        <v>2</v>
      </c>
    </row>
    <row r="38380" customFormat="false" ht="15" hidden="false" customHeight="false" outlineLevel="0" collapsed="false">
      <c r="A38380" s="3" t="s">
        <v>565</v>
      </c>
      <c r="C38380" s="21" t="n">
        <f aca="false">IF(C38336&gt;0,Assumptions!$C$17,C38325)</f>
        <v>3</v>
      </c>
    </row>
    <row r="38381" customFormat="false" ht="15" hidden="false" customHeight="false" outlineLevel="0" collapsed="false">
      <c r="A38381" s="24" t="s">
        <v>572</v>
      </c>
      <c r="B38381" s="25"/>
      <c r="C38381" s="25"/>
      <c r="D38381" s="25"/>
      <c r="E38381" s="25"/>
      <c r="F38381" s="25"/>
      <c r="G38381" s="25"/>
      <c r="H38381" s="25"/>
      <c r="I38381" s="25"/>
      <c r="J38381" s="25"/>
      <c r="K38381" s="25"/>
    </row>
    <row r="38382" customFormat="false" ht="15" hidden="false" customHeight="false" outlineLevel="0" collapsed="false">
      <c r="A38382" s="3" t="s">
        <v>556</v>
      </c>
      <c r="C38382" s="16" t="n">
        <f aca="false">SUMPRODUCT(($C$38371:$C$38380&lt;C38371)*$C$38360:$C$38369)</f>
        <v>2097.52385844216</v>
      </c>
    </row>
    <row r="38383" customFormat="false" ht="15" hidden="false" customHeight="false" outlineLevel="0" collapsed="false">
      <c r="A38383" s="3" t="s">
        <v>557</v>
      </c>
      <c r="C38383" s="16" t="n">
        <f aca="false">SUMPRODUCT(($C$38371:$C$38380&lt;C38372)*$C$38360:$C$38369)</f>
        <v>2097.52385844216</v>
      </c>
    </row>
    <row r="38384" customFormat="false" ht="15" hidden="false" customHeight="false" outlineLevel="0" collapsed="false">
      <c r="A38384" s="3" t="s">
        <v>558</v>
      </c>
      <c r="C38384" s="16" t="n">
        <f aca="false">SUMPRODUCT(($C$38371:$C$38380&lt;C38373)*$C$38360:$C$38369)</f>
        <v>2097.52385844216</v>
      </c>
    </row>
    <row r="38385" customFormat="false" ht="15" hidden="false" customHeight="false" outlineLevel="0" collapsed="false">
      <c r="A38385" s="3" t="s">
        <v>559</v>
      </c>
      <c r="C38385" s="16" t="n">
        <f aca="false">SUMPRODUCT(($C$38371:$C$38380&lt;C38374)*$C$38360:$C$38369)</f>
        <v>0</v>
      </c>
    </row>
    <row r="38386" customFormat="false" ht="15" hidden="false" customHeight="false" outlineLevel="0" collapsed="false">
      <c r="A38386" s="3" t="s">
        <v>560</v>
      </c>
      <c r="C38386" s="16" t="n">
        <f aca="false">SUMPRODUCT(($C$38371:$C$38380&lt;C38375)*$C$38360:$C$38369)</f>
        <v>0</v>
      </c>
    </row>
    <row r="38387" customFormat="false" ht="15" hidden="false" customHeight="false" outlineLevel="0" collapsed="false">
      <c r="A38387" s="3" t="s">
        <v>561</v>
      </c>
      <c r="C38387" s="16" t="n">
        <f aca="false">SUMPRODUCT(($C$38371:$C$38380&lt;C38376)*$C$38360:$C$38369)</f>
        <v>0</v>
      </c>
    </row>
    <row r="38388" customFormat="false" ht="15" hidden="false" customHeight="false" outlineLevel="0" collapsed="false">
      <c r="A38388" s="3" t="s">
        <v>562</v>
      </c>
      <c r="C38388" s="16" t="n">
        <f aca="false">SUMPRODUCT(($C$38371:$C$38380&lt;C38377)*$C$38360:$C$38369)</f>
        <v>0</v>
      </c>
    </row>
    <row r="38389" customFormat="false" ht="15" hidden="false" customHeight="false" outlineLevel="0" collapsed="false">
      <c r="A38389" s="3" t="s">
        <v>563</v>
      </c>
      <c r="C38389" s="16" t="n">
        <f aca="false">SUMPRODUCT(($C$38371:$C$38380&lt;C38378)*$C$38360:$C$38369)</f>
        <v>0</v>
      </c>
    </row>
    <row r="38390" customFormat="false" ht="15" hidden="false" customHeight="false" outlineLevel="0" collapsed="false">
      <c r="A38390" s="3" t="s">
        <v>564</v>
      </c>
      <c r="C38390" s="16" t="n">
        <f aca="false">SUMPRODUCT(($C$38371:$C$38380&lt;C38379)*$C$38360:$C$38369)</f>
        <v>0</v>
      </c>
    </row>
    <row r="38391" customFormat="false" ht="15" hidden="false" customHeight="false" outlineLevel="0" collapsed="false">
      <c r="A38391" s="3" t="s">
        <v>565</v>
      </c>
      <c r="C38391" s="16" t="n">
        <f aca="false">SUMPRODUCT(($C$38371:$C$38380&lt;C38380)*$C$38360:$C$38369)</f>
        <v>2017.29056194216</v>
      </c>
    </row>
    <row r="38392" customFormat="false" ht="15" hidden="false" customHeight="false" outlineLevel="0" collapsed="false">
      <c r="A38392" s="24" t="s">
        <v>573</v>
      </c>
      <c r="B38392" s="25"/>
      <c r="C38392" s="25"/>
      <c r="D38392" s="25"/>
      <c r="E38392" s="25"/>
      <c r="F38392" s="25"/>
      <c r="G38392" s="25"/>
      <c r="H38392" s="25"/>
      <c r="I38392" s="25"/>
      <c r="J38392" s="25"/>
      <c r="K38392" s="25"/>
    </row>
    <row r="38393" customFormat="false" ht="15" hidden="false" customHeight="false" outlineLevel="0" collapsed="false">
      <c r="A38393" s="3" t="s">
        <v>556</v>
      </c>
      <c r="C38393" s="16" t="n">
        <f aca="false">SUMPRODUCT(($C$38371:$C$38380=C38371)*$C$38360:$C$38369)</f>
        <v>10.3312725768</v>
      </c>
    </row>
    <row r="38394" customFormat="false" ht="15" hidden="false" customHeight="false" outlineLevel="0" collapsed="false">
      <c r="A38394" s="3" t="s">
        <v>557</v>
      </c>
      <c r="C38394" s="16" t="n">
        <f aca="false">SUMPRODUCT(($C$38371:$C$38380=C38372)*$C$38360:$C$38369)</f>
        <v>10.3312725768</v>
      </c>
    </row>
    <row r="38395" customFormat="false" ht="15" hidden="false" customHeight="false" outlineLevel="0" collapsed="false">
      <c r="A38395" s="3" t="s">
        <v>558</v>
      </c>
      <c r="C38395" s="16" t="n">
        <f aca="false">SUMPRODUCT(($C$38371:$C$38380=C38373)*$C$38360:$C$38369)</f>
        <v>10.3312725768</v>
      </c>
    </row>
    <row r="38396" customFormat="false" ht="15" hidden="false" customHeight="false" outlineLevel="0" collapsed="false">
      <c r="A38396" s="3" t="s">
        <v>559</v>
      </c>
      <c r="C38396" s="16" t="n">
        <f aca="false">SUMPRODUCT(($C$38371:$C$38380=C38374)*$C$38360:$C$38369)</f>
        <v>2017.29056194216</v>
      </c>
    </row>
    <row r="38397" customFormat="false" ht="15" hidden="false" customHeight="false" outlineLevel="0" collapsed="false">
      <c r="A38397" s="3" t="s">
        <v>560</v>
      </c>
      <c r="C38397" s="16" t="n">
        <f aca="false">SUMPRODUCT(($C$38371:$C$38380=C38375)*$C$38360:$C$38369)</f>
        <v>2017.29056194216</v>
      </c>
    </row>
    <row r="38398" customFormat="false" ht="15" hidden="false" customHeight="false" outlineLevel="0" collapsed="false">
      <c r="A38398" s="3" t="s">
        <v>561</v>
      </c>
      <c r="C38398" s="16" t="n">
        <f aca="false">SUMPRODUCT(($C$38371:$C$38380=C38376)*$C$38360:$C$38369)</f>
        <v>2017.29056194216</v>
      </c>
    </row>
    <row r="38399" customFormat="false" ht="15" hidden="false" customHeight="false" outlineLevel="0" collapsed="false">
      <c r="A38399" s="3" t="s">
        <v>562</v>
      </c>
      <c r="C38399" s="16" t="n">
        <f aca="false">SUMPRODUCT(($C$38371:$C$38380=C38377)*$C$38360:$C$38369)</f>
        <v>2017.29056194216</v>
      </c>
    </row>
    <row r="38400" customFormat="false" ht="15" hidden="false" customHeight="false" outlineLevel="0" collapsed="false">
      <c r="A38400" s="3" t="s">
        <v>563</v>
      </c>
      <c r="C38400" s="16" t="n">
        <f aca="false">SUMPRODUCT(($C$38371:$C$38380=C38378)*$C$38360:$C$38369)</f>
        <v>2017.29056194216</v>
      </c>
    </row>
    <row r="38401" customFormat="false" ht="15" hidden="false" customHeight="false" outlineLevel="0" collapsed="false">
      <c r="A38401" s="3" t="s">
        <v>564</v>
      </c>
      <c r="C38401" s="16" t="n">
        <f aca="false">SUMPRODUCT(($C$38371:$C$38380=C38379)*$C$38360:$C$38369)</f>
        <v>2017.29056194216</v>
      </c>
    </row>
    <row r="38402" customFormat="false" ht="15" hidden="false" customHeight="false" outlineLevel="0" collapsed="false">
      <c r="A38402" s="3" t="s">
        <v>565</v>
      </c>
      <c r="C38402" s="16" t="n">
        <f aca="false">SUMPRODUCT(($C$38371:$C$38380=C38380)*$C$38360:$C$38369)</f>
        <v>80.2332965</v>
      </c>
    </row>
    <row r="38403" customFormat="false" ht="15" hidden="false" customHeight="false" outlineLevel="0" collapsed="false">
      <c r="A38403" s="24" t="s">
        <v>574</v>
      </c>
      <c r="B38403" s="25"/>
      <c r="C38403" s="25"/>
      <c r="D38403" s="25"/>
      <c r="E38403" s="25"/>
      <c r="F38403" s="25"/>
      <c r="G38403" s="25"/>
      <c r="H38403" s="25"/>
      <c r="I38403" s="25"/>
      <c r="J38403" s="25"/>
      <c r="K38403" s="25"/>
    </row>
    <row r="38404" customFormat="false" ht="15" hidden="false" customHeight="false" outlineLevel="0" collapsed="false">
      <c r="A38404" s="3" t="s">
        <v>556</v>
      </c>
      <c r="C38404" s="16" t="n">
        <f aca="false">IF(C38393=0,0,C38360/C38393*MAX(0,MIN(C38393,$C$38303-SUM($C$38338:$C$38347)-C38382)))</f>
        <v>0</v>
      </c>
    </row>
    <row r="38405" customFormat="false" ht="15" hidden="false" customHeight="false" outlineLevel="0" collapsed="false">
      <c r="A38405" s="3" t="s">
        <v>557</v>
      </c>
      <c r="C38405" s="16" t="n">
        <f aca="false">IF(C38394=0,0,C38361/C38394*MAX(0,MIN(C38394,$C$38303-SUM($C$38338:$C$38347)-C38383)))</f>
        <v>0</v>
      </c>
    </row>
    <row r="38406" customFormat="false" ht="15" hidden="false" customHeight="false" outlineLevel="0" collapsed="false">
      <c r="A38406" s="3" t="s">
        <v>558</v>
      </c>
      <c r="C38406" s="16" t="n">
        <f aca="false">IF(C38395=0,0,C38362/C38395*MAX(0,MIN(C38395,$C$38303-SUM($C$38338:$C$38347)-C38384)))</f>
        <v>0</v>
      </c>
    </row>
    <row r="38407" customFormat="false" ht="15" hidden="false" customHeight="false" outlineLevel="0" collapsed="false">
      <c r="A38407" s="3" t="s">
        <v>559</v>
      </c>
      <c r="C38407" s="16" t="n">
        <f aca="false">IF(C38396=0,0,C38363/C38396*MAX(0,MIN(C38396,$C$38303-SUM($C$38338:$C$38347)-C38385)))</f>
        <v>0</v>
      </c>
    </row>
    <row r="38408" customFormat="false" ht="15" hidden="false" customHeight="false" outlineLevel="0" collapsed="false">
      <c r="A38408" s="3" t="s">
        <v>560</v>
      </c>
      <c r="C38408" s="16" t="n">
        <f aca="false">IF(C38397=0,0,C38364/C38397*MAX(0,MIN(C38397,$C$38303-SUM($C$38338:$C$38347)-C38386)))</f>
        <v>439.249936942163</v>
      </c>
    </row>
    <row r="38409" customFormat="false" ht="15" hidden="false" customHeight="false" outlineLevel="0" collapsed="false">
      <c r="A38409" s="3" t="s">
        <v>561</v>
      </c>
      <c r="C38409" s="16" t="n">
        <f aca="false">IF(C38398=0,0,C38365/C38398*MAX(0,MIN(C38398,$C$38303-SUM($C$38338:$C$38347)-C38387)))</f>
        <v>357.2625</v>
      </c>
    </row>
    <row r="38410" customFormat="false" ht="15" hidden="false" customHeight="false" outlineLevel="0" collapsed="false">
      <c r="A38410" s="3" t="s">
        <v>562</v>
      </c>
      <c r="C38410" s="16" t="n">
        <f aca="false">IF(C38399=0,0,C38366/C38399*MAX(0,MIN(C38399,$C$38303-SUM($C$38338:$C$38347)-C38388)))</f>
        <v>562.203125</v>
      </c>
    </row>
    <row r="38411" customFormat="false" ht="15" hidden="false" customHeight="false" outlineLevel="0" collapsed="false">
      <c r="A38411" s="3" t="s">
        <v>563</v>
      </c>
      <c r="C38411" s="16" t="n">
        <f aca="false">IF(C38400=0,0,C38367/C38400*MAX(0,MIN(C38400,$C$38303-SUM($C$38338:$C$38347)-C38389)))</f>
        <v>353.98125</v>
      </c>
    </row>
    <row r="38412" customFormat="false" ht="15" hidden="false" customHeight="false" outlineLevel="0" collapsed="false">
      <c r="A38412" s="3" t="s">
        <v>564</v>
      </c>
      <c r="C38412" s="16" t="n">
        <f aca="false">IF(C38401=0,0,C38368/C38401*MAX(0,MIN(C38401,$C$38303-SUM($C$38338:$C$38347)-C38390)))</f>
        <v>304.59375</v>
      </c>
    </row>
    <row r="38413" customFormat="false" ht="15" hidden="false" customHeight="false" outlineLevel="0" collapsed="false">
      <c r="A38413" s="3" t="s">
        <v>565</v>
      </c>
      <c r="C38413" s="16" t="n">
        <f aca="false">IF(C38402=0,0,C38369/C38402*MAX(0,MIN(C38402,$C$38303-SUM($C$38338:$C$38347)-C38391)))</f>
        <v>20.1124853346373</v>
      </c>
    </row>
    <row r="38414" customFormat="false" ht="15" hidden="false" customHeight="false" outlineLevel="0" collapsed="false">
      <c r="A38414" s="24" t="s">
        <v>575</v>
      </c>
      <c r="B38414" s="25"/>
      <c r="C38414" s="25"/>
      <c r="D38414" s="25"/>
      <c r="E38414" s="25"/>
      <c r="F38414" s="25"/>
      <c r="G38414" s="25"/>
      <c r="H38414" s="25"/>
      <c r="I38414" s="25"/>
      <c r="J38414" s="25"/>
      <c r="K38414" s="25"/>
    </row>
    <row r="38415" customFormat="false" ht="15" hidden="false" customHeight="false" outlineLevel="0" collapsed="false">
      <c r="A38415" s="2" t="s">
        <v>556</v>
      </c>
      <c r="C38415" s="17" t="n">
        <f aca="false">C38338+C38404</f>
        <v>403.76</v>
      </c>
    </row>
    <row r="38416" customFormat="false" ht="15" hidden="false" customHeight="false" outlineLevel="0" collapsed="false">
      <c r="A38416" s="2" t="s">
        <v>557</v>
      </c>
      <c r="C38416" s="17" t="n">
        <f aca="false">C38339+C38405</f>
        <v>85.1568504864</v>
      </c>
    </row>
    <row r="38417" customFormat="false" ht="15" hidden="false" customHeight="false" outlineLevel="0" collapsed="false">
      <c r="A38417" s="2" t="s">
        <v>558</v>
      </c>
      <c r="C38417" s="17" t="n">
        <f aca="false">C38340+C38406</f>
        <v>54.1907230368</v>
      </c>
    </row>
    <row r="38418" customFormat="false" ht="15" hidden="false" customHeight="false" outlineLevel="0" collapsed="false">
      <c r="A38418" s="2" t="s">
        <v>559</v>
      </c>
      <c r="C38418" s="17" t="n">
        <f aca="false">C38341+C38407</f>
        <v>0</v>
      </c>
    </row>
    <row r="38419" customFormat="false" ht="15" hidden="false" customHeight="false" outlineLevel="0" collapsed="false">
      <c r="A38419" s="2" t="s">
        <v>560</v>
      </c>
      <c r="C38419" s="17" t="n">
        <f aca="false">C38342+C38408</f>
        <v>439.249936942163</v>
      </c>
    </row>
    <row r="38420" customFormat="false" ht="15" hidden="false" customHeight="false" outlineLevel="0" collapsed="false">
      <c r="A38420" s="2" t="s">
        <v>561</v>
      </c>
      <c r="C38420" s="17" t="n">
        <f aca="false">C38343+C38409</f>
        <v>357.2625</v>
      </c>
    </row>
    <row r="38421" customFormat="false" ht="15" hidden="false" customHeight="false" outlineLevel="0" collapsed="false">
      <c r="A38421" s="2" t="s">
        <v>562</v>
      </c>
      <c r="C38421" s="17" t="n">
        <f aca="false">C38344+C38410</f>
        <v>562.203125</v>
      </c>
    </row>
    <row r="38422" customFormat="false" ht="15" hidden="false" customHeight="false" outlineLevel="0" collapsed="false">
      <c r="A38422" s="2" t="s">
        <v>563</v>
      </c>
      <c r="C38422" s="17" t="n">
        <f aca="false">C38345+C38411</f>
        <v>353.98125</v>
      </c>
    </row>
    <row r="38423" customFormat="false" ht="15" hidden="false" customHeight="false" outlineLevel="0" collapsed="false">
      <c r="A38423" s="2" t="s">
        <v>564</v>
      </c>
      <c r="C38423" s="17" t="n">
        <f aca="false">C38346+C38412</f>
        <v>304.59375</v>
      </c>
    </row>
    <row r="38424" customFormat="false" ht="15" hidden="false" customHeight="false" outlineLevel="0" collapsed="false">
      <c r="A38424" s="2" t="s">
        <v>565</v>
      </c>
      <c r="C38424" s="17" t="n">
        <f aca="false">C38347+C38413</f>
        <v>20.1124853346373</v>
      </c>
    </row>
    <row r="38425" customFormat="false" ht="15" hidden="false" customHeight="false" outlineLevel="0" collapsed="false">
      <c r="A38425" s="24" t="s">
        <v>576</v>
      </c>
      <c r="B38425" s="25"/>
      <c r="C38425" s="25"/>
      <c r="D38425" s="25"/>
      <c r="E38425" s="25"/>
      <c r="F38425" s="25"/>
      <c r="G38425" s="25"/>
      <c r="H38425" s="25"/>
      <c r="I38425" s="25"/>
      <c r="J38425" s="25"/>
      <c r="K38425" s="25"/>
    </row>
    <row r="38426" customFormat="false" ht="15" hidden="false" customHeight="false" outlineLevel="0" collapsed="false">
      <c r="A38426" s="3" t="s">
        <v>556</v>
      </c>
      <c r="C38426" s="22" t="n">
        <f aca="false">IF(C38305=0,1,C38415/C38305)</f>
        <v>1</v>
      </c>
    </row>
    <row r="38427" customFormat="false" ht="15" hidden="false" customHeight="false" outlineLevel="0" collapsed="false">
      <c r="A38427" s="3" t="s">
        <v>557</v>
      </c>
      <c r="C38427" s="22" t="n">
        <f aca="false">IF(C38306=0,1,C38416/C38306)</f>
        <v>0.932640622583639</v>
      </c>
    </row>
    <row r="38428" customFormat="false" ht="15" hidden="false" customHeight="false" outlineLevel="0" collapsed="false">
      <c r="A38428" s="3" t="s">
        <v>558</v>
      </c>
      <c r="C38428" s="22" t="n">
        <f aca="false">IF(C38307=0,1,C38417/C38307)</f>
        <v>0.928374871640695</v>
      </c>
    </row>
    <row r="38429" customFormat="false" ht="15" hidden="false" customHeight="false" outlineLevel="0" collapsed="false">
      <c r="A38429" s="3" t="s">
        <v>559</v>
      </c>
      <c r="C38429" s="22" t="n">
        <f aca="false">IF(C38308=0,1,C38418/C38308)</f>
        <v>1</v>
      </c>
    </row>
    <row r="38430" customFormat="false" ht="15" hidden="false" customHeight="false" outlineLevel="0" collapsed="false">
      <c r="A38430" s="3" t="s">
        <v>560</v>
      </c>
      <c r="C38430" s="22" t="n">
        <f aca="false">IF(C38309=0,1,C38419/C38309)</f>
        <v>1</v>
      </c>
    </row>
    <row r="38431" customFormat="false" ht="15" hidden="false" customHeight="false" outlineLevel="0" collapsed="false">
      <c r="A38431" s="3" t="s">
        <v>561</v>
      </c>
      <c r="C38431" s="22" t="n">
        <f aca="false">IF(C38310=0,1,C38420/C38310)</f>
        <v>1</v>
      </c>
    </row>
    <row r="38432" customFormat="false" ht="15" hidden="false" customHeight="false" outlineLevel="0" collapsed="false">
      <c r="A38432" s="3" t="s">
        <v>562</v>
      </c>
      <c r="C38432" s="22" t="n">
        <f aca="false">IF(C38311=0,1,C38421/C38311)</f>
        <v>1</v>
      </c>
    </row>
    <row r="38433" customFormat="false" ht="15" hidden="false" customHeight="false" outlineLevel="0" collapsed="false">
      <c r="A38433" s="3" t="s">
        <v>563</v>
      </c>
      <c r="C38433" s="22" t="n">
        <f aca="false">IF(C38312=0,1,C38422/C38312)</f>
        <v>1</v>
      </c>
    </row>
    <row r="38434" customFormat="false" ht="15" hidden="false" customHeight="false" outlineLevel="0" collapsed="false">
      <c r="A38434" s="3" t="s">
        <v>564</v>
      </c>
      <c r="C38434" s="22" t="n">
        <f aca="false">IF(C38313=0,1,C38423/C38313)</f>
        <v>1</v>
      </c>
    </row>
    <row r="38435" customFormat="false" ht="15" hidden="false" customHeight="false" outlineLevel="0" collapsed="false">
      <c r="A38435" s="3" t="s">
        <v>565</v>
      </c>
      <c r="C38435" s="22" t="n">
        <f aca="false">IF(C38314=0,1,C38424/C38314)</f>
        <v>0.250675046545511</v>
      </c>
    </row>
    <row r="38436" customFormat="false" ht="15" hidden="false" customHeight="false" outlineLevel="0" collapsed="false">
      <c r="A38436" s="24" t="s">
        <v>577</v>
      </c>
      <c r="B38436" s="25"/>
      <c r="C38436" s="25"/>
      <c r="D38436" s="25"/>
      <c r="E38436" s="25"/>
      <c r="F38436" s="25"/>
      <c r="G38436" s="25"/>
      <c r="H38436" s="25"/>
      <c r="I38436" s="25"/>
      <c r="J38436" s="25"/>
      <c r="K38436" s="25"/>
    </row>
    <row r="38437" customFormat="false" ht="15" hidden="false" customHeight="false" outlineLevel="0" collapsed="false">
      <c r="A38437" s="3" t="s">
        <v>556</v>
      </c>
      <c r="C38437" s="16" t="n">
        <f aca="false">C38305-C38415</f>
        <v>0</v>
      </c>
    </row>
    <row r="38438" customFormat="false" ht="15" hidden="false" customHeight="false" outlineLevel="0" collapsed="false">
      <c r="A38438" s="3" t="s">
        <v>557</v>
      </c>
      <c r="C38438" s="16" t="n">
        <f aca="false">C38306-C38416</f>
        <v>6.15039951360001</v>
      </c>
    </row>
    <row r="38439" customFormat="false" ht="15" hidden="false" customHeight="false" outlineLevel="0" collapsed="false">
      <c r="A38439" s="3" t="s">
        <v>558</v>
      </c>
      <c r="C38439" s="16" t="n">
        <f aca="false">C38307-C38417</f>
        <v>4.1808730632</v>
      </c>
    </row>
    <row r="38440" customFormat="false" ht="15" hidden="false" customHeight="false" outlineLevel="0" collapsed="false">
      <c r="A38440" s="3" t="s">
        <v>559</v>
      </c>
      <c r="C38440" s="16" t="n">
        <f aca="false">C38308-C38418</f>
        <v>0</v>
      </c>
    </row>
    <row r="38441" customFormat="false" ht="15" hidden="false" customHeight="false" outlineLevel="0" collapsed="false">
      <c r="A38441" s="3" t="s">
        <v>560</v>
      </c>
      <c r="C38441" s="16" t="n">
        <f aca="false">C38309-C38419</f>
        <v>0</v>
      </c>
    </row>
    <row r="38442" customFormat="false" ht="15" hidden="false" customHeight="false" outlineLevel="0" collapsed="false">
      <c r="A38442" s="3" t="s">
        <v>561</v>
      </c>
      <c r="C38442" s="16" t="n">
        <f aca="false">C38310-C38420</f>
        <v>0</v>
      </c>
    </row>
    <row r="38443" customFormat="false" ht="15" hidden="false" customHeight="false" outlineLevel="0" collapsed="false">
      <c r="A38443" s="3" t="s">
        <v>562</v>
      </c>
      <c r="C38443" s="16" t="n">
        <f aca="false">C38311-C38421</f>
        <v>0</v>
      </c>
    </row>
    <row r="38444" customFormat="false" ht="15" hidden="false" customHeight="false" outlineLevel="0" collapsed="false">
      <c r="A38444" s="3" t="s">
        <v>563</v>
      </c>
      <c r="C38444" s="16" t="n">
        <f aca="false">C38312-C38422</f>
        <v>0</v>
      </c>
    </row>
    <row r="38445" customFormat="false" ht="15" hidden="false" customHeight="false" outlineLevel="0" collapsed="false">
      <c r="A38445" s="3" t="s">
        <v>564</v>
      </c>
      <c r="C38445" s="16" t="n">
        <f aca="false">C38313-C38423</f>
        <v>0</v>
      </c>
    </row>
    <row r="38446" customFormat="false" ht="15" hidden="false" customHeight="false" outlineLevel="0" collapsed="false">
      <c r="A38446" s="3" t="s">
        <v>565</v>
      </c>
      <c r="C38446" s="16" t="n">
        <f aca="false">C38314-C38424</f>
        <v>60.1208111653627</v>
      </c>
    </row>
    <row r="38447" customFormat="false" ht="15" hidden="false" customHeight="false" outlineLevel="0" collapsed="false">
      <c r="A38447" s="24" t="s">
        <v>578</v>
      </c>
      <c r="B38447" s="25"/>
      <c r="C38447" s="25"/>
      <c r="D38447" s="25"/>
      <c r="E38447" s="25"/>
      <c r="F38447" s="25"/>
      <c r="G38447" s="25"/>
      <c r="H38447" s="25"/>
      <c r="I38447" s="25"/>
      <c r="J38447" s="25"/>
      <c r="K38447" s="25"/>
    </row>
    <row r="38448" customFormat="false" ht="15" hidden="false" customHeight="false" outlineLevel="0" collapsed="false">
      <c r="A38448" s="3" t="s">
        <v>556</v>
      </c>
      <c r="C38448" s="22" t="n">
        <f aca="false">IF(C38305=0,0,C38437/C38305)</f>
        <v>0</v>
      </c>
    </row>
    <row r="38449" customFormat="false" ht="15" hidden="false" customHeight="false" outlineLevel="0" collapsed="false">
      <c r="A38449" s="3" t="s">
        <v>557</v>
      </c>
      <c r="C38449" s="22" t="n">
        <f aca="false">IF(C38306=0,0,C38438/C38306)</f>
        <v>0.0673593774163608</v>
      </c>
    </row>
    <row r="38450" customFormat="false" ht="15" hidden="false" customHeight="false" outlineLevel="0" collapsed="false">
      <c r="A38450" s="3" t="s">
        <v>558</v>
      </c>
      <c r="C38450" s="22" t="n">
        <f aca="false">IF(C38307=0,0,C38439/C38307)</f>
        <v>0.0716251283593048</v>
      </c>
    </row>
    <row r="38451" customFormat="false" ht="15" hidden="false" customHeight="false" outlineLevel="0" collapsed="false">
      <c r="A38451" s="3" t="s">
        <v>559</v>
      </c>
      <c r="C38451" s="22" t="n">
        <f aca="false">IF(C38308=0,0,C38440/C38308)</f>
        <v>0</v>
      </c>
    </row>
    <row r="38452" customFormat="false" ht="15" hidden="false" customHeight="false" outlineLevel="0" collapsed="false">
      <c r="A38452" s="3" t="s">
        <v>560</v>
      </c>
      <c r="C38452" s="22" t="n">
        <f aca="false">IF(C38309=0,0,C38441/C38309)</f>
        <v>0</v>
      </c>
    </row>
    <row r="38453" customFormat="false" ht="15" hidden="false" customHeight="false" outlineLevel="0" collapsed="false">
      <c r="A38453" s="3" t="s">
        <v>561</v>
      </c>
      <c r="C38453" s="22" t="n">
        <f aca="false">IF(C38310=0,0,C38442/C38310)</f>
        <v>0</v>
      </c>
    </row>
    <row r="38454" customFormat="false" ht="15" hidden="false" customHeight="false" outlineLevel="0" collapsed="false">
      <c r="A38454" s="3" t="s">
        <v>562</v>
      </c>
      <c r="C38454" s="22" t="n">
        <f aca="false">IF(C38311=0,0,C38443/C38311)</f>
        <v>0</v>
      </c>
    </row>
    <row r="38455" customFormat="false" ht="15" hidden="false" customHeight="false" outlineLevel="0" collapsed="false">
      <c r="A38455" s="3" t="s">
        <v>563</v>
      </c>
      <c r="C38455" s="22" t="n">
        <f aca="false">IF(C38312=0,0,C38444/C38312)</f>
        <v>0</v>
      </c>
    </row>
    <row r="38456" customFormat="false" ht="15" hidden="false" customHeight="false" outlineLevel="0" collapsed="false">
      <c r="A38456" s="3" t="s">
        <v>564</v>
      </c>
      <c r="C38456" s="22" t="n">
        <f aca="false">IF(C38313=0,0,C38445/C38313)</f>
        <v>0</v>
      </c>
    </row>
    <row r="38457" customFormat="false" ht="15" hidden="false" customHeight="false" outlineLevel="0" collapsed="false">
      <c r="A38457" s="3" t="s">
        <v>565</v>
      </c>
      <c r="C38457" s="22" t="n">
        <f aca="false">IF(C38314=0,0,C38446/C38314)</f>
        <v>0.749324953454489</v>
      </c>
    </row>
    <row r="38458" customFormat="false" ht="15" hidden="false" customHeight="false" outlineLevel="0" collapsed="false">
      <c r="A38458" s="2" t="s">
        <v>579</v>
      </c>
      <c r="C38458" s="17" t="n">
        <f aca="false">MAX(0,$C$38303-SUM($C$38338:$C$38347)-SUM($C$38360:$C$38369))</f>
        <v>0</v>
      </c>
    </row>
    <row r="38459" customFormat="false" ht="15" hidden="false" customHeight="false" outlineLevel="0" collapsed="false">
      <c r="A38459" s="3" t="s">
        <v>580</v>
      </c>
      <c r="C38459" s="16" t="n">
        <f aca="false">SUM($C$38415:$C$38424)+C38458+C38302-C38301</f>
        <v>0</v>
      </c>
    </row>
    <row r="38461" customFormat="false" ht="15" hidden="false" customHeight="false" outlineLevel="0" collapsed="false">
      <c r="A38461" s="24" t="s">
        <v>583</v>
      </c>
      <c r="B38461" s="25"/>
      <c r="C38461" s="25"/>
      <c r="D38461" s="25"/>
      <c r="E38461" s="25"/>
      <c r="F38461" s="25"/>
      <c r="G38461" s="25"/>
      <c r="H38461" s="25"/>
      <c r="I38461" s="25"/>
      <c r="J38461" s="25"/>
      <c r="K38461" s="25"/>
    </row>
    <row r="38462" customFormat="false" ht="15" hidden="false" customHeight="false" outlineLevel="0" collapsed="false">
      <c r="A38462" s="3" t="s">
        <v>584</v>
      </c>
      <c r="C38462" s="27" t="n">
        <f aca="false">Assumptions!$C$34</f>
        <v>1</v>
      </c>
    </row>
    <row r="38463" customFormat="false" ht="15" hidden="false" customHeight="false" outlineLevel="0" collapsed="false">
      <c r="A38463" s="3" t="s">
        <v>585</v>
      </c>
      <c r="C38463" s="29" t="n">
        <f aca="false">Assumptions!$C$35</f>
        <v>100</v>
      </c>
    </row>
    <row r="38464" customFormat="false" ht="15" hidden="false" customHeight="false" outlineLevel="0" collapsed="false">
      <c r="A38464" s="3" t="s">
        <v>586</v>
      </c>
      <c r="C38464" s="40" t="n">
        <f aca="false">Assumptions!$C$36</f>
        <v>98</v>
      </c>
    </row>
    <row r="38465" customFormat="false" ht="15" hidden="false" customHeight="false" outlineLevel="0" collapsed="false">
      <c r="A38465" s="3" t="s">
        <v>587</v>
      </c>
      <c r="C38465" s="16" t="n">
        <f aca="false">C38463*C38464/100*(1+Assumptions!$C$37)</f>
        <v>98.49</v>
      </c>
    </row>
    <row r="38466" customFormat="false" ht="15" hidden="false" customHeight="false" outlineLevel="0" collapsed="false">
      <c r="A38466" s="3" t="s">
        <v>588</v>
      </c>
      <c r="C38466" s="27" t="n">
        <f aca="false">Assumptions!$C$38</f>
        <v>3</v>
      </c>
    </row>
    <row r="38467" customFormat="false" ht="15" hidden="false" customHeight="false" outlineLevel="0" collapsed="false">
      <c r="A38467" s="3" t="s">
        <v>589</v>
      </c>
      <c r="C38467" s="21" t="n">
        <f aca="false">IF(C38294=1,SUMPRODUCT($G$38230:$K$38230,$G$38004:$K$38004),0)</f>
        <v>2</v>
      </c>
    </row>
    <row r="38468" customFormat="false" ht="15" hidden="false" customHeight="false" outlineLevel="0" collapsed="false">
      <c r="A38468" s="3" t="s">
        <v>590</v>
      </c>
      <c r="C38468" s="22" t="n">
        <f aca="false">IFERROR(C38463/CHOOSE(C38462,SUMPRODUCT($G$38293:$K$38293,$G$38050:$K$38050),SUMPRODUCT($G$38293:$K$38293,$G$38063:$K$38063),SUMPRODUCT($G$38293:$K$38293,$G$38076:$K$38076),SUMPRODUCT($G$38293:$K$38293,$G$38089:$K$38089),SUMPRODUCT($G$38293:$K$38293,$G$38102:$K$38102),SUMPRODUCT($G$38293:$K$38293,$G$38115:$K$38115),SUMPRODUCT($G$38293:$K$38293,$G$38128:$K$38128),SUMPRODUCT($G$38293:$K$38293,$G$38141:$K$38141),SUMPRODUCT($G$38293:$K$38293,$G$38154:$K$38154),SUMPRODUCT($G$38293:$K$38293,$G$38167:$K$38167)),0)</f>
        <v>0.255102040816327</v>
      </c>
    </row>
    <row r="38469" customFormat="false" ht="15" hidden="false" customHeight="false" outlineLevel="0" collapsed="false">
      <c r="A38469" s="3" t="s">
        <v>591</v>
      </c>
      <c r="C38469" s="16" t="n">
        <f aca="false">CHOOSE(C38462,C38415,C38416,C38417,C38418,C38419,C38420,C38421,C38422,C38423,C38424)*C38468</f>
        <v>103</v>
      </c>
    </row>
    <row r="38470" customFormat="false" ht="15" hidden="false" customHeight="false" outlineLevel="0" collapsed="false">
      <c r="A38470" s="3" t="s">
        <v>592</v>
      </c>
      <c r="C38470" s="22" t="n">
        <f aca="false">CHOOSE(C38462,C38426,C38427,C38428,C38429,C38430,C38431,C38432,C38433,C38434,C38435)</f>
        <v>1</v>
      </c>
    </row>
    <row r="38471" customFormat="false" ht="15" hidden="false" customHeight="false" outlineLevel="0" collapsed="false">
      <c r="A38471" s="3" t="s">
        <v>593</v>
      </c>
      <c r="C38471" s="21" t="n">
        <f aca="false">IF(C38294=1,C38467,C38466)</f>
        <v>2</v>
      </c>
    </row>
    <row r="38472" customFormat="false" ht="15" hidden="false" customHeight="false" outlineLevel="0" collapsed="false">
      <c r="A38472" s="3" t="s">
        <v>594</v>
      </c>
      <c r="C38472" s="35" t="n">
        <f aca="false">CHOOSE($C$37996,Assumptions!$C$91,Assumptions!$C$110,Assumptions!$C$129)</f>
        <v>85</v>
      </c>
    </row>
    <row r="38473" customFormat="false" ht="15" hidden="false" customHeight="false" outlineLevel="0" collapsed="false">
      <c r="A38473" s="3" t="s">
        <v>595</v>
      </c>
      <c r="C38473" s="16" t="n">
        <f aca="false">INDEX($G$38013:$K$38013,C38466)*CHOOSE($C$37996,Assumptions!$C$90,Assumptions!$C$109,Assumptions!$C$128)+MAX(0,INDEX($G$38227:$K$38227,C38466))</f>
        <v>1633.40082545963</v>
      </c>
    </row>
    <row r="38474" customFormat="false" ht="15" hidden="false" customHeight="false" outlineLevel="0" collapsed="false">
      <c r="A38474" s="24" t="s">
        <v>596</v>
      </c>
      <c r="B38474" s="25"/>
      <c r="C38474" s="25"/>
      <c r="D38474" s="25"/>
      <c r="E38474" s="25"/>
      <c r="F38474" s="25"/>
      <c r="G38474" s="25"/>
      <c r="H38474" s="25"/>
      <c r="I38474" s="25"/>
      <c r="J38474" s="25"/>
      <c r="K38474" s="25"/>
    </row>
    <row r="38475" customFormat="false" ht="15" hidden="false" customHeight="false" outlineLevel="0" collapsed="false">
      <c r="A38475" s="3" t="s">
        <v>556</v>
      </c>
      <c r="C38475" s="16" t="n">
        <f aca="false">INDEX($G$38050:$K$38050,C38466)</f>
        <v>388</v>
      </c>
    </row>
    <row r="38476" customFormat="false" ht="15" hidden="false" customHeight="false" outlineLevel="0" collapsed="false">
      <c r="A38476" s="3" t="s">
        <v>557</v>
      </c>
      <c r="C38476" s="16" t="n">
        <f aca="false">INDEX($G$38063:$K$38063,C38466)</f>
        <v>90</v>
      </c>
    </row>
    <row r="38477" customFormat="false" ht="15" hidden="false" customHeight="false" outlineLevel="0" collapsed="false">
      <c r="A38477" s="3" t="s">
        <v>558</v>
      </c>
      <c r="C38477" s="16" t="n">
        <f aca="false">INDEX($G$38076:$K$38076,C38466)</f>
        <v>57.324</v>
      </c>
    </row>
    <row r="38478" customFormat="false" ht="15" hidden="false" customHeight="false" outlineLevel="0" collapsed="false">
      <c r="A38478" s="3" t="s">
        <v>559</v>
      </c>
      <c r="C38478" s="16" t="n">
        <f aca="false">INDEX($G$38089:$K$38089,C38466)</f>
        <v>0</v>
      </c>
    </row>
    <row r="38479" customFormat="false" ht="15" hidden="false" customHeight="false" outlineLevel="0" collapsed="false">
      <c r="A38479" s="3" t="s">
        <v>560</v>
      </c>
      <c r="C38479" s="16" t="n">
        <f aca="false">INDEX($G$38102:$K$38102,C38466)</f>
        <v>434.9547587</v>
      </c>
    </row>
    <row r="38480" customFormat="false" ht="15" hidden="false" customHeight="false" outlineLevel="0" collapsed="false">
      <c r="A38480" s="3" t="s">
        <v>561</v>
      </c>
      <c r="C38480" s="16" t="n">
        <f aca="false">INDEX($G$38115:$K$38115,C38466)</f>
        <v>350</v>
      </c>
    </row>
    <row r="38481" customFormat="false" ht="15" hidden="false" customHeight="false" outlineLevel="0" collapsed="false">
      <c r="A38481" s="3" t="s">
        <v>562</v>
      </c>
      <c r="C38481" s="16" t="n">
        <f aca="false">INDEX($G$38128:$K$38128,C38466)</f>
        <v>550</v>
      </c>
    </row>
    <row r="38482" customFormat="false" ht="15" hidden="false" customHeight="false" outlineLevel="0" collapsed="false">
      <c r="A38482" s="3" t="s">
        <v>563</v>
      </c>
      <c r="C38482" s="16" t="n">
        <f aca="false">INDEX($G$38141:$K$38141,C38466)</f>
        <v>350</v>
      </c>
    </row>
    <row r="38483" customFormat="false" ht="15" hidden="false" customHeight="false" outlineLevel="0" collapsed="false">
      <c r="A38483" s="3" t="s">
        <v>564</v>
      </c>
      <c r="C38483" s="16" t="n">
        <f aca="false">INDEX($G$38154:$K$38154,C38466)</f>
        <v>300</v>
      </c>
    </row>
    <row r="38484" customFormat="false" ht="15" hidden="false" customHeight="false" outlineLevel="0" collapsed="false">
      <c r="A38484" s="3" t="s">
        <v>565</v>
      </c>
      <c r="C38484" s="16" t="n">
        <f aca="false">INDEX($G$38167:$K$38167,C38466)</f>
        <v>78.61</v>
      </c>
    </row>
    <row r="38485" customFormat="false" ht="15" hidden="false" customHeight="false" outlineLevel="0" collapsed="false">
      <c r="A38485" s="24" t="s">
        <v>566</v>
      </c>
      <c r="B38485" s="25"/>
      <c r="C38485" s="25"/>
      <c r="D38485" s="25"/>
      <c r="E38485" s="25"/>
      <c r="F38485" s="25"/>
      <c r="G38485" s="25"/>
      <c r="H38485" s="25"/>
      <c r="I38485" s="25"/>
      <c r="J38485" s="25"/>
      <c r="K38485" s="25"/>
    </row>
    <row r="38486" customFormat="false" ht="15" hidden="false" customHeight="false" outlineLevel="0" collapsed="false">
      <c r="A38486" s="3" t="s">
        <v>556</v>
      </c>
      <c r="C38486" s="27" t="n">
        <f aca="false">Assumptions!$M$57</f>
        <v>1</v>
      </c>
    </row>
    <row r="38487" customFormat="false" ht="15" hidden="false" customHeight="false" outlineLevel="0" collapsed="false">
      <c r="A38487" s="3" t="s">
        <v>557</v>
      </c>
      <c r="C38487" s="27" t="n">
        <f aca="false">Assumptions!$M$58</f>
        <v>1</v>
      </c>
    </row>
    <row r="38488" customFormat="false" ht="15" hidden="false" customHeight="false" outlineLevel="0" collapsed="false">
      <c r="A38488" s="3" t="s">
        <v>558</v>
      </c>
      <c r="C38488" s="27" t="n">
        <f aca="false">Assumptions!$M$59</f>
        <v>1</v>
      </c>
    </row>
    <row r="38489" customFormat="false" ht="15" hidden="false" customHeight="false" outlineLevel="0" collapsed="false">
      <c r="A38489" s="3" t="s">
        <v>559</v>
      </c>
      <c r="C38489" s="27" t="n">
        <f aca="false">Assumptions!$M$60</f>
        <v>2</v>
      </c>
    </row>
    <row r="38490" customFormat="false" ht="15" hidden="false" customHeight="false" outlineLevel="0" collapsed="false">
      <c r="A38490" s="3" t="s">
        <v>560</v>
      </c>
      <c r="C38490" s="27" t="n">
        <f aca="false">Assumptions!$M$61</f>
        <v>2</v>
      </c>
    </row>
    <row r="38491" customFormat="false" ht="15" hidden="false" customHeight="false" outlineLevel="0" collapsed="false">
      <c r="A38491" s="3" t="s">
        <v>561</v>
      </c>
      <c r="C38491" s="27" t="n">
        <f aca="false">Assumptions!$M$62</f>
        <v>2</v>
      </c>
    </row>
    <row r="38492" customFormat="false" ht="15" hidden="false" customHeight="false" outlineLevel="0" collapsed="false">
      <c r="A38492" s="3" t="s">
        <v>562</v>
      </c>
      <c r="C38492" s="27" t="n">
        <f aca="false">Assumptions!$M$63</f>
        <v>2</v>
      </c>
    </row>
    <row r="38493" customFormat="false" ht="15" hidden="false" customHeight="false" outlineLevel="0" collapsed="false">
      <c r="A38493" s="3" t="s">
        <v>563</v>
      </c>
      <c r="C38493" s="27" t="n">
        <f aca="false">Assumptions!$M$64</f>
        <v>2</v>
      </c>
    </row>
    <row r="38494" customFormat="false" ht="15" hidden="false" customHeight="false" outlineLevel="0" collapsed="false">
      <c r="A38494" s="3" t="s">
        <v>564</v>
      </c>
      <c r="C38494" s="27" t="n">
        <f aca="false">Assumptions!$M$65</f>
        <v>2</v>
      </c>
    </row>
    <row r="38495" customFormat="false" ht="15" hidden="false" customHeight="false" outlineLevel="0" collapsed="false">
      <c r="A38495" s="3" t="s">
        <v>565</v>
      </c>
      <c r="C38495" s="27" t="n">
        <f aca="false">Assumptions!$M$66</f>
        <v>3</v>
      </c>
    </row>
    <row r="38496" customFormat="false" ht="15" hidden="false" customHeight="false" outlineLevel="0" collapsed="false">
      <c r="A38496" s="24" t="s">
        <v>567</v>
      </c>
      <c r="B38496" s="25"/>
      <c r="C38496" s="25"/>
      <c r="D38496" s="25"/>
      <c r="E38496" s="25"/>
      <c r="F38496" s="25"/>
      <c r="G38496" s="25"/>
      <c r="H38496" s="25"/>
      <c r="I38496" s="25"/>
      <c r="J38496" s="25"/>
      <c r="K38496" s="25"/>
    </row>
    <row r="38497" customFormat="false" ht="15" hidden="false" customHeight="false" outlineLevel="0" collapsed="false">
      <c r="A38497" s="3" t="s">
        <v>556</v>
      </c>
      <c r="C38497" s="33" t="n">
        <f aca="false">Assumptions!$Q$57</f>
        <v>0.3</v>
      </c>
    </row>
    <row r="38498" customFormat="false" ht="15" hidden="false" customHeight="false" outlineLevel="0" collapsed="false">
      <c r="A38498" s="3" t="s">
        <v>557</v>
      </c>
      <c r="C38498" s="33" t="n">
        <f aca="false">Assumptions!$Q$58</f>
        <v>0.033</v>
      </c>
    </row>
    <row r="38499" customFormat="false" ht="15" hidden="false" customHeight="false" outlineLevel="0" collapsed="false">
      <c r="A38499" s="3" t="s">
        <v>558</v>
      </c>
      <c r="C38499" s="33" t="n">
        <f aca="false">Assumptions!$Q$59</f>
        <v>0.021</v>
      </c>
    </row>
    <row r="38500" customFormat="false" ht="15" hidden="false" customHeight="false" outlineLevel="0" collapsed="false">
      <c r="A38500" s="3" t="s">
        <v>559</v>
      </c>
      <c r="C38500" s="33" t="n">
        <f aca="false">Assumptions!$Q$60</f>
        <v>0</v>
      </c>
    </row>
    <row r="38501" customFormat="false" ht="15" hidden="false" customHeight="false" outlineLevel="0" collapsed="false">
      <c r="A38501" s="3" t="s">
        <v>560</v>
      </c>
      <c r="C38501" s="33" t="n">
        <f aca="false">Assumptions!$Q$61</f>
        <v>0</v>
      </c>
    </row>
    <row r="38502" customFormat="false" ht="15" hidden="false" customHeight="false" outlineLevel="0" collapsed="false">
      <c r="A38502" s="3" t="s">
        <v>561</v>
      </c>
      <c r="C38502" s="33" t="n">
        <f aca="false">Assumptions!$Q$62</f>
        <v>0</v>
      </c>
    </row>
    <row r="38503" customFormat="false" ht="15" hidden="false" customHeight="false" outlineLevel="0" collapsed="false">
      <c r="A38503" s="3" t="s">
        <v>562</v>
      </c>
      <c r="C38503" s="33" t="n">
        <f aca="false">Assumptions!$Q$63</f>
        <v>0</v>
      </c>
    </row>
    <row r="38504" customFormat="false" ht="15" hidden="false" customHeight="false" outlineLevel="0" collapsed="false">
      <c r="A38504" s="3" t="s">
        <v>563</v>
      </c>
      <c r="C38504" s="33" t="n">
        <f aca="false">Assumptions!$Q$64</f>
        <v>0</v>
      </c>
    </row>
    <row r="38505" customFormat="false" ht="15" hidden="false" customHeight="false" outlineLevel="0" collapsed="false">
      <c r="A38505" s="3" t="s">
        <v>564</v>
      </c>
      <c r="C38505" s="33" t="n">
        <f aca="false">Assumptions!$Q$65</f>
        <v>0</v>
      </c>
    </row>
    <row r="38506" customFormat="false" ht="15" hidden="false" customHeight="false" outlineLevel="0" collapsed="false">
      <c r="A38506" s="3" t="s">
        <v>565</v>
      </c>
      <c r="C38506" s="33" t="n">
        <f aca="false">Assumptions!$Q$66</f>
        <v>0</v>
      </c>
    </row>
    <row r="38507" customFormat="false" ht="15" hidden="false" customHeight="false" outlineLevel="0" collapsed="false">
      <c r="A38507" s="24" t="s">
        <v>568</v>
      </c>
      <c r="B38507" s="25"/>
      <c r="C38507" s="25"/>
      <c r="D38507" s="25"/>
      <c r="E38507" s="25"/>
      <c r="F38507" s="25"/>
      <c r="G38507" s="25"/>
      <c r="H38507" s="25"/>
      <c r="I38507" s="25"/>
      <c r="J38507" s="25"/>
      <c r="K38507" s="25"/>
    </row>
    <row r="38508" customFormat="false" ht="15" hidden="false" customHeight="false" outlineLevel="0" collapsed="false">
      <c r="A38508" s="3" t="s">
        <v>556</v>
      </c>
      <c r="C38508" s="16" t="n">
        <f aca="false">IF(C38497&gt;0,MIN(C38475,C38497*$C$38473),0)</f>
        <v>388</v>
      </c>
    </row>
    <row r="38509" customFormat="false" ht="15" hidden="false" customHeight="false" outlineLevel="0" collapsed="false">
      <c r="A38509" s="3" t="s">
        <v>557</v>
      </c>
      <c r="C38509" s="16" t="n">
        <f aca="false">IF(C38498&gt;0,MIN(C38476,C38498*$C$38473),0)</f>
        <v>53.9022272401676</v>
      </c>
    </row>
    <row r="38510" customFormat="false" ht="15" hidden="false" customHeight="false" outlineLevel="0" collapsed="false">
      <c r="A38510" s="3" t="s">
        <v>558</v>
      </c>
      <c r="C38510" s="16" t="n">
        <f aca="false">IF(C38499&gt;0,MIN(C38477,C38499*$C$38473),0)</f>
        <v>34.3014173346521</v>
      </c>
    </row>
    <row r="38511" customFormat="false" ht="15" hidden="false" customHeight="false" outlineLevel="0" collapsed="false">
      <c r="A38511" s="3" t="s">
        <v>559</v>
      </c>
      <c r="C38511" s="16" t="n">
        <f aca="false">IF(C38500&gt;0,MIN(C38478,C38500*$C$38473),0)</f>
        <v>0</v>
      </c>
    </row>
    <row r="38512" customFormat="false" ht="15" hidden="false" customHeight="false" outlineLevel="0" collapsed="false">
      <c r="A38512" s="3" t="s">
        <v>560</v>
      </c>
      <c r="C38512" s="16" t="n">
        <f aca="false">IF(C38501&gt;0,MIN(C38479,C38501*$C$38473),0)</f>
        <v>0</v>
      </c>
    </row>
    <row r="38513" customFormat="false" ht="15" hidden="false" customHeight="false" outlineLevel="0" collapsed="false">
      <c r="A38513" s="3" t="s">
        <v>561</v>
      </c>
      <c r="C38513" s="16" t="n">
        <f aca="false">IF(C38502&gt;0,MIN(C38480,C38502*$C$38473),0)</f>
        <v>0</v>
      </c>
    </row>
    <row r="38514" customFormat="false" ht="15" hidden="false" customHeight="false" outlineLevel="0" collapsed="false">
      <c r="A38514" s="3" t="s">
        <v>562</v>
      </c>
      <c r="C38514" s="16" t="n">
        <f aca="false">IF(C38503&gt;0,MIN(C38481,C38503*$C$38473),0)</f>
        <v>0</v>
      </c>
    </row>
    <row r="38515" customFormat="false" ht="15" hidden="false" customHeight="false" outlineLevel="0" collapsed="false">
      <c r="A38515" s="3" t="s">
        <v>563</v>
      </c>
      <c r="C38515" s="16" t="n">
        <f aca="false">IF(C38504&gt;0,MIN(C38482,C38504*$C$38473),0)</f>
        <v>0</v>
      </c>
    </row>
    <row r="38516" customFormat="false" ht="15" hidden="false" customHeight="false" outlineLevel="0" collapsed="false">
      <c r="A38516" s="3" t="s">
        <v>564</v>
      </c>
      <c r="C38516" s="16" t="n">
        <f aca="false">IF(C38505&gt;0,MIN(C38483,C38505*$C$38473),0)</f>
        <v>0</v>
      </c>
    </row>
    <row r="38517" customFormat="false" ht="15" hidden="false" customHeight="false" outlineLevel="0" collapsed="false">
      <c r="A38517" s="3" t="s">
        <v>565</v>
      </c>
      <c r="C38517" s="16" t="n">
        <f aca="false">IF(C38506&gt;0,MIN(C38484,C38506*$C$38473),0)</f>
        <v>0</v>
      </c>
    </row>
    <row r="38518" customFormat="false" ht="15" hidden="false" customHeight="false" outlineLevel="0" collapsed="false">
      <c r="A38518" s="24" t="s">
        <v>569</v>
      </c>
      <c r="B38518" s="25"/>
      <c r="C38518" s="25"/>
      <c r="D38518" s="25"/>
      <c r="E38518" s="25"/>
      <c r="F38518" s="25"/>
      <c r="G38518" s="25"/>
      <c r="H38518" s="25"/>
      <c r="I38518" s="25"/>
      <c r="J38518" s="25"/>
      <c r="K38518" s="25"/>
    </row>
    <row r="38519" customFormat="false" ht="15" hidden="false" customHeight="false" outlineLevel="0" collapsed="false">
      <c r="A38519" s="3" t="s">
        <v>556</v>
      </c>
      <c r="C38519" s="16" t="n">
        <f aca="false">IF(C38497&gt;0,C38475-C38508,0)</f>
        <v>0</v>
      </c>
    </row>
    <row r="38520" customFormat="false" ht="15" hidden="false" customHeight="false" outlineLevel="0" collapsed="false">
      <c r="A38520" s="3" t="s">
        <v>557</v>
      </c>
      <c r="C38520" s="16" t="n">
        <f aca="false">IF(C38498&gt;0,C38476-C38509,0)</f>
        <v>36.0977727598324</v>
      </c>
    </row>
    <row r="38521" customFormat="false" ht="15" hidden="false" customHeight="false" outlineLevel="0" collapsed="false">
      <c r="A38521" s="3" t="s">
        <v>558</v>
      </c>
      <c r="C38521" s="16" t="n">
        <f aca="false">IF(C38499&gt;0,C38477-C38510,0)</f>
        <v>23.0225826653479</v>
      </c>
    </row>
    <row r="38522" customFormat="false" ht="15" hidden="false" customHeight="false" outlineLevel="0" collapsed="false">
      <c r="A38522" s="3" t="s">
        <v>559</v>
      </c>
      <c r="C38522" s="16" t="n">
        <f aca="false">IF(C38500&gt;0,C38478-C38511,0)</f>
        <v>0</v>
      </c>
    </row>
    <row r="38523" customFormat="false" ht="15" hidden="false" customHeight="false" outlineLevel="0" collapsed="false">
      <c r="A38523" s="3" t="s">
        <v>560</v>
      </c>
      <c r="C38523" s="16" t="n">
        <f aca="false">IF(C38501&gt;0,C38479-C38512,0)</f>
        <v>0</v>
      </c>
    </row>
    <row r="38524" customFormat="false" ht="15" hidden="false" customHeight="false" outlineLevel="0" collapsed="false">
      <c r="A38524" s="3" t="s">
        <v>561</v>
      </c>
      <c r="C38524" s="16" t="n">
        <f aca="false">IF(C38502&gt;0,C38480-C38513,0)</f>
        <v>0</v>
      </c>
    </row>
    <row r="38525" customFormat="false" ht="15" hidden="false" customHeight="false" outlineLevel="0" collapsed="false">
      <c r="A38525" s="3" t="s">
        <v>562</v>
      </c>
      <c r="C38525" s="16" t="n">
        <f aca="false">IF(C38503&gt;0,C38481-C38514,0)</f>
        <v>0</v>
      </c>
    </row>
    <row r="38526" customFormat="false" ht="15" hidden="false" customHeight="false" outlineLevel="0" collapsed="false">
      <c r="A38526" s="3" t="s">
        <v>563</v>
      </c>
      <c r="C38526" s="16" t="n">
        <f aca="false">IF(C38504&gt;0,C38482-C38515,0)</f>
        <v>0</v>
      </c>
    </row>
    <row r="38527" customFormat="false" ht="15" hidden="false" customHeight="false" outlineLevel="0" collapsed="false">
      <c r="A38527" s="3" t="s">
        <v>564</v>
      </c>
      <c r="C38527" s="16" t="n">
        <f aca="false">IF(C38505&gt;0,C38483-C38516,0)</f>
        <v>0</v>
      </c>
    </row>
    <row r="38528" customFormat="false" ht="15" hidden="false" customHeight="false" outlineLevel="0" collapsed="false">
      <c r="A38528" s="3" t="s">
        <v>565</v>
      </c>
      <c r="C38528" s="16" t="n">
        <f aca="false">IF(C38506&gt;0,C38484-C38517,0)</f>
        <v>0</v>
      </c>
    </row>
    <row r="38529" customFormat="false" ht="15" hidden="false" customHeight="false" outlineLevel="0" collapsed="false">
      <c r="A38529" s="24" t="s">
        <v>570</v>
      </c>
      <c r="B38529" s="25"/>
      <c r="C38529" s="25"/>
      <c r="D38529" s="25"/>
      <c r="E38529" s="25"/>
      <c r="F38529" s="25"/>
      <c r="G38529" s="25"/>
      <c r="H38529" s="25"/>
      <c r="I38529" s="25"/>
      <c r="J38529" s="25"/>
      <c r="K38529" s="25"/>
    </row>
    <row r="38530" customFormat="false" ht="15" hidden="false" customHeight="false" outlineLevel="0" collapsed="false">
      <c r="A38530" s="3" t="s">
        <v>556</v>
      </c>
      <c r="C38530" s="16" t="n">
        <f aca="false">IF(C38497&gt;0,C38519,C38475)</f>
        <v>0</v>
      </c>
    </row>
    <row r="38531" customFormat="false" ht="15" hidden="false" customHeight="false" outlineLevel="0" collapsed="false">
      <c r="A38531" s="3" t="s">
        <v>557</v>
      </c>
      <c r="C38531" s="16" t="n">
        <f aca="false">IF(C38498&gt;0,C38520,C38476)</f>
        <v>36.0977727598324</v>
      </c>
    </row>
    <row r="38532" customFormat="false" ht="15" hidden="false" customHeight="false" outlineLevel="0" collapsed="false">
      <c r="A38532" s="3" t="s">
        <v>558</v>
      </c>
      <c r="C38532" s="16" t="n">
        <f aca="false">IF(C38499&gt;0,C38521,C38477)</f>
        <v>23.0225826653479</v>
      </c>
    </row>
    <row r="38533" customFormat="false" ht="15" hidden="false" customHeight="false" outlineLevel="0" collapsed="false">
      <c r="A38533" s="3" t="s">
        <v>559</v>
      </c>
      <c r="C38533" s="16" t="n">
        <f aca="false">IF(C38500&gt;0,C38522,C38478)</f>
        <v>0</v>
      </c>
    </row>
    <row r="38534" customFormat="false" ht="15" hidden="false" customHeight="false" outlineLevel="0" collapsed="false">
      <c r="A38534" s="3" t="s">
        <v>560</v>
      </c>
      <c r="C38534" s="16" t="n">
        <f aca="false">IF(C38501&gt;0,C38523,C38479)</f>
        <v>434.9547587</v>
      </c>
    </row>
    <row r="38535" customFormat="false" ht="15" hidden="false" customHeight="false" outlineLevel="0" collapsed="false">
      <c r="A38535" s="3" t="s">
        <v>561</v>
      </c>
      <c r="C38535" s="16" t="n">
        <f aca="false">IF(C38502&gt;0,C38524,C38480)</f>
        <v>350</v>
      </c>
    </row>
    <row r="38536" customFormat="false" ht="15" hidden="false" customHeight="false" outlineLevel="0" collapsed="false">
      <c r="A38536" s="3" t="s">
        <v>562</v>
      </c>
      <c r="C38536" s="16" t="n">
        <f aca="false">IF(C38503&gt;0,C38525,C38481)</f>
        <v>550</v>
      </c>
    </row>
    <row r="38537" customFormat="false" ht="15" hidden="false" customHeight="false" outlineLevel="0" collapsed="false">
      <c r="A38537" s="3" t="s">
        <v>563</v>
      </c>
      <c r="C38537" s="16" t="n">
        <f aca="false">IF(C38504&gt;0,C38526,C38482)</f>
        <v>350</v>
      </c>
    </row>
    <row r="38538" customFormat="false" ht="15" hidden="false" customHeight="false" outlineLevel="0" collapsed="false">
      <c r="A38538" s="3" t="s">
        <v>564</v>
      </c>
      <c r="C38538" s="16" t="n">
        <f aca="false">IF(C38505&gt;0,C38527,C38483)</f>
        <v>300</v>
      </c>
    </row>
    <row r="38539" customFormat="false" ht="15" hidden="false" customHeight="false" outlineLevel="0" collapsed="false">
      <c r="A38539" s="3" t="s">
        <v>565</v>
      </c>
      <c r="C38539" s="16" t="n">
        <f aca="false">IF(C38506&gt;0,C38528,C38484)</f>
        <v>78.61</v>
      </c>
    </row>
    <row r="38540" customFormat="false" ht="15" hidden="false" customHeight="false" outlineLevel="0" collapsed="false">
      <c r="A38540" s="24" t="s">
        <v>571</v>
      </c>
      <c r="B38540" s="25"/>
      <c r="C38540" s="25"/>
      <c r="D38540" s="25"/>
      <c r="E38540" s="25"/>
      <c r="F38540" s="25"/>
      <c r="G38540" s="25"/>
      <c r="H38540" s="25"/>
      <c r="I38540" s="25"/>
      <c r="J38540" s="25"/>
      <c r="K38540" s="25"/>
    </row>
    <row r="38541" customFormat="false" ht="15" hidden="false" customHeight="false" outlineLevel="0" collapsed="false">
      <c r="A38541" s="3" t="s">
        <v>556</v>
      </c>
      <c r="C38541" s="21" t="n">
        <f aca="false">IF(C38497&gt;0,Assumptions!$C$17,C38486)</f>
        <v>99</v>
      </c>
    </row>
    <row r="38542" customFormat="false" ht="15" hidden="false" customHeight="false" outlineLevel="0" collapsed="false">
      <c r="A38542" s="3" t="s">
        <v>557</v>
      </c>
      <c r="C38542" s="21" t="n">
        <f aca="false">IF(C38498&gt;0,Assumptions!$C$17,C38487)</f>
        <v>99</v>
      </c>
    </row>
    <row r="38543" customFormat="false" ht="15" hidden="false" customHeight="false" outlineLevel="0" collapsed="false">
      <c r="A38543" s="3" t="s">
        <v>558</v>
      </c>
      <c r="C38543" s="21" t="n">
        <f aca="false">IF(C38499&gt;0,Assumptions!$C$17,C38488)</f>
        <v>99</v>
      </c>
    </row>
    <row r="38544" customFormat="false" ht="15" hidden="false" customHeight="false" outlineLevel="0" collapsed="false">
      <c r="A38544" s="3" t="s">
        <v>559</v>
      </c>
      <c r="C38544" s="21" t="n">
        <f aca="false">IF(C38500&gt;0,Assumptions!$C$17,C38489)</f>
        <v>2</v>
      </c>
    </row>
    <row r="38545" customFormat="false" ht="15" hidden="false" customHeight="false" outlineLevel="0" collapsed="false">
      <c r="A38545" s="3" t="s">
        <v>560</v>
      </c>
      <c r="C38545" s="21" t="n">
        <f aca="false">IF(C38501&gt;0,Assumptions!$C$17,C38490)</f>
        <v>2</v>
      </c>
    </row>
    <row r="38546" customFormat="false" ht="15" hidden="false" customHeight="false" outlineLevel="0" collapsed="false">
      <c r="A38546" s="3" t="s">
        <v>561</v>
      </c>
      <c r="C38546" s="21" t="n">
        <f aca="false">IF(C38502&gt;0,Assumptions!$C$17,C38491)</f>
        <v>2</v>
      </c>
    </row>
    <row r="38547" customFormat="false" ht="15" hidden="false" customHeight="false" outlineLevel="0" collapsed="false">
      <c r="A38547" s="3" t="s">
        <v>562</v>
      </c>
      <c r="C38547" s="21" t="n">
        <f aca="false">IF(C38503&gt;0,Assumptions!$C$17,C38492)</f>
        <v>2</v>
      </c>
    </row>
    <row r="38548" customFormat="false" ht="15" hidden="false" customHeight="false" outlineLevel="0" collapsed="false">
      <c r="A38548" s="3" t="s">
        <v>563</v>
      </c>
      <c r="C38548" s="21" t="n">
        <f aca="false">IF(C38504&gt;0,Assumptions!$C$17,C38493)</f>
        <v>2</v>
      </c>
    </row>
    <row r="38549" customFormat="false" ht="15" hidden="false" customHeight="false" outlineLevel="0" collapsed="false">
      <c r="A38549" s="3" t="s">
        <v>564</v>
      </c>
      <c r="C38549" s="21" t="n">
        <f aca="false">IF(C38505&gt;0,Assumptions!$C$17,C38494)</f>
        <v>2</v>
      </c>
    </row>
    <row r="38550" customFormat="false" ht="15" hidden="false" customHeight="false" outlineLevel="0" collapsed="false">
      <c r="A38550" s="3" t="s">
        <v>565</v>
      </c>
      <c r="C38550" s="21" t="n">
        <f aca="false">IF(C38506&gt;0,Assumptions!$C$17,C38495)</f>
        <v>3</v>
      </c>
    </row>
    <row r="38551" customFormat="false" ht="15" hidden="false" customHeight="false" outlineLevel="0" collapsed="false">
      <c r="A38551" s="24" t="s">
        <v>572</v>
      </c>
      <c r="B38551" s="25"/>
      <c r="C38551" s="25"/>
      <c r="D38551" s="25"/>
      <c r="E38551" s="25"/>
      <c r="F38551" s="25"/>
      <c r="G38551" s="25"/>
      <c r="H38551" s="25"/>
      <c r="I38551" s="25"/>
      <c r="J38551" s="25"/>
      <c r="K38551" s="25"/>
    </row>
    <row r="38552" customFormat="false" ht="15" hidden="false" customHeight="false" outlineLevel="0" collapsed="false">
      <c r="A38552" s="3" t="s">
        <v>556</v>
      </c>
      <c r="C38552" s="16" t="n">
        <f aca="false">SUMPRODUCT(($C$38541:$C$38550&lt;C38541)*$C$38530:$C$38539)</f>
        <v>2063.5647587</v>
      </c>
    </row>
    <row r="38553" customFormat="false" ht="15" hidden="false" customHeight="false" outlineLevel="0" collapsed="false">
      <c r="A38553" s="3" t="s">
        <v>557</v>
      </c>
      <c r="C38553" s="16" t="n">
        <f aca="false">SUMPRODUCT(($C$38541:$C$38550&lt;C38542)*$C$38530:$C$38539)</f>
        <v>2063.5647587</v>
      </c>
    </row>
    <row r="38554" customFormat="false" ht="15" hidden="false" customHeight="false" outlineLevel="0" collapsed="false">
      <c r="A38554" s="3" t="s">
        <v>558</v>
      </c>
      <c r="C38554" s="16" t="n">
        <f aca="false">SUMPRODUCT(($C$38541:$C$38550&lt;C38543)*$C$38530:$C$38539)</f>
        <v>2063.5647587</v>
      </c>
    </row>
    <row r="38555" customFormat="false" ht="15" hidden="false" customHeight="false" outlineLevel="0" collapsed="false">
      <c r="A38555" s="3" t="s">
        <v>559</v>
      </c>
      <c r="C38555" s="16" t="n">
        <f aca="false">SUMPRODUCT(($C$38541:$C$38550&lt;C38544)*$C$38530:$C$38539)</f>
        <v>0</v>
      </c>
    </row>
    <row r="38556" customFormat="false" ht="15" hidden="false" customHeight="false" outlineLevel="0" collapsed="false">
      <c r="A38556" s="3" t="s">
        <v>560</v>
      </c>
      <c r="C38556" s="16" t="n">
        <f aca="false">SUMPRODUCT(($C$38541:$C$38550&lt;C38545)*$C$38530:$C$38539)</f>
        <v>0</v>
      </c>
    </row>
    <row r="38557" customFormat="false" ht="15" hidden="false" customHeight="false" outlineLevel="0" collapsed="false">
      <c r="A38557" s="3" t="s">
        <v>561</v>
      </c>
      <c r="C38557" s="16" t="n">
        <f aca="false">SUMPRODUCT(($C$38541:$C$38550&lt;C38546)*$C$38530:$C$38539)</f>
        <v>0</v>
      </c>
    </row>
    <row r="38558" customFormat="false" ht="15" hidden="false" customHeight="false" outlineLevel="0" collapsed="false">
      <c r="A38558" s="3" t="s">
        <v>562</v>
      </c>
      <c r="C38558" s="16" t="n">
        <f aca="false">SUMPRODUCT(($C$38541:$C$38550&lt;C38547)*$C$38530:$C$38539)</f>
        <v>0</v>
      </c>
    </row>
    <row r="38559" customFormat="false" ht="15" hidden="false" customHeight="false" outlineLevel="0" collapsed="false">
      <c r="A38559" s="3" t="s">
        <v>563</v>
      </c>
      <c r="C38559" s="16" t="n">
        <f aca="false">SUMPRODUCT(($C$38541:$C$38550&lt;C38548)*$C$38530:$C$38539)</f>
        <v>0</v>
      </c>
    </row>
    <row r="38560" customFormat="false" ht="15" hidden="false" customHeight="false" outlineLevel="0" collapsed="false">
      <c r="A38560" s="3" t="s">
        <v>564</v>
      </c>
      <c r="C38560" s="16" t="n">
        <f aca="false">SUMPRODUCT(($C$38541:$C$38550&lt;C38549)*$C$38530:$C$38539)</f>
        <v>0</v>
      </c>
    </row>
    <row r="38561" customFormat="false" ht="15" hidden="false" customHeight="false" outlineLevel="0" collapsed="false">
      <c r="A38561" s="3" t="s">
        <v>565</v>
      </c>
      <c r="C38561" s="16" t="n">
        <f aca="false">SUMPRODUCT(($C$38541:$C$38550&lt;C38550)*$C$38530:$C$38539)</f>
        <v>1984.9547587</v>
      </c>
    </row>
    <row r="38562" customFormat="false" ht="15" hidden="false" customHeight="false" outlineLevel="0" collapsed="false">
      <c r="A38562" s="24" t="s">
        <v>573</v>
      </c>
      <c r="B38562" s="25"/>
      <c r="C38562" s="25"/>
      <c r="D38562" s="25"/>
      <c r="E38562" s="25"/>
      <c r="F38562" s="25"/>
      <c r="G38562" s="25"/>
      <c r="H38562" s="25"/>
      <c r="I38562" s="25"/>
      <c r="J38562" s="25"/>
      <c r="K38562" s="25"/>
    </row>
    <row r="38563" customFormat="false" ht="15" hidden="false" customHeight="false" outlineLevel="0" collapsed="false">
      <c r="A38563" s="3" t="s">
        <v>556</v>
      </c>
      <c r="C38563" s="16" t="n">
        <f aca="false">SUMPRODUCT(($C$38541:$C$38550=C38541)*$C$38530:$C$38539)</f>
        <v>59.1203554251802</v>
      </c>
    </row>
    <row r="38564" customFormat="false" ht="15" hidden="false" customHeight="false" outlineLevel="0" collapsed="false">
      <c r="A38564" s="3" t="s">
        <v>557</v>
      </c>
      <c r="C38564" s="16" t="n">
        <f aca="false">SUMPRODUCT(($C$38541:$C$38550=C38542)*$C$38530:$C$38539)</f>
        <v>59.1203554251802</v>
      </c>
    </row>
    <row r="38565" customFormat="false" ht="15" hidden="false" customHeight="false" outlineLevel="0" collapsed="false">
      <c r="A38565" s="3" t="s">
        <v>558</v>
      </c>
      <c r="C38565" s="16" t="n">
        <f aca="false">SUMPRODUCT(($C$38541:$C$38550=C38543)*$C$38530:$C$38539)</f>
        <v>59.1203554251802</v>
      </c>
    </row>
    <row r="38566" customFormat="false" ht="15" hidden="false" customHeight="false" outlineLevel="0" collapsed="false">
      <c r="A38566" s="3" t="s">
        <v>559</v>
      </c>
      <c r="C38566" s="16" t="n">
        <f aca="false">SUMPRODUCT(($C$38541:$C$38550=C38544)*$C$38530:$C$38539)</f>
        <v>1984.9547587</v>
      </c>
    </row>
    <row r="38567" customFormat="false" ht="15" hidden="false" customHeight="false" outlineLevel="0" collapsed="false">
      <c r="A38567" s="3" t="s">
        <v>560</v>
      </c>
      <c r="C38567" s="16" t="n">
        <f aca="false">SUMPRODUCT(($C$38541:$C$38550=C38545)*$C$38530:$C$38539)</f>
        <v>1984.9547587</v>
      </c>
    </row>
    <row r="38568" customFormat="false" ht="15" hidden="false" customHeight="false" outlineLevel="0" collapsed="false">
      <c r="A38568" s="3" t="s">
        <v>561</v>
      </c>
      <c r="C38568" s="16" t="n">
        <f aca="false">SUMPRODUCT(($C$38541:$C$38550=C38546)*$C$38530:$C$38539)</f>
        <v>1984.9547587</v>
      </c>
    </row>
    <row r="38569" customFormat="false" ht="15" hidden="false" customHeight="false" outlineLevel="0" collapsed="false">
      <c r="A38569" s="3" t="s">
        <v>562</v>
      </c>
      <c r="C38569" s="16" t="n">
        <f aca="false">SUMPRODUCT(($C$38541:$C$38550=C38547)*$C$38530:$C$38539)</f>
        <v>1984.9547587</v>
      </c>
    </row>
    <row r="38570" customFormat="false" ht="15" hidden="false" customHeight="false" outlineLevel="0" collapsed="false">
      <c r="A38570" s="3" t="s">
        <v>563</v>
      </c>
      <c r="C38570" s="16" t="n">
        <f aca="false">SUMPRODUCT(($C$38541:$C$38550=C38548)*$C$38530:$C$38539)</f>
        <v>1984.9547587</v>
      </c>
    </row>
    <row r="38571" customFormat="false" ht="15" hidden="false" customHeight="false" outlineLevel="0" collapsed="false">
      <c r="A38571" s="3" t="s">
        <v>564</v>
      </c>
      <c r="C38571" s="16" t="n">
        <f aca="false">SUMPRODUCT(($C$38541:$C$38550=C38549)*$C$38530:$C$38539)</f>
        <v>1984.9547587</v>
      </c>
    </row>
    <row r="38572" customFormat="false" ht="15" hidden="false" customHeight="false" outlineLevel="0" collapsed="false">
      <c r="A38572" s="3" t="s">
        <v>565</v>
      </c>
      <c r="C38572" s="16" t="n">
        <f aca="false">SUMPRODUCT(($C$38541:$C$38550=C38550)*$C$38530:$C$38539)</f>
        <v>78.61</v>
      </c>
    </row>
    <row r="38573" customFormat="false" ht="15" hidden="false" customHeight="false" outlineLevel="0" collapsed="false">
      <c r="A38573" s="24" t="s">
        <v>574</v>
      </c>
      <c r="B38573" s="25"/>
      <c r="C38573" s="25"/>
      <c r="D38573" s="25"/>
      <c r="E38573" s="25"/>
      <c r="F38573" s="25"/>
      <c r="G38573" s="25"/>
      <c r="H38573" s="25"/>
      <c r="I38573" s="25"/>
      <c r="J38573" s="25"/>
      <c r="K38573" s="25"/>
    </row>
    <row r="38574" customFormat="false" ht="15" hidden="false" customHeight="false" outlineLevel="0" collapsed="false">
      <c r="A38574" s="3" t="s">
        <v>556</v>
      </c>
      <c r="C38574" s="16" t="n">
        <f aca="false">IF(C38563=0,0,C38530/C38563*MAX(0,MIN(C38563,$C$38473-SUM($C$38508:$C$38517)-C38552)))</f>
        <v>0</v>
      </c>
    </row>
    <row r="38575" customFormat="false" ht="15" hidden="false" customHeight="false" outlineLevel="0" collapsed="false">
      <c r="A38575" s="3" t="s">
        <v>557</v>
      </c>
      <c r="C38575" s="16" t="n">
        <f aca="false">IF(C38564=0,0,C38531/C38564*MAX(0,MIN(C38564,$C$38473-SUM($C$38508:$C$38517)-C38553)))</f>
        <v>0</v>
      </c>
    </row>
    <row r="38576" customFormat="false" ht="15" hidden="false" customHeight="false" outlineLevel="0" collapsed="false">
      <c r="A38576" s="3" t="s">
        <v>558</v>
      </c>
      <c r="C38576" s="16" t="n">
        <f aca="false">IF(C38565=0,0,C38532/C38565*MAX(0,MIN(C38565,$C$38473-SUM($C$38508:$C$38517)-C38554)))</f>
        <v>0</v>
      </c>
    </row>
    <row r="38577" customFormat="false" ht="15" hidden="false" customHeight="false" outlineLevel="0" collapsed="false">
      <c r="A38577" s="3" t="s">
        <v>559</v>
      </c>
      <c r="C38577" s="16" t="n">
        <f aca="false">IF(C38566=0,0,C38533/C38566*MAX(0,MIN(C38566,$C$38473-SUM($C$38508:$C$38517)-C38555)))</f>
        <v>0</v>
      </c>
    </row>
    <row r="38578" customFormat="false" ht="15" hidden="false" customHeight="false" outlineLevel="0" collapsed="false">
      <c r="A38578" s="3" t="s">
        <v>560</v>
      </c>
      <c r="C38578" s="16" t="n">
        <f aca="false">IF(C38567=0,0,C38534/C38567*MAX(0,MIN(C38567,$C$38473-SUM($C$38508:$C$38517)-C38556)))</f>
        <v>253.571734254394</v>
      </c>
    </row>
    <row r="38579" customFormat="false" ht="15" hidden="false" customHeight="false" outlineLevel="0" collapsed="false">
      <c r="A38579" s="3" t="s">
        <v>561</v>
      </c>
      <c r="C38579" s="16" t="n">
        <f aca="false">IF(C38568=0,0,C38535/C38568*MAX(0,MIN(C38568,$C$38473-SUM($C$38508:$C$38517)-C38557)))</f>
        <v>204.044455690738</v>
      </c>
    </row>
    <row r="38580" customFormat="false" ht="15" hidden="false" customHeight="false" outlineLevel="0" collapsed="false">
      <c r="A38580" s="3" t="s">
        <v>562</v>
      </c>
      <c r="C38580" s="16" t="n">
        <f aca="false">IF(C38569=0,0,C38536/C38569*MAX(0,MIN(C38569,$C$38473-SUM($C$38508:$C$38517)-C38558)))</f>
        <v>320.641287514017</v>
      </c>
    </row>
    <row r="38581" customFormat="false" ht="15" hidden="false" customHeight="false" outlineLevel="0" collapsed="false">
      <c r="A38581" s="3" t="s">
        <v>563</v>
      </c>
      <c r="C38581" s="16" t="n">
        <f aca="false">IF(C38570=0,0,C38537/C38570*MAX(0,MIN(C38570,$C$38473-SUM($C$38508:$C$38517)-C38559)))</f>
        <v>204.044455690738</v>
      </c>
    </row>
    <row r="38582" customFormat="false" ht="15" hidden="false" customHeight="false" outlineLevel="0" collapsed="false">
      <c r="A38582" s="3" t="s">
        <v>564</v>
      </c>
      <c r="C38582" s="16" t="n">
        <f aca="false">IF(C38571=0,0,C38538/C38571*MAX(0,MIN(C38571,$C$38473-SUM($C$38508:$C$38517)-C38560)))</f>
        <v>174.895247734918</v>
      </c>
    </row>
    <row r="38583" customFormat="false" ht="15" hidden="false" customHeight="false" outlineLevel="0" collapsed="false">
      <c r="A38583" s="3" t="s">
        <v>565</v>
      </c>
      <c r="C38583" s="16" t="n">
        <f aca="false">IF(C38572=0,0,C38539/C38572*MAX(0,MIN(C38572,$C$38473-SUM($C$38508:$C$38517)-C38561)))</f>
        <v>0</v>
      </c>
    </row>
    <row r="38584" customFormat="false" ht="15" hidden="false" customHeight="false" outlineLevel="0" collapsed="false">
      <c r="A38584" s="24" t="s">
        <v>575</v>
      </c>
      <c r="B38584" s="25"/>
      <c r="C38584" s="25"/>
      <c r="D38584" s="25"/>
      <c r="E38584" s="25"/>
      <c r="F38584" s="25"/>
      <c r="G38584" s="25"/>
      <c r="H38584" s="25"/>
      <c r="I38584" s="25"/>
      <c r="J38584" s="25"/>
      <c r="K38584" s="25"/>
    </row>
    <row r="38585" customFormat="false" ht="15" hidden="false" customHeight="false" outlineLevel="0" collapsed="false">
      <c r="A38585" s="2" t="s">
        <v>556</v>
      </c>
      <c r="C38585" s="17" t="n">
        <f aca="false">C38508+C38574</f>
        <v>388</v>
      </c>
    </row>
    <row r="38586" customFormat="false" ht="15" hidden="false" customHeight="false" outlineLevel="0" collapsed="false">
      <c r="A38586" s="2" t="s">
        <v>557</v>
      </c>
      <c r="C38586" s="17" t="n">
        <f aca="false">C38509+C38575</f>
        <v>53.9022272401676</v>
      </c>
    </row>
    <row r="38587" customFormat="false" ht="15" hidden="false" customHeight="false" outlineLevel="0" collapsed="false">
      <c r="A38587" s="2" t="s">
        <v>558</v>
      </c>
      <c r="C38587" s="17" t="n">
        <f aca="false">C38510+C38576</f>
        <v>34.3014173346521</v>
      </c>
    </row>
    <row r="38588" customFormat="false" ht="15" hidden="false" customHeight="false" outlineLevel="0" collapsed="false">
      <c r="A38588" s="2" t="s">
        <v>559</v>
      </c>
      <c r="C38588" s="17" t="n">
        <f aca="false">C38511+C38577</f>
        <v>0</v>
      </c>
    </row>
    <row r="38589" customFormat="false" ht="15" hidden="false" customHeight="false" outlineLevel="0" collapsed="false">
      <c r="A38589" s="2" t="s">
        <v>560</v>
      </c>
      <c r="C38589" s="17" t="n">
        <f aca="false">C38512+C38578</f>
        <v>253.571734254394</v>
      </c>
    </row>
    <row r="38590" customFormat="false" ht="15" hidden="false" customHeight="false" outlineLevel="0" collapsed="false">
      <c r="A38590" s="2" t="s">
        <v>561</v>
      </c>
      <c r="C38590" s="17" t="n">
        <f aca="false">C38513+C38579</f>
        <v>204.044455690738</v>
      </c>
    </row>
    <row r="38591" customFormat="false" ht="15" hidden="false" customHeight="false" outlineLevel="0" collapsed="false">
      <c r="A38591" s="2" t="s">
        <v>562</v>
      </c>
      <c r="C38591" s="17" t="n">
        <f aca="false">C38514+C38580</f>
        <v>320.641287514017</v>
      </c>
    </row>
    <row r="38592" customFormat="false" ht="15" hidden="false" customHeight="false" outlineLevel="0" collapsed="false">
      <c r="A38592" s="2" t="s">
        <v>563</v>
      </c>
      <c r="C38592" s="17" t="n">
        <f aca="false">C38515+C38581</f>
        <v>204.044455690738</v>
      </c>
    </row>
    <row r="38593" customFormat="false" ht="15" hidden="false" customHeight="false" outlineLevel="0" collapsed="false">
      <c r="A38593" s="2" t="s">
        <v>564</v>
      </c>
      <c r="C38593" s="17" t="n">
        <f aca="false">C38516+C38582</f>
        <v>174.895247734918</v>
      </c>
    </row>
    <row r="38594" customFormat="false" ht="15" hidden="false" customHeight="false" outlineLevel="0" collapsed="false">
      <c r="A38594" s="2" t="s">
        <v>565</v>
      </c>
      <c r="C38594" s="17" t="n">
        <f aca="false">C38517+C38583</f>
        <v>0</v>
      </c>
    </row>
    <row r="38595" customFormat="false" ht="15" hidden="false" customHeight="false" outlineLevel="0" collapsed="false">
      <c r="A38595" s="24" t="s">
        <v>576</v>
      </c>
      <c r="B38595" s="25"/>
      <c r="C38595" s="25"/>
      <c r="D38595" s="25"/>
      <c r="E38595" s="25"/>
      <c r="F38595" s="25"/>
      <c r="G38595" s="25"/>
      <c r="H38595" s="25"/>
      <c r="I38595" s="25"/>
      <c r="J38595" s="25"/>
      <c r="K38595" s="25"/>
    </row>
    <row r="38596" customFormat="false" ht="15" hidden="false" customHeight="false" outlineLevel="0" collapsed="false">
      <c r="A38596" s="3" t="s">
        <v>556</v>
      </c>
      <c r="C38596" s="22" t="n">
        <f aca="false">IF(C38475=0,1,C38585/C38475)</f>
        <v>1</v>
      </c>
    </row>
    <row r="38597" customFormat="false" ht="15" hidden="false" customHeight="false" outlineLevel="0" collapsed="false">
      <c r="A38597" s="3" t="s">
        <v>557</v>
      </c>
      <c r="C38597" s="22" t="n">
        <f aca="false">IF(C38476=0,1,C38586/C38476)</f>
        <v>0.598913636001863</v>
      </c>
    </row>
    <row r="38598" customFormat="false" ht="15" hidden="false" customHeight="false" outlineLevel="0" collapsed="false">
      <c r="A38598" s="3" t="s">
        <v>558</v>
      </c>
      <c r="C38598" s="22" t="n">
        <f aca="false">IF(C38477=0,1,C38587/C38477)</f>
        <v>0.598377945269907</v>
      </c>
    </row>
    <row r="38599" customFormat="false" ht="15" hidden="false" customHeight="false" outlineLevel="0" collapsed="false">
      <c r="A38599" s="3" t="s">
        <v>559</v>
      </c>
      <c r="C38599" s="22" t="n">
        <f aca="false">IF(C38478=0,1,C38588/C38478)</f>
        <v>1</v>
      </c>
    </row>
    <row r="38600" customFormat="false" ht="15" hidden="false" customHeight="false" outlineLevel="0" collapsed="false">
      <c r="A38600" s="3" t="s">
        <v>560</v>
      </c>
      <c r="C38600" s="22" t="n">
        <f aca="false">IF(C38479=0,1,C38589/C38479)</f>
        <v>0.582984159116395</v>
      </c>
    </row>
    <row r="38601" customFormat="false" ht="15" hidden="false" customHeight="false" outlineLevel="0" collapsed="false">
      <c r="A38601" s="3" t="s">
        <v>561</v>
      </c>
      <c r="C38601" s="22" t="n">
        <f aca="false">IF(C38480=0,1,C38590/C38480)</f>
        <v>0.582984159116395</v>
      </c>
    </row>
    <row r="38602" customFormat="false" ht="15" hidden="false" customHeight="false" outlineLevel="0" collapsed="false">
      <c r="A38602" s="3" t="s">
        <v>562</v>
      </c>
      <c r="C38602" s="22" t="n">
        <f aca="false">IF(C38481=0,1,C38591/C38481)</f>
        <v>0.582984159116395</v>
      </c>
    </row>
    <row r="38603" customFormat="false" ht="15" hidden="false" customHeight="false" outlineLevel="0" collapsed="false">
      <c r="A38603" s="3" t="s">
        <v>563</v>
      </c>
      <c r="C38603" s="22" t="n">
        <f aca="false">IF(C38482=0,1,C38592/C38482)</f>
        <v>0.582984159116395</v>
      </c>
    </row>
    <row r="38604" customFormat="false" ht="15" hidden="false" customHeight="false" outlineLevel="0" collapsed="false">
      <c r="A38604" s="3" t="s">
        <v>564</v>
      </c>
      <c r="C38604" s="22" t="n">
        <f aca="false">IF(C38483=0,1,C38593/C38483)</f>
        <v>0.582984159116395</v>
      </c>
    </row>
    <row r="38605" customFormat="false" ht="15" hidden="false" customHeight="false" outlineLevel="0" collapsed="false">
      <c r="A38605" s="3" t="s">
        <v>565</v>
      </c>
      <c r="C38605" s="22" t="n">
        <f aca="false">IF(C38484=0,1,C38594/C38484)</f>
        <v>0</v>
      </c>
    </row>
    <row r="38606" customFormat="false" ht="15" hidden="false" customHeight="false" outlineLevel="0" collapsed="false">
      <c r="A38606" s="24" t="s">
        <v>577</v>
      </c>
      <c r="B38606" s="25"/>
      <c r="C38606" s="25"/>
      <c r="D38606" s="25"/>
      <c r="E38606" s="25"/>
      <c r="F38606" s="25"/>
      <c r="G38606" s="25"/>
      <c r="H38606" s="25"/>
      <c r="I38606" s="25"/>
      <c r="J38606" s="25"/>
      <c r="K38606" s="25"/>
    </row>
    <row r="38607" customFormat="false" ht="15" hidden="false" customHeight="false" outlineLevel="0" collapsed="false">
      <c r="A38607" s="3" t="s">
        <v>556</v>
      </c>
      <c r="C38607" s="16" t="n">
        <f aca="false">C38475-C38585</f>
        <v>0</v>
      </c>
    </row>
    <row r="38608" customFormat="false" ht="15" hidden="false" customHeight="false" outlineLevel="0" collapsed="false">
      <c r="A38608" s="3" t="s">
        <v>557</v>
      </c>
      <c r="C38608" s="16" t="n">
        <f aca="false">C38476-C38586</f>
        <v>36.0977727598324</v>
      </c>
    </row>
    <row r="38609" customFormat="false" ht="15" hidden="false" customHeight="false" outlineLevel="0" collapsed="false">
      <c r="A38609" s="3" t="s">
        <v>558</v>
      </c>
      <c r="C38609" s="16" t="n">
        <f aca="false">C38477-C38587</f>
        <v>23.0225826653479</v>
      </c>
    </row>
    <row r="38610" customFormat="false" ht="15" hidden="false" customHeight="false" outlineLevel="0" collapsed="false">
      <c r="A38610" s="3" t="s">
        <v>559</v>
      </c>
      <c r="C38610" s="16" t="n">
        <f aca="false">C38478-C38588</f>
        <v>0</v>
      </c>
    </row>
    <row r="38611" customFormat="false" ht="15" hidden="false" customHeight="false" outlineLevel="0" collapsed="false">
      <c r="A38611" s="3" t="s">
        <v>560</v>
      </c>
      <c r="C38611" s="16" t="n">
        <f aca="false">C38479-C38589</f>
        <v>181.383024445606</v>
      </c>
    </row>
    <row r="38612" customFormat="false" ht="15" hidden="false" customHeight="false" outlineLevel="0" collapsed="false">
      <c r="A38612" s="3" t="s">
        <v>561</v>
      </c>
      <c r="C38612" s="16" t="n">
        <f aca="false">C38480-C38590</f>
        <v>145.955544309262</v>
      </c>
    </row>
    <row r="38613" customFormat="false" ht="15" hidden="false" customHeight="false" outlineLevel="0" collapsed="false">
      <c r="A38613" s="3" t="s">
        <v>562</v>
      </c>
      <c r="C38613" s="16" t="n">
        <f aca="false">C38481-C38591</f>
        <v>229.358712485983</v>
      </c>
    </row>
    <row r="38614" customFormat="false" ht="15" hidden="false" customHeight="false" outlineLevel="0" collapsed="false">
      <c r="A38614" s="3" t="s">
        <v>563</v>
      </c>
      <c r="C38614" s="16" t="n">
        <f aca="false">C38482-C38592</f>
        <v>145.955544309262</v>
      </c>
    </row>
    <row r="38615" customFormat="false" ht="15" hidden="false" customHeight="false" outlineLevel="0" collapsed="false">
      <c r="A38615" s="3" t="s">
        <v>564</v>
      </c>
      <c r="C38615" s="16" t="n">
        <f aca="false">C38483-C38593</f>
        <v>125.104752265082</v>
      </c>
    </row>
    <row r="38616" customFormat="false" ht="15" hidden="false" customHeight="false" outlineLevel="0" collapsed="false">
      <c r="A38616" s="3" t="s">
        <v>565</v>
      </c>
      <c r="C38616" s="16" t="n">
        <f aca="false">C38484-C38594</f>
        <v>78.61</v>
      </c>
    </row>
    <row r="38617" customFormat="false" ht="15" hidden="false" customHeight="false" outlineLevel="0" collapsed="false">
      <c r="A38617" s="24" t="s">
        <v>578</v>
      </c>
      <c r="B38617" s="25"/>
      <c r="C38617" s="25"/>
      <c r="D38617" s="25"/>
      <c r="E38617" s="25"/>
      <c r="F38617" s="25"/>
      <c r="G38617" s="25"/>
      <c r="H38617" s="25"/>
      <c r="I38617" s="25"/>
      <c r="J38617" s="25"/>
      <c r="K38617" s="25"/>
    </row>
    <row r="38618" customFormat="false" ht="15" hidden="false" customHeight="false" outlineLevel="0" collapsed="false">
      <c r="A38618" s="3" t="s">
        <v>556</v>
      </c>
      <c r="C38618" s="22" t="n">
        <f aca="false">IF(C38475=0,0,C38607/C38475)</f>
        <v>0</v>
      </c>
    </row>
    <row r="38619" customFormat="false" ht="15" hidden="false" customHeight="false" outlineLevel="0" collapsed="false">
      <c r="A38619" s="3" t="s">
        <v>557</v>
      </c>
      <c r="C38619" s="22" t="n">
        <f aca="false">IF(C38476=0,0,C38608/C38476)</f>
        <v>0.401086363998137</v>
      </c>
    </row>
    <row r="38620" customFormat="false" ht="15" hidden="false" customHeight="false" outlineLevel="0" collapsed="false">
      <c r="A38620" s="3" t="s">
        <v>558</v>
      </c>
      <c r="C38620" s="22" t="n">
        <f aca="false">IF(C38477=0,0,C38609/C38477)</f>
        <v>0.401622054730093</v>
      </c>
    </row>
    <row r="38621" customFormat="false" ht="15" hidden="false" customHeight="false" outlineLevel="0" collapsed="false">
      <c r="A38621" s="3" t="s">
        <v>559</v>
      </c>
      <c r="C38621" s="22" t="n">
        <f aca="false">IF(C38478=0,0,C38610/C38478)</f>
        <v>0</v>
      </c>
    </row>
    <row r="38622" customFormat="false" ht="15" hidden="false" customHeight="false" outlineLevel="0" collapsed="false">
      <c r="A38622" s="3" t="s">
        <v>560</v>
      </c>
      <c r="C38622" s="22" t="n">
        <f aca="false">IF(C38479=0,0,C38611/C38479)</f>
        <v>0.417015840883605</v>
      </c>
    </row>
    <row r="38623" customFormat="false" ht="15" hidden="false" customHeight="false" outlineLevel="0" collapsed="false">
      <c r="A38623" s="3" t="s">
        <v>561</v>
      </c>
      <c r="C38623" s="22" t="n">
        <f aca="false">IF(C38480=0,0,C38612/C38480)</f>
        <v>0.417015840883605</v>
      </c>
    </row>
    <row r="38624" customFormat="false" ht="15" hidden="false" customHeight="false" outlineLevel="0" collapsed="false">
      <c r="A38624" s="3" t="s">
        <v>562</v>
      </c>
      <c r="C38624" s="22" t="n">
        <f aca="false">IF(C38481=0,0,C38613/C38481)</f>
        <v>0.417015840883605</v>
      </c>
    </row>
    <row r="38625" customFormat="false" ht="15" hidden="false" customHeight="false" outlineLevel="0" collapsed="false">
      <c r="A38625" s="3" t="s">
        <v>563</v>
      </c>
      <c r="C38625" s="22" t="n">
        <f aca="false">IF(C38482=0,0,C38614/C38482)</f>
        <v>0.417015840883605</v>
      </c>
    </row>
    <row r="38626" customFormat="false" ht="15" hidden="false" customHeight="false" outlineLevel="0" collapsed="false">
      <c r="A38626" s="3" t="s">
        <v>564</v>
      </c>
      <c r="C38626" s="22" t="n">
        <f aca="false">IF(C38483=0,0,C38615/C38483)</f>
        <v>0.417015840883605</v>
      </c>
    </row>
    <row r="38627" customFormat="false" ht="15" hidden="false" customHeight="false" outlineLevel="0" collapsed="false">
      <c r="A38627" s="3" t="s">
        <v>565</v>
      </c>
      <c r="C38627" s="22" t="n">
        <f aca="false">IF(C38484=0,0,C38616/C38484)</f>
        <v>1</v>
      </c>
    </row>
    <row r="38628" customFormat="false" ht="15" hidden="false" customHeight="false" outlineLevel="0" collapsed="false">
      <c r="A38628" s="2" t="s">
        <v>579</v>
      </c>
      <c r="C38628" s="17" t="n">
        <f aca="false">MAX(0,$C$38473-SUM($C$38508:$C$38517)-SUM($C$38530:$C$38539))</f>
        <v>0</v>
      </c>
    </row>
    <row r="38629" customFormat="false" ht="15" hidden="false" customHeight="false" outlineLevel="0" collapsed="false">
      <c r="A38629" s="3" t="s">
        <v>597</v>
      </c>
      <c r="C38629" s="35" t="n">
        <f aca="false">MIN(C38472,100*CHOOSE(C38462,C38596,C38597,C38598,C38599,C38600,C38601,C38602,C38603,C38604,C38605))</f>
        <v>85</v>
      </c>
    </row>
    <row r="38630" customFormat="false" ht="15" hidden="false" customHeight="false" outlineLevel="0" collapsed="false">
      <c r="A38630" s="3" t="s">
        <v>598</v>
      </c>
      <c r="C38630" s="21" t="n">
        <f aca="false">IF(C38294=1,C38467+Assumptions!$C$40,C38466)</f>
        <v>3</v>
      </c>
    </row>
    <row r="38631" customFormat="false" ht="15" hidden="false" customHeight="false" outlineLevel="0" collapsed="false">
      <c r="A38631" s="24" t="s">
        <v>599</v>
      </c>
      <c r="B38631" s="25"/>
      <c r="C38631" s="25"/>
      <c r="D38631" s="25"/>
      <c r="E38631" s="25"/>
      <c r="F38631" s="25"/>
      <c r="G38631" s="25"/>
      <c r="H38631" s="25"/>
      <c r="I38631" s="25"/>
      <c r="J38631" s="25"/>
      <c r="K38631" s="25"/>
    </row>
    <row r="38632" customFormat="false" ht="15" hidden="false" customHeight="false" outlineLevel="0" collapsed="false">
      <c r="A38632" s="3" t="s">
        <v>600</v>
      </c>
      <c r="C38632" s="21" t="n">
        <f aca="false">COLUMN()-COLUMN($C$1)</f>
        <v>0</v>
      </c>
      <c r="D38632" s="21" t="n">
        <f aca="false">COLUMN()-COLUMN($C$1)</f>
        <v>1</v>
      </c>
      <c r="E38632" s="21" t="n">
        <f aca="false">COLUMN()-COLUMN($C$1)</f>
        <v>2</v>
      </c>
      <c r="F38632" s="21" t="n">
        <f aca="false">COLUMN()-COLUMN($C$1)</f>
        <v>3</v>
      </c>
      <c r="G38632" s="21" t="n">
        <f aca="false">COLUMN()-COLUMN($C$1)</f>
        <v>4</v>
      </c>
      <c r="H38632" s="21" t="n">
        <f aca="false">COLUMN()-COLUMN($C$1)</f>
        <v>5</v>
      </c>
      <c r="I38632" s="21" t="n">
        <f aca="false">COLUMN()-COLUMN($C$1)</f>
        <v>6</v>
      </c>
    </row>
    <row r="38633" customFormat="false" ht="15" hidden="false" customHeight="false" outlineLevel="0" collapsed="false">
      <c r="A38633" s="3" t="s">
        <v>601</v>
      </c>
      <c r="D38633" s="31" t="n">
        <f aca="false">CHOOSE($C$38462,G38042,G38055,G38068,G38081,G38094,G38107,G38120,G38133,G38146,G38159)</f>
        <v>0.1215</v>
      </c>
      <c r="E38633" s="31" t="n">
        <f aca="false">CHOOSE($C$38462,H38042,H38055,H38068,H38081,H38094,H38107,H38120,H38133,H38146,H38159)</f>
        <v>0.12</v>
      </c>
      <c r="F38633" s="31" t="n">
        <f aca="false">CHOOSE($C$38462,I38042,I38055,I38068,I38081,I38094,I38107,I38120,I38133,I38146,I38159)</f>
        <v>0.1175</v>
      </c>
      <c r="G38633" s="31" t="n">
        <f aca="false">CHOOSE($C$38462,J38042,J38055,J38068,J38081,J38094,J38107,J38120,J38133,J38146,J38159)</f>
        <v>0.1175</v>
      </c>
      <c r="H38633" s="31" t="n">
        <f aca="false">CHOOSE($C$38462,K38042,K38055,K38068,K38081,K38094,K38107,K38120,K38133,K38146,K38159)</f>
        <v>0.1175</v>
      </c>
    </row>
    <row r="38634" customFormat="false" ht="15" hidden="false" customHeight="false" outlineLevel="0" collapsed="false">
      <c r="A38634" s="3" t="s">
        <v>602</v>
      </c>
      <c r="D38634" s="16" t="n">
        <f aca="false">IF(D38632&lt;=$C$38471,$C$38463*D38633,0)</f>
        <v>12.15</v>
      </c>
      <c r="E38634" s="16" t="n">
        <f aca="false">IF(E38632&lt;=$C$38471,$C$38463*E38633,0)</f>
        <v>12</v>
      </c>
      <c r="F38634" s="16" t="n">
        <f aca="false">IF(F38632&lt;=$C$38471,$C$38463*F38633,0)</f>
        <v>0</v>
      </c>
      <c r="G38634" s="16" t="n">
        <f aca="false">IF(G38632&lt;=$C$38471,$C$38463*G38633,0)</f>
        <v>0</v>
      </c>
      <c r="H38634" s="16" t="n">
        <f aca="false">IF(H38632&lt;=$C$38471,$C$38463*H38633,0)</f>
        <v>0</v>
      </c>
    </row>
    <row r="38635" customFormat="false" ht="15" hidden="false" customHeight="false" outlineLevel="0" collapsed="false">
      <c r="A38635" s="3" t="s">
        <v>603</v>
      </c>
      <c r="D38635" s="16" t="n">
        <f aca="false">IF(AND($C$38294=0,D38632=$C$38466),$C$38463*$C$38629/100,0)+IF(AND($C$38294=1,D38632=$C$38630),$C$38469,0)</f>
        <v>0</v>
      </c>
      <c r="E38635" s="16" t="n">
        <f aca="false">IF(AND($C$38294=0,E38632=$C$38466),$C$38463*$C$38629/100,0)+IF(AND($C$38294=1,E38632=$C$38630),$C$38469,0)</f>
        <v>0</v>
      </c>
      <c r="F38635" s="16" t="n">
        <f aca="false">IF(AND($C$38294=0,F38632=$C$38466),$C$38463*$C$38629/100,0)+IF(AND($C$38294=1,F38632=$C$38630),$C$38469,0)</f>
        <v>103</v>
      </c>
      <c r="G38635" s="16" t="n">
        <f aca="false">IF(AND($C$38294=0,G38632=$C$38466),$C$38463*$C$38629/100,0)+IF(AND($C$38294=1,G38632=$C$38630),$C$38469,0)</f>
        <v>0</v>
      </c>
      <c r="H38635" s="16" t="n">
        <f aca="false">IF(AND($C$38294=0,H38632=$C$38466),$C$38463*$C$38629/100,0)+IF(AND($C$38294=1,H38632=$C$38630),$C$38469,0)</f>
        <v>0</v>
      </c>
      <c r="I38635" s="16" t="n">
        <f aca="false">IF(AND($C$38294=0,I38632=$C$38466),$C$38463*$C$38629/100,0)+IF(AND($C$38294=1,I38632=$C$38630),$C$38469,0)</f>
        <v>0</v>
      </c>
    </row>
    <row r="38636" customFormat="false" ht="15" hidden="false" customHeight="false" outlineLevel="0" collapsed="false">
      <c r="A38636" s="2" t="s">
        <v>604</v>
      </c>
      <c r="C38636" s="17" t="n">
        <f aca="false">-$C$38465</f>
        <v>-98.49</v>
      </c>
      <c r="D38636" s="17" t="n">
        <f aca="false">D38634+D38635</f>
        <v>12.15</v>
      </c>
      <c r="E38636" s="17" t="n">
        <f aca="false">E38634+E38635</f>
        <v>12</v>
      </c>
      <c r="F38636" s="17" t="n">
        <f aca="false">F38634+F38635</f>
        <v>103</v>
      </c>
      <c r="G38636" s="17" t="n">
        <f aca="false">G38634+G38635</f>
        <v>0</v>
      </c>
      <c r="H38636" s="17" t="n">
        <f aca="false">H38634+H38635</f>
        <v>0</v>
      </c>
      <c r="I38636" s="17" t="n">
        <f aca="false">I38634+I38635</f>
        <v>0</v>
      </c>
    </row>
    <row r="38637" customFormat="false" ht="15" hidden="false" customHeight="false" outlineLevel="0" collapsed="false">
      <c r="A38637" s="3" t="s">
        <v>605</v>
      </c>
      <c r="C38637" s="16" t="n">
        <f aca="false">SUM($C$38634:$I$38634)</f>
        <v>24.15</v>
      </c>
    </row>
    <row r="38638" customFormat="false" ht="15" hidden="false" customHeight="false" outlineLevel="0" collapsed="false">
      <c r="A38638" s="3" t="s">
        <v>606</v>
      </c>
      <c r="C38638" s="16" t="n">
        <f aca="false">SUM($C$38635:$I$38635)</f>
        <v>103</v>
      </c>
    </row>
    <row r="38639" customFormat="false" ht="15" hidden="false" customHeight="false" outlineLevel="0" collapsed="false">
      <c r="A38639" s="3" t="s">
        <v>607</v>
      </c>
      <c r="C38639" s="16" t="n">
        <f aca="false">C38637+C38638</f>
        <v>127.15</v>
      </c>
    </row>
    <row r="38640" customFormat="false" ht="15" hidden="false" customHeight="false" outlineLevel="0" collapsed="false">
      <c r="A38640" s="3" t="s">
        <v>608</v>
      </c>
      <c r="C38640" s="16" t="n">
        <f aca="false">C38638-C38463*C38464/100</f>
        <v>5</v>
      </c>
    </row>
    <row r="38641" customFormat="false" ht="15" hidden="false" customHeight="false" outlineLevel="0" collapsed="false">
      <c r="A38641" s="3" t="s">
        <v>609</v>
      </c>
      <c r="C38641" s="16" t="n">
        <f aca="false">C38639-C38465</f>
        <v>28.66</v>
      </c>
    </row>
    <row r="38642" customFormat="false" ht="15" hidden="false" customHeight="false" outlineLevel="0" collapsed="false">
      <c r="A38642" s="2" t="s">
        <v>484</v>
      </c>
      <c r="C38642" s="44" t="n">
        <f aca="false">C38639/C38465</f>
        <v>1.29099400954412</v>
      </c>
    </row>
    <row r="38643" customFormat="false" ht="15" hidden="false" customHeight="false" outlineLevel="0" collapsed="false">
      <c r="A38643" s="2" t="s">
        <v>483</v>
      </c>
      <c r="C38643" s="42" t="n">
        <f aca="false">IF(C38639&lt;=0,-1,IFERROR(IRR($C$38636:$I$38636,MAX(-0.9,C38642^(1/C38630)-1)),IRR($C$38636:$I$38636,0.1)))</f>
        <v>0.0994077590660149</v>
      </c>
    </row>
    <row r="38644" customFormat="false" ht="15" hidden="false" customHeight="false" outlineLevel="0" collapsed="false">
      <c r="A38644" s="3" t="s">
        <v>610</v>
      </c>
      <c r="C38644" s="32" t="n">
        <f aca="false">MAX($G$38238:$K$38238)</f>
        <v>15.7734539449449</v>
      </c>
    </row>
    <row r="38645" customFormat="false" ht="15" hidden="false" customHeight="false" outlineLevel="0" collapsed="false">
      <c r="A38645" s="3" t="s">
        <v>611</v>
      </c>
      <c r="C38645" s="32" t="n">
        <f aca="false">MIN($G$38239:$K$38239)</f>
        <v>0.899631625108658</v>
      </c>
    </row>
    <row r="38646" customFormat="false" ht="15" hidden="false" customHeight="false" outlineLevel="0" collapsed="false">
      <c r="A38646" s="3" t="s">
        <v>612</v>
      </c>
      <c r="C38646" s="16" t="n">
        <f aca="false">SUM($G$38026:$K$38026)</f>
        <v>-319.393886227031</v>
      </c>
    </row>
    <row r="38650" customFormat="false" ht="15" hidden="false" customHeight="false" outlineLevel="0" collapsed="false">
      <c r="A38650" s="9" t="s">
        <v>1189</v>
      </c>
      <c r="B38650" s="10"/>
      <c r="C38650" s="10"/>
      <c r="D38650" s="10"/>
      <c r="E38650" s="10"/>
      <c r="F38650" s="10"/>
      <c r="G38650" s="10"/>
      <c r="H38650" s="10"/>
      <c r="I38650" s="10"/>
      <c r="J38650" s="10"/>
      <c r="K38650" s="10"/>
    </row>
    <row r="38651" customFormat="false" ht="15" hidden="false" customHeight="false" outlineLevel="0" collapsed="false">
      <c r="A38651" s="3" t="s">
        <v>1126</v>
      </c>
      <c r="C38651" s="11" t="n">
        <v>3</v>
      </c>
    </row>
    <row r="38652" customFormat="false" ht="15" hidden="false" customHeight="false" outlineLevel="0" collapsed="false">
      <c r="A38652" s="3" t="s">
        <v>1127</v>
      </c>
      <c r="C38652" s="19" t="n">
        <v>0</v>
      </c>
    </row>
    <row r="38653" customFormat="false" ht="15" hidden="false" customHeight="false" outlineLevel="0" collapsed="false">
      <c r="A38653" s="3" t="s">
        <v>1128</v>
      </c>
      <c r="C38653" s="19" t="n">
        <v>0</v>
      </c>
    </row>
    <row r="38654" customFormat="false" ht="15" hidden="false" customHeight="false" outlineLevel="0" collapsed="false">
      <c r="A38654" s="3" t="s">
        <v>1129</v>
      </c>
      <c r="C38654" s="19" t="n">
        <v>0</v>
      </c>
    </row>
    <row r="38655" customFormat="false" ht="15" hidden="false" customHeight="false" outlineLevel="0" collapsed="false">
      <c r="A38655" s="3" t="s">
        <v>1130</v>
      </c>
      <c r="C38655" s="34" t="n">
        <f aca="false">Sensitivities!$A$61</f>
        <v>-1</v>
      </c>
    </row>
    <row r="38657" customFormat="false" ht="15" hidden="false" customHeight="false" outlineLevel="0" collapsed="false">
      <c r="A38657" s="24" t="s">
        <v>301</v>
      </c>
      <c r="B38657" s="25"/>
      <c r="C38657" s="25"/>
      <c r="D38657" s="25"/>
      <c r="E38657" s="25"/>
      <c r="F38657" s="25"/>
      <c r="G38657" s="25"/>
      <c r="H38657" s="25"/>
      <c r="I38657" s="25"/>
      <c r="J38657" s="25"/>
      <c r="K38657" s="25"/>
    </row>
    <row r="38658" customFormat="false" ht="15" hidden="false" customHeight="false" outlineLevel="0" collapsed="false">
      <c r="A38658" s="3" t="s">
        <v>302</v>
      </c>
      <c r="F38658" s="27" t="n">
        <f aca="false">Assumptions!$C$6</f>
        <v>2026</v>
      </c>
      <c r="G38658" s="21" t="n">
        <f aca="false">F38658+1</f>
        <v>2027</v>
      </c>
      <c r="H38658" s="21" t="n">
        <f aca="false">G38658+1</f>
        <v>2028</v>
      </c>
      <c r="I38658" s="21" t="n">
        <f aca="false">H38658+1</f>
        <v>2029</v>
      </c>
      <c r="J38658" s="21" t="n">
        <f aca="false">I38658+1</f>
        <v>2030</v>
      </c>
      <c r="K38658" s="21" t="n">
        <f aca="false">J38658+1</f>
        <v>2031</v>
      </c>
    </row>
    <row r="38659" customFormat="false" ht="15" hidden="false" customHeight="false" outlineLevel="0" collapsed="false">
      <c r="A38659" s="3" t="s">
        <v>303</v>
      </c>
      <c r="G38659" s="21" t="n">
        <f aca="false">G38658-Assumptions!$C$6</f>
        <v>1</v>
      </c>
      <c r="H38659" s="21" t="n">
        <f aca="false">H38658-Assumptions!$C$6</f>
        <v>2</v>
      </c>
      <c r="I38659" s="21" t="n">
        <f aca="false">I38658-Assumptions!$C$6</f>
        <v>3</v>
      </c>
      <c r="J38659" s="21" t="n">
        <f aca="false">J38658-Assumptions!$C$6</f>
        <v>4</v>
      </c>
      <c r="K38659" s="21" t="n">
        <f aca="false">K38658-Assumptions!$C$6</f>
        <v>5</v>
      </c>
    </row>
    <row r="38660" customFormat="false" ht="15" hidden="false" customHeight="false" outlineLevel="0" collapsed="false">
      <c r="A38660" s="3" t="s">
        <v>180</v>
      </c>
      <c r="G38660" s="22" t="n">
        <f aca="false">CHOOSE($C$38651,Assumptions!$G$79,Assumptions!$G$98,Assumptions!$G$117)+$C$38652</f>
        <v>-0.1</v>
      </c>
      <c r="H38660" s="22" t="n">
        <f aca="false">CHOOSE($C$38651,Assumptions!$H$79,Assumptions!$H$98,Assumptions!$H$117)+$C$38652</f>
        <v>-0.07</v>
      </c>
      <c r="I38660" s="22" t="n">
        <f aca="false">CHOOSE($C$38651,Assumptions!$I$79,Assumptions!$I$98,Assumptions!$I$117)+$C$38652</f>
        <v>-0.03</v>
      </c>
      <c r="J38660" s="22" t="n">
        <f aca="false">CHOOSE($C$38651,Assumptions!$J$79,Assumptions!$J$98,Assumptions!$J$117)+$C$38652</f>
        <v>0</v>
      </c>
      <c r="K38660" s="22" t="n">
        <f aca="false">CHOOSE($C$38651,Assumptions!$K$79,Assumptions!$K$98,Assumptions!$K$117)+$C$38652</f>
        <v>0.01</v>
      </c>
    </row>
    <row r="38661" customFormat="false" ht="15" hidden="false" customHeight="false" outlineLevel="0" collapsed="false">
      <c r="A38661" s="3" t="s">
        <v>181</v>
      </c>
      <c r="G38661" s="22" t="n">
        <f aca="false">CHOOSE($C$38651,Assumptions!$G$80,Assumptions!$G$99,Assumptions!$G$118)</f>
        <v>0.533920660818678</v>
      </c>
      <c r="H38661" s="22" t="n">
        <f aca="false">CHOOSE($C$38651,Assumptions!$H$80,Assumptions!$H$99,Assumptions!$H$118)</f>
        <v>0.503920660818678</v>
      </c>
      <c r="I38661" s="22" t="n">
        <f aca="false">CHOOSE($C$38651,Assumptions!$I$80,Assumptions!$I$99,Assumptions!$I$118)</f>
        <v>0.498920660818678</v>
      </c>
      <c r="J38661" s="22" t="n">
        <f aca="false">CHOOSE($C$38651,Assumptions!$J$80,Assumptions!$J$99,Assumptions!$J$118)</f>
        <v>0.503920660818678</v>
      </c>
      <c r="K38661" s="22" t="n">
        <f aca="false">CHOOSE($C$38651,Assumptions!$K$80,Assumptions!$K$99,Assumptions!$K$118)</f>
        <v>0.513920660818678</v>
      </c>
    </row>
    <row r="38662" customFormat="false" ht="15" hidden="false" customHeight="false" outlineLevel="0" collapsed="false">
      <c r="A38662" s="3" t="s">
        <v>182</v>
      </c>
      <c r="G38662" s="22" t="n">
        <f aca="false">CHOOSE($C$38651,Assumptions!$G$81,Assumptions!$G$100,Assumptions!$G$119)+$C$38653</f>
        <v>0.46</v>
      </c>
      <c r="H38662" s="22" t="n">
        <f aca="false">CHOOSE($C$38651,Assumptions!$H$81,Assumptions!$H$100,Assumptions!$H$119)+$C$38653</f>
        <v>0.43</v>
      </c>
      <c r="I38662" s="22" t="n">
        <f aca="false">CHOOSE($C$38651,Assumptions!$I$81,Assumptions!$I$100,Assumptions!$I$119)+$C$38653</f>
        <v>0.425</v>
      </c>
      <c r="J38662" s="22" t="n">
        <f aca="false">CHOOSE($C$38651,Assumptions!$J$81,Assumptions!$J$100,Assumptions!$J$119)+$C$38653</f>
        <v>0.43</v>
      </c>
      <c r="K38662" s="22" t="n">
        <f aca="false">CHOOSE($C$38651,Assumptions!$K$81,Assumptions!$K$100,Assumptions!$K$119)+$C$38653</f>
        <v>0.44</v>
      </c>
    </row>
    <row r="38663" customFormat="false" ht="15" hidden="false" customHeight="false" outlineLevel="0" collapsed="false">
      <c r="A38663" s="24" t="s">
        <v>304</v>
      </c>
      <c r="B38663" s="25"/>
      <c r="C38663" s="25"/>
      <c r="D38663" s="25"/>
      <c r="E38663" s="25"/>
      <c r="F38663" s="25"/>
      <c r="G38663" s="25"/>
      <c r="H38663" s="25"/>
      <c r="I38663" s="25"/>
      <c r="J38663" s="25"/>
      <c r="K38663" s="25"/>
    </row>
    <row r="38664" customFormat="false" ht="15" hidden="false" customHeight="false" outlineLevel="0" collapsed="false">
      <c r="A38664" s="2" t="s">
        <v>275</v>
      </c>
      <c r="F38664" s="28" t="n">
        <f aca="false">'Historical Financials'!G25</f>
        <v>498.291</v>
      </c>
      <c r="G38664" s="17" t="n">
        <f aca="false">F38664*(1+G38660)</f>
        <v>448.4619</v>
      </c>
      <c r="H38664" s="17" t="n">
        <f aca="false">G38664*(1+H38660)</f>
        <v>417.069567</v>
      </c>
      <c r="I38664" s="17" t="n">
        <f aca="false">H38664*(1+I38660)</f>
        <v>404.55747999</v>
      </c>
      <c r="J38664" s="17" t="n">
        <f aca="false">I38664*(1+J38660)</f>
        <v>404.55747999</v>
      </c>
      <c r="K38664" s="17" t="n">
        <f aca="false">J38664*(1+K38660)</f>
        <v>408.6030547899</v>
      </c>
    </row>
    <row r="38665" customFormat="false" ht="15" hidden="false" customHeight="false" outlineLevel="0" collapsed="false">
      <c r="A38665" s="3" t="s">
        <v>276</v>
      </c>
      <c r="G38665" s="16" t="n">
        <f aca="false">G38664*(1-G38661)</f>
        <v>209.018826</v>
      </c>
      <c r="H38665" s="16" t="n">
        <f aca="false">H38664*(1-H38661)</f>
        <v>206.89959519</v>
      </c>
      <c r="I38665" s="16" t="n">
        <f aca="false">I38664*(1-I38661)</f>
        <v>202.71539473425</v>
      </c>
      <c r="J38665" s="16" t="n">
        <f aca="false">J38664*(1-J38661)</f>
        <v>200.6926073343</v>
      </c>
      <c r="K38665" s="16" t="n">
        <f aca="false">K38664*(1-K38661)</f>
        <v>198.613502859744</v>
      </c>
    </row>
    <row r="38666" customFormat="false" ht="15" hidden="false" customHeight="false" outlineLevel="0" collapsed="false">
      <c r="A38666" s="2" t="s">
        <v>277</v>
      </c>
      <c r="G38666" s="17" t="n">
        <f aca="false">G38664-G38665</f>
        <v>239.443074</v>
      </c>
      <c r="H38666" s="17" t="n">
        <f aca="false">H38664-H38665</f>
        <v>210.16997181</v>
      </c>
      <c r="I38666" s="17" t="n">
        <f aca="false">I38664-I38665</f>
        <v>201.84208525575</v>
      </c>
      <c r="J38666" s="17" t="n">
        <f aca="false">J38664-J38665</f>
        <v>203.8648726557</v>
      </c>
      <c r="K38666" s="17" t="n">
        <f aca="false">K38664-K38665</f>
        <v>209.989551930156</v>
      </c>
    </row>
    <row r="38667" customFormat="false" ht="15" hidden="false" customHeight="false" outlineLevel="0" collapsed="false">
      <c r="A38667" s="3" t="s">
        <v>305</v>
      </c>
      <c r="G38667" s="16" t="n">
        <f aca="false">G38666-G38668</f>
        <v>33.1505999999999</v>
      </c>
      <c r="H38667" s="16" t="n">
        <f aca="false">H38666-H38668</f>
        <v>30.830058</v>
      </c>
      <c r="I38667" s="16" t="n">
        <f aca="false">I38666-I38668</f>
        <v>29.90515626</v>
      </c>
      <c r="J38667" s="16" t="n">
        <f aca="false">J38666-J38668</f>
        <v>29.90515626</v>
      </c>
      <c r="K38667" s="16" t="n">
        <f aca="false">K38666-K38668</f>
        <v>30.2042078226</v>
      </c>
    </row>
    <row r="38668" customFormat="false" ht="15" hidden="false" customHeight="false" outlineLevel="0" collapsed="false">
      <c r="A38668" s="2" t="s">
        <v>306</v>
      </c>
      <c r="G38668" s="17" t="n">
        <f aca="false">G38664*G38662</f>
        <v>206.292474</v>
      </c>
      <c r="H38668" s="17" t="n">
        <f aca="false">H38664*H38662</f>
        <v>179.33991381</v>
      </c>
      <c r="I38668" s="17" t="n">
        <f aca="false">I38664*I38662</f>
        <v>171.93692899575</v>
      </c>
      <c r="J38668" s="17" t="n">
        <f aca="false">J38664*J38662</f>
        <v>173.9597163957</v>
      </c>
      <c r="K38668" s="17" t="n">
        <f aca="false">K38664*K38662</f>
        <v>179.785344107556</v>
      </c>
    </row>
    <row r="38669" customFormat="false" ht="15" hidden="false" customHeight="false" outlineLevel="0" collapsed="false">
      <c r="A38669" s="3" t="s">
        <v>307</v>
      </c>
      <c r="G38669" s="16" t="n">
        <f aca="false">G38664*'Historical Financials'!G30/'Historical Financials'!G25</f>
        <v>166.7637</v>
      </c>
      <c r="H38669" s="16" t="n">
        <f aca="false">H38664*'Historical Financials'!G30/'Historical Financials'!G25</f>
        <v>155.090241</v>
      </c>
      <c r="I38669" s="16" t="n">
        <f aca="false">I38664*'Historical Financials'!G30/'Historical Financials'!G25</f>
        <v>150.43753377</v>
      </c>
      <c r="J38669" s="16" t="n">
        <f aca="false">J38664*'Historical Financials'!G30/'Historical Financials'!G25</f>
        <v>150.43753377</v>
      </c>
      <c r="K38669" s="16" t="n">
        <f aca="false">K38664*'Historical Financials'!G30/'Historical Financials'!G25</f>
        <v>151.9419091077</v>
      </c>
    </row>
    <row r="38670" customFormat="false" ht="15" hidden="false" customHeight="false" outlineLevel="0" collapsed="false">
      <c r="A38670" s="3" t="s">
        <v>308</v>
      </c>
      <c r="G38670" s="16" t="n">
        <f aca="false">G38664*'Historical Financials'!G31/'Historical Financials'!G25</f>
        <v>0</v>
      </c>
      <c r="H38670" s="16" t="n">
        <f aca="false">H38664*'Historical Financials'!G31/'Historical Financials'!G25</f>
        <v>0</v>
      </c>
      <c r="I38670" s="16" t="n">
        <f aca="false">I38664*'Historical Financials'!G31/'Historical Financials'!G25</f>
        <v>0</v>
      </c>
      <c r="J38670" s="16" t="n">
        <f aca="false">J38664*'Historical Financials'!G31/'Historical Financials'!G25</f>
        <v>0</v>
      </c>
      <c r="K38670" s="16" t="n">
        <f aca="false">K38664*'Historical Financials'!G31/'Historical Financials'!G25</f>
        <v>0</v>
      </c>
    </row>
    <row r="38671" customFormat="false" ht="15" hidden="false" customHeight="false" outlineLevel="0" collapsed="false">
      <c r="A38671" s="2" t="s">
        <v>309</v>
      </c>
      <c r="G38671" s="17" t="n">
        <f aca="false">G38668-G38669-G38670</f>
        <v>39.528774</v>
      </c>
      <c r="H38671" s="17" t="n">
        <f aca="false">H38668-H38669-H38670</f>
        <v>24.24967281</v>
      </c>
      <c r="I38671" s="17" t="n">
        <f aca="false">I38668-I38669-I38670</f>
        <v>21.49939522575</v>
      </c>
      <c r="J38671" s="17" t="n">
        <f aca="false">J38668-J38669-J38670</f>
        <v>23.5221826257</v>
      </c>
      <c r="K38671" s="17" t="n">
        <f aca="false">K38668-K38669-K38670</f>
        <v>27.843434999856</v>
      </c>
    </row>
    <row r="38672" customFormat="false" ht="15" hidden="false" customHeight="false" outlineLevel="0" collapsed="false">
      <c r="A38672" s="3" t="s">
        <v>310</v>
      </c>
      <c r="G38672" s="16" t="n">
        <f aca="false">G38698+G38711+G38724+G38737+G38750+G38763+G38776+G38789+G38802+G38815</f>
        <v>194.5679854</v>
      </c>
      <c r="H38672" s="16" t="n">
        <f aca="false">H38698+H38711+H38724+H38737+H38750+H38763+H38776+H38789+H38802+H38815</f>
        <v>193.3700704</v>
      </c>
      <c r="I38672" s="16" t="n">
        <f aca="false">I38698+I38711+I38724+I38737+I38750+I38763+I38776+I38789+I38802+I38815</f>
        <v>191.11925836865</v>
      </c>
      <c r="J38672" s="16" t="n">
        <f aca="false">J38698+J38711+J38724+J38737+J38750+J38763+J38776+J38789+J38802+J38815</f>
        <v>190.64925836865</v>
      </c>
      <c r="K38672" s="16" t="n">
        <f aca="false">K38698+K38711+K38724+K38737+K38750+K38763+K38776+K38789+K38802+K38815</f>
        <v>190.17925836865</v>
      </c>
    </row>
    <row r="38673" customFormat="false" ht="15" hidden="false" customHeight="false" outlineLevel="0" collapsed="false">
      <c r="A38673" s="3" t="s">
        <v>311</v>
      </c>
      <c r="G38673" s="16" t="n">
        <f aca="false">G38699+G38712+G38725+G38738+G38751+G38764+G38777+G38790+G38803+G38816</f>
        <v>0</v>
      </c>
      <c r="H38673" s="16" t="n">
        <f aca="false">H38699+H38712+H38725+H38738+H38751+H38764+H38777+H38790+H38803+H38816</f>
        <v>0</v>
      </c>
      <c r="I38673" s="16" t="n">
        <f aca="false">I38699+I38712+I38725+I38738+I38751+I38764+I38777+I38790+I38803+I38816</f>
        <v>0</v>
      </c>
      <c r="J38673" s="16" t="n">
        <f aca="false">J38699+J38712+J38725+J38738+J38751+J38764+J38777+J38790+J38803+J38816</f>
        <v>0</v>
      </c>
      <c r="K38673" s="16" t="n">
        <f aca="false">K38699+K38712+K38725+K38738+K38751+K38764+K38777+K38790+K38803+K38816</f>
        <v>0</v>
      </c>
    </row>
    <row r="38674" customFormat="false" ht="15" hidden="false" customHeight="false" outlineLevel="0" collapsed="false">
      <c r="A38674" s="3" t="s">
        <v>283</v>
      </c>
      <c r="G38674" s="16" t="n">
        <f aca="false">G38672+G38673</f>
        <v>194.5679854</v>
      </c>
      <c r="H38674" s="16" t="n">
        <f aca="false">H38672+H38673</f>
        <v>193.3700704</v>
      </c>
      <c r="I38674" s="16" t="n">
        <f aca="false">I38672+I38673</f>
        <v>191.11925836865</v>
      </c>
      <c r="J38674" s="16" t="n">
        <f aca="false">J38672+J38673</f>
        <v>190.64925836865</v>
      </c>
      <c r="K38674" s="16" t="n">
        <f aca="false">K38672+K38673</f>
        <v>190.17925836865</v>
      </c>
    </row>
    <row r="38675" customFormat="false" ht="15" hidden="false" customHeight="false" outlineLevel="0" collapsed="false">
      <c r="A38675" s="2" t="s">
        <v>284</v>
      </c>
      <c r="G38675" s="17" t="n">
        <f aca="false">G38671-G38674</f>
        <v>-155.0392114</v>
      </c>
      <c r="H38675" s="17" t="n">
        <f aca="false">H38671-H38674</f>
        <v>-169.12039759</v>
      </c>
      <c r="I38675" s="17" t="n">
        <f aca="false">I38671-I38674</f>
        <v>-169.6198631429</v>
      </c>
      <c r="J38675" s="17" t="n">
        <f aca="false">J38671-J38674</f>
        <v>-167.12707574295</v>
      </c>
      <c r="K38675" s="17" t="n">
        <f aca="false">K38671-K38674</f>
        <v>-162.335823368794</v>
      </c>
    </row>
    <row r="38676" customFormat="false" ht="15" hidden="false" customHeight="false" outlineLevel="0" collapsed="false">
      <c r="A38676" s="3" t="s">
        <v>312</v>
      </c>
      <c r="G38676" s="16" t="n">
        <f aca="false">MAX(0,G38675)*Assumptions!$C$9</f>
        <v>0</v>
      </c>
      <c r="H38676" s="16" t="n">
        <f aca="false">MAX(0,H38675)*Assumptions!$C$9</f>
        <v>0</v>
      </c>
      <c r="I38676" s="16" t="n">
        <f aca="false">MAX(0,I38675)*Assumptions!$C$9</f>
        <v>0</v>
      </c>
      <c r="J38676" s="16" t="n">
        <f aca="false">MAX(0,J38675)*Assumptions!$C$9</f>
        <v>0</v>
      </c>
      <c r="K38676" s="16" t="n">
        <f aca="false">MAX(0,K38675)*Assumptions!$C$9</f>
        <v>0</v>
      </c>
    </row>
    <row r="38677" customFormat="false" ht="15" hidden="false" customHeight="false" outlineLevel="0" collapsed="false">
      <c r="A38677" s="2" t="s">
        <v>313</v>
      </c>
      <c r="G38677" s="17" t="n">
        <f aca="false">G38675-G38676</f>
        <v>-155.0392114</v>
      </c>
      <c r="H38677" s="17" t="n">
        <f aca="false">H38675-H38676</f>
        <v>-169.12039759</v>
      </c>
      <c r="I38677" s="17" t="n">
        <f aca="false">I38675-I38676</f>
        <v>-169.6198631429</v>
      </c>
      <c r="J38677" s="17" t="n">
        <f aca="false">J38675-J38676</f>
        <v>-167.12707574295</v>
      </c>
      <c r="K38677" s="17" t="n">
        <f aca="false">K38675-K38676</f>
        <v>-162.335823368794</v>
      </c>
    </row>
    <row r="38678" customFormat="false" ht="15" hidden="false" customHeight="false" outlineLevel="0" collapsed="false">
      <c r="A38678" s="24" t="s">
        <v>314</v>
      </c>
      <c r="B38678" s="25"/>
      <c r="C38678" s="25"/>
      <c r="D38678" s="25"/>
      <c r="E38678" s="25"/>
      <c r="F38678" s="25"/>
      <c r="G38678" s="25"/>
      <c r="H38678" s="25"/>
      <c r="I38678" s="25"/>
      <c r="J38678" s="25"/>
      <c r="K38678" s="25"/>
    </row>
    <row r="38679" customFormat="false" ht="15" hidden="false" customHeight="false" outlineLevel="0" collapsed="false">
      <c r="A38679" s="3" t="s">
        <v>184</v>
      </c>
      <c r="G38679" s="16" t="n">
        <f aca="false">G38664*CHOOSE($C$38651,Assumptions!$C$83,Assumptions!$C$102,Assumptions!$C$121)</f>
        <v>58.300047</v>
      </c>
      <c r="H38679" s="16" t="n">
        <f aca="false">H38664*CHOOSE($C$38651,Assumptions!$C$83,Assumptions!$C$102,Assumptions!$C$121)</f>
        <v>54.21904371</v>
      </c>
      <c r="I38679" s="16" t="n">
        <f aca="false">I38664*CHOOSE($C$38651,Assumptions!$C$83,Assumptions!$C$102,Assumptions!$C$121)</f>
        <v>52.5924723987</v>
      </c>
      <c r="J38679" s="16" t="n">
        <f aca="false">J38664*CHOOSE($C$38651,Assumptions!$C$83,Assumptions!$C$102,Assumptions!$C$121)</f>
        <v>52.5924723987</v>
      </c>
      <c r="K38679" s="16" t="n">
        <f aca="false">K38664*CHOOSE($C$38651,Assumptions!$C$83,Assumptions!$C$102,Assumptions!$C$121)</f>
        <v>53.118397122687</v>
      </c>
    </row>
    <row r="38680" customFormat="false" ht="15" hidden="false" customHeight="false" outlineLevel="0" collapsed="false">
      <c r="A38680" s="3" t="s">
        <v>315</v>
      </c>
      <c r="G38680" s="16" t="n">
        <f aca="false">CHOOSE($C$38651,Assumptions!$C$84,Assumptions!$C$103,Assumptions!$C$122)*(G38664-F38664)+CHOOSE($C$38651,Assumptions!$C$85,Assumptions!$C$104,Assumptions!$C$123)*G38664</f>
        <v>0</v>
      </c>
      <c r="H38680" s="16" t="n">
        <f aca="false">CHOOSE($C$38651,Assumptions!$C$84,Assumptions!$C$103,Assumptions!$C$122)*(H38664-G38664)+CHOOSE($C$38651,Assumptions!$C$85,Assumptions!$C$104,Assumptions!$C$123)*H38664</f>
        <v>0</v>
      </c>
      <c r="I38680" s="16" t="n">
        <f aca="false">CHOOSE($C$38651,Assumptions!$C$84,Assumptions!$C$103,Assumptions!$C$122)*(I38664-H38664)+CHOOSE($C$38651,Assumptions!$C$85,Assumptions!$C$104,Assumptions!$C$123)*I38664</f>
        <v>0</v>
      </c>
      <c r="J38680" s="16" t="n">
        <f aca="false">CHOOSE($C$38651,Assumptions!$C$84,Assumptions!$C$103,Assumptions!$C$122)*(J38664-I38664)+CHOOSE($C$38651,Assumptions!$C$85,Assumptions!$C$104,Assumptions!$C$123)*J38664</f>
        <v>0</v>
      </c>
      <c r="K38680" s="16" t="n">
        <f aca="false">CHOOSE($C$38651,Assumptions!$C$84,Assumptions!$C$103,Assumptions!$C$122)*(K38664-J38664)+CHOOSE($C$38651,Assumptions!$C$85,Assumptions!$C$104,Assumptions!$C$123)*K38664</f>
        <v>0</v>
      </c>
    </row>
    <row r="38681" customFormat="false" ht="15" hidden="false" customHeight="false" outlineLevel="0" collapsed="false">
      <c r="A38681" s="2" t="s">
        <v>316</v>
      </c>
      <c r="G38681" s="17" t="n">
        <f aca="false">G38677+G38669+G38670+G38673-G38679-G38680</f>
        <v>-46.5755584</v>
      </c>
      <c r="H38681" s="17" t="n">
        <f aca="false">H38677+H38669+H38670+H38673-H38679-H38680</f>
        <v>-68.2492003</v>
      </c>
      <c r="I38681" s="17" t="n">
        <f aca="false">I38677+I38669+I38670+I38673-I38679-I38680</f>
        <v>-71.7748017716</v>
      </c>
      <c r="J38681" s="17" t="n">
        <f aca="false">J38677+J38669+J38670+J38673-J38679-J38680</f>
        <v>-69.28201437165</v>
      </c>
      <c r="K38681" s="17" t="n">
        <f aca="false">K38677+K38669+K38670+K38673-K38679-K38680</f>
        <v>-63.512311383781</v>
      </c>
    </row>
    <row r="38683" customFormat="false" ht="15" hidden="false" customHeight="false" outlineLevel="0" collapsed="false">
      <c r="A38683" s="24" t="s">
        <v>318</v>
      </c>
      <c r="B38683" s="25"/>
      <c r="C38683" s="25"/>
      <c r="D38683" s="25"/>
      <c r="E38683" s="25"/>
      <c r="F38683" s="25"/>
      <c r="G38683" s="25"/>
      <c r="H38683" s="25"/>
      <c r="I38683" s="25"/>
      <c r="J38683" s="25"/>
      <c r="K38683" s="25"/>
    </row>
    <row r="38684" customFormat="false" ht="15" hidden="false" customHeight="false" outlineLevel="0" collapsed="false">
      <c r="A38684" s="3" t="s">
        <v>319</v>
      </c>
      <c r="G38684" s="30" t="n">
        <f aca="false">Assumptions!$G$53</f>
        <v>0.039</v>
      </c>
      <c r="H38684" s="30" t="n">
        <f aca="false">Assumptions!$H$53</f>
        <v>0.0375</v>
      </c>
      <c r="I38684" s="30" t="n">
        <f aca="false">Assumptions!$I$53</f>
        <v>0.035</v>
      </c>
      <c r="J38684" s="30" t="n">
        <f aca="false">Assumptions!$J$53</f>
        <v>0.035</v>
      </c>
      <c r="K38684" s="30" t="n">
        <f aca="false">Assumptions!$K$53</f>
        <v>0.035</v>
      </c>
    </row>
    <row r="38685" customFormat="false" ht="15" hidden="false" customHeight="false" outlineLevel="0" collapsed="false">
      <c r="A38685" s="3" t="s">
        <v>320</v>
      </c>
      <c r="C38685" s="31" t="n">
        <f aca="false">CHOOSE($C$38651,Assumptions!$C$86,Assumptions!$C$105,Assumptions!$C$124)+$C$38654</f>
        <v>0.03</v>
      </c>
    </row>
    <row r="38686" customFormat="false" ht="15" hidden="false" customHeight="false" outlineLevel="0" collapsed="false">
      <c r="A38686" s="3" t="s">
        <v>321</v>
      </c>
      <c r="C38686" s="31" t="n">
        <f aca="false">CHOOSE($C$38651,Assumptions!$C$87,Assumptions!$C$106,Assumptions!$C$125)</f>
        <v>0.12</v>
      </c>
    </row>
    <row r="38687" customFormat="false" ht="15" hidden="false" customHeight="false" outlineLevel="0" collapsed="false">
      <c r="A38687" s="3" t="s">
        <v>322</v>
      </c>
      <c r="C38687" s="32" t="n">
        <f aca="false">CHOOSE($C$38651,Assumptions!$C$88,Assumptions!$C$107,Assumptions!$C$126)</f>
        <v>9</v>
      </c>
    </row>
    <row r="38688" customFormat="false" ht="15" hidden="false" customHeight="false" outlineLevel="0" collapsed="false">
      <c r="A38688" s="3" t="s">
        <v>323</v>
      </c>
      <c r="C38688" s="32" t="n">
        <f aca="false">CHOOSE($C$38651,Assumptions!$C$89,Assumptions!$C$108,Assumptions!$C$127)</f>
        <v>1.75</v>
      </c>
    </row>
    <row r="38689" customFormat="false" ht="15" hidden="false" customHeight="false" outlineLevel="0" collapsed="false">
      <c r="A38689" s="3" t="s">
        <v>324</v>
      </c>
      <c r="G38689" s="16" t="n">
        <f aca="false">G38694+G38707+G38720+G38733+G38746+G38759+G38772+G38785+G38798+G38811</f>
        <v>2625.934</v>
      </c>
      <c r="H38689" s="16" t="n">
        <f aca="false">H38694+H38707+H38720+H38733+H38746+H38759+H38772+H38785+H38798+H38811</f>
        <v>2621.934</v>
      </c>
      <c r="I38689" s="16" t="n">
        <f aca="false">I38694+I38707+I38720+I38733+I38746+I38759+I38772+I38785+I38798+I38811</f>
        <v>2602.8887587</v>
      </c>
      <c r="J38689" s="16" t="n">
        <f aca="false">J38694+J38707+J38720+J38733+J38746+J38759+J38772+J38785+J38798+J38811</f>
        <v>2598.8887587</v>
      </c>
      <c r="K38689" s="16" t="n">
        <f aca="false">K38694+K38707+K38720+K38733+K38746+K38759+K38772+K38785+K38798+K38811</f>
        <v>2594.8887587</v>
      </c>
    </row>
    <row r="38690" customFormat="false" ht="15" hidden="false" customHeight="false" outlineLevel="0" collapsed="false">
      <c r="A38690" s="3" t="s">
        <v>325</v>
      </c>
      <c r="G38690" s="16" t="n">
        <f aca="false">F38882</f>
        <v>37.87</v>
      </c>
      <c r="H38690" s="16" t="n">
        <f aca="false">G38882</f>
        <v>87.2944416</v>
      </c>
      <c r="I38690" s="16" t="n">
        <f aca="false">H38882</f>
        <v>0</v>
      </c>
      <c r="J38690" s="16" t="n">
        <f aca="false">I38882</f>
        <v>-75.7748017716</v>
      </c>
      <c r="K38690" s="16" t="n">
        <f aca="false">J38882</f>
        <v>-149.05681614325</v>
      </c>
    </row>
    <row r="38691" customFormat="false" ht="15" hidden="false" customHeight="false" outlineLevel="0" collapsed="false">
      <c r="A38691" s="3" t="s">
        <v>326</v>
      </c>
      <c r="G38691" s="16" t="n">
        <f aca="false">G38694*IF(G38695=1,$C$38686,IF(Assumptions!$I$57=1,MAX(G38684,Assumptions!$G$57)+Assumptions!$F$57+$C$38685,Assumptions!$E$57))+G38707*IF(G38708=1,$C$38686,IF(Assumptions!$I$58=1,MAX(G38684,Assumptions!$G$58)+Assumptions!$F$58+$C$38685,Assumptions!$E$58))+G38720*IF(G38721=1,$C$38686,IF(Assumptions!$I$59=1,MAX(G38684,Assumptions!$G$59)+Assumptions!$F$59+$C$38685,Assumptions!$E$59))+G38733*IF(G38734=1,$C$38686,IF(Assumptions!$I$60=1,MAX(G38684,Assumptions!$G$60)+Assumptions!$F$60+$C$38685,Assumptions!$E$60))+G38746*IF(G38747=1,$C$38686,IF(Assumptions!$I$61=1,MAX(G38684,Assumptions!$G$61)+Assumptions!$F$61+$C$38685,Assumptions!$E$61))+G38759*IF(G38760=1,$C$38686,IF(Assumptions!$I$62=1,MAX(G38684,Assumptions!$G$62)+Assumptions!$F$62+$C$38685,Assumptions!$E$62))+G38772*IF(G38773=1,$C$38686,IF(Assumptions!$I$63=1,MAX(G38684,Assumptions!$G$63)+Assumptions!$F$63+$C$38685,Assumptions!$E$63))+G38785*IF(G38786=1,$C$38686,IF(Assumptions!$I$64=1,MAX(G38684,Assumptions!$G$64)+Assumptions!$F$64+$C$38685,Assumptions!$E$64))+G38798*IF(G38799=1,$C$38686,IF(Assumptions!$I$65=1,MAX(G38684,Assumptions!$G$65)+Assumptions!$F$65+$C$38685,Assumptions!$E$65))+G38811*IF(G38812=1,$C$38686,IF(Assumptions!$I$66=1,MAX(G38684,Assumptions!$G$66)+Assumptions!$F$66+$C$38685,Assumptions!$E$66))</f>
        <v>194.5679854</v>
      </c>
      <c r="H38691" s="16" t="n">
        <f aca="false">H38694*IF(OR(H38695=1,G39004=1),$C$38686,IF(Assumptions!$I$57=1,MAX(H38684,Assumptions!$G$57)+Assumptions!$F$57+$C$38685,Assumptions!$E$57))+H38707*IF(OR(H38708=1,G39005=1),$C$38686,IF(Assumptions!$I$58=1,MAX(H38684,Assumptions!$G$58)+Assumptions!$F$58+$C$38685,Assumptions!$E$58))+H38720*IF(OR(H38721=1,G39006=1),$C$38686,IF(Assumptions!$I$59=1,MAX(H38684,Assumptions!$G$59)+Assumptions!$F$59+$C$38685,Assumptions!$E$59))+H38733*IF(OR(H38734=1,G39007=1),$C$38686,IF(Assumptions!$I$60=1,MAX(H38684,Assumptions!$G$60)+Assumptions!$F$60+$C$38685,Assumptions!$E$60))+H38746*IF(OR(H38747=1,G39008=1),$C$38686,IF(Assumptions!$I$61=1,MAX(H38684,Assumptions!$G$61)+Assumptions!$F$61+$C$38685,Assumptions!$E$61))+H38759*IF(OR(H38760=1,G39009=1),$C$38686,IF(Assumptions!$I$62=1,MAX(H38684,Assumptions!$G$62)+Assumptions!$F$62+$C$38685,Assumptions!$E$62))+H38772*IF(OR(H38773=1,G39010=1),$C$38686,IF(Assumptions!$I$63=1,MAX(H38684,Assumptions!$G$63)+Assumptions!$F$63+$C$38685,Assumptions!$E$63))+H38785*IF(OR(H38786=1,G39011=1),$C$38686,IF(Assumptions!$I$64=1,MAX(H38684,Assumptions!$G$64)+Assumptions!$F$64+$C$38685,Assumptions!$E$64))+H38798*IF(OR(H38799=1,G39012=1),$C$38686,IF(Assumptions!$I$65=1,MAX(H38684,Assumptions!$G$65)+Assumptions!$F$65+$C$38685,Assumptions!$E$65))+H38811*IF(OR(H38812=1,G39013=1),$C$38686,IF(Assumptions!$I$66=1,MAX(H38684,Assumptions!$G$66)+Assumptions!$F$66+$C$38685,Assumptions!$E$66))</f>
        <v>242.5450704</v>
      </c>
      <c r="I38691" s="16" t="n">
        <f aca="false">I38694*IF(OR(I38695=1,H39004=1),$C$38686,IF(Assumptions!$I$57=1,MAX(I38684,Assumptions!$G$57)+Assumptions!$F$57+$C$38685,Assumptions!$E$57))+I38707*IF(OR(I38708=1,H39005=1),$C$38686,IF(Assumptions!$I$58=1,MAX(I38684,Assumptions!$G$58)+Assumptions!$F$58+$C$38685,Assumptions!$E$58))+I38720*IF(OR(I38721=1,H39006=1),$C$38686,IF(Assumptions!$I$59=1,MAX(I38684,Assumptions!$G$59)+Assumptions!$F$59+$C$38685,Assumptions!$E$59))+I38733*IF(OR(I38734=1,H39007=1),$C$38686,IF(Assumptions!$I$60=1,MAX(I38684,Assumptions!$G$60)+Assumptions!$F$60+$C$38685,Assumptions!$E$60))+I38746*IF(OR(I38747=1,H39008=1),$C$38686,IF(Assumptions!$I$61=1,MAX(I38684,Assumptions!$G$61)+Assumptions!$F$61+$C$38685,Assumptions!$E$61))+I38759*IF(OR(I38760=1,H39009=1),$C$38686,IF(Assumptions!$I$62=1,MAX(I38684,Assumptions!$G$62)+Assumptions!$F$62+$C$38685,Assumptions!$E$62))+I38772*IF(OR(I38773=1,H39010=1),$C$38686,IF(Assumptions!$I$63=1,MAX(I38684,Assumptions!$G$63)+Assumptions!$F$63+$C$38685,Assumptions!$E$63))+I38785*IF(OR(I38786=1,H39011=1),$C$38686,IF(Assumptions!$I$64=1,MAX(I38684,Assumptions!$G$64)+Assumptions!$F$64+$C$38685,Assumptions!$E$64))+I38798*IF(OR(I38799=1,H39012=1),$C$38686,IF(Assumptions!$I$65=1,MAX(I38684,Assumptions!$G$65)+Assumptions!$F$65+$C$38685,Assumptions!$E$65))+I38811*IF(OR(I38812=1,H39013=1),$C$38686,IF(Assumptions!$I$66=1,MAX(I38684,Assumptions!$G$66)+Assumptions!$F$66+$C$38685,Assumptions!$E$66))</f>
        <v>208.30675836865</v>
      </c>
      <c r="J38691" s="16" t="n">
        <f aca="false">J38694*IF(OR(J38695=1,I39004=1),$C$38686,IF(Assumptions!$I$57=1,MAX(J38684,Assumptions!$G$57)+Assumptions!$F$57+$C$38685,Assumptions!$E$57))+J38707*IF(OR(J38708=1,I39005=1),$C$38686,IF(Assumptions!$I$58=1,MAX(J38684,Assumptions!$G$58)+Assumptions!$F$58+$C$38685,Assumptions!$E$58))+J38720*IF(OR(J38721=1,I39006=1),$C$38686,IF(Assumptions!$I$59=1,MAX(J38684,Assumptions!$G$59)+Assumptions!$F$59+$C$38685,Assumptions!$E$59))+J38733*IF(OR(J38734=1,I39007=1),$C$38686,IF(Assumptions!$I$60=1,MAX(J38684,Assumptions!$G$60)+Assumptions!$F$60+$C$38685,Assumptions!$E$60))+J38746*IF(OR(J38747=1,I39008=1),$C$38686,IF(Assumptions!$I$61=1,MAX(J38684,Assumptions!$G$61)+Assumptions!$F$61+$C$38685,Assumptions!$E$61))+J38759*IF(OR(J38760=1,I39009=1),$C$38686,IF(Assumptions!$I$62=1,MAX(J38684,Assumptions!$G$62)+Assumptions!$F$62+$C$38685,Assumptions!$E$62))+J38772*IF(OR(J38773=1,I39010=1),$C$38686,IF(Assumptions!$I$63=1,MAX(J38684,Assumptions!$G$63)+Assumptions!$F$63+$C$38685,Assumptions!$E$63))+J38785*IF(OR(J38786=1,I39011=1),$C$38686,IF(Assumptions!$I$64=1,MAX(J38684,Assumptions!$G$64)+Assumptions!$F$64+$C$38685,Assumptions!$E$64))+J38798*IF(OR(J38799=1,I39012=1),$C$38686,IF(Assumptions!$I$65=1,MAX(J38684,Assumptions!$G$65)+Assumptions!$F$65+$C$38685,Assumptions!$E$65))+J38811*IF(OR(J38812=1,I39013=1),$C$38686,IF(Assumptions!$I$66=1,MAX(J38684,Assumptions!$G$66)+Assumptions!$F$66+$C$38685,Assumptions!$E$66))</f>
        <v>216.72425836865</v>
      </c>
      <c r="K38691" s="16" t="n">
        <f aca="false">K38694*IF(OR(K38695=1,J39004=1),$C$38686,IF(Assumptions!$I$57=1,MAX(K38684,Assumptions!$G$57)+Assumptions!$F$57+$C$38685,Assumptions!$E$57))+K38707*IF(OR(K38708=1,J39005=1),$C$38686,IF(Assumptions!$I$58=1,MAX(K38684,Assumptions!$G$58)+Assumptions!$F$58+$C$38685,Assumptions!$E$58))+K38720*IF(OR(K38721=1,J39006=1),$C$38686,IF(Assumptions!$I$59=1,MAX(K38684,Assumptions!$G$59)+Assumptions!$F$59+$C$38685,Assumptions!$E$59))+K38733*IF(OR(K38734=1,J39007=1),$C$38686,IF(Assumptions!$I$60=1,MAX(K38684,Assumptions!$G$60)+Assumptions!$F$60+$C$38685,Assumptions!$E$60))+K38746*IF(OR(K38747=1,J39008=1),$C$38686,IF(Assumptions!$I$61=1,MAX(K38684,Assumptions!$G$61)+Assumptions!$F$61+$C$38685,Assumptions!$E$61))+K38759*IF(OR(K38760=1,J39009=1),$C$38686,IF(Assumptions!$I$62=1,MAX(K38684,Assumptions!$G$62)+Assumptions!$F$62+$C$38685,Assumptions!$E$62))+K38772*IF(OR(K38773=1,J39010=1),$C$38686,IF(Assumptions!$I$63=1,MAX(K38684,Assumptions!$G$63)+Assumptions!$F$63+$C$38685,Assumptions!$E$63))+K38785*IF(OR(K38786=1,J39011=1),$C$38686,IF(Assumptions!$I$64=1,MAX(K38684,Assumptions!$G$64)+Assumptions!$F$64+$C$38685,Assumptions!$E$64))+K38798*IF(OR(K38799=1,J39012=1),$C$38686,IF(Assumptions!$I$65=1,MAX(K38684,Assumptions!$G$65)+Assumptions!$F$65+$C$38685,Assumptions!$E$65))+K38811*IF(OR(K38812=1,J39013=1),$C$38686,IF(Assumptions!$I$66=1,MAX(K38684,Assumptions!$G$66)+Assumptions!$F$66+$C$38685,Assumptions!$E$66))</f>
        <v>208.76425836865</v>
      </c>
    </row>
    <row r="38692" customFormat="false" ht="15" hidden="false" customHeight="false" outlineLevel="0" collapsed="false">
      <c r="A38692" s="3" t="s">
        <v>327</v>
      </c>
      <c r="G38692" s="21" t="n">
        <f aca="false">IF(G38668&lt;=0,0,IF(AND((G38689-G38690)/G38668&lt;=$C$38687,G38668/G38691&gt;=$C$38688),1,0))</f>
        <v>0</v>
      </c>
      <c r="H38692" s="21" t="n">
        <f aca="false">IF(H38668&lt;=0,0,IF(AND((H38689-H38690)/H38668&lt;=$C$38687,H38668/H38691&gt;=$C$38688),1,0))</f>
        <v>0</v>
      </c>
      <c r="I38692" s="21" t="n">
        <f aca="false">IF(I38668&lt;=0,0,IF(AND((I38689-I38690)/I38668&lt;=$C$38687,I38668/I38691&gt;=$C$38688),1,0))</f>
        <v>0</v>
      </c>
      <c r="J38692" s="21" t="n">
        <f aca="false">IF(J38668&lt;=0,0,IF(AND((J38689-J38690)/J38668&lt;=$C$38687,J38668/J38691&gt;=$C$38688),1,0))</f>
        <v>0</v>
      </c>
      <c r="K38692" s="21" t="n">
        <f aca="false">IF(K38668&lt;=0,0,IF(AND((K38689-K38690)/K38668&lt;=$C$38687,K38668/K38691&gt;=$C$38688),1,0))</f>
        <v>0</v>
      </c>
    </row>
    <row r="38693" customFormat="false" ht="15" hidden="false" customHeight="false" outlineLevel="0" collapsed="false">
      <c r="A38693" s="24" t="s">
        <v>328</v>
      </c>
      <c r="B38693" s="25"/>
      <c r="C38693" s="25"/>
      <c r="D38693" s="25"/>
      <c r="E38693" s="25"/>
      <c r="F38693" s="25"/>
      <c r="G38693" s="25"/>
      <c r="H38693" s="25"/>
      <c r="I38693" s="25"/>
      <c r="J38693" s="25"/>
      <c r="K38693" s="25"/>
    </row>
    <row r="38694" customFormat="false" ht="15" hidden="false" customHeight="false" outlineLevel="0" collapsed="false">
      <c r="A38694" s="3" t="s">
        <v>329</v>
      </c>
      <c r="G38694" s="16" t="n">
        <f aca="false">F38705</f>
        <v>400</v>
      </c>
      <c r="H38694" s="16" t="n">
        <f aca="false">G38705</f>
        <v>396</v>
      </c>
      <c r="I38694" s="16" t="n">
        <f aca="false">H38705</f>
        <v>392</v>
      </c>
      <c r="J38694" s="16" t="n">
        <f aca="false">I38705</f>
        <v>388</v>
      </c>
      <c r="K38694" s="16" t="n">
        <f aca="false">J38705</f>
        <v>384</v>
      </c>
    </row>
    <row r="38695" customFormat="false" ht="15" hidden="false" customHeight="false" outlineLevel="0" collapsed="false">
      <c r="A38695" s="3" t="s">
        <v>330</v>
      </c>
      <c r="G38695" s="21" t="n">
        <f aca="false">IF(G38658=Assumptions!$K$57,1,0)</f>
        <v>0</v>
      </c>
      <c r="H38695" s="21" t="n">
        <f aca="false">IF(H38658=Assumptions!$K$57,1,0)</f>
        <v>0</v>
      </c>
      <c r="I38695" s="21" t="n">
        <f aca="false">IF(I38658=Assumptions!$K$57,1,0)</f>
        <v>0</v>
      </c>
      <c r="J38695" s="21" t="n">
        <f aca="false">IF(J38658=Assumptions!$K$57,1,0)</f>
        <v>0</v>
      </c>
      <c r="K38695" s="21" t="n">
        <f aca="false">IF(K38658=Assumptions!$K$57,1,0)</f>
        <v>1</v>
      </c>
    </row>
    <row r="38697" customFormat="false" ht="15" hidden="false" customHeight="false" outlineLevel="0" collapsed="false">
      <c r="A38697" s="3" t="s">
        <v>331</v>
      </c>
      <c r="G38697" s="31" t="n">
        <f aca="false">IF(Assumptions!$I$57=1,MAX(G38684,Assumptions!$G$57)+Assumptions!$F$57+$C$38685,Assumptions!$E$57)</f>
        <v>0.1215</v>
      </c>
      <c r="H38697" s="31" t="n">
        <f aca="false">IF(G39004=1,$C$38686,IF(Assumptions!$I$57=1,MAX(H38684,Assumptions!$G$57)+Assumptions!$F$57+$C$38685,Assumptions!$E$57))</f>
        <v>0.12</v>
      </c>
      <c r="I38697" s="31" t="n">
        <f aca="false">IF(H39004=1,$C$38686,IF(Assumptions!$I$57=1,MAX(I38684,Assumptions!$G$57)+Assumptions!$F$57+$C$38685,Assumptions!$E$57))</f>
        <v>0.1175</v>
      </c>
      <c r="J38697" s="31" t="n">
        <f aca="false">IF(I39004=1,$C$38686,IF(Assumptions!$I$57=1,MAX(J38684,Assumptions!$G$57)+Assumptions!$F$57+$C$38685,Assumptions!$E$57))</f>
        <v>0.1175</v>
      </c>
      <c r="K38697" s="31" t="n">
        <f aca="false">IF(J39004=1,$C$38686,IF(Assumptions!$I$57=1,MAX(K38684,Assumptions!$G$57)+Assumptions!$F$57+$C$38685,Assumptions!$E$57))</f>
        <v>0.1175</v>
      </c>
    </row>
    <row r="38698" customFormat="false" ht="15" hidden="false" customHeight="false" outlineLevel="0" collapsed="false">
      <c r="A38698" s="3" t="s">
        <v>332</v>
      </c>
      <c r="G38698" s="16" t="n">
        <f aca="false">G38694*G38697</f>
        <v>48.6</v>
      </c>
      <c r="H38698" s="16" t="n">
        <f aca="false">H38694*H38697</f>
        <v>47.52</v>
      </c>
      <c r="I38698" s="16" t="n">
        <f aca="false">I38694*I38697</f>
        <v>46.06</v>
      </c>
      <c r="J38698" s="16" t="n">
        <f aca="false">J38694*J38697</f>
        <v>45.59</v>
      </c>
      <c r="K38698" s="16" t="n">
        <f aca="false">K38694*K38697</f>
        <v>45.12</v>
      </c>
    </row>
    <row r="38699" customFormat="false" ht="15" hidden="false" customHeight="false" outlineLevel="0" collapsed="false">
      <c r="A38699" s="3" t="s">
        <v>333</v>
      </c>
      <c r="G38699" s="16" t="n">
        <f aca="false">G38694*Assumptions!$H$57</f>
        <v>0</v>
      </c>
      <c r="H38699" s="16" t="n">
        <f aca="false">H38694*Assumptions!$H$57</f>
        <v>0</v>
      </c>
      <c r="I38699" s="16" t="n">
        <f aca="false">I38694*Assumptions!$H$57</f>
        <v>0</v>
      </c>
      <c r="J38699" s="16" t="n">
        <f aca="false">J38694*Assumptions!$H$57</f>
        <v>0</v>
      </c>
      <c r="K38699" s="16" t="n">
        <f aca="false">K38694*Assumptions!$H$57</f>
        <v>0</v>
      </c>
    </row>
    <row r="38700" customFormat="false" ht="15" hidden="false" customHeight="false" outlineLevel="0" collapsed="false">
      <c r="A38700" s="3" t="s">
        <v>334</v>
      </c>
      <c r="G38700" s="16" t="n">
        <f aca="false">MIN(G38694,Assumptions!$L$57*Assumptions!$C$57)</f>
        <v>4</v>
      </c>
      <c r="H38700" s="16" t="n">
        <f aca="false">MIN(H38694,Assumptions!$L$57*Assumptions!$C$57)</f>
        <v>4</v>
      </c>
      <c r="I38700" s="16" t="n">
        <f aca="false">MIN(I38694,Assumptions!$L$57*Assumptions!$C$57)</f>
        <v>4</v>
      </c>
      <c r="J38700" s="16" t="n">
        <f aca="false">MIN(J38694,Assumptions!$L$57*Assumptions!$C$57)</f>
        <v>4</v>
      </c>
      <c r="K38700" s="16" t="n">
        <f aca="false">MIN(K38694,Assumptions!$L$57*Assumptions!$C$57)</f>
        <v>4</v>
      </c>
    </row>
    <row r="38701" customFormat="false" ht="15" hidden="false" customHeight="false" outlineLevel="0" collapsed="false">
      <c r="A38701" s="3" t="s">
        <v>335</v>
      </c>
      <c r="G38701" s="16" t="n">
        <f aca="false">IF(AND(Assumptions!$P$57=1,G38658&lt;Assumptions!$K$57),MIN(MAX(0,-G38874),MAX(0,Assumptions!$D$57-G38694)),0)</f>
        <v>0</v>
      </c>
      <c r="H38701" s="16" t="n">
        <f aca="false">IF(AND(Assumptions!$P$57=1,OR(H38658&lt;Assumptions!$K$57,G39004=1)),MIN(MAX(0,-H38874),MAX(0,Assumptions!$D$57-H38694)),0)</f>
        <v>0</v>
      </c>
      <c r="I38701" s="16" t="n">
        <f aca="false">IF(AND(Assumptions!$P$57=1,OR(I38658&lt;Assumptions!$K$57,H39004=1)),MIN(MAX(0,-I38874),MAX(0,Assumptions!$D$57-I38694)),0)</f>
        <v>0</v>
      </c>
      <c r="J38701" s="16" t="n">
        <f aca="false">IF(AND(Assumptions!$P$57=1,OR(J38658&lt;Assumptions!$K$57,I39004=1)),MIN(MAX(0,-J38874),MAX(0,Assumptions!$D$57-J38694)),0)</f>
        <v>0</v>
      </c>
      <c r="K38701" s="16" t="n">
        <f aca="false">IF(AND(Assumptions!$P$57=1,OR(K38658&lt;Assumptions!$K$57,J39004=1)),MIN(MAX(0,-K38874),MAX(0,Assumptions!$D$57-K38694)),0)</f>
        <v>0</v>
      </c>
    </row>
    <row r="38702" customFormat="false" ht="15" hidden="false" customHeight="false" outlineLevel="0" collapsed="false">
      <c r="A38702" s="3" t="s">
        <v>336</v>
      </c>
      <c r="G38702" s="16" t="n">
        <f aca="false">G38695*MIN(G38694-G38700+G38699,MAX(0,G38876-Assumptions!$C$12*G38692))</f>
        <v>0</v>
      </c>
      <c r="H38702" s="16" t="n">
        <f aca="false">H38695*MIN(H38694-H38700+H38699,MAX(0,H38876-Assumptions!$C$12*H38692))</f>
        <v>0</v>
      </c>
      <c r="I38702" s="16" t="n">
        <f aca="false">I38695*MIN(I38694-I38700+I38699,MAX(0,I38876-Assumptions!$C$12*I38692))</f>
        <v>0</v>
      </c>
      <c r="J38702" s="16" t="n">
        <f aca="false">J38695*MIN(J38694-J38700+J38699,MAX(0,J38876-Assumptions!$C$12*J38692))</f>
        <v>0</v>
      </c>
      <c r="K38702" s="16" t="n">
        <f aca="false">K38695*MIN(K38694-K38700+K38699,MAX(0,K38876-Assumptions!$C$12*K38692))</f>
        <v>0</v>
      </c>
    </row>
    <row r="38703" customFormat="false" ht="15" hidden="false" customHeight="false" outlineLevel="0" collapsed="false">
      <c r="A38703" s="3" t="s">
        <v>337</v>
      </c>
      <c r="G38703" s="16" t="n">
        <f aca="false">Assumptions!$N$57*MIN(G38694+G38701+G38699-G38700-G38702,MAX(0,G38880))</f>
        <v>0</v>
      </c>
      <c r="H38703" s="16" t="n">
        <f aca="false">Assumptions!$N$57*MIN(H38694+H38701+H38699-H38700-H38702,MAX(0,H38880))</f>
        <v>0</v>
      </c>
      <c r="I38703" s="16" t="n">
        <f aca="false">Assumptions!$N$57*MIN(I38694+I38701+I38699-I38700-I38702,MAX(0,I38880))</f>
        <v>0</v>
      </c>
      <c r="J38703" s="16" t="n">
        <f aca="false">Assumptions!$N$57*MIN(J38694+J38701+J38699-J38700-J38702,MAX(0,J38880))</f>
        <v>0</v>
      </c>
      <c r="K38703" s="16" t="n">
        <f aca="false">Assumptions!$N$57*MIN(K38694+K38701+K38699-K38700-K38702,MAX(0,K38880))</f>
        <v>0</v>
      </c>
    </row>
    <row r="38704" customFormat="false" ht="15" hidden="false" customHeight="false" outlineLevel="0" collapsed="false">
      <c r="A38704" s="3" t="s">
        <v>338</v>
      </c>
      <c r="G38704" s="16" t="n">
        <f aca="false">G38695*(1-G38692)*(G38694-G38700+G38699-G38702)</f>
        <v>0</v>
      </c>
      <c r="H38704" s="16" t="n">
        <f aca="false">H38695*(1-H38692)*(H38694-H38700+H38699-H38702)</f>
        <v>0</v>
      </c>
      <c r="I38704" s="16" t="n">
        <f aca="false">I38695*(1-I38692)*(I38694-I38700+I38699-I38702)</f>
        <v>0</v>
      </c>
      <c r="J38704" s="16" t="n">
        <f aca="false">J38695*(1-J38692)*(J38694-J38700+J38699-J38702)</f>
        <v>0</v>
      </c>
      <c r="K38704" s="16" t="n">
        <f aca="false">K38695*(1-K38692)*(K38694-K38700+K38699-K38702)</f>
        <v>380</v>
      </c>
    </row>
    <row r="38705" customFormat="false" ht="15" hidden="false" customHeight="false" outlineLevel="0" collapsed="false">
      <c r="A38705" s="2" t="s">
        <v>339</v>
      </c>
      <c r="F38705" s="28" t="n">
        <f aca="false">Assumptions!$C$57</f>
        <v>400</v>
      </c>
      <c r="G38705" s="17" t="n">
        <f aca="false">G38694+G38701+G38699-G38700-G38702-G38703</f>
        <v>396</v>
      </c>
      <c r="H38705" s="17" t="n">
        <f aca="false">H38694+H38701+H38699-H38700-H38702-H38703</f>
        <v>392</v>
      </c>
      <c r="I38705" s="17" t="n">
        <f aca="false">I38694+I38701+I38699-I38700-I38702-I38703</f>
        <v>388</v>
      </c>
      <c r="J38705" s="17" t="n">
        <f aca="false">J38694+J38701+J38699-J38700-J38702-J38703</f>
        <v>384</v>
      </c>
      <c r="K38705" s="17" t="n">
        <f aca="false">K38694+K38701+K38699-K38700-K38702-K38703</f>
        <v>380</v>
      </c>
    </row>
    <row r="38706" customFormat="false" ht="15" hidden="false" customHeight="false" outlineLevel="0" collapsed="false">
      <c r="A38706" s="24" t="s">
        <v>340</v>
      </c>
      <c r="B38706" s="25"/>
      <c r="C38706" s="25"/>
      <c r="D38706" s="25"/>
      <c r="E38706" s="25"/>
      <c r="F38706" s="25"/>
      <c r="G38706" s="25"/>
      <c r="H38706" s="25"/>
      <c r="I38706" s="25"/>
      <c r="J38706" s="25"/>
      <c r="K38706" s="25"/>
    </row>
    <row r="38707" customFormat="false" ht="15" hidden="false" customHeight="false" outlineLevel="0" collapsed="false">
      <c r="A38707" s="3" t="s">
        <v>329</v>
      </c>
      <c r="G38707" s="16" t="n">
        <f aca="false">F38718</f>
        <v>90</v>
      </c>
      <c r="H38707" s="16" t="n">
        <f aca="false">G38718</f>
        <v>90</v>
      </c>
      <c r="I38707" s="16" t="n">
        <f aca="false">H38718</f>
        <v>90</v>
      </c>
      <c r="J38707" s="16" t="n">
        <f aca="false">I38718</f>
        <v>90</v>
      </c>
      <c r="K38707" s="16" t="n">
        <f aca="false">J38718</f>
        <v>90</v>
      </c>
    </row>
    <row r="38708" customFormat="false" ht="15" hidden="false" customHeight="false" outlineLevel="0" collapsed="false">
      <c r="A38708" s="3" t="s">
        <v>330</v>
      </c>
      <c r="G38708" s="21" t="n">
        <f aca="false">IF(G38658=Assumptions!$K$58,1,0)</f>
        <v>0</v>
      </c>
      <c r="H38708" s="21" t="n">
        <f aca="false">IF(H38658=Assumptions!$K$58,1,0)</f>
        <v>0</v>
      </c>
      <c r="I38708" s="21" t="n">
        <f aca="false">IF(I38658=Assumptions!$K$58,1,0)</f>
        <v>0</v>
      </c>
      <c r="J38708" s="21" t="n">
        <f aca="false">IF(J38658=Assumptions!$K$58,1,0)</f>
        <v>0</v>
      </c>
      <c r="K38708" s="21" t="n">
        <f aca="false">IF(K38658=Assumptions!$K$58,1,0)</f>
        <v>0</v>
      </c>
    </row>
    <row r="38710" customFormat="false" ht="15" hidden="false" customHeight="false" outlineLevel="0" collapsed="false">
      <c r="A38710" s="3" t="s">
        <v>331</v>
      </c>
      <c r="G38710" s="31" t="n">
        <f aca="false">IF(Assumptions!$I$58=1,MAX(G38684,Assumptions!$G$58)+Assumptions!$F$58+$C$38685,Assumptions!$E$58)</f>
        <v>0.0581</v>
      </c>
      <c r="H38710" s="31" t="n">
        <f aca="false">IF(G39005=1,$C$38686,IF(Assumptions!$I$58=1,MAX(H38684,Assumptions!$G$58)+Assumptions!$F$58+$C$38685,Assumptions!$E$58))</f>
        <v>0.0581</v>
      </c>
      <c r="I38710" s="31" t="n">
        <f aca="false">IF(H39005=1,$C$38686,IF(Assumptions!$I$58=1,MAX(I38684,Assumptions!$G$58)+Assumptions!$F$58+$C$38685,Assumptions!$E$58))</f>
        <v>0.0581</v>
      </c>
      <c r="J38710" s="31" t="n">
        <f aca="false">IF(I39005=1,$C$38686,IF(Assumptions!$I$58=1,MAX(J38684,Assumptions!$G$58)+Assumptions!$F$58+$C$38685,Assumptions!$E$58))</f>
        <v>0.0581</v>
      </c>
      <c r="K38710" s="31" t="n">
        <f aca="false">IF(J39005=1,$C$38686,IF(Assumptions!$I$58=1,MAX(K38684,Assumptions!$G$58)+Assumptions!$F$58+$C$38685,Assumptions!$E$58))</f>
        <v>0.0581</v>
      </c>
    </row>
    <row r="38711" customFormat="false" ht="15" hidden="false" customHeight="false" outlineLevel="0" collapsed="false">
      <c r="A38711" s="3" t="s">
        <v>332</v>
      </c>
      <c r="G38711" s="16" t="n">
        <f aca="false">G38707*G38710</f>
        <v>5.229</v>
      </c>
      <c r="H38711" s="16" t="n">
        <f aca="false">H38707*H38710</f>
        <v>5.229</v>
      </c>
      <c r="I38711" s="16" t="n">
        <f aca="false">I38707*I38710</f>
        <v>5.229</v>
      </c>
      <c r="J38711" s="16" t="n">
        <f aca="false">J38707*J38710</f>
        <v>5.229</v>
      </c>
      <c r="K38711" s="16" t="n">
        <f aca="false">K38707*K38710</f>
        <v>5.229</v>
      </c>
    </row>
    <row r="38712" customFormat="false" ht="15" hidden="false" customHeight="false" outlineLevel="0" collapsed="false">
      <c r="A38712" s="3" t="s">
        <v>333</v>
      </c>
      <c r="G38712" s="16" t="n">
        <f aca="false">G38707*Assumptions!$H$58</f>
        <v>0</v>
      </c>
      <c r="H38712" s="16" t="n">
        <f aca="false">H38707*Assumptions!$H$58</f>
        <v>0</v>
      </c>
      <c r="I38712" s="16" t="n">
        <f aca="false">I38707*Assumptions!$H$58</f>
        <v>0</v>
      </c>
      <c r="J38712" s="16" t="n">
        <f aca="false">J38707*Assumptions!$H$58</f>
        <v>0</v>
      </c>
      <c r="K38712" s="16" t="n">
        <f aca="false">K38707*Assumptions!$H$58</f>
        <v>0</v>
      </c>
    </row>
    <row r="38713" customFormat="false" ht="15" hidden="false" customHeight="false" outlineLevel="0" collapsed="false">
      <c r="A38713" s="3" t="s">
        <v>334</v>
      </c>
      <c r="G38713" s="16" t="n">
        <f aca="false">MIN(G38707,Assumptions!$L$58*Assumptions!$C$58)</f>
        <v>0</v>
      </c>
      <c r="H38713" s="16" t="n">
        <f aca="false">MIN(H38707,Assumptions!$L$58*Assumptions!$C$58)</f>
        <v>0</v>
      </c>
      <c r="I38713" s="16" t="n">
        <f aca="false">MIN(I38707,Assumptions!$L$58*Assumptions!$C$58)</f>
        <v>0</v>
      </c>
      <c r="J38713" s="16" t="n">
        <f aca="false">MIN(J38707,Assumptions!$L$58*Assumptions!$C$58)</f>
        <v>0</v>
      </c>
      <c r="K38713" s="16" t="n">
        <f aca="false">MIN(K38707,Assumptions!$L$58*Assumptions!$C$58)</f>
        <v>0</v>
      </c>
    </row>
    <row r="38714" customFormat="false" ht="15" hidden="false" customHeight="false" outlineLevel="0" collapsed="false">
      <c r="A38714" s="3" t="s">
        <v>335</v>
      </c>
      <c r="G38714" s="16" t="n">
        <f aca="false">IF(AND(Assumptions!$P$58=1,G38658&lt;Assumptions!$K$58),MIN(MAX(0,-G38874),MAX(0,Assumptions!$D$58-G38707)),0)</f>
        <v>0</v>
      </c>
      <c r="H38714" s="16" t="n">
        <f aca="false">IF(AND(Assumptions!$P$58=1,OR(H38658&lt;Assumptions!$K$58,G39005=1)),MIN(MAX(0,-H38874),MAX(0,Assumptions!$D$58-H38707)),0)</f>
        <v>0</v>
      </c>
      <c r="I38714" s="16" t="n">
        <f aca="false">IF(AND(Assumptions!$P$58=1,OR(I38658&lt;Assumptions!$K$58,H39005=1)),MIN(MAX(0,-I38874),MAX(0,Assumptions!$D$58-I38707)),0)</f>
        <v>0</v>
      </c>
      <c r="J38714" s="16" t="n">
        <f aca="false">IF(AND(Assumptions!$P$58=1,OR(J38658&lt;Assumptions!$K$58,I39005=1)),MIN(MAX(0,-J38874),MAX(0,Assumptions!$D$58-J38707)),0)</f>
        <v>0</v>
      </c>
      <c r="K38714" s="16" t="n">
        <f aca="false">IF(AND(Assumptions!$P$58=1,OR(K38658&lt;Assumptions!$K$58,J39005=1)),MIN(MAX(0,-K38874),MAX(0,Assumptions!$D$58-K38707)),0)</f>
        <v>0</v>
      </c>
    </row>
    <row r="38715" customFormat="false" ht="15" hidden="false" customHeight="false" outlineLevel="0" collapsed="false">
      <c r="A38715" s="3" t="s">
        <v>336</v>
      </c>
      <c r="G38715" s="16" t="n">
        <f aca="false">G38708*MIN(G38707-G38713+G38712,MAX(0,G38876-Assumptions!$C$12*G38692-G38702))</f>
        <v>0</v>
      </c>
      <c r="H38715" s="16" t="n">
        <f aca="false">H38708*MIN(H38707-H38713+H38712,MAX(0,H38876-Assumptions!$C$12*H38692-H38702))</f>
        <v>0</v>
      </c>
      <c r="I38715" s="16" t="n">
        <f aca="false">I38708*MIN(I38707-I38713+I38712,MAX(0,I38876-Assumptions!$C$12*I38692-I38702))</f>
        <v>0</v>
      </c>
      <c r="J38715" s="16" t="n">
        <f aca="false">J38708*MIN(J38707-J38713+J38712,MAX(0,J38876-Assumptions!$C$12*J38692-J38702))</f>
        <v>0</v>
      </c>
      <c r="K38715" s="16" t="n">
        <f aca="false">K38708*MIN(K38707-K38713+K38712,MAX(0,K38876-Assumptions!$C$12*K38692-K38702))</f>
        <v>0</v>
      </c>
    </row>
    <row r="38716" customFormat="false" ht="15" hidden="false" customHeight="false" outlineLevel="0" collapsed="false">
      <c r="A38716" s="3" t="s">
        <v>337</v>
      </c>
      <c r="G38716" s="16" t="n">
        <f aca="false">Assumptions!$N$58*MIN(G38707+G38714+G38712-G38713-G38715,MAX(0,G38880-G38703))</f>
        <v>0</v>
      </c>
      <c r="H38716" s="16" t="n">
        <f aca="false">Assumptions!$N$58*MIN(H38707+H38714+H38712-H38713-H38715,MAX(0,H38880-H38703))</f>
        <v>0</v>
      </c>
      <c r="I38716" s="16" t="n">
        <f aca="false">Assumptions!$N$58*MIN(I38707+I38714+I38712-I38713-I38715,MAX(0,I38880-I38703))</f>
        <v>0</v>
      </c>
      <c r="J38716" s="16" t="n">
        <f aca="false">Assumptions!$N$58*MIN(J38707+J38714+J38712-J38713-J38715,MAX(0,J38880-J38703))</f>
        <v>0</v>
      </c>
      <c r="K38716" s="16" t="n">
        <f aca="false">Assumptions!$N$58*MIN(K38707+K38714+K38712-K38713-K38715,MAX(0,K38880-K38703))</f>
        <v>0</v>
      </c>
    </row>
    <row r="38717" customFormat="false" ht="15" hidden="false" customHeight="false" outlineLevel="0" collapsed="false">
      <c r="A38717" s="3" t="s">
        <v>338</v>
      </c>
      <c r="G38717" s="16" t="n">
        <f aca="false">G38708*(1-G38692)*(G38707-G38713+G38712-G38715)</f>
        <v>0</v>
      </c>
      <c r="H38717" s="16" t="n">
        <f aca="false">H38708*(1-H38692)*(H38707-H38713+H38712-H38715)</f>
        <v>0</v>
      </c>
      <c r="I38717" s="16" t="n">
        <f aca="false">I38708*(1-I38692)*(I38707-I38713+I38712-I38715)</f>
        <v>0</v>
      </c>
      <c r="J38717" s="16" t="n">
        <f aca="false">J38708*(1-J38692)*(J38707-J38713+J38712-J38715)</f>
        <v>0</v>
      </c>
      <c r="K38717" s="16" t="n">
        <f aca="false">K38708*(1-K38692)*(K38707-K38713+K38712-K38715)</f>
        <v>0</v>
      </c>
    </row>
    <row r="38718" customFormat="false" ht="15" hidden="false" customHeight="false" outlineLevel="0" collapsed="false">
      <c r="A38718" s="2" t="s">
        <v>339</v>
      </c>
      <c r="F38718" s="28" t="n">
        <f aca="false">Assumptions!$C$58</f>
        <v>90</v>
      </c>
      <c r="G38718" s="17" t="n">
        <f aca="false">G38707+G38714+G38712-G38713-G38715-G38716</f>
        <v>90</v>
      </c>
      <c r="H38718" s="17" t="n">
        <f aca="false">H38707+H38714+H38712-H38713-H38715-H38716</f>
        <v>90</v>
      </c>
      <c r="I38718" s="17" t="n">
        <f aca="false">I38707+I38714+I38712-I38713-I38715-I38716</f>
        <v>90</v>
      </c>
      <c r="J38718" s="17" t="n">
        <f aca="false">J38707+J38714+J38712-J38713-J38715-J38716</f>
        <v>90</v>
      </c>
      <c r="K38718" s="17" t="n">
        <f aca="false">K38707+K38714+K38712-K38713-K38715-K38716</f>
        <v>90</v>
      </c>
    </row>
    <row r="38719" customFormat="false" ht="15" hidden="false" customHeight="false" outlineLevel="0" collapsed="false">
      <c r="A38719" s="24" t="s">
        <v>341</v>
      </c>
      <c r="B38719" s="25"/>
      <c r="C38719" s="25"/>
      <c r="D38719" s="25"/>
      <c r="E38719" s="25"/>
      <c r="F38719" s="25"/>
      <c r="G38719" s="25"/>
      <c r="H38719" s="25"/>
      <c r="I38719" s="25"/>
      <c r="J38719" s="25"/>
      <c r="K38719" s="25"/>
    </row>
    <row r="38720" customFormat="false" ht="15" hidden="false" customHeight="false" outlineLevel="0" collapsed="false">
      <c r="A38720" s="3" t="s">
        <v>329</v>
      </c>
      <c r="G38720" s="16" t="n">
        <f aca="false">F38731</f>
        <v>57.324</v>
      </c>
      <c r="H38720" s="16" t="n">
        <f aca="false">G38731</f>
        <v>57.324</v>
      </c>
      <c r="I38720" s="16" t="n">
        <f aca="false">H38731</f>
        <v>57.324</v>
      </c>
      <c r="J38720" s="16" t="n">
        <f aca="false">I38731</f>
        <v>57.324</v>
      </c>
      <c r="K38720" s="16" t="n">
        <f aca="false">J38731</f>
        <v>57.324</v>
      </c>
    </row>
    <row r="38721" customFormat="false" ht="15" hidden="false" customHeight="false" outlineLevel="0" collapsed="false">
      <c r="A38721" s="3" t="s">
        <v>330</v>
      </c>
      <c r="G38721" s="21" t="n">
        <f aca="false">IF(G38658=Assumptions!$K$59,1,0)</f>
        <v>0</v>
      </c>
      <c r="H38721" s="21" t="n">
        <f aca="false">IF(H38658=Assumptions!$K$59,1,0)</f>
        <v>0</v>
      </c>
      <c r="I38721" s="21" t="n">
        <f aca="false">IF(I38658=Assumptions!$K$59,1,0)</f>
        <v>0</v>
      </c>
      <c r="J38721" s="21" t="n">
        <f aca="false">IF(J38658=Assumptions!$K$59,1,0)</f>
        <v>0</v>
      </c>
      <c r="K38721" s="21" t="n">
        <f aca="false">IF(K38658=Assumptions!$K$59,1,0)</f>
        <v>0</v>
      </c>
    </row>
    <row r="38723" customFormat="false" ht="15" hidden="false" customHeight="false" outlineLevel="0" collapsed="false">
      <c r="A38723" s="3" t="s">
        <v>331</v>
      </c>
      <c r="G38723" s="31" t="n">
        <f aca="false">IF(Assumptions!$I$59=1,MAX(G38684,Assumptions!$G$59)+Assumptions!$F$59+$C$38685,Assumptions!$E$59)</f>
        <v>0.0731</v>
      </c>
      <c r="H38723" s="31" t="n">
        <f aca="false">IF(G39006=1,$C$38686,IF(Assumptions!$I$59=1,MAX(H38684,Assumptions!$G$59)+Assumptions!$F$59+$C$38685,Assumptions!$E$59))</f>
        <v>0.0731</v>
      </c>
      <c r="I38723" s="31" t="n">
        <f aca="false">IF(H39006=1,$C$38686,IF(Assumptions!$I$59=1,MAX(I38684,Assumptions!$G$59)+Assumptions!$F$59+$C$38685,Assumptions!$E$59))</f>
        <v>0.0731</v>
      </c>
      <c r="J38723" s="31" t="n">
        <f aca="false">IF(I39006=1,$C$38686,IF(Assumptions!$I$59=1,MAX(J38684,Assumptions!$G$59)+Assumptions!$F$59+$C$38685,Assumptions!$E$59))</f>
        <v>0.0731</v>
      </c>
      <c r="K38723" s="31" t="n">
        <f aca="false">IF(J39006=1,$C$38686,IF(Assumptions!$I$59=1,MAX(K38684,Assumptions!$G$59)+Assumptions!$F$59+$C$38685,Assumptions!$E$59))</f>
        <v>0.0731</v>
      </c>
    </row>
    <row r="38724" customFormat="false" ht="15" hidden="false" customHeight="false" outlineLevel="0" collapsed="false">
      <c r="A38724" s="3" t="s">
        <v>332</v>
      </c>
      <c r="G38724" s="16" t="n">
        <f aca="false">G38720*G38723</f>
        <v>4.1903844</v>
      </c>
      <c r="H38724" s="16" t="n">
        <f aca="false">H38720*H38723</f>
        <v>4.1903844</v>
      </c>
      <c r="I38724" s="16" t="n">
        <f aca="false">I38720*I38723</f>
        <v>4.1903844</v>
      </c>
      <c r="J38724" s="16" t="n">
        <f aca="false">J38720*J38723</f>
        <v>4.1903844</v>
      </c>
      <c r="K38724" s="16" t="n">
        <f aca="false">K38720*K38723</f>
        <v>4.1903844</v>
      </c>
    </row>
    <row r="38725" customFormat="false" ht="15" hidden="false" customHeight="false" outlineLevel="0" collapsed="false">
      <c r="A38725" s="3" t="s">
        <v>333</v>
      </c>
      <c r="G38725" s="16" t="n">
        <f aca="false">G38720*Assumptions!$H$59</f>
        <v>0</v>
      </c>
      <c r="H38725" s="16" t="n">
        <f aca="false">H38720*Assumptions!$H$59</f>
        <v>0</v>
      </c>
      <c r="I38725" s="16" t="n">
        <f aca="false">I38720*Assumptions!$H$59</f>
        <v>0</v>
      </c>
      <c r="J38725" s="16" t="n">
        <f aca="false">J38720*Assumptions!$H$59</f>
        <v>0</v>
      </c>
      <c r="K38725" s="16" t="n">
        <f aca="false">K38720*Assumptions!$H$59</f>
        <v>0</v>
      </c>
    </row>
    <row r="38726" customFormat="false" ht="15" hidden="false" customHeight="false" outlineLevel="0" collapsed="false">
      <c r="A38726" s="3" t="s">
        <v>334</v>
      </c>
      <c r="G38726" s="16" t="n">
        <f aca="false">MIN(G38720,Assumptions!$L$59*Assumptions!$C$59)</f>
        <v>0</v>
      </c>
      <c r="H38726" s="16" t="n">
        <f aca="false">MIN(H38720,Assumptions!$L$59*Assumptions!$C$59)</f>
        <v>0</v>
      </c>
      <c r="I38726" s="16" t="n">
        <f aca="false">MIN(I38720,Assumptions!$L$59*Assumptions!$C$59)</f>
        <v>0</v>
      </c>
      <c r="J38726" s="16" t="n">
        <f aca="false">MIN(J38720,Assumptions!$L$59*Assumptions!$C$59)</f>
        <v>0</v>
      </c>
      <c r="K38726" s="16" t="n">
        <f aca="false">MIN(K38720,Assumptions!$L$59*Assumptions!$C$59)</f>
        <v>0</v>
      </c>
    </row>
    <row r="38727" customFormat="false" ht="15" hidden="false" customHeight="false" outlineLevel="0" collapsed="false">
      <c r="A38727" s="3" t="s">
        <v>335</v>
      </c>
      <c r="G38727" s="16" t="n">
        <f aca="false">IF(AND(Assumptions!$P$59=1,G38658&lt;Assumptions!$K$59),MIN(MAX(0,-G38874),MAX(0,Assumptions!$D$59-G38720)),0)</f>
        <v>0</v>
      </c>
      <c r="H38727" s="16" t="n">
        <f aca="false">IF(AND(Assumptions!$P$59=1,OR(H38658&lt;Assumptions!$K$59,G39006=1)),MIN(MAX(0,-H38874),MAX(0,Assumptions!$D$59-H38720)),0)</f>
        <v>0</v>
      </c>
      <c r="I38727" s="16" t="n">
        <f aca="false">IF(AND(Assumptions!$P$59=1,OR(I38658&lt;Assumptions!$K$59,H39006=1)),MIN(MAX(0,-I38874),MAX(0,Assumptions!$D$59-I38720)),0)</f>
        <v>0</v>
      </c>
      <c r="J38727" s="16" t="n">
        <f aca="false">IF(AND(Assumptions!$P$59=1,OR(J38658&lt;Assumptions!$K$59,I39006=1)),MIN(MAX(0,-J38874),MAX(0,Assumptions!$D$59-J38720)),0)</f>
        <v>0</v>
      </c>
      <c r="K38727" s="16" t="n">
        <f aca="false">IF(AND(Assumptions!$P$59=1,OR(K38658&lt;Assumptions!$K$59,J39006=1)),MIN(MAX(0,-K38874),MAX(0,Assumptions!$D$59-K38720)),0)</f>
        <v>0</v>
      </c>
    </row>
    <row r="38728" customFormat="false" ht="15" hidden="false" customHeight="false" outlineLevel="0" collapsed="false">
      <c r="A38728" s="3" t="s">
        <v>336</v>
      </c>
      <c r="G38728" s="16" t="n">
        <f aca="false">G38721*MIN(G38720-G38726+G38725,MAX(0,G38876-Assumptions!$C$12*G38692-G38702-G38715))</f>
        <v>0</v>
      </c>
      <c r="H38728" s="16" t="n">
        <f aca="false">H38721*MIN(H38720-H38726+H38725,MAX(0,H38876-Assumptions!$C$12*H38692-H38702-H38715))</f>
        <v>0</v>
      </c>
      <c r="I38728" s="16" t="n">
        <f aca="false">I38721*MIN(I38720-I38726+I38725,MAX(0,I38876-Assumptions!$C$12*I38692-I38702-I38715))</f>
        <v>0</v>
      </c>
      <c r="J38728" s="16" t="n">
        <f aca="false">J38721*MIN(J38720-J38726+J38725,MAX(0,J38876-Assumptions!$C$12*J38692-J38702-J38715))</f>
        <v>0</v>
      </c>
      <c r="K38728" s="16" t="n">
        <f aca="false">K38721*MIN(K38720-K38726+K38725,MAX(0,K38876-Assumptions!$C$12*K38692-K38702-K38715))</f>
        <v>0</v>
      </c>
    </row>
    <row r="38729" customFormat="false" ht="15" hidden="false" customHeight="false" outlineLevel="0" collapsed="false">
      <c r="A38729" s="3" t="s">
        <v>337</v>
      </c>
      <c r="G38729" s="16" t="n">
        <f aca="false">Assumptions!$N$59*MIN(G38720+G38727+G38725-G38726-G38728,MAX(0,G38880-G38703-G38716))</f>
        <v>0</v>
      </c>
      <c r="H38729" s="16" t="n">
        <f aca="false">Assumptions!$N$59*MIN(H38720+H38727+H38725-H38726-H38728,MAX(0,H38880-H38703-H38716))</f>
        <v>0</v>
      </c>
      <c r="I38729" s="16" t="n">
        <f aca="false">Assumptions!$N$59*MIN(I38720+I38727+I38725-I38726-I38728,MAX(0,I38880-I38703-I38716))</f>
        <v>0</v>
      </c>
      <c r="J38729" s="16" t="n">
        <f aca="false">Assumptions!$N$59*MIN(J38720+J38727+J38725-J38726-J38728,MAX(0,J38880-J38703-J38716))</f>
        <v>0</v>
      </c>
      <c r="K38729" s="16" t="n">
        <f aca="false">Assumptions!$N$59*MIN(K38720+K38727+K38725-K38726-K38728,MAX(0,K38880-K38703-K38716))</f>
        <v>0</v>
      </c>
    </row>
    <row r="38730" customFormat="false" ht="15" hidden="false" customHeight="false" outlineLevel="0" collapsed="false">
      <c r="A38730" s="3" t="s">
        <v>338</v>
      </c>
      <c r="G38730" s="16" t="n">
        <f aca="false">G38721*(1-G38692)*(G38720-G38726+G38725-G38728)</f>
        <v>0</v>
      </c>
      <c r="H38730" s="16" t="n">
        <f aca="false">H38721*(1-H38692)*(H38720-H38726+H38725-H38728)</f>
        <v>0</v>
      </c>
      <c r="I38730" s="16" t="n">
        <f aca="false">I38721*(1-I38692)*(I38720-I38726+I38725-I38728)</f>
        <v>0</v>
      </c>
      <c r="J38730" s="16" t="n">
        <f aca="false">J38721*(1-J38692)*(J38720-J38726+J38725-J38728)</f>
        <v>0</v>
      </c>
      <c r="K38730" s="16" t="n">
        <f aca="false">K38721*(1-K38692)*(K38720-K38726+K38725-K38728)</f>
        <v>0</v>
      </c>
    </row>
    <row r="38731" customFormat="false" ht="15" hidden="false" customHeight="false" outlineLevel="0" collapsed="false">
      <c r="A38731" s="2" t="s">
        <v>339</v>
      </c>
      <c r="F38731" s="28" t="n">
        <f aca="false">Assumptions!$C$59</f>
        <v>57.324</v>
      </c>
      <c r="G38731" s="17" t="n">
        <f aca="false">G38720+G38727+G38725-G38726-G38728-G38729</f>
        <v>57.324</v>
      </c>
      <c r="H38731" s="17" t="n">
        <f aca="false">H38720+H38727+H38725-H38726-H38728-H38729</f>
        <v>57.324</v>
      </c>
      <c r="I38731" s="17" t="n">
        <f aca="false">I38720+I38727+I38725-I38726-I38728-I38729</f>
        <v>57.324</v>
      </c>
      <c r="J38731" s="17" t="n">
        <f aca="false">J38720+J38727+J38725-J38726-J38728-J38729</f>
        <v>57.324</v>
      </c>
      <c r="K38731" s="17" t="n">
        <f aca="false">K38720+K38727+K38725-K38726-K38728-K38729</f>
        <v>57.324</v>
      </c>
    </row>
    <row r="38732" customFormat="false" ht="15" hidden="false" customHeight="false" outlineLevel="0" collapsed="false">
      <c r="A38732" s="24" t="s">
        <v>342</v>
      </c>
      <c r="B38732" s="25"/>
      <c r="C38732" s="25"/>
      <c r="D38732" s="25"/>
      <c r="E38732" s="25"/>
      <c r="F38732" s="25"/>
      <c r="G38732" s="25"/>
      <c r="H38732" s="25"/>
      <c r="I38732" s="25"/>
      <c r="J38732" s="25"/>
      <c r="K38732" s="25"/>
    </row>
    <row r="38733" customFormat="false" ht="15" hidden="false" customHeight="false" outlineLevel="0" collapsed="false">
      <c r="A38733" s="3" t="s">
        <v>329</v>
      </c>
      <c r="G38733" s="16" t="n">
        <f aca="false">F38744</f>
        <v>0</v>
      </c>
      <c r="H38733" s="16" t="n">
        <f aca="false">G38744</f>
        <v>0</v>
      </c>
      <c r="I38733" s="16" t="n">
        <f aca="false">H38744</f>
        <v>0</v>
      </c>
      <c r="J38733" s="16" t="n">
        <f aca="false">I38744</f>
        <v>0</v>
      </c>
      <c r="K38733" s="16" t="n">
        <f aca="false">J38744</f>
        <v>0</v>
      </c>
    </row>
    <row r="38734" customFormat="false" ht="15" hidden="false" customHeight="false" outlineLevel="0" collapsed="false">
      <c r="A38734" s="3" t="s">
        <v>330</v>
      </c>
      <c r="G38734" s="21" t="n">
        <f aca="false">IF(G38658=Assumptions!$K$60,1,0)</f>
        <v>1</v>
      </c>
      <c r="H38734" s="21" t="n">
        <f aca="false">IF(H38658=Assumptions!$K$60,1,0)</f>
        <v>0</v>
      </c>
      <c r="I38734" s="21" t="n">
        <f aca="false">IF(I38658=Assumptions!$K$60,1,0)</f>
        <v>0</v>
      </c>
      <c r="J38734" s="21" t="n">
        <f aca="false">IF(J38658=Assumptions!$K$60,1,0)</f>
        <v>0</v>
      </c>
      <c r="K38734" s="21" t="n">
        <f aca="false">IF(K38658=Assumptions!$K$60,1,0)</f>
        <v>0</v>
      </c>
    </row>
    <row r="38736" customFormat="false" ht="15" hidden="false" customHeight="false" outlineLevel="0" collapsed="false">
      <c r="A38736" s="3" t="s">
        <v>331</v>
      </c>
      <c r="G38736" s="31" t="n">
        <f aca="false">IF(Assumptions!$I$60=1,MAX(G38684,Assumptions!$G$60)+Assumptions!$F$60+$C$38685,Assumptions!$E$60)</f>
        <v>0.084</v>
      </c>
      <c r="H38736" s="31" t="n">
        <f aca="false">IF(G39007=1,$C$38686,IF(Assumptions!$I$60=1,MAX(H38684,Assumptions!$G$60)+Assumptions!$F$60+$C$38685,Assumptions!$E$60))</f>
        <v>0.0825</v>
      </c>
      <c r="I38736" s="31" t="n">
        <f aca="false">IF(H39007=1,$C$38686,IF(Assumptions!$I$60=1,MAX(I38684,Assumptions!$G$60)+Assumptions!$F$60+$C$38685,Assumptions!$E$60))</f>
        <v>0.08</v>
      </c>
      <c r="J38736" s="31" t="n">
        <f aca="false">IF(I39007=1,$C$38686,IF(Assumptions!$I$60=1,MAX(J38684,Assumptions!$G$60)+Assumptions!$F$60+$C$38685,Assumptions!$E$60))</f>
        <v>0.08</v>
      </c>
      <c r="K38736" s="31" t="n">
        <f aca="false">IF(J39007=1,$C$38686,IF(Assumptions!$I$60=1,MAX(K38684,Assumptions!$G$60)+Assumptions!$F$60+$C$38685,Assumptions!$E$60))</f>
        <v>0.08</v>
      </c>
    </row>
    <row r="38737" customFormat="false" ht="15" hidden="false" customHeight="false" outlineLevel="0" collapsed="false">
      <c r="A38737" s="3" t="s">
        <v>332</v>
      </c>
      <c r="G38737" s="16" t="n">
        <f aca="false">G38733*G38736</f>
        <v>0</v>
      </c>
      <c r="H38737" s="16" t="n">
        <f aca="false">H38733*H38736</f>
        <v>0</v>
      </c>
      <c r="I38737" s="16" t="n">
        <f aca="false">I38733*I38736</f>
        <v>0</v>
      </c>
      <c r="J38737" s="16" t="n">
        <f aca="false">J38733*J38736</f>
        <v>0</v>
      </c>
      <c r="K38737" s="16" t="n">
        <f aca="false">K38733*K38736</f>
        <v>0</v>
      </c>
    </row>
    <row r="38738" customFormat="false" ht="15" hidden="false" customHeight="false" outlineLevel="0" collapsed="false">
      <c r="A38738" s="3" t="s">
        <v>333</v>
      </c>
      <c r="G38738" s="16" t="n">
        <f aca="false">G38733*Assumptions!$H$60</f>
        <v>0</v>
      </c>
      <c r="H38738" s="16" t="n">
        <f aca="false">H38733*Assumptions!$H$60</f>
        <v>0</v>
      </c>
      <c r="I38738" s="16" t="n">
        <f aca="false">I38733*Assumptions!$H$60</f>
        <v>0</v>
      </c>
      <c r="J38738" s="16" t="n">
        <f aca="false">J38733*Assumptions!$H$60</f>
        <v>0</v>
      </c>
      <c r="K38738" s="16" t="n">
        <f aca="false">K38733*Assumptions!$H$60</f>
        <v>0</v>
      </c>
    </row>
    <row r="38739" customFormat="false" ht="15" hidden="false" customHeight="false" outlineLevel="0" collapsed="false">
      <c r="A38739" s="3" t="s">
        <v>334</v>
      </c>
      <c r="G38739" s="16" t="n">
        <f aca="false">MIN(G38733,Assumptions!$L$60*Assumptions!$C$60)</f>
        <v>0</v>
      </c>
      <c r="H38739" s="16" t="n">
        <f aca="false">MIN(H38733,Assumptions!$L$60*Assumptions!$C$60)</f>
        <v>0</v>
      </c>
      <c r="I38739" s="16" t="n">
        <f aca="false">MIN(I38733,Assumptions!$L$60*Assumptions!$C$60)</f>
        <v>0</v>
      </c>
      <c r="J38739" s="16" t="n">
        <f aca="false">MIN(J38733,Assumptions!$L$60*Assumptions!$C$60)</f>
        <v>0</v>
      </c>
      <c r="K38739" s="16" t="n">
        <f aca="false">MIN(K38733,Assumptions!$L$60*Assumptions!$C$60)</f>
        <v>0</v>
      </c>
    </row>
    <row r="38740" customFormat="false" ht="15" hidden="false" customHeight="false" outlineLevel="0" collapsed="false">
      <c r="A38740" s="3" t="s">
        <v>335</v>
      </c>
      <c r="G38740" s="16" t="n">
        <f aca="false">IF(AND(Assumptions!$P$60=1,G38658&lt;Assumptions!$K$60),MIN(MAX(0,-G38874),MAX(0,Assumptions!$D$60-G38733)),0)</f>
        <v>0</v>
      </c>
      <c r="H38740" s="16" t="n">
        <f aca="false">IF(AND(Assumptions!$P$60=1,OR(H38658&lt;Assumptions!$K$60,G39007=1)),MIN(MAX(0,-H38874),MAX(0,Assumptions!$D$60-H38733)),0)</f>
        <v>0</v>
      </c>
      <c r="I38740" s="16" t="n">
        <f aca="false">IF(AND(Assumptions!$P$60=1,OR(I38658&lt;Assumptions!$K$60,H39007=1)),MIN(MAX(0,-I38874),MAX(0,Assumptions!$D$60-I38733)),0)</f>
        <v>0</v>
      </c>
      <c r="J38740" s="16" t="n">
        <f aca="false">IF(AND(Assumptions!$P$60=1,OR(J38658&lt;Assumptions!$K$60,I39007=1)),MIN(MAX(0,-J38874),MAX(0,Assumptions!$D$60-J38733)),0)</f>
        <v>0</v>
      </c>
      <c r="K38740" s="16" t="n">
        <f aca="false">IF(AND(Assumptions!$P$60=1,OR(K38658&lt;Assumptions!$K$60,J39007=1)),MIN(MAX(0,-K38874),MAX(0,Assumptions!$D$60-K38733)),0)</f>
        <v>0</v>
      </c>
    </row>
    <row r="38741" customFormat="false" ht="15" hidden="false" customHeight="false" outlineLevel="0" collapsed="false">
      <c r="A38741" s="3" t="s">
        <v>336</v>
      </c>
      <c r="G38741" s="16" t="n">
        <f aca="false">G38734*MIN(G38733-G38739+G38738,MAX(0,G38876-Assumptions!$C$12*G38692-G38702-G38715-G38728))</f>
        <v>0</v>
      </c>
      <c r="H38741" s="16" t="n">
        <f aca="false">H38734*MIN(H38733-H38739+H38738,MAX(0,H38876-Assumptions!$C$12*H38692-H38702-H38715-H38728))</f>
        <v>0</v>
      </c>
      <c r="I38741" s="16" t="n">
        <f aca="false">I38734*MIN(I38733-I38739+I38738,MAX(0,I38876-Assumptions!$C$12*I38692-I38702-I38715-I38728))</f>
        <v>0</v>
      </c>
      <c r="J38741" s="16" t="n">
        <f aca="false">J38734*MIN(J38733-J38739+J38738,MAX(0,J38876-Assumptions!$C$12*J38692-J38702-J38715-J38728))</f>
        <v>0</v>
      </c>
      <c r="K38741" s="16" t="n">
        <f aca="false">K38734*MIN(K38733-K38739+K38738,MAX(0,K38876-Assumptions!$C$12*K38692-K38702-K38715-K38728))</f>
        <v>0</v>
      </c>
    </row>
    <row r="38742" customFormat="false" ht="15" hidden="false" customHeight="false" outlineLevel="0" collapsed="false">
      <c r="A38742" s="3" t="s">
        <v>337</v>
      </c>
      <c r="G38742" s="16" t="n">
        <f aca="false">Assumptions!$N$60*MIN(G38733+G38740+G38738-G38739-G38741,MAX(0,G38880-G38703-G38716-G38729))</f>
        <v>0</v>
      </c>
      <c r="H38742" s="16" t="n">
        <f aca="false">Assumptions!$N$60*MIN(H38733+H38740+H38738-H38739-H38741,MAX(0,H38880-H38703-H38716-H38729))</f>
        <v>0</v>
      </c>
      <c r="I38742" s="16" t="n">
        <f aca="false">Assumptions!$N$60*MIN(I38733+I38740+I38738-I38739-I38741,MAX(0,I38880-I38703-I38716-I38729))</f>
        <v>0</v>
      </c>
      <c r="J38742" s="16" t="n">
        <f aca="false">Assumptions!$N$60*MIN(J38733+J38740+J38738-J38739-J38741,MAX(0,J38880-J38703-J38716-J38729))</f>
        <v>0</v>
      </c>
      <c r="K38742" s="16" t="n">
        <f aca="false">Assumptions!$N$60*MIN(K38733+K38740+K38738-K38739-K38741,MAX(0,K38880-K38703-K38716-K38729))</f>
        <v>0</v>
      </c>
    </row>
    <row r="38743" customFormat="false" ht="15" hidden="false" customHeight="false" outlineLevel="0" collapsed="false">
      <c r="A38743" s="3" t="s">
        <v>338</v>
      </c>
      <c r="G38743" s="16" t="n">
        <f aca="false">G38734*(1-G38692)*(G38733-G38739+G38738-G38741)</f>
        <v>0</v>
      </c>
      <c r="H38743" s="16" t="n">
        <f aca="false">H38734*(1-H38692)*(H38733-H38739+H38738-H38741)</f>
        <v>0</v>
      </c>
      <c r="I38743" s="16" t="n">
        <f aca="false">I38734*(1-I38692)*(I38733-I38739+I38738-I38741)</f>
        <v>0</v>
      </c>
      <c r="J38743" s="16" t="n">
        <f aca="false">J38734*(1-J38692)*(J38733-J38739+J38738-J38741)</f>
        <v>0</v>
      </c>
      <c r="K38743" s="16" t="n">
        <f aca="false">K38734*(1-K38692)*(K38733-K38739+K38738-K38741)</f>
        <v>0</v>
      </c>
    </row>
    <row r="38744" customFormat="false" ht="15" hidden="false" customHeight="false" outlineLevel="0" collapsed="false">
      <c r="A38744" s="2" t="s">
        <v>339</v>
      </c>
      <c r="F38744" s="28" t="n">
        <f aca="false">Assumptions!$C$60</f>
        <v>0</v>
      </c>
      <c r="G38744" s="17" t="n">
        <f aca="false">G38733+G38740+G38738-G38739-G38741-G38742</f>
        <v>0</v>
      </c>
      <c r="H38744" s="17" t="n">
        <f aca="false">H38733+H38740+H38738-H38739-H38741-H38742</f>
        <v>0</v>
      </c>
      <c r="I38744" s="17" t="n">
        <f aca="false">I38733+I38740+I38738-I38739-I38741-I38742</f>
        <v>0</v>
      </c>
      <c r="J38744" s="17" t="n">
        <f aca="false">J38733+J38740+J38738-J38739-J38741-J38742</f>
        <v>0</v>
      </c>
      <c r="K38744" s="17" t="n">
        <f aca="false">K38733+K38740+K38738-K38739-K38741-K38742</f>
        <v>0</v>
      </c>
    </row>
    <row r="38745" customFormat="false" ht="15" hidden="false" customHeight="false" outlineLevel="0" collapsed="false">
      <c r="A38745" s="24" t="s">
        <v>343</v>
      </c>
      <c r="B38745" s="25"/>
      <c r="C38745" s="25"/>
      <c r="D38745" s="25"/>
      <c r="E38745" s="25"/>
      <c r="F38745" s="25"/>
      <c r="G38745" s="25"/>
      <c r="H38745" s="25"/>
      <c r="I38745" s="25"/>
      <c r="J38745" s="25"/>
      <c r="K38745" s="25"/>
    </row>
    <row r="38746" customFormat="false" ht="15" hidden="false" customHeight="false" outlineLevel="0" collapsed="false">
      <c r="A38746" s="3" t="s">
        <v>329</v>
      </c>
      <c r="G38746" s="16" t="n">
        <f aca="false">F38757</f>
        <v>450</v>
      </c>
      <c r="H38746" s="16" t="n">
        <f aca="false">G38757</f>
        <v>450</v>
      </c>
      <c r="I38746" s="16" t="n">
        <f aca="false">H38757</f>
        <v>434.9547587</v>
      </c>
      <c r="J38746" s="16" t="n">
        <f aca="false">I38757</f>
        <v>434.9547587</v>
      </c>
      <c r="K38746" s="16" t="n">
        <f aca="false">J38757</f>
        <v>434.9547587</v>
      </c>
    </row>
    <row r="38747" customFormat="false" ht="15" hidden="false" customHeight="false" outlineLevel="0" collapsed="false">
      <c r="A38747" s="3" t="s">
        <v>330</v>
      </c>
      <c r="G38747" s="21" t="n">
        <f aca="false">IF(G38658=Assumptions!$K$61,1,0)</f>
        <v>0</v>
      </c>
      <c r="H38747" s="21" t="n">
        <f aca="false">IF(H38658=Assumptions!$K$61,1,0)</f>
        <v>1</v>
      </c>
      <c r="I38747" s="21" t="n">
        <f aca="false">IF(I38658=Assumptions!$K$61,1,0)</f>
        <v>0</v>
      </c>
      <c r="J38747" s="21" t="n">
        <f aca="false">IF(J38658=Assumptions!$K$61,1,0)</f>
        <v>0</v>
      </c>
      <c r="K38747" s="21" t="n">
        <f aca="false">IF(K38658=Assumptions!$K$61,1,0)</f>
        <v>0</v>
      </c>
    </row>
    <row r="38749" customFormat="false" ht="15" hidden="false" customHeight="false" outlineLevel="0" collapsed="false">
      <c r="A38749" s="3" t="s">
        <v>331</v>
      </c>
      <c r="G38749" s="31" t="n">
        <f aca="false">IF(Assumptions!$I$61=1,MAX(G38684,Assumptions!$G$61)+Assumptions!$F$61+$C$38685,Assumptions!$E$61)</f>
        <v>0.0395</v>
      </c>
      <c r="H38749" s="31" t="n">
        <f aca="false">IF(G39008=1,$C$38686,IF(Assumptions!$I$61=1,MAX(H38684,Assumptions!$G$61)+Assumptions!$F$61+$C$38685,Assumptions!$E$61))</f>
        <v>0.0395</v>
      </c>
      <c r="I38749" s="31" t="n">
        <f aca="false">IF(H39008=1,$C$38686,IF(Assumptions!$I$61=1,MAX(I38684,Assumptions!$G$61)+Assumptions!$F$61+$C$38685,Assumptions!$E$61))</f>
        <v>0.0395</v>
      </c>
      <c r="J38749" s="31" t="n">
        <f aca="false">IF(I39008=1,$C$38686,IF(Assumptions!$I$61=1,MAX(J38684,Assumptions!$G$61)+Assumptions!$F$61+$C$38685,Assumptions!$E$61))</f>
        <v>0.0395</v>
      </c>
      <c r="K38749" s="31" t="n">
        <f aca="false">IF(J39008=1,$C$38686,IF(Assumptions!$I$61=1,MAX(K38684,Assumptions!$G$61)+Assumptions!$F$61+$C$38685,Assumptions!$E$61))</f>
        <v>0.0395</v>
      </c>
    </row>
    <row r="38750" customFormat="false" ht="15" hidden="false" customHeight="false" outlineLevel="0" collapsed="false">
      <c r="A38750" s="3" t="s">
        <v>332</v>
      </c>
      <c r="G38750" s="16" t="n">
        <f aca="false">G38746*G38749</f>
        <v>17.775</v>
      </c>
      <c r="H38750" s="16" t="n">
        <f aca="false">H38746*H38749</f>
        <v>17.775</v>
      </c>
      <c r="I38750" s="16" t="n">
        <f aca="false">I38746*I38749</f>
        <v>17.18071296865</v>
      </c>
      <c r="J38750" s="16" t="n">
        <f aca="false">J38746*J38749</f>
        <v>17.18071296865</v>
      </c>
      <c r="K38750" s="16" t="n">
        <f aca="false">K38746*K38749</f>
        <v>17.18071296865</v>
      </c>
    </row>
    <row r="38751" customFormat="false" ht="15" hidden="false" customHeight="false" outlineLevel="0" collapsed="false">
      <c r="A38751" s="3" t="s">
        <v>333</v>
      </c>
      <c r="G38751" s="16" t="n">
        <f aca="false">G38746*Assumptions!$H$61</f>
        <v>0</v>
      </c>
      <c r="H38751" s="16" t="n">
        <f aca="false">H38746*Assumptions!$H$61</f>
        <v>0</v>
      </c>
      <c r="I38751" s="16" t="n">
        <f aca="false">I38746*Assumptions!$H$61</f>
        <v>0</v>
      </c>
      <c r="J38751" s="16" t="n">
        <f aca="false">J38746*Assumptions!$H$61</f>
        <v>0</v>
      </c>
      <c r="K38751" s="16" t="n">
        <f aca="false">K38746*Assumptions!$H$61</f>
        <v>0</v>
      </c>
    </row>
    <row r="38752" customFormat="false" ht="15" hidden="false" customHeight="false" outlineLevel="0" collapsed="false">
      <c r="A38752" s="3" t="s">
        <v>334</v>
      </c>
      <c r="G38752" s="16" t="n">
        <f aca="false">MIN(G38746,Assumptions!$L$61*Assumptions!$C$61)</f>
        <v>0</v>
      </c>
      <c r="H38752" s="16" t="n">
        <f aca="false">MIN(H38746,Assumptions!$L$61*Assumptions!$C$61)</f>
        <v>0</v>
      </c>
      <c r="I38752" s="16" t="n">
        <f aca="false">MIN(I38746,Assumptions!$L$61*Assumptions!$C$61)</f>
        <v>0</v>
      </c>
      <c r="J38752" s="16" t="n">
        <f aca="false">MIN(J38746,Assumptions!$L$61*Assumptions!$C$61)</f>
        <v>0</v>
      </c>
      <c r="K38752" s="16" t="n">
        <f aca="false">MIN(K38746,Assumptions!$L$61*Assumptions!$C$61)</f>
        <v>0</v>
      </c>
    </row>
    <row r="38753" customFormat="false" ht="15" hidden="false" customHeight="false" outlineLevel="0" collapsed="false">
      <c r="A38753" s="3" t="s">
        <v>335</v>
      </c>
      <c r="G38753" s="16" t="n">
        <f aca="false">IF(AND(Assumptions!$P$61=1,G38658&lt;Assumptions!$K$61),MIN(MAX(0,-G38874),MAX(0,Assumptions!$D$61-G38746)),0)</f>
        <v>0</v>
      </c>
      <c r="H38753" s="16" t="n">
        <f aca="false">IF(AND(Assumptions!$P$61=1,OR(H38658&lt;Assumptions!$K$61,G39008=1)),MIN(MAX(0,-H38874),MAX(0,Assumptions!$D$61-H38746)),0)</f>
        <v>0</v>
      </c>
      <c r="I38753" s="16" t="n">
        <f aca="false">IF(AND(Assumptions!$P$61=1,OR(I38658&lt;Assumptions!$K$61,H39008=1)),MIN(MAX(0,-I38874),MAX(0,Assumptions!$D$61-I38746)),0)</f>
        <v>0</v>
      </c>
      <c r="J38753" s="16" t="n">
        <f aca="false">IF(AND(Assumptions!$P$61=1,OR(J38658&lt;Assumptions!$K$61,I39008=1)),MIN(MAX(0,-J38874),MAX(0,Assumptions!$D$61-J38746)),0)</f>
        <v>0</v>
      </c>
      <c r="K38753" s="16" t="n">
        <f aca="false">IF(AND(Assumptions!$P$61=1,OR(K38658&lt;Assumptions!$K$61,J39008=1)),MIN(MAX(0,-K38874),MAX(0,Assumptions!$D$61-K38746)),0)</f>
        <v>0</v>
      </c>
    </row>
    <row r="38754" customFormat="false" ht="15" hidden="false" customHeight="false" outlineLevel="0" collapsed="false">
      <c r="A38754" s="3" t="s">
        <v>336</v>
      </c>
      <c r="G38754" s="16" t="n">
        <f aca="false">G38747*MIN(G38746-G38752+G38751,MAX(0,G38876-Assumptions!$C$12*G38692-G38702-G38715-G38728-G38741))</f>
        <v>0</v>
      </c>
      <c r="H38754" s="16" t="n">
        <f aca="false">H38747*MIN(H38746-H38752+H38751,MAX(0,H38876-Assumptions!$C$12*H38692-H38702-H38715-H38728-H38741))</f>
        <v>15.0452413</v>
      </c>
      <c r="I38754" s="16" t="n">
        <f aca="false">I38747*MIN(I38746-I38752+I38751,MAX(0,I38876-Assumptions!$C$12*I38692-I38702-I38715-I38728-I38741))</f>
        <v>0</v>
      </c>
      <c r="J38754" s="16" t="n">
        <f aca="false">J38747*MIN(J38746-J38752+J38751,MAX(0,J38876-Assumptions!$C$12*J38692-J38702-J38715-J38728-J38741))</f>
        <v>0</v>
      </c>
      <c r="K38754" s="16" t="n">
        <f aca="false">K38747*MIN(K38746-K38752+K38751,MAX(0,K38876-Assumptions!$C$12*K38692-K38702-K38715-K38728-K38741))</f>
        <v>0</v>
      </c>
    </row>
    <row r="38755" customFormat="false" ht="15" hidden="false" customHeight="false" outlineLevel="0" collapsed="false">
      <c r="A38755" s="3" t="s">
        <v>337</v>
      </c>
      <c r="G38755" s="16" t="n">
        <f aca="false">Assumptions!$N$61*MIN(G38746+G38753+G38751-G38752-G38754,MAX(0,G38880-G38703-G38716-G38729-G38742))</f>
        <v>0</v>
      </c>
      <c r="H38755" s="16" t="n">
        <f aca="false">Assumptions!$N$61*MIN(H38746+H38753+H38751-H38752-H38754,MAX(0,H38880-H38703-H38716-H38729-H38742))</f>
        <v>0</v>
      </c>
      <c r="I38755" s="16" t="n">
        <f aca="false">Assumptions!$N$61*MIN(I38746+I38753+I38751-I38752-I38754,MAX(0,I38880-I38703-I38716-I38729-I38742))</f>
        <v>0</v>
      </c>
      <c r="J38755" s="16" t="n">
        <f aca="false">Assumptions!$N$61*MIN(J38746+J38753+J38751-J38752-J38754,MAX(0,J38880-J38703-J38716-J38729-J38742))</f>
        <v>0</v>
      </c>
      <c r="K38755" s="16" t="n">
        <f aca="false">Assumptions!$N$61*MIN(K38746+K38753+K38751-K38752-K38754,MAX(0,K38880-K38703-K38716-K38729-K38742))</f>
        <v>0</v>
      </c>
    </row>
    <row r="38756" customFormat="false" ht="15" hidden="false" customHeight="false" outlineLevel="0" collapsed="false">
      <c r="A38756" s="3" t="s">
        <v>338</v>
      </c>
      <c r="G38756" s="16" t="n">
        <f aca="false">G38747*(1-G38692)*(G38746-G38752+G38751-G38754)</f>
        <v>0</v>
      </c>
      <c r="H38756" s="16" t="n">
        <f aca="false">H38747*(1-H38692)*(H38746-H38752+H38751-H38754)</f>
        <v>434.9547587</v>
      </c>
      <c r="I38756" s="16" t="n">
        <f aca="false">I38747*(1-I38692)*(I38746-I38752+I38751-I38754)</f>
        <v>0</v>
      </c>
      <c r="J38756" s="16" t="n">
        <f aca="false">J38747*(1-J38692)*(J38746-J38752+J38751-J38754)</f>
        <v>0</v>
      </c>
      <c r="K38756" s="16" t="n">
        <f aca="false">K38747*(1-K38692)*(K38746-K38752+K38751-K38754)</f>
        <v>0</v>
      </c>
    </row>
    <row r="38757" customFormat="false" ht="15" hidden="false" customHeight="false" outlineLevel="0" collapsed="false">
      <c r="A38757" s="2" t="s">
        <v>339</v>
      </c>
      <c r="F38757" s="28" t="n">
        <f aca="false">Assumptions!$C$61</f>
        <v>450</v>
      </c>
      <c r="G38757" s="17" t="n">
        <f aca="false">G38746+G38753+G38751-G38752-G38754-G38755</f>
        <v>450</v>
      </c>
      <c r="H38757" s="17" t="n">
        <f aca="false">H38746+H38753+H38751-H38752-H38754-H38755</f>
        <v>434.9547587</v>
      </c>
      <c r="I38757" s="17" t="n">
        <f aca="false">I38746+I38753+I38751-I38752-I38754-I38755</f>
        <v>434.9547587</v>
      </c>
      <c r="J38757" s="17" t="n">
        <f aca="false">J38746+J38753+J38751-J38752-J38754-J38755</f>
        <v>434.9547587</v>
      </c>
      <c r="K38757" s="17" t="n">
        <f aca="false">K38746+K38753+K38751-K38752-K38754-K38755</f>
        <v>434.9547587</v>
      </c>
    </row>
    <row r="38758" customFormat="false" ht="15" hidden="false" customHeight="false" outlineLevel="0" collapsed="false">
      <c r="A38758" s="24" t="s">
        <v>344</v>
      </c>
      <c r="B38758" s="25"/>
      <c r="C38758" s="25"/>
      <c r="D38758" s="25"/>
      <c r="E38758" s="25"/>
      <c r="F38758" s="25"/>
      <c r="G38758" s="25"/>
      <c r="H38758" s="25"/>
      <c r="I38758" s="25"/>
      <c r="J38758" s="25"/>
      <c r="K38758" s="25"/>
    </row>
    <row r="38759" customFormat="false" ht="15" hidden="false" customHeight="false" outlineLevel="0" collapsed="false">
      <c r="A38759" s="3" t="s">
        <v>329</v>
      </c>
      <c r="G38759" s="16" t="n">
        <f aca="false">F38770</f>
        <v>350</v>
      </c>
      <c r="H38759" s="16" t="n">
        <f aca="false">G38770</f>
        <v>350</v>
      </c>
      <c r="I38759" s="16" t="n">
        <f aca="false">H38770</f>
        <v>350</v>
      </c>
      <c r="J38759" s="16" t="n">
        <f aca="false">I38770</f>
        <v>350</v>
      </c>
      <c r="K38759" s="16" t="n">
        <f aca="false">J38770</f>
        <v>350</v>
      </c>
    </row>
    <row r="38760" customFormat="false" ht="15" hidden="false" customHeight="false" outlineLevel="0" collapsed="false">
      <c r="A38760" s="3" t="s">
        <v>330</v>
      </c>
      <c r="G38760" s="21" t="n">
        <f aca="false">IF(G38658=Assumptions!$K$62,1,0)</f>
        <v>0</v>
      </c>
      <c r="H38760" s="21" t="n">
        <f aca="false">IF(H38658=Assumptions!$K$62,1,0)</f>
        <v>1</v>
      </c>
      <c r="I38760" s="21" t="n">
        <f aca="false">IF(I38658=Assumptions!$K$62,1,0)</f>
        <v>0</v>
      </c>
      <c r="J38760" s="21" t="n">
        <f aca="false">IF(J38658=Assumptions!$K$62,1,0)</f>
        <v>0</v>
      </c>
      <c r="K38760" s="21" t="n">
        <f aca="false">IF(K38658=Assumptions!$K$62,1,0)</f>
        <v>0</v>
      </c>
    </row>
    <row r="38762" customFormat="false" ht="15" hidden="false" customHeight="false" outlineLevel="0" collapsed="false">
      <c r="A38762" s="3" t="s">
        <v>331</v>
      </c>
      <c r="G38762" s="31" t="n">
        <f aca="false">IF(Assumptions!$I$62=1,MAX(G38684,Assumptions!$G$62)+Assumptions!$F$62+$C$38685,Assumptions!$E$62)</f>
        <v>0.083</v>
      </c>
      <c r="H38762" s="31" t="n">
        <f aca="false">IF(G39009=1,$C$38686,IF(Assumptions!$I$62=1,MAX(H38684,Assumptions!$G$62)+Assumptions!$F$62+$C$38685,Assumptions!$E$62))</f>
        <v>0.083</v>
      </c>
      <c r="I38762" s="31" t="n">
        <f aca="false">IF(H39009=1,$C$38686,IF(Assumptions!$I$62=1,MAX(I38684,Assumptions!$G$62)+Assumptions!$F$62+$C$38685,Assumptions!$E$62))</f>
        <v>0.083</v>
      </c>
      <c r="J38762" s="31" t="n">
        <f aca="false">IF(I39009=1,$C$38686,IF(Assumptions!$I$62=1,MAX(J38684,Assumptions!$G$62)+Assumptions!$F$62+$C$38685,Assumptions!$E$62))</f>
        <v>0.083</v>
      </c>
      <c r="K38762" s="31" t="n">
        <f aca="false">IF(J39009=1,$C$38686,IF(Assumptions!$I$62=1,MAX(K38684,Assumptions!$G$62)+Assumptions!$F$62+$C$38685,Assumptions!$E$62))</f>
        <v>0.083</v>
      </c>
    </row>
    <row r="38763" customFormat="false" ht="15" hidden="false" customHeight="false" outlineLevel="0" collapsed="false">
      <c r="A38763" s="3" t="s">
        <v>332</v>
      </c>
      <c r="G38763" s="16" t="n">
        <f aca="false">G38759*G38762</f>
        <v>29.05</v>
      </c>
      <c r="H38763" s="16" t="n">
        <f aca="false">H38759*H38762</f>
        <v>29.05</v>
      </c>
      <c r="I38763" s="16" t="n">
        <f aca="false">I38759*I38762</f>
        <v>29.05</v>
      </c>
      <c r="J38763" s="16" t="n">
        <f aca="false">J38759*J38762</f>
        <v>29.05</v>
      </c>
      <c r="K38763" s="16" t="n">
        <f aca="false">K38759*K38762</f>
        <v>29.05</v>
      </c>
    </row>
    <row r="38764" customFormat="false" ht="15" hidden="false" customHeight="false" outlineLevel="0" collapsed="false">
      <c r="A38764" s="3" t="s">
        <v>333</v>
      </c>
      <c r="G38764" s="16" t="n">
        <f aca="false">G38759*Assumptions!$H$62</f>
        <v>0</v>
      </c>
      <c r="H38764" s="16" t="n">
        <f aca="false">H38759*Assumptions!$H$62</f>
        <v>0</v>
      </c>
      <c r="I38764" s="16" t="n">
        <f aca="false">I38759*Assumptions!$H$62</f>
        <v>0</v>
      </c>
      <c r="J38764" s="16" t="n">
        <f aca="false">J38759*Assumptions!$H$62</f>
        <v>0</v>
      </c>
      <c r="K38764" s="16" t="n">
        <f aca="false">K38759*Assumptions!$H$62</f>
        <v>0</v>
      </c>
    </row>
    <row r="38765" customFormat="false" ht="15" hidden="false" customHeight="false" outlineLevel="0" collapsed="false">
      <c r="A38765" s="3" t="s">
        <v>334</v>
      </c>
      <c r="G38765" s="16" t="n">
        <f aca="false">MIN(G38759,Assumptions!$L$62*Assumptions!$C$62)</f>
        <v>0</v>
      </c>
      <c r="H38765" s="16" t="n">
        <f aca="false">MIN(H38759,Assumptions!$L$62*Assumptions!$C$62)</f>
        <v>0</v>
      </c>
      <c r="I38765" s="16" t="n">
        <f aca="false">MIN(I38759,Assumptions!$L$62*Assumptions!$C$62)</f>
        <v>0</v>
      </c>
      <c r="J38765" s="16" t="n">
        <f aca="false">MIN(J38759,Assumptions!$L$62*Assumptions!$C$62)</f>
        <v>0</v>
      </c>
      <c r="K38765" s="16" t="n">
        <f aca="false">MIN(K38759,Assumptions!$L$62*Assumptions!$C$62)</f>
        <v>0</v>
      </c>
    </row>
    <row r="38766" customFormat="false" ht="15" hidden="false" customHeight="false" outlineLevel="0" collapsed="false">
      <c r="A38766" s="3" t="s">
        <v>335</v>
      </c>
      <c r="G38766" s="16" t="n">
        <f aca="false">IF(AND(Assumptions!$P$62=1,G38658&lt;Assumptions!$K$62),MIN(MAX(0,-G38874),MAX(0,Assumptions!$D$62-G38759)),0)</f>
        <v>0</v>
      </c>
      <c r="H38766" s="16" t="n">
        <f aca="false">IF(AND(Assumptions!$P$62=1,OR(H38658&lt;Assumptions!$K$62,G39009=1)),MIN(MAX(0,-H38874),MAX(0,Assumptions!$D$62-H38759)),0)</f>
        <v>0</v>
      </c>
      <c r="I38766" s="16" t="n">
        <f aca="false">IF(AND(Assumptions!$P$62=1,OR(I38658&lt;Assumptions!$K$62,H39009=1)),MIN(MAX(0,-I38874),MAX(0,Assumptions!$D$62-I38759)),0)</f>
        <v>0</v>
      </c>
      <c r="J38766" s="16" t="n">
        <f aca="false">IF(AND(Assumptions!$P$62=1,OR(J38658&lt;Assumptions!$K$62,I39009=1)),MIN(MAX(0,-J38874),MAX(0,Assumptions!$D$62-J38759)),0)</f>
        <v>0</v>
      </c>
      <c r="K38766" s="16" t="n">
        <f aca="false">IF(AND(Assumptions!$P$62=1,OR(K38658&lt;Assumptions!$K$62,J39009=1)),MIN(MAX(0,-K38874),MAX(0,Assumptions!$D$62-K38759)),0)</f>
        <v>0</v>
      </c>
    </row>
    <row r="38767" customFormat="false" ht="15" hidden="false" customHeight="false" outlineLevel="0" collapsed="false">
      <c r="A38767" s="3" t="s">
        <v>336</v>
      </c>
      <c r="G38767" s="16" t="n">
        <f aca="false">G38760*MIN(G38759-G38765+G38764,MAX(0,G38876-Assumptions!$C$12*G38692-G38702-G38715-G38728-G38741-G38754))</f>
        <v>0</v>
      </c>
      <c r="H38767" s="16" t="n">
        <f aca="false">H38760*MIN(H38759-H38765+H38764,MAX(0,H38876-Assumptions!$C$12*H38692-H38702-H38715-H38728-H38741-H38754))</f>
        <v>0</v>
      </c>
      <c r="I38767" s="16" t="n">
        <f aca="false">I38760*MIN(I38759-I38765+I38764,MAX(0,I38876-Assumptions!$C$12*I38692-I38702-I38715-I38728-I38741-I38754))</f>
        <v>0</v>
      </c>
      <c r="J38767" s="16" t="n">
        <f aca="false">J38760*MIN(J38759-J38765+J38764,MAX(0,J38876-Assumptions!$C$12*J38692-J38702-J38715-J38728-J38741-J38754))</f>
        <v>0</v>
      </c>
      <c r="K38767" s="16" t="n">
        <f aca="false">K38760*MIN(K38759-K38765+K38764,MAX(0,K38876-Assumptions!$C$12*K38692-K38702-K38715-K38728-K38741-K38754))</f>
        <v>0</v>
      </c>
    </row>
    <row r="38768" customFormat="false" ht="15" hidden="false" customHeight="false" outlineLevel="0" collapsed="false">
      <c r="A38768" s="3" t="s">
        <v>337</v>
      </c>
      <c r="G38768" s="16" t="n">
        <f aca="false">Assumptions!$N$62*MIN(G38759+G38766+G38764-G38765-G38767,MAX(0,G38880-G38703-G38716-G38729-G38742-G38755))</f>
        <v>0</v>
      </c>
      <c r="H38768" s="16" t="n">
        <f aca="false">Assumptions!$N$62*MIN(H38759+H38766+H38764-H38765-H38767,MAX(0,H38880-H38703-H38716-H38729-H38742-H38755))</f>
        <v>0</v>
      </c>
      <c r="I38768" s="16" t="n">
        <f aca="false">Assumptions!$N$62*MIN(I38759+I38766+I38764-I38765-I38767,MAX(0,I38880-I38703-I38716-I38729-I38742-I38755))</f>
        <v>0</v>
      </c>
      <c r="J38768" s="16" t="n">
        <f aca="false">Assumptions!$N$62*MIN(J38759+J38766+J38764-J38765-J38767,MAX(0,J38880-J38703-J38716-J38729-J38742-J38755))</f>
        <v>0</v>
      </c>
      <c r="K38768" s="16" t="n">
        <f aca="false">Assumptions!$N$62*MIN(K38759+K38766+K38764-K38765-K38767,MAX(0,K38880-K38703-K38716-K38729-K38742-K38755))</f>
        <v>0</v>
      </c>
    </row>
    <row r="38769" customFormat="false" ht="15" hidden="false" customHeight="false" outlineLevel="0" collapsed="false">
      <c r="A38769" s="3" t="s">
        <v>338</v>
      </c>
      <c r="G38769" s="16" t="n">
        <f aca="false">G38760*(1-G38692)*(G38759-G38765+G38764-G38767)</f>
        <v>0</v>
      </c>
      <c r="H38769" s="16" t="n">
        <f aca="false">H38760*(1-H38692)*(H38759-H38765+H38764-H38767)</f>
        <v>350</v>
      </c>
      <c r="I38769" s="16" t="n">
        <f aca="false">I38760*(1-I38692)*(I38759-I38765+I38764-I38767)</f>
        <v>0</v>
      </c>
      <c r="J38769" s="16" t="n">
        <f aca="false">J38760*(1-J38692)*(J38759-J38765+J38764-J38767)</f>
        <v>0</v>
      </c>
      <c r="K38769" s="16" t="n">
        <f aca="false">K38760*(1-K38692)*(K38759-K38765+K38764-K38767)</f>
        <v>0</v>
      </c>
    </row>
    <row r="38770" customFormat="false" ht="15" hidden="false" customHeight="false" outlineLevel="0" collapsed="false">
      <c r="A38770" s="2" t="s">
        <v>339</v>
      </c>
      <c r="F38770" s="28" t="n">
        <f aca="false">Assumptions!$C$62</f>
        <v>350</v>
      </c>
      <c r="G38770" s="17" t="n">
        <f aca="false">G38759+G38766+G38764-G38765-G38767-G38768</f>
        <v>350</v>
      </c>
      <c r="H38770" s="17" t="n">
        <f aca="false">H38759+H38766+H38764-H38765-H38767-H38768</f>
        <v>350</v>
      </c>
      <c r="I38770" s="17" t="n">
        <f aca="false">I38759+I38766+I38764-I38765-I38767-I38768</f>
        <v>350</v>
      </c>
      <c r="J38770" s="17" t="n">
        <f aca="false">J38759+J38766+J38764-J38765-J38767-J38768</f>
        <v>350</v>
      </c>
      <c r="K38770" s="17" t="n">
        <f aca="false">K38759+K38766+K38764-K38765-K38767-K38768</f>
        <v>350</v>
      </c>
    </row>
    <row r="38771" customFormat="false" ht="15" hidden="false" customHeight="false" outlineLevel="0" collapsed="false">
      <c r="A38771" s="24" t="s">
        <v>345</v>
      </c>
      <c r="B38771" s="25"/>
      <c r="C38771" s="25"/>
      <c r="D38771" s="25"/>
      <c r="E38771" s="25"/>
      <c r="F38771" s="25"/>
      <c r="G38771" s="25"/>
      <c r="H38771" s="25"/>
      <c r="I38771" s="25"/>
      <c r="J38771" s="25"/>
      <c r="K38771" s="25"/>
    </row>
    <row r="38772" customFormat="false" ht="15" hidden="false" customHeight="false" outlineLevel="0" collapsed="false">
      <c r="A38772" s="3" t="s">
        <v>329</v>
      </c>
      <c r="G38772" s="16" t="n">
        <f aca="false">F38783</f>
        <v>550</v>
      </c>
      <c r="H38772" s="16" t="n">
        <f aca="false">G38783</f>
        <v>550</v>
      </c>
      <c r="I38772" s="16" t="n">
        <f aca="false">H38783</f>
        <v>550</v>
      </c>
      <c r="J38772" s="16" t="n">
        <f aca="false">I38783</f>
        <v>550</v>
      </c>
      <c r="K38772" s="16" t="n">
        <f aca="false">J38783</f>
        <v>550</v>
      </c>
    </row>
    <row r="38773" customFormat="false" ht="15" hidden="false" customHeight="false" outlineLevel="0" collapsed="false">
      <c r="A38773" s="3" t="s">
        <v>330</v>
      </c>
      <c r="G38773" s="21" t="n">
        <f aca="false">IF(G38658=Assumptions!$K$63,1,0)</f>
        <v>0</v>
      </c>
      <c r="H38773" s="21" t="n">
        <f aca="false">IF(H38658=Assumptions!$K$63,1,0)</f>
        <v>0</v>
      </c>
      <c r="I38773" s="21" t="n">
        <f aca="false">IF(I38658=Assumptions!$K$63,1,0)</f>
        <v>1</v>
      </c>
      <c r="J38773" s="21" t="n">
        <f aca="false">IF(J38658=Assumptions!$K$63,1,0)</f>
        <v>0</v>
      </c>
      <c r="K38773" s="21" t="n">
        <f aca="false">IF(K38658=Assumptions!$K$63,1,0)</f>
        <v>0</v>
      </c>
    </row>
    <row r="38775" customFormat="false" ht="15" hidden="false" customHeight="false" outlineLevel="0" collapsed="false">
      <c r="A38775" s="3" t="s">
        <v>331</v>
      </c>
      <c r="G38775" s="31" t="n">
        <f aca="false">IF(Assumptions!$I$63=1,MAX(G38684,Assumptions!$G$63)+Assumptions!$F$63+$C$38685,Assumptions!$E$63)</f>
        <v>0.08875</v>
      </c>
      <c r="H38775" s="31" t="n">
        <f aca="false">IF(G39010=1,$C$38686,IF(Assumptions!$I$63=1,MAX(H38684,Assumptions!$G$63)+Assumptions!$F$63+$C$38685,Assumptions!$E$63))</f>
        <v>0.08875</v>
      </c>
      <c r="I38775" s="31" t="n">
        <f aca="false">IF(H39010=1,$C$38686,IF(Assumptions!$I$63=1,MAX(I38684,Assumptions!$G$63)+Assumptions!$F$63+$C$38685,Assumptions!$E$63))</f>
        <v>0.08875</v>
      </c>
      <c r="J38775" s="31" t="n">
        <f aca="false">IF(I39010=1,$C$38686,IF(Assumptions!$I$63=1,MAX(J38684,Assumptions!$G$63)+Assumptions!$F$63+$C$38685,Assumptions!$E$63))</f>
        <v>0.08875</v>
      </c>
      <c r="K38775" s="31" t="n">
        <f aca="false">IF(J39010=1,$C$38686,IF(Assumptions!$I$63=1,MAX(K38684,Assumptions!$G$63)+Assumptions!$F$63+$C$38685,Assumptions!$E$63))</f>
        <v>0.08875</v>
      </c>
    </row>
    <row r="38776" customFormat="false" ht="15" hidden="false" customHeight="false" outlineLevel="0" collapsed="false">
      <c r="A38776" s="3" t="s">
        <v>332</v>
      </c>
      <c r="G38776" s="16" t="n">
        <f aca="false">G38772*G38775</f>
        <v>48.8125</v>
      </c>
      <c r="H38776" s="16" t="n">
        <f aca="false">H38772*H38775</f>
        <v>48.8125</v>
      </c>
      <c r="I38776" s="16" t="n">
        <f aca="false">I38772*I38775</f>
        <v>48.8125</v>
      </c>
      <c r="J38776" s="16" t="n">
        <f aca="false">J38772*J38775</f>
        <v>48.8125</v>
      </c>
      <c r="K38776" s="16" t="n">
        <f aca="false">K38772*K38775</f>
        <v>48.8125</v>
      </c>
    </row>
    <row r="38777" customFormat="false" ht="15" hidden="false" customHeight="false" outlineLevel="0" collapsed="false">
      <c r="A38777" s="3" t="s">
        <v>333</v>
      </c>
      <c r="G38777" s="16" t="n">
        <f aca="false">G38772*Assumptions!$H$63</f>
        <v>0</v>
      </c>
      <c r="H38777" s="16" t="n">
        <f aca="false">H38772*Assumptions!$H$63</f>
        <v>0</v>
      </c>
      <c r="I38777" s="16" t="n">
        <f aca="false">I38772*Assumptions!$H$63</f>
        <v>0</v>
      </c>
      <c r="J38777" s="16" t="n">
        <f aca="false">J38772*Assumptions!$H$63</f>
        <v>0</v>
      </c>
      <c r="K38777" s="16" t="n">
        <f aca="false">K38772*Assumptions!$H$63</f>
        <v>0</v>
      </c>
    </row>
    <row r="38778" customFormat="false" ht="15" hidden="false" customHeight="false" outlineLevel="0" collapsed="false">
      <c r="A38778" s="3" t="s">
        <v>334</v>
      </c>
      <c r="G38778" s="16" t="n">
        <f aca="false">MIN(G38772,Assumptions!$L$63*Assumptions!$C$63)</f>
        <v>0</v>
      </c>
      <c r="H38778" s="16" t="n">
        <f aca="false">MIN(H38772,Assumptions!$L$63*Assumptions!$C$63)</f>
        <v>0</v>
      </c>
      <c r="I38778" s="16" t="n">
        <f aca="false">MIN(I38772,Assumptions!$L$63*Assumptions!$C$63)</f>
        <v>0</v>
      </c>
      <c r="J38778" s="16" t="n">
        <f aca="false">MIN(J38772,Assumptions!$L$63*Assumptions!$C$63)</f>
        <v>0</v>
      </c>
      <c r="K38778" s="16" t="n">
        <f aca="false">MIN(K38772,Assumptions!$L$63*Assumptions!$C$63)</f>
        <v>0</v>
      </c>
    </row>
    <row r="38779" customFormat="false" ht="15" hidden="false" customHeight="false" outlineLevel="0" collapsed="false">
      <c r="A38779" s="3" t="s">
        <v>335</v>
      </c>
      <c r="G38779" s="16" t="n">
        <f aca="false">IF(AND(Assumptions!$P$63=1,G38658&lt;Assumptions!$K$63),MIN(MAX(0,-G38874),MAX(0,Assumptions!$D$63-G38772)),0)</f>
        <v>0</v>
      </c>
      <c r="H38779" s="16" t="n">
        <f aca="false">IF(AND(Assumptions!$P$63=1,OR(H38658&lt;Assumptions!$K$63,G39010=1)),MIN(MAX(0,-H38874),MAX(0,Assumptions!$D$63-H38772)),0)</f>
        <v>0</v>
      </c>
      <c r="I38779" s="16" t="n">
        <f aca="false">IF(AND(Assumptions!$P$63=1,OR(I38658&lt;Assumptions!$K$63,H39010=1)),MIN(MAX(0,-I38874),MAX(0,Assumptions!$D$63-I38772)),0)</f>
        <v>0</v>
      </c>
      <c r="J38779" s="16" t="n">
        <f aca="false">IF(AND(Assumptions!$P$63=1,OR(J38658&lt;Assumptions!$K$63,I39010=1)),MIN(MAX(0,-J38874),MAX(0,Assumptions!$D$63-J38772)),0)</f>
        <v>0</v>
      </c>
      <c r="K38779" s="16" t="n">
        <f aca="false">IF(AND(Assumptions!$P$63=1,OR(K38658&lt;Assumptions!$K$63,J39010=1)),MIN(MAX(0,-K38874),MAX(0,Assumptions!$D$63-K38772)),0)</f>
        <v>0</v>
      </c>
    </row>
    <row r="38780" customFormat="false" ht="15" hidden="false" customHeight="false" outlineLevel="0" collapsed="false">
      <c r="A38780" s="3" t="s">
        <v>336</v>
      </c>
      <c r="G38780" s="16" t="n">
        <f aca="false">G38773*MIN(G38772-G38778+G38777,MAX(0,G38876-Assumptions!$C$12*G38692-G38702-G38715-G38728-G38741-G38754-G38767))</f>
        <v>0</v>
      </c>
      <c r="H38780" s="16" t="n">
        <f aca="false">H38773*MIN(H38772-H38778+H38777,MAX(0,H38876-Assumptions!$C$12*H38692-H38702-H38715-H38728-H38741-H38754-H38767))</f>
        <v>0</v>
      </c>
      <c r="I38780" s="16" t="n">
        <f aca="false">I38773*MIN(I38772-I38778+I38777,MAX(0,I38876-Assumptions!$C$12*I38692-I38702-I38715-I38728-I38741-I38754-I38767))</f>
        <v>0</v>
      </c>
      <c r="J38780" s="16" t="n">
        <f aca="false">J38773*MIN(J38772-J38778+J38777,MAX(0,J38876-Assumptions!$C$12*J38692-J38702-J38715-J38728-J38741-J38754-J38767))</f>
        <v>0</v>
      </c>
      <c r="K38780" s="16" t="n">
        <f aca="false">K38773*MIN(K38772-K38778+K38777,MAX(0,K38876-Assumptions!$C$12*K38692-K38702-K38715-K38728-K38741-K38754-K38767))</f>
        <v>0</v>
      </c>
    </row>
    <row r="38781" customFormat="false" ht="15" hidden="false" customHeight="false" outlineLevel="0" collapsed="false">
      <c r="A38781" s="3" t="s">
        <v>337</v>
      </c>
      <c r="G38781" s="16" t="n">
        <f aca="false">Assumptions!$N$63*MIN(G38772+G38779+G38777-G38778-G38780,MAX(0,G38880-G38703-G38716-G38729-G38742-G38755-G38768))</f>
        <v>0</v>
      </c>
      <c r="H38781" s="16" t="n">
        <f aca="false">Assumptions!$N$63*MIN(H38772+H38779+H38777-H38778-H38780,MAX(0,H38880-H38703-H38716-H38729-H38742-H38755-H38768))</f>
        <v>0</v>
      </c>
      <c r="I38781" s="16" t="n">
        <f aca="false">Assumptions!$N$63*MIN(I38772+I38779+I38777-I38778-I38780,MAX(0,I38880-I38703-I38716-I38729-I38742-I38755-I38768))</f>
        <v>0</v>
      </c>
      <c r="J38781" s="16" t="n">
        <f aca="false">Assumptions!$N$63*MIN(J38772+J38779+J38777-J38778-J38780,MAX(0,J38880-J38703-J38716-J38729-J38742-J38755-J38768))</f>
        <v>0</v>
      </c>
      <c r="K38781" s="16" t="n">
        <f aca="false">Assumptions!$N$63*MIN(K38772+K38779+K38777-K38778-K38780,MAX(0,K38880-K38703-K38716-K38729-K38742-K38755-K38768))</f>
        <v>0</v>
      </c>
    </row>
    <row r="38782" customFormat="false" ht="15" hidden="false" customHeight="false" outlineLevel="0" collapsed="false">
      <c r="A38782" s="3" t="s">
        <v>338</v>
      </c>
      <c r="G38782" s="16" t="n">
        <f aca="false">G38773*(1-G38692)*(G38772-G38778+G38777-G38780)</f>
        <v>0</v>
      </c>
      <c r="H38782" s="16" t="n">
        <f aca="false">H38773*(1-H38692)*(H38772-H38778+H38777-H38780)</f>
        <v>0</v>
      </c>
      <c r="I38782" s="16" t="n">
        <f aca="false">I38773*(1-I38692)*(I38772-I38778+I38777-I38780)</f>
        <v>550</v>
      </c>
      <c r="J38782" s="16" t="n">
        <f aca="false">J38773*(1-J38692)*(J38772-J38778+J38777-J38780)</f>
        <v>0</v>
      </c>
      <c r="K38782" s="16" t="n">
        <f aca="false">K38773*(1-K38692)*(K38772-K38778+K38777-K38780)</f>
        <v>0</v>
      </c>
    </row>
    <row r="38783" customFormat="false" ht="15" hidden="false" customHeight="false" outlineLevel="0" collapsed="false">
      <c r="A38783" s="2" t="s">
        <v>339</v>
      </c>
      <c r="F38783" s="28" t="n">
        <f aca="false">Assumptions!$C$63</f>
        <v>550</v>
      </c>
      <c r="G38783" s="17" t="n">
        <f aca="false">G38772+G38779+G38777-G38778-G38780-G38781</f>
        <v>550</v>
      </c>
      <c r="H38783" s="17" t="n">
        <f aca="false">H38772+H38779+H38777-H38778-H38780-H38781</f>
        <v>550</v>
      </c>
      <c r="I38783" s="17" t="n">
        <f aca="false">I38772+I38779+I38777-I38778-I38780-I38781</f>
        <v>550</v>
      </c>
      <c r="J38783" s="17" t="n">
        <f aca="false">J38772+J38779+J38777-J38778-J38780-J38781</f>
        <v>550</v>
      </c>
      <c r="K38783" s="17" t="n">
        <f aca="false">K38772+K38779+K38777-K38778-K38780-K38781</f>
        <v>550</v>
      </c>
    </row>
    <row r="38784" customFormat="false" ht="15" hidden="false" customHeight="false" outlineLevel="0" collapsed="false">
      <c r="A38784" s="24" t="s">
        <v>346</v>
      </c>
      <c r="B38784" s="25"/>
      <c r="C38784" s="25"/>
      <c r="D38784" s="25"/>
      <c r="E38784" s="25"/>
      <c r="F38784" s="25"/>
      <c r="G38784" s="25"/>
      <c r="H38784" s="25"/>
      <c r="I38784" s="25"/>
      <c r="J38784" s="25"/>
      <c r="K38784" s="25"/>
    </row>
    <row r="38785" customFormat="false" ht="15" hidden="false" customHeight="false" outlineLevel="0" collapsed="false">
      <c r="A38785" s="3" t="s">
        <v>329</v>
      </c>
      <c r="G38785" s="16" t="n">
        <f aca="false">F38796</f>
        <v>350</v>
      </c>
      <c r="H38785" s="16" t="n">
        <f aca="false">G38796</f>
        <v>350</v>
      </c>
      <c r="I38785" s="16" t="n">
        <f aca="false">H38796</f>
        <v>350</v>
      </c>
      <c r="J38785" s="16" t="n">
        <f aca="false">I38796</f>
        <v>350</v>
      </c>
      <c r="K38785" s="16" t="n">
        <f aca="false">J38796</f>
        <v>350</v>
      </c>
    </row>
    <row r="38786" customFormat="false" ht="15" hidden="false" customHeight="false" outlineLevel="0" collapsed="false">
      <c r="A38786" s="3" t="s">
        <v>330</v>
      </c>
      <c r="G38786" s="21" t="n">
        <f aca="false">IF(G38658=Assumptions!$K$64,1,0)</f>
        <v>0</v>
      </c>
      <c r="H38786" s="21" t="n">
        <f aca="false">IF(H38658=Assumptions!$K$64,1,0)</f>
        <v>0</v>
      </c>
      <c r="I38786" s="21" t="n">
        <f aca="false">IF(I38658=Assumptions!$K$64,1,0)</f>
        <v>0</v>
      </c>
      <c r="J38786" s="21" t="n">
        <f aca="false">IF(J38658=Assumptions!$K$64,1,0)</f>
        <v>1</v>
      </c>
      <c r="K38786" s="21" t="n">
        <f aca="false">IF(K38658=Assumptions!$K$64,1,0)</f>
        <v>0</v>
      </c>
    </row>
    <row r="38788" customFormat="false" ht="15" hidden="false" customHeight="false" outlineLevel="0" collapsed="false">
      <c r="A38788" s="3" t="s">
        <v>331</v>
      </c>
      <c r="G38788" s="31" t="n">
        <f aca="false">IF(Assumptions!$I$64=1,MAX(G38684,Assumptions!$G$64)+Assumptions!$F$64+$C$38685,Assumptions!$E$64)</f>
        <v>0.0455</v>
      </c>
      <c r="H38788" s="31" t="n">
        <f aca="false">IF(G39011=1,$C$38686,IF(Assumptions!$I$64=1,MAX(H38684,Assumptions!$G$64)+Assumptions!$F$64+$C$38685,Assumptions!$E$64))</f>
        <v>0.0455</v>
      </c>
      <c r="I38788" s="31" t="n">
        <f aca="false">IF(H39011=1,$C$38686,IF(Assumptions!$I$64=1,MAX(I38684,Assumptions!$G$64)+Assumptions!$F$64+$C$38685,Assumptions!$E$64))</f>
        <v>0.0455</v>
      </c>
      <c r="J38788" s="31" t="n">
        <f aca="false">IF(I39011=1,$C$38686,IF(Assumptions!$I$64=1,MAX(J38684,Assumptions!$G$64)+Assumptions!$F$64+$C$38685,Assumptions!$E$64))</f>
        <v>0.0455</v>
      </c>
      <c r="K38788" s="31" t="n">
        <f aca="false">IF(J39011=1,$C$38686,IF(Assumptions!$I$64=1,MAX(K38684,Assumptions!$G$64)+Assumptions!$F$64+$C$38685,Assumptions!$E$64))</f>
        <v>0.0455</v>
      </c>
    </row>
    <row r="38789" customFormat="false" ht="15" hidden="false" customHeight="false" outlineLevel="0" collapsed="false">
      <c r="A38789" s="3" t="s">
        <v>332</v>
      </c>
      <c r="G38789" s="16" t="n">
        <f aca="false">G38785*G38788</f>
        <v>15.925</v>
      </c>
      <c r="H38789" s="16" t="n">
        <f aca="false">H38785*H38788</f>
        <v>15.925</v>
      </c>
      <c r="I38789" s="16" t="n">
        <f aca="false">I38785*I38788</f>
        <v>15.925</v>
      </c>
      <c r="J38789" s="16" t="n">
        <f aca="false">J38785*J38788</f>
        <v>15.925</v>
      </c>
      <c r="K38789" s="16" t="n">
        <f aca="false">K38785*K38788</f>
        <v>15.925</v>
      </c>
    </row>
    <row r="38790" customFormat="false" ht="15" hidden="false" customHeight="false" outlineLevel="0" collapsed="false">
      <c r="A38790" s="3" t="s">
        <v>333</v>
      </c>
      <c r="G38790" s="16" t="n">
        <f aca="false">G38785*Assumptions!$H$64</f>
        <v>0</v>
      </c>
      <c r="H38790" s="16" t="n">
        <f aca="false">H38785*Assumptions!$H$64</f>
        <v>0</v>
      </c>
      <c r="I38790" s="16" t="n">
        <f aca="false">I38785*Assumptions!$H$64</f>
        <v>0</v>
      </c>
      <c r="J38790" s="16" t="n">
        <f aca="false">J38785*Assumptions!$H$64</f>
        <v>0</v>
      </c>
      <c r="K38790" s="16" t="n">
        <f aca="false">K38785*Assumptions!$H$64</f>
        <v>0</v>
      </c>
    </row>
    <row r="38791" customFormat="false" ht="15" hidden="false" customHeight="false" outlineLevel="0" collapsed="false">
      <c r="A38791" s="3" t="s">
        <v>334</v>
      </c>
      <c r="G38791" s="16" t="n">
        <f aca="false">MIN(G38785,Assumptions!$L$64*Assumptions!$C$64)</f>
        <v>0</v>
      </c>
      <c r="H38791" s="16" t="n">
        <f aca="false">MIN(H38785,Assumptions!$L$64*Assumptions!$C$64)</f>
        <v>0</v>
      </c>
      <c r="I38791" s="16" t="n">
        <f aca="false">MIN(I38785,Assumptions!$L$64*Assumptions!$C$64)</f>
        <v>0</v>
      </c>
      <c r="J38791" s="16" t="n">
        <f aca="false">MIN(J38785,Assumptions!$L$64*Assumptions!$C$64)</f>
        <v>0</v>
      </c>
      <c r="K38791" s="16" t="n">
        <f aca="false">MIN(K38785,Assumptions!$L$64*Assumptions!$C$64)</f>
        <v>0</v>
      </c>
    </row>
    <row r="38792" customFormat="false" ht="15" hidden="false" customHeight="false" outlineLevel="0" collapsed="false">
      <c r="A38792" s="3" t="s">
        <v>335</v>
      </c>
      <c r="G38792" s="16" t="n">
        <f aca="false">IF(AND(Assumptions!$P$64=1,G38658&lt;Assumptions!$K$64),MIN(MAX(0,-G38874),MAX(0,Assumptions!$D$64-G38785)),0)</f>
        <v>0</v>
      </c>
      <c r="H38792" s="16" t="n">
        <f aca="false">IF(AND(Assumptions!$P$64=1,OR(H38658&lt;Assumptions!$K$64,G39011=1)),MIN(MAX(0,-H38874),MAX(0,Assumptions!$D$64-H38785)),0)</f>
        <v>0</v>
      </c>
      <c r="I38792" s="16" t="n">
        <f aca="false">IF(AND(Assumptions!$P$64=1,OR(I38658&lt;Assumptions!$K$64,H39011=1)),MIN(MAX(0,-I38874),MAX(0,Assumptions!$D$64-I38785)),0)</f>
        <v>0</v>
      </c>
      <c r="J38792" s="16" t="n">
        <f aca="false">IF(AND(Assumptions!$P$64=1,OR(J38658&lt;Assumptions!$K$64,I39011=1)),MIN(MAX(0,-J38874),MAX(0,Assumptions!$D$64-J38785)),0)</f>
        <v>0</v>
      </c>
      <c r="K38792" s="16" t="n">
        <f aca="false">IF(AND(Assumptions!$P$64=1,OR(K38658&lt;Assumptions!$K$64,J39011=1)),MIN(MAX(0,-K38874),MAX(0,Assumptions!$D$64-K38785)),0)</f>
        <v>0</v>
      </c>
    </row>
    <row r="38793" customFormat="false" ht="15" hidden="false" customHeight="false" outlineLevel="0" collapsed="false">
      <c r="A38793" s="3" t="s">
        <v>336</v>
      </c>
      <c r="G38793" s="16" t="n">
        <f aca="false">G38786*MIN(G38785-G38791+G38790,MAX(0,G38876-Assumptions!$C$12*G38692-G38702-G38715-G38728-G38741-G38754-G38767-G38780))</f>
        <v>0</v>
      </c>
      <c r="H38793" s="16" t="n">
        <f aca="false">H38786*MIN(H38785-H38791+H38790,MAX(0,H38876-Assumptions!$C$12*H38692-H38702-H38715-H38728-H38741-H38754-H38767-H38780))</f>
        <v>0</v>
      </c>
      <c r="I38793" s="16" t="n">
        <f aca="false">I38786*MIN(I38785-I38791+I38790,MAX(0,I38876-Assumptions!$C$12*I38692-I38702-I38715-I38728-I38741-I38754-I38767-I38780))</f>
        <v>0</v>
      </c>
      <c r="J38793" s="16" t="n">
        <f aca="false">J38786*MIN(J38785-J38791+J38790,MAX(0,J38876-Assumptions!$C$12*J38692-J38702-J38715-J38728-J38741-J38754-J38767-J38780))</f>
        <v>0</v>
      </c>
      <c r="K38793" s="16" t="n">
        <f aca="false">K38786*MIN(K38785-K38791+K38790,MAX(0,K38876-Assumptions!$C$12*K38692-K38702-K38715-K38728-K38741-K38754-K38767-K38780))</f>
        <v>0</v>
      </c>
    </row>
    <row r="38794" customFormat="false" ht="15" hidden="false" customHeight="false" outlineLevel="0" collapsed="false">
      <c r="A38794" s="3" t="s">
        <v>337</v>
      </c>
      <c r="G38794" s="16" t="n">
        <f aca="false">Assumptions!$N$64*MIN(G38785+G38792+G38790-G38791-G38793,MAX(0,G38880-G38703-G38716-G38729-G38742-G38755-G38768-G38781))</f>
        <v>0</v>
      </c>
      <c r="H38794" s="16" t="n">
        <f aca="false">Assumptions!$N$64*MIN(H38785+H38792+H38790-H38791-H38793,MAX(0,H38880-H38703-H38716-H38729-H38742-H38755-H38768-H38781))</f>
        <v>0</v>
      </c>
      <c r="I38794" s="16" t="n">
        <f aca="false">Assumptions!$N$64*MIN(I38785+I38792+I38790-I38791-I38793,MAX(0,I38880-I38703-I38716-I38729-I38742-I38755-I38768-I38781))</f>
        <v>0</v>
      </c>
      <c r="J38794" s="16" t="n">
        <f aca="false">Assumptions!$N$64*MIN(J38785+J38792+J38790-J38791-J38793,MAX(0,J38880-J38703-J38716-J38729-J38742-J38755-J38768-J38781))</f>
        <v>0</v>
      </c>
      <c r="K38794" s="16" t="n">
        <f aca="false">Assumptions!$N$64*MIN(K38785+K38792+K38790-K38791-K38793,MAX(0,K38880-K38703-K38716-K38729-K38742-K38755-K38768-K38781))</f>
        <v>0</v>
      </c>
    </row>
    <row r="38795" customFormat="false" ht="15" hidden="false" customHeight="false" outlineLevel="0" collapsed="false">
      <c r="A38795" s="3" t="s">
        <v>338</v>
      </c>
      <c r="G38795" s="16" t="n">
        <f aca="false">G38786*(1-G38692)*(G38785-G38791+G38790-G38793)</f>
        <v>0</v>
      </c>
      <c r="H38795" s="16" t="n">
        <f aca="false">H38786*(1-H38692)*(H38785-H38791+H38790-H38793)</f>
        <v>0</v>
      </c>
      <c r="I38795" s="16" t="n">
        <f aca="false">I38786*(1-I38692)*(I38785-I38791+I38790-I38793)</f>
        <v>0</v>
      </c>
      <c r="J38795" s="16" t="n">
        <f aca="false">J38786*(1-J38692)*(J38785-J38791+J38790-J38793)</f>
        <v>350</v>
      </c>
      <c r="K38795" s="16" t="n">
        <f aca="false">K38786*(1-K38692)*(K38785-K38791+K38790-K38793)</f>
        <v>0</v>
      </c>
    </row>
    <row r="38796" customFormat="false" ht="15" hidden="false" customHeight="false" outlineLevel="0" collapsed="false">
      <c r="A38796" s="2" t="s">
        <v>339</v>
      </c>
      <c r="F38796" s="28" t="n">
        <f aca="false">Assumptions!$C$64</f>
        <v>350</v>
      </c>
      <c r="G38796" s="17" t="n">
        <f aca="false">G38785+G38792+G38790-G38791-G38793-G38794</f>
        <v>350</v>
      </c>
      <c r="H38796" s="17" t="n">
        <f aca="false">H38785+H38792+H38790-H38791-H38793-H38794</f>
        <v>350</v>
      </c>
      <c r="I38796" s="17" t="n">
        <f aca="false">I38785+I38792+I38790-I38791-I38793-I38794</f>
        <v>350</v>
      </c>
      <c r="J38796" s="17" t="n">
        <f aca="false">J38785+J38792+J38790-J38791-J38793-J38794</f>
        <v>350</v>
      </c>
      <c r="K38796" s="17" t="n">
        <f aca="false">K38785+K38792+K38790-K38791-K38793-K38794</f>
        <v>350</v>
      </c>
    </row>
    <row r="38797" customFormat="false" ht="15" hidden="false" customHeight="false" outlineLevel="0" collapsed="false">
      <c r="A38797" s="24" t="s">
        <v>347</v>
      </c>
      <c r="B38797" s="25"/>
      <c r="C38797" s="25"/>
      <c r="D38797" s="25"/>
      <c r="E38797" s="25"/>
      <c r="F38797" s="25"/>
      <c r="G38797" s="25"/>
      <c r="H38797" s="25"/>
      <c r="I38797" s="25"/>
      <c r="J38797" s="25"/>
      <c r="K38797" s="25"/>
    </row>
    <row r="38798" customFormat="false" ht="15" hidden="false" customHeight="false" outlineLevel="0" collapsed="false">
      <c r="A38798" s="3" t="s">
        <v>329</v>
      </c>
      <c r="G38798" s="16" t="n">
        <f aca="false">F38809</f>
        <v>300</v>
      </c>
      <c r="H38798" s="16" t="n">
        <f aca="false">G38809</f>
        <v>300</v>
      </c>
      <c r="I38798" s="16" t="n">
        <f aca="false">H38809</f>
        <v>300</v>
      </c>
      <c r="J38798" s="16" t="n">
        <f aca="false">I38809</f>
        <v>300</v>
      </c>
      <c r="K38798" s="16" t="n">
        <f aca="false">J38809</f>
        <v>300</v>
      </c>
    </row>
    <row r="38799" customFormat="false" ht="15" hidden="false" customHeight="false" outlineLevel="0" collapsed="false">
      <c r="A38799" s="3" t="s">
        <v>330</v>
      </c>
      <c r="G38799" s="21" t="n">
        <f aca="false">IF(G38658=Assumptions!$K$65,1,0)</f>
        <v>0</v>
      </c>
      <c r="H38799" s="21" t="n">
        <f aca="false">IF(H38658=Assumptions!$K$65,1,0)</f>
        <v>0</v>
      </c>
      <c r="I38799" s="21" t="n">
        <f aca="false">IF(I38658=Assumptions!$K$65,1,0)</f>
        <v>0</v>
      </c>
      <c r="J38799" s="21" t="n">
        <f aca="false">IF(J38658=Assumptions!$K$65,1,0)</f>
        <v>0</v>
      </c>
      <c r="K38799" s="21" t="n">
        <f aca="false">IF(K38658=Assumptions!$K$65,1,0)</f>
        <v>1</v>
      </c>
    </row>
    <row r="38801" customFormat="false" ht="15" hidden="false" customHeight="false" outlineLevel="0" collapsed="false">
      <c r="A38801" s="3" t="s">
        <v>331</v>
      </c>
      <c r="G38801" s="31" t="n">
        <f aca="false">IF(Assumptions!$I$65=1,MAX(G38684,Assumptions!$G$65)+Assumptions!$F$65+$C$38685,Assumptions!$E$65)</f>
        <v>0.06125</v>
      </c>
      <c r="H38801" s="31" t="n">
        <f aca="false">IF(G39012=1,$C$38686,IF(Assumptions!$I$65=1,MAX(H38684,Assumptions!$G$65)+Assumptions!$F$65+$C$38685,Assumptions!$E$65))</f>
        <v>0.06125</v>
      </c>
      <c r="I38801" s="31" t="n">
        <f aca="false">IF(H39012=1,$C$38686,IF(Assumptions!$I$65=1,MAX(I38684,Assumptions!$G$65)+Assumptions!$F$65+$C$38685,Assumptions!$E$65))</f>
        <v>0.06125</v>
      </c>
      <c r="J38801" s="31" t="n">
        <f aca="false">IF(I39012=1,$C$38686,IF(Assumptions!$I$65=1,MAX(J38684,Assumptions!$G$65)+Assumptions!$F$65+$C$38685,Assumptions!$E$65))</f>
        <v>0.06125</v>
      </c>
      <c r="K38801" s="31" t="n">
        <f aca="false">IF(J39012=1,$C$38686,IF(Assumptions!$I$65=1,MAX(K38684,Assumptions!$G$65)+Assumptions!$F$65+$C$38685,Assumptions!$E$65))</f>
        <v>0.06125</v>
      </c>
    </row>
    <row r="38802" customFormat="false" ht="15" hidden="false" customHeight="false" outlineLevel="0" collapsed="false">
      <c r="A38802" s="3" t="s">
        <v>332</v>
      </c>
      <c r="G38802" s="16" t="n">
        <f aca="false">G38798*G38801</f>
        <v>18.375</v>
      </c>
      <c r="H38802" s="16" t="n">
        <f aca="false">H38798*H38801</f>
        <v>18.375</v>
      </c>
      <c r="I38802" s="16" t="n">
        <f aca="false">I38798*I38801</f>
        <v>18.375</v>
      </c>
      <c r="J38802" s="16" t="n">
        <f aca="false">J38798*J38801</f>
        <v>18.375</v>
      </c>
      <c r="K38802" s="16" t="n">
        <f aca="false">K38798*K38801</f>
        <v>18.375</v>
      </c>
    </row>
    <row r="38803" customFormat="false" ht="15" hidden="false" customHeight="false" outlineLevel="0" collapsed="false">
      <c r="A38803" s="3" t="s">
        <v>333</v>
      </c>
      <c r="G38803" s="16" t="n">
        <f aca="false">G38798*Assumptions!$H$65</f>
        <v>0</v>
      </c>
      <c r="H38803" s="16" t="n">
        <f aca="false">H38798*Assumptions!$H$65</f>
        <v>0</v>
      </c>
      <c r="I38803" s="16" t="n">
        <f aca="false">I38798*Assumptions!$H$65</f>
        <v>0</v>
      </c>
      <c r="J38803" s="16" t="n">
        <f aca="false">J38798*Assumptions!$H$65</f>
        <v>0</v>
      </c>
      <c r="K38803" s="16" t="n">
        <f aca="false">K38798*Assumptions!$H$65</f>
        <v>0</v>
      </c>
    </row>
    <row r="38804" customFormat="false" ht="15" hidden="false" customHeight="false" outlineLevel="0" collapsed="false">
      <c r="A38804" s="3" t="s">
        <v>334</v>
      </c>
      <c r="G38804" s="16" t="n">
        <f aca="false">MIN(G38798,Assumptions!$L$65*Assumptions!$C$65)</f>
        <v>0</v>
      </c>
      <c r="H38804" s="16" t="n">
        <f aca="false">MIN(H38798,Assumptions!$L$65*Assumptions!$C$65)</f>
        <v>0</v>
      </c>
      <c r="I38804" s="16" t="n">
        <f aca="false">MIN(I38798,Assumptions!$L$65*Assumptions!$C$65)</f>
        <v>0</v>
      </c>
      <c r="J38804" s="16" t="n">
        <f aca="false">MIN(J38798,Assumptions!$L$65*Assumptions!$C$65)</f>
        <v>0</v>
      </c>
      <c r="K38804" s="16" t="n">
        <f aca="false">MIN(K38798,Assumptions!$L$65*Assumptions!$C$65)</f>
        <v>0</v>
      </c>
    </row>
    <row r="38805" customFormat="false" ht="15" hidden="false" customHeight="false" outlineLevel="0" collapsed="false">
      <c r="A38805" s="3" t="s">
        <v>335</v>
      </c>
      <c r="G38805" s="16" t="n">
        <f aca="false">IF(AND(Assumptions!$P$65=1,G38658&lt;Assumptions!$K$65),MIN(MAX(0,-G38874),MAX(0,Assumptions!$D$65-G38798)),0)</f>
        <v>0</v>
      </c>
      <c r="H38805" s="16" t="n">
        <f aca="false">IF(AND(Assumptions!$P$65=1,OR(H38658&lt;Assumptions!$K$65,G39012=1)),MIN(MAX(0,-H38874),MAX(0,Assumptions!$D$65-H38798)),0)</f>
        <v>0</v>
      </c>
      <c r="I38805" s="16" t="n">
        <f aca="false">IF(AND(Assumptions!$P$65=1,OR(I38658&lt;Assumptions!$K$65,H39012=1)),MIN(MAX(0,-I38874),MAX(0,Assumptions!$D$65-I38798)),0)</f>
        <v>0</v>
      </c>
      <c r="J38805" s="16" t="n">
        <f aca="false">IF(AND(Assumptions!$P$65=1,OR(J38658&lt;Assumptions!$K$65,I39012=1)),MIN(MAX(0,-J38874),MAX(0,Assumptions!$D$65-J38798)),0)</f>
        <v>0</v>
      </c>
      <c r="K38805" s="16" t="n">
        <f aca="false">IF(AND(Assumptions!$P$65=1,OR(K38658&lt;Assumptions!$K$65,J39012=1)),MIN(MAX(0,-K38874),MAX(0,Assumptions!$D$65-K38798)),0)</f>
        <v>0</v>
      </c>
    </row>
    <row r="38806" customFormat="false" ht="15" hidden="false" customHeight="false" outlineLevel="0" collapsed="false">
      <c r="A38806" s="3" t="s">
        <v>336</v>
      </c>
      <c r="G38806" s="16" t="n">
        <f aca="false">G38799*MIN(G38798-G38804+G38803,MAX(0,G38876-Assumptions!$C$12*G38692-G38702-G38715-G38728-G38741-G38754-G38767-G38780-G38793))</f>
        <v>0</v>
      </c>
      <c r="H38806" s="16" t="n">
        <f aca="false">H38799*MIN(H38798-H38804+H38803,MAX(0,H38876-Assumptions!$C$12*H38692-H38702-H38715-H38728-H38741-H38754-H38767-H38780-H38793))</f>
        <v>0</v>
      </c>
      <c r="I38806" s="16" t="n">
        <f aca="false">I38799*MIN(I38798-I38804+I38803,MAX(0,I38876-Assumptions!$C$12*I38692-I38702-I38715-I38728-I38741-I38754-I38767-I38780-I38793))</f>
        <v>0</v>
      </c>
      <c r="J38806" s="16" t="n">
        <f aca="false">J38799*MIN(J38798-J38804+J38803,MAX(0,J38876-Assumptions!$C$12*J38692-J38702-J38715-J38728-J38741-J38754-J38767-J38780-J38793))</f>
        <v>0</v>
      </c>
      <c r="K38806" s="16" t="n">
        <f aca="false">K38799*MIN(K38798-K38804+K38803,MAX(0,K38876-Assumptions!$C$12*K38692-K38702-K38715-K38728-K38741-K38754-K38767-K38780-K38793))</f>
        <v>0</v>
      </c>
    </row>
    <row r="38807" customFormat="false" ht="15" hidden="false" customHeight="false" outlineLevel="0" collapsed="false">
      <c r="A38807" s="3" t="s">
        <v>337</v>
      </c>
      <c r="G38807" s="16" t="n">
        <f aca="false">Assumptions!$N$65*MIN(G38798+G38805+G38803-G38804-G38806,MAX(0,G38880-G38703-G38716-G38729-G38742-G38755-G38768-G38781-G38794))</f>
        <v>0</v>
      </c>
      <c r="H38807" s="16" t="n">
        <f aca="false">Assumptions!$N$65*MIN(H38798+H38805+H38803-H38804-H38806,MAX(0,H38880-H38703-H38716-H38729-H38742-H38755-H38768-H38781-H38794))</f>
        <v>0</v>
      </c>
      <c r="I38807" s="16" t="n">
        <f aca="false">Assumptions!$N$65*MIN(I38798+I38805+I38803-I38804-I38806,MAX(0,I38880-I38703-I38716-I38729-I38742-I38755-I38768-I38781-I38794))</f>
        <v>0</v>
      </c>
      <c r="J38807" s="16" t="n">
        <f aca="false">Assumptions!$N$65*MIN(J38798+J38805+J38803-J38804-J38806,MAX(0,J38880-J38703-J38716-J38729-J38742-J38755-J38768-J38781-J38794))</f>
        <v>0</v>
      </c>
      <c r="K38807" s="16" t="n">
        <f aca="false">Assumptions!$N$65*MIN(K38798+K38805+K38803-K38804-K38806,MAX(0,K38880-K38703-K38716-K38729-K38742-K38755-K38768-K38781-K38794))</f>
        <v>0</v>
      </c>
    </row>
    <row r="38808" customFormat="false" ht="15" hidden="false" customHeight="false" outlineLevel="0" collapsed="false">
      <c r="A38808" s="3" t="s">
        <v>338</v>
      </c>
      <c r="G38808" s="16" t="n">
        <f aca="false">G38799*(1-G38692)*(G38798-G38804+G38803-G38806)</f>
        <v>0</v>
      </c>
      <c r="H38808" s="16" t="n">
        <f aca="false">H38799*(1-H38692)*(H38798-H38804+H38803-H38806)</f>
        <v>0</v>
      </c>
      <c r="I38808" s="16" t="n">
        <f aca="false">I38799*(1-I38692)*(I38798-I38804+I38803-I38806)</f>
        <v>0</v>
      </c>
      <c r="J38808" s="16" t="n">
        <f aca="false">J38799*(1-J38692)*(J38798-J38804+J38803-J38806)</f>
        <v>0</v>
      </c>
      <c r="K38808" s="16" t="n">
        <f aca="false">K38799*(1-K38692)*(K38798-K38804+K38803-K38806)</f>
        <v>300</v>
      </c>
    </row>
    <row r="38809" customFormat="false" ht="15" hidden="false" customHeight="false" outlineLevel="0" collapsed="false">
      <c r="A38809" s="2" t="s">
        <v>339</v>
      </c>
      <c r="F38809" s="28" t="n">
        <f aca="false">Assumptions!$C$65</f>
        <v>300</v>
      </c>
      <c r="G38809" s="17" t="n">
        <f aca="false">G38798+G38805+G38803-G38804-G38806-G38807</f>
        <v>300</v>
      </c>
      <c r="H38809" s="17" t="n">
        <f aca="false">H38798+H38805+H38803-H38804-H38806-H38807</f>
        <v>300</v>
      </c>
      <c r="I38809" s="17" t="n">
        <f aca="false">I38798+I38805+I38803-I38804-I38806-I38807</f>
        <v>300</v>
      </c>
      <c r="J38809" s="17" t="n">
        <f aca="false">J38798+J38805+J38803-J38804-J38806-J38807</f>
        <v>300</v>
      </c>
      <c r="K38809" s="17" t="n">
        <f aca="false">K38798+K38805+K38803-K38804-K38806-K38807</f>
        <v>300</v>
      </c>
    </row>
    <row r="38810" customFormat="false" ht="15" hidden="false" customHeight="false" outlineLevel="0" collapsed="false">
      <c r="A38810" s="24" t="s">
        <v>348</v>
      </c>
      <c r="B38810" s="25"/>
      <c r="C38810" s="25"/>
      <c r="D38810" s="25"/>
      <c r="E38810" s="25"/>
      <c r="F38810" s="25"/>
      <c r="G38810" s="25"/>
      <c r="H38810" s="25"/>
      <c r="I38810" s="25"/>
      <c r="J38810" s="25"/>
      <c r="K38810" s="25"/>
    </row>
    <row r="38811" customFormat="false" ht="15" hidden="false" customHeight="false" outlineLevel="0" collapsed="false">
      <c r="A38811" s="3" t="s">
        <v>329</v>
      </c>
      <c r="G38811" s="16" t="n">
        <f aca="false">F38822</f>
        <v>78.61</v>
      </c>
      <c r="H38811" s="16" t="n">
        <f aca="false">G38822</f>
        <v>78.61</v>
      </c>
      <c r="I38811" s="16" t="n">
        <f aca="false">H38822</f>
        <v>78.61</v>
      </c>
      <c r="J38811" s="16" t="n">
        <f aca="false">I38822</f>
        <v>78.61</v>
      </c>
      <c r="K38811" s="16" t="n">
        <f aca="false">J38822</f>
        <v>78.61</v>
      </c>
    </row>
    <row r="38812" customFormat="false" ht="15" hidden="false" customHeight="false" outlineLevel="0" collapsed="false">
      <c r="A38812" s="3" t="s">
        <v>330</v>
      </c>
      <c r="G38812" s="21" t="n">
        <f aca="false">IF(G38658=Assumptions!$K$66,1,0)</f>
        <v>0</v>
      </c>
      <c r="H38812" s="21" t="n">
        <f aca="false">IF(H38658=Assumptions!$K$66,1,0)</f>
        <v>0</v>
      </c>
      <c r="I38812" s="21" t="n">
        <f aca="false">IF(I38658=Assumptions!$K$66,1,0)</f>
        <v>0</v>
      </c>
      <c r="J38812" s="21" t="n">
        <f aca="false">IF(J38658=Assumptions!$K$66,1,0)</f>
        <v>0</v>
      </c>
      <c r="K38812" s="21" t="n">
        <f aca="false">IF(K38658=Assumptions!$K$66,1,0)</f>
        <v>0</v>
      </c>
    </row>
    <row r="38814" customFormat="false" ht="15" hidden="false" customHeight="false" outlineLevel="0" collapsed="false">
      <c r="A38814" s="3" t="s">
        <v>331</v>
      </c>
      <c r="G38814" s="31" t="n">
        <f aca="false">IF(Assumptions!$I$66=1,MAX(G38684,Assumptions!$G$66)+Assumptions!$F$66+$C$38685,Assumptions!$E$66)</f>
        <v>0.0841</v>
      </c>
      <c r="H38814" s="31" t="n">
        <f aca="false">IF(G39013=1,$C$38686,IF(Assumptions!$I$66=1,MAX(H38684,Assumptions!$G$66)+Assumptions!$F$66+$C$38685,Assumptions!$E$66))</f>
        <v>0.0826</v>
      </c>
      <c r="I38814" s="31" t="n">
        <f aca="false">IF(H39013=1,$C$38686,IF(Assumptions!$I$66=1,MAX(I38684,Assumptions!$G$66)+Assumptions!$F$66+$C$38685,Assumptions!$E$66))</f>
        <v>0.0801</v>
      </c>
      <c r="J38814" s="31" t="n">
        <f aca="false">IF(I39013=1,$C$38686,IF(Assumptions!$I$66=1,MAX(J38684,Assumptions!$G$66)+Assumptions!$F$66+$C$38685,Assumptions!$E$66))</f>
        <v>0.0801</v>
      </c>
      <c r="K38814" s="31" t="n">
        <f aca="false">IF(J39013=1,$C$38686,IF(Assumptions!$I$66=1,MAX(K38684,Assumptions!$G$66)+Assumptions!$F$66+$C$38685,Assumptions!$E$66))</f>
        <v>0.0801</v>
      </c>
    </row>
    <row r="38815" customFormat="false" ht="15" hidden="false" customHeight="false" outlineLevel="0" collapsed="false">
      <c r="A38815" s="3" t="s">
        <v>332</v>
      </c>
      <c r="G38815" s="16" t="n">
        <f aca="false">G38811*G38814</f>
        <v>6.611101</v>
      </c>
      <c r="H38815" s="16" t="n">
        <f aca="false">H38811*H38814</f>
        <v>6.493186</v>
      </c>
      <c r="I38815" s="16" t="n">
        <f aca="false">I38811*I38814</f>
        <v>6.296661</v>
      </c>
      <c r="J38815" s="16" t="n">
        <f aca="false">J38811*J38814</f>
        <v>6.296661</v>
      </c>
      <c r="K38815" s="16" t="n">
        <f aca="false">K38811*K38814</f>
        <v>6.296661</v>
      </c>
    </row>
    <row r="38816" customFormat="false" ht="15" hidden="false" customHeight="false" outlineLevel="0" collapsed="false">
      <c r="A38816" s="3" t="s">
        <v>333</v>
      </c>
      <c r="G38816" s="16" t="n">
        <f aca="false">G38811*Assumptions!$H$66</f>
        <v>0</v>
      </c>
      <c r="H38816" s="16" t="n">
        <f aca="false">H38811*Assumptions!$H$66</f>
        <v>0</v>
      </c>
      <c r="I38816" s="16" t="n">
        <f aca="false">I38811*Assumptions!$H$66</f>
        <v>0</v>
      </c>
      <c r="J38816" s="16" t="n">
        <f aca="false">J38811*Assumptions!$H$66</f>
        <v>0</v>
      </c>
      <c r="K38816" s="16" t="n">
        <f aca="false">K38811*Assumptions!$H$66</f>
        <v>0</v>
      </c>
    </row>
    <row r="38817" customFormat="false" ht="15" hidden="false" customHeight="false" outlineLevel="0" collapsed="false">
      <c r="A38817" s="3" t="s">
        <v>334</v>
      </c>
      <c r="G38817" s="16" t="n">
        <f aca="false">MIN(G38811,Assumptions!$L$66*Assumptions!$C$66)</f>
        <v>0</v>
      </c>
      <c r="H38817" s="16" t="n">
        <f aca="false">MIN(H38811,Assumptions!$L$66*Assumptions!$C$66)</f>
        <v>0</v>
      </c>
      <c r="I38817" s="16" t="n">
        <f aca="false">MIN(I38811,Assumptions!$L$66*Assumptions!$C$66)</f>
        <v>0</v>
      </c>
      <c r="J38817" s="16" t="n">
        <f aca="false">MIN(J38811,Assumptions!$L$66*Assumptions!$C$66)</f>
        <v>0</v>
      </c>
      <c r="K38817" s="16" t="n">
        <f aca="false">MIN(K38811,Assumptions!$L$66*Assumptions!$C$66)</f>
        <v>0</v>
      </c>
    </row>
    <row r="38818" customFormat="false" ht="15" hidden="false" customHeight="false" outlineLevel="0" collapsed="false">
      <c r="A38818" s="3" t="s">
        <v>335</v>
      </c>
      <c r="G38818" s="16" t="n">
        <f aca="false">IF(AND(Assumptions!$P$66=1,G38658&lt;Assumptions!$K$66),MIN(MAX(0,-G38874),MAX(0,Assumptions!$D$66-G38811)),0)</f>
        <v>0</v>
      </c>
      <c r="H38818" s="16" t="n">
        <f aca="false">IF(AND(Assumptions!$P$66=1,OR(H38658&lt;Assumptions!$K$66,G39013=1)),MIN(MAX(0,-H38874),MAX(0,Assumptions!$D$66-H38811)),0)</f>
        <v>0</v>
      </c>
      <c r="I38818" s="16" t="n">
        <f aca="false">IF(AND(Assumptions!$P$66=1,OR(I38658&lt;Assumptions!$K$66,H39013=1)),MIN(MAX(0,-I38874),MAX(0,Assumptions!$D$66-I38811)),0)</f>
        <v>0</v>
      </c>
      <c r="J38818" s="16" t="n">
        <f aca="false">IF(AND(Assumptions!$P$66=1,OR(J38658&lt;Assumptions!$K$66,I39013=1)),MIN(MAX(0,-J38874),MAX(0,Assumptions!$D$66-J38811)),0)</f>
        <v>0</v>
      </c>
      <c r="K38818" s="16" t="n">
        <f aca="false">IF(AND(Assumptions!$P$66=1,OR(K38658&lt;Assumptions!$K$66,J39013=1)),MIN(MAX(0,-K38874),MAX(0,Assumptions!$D$66-K38811)),0)</f>
        <v>0</v>
      </c>
    </row>
    <row r="38819" customFormat="false" ht="15" hidden="false" customHeight="false" outlineLevel="0" collapsed="false">
      <c r="A38819" s="3" t="s">
        <v>336</v>
      </c>
      <c r="G38819" s="16" t="n">
        <f aca="false">G38812*MIN(G38811-G38817+G38816,MAX(0,G38876-Assumptions!$C$12*G38692-G38702-G38715-G38728-G38741-G38754-G38767-G38780-G38793-G38806))</f>
        <v>0</v>
      </c>
      <c r="H38819" s="16" t="n">
        <f aca="false">H38812*MIN(H38811-H38817+H38816,MAX(0,H38876-Assumptions!$C$12*H38692-H38702-H38715-H38728-H38741-H38754-H38767-H38780-H38793-H38806))</f>
        <v>0</v>
      </c>
      <c r="I38819" s="16" t="n">
        <f aca="false">I38812*MIN(I38811-I38817+I38816,MAX(0,I38876-Assumptions!$C$12*I38692-I38702-I38715-I38728-I38741-I38754-I38767-I38780-I38793-I38806))</f>
        <v>0</v>
      </c>
      <c r="J38819" s="16" t="n">
        <f aca="false">J38812*MIN(J38811-J38817+J38816,MAX(0,J38876-Assumptions!$C$12*J38692-J38702-J38715-J38728-J38741-J38754-J38767-J38780-J38793-J38806))</f>
        <v>0</v>
      </c>
      <c r="K38819" s="16" t="n">
        <f aca="false">K38812*MIN(K38811-K38817+K38816,MAX(0,K38876-Assumptions!$C$12*K38692-K38702-K38715-K38728-K38741-K38754-K38767-K38780-K38793-K38806))</f>
        <v>0</v>
      </c>
    </row>
    <row r="38820" customFormat="false" ht="15" hidden="false" customHeight="false" outlineLevel="0" collapsed="false">
      <c r="A38820" s="3" t="s">
        <v>337</v>
      </c>
      <c r="G38820" s="16" t="n">
        <f aca="false">Assumptions!$N$66*MIN(G38811+G38818+G38816-G38817-G38819,MAX(0,G38880-G38703-G38716-G38729-G38742-G38755-G38768-G38781-G38794-G38807))</f>
        <v>0</v>
      </c>
      <c r="H38820" s="16" t="n">
        <f aca="false">Assumptions!$N$66*MIN(H38811+H38818+H38816-H38817-H38819,MAX(0,H38880-H38703-H38716-H38729-H38742-H38755-H38768-H38781-H38794-H38807))</f>
        <v>0</v>
      </c>
      <c r="I38820" s="16" t="n">
        <f aca="false">Assumptions!$N$66*MIN(I38811+I38818+I38816-I38817-I38819,MAX(0,I38880-I38703-I38716-I38729-I38742-I38755-I38768-I38781-I38794-I38807))</f>
        <v>0</v>
      </c>
      <c r="J38820" s="16" t="n">
        <f aca="false">Assumptions!$N$66*MIN(J38811+J38818+J38816-J38817-J38819,MAX(0,J38880-J38703-J38716-J38729-J38742-J38755-J38768-J38781-J38794-J38807))</f>
        <v>0</v>
      </c>
      <c r="K38820" s="16" t="n">
        <f aca="false">Assumptions!$N$66*MIN(K38811+K38818+K38816-K38817-K38819,MAX(0,K38880-K38703-K38716-K38729-K38742-K38755-K38768-K38781-K38794-K38807))</f>
        <v>0</v>
      </c>
    </row>
    <row r="38821" customFormat="false" ht="15" hidden="false" customHeight="false" outlineLevel="0" collapsed="false">
      <c r="A38821" s="3" t="s">
        <v>338</v>
      </c>
      <c r="G38821" s="16" t="n">
        <f aca="false">G38812*(1-G38692)*(G38811-G38817+G38816-G38819)</f>
        <v>0</v>
      </c>
      <c r="H38821" s="16" t="n">
        <f aca="false">H38812*(1-H38692)*(H38811-H38817+H38816-H38819)</f>
        <v>0</v>
      </c>
      <c r="I38821" s="16" t="n">
        <f aca="false">I38812*(1-I38692)*(I38811-I38817+I38816-I38819)</f>
        <v>0</v>
      </c>
      <c r="J38821" s="16" t="n">
        <f aca="false">J38812*(1-J38692)*(J38811-J38817+J38816-J38819)</f>
        <v>0</v>
      </c>
      <c r="K38821" s="16" t="n">
        <f aca="false">K38812*(1-K38692)*(K38811-K38817+K38816-K38819)</f>
        <v>0</v>
      </c>
    </row>
    <row r="38822" customFormat="false" ht="15" hidden="false" customHeight="false" outlineLevel="0" collapsed="false">
      <c r="A38822" s="2" t="s">
        <v>339</v>
      </c>
      <c r="F38822" s="28" t="n">
        <f aca="false">Assumptions!$C$66</f>
        <v>78.61</v>
      </c>
      <c r="G38822" s="17" t="n">
        <f aca="false">G38811+G38818+G38816-G38817-G38819-G38820</f>
        <v>78.61</v>
      </c>
      <c r="H38822" s="17" t="n">
        <f aca="false">H38811+H38818+H38816-H38817-H38819-H38820</f>
        <v>78.61</v>
      </c>
      <c r="I38822" s="17" t="n">
        <f aca="false">I38811+I38818+I38816-I38817-I38819-I38820</f>
        <v>78.61</v>
      </c>
      <c r="J38822" s="17" t="n">
        <f aca="false">J38811+J38818+J38816-J38817-J38819-J38820</f>
        <v>78.61</v>
      </c>
      <c r="K38822" s="17" t="n">
        <f aca="false">K38811+K38818+K38816-K38817-K38819-K38820</f>
        <v>78.61</v>
      </c>
    </row>
    <row r="38823" customFormat="false" ht="15" hidden="false" customHeight="false" outlineLevel="0" collapsed="false">
      <c r="A38823" s="24" t="s">
        <v>349</v>
      </c>
      <c r="B38823" s="25"/>
      <c r="C38823" s="25"/>
      <c r="D38823" s="25"/>
      <c r="E38823" s="25"/>
      <c r="F38823" s="25"/>
      <c r="G38823" s="25"/>
      <c r="H38823" s="25"/>
      <c r="I38823" s="25"/>
      <c r="J38823" s="25"/>
      <c r="K38823" s="25"/>
    </row>
    <row r="38824" customFormat="false" ht="15" hidden="false" customHeight="false" outlineLevel="0" collapsed="false">
      <c r="A38824" s="2" t="s">
        <v>350</v>
      </c>
      <c r="F38824" s="17" t="n">
        <f aca="false">F38705+F38718+F38731+F38744+F38757+F38770+F38783+F38796+F38809+F38822</f>
        <v>2625.934</v>
      </c>
      <c r="G38824" s="17" t="n">
        <f aca="false">G38705+G38718+G38731+G38744+G38757+G38770+G38783+G38796+G38809+G38822</f>
        <v>2621.934</v>
      </c>
      <c r="H38824" s="17" t="n">
        <f aca="false">H38705+H38718+H38731+H38744+H38757+H38770+H38783+H38796+H38809+H38822</f>
        <v>2602.8887587</v>
      </c>
      <c r="I38824" s="17" t="n">
        <f aca="false">I38705+I38718+I38731+I38744+I38757+I38770+I38783+I38796+I38809+I38822</f>
        <v>2598.8887587</v>
      </c>
      <c r="J38824" s="17" t="n">
        <f aca="false">J38705+J38718+J38731+J38744+J38757+J38770+J38783+J38796+J38809+J38822</f>
        <v>2594.8887587</v>
      </c>
      <c r="K38824" s="17" t="n">
        <f aca="false">K38705+K38718+K38731+K38744+K38757+K38770+K38783+K38796+K38809+K38822</f>
        <v>2590.8887587</v>
      </c>
    </row>
    <row r="38825" customFormat="false" ht="15" hidden="false" customHeight="false" outlineLevel="0" collapsed="false">
      <c r="A38825" s="3" t="s">
        <v>351</v>
      </c>
      <c r="G38825" s="16" t="n">
        <f aca="false">G38695*Assumptions!$C$57+G38708*Assumptions!$C$58+G38721*Assumptions!$C$59+G38734*Assumptions!$C$60+G38747*Assumptions!$C$61+G38760*Assumptions!$C$62+G38773*Assumptions!$C$63+G38786*Assumptions!$C$64+G38799*Assumptions!$C$65+G38812*Assumptions!$C$66</f>
        <v>0</v>
      </c>
      <c r="H38825" s="16" t="n">
        <f aca="false">H38695*Assumptions!$C$57+H38708*Assumptions!$C$58+H38721*Assumptions!$C$59+H38734*Assumptions!$C$60+H38747*Assumptions!$C$61+H38760*Assumptions!$C$62+H38773*Assumptions!$C$63+H38786*Assumptions!$C$64+H38799*Assumptions!$C$65+H38812*Assumptions!$C$66</f>
        <v>800</v>
      </c>
      <c r="I38825" s="16" t="n">
        <f aca="false">I38695*Assumptions!$C$57+I38708*Assumptions!$C$58+I38721*Assumptions!$C$59+I38734*Assumptions!$C$60+I38747*Assumptions!$C$61+I38760*Assumptions!$C$62+I38773*Assumptions!$C$63+I38786*Assumptions!$C$64+I38799*Assumptions!$C$65+I38812*Assumptions!$C$66</f>
        <v>550</v>
      </c>
      <c r="J38825" s="16" t="n">
        <f aca="false">J38695*Assumptions!$C$57+J38708*Assumptions!$C$58+J38721*Assumptions!$C$59+J38734*Assumptions!$C$60+J38747*Assumptions!$C$61+J38760*Assumptions!$C$62+J38773*Assumptions!$C$63+J38786*Assumptions!$C$64+J38799*Assumptions!$C$65+J38812*Assumptions!$C$66</f>
        <v>350</v>
      </c>
      <c r="K38825" s="16" t="n">
        <f aca="false">K38695*Assumptions!$C$57+K38708*Assumptions!$C$58+K38721*Assumptions!$C$59+K38734*Assumptions!$C$60+K38747*Assumptions!$C$61+K38760*Assumptions!$C$62+K38773*Assumptions!$C$63+K38786*Assumptions!$C$64+K38799*Assumptions!$C$65+K38812*Assumptions!$C$66</f>
        <v>700</v>
      </c>
    </row>
    <row r="38826" customFormat="false" ht="15" hidden="false" customHeight="false" outlineLevel="0" collapsed="false">
      <c r="A38826" s="24" t="s">
        <v>352</v>
      </c>
      <c r="B38826" s="25"/>
      <c r="C38826" s="25"/>
      <c r="D38826" s="25"/>
      <c r="E38826" s="25"/>
      <c r="F38826" s="25"/>
      <c r="G38826" s="25"/>
      <c r="H38826" s="25"/>
      <c r="I38826" s="25"/>
      <c r="J38826" s="25"/>
      <c r="K38826" s="25"/>
    </row>
    <row r="38827" customFormat="false" ht="15" hidden="false" customHeight="false" outlineLevel="0" collapsed="false">
      <c r="A38827" s="3" t="s">
        <v>353</v>
      </c>
      <c r="C38827" s="16" t="n">
        <f aca="false">SUMPRODUCT($G$38695:$K$38695,$G$38694:$K$38694-$G$38700:$K$38700+$G$38699:$K$38699)</f>
        <v>380</v>
      </c>
    </row>
    <row r="38828" customFormat="false" ht="15" hidden="false" customHeight="false" outlineLevel="0" collapsed="false">
      <c r="A38828" s="3" t="s">
        <v>354</v>
      </c>
      <c r="C38828" s="16" t="n">
        <f aca="false">SUMPRODUCT($G$38695:$K$38695,$G$38702:$K$38702)</f>
        <v>0</v>
      </c>
    </row>
    <row r="38829" customFormat="false" ht="15" hidden="false" customHeight="false" outlineLevel="0" collapsed="false">
      <c r="A38829" s="3" t="s">
        <v>355</v>
      </c>
      <c r="C38829" s="3" t="str">
        <f aca="false">IF(SUM($G$38695:$K$38695)=0,"n/a (beyond horizon)",IF(SUMPRODUCT($G$38695:$K$38695,$G$38692:$K$38692)&gt;0,"REFINANCING PASS","REFINANCING FAILURE"))</f>
        <v>REFINANCING FAILURE</v>
      </c>
    </row>
    <row r="38830" customFormat="false" ht="15" hidden="false" customHeight="false" outlineLevel="0" collapsed="false">
      <c r="A38830" s="3" t="s">
        <v>356</v>
      </c>
      <c r="C38830" s="3" t="str">
        <f aca="false">IF(SUM($G$38695:$K$38695)=0,"n/a",IF(C38828&gt;=C38827-0.001,"Repaid from cash",IF(SUMPRODUCT($G$38695:$K$38695,$G$38692:$K$38692)&gt;0,IF(C38828&gt;0,"Partly repaid; remainder refinanced","Refinanced"),IF(SUM($G$38704:$K$38704)&gt;0.001,IF(C38828&gt;0,"Partial repayment; PAYMENT DEFAULT","PAYMENT DEFAULT"),"Repaid from cash"))))</f>
        <v>PAYMENT DEFAULT</v>
      </c>
    </row>
    <row r="38831" customFormat="false" ht="15" hidden="false" customHeight="false" outlineLevel="0" collapsed="false">
      <c r="A38831" s="3" t="s">
        <v>357</v>
      </c>
      <c r="C38831" s="16" t="n">
        <f aca="false">SUMPRODUCT($G$38708:$K$38708,$G$38707:$K$38707-$G$38713:$K$38713+$G$38712:$K$38712)</f>
        <v>0</v>
      </c>
    </row>
    <row r="38832" customFormat="false" ht="15" hidden="false" customHeight="false" outlineLevel="0" collapsed="false">
      <c r="A38832" s="3" t="s">
        <v>358</v>
      </c>
      <c r="C38832" s="16" t="n">
        <f aca="false">SUMPRODUCT($G$38708:$K$38708,$G$38715:$K$38715)</f>
        <v>0</v>
      </c>
    </row>
    <row r="38833" customFormat="false" ht="15" hidden="false" customHeight="false" outlineLevel="0" collapsed="false">
      <c r="A38833" s="3" t="s">
        <v>359</v>
      </c>
      <c r="C38833" s="3" t="str">
        <f aca="false">IF(SUM($G$38708:$K$38708)=0,"n/a (beyond horizon)",IF(SUMPRODUCT($G$38708:$K$38708,$G$38692:$K$38692)&gt;0,"REFINANCING PASS","REFINANCING FAILURE"))</f>
        <v>n/a (beyond horizon)</v>
      </c>
    </row>
    <row r="38834" customFormat="false" ht="15" hidden="false" customHeight="false" outlineLevel="0" collapsed="false">
      <c r="A38834" s="3" t="s">
        <v>360</v>
      </c>
      <c r="C38834" s="3" t="str">
        <f aca="false">IF(SUM($G$38708:$K$38708)=0,"n/a",IF(C38832&gt;=C38831-0.001,"Repaid from cash",IF(SUMPRODUCT($G$38708:$K$38708,$G$38692:$K$38692)&gt;0,IF(C38832&gt;0,"Partly repaid; remainder refinanced","Refinanced"),IF(SUM($G$38717:$K$38717)&gt;0.001,IF(C38832&gt;0,"Partial repayment; PAYMENT DEFAULT","PAYMENT DEFAULT"),"Repaid from cash"))))</f>
        <v>n/a</v>
      </c>
    </row>
    <row r="38835" customFormat="false" ht="15" hidden="false" customHeight="false" outlineLevel="0" collapsed="false">
      <c r="A38835" s="3" t="s">
        <v>361</v>
      </c>
      <c r="C38835" s="16" t="n">
        <f aca="false">SUMPRODUCT($G$38721:$K$38721,$G$38720:$K$38720-$G$38726:$K$38726+$G$38725:$K$38725)</f>
        <v>0</v>
      </c>
    </row>
    <row r="38836" customFormat="false" ht="15" hidden="false" customHeight="false" outlineLevel="0" collapsed="false">
      <c r="A38836" s="3" t="s">
        <v>362</v>
      </c>
      <c r="C38836" s="16" t="n">
        <f aca="false">SUMPRODUCT($G$38721:$K$38721,$G$38728:$K$38728)</f>
        <v>0</v>
      </c>
    </row>
    <row r="38837" customFormat="false" ht="15" hidden="false" customHeight="false" outlineLevel="0" collapsed="false">
      <c r="A38837" s="3" t="s">
        <v>363</v>
      </c>
      <c r="C38837" s="3" t="str">
        <f aca="false">IF(SUM($G$38721:$K$38721)=0,"n/a (beyond horizon)",IF(SUMPRODUCT($G$38721:$K$38721,$G$38692:$K$38692)&gt;0,"REFINANCING PASS","REFINANCING FAILURE"))</f>
        <v>n/a (beyond horizon)</v>
      </c>
    </row>
    <row r="38838" customFormat="false" ht="15" hidden="false" customHeight="false" outlineLevel="0" collapsed="false">
      <c r="A38838" s="3" t="s">
        <v>364</v>
      </c>
      <c r="C38838" s="3" t="str">
        <f aca="false">IF(SUM($G$38721:$K$38721)=0,"n/a",IF(C38836&gt;=C38835-0.001,"Repaid from cash",IF(SUMPRODUCT($G$38721:$K$38721,$G$38692:$K$38692)&gt;0,IF(C38836&gt;0,"Partly repaid; remainder refinanced","Refinanced"),IF(SUM($G$38730:$K$38730)&gt;0.001,IF(C38836&gt;0,"Partial repayment; PAYMENT DEFAULT","PAYMENT DEFAULT"),"Repaid from cash"))))</f>
        <v>n/a</v>
      </c>
    </row>
    <row r="38839" customFormat="false" ht="15" hidden="false" customHeight="false" outlineLevel="0" collapsed="false">
      <c r="A38839" s="3" t="s">
        <v>365</v>
      </c>
      <c r="C38839" s="16" t="n">
        <f aca="false">SUMPRODUCT($G$38734:$K$38734,$G$38733:$K$38733-$G$38739:$K$38739+$G$38738:$K$38738)</f>
        <v>0</v>
      </c>
    </row>
    <row r="38840" customFormat="false" ht="15" hidden="false" customHeight="false" outlineLevel="0" collapsed="false">
      <c r="A38840" s="3" t="s">
        <v>366</v>
      </c>
      <c r="C38840" s="16" t="n">
        <f aca="false">SUMPRODUCT($G$38734:$K$38734,$G$38741:$K$38741)</f>
        <v>0</v>
      </c>
    </row>
    <row r="38841" customFormat="false" ht="15" hidden="false" customHeight="false" outlineLevel="0" collapsed="false">
      <c r="A38841" s="3" t="s">
        <v>367</v>
      </c>
      <c r="C38841" s="3" t="str">
        <f aca="false">IF(SUM($G$38734:$K$38734)=0,"n/a (beyond horizon)",IF(SUMPRODUCT($G$38734:$K$38734,$G$38692:$K$38692)&gt;0,"REFINANCING PASS","REFINANCING FAILURE"))</f>
        <v>REFINANCING FAILURE</v>
      </c>
    </row>
    <row r="38842" customFormat="false" ht="15" hidden="false" customHeight="false" outlineLevel="0" collapsed="false">
      <c r="A38842" s="3" t="s">
        <v>368</v>
      </c>
      <c r="C38842" s="3" t="str">
        <f aca="false">IF(SUM($G$38734:$K$38734)=0,"n/a",IF(C38840&gt;=C38839-0.001,"Repaid from cash",IF(SUMPRODUCT($G$38734:$K$38734,$G$38692:$K$38692)&gt;0,IF(C38840&gt;0,"Partly repaid; remainder refinanced","Refinanced"),IF(SUM($G$38743:$K$38743)&gt;0.001,IF(C38840&gt;0,"Partial repayment; PAYMENT DEFAULT","PAYMENT DEFAULT"),"Repaid from cash"))))</f>
        <v>Repaid from cash</v>
      </c>
    </row>
    <row r="38843" customFormat="false" ht="15" hidden="false" customHeight="false" outlineLevel="0" collapsed="false">
      <c r="A38843" s="3" t="s">
        <v>369</v>
      </c>
      <c r="C38843" s="16" t="n">
        <f aca="false">SUMPRODUCT($G$38747:$K$38747,$G$38746:$K$38746-$G$38752:$K$38752+$G$38751:$K$38751)</f>
        <v>450</v>
      </c>
    </row>
    <row r="38844" customFormat="false" ht="15" hidden="false" customHeight="false" outlineLevel="0" collapsed="false">
      <c r="A38844" s="3" t="s">
        <v>370</v>
      </c>
      <c r="C38844" s="16" t="n">
        <f aca="false">SUMPRODUCT($G$38747:$K$38747,$G$38754:$K$38754)</f>
        <v>15.0452413</v>
      </c>
    </row>
    <row r="38845" customFormat="false" ht="15" hidden="false" customHeight="false" outlineLevel="0" collapsed="false">
      <c r="A38845" s="3" t="s">
        <v>371</v>
      </c>
      <c r="C38845" s="3" t="str">
        <f aca="false">IF(SUM($G$38747:$K$38747)=0,"n/a (beyond horizon)",IF(SUMPRODUCT($G$38747:$K$38747,$G$38692:$K$38692)&gt;0,"REFINANCING PASS","REFINANCING FAILURE"))</f>
        <v>REFINANCING FAILURE</v>
      </c>
    </row>
    <row r="38846" customFormat="false" ht="15" hidden="false" customHeight="false" outlineLevel="0" collapsed="false">
      <c r="A38846" s="3" t="s">
        <v>372</v>
      </c>
      <c r="C38846" s="3" t="str">
        <f aca="false">IF(SUM($G$38747:$K$38747)=0,"n/a",IF(C38844&gt;=C38843-0.001,"Repaid from cash",IF(SUMPRODUCT($G$38747:$K$38747,$G$38692:$K$38692)&gt;0,IF(C38844&gt;0,"Partly repaid; remainder refinanced","Refinanced"),IF(SUM($G$38756:$K$38756)&gt;0.001,IF(C38844&gt;0,"Partial repayment; PAYMENT DEFAULT","PAYMENT DEFAULT"),"Repaid from cash"))))</f>
        <v>Partial repayment; PAYMENT DEFAULT</v>
      </c>
    </row>
    <row r="38847" customFormat="false" ht="15" hidden="false" customHeight="false" outlineLevel="0" collapsed="false">
      <c r="A38847" s="3" t="s">
        <v>373</v>
      </c>
      <c r="C38847" s="16" t="n">
        <f aca="false">SUMPRODUCT($G$38760:$K$38760,$G$38759:$K$38759-$G$38765:$K$38765+$G$38764:$K$38764)</f>
        <v>350</v>
      </c>
    </row>
    <row r="38848" customFormat="false" ht="15" hidden="false" customHeight="false" outlineLevel="0" collapsed="false">
      <c r="A38848" s="3" t="s">
        <v>374</v>
      </c>
      <c r="C38848" s="16" t="n">
        <f aca="false">SUMPRODUCT($G$38760:$K$38760,$G$38767:$K$38767)</f>
        <v>0</v>
      </c>
    </row>
    <row r="38849" customFormat="false" ht="15" hidden="false" customHeight="false" outlineLevel="0" collapsed="false">
      <c r="A38849" s="3" t="s">
        <v>375</v>
      </c>
      <c r="C38849" s="3" t="str">
        <f aca="false">IF(SUM($G$38760:$K$38760)=0,"n/a (beyond horizon)",IF(SUMPRODUCT($G$38760:$K$38760,$G$38692:$K$38692)&gt;0,"REFINANCING PASS","REFINANCING FAILURE"))</f>
        <v>REFINANCING FAILURE</v>
      </c>
    </row>
    <row r="38850" customFormat="false" ht="15" hidden="false" customHeight="false" outlineLevel="0" collapsed="false">
      <c r="A38850" s="3" t="s">
        <v>376</v>
      </c>
      <c r="C38850" s="3" t="str">
        <f aca="false">IF(SUM($G$38760:$K$38760)=0,"n/a",IF(C38848&gt;=C38847-0.001,"Repaid from cash",IF(SUMPRODUCT($G$38760:$K$38760,$G$38692:$K$38692)&gt;0,IF(C38848&gt;0,"Partly repaid; remainder refinanced","Refinanced"),IF(SUM($G$38769:$K$38769)&gt;0.001,IF(C38848&gt;0,"Partial repayment; PAYMENT DEFAULT","PAYMENT DEFAULT"),"Repaid from cash"))))</f>
        <v>PAYMENT DEFAULT</v>
      </c>
    </row>
    <row r="38851" customFormat="false" ht="15" hidden="false" customHeight="false" outlineLevel="0" collapsed="false">
      <c r="A38851" s="3" t="s">
        <v>377</v>
      </c>
      <c r="C38851" s="16" t="n">
        <f aca="false">SUMPRODUCT($G$38773:$K$38773,$G$38772:$K$38772-$G$38778:$K$38778+$G$38777:$K$38777)</f>
        <v>550</v>
      </c>
    </row>
    <row r="38852" customFormat="false" ht="15" hidden="false" customHeight="false" outlineLevel="0" collapsed="false">
      <c r="A38852" s="3" t="s">
        <v>378</v>
      </c>
      <c r="C38852" s="16" t="n">
        <f aca="false">SUMPRODUCT($G$38773:$K$38773,$G$38780:$K$38780)</f>
        <v>0</v>
      </c>
    </row>
    <row r="38853" customFormat="false" ht="15" hidden="false" customHeight="false" outlineLevel="0" collapsed="false">
      <c r="A38853" s="3" t="s">
        <v>379</v>
      </c>
      <c r="C38853" s="3" t="str">
        <f aca="false">IF(SUM($G$38773:$K$38773)=0,"n/a (beyond horizon)",IF(SUMPRODUCT($G$38773:$K$38773,$G$38692:$K$38692)&gt;0,"REFINANCING PASS","REFINANCING FAILURE"))</f>
        <v>REFINANCING FAILURE</v>
      </c>
    </row>
    <row r="38854" customFormat="false" ht="15" hidden="false" customHeight="false" outlineLevel="0" collapsed="false">
      <c r="A38854" s="3" t="s">
        <v>380</v>
      </c>
      <c r="C38854" s="3" t="str">
        <f aca="false">IF(SUM($G$38773:$K$38773)=0,"n/a",IF(C38852&gt;=C38851-0.001,"Repaid from cash",IF(SUMPRODUCT($G$38773:$K$38773,$G$38692:$K$38692)&gt;0,IF(C38852&gt;0,"Partly repaid; remainder refinanced","Refinanced"),IF(SUM($G$38782:$K$38782)&gt;0.001,IF(C38852&gt;0,"Partial repayment; PAYMENT DEFAULT","PAYMENT DEFAULT"),"Repaid from cash"))))</f>
        <v>PAYMENT DEFAULT</v>
      </c>
    </row>
    <row r="38855" customFormat="false" ht="15" hidden="false" customHeight="false" outlineLevel="0" collapsed="false">
      <c r="A38855" s="3" t="s">
        <v>381</v>
      </c>
      <c r="C38855" s="16" t="n">
        <f aca="false">SUMPRODUCT($G$38786:$K$38786,$G$38785:$K$38785-$G$38791:$K$38791+$G$38790:$K$38790)</f>
        <v>350</v>
      </c>
    </row>
    <row r="38856" customFormat="false" ht="15" hidden="false" customHeight="false" outlineLevel="0" collapsed="false">
      <c r="A38856" s="3" t="s">
        <v>382</v>
      </c>
      <c r="C38856" s="16" t="n">
        <f aca="false">SUMPRODUCT($G$38786:$K$38786,$G$38793:$K$38793)</f>
        <v>0</v>
      </c>
    </row>
    <row r="38857" customFormat="false" ht="15" hidden="false" customHeight="false" outlineLevel="0" collapsed="false">
      <c r="A38857" s="3" t="s">
        <v>383</v>
      </c>
      <c r="C38857" s="3" t="str">
        <f aca="false">IF(SUM($G$38786:$K$38786)=0,"n/a (beyond horizon)",IF(SUMPRODUCT($G$38786:$K$38786,$G$38692:$K$38692)&gt;0,"REFINANCING PASS","REFINANCING FAILURE"))</f>
        <v>REFINANCING FAILURE</v>
      </c>
    </row>
    <row r="38858" customFormat="false" ht="15" hidden="false" customHeight="false" outlineLevel="0" collapsed="false">
      <c r="A38858" s="3" t="s">
        <v>384</v>
      </c>
      <c r="C38858" s="3" t="str">
        <f aca="false">IF(SUM($G$38786:$K$38786)=0,"n/a",IF(C38856&gt;=C38855-0.001,"Repaid from cash",IF(SUMPRODUCT($G$38786:$K$38786,$G$38692:$K$38692)&gt;0,IF(C38856&gt;0,"Partly repaid; remainder refinanced","Refinanced"),IF(SUM($G$38795:$K$38795)&gt;0.001,IF(C38856&gt;0,"Partial repayment; PAYMENT DEFAULT","PAYMENT DEFAULT"),"Repaid from cash"))))</f>
        <v>PAYMENT DEFAULT</v>
      </c>
    </row>
    <row r="38859" customFormat="false" ht="15" hidden="false" customHeight="false" outlineLevel="0" collapsed="false">
      <c r="A38859" s="3" t="s">
        <v>385</v>
      </c>
      <c r="C38859" s="16" t="n">
        <f aca="false">SUMPRODUCT($G$38799:$K$38799,$G$38798:$K$38798-$G$38804:$K$38804+$G$38803:$K$38803)</f>
        <v>300</v>
      </c>
    </row>
    <row r="38860" customFormat="false" ht="15" hidden="false" customHeight="false" outlineLevel="0" collapsed="false">
      <c r="A38860" s="3" t="s">
        <v>386</v>
      </c>
      <c r="C38860" s="16" t="n">
        <f aca="false">SUMPRODUCT($G$38799:$K$38799,$G$38806:$K$38806)</f>
        <v>0</v>
      </c>
    </row>
    <row r="38861" customFormat="false" ht="15" hidden="false" customHeight="false" outlineLevel="0" collapsed="false">
      <c r="A38861" s="3" t="s">
        <v>387</v>
      </c>
      <c r="C38861" s="3" t="str">
        <f aca="false">IF(SUM($G$38799:$K$38799)=0,"n/a (beyond horizon)",IF(SUMPRODUCT($G$38799:$K$38799,$G$38692:$K$38692)&gt;0,"REFINANCING PASS","REFINANCING FAILURE"))</f>
        <v>REFINANCING FAILURE</v>
      </c>
    </row>
    <row r="38862" customFormat="false" ht="15" hidden="false" customHeight="false" outlineLevel="0" collapsed="false">
      <c r="A38862" s="3" t="s">
        <v>388</v>
      </c>
      <c r="C38862" s="3" t="str">
        <f aca="false">IF(SUM($G$38799:$K$38799)=0,"n/a",IF(C38860&gt;=C38859-0.001,"Repaid from cash",IF(SUMPRODUCT($G$38799:$K$38799,$G$38692:$K$38692)&gt;0,IF(C38860&gt;0,"Partly repaid; remainder refinanced","Refinanced"),IF(SUM($G$38808:$K$38808)&gt;0.001,IF(C38860&gt;0,"Partial repayment; PAYMENT DEFAULT","PAYMENT DEFAULT"),"Repaid from cash"))))</f>
        <v>PAYMENT DEFAULT</v>
      </c>
    </row>
    <row r="38863" customFormat="false" ht="15" hidden="false" customHeight="false" outlineLevel="0" collapsed="false">
      <c r="A38863" s="3" t="s">
        <v>389</v>
      </c>
      <c r="C38863" s="16" t="n">
        <f aca="false">SUMPRODUCT($G$38812:$K$38812,$G$38811:$K$38811-$G$38817:$K$38817+$G$38816:$K$38816)</f>
        <v>0</v>
      </c>
    </row>
    <row r="38864" customFormat="false" ht="15" hidden="false" customHeight="false" outlineLevel="0" collapsed="false">
      <c r="A38864" s="3" t="s">
        <v>390</v>
      </c>
      <c r="C38864" s="16" t="n">
        <f aca="false">SUMPRODUCT($G$38812:$K$38812,$G$38819:$K$38819)</f>
        <v>0</v>
      </c>
    </row>
    <row r="38865" customFormat="false" ht="15" hidden="false" customHeight="false" outlineLevel="0" collapsed="false">
      <c r="A38865" s="3" t="s">
        <v>391</v>
      </c>
      <c r="C38865" s="3" t="str">
        <f aca="false">IF(SUM($G$38812:$K$38812)=0,"n/a (beyond horizon)",IF(SUMPRODUCT($G$38812:$K$38812,$G$38692:$K$38692)&gt;0,"REFINANCING PASS","REFINANCING FAILURE"))</f>
        <v>n/a (beyond horizon)</v>
      </c>
    </row>
    <row r="38866" customFormat="false" ht="15" hidden="false" customHeight="false" outlineLevel="0" collapsed="false">
      <c r="A38866" s="3" t="s">
        <v>392</v>
      </c>
      <c r="C38866" s="3" t="str">
        <f aca="false">IF(SUM($G$38812:$K$38812)=0,"n/a",IF(C38864&gt;=C38863-0.001,"Repaid from cash",IF(SUMPRODUCT($G$38812:$K$38812,$G$38692:$K$38692)&gt;0,IF(C38864&gt;0,"Partly repaid; remainder refinanced","Refinanced"),IF(SUM($G$38821:$K$38821)&gt;0.001,IF(C38864&gt;0,"Partial repayment; PAYMENT DEFAULT","PAYMENT DEFAULT"),"Repaid from cash"))))</f>
        <v>n/a</v>
      </c>
    </row>
    <row r="38867" customFormat="false" ht="15" hidden="false" customHeight="false" outlineLevel="0" collapsed="false">
      <c r="A38867" s="3" t="s">
        <v>393</v>
      </c>
      <c r="C38867" s="21" t="n">
        <f aca="false">IF(C38829="REFINANCING FAILURE",1,0)+IF(C38833="REFINANCING FAILURE",1,0)+IF(C38837="REFINANCING FAILURE",1,0)+IF(C38841="REFINANCING FAILURE",1,0)+IF(C38845="REFINANCING FAILURE",1,0)+IF(C38849="REFINANCING FAILURE",1,0)+IF(C38853="REFINANCING FAILURE",1,0)+IF(C38857="REFINANCING FAILURE",1,0)+IF(C38861="REFINANCING FAILURE",1,0)+IF(C38865="REFINANCING FAILURE",1,0)</f>
        <v>7</v>
      </c>
    </row>
    <row r="38869" customFormat="false" ht="15" hidden="false" customHeight="false" outlineLevel="0" collapsed="false">
      <c r="A38869" s="24" t="s">
        <v>395</v>
      </c>
      <c r="B38869" s="25"/>
      <c r="C38869" s="25"/>
      <c r="D38869" s="25"/>
      <c r="E38869" s="25"/>
      <c r="F38869" s="25"/>
      <c r="G38869" s="25"/>
      <c r="H38869" s="25"/>
      <c r="I38869" s="25"/>
      <c r="J38869" s="25"/>
      <c r="K38869" s="25"/>
    </row>
    <row r="38870" customFormat="false" ht="15" hidden="false" customHeight="false" outlineLevel="0" collapsed="false">
      <c r="A38870" s="3" t="s">
        <v>325</v>
      </c>
      <c r="G38870" s="16" t="n">
        <f aca="false">F38882</f>
        <v>37.87</v>
      </c>
      <c r="H38870" s="16" t="n">
        <f aca="false">G38882</f>
        <v>87.2944416</v>
      </c>
      <c r="I38870" s="16" t="n">
        <f aca="false">H38882</f>
        <v>0</v>
      </c>
      <c r="J38870" s="16" t="n">
        <f aca="false">I38882</f>
        <v>-75.7748017716</v>
      </c>
      <c r="K38870" s="16" t="n">
        <f aca="false">J38882</f>
        <v>-149.05681614325</v>
      </c>
    </row>
    <row r="38871" customFormat="false" ht="15" hidden="false" customHeight="false" outlineLevel="0" collapsed="false">
      <c r="A38871" s="3" t="s">
        <v>396</v>
      </c>
      <c r="G38871" s="16" t="n">
        <f aca="false">G38681</f>
        <v>-46.5755584</v>
      </c>
      <c r="H38871" s="16" t="n">
        <f aca="false">H38681</f>
        <v>-68.2492003</v>
      </c>
      <c r="I38871" s="16" t="n">
        <f aca="false">I38681</f>
        <v>-71.7748017716</v>
      </c>
      <c r="J38871" s="16" t="n">
        <f aca="false">J38681</f>
        <v>-69.28201437165</v>
      </c>
      <c r="K38871" s="16" t="n">
        <f aca="false">K38681</f>
        <v>-63.512311383781</v>
      </c>
    </row>
    <row r="38872" customFormat="false" ht="15" hidden="false" customHeight="false" outlineLevel="0" collapsed="false">
      <c r="A38872" s="3" t="s">
        <v>397</v>
      </c>
      <c r="G38872" s="16" t="n">
        <f aca="false">CHOOSE($C$38651,Assumptions!$G$82,Assumptions!$G$101,Assumptions!$G$120)</f>
        <v>100</v>
      </c>
      <c r="H38872" s="16" t="n">
        <f aca="false">CHOOSE($C$38651,Assumptions!$H$82,Assumptions!$H$101,Assumptions!$H$120)</f>
        <v>0</v>
      </c>
      <c r="I38872" s="16" t="n">
        <f aca="false">CHOOSE($C$38651,Assumptions!$I$82,Assumptions!$I$101,Assumptions!$I$120)</f>
        <v>0</v>
      </c>
      <c r="J38872" s="16" t="n">
        <f aca="false">CHOOSE($C$38651,Assumptions!$J$82,Assumptions!$J$101,Assumptions!$J$120)</f>
        <v>0</v>
      </c>
      <c r="K38872" s="16" t="n">
        <f aca="false">CHOOSE($C$38651,Assumptions!$K$82,Assumptions!$K$101,Assumptions!$K$120)</f>
        <v>0</v>
      </c>
    </row>
    <row r="38873" customFormat="false" ht="15" hidden="false" customHeight="false" outlineLevel="0" collapsed="false">
      <c r="A38873" s="3" t="s">
        <v>398</v>
      </c>
      <c r="G38873" s="16" t="n">
        <f aca="false">G38700+G38713+G38726+G38739+G38752+G38765+G38778+G38791+G38804+G38817</f>
        <v>4</v>
      </c>
      <c r="H38873" s="16" t="n">
        <f aca="false">H38700+H38713+H38726+H38739+H38752+H38765+H38778+H38791+H38804+H38817</f>
        <v>4</v>
      </c>
      <c r="I38873" s="16" t="n">
        <f aca="false">I38700+I38713+I38726+I38739+I38752+I38765+I38778+I38791+I38804+I38817</f>
        <v>4</v>
      </c>
      <c r="J38873" s="16" t="n">
        <f aca="false">J38700+J38713+J38726+J38739+J38752+J38765+J38778+J38791+J38804+J38817</f>
        <v>4</v>
      </c>
      <c r="K38873" s="16" t="n">
        <f aca="false">K38700+K38713+K38726+K38739+K38752+K38765+K38778+K38791+K38804+K38817</f>
        <v>4</v>
      </c>
    </row>
    <row r="38874" customFormat="false" ht="15" hidden="false" customHeight="false" outlineLevel="0" collapsed="false">
      <c r="A38874" s="2" t="s">
        <v>399</v>
      </c>
      <c r="G38874" s="17" t="n">
        <f aca="false">G38870+G38871+G38872-G38873</f>
        <v>87.2944416</v>
      </c>
      <c r="H38874" s="17" t="n">
        <f aca="false">H38870+H38871+H38872-H38873</f>
        <v>15.0452413</v>
      </c>
      <c r="I38874" s="17" t="n">
        <f aca="false">I38870+I38871+I38872-I38873</f>
        <v>-75.7748017716</v>
      </c>
      <c r="J38874" s="17" t="n">
        <f aca="false">J38870+J38871+J38872-J38873</f>
        <v>-149.05681614325</v>
      </c>
      <c r="K38874" s="17" t="n">
        <f aca="false">K38870+K38871+K38872-K38873</f>
        <v>-216.569127527031</v>
      </c>
    </row>
    <row r="38875" customFormat="false" ht="15" hidden="false" customHeight="false" outlineLevel="0" collapsed="false">
      <c r="A38875" s="3" t="s">
        <v>400</v>
      </c>
      <c r="G38875" s="16" t="n">
        <f aca="false">G38701+G38714+G38727+G38740+G38753+G38766+G38779+G38792+G38805+G38818</f>
        <v>0</v>
      </c>
      <c r="H38875" s="16" t="n">
        <f aca="false">H38701+H38714+H38727+H38740+H38753+H38766+H38779+H38792+H38805+H38818</f>
        <v>0</v>
      </c>
      <c r="I38875" s="16" t="n">
        <f aca="false">I38701+I38714+I38727+I38740+I38753+I38766+I38779+I38792+I38805+I38818</f>
        <v>0</v>
      </c>
      <c r="J38875" s="16" t="n">
        <f aca="false">J38701+J38714+J38727+J38740+J38753+J38766+J38779+J38792+J38805+J38818</f>
        <v>0</v>
      </c>
      <c r="K38875" s="16" t="n">
        <f aca="false">K38701+K38714+K38727+K38740+K38753+K38766+K38779+K38792+K38805+K38818</f>
        <v>0</v>
      </c>
    </row>
    <row r="38876" customFormat="false" ht="15" hidden="false" customHeight="false" outlineLevel="0" collapsed="false">
      <c r="A38876" s="2" t="s">
        <v>401</v>
      </c>
      <c r="G38876" s="17" t="n">
        <f aca="false">G38874+G38875</f>
        <v>87.2944416</v>
      </c>
      <c r="H38876" s="17" t="n">
        <f aca="false">H38874+H38875</f>
        <v>15.0452413</v>
      </c>
      <c r="I38876" s="17" t="n">
        <f aca="false">I38874+I38875</f>
        <v>-75.7748017716</v>
      </c>
      <c r="J38876" s="17" t="n">
        <f aca="false">J38874+J38875</f>
        <v>-149.05681614325</v>
      </c>
      <c r="K38876" s="17" t="n">
        <f aca="false">K38874+K38875</f>
        <v>-216.569127527031</v>
      </c>
    </row>
    <row r="38877" customFormat="false" ht="15" hidden="false" customHeight="false" outlineLevel="0" collapsed="false">
      <c r="A38877" s="3" t="s">
        <v>402</v>
      </c>
      <c r="G38877" s="16" t="n">
        <f aca="false">G38702+G38715+G38728+G38741+G38754+G38767+G38780+G38793+G38806+G38819</f>
        <v>0</v>
      </c>
      <c r="H38877" s="16" t="n">
        <f aca="false">H38702+H38715+H38728+H38741+H38754+H38767+H38780+H38793+H38806+H38819</f>
        <v>15.0452413</v>
      </c>
      <c r="I38877" s="16" t="n">
        <f aca="false">I38702+I38715+I38728+I38741+I38754+I38767+I38780+I38793+I38806+I38819</f>
        <v>0</v>
      </c>
      <c r="J38877" s="16" t="n">
        <f aca="false">J38702+J38715+J38728+J38741+J38754+J38767+J38780+J38793+J38806+J38819</f>
        <v>0</v>
      </c>
      <c r="K38877" s="16" t="n">
        <f aca="false">K38702+K38715+K38728+K38741+K38754+K38767+K38780+K38793+K38806+K38819</f>
        <v>0</v>
      </c>
    </row>
    <row r="38878" customFormat="false" ht="15" hidden="false" customHeight="false" outlineLevel="0" collapsed="false">
      <c r="A38878" s="2" t="s">
        <v>403</v>
      </c>
      <c r="G38878" s="17" t="n">
        <f aca="false">G38876-G38877</f>
        <v>87.2944416</v>
      </c>
      <c r="H38878" s="17" t="n">
        <f aca="false">H38876-H38877</f>
        <v>0</v>
      </c>
      <c r="I38878" s="17" t="n">
        <f aca="false">I38876-I38877</f>
        <v>-75.7748017716</v>
      </c>
      <c r="J38878" s="17" t="n">
        <f aca="false">J38876-J38877</f>
        <v>-149.05681614325</v>
      </c>
      <c r="K38878" s="17" t="n">
        <f aca="false">K38876-K38877</f>
        <v>-216.569127527031</v>
      </c>
    </row>
    <row r="38879" customFormat="false" ht="15" hidden="false" customHeight="false" outlineLevel="0" collapsed="false">
      <c r="A38879" s="3" t="s">
        <v>404</v>
      </c>
      <c r="G38879" s="16" t="n">
        <f aca="false">MAX(0,-G38878)</f>
        <v>0</v>
      </c>
      <c r="H38879" s="16" t="n">
        <f aca="false">MAX(0,-H38878)</f>
        <v>-0</v>
      </c>
      <c r="I38879" s="16" t="n">
        <f aca="false">MAX(0,-I38878)</f>
        <v>75.7748017716</v>
      </c>
      <c r="J38879" s="16" t="n">
        <f aca="false">MAX(0,-J38878)</f>
        <v>149.05681614325</v>
      </c>
      <c r="K38879" s="16" t="n">
        <f aca="false">MAX(0,-K38878)</f>
        <v>216.569127527031</v>
      </c>
    </row>
    <row r="38880" customFormat="false" ht="15" hidden="false" customHeight="false" outlineLevel="0" collapsed="false">
      <c r="A38880" s="3" t="s">
        <v>405</v>
      </c>
      <c r="G38880" s="16" t="n">
        <f aca="false">MAX(0,G38878-Assumptions!$C$12)*Assumptions!$C$13</f>
        <v>0</v>
      </c>
      <c r="H38880" s="16" t="n">
        <f aca="false">MAX(0,H38878-Assumptions!$C$12)*Assumptions!$C$13</f>
        <v>0</v>
      </c>
      <c r="I38880" s="16" t="n">
        <f aca="false">MAX(0,I38878-Assumptions!$C$12)*Assumptions!$C$13</f>
        <v>0</v>
      </c>
      <c r="J38880" s="16" t="n">
        <f aca="false">MAX(0,J38878-Assumptions!$C$12)*Assumptions!$C$13</f>
        <v>0</v>
      </c>
      <c r="K38880" s="16" t="n">
        <f aca="false">MAX(0,K38878-Assumptions!$C$12)*Assumptions!$C$13</f>
        <v>0</v>
      </c>
    </row>
    <row r="38881" customFormat="false" ht="15" hidden="false" customHeight="false" outlineLevel="0" collapsed="false">
      <c r="A38881" s="3" t="s">
        <v>406</v>
      </c>
      <c r="G38881" s="16" t="n">
        <f aca="false">G38703+G38716+G38729+G38742+G38755+G38768+G38781+G38794+G38807+G38820</f>
        <v>0</v>
      </c>
      <c r="H38881" s="16" t="n">
        <f aca="false">H38703+H38716+H38729+H38742+H38755+H38768+H38781+H38794+H38807+H38820</f>
        <v>0</v>
      </c>
      <c r="I38881" s="16" t="n">
        <f aca="false">I38703+I38716+I38729+I38742+I38755+I38768+I38781+I38794+I38807+I38820</f>
        <v>0</v>
      </c>
      <c r="J38881" s="16" t="n">
        <f aca="false">J38703+J38716+J38729+J38742+J38755+J38768+J38781+J38794+J38807+J38820</f>
        <v>0</v>
      </c>
      <c r="K38881" s="16" t="n">
        <f aca="false">K38703+K38716+K38729+K38742+K38755+K38768+K38781+K38794+K38807+K38820</f>
        <v>0</v>
      </c>
    </row>
    <row r="38882" customFormat="false" ht="15" hidden="false" customHeight="false" outlineLevel="0" collapsed="false">
      <c r="A38882" s="2" t="s">
        <v>407</v>
      </c>
      <c r="F38882" s="28" t="n">
        <f aca="false">Assumptions!$C$11</f>
        <v>37.87</v>
      </c>
      <c r="G38882" s="17" t="n">
        <f aca="false">G38878-G38881</f>
        <v>87.2944416</v>
      </c>
      <c r="H38882" s="17" t="n">
        <f aca="false">H38878-H38881</f>
        <v>0</v>
      </c>
      <c r="I38882" s="17" t="n">
        <f aca="false">I38878-I38881</f>
        <v>-75.7748017716</v>
      </c>
      <c r="J38882" s="17" t="n">
        <f aca="false">J38878-J38881</f>
        <v>-149.05681614325</v>
      </c>
      <c r="K38882" s="17" t="n">
        <f aca="false">K38878-K38881</f>
        <v>-216.569127527031</v>
      </c>
    </row>
    <row r="38883" customFormat="false" ht="15" hidden="false" customHeight="false" outlineLevel="0" collapsed="false">
      <c r="A38883" s="3" t="s">
        <v>408</v>
      </c>
      <c r="G38883" s="16" t="n">
        <f aca="false">G38704+G38717+G38730+G38743+G38756+G38769+G38782+G38795+G38808+G38821</f>
        <v>0</v>
      </c>
      <c r="H38883" s="16" t="n">
        <f aca="false">H38704+H38717+H38730+H38743+H38756+H38769+H38782+H38795+H38808+H38821</f>
        <v>784.9547587</v>
      </c>
      <c r="I38883" s="16" t="n">
        <f aca="false">I38704+I38717+I38730+I38743+I38756+I38769+I38782+I38795+I38808+I38821</f>
        <v>550</v>
      </c>
      <c r="J38883" s="16" t="n">
        <f aca="false">J38704+J38717+J38730+J38743+J38756+J38769+J38782+J38795+J38808+J38821</f>
        <v>350</v>
      </c>
      <c r="K38883" s="16" t="n">
        <f aca="false">K38704+K38717+K38730+K38743+K38756+K38769+K38782+K38795+K38808+K38821</f>
        <v>680</v>
      </c>
    </row>
    <row r="38884" customFormat="false" ht="15" hidden="false" customHeight="false" outlineLevel="0" collapsed="false">
      <c r="A38884" s="3" t="s">
        <v>409</v>
      </c>
      <c r="G38884" s="21" t="n">
        <f aca="false">IF(OR(G38879&gt;0.001,G38883&gt;0.001),1,0)</f>
        <v>0</v>
      </c>
      <c r="H38884" s="21" t="n">
        <f aca="false">IF(OR(H38879&gt;0.001,H38883&gt;0.001),1,0)</f>
        <v>1</v>
      </c>
      <c r="I38884" s="21" t="n">
        <f aca="false">IF(OR(I38879&gt;0.001,I38883&gt;0.001),1,0)</f>
        <v>1</v>
      </c>
      <c r="J38884" s="21" t="n">
        <f aca="false">IF(OR(J38879&gt;0.001,J38883&gt;0.001),1,0)</f>
        <v>1</v>
      </c>
      <c r="K38884" s="21" t="n">
        <f aca="false">IF(OR(K38879&gt;0.001,K38883&gt;0.001),1,0)</f>
        <v>1</v>
      </c>
    </row>
    <row r="38885" customFormat="false" ht="15" hidden="false" customHeight="false" outlineLevel="0" collapsed="false">
      <c r="A38885" s="3" t="s">
        <v>410</v>
      </c>
      <c r="G38885" s="21" t="n">
        <f aca="false">IF(G38884=1,1,0)</f>
        <v>0</v>
      </c>
      <c r="H38885" s="21" t="n">
        <f aca="false">IF(AND(H38884=1,SUM($G$38884:G38884)=0),1,0)</f>
        <v>1</v>
      </c>
      <c r="I38885" s="21" t="n">
        <f aca="false">IF(AND(I38884=1,SUM($G$38884:H38884)=0),1,0)</f>
        <v>0</v>
      </c>
      <c r="J38885" s="21" t="n">
        <f aca="false">IF(AND(J38884=1,SUM($G$38884:I38884)=0),1,0)</f>
        <v>0</v>
      </c>
      <c r="K38885" s="21" t="n">
        <f aca="false">IF(AND(K38884=1,SUM($G$38884:J38884)=0),1,0)</f>
        <v>0</v>
      </c>
    </row>
    <row r="38886" customFormat="false" ht="15" hidden="false" customHeight="false" outlineLevel="0" collapsed="false">
      <c r="A38886" s="3" t="s">
        <v>411</v>
      </c>
      <c r="G38886" s="16" t="n">
        <f aca="false">(G38824-F38824)-(G38875+G38673-G38873-G38877-G38881)</f>
        <v>0</v>
      </c>
      <c r="H38886" s="16" t="n">
        <f aca="false">(H38824-G38824)-(H38875+H38673-H38873-H38877-H38881)</f>
        <v>-2.27373675443232E-013</v>
      </c>
      <c r="I38886" s="16" t="n">
        <f aca="false">(I38824-H38824)-(I38875+I38673-I38873-I38877-I38881)</f>
        <v>0</v>
      </c>
      <c r="J38886" s="16" t="n">
        <f aca="false">(J38824-I38824)-(J38875+J38673-J38873-J38877-J38881)</f>
        <v>0</v>
      </c>
      <c r="K38886" s="16" t="n">
        <f aca="false">(K38824-J38824)-(K38875+K38673-K38873-K38877-K38881)</f>
        <v>0</v>
      </c>
    </row>
    <row r="38888" customFormat="false" ht="15" hidden="false" customHeight="false" outlineLevel="0" collapsed="false">
      <c r="A38888" s="24" t="s">
        <v>413</v>
      </c>
      <c r="B38888" s="25"/>
      <c r="C38888" s="25"/>
      <c r="D38888" s="25"/>
      <c r="E38888" s="25"/>
      <c r="F38888" s="25"/>
      <c r="G38888" s="25"/>
      <c r="H38888" s="25"/>
      <c r="I38888" s="25"/>
      <c r="J38888" s="25"/>
      <c r="K38888" s="25"/>
    </row>
    <row r="38889" customFormat="false" ht="15" hidden="false" customHeight="false" outlineLevel="0" collapsed="false">
      <c r="A38889" s="3" t="s">
        <v>414</v>
      </c>
      <c r="G38889" s="16" t="n">
        <f aca="false">G38824</f>
        <v>2621.934</v>
      </c>
      <c r="H38889" s="16" t="n">
        <f aca="false">H38824</f>
        <v>2602.8887587</v>
      </c>
      <c r="I38889" s="16" t="n">
        <f aca="false">I38824</f>
        <v>2598.8887587</v>
      </c>
      <c r="J38889" s="16" t="n">
        <f aca="false">J38824</f>
        <v>2594.8887587</v>
      </c>
      <c r="K38889" s="16" t="n">
        <f aca="false">K38824</f>
        <v>2590.8887587</v>
      </c>
    </row>
    <row r="38890" customFormat="false" ht="15" hidden="false" customHeight="false" outlineLevel="0" collapsed="false">
      <c r="A38890" s="3" t="s">
        <v>415</v>
      </c>
      <c r="G38890" s="16" t="n">
        <f aca="false">Assumptions!$O$57*G38705+Assumptions!$O$58*G38718+Assumptions!$O$59*G38731+Assumptions!$O$60*G38744+Assumptions!$O$61*G38757+Assumptions!$O$62*G38770+Assumptions!$O$63*G38783+Assumptions!$O$64*G38796+Assumptions!$O$65*G38809+Assumptions!$O$66*G38822</f>
        <v>543.324</v>
      </c>
      <c r="H38890" s="16" t="n">
        <f aca="false">Assumptions!$O$57*H38705+Assumptions!$O$58*H38718+Assumptions!$O$59*H38731+Assumptions!$O$60*H38744+Assumptions!$O$61*H38757+Assumptions!$O$62*H38770+Assumptions!$O$63*H38783+Assumptions!$O$64*H38796+Assumptions!$O$65*H38809+Assumptions!$O$66*H38822</f>
        <v>539.324</v>
      </c>
      <c r="I38890" s="16" t="n">
        <f aca="false">Assumptions!$O$57*I38705+Assumptions!$O$58*I38718+Assumptions!$O$59*I38731+Assumptions!$O$60*I38744+Assumptions!$O$61*I38757+Assumptions!$O$62*I38770+Assumptions!$O$63*I38783+Assumptions!$O$64*I38796+Assumptions!$O$65*I38809+Assumptions!$O$66*I38822</f>
        <v>535.324</v>
      </c>
      <c r="J38890" s="16" t="n">
        <f aca="false">Assumptions!$O$57*J38705+Assumptions!$O$58*J38718+Assumptions!$O$59*J38731+Assumptions!$O$60*J38744+Assumptions!$O$61*J38757+Assumptions!$O$62*J38770+Assumptions!$O$63*J38783+Assumptions!$O$64*J38796+Assumptions!$O$65*J38809+Assumptions!$O$66*J38822</f>
        <v>531.324</v>
      </c>
      <c r="K38890" s="16" t="n">
        <f aca="false">Assumptions!$O$57*K38705+Assumptions!$O$58*K38718+Assumptions!$O$59*K38731+Assumptions!$O$60*K38744+Assumptions!$O$61*K38757+Assumptions!$O$62*K38770+Assumptions!$O$63*K38783+Assumptions!$O$64*K38796+Assumptions!$O$65*K38809+Assumptions!$O$66*K38822</f>
        <v>527.324</v>
      </c>
    </row>
    <row r="38891" customFormat="false" ht="15" hidden="false" customHeight="false" outlineLevel="0" collapsed="false">
      <c r="A38891" s="3" t="s">
        <v>416</v>
      </c>
      <c r="G38891" s="16" t="n">
        <f aca="false">G38889-G38882</f>
        <v>2534.6395584</v>
      </c>
      <c r="H38891" s="16" t="n">
        <f aca="false">H38889-H38882</f>
        <v>2602.8887587</v>
      </c>
      <c r="I38891" s="16" t="n">
        <f aca="false">I38889-I38882</f>
        <v>2674.6635604716</v>
      </c>
      <c r="J38891" s="16" t="n">
        <f aca="false">J38889-J38882</f>
        <v>2743.94557484325</v>
      </c>
      <c r="K38891" s="16" t="n">
        <f aca="false">K38889-K38882</f>
        <v>2807.45788622703</v>
      </c>
    </row>
    <row r="38892" customFormat="false" ht="15" hidden="false" customHeight="false" outlineLevel="0" collapsed="false">
      <c r="A38892" s="3" t="s">
        <v>417</v>
      </c>
      <c r="G38892" s="32" t="n">
        <f aca="false">IF(G38668&gt;0,G38889/G38668,0)</f>
        <v>12.7097898879239</v>
      </c>
      <c r="H38892" s="32" t="n">
        <f aca="false">IF(H38668&gt;0,H38889/H38668,0)</f>
        <v>14.5137170159321</v>
      </c>
      <c r="I38892" s="32" t="n">
        <f aca="false">IF(I38668&gt;0,I38889/I38668,0)</f>
        <v>15.1153610447715</v>
      </c>
      <c r="J38892" s="32" t="n">
        <f aca="false">IF(J38668&gt;0,J38889/J38668,0)</f>
        <v>14.9166072034602</v>
      </c>
      <c r="K38892" s="32" t="n">
        <f aca="false">IF(K38668&gt;0,K38889/K38668,0)</f>
        <v>14.4110120408369</v>
      </c>
    </row>
    <row r="38893" customFormat="false" ht="15" hidden="false" customHeight="false" outlineLevel="0" collapsed="false">
      <c r="A38893" s="3" t="s">
        <v>418</v>
      </c>
      <c r="G38893" s="32" t="n">
        <f aca="false">IF(G38668&gt;0,G38891/G38668,0)</f>
        <v>12.2866312534504</v>
      </c>
      <c r="H38893" s="32" t="n">
        <f aca="false">IF(H38668&gt;0,H38891/H38668,0)</f>
        <v>14.5137170159321</v>
      </c>
      <c r="I38893" s="32" t="n">
        <f aca="false">IF(I38668&gt;0,I38891/I38668,0)</f>
        <v>15.5560738236619</v>
      </c>
      <c r="J38893" s="32" t="n">
        <f aca="false">IF(J38668&gt;0,J38891/J38668,0)</f>
        <v>15.7734539449449</v>
      </c>
      <c r="K38893" s="32" t="n">
        <f aca="false">IF(K38668&gt;0,K38891/K38668,0)</f>
        <v>15.6156103833885</v>
      </c>
    </row>
    <row r="38894" customFormat="false" ht="15" hidden="false" customHeight="false" outlineLevel="0" collapsed="false">
      <c r="A38894" s="3" t="s">
        <v>419</v>
      </c>
      <c r="G38894" s="32" t="n">
        <f aca="false">IF(G38672&gt;0,G38668/G38672,0)</f>
        <v>1.06025908412371</v>
      </c>
      <c r="H38894" s="32" t="n">
        <f aca="false">IF(H38672&gt;0,H38668/H38672,0)</f>
        <v>0.927444011573365</v>
      </c>
      <c r="I38894" s="32" t="n">
        <f aca="false">IF(I38672&gt;0,I38668/I38672,0)</f>
        <v>0.899631625108658</v>
      </c>
      <c r="J38894" s="32" t="n">
        <f aca="false">IF(J38672&gt;0,J38668/J38672,0)</f>
        <v>0.912459444554051</v>
      </c>
      <c r="K38894" s="32" t="n">
        <f aca="false">IF(K38672&gt;0,K38668/K38672,0)</f>
        <v>0.945346751531936</v>
      </c>
    </row>
    <row r="38895" customFormat="false" ht="15" hidden="false" customHeight="false" outlineLevel="0" collapsed="false">
      <c r="A38895" s="3" t="s">
        <v>420</v>
      </c>
      <c r="G38895" s="32" t="n">
        <f aca="false">IF(G38672&gt;0,G38671/G38672,0)</f>
        <v>0.20316175818306</v>
      </c>
      <c r="H38895" s="32" t="n">
        <f aca="false">IF(H38672&gt;0,H38671/H38672,0)</f>
        <v>0.125405512651662</v>
      </c>
      <c r="I38895" s="32" t="n">
        <f aca="false">IF(I38672&gt;0,I38671/I38672,0)</f>
        <v>0.112492039835566</v>
      </c>
      <c r="J38895" s="32" t="n">
        <f aca="false">IF(J38672&gt;0,J38671/J38672,0)</f>
        <v>0.123379355508513</v>
      </c>
      <c r="K38895" s="32" t="n">
        <f aca="false">IF(K38672&gt;0,K38671/K38672,0)</f>
        <v>0.146406265534401</v>
      </c>
    </row>
    <row r="38896" customFormat="false" ht="15" hidden="false" customHeight="false" outlineLevel="0" collapsed="false">
      <c r="A38896" s="3" t="s">
        <v>213</v>
      </c>
      <c r="G38896" s="22" t="n">
        <f aca="false">IF(G38889&gt;0,G38681/G38889,0)</f>
        <v>-0.0177638180060978</v>
      </c>
      <c r="H38896" s="22" t="n">
        <f aca="false">IF(H38889&gt;0,H38681/H38889,0)</f>
        <v>-0.0262205597806979</v>
      </c>
      <c r="I38896" s="22" t="n">
        <f aca="false">IF(I38889&gt;0,I38681/I38889,0)</f>
        <v>-0.0276174967209842</v>
      </c>
      <c r="J38896" s="22" t="n">
        <f aca="false">IF(J38889&gt;0,J38681/J38889,0)</f>
        <v>-0.0266994159727908</v>
      </c>
      <c r="K38896" s="22" t="n">
        <f aca="false">IF(K38889&gt;0,K38681/K38889,0)</f>
        <v>-0.0245137160638455</v>
      </c>
    </row>
    <row r="38897" customFormat="false" ht="15" hidden="false" customHeight="false" outlineLevel="0" collapsed="false">
      <c r="A38897" s="3" t="s">
        <v>421</v>
      </c>
      <c r="G38897" s="32" t="n">
        <f aca="false">IF(G38672+G38873&gt;0,(G38668-G38679-G38676)/(G38672+G38873),0)</f>
        <v>0.745298526859104</v>
      </c>
      <c r="H38897" s="32" t="n">
        <f aca="false">IF(H38672+H38873&gt;0,(H38668-H38679-H38676)/(H38672+H38873),0)</f>
        <v>0.633940444194116</v>
      </c>
      <c r="I38897" s="32" t="n">
        <f aca="false">IF(I38672+I38873&gt;0,(I38668-I38679-I38676)/(I38672+I38873),0)</f>
        <v>0.611648781339491</v>
      </c>
      <c r="J38897" s="32" t="n">
        <f aca="false">IF(J38672+J38873&gt;0,(J38668-J38679-J38676)/(J38672+J38873),0)</f>
        <v>0.623517628652559</v>
      </c>
      <c r="K38897" s="32" t="n">
        <f aca="false">IF(K38672+K38873&gt;0,(K38668-K38679-K38676)/(K38672+K38873),0)</f>
        <v>0.652319655812009</v>
      </c>
    </row>
    <row r="38898" customFormat="false" ht="15" hidden="false" customHeight="false" outlineLevel="0" collapsed="false">
      <c r="A38898" s="3" t="s">
        <v>422</v>
      </c>
      <c r="G38898" s="16" t="n">
        <f aca="false">MAX(0,G38882)+Assumptions!$P$57*MAX(0,Assumptions!$D$57-G38705)+Assumptions!$P$58*MAX(0,Assumptions!$D$58-G38718)+Assumptions!$P$59*MAX(0,Assumptions!$D$59-G38731)+Assumptions!$P$60*MAX(0,Assumptions!$D$60-G38744)+Assumptions!$P$61*MAX(0,Assumptions!$D$61-G38757)+Assumptions!$P$62*MAX(0,Assumptions!$D$62-G38770)+Assumptions!$P$63*MAX(0,Assumptions!$D$63-G38783)+Assumptions!$P$64*MAX(0,Assumptions!$D$64-G38796)+Assumptions!$P$65*MAX(0,Assumptions!$D$65-G38809)+Assumptions!$P$66*MAX(0,Assumptions!$D$66-G38822)</f>
        <v>661.7944416</v>
      </c>
      <c r="H38898" s="16" t="n">
        <f aca="false">MAX(0,H38882)+Assumptions!$P$57*MAX(0,Assumptions!$D$57-H38705)+Assumptions!$P$58*MAX(0,Assumptions!$D$58-H38718)+Assumptions!$P$59*MAX(0,Assumptions!$D$59-H38731)+Assumptions!$P$60*MAX(0,Assumptions!$D$60-H38744)+Assumptions!$P$61*MAX(0,Assumptions!$D$61-H38757)+Assumptions!$P$62*MAX(0,Assumptions!$D$62-H38770)+Assumptions!$P$63*MAX(0,Assumptions!$D$63-H38783)+Assumptions!$P$64*MAX(0,Assumptions!$D$64-H38796)+Assumptions!$P$65*MAX(0,Assumptions!$D$65-H38809)+Assumptions!$P$66*MAX(0,Assumptions!$D$66-H38822)</f>
        <v>574.5</v>
      </c>
      <c r="I38898" s="16" t="n">
        <f aca="false">MAX(0,I38882)+Assumptions!$P$57*MAX(0,Assumptions!$D$57-I38705)+Assumptions!$P$58*MAX(0,Assumptions!$D$58-I38718)+Assumptions!$P$59*MAX(0,Assumptions!$D$59-I38731)+Assumptions!$P$60*MAX(0,Assumptions!$D$60-I38744)+Assumptions!$P$61*MAX(0,Assumptions!$D$61-I38757)+Assumptions!$P$62*MAX(0,Assumptions!$D$62-I38770)+Assumptions!$P$63*MAX(0,Assumptions!$D$63-I38783)+Assumptions!$P$64*MAX(0,Assumptions!$D$64-I38796)+Assumptions!$P$65*MAX(0,Assumptions!$D$65-I38809)+Assumptions!$P$66*MAX(0,Assumptions!$D$66-I38822)</f>
        <v>574.5</v>
      </c>
      <c r="J38898" s="16" t="n">
        <f aca="false">MAX(0,J38882)+Assumptions!$P$57*MAX(0,Assumptions!$D$57-J38705)+Assumptions!$P$58*MAX(0,Assumptions!$D$58-J38718)+Assumptions!$P$59*MAX(0,Assumptions!$D$59-J38731)+Assumptions!$P$60*MAX(0,Assumptions!$D$60-J38744)+Assumptions!$P$61*MAX(0,Assumptions!$D$61-J38757)+Assumptions!$P$62*MAX(0,Assumptions!$D$62-J38770)+Assumptions!$P$63*MAX(0,Assumptions!$D$63-J38783)+Assumptions!$P$64*MAX(0,Assumptions!$D$64-J38796)+Assumptions!$P$65*MAX(0,Assumptions!$D$65-J38809)+Assumptions!$P$66*MAX(0,Assumptions!$D$66-J38822)</f>
        <v>574.5</v>
      </c>
      <c r="K38898" s="16" t="n">
        <f aca="false">MAX(0,K38882)+Assumptions!$P$57*MAX(0,Assumptions!$D$57-K38705)+Assumptions!$P$58*MAX(0,Assumptions!$D$58-K38718)+Assumptions!$P$59*MAX(0,Assumptions!$D$59-K38731)+Assumptions!$P$60*MAX(0,Assumptions!$D$60-K38744)+Assumptions!$P$61*MAX(0,Assumptions!$D$61-K38757)+Assumptions!$P$62*MAX(0,Assumptions!$D$62-K38770)+Assumptions!$P$63*MAX(0,Assumptions!$D$63-K38783)+Assumptions!$P$64*MAX(0,Assumptions!$D$64-K38796)+Assumptions!$P$65*MAX(0,Assumptions!$D$65-K38809)+Assumptions!$P$66*MAX(0,Assumptions!$D$66-K38822)</f>
        <v>574.5</v>
      </c>
    </row>
    <row r="38899" customFormat="false" ht="15" hidden="false" customHeight="false" outlineLevel="0" collapsed="false">
      <c r="A38899" s="3" t="s">
        <v>423</v>
      </c>
      <c r="G38899" s="22" t="n">
        <f aca="false">IF(G38889&gt;0,G38889/(G38889+MAX(0,G38668*CHOOSE($C$38651,Assumptions!$C$90,Assumptions!$C$109,Assumptions!$C$128)-G38891)),0)</f>
        <v>1</v>
      </c>
      <c r="H38899" s="22" t="n">
        <f aca="false">IF(H38889&gt;0,H38889/(H38889+MAX(0,H38668*CHOOSE($C$38651,Assumptions!$C$90,Assumptions!$C$109,Assumptions!$C$128)-H38891)),0)</f>
        <v>1</v>
      </c>
      <c r="I38899" s="22" t="n">
        <f aca="false">IF(I38889&gt;0,I38889/(I38889+MAX(0,I38668*CHOOSE($C$38651,Assumptions!$C$90,Assumptions!$C$109,Assumptions!$C$128)-I38891)),0)</f>
        <v>1</v>
      </c>
      <c r="J38899" s="22" t="n">
        <f aca="false">IF(J38889&gt;0,J38889/(J38889+MAX(0,J38668*CHOOSE($C$38651,Assumptions!$C$90,Assumptions!$C$109,Assumptions!$C$128)-J38891)),0)</f>
        <v>1</v>
      </c>
      <c r="K38899" s="22" t="n">
        <f aca="false">IF(K38889&gt;0,K38889/(K38889+MAX(0,K38668*CHOOSE($C$38651,Assumptions!$C$90,Assumptions!$C$109,Assumptions!$C$128)-K38891)),0)</f>
        <v>1</v>
      </c>
    </row>
    <row r="38900" customFormat="false" ht="15" hidden="false" customHeight="false" outlineLevel="0" collapsed="false">
      <c r="A38900" s="3" t="s">
        <v>424</v>
      </c>
      <c r="G38900" s="22" t="n">
        <f aca="false">IF(G38889&gt;0,MAX(0,G38882)/G38889,0)</f>
        <v>0.0332939126614171</v>
      </c>
      <c r="H38900" s="22" t="n">
        <f aca="false">IF(H38889&gt;0,MAX(0,H38882)/H38889,0)</f>
        <v>0</v>
      </c>
      <c r="I38900" s="22" t="n">
        <f aca="false">IF(I38889&gt;0,MAX(0,I38882)/I38889,0)</f>
        <v>0</v>
      </c>
      <c r="J38900" s="22" t="n">
        <f aca="false">IF(J38889&gt;0,MAX(0,J38882)/J38889,0)</f>
        <v>0</v>
      </c>
      <c r="K38900" s="22" t="n">
        <f aca="false">IF(K38889&gt;0,MAX(0,K38882)/K38889,0)</f>
        <v>0</v>
      </c>
    </row>
    <row r="38901" customFormat="false" ht="15" hidden="false" customHeight="false" outlineLevel="0" collapsed="false">
      <c r="A38901" s="3" t="s">
        <v>425</v>
      </c>
      <c r="G38901" s="16" t="n">
        <f aca="false">Assumptions!$C$31*(1-CHOOSE($C$38651,Assumptions!$C$93,Assumptions!$C$112,Assumptions!$C$131))</f>
        <v>3162.39046666667</v>
      </c>
      <c r="H38901" s="16" t="n">
        <f aca="false">Assumptions!$C$31*(1-CHOOSE($C$38651,Assumptions!$C$93,Assumptions!$C$112,Assumptions!$C$131))</f>
        <v>3162.39046666667</v>
      </c>
      <c r="I38901" s="16" t="n">
        <f aca="false">Assumptions!$C$31*(1-CHOOSE($C$38651,Assumptions!$C$93,Assumptions!$C$112,Assumptions!$C$131))</f>
        <v>3162.39046666667</v>
      </c>
      <c r="J38901" s="16" t="n">
        <f aca="false">Assumptions!$C$31*(1-CHOOSE($C$38651,Assumptions!$C$93,Assumptions!$C$112,Assumptions!$C$131))</f>
        <v>3162.39046666667</v>
      </c>
      <c r="K38901" s="16" t="n">
        <f aca="false">Assumptions!$C$31*(1-CHOOSE($C$38651,Assumptions!$C$93,Assumptions!$C$112,Assumptions!$C$131))</f>
        <v>3162.39046666667</v>
      </c>
    </row>
    <row r="38902" customFormat="false" ht="15" hidden="false" customHeight="false" outlineLevel="0" collapsed="false">
      <c r="A38902" s="24" t="s">
        <v>426</v>
      </c>
      <c r="B38902" s="25"/>
      <c r="C38902" s="25"/>
      <c r="D38902" s="25"/>
      <c r="E38902" s="25"/>
      <c r="F38902" s="25"/>
      <c r="G38902" s="25"/>
      <c r="H38902" s="25"/>
      <c r="I38902" s="25"/>
      <c r="J38902" s="25"/>
      <c r="K38902" s="25"/>
    </row>
    <row r="38903" customFormat="false" ht="15" hidden="false" customHeight="false" outlineLevel="0" collapsed="false">
      <c r="A38903" s="24" t="s">
        <v>427</v>
      </c>
      <c r="B38903" s="25"/>
      <c r="C38903" s="25"/>
      <c r="D38903" s="25"/>
      <c r="E38903" s="25"/>
      <c r="F38903" s="25"/>
      <c r="G38903" s="25"/>
      <c r="H38903" s="25"/>
      <c r="I38903" s="25"/>
      <c r="J38903" s="25"/>
      <c r="K38903" s="25"/>
    </row>
    <row r="38904" customFormat="false" ht="15" hidden="false" customHeight="false" outlineLevel="0" collapsed="false">
      <c r="A38904" s="3" t="s">
        <v>428</v>
      </c>
      <c r="G38904" s="22" t="n">
        <f aca="false">IF(G38901&gt;0,G38889/G38901,99)</f>
        <v>0.829098755399318</v>
      </c>
      <c r="H38904" s="22" t="n">
        <f aca="false">IF(H38901&gt;0,H38889/H38901,99)</f>
        <v>0.823076336124801</v>
      </c>
      <c r="I38904" s="22" t="n">
        <f aca="false">IF(I38901&gt;0,I38889/I38901,99)</f>
        <v>0.821811470181724</v>
      </c>
      <c r="J38904" s="22" t="n">
        <f aca="false">IF(J38901&gt;0,J38889/J38901,99)</f>
        <v>0.820546604238646</v>
      </c>
      <c r="K38904" s="22" t="n">
        <f aca="false">IF(K38901&gt;0,K38889/K38901,99)</f>
        <v>0.819281738295568</v>
      </c>
    </row>
    <row r="38905" customFormat="false" ht="15" hidden="false" customHeight="false" outlineLevel="0" collapsed="false">
      <c r="A38905" s="3" t="s">
        <v>429</v>
      </c>
      <c r="G38905" s="33" t="n">
        <f aca="false">Assumptions!$G$71</f>
        <v>0.6</v>
      </c>
      <c r="H38905" s="33" t="n">
        <f aca="false">Assumptions!$H$71</f>
        <v>0.6</v>
      </c>
      <c r="I38905" s="33" t="n">
        <f aca="false">Assumptions!$I$71</f>
        <v>0.6</v>
      </c>
      <c r="J38905" s="33" t="n">
        <f aca="false">Assumptions!$J$71</f>
        <v>0.6</v>
      </c>
      <c r="K38905" s="33" t="n">
        <f aca="false">Assumptions!$K$71</f>
        <v>0.6</v>
      </c>
    </row>
    <row r="38906" customFormat="false" ht="15" hidden="false" customHeight="false" outlineLevel="0" collapsed="false">
      <c r="A38906" s="3" t="s">
        <v>430</v>
      </c>
      <c r="G38906" s="22" t="n">
        <f aca="false">G38905-G38904</f>
        <v>-0.229098755399318</v>
      </c>
      <c r="H38906" s="22" t="n">
        <f aca="false">H38905-H38904</f>
        <v>-0.223076336124801</v>
      </c>
      <c r="I38906" s="22" t="n">
        <f aca="false">I38905-I38904</f>
        <v>-0.221811470181724</v>
      </c>
      <c r="J38906" s="22" t="n">
        <f aca="false">J38905-J38904</f>
        <v>-0.220546604238646</v>
      </c>
      <c r="K38906" s="22" t="n">
        <f aca="false">K38905-K38904</f>
        <v>-0.219281738295568</v>
      </c>
    </row>
    <row r="38907" customFormat="false" ht="15" hidden="false" customHeight="false" outlineLevel="0" collapsed="false">
      <c r="A38907" s="3" t="s">
        <v>431</v>
      </c>
      <c r="G38907" s="22" t="n">
        <f aca="false">IF(G38905=0,0,G38906/ABS(G38905))</f>
        <v>-0.381831258998863</v>
      </c>
      <c r="H38907" s="22" t="n">
        <f aca="false">IF(H38905=0,0,H38906/ABS(H38905))</f>
        <v>-0.371793893541335</v>
      </c>
      <c r="I38907" s="22" t="n">
        <f aca="false">IF(I38905=0,0,I38906/ABS(I38905))</f>
        <v>-0.369685783636206</v>
      </c>
      <c r="J38907" s="22" t="n">
        <f aca="false">IF(J38905=0,0,J38906/ABS(J38905))</f>
        <v>-0.367577673731077</v>
      </c>
      <c r="K38907" s="22" t="n">
        <f aca="false">IF(K38905=0,0,K38906/ABS(K38905))</f>
        <v>-0.365469563825947</v>
      </c>
    </row>
    <row r="38908" customFormat="false" ht="15" hidden="false" customHeight="false" outlineLevel="0" collapsed="false">
      <c r="A38908" s="3" t="s">
        <v>432</v>
      </c>
      <c r="G38908" s="21" t="n">
        <f aca="false">IF(G38906&lt;0,1,0)</f>
        <v>1</v>
      </c>
      <c r="H38908" s="21" t="n">
        <f aca="false">IF(H38906&lt;0,1,0)</f>
        <v>1</v>
      </c>
      <c r="I38908" s="21" t="n">
        <f aca="false">IF(I38906&lt;0,1,0)</f>
        <v>1</v>
      </c>
      <c r="J38908" s="21" t="n">
        <f aca="false">IF(J38906&lt;0,1,0)</f>
        <v>1</v>
      </c>
      <c r="K38908" s="21" t="n">
        <f aca="false">IF(K38906&lt;0,1,0)</f>
        <v>1</v>
      </c>
    </row>
    <row r="38909" customFormat="false" ht="15" hidden="false" customHeight="false" outlineLevel="0" collapsed="false">
      <c r="A38909" s="3" t="s">
        <v>433</v>
      </c>
      <c r="C38909" s="21" t="n">
        <f aca="false">IFERROR(INDEX($G$38658:$K$38658,MATCH(1,$G$38908:$K$38908,0)),0)</f>
        <v>2027</v>
      </c>
    </row>
    <row r="38910" customFormat="false" ht="15" hidden="false" customHeight="false" outlineLevel="0" collapsed="false">
      <c r="A38910" s="3" t="s">
        <v>434</v>
      </c>
      <c r="C38910" s="22" t="n">
        <f aca="false">MIN($G$38907:$K$38907)</f>
        <v>-0.381831258998863</v>
      </c>
    </row>
    <row r="38911" customFormat="false" ht="15" hidden="false" customHeight="false" outlineLevel="0" collapsed="false">
      <c r="A38911" s="24" t="s">
        <v>435</v>
      </c>
      <c r="B38911" s="25"/>
      <c r="C38911" s="25"/>
      <c r="D38911" s="25"/>
      <c r="E38911" s="25"/>
      <c r="F38911" s="25"/>
      <c r="G38911" s="25"/>
      <c r="H38911" s="25"/>
      <c r="I38911" s="25"/>
      <c r="J38911" s="25"/>
      <c r="K38911" s="25"/>
    </row>
    <row r="38912" customFormat="false" ht="15" hidden="false" customHeight="false" outlineLevel="0" collapsed="false">
      <c r="A38912" s="3" t="s">
        <v>428</v>
      </c>
      <c r="G38912" s="32" t="n">
        <f aca="false">IF(G38672&gt;0,G38668/G38672,99)</f>
        <v>1.06025908412371</v>
      </c>
      <c r="H38912" s="32" t="n">
        <f aca="false">IF(H38672&gt;0,H38668/H38672,99)</f>
        <v>0.927444011573365</v>
      </c>
      <c r="I38912" s="32" t="n">
        <f aca="false">IF(I38672&gt;0,I38668/I38672,99)</f>
        <v>0.899631625108658</v>
      </c>
      <c r="J38912" s="32" t="n">
        <f aca="false">IF(J38672&gt;0,J38668/J38672,99)</f>
        <v>0.912459444554051</v>
      </c>
      <c r="K38912" s="32" t="n">
        <f aca="false">IF(K38672&gt;0,K38668/K38672,99)</f>
        <v>0.945346751531936</v>
      </c>
    </row>
    <row r="38913" customFormat="false" ht="15" hidden="false" customHeight="false" outlineLevel="0" collapsed="false">
      <c r="A38913" s="3" t="s">
        <v>429</v>
      </c>
      <c r="G38913" s="34" t="n">
        <f aca="false">Assumptions!$G$72</f>
        <v>1.5</v>
      </c>
      <c r="H38913" s="34" t="n">
        <f aca="false">Assumptions!$H$72</f>
        <v>1.5</v>
      </c>
      <c r="I38913" s="34" t="n">
        <f aca="false">Assumptions!$I$72</f>
        <v>1.5</v>
      </c>
      <c r="J38913" s="34" t="n">
        <f aca="false">Assumptions!$J$72</f>
        <v>1.5</v>
      </c>
      <c r="K38913" s="34" t="n">
        <f aca="false">Assumptions!$K$72</f>
        <v>1.5</v>
      </c>
    </row>
    <row r="38914" customFormat="false" ht="15" hidden="false" customHeight="false" outlineLevel="0" collapsed="false">
      <c r="A38914" s="3" t="s">
        <v>430</v>
      </c>
      <c r="G38914" s="32" t="n">
        <f aca="false">G38912-G38913</f>
        <v>-0.439740915876287</v>
      </c>
      <c r="H38914" s="32" t="n">
        <f aca="false">H38912-H38913</f>
        <v>-0.572555988426635</v>
      </c>
      <c r="I38914" s="32" t="n">
        <f aca="false">I38912-I38913</f>
        <v>-0.600368374891342</v>
      </c>
      <c r="J38914" s="32" t="n">
        <f aca="false">J38912-J38913</f>
        <v>-0.58754055544595</v>
      </c>
      <c r="K38914" s="32" t="n">
        <f aca="false">K38912-K38913</f>
        <v>-0.554653248468064</v>
      </c>
    </row>
    <row r="38915" customFormat="false" ht="15" hidden="false" customHeight="false" outlineLevel="0" collapsed="false">
      <c r="A38915" s="3" t="s">
        <v>431</v>
      </c>
      <c r="G38915" s="22" t="n">
        <f aca="false">IF(G38913=0,0,G38914/ABS(G38913))</f>
        <v>-0.293160610584191</v>
      </c>
      <c r="H38915" s="22" t="n">
        <f aca="false">IF(H38913=0,0,H38914/ABS(H38913))</f>
        <v>-0.381703992284423</v>
      </c>
      <c r="I38915" s="22" t="n">
        <f aca="false">IF(I38913=0,0,I38914/ABS(I38913))</f>
        <v>-0.400245583260895</v>
      </c>
      <c r="J38915" s="22" t="n">
        <f aca="false">IF(J38913=0,0,J38914/ABS(J38913))</f>
        <v>-0.391693703630633</v>
      </c>
      <c r="K38915" s="22" t="n">
        <f aca="false">IF(K38913=0,0,K38914/ABS(K38913))</f>
        <v>-0.369768832312043</v>
      </c>
    </row>
    <row r="38916" customFormat="false" ht="15" hidden="false" customHeight="false" outlineLevel="0" collapsed="false">
      <c r="A38916" s="3" t="s">
        <v>432</v>
      </c>
      <c r="G38916" s="21" t="n">
        <f aca="false">IF(G38914&lt;0,1,0)</f>
        <v>1</v>
      </c>
      <c r="H38916" s="21" t="n">
        <f aca="false">IF(H38914&lt;0,1,0)</f>
        <v>1</v>
      </c>
      <c r="I38916" s="21" t="n">
        <f aca="false">IF(I38914&lt;0,1,0)</f>
        <v>1</v>
      </c>
      <c r="J38916" s="21" t="n">
        <f aca="false">IF(J38914&lt;0,1,0)</f>
        <v>1</v>
      </c>
      <c r="K38916" s="21" t="n">
        <f aca="false">IF(K38914&lt;0,1,0)</f>
        <v>1</v>
      </c>
    </row>
    <row r="38917" customFormat="false" ht="15" hidden="false" customHeight="false" outlineLevel="0" collapsed="false">
      <c r="A38917" s="3" t="s">
        <v>433</v>
      </c>
      <c r="C38917" s="21" t="n">
        <f aca="false">IFERROR(INDEX($G$38658:$K$38658,MATCH(1,$G$38916:$K$38916,0)),0)</f>
        <v>2027</v>
      </c>
    </row>
    <row r="38918" customFormat="false" ht="15" hidden="false" customHeight="false" outlineLevel="0" collapsed="false">
      <c r="A38918" s="3" t="s">
        <v>434</v>
      </c>
      <c r="C38918" s="22" t="n">
        <f aca="false">MIN($G$38915:$K$38915)</f>
        <v>-0.400245583260895</v>
      </c>
    </row>
    <row r="38919" customFormat="false" ht="15" hidden="false" customHeight="false" outlineLevel="0" collapsed="false">
      <c r="A38919" s="24" t="s">
        <v>436</v>
      </c>
      <c r="B38919" s="25"/>
      <c r="C38919" s="25"/>
      <c r="D38919" s="25"/>
      <c r="E38919" s="25"/>
      <c r="F38919" s="25"/>
      <c r="G38919" s="25"/>
      <c r="H38919" s="25"/>
      <c r="I38919" s="25"/>
      <c r="J38919" s="25"/>
      <c r="K38919" s="25"/>
    </row>
    <row r="38920" customFormat="false" ht="15" hidden="false" customHeight="false" outlineLevel="0" collapsed="false">
      <c r="A38920" s="3" t="s">
        <v>428</v>
      </c>
      <c r="G38920" s="22" t="n">
        <f aca="false">IF(G38901&gt;0,G38890/G38901,99)</f>
        <v>0.171808005914176</v>
      </c>
      <c r="H38920" s="22" t="n">
        <f aca="false">IF(H38901&gt;0,H38890/H38901,99)</f>
        <v>0.170543139971098</v>
      </c>
      <c r="I38920" s="22" t="n">
        <f aca="false">IF(I38901&gt;0,I38890/I38901,99)</f>
        <v>0.169278274028021</v>
      </c>
      <c r="J38920" s="22" t="n">
        <f aca="false">IF(J38901&gt;0,J38890/J38901,99)</f>
        <v>0.168013408084943</v>
      </c>
      <c r="K38920" s="22" t="n">
        <f aca="false">IF(K38901&gt;0,K38890/K38901,99)</f>
        <v>0.166748542141865</v>
      </c>
    </row>
    <row r="38921" customFormat="false" ht="15" hidden="false" customHeight="false" outlineLevel="0" collapsed="false">
      <c r="A38921" s="3" t="s">
        <v>429</v>
      </c>
      <c r="G38921" s="33" t="n">
        <f aca="false">Assumptions!$G$73</f>
        <v>0.4</v>
      </c>
      <c r="H38921" s="33" t="n">
        <f aca="false">Assumptions!$H$73</f>
        <v>0.4</v>
      </c>
      <c r="I38921" s="33" t="n">
        <f aca="false">Assumptions!$I$73</f>
        <v>0.4</v>
      </c>
      <c r="J38921" s="33" t="n">
        <f aca="false">Assumptions!$J$73</f>
        <v>0.4</v>
      </c>
      <c r="K38921" s="33" t="n">
        <f aca="false">Assumptions!$K$73</f>
        <v>0.4</v>
      </c>
    </row>
    <row r="38922" customFormat="false" ht="15" hidden="false" customHeight="false" outlineLevel="0" collapsed="false">
      <c r="A38922" s="3" t="s">
        <v>430</v>
      </c>
      <c r="G38922" s="22" t="n">
        <f aca="false">G38921-G38920</f>
        <v>0.228191994085824</v>
      </c>
      <c r="H38922" s="22" t="n">
        <f aca="false">H38921-H38920</f>
        <v>0.229456860028902</v>
      </c>
      <c r="I38922" s="22" t="n">
        <f aca="false">I38921-I38920</f>
        <v>0.230721725971979</v>
      </c>
      <c r="J38922" s="22" t="n">
        <f aca="false">J38921-J38920</f>
        <v>0.231986591915057</v>
      </c>
      <c r="K38922" s="22" t="n">
        <f aca="false">K38921-K38920</f>
        <v>0.233251457858135</v>
      </c>
    </row>
    <row r="38923" customFormat="false" ht="15" hidden="false" customHeight="false" outlineLevel="0" collapsed="false">
      <c r="A38923" s="3" t="s">
        <v>431</v>
      </c>
      <c r="G38923" s="22" t="n">
        <f aca="false">IF(G38921=0,0,G38922/ABS(G38921))</f>
        <v>0.57047998521456</v>
      </c>
      <c r="H38923" s="22" t="n">
        <f aca="false">IF(H38921=0,0,H38922/ABS(H38921))</f>
        <v>0.573642150072254</v>
      </c>
      <c r="I38923" s="22" t="n">
        <f aca="false">IF(I38921=0,0,I38922/ABS(I38921))</f>
        <v>0.576804314929948</v>
      </c>
      <c r="J38923" s="22" t="n">
        <f aca="false">IF(J38921=0,0,J38922/ABS(J38921))</f>
        <v>0.579966479787643</v>
      </c>
      <c r="K38923" s="22" t="n">
        <f aca="false">IF(K38921=0,0,K38922/ABS(K38921))</f>
        <v>0.583128644645337</v>
      </c>
    </row>
    <row r="38924" customFormat="false" ht="15" hidden="false" customHeight="false" outlineLevel="0" collapsed="false">
      <c r="A38924" s="3" t="s">
        <v>432</v>
      </c>
      <c r="G38924" s="21" t="n">
        <f aca="false">IF(G38922&lt;0,1,0)</f>
        <v>0</v>
      </c>
      <c r="H38924" s="21" t="n">
        <f aca="false">IF(H38922&lt;0,1,0)</f>
        <v>0</v>
      </c>
      <c r="I38924" s="21" t="n">
        <f aca="false">IF(I38922&lt;0,1,0)</f>
        <v>0</v>
      </c>
      <c r="J38924" s="21" t="n">
        <f aca="false">IF(J38922&lt;0,1,0)</f>
        <v>0</v>
      </c>
      <c r="K38924" s="21" t="n">
        <f aca="false">IF(K38922&lt;0,1,0)</f>
        <v>0</v>
      </c>
    </row>
    <row r="38925" customFormat="false" ht="15" hidden="false" customHeight="false" outlineLevel="0" collapsed="false">
      <c r="A38925" s="3" t="s">
        <v>433</v>
      </c>
      <c r="C38925" s="21" t="n">
        <f aca="false">IFERROR(INDEX($G$38658:$K$38658,MATCH(1,$G$38924:$K$38924,0)),0)</f>
        <v>0</v>
      </c>
    </row>
    <row r="38926" customFormat="false" ht="15" hidden="false" customHeight="false" outlineLevel="0" collapsed="false">
      <c r="A38926" s="3" t="s">
        <v>434</v>
      </c>
      <c r="C38926" s="22" t="n">
        <f aca="false">MIN($G$38923:$K$38923)</f>
        <v>0.57047998521456</v>
      </c>
    </row>
    <row r="38927" customFormat="false" ht="15" hidden="false" customHeight="false" outlineLevel="0" collapsed="false">
      <c r="A38927" s="24" t="s">
        <v>437</v>
      </c>
      <c r="B38927" s="25"/>
      <c r="C38927" s="25"/>
      <c r="D38927" s="25"/>
      <c r="E38927" s="25"/>
      <c r="F38927" s="25"/>
      <c r="G38927" s="25"/>
      <c r="H38927" s="25"/>
      <c r="I38927" s="25"/>
      <c r="J38927" s="25"/>
      <c r="K38927" s="25"/>
    </row>
    <row r="38928" customFormat="false" ht="15" hidden="false" customHeight="false" outlineLevel="0" collapsed="false">
      <c r="A38928" s="3" t="s">
        <v>428</v>
      </c>
      <c r="G38928" s="16" t="n">
        <f aca="false">G38898</f>
        <v>661.7944416</v>
      </c>
      <c r="H38928" s="16" t="n">
        <f aca="false">H38898</f>
        <v>574.5</v>
      </c>
      <c r="I38928" s="16" t="n">
        <f aca="false">I38898</f>
        <v>574.5</v>
      </c>
      <c r="J38928" s="16" t="n">
        <f aca="false">J38898</f>
        <v>574.5</v>
      </c>
      <c r="K38928" s="16" t="n">
        <f aca="false">K38898</f>
        <v>574.5</v>
      </c>
    </row>
    <row r="38929" customFormat="false" ht="15" hidden="false" customHeight="false" outlineLevel="0" collapsed="false">
      <c r="A38929" s="3" t="s">
        <v>429</v>
      </c>
      <c r="G38929" s="29" t="n">
        <f aca="false">Assumptions!$G$74</f>
        <v>100</v>
      </c>
      <c r="H38929" s="29" t="n">
        <f aca="false">Assumptions!$H$74</f>
        <v>100</v>
      </c>
      <c r="I38929" s="29" t="n">
        <f aca="false">Assumptions!$I$74</f>
        <v>100</v>
      </c>
      <c r="J38929" s="29" t="n">
        <f aca="false">Assumptions!$J$74</f>
        <v>100</v>
      </c>
      <c r="K38929" s="29" t="n">
        <f aca="false">Assumptions!$K$74</f>
        <v>100</v>
      </c>
    </row>
    <row r="38930" customFormat="false" ht="15" hidden="false" customHeight="false" outlineLevel="0" collapsed="false">
      <c r="A38930" s="3" t="s">
        <v>430</v>
      </c>
      <c r="G38930" s="16" t="n">
        <f aca="false">G38928-G38929</f>
        <v>561.7944416</v>
      </c>
      <c r="H38930" s="16" t="n">
        <f aca="false">H38928-H38929</f>
        <v>474.5</v>
      </c>
      <c r="I38930" s="16" t="n">
        <f aca="false">I38928-I38929</f>
        <v>474.5</v>
      </c>
      <c r="J38930" s="16" t="n">
        <f aca="false">J38928-J38929</f>
        <v>474.5</v>
      </c>
      <c r="K38930" s="16" t="n">
        <f aca="false">K38928-K38929</f>
        <v>474.5</v>
      </c>
    </row>
    <row r="38931" customFormat="false" ht="15" hidden="false" customHeight="false" outlineLevel="0" collapsed="false">
      <c r="A38931" s="3" t="s">
        <v>431</v>
      </c>
      <c r="G38931" s="22" t="n">
        <f aca="false">IF(G38929=0,0,G38930/ABS(G38929))</f>
        <v>5.617944416</v>
      </c>
      <c r="H38931" s="22" t="n">
        <f aca="false">IF(H38929=0,0,H38930/ABS(H38929))</f>
        <v>4.745</v>
      </c>
      <c r="I38931" s="22" t="n">
        <f aca="false">IF(I38929=0,0,I38930/ABS(I38929))</f>
        <v>4.745</v>
      </c>
      <c r="J38931" s="22" t="n">
        <f aca="false">IF(J38929=0,0,J38930/ABS(J38929))</f>
        <v>4.745</v>
      </c>
      <c r="K38931" s="22" t="n">
        <f aca="false">IF(K38929=0,0,K38930/ABS(K38929))</f>
        <v>4.745</v>
      </c>
    </row>
    <row r="38932" customFormat="false" ht="15" hidden="false" customHeight="false" outlineLevel="0" collapsed="false">
      <c r="A38932" s="3" t="s">
        <v>432</v>
      </c>
      <c r="G38932" s="21" t="n">
        <f aca="false">IF(G38930&lt;0,1,0)</f>
        <v>0</v>
      </c>
      <c r="H38932" s="21" t="n">
        <f aca="false">IF(H38930&lt;0,1,0)</f>
        <v>0</v>
      </c>
      <c r="I38932" s="21" t="n">
        <f aca="false">IF(I38930&lt;0,1,0)</f>
        <v>0</v>
      </c>
      <c r="J38932" s="21" t="n">
        <f aca="false">IF(J38930&lt;0,1,0)</f>
        <v>0</v>
      </c>
      <c r="K38932" s="21" t="n">
        <f aca="false">IF(K38930&lt;0,1,0)</f>
        <v>0</v>
      </c>
    </row>
    <row r="38933" customFormat="false" ht="15" hidden="false" customHeight="false" outlineLevel="0" collapsed="false">
      <c r="A38933" s="3" t="s">
        <v>433</v>
      </c>
      <c r="C38933" s="21" t="n">
        <f aca="false">IFERROR(INDEX($G$38658:$K$38658,MATCH(1,$G$38932:$K$38932,0)),0)</f>
        <v>0</v>
      </c>
    </row>
    <row r="38934" customFormat="false" ht="15" hidden="false" customHeight="false" outlineLevel="0" collapsed="false">
      <c r="A38934" s="3" t="s">
        <v>434</v>
      </c>
      <c r="C38934" s="22" t="n">
        <f aca="false">MIN($G$38931:$K$38931)</f>
        <v>4.745</v>
      </c>
    </row>
    <row r="38935" customFormat="false" ht="15" hidden="false" customHeight="false" outlineLevel="0" collapsed="false">
      <c r="A38935" s="24" t="s">
        <v>438</v>
      </c>
      <c r="B38935" s="25"/>
      <c r="C38935" s="25"/>
      <c r="D38935" s="25"/>
      <c r="E38935" s="25"/>
      <c r="F38935" s="25"/>
      <c r="G38935" s="25"/>
      <c r="H38935" s="25"/>
      <c r="I38935" s="25"/>
      <c r="J38935" s="25"/>
      <c r="K38935" s="25"/>
    </row>
    <row r="38936" customFormat="false" ht="15" hidden="false" customHeight="false" outlineLevel="0" collapsed="false">
      <c r="A38936" s="3" t="s">
        <v>428</v>
      </c>
      <c r="G38936" s="32" t="n">
        <f aca="false">IF(G38668&gt;0,G38891/G38668,99)</f>
        <v>12.2866312534504</v>
      </c>
      <c r="H38936" s="32" t="n">
        <f aca="false">IF(H38668&gt;0,H38891/H38668,99)</f>
        <v>14.5137170159321</v>
      </c>
      <c r="I38936" s="32" t="n">
        <f aca="false">IF(I38668&gt;0,I38891/I38668,99)</f>
        <v>15.5560738236619</v>
      </c>
      <c r="J38936" s="32" t="n">
        <f aca="false">IF(J38668&gt;0,J38891/J38668,99)</f>
        <v>15.7734539449449</v>
      </c>
      <c r="K38936" s="32" t="n">
        <f aca="false">IF(K38668&gt;0,K38891/K38668,99)</f>
        <v>15.6156103833885</v>
      </c>
    </row>
    <row r="38937" customFormat="false" ht="15" hidden="false" customHeight="false" outlineLevel="0" collapsed="false">
      <c r="A38937" s="3" t="s">
        <v>429</v>
      </c>
      <c r="G38937" s="34" t="n">
        <f aca="false">Assumptions!$G$75</f>
        <v>10.5</v>
      </c>
      <c r="H38937" s="34" t="n">
        <f aca="false">Assumptions!$H$75</f>
        <v>10.5</v>
      </c>
      <c r="I38937" s="34" t="n">
        <f aca="false">Assumptions!$I$75</f>
        <v>10</v>
      </c>
      <c r="J38937" s="34" t="n">
        <f aca="false">Assumptions!$J$75</f>
        <v>10</v>
      </c>
      <c r="K38937" s="34" t="n">
        <f aca="false">Assumptions!$K$75</f>
        <v>9.5</v>
      </c>
    </row>
    <row r="38938" customFormat="false" ht="15" hidden="false" customHeight="false" outlineLevel="0" collapsed="false">
      <c r="A38938" s="3" t="s">
        <v>430</v>
      </c>
      <c r="G38938" s="32" t="n">
        <f aca="false">G38937-G38936</f>
        <v>-1.78663125345038</v>
      </c>
      <c r="H38938" s="32" t="n">
        <f aca="false">H38937-H38936</f>
        <v>-4.01371701593214</v>
      </c>
      <c r="I38938" s="32" t="n">
        <f aca="false">I38937-I38936</f>
        <v>-5.55607382366189</v>
      </c>
      <c r="J38938" s="32" t="n">
        <f aca="false">J38937-J38936</f>
        <v>-5.7734539449449</v>
      </c>
      <c r="K38938" s="32" t="n">
        <f aca="false">K38937-K38936</f>
        <v>-6.11561038338853</v>
      </c>
    </row>
    <row r="38939" customFormat="false" ht="15" hidden="false" customHeight="false" outlineLevel="0" collapsed="false">
      <c r="A38939" s="3" t="s">
        <v>431</v>
      </c>
      <c r="G38939" s="22" t="n">
        <f aca="false">IF(G38937=0,0,G38938/ABS(G38937))</f>
        <v>-0.170155357471464</v>
      </c>
      <c r="H38939" s="22" t="n">
        <f aca="false">IF(H38937=0,0,H38938/ABS(H38937))</f>
        <v>-0.382258763422108</v>
      </c>
      <c r="I38939" s="22" t="n">
        <f aca="false">IF(I38937=0,0,I38938/ABS(I38937))</f>
        <v>-0.555607382366189</v>
      </c>
      <c r="J38939" s="22" t="n">
        <f aca="false">IF(J38937=0,0,J38938/ABS(J38937))</f>
        <v>-0.57734539449449</v>
      </c>
      <c r="K38939" s="22" t="n">
        <f aca="false">IF(K38937=0,0,K38938/ABS(K38937))</f>
        <v>-0.643748461409318</v>
      </c>
    </row>
    <row r="38940" customFormat="false" ht="15" hidden="false" customHeight="false" outlineLevel="0" collapsed="false">
      <c r="A38940" s="3" t="s">
        <v>432</v>
      </c>
      <c r="G38940" s="21" t="n">
        <f aca="false">IF(G38938&lt;0,1,0)</f>
        <v>1</v>
      </c>
      <c r="H38940" s="21" t="n">
        <f aca="false">IF(H38938&lt;0,1,0)</f>
        <v>1</v>
      </c>
      <c r="I38940" s="21" t="n">
        <f aca="false">IF(I38938&lt;0,1,0)</f>
        <v>1</v>
      </c>
      <c r="J38940" s="21" t="n">
        <f aca="false">IF(J38938&lt;0,1,0)</f>
        <v>1</v>
      </c>
      <c r="K38940" s="21" t="n">
        <f aca="false">IF(K38938&lt;0,1,0)</f>
        <v>1</v>
      </c>
    </row>
    <row r="38941" customFormat="false" ht="15" hidden="false" customHeight="false" outlineLevel="0" collapsed="false">
      <c r="A38941" s="3" t="s">
        <v>433</v>
      </c>
      <c r="C38941" s="21" t="n">
        <f aca="false">IFERROR(INDEX($G$38658:$K$38658,MATCH(1,$G$38940:$K$38940,0)),0)</f>
        <v>2027</v>
      </c>
    </row>
    <row r="38942" customFormat="false" ht="15" hidden="false" customHeight="false" outlineLevel="0" collapsed="false">
      <c r="A38942" s="3" t="s">
        <v>434</v>
      </c>
      <c r="C38942" s="22" t="n">
        <f aca="false">MIN($G$38939:$K$38939)</f>
        <v>-0.643748461409318</v>
      </c>
    </row>
    <row r="38943" customFormat="false" ht="15" hidden="false" customHeight="false" outlineLevel="0" collapsed="false">
      <c r="A38943" s="3" t="s">
        <v>439</v>
      </c>
      <c r="G38943" s="21" t="n">
        <f aca="false">G38908+G38916+G38924+G38932+G38940</f>
        <v>3</v>
      </c>
      <c r="H38943" s="21" t="n">
        <f aca="false">H38908+H38916+H38924+H38932+H38940</f>
        <v>3</v>
      </c>
      <c r="I38943" s="21" t="n">
        <f aca="false">I38908+I38916+I38924+I38932+I38940</f>
        <v>3</v>
      </c>
      <c r="J38943" s="21" t="n">
        <f aca="false">J38908+J38916+J38924+J38932+J38940</f>
        <v>3</v>
      </c>
      <c r="K38943" s="21" t="n">
        <f aca="false">K38908+K38916+K38924+K38932+K38940</f>
        <v>3</v>
      </c>
    </row>
    <row r="38944" customFormat="false" ht="15" hidden="false" customHeight="false" outlineLevel="0" collapsed="false">
      <c r="A38944" s="3" t="s">
        <v>440</v>
      </c>
      <c r="C38944" s="21" t="n">
        <f aca="false">SUM($G$38943:$K$38943)</f>
        <v>15</v>
      </c>
    </row>
    <row r="38945" customFormat="false" ht="15" hidden="false" customHeight="false" outlineLevel="0" collapsed="false">
      <c r="A38945" s="3" t="s">
        <v>441</v>
      </c>
      <c r="C38945" s="22" t="n">
        <f aca="false">MIN(C38910,C38918,C38926,C38934,C38942)</f>
        <v>-0.643748461409318</v>
      </c>
    </row>
    <row r="38947" customFormat="false" ht="15" hidden="false" customHeight="false" outlineLevel="0" collapsed="false">
      <c r="A38947" s="24" t="s">
        <v>543</v>
      </c>
      <c r="B38947" s="25"/>
      <c r="C38947" s="25"/>
      <c r="D38947" s="25"/>
      <c r="E38947" s="25"/>
      <c r="F38947" s="25"/>
      <c r="G38947" s="25"/>
      <c r="H38947" s="25"/>
      <c r="I38947" s="25"/>
      <c r="J38947" s="25"/>
      <c r="K38947" s="25"/>
    </row>
    <row r="38948" customFormat="false" ht="15" hidden="false" customHeight="false" outlineLevel="0" collapsed="false">
      <c r="A38948" s="3" t="s">
        <v>544</v>
      </c>
      <c r="G38948" s="21" t="n">
        <f aca="false">IF($C$38949=1,G38885,IF(G38668=MIN($G$38668:$K$38668),1,0))</f>
        <v>0</v>
      </c>
      <c r="H38948" s="21" t="n">
        <f aca="false">IF($C$38949=1,H38885,IF(AND(H38668=MIN($G$38668:$K$38668),SUM($G$38948:G38948)=0),1,0))</f>
        <v>1</v>
      </c>
      <c r="I38948" s="21" t="n">
        <f aca="false">IF($C$38949=1,I38885,IF(AND(I38668=MIN($G$38668:$K$38668),SUM($G$38948:H38948)=0),1,0))</f>
        <v>0</v>
      </c>
      <c r="J38948" s="21" t="n">
        <f aca="false">IF($C$38949=1,J38885,IF(AND(J38668=MIN($G$38668:$K$38668),SUM($G$38948:I38948)=0),1,0))</f>
        <v>0</v>
      </c>
      <c r="K38948" s="21" t="n">
        <f aca="false">IF($C$38949=1,K38885,IF(AND(K38668=MIN($G$38668:$K$38668),SUM($G$38948:J38948)=0),1,0))</f>
        <v>0</v>
      </c>
    </row>
    <row r="38949" customFormat="false" ht="15" hidden="false" customHeight="false" outlineLevel="0" collapsed="false">
      <c r="A38949" s="3" t="s">
        <v>545</v>
      </c>
      <c r="C38949" s="21" t="n">
        <f aca="false">IF(SUM($G$38885:$K$38885)&gt;0,1,0)</f>
        <v>1</v>
      </c>
    </row>
    <row r="38950" customFormat="false" ht="15" hidden="false" customHeight="false" outlineLevel="0" collapsed="false">
      <c r="A38950" s="3" t="s">
        <v>546</v>
      </c>
      <c r="C38950" s="21" t="n">
        <f aca="false">SUMPRODUCT($G$38948:$K$38948,$G$38658:$K$38658)</f>
        <v>2028</v>
      </c>
    </row>
    <row r="38951" customFormat="false" ht="15" hidden="false" customHeight="false" outlineLevel="0" collapsed="false">
      <c r="A38951" s="3" t="s">
        <v>547</v>
      </c>
      <c r="C38951" s="16" t="n">
        <f aca="false">SUMPRODUCT($G$38948:$K$38948,$G$38668:$K$38668)</f>
        <v>179.33991381</v>
      </c>
    </row>
    <row r="38952" customFormat="false" ht="15" hidden="false" customHeight="false" outlineLevel="0" collapsed="false">
      <c r="A38952" s="3" t="s">
        <v>548</v>
      </c>
      <c r="C38952" s="16" t="n">
        <f aca="false">MAX(0,SUMPRODUCT($G$38948:$K$38948,$G$38882:$K$38882))</f>
        <v>0</v>
      </c>
    </row>
    <row r="38953" customFormat="false" ht="15" hidden="false" customHeight="false" outlineLevel="0" collapsed="false">
      <c r="A38953" s="3" t="s">
        <v>549</v>
      </c>
      <c r="C38953" s="16" t="n">
        <f aca="false">(CHOOSE($C$38651,Assumptions!$C$92,Assumptions!$C$111,Assumptions!$C$130)+$C$38655)*C38951</f>
        <v>1255.37939667</v>
      </c>
    </row>
    <row r="38954" customFormat="false" ht="15" hidden="false" customHeight="false" outlineLevel="0" collapsed="false">
      <c r="A38954" s="3" t="s">
        <v>550</v>
      </c>
      <c r="C38954" s="16" t="n">
        <f aca="false">Assumptions!$C$31*(1-CHOOSE($C$38651,Assumptions!$C$93,Assumptions!$C$112,Assumptions!$C$131))*CHOOSE($C$38651,Assumptions!$C$94,Assumptions!$C$113,Assumptions!$C$132)</f>
        <v>2688.03189666667</v>
      </c>
    </row>
    <row r="38955" customFormat="false" ht="15" hidden="false" customHeight="false" outlineLevel="0" collapsed="false">
      <c r="A38955" s="3" t="s">
        <v>551</v>
      </c>
      <c r="C38955" s="16" t="n">
        <f aca="false">MAX(C38953,C38954)+C38952</f>
        <v>2688.03189666667</v>
      </c>
    </row>
    <row r="38956" customFormat="false" ht="15" hidden="false" customHeight="false" outlineLevel="0" collapsed="false">
      <c r="A38956" s="2" t="s">
        <v>552</v>
      </c>
      <c r="C38956" s="17" t="n">
        <f aca="false">IF(ISNUMBER(Assumptions!$C$14),Assumptions!$C$14,C38955)</f>
        <v>2688.03189666667</v>
      </c>
    </row>
    <row r="38957" customFormat="false" ht="15" hidden="false" customHeight="false" outlineLevel="0" collapsed="false">
      <c r="A38957" s="3" t="s">
        <v>553</v>
      </c>
      <c r="C38957" s="16" t="n">
        <f aca="false">C38956*Assumptions!$C$15</f>
        <v>107.521275866667</v>
      </c>
    </row>
    <row r="38958" customFormat="false" ht="15" hidden="false" customHeight="false" outlineLevel="0" collapsed="false">
      <c r="A38958" s="2" t="s">
        <v>554</v>
      </c>
      <c r="C38958" s="17" t="n">
        <f aca="false">C38956-C38957</f>
        <v>2580.5106208</v>
      </c>
    </row>
    <row r="38959" customFormat="false" ht="15" hidden="false" customHeight="false" outlineLevel="0" collapsed="false">
      <c r="A38959" s="24" t="s">
        <v>555</v>
      </c>
      <c r="B38959" s="25"/>
      <c r="C38959" s="25"/>
      <c r="D38959" s="25"/>
      <c r="E38959" s="25"/>
      <c r="F38959" s="25"/>
      <c r="G38959" s="25"/>
      <c r="H38959" s="25"/>
      <c r="I38959" s="25"/>
      <c r="J38959" s="25"/>
      <c r="K38959" s="25"/>
    </row>
    <row r="38960" customFormat="false" ht="15" hidden="false" customHeight="false" outlineLevel="0" collapsed="false">
      <c r="A38960" s="3" t="s">
        <v>556</v>
      </c>
      <c r="C38960" s="16" t="n">
        <f aca="false">SUMPRODUCT($G$38948:$K$38948,$G$38705:$K$38705)*(1+SUMPRODUCT($G$38948:$K$38948,$G$38697:$K$38697)*Assumptions!$C$16/12)</f>
        <v>403.76</v>
      </c>
    </row>
    <row r="38961" customFormat="false" ht="15" hidden="false" customHeight="false" outlineLevel="0" collapsed="false">
      <c r="A38961" s="3" t="s">
        <v>557</v>
      </c>
      <c r="C38961" s="16" t="n">
        <f aca="false">SUMPRODUCT($G$38948:$K$38948,$G$38718:$K$38718)*(1+SUMPRODUCT($G$38948:$K$38948,$G$38710:$K$38710)*Assumptions!$C$16/12)</f>
        <v>91.30725</v>
      </c>
    </row>
    <row r="38962" customFormat="false" ht="15" hidden="false" customHeight="false" outlineLevel="0" collapsed="false">
      <c r="A38962" s="3" t="s">
        <v>558</v>
      </c>
      <c r="C38962" s="16" t="n">
        <f aca="false">SUMPRODUCT($G$38948:$K$38948,$G$38731:$K$38731)*(1+SUMPRODUCT($G$38948:$K$38948,$G$38723:$K$38723)*Assumptions!$C$16/12)</f>
        <v>58.3715961</v>
      </c>
    </row>
    <row r="38963" customFormat="false" ht="15" hidden="false" customHeight="false" outlineLevel="0" collapsed="false">
      <c r="A38963" s="3" t="s">
        <v>559</v>
      </c>
      <c r="C38963" s="16" t="n">
        <f aca="false">SUMPRODUCT($G$38948:$K$38948,$G$38744:$K$38744)*(1+SUMPRODUCT($G$38948:$K$38948,$G$38736:$K$38736)*Assumptions!$C$16/12)</f>
        <v>0</v>
      </c>
    </row>
    <row r="38964" customFormat="false" ht="15" hidden="false" customHeight="false" outlineLevel="0" collapsed="false">
      <c r="A38964" s="3" t="s">
        <v>560</v>
      </c>
      <c r="C38964" s="16" t="n">
        <f aca="false">SUMPRODUCT($G$38948:$K$38948,$G$38757:$K$38757)*(1+SUMPRODUCT($G$38948:$K$38948,$G$38749:$K$38749)*Assumptions!$C$16/12)</f>
        <v>439.249936942163</v>
      </c>
    </row>
    <row r="38965" customFormat="false" ht="15" hidden="false" customHeight="false" outlineLevel="0" collapsed="false">
      <c r="A38965" s="3" t="s">
        <v>561</v>
      </c>
      <c r="C38965" s="16" t="n">
        <f aca="false">SUMPRODUCT($G$38948:$K$38948,$G$38770:$K$38770)*(1+SUMPRODUCT($G$38948:$K$38948,$G$38762:$K$38762)*Assumptions!$C$16/12)</f>
        <v>357.2625</v>
      </c>
    </row>
    <row r="38966" customFormat="false" ht="15" hidden="false" customHeight="false" outlineLevel="0" collapsed="false">
      <c r="A38966" s="3" t="s">
        <v>562</v>
      </c>
      <c r="C38966" s="16" t="n">
        <f aca="false">SUMPRODUCT($G$38948:$K$38948,$G$38783:$K$38783)*(1+SUMPRODUCT($G$38948:$K$38948,$G$38775:$K$38775)*Assumptions!$C$16/12)</f>
        <v>562.203125</v>
      </c>
    </row>
    <row r="38967" customFormat="false" ht="15" hidden="false" customHeight="false" outlineLevel="0" collapsed="false">
      <c r="A38967" s="3" t="s">
        <v>563</v>
      </c>
      <c r="C38967" s="16" t="n">
        <f aca="false">SUMPRODUCT($G$38948:$K$38948,$G$38796:$K$38796)*(1+SUMPRODUCT($G$38948:$K$38948,$G$38788:$K$38788)*Assumptions!$C$16/12)</f>
        <v>353.98125</v>
      </c>
    </row>
    <row r="38968" customFormat="false" ht="15" hidden="false" customHeight="false" outlineLevel="0" collapsed="false">
      <c r="A38968" s="3" t="s">
        <v>564</v>
      </c>
      <c r="C38968" s="16" t="n">
        <f aca="false">SUMPRODUCT($G$38948:$K$38948,$G$38809:$K$38809)*(1+SUMPRODUCT($G$38948:$K$38948,$G$38801:$K$38801)*Assumptions!$C$16/12)</f>
        <v>304.59375</v>
      </c>
    </row>
    <row r="38969" customFormat="false" ht="15" hidden="false" customHeight="false" outlineLevel="0" collapsed="false">
      <c r="A38969" s="3" t="s">
        <v>565</v>
      </c>
      <c r="C38969" s="16" t="n">
        <f aca="false">SUMPRODUCT($G$38948:$K$38948,$G$38822:$K$38822)*(1+SUMPRODUCT($G$38948:$K$38948,$G$38814:$K$38814)*Assumptions!$C$16/12)</f>
        <v>80.2332965</v>
      </c>
    </row>
    <row r="38970" customFormat="false" ht="15" hidden="false" customHeight="false" outlineLevel="0" collapsed="false">
      <c r="A38970" s="24" t="s">
        <v>566</v>
      </c>
      <c r="B38970" s="25"/>
      <c r="C38970" s="25"/>
      <c r="D38970" s="25"/>
      <c r="E38970" s="25"/>
      <c r="F38970" s="25"/>
      <c r="G38970" s="25"/>
      <c r="H38970" s="25"/>
      <c r="I38970" s="25"/>
      <c r="J38970" s="25"/>
      <c r="K38970" s="25"/>
    </row>
    <row r="38971" customFormat="false" ht="15" hidden="false" customHeight="false" outlineLevel="0" collapsed="false">
      <c r="A38971" s="3" t="s">
        <v>556</v>
      </c>
      <c r="C38971" s="27" t="n">
        <f aca="false">Assumptions!$M$57</f>
        <v>1</v>
      </c>
    </row>
    <row r="38972" customFormat="false" ht="15" hidden="false" customHeight="false" outlineLevel="0" collapsed="false">
      <c r="A38972" s="3" t="s">
        <v>557</v>
      </c>
      <c r="C38972" s="27" t="n">
        <f aca="false">Assumptions!$M$58</f>
        <v>1</v>
      </c>
    </row>
    <row r="38973" customFormat="false" ht="15" hidden="false" customHeight="false" outlineLevel="0" collapsed="false">
      <c r="A38973" s="3" t="s">
        <v>558</v>
      </c>
      <c r="C38973" s="27" t="n">
        <f aca="false">Assumptions!$M$59</f>
        <v>1</v>
      </c>
    </row>
    <row r="38974" customFormat="false" ht="15" hidden="false" customHeight="false" outlineLevel="0" collapsed="false">
      <c r="A38974" s="3" t="s">
        <v>559</v>
      </c>
      <c r="C38974" s="27" t="n">
        <f aca="false">Assumptions!$M$60</f>
        <v>2</v>
      </c>
    </row>
    <row r="38975" customFormat="false" ht="15" hidden="false" customHeight="false" outlineLevel="0" collapsed="false">
      <c r="A38975" s="3" t="s">
        <v>560</v>
      </c>
      <c r="C38975" s="27" t="n">
        <f aca="false">Assumptions!$M$61</f>
        <v>2</v>
      </c>
    </row>
    <row r="38976" customFormat="false" ht="15" hidden="false" customHeight="false" outlineLevel="0" collapsed="false">
      <c r="A38976" s="3" t="s">
        <v>561</v>
      </c>
      <c r="C38976" s="27" t="n">
        <f aca="false">Assumptions!$M$62</f>
        <v>2</v>
      </c>
    </row>
    <row r="38977" customFormat="false" ht="15" hidden="false" customHeight="false" outlineLevel="0" collapsed="false">
      <c r="A38977" s="3" t="s">
        <v>562</v>
      </c>
      <c r="C38977" s="27" t="n">
        <f aca="false">Assumptions!$M$63</f>
        <v>2</v>
      </c>
    </row>
    <row r="38978" customFormat="false" ht="15" hidden="false" customHeight="false" outlineLevel="0" collapsed="false">
      <c r="A38978" s="3" t="s">
        <v>563</v>
      </c>
      <c r="C38978" s="27" t="n">
        <f aca="false">Assumptions!$M$64</f>
        <v>2</v>
      </c>
    </row>
    <row r="38979" customFormat="false" ht="15" hidden="false" customHeight="false" outlineLevel="0" collapsed="false">
      <c r="A38979" s="3" t="s">
        <v>564</v>
      </c>
      <c r="C38979" s="27" t="n">
        <f aca="false">Assumptions!$M$65</f>
        <v>2</v>
      </c>
    </row>
    <row r="38980" customFormat="false" ht="15" hidden="false" customHeight="false" outlineLevel="0" collapsed="false">
      <c r="A38980" s="3" t="s">
        <v>565</v>
      </c>
      <c r="C38980" s="27" t="n">
        <f aca="false">Assumptions!$M$66</f>
        <v>3</v>
      </c>
    </row>
    <row r="38981" customFormat="false" ht="15" hidden="false" customHeight="false" outlineLevel="0" collapsed="false">
      <c r="A38981" s="24" t="s">
        <v>567</v>
      </c>
      <c r="B38981" s="25"/>
      <c r="C38981" s="25"/>
      <c r="D38981" s="25"/>
      <c r="E38981" s="25"/>
      <c r="F38981" s="25"/>
      <c r="G38981" s="25"/>
      <c r="H38981" s="25"/>
      <c r="I38981" s="25"/>
      <c r="J38981" s="25"/>
      <c r="K38981" s="25"/>
    </row>
    <row r="38982" customFormat="false" ht="15" hidden="false" customHeight="false" outlineLevel="0" collapsed="false">
      <c r="A38982" s="3" t="s">
        <v>556</v>
      </c>
      <c r="C38982" s="33" t="n">
        <f aca="false">Assumptions!$Q$57</f>
        <v>0.3</v>
      </c>
    </row>
    <row r="38983" customFormat="false" ht="15" hidden="false" customHeight="false" outlineLevel="0" collapsed="false">
      <c r="A38983" s="3" t="s">
        <v>557</v>
      </c>
      <c r="C38983" s="33" t="n">
        <f aca="false">Assumptions!$Q$58</f>
        <v>0.033</v>
      </c>
    </row>
    <row r="38984" customFormat="false" ht="15" hidden="false" customHeight="false" outlineLevel="0" collapsed="false">
      <c r="A38984" s="3" t="s">
        <v>558</v>
      </c>
      <c r="C38984" s="33" t="n">
        <f aca="false">Assumptions!$Q$59</f>
        <v>0.021</v>
      </c>
    </row>
    <row r="38985" customFormat="false" ht="15" hidden="false" customHeight="false" outlineLevel="0" collapsed="false">
      <c r="A38985" s="3" t="s">
        <v>559</v>
      </c>
      <c r="C38985" s="33" t="n">
        <f aca="false">Assumptions!$Q$60</f>
        <v>0</v>
      </c>
    </row>
    <row r="38986" customFormat="false" ht="15" hidden="false" customHeight="false" outlineLevel="0" collapsed="false">
      <c r="A38986" s="3" t="s">
        <v>560</v>
      </c>
      <c r="C38986" s="33" t="n">
        <f aca="false">Assumptions!$Q$61</f>
        <v>0</v>
      </c>
    </row>
    <row r="38987" customFormat="false" ht="15" hidden="false" customHeight="false" outlineLevel="0" collapsed="false">
      <c r="A38987" s="3" t="s">
        <v>561</v>
      </c>
      <c r="C38987" s="33" t="n">
        <f aca="false">Assumptions!$Q$62</f>
        <v>0</v>
      </c>
    </row>
    <row r="38988" customFormat="false" ht="15" hidden="false" customHeight="false" outlineLevel="0" collapsed="false">
      <c r="A38988" s="3" t="s">
        <v>562</v>
      </c>
      <c r="C38988" s="33" t="n">
        <f aca="false">Assumptions!$Q$63</f>
        <v>0</v>
      </c>
    </row>
    <row r="38989" customFormat="false" ht="15" hidden="false" customHeight="false" outlineLevel="0" collapsed="false">
      <c r="A38989" s="3" t="s">
        <v>563</v>
      </c>
      <c r="C38989" s="33" t="n">
        <f aca="false">Assumptions!$Q$64</f>
        <v>0</v>
      </c>
    </row>
    <row r="38990" customFormat="false" ht="15" hidden="false" customHeight="false" outlineLevel="0" collapsed="false">
      <c r="A38990" s="3" t="s">
        <v>564</v>
      </c>
      <c r="C38990" s="33" t="n">
        <f aca="false">Assumptions!$Q$65</f>
        <v>0</v>
      </c>
    </row>
    <row r="38991" customFormat="false" ht="15" hidden="false" customHeight="false" outlineLevel="0" collapsed="false">
      <c r="A38991" s="3" t="s">
        <v>565</v>
      </c>
      <c r="C38991" s="33" t="n">
        <f aca="false">Assumptions!$Q$66</f>
        <v>0</v>
      </c>
    </row>
    <row r="38992" customFormat="false" ht="15" hidden="false" customHeight="false" outlineLevel="0" collapsed="false">
      <c r="A38992" s="24" t="s">
        <v>568</v>
      </c>
      <c r="B38992" s="25"/>
      <c r="C38992" s="25"/>
      <c r="D38992" s="25"/>
      <c r="E38992" s="25"/>
      <c r="F38992" s="25"/>
      <c r="G38992" s="25"/>
      <c r="H38992" s="25"/>
      <c r="I38992" s="25"/>
      <c r="J38992" s="25"/>
      <c r="K38992" s="25"/>
    </row>
    <row r="38993" customFormat="false" ht="15" hidden="false" customHeight="false" outlineLevel="0" collapsed="false">
      <c r="A38993" s="3" t="s">
        <v>556</v>
      </c>
      <c r="C38993" s="16" t="n">
        <f aca="false">IF(C38982&gt;0,MIN(C38960,C38982*$C$38958),0)</f>
        <v>403.76</v>
      </c>
    </row>
    <row r="38994" customFormat="false" ht="15" hidden="false" customHeight="false" outlineLevel="0" collapsed="false">
      <c r="A38994" s="3" t="s">
        <v>557</v>
      </c>
      <c r="C38994" s="16" t="n">
        <f aca="false">IF(C38983&gt;0,MIN(C38961,C38983*$C$38958),0)</f>
        <v>85.1568504864</v>
      </c>
    </row>
    <row r="38995" customFormat="false" ht="15" hidden="false" customHeight="false" outlineLevel="0" collapsed="false">
      <c r="A38995" s="3" t="s">
        <v>558</v>
      </c>
      <c r="C38995" s="16" t="n">
        <f aca="false">IF(C38984&gt;0,MIN(C38962,C38984*$C$38958),0)</f>
        <v>54.1907230368</v>
      </c>
    </row>
    <row r="38996" customFormat="false" ht="15" hidden="false" customHeight="false" outlineLevel="0" collapsed="false">
      <c r="A38996" s="3" t="s">
        <v>559</v>
      </c>
      <c r="C38996" s="16" t="n">
        <f aca="false">IF(C38985&gt;0,MIN(C38963,C38985*$C$38958),0)</f>
        <v>0</v>
      </c>
    </row>
    <row r="38997" customFormat="false" ht="15" hidden="false" customHeight="false" outlineLevel="0" collapsed="false">
      <c r="A38997" s="3" t="s">
        <v>560</v>
      </c>
      <c r="C38997" s="16" t="n">
        <f aca="false">IF(C38986&gt;0,MIN(C38964,C38986*$C$38958),0)</f>
        <v>0</v>
      </c>
    </row>
    <row r="38998" customFormat="false" ht="15" hidden="false" customHeight="false" outlineLevel="0" collapsed="false">
      <c r="A38998" s="3" t="s">
        <v>561</v>
      </c>
      <c r="C38998" s="16" t="n">
        <f aca="false">IF(C38987&gt;0,MIN(C38965,C38987*$C$38958),0)</f>
        <v>0</v>
      </c>
    </row>
    <row r="38999" customFormat="false" ht="15" hidden="false" customHeight="false" outlineLevel="0" collapsed="false">
      <c r="A38999" s="3" t="s">
        <v>562</v>
      </c>
      <c r="C38999" s="16" t="n">
        <f aca="false">IF(C38988&gt;0,MIN(C38966,C38988*$C$38958),0)</f>
        <v>0</v>
      </c>
    </row>
    <row r="39000" customFormat="false" ht="15" hidden="false" customHeight="false" outlineLevel="0" collapsed="false">
      <c r="A39000" s="3" t="s">
        <v>563</v>
      </c>
      <c r="C39000" s="16" t="n">
        <f aca="false">IF(C38989&gt;0,MIN(C38967,C38989*$C$38958),0)</f>
        <v>0</v>
      </c>
    </row>
    <row r="39001" customFormat="false" ht="15" hidden="false" customHeight="false" outlineLevel="0" collapsed="false">
      <c r="A39001" s="3" t="s">
        <v>564</v>
      </c>
      <c r="C39001" s="16" t="n">
        <f aca="false">IF(C38990&gt;0,MIN(C38968,C38990*$C$38958),0)</f>
        <v>0</v>
      </c>
    </row>
    <row r="39002" customFormat="false" ht="15" hidden="false" customHeight="false" outlineLevel="0" collapsed="false">
      <c r="A39002" s="3" t="s">
        <v>565</v>
      </c>
      <c r="C39002" s="16" t="n">
        <f aca="false">IF(C38991&gt;0,MIN(C38969,C38991*$C$38958),0)</f>
        <v>0</v>
      </c>
    </row>
    <row r="39003" customFormat="false" ht="15" hidden="false" customHeight="false" outlineLevel="0" collapsed="false">
      <c r="A39003" s="24" t="s">
        <v>569</v>
      </c>
      <c r="B39003" s="25"/>
      <c r="C39003" s="25"/>
      <c r="D39003" s="25"/>
      <c r="E39003" s="25"/>
      <c r="F39003" s="25"/>
      <c r="G39003" s="25"/>
      <c r="H39003" s="25"/>
      <c r="I39003" s="25"/>
      <c r="J39003" s="25"/>
      <c r="K39003" s="25"/>
    </row>
    <row r="39004" customFormat="false" ht="15" hidden="false" customHeight="false" outlineLevel="0" collapsed="false">
      <c r="A39004" s="3" t="s">
        <v>556</v>
      </c>
      <c r="C39004" s="16" t="n">
        <f aca="false">IF(C38982&gt;0,C38960-C38993,0)</f>
        <v>0</v>
      </c>
      <c r="G39004" s="21" t="n">
        <f aca="false">IF(AND(G38695=1,G38692=1),1,0)</f>
        <v>0</v>
      </c>
      <c r="H39004" s="21" t="n">
        <f aca="false">IF(G39004=1,1,IF(AND(H38695=1,H38692=1),1,0))</f>
        <v>0</v>
      </c>
      <c r="I39004" s="21" t="n">
        <f aca="false">IF(H39004=1,1,IF(AND(I38695=1,I38692=1),1,0))</f>
        <v>0</v>
      </c>
      <c r="J39004" s="21" t="n">
        <f aca="false">IF(I39004=1,1,IF(AND(J38695=1,J38692=1),1,0))</f>
        <v>0</v>
      </c>
      <c r="K39004" s="21" t="n">
        <f aca="false">IF(J39004=1,1,IF(AND(K38695=1,K38692=1),1,0))</f>
        <v>0</v>
      </c>
    </row>
    <row r="39005" customFormat="false" ht="15" hidden="false" customHeight="false" outlineLevel="0" collapsed="false">
      <c r="A39005" s="3" t="s">
        <v>557</v>
      </c>
      <c r="C39005" s="16" t="n">
        <f aca="false">IF(C38983&gt;0,C38961-C38994,0)</f>
        <v>6.15039951360001</v>
      </c>
      <c r="G39005" s="21" t="n">
        <f aca="false">IF(AND(G38708=1,G38692=1),1,0)</f>
        <v>0</v>
      </c>
      <c r="H39005" s="21" t="n">
        <f aca="false">IF(G39005=1,1,IF(AND(H38708=1,H38692=1),1,0))</f>
        <v>0</v>
      </c>
      <c r="I39005" s="21" t="n">
        <f aca="false">IF(H39005=1,1,IF(AND(I38708=1,I38692=1),1,0))</f>
        <v>0</v>
      </c>
      <c r="J39005" s="21" t="n">
        <f aca="false">IF(I39005=1,1,IF(AND(J38708=1,J38692=1),1,0))</f>
        <v>0</v>
      </c>
      <c r="K39005" s="21" t="n">
        <f aca="false">IF(J39005=1,1,IF(AND(K38708=1,K38692=1),1,0))</f>
        <v>0</v>
      </c>
    </row>
    <row r="39006" customFormat="false" ht="15" hidden="false" customHeight="false" outlineLevel="0" collapsed="false">
      <c r="A39006" s="3" t="s">
        <v>558</v>
      </c>
      <c r="C39006" s="16" t="n">
        <f aca="false">IF(C38984&gt;0,C38962-C38995,0)</f>
        <v>4.1808730632</v>
      </c>
      <c r="G39006" s="21" t="n">
        <f aca="false">IF(AND(G38721=1,G38692=1),1,0)</f>
        <v>0</v>
      </c>
      <c r="H39006" s="21" t="n">
        <f aca="false">IF(G39006=1,1,IF(AND(H38721=1,H38692=1),1,0))</f>
        <v>0</v>
      </c>
      <c r="I39006" s="21" t="n">
        <f aca="false">IF(H39006=1,1,IF(AND(I38721=1,I38692=1),1,0))</f>
        <v>0</v>
      </c>
      <c r="J39006" s="21" t="n">
        <f aca="false">IF(I39006=1,1,IF(AND(J38721=1,J38692=1),1,0))</f>
        <v>0</v>
      </c>
      <c r="K39006" s="21" t="n">
        <f aca="false">IF(J39006=1,1,IF(AND(K38721=1,K38692=1),1,0))</f>
        <v>0</v>
      </c>
    </row>
    <row r="39007" customFormat="false" ht="15" hidden="false" customHeight="false" outlineLevel="0" collapsed="false">
      <c r="A39007" s="3" t="s">
        <v>559</v>
      </c>
      <c r="C39007" s="16" t="n">
        <f aca="false">IF(C38985&gt;0,C38963-C38996,0)</f>
        <v>0</v>
      </c>
      <c r="G39007" s="21" t="n">
        <f aca="false">IF(AND(G38734=1,G38692=1),1,0)</f>
        <v>0</v>
      </c>
      <c r="H39007" s="21" t="n">
        <f aca="false">IF(G39007=1,1,IF(AND(H38734=1,H38692=1),1,0))</f>
        <v>0</v>
      </c>
      <c r="I39007" s="21" t="n">
        <f aca="false">IF(H39007=1,1,IF(AND(I38734=1,I38692=1),1,0))</f>
        <v>0</v>
      </c>
      <c r="J39007" s="21" t="n">
        <f aca="false">IF(I39007=1,1,IF(AND(J38734=1,J38692=1),1,0))</f>
        <v>0</v>
      </c>
      <c r="K39007" s="21" t="n">
        <f aca="false">IF(J39007=1,1,IF(AND(K38734=1,K38692=1),1,0))</f>
        <v>0</v>
      </c>
    </row>
    <row r="39008" customFormat="false" ht="15" hidden="false" customHeight="false" outlineLevel="0" collapsed="false">
      <c r="A39008" s="3" t="s">
        <v>560</v>
      </c>
      <c r="C39008" s="16" t="n">
        <f aca="false">IF(C38986&gt;0,C38964-C38997,0)</f>
        <v>0</v>
      </c>
      <c r="G39008" s="21" t="n">
        <f aca="false">IF(AND(G38747=1,G38692=1),1,0)</f>
        <v>0</v>
      </c>
      <c r="H39008" s="21" t="n">
        <f aca="false">IF(G39008=1,1,IF(AND(H38747=1,H38692=1),1,0))</f>
        <v>0</v>
      </c>
      <c r="I39008" s="21" t="n">
        <f aca="false">IF(H39008=1,1,IF(AND(I38747=1,I38692=1),1,0))</f>
        <v>0</v>
      </c>
      <c r="J39008" s="21" t="n">
        <f aca="false">IF(I39008=1,1,IF(AND(J38747=1,J38692=1),1,0))</f>
        <v>0</v>
      </c>
      <c r="K39008" s="21" t="n">
        <f aca="false">IF(J39008=1,1,IF(AND(K38747=1,K38692=1),1,0))</f>
        <v>0</v>
      </c>
    </row>
    <row r="39009" customFormat="false" ht="15" hidden="false" customHeight="false" outlineLevel="0" collapsed="false">
      <c r="A39009" s="3" t="s">
        <v>561</v>
      </c>
      <c r="C39009" s="16" t="n">
        <f aca="false">IF(C38987&gt;0,C38965-C38998,0)</f>
        <v>0</v>
      </c>
      <c r="G39009" s="21" t="n">
        <f aca="false">IF(AND(G38760=1,G38692=1),1,0)</f>
        <v>0</v>
      </c>
      <c r="H39009" s="21" t="n">
        <f aca="false">IF(G39009=1,1,IF(AND(H38760=1,H38692=1),1,0))</f>
        <v>0</v>
      </c>
      <c r="I39009" s="21" t="n">
        <f aca="false">IF(H39009=1,1,IF(AND(I38760=1,I38692=1),1,0))</f>
        <v>0</v>
      </c>
      <c r="J39009" s="21" t="n">
        <f aca="false">IF(I39009=1,1,IF(AND(J38760=1,J38692=1),1,0))</f>
        <v>0</v>
      </c>
      <c r="K39009" s="21" t="n">
        <f aca="false">IF(J39009=1,1,IF(AND(K38760=1,K38692=1),1,0))</f>
        <v>0</v>
      </c>
    </row>
    <row r="39010" customFormat="false" ht="15" hidden="false" customHeight="false" outlineLevel="0" collapsed="false">
      <c r="A39010" s="3" t="s">
        <v>562</v>
      </c>
      <c r="C39010" s="16" t="n">
        <f aca="false">IF(C38988&gt;0,C38966-C38999,0)</f>
        <v>0</v>
      </c>
      <c r="G39010" s="21" t="n">
        <f aca="false">IF(AND(G38773=1,G38692=1),1,0)</f>
        <v>0</v>
      </c>
      <c r="H39010" s="21" t="n">
        <f aca="false">IF(G39010=1,1,IF(AND(H38773=1,H38692=1),1,0))</f>
        <v>0</v>
      </c>
      <c r="I39010" s="21" t="n">
        <f aca="false">IF(H39010=1,1,IF(AND(I38773=1,I38692=1),1,0))</f>
        <v>0</v>
      </c>
      <c r="J39010" s="21" t="n">
        <f aca="false">IF(I39010=1,1,IF(AND(J38773=1,J38692=1),1,0))</f>
        <v>0</v>
      </c>
      <c r="K39010" s="21" t="n">
        <f aca="false">IF(J39010=1,1,IF(AND(K38773=1,K38692=1),1,0))</f>
        <v>0</v>
      </c>
    </row>
    <row r="39011" customFormat="false" ht="15" hidden="false" customHeight="false" outlineLevel="0" collapsed="false">
      <c r="A39011" s="3" t="s">
        <v>563</v>
      </c>
      <c r="C39011" s="16" t="n">
        <f aca="false">IF(C38989&gt;0,C38967-C39000,0)</f>
        <v>0</v>
      </c>
      <c r="G39011" s="21" t="n">
        <f aca="false">IF(AND(G38786=1,G38692=1),1,0)</f>
        <v>0</v>
      </c>
      <c r="H39011" s="21" t="n">
        <f aca="false">IF(G39011=1,1,IF(AND(H38786=1,H38692=1),1,0))</f>
        <v>0</v>
      </c>
      <c r="I39011" s="21" t="n">
        <f aca="false">IF(H39011=1,1,IF(AND(I38786=1,I38692=1),1,0))</f>
        <v>0</v>
      </c>
      <c r="J39011" s="21" t="n">
        <f aca="false">IF(I39011=1,1,IF(AND(J38786=1,J38692=1),1,0))</f>
        <v>0</v>
      </c>
      <c r="K39011" s="21" t="n">
        <f aca="false">IF(J39011=1,1,IF(AND(K38786=1,K38692=1),1,0))</f>
        <v>0</v>
      </c>
    </row>
    <row r="39012" customFormat="false" ht="15" hidden="false" customHeight="false" outlineLevel="0" collapsed="false">
      <c r="A39012" s="3" t="s">
        <v>564</v>
      </c>
      <c r="C39012" s="16" t="n">
        <f aca="false">IF(C38990&gt;0,C38968-C39001,0)</f>
        <v>0</v>
      </c>
      <c r="G39012" s="21" t="n">
        <f aca="false">IF(AND(G38799=1,G38692=1),1,0)</f>
        <v>0</v>
      </c>
      <c r="H39012" s="21" t="n">
        <f aca="false">IF(G39012=1,1,IF(AND(H38799=1,H38692=1),1,0))</f>
        <v>0</v>
      </c>
      <c r="I39012" s="21" t="n">
        <f aca="false">IF(H39012=1,1,IF(AND(I38799=1,I38692=1),1,0))</f>
        <v>0</v>
      </c>
      <c r="J39012" s="21" t="n">
        <f aca="false">IF(I39012=1,1,IF(AND(J38799=1,J38692=1),1,0))</f>
        <v>0</v>
      </c>
      <c r="K39012" s="21" t="n">
        <f aca="false">IF(J39012=1,1,IF(AND(K38799=1,K38692=1),1,0))</f>
        <v>0</v>
      </c>
    </row>
    <row r="39013" customFormat="false" ht="15" hidden="false" customHeight="false" outlineLevel="0" collapsed="false">
      <c r="A39013" s="3" t="s">
        <v>565</v>
      </c>
      <c r="C39013" s="16" t="n">
        <f aca="false">IF(C38991&gt;0,C38969-C39002,0)</f>
        <v>0</v>
      </c>
      <c r="G39013" s="21" t="n">
        <f aca="false">IF(AND(G38812=1,G38692=1),1,0)</f>
        <v>0</v>
      </c>
      <c r="H39013" s="21" t="n">
        <f aca="false">IF(G39013=1,1,IF(AND(H38812=1,H38692=1),1,0))</f>
        <v>0</v>
      </c>
      <c r="I39013" s="21" t="n">
        <f aca="false">IF(H39013=1,1,IF(AND(I38812=1,I38692=1),1,0))</f>
        <v>0</v>
      </c>
      <c r="J39013" s="21" t="n">
        <f aca="false">IF(I39013=1,1,IF(AND(J38812=1,J38692=1),1,0))</f>
        <v>0</v>
      </c>
      <c r="K39013" s="21" t="n">
        <f aca="false">IF(J39013=1,1,IF(AND(K38812=1,K38692=1),1,0))</f>
        <v>0</v>
      </c>
    </row>
    <row r="39014" customFormat="false" ht="15" hidden="false" customHeight="false" outlineLevel="0" collapsed="false">
      <c r="A39014" s="24" t="s">
        <v>570</v>
      </c>
      <c r="B39014" s="25"/>
      <c r="C39014" s="25"/>
      <c r="D39014" s="25"/>
      <c r="E39014" s="25"/>
      <c r="F39014" s="25"/>
      <c r="G39014" s="25"/>
      <c r="H39014" s="25"/>
      <c r="I39014" s="25"/>
      <c r="J39014" s="25"/>
      <c r="K39014" s="25"/>
    </row>
    <row r="39015" customFormat="false" ht="15" hidden="false" customHeight="false" outlineLevel="0" collapsed="false">
      <c r="A39015" s="3" t="s">
        <v>556</v>
      </c>
      <c r="C39015" s="16" t="n">
        <f aca="false">IF(C38982&gt;0,C39004,C38960)</f>
        <v>0</v>
      </c>
    </row>
    <row r="39016" customFormat="false" ht="15" hidden="false" customHeight="false" outlineLevel="0" collapsed="false">
      <c r="A39016" s="3" t="s">
        <v>557</v>
      </c>
      <c r="C39016" s="16" t="n">
        <f aca="false">IF(C38983&gt;0,C39005,C38961)</f>
        <v>6.15039951360001</v>
      </c>
    </row>
    <row r="39017" customFormat="false" ht="15" hidden="false" customHeight="false" outlineLevel="0" collapsed="false">
      <c r="A39017" s="3" t="s">
        <v>558</v>
      </c>
      <c r="C39017" s="16" t="n">
        <f aca="false">IF(C38984&gt;0,C39006,C38962)</f>
        <v>4.1808730632</v>
      </c>
    </row>
    <row r="39018" customFormat="false" ht="15" hidden="false" customHeight="false" outlineLevel="0" collapsed="false">
      <c r="A39018" s="3" t="s">
        <v>559</v>
      </c>
      <c r="C39018" s="16" t="n">
        <f aca="false">IF(C38985&gt;0,C39007,C38963)</f>
        <v>0</v>
      </c>
    </row>
    <row r="39019" customFormat="false" ht="15" hidden="false" customHeight="false" outlineLevel="0" collapsed="false">
      <c r="A39019" s="3" t="s">
        <v>560</v>
      </c>
      <c r="C39019" s="16" t="n">
        <f aca="false">IF(C38986&gt;0,C39008,C38964)</f>
        <v>439.249936942163</v>
      </c>
    </row>
    <row r="39020" customFormat="false" ht="15" hidden="false" customHeight="false" outlineLevel="0" collapsed="false">
      <c r="A39020" s="3" t="s">
        <v>561</v>
      </c>
      <c r="C39020" s="16" t="n">
        <f aca="false">IF(C38987&gt;0,C39009,C38965)</f>
        <v>357.2625</v>
      </c>
    </row>
    <row r="39021" customFormat="false" ht="15" hidden="false" customHeight="false" outlineLevel="0" collapsed="false">
      <c r="A39021" s="3" t="s">
        <v>562</v>
      </c>
      <c r="C39021" s="16" t="n">
        <f aca="false">IF(C38988&gt;0,C39010,C38966)</f>
        <v>562.203125</v>
      </c>
    </row>
    <row r="39022" customFormat="false" ht="15" hidden="false" customHeight="false" outlineLevel="0" collapsed="false">
      <c r="A39022" s="3" t="s">
        <v>563</v>
      </c>
      <c r="C39022" s="16" t="n">
        <f aca="false">IF(C38989&gt;0,C39011,C38967)</f>
        <v>353.98125</v>
      </c>
    </row>
    <row r="39023" customFormat="false" ht="15" hidden="false" customHeight="false" outlineLevel="0" collapsed="false">
      <c r="A39023" s="3" t="s">
        <v>564</v>
      </c>
      <c r="C39023" s="16" t="n">
        <f aca="false">IF(C38990&gt;0,C39012,C38968)</f>
        <v>304.59375</v>
      </c>
    </row>
    <row r="39024" customFormat="false" ht="15" hidden="false" customHeight="false" outlineLevel="0" collapsed="false">
      <c r="A39024" s="3" t="s">
        <v>565</v>
      </c>
      <c r="C39024" s="16" t="n">
        <f aca="false">IF(C38991&gt;0,C39013,C38969)</f>
        <v>80.2332965</v>
      </c>
    </row>
    <row r="39025" customFormat="false" ht="15" hidden="false" customHeight="false" outlineLevel="0" collapsed="false">
      <c r="A39025" s="24" t="s">
        <v>571</v>
      </c>
      <c r="B39025" s="25"/>
      <c r="C39025" s="25"/>
      <c r="D39025" s="25"/>
      <c r="E39025" s="25"/>
      <c r="F39025" s="25"/>
      <c r="G39025" s="25"/>
      <c r="H39025" s="25"/>
      <c r="I39025" s="25"/>
      <c r="J39025" s="25"/>
      <c r="K39025" s="25"/>
    </row>
    <row r="39026" customFormat="false" ht="15" hidden="false" customHeight="false" outlineLevel="0" collapsed="false">
      <c r="A39026" s="3" t="s">
        <v>556</v>
      </c>
      <c r="C39026" s="21" t="n">
        <f aca="false">IF(C38982&gt;0,Assumptions!$C$17,C38971)</f>
        <v>99</v>
      </c>
    </row>
    <row r="39027" customFormat="false" ht="15" hidden="false" customHeight="false" outlineLevel="0" collapsed="false">
      <c r="A39027" s="3" t="s">
        <v>557</v>
      </c>
      <c r="C39027" s="21" t="n">
        <f aca="false">IF(C38983&gt;0,Assumptions!$C$17,C38972)</f>
        <v>99</v>
      </c>
    </row>
    <row r="39028" customFormat="false" ht="15" hidden="false" customHeight="false" outlineLevel="0" collapsed="false">
      <c r="A39028" s="3" t="s">
        <v>558</v>
      </c>
      <c r="C39028" s="21" t="n">
        <f aca="false">IF(C38984&gt;0,Assumptions!$C$17,C38973)</f>
        <v>99</v>
      </c>
    </row>
    <row r="39029" customFormat="false" ht="15" hidden="false" customHeight="false" outlineLevel="0" collapsed="false">
      <c r="A39029" s="3" t="s">
        <v>559</v>
      </c>
      <c r="C39029" s="21" t="n">
        <f aca="false">IF(C38985&gt;0,Assumptions!$C$17,C38974)</f>
        <v>2</v>
      </c>
    </row>
    <row r="39030" customFormat="false" ht="15" hidden="false" customHeight="false" outlineLevel="0" collapsed="false">
      <c r="A39030" s="3" t="s">
        <v>560</v>
      </c>
      <c r="C39030" s="21" t="n">
        <f aca="false">IF(C38986&gt;0,Assumptions!$C$17,C38975)</f>
        <v>2</v>
      </c>
    </row>
    <row r="39031" customFormat="false" ht="15" hidden="false" customHeight="false" outlineLevel="0" collapsed="false">
      <c r="A39031" s="3" t="s">
        <v>561</v>
      </c>
      <c r="C39031" s="21" t="n">
        <f aca="false">IF(C38987&gt;0,Assumptions!$C$17,C38976)</f>
        <v>2</v>
      </c>
    </row>
    <row r="39032" customFormat="false" ht="15" hidden="false" customHeight="false" outlineLevel="0" collapsed="false">
      <c r="A39032" s="3" t="s">
        <v>562</v>
      </c>
      <c r="C39032" s="21" t="n">
        <f aca="false">IF(C38988&gt;0,Assumptions!$C$17,C38977)</f>
        <v>2</v>
      </c>
    </row>
    <row r="39033" customFormat="false" ht="15" hidden="false" customHeight="false" outlineLevel="0" collapsed="false">
      <c r="A39033" s="3" t="s">
        <v>563</v>
      </c>
      <c r="C39033" s="21" t="n">
        <f aca="false">IF(C38989&gt;0,Assumptions!$C$17,C38978)</f>
        <v>2</v>
      </c>
    </row>
    <row r="39034" customFormat="false" ht="15" hidden="false" customHeight="false" outlineLevel="0" collapsed="false">
      <c r="A39034" s="3" t="s">
        <v>564</v>
      </c>
      <c r="C39034" s="21" t="n">
        <f aca="false">IF(C38990&gt;0,Assumptions!$C$17,C38979)</f>
        <v>2</v>
      </c>
    </row>
    <row r="39035" customFormat="false" ht="15" hidden="false" customHeight="false" outlineLevel="0" collapsed="false">
      <c r="A39035" s="3" t="s">
        <v>565</v>
      </c>
      <c r="C39035" s="21" t="n">
        <f aca="false">IF(C38991&gt;0,Assumptions!$C$17,C38980)</f>
        <v>3</v>
      </c>
    </row>
    <row r="39036" customFormat="false" ht="15" hidden="false" customHeight="false" outlineLevel="0" collapsed="false">
      <c r="A39036" s="24" t="s">
        <v>572</v>
      </c>
      <c r="B39036" s="25"/>
      <c r="C39036" s="25"/>
      <c r="D39036" s="25"/>
      <c r="E39036" s="25"/>
      <c r="F39036" s="25"/>
      <c r="G39036" s="25"/>
      <c r="H39036" s="25"/>
      <c r="I39036" s="25"/>
      <c r="J39036" s="25"/>
      <c r="K39036" s="25"/>
    </row>
    <row r="39037" customFormat="false" ht="15" hidden="false" customHeight="false" outlineLevel="0" collapsed="false">
      <c r="A39037" s="3" t="s">
        <v>556</v>
      </c>
      <c r="C39037" s="16" t="n">
        <f aca="false">SUMPRODUCT(($C$39026:$C$39035&lt;C39026)*$C$39015:$C$39024)</f>
        <v>2097.52385844216</v>
      </c>
    </row>
    <row r="39038" customFormat="false" ht="15" hidden="false" customHeight="false" outlineLevel="0" collapsed="false">
      <c r="A39038" s="3" t="s">
        <v>557</v>
      </c>
      <c r="C39038" s="16" t="n">
        <f aca="false">SUMPRODUCT(($C$39026:$C$39035&lt;C39027)*$C$39015:$C$39024)</f>
        <v>2097.52385844216</v>
      </c>
    </row>
    <row r="39039" customFormat="false" ht="15" hidden="false" customHeight="false" outlineLevel="0" collapsed="false">
      <c r="A39039" s="3" t="s">
        <v>558</v>
      </c>
      <c r="C39039" s="16" t="n">
        <f aca="false">SUMPRODUCT(($C$39026:$C$39035&lt;C39028)*$C$39015:$C$39024)</f>
        <v>2097.52385844216</v>
      </c>
    </row>
    <row r="39040" customFormat="false" ht="15" hidden="false" customHeight="false" outlineLevel="0" collapsed="false">
      <c r="A39040" s="3" t="s">
        <v>559</v>
      </c>
      <c r="C39040" s="16" t="n">
        <f aca="false">SUMPRODUCT(($C$39026:$C$39035&lt;C39029)*$C$39015:$C$39024)</f>
        <v>0</v>
      </c>
    </row>
    <row r="39041" customFormat="false" ht="15" hidden="false" customHeight="false" outlineLevel="0" collapsed="false">
      <c r="A39041" s="3" t="s">
        <v>560</v>
      </c>
      <c r="C39041" s="16" t="n">
        <f aca="false">SUMPRODUCT(($C$39026:$C$39035&lt;C39030)*$C$39015:$C$39024)</f>
        <v>0</v>
      </c>
    </row>
    <row r="39042" customFormat="false" ht="15" hidden="false" customHeight="false" outlineLevel="0" collapsed="false">
      <c r="A39042" s="3" t="s">
        <v>561</v>
      </c>
      <c r="C39042" s="16" t="n">
        <f aca="false">SUMPRODUCT(($C$39026:$C$39035&lt;C39031)*$C$39015:$C$39024)</f>
        <v>0</v>
      </c>
    </row>
    <row r="39043" customFormat="false" ht="15" hidden="false" customHeight="false" outlineLevel="0" collapsed="false">
      <c r="A39043" s="3" t="s">
        <v>562</v>
      </c>
      <c r="C39043" s="16" t="n">
        <f aca="false">SUMPRODUCT(($C$39026:$C$39035&lt;C39032)*$C$39015:$C$39024)</f>
        <v>0</v>
      </c>
    </row>
    <row r="39044" customFormat="false" ht="15" hidden="false" customHeight="false" outlineLevel="0" collapsed="false">
      <c r="A39044" s="3" t="s">
        <v>563</v>
      </c>
      <c r="C39044" s="16" t="n">
        <f aca="false">SUMPRODUCT(($C$39026:$C$39035&lt;C39033)*$C$39015:$C$39024)</f>
        <v>0</v>
      </c>
    </row>
    <row r="39045" customFormat="false" ht="15" hidden="false" customHeight="false" outlineLevel="0" collapsed="false">
      <c r="A39045" s="3" t="s">
        <v>564</v>
      </c>
      <c r="C39045" s="16" t="n">
        <f aca="false">SUMPRODUCT(($C$39026:$C$39035&lt;C39034)*$C$39015:$C$39024)</f>
        <v>0</v>
      </c>
    </row>
    <row r="39046" customFormat="false" ht="15" hidden="false" customHeight="false" outlineLevel="0" collapsed="false">
      <c r="A39046" s="3" t="s">
        <v>565</v>
      </c>
      <c r="C39046" s="16" t="n">
        <f aca="false">SUMPRODUCT(($C$39026:$C$39035&lt;C39035)*$C$39015:$C$39024)</f>
        <v>2017.29056194216</v>
      </c>
    </row>
    <row r="39047" customFormat="false" ht="15" hidden="false" customHeight="false" outlineLevel="0" collapsed="false">
      <c r="A39047" s="24" t="s">
        <v>573</v>
      </c>
      <c r="B39047" s="25"/>
      <c r="C39047" s="25"/>
      <c r="D39047" s="25"/>
      <c r="E39047" s="25"/>
      <c r="F39047" s="25"/>
      <c r="G39047" s="25"/>
      <c r="H39047" s="25"/>
      <c r="I39047" s="25"/>
      <c r="J39047" s="25"/>
      <c r="K39047" s="25"/>
    </row>
    <row r="39048" customFormat="false" ht="15" hidden="false" customHeight="false" outlineLevel="0" collapsed="false">
      <c r="A39048" s="3" t="s">
        <v>556</v>
      </c>
      <c r="C39048" s="16" t="n">
        <f aca="false">SUMPRODUCT(($C$39026:$C$39035=C39026)*$C$39015:$C$39024)</f>
        <v>10.3312725768</v>
      </c>
    </row>
    <row r="39049" customFormat="false" ht="15" hidden="false" customHeight="false" outlineLevel="0" collapsed="false">
      <c r="A39049" s="3" t="s">
        <v>557</v>
      </c>
      <c r="C39049" s="16" t="n">
        <f aca="false">SUMPRODUCT(($C$39026:$C$39035=C39027)*$C$39015:$C$39024)</f>
        <v>10.3312725768</v>
      </c>
    </row>
    <row r="39050" customFormat="false" ht="15" hidden="false" customHeight="false" outlineLevel="0" collapsed="false">
      <c r="A39050" s="3" t="s">
        <v>558</v>
      </c>
      <c r="C39050" s="16" t="n">
        <f aca="false">SUMPRODUCT(($C$39026:$C$39035=C39028)*$C$39015:$C$39024)</f>
        <v>10.3312725768</v>
      </c>
    </row>
    <row r="39051" customFormat="false" ht="15" hidden="false" customHeight="false" outlineLevel="0" collapsed="false">
      <c r="A39051" s="3" t="s">
        <v>559</v>
      </c>
      <c r="C39051" s="16" t="n">
        <f aca="false">SUMPRODUCT(($C$39026:$C$39035=C39029)*$C$39015:$C$39024)</f>
        <v>2017.29056194216</v>
      </c>
    </row>
    <row r="39052" customFormat="false" ht="15" hidden="false" customHeight="false" outlineLevel="0" collapsed="false">
      <c r="A39052" s="3" t="s">
        <v>560</v>
      </c>
      <c r="C39052" s="16" t="n">
        <f aca="false">SUMPRODUCT(($C$39026:$C$39035=C39030)*$C$39015:$C$39024)</f>
        <v>2017.29056194216</v>
      </c>
    </row>
    <row r="39053" customFormat="false" ht="15" hidden="false" customHeight="false" outlineLevel="0" collapsed="false">
      <c r="A39053" s="3" t="s">
        <v>561</v>
      </c>
      <c r="C39053" s="16" t="n">
        <f aca="false">SUMPRODUCT(($C$39026:$C$39035=C39031)*$C$39015:$C$39024)</f>
        <v>2017.29056194216</v>
      </c>
    </row>
    <row r="39054" customFormat="false" ht="15" hidden="false" customHeight="false" outlineLevel="0" collapsed="false">
      <c r="A39054" s="3" t="s">
        <v>562</v>
      </c>
      <c r="C39054" s="16" t="n">
        <f aca="false">SUMPRODUCT(($C$39026:$C$39035=C39032)*$C$39015:$C$39024)</f>
        <v>2017.29056194216</v>
      </c>
    </row>
    <row r="39055" customFormat="false" ht="15" hidden="false" customHeight="false" outlineLevel="0" collapsed="false">
      <c r="A39055" s="3" t="s">
        <v>563</v>
      </c>
      <c r="C39055" s="16" t="n">
        <f aca="false">SUMPRODUCT(($C$39026:$C$39035=C39033)*$C$39015:$C$39024)</f>
        <v>2017.29056194216</v>
      </c>
    </row>
    <row r="39056" customFormat="false" ht="15" hidden="false" customHeight="false" outlineLevel="0" collapsed="false">
      <c r="A39056" s="3" t="s">
        <v>564</v>
      </c>
      <c r="C39056" s="16" t="n">
        <f aca="false">SUMPRODUCT(($C$39026:$C$39035=C39034)*$C$39015:$C$39024)</f>
        <v>2017.29056194216</v>
      </c>
    </row>
    <row r="39057" customFormat="false" ht="15" hidden="false" customHeight="false" outlineLevel="0" collapsed="false">
      <c r="A39057" s="3" t="s">
        <v>565</v>
      </c>
      <c r="C39057" s="16" t="n">
        <f aca="false">SUMPRODUCT(($C$39026:$C$39035=C39035)*$C$39015:$C$39024)</f>
        <v>80.2332965</v>
      </c>
    </row>
    <row r="39058" customFormat="false" ht="15" hidden="false" customHeight="false" outlineLevel="0" collapsed="false">
      <c r="A39058" s="24" t="s">
        <v>574</v>
      </c>
      <c r="B39058" s="25"/>
      <c r="C39058" s="25"/>
      <c r="D39058" s="25"/>
      <c r="E39058" s="25"/>
      <c r="F39058" s="25"/>
      <c r="G39058" s="25"/>
      <c r="H39058" s="25"/>
      <c r="I39058" s="25"/>
      <c r="J39058" s="25"/>
      <c r="K39058" s="25"/>
    </row>
    <row r="39059" customFormat="false" ht="15" hidden="false" customHeight="false" outlineLevel="0" collapsed="false">
      <c r="A39059" s="3" t="s">
        <v>556</v>
      </c>
      <c r="C39059" s="16" t="n">
        <f aca="false">IF(C39048=0,0,C39015/C39048*MAX(0,MIN(C39048,$C$38958-SUM($C$38993:$C$39002)-C39037)))</f>
        <v>0</v>
      </c>
    </row>
    <row r="39060" customFormat="false" ht="15" hidden="false" customHeight="false" outlineLevel="0" collapsed="false">
      <c r="A39060" s="3" t="s">
        <v>557</v>
      </c>
      <c r="C39060" s="16" t="n">
        <f aca="false">IF(C39049=0,0,C39016/C39049*MAX(0,MIN(C39049,$C$38958-SUM($C$38993:$C$39002)-C39038)))</f>
        <v>0</v>
      </c>
    </row>
    <row r="39061" customFormat="false" ht="15" hidden="false" customHeight="false" outlineLevel="0" collapsed="false">
      <c r="A39061" s="3" t="s">
        <v>558</v>
      </c>
      <c r="C39061" s="16" t="n">
        <f aca="false">IF(C39050=0,0,C39017/C39050*MAX(0,MIN(C39050,$C$38958-SUM($C$38993:$C$39002)-C39039)))</f>
        <v>0</v>
      </c>
    </row>
    <row r="39062" customFormat="false" ht="15" hidden="false" customHeight="false" outlineLevel="0" collapsed="false">
      <c r="A39062" s="3" t="s">
        <v>559</v>
      </c>
      <c r="C39062" s="16" t="n">
        <f aca="false">IF(C39051=0,0,C39018/C39051*MAX(0,MIN(C39051,$C$38958-SUM($C$38993:$C$39002)-C39040)))</f>
        <v>0</v>
      </c>
    </row>
    <row r="39063" customFormat="false" ht="15" hidden="false" customHeight="false" outlineLevel="0" collapsed="false">
      <c r="A39063" s="3" t="s">
        <v>560</v>
      </c>
      <c r="C39063" s="16" t="n">
        <f aca="false">IF(C39052=0,0,C39019/C39052*MAX(0,MIN(C39052,$C$38958-SUM($C$38993:$C$39002)-C39041)))</f>
        <v>439.249936942163</v>
      </c>
    </row>
    <row r="39064" customFormat="false" ht="15" hidden="false" customHeight="false" outlineLevel="0" collapsed="false">
      <c r="A39064" s="3" t="s">
        <v>561</v>
      </c>
      <c r="C39064" s="16" t="n">
        <f aca="false">IF(C39053=0,0,C39020/C39053*MAX(0,MIN(C39053,$C$38958-SUM($C$38993:$C$39002)-C39042)))</f>
        <v>357.2625</v>
      </c>
    </row>
    <row r="39065" customFormat="false" ht="15" hidden="false" customHeight="false" outlineLevel="0" collapsed="false">
      <c r="A39065" s="3" t="s">
        <v>562</v>
      </c>
      <c r="C39065" s="16" t="n">
        <f aca="false">IF(C39054=0,0,C39021/C39054*MAX(0,MIN(C39054,$C$38958-SUM($C$38993:$C$39002)-C39043)))</f>
        <v>562.203125</v>
      </c>
    </row>
    <row r="39066" customFormat="false" ht="15" hidden="false" customHeight="false" outlineLevel="0" collapsed="false">
      <c r="A39066" s="3" t="s">
        <v>563</v>
      </c>
      <c r="C39066" s="16" t="n">
        <f aca="false">IF(C39055=0,0,C39022/C39055*MAX(0,MIN(C39055,$C$38958-SUM($C$38993:$C$39002)-C39044)))</f>
        <v>353.98125</v>
      </c>
    </row>
    <row r="39067" customFormat="false" ht="15" hidden="false" customHeight="false" outlineLevel="0" collapsed="false">
      <c r="A39067" s="3" t="s">
        <v>564</v>
      </c>
      <c r="C39067" s="16" t="n">
        <f aca="false">IF(C39056=0,0,C39023/C39056*MAX(0,MIN(C39056,$C$38958-SUM($C$38993:$C$39002)-C39045)))</f>
        <v>304.59375</v>
      </c>
    </row>
    <row r="39068" customFormat="false" ht="15" hidden="false" customHeight="false" outlineLevel="0" collapsed="false">
      <c r="A39068" s="3" t="s">
        <v>565</v>
      </c>
      <c r="C39068" s="16" t="n">
        <f aca="false">IF(C39057=0,0,C39024/C39057*MAX(0,MIN(C39057,$C$38958-SUM($C$38993:$C$39002)-C39046)))</f>
        <v>20.1124853346373</v>
      </c>
    </row>
    <row r="39069" customFormat="false" ht="15" hidden="false" customHeight="false" outlineLevel="0" collapsed="false">
      <c r="A39069" s="24" t="s">
        <v>575</v>
      </c>
      <c r="B39069" s="25"/>
      <c r="C39069" s="25"/>
      <c r="D39069" s="25"/>
      <c r="E39069" s="25"/>
      <c r="F39069" s="25"/>
      <c r="G39069" s="25"/>
      <c r="H39069" s="25"/>
      <c r="I39069" s="25"/>
      <c r="J39069" s="25"/>
      <c r="K39069" s="25"/>
    </row>
    <row r="39070" customFormat="false" ht="15" hidden="false" customHeight="false" outlineLevel="0" collapsed="false">
      <c r="A39070" s="2" t="s">
        <v>556</v>
      </c>
      <c r="C39070" s="17" t="n">
        <f aca="false">C38993+C39059</f>
        <v>403.76</v>
      </c>
    </row>
    <row r="39071" customFormat="false" ht="15" hidden="false" customHeight="false" outlineLevel="0" collapsed="false">
      <c r="A39071" s="2" t="s">
        <v>557</v>
      </c>
      <c r="C39071" s="17" t="n">
        <f aca="false">C38994+C39060</f>
        <v>85.1568504864</v>
      </c>
    </row>
    <row r="39072" customFormat="false" ht="15" hidden="false" customHeight="false" outlineLevel="0" collapsed="false">
      <c r="A39072" s="2" t="s">
        <v>558</v>
      </c>
      <c r="C39072" s="17" t="n">
        <f aca="false">C38995+C39061</f>
        <v>54.1907230368</v>
      </c>
    </row>
    <row r="39073" customFormat="false" ht="15" hidden="false" customHeight="false" outlineLevel="0" collapsed="false">
      <c r="A39073" s="2" t="s">
        <v>559</v>
      </c>
      <c r="C39073" s="17" t="n">
        <f aca="false">C38996+C39062</f>
        <v>0</v>
      </c>
    </row>
    <row r="39074" customFormat="false" ht="15" hidden="false" customHeight="false" outlineLevel="0" collapsed="false">
      <c r="A39074" s="2" t="s">
        <v>560</v>
      </c>
      <c r="C39074" s="17" t="n">
        <f aca="false">C38997+C39063</f>
        <v>439.249936942163</v>
      </c>
    </row>
    <row r="39075" customFormat="false" ht="15" hidden="false" customHeight="false" outlineLevel="0" collapsed="false">
      <c r="A39075" s="2" t="s">
        <v>561</v>
      </c>
      <c r="C39075" s="17" t="n">
        <f aca="false">C38998+C39064</f>
        <v>357.2625</v>
      </c>
    </row>
    <row r="39076" customFormat="false" ht="15" hidden="false" customHeight="false" outlineLevel="0" collapsed="false">
      <c r="A39076" s="2" t="s">
        <v>562</v>
      </c>
      <c r="C39076" s="17" t="n">
        <f aca="false">C38999+C39065</f>
        <v>562.203125</v>
      </c>
    </row>
    <row r="39077" customFormat="false" ht="15" hidden="false" customHeight="false" outlineLevel="0" collapsed="false">
      <c r="A39077" s="2" t="s">
        <v>563</v>
      </c>
      <c r="C39077" s="17" t="n">
        <f aca="false">C39000+C39066</f>
        <v>353.98125</v>
      </c>
    </row>
    <row r="39078" customFormat="false" ht="15" hidden="false" customHeight="false" outlineLevel="0" collapsed="false">
      <c r="A39078" s="2" t="s">
        <v>564</v>
      </c>
      <c r="C39078" s="17" t="n">
        <f aca="false">C39001+C39067</f>
        <v>304.59375</v>
      </c>
    </row>
    <row r="39079" customFormat="false" ht="15" hidden="false" customHeight="false" outlineLevel="0" collapsed="false">
      <c r="A39079" s="2" t="s">
        <v>565</v>
      </c>
      <c r="C39079" s="17" t="n">
        <f aca="false">C39002+C39068</f>
        <v>20.1124853346373</v>
      </c>
    </row>
    <row r="39080" customFormat="false" ht="15" hidden="false" customHeight="false" outlineLevel="0" collapsed="false">
      <c r="A39080" s="24" t="s">
        <v>576</v>
      </c>
      <c r="B39080" s="25"/>
      <c r="C39080" s="25"/>
      <c r="D39080" s="25"/>
      <c r="E39080" s="25"/>
      <c r="F39080" s="25"/>
      <c r="G39080" s="25"/>
      <c r="H39080" s="25"/>
      <c r="I39080" s="25"/>
      <c r="J39080" s="25"/>
      <c r="K39080" s="25"/>
    </row>
    <row r="39081" customFormat="false" ht="15" hidden="false" customHeight="false" outlineLevel="0" collapsed="false">
      <c r="A39081" s="3" t="s">
        <v>556</v>
      </c>
      <c r="C39081" s="22" t="n">
        <f aca="false">IF(C38960=0,1,C39070/C38960)</f>
        <v>1</v>
      </c>
    </row>
    <row r="39082" customFormat="false" ht="15" hidden="false" customHeight="false" outlineLevel="0" collapsed="false">
      <c r="A39082" s="3" t="s">
        <v>557</v>
      </c>
      <c r="C39082" s="22" t="n">
        <f aca="false">IF(C38961=0,1,C39071/C38961)</f>
        <v>0.932640622583639</v>
      </c>
    </row>
    <row r="39083" customFormat="false" ht="15" hidden="false" customHeight="false" outlineLevel="0" collapsed="false">
      <c r="A39083" s="3" t="s">
        <v>558</v>
      </c>
      <c r="C39083" s="22" t="n">
        <f aca="false">IF(C38962=0,1,C39072/C38962)</f>
        <v>0.928374871640695</v>
      </c>
    </row>
    <row r="39084" customFormat="false" ht="15" hidden="false" customHeight="false" outlineLevel="0" collapsed="false">
      <c r="A39084" s="3" t="s">
        <v>559</v>
      </c>
      <c r="C39084" s="22" t="n">
        <f aca="false">IF(C38963=0,1,C39073/C38963)</f>
        <v>1</v>
      </c>
    </row>
    <row r="39085" customFormat="false" ht="15" hidden="false" customHeight="false" outlineLevel="0" collapsed="false">
      <c r="A39085" s="3" t="s">
        <v>560</v>
      </c>
      <c r="C39085" s="22" t="n">
        <f aca="false">IF(C38964=0,1,C39074/C38964)</f>
        <v>1</v>
      </c>
    </row>
    <row r="39086" customFormat="false" ht="15" hidden="false" customHeight="false" outlineLevel="0" collapsed="false">
      <c r="A39086" s="3" t="s">
        <v>561</v>
      </c>
      <c r="C39086" s="22" t="n">
        <f aca="false">IF(C38965=0,1,C39075/C38965)</f>
        <v>1</v>
      </c>
    </row>
    <row r="39087" customFormat="false" ht="15" hidden="false" customHeight="false" outlineLevel="0" collapsed="false">
      <c r="A39087" s="3" t="s">
        <v>562</v>
      </c>
      <c r="C39087" s="22" t="n">
        <f aca="false">IF(C38966=0,1,C39076/C38966)</f>
        <v>1</v>
      </c>
    </row>
    <row r="39088" customFormat="false" ht="15" hidden="false" customHeight="false" outlineLevel="0" collapsed="false">
      <c r="A39088" s="3" t="s">
        <v>563</v>
      </c>
      <c r="C39088" s="22" t="n">
        <f aca="false">IF(C38967=0,1,C39077/C38967)</f>
        <v>1</v>
      </c>
    </row>
    <row r="39089" customFormat="false" ht="15" hidden="false" customHeight="false" outlineLevel="0" collapsed="false">
      <c r="A39089" s="3" t="s">
        <v>564</v>
      </c>
      <c r="C39089" s="22" t="n">
        <f aca="false">IF(C38968=0,1,C39078/C38968)</f>
        <v>1</v>
      </c>
    </row>
    <row r="39090" customFormat="false" ht="15" hidden="false" customHeight="false" outlineLevel="0" collapsed="false">
      <c r="A39090" s="3" t="s">
        <v>565</v>
      </c>
      <c r="C39090" s="22" t="n">
        <f aca="false">IF(C38969=0,1,C39079/C38969)</f>
        <v>0.250675046545511</v>
      </c>
    </row>
    <row r="39091" customFormat="false" ht="15" hidden="false" customHeight="false" outlineLevel="0" collapsed="false">
      <c r="A39091" s="24" t="s">
        <v>577</v>
      </c>
      <c r="B39091" s="25"/>
      <c r="C39091" s="25"/>
      <c r="D39091" s="25"/>
      <c r="E39091" s="25"/>
      <c r="F39091" s="25"/>
      <c r="G39091" s="25"/>
      <c r="H39091" s="25"/>
      <c r="I39091" s="25"/>
      <c r="J39091" s="25"/>
      <c r="K39091" s="25"/>
    </row>
    <row r="39092" customFormat="false" ht="15" hidden="false" customHeight="false" outlineLevel="0" collapsed="false">
      <c r="A39092" s="3" t="s">
        <v>556</v>
      </c>
      <c r="C39092" s="16" t="n">
        <f aca="false">C38960-C39070</f>
        <v>0</v>
      </c>
    </row>
    <row r="39093" customFormat="false" ht="15" hidden="false" customHeight="false" outlineLevel="0" collapsed="false">
      <c r="A39093" s="3" t="s">
        <v>557</v>
      </c>
      <c r="C39093" s="16" t="n">
        <f aca="false">C38961-C39071</f>
        <v>6.15039951360001</v>
      </c>
    </row>
    <row r="39094" customFormat="false" ht="15" hidden="false" customHeight="false" outlineLevel="0" collapsed="false">
      <c r="A39094" s="3" t="s">
        <v>558</v>
      </c>
      <c r="C39094" s="16" t="n">
        <f aca="false">C38962-C39072</f>
        <v>4.1808730632</v>
      </c>
    </row>
    <row r="39095" customFormat="false" ht="15" hidden="false" customHeight="false" outlineLevel="0" collapsed="false">
      <c r="A39095" s="3" t="s">
        <v>559</v>
      </c>
      <c r="C39095" s="16" t="n">
        <f aca="false">C38963-C39073</f>
        <v>0</v>
      </c>
    </row>
    <row r="39096" customFormat="false" ht="15" hidden="false" customHeight="false" outlineLevel="0" collapsed="false">
      <c r="A39096" s="3" t="s">
        <v>560</v>
      </c>
      <c r="C39096" s="16" t="n">
        <f aca="false">C38964-C39074</f>
        <v>0</v>
      </c>
    </row>
    <row r="39097" customFormat="false" ht="15" hidden="false" customHeight="false" outlineLevel="0" collapsed="false">
      <c r="A39097" s="3" t="s">
        <v>561</v>
      </c>
      <c r="C39097" s="16" t="n">
        <f aca="false">C38965-C39075</f>
        <v>0</v>
      </c>
    </row>
    <row r="39098" customFormat="false" ht="15" hidden="false" customHeight="false" outlineLevel="0" collapsed="false">
      <c r="A39098" s="3" t="s">
        <v>562</v>
      </c>
      <c r="C39098" s="16" t="n">
        <f aca="false">C38966-C39076</f>
        <v>0</v>
      </c>
    </row>
    <row r="39099" customFormat="false" ht="15" hidden="false" customHeight="false" outlineLevel="0" collapsed="false">
      <c r="A39099" s="3" t="s">
        <v>563</v>
      </c>
      <c r="C39099" s="16" t="n">
        <f aca="false">C38967-C39077</f>
        <v>0</v>
      </c>
    </row>
    <row r="39100" customFormat="false" ht="15" hidden="false" customHeight="false" outlineLevel="0" collapsed="false">
      <c r="A39100" s="3" t="s">
        <v>564</v>
      </c>
      <c r="C39100" s="16" t="n">
        <f aca="false">C38968-C39078</f>
        <v>0</v>
      </c>
    </row>
    <row r="39101" customFormat="false" ht="15" hidden="false" customHeight="false" outlineLevel="0" collapsed="false">
      <c r="A39101" s="3" t="s">
        <v>565</v>
      </c>
      <c r="C39101" s="16" t="n">
        <f aca="false">C38969-C39079</f>
        <v>60.1208111653627</v>
      </c>
    </row>
    <row r="39102" customFormat="false" ht="15" hidden="false" customHeight="false" outlineLevel="0" collapsed="false">
      <c r="A39102" s="24" t="s">
        <v>578</v>
      </c>
      <c r="B39102" s="25"/>
      <c r="C39102" s="25"/>
      <c r="D39102" s="25"/>
      <c r="E39102" s="25"/>
      <c r="F39102" s="25"/>
      <c r="G39102" s="25"/>
      <c r="H39102" s="25"/>
      <c r="I39102" s="25"/>
      <c r="J39102" s="25"/>
      <c r="K39102" s="25"/>
    </row>
    <row r="39103" customFormat="false" ht="15" hidden="false" customHeight="false" outlineLevel="0" collapsed="false">
      <c r="A39103" s="3" t="s">
        <v>556</v>
      </c>
      <c r="C39103" s="22" t="n">
        <f aca="false">IF(C38960=0,0,C39092/C38960)</f>
        <v>0</v>
      </c>
    </row>
    <row r="39104" customFormat="false" ht="15" hidden="false" customHeight="false" outlineLevel="0" collapsed="false">
      <c r="A39104" s="3" t="s">
        <v>557</v>
      </c>
      <c r="C39104" s="22" t="n">
        <f aca="false">IF(C38961=0,0,C39093/C38961)</f>
        <v>0.0673593774163608</v>
      </c>
    </row>
    <row r="39105" customFormat="false" ht="15" hidden="false" customHeight="false" outlineLevel="0" collapsed="false">
      <c r="A39105" s="3" t="s">
        <v>558</v>
      </c>
      <c r="C39105" s="22" t="n">
        <f aca="false">IF(C38962=0,0,C39094/C38962)</f>
        <v>0.0716251283593048</v>
      </c>
    </row>
    <row r="39106" customFormat="false" ht="15" hidden="false" customHeight="false" outlineLevel="0" collapsed="false">
      <c r="A39106" s="3" t="s">
        <v>559</v>
      </c>
      <c r="C39106" s="22" t="n">
        <f aca="false">IF(C38963=0,0,C39095/C38963)</f>
        <v>0</v>
      </c>
    </row>
    <row r="39107" customFormat="false" ht="15" hidden="false" customHeight="false" outlineLevel="0" collapsed="false">
      <c r="A39107" s="3" t="s">
        <v>560</v>
      </c>
      <c r="C39107" s="22" t="n">
        <f aca="false">IF(C38964=0,0,C39096/C38964)</f>
        <v>0</v>
      </c>
    </row>
    <row r="39108" customFormat="false" ht="15" hidden="false" customHeight="false" outlineLevel="0" collapsed="false">
      <c r="A39108" s="3" t="s">
        <v>561</v>
      </c>
      <c r="C39108" s="22" t="n">
        <f aca="false">IF(C38965=0,0,C39097/C38965)</f>
        <v>0</v>
      </c>
    </row>
    <row r="39109" customFormat="false" ht="15" hidden="false" customHeight="false" outlineLevel="0" collapsed="false">
      <c r="A39109" s="3" t="s">
        <v>562</v>
      </c>
      <c r="C39109" s="22" t="n">
        <f aca="false">IF(C38966=0,0,C39098/C38966)</f>
        <v>0</v>
      </c>
    </row>
    <row r="39110" customFormat="false" ht="15" hidden="false" customHeight="false" outlineLevel="0" collapsed="false">
      <c r="A39110" s="3" t="s">
        <v>563</v>
      </c>
      <c r="C39110" s="22" t="n">
        <f aca="false">IF(C38967=0,0,C39099/C38967)</f>
        <v>0</v>
      </c>
    </row>
    <row r="39111" customFormat="false" ht="15" hidden="false" customHeight="false" outlineLevel="0" collapsed="false">
      <c r="A39111" s="3" t="s">
        <v>564</v>
      </c>
      <c r="C39111" s="22" t="n">
        <f aca="false">IF(C38968=0,0,C39100/C38968)</f>
        <v>0</v>
      </c>
    </row>
    <row r="39112" customFormat="false" ht="15" hidden="false" customHeight="false" outlineLevel="0" collapsed="false">
      <c r="A39112" s="3" t="s">
        <v>565</v>
      </c>
      <c r="C39112" s="22" t="n">
        <f aca="false">IF(C38969=0,0,C39101/C38969)</f>
        <v>0.749324953454489</v>
      </c>
    </row>
    <row r="39113" customFormat="false" ht="15" hidden="false" customHeight="false" outlineLevel="0" collapsed="false">
      <c r="A39113" s="2" t="s">
        <v>579</v>
      </c>
      <c r="C39113" s="17" t="n">
        <f aca="false">MAX(0,$C$38958-SUM($C$38993:$C$39002)-SUM($C$39015:$C$39024))</f>
        <v>0</v>
      </c>
    </row>
    <row r="39114" customFormat="false" ht="15" hidden="false" customHeight="false" outlineLevel="0" collapsed="false">
      <c r="A39114" s="3" t="s">
        <v>580</v>
      </c>
      <c r="C39114" s="16" t="n">
        <f aca="false">SUM($C$39070:$C$39079)+C39113+C38957-C38956</f>
        <v>0</v>
      </c>
    </row>
    <row r="39116" customFormat="false" ht="15" hidden="false" customHeight="false" outlineLevel="0" collapsed="false">
      <c r="A39116" s="24" t="s">
        <v>583</v>
      </c>
      <c r="B39116" s="25"/>
      <c r="C39116" s="25"/>
      <c r="D39116" s="25"/>
      <c r="E39116" s="25"/>
      <c r="F39116" s="25"/>
      <c r="G39116" s="25"/>
      <c r="H39116" s="25"/>
      <c r="I39116" s="25"/>
      <c r="J39116" s="25"/>
      <c r="K39116" s="25"/>
    </row>
    <row r="39117" customFormat="false" ht="15" hidden="false" customHeight="false" outlineLevel="0" collapsed="false">
      <c r="A39117" s="3" t="s">
        <v>584</v>
      </c>
      <c r="C39117" s="27" t="n">
        <f aca="false">Assumptions!$C$34</f>
        <v>1</v>
      </c>
    </row>
    <row r="39118" customFormat="false" ht="15" hidden="false" customHeight="false" outlineLevel="0" collapsed="false">
      <c r="A39118" s="3" t="s">
        <v>585</v>
      </c>
      <c r="C39118" s="29" t="n">
        <f aca="false">Assumptions!$C$35</f>
        <v>100</v>
      </c>
    </row>
    <row r="39119" customFormat="false" ht="15" hidden="false" customHeight="false" outlineLevel="0" collapsed="false">
      <c r="A39119" s="3" t="s">
        <v>586</v>
      </c>
      <c r="C39119" s="40" t="n">
        <f aca="false">Assumptions!$C$36</f>
        <v>98</v>
      </c>
    </row>
    <row r="39120" customFormat="false" ht="15" hidden="false" customHeight="false" outlineLevel="0" collapsed="false">
      <c r="A39120" s="3" t="s">
        <v>587</v>
      </c>
      <c r="C39120" s="16" t="n">
        <f aca="false">C39118*C39119/100*(1+Assumptions!$C$37)</f>
        <v>98.49</v>
      </c>
    </row>
    <row r="39121" customFormat="false" ht="15" hidden="false" customHeight="false" outlineLevel="0" collapsed="false">
      <c r="A39121" s="3" t="s">
        <v>588</v>
      </c>
      <c r="C39121" s="27" t="n">
        <f aca="false">Assumptions!$C$38</f>
        <v>3</v>
      </c>
    </row>
    <row r="39122" customFormat="false" ht="15" hidden="false" customHeight="false" outlineLevel="0" collapsed="false">
      <c r="A39122" s="3" t="s">
        <v>589</v>
      </c>
      <c r="C39122" s="21" t="n">
        <f aca="false">IF(C38949=1,SUMPRODUCT($G$38885:$K$38885,$G$38659:$K$38659),0)</f>
        <v>2</v>
      </c>
    </row>
    <row r="39123" customFormat="false" ht="15" hidden="false" customHeight="false" outlineLevel="0" collapsed="false">
      <c r="A39123" s="3" t="s">
        <v>590</v>
      </c>
      <c r="C39123" s="22" t="n">
        <f aca="false">IFERROR(C39118/CHOOSE(C39117,SUMPRODUCT($G$38948:$K$38948,$G$38705:$K$38705),SUMPRODUCT($G$38948:$K$38948,$G$38718:$K$38718),SUMPRODUCT($G$38948:$K$38948,$G$38731:$K$38731),SUMPRODUCT($G$38948:$K$38948,$G$38744:$K$38744),SUMPRODUCT($G$38948:$K$38948,$G$38757:$K$38757),SUMPRODUCT($G$38948:$K$38948,$G$38770:$K$38770),SUMPRODUCT($G$38948:$K$38948,$G$38783:$K$38783),SUMPRODUCT($G$38948:$K$38948,$G$38796:$K$38796),SUMPRODUCT($G$38948:$K$38948,$G$38809:$K$38809),SUMPRODUCT($G$38948:$K$38948,$G$38822:$K$38822)),0)</f>
        <v>0.255102040816327</v>
      </c>
    </row>
    <row r="39124" customFormat="false" ht="15" hidden="false" customHeight="false" outlineLevel="0" collapsed="false">
      <c r="A39124" s="3" t="s">
        <v>591</v>
      </c>
      <c r="C39124" s="16" t="n">
        <f aca="false">CHOOSE(C39117,C39070,C39071,C39072,C39073,C39074,C39075,C39076,C39077,C39078,C39079)*C39123</f>
        <v>103</v>
      </c>
    </row>
    <row r="39125" customFormat="false" ht="15" hidden="false" customHeight="false" outlineLevel="0" collapsed="false">
      <c r="A39125" s="3" t="s">
        <v>592</v>
      </c>
      <c r="C39125" s="22" t="n">
        <f aca="false">CHOOSE(C39117,C39081,C39082,C39083,C39084,C39085,C39086,C39087,C39088,C39089,C39090)</f>
        <v>1</v>
      </c>
    </row>
    <row r="39126" customFormat="false" ht="15" hidden="false" customHeight="false" outlineLevel="0" collapsed="false">
      <c r="A39126" s="3" t="s">
        <v>593</v>
      </c>
      <c r="C39126" s="21" t="n">
        <f aca="false">IF(C38949=1,C39122,C39121)</f>
        <v>2</v>
      </c>
    </row>
    <row r="39127" customFormat="false" ht="15" hidden="false" customHeight="false" outlineLevel="0" collapsed="false">
      <c r="A39127" s="3" t="s">
        <v>594</v>
      </c>
      <c r="C39127" s="35" t="n">
        <f aca="false">CHOOSE($C$38651,Assumptions!$C$91,Assumptions!$C$110,Assumptions!$C$129)</f>
        <v>85</v>
      </c>
    </row>
    <row r="39128" customFormat="false" ht="15" hidden="false" customHeight="false" outlineLevel="0" collapsed="false">
      <c r="A39128" s="3" t="s">
        <v>595</v>
      </c>
      <c r="C39128" s="16" t="n">
        <f aca="false">INDEX($G$38668:$K$38668,C39121)*CHOOSE($C$38651,Assumptions!$C$90,Assumptions!$C$109,Assumptions!$C$128)+MAX(0,INDEX($G$38882:$K$38882,C39121))</f>
        <v>1633.40082545963</v>
      </c>
    </row>
    <row r="39129" customFormat="false" ht="15" hidden="false" customHeight="false" outlineLevel="0" collapsed="false">
      <c r="A39129" s="24" t="s">
        <v>596</v>
      </c>
      <c r="B39129" s="25"/>
      <c r="C39129" s="25"/>
      <c r="D39129" s="25"/>
      <c r="E39129" s="25"/>
      <c r="F39129" s="25"/>
      <c r="G39129" s="25"/>
      <c r="H39129" s="25"/>
      <c r="I39129" s="25"/>
      <c r="J39129" s="25"/>
      <c r="K39129" s="25"/>
    </row>
    <row r="39130" customFormat="false" ht="15" hidden="false" customHeight="false" outlineLevel="0" collapsed="false">
      <c r="A39130" s="3" t="s">
        <v>556</v>
      </c>
      <c r="C39130" s="16" t="n">
        <f aca="false">INDEX($G$38705:$K$38705,C39121)</f>
        <v>388</v>
      </c>
    </row>
    <row r="39131" customFormat="false" ht="15" hidden="false" customHeight="false" outlineLevel="0" collapsed="false">
      <c r="A39131" s="3" t="s">
        <v>557</v>
      </c>
      <c r="C39131" s="16" t="n">
        <f aca="false">INDEX($G$38718:$K$38718,C39121)</f>
        <v>90</v>
      </c>
    </row>
    <row r="39132" customFormat="false" ht="15" hidden="false" customHeight="false" outlineLevel="0" collapsed="false">
      <c r="A39132" s="3" t="s">
        <v>558</v>
      </c>
      <c r="C39132" s="16" t="n">
        <f aca="false">INDEX($G$38731:$K$38731,C39121)</f>
        <v>57.324</v>
      </c>
    </row>
    <row r="39133" customFormat="false" ht="15" hidden="false" customHeight="false" outlineLevel="0" collapsed="false">
      <c r="A39133" s="3" t="s">
        <v>559</v>
      </c>
      <c r="C39133" s="16" t="n">
        <f aca="false">INDEX($G$38744:$K$38744,C39121)</f>
        <v>0</v>
      </c>
    </row>
    <row r="39134" customFormat="false" ht="15" hidden="false" customHeight="false" outlineLevel="0" collapsed="false">
      <c r="A39134" s="3" t="s">
        <v>560</v>
      </c>
      <c r="C39134" s="16" t="n">
        <f aca="false">INDEX($G$38757:$K$38757,C39121)</f>
        <v>434.9547587</v>
      </c>
    </row>
    <row r="39135" customFormat="false" ht="15" hidden="false" customHeight="false" outlineLevel="0" collapsed="false">
      <c r="A39135" s="3" t="s">
        <v>561</v>
      </c>
      <c r="C39135" s="16" t="n">
        <f aca="false">INDEX($G$38770:$K$38770,C39121)</f>
        <v>350</v>
      </c>
    </row>
    <row r="39136" customFormat="false" ht="15" hidden="false" customHeight="false" outlineLevel="0" collapsed="false">
      <c r="A39136" s="3" t="s">
        <v>562</v>
      </c>
      <c r="C39136" s="16" t="n">
        <f aca="false">INDEX($G$38783:$K$38783,C39121)</f>
        <v>550</v>
      </c>
    </row>
    <row r="39137" customFormat="false" ht="15" hidden="false" customHeight="false" outlineLevel="0" collapsed="false">
      <c r="A39137" s="3" t="s">
        <v>563</v>
      </c>
      <c r="C39137" s="16" t="n">
        <f aca="false">INDEX($G$38796:$K$38796,C39121)</f>
        <v>350</v>
      </c>
    </row>
    <row r="39138" customFormat="false" ht="15" hidden="false" customHeight="false" outlineLevel="0" collapsed="false">
      <c r="A39138" s="3" t="s">
        <v>564</v>
      </c>
      <c r="C39138" s="16" t="n">
        <f aca="false">INDEX($G$38809:$K$38809,C39121)</f>
        <v>300</v>
      </c>
    </row>
    <row r="39139" customFormat="false" ht="15" hidden="false" customHeight="false" outlineLevel="0" collapsed="false">
      <c r="A39139" s="3" t="s">
        <v>565</v>
      </c>
      <c r="C39139" s="16" t="n">
        <f aca="false">INDEX($G$38822:$K$38822,C39121)</f>
        <v>78.61</v>
      </c>
    </row>
    <row r="39140" customFormat="false" ht="15" hidden="false" customHeight="false" outlineLevel="0" collapsed="false">
      <c r="A39140" s="24" t="s">
        <v>566</v>
      </c>
      <c r="B39140" s="25"/>
      <c r="C39140" s="25"/>
      <c r="D39140" s="25"/>
      <c r="E39140" s="25"/>
      <c r="F39140" s="25"/>
      <c r="G39140" s="25"/>
      <c r="H39140" s="25"/>
      <c r="I39140" s="25"/>
      <c r="J39140" s="25"/>
      <c r="K39140" s="25"/>
    </row>
    <row r="39141" customFormat="false" ht="15" hidden="false" customHeight="false" outlineLevel="0" collapsed="false">
      <c r="A39141" s="3" t="s">
        <v>556</v>
      </c>
      <c r="C39141" s="27" t="n">
        <f aca="false">Assumptions!$M$57</f>
        <v>1</v>
      </c>
    </row>
    <row r="39142" customFormat="false" ht="15" hidden="false" customHeight="false" outlineLevel="0" collapsed="false">
      <c r="A39142" s="3" t="s">
        <v>557</v>
      </c>
      <c r="C39142" s="27" t="n">
        <f aca="false">Assumptions!$M$58</f>
        <v>1</v>
      </c>
    </row>
    <row r="39143" customFormat="false" ht="15" hidden="false" customHeight="false" outlineLevel="0" collapsed="false">
      <c r="A39143" s="3" t="s">
        <v>558</v>
      </c>
      <c r="C39143" s="27" t="n">
        <f aca="false">Assumptions!$M$59</f>
        <v>1</v>
      </c>
    </row>
    <row r="39144" customFormat="false" ht="15" hidden="false" customHeight="false" outlineLevel="0" collapsed="false">
      <c r="A39144" s="3" t="s">
        <v>559</v>
      </c>
      <c r="C39144" s="27" t="n">
        <f aca="false">Assumptions!$M$60</f>
        <v>2</v>
      </c>
    </row>
    <row r="39145" customFormat="false" ht="15" hidden="false" customHeight="false" outlineLevel="0" collapsed="false">
      <c r="A39145" s="3" t="s">
        <v>560</v>
      </c>
      <c r="C39145" s="27" t="n">
        <f aca="false">Assumptions!$M$61</f>
        <v>2</v>
      </c>
    </row>
    <row r="39146" customFormat="false" ht="15" hidden="false" customHeight="false" outlineLevel="0" collapsed="false">
      <c r="A39146" s="3" t="s">
        <v>561</v>
      </c>
      <c r="C39146" s="27" t="n">
        <f aca="false">Assumptions!$M$62</f>
        <v>2</v>
      </c>
    </row>
    <row r="39147" customFormat="false" ht="15" hidden="false" customHeight="false" outlineLevel="0" collapsed="false">
      <c r="A39147" s="3" t="s">
        <v>562</v>
      </c>
      <c r="C39147" s="27" t="n">
        <f aca="false">Assumptions!$M$63</f>
        <v>2</v>
      </c>
    </row>
    <row r="39148" customFormat="false" ht="15" hidden="false" customHeight="false" outlineLevel="0" collapsed="false">
      <c r="A39148" s="3" t="s">
        <v>563</v>
      </c>
      <c r="C39148" s="27" t="n">
        <f aca="false">Assumptions!$M$64</f>
        <v>2</v>
      </c>
    </row>
    <row r="39149" customFormat="false" ht="15" hidden="false" customHeight="false" outlineLevel="0" collapsed="false">
      <c r="A39149" s="3" t="s">
        <v>564</v>
      </c>
      <c r="C39149" s="27" t="n">
        <f aca="false">Assumptions!$M$65</f>
        <v>2</v>
      </c>
    </row>
    <row r="39150" customFormat="false" ht="15" hidden="false" customHeight="false" outlineLevel="0" collapsed="false">
      <c r="A39150" s="3" t="s">
        <v>565</v>
      </c>
      <c r="C39150" s="27" t="n">
        <f aca="false">Assumptions!$M$66</f>
        <v>3</v>
      </c>
    </row>
    <row r="39151" customFormat="false" ht="15" hidden="false" customHeight="false" outlineLevel="0" collapsed="false">
      <c r="A39151" s="24" t="s">
        <v>567</v>
      </c>
      <c r="B39151" s="25"/>
      <c r="C39151" s="25"/>
      <c r="D39151" s="25"/>
      <c r="E39151" s="25"/>
      <c r="F39151" s="25"/>
      <c r="G39151" s="25"/>
      <c r="H39151" s="25"/>
      <c r="I39151" s="25"/>
      <c r="J39151" s="25"/>
      <c r="K39151" s="25"/>
    </row>
    <row r="39152" customFormat="false" ht="15" hidden="false" customHeight="false" outlineLevel="0" collapsed="false">
      <c r="A39152" s="3" t="s">
        <v>556</v>
      </c>
      <c r="C39152" s="33" t="n">
        <f aca="false">Assumptions!$Q$57</f>
        <v>0.3</v>
      </c>
    </row>
    <row r="39153" customFormat="false" ht="15" hidden="false" customHeight="false" outlineLevel="0" collapsed="false">
      <c r="A39153" s="3" t="s">
        <v>557</v>
      </c>
      <c r="C39153" s="33" t="n">
        <f aca="false">Assumptions!$Q$58</f>
        <v>0.033</v>
      </c>
    </row>
    <row r="39154" customFormat="false" ht="15" hidden="false" customHeight="false" outlineLevel="0" collapsed="false">
      <c r="A39154" s="3" t="s">
        <v>558</v>
      </c>
      <c r="C39154" s="33" t="n">
        <f aca="false">Assumptions!$Q$59</f>
        <v>0.021</v>
      </c>
    </row>
    <row r="39155" customFormat="false" ht="15" hidden="false" customHeight="false" outlineLevel="0" collapsed="false">
      <c r="A39155" s="3" t="s">
        <v>559</v>
      </c>
      <c r="C39155" s="33" t="n">
        <f aca="false">Assumptions!$Q$60</f>
        <v>0</v>
      </c>
    </row>
    <row r="39156" customFormat="false" ht="15" hidden="false" customHeight="false" outlineLevel="0" collapsed="false">
      <c r="A39156" s="3" t="s">
        <v>560</v>
      </c>
      <c r="C39156" s="33" t="n">
        <f aca="false">Assumptions!$Q$61</f>
        <v>0</v>
      </c>
    </row>
    <row r="39157" customFormat="false" ht="15" hidden="false" customHeight="false" outlineLevel="0" collapsed="false">
      <c r="A39157" s="3" t="s">
        <v>561</v>
      </c>
      <c r="C39157" s="33" t="n">
        <f aca="false">Assumptions!$Q$62</f>
        <v>0</v>
      </c>
    </row>
    <row r="39158" customFormat="false" ht="15" hidden="false" customHeight="false" outlineLevel="0" collapsed="false">
      <c r="A39158" s="3" t="s">
        <v>562</v>
      </c>
      <c r="C39158" s="33" t="n">
        <f aca="false">Assumptions!$Q$63</f>
        <v>0</v>
      </c>
    </row>
    <row r="39159" customFormat="false" ht="15" hidden="false" customHeight="false" outlineLevel="0" collapsed="false">
      <c r="A39159" s="3" t="s">
        <v>563</v>
      </c>
      <c r="C39159" s="33" t="n">
        <f aca="false">Assumptions!$Q$64</f>
        <v>0</v>
      </c>
    </row>
    <row r="39160" customFormat="false" ht="15" hidden="false" customHeight="false" outlineLevel="0" collapsed="false">
      <c r="A39160" s="3" t="s">
        <v>564</v>
      </c>
      <c r="C39160" s="33" t="n">
        <f aca="false">Assumptions!$Q$65</f>
        <v>0</v>
      </c>
    </row>
    <row r="39161" customFormat="false" ht="15" hidden="false" customHeight="false" outlineLevel="0" collapsed="false">
      <c r="A39161" s="3" t="s">
        <v>565</v>
      </c>
      <c r="C39161" s="33" t="n">
        <f aca="false">Assumptions!$Q$66</f>
        <v>0</v>
      </c>
    </row>
    <row r="39162" customFormat="false" ht="15" hidden="false" customHeight="false" outlineLevel="0" collapsed="false">
      <c r="A39162" s="24" t="s">
        <v>568</v>
      </c>
      <c r="B39162" s="25"/>
      <c r="C39162" s="25"/>
      <c r="D39162" s="25"/>
      <c r="E39162" s="25"/>
      <c r="F39162" s="25"/>
      <c r="G39162" s="25"/>
      <c r="H39162" s="25"/>
      <c r="I39162" s="25"/>
      <c r="J39162" s="25"/>
      <c r="K39162" s="25"/>
    </row>
    <row r="39163" customFormat="false" ht="15" hidden="false" customHeight="false" outlineLevel="0" collapsed="false">
      <c r="A39163" s="3" t="s">
        <v>556</v>
      </c>
      <c r="C39163" s="16" t="n">
        <f aca="false">IF(C39152&gt;0,MIN(C39130,C39152*$C$39128),0)</f>
        <v>388</v>
      </c>
    </row>
    <row r="39164" customFormat="false" ht="15" hidden="false" customHeight="false" outlineLevel="0" collapsed="false">
      <c r="A39164" s="3" t="s">
        <v>557</v>
      </c>
      <c r="C39164" s="16" t="n">
        <f aca="false">IF(C39153&gt;0,MIN(C39131,C39153*$C$39128),0)</f>
        <v>53.9022272401676</v>
      </c>
    </row>
    <row r="39165" customFormat="false" ht="15" hidden="false" customHeight="false" outlineLevel="0" collapsed="false">
      <c r="A39165" s="3" t="s">
        <v>558</v>
      </c>
      <c r="C39165" s="16" t="n">
        <f aca="false">IF(C39154&gt;0,MIN(C39132,C39154*$C$39128),0)</f>
        <v>34.3014173346521</v>
      </c>
    </row>
    <row r="39166" customFormat="false" ht="15" hidden="false" customHeight="false" outlineLevel="0" collapsed="false">
      <c r="A39166" s="3" t="s">
        <v>559</v>
      </c>
      <c r="C39166" s="16" t="n">
        <f aca="false">IF(C39155&gt;0,MIN(C39133,C39155*$C$39128),0)</f>
        <v>0</v>
      </c>
    </row>
    <row r="39167" customFormat="false" ht="15" hidden="false" customHeight="false" outlineLevel="0" collapsed="false">
      <c r="A39167" s="3" t="s">
        <v>560</v>
      </c>
      <c r="C39167" s="16" t="n">
        <f aca="false">IF(C39156&gt;0,MIN(C39134,C39156*$C$39128),0)</f>
        <v>0</v>
      </c>
    </row>
    <row r="39168" customFormat="false" ht="15" hidden="false" customHeight="false" outlineLevel="0" collapsed="false">
      <c r="A39168" s="3" t="s">
        <v>561</v>
      </c>
      <c r="C39168" s="16" t="n">
        <f aca="false">IF(C39157&gt;0,MIN(C39135,C39157*$C$39128),0)</f>
        <v>0</v>
      </c>
    </row>
    <row r="39169" customFormat="false" ht="15" hidden="false" customHeight="false" outlineLevel="0" collapsed="false">
      <c r="A39169" s="3" t="s">
        <v>562</v>
      </c>
      <c r="C39169" s="16" t="n">
        <f aca="false">IF(C39158&gt;0,MIN(C39136,C39158*$C$39128),0)</f>
        <v>0</v>
      </c>
    </row>
    <row r="39170" customFormat="false" ht="15" hidden="false" customHeight="false" outlineLevel="0" collapsed="false">
      <c r="A39170" s="3" t="s">
        <v>563</v>
      </c>
      <c r="C39170" s="16" t="n">
        <f aca="false">IF(C39159&gt;0,MIN(C39137,C39159*$C$39128),0)</f>
        <v>0</v>
      </c>
    </row>
    <row r="39171" customFormat="false" ht="15" hidden="false" customHeight="false" outlineLevel="0" collapsed="false">
      <c r="A39171" s="3" t="s">
        <v>564</v>
      </c>
      <c r="C39171" s="16" t="n">
        <f aca="false">IF(C39160&gt;0,MIN(C39138,C39160*$C$39128),0)</f>
        <v>0</v>
      </c>
    </row>
    <row r="39172" customFormat="false" ht="15" hidden="false" customHeight="false" outlineLevel="0" collapsed="false">
      <c r="A39172" s="3" t="s">
        <v>565</v>
      </c>
      <c r="C39172" s="16" t="n">
        <f aca="false">IF(C39161&gt;0,MIN(C39139,C39161*$C$39128),0)</f>
        <v>0</v>
      </c>
    </row>
    <row r="39173" customFormat="false" ht="15" hidden="false" customHeight="false" outlineLevel="0" collapsed="false">
      <c r="A39173" s="24" t="s">
        <v>569</v>
      </c>
      <c r="B39173" s="25"/>
      <c r="C39173" s="25"/>
      <c r="D39173" s="25"/>
      <c r="E39173" s="25"/>
      <c r="F39173" s="25"/>
      <c r="G39173" s="25"/>
      <c r="H39173" s="25"/>
      <c r="I39173" s="25"/>
      <c r="J39173" s="25"/>
      <c r="K39173" s="25"/>
    </row>
    <row r="39174" customFormat="false" ht="15" hidden="false" customHeight="false" outlineLevel="0" collapsed="false">
      <c r="A39174" s="3" t="s">
        <v>556</v>
      </c>
      <c r="C39174" s="16" t="n">
        <f aca="false">IF(C39152&gt;0,C39130-C39163,0)</f>
        <v>0</v>
      </c>
    </row>
    <row r="39175" customFormat="false" ht="15" hidden="false" customHeight="false" outlineLevel="0" collapsed="false">
      <c r="A39175" s="3" t="s">
        <v>557</v>
      </c>
      <c r="C39175" s="16" t="n">
        <f aca="false">IF(C39153&gt;0,C39131-C39164,0)</f>
        <v>36.0977727598324</v>
      </c>
    </row>
    <row r="39176" customFormat="false" ht="15" hidden="false" customHeight="false" outlineLevel="0" collapsed="false">
      <c r="A39176" s="3" t="s">
        <v>558</v>
      </c>
      <c r="C39176" s="16" t="n">
        <f aca="false">IF(C39154&gt;0,C39132-C39165,0)</f>
        <v>23.0225826653479</v>
      </c>
    </row>
    <row r="39177" customFormat="false" ht="15" hidden="false" customHeight="false" outlineLevel="0" collapsed="false">
      <c r="A39177" s="3" t="s">
        <v>559</v>
      </c>
      <c r="C39177" s="16" t="n">
        <f aca="false">IF(C39155&gt;0,C39133-C39166,0)</f>
        <v>0</v>
      </c>
    </row>
    <row r="39178" customFormat="false" ht="15" hidden="false" customHeight="false" outlineLevel="0" collapsed="false">
      <c r="A39178" s="3" t="s">
        <v>560</v>
      </c>
      <c r="C39178" s="16" t="n">
        <f aca="false">IF(C39156&gt;0,C39134-C39167,0)</f>
        <v>0</v>
      </c>
    </row>
    <row r="39179" customFormat="false" ht="15" hidden="false" customHeight="false" outlineLevel="0" collapsed="false">
      <c r="A39179" s="3" t="s">
        <v>561</v>
      </c>
      <c r="C39179" s="16" t="n">
        <f aca="false">IF(C39157&gt;0,C39135-C39168,0)</f>
        <v>0</v>
      </c>
    </row>
    <row r="39180" customFormat="false" ht="15" hidden="false" customHeight="false" outlineLevel="0" collapsed="false">
      <c r="A39180" s="3" t="s">
        <v>562</v>
      </c>
      <c r="C39180" s="16" t="n">
        <f aca="false">IF(C39158&gt;0,C39136-C39169,0)</f>
        <v>0</v>
      </c>
    </row>
    <row r="39181" customFormat="false" ht="15" hidden="false" customHeight="false" outlineLevel="0" collapsed="false">
      <c r="A39181" s="3" t="s">
        <v>563</v>
      </c>
      <c r="C39181" s="16" t="n">
        <f aca="false">IF(C39159&gt;0,C39137-C39170,0)</f>
        <v>0</v>
      </c>
    </row>
    <row r="39182" customFormat="false" ht="15" hidden="false" customHeight="false" outlineLevel="0" collapsed="false">
      <c r="A39182" s="3" t="s">
        <v>564</v>
      </c>
      <c r="C39182" s="16" t="n">
        <f aca="false">IF(C39160&gt;0,C39138-C39171,0)</f>
        <v>0</v>
      </c>
    </row>
    <row r="39183" customFormat="false" ht="15" hidden="false" customHeight="false" outlineLevel="0" collapsed="false">
      <c r="A39183" s="3" t="s">
        <v>565</v>
      </c>
      <c r="C39183" s="16" t="n">
        <f aca="false">IF(C39161&gt;0,C39139-C39172,0)</f>
        <v>0</v>
      </c>
    </row>
    <row r="39184" customFormat="false" ht="15" hidden="false" customHeight="false" outlineLevel="0" collapsed="false">
      <c r="A39184" s="24" t="s">
        <v>570</v>
      </c>
      <c r="B39184" s="25"/>
      <c r="C39184" s="25"/>
      <c r="D39184" s="25"/>
      <c r="E39184" s="25"/>
      <c r="F39184" s="25"/>
      <c r="G39184" s="25"/>
      <c r="H39184" s="25"/>
      <c r="I39184" s="25"/>
      <c r="J39184" s="25"/>
      <c r="K39184" s="25"/>
    </row>
    <row r="39185" customFormat="false" ht="15" hidden="false" customHeight="false" outlineLevel="0" collapsed="false">
      <c r="A39185" s="3" t="s">
        <v>556</v>
      </c>
      <c r="C39185" s="16" t="n">
        <f aca="false">IF(C39152&gt;0,C39174,C39130)</f>
        <v>0</v>
      </c>
    </row>
    <row r="39186" customFormat="false" ht="15" hidden="false" customHeight="false" outlineLevel="0" collapsed="false">
      <c r="A39186" s="3" t="s">
        <v>557</v>
      </c>
      <c r="C39186" s="16" t="n">
        <f aca="false">IF(C39153&gt;0,C39175,C39131)</f>
        <v>36.0977727598324</v>
      </c>
    </row>
    <row r="39187" customFormat="false" ht="15" hidden="false" customHeight="false" outlineLevel="0" collapsed="false">
      <c r="A39187" s="3" t="s">
        <v>558</v>
      </c>
      <c r="C39187" s="16" t="n">
        <f aca="false">IF(C39154&gt;0,C39176,C39132)</f>
        <v>23.0225826653479</v>
      </c>
    </row>
    <row r="39188" customFormat="false" ht="15" hidden="false" customHeight="false" outlineLevel="0" collapsed="false">
      <c r="A39188" s="3" t="s">
        <v>559</v>
      </c>
      <c r="C39188" s="16" t="n">
        <f aca="false">IF(C39155&gt;0,C39177,C39133)</f>
        <v>0</v>
      </c>
    </row>
    <row r="39189" customFormat="false" ht="15" hidden="false" customHeight="false" outlineLevel="0" collapsed="false">
      <c r="A39189" s="3" t="s">
        <v>560</v>
      </c>
      <c r="C39189" s="16" t="n">
        <f aca="false">IF(C39156&gt;0,C39178,C39134)</f>
        <v>434.9547587</v>
      </c>
    </row>
    <row r="39190" customFormat="false" ht="15" hidden="false" customHeight="false" outlineLevel="0" collapsed="false">
      <c r="A39190" s="3" t="s">
        <v>561</v>
      </c>
      <c r="C39190" s="16" t="n">
        <f aca="false">IF(C39157&gt;0,C39179,C39135)</f>
        <v>350</v>
      </c>
    </row>
    <row r="39191" customFormat="false" ht="15" hidden="false" customHeight="false" outlineLevel="0" collapsed="false">
      <c r="A39191" s="3" t="s">
        <v>562</v>
      </c>
      <c r="C39191" s="16" t="n">
        <f aca="false">IF(C39158&gt;0,C39180,C39136)</f>
        <v>550</v>
      </c>
    </row>
    <row r="39192" customFormat="false" ht="15" hidden="false" customHeight="false" outlineLevel="0" collapsed="false">
      <c r="A39192" s="3" t="s">
        <v>563</v>
      </c>
      <c r="C39192" s="16" t="n">
        <f aca="false">IF(C39159&gt;0,C39181,C39137)</f>
        <v>350</v>
      </c>
    </row>
    <row r="39193" customFormat="false" ht="15" hidden="false" customHeight="false" outlineLevel="0" collapsed="false">
      <c r="A39193" s="3" t="s">
        <v>564</v>
      </c>
      <c r="C39193" s="16" t="n">
        <f aca="false">IF(C39160&gt;0,C39182,C39138)</f>
        <v>300</v>
      </c>
    </row>
    <row r="39194" customFormat="false" ht="15" hidden="false" customHeight="false" outlineLevel="0" collapsed="false">
      <c r="A39194" s="3" t="s">
        <v>565</v>
      </c>
      <c r="C39194" s="16" t="n">
        <f aca="false">IF(C39161&gt;0,C39183,C39139)</f>
        <v>78.61</v>
      </c>
    </row>
    <row r="39195" customFormat="false" ht="15" hidden="false" customHeight="false" outlineLevel="0" collapsed="false">
      <c r="A39195" s="24" t="s">
        <v>571</v>
      </c>
      <c r="B39195" s="25"/>
      <c r="C39195" s="25"/>
      <c r="D39195" s="25"/>
      <c r="E39195" s="25"/>
      <c r="F39195" s="25"/>
      <c r="G39195" s="25"/>
      <c r="H39195" s="25"/>
      <c r="I39195" s="25"/>
      <c r="J39195" s="25"/>
      <c r="K39195" s="25"/>
    </row>
    <row r="39196" customFormat="false" ht="15" hidden="false" customHeight="false" outlineLevel="0" collapsed="false">
      <c r="A39196" s="3" t="s">
        <v>556</v>
      </c>
      <c r="C39196" s="21" t="n">
        <f aca="false">IF(C39152&gt;0,Assumptions!$C$17,C39141)</f>
        <v>99</v>
      </c>
    </row>
    <row r="39197" customFormat="false" ht="15" hidden="false" customHeight="false" outlineLevel="0" collapsed="false">
      <c r="A39197" s="3" t="s">
        <v>557</v>
      </c>
      <c r="C39197" s="21" t="n">
        <f aca="false">IF(C39153&gt;0,Assumptions!$C$17,C39142)</f>
        <v>99</v>
      </c>
    </row>
    <row r="39198" customFormat="false" ht="15" hidden="false" customHeight="false" outlineLevel="0" collapsed="false">
      <c r="A39198" s="3" t="s">
        <v>558</v>
      </c>
      <c r="C39198" s="21" t="n">
        <f aca="false">IF(C39154&gt;0,Assumptions!$C$17,C39143)</f>
        <v>99</v>
      </c>
    </row>
    <row r="39199" customFormat="false" ht="15" hidden="false" customHeight="false" outlineLevel="0" collapsed="false">
      <c r="A39199" s="3" t="s">
        <v>559</v>
      </c>
      <c r="C39199" s="21" t="n">
        <f aca="false">IF(C39155&gt;0,Assumptions!$C$17,C39144)</f>
        <v>2</v>
      </c>
    </row>
    <row r="39200" customFormat="false" ht="15" hidden="false" customHeight="false" outlineLevel="0" collapsed="false">
      <c r="A39200" s="3" t="s">
        <v>560</v>
      </c>
      <c r="C39200" s="21" t="n">
        <f aca="false">IF(C39156&gt;0,Assumptions!$C$17,C39145)</f>
        <v>2</v>
      </c>
    </row>
    <row r="39201" customFormat="false" ht="15" hidden="false" customHeight="false" outlineLevel="0" collapsed="false">
      <c r="A39201" s="3" t="s">
        <v>561</v>
      </c>
      <c r="C39201" s="21" t="n">
        <f aca="false">IF(C39157&gt;0,Assumptions!$C$17,C39146)</f>
        <v>2</v>
      </c>
    </row>
    <row r="39202" customFormat="false" ht="15" hidden="false" customHeight="false" outlineLevel="0" collapsed="false">
      <c r="A39202" s="3" t="s">
        <v>562</v>
      </c>
      <c r="C39202" s="21" t="n">
        <f aca="false">IF(C39158&gt;0,Assumptions!$C$17,C39147)</f>
        <v>2</v>
      </c>
    </row>
    <row r="39203" customFormat="false" ht="15" hidden="false" customHeight="false" outlineLevel="0" collapsed="false">
      <c r="A39203" s="3" t="s">
        <v>563</v>
      </c>
      <c r="C39203" s="21" t="n">
        <f aca="false">IF(C39159&gt;0,Assumptions!$C$17,C39148)</f>
        <v>2</v>
      </c>
    </row>
    <row r="39204" customFormat="false" ht="15" hidden="false" customHeight="false" outlineLevel="0" collapsed="false">
      <c r="A39204" s="3" t="s">
        <v>564</v>
      </c>
      <c r="C39204" s="21" t="n">
        <f aca="false">IF(C39160&gt;0,Assumptions!$C$17,C39149)</f>
        <v>2</v>
      </c>
    </row>
    <row r="39205" customFormat="false" ht="15" hidden="false" customHeight="false" outlineLevel="0" collapsed="false">
      <c r="A39205" s="3" t="s">
        <v>565</v>
      </c>
      <c r="C39205" s="21" t="n">
        <f aca="false">IF(C39161&gt;0,Assumptions!$C$17,C39150)</f>
        <v>3</v>
      </c>
    </row>
    <row r="39206" customFormat="false" ht="15" hidden="false" customHeight="false" outlineLevel="0" collapsed="false">
      <c r="A39206" s="24" t="s">
        <v>572</v>
      </c>
      <c r="B39206" s="25"/>
      <c r="C39206" s="25"/>
      <c r="D39206" s="25"/>
      <c r="E39206" s="25"/>
      <c r="F39206" s="25"/>
      <c r="G39206" s="25"/>
      <c r="H39206" s="25"/>
      <c r="I39206" s="25"/>
      <c r="J39206" s="25"/>
      <c r="K39206" s="25"/>
    </row>
    <row r="39207" customFormat="false" ht="15" hidden="false" customHeight="false" outlineLevel="0" collapsed="false">
      <c r="A39207" s="3" t="s">
        <v>556</v>
      </c>
      <c r="C39207" s="16" t="n">
        <f aca="false">SUMPRODUCT(($C$39196:$C$39205&lt;C39196)*$C$39185:$C$39194)</f>
        <v>2063.5647587</v>
      </c>
    </row>
    <row r="39208" customFormat="false" ht="15" hidden="false" customHeight="false" outlineLevel="0" collapsed="false">
      <c r="A39208" s="3" t="s">
        <v>557</v>
      </c>
      <c r="C39208" s="16" t="n">
        <f aca="false">SUMPRODUCT(($C$39196:$C$39205&lt;C39197)*$C$39185:$C$39194)</f>
        <v>2063.5647587</v>
      </c>
    </row>
    <row r="39209" customFormat="false" ht="15" hidden="false" customHeight="false" outlineLevel="0" collapsed="false">
      <c r="A39209" s="3" t="s">
        <v>558</v>
      </c>
      <c r="C39209" s="16" t="n">
        <f aca="false">SUMPRODUCT(($C$39196:$C$39205&lt;C39198)*$C$39185:$C$39194)</f>
        <v>2063.5647587</v>
      </c>
    </row>
    <row r="39210" customFormat="false" ht="15" hidden="false" customHeight="false" outlineLevel="0" collapsed="false">
      <c r="A39210" s="3" t="s">
        <v>559</v>
      </c>
      <c r="C39210" s="16" t="n">
        <f aca="false">SUMPRODUCT(($C$39196:$C$39205&lt;C39199)*$C$39185:$C$39194)</f>
        <v>0</v>
      </c>
    </row>
    <row r="39211" customFormat="false" ht="15" hidden="false" customHeight="false" outlineLevel="0" collapsed="false">
      <c r="A39211" s="3" t="s">
        <v>560</v>
      </c>
      <c r="C39211" s="16" t="n">
        <f aca="false">SUMPRODUCT(($C$39196:$C$39205&lt;C39200)*$C$39185:$C$39194)</f>
        <v>0</v>
      </c>
    </row>
    <row r="39212" customFormat="false" ht="15" hidden="false" customHeight="false" outlineLevel="0" collapsed="false">
      <c r="A39212" s="3" t="s">
        <v>561</v>
      </c>
      <c r="C39212" s="16" t="n">
        <f aca="false">SUMPRODUCT(($C$39196:$C$39205&lt;C39201)*$C$39185:$C$39194)</f>
        <v>0</v>
      </c>
    </row>
    <row r="39213" customFormat="false" ht="15" hidden="false" customHeight="false" outlineLevel="0" collapsed="false">
      <c r="A39213" s="3" t="s">
        <v>562</v>
      </c>
      <c r="C39213" s="16" t="n">
        <f aca="false">SUMPRODUCT(($C$39196:$C$39205&lt;C39202)*$C$39185:$C$39194)</f>
        <v>0</v>
      </c>
    </row>
    <row r="39214" customFormat="false" ht="15" hidden="false" customHeight="false" outlineLevel="0" collapsed="false">
      <c r="A39214" s="3" t="s">
        <v>563</v>
      </c>
      <c r="C39214" s="16" t="n">
        <f aca="false">SUMPRODUCT(($C$39196:$C$39205&lt;C39203)*$C$39185:$C$39194)</f>
        <v>0</v>
      </c>
    </row>
    <row r="39215" customFormat="false" ht="15" hidden="false" customHeight="false" outlineLevel="0" collapsed="false">
      <c r="A39215" s="3" t="s">
        <v>564</v>
      </c>
      <c r="C39215" s="16" t="n">
        <f aca="false">SUMPRODUCT(($C$39196:$C$39205&lt;C39204)*$C$39185:$C$39194)</f>
        <v>0</v>
      </c>
    </row>
    <row r="39216" customFormat="false" ht="15" hidden="false" customHeight="false" outlineLevel="0" collapsed="false">
      <c r="A39216" s="3" t="s">
        <v>565</v>
      </c>
      <c r="C39216" s="16" t="n">
        <f aca="false">SUMPRODUCT(($C$39196:$C$39205&lt;C39205)*$C$39185:$C$39194)</f>
        <v>1984.9547587</v>
      </c>
    </row>
    <row r="39217" customFormat="false" ht="15" hidden="false" customHeight="false" outlineLevel="0" collapsed="false">
      <c r="A39217" s="24" t="s">
        <v>573</v>
      </c>
      <c r="B39217" s="25"/>
      <c r="C39217" s="25"/>
      <c r="D39217" s="25"/>
      <c r="E39217" s="25"/>
      <c r="F39217" s="25"/>
      <c r="G39217" s="25"/>
      <c r="H39217" s="25"/>
      <c r="I39217" s="25"/>
      <c r="J39217" s="25"/>
      <c r="K39217" s="25"/>
    </row>
    <row r="39218" customFormat="false" ht="15" hidden="false" customHeight="false" outlineLevel="0" collapsed="false">
      <c r="A39218" s="3" t="s">
        <v>556</v>
      </c>
      <c r="C39218" s="16" t="n">
        <f aca="false">SUMPRODUCT(($C$39196:$C$39205=C39196)*$C$39185:$C$39194)</f>
        <v>59.1203554251802</v>
      </c>
    </row>
    <row r="39219" customFormat="false" ht="15" hidden="false" customHeight="false" outlineLevel="0" collapsed="false">
      <c r="A39219" s="3" t="s">
        <v>557</v>
      </c>
      <c r="C39219" s="16" t="n">
        <f aca="false">SUMPRODUCT(($C$39196:$C$39205=C39197)*$C$39185:$C$39194)</f>
        <v>59.1203554251802</v>
      </c>
    </row>
    <row r="39220" customFormat="false" ht="15" hidden="false" customHeight="false" outlineLevel="0" collapsed="false">
      <c r="A39220" s="3" t="s">
        <v>558</v>
      </c>
      <c r="C39220" s="16" t="n">
        <f aca="false">SUMPRODUCT(($C$39196:$C$39205=C39198)*$C$39185:$C$39194)</f>
        <v>59.1203554251802</v>
      </c>
    </row>
    <row r="39221" customFormat="false" ht="15" hidden="false" customHeight="false" outlineLevel="0" collapsed="false">
      <c r="A39221" s="3" t="s">
        <v>559</v>
      </c>
      <c r="C39221" s="16" t="n">
        <f aca="false">SUMPRODUCT(($C$39196:$C$39205=C39199)*$C$39185:$C$39194)</f>
        <v>1984.9547587</v>
      </c>
    </row>
    <row r="39222" customFormat="false" ht="15" hidden="false" customHeight="false" outlineLevel="0" collapsed="false">
      <c r="A39222" s="3" t="s">
        <v>560</v>
      </c>
      <c r="C39222" s="16" t="n">
        <f aca="false">SUMPRODUCT(($C$39196:$C$39205=C39200)*$C$39185:$C$39194)</f>
        <v>1984.9547587</v>
      </c>
    </row>
    <row r="39223" customFormat="false" ht="15" hidden="false" customHeight="false" outlineLevel="0" collapsed="false">
      <c r="A39223" s="3" t="s">
        <v>561</v>
      </c>
      <c r="C39223" s="16" t="n">
        <f aca="false">SUMPRODUCT(($C$39196:$C$39205=C39201)*$C$39185:$C$39194)</f>
        <v>1984.9547587</v>
      </c>
    </row>
    <row r="39224" customFormat="false" ht="15" hidden="false" customHeight="false" outlineLevel="0" collapsed="false">
      <c r="A39224" s="3" t="s">
        <v>562</v>
      </c>
      <c r="C39224" s="16" t="n">
        <f aca="false">SUMPRODUCT(($C$39196:$C$39205=C39202)*$C$39185:$C$39194)</f>
        <v>1984.9547587</v>
      </c>
    </row>
    <row r="39225" customFormat="false" ht="15" hidden="false" customHeight="false" outlineLevel="0" collapsed="false">
      <c r="A39225" s="3" t="s">
        <v>563</v>
      </c>
      <c r="C39225" s="16" t="n">
        <f aca="false">SUMPRODUCT(($C$39196:$C$39205=C39203)*$C$39185:$C$39194)</f>
        <v>1984.9547587</v>
      </c>
    </row>
    <row r="39226" customFormat="false" ht="15" hidden="false" customHeight="false" outlineLevel="0" collapsed="false">
      <c r="A39226" s="3" t="s">
        <v>564</v>
      </c>
      <c r="C39226" s="16" t="n">
        <f aca="false">SUMPRODUCT(($C$39196:$C$39205=C39204)*$C$39185:$C$39194)</f>
        <v>1984.9547587</v>
      </c>
    </row>
    <row r="39227" customFormat="false" ht="15" hidden="false" customHeight="false" outlineLevel="0" collapsed="false">
      <c r="A39227" s="3" t="s">
        <v>565</v>
      </c>
      <c r="C39227" s="16" t="n">
        <f aca="false">SUMPRODUCT(($C$39196:$C$39205=C39205)*$C$39185:$C$39194)</f>
        <v>78.61</v>
      </c>
    </row>
    <row r="39228" customFormat="false" ht="15" hidden="false" customHeight="false" outlineLevel="0" collapsed="false">
      <c r="A39228" s="24" t="s">
        <v>574</v>
      </c>
      <c r="B39228" s="25"/>
      <c r="C39228" s="25"/>
      <c r="D39228" s="25"/>
      <c r="E39228" s="25"/>
      <c r="F39228" s="25"/>
      <c r="G39228" s="25"/>
      <c r="H39228" s="25"/>
      <c r="I39228" s="25"/>
      <c r="J39228" s="25"/>
      <c r="K39228" s="25"/>
    </row>
    <row r="39229" customFormat="false" ht="15" hidden="false" customHeight="false" outlineLevel="0" collapsed="false">
      <c r="A39229" s="3" t="s">
        <v>556</v>
      </c>
      <c r="C39229" s="16" t="n">
        <f aca="false">IF(C39218=0,0,C39185/C39218*MAX(0,MIN(C39218,$C$39128-SUM($C$39163:$C$39172)-C39207)))</f>
        <v>0</v>
      </c>
    </row>
    <row r="39230" customFormat="false" ht="15" hidden="false" customHeight="false" outlineLevel="0" collapsed="false">
      <c r="A39230" s="3" t="s">
        <v>557</v>
      </c>
      <c r="C39230" s="16" t="n">
        <f aca="false">IF(C39219=0,0,C39186/C39219*MAX(0,MIN(C39219,$C$39128-SUM($C$39163:$C$39172)-C39208)))</f>
        <v>0</v>
      </c>
    </row>
    <row r="39231" customFormat="false" ht="15" hidden="false" customHeight="false" outlineLevel="0" collapsed="false">
      <c r="A39231" s="3" t="s">
        <v>558</v>
      </c>
      <c r="C39231" s="16" t="n">
        <f aca="false">IF(C39220=0,0,C39187/C39220*MAX(0,MIN(C39220,$C$39128-SUM($C$39163:$C$39172)-C39209)))</f>
        <v>0</v>
      </c>
    </row>
    <row r="39232" customFormat="false" ht="15" hidden="false" customHeight="false" outlineLevel="0" collapsed="false">
      <c r="A39232" s="3" t="s">
        <v>559</v>
      </c>
      <c r="C39232" s="16" t="n">
        <f aca="false">IF(C39221=0,0,C39188/C39221*MAX(0,MIN(C39221,$C$39128-SUM($C$39163:$C$39172)-C39210)))</f>
        <v>0</v>
      </c>
    </row>
    <row r="39233" customFormat="false" ht="15" hidden="false" customHeight="false" outlineLevel="0" collapsed="false">
      <c r="A39233" s="3" t="s">
        <v>560</v>
      </c>
      <c r="C39233" s="16" t="n">
        <f aca="false">IF(C39222=0,0,C39189/C39222*MAX(0,MIN(C39222,$C$39128-SUM($C$39163:$C$39172)-C39211)))</f>
        <v>253.571734254394</v>
      </c>
    </row>
    <row r="39234" customFormat="false" ht="15" hidden="false" customHeight="false" outlineLevel="0" collapsed="false">
      <c r="A39234" s="3" t="s">
        <v>561</v>
      </c>
      <c r="C39234" s="16" t="n">
        <f aca="false">IF(C39223=0,0,C39190/C39223*MAX(0,MIN(C39223,$C$39128-SUM($C$39163:$C$39172)-C39212)))</f>
        <v>204.044455690738</v>
      </c>
    </row>
    <row r="39235" customFormat="false" ht="15" hidden="false" customHeight="false" outlineLevel="0" collapsed="false">
      <c r="A39235" s="3" t="s">
        <v>562</v>
      </c>
      <c r="C39235" s="16" t="n">
        <f aca="false">IF(C39224=0,0,C39191/C39224*MAX(0,MIN(C39224,$C$39128-SUM($C$39163:$C$39172)-C39213)))</f>
        <v>320.641287514017</v>
      </c>
    </row>
    <row r="39236" customFormat="false" ht="15" hidden="false" customHeight="false" outlineLevel="0" collapsed="false">
      <c r="A39236" s="3" t="s">
        <v>563</v>
      </c>
      <c r="C39236" s="16" t="n">
        <f aca="false">IF(C39225=0,0,C39192/C39225*MAX(0,MIN(C39225,$C$39128-SUM($C$39163:$C$39172)-C39214)))</f>
        <v>204.044455690738</v>
      </c>
    </row>
    <row r="39237" customFormat="false" ht="15" hidden="false" customHeight="false" outlineLevel="0" collapsed="false">
      <c r="A39237" s="3" t="s">
        <v>564</v>
      </c>
      <c r="C39237" s="16" t="n">
        <f aca="false">IF(C39226=0,0,C39193/C39226*MAX(0,MIN(C39226,$C$39128-SUM($C$39163:$C$39172)-C39215)))</f>
        <v>174.895247734918</v>
      </c>
    </row>
    <row r="39238" customFormat="false" ht="15" hidden="false" customHeight="false" outlineLevel="0" collapsed="false">
      <c r="A39238" s="3" t="s">
        <v>565</v>
      </c>
      <c r="C39238" s="16" t="n">
        <f aca="false">IF(C39227=0,0,C39194/C39227*MAX(0,MIN(C39227,$C$39128-SUM($C$39163:$C$39172)-C39216)))</f>
        <v>0</v>
      </c>
    </row>
    <row r="39239" customFormat="false" ht="15" hidden="false" customHeight="false" outlineLevel="0" collapsed="false">
      <c r="A39239" s="24" t="s">
        <v>575</v>
      </c>
      <c r="B39239" s="25"/>
      <c r="C39239" s="25"/>
      <c r="D39239" s="25"/>
      <c r="E39239" s="25"/>
      <c r="F39239" s="25"/>
      <c r="G39239" s="25"/>
      <c r="H39239" s="25"/>
      <c r="I39239" s="25"/>
      <c r="J39239" s="25"/>
      <c r="K39239" s="25"/>
    </row>
    <row r="39240" customFormat="false" ht="15" hidden="false" customHeight="false" outlineLevel="0" collapsed="false">
      <c r="A39240" s="2" t="s">
        <v>556</v>
      </c>
      <c r="C39240" s="17" t="n">
        <f aca="false">C39163+C39229</f>
        <v>388</v>
      </c>
    </row>
    <row r="39241" customFormat="false" ht="15" hidden="false" customHeight="false" outlineLevel="0" collapsed="false">
      <c r="A39241" s="2" t="s">
        <v>557</v>
      </c>
      <c r="C39241" s="17" t="n">
        <f aca="false">C39164+C39230</f>
        <v>53.9022272401676</v>
      </c>
    </row>
    <row r="39242" customFormat="false" ht="15" hidden="false" customHeight="false" outlineLevel="0" collapsed="false">
      <c r="A39242" s="2" t="s">
        <v>558</v>
      </c>
      <c r="C39242" s="17" t="n">
        <f aca="false">C39165+C39231</f>
        <v>34.3014173346521</v>
      </c>
    </row>
    <row r="39243" customFormat="false" ht="15" hidden="false" customHeight="false" outlineLevel="0" collapsed="false">
      <c r="A39243" s="2" t="s">
        <v>559</v>
      </c>
      <c r="C39243" s="17" t="n">
        <f aca="false">C39166+C39232</f>
        <v>0</v>
      </c>
    </row>
    <row r="39244" customFormat="false" ht="15" hidden="false" customHeight="false" outlineLevel="0" collapsed="false">
      <c r="A39244" s="2" t="s">
        <v>560</v>
      </c>
      <c r="C39244" s="17" t="n">
        <f aca="false">C39167+C39233</f>
        <v>253.571734254394</v>
      </c>
    </row>
    <row r="39245" customFormat="false" ht="15" hidden="false" customHeight="false" outlineLevel="0" collapsed="false">
      <c r="A39245" s="2" t="s">
        <v>561</v>
      </c>
      <c r="C39245" s="17" t="n">
        <f aca="false">C39168+C39234</f>
        <v>204.044455690738</v>
      </c>
    </row>
    <row r="39246" customFormat="false" ht="15" hidden="false" customHeight="false" outlineLevel="0" collapsed="false">
      <c r="A39246" s="2" t="s">
        <v>562</v>
      </c>
      <c r="C39246" s="17" t="n">
        <f aca="false">C39169+C39235</f>
        <v>320.641287514017</v>
      </c>
    </row>
    <row r="39247" customFormat="false" ht="15" hidden="false" customHeight="false" outlineLevel="0" collapsed="false">
      <c r="A39247" s="2" t="s">
        <v>563</v>
      </c>
      <c r="C39247" s="17" t="n">
        <f aca="false">C39170+C39236</f>
        <v>204.044455690738</v>
      </c>
    </row>
    <row r="39248" customFormat="false" ht="15" hidden="false" customHeight="false" outlineLevel="0" collapsed="false">
      <c r="A39248" s="2" t="s">
        <v>564</v>
      </c>
      <c r="C39248" s="17" t="n">
        <f aca="false">C39171+C39237</f>
        <v>174.895247734918</v>
      </c>
    </row>
    <row r="39249" customFormat="false" ht="15" hidden="false" customHeight="false" outlineLevel="0" collapsed="false">
      <c r="A39249" s="2" t="s">
        <v>565</v>
      </c>
      <c r="C39249" s="17" t="n">
        <f aca="false">C39172+C39238</f>
        <v>0</v>
      </c>
    </row>
    <row r="39250" customFormat="false" ht="15" hidden="false" customHeight="false" outlineLevel="0" collapsed="false">
      <c r="A39250" s="24" t="s">
        <v>576</v>
      </c>
      <c r="B39250" s="25"/>
      <c r="C39250" s="25"/>
      <c r="D39250" s="25"/>
      <c r="E39250" s="25"/>
      <c r="F39250" s="25"/>
      <c r="G39250" s="25"/>
      <c r="H39250" s="25"/>
      <c r="I39250" s="25"/>
      <c r="J39250" s="25"/>
      <c r="K39250" s="25"/>
    </row>
    <row r="39251" customFormat="false" ht="15" hidden="false" customHeight="false" outlineLevel="0" collapsed="false">
      <c r="A39251" s="3" t="s">
        <v>556</v>
      </c>
      <c r="C39251" s="22" t="n">
        <f aca="false">IF(C39130=0,1,C39240/C39130)</f>
        <v>1</v>
      </c>
    </row>
    <row r="39252" customFormat="false" ht="15" hidden="false" customHeight="false" outlineLevel="0" collapsed="false">
      <c r="A39252" s="3" t="s">
        <v>557</v>
      </c>
      <c r="C39252" s="22" t="n">
        <f aca="false">IF(C39131=0,1,C39241/C39131)</f>
        <v>0.598913636001863</v>
      </c>
    </row>
    <row r="39253" customFormat="false" ht="15" hidden="false" customHeight="false" outlineLevel="0" collapsed="false">
      <c r="A39253" s="3" t="s">
        <v>558</v>
      </c>
      <c r="C39253" s="22" t="n">
        <f aca="false">IF(C39132=0,1,C39242/C39132)</f>
        <v>0.598377945269907</v>
      </c>
    </row>
    <row r="39254" customFormat="false" ht="15" hidden="false" customHeight="false" outlineLevel="0" collapsed="false">
      <c r="A39254" s="3" t="s">
        <v>559</v>
      </c>
      <c r="C39254" s="22" t="n">
        <f aca="false">IF(C39133=0,1,C39243/C39133)</f>
        <v>1</v>
      </c>
    </row>
    <row r="39255" customFormat="false" ht="15" hidden="false" customHeight="false" outlineLevel="0" collapsed="false">
      <c r="A39255" s="3" t="s">
        <v>560</v>
      </c>
      <c r="C39255" s="22" t="n">
        <f aca="false">IF(C39134=0,1,C39244/C39134)</f>
        <v>0.582984159116395</v>
      </c>
    </row>
    <row r="39256" customFormat="false" ht="15" hidden="false" customHeight="false" outlineLevel="0" collapsed="false">
      <c r="A39256" s="3" t="s">
        <v>561</v>
      </c>
      <c r="C39256" s="22" t="n">
        <f aca="false">IF(C39135=0,1,C39245/C39135)</f>
        <v>0.582984159116395</v>
      </c>
    </row>
    <row r="39257" customFormat="false" ht="15" hidden="false" customHeight="false" outlineLevel="0" collapsed="false">
      <c r="A39257" s="3" t="s">
        <v>562</v>
      </c>
      <c r="C39257" s="22" t="n">
        <f aca="false">IF(C39136=0,1,C39246/C39136)</f>
        <v>0.582984159116395</v>
      </c>
    </row>
    <row r="39258" customFormat="false" ht="15" hidden="false" customHeight="false" outlineLevel="0" collapsed="false">
      <c r="A39258" s="3" t="s">
        <v>563</v>
      </c>
      <c r="C39258" s="22" t="n">
        <f aca="false">IF(C39137=0,1,C39247/C39137)</f>
        <v>0.582984159116395</v>
      </c>
    </row>
    <row r="39259" customFormat="false" ht="15" hidden="false" customHeight="false" outlineLevel="0" collapsed="false">
      <c r="A39259" s="3" t="s">
        <v>564</v>
      </c>
      <c r="C39259" s="22" t="n">
        <f aca="false">IF(C39138=0,1,C39248/C39138)</f>
        <v>0.582984159116395</v>
      </c>
    </row>
    <row r="39260" customFormat="false" ht="15" hidden="false" customHeight="false" outlineLevel="0" collapsed="false">
      <c r="A39260" s="3" t="s">
        <v>565</v>
      </c>
      <c r="C39260" s="22" t="n">
        <f aca="false">IF(C39139=0,1,C39249/C39139)</f>
        <v>0</v>
      </c>
    </row>
    <row r="39261" customFormat="false" ht="15" hidden="false" customHeight="false" outlineLevel="0" collapsed="false">
      <c r="A39261" s="24" t="s">
        <v>577</v>
      </c>
      <c r="B39261" s="25"/>
      <c r="C39261" s="25"/>
      <c r="D39261" s="25"/>
      <c r="E39261" s="25"/>
      <c r="F39261" s="25"/>
      <c r="G39261" s="25"/>
      <c r="H39261" s="25"/>
      <c r="I39261" s="25"/>
      <c r="J39261" s="25"/>
      <c r="K39261" s="25"/>
    </row>
    <row r="39262" customFormat="false" ht="15" hidden="false" customHeight="false" outlineLevel="0" collapsed="false">
      <c r="A39262" s="3" t="s">
        <v>556</v>
      </c>
      <c r="C39262" s="16" t="n">
        <f aca="false">C39130-C39240</f>
        <v>0</v>
      </c>
    </row>
    <row r="39263" customFormat="false" ht="15" hidden="false" customHeight="false" outlineLevel="0" collapsed="false">
      <c r="A39263" s="3" t="s">
        <v>557</v>
      </c>
      <c r="C39263" s="16" t="n">
        <f aca="false">C39131-C39241</f>
        <v>36.0977727598324</v>
      </c>
    </row>
    <row r="39264" customFormat="false" ht="15" hidden="false" customHeight="false" outlineLevel="0" collapsed="false">
      <c r="A39264" s="3" t="s">
        <v>558</v>
      </c>
      <c r="C39264" s="16" t="n">
        <f aca="false">C39132-C39242</f>
        <v>23.0225826653479</v>
      </c>
    </row>
    <row r="39265" customFormat="false" ht="15" hidden="false" customHeight="false" outlineLevel="0" collapsed="false">
      <c r="A39265" s="3" t="s">
        <v>559</v>
      </c>
      <c r="C39265" s="16" t="n">
        <f aca="false">C39133-C39243</f>
        <v>0</v>
      </c>
    </row>
    <row r="39266" customFormat="false" ht="15" hidden="false" customHeight="false" outlineLevel="0" collapsed="false">
      <c r="A39266" s="3" t="s">
        <v>560</v>
      </c>
      <c r="C39266" s="16" t="n">
        <f aca="false">C39134-C39244</f>
        <v>181.383024445606</v>
      </c>
    </row>
    <row r="39267" customFormat="false" ht="15" hidden="false" customHeight="false" outlineLevel="0" collapsed="false">
      <c r="A39267" s="3" t="s">
        <v>561</v>
      </c>
      <c r="C39267" s="16" t="n">
        <f aca="false">C39135-C39245</f>
        <v>145.955544309262</v>
      </c>
    </row>
    <row r="39268" customFormat="false" ht="15" hidden="false" customHeight="false" outlineLevel="0" collapsed="false">
      <c r="A39268" s="3" t="s">
        <v>562</v>
      </c>
      <c r="C39268" s="16" t="n">
        <f aca="false">C39136-C39246</f>
        <v>229.358712485983</v>
      </c>
    </row>
    <row r="39269" customFormat="false" ht="15" hidden="false" customHeight="false" outlineLevel="0" collapsed="false">
      <c r="A39269" s="3" t="s">
        <v>563</v>
      </c>
      <c r="C39269" s="16" t="n">
        <f aca="false">C39137-C39247</f>
        <v>145.955544309262</v>
      </c>
    </row>
    <row r="39270" customFormat="false" ht="15" hidden="false" customHeight="false" outlineLevel="0" collapsed="false">
      <c r="A39270" s="3" t="s">
        <v>564</v>
      </c>
      <c r="C39270" s="16" t="n">
        <f aca="false">C39138-C39248</f>
        <v>125.104752265082</v>
      </c>
    </row>
    <row r="39271" customFormat="false" ht="15" hidden="false" customHeight="false" outlineLevel="0" collapsed="false">
      <c r="A39271" s="3" t="s">
        <v>565</v>
      </c>
      <c r="C39271" s="16" t="n">
        <f aca="false">C39139-C39249</f>
        <v>78.61</v>
      </c>
    </row>
    <row r="39272" customFormat="false" ht="15" hidden="false" customHeight="false" outlineLevel="0" collapsed="false">
      <c r="A39272" s="24" t="s">
        <v>578</v>
      </c>
      <c r="B39272" s="25"/>
      <c r="C39272" s="25"/>
      <c r="D39272" s="25"/>
      <c r="E39272" s="25"/>
      <c r="F39272" s="25"/>
      <c r="G39272" s="25"/>
      <c r="H39272" s="25"/>
      <c r="I39272" s="25"/>
      <c r="J39272" s="25"/>
      <c r="K39272" s="25"/>
    </row>
    <row r="39273" customFormat="false" ht="15" hidden="false" customHeight="false" outlineLevel="0" collapsed="false">
      <c r="A39273" s="3" t="s">
        <v>556</v>
      </c>
      <c r="C39273" s="22" t="n">
        <f aca="false">IF(C39130=0,0,C39262/C39130)</f>
        <v>0</v>
      </c>
    </row>
    <row r="39274" customFormat="false" ht="15" hidden="false" customHeight="false" outlineLevel="0" collapsed="false">
      <c r="A39274" s="3" t="s">
        <v>557</v>
      </c>
      <c r="C39274" s="22" t="n">
        <f aca="false">IF(C39131=0,0,C39263/C39131)</f>
        <v>0.401086363998137</v>
      </c>
    </row>
    <row r="39275" customFormat="false" ht="15" hidden="false" customHeight="false" outlineLevel="0" collapsed="false">
      <c r="A39275" s="3" t="s">
        <v>558</v>
      </c>
      <c r="C39275" s="22" t="n">
        <f aca="false">IF(C39132=0,0,C39264/C39132)</f>
        <v>0.401622054730093</v>
      </c>
    </row>
    <row r="39276" customFormat="false" ht="15" hidden="false" customHeight="false" outlineLevel="0" collapsed="false">
      <c r="A39276" s="3" t="s">
        <v>559</v>
      </c>
      <c r="C39276" s="22" t="n">
        <f aca="false">IF(C39133=0,0,C39265/C39133)</f>
        <v>0</v>
      </c>
    </row>
    <row r="39277" customFormat="false" ht="15" hidden="false" customHeight="false" outlineLevel="0" collapsed="false">
      <c r="A39277" s="3" t="s">
        <v>560</v>
      </c>
      <c r="C39277" s="22" t="n">
        <f aca="false">IF(C39134=0,0,C39266/C39134)</f>
        <v>0.417015840883605</v>
      </c>
    </row>
    <row r="39278" customFormat="false" ht="15" hidden="false" customHeight="false" outlineLevel="0" collapsed="false">
      <c r="A39278" s="3" t="s">
        <v>561</v>
      </c>
      <c r="C39278" s="22" t="n">
        <f aca="false">IF(C39135=0,0,C39267/C39135)</f>
        <v>0.417015840883605</v>
      </c>
    </row>
    <row r="39279" customFormat="false" ht="15" hidden="false" customHeight="false" outlineLevel="0" collapsed="false">
      <c r="A39279" s="3" t="s">
        <v>562</v>
      </c>
      <c r="C39279" s="22" t="n">
        <f aca="false">IF(C39136=0,0,C39268/C39136)</f>
        <v>0.417015840883605</v>
      </c>
    </row>
    <row r="39280" customFormat="false" ht="15" hidden="false" customHeight="false" outlineLevel="0" collapsed="false">
      <c r="A39280" s="3" t="s">
        <v>563</v>
      </c>
      <c r="C39280" s="22" t="n">
        <f aca="false">IF(C39137=0,0,C39269/C39137)</f>
        <v>0.417015840883605</v>
      </c>
    </row>
    <row r="39281" customFormat="false" ht="15" hidden="false" customHeight="false" outlineLevel="0" collapsed="false">
      <c r="A39281" s="3" t="s">
        <v>564</v>
      </c>
      <c r="C39281" s="22" t="n">
        <f aca="false">IF(C39138=0,0,C39270/C39138)</f>
        <v>0.417015840883605</v>
      </c>
    </row>
    <row r="39282" customFormat="false" ht="15" hidden="false" customHeight="false" outlineLevel="0" collapsed="false">
      <c r="A39282" s="3" t="s">
        <v>565</v>
      </c>
      <c r="C39282" s="22" t="n">
        <f aca="false">IF(C39139=0,0,C39271/C39139)</f>
        <v>1</v>
      </c>
    </row>
    <row r="39283" customFormat="false" ht="15" hidden="false" customHeight="false" outlineLevel="0" collapsed="false">
      <c r="A39283" s="2" t="s">
        <v>579</v>
      </c>
      <c r="C39283" s="17" t="n">
        <f aca="false">MAX(0,$C$39128-SUM($C$39163:$C$39172)-SUM($C$39185:$C$39194))</f>
        <v>0</v>
      </c>
    </row>
    <row r="39284" customFormat="false" ht="15" hidden="false" customHeight="false" outlineLevel="0" collapsed="false">
      <c r="A39284" s="3" t="s">
        <v>597</v>
      </c>
      <c r="C39284" s="35" t="n">
        <f aca="false">MIN(C39127,100*CHOOSE(C39117,C39251,C39252,C39253,C39254,C39255,C39256,C39257,C39258,C39259,C39260))</f>
        <v>85</v>
      </c>
    </row>
    <row r="39285" customFormat="false" ht="15" hidden="false" customHeight="false" outlineLevel="0" collapsed="false">
      <c r="A39285" s="3" t="s">
        <v>598</v>
      </c>
      <c r="C39285" s="21" t="n">
        <f aca="false">IF(C38949=1,C39122+Assumptions!$C$40,C39121)</f>
        <v>3</v>
      </c>
    </row>
    <row r="39286" customFormat="false" ht="15" hidden="false" customHeight="false" outlineLevel="0" collapsed="false">
      <c r="A39286" s="24" t="s">
        <v>599</v>
      </c>
      <c r="B39286" s="25"/>
      <c r="C39286" s="25"/>
      <c r="D39286" s="25"/>
      <c r="E39286" s="25"/>
      <c r="F39286" s="25"/>
      <c r="G39286" s="25"/>
      <c r="H39286" s="25"/>
      <c r="I39286" s="25"/>
      <c r="J39286" s="25"/>
      <c r="K39286" s="25"/>
    </row>
    <row r="39287" customFormat="false" ht="15" hidden="false" customHeight="false" outlineLevel="0" collapsed="false">
      <c r="A39287" s="3" t="s">
        <v>600</v>
      </c>
      <c r="C39287" s="21" t="n">
        <f aca="false">COLUMN()-COLUMN($C$1)</f>
        <v>0</v>
      </c>
      <c r="D39287" s="21" t="n">
        <f aca="false">COLUMN()-COLUMN($C$1)</f>
        <v>1</v>
      </c>
      <c r="E39287" s="21" t="n">
        <f aca="false">COLUMN()-COLUMN($C$1)</f>
        <v>2</v>
      </c>
      <c r="F39287" s="21" t="n">
        <f aca="false">COLUMN()-COLUMN($C$1)</f>
        <v>3</v>
      </c>
      <c r="G39287" s="21" t="n">
        <f aca="false">COLUMN()-COLUMN($C$1)</f>
        <v>4</v>
      </c>
      <c r="H39287" s="21" t="n">
        <f aca="false">COLUMN()-COLUMN($C$1)</f>
        <v>5</v>
      </c>
      <c r="I39287" s="21" t="n">
        <f aca="false">COLUMN()-COLUMN($C$1)</f>
        <v>6</v>
      </c>
    </row>
    <row r="39288" customFormat="false" ht="15" hidden="false" customHeight="false" outlineLevel="0" collapsed="false">
      <c r="A39288" s="3" t="s">
        <v>601</v>
      </c>
      <c r="D39288" s="31" t="n">
        <f aca="false">CHOOSE($C$39117,G38697,G38710,G38723,G38736,G38749,G38762,G38775,G38788,G38801,G38814)</f>
        <v>0.1215</v>
      </c>
      <c r="E39288" s="31" t="n">
        <f aca="false">CHOOSE($C$39117,H38697,H38710,H38723,H38736,H38749,H38762,H38775,H38788,H38801,H38814)</f>
        <v>0.12</v>
      </c>
      <c r="F39288" s="31" t="n">
        <f aca="false">CHOOSE($C$39117,I38697,I38710,I38723,I38736,I38749,I38762,I38775,I38788,I38801,I38814)</f>
        <v>0.1175</v>
      </c>
      <c r="G39288" s="31" t="n">
        <f aca="false">CHOOSE($C$39117,J38697,J38710,J38723,J38736,J38749,J38762,J38775,J38788,J38801,J38814)</f>
        <v>0.1175</v>
      </c>
      <c r="H39288" s="31" t="n">
        <f aca="false">CHOOSE($C$39117,K38697,K38710,K38723,K38736,K38749,K38762,K38775,K38788,K38801,K38814)</f>
        <v>0.1175</v>
      </c>
    </row>
    <row r="39289" customFormat="false" ht="15" hidden="false" customHeight="false" outlineLevel="0" collapsed="false">
      <c r="A39289" s="3" t="s">
        <v>602</v>
      </c>
      <c r="D39289" s="16" t="n">
        <f aca="false">IF(D39287&lt;=$C$39126,$C$39118*D39288,0)</f>
        <v>12.15</v>
      </c>
      <c r="E39289" s="16" t="n">
        <f aca="false">IF(E39287&lt;=$C$39126,$C$39118*E39288,0)</f>
        <v>12</v>
      </c>
      <c r="F39289" s="16" t="n">
        <f aca="false">IF(F39287&lt;=$C$39126,$C$39118*F39288,0)</f>
        <v>0</v>
      </c>
      <c r="G39289" s="16" t="n">
        <f aca="false">IF(G39287&lt;=$C$39126,$C$39118*G39288,0)</f>
        <v>0</v>
      </c>
      <c r="H39289" s="16" t="n">
        <f aca="false">IF(H39287&lt;=$C$39126,$C$39118*H39288,0)</f>
        <v>0</v>
      </c>
    </row>
    <row r="39290" customFormat="false" ht="15" hidden="false" customHeight="false" outlineLevel="0" collapsed="false">
      <c r="A39290" s="3" t="s">
        <v>603</v>
      </c>
      <c r="D39290" s="16" t="n">
        <f aca="false">IF(AND($C$38949=0,D39287=$C$39121),$C$39118*$C$39284/100,0)+IF(AND($C$38949=1,D39287=$C$39285),$C$39124,0)</f>
        <v>0</v>
      </c>
      <c r="E39290" s="16" t="n">
        <f aca="false">IF(AND($C$38949=0,E39287=$C$39121),$C$39118*$C$39284/100,0)+IF(AND($C$38949=1,E39287=$C$39285),$C$39124,0)</f>
        <v>0</v>
      </c>
      <c r="F39290" s="16" t="n">
        <f aca="false">IF(AND($C$38949=0,F39287=$C$39121),$C$39118*$C$39284/100,0)+IF(AND($C$38949=1,F39287=$C$39285),$C$39124,0)</f>
        <v>103</v>
      </c>
      <c r="G39290" s="16" t="n">
        <f aca="false">IF(AND($C$38949=0,G39287=$C$39121),$C$39118*$C$39284/100,0)+IF(AND($C$38949=1,G39287=$C$39285),$C$39124,0)</f>
        <v>0</v>
      </c>
      <c r="H39290" s="16" t="n">
        <f aca="false">IF(AND($C$38949=0,H39287=$C$39121),$C$39118*$C$39284/100,0)+IF(AND($C$38949=1,H39287=$C$39285),$C$39124,0)</f>
        <v>0</v>
      </c>
      <c r="I39290" s="16" t="n">
        <f aca="false">IF(AND($C$38949=0,I39287=$C$39121),$C$39118*$C$39284/100,0)+IF(AND($C$38949=1,I39287=$C$39285),$C$39124,0)</f>
        <v>0</v>
      </c>
    </row>
    <row r="39291" customFormat="false" ht="15" hidden="false" customHeight="false" outlineLevel="0" collapsed="false">
      <c r="A39291" s="2" t="s">
        <v>604</v>
      </c>
      <c r="C39291" s="17" t="n">
        <f aca="false">-$C$39120</f>
        <v>-98.49</v>
      </c>
      <c r="D39291" s="17" t="n">
        <f aca="false">D39289+D39290</f>
        <v>12.15</v>
      </c>
      <c r="E39291" s="17" t="n">
        <f aca="false">E39289+E39290</f>
        <v>12</v>
      </c>
      <c r="F39291" s="17" t="n">
        <f aca="false">F39289+F39290</f>
        <v>103</v>
      </c>
      <c r="G39291" s="17" t="n">
        <f aca="false">G39289+G39290</f>
        <v>0</v>
      </c>
      <c r="H39291" s="17" t="n">
        <f aca="false">H39289+H39290</f>
        <v>0</v>
      </c>
      <c r="I39291" s="17" t="n">
        <f aca="false">I39289+I39290</f>
        <v>0</v>
      </c>
    </row>
    <row r="39292" customFormat="false" ht="15" hidden="false" customHeight="false" outlineLevel="0" collapsed="false">
      <c r="A39292" s="3" t="s">
        <v>605</v>
      </c>
      <c r="C39292" s="16" t="n">
        <f aca="false">SUM($C$39289:$I$39289)</f>
        <v>24.15</v>
      </c>
    </row>
    <row r="39293" customFormat="false" ht="15" hidden="false" customHeight="false" outlineLevel="0" collapsed="false">
      <c r="A39293" s="3" t="s">
        <v>606</v>
      </c>
      <c r="C39293" s="16" t="n">
        <f aca="false">SUM($C$39290:$I$39290)</f>
        <v>103</v>
      </c>
    </row>
    <row r="39294" customFormat="false" ht="15" hidden="false" customHeight="false" outlineLevel="0" collapsed="false">
      <c r="A39294" s="3" t="s">
        <v>607</v>
      </c>
      <c r="C39294" s="16" t="n">
        <f aca="false">C39292+C39293</f>
        <v>127.15</v>
      </c>
    </row>
    <row r="39295" customFormat="false" ht="15" hidden="false" customHeight="false" outlineLevel="0" collapsed="false">
      <c r="A39295" s="3" t="s">
        <v>608</v>
      </c>
      <c r="C39295" s="16" t="n">
        <f aca="false">C39293-C39118*C39119/100</f>
        <v>5</v>
      </c>
    </row>
    <row r="39296" customFormat="false" ht="15" hidden="false" customHeight="false" outlineLevel="0" collapsed="false">
      <c r="A39296" s="3" t="s">
        <v>609</v>
      </c>
      <c r="C39296" s="16" t="n">
        <f aca="false">C39294-C39120</f>
        <v>28.66</v>
      </c>
    </row>
    <row r="39297" customFormat="false" ht="15" hidden="false" customHeight="false" outlineLevel="0" collapsed="false">
      <c r="A39297" s="2" t="s">
        <v>484</v>
      </c>
      <c r="C39297" s="44" t="n">
        <f aca="false">C39294/C39120</f>
        <v>1.29099400954412</v>
      </c>
    </row>
    <row r="39298" customFormat="false" ht="15" hidden="false" customHeight="false" outlineLevel="0" collapsed="false">
      <c r="A39298" s="2" t="s">
        <v>483</v>
      </c>
      <c r="C39298" s="42" t="n">
        <f aca="false">IF(C39294&lt;=0,-1,IFERROR(IRR($C$39291:$I$39291,MAX(-0.9,C39297^(1/C39285)-1)),IRR($C$39291:$I$39291,0.1)))</f>
        <v>0.0994077590660149</v>
      </c>
    </row>
    <row r="39299" customFormat="false" ht="15" hidden="false" customHeight="false" outlineLevel="0" collapsed="false">
      <c r="A39299" s="3" t="s">
        <v>610</v>
      </c>
      <c r="C39299" s="32" t="n">
        <f aca="false">MAX($G$38893:$K$38893)</f>
        <v>15.7734539449449</v>
      </c>
    </row>
    <row r="39300" customFormat="false" ht="15" hidden="false" customHeight="false" outlineLevel="0" collapsed="false">
      <c r="A39300" s="3" t="s">
        <v>611</v>
      </c>
      <c r="C39300" s="32" t="n">
        <f aca="false">MIN($G$38894:$K$38894)</f>
        <v>0.899631625108658</v>
      </c>
    </row>
    <row r="39301" customFormat="false" ht="15" hidden="false" customHeight="false" outlineLevel="0" collapsed="false">
      <c r="A39301" s="3" t="s">
        <v>612</v>
      </c>
      <c r="C39301" s="16" t="n">
        <f aca="false">SUM($G$38681:$K$38681)</f>
        <v>-319.393886227031</v>
      </c>
    </row>
    <row r="39305" customFormat="false" ht="15" hidden="false" customHeight="false" outlineLevel="0" collapsed="false">
      <c r="A39305" s="9" t="s">
        <v>1190</v>
      </c>
      <c r="B39305" s="10"/>
      <c r="C39305" s="10"/>
      <c r="D39305" s="10"/>
      <c r="E39305" s="10"/>
      <c r="F39305" s="10"/>
      <c r="G39305" s="10"/>
      <c r="H39305" s="10"/>
      <c r="I39305" s="10"/>
      <c r="J39305" s="10"/>
      <c r="K39305" s="10"/>
    </row>
    <row r="39306" customFormat="false" ht="15" hidden="false" customHeight="false" outlineLevel="0" collapsed="false">
      <c r="A39306" s="3" t="s">
        <v>1126</v>
      </c>
      <c r="C39306" s="11" t="n">
        <v>3</v>
      </c>
    </row>
    <row r="39307" customFormat="false" ht="15" hidden="false" customHeight="false" outlineLevel="0" collapsed="false">
      <c r="A39307" s="3" t="s">
        <v>1127</v>
      </c>
      <c r="C39307" s="19" t="n">
        <v>0</v>
      </c>
    </row>
    <row r="39308" customFormat="false" ht="15" hidden="false" customHeight="false" outlineLevel="0" collapsed="false">
      <c r="A39308" s="3" t="s">
        <v>1128</v>
      </c>
      <c r="C39308" s="19" t="n">
        <v>0</v>
      </c>
    </row>
    <row r="39309" customFormat="false" ht="15" hidden="false" customHeight="false" outlineLevel="0" collapsed="false">
      <c r="A39309" s="3" t="s">
        <v>1129</v>
      </c>
      <c r="C39309" s="19" t="n">
        <v>0</v>
      </c>
    </row>
    <row r="39310" customFormat="false" ht="15" hidden="false" customHeight="false" outlineLevel="0" collapsed="false">
      <c r="A39310" s="3" t="s">
        <v>1130</v>
      </c>
      <c r="C39310" s="34" t="n">
        <f aca="false">Sensitivities!$A$62</f>
        <v>0</v>
      </c>
    </row>
    <row r="39312" customFormat="false" ht="15" hidden="false" customHeight="false" outlineLevel="0" collapsed="false">
      <c r="A39312" s="24" t="s">
        <v>301</v>
      </c>
      <c r="B39312" s="25"/>
      <c r="C39312" s="25"/>
      <c r="D39312" s="25"/>
      <c r="E39312" s="25"/>
      <c r="F39312" s="25"/>
      <c r="G39312" s="25"/>
      <c r="H39312" s="25"/>
      <c r="I39312" s="25"/>
      <c r="J39312" s="25"/>
      <c r="K39312" s="25"/>
    </row>
    <row r="39313" customFormat="false" ht="15" hidden="false" customHeight="false" outlineLevel="0" collapsed="false">
      <c r="A39313" s="3" t="s">
        <v>302</v>
      </c>
      <c r="F39313" s="27" t="n">
        <f aca="false">Assumptions!$C$6</f>
        <v>2026</v>
      </c>
      <c r="G39313" s="21" t="n">
        <f aca="false">F39313+1</f>
        <v>2027</v>
      </c>
      <c r="H39313" s="21" t="n">
        <f aca="false">G39313+1</f>
        <v>2028</v>
      </c>
      <c r="I39313" s="21" t="n">
        <f aca="false">H39313+1</f>
        <v>2029</v>
      </c>
      <c r="J39313" s="21" t="n">
        <f aca="false">I39313+1</f>
        <v>2030</v>
      </c>
      <c r="K39313" s="21" t="n">
        <f aca="false">J39313+1</f>
        <v>2031</v>
      </c>
    </row>
    <row r="39314" customFormat="false" ht="15" hidden="false" customHeight="false" outlineLevel="0" collapsed="false">
      <c r="A39314" s="3" t="s">
        <v>303</v>
      </c>
      <c r="G39314" s="21" t="n">
        <f aca="false">G39313-Assumptions!$C$6</f>
        <v>1</v>
      </c>
      <c r="H39314" s="21" t="n">
        <f aca="false">H39313-Assumptions!$C$6</f>
        <v>2</v>
      </c>
      <c r="I39314" s="21" t="n">
        <f aca="false">I39313-Assumptions!$C$6</f>
        <v>3</v>
      </c>
      <c r="J39314" s="21" t="n">
        <f aca="false">J39313-Assumptions!$C$6</f>
        <v>4</v>
      </c>
      <c r="K39314" s="21" t="n">
        <f aca="false">K39313-Assumptions!$C$6</f>
        <v>5</v>
      </c>
    </row>
    <row r="39315" customFormat="false" ht="15" hidden="false" customHeight="false" outlineLevel="0" collapsed="false">
      <c r="A39315" s="3" t="s">
        <v>180</v>
      </c>
      <c r="G39315" s="22" t="n">
        <f aca="false">CHOOSE($C$39306,Assumptions!$G$79,Assumptions!$G$98,Assumptions!$G$117)+$C$39307</f>
        <v>-0.1</v>
      </c>
      <c r="H39315" s="22" t="n">
        <f aca="false">CHOOSE($C$39306,Assumptions!$H$79,Assumptions!$H$98,Assumptions!$H$117)+$C$39307</f>
        <v>-0.07</v>
      </c>
      <c r="I39315" s="22" t="n">
        <f aca="false">CHOOSE($C$39306,Assumptions!$I$79,Assumptions!$I$98,Assumptions!$I$117)+$C$39307</f>
        <v>-0.03</v>
      </c>
      <c r="J39315" s="22" t="n">
        <f aca="false">CHOOSE($C$39306,Assumptions!$J$79,Assumptions!$J$98,Assumptions!$J$117)+$C$39307</f>
        <v>0</v>
      </c>
      <c r="K39315" s="22" t="n">
        <f aca="false">CHOOSE($C$39306,Assumptions!$K$79,Assumptions!$K$98,Assumptions!$K$117)+$C$39307</f>
        <v>0.01</v>
      </c>
    </row>
    <row r="39316" customFormat="false" ht="15" hidden="false" customHeight="false" outlineLevel="0" collapsed="false">
      <c r="A39316" s="3" t="s">
        <v>181</v>
      </c>
      <c r="G39316" s="22" t="n">
        <f aca="false">CHOOSE($C$39306,Assumptions!$G$80,Assumptions!$G$99,Assumptions!$G$118)</f>
        <v>0.533920660818678</v>
      </c>
      <c r="H39316" s="22" t="n">
        <f aca="false">CHOOSE($C$39306,Assumptions!$H$80,Assumptions!$H$99,Assumptions!$H$118)</f>
        <v>0.503920660818678</v>
      </c>
      <c r="I39316" s="22" t="n">
        <f aca="false">CHOOSE($C$39306,Assumptions!$I$80,Assumptions!$I$99,Assumptions!$I$118)</f>
        <v>0.498920660818678</v>
      </c>
      <c r="J39316" s="22" t="n">
        <f aca="false">CHOOSE($C$39306,Assumptions!$J$80,Assumptions!$J$99,Assumptions!$J$118)</f>
        <v>0.503920660818678</v>
      </c>
      <c r="K39316" s="22" t="n">
        <f aca="false">CHOOSE($C$39306,Assumptions!$K$80,Assumptions!$K$99,Assumptions!$K$118)</f>
        <v>0.513920660818678</v>
      </c>
    </row>
    <row r="39317" customFormat="false" ht="15" hidden="false" customHeight="false" outlineLevel="0" collapsed="false">
      <c r="A39317" s="3" t="s">
        <v>182</v>
      </c>
      <c r="G39317" s="22" t="n">
        <f aca="false">CHOOSE($C$39306,Assumptions!$G$81,Assumptions!$G$100,Assumptions!$G$119)+$C$39308</f>
        <v>0.46</v>
      </c>
      <c r="H39317" s="22" t="n">
        <f aca="false">CHOOSE($C$39306,Assumptions!$H$81,Assumptions!$H$100,Assumptions!$H$119)+$C$39308</f>
        <v>0.43</v>
      </c>
      <c r="I39317" s="22" t="n">
        <f aca="false">CHOOSE($C$39306,Assumptions!$I$81,Assumptions!$I$100,Assumptions!$I$119)+$C$39308</f>
        <v>0.425</v>
      </c>
      <c r="J39317" s="22" t="n">
        <f aca="false">CHOOSE($C$39306,Assumptions!$J$81,Assumptions!$J$100,Assumptions!$J$119)+$C$39308</f>
        <v>0.43</v>
      </c>
      <c r="K39317" s="22" t="n">
        <f aca="false">CHOOSE($C$39306,Assumptions!$K$81,Assumptions!$K$100,Assumptions!$K$119)+$C$39308</f>
        <v>0.44</v>
      </c>
    </row>
    <row r="39318" customFormat="false" ht="15" hidden="false" customHeight="false" outlineLevel="0" collapsed="false">
      <c r="A39318" s="24" t="s">
        <v>304</v>
      </c>
      <c r="B39318" s="25"/>
      <c r="C39318" s="25"/>
      <c r="D39318" s="25"/>
      <c r="E39318" s="25"/>
      <c r="F39318" s="25"/>
      <c r="G39318" s="25"/>
      <c r="H39318" s="25"/>
      <c r="I39318" s="25"/>
      <c r="J39318" s="25"/>
      <c r="K39318" s="25"/>
    </row>
    <row r="39319" customFormat="false" ht="15" hidden="false" customHeight="false" outlineLevel="0" collapsed="false">
      <c r="A39319" s="2" t="s">
        <v>275</v>
      </c>
      <c r="F39319" s="28" t="n">
        <f aca="false">'Historical Financials'!G25</f>
        <v>498.291</v>
      </c>
      <c r="G39319" s="17" t="n">
        <f aca="false">F39319*(1+G39315)</f>
        <v>448.4619</v>
      </c>
      <c r="H39319" s="17" t="n">
        <f aca="false">G39319*(1+H39315)</f>
        <v>417.069567</v>
      </c>
      <c r="I39319" s="17" t="n">
        <f aca="false">H39319*(1+I39315)</f>
        <v>404.55747999</v>
      </c>
      <c r="J39319" s="17" t="n">
        <f aca="false">I39319*(1+J39315)</f>
        <v>404.55747999</v>
      </c>
      <c r="K39319" s="17" t="n">
        <f aca="false">J39319*(1+K39315)</f>
        <v>408.6030547899</v>
      </c>
    </row>
    <row r="39320" customFormat="false" ht="15" hidden="false" customHeight="false" outlineLevel="0" collapsed="false">
      <c r="A39320" s="3" t="s">
        <v>276</v>
      </c>
      <c r="G39320" s="16" t="n">
        <f aca="false">G39319*(1-G39316)</f>
        <v>209.018826</v>
      </c>
      <c r="H39320" s="16" t="n">
        <f aca="false">H39319*(1-H39316)</f>
        <v>206.89959519</v>
      </c>
      <c r="I39320" s="16" t="n">
        <f aca="false">I39319*(1-I39316)</f>
        <v>202.71539473425</v>
      </c>
      <c r="J39320" s="16" t="n">
        <f aca="false">J39319*(1-J39316)</f>
        <v>200.6926073343</v>
      </c>
      <c r="K39320" s="16" t="n">
        <f aca="false">K39319*(1-K39316)</f>
        <v>198.613502859744</v>
      </c>
    </row>
    <row r="39321" customFormat="false" ht="15" hidden="false" customHeight="false" outlineLevel="0" collapsed="false">
      <c r="A39321" s="2" t="s">
        <v>277</v>
      </c>
      <c r="G39321" s="17" t="n">
        <f aca="false">G39319-G39320</f>
        <v>239.443074</v>
      </c>
      <c r="H39321" s="17" t="n">
        <f aca="false">H39319-H39320</f>
        <v>210.16997181</v>
      </c>
      <c r="I39321" s="17" t="n">
        <f aca="false">I39319-I39320</f>
        <v>201.84208525575</v>
      </c>
      <c r="J39321" s="17" t="n">
        <f aca="false">J39319-J39320</f>
        <v>203.8648726557</v>
      </c>
      <c r="K39321" s="17" t="n">
        <f aca="false">K39319-K39320</f>
        <v>209.989551930156</v>
      </c>
    </row>
    <row r="39322" customFormat="false" ht="15" hidden="false" customHeight="false" outlineLevel="0" collapsed="false">
      <c r="A39322" s="3" t="s">
        <v>305</v>
      </c>
      <c r="G39322" s="16" t="n">
        <f aca="false">G39321-G39323</f>
        <v>33.1505999999999</v>
      </c>
      <c r="H39322" s="16" t="n">
        <f aca="false">H39321-H39323</f>
        <v>30.830058</v>
      </c>
      <c r="I39322" s="16" t="n">
        <f aca="false">I39321-I39323</f>
        <v>29.90515626</v>
      </c>
      <c r="J39322" s="16" t="n">
        <f aca="false">J39321-J39323</f>
        <v>29.90515626</v>
      </c>
      <c r="K39322" s="16" t="n">
        <f aca="false">K39321-K39323</f>
        <v>30.2042078226</v>
      </c>
    </row>
    <row r="39323" customFormat="false" ht="15" hidden="false" customHeight="false" outlineLevel="0" collapsed="false">
      <c r="A39323" s="2" t="s">
        <v>306</v>
      </c>
      <c r="G39323" s="17" t="n">
        <f aca="false">G39319*G39317</f>
        <v>206.292474</v>
      </c>
      <c r="H39323" s="17" t="n">
        <f aca="false">H39319*H39317</f>
        <v>179.33991381</v>
      </c>
      <c r="I39323" s="17" t="n">
        <f aca="false">I39319*I39317</f>
        <v>171.93692899575</v>
      </c>
      <c r="J39323" s="17" t="n">
        <f aca="false">J39319*J39317</f>
        <v>173.9597163957</v>
      </c>
      <c r="K39323" s="17" t="n">
        <f aca="false">K39319*K39317</f>
        <v>179.785344107556</v>
      </c>
    </row>
    <row r="39324" customFormat="false" ht="15" hidden="false" customHeight="false" outlineLevel="0" collapsed="false">
      <c r="A39324" s="3" t="s">
        <v>307</v>
      </c>
      <c r="G39324" s="16" t="n">
        <f aca="false">G39319*'Historical Financials'!G30/'Historical Financials'!G25</f>
        <v>166.7637</v>
      </c>
      <c r="H39324" s="16" t="n">
        <f aca="false">H39319*'Historical Financials'!G30/'Historical Financials'!G25</f>
        <v>155.090241</v>
      </c>
      <c r="I39324" s="16" t="n">
        <f aca="false">I39319*'Historical Financials'!G30/'Historical Financials'!G25</f>
        <v>150.43753377</v>
      </c>
      <c r="J39324" s="16" t="n">
        <f aca="false">J39319*'Historical Financials'!G30/'Historical Financials'!G25</f>
        <v>150.43753377</v>
      </c>
      <c r="K39324" s="16" t="n">
        <f aca="false">K39319*'Historical Financials'!G30/'Historical Financials'!G25</f>
        <v>151.9419091077</v>
      </c>
    </row>
    <row r="39325" customFormat="false" ht="15" hidden="false" customHeight="false" outlineLevel="0" collapsed="false">
      <c r="A39325" s="3" t="s">
        <v>308</v>
      </c>
      <c r="G39325" s="16" t="n">
        <f aca="false">G39319*'Historical Financials'!G31/'Historical Financials'!G25</f>
        <v>0</v>
      </c>
      <c r="H39325" s="16" t="n">
        <f aca="false">H39319*'Historical Financials'!G31/'Historical Financials'!G25</f>
        <v>0</v>
      </c>
      <c r="I39325" s="16" t="n">
        <f aca="false">I39319*'Historical Financials'!G31/'Historical Financials'!G25</f>
        <v>0</v>
      </c>
      <c r="J39325" s="16" t="n">
        <f aca="false">J39319*'Historical Financials'!G31/'Historical Financials'!G25</f>
        <v>0</v>
      </c>
      <c r="K39325" s="16" t="n">
        <f aca="false">K39319*'Historical Financials'!G31/'Historical Financials'!G25</f>
        <v>0</v>
      </c>
    </row>
    <row r="39326" customFormat="false" ht="15" hidden="false" customHeight="false" outlineLevel="0" collapsed="false">
      <c r="A39326" s="2" t="s">
        <v>309</v>
      </c>
      <c r="G39326" s="17" t="n">
        <f aca="false">G39323-G39324-G39325</f>
        <v>39.528774</v>
      </c>
      <c r="H39326" s="17" t="n">
        <f aca="false">H39323-H39324-H39325</f>
        <v>24.24967281</v>
      </c>
      <c r="I39326" s="17" t="n">
        <f aca="false">I39323-I39324-I39325</f>
        <v>21.49939522575</v>
      </c>
      <c r="J39326" s="17" t="n">
        <f aca="false">J39323-J39324-J39325</f>
        <v>23.5221826257</v>
      </c>
      <c r="K39326" s="17" t="n">
        <f aca="false">K39323-K39324-K39325</f>
        <v>27.843434999856</v>
      </c>
    </row>
    <row r="39327" customFormat="false" ht="15" hidden="false" customHeight="false" outlineLevel="0" collapsed="false">
      <c r="A39327" s="3" t="s">
        <v>310</v>
      </c>
      <c r="G39327" s="16" t="n">
        <f aca="false">G39353+G39366+G39379+G39392+G39405+G39418+G39431+G39444+G39457+G39470</f>
        <v>194.5679854</v>
      </c>
      <c r="H39327" s="16" t="n">
        <f aca="false">H39353+H39366+H39379+H39392+H39405+H39418+H39431+H39444+H39457+H39470</f>
        <v>193.3700704</v>
      </c>
      <c r="I39327" s="16" t="n">
        <f aca="false">I39353+I39366+I39379+I39392+I39405+I39418+I39431+I39444+I39457+I39470</f>
        <v>191.11925836865</v>
      </c>
      <c r="J39327" s="16" t="n">
        <f aca="false">J39353+J39366+J39379+J39392+J39405+J39418+J39431+J39444+J39457+J39470</f>
        <v>190.64925836865</v>
      </c>
      <c r="K39327" s="16" t="n">
        <f aca="false">K39353+K39366+K39379+K39392+K39405+K39418+K39431+K39444+K39457+K39470</f>
        <v>190.17925836865</v>
      </c>
    </row>
    <row r="39328" customFormat="false" ht="15" hidden="false" customHeight="false" outlineLevel="0" collapsed="false">
      <c r="A39328" s="3" t="s">
        <v>311</v>
      </c>
      <c r="G39328" s="16" t="n">
        <f aca="false">G39354+G39367+G39380+G39393+G39406+G39419+G39432+G39445+G39458+G39471</f>
        <v>0</v>
      </c>
      <c r="H39328" s="16" t="n">
        <f aca="false">H39354+H39367+H39380+H39393+H39406+H39419+H39432+H39445+H39458+H39471</f>
        <v>0</v>
      </c>
      <c r="I39328" s="16" t="n">
        <f aca="false">I39354+I39367+I39380+I39393+I39406+I39419+I39432+I39445+I39458+I39471</f>
        <v>0</v>
      </c>
      <c r="J39328" s="16" t="n">
        <f aca="false">J39354+J39367+J39380+J39393+J39406+J39419+J39432+J39445+J39458+J39471</f>
        <v>0</v>
      </c>
      <c r="K39328" s="16" t="n">
        <f aca="false">K39354+K39367+K39380+K39393+K39406+K39419+K39432+K39445+K39458+K39471</f>
        <v>0</v>
      </c>
    </row>
    <row r="39329" customFormat="false" ht="15" hidden="false" customHeight="false" outlineLevel="0" collapsed="false">
      <c r="A39329" s="3" t="s">
        <v>283</v>
      </c>
      <c r="G39329" s="16" t="n">
        <f aca="false">G39327+G39328</f>
        <v>194.5679854</v>
      </c>
      <c r="H39329" s="16" t="n">
        <f aca="false">H39327+H39328</f>
        <v>193.3700704</v>
      </c>
      <c r="I39329" s="16" t="n">
        <f aca="false">I39327+I39328</f>
        <v>191.11925836865</v>
      </c>
      <c r="J39329" s="16" t="n">
        <f aca="false">J39327+J39328</f>
        <v>190.64925836865</v>
      </c>
      <c r="K39329" s="16" t="n">
        <f aca="false">K39327+K39328</f>
        <v>190.17925836865</v>
      </c>
    </row>
    <row r="39330" customFormat="false" ht="15" hidden="false" customHeight="false" outlineLevel="0" collapsed="false">
      <c r="A39330" s="2" t="s">
        <v>284</v>
      </c>
      <c r="G39330" s="17" t="n">
        <f aca="false">G39326-G39329</f>
        <v>-155.0392114</v>
      </c>
      <c r="H39330" s="17" t="n">
        <f aca="false">H39326-H39329</f>
        <v>-169.12039759</v>
      </c>
      <c r="I39330" s="17" t="n">
        <f aca="false">I39326-I39329</f>
        <v>-169.6198631429</v>
      </c>
      <c r="J39330" s="17" t="n">
        <f aca="false">J39326-J39329</f>
        <v>-167.12707574295</v>
      </c>
      <c r="K39330" s="17" t="n">
        <f aca="false">K39326-K39329</f>
        <v>-162.335823368794</v>
      </c>
    </row>
    <row r="39331" customFormat="false" ht="15" hidden="false" customHeight="false" outlineLevel="0" collapsed="false">
      <c r="A39331" s="3" t="s">
        <v>312</v>
      </c>
      <c r="G39331" s="16" t="n">
        <f aca="false">MAX(0,G39330)*Assumptions!$C$9</f>
        <v>0</v>
      </c>
      <c r="H39331" s="16" t="n">
        <f aca="false">MAX(0,H39330)*Assumptions!$C$9</f>
        <v>0</v>
      </c>
      <c r="I39331" s="16" t="n">
        <f aca="false">MAX(0,I39330)*Assumptions!$C$9</f>
        <v>0</v>
      </c>
      <c r="J39331" s="16" t="n">
        <f aca="false">MAX(0,J39330)*Assumptions!$C$9</f>
        <v>0</v>
      </c>
      <c r="K39331" s="16" t="n">
        <f aca="false">MAX(0,K39330)*Assumptions!$C$9</f>
        <v>0</v>
      </c>
    </row>
    <row r="39332" customFormat="false" ht="15" hidden="false" customHeight="false" outlineLevel="0" collapsed="false">
      <c r="A39332" s="2" t="s">
        <v>313</v>
      </c>
      <c r="G39332" s="17" t="n">
        <f aca="false">G39330-G39331</f>
        <v>-155.0392114</v>
      </c>
      <c r="H39332" s="17" t="n">
        <f aca="false">H39330-H39331</f>
        <v>-169.12039759</v>
      </c>
      <c r="I39332" s="17" t="n">
        <f aca="false">I39330-I39331</f>
        <v>-169.6198631429</v>
      </c>
      <c r="J39332" s="17" t="n">
        <f aca="false">J39330-J39331</f>
        <v>-167.12707574295</v>
      </c>
      <c r="K39332" s="17" t="n">
        <f aca="false">K39330-K39331</f>
        <v>-162.335823368794</v>
      </c>
    </row>
    <row r="39333" customFormat="false" ht="15" hidden="false" customHeight="false" outlineLevel="0" collapsed="false">
      <c r="A39333" s="24" t="s">
        <v>314</v>
      </c>
      <c r="B39333" s="25"/>
      <c r="C39333" s="25"/>
      <c r="D39333" s="25"/>
      <c r="E39333" s="25"/>
      <c r="F39333" s="25"/>
      <c r="G39333" s="25"/>
      <c r="H39333" s="25"/>
      <c r="I39333" s="25"/>
      <c r="J39333" s="25"/>
      <c r="K39333" s="25"/>
    </row>
    <row r="39334" customFormat="false" ht="15" hidden="false" customHeight="false" outlineLevel="0" collapsed="false">
      <c r="A39334" s="3" t="s">
        <v>184</v>
      </c>
      <c r="G39334" s="16" t="n">
        <f aca="false">G39319*CHOOSE($C$39306,Assumptions!$C$83,Assumptions!$C$102,Assumptions!$C$121)</f>
        <v>58.300047</v>
      </c>
      <c r="H39334" s="16" t="n">
        <f aca="false">H39319*CHOOSE($C$39306,Assumptions!$C$83,Assumptions!$C$102,Assumptions!$C$121)</f>
        <v>54.21904371</v>
      </c>
      <c r="I39334" s="16" t="n">
        <f aca="false">I39319*CHOOSE($C$39306,Assumptions!$C$83,Assumptions!$C$102,Assumptions!$C$121)</f>
        <v>52.5924723987</v>
      </c>
      <c r="J39334" s="16" t="n">
        <f aca="false">J39319*CHOOSE($C$39306,Assumptions!$C$83,Assumptions!$C$102,Assumptions!$C$121)</f>
        <v>52.5924723987</v>
      </c>
      <c r="K39334" s="16" t="n">
        <f aca="false">K39319*CHOOSE($C$39306,Assumptions!$C$83,Assumptions!$C$102,Assumptions!$C$121)</f>
        <v>53.118397122687</v>
      </c>
    </row>
    <row r="39335" customFormat="false" ht="15" hidden="false" customHeight="false" outlineLevel="0" collapsed="false">
      <c r="A39335" s="3" t="s">
        <v>315</v>
      </c>
      <c r="G39335" s="16" t="n">
        <f aca="false">CHOOSE($C$39306,Assumptions!$C$84,Assumptions!$C$103,Assumptions!$C$122)*(G39319-F39319)+CHOOSE($C$39306,Assumptions!$C$85,Assumptions!$C$104,Assumptions!$C$123)*G39319</f>
        <v>0</v>
      </c>
      <c r="H39335" s="16" t="n">
        <f aca="false">CHOOSE($C$39306,Assumptions!$C$84,Assumptions!$C$103,Assumptions!$C$122)*(H39319-G39319)+CHOOSE($C$39306,Assumptions!$C$85,Assumptions!$C$104,Assumptions!$C$123)*H39319</f>
        <v>0</v>
      </c>
      <c r="I39335" s="16" t="n">
        <f aca="false">CHOOSE($C$39306,Assumptions!$C$84,Assumptions!$C$103,Assumptions!$C$122)*(I39319-H39319)+CHOOSE($C$39306,Assumptions!$C$85,Assumptions!$C$104,Assumptions!$C$123)*I39319</f>
        <v>0</v>
      </c>
      <c r="J39335" s="16" t="n">
        <f aca="false">CHOOSE($C$39306,Assumptions!$C$84,Assumptions!$C$103,Assumptions!$C$122)*(J39319-I39319)+CHOOSE($C$39306,Assumptions!$C$85,Assumptions!$C$104,Assumptions!$C$123)*J39319</f>
        <v>0</v>
      </c>
      <c r="K39335" s="16" t="n">
        <f aca="false">CHOOSE($C$39306,Assumptions!$C$84,Assumptions!$C$103,Assumptions!$C$122)*(K39319-J39319)+CHOOSE($C$39306,Assumptions!$C$85,Assumptions!$C$104,Assumptions!$C$123)*K39319</f>
        <v>0</v>
      </c>
    </row>
    <row r="39336" customFormat="false" ht="15" hidden="false" customHeight="false" outlineLevel="0" collapsed="false">
      <c r="A39336" s="2" t="s">
        <v>316</v>
      </c>
      <c r="G39336" s="17" t="n">
        <f aca="false">G39332+G39324+G39325+G39328-G39334-G39335</f>
        <v>-46.5755584</v>
      </c>
      <c r="H39336" s="17" t="n">
        <f aca="false">H39332+H39324+H39325+H39328-H39334-H39335</f>
        <v>-68.2492003</v>
      </c>
      <c r="I39336" s="17" t="n">
        <f aca="false">I39332+I39324+I39325+I39328-I39334-I39335</f>
        <v>-71.7748017716</v>
      </c>
      <c r="J39336" s="17" t="n">
        <f aca="false">J39332+J39324+J39325+J39328-J39334-J39335</f>
        <v>-69.28201437165</v>
      </c>
      <c r="K39336" s="17" t="n">
        <f aca="false">K39332+K39324+K39325+K39328-K39334-K39335</f>
        <v>-63.512311383781</v>
      </c>
    </row>
    <row r="39338" customFormat="false" ht="15" hidden="false" customHeight="false" outlineLevel="0" collapsed="false">
      <c r="A39338" s="24" t="s">
        <v>318</v>
      </c>
      <c r="B39338" s="25"/>
      <c r="C39338" s="25"/>
      <c r="D39338" s="25"/>
      <c r="E39338" s="25"/>
      <c r="F39338" s="25"/>
      <c r="G39338" s="25"/>
      <c r="H39338" s="25"/>
      <c r="I39338" s="25"/>
      <c r="J39338" s="25"/>
      <c r="K39338" s="25"/>
    </row>
    <row r="39339" customFormat="false" ht="15" hidden="false" customHeight="false" outlineLevel="0" collapsed="false">
      <c r="A39339" s="3" t="s">
        <v>319</v>
      </c>
      <c r="G39339" s="30" t="n">
        <f aca="false">Assumptions!$G$53</f>
        <v>0.039</v>
      </c>
      <c r="H39339" s="30" t="n">
        <f aca="false">Assumptions!$H$53</f>
        <v>0.0375</v>
      </c>
      <c r="I39339" s="30" t="n">
        <f aca="false">Assumptions!$I$53</f>
        <v>0.035</v>
      </c>
      <c r="J39339" s="30" t="n">
        <f aca="false">Assumptions!$J$53</f>
        <v>0.035</v>
      </c>
      <c r="K39339" s="30" t="n">
        <f aca="false">Assumptions!$K$53</f>
        <v>0.035</v>
      </c>
    </row>
    <row r="39340" customFormat="false" ht="15" hidden="false" customHeight="false" outlineLevel="0" collapsed="false">
      <c r="A39340" s="3" t="s">
        <v>320</v>
      </c>
      <c r="C39340" s="31" t="n">
        <f aca="false">CHOOSE($C$39306,Assumptions!$C$86,Assumptions!$C$105,Assumptions!$C$124)+$C$39309</f>
        <v>0.03</v>
      </c>
    </row>
    <row r="39341" customFormat="false" ht="15" hidden="false" customHeight="false" outlineLevel="0" collapsed="false">
      <c r="A39341" s="3" t="s">
        <v>321</v>
      </c>
      <c r="C39341" s="31" t="n">
        <f aca="false">CHOOSE($C$39306,Assumptions!$C$87,Assumptions!$C$106,Assumptions!$C$125)</f>
        <v>0.12</v>
      </c>
    </row>
    <row r="39342" customFormat="false" ht="15" hidden="false" customHeight="false" outlineLevel="0" collapsed="false">
      <c r="A39342" s="3" t="s">
        <v>322</v>
      </c>
      <c r="C39342" s="32" t="n">
        <f aca="false">CHOOSE($C$39306,Assumptions!$C$88,Assumptions!$C$107,Assumptions!$C$126)</f>
        <v>9</v>
      </c>
    </row>
    <row r="39343" customFormat="false" ht="15" hidden="false" customHeight="false" outlineLevel="0" collapsed="false">
      <c r="A39343" s="3" t="s">
        <v>323</v>
      </c>
      <c r="C39343" s="32" t="n">
        <f aca="false">CHOOSE($C$39306,Assumptions!$C$89,Assumptions!$C$108,Assumptions!$C$127)</f>
        <v>1.75</v>
      </c>
    </row>
    <row r="39344" customFormat="false" ht="15" hidden="false" customHeight="false" outlineLevel="0" collapsed="false">
      <c r="A39344" s="3" t="s">
        <v>324</v>
      </c>
      <c r="G39344" s="16" t="n">
        <f aca="false">G39349+G39362+G39375+G39388+G39401+G39414+G39427+G39440+G39453+G39466</f>
        <v>2625.934</v>
      </c>
      <c r="H39344" s="16" t="n">
        <f aca="false">H39349+H39362+H39375+H39388+H39401+H39414+H39427+H39440+H39453+H39466</f>
        <v>2621.934</v>
      </c>
      <c r="I39344" s="16" t="n">
        <f aca="false">I39349+I39362+I39375+I39388+I39401+I39414+I39427+I39440+I39453+I39466</f>
        <v>2602.8887587</v>
      </c>
      <c r="J39344" s="16" t="n">
        <f aca="false">J39349+J39362+J39375+J39388+J39401+J39414+J39427+J39440+J39453+J39466</f>
        <v>2598.8887587</v>
      </c>
      <c r="K39344" s="16" t="n">
        <f aca="false">K39349+K39362+K39375+K39388+K39401+K39414+K39427+K39440+K39453+K39466</f>
        <v>2594.8887587</v>
      </c>
    </row>
    <row r="39345" customFormat="false" ht="15" hidden="false" customHeight="false" outlineLevel="0" collapsed="false">
      <c r="A39345" s="3" t="s">
        <v>325</v>
      </c>
      <c r="G39345" s="16" t="n">
        <f aca="false">F39537</f>
        <v>37.87</v>
      </c>
      <c r="H39345" s="16" t="n">
        <f aca="false">G39537</f>
        <v>87.2944416</v>
      </c>
      <c r="I39345" s="16" t="n">
        <f aca="false">H39537</f>
        <v>0</v>
      </c>
      <c r="J39345" s="16" t="n">
        <f aca="false">I39537</f>
        <v>-75.7748017716</v>
      </c>
      <c r="K39345" s="16" t="n">
        <f aca="false">J39537</f>
        <v>-149.05681614325</v>
      </c>
    </row>
    <row r="39346" customFormat="false" ht="15" hidden="false" customHeight="false" outlineLevel="0" collapsed="false">
      <c r="A39346" s="3" t="s">
        <v>326</v>
      </c>
      <c r="G39346" s="16" t="n">
        <f aca="false">G39349*IF(G39350=1,$C$39341,IF(Assumptions!$I$57=1,MAX(G39339,Assumptions!$G$57)+Assumptions!$F$57+$C$39340,Assumptions!$E$57))+G39362*IF(G39363=1,$C$39341,IF(Assumptions!$I$58=1,MAX(G39339,Assumptions!$G$58)+Assumptions!$F$58+$C$39340,Assumptions!$E$58))+G39375*IF(G39376=1,$C$39341,IF(Assumptions!$I$59=1,MAX(G39339,Assumptions!$G$59)+Assumptions!$F$59+$C$39340,Assumptions!$E$59))+G39388*IF(G39389=1,$C$39341,IF(Assumptions!$I$60=1,MAX(G39339,Assumptions!$G$60)+Assumptions!$F$60+$C$39340,Assumptions!$E$60))+G39401*IF(G39402=1,$C$39341,IF(Assumptions!$I$61=1,MAX(G39339,Assumptions!$G$61)+Assumptions!$F$61+$C$39340,Assumptions!$E$61))+G39414*IF(G39415=1,$C$39341,IF(Assumptions!$I$62=1,MAX(G39339,Assumptions!$G$62)+Assumptions!$F$62+$C$39340,Assumptions!$E$62))+G39427*IF(G39428=1,$C$39341,IF(Assumptions!$I$63=1,MAX(G39339,Assumptions!$G$63)+Assumptions!$F$63+$C$39340,Assumptions!$E$63))+G39440*IF(G39441=1,$C$39341,IF(Assumptions!$I$64=1,MAX(G39339,Assumptions!$G$64)+Assumptions!$F$64+$C$39340,Assumptions!$E$64))+G39453*IF(G39454=1,$C$39341,IF(Assumptions!$I$65=1,MAX(G39339,Assumptions!$G$65)+Assumptions!$F$65+$C$39340,Assumptions!$E$65))+G39466*IF(G39467=1,$C$39341,IF(Assumptions!$I$66=1,MAX(G39339,Assumptions!$G$66)+Assumptions!$F$66+$C$39340,Assumptions!$E$66))</f>
        <v>194.5679854</v>
      </c>
      <c r="H39346" s="16" t="n">
        <f aca="false">H39349*IF(OR(H39350=1,G39659=1),$C$39341,IF(Assumptions!$I$57=1,MAX(H39339,Assumptions!$G$57)+Assumptions!$F$57+$C$39340,Assumptions!$E$57))+H39362*IF(OR(H39363=1,G39660=1),$C$39341,IF(Assumptions!$I$58=1,MAX(H39339,Assumptions!$G$58)+Assumptions!$F$58+$C$39340,Assumptions!$E$58))+H39375*IF(OR(H39376=1,G39661=1),$C$39341,IF(Assumptions!$I$59=1,MAX(H39339,Assumptions!$G$59)+Assumptions!$F$59+$C$39340,Assumptions!$E$59))+H39388*IF(OR(H39389=1,G39662=1),$C$39341,IF(Assumptions!$I$60=1,MAX(H39339,Assumptions!$G$60)+Assumptions!$F$60+$C$39340,Assumptions!$E$60))+H39401*IF(OR(H39402=1,G39663=1),$C$39341,IF(Assumptions!$I$61=1,MAX(H39339,Assumptions!$G$61)+Assumptions!$F$61+$C$39340,Assumptions!$E$61))+H39414*IF(OR(H39415=1,G39664=1),$C$39341,IF(Assumptions!$I$62=1,MAX(H39339,Assumptions!$G$62)+Assumptions!$F$62+$C$39340,Assumptions!$E$62))+H39427*IF(OR(H39428=1,G39665=1),$C$39341,IF(Assumptions!$I$63=1,MAX(H39339,Assumptions!$G$63)+Assumptions!$F$63+$C$39340,Assumptions!$E$63))+H39440*IF(OR(H39441=1,G39666=1),$C$39341,IF(Assumptions!$I$64=1,MAX(H39339,Assumptions!$G$64)+Assumptions!$F$64+$C$39340,Assumptions!$E$64))+H39453*IF(OR(H39454=1,G39667=1),$C$39341,IF(Assumptions!$I$65=1,MAX(H39339,Assumptions!$G$65)+Assumptions!$F$65+$C$39340,Assumptions!$E$65))+H39466*IF(OR(H39467=1,G39668=1),$C$39341,IF(Assumptions!$I$66=1,MAX(H39339,Assumptions!$G$66)+Assumptions!$F$66+$C$39340,Assumptions!$E$66))</f>
        <v>242.5450704</v>
      </c>
      <c r="I39346" s="16" t="n">
        <f aca="false">I39349*IF(OR(I39350=1,H39659=1),$C$39341,IF(Assumptions!$I$57=1,MAX(I39339,Assumptions!$G$57)+Assumptions!$F$57+$C$39340,Assumptions!$E$57))+I39362*IF(OR(I39363=1,H39660=1),$C$39341,IF(Assumptions!$I$58=1,MAX(I39339,Assumptions!$G$58)+Assumptions!$F$58+$C$39340,Assumptions!$E$58))+I39375*IF(OR(I39376=1,H39661=1),$C$39341,IF(Assumptions!$I$59=1,MAX(I39339,Assumptions!$G$59)+Assumptions!$F$59+$C$39340,Assumptions!$E$59))+I39388*IF(OR(I39389=1,H39662=1),$C$39341,IF(Assumptions!$I$60=1,MAX(I39339,Assumptions!$G$60)+Assumptions!$F$60+$C$39340,Assumptions!$E$60))+I39401*IF(OR(I39402=1,H39663=1),$C$39341,IF(Assumptions!$I$61=1,MAX(I39339,Assumptions!$G$61)+Assumptions!$F$61+$C$39340,Assumptions!$E$61))+I39414*IF(OR(I39415=1,H39664=1),$C$39341,IF(Assumptions!$I$62=1,MAX(I39339,Assumptions!$G$62)+Assumptions!$F$62+$C$39340,Assumptions!$E$62))+I39427*IF(OR(I39428=1,H39665=1),$C$39341,IF(Assumptions!$I$63=1,MAX(I39339,Assumptions!$G$63)+Assumptions!$F$63+$C$39340,Assumptions!$E$63))+I39440*IF(OR(I39441=1,H39666=1),$C$39341,IF(Assumptions!$I$64=1,MAX(I39339,Assumptions!$G$64)+Assumptions!$F$64+$C$39340,Assumptions!$E$64))+I39453*IF(OR(I39454=1,H39667=1),$C$39341,IF(Assumptions!$I$65=1,MAX(I39339,Assumptions!$G$65)+Assumptions!$F$65+$C$39340,Assumptions!$E$65))+I39466*IF(OR(I39467=1,H39668=1),$C$39341,IF(Assumptions!$I$66=1,MAX(I39339,Assumptions!$G$66)+Assumptions!$F$66+$C$39340,Assumptions!$E$66))</f>
        <v>208.30675836865</v>
      </c>
      <c r="J39346" s="16" t="n">
        <f aca="false">J39349*IF(OR(J39350=1,I39659=1),$C$39341,IF(Assumptions!$I$57=1,MAX(J39339,Assumptions!$G$57)+Assumptions!$F$57+$C$39340,Assumptions!$E$57))+J39362*IF(OR(J39363=1,I39660=1),$C$39341,IF(Assumptions!$I$58=1,MAX(J39339,Assumptions!$G$58)+Assumptions!$F$58+$C$39340,Assumptions!$E$58))+J39375*IF(OR(J39376=1,I39661=1),$C$39341,IF(Assumptions!$I$59=1,MAX(J39339,Assumptions!$G$59)+Assumptions!$F$59+$C$39340,Assumptions!$E$59))+J39388*IF(OR(J39389=1,I39662=1),$C$39341,IF(Assumptions!$I$60=1,MAX(J39339,Assumptions!$G$60)+Assumptions!$F$60+$C$39340,Assumptions!$E$60))+J39401*IF(OR(J39402=1,I39663=1),$C$39341,IF(Assumptions!$I$61=1,MAX(J39339,Assumptions!$G$61)+Assumptions!$F$61+$C$39340,Assumptions!$E$61))+J39414*IF(OR(J39415=1,I39664=1),$C$39341,IF(Assumptions!$I$62=1,MAX(J39339,Assumptions!$G$62)+Assumptions!$F$62+$C$39340,Assumptions!$E$62))+J39427*IF(OR(J39428=1,I39665=1),$C$39341,IF(Assumptions!$I$63=1,MAX(J39339,Assumptions!$G$63)+Assumptions!$F$63+$C$39340,Assumptions!$E$63))+J39440*IF(OR(J39441=1,I39666=1),$C$39341,IF(Assumptions!$I$64=1,MAX(J39339,Assumptions!$G$64)+Assumptions!$F$64+$C$39340,Assumptions!$E$64))+J39453*IF(OR(J39454=1,I39667=1),$C$39341,IF(Assumptions!$I$65=1,MAX(J39339,Assumptions!$G$65)+Assumptions!$F$65+$C$39340,Assumptions!$E$65))+J39466*IF(OR(J39467=1,I39668=1),$C$39341,IF(Assumptions!$I$66=1,MAX(J39339,Assumptions!$G$66)+Assumptions!$F$66+$C$39340,Assumptions!$E$66))</f>
        <v>216.72425836865</v>
      </c>
      <c r="K39346" s="16" t="n">
        <f aca="false">K39349*IF(OR(K39350=1,J39659=1),$C$39341,IF(Assumptions!$I$57=1,MAX(K39339,Assumptions!$G$57)+Assumptions!$F$57+$C$39340,Assumptions!$E$57))+K39362*IF(OR(K39363=1,J39660=1),$C$39341,IF(Assumptions!$I$58=1,MAX(K39339,Assumptions!$G$58)+Assumptions!$F$58+$C$39340,Assumptions!$E$58))+K39375*IF(OR(K39376=1,J39661=1),$C$39341,IF(Assumptions!$I$59=1,MAX(K39339,Assumptions!$G$59)+Assumptions!$F$59+$C$39340,Assumptions!$E$59))+K39388*IF(OR(K39389=1,J39662=1),$C$39341,IF(Assumptions!$I$60=1,MAX(K39339,Assumptions!$G$60)+Assumptions!$F$60+$C$39340,Assumptions!$E$60))+K39401*IF(OR(K39402=1,J39663=1),$C$39341,IF(Assumptions!$I$61=1,MAX(K39339,Assumptions!$G$61)+Assumptions!$F$61+$C$39340,Assumptions!$E$61))+K39414*IF(OR(K39415=1,J39664=1),$C$39341,IF(Assumptions!$I$62=1,MAX(K39339,Assumptions!$G$62)+Assumptions!$F$62+$C$39340,Assumptions!$E$62))+K39427*IF(OR(K39428=1,J39665=1),$C$39341,IF(Assumptions!$I$63=1,MAX(K39339,Assumptions!$G$63)+Assumptions!$F$63+$C$39340,Assumptions!$E$63))+K39440*IF(OR(K39441=1,J39666=1),$C$39341,IF(Assumptions!$I$64=1,MAX(K39339,Assumptions!$G$64)+Assumptions!$F$64+$C$39340,Assumptions!$E$64))+K39453*IF(OR(K39454=1,J39667=1),$C$39341,IF(Assumptions!$I$65=1,MAX(K39339,Assumptions!$G$65)+Assumptions!$F$65+$C$39340,Assumptions!$E$65))+K39466*IF(OR(K39467=1,J39668=1),$C$39341,IF(Assumptions!$I$66=1,MAX(K39339,Assumptions!$G$66)+Assumptions!$F$66+$C$39340,Assumptions!$E$66))</f>
        <v>208.76425836865</v>
      </c>
    </row>
    <row r="39347" customFormat="false" ht="15" hidden="false" customHeight="false" outlineLevel="0" collapsed="false">
      <c r="A39347" s="3" t="s">
        <v>327</v>
      </c>
      <c r="G39347" s="21" t="n">
        <f aca="false">IF(G39323&lt;=0,0,IF(AND((G39344-G39345)/G39323&lt;=$C$39342,G39323/G39346&gt;=$C$39343),1,0))</f>
        <v>0</v>
      </c>
      <c r="H39347" s="21" t="n">
        <f aca="false">IF(H39323&lt;=0,0,IF(AND((H39344-H39345)/H39323&lt;=$C$39342,H39323/H39346&gt;=$C$39343),1,0))</f>
        <v>0</v>
      </c>
      <c r="I39347" s="21" t="n">
        <f aca="false">IF(I39323&lt;=0,0,IF(AND((I39344-I39345)/I39323&lt;=$C$39342,I39323/I39346&gt;=$C$39343),1,0))</f>
        <v>0</v>
      </c>
      <c r="J39347" s="21" t="n">
        <f aca="false">IF(J39323&lt;=0,0,IF(AND((J39344-J39345)/J39323&lt;=$C$39342,J39323/J39346&gt;=$C$39343),1,0))</f>
        <v>0</v>
      </c>
      <c r="K39347" s="21" t="n">
        <f aca="false">IF(K39323&lt;=0,0,IF(AND((K39344-K39345)/K39323&lt;=$C$39342,K39323/K39346&gt;=$C$39343),1,0))</f>
        <v>0</v>
      </c>
    </row>
    <row r="39348" customFormat="false" ht="15" hidden="false" customHeight="false" outlineLevel="0" collapsed="false">
      <c r="A39348" s="24" t="s">
        <v>328</v>
      </c>
      <c r="B39348" s="25"/>
      <c r="C39348" s="25"/>
      <c r="D39348" s="25"/>
      <c r="E39348" s="25"/>
      <c r="F39348" s="25"/>
      <c r="G39348" s="25"/>
      <c r="H39348" s="25"/>
      <c r="I39348" s="25"/>
      <c r="J39348" s="25"/>
      <c r="K39348" s="25"/>
    </row>
    <row r="39349" customFormat="false" ht="15" hidden="false" customHeight="false" outlineLevel="0" collapsed="false">
      <c r="A39349" s="3" t="s">
        <v>329</v>
      </c>
      <c r="G39349" s="16" t="n">
        <f aca="false">F39360</f>
        <v>400</v>
      </c>
      <c r="H39349" s="16" t="n">
        <f aca="false">G39360</f>
        <v>396</v>
      </c>
      <c r="I39349" s="16" t="n">
        <f aca="false">H39360</f>
        <v>392</v>
      </c>
      <c r="J39349" s="16" t="n">
        <f aca="false">I39360</f>
        <v>388</v>
      </c>
      <c r="K39349" s="16" t="n">
        <f aca="false">J39360</f>
        <v>384</v>
      </c>
    </row>
    <row r="39350" customFormat="false" ht="15" hidden="false" customHeight="false" outlineLevel="0" collapsed="false">
      <c r="A39350" s="3" t="s">
        <v>330</v>
      </c>
      <c r="G39350" s="21" t="n">
        <f aca="false">IF(G39313=Assumptions!$K$57,1,0)</f>
        <v>0</v>
      </c>
      <c r="H39350" s="21" t="n">
        <f aca="false">IF(H39313=Assumptions!$K$57,1,0)</f>
        <v>0</v>
      </c>
      <c r="I39350" s="21" t="n">
        <f aca="false">IF(I39313=Assumptions!$K$57,1,0)</f>
        <v>0</v>
      </c>
      <c r="J39350" s="21" t="n">
        <f aca="false">IF(J39313=Assumptions!$K$57,1,0)</f>
        <v>0</v>
      </c>
      <c r="K39350" s="21" t="n">
        <f aca="false">IF(K39313=Assumptions!$K$57,1,0)</f>
        <v>1</v>
      </c>
    </row>
    <row r="39352" customFormat="false" ht="15" hidden="false" customHeight="false" outlineLevel="0" collapsed="false">
      <c r="A39352" s="3" t="s">
        <v>331</v>
      </c>
      <c r="G39352" s="31" t="n">
        <f aca="false">IF(Assumptions!$I$57=1,MAX(G39339,Assumptions!$G$57)+Assumptions!$F$57+$C$39340,Assumptions!$E$57)</f>
        <v>0.1215</v>
      </c>
      <c r="H39352" s="31" t="n">
        <f aca="false">IF(G39659=1,$C$39341,IF(Assumptions!$I$57=1,MAX(H39339,Assumptions!$G$57)+Assumptions!$F$57+$C$39340,Assumptions!$E$57))</f>
        <v>0.12</v>
      </c>
      <c r="I39352" s="31" t="n">
        <f aca="false">IF(H39659=1,$C$39341,IF(Assumptions!$I$57=1,MAX(I39339,Assumptions!$G$57)+Assumptions!$F$57+$C$39340,Assumptions!$E$57))</f>
        <v>0.1175</v>
      </c>
      <c r="J39352" s="31" t="n">
        <f aca="false">IF(I39659=1,$C$39341,IF(Assumptions!$I$57=1,MAX(J39339,Assumptions!$G$57)+Assumptions!$F$57+$C$39340,Assumptions!$E$57))</f>
        <v>0.1175</v>
      </c>
      <c r="K39352" s="31" t="n">
        <f aca="false">IF(J39659=1,$C$39341,IF(Assumptions!$I$57=1,MAX(K39339,Assumptions!$G$57)+Assumptions!$F$57+$C$39340,Assumptions!$E$57))</f>
        <v>0.1175</v>
      </c>
    </row>
    <row r="39353" customFormat="false" ht="15" hidden="false" customHeight="false" outlineLevel="0" collapsed="false">
      <c r="A39353" s="3" t="s">
        <v>332</v>
      </c>
      <c r="G39353" s="16" t="n">
        <f aca="false">G39349*G39352</f>
        <v>48.6</v>
      </c>
      <c r="H39353" s="16" t="n">
        <f aca="false">H39349*H39352</f>
        <v>47.52</v>
      </c>
      <c r="I39353" s="16" t="n">
        <f aca="false">I39349*I39352</f>
        <v>46.06</v>
      </c>
      <c r="J39353" s="16" t="n">
        <f aca="false">J39349*J39352</f>
        <v>45.59</v>
      </c>
      <c r="K39353" s="16" t="n">
        <f aca="false">K39349*K39352</f>
        <v>45.12</v>
      </c>
    </row>
    <row r="39354" customFormat="false" ht="15" hidden="false" customHeight="false" outlineLevel="0" collapsed="false">
      <c r="A39354" s="3" t="s">
        <v>333</v>
      </c>
      <c r="G39354" s="16" t="n">
        <f aca="false">G39349*Assumptions!$H$57</f>
        <v>0</v>
      </c>
      <c r="H39354" s="16" t="n">
        <f aca="false">H39349*Assumptions!$H$57</f>
        <v>0</v>
      </c>
      <c r="I39354" s="16" t="n">
        <f aca="false">I39349*Assumptions!$H$57</f>
        <v>0</v>
      </c>
      <c r="J39354" s="16" t="n">
        <f aca="false">J39349*Assumptions!$H$57</f>
        <v>0</v>
      </c>
      <c r="K39354" s="16" t="n">
        <f aca="false">K39349*Assumptions!$H$57</f>
        <v>0</v>
      </c>
    </row>
    <row r="39355" customFormat="false" ht="15" hidden="false" customHeight="false" outlineLevel="0" collapsed="false">
      <c r="A39355" s="3" t="s">
        <v>334</v>
      </c>
      <c r="G39355" s="16" t="n">
        <f aca="false">MIN(G39349,Assumptions!$L$57*Assumptions!$C$57)</f>
        <v>4</v>
      </c>
      <c r="H39355" s="16" t="n">
        <f aca="false">MIN(H39349,Assumptions!$L$57*Assumptions!$C$57)</f>
        <v>4</v>
      </c>
      <c r="I39355" s="16" t="n">
        <f aca="false">MIN(I39349,Assumptions!$L$57*Assumptions!$C$57)</f>
        <v>4</v>
      </c>
      <c r="J39355" s="16" t="n">
        <f aca="false">MIN(J39349,Assumptions!$L$57*Assumptions!$C$57)</f>
        <v>4</v>
      </c>
      <c r="K39355" s="16" t="n">
        <f aca="false">MIN(K39349,Assumptions!$L$57*Assumptions!$C$57)</f>
        <v>4</v>
      </c>
    </row>
    <row r="39356" customFormat="false" ht="15" hidden="false" customHeight="false" outlineLevel="0" collapsed="false">
      <c r="A39356" s="3" t="s">
        <v>335</v>
      </c>
      <c r="G39356" s="16" t="n">
        <f aca="false">IF(AND(Assumptions!$P$57=1,G39313&lt;Assumptions!$K$57),MIN(MAX(0,-G39529),MAX(0,Assumptions!$D$57-G39349)),0)</f>
        <v>0</v>
      </c>
      <c r="H39356" s="16" t="n">
        <f aca="false">IF(AND(Assumptions!$P$57=1,OR(H39313&lt;Assumptions!$K$57,G39659=1)),MIN(MAX(0,-H39529),MAX(0,Assumptions!$D$57-H39349)),0)</f>
        <v>0</v>
      </c>
      <c r="I39356" s="16" t="n">
        <f aca="false">IF(AND(Assumptions!$P$57=1,OR(I39313&lt;Assumptions!$K$57,H39659=1)),MIN(MAX(0,-I39529),MAX(0,Assumptions!$D$57-I39349)),0)</f>
        <v>0</v>
      </c>
      <c r="J39356" s="16" t="n">
        <f aca="false">IF(AND(Assumptions!$P$57=1,OR(J39313&lt;Assumptions!$K$57,I39659=1)),MIN(MAX(0,-J39529),MAX(0,Assumptions!$D$57-J39349)),0)</f>
        <v>0</v>
      </c>
      <c r="K39356" s="16" t="n">
        <f aca="false">IF(AND(Assumptions!$P$57=1,OR(K39313&lt;Assumptions!$K$57,J39659=1)),MIN(MAX(0,-K39529),MAX(0,Assumptions!$D$57-K39349)),0)</f>
        <v>0</v>
      </c>
    </row>
    <row r="39357" customFormat="false" ht="15" hidden="false" customHeight="false" outlineLevel="0" collapsed="false">
      <c r="A39357" s="3" t="s">
        <v>336</v>
      </c>
      <c r="G39357" s="16" t="n">
        <f aca="false">G39350*MIN(G39349-G39355+G39354,MAX(0,G39531-Assumptions!$C$12*G39347))</f>
        <v>0</v>
      </c>
      <c r="H39357" s="16" t="n">
        <f aca="false">H39350*MIN(H39349-H39355+H39354,MAX(0,H39531-Assumptions!$C$12*H39347))</f>
        <v>0</v>
      </c>
      <c r="I39357" s="16" t="n">
        <f aca="false">I39350*MIN(I39349-I39355+I39354,MAX(0,I39531-Assumptions!$C$12*I39347))</f>
        <v>0</v>
      </c>
      <c r="J39357" s="16" t="n">
        <f aca="false">J39350*MIN(J39349-J39355+J39354,MAX(0,J39531-Assumptions!$C$12*J39347))</f>
        <v>0</v>
      </c>
      <c r="K39357" s="16" t="n">
        <f aca="false">K39350*MIN(K39349-K39355+K39354,MAX(0,K39531-Assumptions!$C$12*K39347))</f>
        <v>0</v>
      </c>
    </row>
    <row r="39358" customFormat="false" ht="15" hidden="false" customHeight="false" outlineLevel="0" collapsed="false">
      <c r="A39358" s="3" t="s">
        <v>337</v>
      </c>
      <c r="G39358" s="16" t="n">
        <f aca="false">Assumptions!$N$57*MIN(G39349+G39356+G39354-G39355-G39357,MAX(0,G39535))</f>
        <v>0</v>
      </c>
      <c r="H39358" s="16" t="n">
        <f aca="false">Assumptions!$N$57*MIN(H39349+H39356+H39354-H39355-H39357,MAX(0,H39535))</f>
        <v>0</v>
      </c>
      <c r="I39358" s="16" t="n">
        <f aca="false">Assumptions!$N$57*MIN(I39349+I39356+I39354-I39355-I39357,MAX(0,I39535))</f>
        <v>0</v>
      </c>
      <c r="J39358" s="16" t="n">
        <f aca="false">Assumptions!$N$57*MIN(J39349+J39356+J39354-J39355-J39357,MAX(0,J39535))</f>
        <v>0</v>
      </c>
      <c r="K39358" s="16" t="n">
        <f aca="false">Assumptions!$N$57*MIN(K39349+K39356+K39354-K39355-K39357,MAX(0,K39535))</f>
        <v>0</v>
      </c>
    </row>
    <row r="39359" customFormat="false" ht="15" hidden="false" customHeight="false" outlineLevel="0" collapsed="false">
      <c r="A39359" s="3" t="s">
        <v>338</v>
      </c>
      <c r="G39359" s="16" t="n">
        <f aca="false">G39350*(1-G39347)*(G39349-G39355+G39354-G39357)</f>
        <v>0</v>
      </c>
      <c r="H39359" s="16" t="n">
        <f aca="false">H39350*(1-H39347)*(H39349-H39355+H39354-H39357)</f>
        <v>0</v>
      </c>
      <c r="I39359" s="16" t="n">
        <f aca="false">I39350*(1-I39347)*(I39349-I39355+I39354-I39357)</f>
        <v>0</v>
      </c>
      <c r="J39359" s="16" t="n">
        <f aca="false">J39350*(1-J39347)*(J39349-J39355+J39354-J39357)</f>
        <v>0</v>
      </c>
      <c r="K39359" s="16" t="n">
        <f aca="false">K39350*(1-K39347)*(K39349-K39355+K39354-K39357)</f>
        <v>380</v>
      </c>
    </row>
    <row r="39360" customFormat="false" ht="15" hidden="false" customHeight="false" outlineLevel="0" collapsed="false">
      <c r="A39360" s="2" t="s">
        <v>339</v>
      </c>
      <c r="F39360" s="28" t="n">
        <f aca="false">Assumptions!$C$57</f>
        <v>400</v>
      </c>
      <c r="G39360" s="17" t="n">
        <f aca="false">G39349+G39356+G39354-G39355-G39357-G39358</f>
        <v>396</v>
      </c>
      <c r="H39360" s="17" t="n">
        <f aca="false">H39349+H39356+H39354-H39355-H39357-H39358</f>
        <v>392</v>
      </c>
      <c r="I39360" s="17" t="n">
        <f aca="false">I39349+I39356+I39354-I39355-I39357-I39358</f>
        <v>388</v>
      </c>
      <c r="J39360" s="17" t="n">
        <f aca="false">J39349+J39356+J39354-J39355-J39357-J39358</f>
        <v>384</v>
      </c>
      <c r="K39360" s="17" t="n">
        <f aca="false">K39349+K39356+K39354-K39355-K39357-K39358</f>
        <v>380</v>
      </c>
    </row>
    <row r="39361" customFormat="false" ht="15" hidden="false" customHeight="false" outlineLevel="0" collapsed="false">
      <c r="A39361" s="24" t="s">
        <v>340</v>
      </c>
      <c r="B39361" s="25"/>
      <c r="C39361" s="25"/>
      <c r="D39361" s="25"/>
      <c r="E39361" s="25"/>
      <c r="F39361" s="25"/>
      <c r="G39361" s="25"/>
      <c r="H39361" s="25"/>
      <c r="I39361" s="25"/>
      <c r="J39361" s="25"/>
      <c r="K39361" s="25"/>
    </row>
    <row r="39362" customFormat="false" ht="15" hidden="false" customHeight="false" outlineLevel="0" collapsed="false">
      <c r="A39362" s="3" t="s">
        <v>329</v>
      </c>
      <c r="G39362" s="16" t="n">
        <f aca="false">F39373</f>
        <v>90</v>
      </c>
      <c r="H39362" s="16" t="n">
        <f aca="false">G39373</f>
        <v>90</v>
      </c>
      <c r="I39362" s="16" t="n">
        <f aca="false">H39373</f>
        <v>90</v>
      </c>
      <c r="J39362" s="16" t="n">
        <f aca="false">I39373</f>
        <v>90</v>
      </c>
      <c r="K39362" s="16" t="n">
        <f aca="false">J39373</f>
        <v>90</v>
      </c>
    </row>
    <row r="39363" customFormat="false" ht="15" hidden="false" customHeight="false" outlineLevel="0" collapsed="false">
      <c r="A39363" s="3" t="s">
        <v>330</v>
      </c>
      <c r="G39363" s="21" t="n">
        <f aca="false">IF(G39313=Assumptions!$K$58,1,0)</f>
        <v>0</v>
      </c>
      <c r="H39363" s="21" t="n">
        <f aca="false">IF(H39313=Assumptions!$K$58,1,0)</f>
        <v>0</v>
      </c>
      <c r="I39363" s="21" t="n">
        <f aca="false">IF(I39313=Assumptions!$K$58,1,0)</f>
        <v>0</v>
      </c>
      <c r="J39363" s="21" t="n">
        <f aca="false">IF(J39313=Assumptions!$K$58,1,0)</f>
        <v>0</v>
      </c>
      <c r="K39363" s="21" t="n">
        <f aca="false">IF(K39313=Assumptions!$K$58,1,0)</f>
        <v>0</v>
      </c>
    </row>
    <row r="39365" customFormat="false" ht="15" hidden="false" customHeight="false" outlineLevel="0" collapsed="false">
      <c r="A39365" s="3" t="s">
        <v>331</v>
      </c>
      <c r="G39365" s="31" t="n">
        <f aca="false">IF(Assumptions!$I$58=1,MAX(G39339,Assumptions!$G$58)+Assumptions!$F$58+$C$39340,Assumptions!$E$58)</f>
        <v>0.0581</v>
      </c>
      <c r="H39365" s="31" t="n">
        <f aca="false">IF(G39660=1,$C$39341,IF(Assumptions!$I$58=1,MAX(H39339,Assumptions!$G$58)+Assumptions!$F$58+$C$39340,Assumptions!$E$58))</f>
        <v>0.0581</v>
      </c>
      <c r="I39365" s="31" t="n">
        <f aca="false">IF(H39660=1,$C$39341,IF(Assumptions!$I$58=1,MAX(I39339,Assumptions!$G$58)+Assumptions!$F$58+$C$39340,Assumptions!$E$58))</f>
        <v>0.0581</v>
      </c>
      <c r="J39365" s="31" t="n">
        <f aca="false">IF(I39660=1,$C$39341,IF(Assumptions!$I$58=1,MAX(J39339,Assumptions!$G$58)+Assumptions!$F$58+$C$39340,Assumptions!$E$58))</f>
        <v>0.0581</v>
      </c>
      <c r="K39365" s="31" t="n">
        <f aca="false">IF(J39660=1,$C$39341,IF(Assumptions!$I$58=1,MAX(K39339,Assumptions!$G$58)+Assumptions!$F$58+$C$39340,Assumptions!$E$58))</f>
        <v>0.0581</v>
      </c>
    </row>
    <row r="39366" customFormat="false" ht="15" hidden="false" customHeight="false" outlineLevel="0" collapsed="false">
      <c r="A39366" s="3" t="s">
        <v>332</v>
      </c>
      <c r="G39366" s="16" t="n">
        <f aca="false">G39362*G39365</f>
        <v>5.229</v>
      </c>
      <c r="H39366" s="16" t="n">
        <f aca="false">H39362*H39365</f>
        <v>5.229</v>
      </c>
      <c r="I39366" s="16" t="n">
        <f aca="false">I39362*I39365</f>
        <v>5.229</v>
      </c>
      <c r="J39366" s="16" t="n">
        <f aca="false">J39362*J39365</f>
        <v>5.229</v>
      </c>
      <c r="K39366" s="16" t="n">
        <f aca="false">K39362*K39365</f>
        <v>5.229</v>
      </c>
    </row>
    <row r="39367" customFormat="false" ht="15" hidden="false" customHeight="false" outlineLevel="0" collapsed="false">
      <c r="A39367" s="3" t="s">
        <v>333</v>
      </c>
      <c r="G39367" s="16" t="n">
        <f aca="false">G39362*Assumptions!$H$58</f>
        <v>0</v>
      </c>
      <c r="H39367" s="16" t="n">
        <f aca="false">H39362*Assumptions!$H$58</f>
        <v>0</v>
      </c>
      <c r="I39367" s="16" t="n">
        <f aca="false">I39362*Assumptions!$H$58</f>
        <v>0</v>
      </c>
      <c r="J39367" s="16" t="n">
        <f aca="false">J39362*Assumptions!$H$58</f>
        <v>0</v>
      </c>
      <c r="K39367" s="16" t="n">
        <f aca="false">K39362*Assumptions!$H$58</f>
        <v>0</v>
      </c>
    </row>
    <row r="39368" customFormat="false" ht="15" hidden="false" customHeight="false" outlineLevel="0" collapsed="false">
      <c r="A39368" s="3" t="s">
        <v>334</v>
      </c>
      <c r="G39368" s="16" t="n">
        <f aca="false">MIN(G39362,Assumptions!$L$58*Assumptions!$C$58)</f>
        <v>0</v>
      </c>
      <c r="H39368" s="16" t="n">
        <f aca="false">MIN(H39362,Assumptions!$L$58*Assumptions!$C$58)</f>
        <v>0</v>
      </c>
      <c r="I39368" s="16" t="n">
        <f aca="false">MIN(I39362,Assumptions!$L$58*Assumptions!$C$58)</f>
        <v>0</v>
      </c>
      <c r="J39368" s="16" t="n">
        <f aca="false">MIN(J39362,Assumptions!$L$58*Assumptions!$C$58)</f>
        <v>0</v>
      </c>
      <c r="K39368" s="16" t="n">
        <f aca="false">MIN(K39362,Assumptions!$L$58*Assumptions!$C$58)</f>
        <v>0</v>
      </c>
    </row>
    <row r="39369" customFormat="false" ht="15" hidden="false" customHeight="false" outlineLevel="0" collapsed="false">
      <c r="A39369" s="3" t="s">
        <v>335</v>
      </c>
      <c r="G39369" s="16" t="n">
        <f aca="false">IF(AND(Assumptions!$P$58=1,G39313&lt;Assumptions!$K$58),MIN(MAX(0,-G39529),MAX(0,Assumptions!$D$58-G39362)),0)</f>
        <v>0</v>
      </c>
      <c r="H39369" s="16" t="n">
        <f aca="false">IF(AND(Assumptions!$P$58=1,OR(H39313&lt;Assumptions!$K$58,G39660=1)),MIN(MAX(0,-H39529),MAX(0,Assumptions!$D$58-H39362)),0)</f>
        <v>0</v>
      </c>
      <c r="I39369" s="16" t="n">
        <f aca="false">IF(AND(Assumptions!$P$58=1,OR(I39313&lt;Assumptions!$K$58,H39660=1)),MIN(MAX(0,-I39529),MAX(0,Assumptions!$D$58-I39362)),0)</f>
        <v>0</v>
      </c>
      <c r="J39369" s="16" t="n">
        <f aca="false">IF(AND(Assumptions!$P$58=1,OR(J39313&lt;Assumptions!$K$58,I39660=1)),MIN(MAX(0,-J39529),MAX(0,Assumptions!$D$58-J39362)),0)</f>
        <v>0</v>
      </c>
      <c r="K39369" s="16" t="n">
        <f aca="false">IF(AND(Assumptions!$P$58=1,OR(K39313&lt;Assumptions!$K$58,J39660=1)),MIN(MAX(0,-K39529),MAX(0,Assumptions!$D$58-K39362)),0)</f>
        <v>0</v>
      </c>
    </row>
    <row r="39370" customFormat="false" ht="15" hidden="false" customHeight="false" outlineLevel="0" collapsed="false">
      <c r="A39370" s="3" t="s">
        <v>336</v>
      </c>
      <c r="G39370" s="16" t="n">
        <f aca="false">G39363*MIN(G39362-G39368+G39367,MAX(0,G39531-Assumptions!$C$12*G39347-G39357))</f>
        <v>0</v>
      </c>
      <c r="H39370" s="16" t="n">
        <f aca="false">H39363*MIN(H39362-H39368+H39367,MAX(0,H39531-Assumptions!$C$12*H39347-H39357))</f>
        <v>0</v>
      </c>
      <c r="I39370" s="16" t="n">
        <f aca="false">I39363*MIN(I39362-I39368+I39367,MAX(0,I39531-Assumptions!$C$12*I39347-I39357))</f>
        <v>0</v>
      </c>
      <c r="J39370" s="16" t="n">
        <f aca="false">J39363*MIN(J39362-J39368+J39367,MAX(0,J39531-Assumptions!$C$12*J39347-J39357))</f>
        <v>0</v>
      </c>
      <c r="K39370" s="16" t="n">
        <f aca="false">K39363*MIN(K39362-K39368+K39367,MAX(0,K39531-Assumptions!$C$12*K39347-K39357))</f>
        <v>0</v>
      </c>
    </row>
    <row r="39371" customFormat="false" ht="15" hidden="false" customHeight="false" outlineLevel="0" collapsed="false">
      <c r="A39371" s="3" t="s">
        <v>337</v>
      </c>
      <c r="G39371" s="16" t="n">
        <f aca="false">Assumptions!$N$58*MIN(G39362+G39369+G39367-G39368-G39370,MAX(0,G39535-G39358))</f>
        <v>0</v>
      </c>
      <c r="H39371" s="16" t="n">
        <f aca="false">Assumptions!$N$58*MIN(H39362+H39369+H39367-H39368-H39370,MAX(0,H39535-H39358))</f>
        <v>0</v>
      </c>
      <c r="I39371" s="16" t="n">
        <f aca="false">Assumptions!$N$58*MIN(I39362+I39369+I39367-I39368-I39370,MAX(0,I39535-I39358))</f>
        <v>0</v>
      </c>
      <c r="J39371" s="16" t="n">
        <f aca="false">Assumptions!$N$58*MIN(J39362+J39369+J39367-J39368-J39370,MAX(0,J39535-J39358))</f>
        <v>0</v>
      </c>
      <c r="K39371" s="16" t="n">
        <f aca="false">Assumptions!$N$58*MIN(K39362+K39369+K39367-K39368-K39370,MAX(0,K39535-K39358))</f>
        <v>0</v>
      </c>
    </row>
    <row r="39372" customFormat="false" ht="15" hidden="false" customHeight="false" outlineLevel="0" collapsed="false">
      <c r="A39372" s="3" t="s">
        <v>338</v>
      </c>
      <c r="G39372" s="16" t="n">
        <f aca="false">G39363*(1-G39347)*(G39362-G39368+G39367-G39370)</f>
        <v>0</v>
      </c>
      <c r="H39372" s="16" t="n">
        <f aca="false">H39363*(1-H39347)*(H39362-H39368+H39367-H39370)</f>
        <v>0</v>
      </c>
      <c r="I39372" s="16" t="n">
        <f aca="false">I39363*(1-I39347)*(I39362-I39368+I39367-I39370)</f>
        <v>0</v>
      </c>
      <c r="J39372" s="16" t="n">
        <f aca="false">J39363*(1-J39347)*(J39362-J39368+J39367-J39370)</f>
        <v>0</v>
      </c>
      <c r="K39372" s="16" t="n">
        <f aca="false">K39363*(1-K39347)*(K39362-K39368+K39367-K39370)</f>
        <v>0</v>
      </c>
    </row>
    <row r="39373" customFormat="false" ht="15" hidden="false" customHeight="false" outlineLevel="0" collapsed="false">
      <c r="A39373" s="2" t="s">
        <v>339</v>
      </c>
      <c r="F39373" s="28" t="n">
        <f aca="false">Assumptions!$C$58</f>
        <v>90</v>
      </c>
      <c r="G39373" s="17" t="n">
        <f aca="false">G39362+G39369+G39367-G39368-G39370-G39371</f>
        <v>90</v>
      </c>
      <c r="H39373" s="17" t="n">
        <f aca="false">H39362+H39369+H39367-H39368-H39370-H39371</f>
        <v>90</v>
      </c>
      <c r="I39373" s="17" t="n">
        <f aca="false">I39362+I39369+I39367-I39368-I39370-I39371</f>
        <v>90</v>
      </c>
      <c r="J39373" s="17" t="n">
        <f aca="false">J39362+J39369+J39367-J39368-J39370-J39371</f>
        <v>90</v>
      </c>
      <c r="K39373" s="17" t="n">
        <f aca="false">K39362+K39369+K39367-K39368-K39370-K39371</f>
        <v>90</v>
      </c>
    </row>
    <row r="39374" customFormat="false" ht="15" hidden="false" customHeight="false" outlineLevel="0" collapsed="false">
      <c r="A39374" s="24" t="s">
        <v>341</v>
      </c>
      <c r="B39374" s="25"/>
      <c r="C39374" s="25"/>
      <c r="D39374" s="25"/>
      <c r="E39374" s="25"/>
      <c r="F39374" s="25"/>
      <c r="G39374" s="25"/>
      <c r="H39374" s="25"/>
      <c r="I39374" s="25"/>
      <c r="J39374" s="25"/>
      <c r="K39374" s="25"/>
    </row>
    <row r="39375" customFormat="false" ht="15" hidden="false" customHeight="false" outlineLevel="0" collapsed="false">
      <c r="A39375" s="3" t="s">
        <v>329</v>
      </c>
      <c r="G39375" s="16" t="n">
        <f aca="false">F39386</f>
        <v>57.324</v>
      </c>
      <c r="H39375" s="16" t="n">
        <f aca="false">G39386</f>
        <v>57.324</v>
      </c>
      <c r="I39375" s="16" t="n">
        <f aca="false">H39386</f>
        <v>57.324</v>
      </c>
      <c r="J39375" s="16" t="n">
        <f aca="false">I39386</f>
        <v>57.324</v>
      </c>
      <c r="K39375" s="16" t="n">
        <f aca="false">J39386</f>
        <v>57.324</v>
      </c>
    </row>
    <row r="39376" customFormat="false" ht="15" hidden="false" customHeight="false" outlineLevel="0" collapsed="false">
      <c r="A39376" s="3" t="s">
        <v>330</v>
      </c>
      <c r="G39376" s="21" t="n">
        <f aca="false">IF(G39313=Assumptions!$K$59,1,0)</f>
        <v>0</v>
      </c>
      <c r="H39376" s="21" t="n">
        <f aca="false">IF(H39313=Assumptions!$K$59,1,0)</f>
        <v>0</v>
      </c>
      <c r="I39376" s="21" t="n">
        <f aca="false">IF(I39313=Assumptions!$K$59,1,0)</f>
        <v>0</v>
      </c>
      <c r="J39376" s="21" t="n">
        <f aca="false">IF(J39313=Assumptions!$K$59,1,0)</f>
        <v>0</v>
      </c>
      <c r="K39376" s="21" t="n">
        <f aca="false">IF(K39313=Assumptions!$K$59,1,0)</f>
        <v>0</v>
      </c>
    </row>
    <row r="39378" customFormat="false" ht="15" hidden="false" customHeight="false" outlineLevel="0" collapsed="false">
      <c r="A39378" s="3" t="s">
        <v>331</v>
      </c>
      <c r="G39378" s="31" t="n">
        <f aca="false">IF(Assumptions!$I$59=1,MAX(G39339,Assumptions!$G$59)+Assumptions!$F$59+$C$39340,Assumptions!$E$59)</f>
        <v>0.0731</v>
      </c>
      <c r="H39378" s="31" t="n">
        <f aca="false">IF(G39661=1,$C$39341,IF(Assumptions!$I$59=1,MAX(H39339,Assumptions!$G$59)+Assumptions!$F$59+$C$39340,Assumptions!$E$59))</f>
        <v>0.0731</v>
      </c>
      <c r="I39378" s="31" t="n">
        <f aca="false">IF(H39661=1,$C$39341,IF(Assumptions!$I$59=1,MAX(I39339,Assumptions!$G$59)+Assumptions!$F$59+$C$39340,Assumptions!$E$59))</f>
        <v>0.0731</v>
      </c>
      <c r="J39378" s="31" t="n">
        <f aca="false">IF(I39661=1,$C$39341,IF(Assumptions!$I$59=1,MAX(J39339,Assumptions!$G$59)+Assumptions!$F$59+$C$39340,Assumptions!$E$59))</f>
        <v>0.0731</v>
      </c>
      <c r="K39378" s="31" t="n">
        <f aca="false">IF(J39661=1,$C$39341,IF(Assumptions!$I$59=1,MAX(K39339,Assumptions!$G$59)+Assumptions!$F$59+$C$39340,Assumptions!$E$59))</f>
        <v>0.0731</v>
      </c>
    </row>
    <row r="39379" customFormat="false" ht="15" hidden="false" customHeight="false" outlineLevel="0" collapsed="false">
      <c r="A39379" s="3" t="s">
        <v>332</v>
      </c>
      <c r="G39379" s="16" t="n">
        <f aca="false">G39375*G39378</f>
        <v>4.1903844</v>
      </c>
      <c r="H39379" s="16" t="n">
        <f aca="false">H39375*H39378</f>
        <v>4.1903844</v>
      </c>
      <c r="I39379" s="16" t="n">
        <f aca="false">I39375*I39378</f>
        <v>4.1903844</v>
      </c>
      <c r="J39379" s="16" t="n">
        <f aca="false">J39375*J39378</f>
        <v>4.1903844</v>
      </c>
      <c r="K39379" s="16" t="n">
        <f aca="false">K39375*K39378</f>
        <v>4.1903844</v>
      </c>
    </row>
    <row r="39380" customFormat="false" ht="15" hidden="false" customHeight="false" outlineLevel="0" collapsed="false">
      <c r="A39380" s="3" t="s">
        <v>333</v>
      </c>
      <c r="G39380" s="16" t="n">
        <f aca="false">G39375*Assumptions!$H$59</f>
        <v>0</v>
      </c>
      <c r="H39380" s="16" t="n">
        <f aca="false">H39375*Assumptions!$H$59</f>
        <v>0</v>
      </c>
      <c r="I39380" s="16" t="n">
        <f aca="false">I39375*Assumptions!$H$59</f>
        <v>0</v>
      </c>
      <c r="J39380" s="16" t="n">
        <f aca="false">J39375*Assumptions!$H$59</f>
        <v>0</v>
      </c>
      <c r="K39380" s="16" t="n">
        <f aca="false">K39375*Assumptions!$H$59</f>
        <v>0</v>
      </c>
    </row>
    <row r="39381" customFormat="false" ht="15" hidden="false" customHeight="false" outlineLevel="0" collapsed="false">
      <c r="A39381" s="3" t="s">
        <v>334</v>
      </c>
      <c r="G39381" s="16" t="n">
        <f aca="false">MIN(G39375,Assumptions!$L$59*Assumptions!$C$59)</f>
        <v>0</v>
      </c>
      <c r="H39381" s="16" t="n">
        <f aca="false">MIN(H39375,Assumptions!$L$59*Assumptions!$C$59)</f>
        <v>0</v>
      </c>
      <c r="I39381" s="16" t="n">
        <f aca="false">MIN(I39375,Assumptions!$L$59*Assumptions!$C$59)</f>
        <v>0</v>
      </c>
      <c r="J39381" s="16" t="n">
        <f aca="false">MIN(J39375,Assumptions!$L$59*Assumptions!$C$59)</f>
        <v>0</v>
      </c>
      <c r="K39381" s="16" t="n">
        <f aca="false">MIN(K39375,Assumptions!$L$59*Assumptions!$C$59)</f>
        <v>0</v>
      </c>
    </row>
    <row r="39382" customFormat="false" ht="15" hidden="false" customHeight="false" outlineLevel="0" collapsed="false">
      <c r="A39382" s="3" t="s">
        <v>335</v>
      </c>
      <c r="G39382" s="16" t="n">
        <f aca="false">IF(AND(Assumptions!$P$59=1,G39313&lt;Assumptions!$K$59),MIN(MAX(0,-G39529),MAX(0,Assumptions!$D$59-G39375)),0)</f>
        <v>0</v>
      </c>
      <c r="H39382" s="16" t="n">
        <f aca="false">IF(AND(Assumptions!$P$59=1,OR(H39313&lt;Assumptions!$K$59,G39661=1)),MIN(MAX(0,-H39529),MAX(0,Assumptions!$D$59-H39375)),0)</f>
        <v>0</v>
      </c>
      <c r="I39382" s="16" t="n">
        <f aca="false">IF(AND(Assumptions!$P$59=1,OR(I39313&lt;Assumptions!$K$59,H39661=1)),MIN(MAX(0,-I39529),MAX(0,Assumptions!$D$59-I39375)),0)</f>
        <v>0</v>
      </c>
      <c r="J39382" s="16" t="n">
        <f aca="false">IF(AND(Assumptions!$P$59=1,OR(J39313&lt;Assumptions!$K$59,I39661=1)),MIN(MAX(0,-J39529),MAX(0,Assumptions!$D$59-J39375)),0)</f>
        <v>0</v>
      </c>
      <c r="K39382" s="16" t="n">
        <f aca="false">IF(AND(Assumptions!$P$59=1,OR(K39313&lt;Assumptions!$K$59,J39661=1)),MIN(MAX(0,-K39529),MAX(0,Assumptions!$D$59-K39375)),0)</f>
        <v>0</v>
      </c>
    </row>
    <row r="39383" customFormat="false" ht="15" hidden="false" customHeight="false" outlineLevel="0" collapsed="false">
      <c r="A39383" s="3" t="s">
        <v>336</v>
      </c>
      <c r="G39383" s="16" t="n">
        <f aca="false">G39376*MIN(G39375-G39381+G39380,MAX(0,G39531-Assumptions!$C$12*G39347-G39357-G39370))</f>
        <v>0</v>
      </c>
      <c r="H39383" s="16" t="n">
        <f aca="false">H39376*MIN(H39375-H39381+H39380,MAX(0,H39531-Assumptions!$C$12*H39347-H39357-H39370))</f>
        <v>0</v>
      </c>
      <c r="I39383" s="16" t="n">
        <f aca="false">I39376*MIN(I39375-I39381+I39380,MAX(0,I39531-Assumptions!$C$12*I39347-I39357-I39370))</f>
        <v>0</v>
      </c>
      <c r="J39383" s="16" t="n">
        <f aca="false">J39376*MIN(J39375-J39381+J39380,MAX(0,J39531-Assumptions!$C$12*J39347-J39357-J39370))</f>
        <v>0</v>
      </c>
      <c r="K39383" s="16" t="n">
        <f aca="false">K39376*MIN(K39375-K39381+K39380,MAX(0,K39531-Assumptions!$C$12*K39347-K39357-K39370))</f>
        <v>0</v>
      </c>
    </row>
    <row r="39384" customFormat="false" ht="15" hidden="false" customHeight="false" outlineLevel="0" collapsed="false">
      <c r="A39384" s="3" t="s">
        <v>337</v>
      </c>
      <c r="G39384" s="16" t="n">
        <f aca="false">Assumptions!$N$59*MIN(G39375+G39382+G39380-G39381-G39383,MAX(0,G39535-G39358-G39371))</f>
        <v>0</v>
      </c>
      <c r="H39384" s="16" t="n">
        <f aca="false">Assumptions!$N$59*MIN(H39375+H39382+H39380-H39381-H39383,MAX(0,H39535-H39358-H39371))</f>
        <v>0</v>
      </c>
      <c r="I39384" s="16" t="n">
        <f aca="false">Assumptions!$N$59*MIN(I39375+I39382+I39380-I39381-I39383,MAX(0,I39535-I39358-I39371))</f>
        <v>0</v>
      </c>
      <c r="J39384" s="16" t="n">
        <f aca="false">Assumptions!$N$59*MIN(J39375+J39382+J39380-J39381-J39383,MAX(0,J39535-J39358-J39371))</f>
        <v>0</v>
      </c>
      <c r="K39384" s="16" t="n">
        <f aca="false">Assumptions!$N$59*MIN(K39375+K39382+K39380-K39381-K39383,MAX(0,K39535-K39358-K39371))</f>
        <v>0</v>
      </c>
    </row>
    <row r="39385" customFormat="false" ht="15" hidden="false" customHeight="false" outlineLevel="0" collapsed="false">
      <c r="A39385" s="3" t="s">
        <v>338</v>
      </c>
      <c r="G39385" s="16" t="n">
        <f aca="false">G39376*(1-G39347)*(G39375-G39381+G39380-G39383)</f>
        <v>0</v>
      </c>
      <c r="H39385" s="16" t="n">
        <f aca="false">H39376*(1-H39347)*(H39375-H39381+H39380-H39383)</f>
        <v>0</v>
      </c>
      <c r="I39385" s="16" t="n">
        <f aca="false">I39376*(1-I39347)*(I39375-I39381+I39380-I39383)</f>
        <v>0</v>
      </c>
      <c r="J39385" s="16" t="n">
        <f aca="false">J39376*(1-J39347)*(J39375-J39381+J39380-J39383)</f>
        <v>0</v>
      </c>
      <c r="K39385" s="16" t="n">
        <f aca="false">K39376*(1-K39347)*(K39375-K39381+K39380-K39383)</f>
        <v>0</v>
      </c>
    </row>
    <row r="39386" customFormat="false" ht="15" hidden="false" customHeight="false" outlineLevel="0" collapsed="false">
      <c r="A39386" s="2" t="s">
        <v>339</v>
      </c>
      <c r="F39386" s="28" t="n">
        <f aca="false">Assumptions!$C$59</f>
        <v>57.324</v>
      </c>
      <c r="G39386" s="17" t="n">
        <f aca="false">G39375+G39382+G39380-G39381-G39383-G39384</f>
        <v>57.324</v>
      </c>
      <c r="H39386" s="17" t="n">
        <f aca="false">H39375+H39382+H39380-H39381-H39383-H39384</f>
        <v>57.324</v>
      </c>
      <c r="I39386" s="17" t="n">
        <f aca="false">I39375+I39382+I39380-I39381-I39383-I39384</f>
        <v>57.324</v>
      </c>
      <c r="J39386" s="17" t="n">
        <f aca="false">J39375+J39382+J39380-J39381-J39383-J39384</f>
        <v>57.324</v>
      </c>
      <c r="K39386" s="17" t="n">
        <f aca="false">K39375+K39382+K39380-K39381-K39383-K39384</f>
        <v>57.324</v>
      </c>
    </row>
    <row r="39387" customFormat="false" ht="15" hidden="false" customHeight="false" outlineLevel="0" collapsed="false">
      <c r="A39387" s="24" t="s">
        <v>342</v>
      </c>
      <c r="B39387" s="25"/>
      <c r="C39387" s="25"/>
      <c r="D39387" s="25"/>
      <c r="E39387" s="25"/>
      <c r="F39387" s="25"/>
      <c r="G39387" s="25"/>
      <c r="H39387" s="25"/>
      <c r="I39387" s="25"/>
      <c r="J39387" s="25"/>
      <c r="K39387" s="25"/>
    </row>
    <row r="39388" customFormat="false" ht="15" hidden="false" customHeight="false" outlineLevel="0" collapsed="false">
      <c r="A39388" s="3" t="s">
        <v>329</v>
      </c>
      <c r="G39388" s="16" t="n">
        <f aca="false">F39399</f>
        <v>0</v>
      </c>
      <c r="H39388" s="16" t="n">
        <f aca="false">G39399</f>
        <v>0</v>
      </c>
      <c r="I39388" s="16" t="n">
        <f aca="false">H39399</f>
        <v>0</v>
      </c>
      <c r="J39388" s="16" t="n">
        <f aca="false">I39399</f>
        <v>0</v>
      </c>
      <c r="K39388" s="16" t="n">
        <f aca="false">J39399</f>
        <v>0</v>
      </c>
    </row>
    <row r="39389" customFormat="false" ht="15" hidden="false" customHeight="false" outlineLevel="0" collapsed="false">
      <c r="A39389" s="3" t="s">
        <v>330</v>
      </c>
      <c r="G39389" s="21" t="n">
        <f aca="false">IF(G39313=Assumptions!$K$60,1,0)</f>
        <v>1</v>
      </c>
      <c r="H39389" s="21" t="n">
        <f aca="false">IF(H39313=Assumptions!$K$60,1,0)</f>
        <v>0</v>
      </c>
      <c r="I39389" s="21" t="n">
        <f aca="false">IF(I39313=Assumptions!$K$60,1,0)</f>
        <v>0</v>
      </c>
      <c r="J39389" s="21" t="n">
        <f aca="false">IF(J39313=Assumptions!$K$60,1,0)</f>
        <v>0</v>
      </c>
      <c r="K39389" s="21" t="n">
        <f aca="false">IF(K39313=Assumptions!$K$60,1,0)</f>
        <v>0</v>
      </c>
    </row>
    <row r="39391" customFormat="false" ht="15" hidden="false" customHeight="false" outlineLevel="0" collapsed="false">
      <c r="A39391" s="3" t="s">
        <v>331</v>
      </c>
      <c r="G39391" s="31" t="n">
        <f aca="false">IF(Assumptions!$I$60=1,MAX(G39339,Assumptions!$G$60)+Assumptions!$F$60+$C$39340,Assumptions!$E$60)</f>
        <v>0.084</v>
      </c>
      <c r="H39391" s="31" t="n">
        <f aca="false">IF(G39662=1,$C$39341,IF(Assumptions!$I$60=1,MAX(H39339,Assumptions!$G$60)+Assumptions!$F$60+$C$39340,Assumptions!$E$60))</f>
        <v>0.0825</v>
      </c>
      <c r="I39391" s="31" t="n">
        <f aca="false">IF(H39662=1,$C$39341,IF(Assumptions!$I$60=1,MAX(I39339,Assumptions!$G$60)+Assumptions!$F$60+$C$39340,Assumptions!$E$60))</f>
        <v>0.08</v>
      </c>
      <c r="J39391" s="31" t="n">
        <f aca="false">IF(I39662=1,$C$39341,IF(Assumptions!$I$60=1,MAX(J39339,Assumptions!$G$60)+Assumptions!$F$60+$C$39340,Assumptions!$E$60))</f>
        <v>0.08</v>
      </c>
      <c r="K39391" s="31" t="n">
        <f aca="false">IF(J39662=1,$C$39341,IF(Assumptions!$I$60=1,MAX(K39339,Assumptions!$G$60)+Assumptions!$F$60+$C$39340,Assumptions!$E$60))</f>
        <v>0.08</v>
      </c>
    </row>
    <row r="39392" customFormat="false" ht="15" hidden="false" customHeight="false" outlineLevel="0" collapsed="false">
      <c r="A39392" s="3" t="s">
        <v>332</v>
      </c>
      <c r="G39392" s="16" t="n">
        <f aca="false">G39388*G39391</f>
        <v>0</v>
      </c>
      <c r="H39392" s="16" t="n">
        <f aca="false">H39388*H39391</f>
        <v>0</v>
      </c>
      <c r="I39392" s="16" t="n">
        <f aca="false">I39388*I39391</f>
        <v>0</v>
      </c>
      <c r="J39392" s="16" t="n">
        <f aca="false">J39388*J39391</f>
        <v>0</v>
      </c>
      <c r="K39392" s="16" t="n">
        <f aca="false">K39388*K39391</f>
        <v>0</v>
      </c>
    </row>
    <row r="39393" customFormat="false" ht="15" hidden="false" customHeight="false" outlineLevel="0" collapsed="false">
      <c r="A39393" s="3" t="s">
        <v>333</v>
      </c>
      <c r="G39393" s="16" t="n">
        <f aca="false">G39388*Assumptions!$H$60</f>
        <v>0</v>
      </c>
      <c r="H39393" s="16" t="n">
        <f aca="false">H39388*Assumptions!$H$60</f>
        <v>0</v>
      </c>
      <c r="I39393" s="16" t="n">
        <f aca="false">I39388*Assumptions!$H$60</f>
        <v>0</v>
      </c>
      <c r="J39393" s="16" t="n">
        <f aca="false">J39388*Assumptions!$H$60</f>
        <v>0</v>
      </c>
      <c r="K39393" s="16" t="n">
        <f aca="false">K39388*Assumptions!$H$60</f>
        <v>0</v>
      </c>
    </row>
    <row r="39394" customFormat="false" ht="15" hidden="false" customHeight="false" outlineLevel="0" collapsed="false">
      <c r="A39394" s="3" t="s">
        <v>334</v>
      </c>
      <c r="G39394" s="16" t="n">
        <f aca="false">MIN(G39388,Assumptions!$L$60*Assumptions!$C$60)</f>
        <v>0</v>
      </c>
      <c r="H39394" s="16" t="n">
        <f aca="false">MIN(H39388,Assumptions!$L$60*Assumptions!$C$60)</f>
        <v>0</v>
      </c>
      <c r="I39394" s="16" t="n">
        <f aca="false">MIN(I39388,Assumptions!$L$60*Assumptions!$C$60)</f>
        <v>0</v>
      </c>
      <c r="J39394" s="16" t="n">
        <f aca="false">MIN(J39388,Assumptions!$L$60*Assumptions!$C$60)</f>
        <v>0</v>
      </c>
      <c r="K39394" s="16" t="n">
        <f aca="false">MIN(K39388,Assumptions!$L$60*Assumptions!$C$60)</f>
        <v>0</v>
      </c>
    </row>
    <row r="39395" customFormat="false" ht="15" hidden="false" customHeight="false" outlineLevel="0" collapsed="false">
      <c r="A39395" s="3" t="s">
        <v>335</v>
      </c>
      <c r="G39395" s="16" t="n">
        <f aca="false">IF(AND(Assumptions!$P$60=1,G39313&lt;Assumptions!$K$60),MIN(MAX(0,-G39529),MAX(0,Assumptions!$D$60-G39388)),0)</f>
        <v>0</v>
      </c>
      <c r="H39395" s="16" t="n">
        <f aca="false">IF(AND(Assumptions!$P$60=1,OR(H39313&lt;Assumptions!$K$60,G39662=1)),MIN(MAX(0,-H39529),MAX(0,Assumptions!$D$60-H39388)),0)</f>
        <v>0</v>
      </c>
      <c r="I39395" s="16" t="n">
        <f aca="false">IF(AND(Assumptions!$P$60=1,OR(I39313&lt;Assumptions!$K$60,H39662=1)),MIN(MAX(0,-I39529),MAX(0,Assumptions!$D$60-I39388)),0)</f>
        <v>0</v>
      </c>
      <c r="J39395" s="16" t="n">
        <f aca="false">IF(AND(Assumptions!$P$60=1,OR(J39313&lt;Assumptions!$K$60,I39662=1)),MIN(MAX(0,-J39529),MAX(0,Assumptions!$D$60-J39388)),0)</f>
        <v>0</v>
      </c>
      <c r="K39395" s="16" t="n">
        <f aca="false">IF(AND(Assumptions!$P$60=1,OR(K39313&lt;Assumptions!$K$60,J39662=1)),MIN(MAX(0,-K39529),MAX(0,Assumptions!$D$60-K39388)),0)</f>
        <v>0</v>
      </c>
    </row>
    <row r="39396" customFormat="false" ht="15" hidden="false" customHeight="false" outlineLevel="0" collapsed="false">
      <c r="A39396" s="3" t="s">
        <v>336</v>
      </c>
      <c r="G39396" s="16" t="n">
        <f aca="false">G39389*MIN(G39388-G39394+G39393,MAX(0,G39531-Assumptions!$C$12*G39347-G39357-G39370-G39383))</f>
        <v>0</v>
      </c>
      <c r="H39396" s="16" t="n">
        <f aca="false">H39389*MIN(H39388-H39394+H39393,MAX(0,H39531-Assumptions!$C$12*H39347-H39357-H39370-H39383))</f>
        <v>0</v>
      </c>
      <c r="I39396" s="16" t="n">
        <f aca="false">I39389*MIN(I39388-I39394+I39393,MAX(0,I39531-Assumptions!$C$12*I39347-I39357-I39370-I39383))</f>
        <v>0</v>
      </c>
      <c r="J39396" s="16" t="n">
        <f aca="false">J39389*MIN(J39388-J39394+J39393,MAX(0,J39531-Assumptions!$C$12*J39347-J39357-J39370-J39383))</f>
        <v>0</v>
      </c>
      <c r="K39396" s="16" t="n">
        <f aca="false">K39389*MIN(K39388-K39394+K39393,MAX(0,K39531-Assumptions!$C$12*K39347-K39357-K39370-K39383))</f>
        <v>0</v>
      </c>
    </row>
    <row r="39397" customFormat="false" ht="15" hidden="false" customHeight="false" outlineLevel="0" collapsed="false">
      <c r="A39397" s="3" t="s">
        <v>337</v>
      </c>
      <c r="G39397" s="16" t="n">
        <f aca="false">Assumptions!$N$60*MIN(G39388+G39395+G39393-G39394-G39396,MAX(0,G39535-G39358-G39371-G39384))</f>
        <v>0</v>
      </c>
      <c r="H39397" s="16" t="n">
        <f aca="false">Assumptions!$N$60*MIN(H39388+H39395+H39393-H39394-H39396,MAX(0,H39535-H39358-H39371-H39384))</f>
        <v>0</v>
      </c>
      <c r="I39397" s="16" t="n">
        <f aca="false">Assumptions!$N$60*MIN(I39388+I39395+I39393-I39394-I39396,MAX(0,I39535-I39358-I39371-I39384))</f>
        <v>0</v>
      </c>
      <c r="J39397" s="16" t="n">
        <f aca="false">Assumptions!$N$60*MIN(J39388+J39395+J39393-J39394-J39396,MAX(0,J39535-J39358-J39371-J39384))</f>
        <v>0</v>
      </c>
      <c r="K39397" s="16" t="n">
        <f aca="false">Assumptions!$N$60*MIN(K39388+K39395+K39393-K39394-K39396,MAX(0,K39535-K39358-K39371-K39384))</f>
        <v>0</v>
      </c>
    </row>
    <row r="39398" customFormat="false" ht="15" hidden="false" customHeight="false" outlineLevel="0" collapsed="false">
      <c r="A39398" s="3" t="s">
        <v>338</v>
      </c>
      <c r="G39398" s="16" t="n">
        <f aca="false">G39389*(1-G39347)*(G39388-G39394+G39393-G39396)</f>
        <v>0</v>
      </c>
      <c r="H39398" s="16" t="n">
        <f aca="false">H39389*(1-H39347)*(H39388-H39394+H39393-H39396)</f>
        <v>0</v>
      </c>
      <c r="I39398" s="16" t="n">
        <f aca="false">I39389*(1-I39347)*(I39388-I39394+I39393-I39396)</f>
        <v>0</v>
      </c>
      <c r="J39398" s="16" t="n">
        <f aca="false">J39389*(1-J39347)*(J39388-J39394+J39393-J39396)</f>
        <v>0</v>
      </c>
      <c r="K39398" s="16" t="n">
        <f aca="false">K39389*(1-K39347)*(K39388-K39394+K39393-K39396)</f>
        <v>0</v>
      </c>
    </row>
    <row r="39399" customFormat="false" ht="15" hidden="false" customHeight="false" outlineLevel="0" collapsed="false">
      <c r="A39399" s="2" t="s">
        <v>339</v>
      </c>
      <c r="F39399" s="28" t="n">
        <f aca="false">Assumptions!$C$60</f>
        <v>0</v>
      </c>
      <c r="G39399" s="17" t="n">
        <f aca="false">G39388+G39395+G39393-G39394-G39396-G39397</f>
        <v>0</v>
      </c>
      <c r="H39399" s="17" t="n">
        <f aca="false">H39388+H39395+H39393-H39394-H39396-H39397</f>
        <v>0</v>
      </c>
      <c r="I39399" s="17" t="n">
        <f aca="false">I39388+I39395+I39393-I39394-I39396-I39397</f>
        <v>0</v>
      </c>
      <c r="J39399" s="17" t="n">
        <f aca="false">J39388+J39395+J39393-J39394-J39396-J39397</f>
        <v>0</v>
      </c>
      <c r="K39399" s="17" t="n">
        <f aca="false">K39388+K39395+K39393-K39394-K39396-K39397</f>
        <v>0</v>
      </c>
    </row>
    <row r="39400" customFormat="false" ht="15" hidden="false" customHeight="false" outlineLevel="0" collapsed="false">
      <c r="A39400" s="24" t="s">
        <v>343</v>
      </c>
      <c r="B39400" s="25"/>
      <c r="C39400" s="25"/>
      <c r="D39400" s="25"/>
      <c r="E39400" s="25"/>
      <c r="F39400" s="25"/>
      <c r="G39400" s="25"/>
      <c r="H39400" s="25"/>
      <c r="I39400" s="25"/>
      <c r="J39400" s="25"/>
      <c r="K39400" s="25"/>
    </row>
    <row r="39401" customFormat="false" ht="15" hidden="false" customHeight="false" outlineLevel="0" collapsed="false">
      <c r="A39401" s="3" t="s">
        <v>329</v>
      </c>
      <c r="G39401" s="16" t="n">
        <f aca="false">F39412</f>
        <v>450</v>
      </c>
      <c r="H39401" s="16" t="n">
        <f aca="false">G39412</f>
        <v>450</v>
      </c>
      <c r="I39401" s="16" t="n">
        <f aca="false">H39412</f>
        <v>434.9547587</v>
      </c>
      <c r="J39401" s="16" t="n">
        <f aca="false">I39412</f>
        <v>434.9547587</v>
      </c>
      <c r="K39401" s="16" t="n">
        <f aca="false">J39412</f>
        <v>434.9547587</v>
      </c>
    </row>
    <row r="39402" customFormat="false" ht="15" hidden="false" customHeight="false" outlineLevel="0" collapsed="false">
      <c r="A39402" s="3" t="s">
        <v>330</v>
      </c>
      <c r="G39402" s="21" t="n">
        <f aca="false">IF(G39313=Assumptions!$K$61,1,0)</f>
        <v>0</v>
      </c>
      <c r="H39402" s="21" t="n">
        <f aca="false">IF(H39313=Assumptions!$K$61,1,0)</f>
        <v>1</v>
      </c>
      <c r="I39402" s="21" t="n">
        <f aca="false">IF(I39313=Assumptions!$K$61,1,0)</f>
        <v>0</v>
      </c>
      <c r="J39402" s="21" t="n">
        <f aca="false">IF(J39313=Assumptions!$K$61,1,0)</f>
        <v>0</v>
      </c>
      <c r="K39402" s="21" t="n">
        <f aca="false">IF(K39313=Assumptions!$K$61,1,0)</f>
        <v>0</v>
      </c>
    </row>
    <row r="39404" customFormat="false" ht="15" hidden="false" customHeight="false" outlineLevel="0" collapsed="false">
      <c r="A39404" s="3" t="s">
        <v>331</v>
      </c>
      <c r="G39404" s="31" t="n">
        <f aca="false">IF(Assumptions!$I$61=1,MAX(G39339,Assumptions!$G$61)+Assumptions!$F$61+$C$39340,Assumptions!$E$61)</f>
        <v>0.0395</v>
      </c>
      <c r="H39404" s="31" t="n">
        <f aca="false">IF(G39663=1,$C$39341,IF(Assumptions!$I$61=1,MAX(H39339,Assumptions!$G$61)+Assumptions!$F$61+$C$39340,Assumptions!$E$61))</f>
        <v>0.0395</v>
      </c>
      <c r="I39404" s="31" t="n">
        <f aca="false">IF(H39663=1,$C$39341,IF(Assumptions!$I$61=1,MAX(I39339,Assumptions!$G$61)+Assumptions!$F$61+$C$39340,Assumptions!$E$61))</f>
        <v>0.0395</v>
      </c>
      <c r="J39404" s="31" t="n">
        <f aca="false">IF(I39663=1,$C$39341,IF(Assumptions!$I$61=1,MAX(J39339,Assumptions!$G$61)+Assumptions!$F$61+$C$39340,Assumptions!$E$61))</f>
        <v>0.0395</v>
      </c>
      <c r="K39404" s="31" t="n">
        <f aca="false">IF(J39663=1,$C$39341,IF(Assumptions!$I$61=1,MAX(K39339,Assumptions!$G$61)+Assumptions!$F$61+$C$39340,Assumptions!$E$61))</f>
        <v>0.0395</v>
      </c>
    </row>
    <row r="39405" customFormat="false" ht="15" hidden="false" customHeight="false" outlineLevel="0" collapsed="false">
      <c r="A39405" s="3" t="s">
        <v>332</v>
      </c>
      <c r="G39405" s="16" t="n">
        <f aca="false">G39401*G39404</f>
        <v>17.775</v>
      </c>
      <c r="H39405" s="16" t="n">
        <f aca="false">H39401*H39404</f>
        <v>17.775</v>
      </c>
      <c r="I39405" s="16" t="n">
        <f aca="false">I39401*I39404</f>
        <v>17.18071296865</v>
      </c>
      <c r="J39405" s="16" t="n">
        <f aca="false">J39401*J39404</f>
        <v>17.18071296865</v>
      </c>
      <c r="K39405" s="16" t="n">
        <f aca="false">K39401*K39404</f>
        <v>17.18071296865</v>
      </c>
    </row>
    <row r="39406" customFormat="false" ht="15" hidden="false" customHeight="false" outlineLevel="0" collapsed="false">
      <c r="A39406" s="3" t="s">
        <v>333</v>
      </c>
      <c r="G39406" s="16" t="n">
        <f aca="false">G39401*Assumptions!$H$61</f>
        <v>0</v>
      </c>
      <c r="H39406" s="16" t="n">
        <f aca="false">H39401*Assumptions!$H$61</f>
        <v>0</v>
      </c>
      <c r="I39406" s="16" t="n">
        <f aca="false">I39401*Assumptions!$H$61</f>
        <v>0</v>
      </c>
      <c r="J39406" s="16" t="n">
        <f aca="false">J39401*Assumptions!$H$61</f>
        <v>0</v>
      </c>
      <c r="K39406" s="16" t="n">
        <f aca="false">K39401*Assumptions!$H$61</f>
        <v>0</v>
      </c>
    </row>
    <row r="39407" customFormat="false" ht="15" hidden="false" customHeight="false" outlineLevel="0" collapsed="false">
      <c r="A39407" s="3" t="s">
        <v>334</v>
      </c>
      <c r="G39407" s="16" t="n">
        <f aca="false">MIN(G39401,Assumptions!$L$61*Assumptions!$C$61)</f>
        <v>0</v>
      </c>
      <c r="H39407" s="16" t="n">
        <f aca="false">MIN(H39401,Assumptions!$L$61*Assumptions!$C$61)</f>
        <v>0</v>
      </c>
      <c r="I39407" s="16" t="n">
        <f aca="false">MIN(I39401,Assumptions!$L$61*Assumptions!$C$61)</f>
        <v>0</v>
      </c>
      <c r="J39407" s="16" t="n">
        <f aca="false">MIN(J39401,Assumptions!$L$61*Assumptions!$C$61)</f>
        <v>0</v>
      </c>
      <c r="K39407" s="16" t="n">
        <f aca="false">MIN(K39401,Assumptions!$L$61*Assumptions!$C$61)</f>
        <v>0</v>
      </c>
    </row>
    <row r="39408" customFormat="false" ht="15" hidden="false" customHeight="false" outlineLevel="0" collapsed="false">
      <c r="A39408" s="3" t="s">
        <v>335</v>
      </c>
      <c r="G39408" s="16" t="n">
        <f aca="false">IF(AND(Assumptions!$P$61=1,G39313&lt;Assumptions!$K$61),MIN(MAX(0,-G39529),MAX(0,Assumptions!$D$61-G39401)),0)</f>
        <v>0</v>
      </c>
      <c r="H39408" s="16" t="n">
        <f aca="false">IF(AND(Assumptions!$P$61=1,OR(H39313&lt;Assumptions!$K$61,G39663=1)),MIN(MAX(0,-H39529),MAX(0,Assumptions!$D$61-H39401)),0)</f>
        <v>0</v>
      </c>
      <c r="I39408" s="16" t="n">
        <f aca="false">IF(AND(Assumptions!$P$61=1,OR(I39313&lt;Assumptions!$K$61,H39663=1)),MIN(MAX(0,-I39529),MAX(0,Assumptions!$D$61-I39401)),0)</f>
        <v>0</v>
      </c>
      <c r="J39408" s="16" t="n">
        <f aca="false">IF(AND(Assumptions!$P$61=1,OR(J39313&lt;Assumptions!$K$61,I39663=1)),MIN(MAX(0,-J39529),MAX(0,Assumptions!$D$61-J39401)),0)</f>
        <v>0</v>
      </c>
      <c r="K39408" s="16" t="n">
        <f aca="false">IF(AND(Assumptions!$P$61=1,OR(K39313&lt;Assumptions!$K$61,J39663=1)),MIN(MAX(0,-K39529),MAX(0,Assumptions!$D$61-K39401)),0)</f>
        <v>0</v>
      </c>
    </row>
    <row r="39409" customFormat="false" ht="15" hidden="false" customHeight="false" outlineLevel="0" collapsed="false">
      <c r="A39409" s="3" t="s">
        <v>336</v>
      </c>
      <c r="G39409" s="16" t="n">
        <f aca="false">G39402*MIN(G39401-G39407+G39406,MAX(0,G39531-Assumptions!$C$12*G39347-G39357-G39370-G39383-G39396))</f>
        <v>0</v>
      </c>
      <c r="H39409" s="16" t="n">
        <f aca="false">H39402*MIN(H39401-H39407+H39406,MAX(0,H39531-Assumptions!$C$12*H39347-H39357-H39370-H39383-H39396))</f>
        <v>15.0452413</v>
      </c>
      <c r="I39409" s="16" t="n">
        <f aca="false">I39402*MIN(I39401-I39407+I39406,MAX(0,I39531-Assumptions!$C$12*I39347-I39357-I39370-I39383-I39396))</f>
        <v>0</v>
      </c>
      <c r="J39409" s="16" t="n">
        <f aca="false">J39402*MIN(J39401-J39407+J39406,MAX(0,J39531-Assumptions!$C$12*J39347-J39357-J39370-J39383-J39396))</f>
        <v>0</v>
      </c>
      <c r="K39409" s="16" t="n">
        <f aca="false">K39402*MIN(K39401-K39407+K39406,MAX(0,K39531-Assumptions!$C$12*K39347-K39357-K39370-K39383-K39396))</f>
        <v>0</v>
      </c>
    </row>
    <row r="39410" customFormat="false" ht="15" hidden="false" customHeight="false" outlineLevel="0" collapsed="false">
      <c r="A39410" s="3" t="s">
        <v>337</v>
      </c>
      <c r="G39410" s="16" t="n">
        <f aca="false">Assumptions!$N$61*MIN(G39401+G39408+G39406-G39407-G39409,MAX(0,G39535-G39358-G39371-G39384-G39397))</f>
        <v>0</v>
      </c>
      <c r="H39410" s="16" t="n">
        <f aca="false">Assumptions!$N$61*MIN(H39401+H39408+H39406-H39407-H39409,MAX(0,H39535-H39358-H39371-H39384-H39397))</f>
        <v>0</v>
      </c>
      <c r="I39410" s="16" t="n">
        <f aca="false">Assumptions!$N$61*MIN(I39401+I39408+I39406-I39407-I39409,MAX(0,I39535-I39358-I39371-I39384-I39397))</f>
        <v>0</v>
      </c>
      <c r="J39410" s="16" t="n">
        <f aca="false">Assumptions!$N$61*MIN(J39401+J39408+J39406-J39407-J39409,MAX(0,J39535-J39358-J39371-J39384-J39397))</f>
        <v>0</v>
      </c>
      <c r="K39410" s="16" t="n">
        <f aca="false">Assumptions!$N$61*MIN(K39401+K39408+K39406-K39407-K39409,MAX(0,K39535-K39358-K39371-K39384-K39397))</f>
        <v>0</v>
      </c>
    </row>
    <row r="39411" customFormat="false" ht="15" hidden="false" customHeight="false" outlineLevel="0" collapsed="false">
      <c r="A39411" s="3" t="s">
        <v>338</v>
      </c>
      <c r="G39411" s="16" t="n">
        <f aca="false">G39402*(1-G39347)*(G39401-G39407+G39406-G39409)</f>
        <v>0</v>
      </c>
      <c r="H39411" s="16" t="n">
        <f aca="false">H39402*(1-H39347)*(H39401-H39407+H39406-H39409)</f>
        <v>434.9547587</v>
      </c>
      <c r="I39411" s="16" t="n">
        <f aca="false">I39402*(1-I39347)*(I39401-I39407+I39406-I39409)</f>
        <v>0</v>
      </c>
      <c r="J39411" s="16" t="n">
        <f aca="false">J39402*(1-J39347)*(J39401-J39407+J39406-J39409)</f>
        <v>0</v>
      </c>
      <c r="K39411" s="16" t="n">
        <f aca="false">K39402*(1-K39347)*(K39401-K39407+K39406-K39409)</f>
        <v>0</v>
      </c>
    </row>
    <row r="39412" customFormat="false" ht="15" hidden="false" customHeight="false" outlineLevel="0" collapsed="false">
      <c r="A39412" s="2" t="s">
        <v>339</v>
      </c>
      <c r="F39412" s="28" t="n">
        <f aca="false">Assumptions!$C$61</f>
        <v>450</v>
      </c>
      <c r="G39412" s="17" t="n">
        <f aca="false">G39401+G39408+G39406-G39407-G39409-G39410</f>
        <v>450</v>
      </c>
      <c r="H39412" s="17" t="n">
        <f aca="false">H39401+H39408+H39406-H39407-H39409-H39410</f>
        <v>434.9547587</v>
      </c>
      <c r="I39412" s="17" t="n">
        <f aca="false">I39401+I39408+I39406-I39407-I39409-I39410</f>
        <v>434.9547587</v>
      </c>
      <c r="J39412" s="17" t="n">
        <f aca="false">J39401+J39408+J39406-J39407-J39409-J39410</f>
        <v>434.9547587</v>
      </c>
      <c r="K39412" s="17" t="n">
        <f aca="false">K39401+K39408+K39406-K39407-K39409-K39410</f>
        <v>434.9547587</v>
      </c>
    </row>
    <row r="39413" customFormat="false" ht="15" hidden="false" customHeight="false" outlineLevel="0" collapsed="false">
      <c r="A39413" s="24" t="s">
        <v>344</v>
      </c>
      <c r="B39413" s="25"/>
      <c r="C39413" s="25"/>
      <c r="D39413" s="25"/>
      <c r="E39413" s="25"/>
      <c r="F39413" s="25"/>
      <c r="G39413" s="25"/>
      <c r="H39413" s="25"/>
      <c r="I39413" s="25"/>
      <c r="J39413" s="25"/>
      <c r="K39413" s="25"/>
    </row>
    <row r="39414" customFormat="false" ht="15" hidden="false" customHeight="false" outlineLevel="0" collapsed="false">
      <c r="A39414" s="3" t="s">
        <v>329</v>
      </c>
      <c r="G39414" s="16" t="n">
        <f aca="false">F39425</f>
        <v>350</v>
      </c>
      <c r="H39414" s="16" t="n">
        <f aca="false">G39425</f>
        <v>350</v>
      </c>
      <c r="I39414" s="16" t="n">
        <f aca="false">H39425</f>
        <v>350</v>
      </c>
      <c r="J39414" s="16" t="n">
        <f aca="false">I39425</f>
        <v>350</v>
      </c>
      <c r="K39414" s="16" t="n">
        <f aca="false">J39425</f>
        <v>350</v>
      </c>
    </row>
    <row r="39415" customFormat="false" ht="15" hidden="false" customHeight="false" outlineLevel="0" collapsed="false">
      <c r="A39415" s="3" t="s">
        <v>330</v>
      </c>
      <c r="G39415" s="21" t="n">
        <f aca="false">IF(G39313=Assumptions!$K$62,1,0)</f>
        <v>0</v>
      </c>
      <c r="H39415" s="21" t="n">
        <f aca="false">IF(H39313=Assumptions!$K$62,1,0)</f>
        <v>1</v>
      </c>
      <c r="I39415" s="21" t="n">
        <f aca="false">IF(I39313=Assumptions!$K$62,1,0)</f>
        <v>0</v>
      </c>
      <c r="J39415" s="21" t="n">
        <f aca="false">IF(J39313=Assumptions!$K$62,1,0)</f>
        <v>0</v>
      </c>
      <c r="K39415" s="21" t="n">
        <f aca="false">IF(K39313=Assumptions!$K$62,1,0)</f>
        <v>0</v>
      </c>
    </row>
    <row r="39417" customFormat="false" ht="15" hidden="false" customHeight="false" outlineLevel="0" collapsed="false">
      <c r="A39417" s="3" t="s">
        <v>331</v>
      </c>
      <c r="G39417" s="31" t="n">
        <f aca="false">IF(Assumptions!$I$62=1,MAX(G39339,Assumptions!$G$62)+Assumptions!$F$62+$C$39340,Assumptions!$E$62)</f>
        <v>0.083</v>
      </c>
      <c r="H39417" s="31" t="n">
        <f aca="false">IF(G39664=1,$C$39341,IF(Assumptions!$I$62=1,MAX(H39339,Assumptions!$G$62)+Assumptions!$F$62+$C$39340,Assumptions!$E$62))</f>
        <v>0.083</v>
      </c>
      <c r="I39417" s="31" t="n">
        <f aca="false">IF(H39664=1,$C$39341,IF(Assumptions!$I$62=1,MAX(I39339,Assumptions!$G$62)+Assumptions!$F$62+$C$39340,Assumptions!$E$62))</f>
        <v>0.083</v>
      </c>
      <c r="J39417" s="31" t="n">
        <f aca="false">IF(I39664=1,$C$39341,IF(Assumptions!$I$62=1,MAX(J39339,Assumptions!$G$62)+Assumptions!$F$62+$C$39340,Assumptions!$E$62))</f>
        <v>0.083</v>
      </c>
      <c r="K39417" s="31" t="n">
        <f aca="false">IF(J39664=1,$C$39341,IF(Assumptions!$I$62=1,MAX(K39339,Assumptions!$G$62)+Assumptions!$F$62+$C$39340,Assumptions!$E$62))</f>
        <v>0.083</v>
      </c>
    </row>
    <row r="39418" customFormat="false" ht="15" hidden="false" customHeight="false" outlineLevel="0" collapsed="false">
      <c r="A39418" s="3" t="s">
        <v>332</v>
      </c>
      <c r="G39418" s="16" t="n">
        <f aca="false">G39414*G39417</f>
        <v>29.05</v>
      </c>
      <c r="H39418" s="16" t="n">
        <f aca="false">H39414*H39417</f>
        <v>29.05</v>
      </c>
      <c r="I39418" s="16" t="n">
        <f aca="false">I39414*I39417</f>
        <v>29.05</v>
      </c>
      <c r="J39418" s="16" t="n">
        <f aca="false">J39414*J39417</f>
        <v>29.05</v>
      </c>
      <c r="K39418" s="16" t="n">
        <f aca="false">K39414*K39417</f>
        <v>29.05</v>
      </c>
    </row>
    <row r="39419" customFormat="false" ht="15" hidden="false" customHeight="false" outlineLevel="0" collapsed="false">
      <c r="A39419" s="3" t="s">
        <v>333</v>
      </c>
      <c r="G39419" s="16" t="n">
        <f aca="false">G39414*Assumptions!$H$62</f>
        <v>0</v>
      </c>
      <c r="H39419" s="16" t="n">
        <f aca="false">H39414*Assumptions!$H$62</f>
        <v>0</v>
      </c>
      <c r="I39419" s="16" t="n">
        <f aca="false">I39414*Assumptions!$H$62</f>
        <v>0</v>
      </c>
      <c r="J39419" s="16" t="n">
        <f aca="false">J39414*Assumptions!$H$62</f>
        <v>0</v>
      </c>
      <c r="K39419" s="16" t="n">
        <f aca="false">K39414*Assumptions!$H$62</f>
        <v>0</v>
      </c>
    </row>
    <row r="39420" customFormat="false" ht="15" hidden="false" customHeight="false" outlineLevel="0" collapsed="false">
      <c r="A39420" s="3" t="s">
        <v>334</v>
      </c>
      <c r="G39420" s="16" t="n">
        <f aca="false">MIN(G39414,Assumptions!$L$62*Assumptions!$C$62)</f>
        <v>0</v>
      </c>
      <c r="H39420" s="16" t="n">
        <f aca="false">MIN(H39414,Assumptions!$L$62*Assumptions!$C$62)</f>
        <v>0</v>
      </c>
      <c r="I39420" s="16" t="n">
        <f aca="false">MIN(I39414,Assumptions!$L$62*Assumptions!$C$62)</f>
        <v>0</v>
      </c>
      <c r="J39420" s="16" t="n">
        <f aca="false">MIN(J39414,Assumptions!$L$62*Assumptions!$C$62)</f>
        <v>0</v>
      </c>
      <c r="K39420" s="16" t="n">
        <f aca="false">MIN(K39414,Assumptions!$L$62*Assumptions!$C$62)</f>
        <v>0</v>
      </c>
    </row>
    <row r="39421" customFormat="false" ht="15" hidden="false" customHeight="false" outlineLevel="0" collapsed="false">
      <c r="A39421" s="3" t="s">
        <v>335</v>
      </c>
      <c r="G39421" s="16" t="n">
        <f aca="false">IF(AND(Assumptions!$P$62=1,G39313&lt;Assumptions!$K$62),MIN(MAX(0,-G39529),MAX(0,Assumptions!$D$62-G39414)),0)</f>
        <v>0</v>
      </c>
      <c r="H39421" s="16" t="n">
        <f aca="false">IF(AND(Assumptions!$P$62=1,OR(H39313&lt;Assumptions!$K$62,G39664=1)),MIN(MAX(0,-H39529),MAX(0,Assumptions!$D$62-H39414)),0)</f>
        <v>0</v>
      </c>
      <c r="I39421" s="16" t="n">
        <f aca="false">IF(AND(Assumptions!$P$62=1,OR(I39313&lt;Assumptions!$K$62,H39664=1)),MIN(MAX(0,-I39529),MAX(0,Assumptions!$D$62-I39414)),0)</f>
        <v>0</v>
      </c>
      <c r="J39421" s="16" t="n">
        <f aca="false">IF(AND(Assumptions!$P$62=1,OR(J39313&lt;Assumptions!$K$62,I39664=1)),MIN(MAX(0,-J39529),MAX(0,Assumptions!$D$62-J39414)),0)</f>
        <v>0</v>
      </c>
      <c r="K39421" s="16" t="n">
        <f aca="false">IF(AND(Assumptions!$P$62=1,OR(K39313&lt;Assumptions!$K$62,J39664=1)),MIN(MAX(0,-K39529),MAX(0,Assumptions!$D$62-K39414)),0)</f>
        <v>0</v>
      </c>
    </row>
    <row r="39422" customFormat="false" ht="15" hidden="false" customHeight="false" outlineLevel="0" collapsed="false">
      <c r="A39422" s="3" t="s">
        <v>336</v>
      </c>
      <c r="G39422" s="16" t="n">
        <f aca="false">G39415*MIN(G39414-G39420+G39419,MAX(0,G39531-Assumptions!$C$12*G39347-G39357-G39370-G39383-G39396-G39409))</f>
        <v>0</v>
      </c>
      <c r="H39422" s="16" t="n">
        <f aca="false">H39415*MIN(H39414-H39420+H39419,MAX(0,H39531-Assumptions!$C$12*H39347-H39357-H39370-H39383-H39396-H39409))</f>
        <v>0</v>
      </c>
      <c r="I39422" s="16" t="n">
        <f aca="false">I39415*MIN(I39414-I39420+I39419,MAX(0,I39531-Assumptions!$C$12*I39347-I39357-I39370-I39383-I39396-I39409))</f>
        <v>0</v>
      </c>
      <c r="J39422" s="16" t="n">
        <f aca="false">J39415*MIN(J39414-J39420+J39419,MAX(0,J39531-Assumptions!$C$12*J39347-J39357-J39370-J39383-J39396-J39409))</f>
        <v>0</v>
      </c>
      <c r="K39422" s="16" t="n">
        <f aca="false">K39415*MIN(K39414-K39420+K39419,MAX(0,K39531-Assumptions!$C$12*K39347-K39357-K39370-K39383-K39396-K39409))</f>
        <v>0</v>
      </c>
    </row>
    <row r="39423" customFormat="false" ht="15" hidden="false" customHeight="false" outlineLevel="0" collapsed="false">
      <c r="A39423" s="3" t="s">
        <v>337</v>
      </c>
      <c r="G39423" s="16" t="n">
        <f aca="false">Assumptions!$N$62*MIN(G39414+G39421+G39419-G39420-G39422,MAX(0,G39535-G39358-G39371-G39384-G39397-G39410))</f>
        <v>0</v>
      </c>
      <c r="H39423" s="16" t="n">
        <f aca="false">Assumptions!$N$62*MIN(H39414+H39421+H39419-H39420-H39422,MAX(0,H39535-H39358-H39371-H39384-H39397-H39410))</f>
        <v>0</v>
      </c>
      <c r="I39423" s="16" t="n">
        <f aca="false">Assumptions!$N$62*MIN(I39414+I39421+I39419-I39420-I39422,MAX(0,I39535-I39358-I39371-I39384-I39397-I39410))</f>
        <v>0</v>
      </c>
      <c r="J39423" s="16" t="n">
        <f aca="false">Assumptions!$N$62*MIN(J39414+J39421+J39419-J39420-J39422,MAX(0,J39535-J39358-J39371-J39384-J39397-J39410))</f>
        <v>0</v>
      </c>
      <c r="K39423" s="16" t="n">
        <f aca="false">Assumptions!$N$62*MIN(K39414+K39421+K39419-K39420-K39422,MAX(0,K39535-K39358-K39371-K39384-K39397-K39410))</f>
        <v>0</v>
      </c>
    </row>
    <row r="39424" customFormat="false" ht="15" hidden="false" customHeight="false" outlineLevel="0" collapsed="false">
      <c r="A39424" s="3" t="s">
        <v>338</v>
      </c>
      <c r="G39424" s="16" t="n">
        <f aca="false">G39415*(1-G39347)*(G39414-G39420+G39419-G39422)</f>
        <v>0</v>
      </c>
      <c r="H39424" s="16" t="n">
        <f aca="false">H39415*(1-H39347)*(H39414-H39420+H39419-H39422)</f>
        <v>350</v>
      </c>
      <c r="I39424" s="16" t="n">
        <f aca="false">I39415*(1-I39347)*(I39414-I39420+I39419-I39422)</f>
        <v>0</v>
      </c>
      <c r="J39424" s="16" t="n">
        <f aca="false">J39415*(1-J39347)*(J39414-J39420+J39419-J39422)</f>
        <v>0</v>
      </c>
      <c r="K39424" s="16" t="n">
        <f aca="false">K39415*(1-K39347)*(K39414-K39420+K39419-K39422)</f>
        <v>0</v>
      </c>
    </row>
    <row r="39425" customFormat="false" ht="15" hidden="false" customHeight="false" outlineLevel="0" collapsed="false">
      <c r="A39425" s="2" t="s">
        <v>339</v>
      </c>
      <c r="F39425" s="28" t="n">
        <f aca="false">Assumptions!$C$62</f>
        <v>350</v>
      </c>
      <c r="G39425" s="17" t="n">
        <f aca="false">G39414+G39421+G39419-G39420-G39422-G39423</f>
        <v>350</v>
      </c>
      <c r="H39425" s="17" t="n">
        <f aca="false">H39414+H39421+H39419-H39420-H39422-H39423</f>
        <v>350</v>
      </c>
      <c r="I39425" s="17" t="n">
        <f aca="false">I39414+I39421+I39419-I39420-I39422-I39423</f>
        <v>350</v>
      </c>
      <c r="J39425" s="17" t="n">
        <f aca="false">J39414+J39421+J39419-J39420-J39422-J39423</f>
        <v>350</v>
      </c>
      <c r="K39425" s="17" t="n">
        <f aca="false">K39414+K39421+K39419-K39420-K39422-K39423</f>
        <v>350</v>
      </c>
    </row>
    <row r="39426" customFormat="false" ht="15" hidden="false" customHeight="false" outlineLevel="0" collapsed="false">
      <c r="A39426" s="24" t="s">
        <v>345</v>
      </c>
      <c r="B39426" s="25"/>
      <c r="C39426" s="25"/>
      <c r="D39426" s="25"/>
      <c r="E39426" s="25"/>
      <c r="F39426" s="25"/>
      <c r="G39426" s="25"/>
      <c r="H39426" s="25"/>
      <c r="I39426" s="25"/>
      <c r="J39426" s="25"/>
      <c r="K39426" s="25"/>
    </row>
    <row r="39427" customFormat="false" ht="15" hidden="false" customHeight="false" outlineLevel="0" collapsed="false">
      <c r="A39427" s="3" t="s">
        <v>329</v>
      </c>
      <c r="G39427" s="16" t="n">
        <f aca="false">F39438</f>
        <v>550</v>
      </c>
      <c r="H39427" s="16" t="n">
        <f aca="false">G39438</f>
        <v>550</v>
      </c>
      <c r="I39427" s="16" t="n">
        <f aca="false">H39438</f>
        <v>550</v>
      </c>
      <c r="J39427" s="16" t="n">
        <f aca="false">I39438</f>
        <v>550</v>
      </c>
      <c r="K39427" s="16" t="n">
        <f aca="false">J39438</f>
        <v>550</v>
      </c>
    </row>
    <row r="39428" customFormat="false" ht="15" hidden="false" customHeight="false" outlineLevel="0" collapsed="false">
      <c r="A39428" s="3" t="s">
        <v>330</v>
      </c>
      <c r="G39428" s="21" t="n">
        <f aca="false">IF(G39313=Assumptions!$K$63,1,0)</f>
        <v>0</v>
      </c>
      <c r="H39428" s="21" t="n">
        <f aca="false">IF(H39313=Assumptions!$K$63,1,0)</f>
        <v>0</v>
      </c>
      <c r="I39428" s="21" t="n">
        <f aca="false">IF(I39313=Assumptions!$K$63,1,0)</f>
        <v>1</v>
      </c>
      <c r="J39428" s="21" t="n">
        <f aca="false">IF(J39313=Assumptions!$K$63,1,0)</f>
        <v>0</v>
      </c>
      <c r="K39428" s="21" t="n">
        <f aca="false">IF(K39313=Assumptions!$K$63,1,0)</f>
        <v>0</v>
      </c>
    </row>
    <row r="39430" customFormat="false" ht="15" hidden="false" customHeight="false" outlineLevel="0" collapsed="false">
      <c r="A39430" s="3" t="s">
        <v>331</v>
      </c>
      <c r="G39430" s="31" t="n">
        <f aca="false">IF(Assumptions!$I$63=1,MAX(G39339,Assumptions!$G$63)+Assumptions!$F$63+$C$39340,Assumptions!$E$63)</f>
        <v>0.08875</v>
      </c>
      <c r="H39430" s="31" t="n">
        <f aca="false">IF(G39665=1,$C$39341,IF(Assumptions!$I$63=1,MAX(H39339,Assumptions!$G$63)+Assumptions!$F$63+$C$39340,Assumptions!$E$63))</f>
        <v>0.08875</v>
      </c>
      <c r="I39430" s="31" t="n">
        <f aca="false">IF(H39665=1,$C$39341,IF(Assumptions!$I$63=1,MAX(I39339,Assumptions!$G$63)+Assumptions!$F$63+$C$39340,Assumptions!$E$63))</f>
        <v>0.08875</v>
      </c>
      <c r="J39430" s="31" t="n">
        <f aca="false">IF(I39665=1,$C$39341,IF(Assumptions!$I$63=1,MAX(J39339,Assumptions!$G$63)+Assumptions!$F$63+$C$39340,Assumptions!$E$63))</f>
        <v>0.08875</v>
      </c>
      <c r="K39430" s="31" t="n">
        <f aca="false">IF(J39665=1,$C$39341,IF(Assumptions!$I$63=1,MAX(K39339,Assumptions!$G$63)+Assumptions!$F$63+$C$39340,Assumptions!$E$63))</f>
        <v>0.08875</v>
      </c>
    </row>
    <row r="39431" customFormat="false" ht="15" hidden="false" customHeight="false" outlineLevel="0" collapsed="false">
      <c r="A39431" s="3" t="s">
        <v>332</v>
      </c>
      <c r="G39431" s="16" t="n">
        <f aca="false">G39427*G39430</f>
        <v>48.8125</v>
      </c>
      <c r="H39431" s="16" t="n">
        <f aca="false">H39427*H39430</f>
        <v>48.8125</v>
      </c>
      <c r="I39431" s="16" t="n">
        <f aca="false">I39427*I39430</f>
        <v>48.8125</v>
      </c>
      <c r="J39431" s="16" t="n">
        <f aca="false">J39427*J39430</f>
        <v>48.8125</v>
      </c>
      <c r="K39431" s="16" t="n">
        <f aca="false">K39427*K39430</f>
        <v>48.8125</v>
      </c>
    </row>
    <row r="39432" customFormat="false" ht="15" hidden="false" customHeight="false" outlineLevel="0" collapsed="false">
      <c r="A39432" s="3" t="s">
        <v>333</v>
      </c>
      <c r="G39432" s="16" t="n">
        <f aca="false">G39427*Assumptions!$H$63</f>
        <v>0</v>
      </c>
      <c r="H39432" s="16" t="n">
        <f aca="false">H39427*Assumptions!$H$63</f>
        <v>0</v>
      </c>
      <c r="I39432" s="16" t="n">
        <f aca="false">I39427*Assumptions!$H$63</f>
        <v>0</v>
      </c>
      <c r="J39432" s="16" t="n">
        <f aca="false">J39427*Assumptions!$H$63</f>
        <v>0</v>
      </c>
      <c r="K39432" s="16" t="n">
        <f aca="false">K39427*Assumptions!$H$63</f>
        <v>0</v>
      </c>
    </row>
    <row r="39433" customFormat="false" ht="15" hidden="false" customHeight="false" outlineLevel="0" collapsed="false">
      <c r="A39433" s="3" t="s">
        <v>334</v>
      </c>
      <c r="G39433" s="16" t="n">
        <f aca="false">MIN(G39427,Assumptions!$L$63*Assumptions!$C$63)</f>
        <v>0</v>
      </c>
      <c r="H39433" s="16" t="n">
        <f aca="false">MIN(H39427,Assumptions!$L$63*Assumptions!$C$63)</f>
        <v>0</v>
      </c>
      <c r="I39433" s="16" t="n">
        <f aca="false">MIN(I39427,Assumptions!$L$63*Assumptions!$C$63)</f>
        <v>0</v>
      </c>
      <c r="J39433" s="16" t="n">
        <f aca="false">MIN(J39427,Assumptions!$L$63*Assumptions!$C$63)</f>
        <v>0</v>
      </c>
      <c r="K39433" s="16" t="n">
        <f aca="false">MIN(K39427,Assumptions!$L$63*Assumptions!$C$63)</f>
        <v>0</v>
      </c>
    </row>
    <row r="39434" customFormat="false" ht="15" hidden="false" customHeight="false" outlineLevel="0" collapsed="false">
      <c r="A39434" s="3" t="s">
        <v>335</v>
      </c>
      <c r="G39434" s="16" t="n">
        <f aca="false">IF(AND(Assumptions!$P$63=1,G39313&lt;Assumptions!$K$63),MIN(MAX(0,-G39529),MAX(0,Assumptions!$D$63-G39427)),0)</f>
        <v>0</v>
      </c>
      <c r="H39434" s="16" t="n">
        <f aca="false">IF(AND(Assumptions!$P$63=1,OR(H39313&lt;Assumptions!$K$63,G39665=1)),MIN(MAX(0,-H39529),MAX(0,Assumptions!$D$63-H39427)),0)</f>
        <v>0</v>
      </c>
      <c r="I39434" s="16" t="n">
        <f aca="false">IF(AND(Assumptions!$P$63=1,OR(I39313&lt;Assumptions!$K$63,H39665=1)),MIN(MAX(0,-I39529),MAX(0,Assumptions!$D$63-I39427)),0)</f>
        <v>0</v>
      </c>
      <c r="J39434" s="16" t="n">
        <f aca="false">IF(AND(Assumptions!$P$63=1,OR(J39313&lt;Assumptions!$K$63,I39665=1)),MIN(MAX(0,-J39529),MAX(0,Assumptions!$D$63-J39427)),0)</f>
        <v>0</v>
      </c>
      <c r="K39434" s="16" t="n">
        <f aca="false">IF(AND(Assumptions!$P$63=1,OR(K39313&lt;Assumptions!$K$63,J39665=1)),MIN(MAX(0,-K39529),MAX(0,Assumptions!$D$63-K39427)),0)</f>
        <v>0</v>
      </c>
    </row>
    <row r="39435" customFormat="false" ht="15" hidden="false" customHeight="false" outlineLevel="0" collapsed="false">
      <c r="A39435" s="3" t="s">
        <v>336</v>
      </c>
      <c r="G39435" s="16" t="n">
        <f aca="false">G39428*MIN(G39427-G39433+G39432,MAX(0,G39531-Assumptions!$C$12*G39347-G39357-G39370-G39383-G39396-G39409-G39422))</f>
        <v>0</v>
      </c>
      <c r="H39435" s="16" t="n">
        <f aca="false">H39428*MIN(H39427-H39433+H39432,MAX(0,H39531-Assumptions!$C$12*H39347-H39357-H39370-H39383-H39396-H39409-H39422))</f>
        <v>0</v>
      </c>
      <c r="I39435" s="16" t="n">
        <f aca="false">I39428*MIN(I39427-I39433+I39432,MAX(0,I39531-Assumptions!$C$12*I39347-I39357-I39370-I39383-I39396-I39409-I39422))</f>
        <v>0</v>
      </c>
      <c r="J39435" s="16" t="n">
        <f aca="false">J39428*MIN(J39427-J39433+J39432,MAX(0,J39531-Assumptions!$C$12*J39347-J39357-J39370-J39383-J39396-J39409-J39422))</f>
        <v>0</v>
      </c>
      <c r="K39435" s="16" t="n">
        <f aca="false">K39428*MIN(K39427-K39433+K39432,MAX(0,K39531-Assumptions!$C$12*K39347-K39357-K39370-K39383-K39396-K39409-K39422))</f>
        <v>0</v>
      </c>
    </row>
    <row r="39436" customFormat="false" ht="15" hidden="false" customHeight="false" outlineLevel="0" collapsed="false">
      <c r="A39436" s="3" t="s">
        <v>337</v>
      </c>
      <c r="G39436" s="16" t="n">
        <f aca="false">Assumptions!$N$63*MIN(G39427+G39434+G39432-G39433-G39435,MAX(0,G39535-G39358-G39371-G39384-G39397-G39410-G39423))</f>
        <v>0</v>
      </c>
      <c r="H39436" s="16" t="n">
        <f aca="false">Assumptions!$N$63*MIN(H39427+H39434+H39432-H39433-H39435,MAX(0,H39535-H39358-H39371-H39384-H39397-H39410-H39423))</f>
        <v>0</v>
      </c>
      <c r="I39436" s="16" t="n">
        <f aca="false">Assumptions!$N$63*MIN(I39427+I39434+I39432-I39433-I39435,MAX(0,I39535-I39358-I39371-I39384-I39397-I39410-I39423))</f>
        <v>0</v>
      </c>
      <c r="J39436" s="16" t="n">
        <f aca="false">Assumptions!$N$63*MIN(J39427+J39434+J39432-J39433-J39435,MAX(0,J39535-J39358-J39371-J39384-J39397-J39410-J39423))</f>
        <v>0</v>
      </c>
      <c r="K39436" s="16" t="n">
        <f aca="false">Assumptions!$N$63*MIN(K39427+K39434+K39432-K39433-K39435,MAX(0,K39535-K39358-K39371-K39384-K39397-K39410-K39423))</f>
        <v>0</v>
      </c>
    </row>
    <row r="39437" customFormat="false" ht="15" hidden="false" customHeight="false" outlineLevel="0" collapsed="false">
      <c r="A39437" s="3" t="s">
        <v>338</v>
      </c>
      <c r="G39437" s="16" t="n">
        <f aca="false">G39428*(1-G39347)*(G39427-G39433+G39432-G39435)</f>
        <v>0</v>
      </c>
      <c r="H39437" s="16" t="n">
        <f aca="false">H39428*(1-H39347)*(H39427-H39433+H39432-H39435)</f>
        <v>0</v>
      </c>
      <c r="I39437" s="16" t="n">
        <f aca="false">I39428*(1-I39347)*(I39427-I39433+I39432-I39435)</f>
        <v>550</v>
      </c>
      <c r="J39437" s="16" t="n">
        <f aca="false">J39428*(1-J39347)*(J39427-J39433+J39432-J39435)</f>
        <v>0</v>
      </c>
      <c r="K39437" s="16" t="n">
        <f aca="false">K39428*(1-K39347)*(K39427-K39433+K39432-K39435)</f>
        <v>0</v>
      </c>
    </row>
    <row r="39438" customFormat="false" ht="15" hidden="false" customHeight="false" outlineLevel="0" collapsed="false">
      <c r="A39438" s="2" t="s">
        <v>339</v>
      </c>
      <c r="F39438" s="28" t="n">
        <f aca="false">Assumptions!$C$63</f>
        <v>550</v>
      </c>
      <c r="G39438" s="17" t="n">
        <f aca="false">G39427+G39434+G39432-G39433-G39435-G39436</f>
        <v>550</v>
      </c>
      <c r="H39438" s="17" t="n">
        <f aca="false">H39427+H39434+H39432-H39433-H39435-H39436</f>
        <v>550</v>
      </c>
      <c r="I39438" s="17" t="n">
        <f aca="false">I39427+I39434+I39432-I39433-I39435-I39436</f>
        <v>550</v>
      </c>
      <c r="J39438" s="17" t="n">
        <f aca="false">J39427+J39434+J39432-J39433-J39435-J39436</f>
        <v>550</v>
      </c>
      <c r="K39438" s="17" t="n">
        <f aca="false">K39427+K39434+K39432-K39433-K39435-K39436</f>
        <v>550</v>
      </c>
    </row>
    <row r="39439" customFormat="false" ht="15" hidden="false" customHeight="false" outlineLevel="0" collapsed="false">
      <c r="A39439" s="24" t="s">
        <v>346</v>
      </c>
      <c r="B39439" s="25"/>
      <c r="C39439" s="25"/>
      <c r="D39439" s="25"/>
      <c r="E39439" s="25"/>
      <c r="F39439" s="25"/>
      <c r="G39439" s="25"/>
      <c r="H39439" s="25"/>
      <c r="I39439" s="25"/>
      <c r="J39439" s="25"/>
      <c r="K39439" s="25"/>
    </row>
    <row r="39440" customFormat="false" ht="15" hidden="false" customHeight="false" outlineLevel="0" collapsed="false">
      <c r="A39440" s="3" t="s">
        <v>329</v>
      </c>
      <c r="G39440" s="16" t="n">
        <f aca="false">F39451</f>
        <v>350</v>
      </c>
      <c r="H39440" s="16" t="n">
        <f aca="false">G39451</f>
        <v>350</v>
      </c>
      <c r="I39440" s="16" t="n">
        <f aca="false">H39451</f>
        <v>350</v>
      </c>
      <c r="J39440" s="16" t="n">
        <f aca="false">I39451</f>
        <v>350</v>
      </c>
      <c r="K39440" s="16" t="n">
        <f aca="false">J39451</f>
        <v>350</v>
      </c>
    </row>
    <row r="39441" customFormat="false" ht="15" hidden="false" customHeight="false" outlineLevel="0" collapsed="false">
      <c r="A39441" s="3" t="s">
        <v>330</v>
      </c>
      <c r="G39441" s="21" t="n">
        <f aca="false">IF(G39313=Assumptions!$K$64,1,0)</f>
        <v>0</v>
      </c>
      <c r="H39441" s="21" t="n">
        <f aca="false">IF(H39313=Assumptions!$K$64,1,0)</f>
        <v>0</v>
      </c>
      <c r="I39441" s="21" t="n">
        <f aca="false">IF(I39313=Assumptions!$K$64,1,0)</f>
        <v>0</v>
      </c>
      <c r="J39441" s="21" t="n">
        <f aca="false">IF(J39313=Assumptions!$K$64,1,0)</f>
        <v>1</v>
      </c>
      <c r="K39441" s="21" t="n">
        <f aca="false">IF(K39313=Assumptions!$K$64,1,0)</f>
        <v>0</v>
      </c>
    </row>
    <row r="39443" customFormat="false" ht="15" hidden="false" customHeight="false" outlineLevel="0" collapsed="false">
      <c r="A39443" s="3" t="s">
        <v>331</v>
      </c>
      <c r="G39443" s="31" t="n">
        <f aca="false">IF(Assumptions!$I$64=1,MAX(G39339,Assumptions!$G$64)+Assumptions!$F$64+$C$39340,Assumptions!$E$64)</f>
        <v>0.0455</v>
      </c>
      <c r="H39443" s="31" t="n">
        <f aca="false">IF(G39666=1,$C$39341,IF(Assumptions!$I$64=1,MAX(H39339,Assumptions!$G$64)+Assumptions!$F$64+$C$39340,Assumptions!$E$64))</f>
        <v>0.0455</v>
      </c>
      <c r="I39443" s="31" t="n">
        <f aca="false">IF(H39666=1,$C$39341,IF(Assumptions!$I$64=1,MAX(I39339,Assumptions!$G$64)+Assumptions!$F$64+$C$39340,Assumptions!$E$64))</f>
        <v>0.0455</v>
      </c>
      <c r="J39443" s="31" t="n">
        <f aca="false">IF(I39666=1,$C$39341,IF(Assumptions!$I$64=1,MAX(J39339,Assumptions!$G$64)+Assumptions!$F$64+$C$39340,Assumptions!$E$64))</f>
        <v>0.0455</v>
      </c>
      <c r="K39443" s="31" t="n">
        <f aca="false">IF(J39666=1,$C$39341,IF(Assumptions!$I$64=1,MAX(K39339,Assumptions!$G$64)+Assumptions!$F$64+$C$39340,Assumptions!$E$64))</f>
        <v>0.0455</v>
      </c>
    </row>
    <row r="39444" customFormat="false" ht="15" hidden="false" customHeight="false" outlineLevel="0" collapsed="false">
      <c r="A39444" s="3" t="s">
        <v>332</v>
      </c>
      <c r="G39444" s="16" t="n">
        <f aca="false">G39440*G39443</f>
        <v>15.925</v>
      </c>
      <c r="H39444" s="16" t="n">
        <f aca="false">H39440*H39443</f>
        <v>15.925</v>
      </c>
      <c r="I39444" s="16" t="n">
        <f aca="false">I39440*I39443</f>
        <v>15.925</v>
      </c>
      <c r="J39444" s="16" t="n">
        <f aca="false">J39440*J39443</f>
        <v>15.925</v>
      </c>
      <c r="K39444" s="16" t="n">
        <f aca="false">K39440*K39443</f>
        <v>15.925</v>
      </c>
    </row>
    <row r="39445" customFormat="false" ht="15" hidden="false" customHeight="false" outlineLevel="0" collapsed="false">
      <c r="A39445" s="3" t="s">
        <v>333</v>
      </c>
      <c r="G39445" s="16" t="n">
        <f aca="false">G39440*Assumptions!$H$64</f>
        <v>0</v>
      </c>
      <c r="H39445" s="16" t="n">
        <f aca="false">H39440*Assumptions!$H$64</f>
        <v>0</v>
      </c>
      <c r="I39445" s="16" t="n">
        <f aca="false">I39440*Assumptions!$H$64</f>
        <v>0</v>
      </c>
      <c r="J39445" s="16" t="n">
        <f aca="false">J39440*Assumptions!$H$64</f>
        <v>0</v>
      </c>
      <c r="K39445" s="16" t="n">
        <f aca="false">K39440*Assumptions!$H$64</f>
        <v>0</v>
      </c>
    </row>
    <row r="39446" customFormat="false" ht="15" hidden="false" customHeight="false" outlineLevel="0" collapsed="false">
      <c r="A39446" s="3" t="s">
        <v>334</v>
      </c>
      <c r="G39446" s="16" t="n">
        <f aca="false">MIN(G39440,Assumptions!$L$64*Assumptions!$C$64)</f>
        <v>0</v>
      </c>
      <c r="H39446" s="16" t="n">
        <f aca="false">MIN(H39440,Assumptions!$L$64*Assumptions!$C$64)</f>
        <v>0</v>
      </c>
      <c r="I39446" s="16" t="n">
        <f aca="false">MIN(I39440,Assumptions!$L$64*Assumptions!$C$64)</f>
        <v>0</v>
      </c>
      <c r="J39446" s="16" t="n">
        <f aca="false">MIN(J39440,Assumptions!$L$64*Assumptions!$C$64)</f>
        <v>0</v>
      </c>
      <c r="K39446" s="16" t="n">
        <f aca="false">MIN(K39440,Assumptions!$L$64*Assumptions!$C$64)</f>
        <v>0</v>
      </c>
    </row>
    <row r="39447" customFormat="false" ht="15" hidden="false" customHeight="false" outlineLevel="0" collapsed="false">
      <c r="A39447" s="3" t="s">
        <v>335</v>
      </c>
      <c r="G39447" s="16" t="n">
        <f aca="false">IF(AND(Assumptions!$P$64=1,G39313&lt;Assumptions!$K$64),MIN(MAX(0,-G39529),MAX(0,Assumptions!$D$64-G39440)),0)</f>
        <v>0</v>
      </c>
      <c r="H39447" s="16" t="n">
        <f aca="false">IF(AND(Assumptions!$P$64=1,OR(H39313&lt;Assumptions!$K$64,G39666=1)),MIN(MAX(0,-H39529),MAX(0,Assumptions!$D$64-H39440)),0)</f>
        <v>0</v>
      </c>
      <c r="I39447" s="16" t="n">
        <f aca="false">IF(AND(Assumptions!$P$64=1,OR(I39313&lt;Assumptions!$K$64,H39666=1)),MIN(MAX(0,-I39529),MAX(0,Assumptions!$D$64-I39440)),0)</f>
        <v>0</v>
      </c>
      <c r="J39447" s="16" t="n">
        <f aca="false">IF(AND(Assumptions!$P$64=1,OR(J39313&lt;Assumptions!$K$64,I39666=1)),MIN(MAX(0,-J39529),MAX(0,Assumptions!$D$64-J39440)),0)</f>
        <v>0</v>
      </c>
      <c r="K39447" s="16" t="n">
        <f aca="false">IF(AND(Assumptions!$P$64=1,OR(K39313&lt;Assumptions!$K$64,J39666=1)),MIN(MAX(0,-K39529),MAX(0,Assumptions!$D$64-K39440)),0)</f>
        <v>0</v>
      </c>
    </row>
    <row r="39448" customFormat="false" ht="15" hidden="false" customHeight="false" outlineLevel="0" collapsed="false">
      <c r="A39448" s="3" t="s">
        <v>336</v>
      </c>
      <c r="G39448" s="16" t="n">
        <f aca="false">G39441*MIN(G39440-G39446+G39445,MAX(0,G39531-Assumptions!$C$12*G39347-G39357-G39370-G39383-G39396-G39409-G39422-G39435))</f>
        <v>0</v>
      </c>
      <c r="H39448" s="16" t="n">
        <f aca="false">H39441*MIN(H39440-H39446+H39445,MAX(0,H39531-Assumptions!$C$12*H39347-H39357-H39370-H39383-H39396-H39409-H39422-H39435))</f>
        <v>0</v>
      </c>
      <c r="I39448" s="16" t="n">
        <f aca="false">I39441*MIN(I39440-I39446+I39445,MAX(0,I39531-Assumptions!$C$12*I39347-I39357-I39370-I39383-I39396-I39409-I39422-I39435))</f>
        <v>0</v>
      </c>
      <c r="J39448" s="16" t="n">
        <f aca="false">J39441*MIN(J39440-J39446+J39445,MAX(0,J39531-Assumptions!$C$12*J39347-J39357-J39370-J39383-J39396-J39409-J39422-J39435))</f>
        <v>0</v>
      </c>
      <c r="K39448" s="16" t="n">
        <f aca="false">K39441*MIN(K39440-K39446+K39445,MAX(0,K39531-Assumptions!$C$12*K39347-K39357-K39370-K39383-K39396-K39409-K39422-K39435))</f>
        <v>0</v>
      </c>
    </row>
    <row r="39449" customFormat="false" ht="15" hidden="false" customHeight="false" outlineLevel="0" collapsed="false">
      <c r="A39449" s="3" t="s">
        <v>337</v>
      </c>
      <c r="G39449" s="16" t="n">
        <f aca="false">Assumptions!$N$64*MIN(G39440+G39447+G39445-G39446-G39448,MAX(0,G39535-G39358-G39371-G39384-G39397-G39410-G39423-G39436))</f>
        <v>0</v>
      </c>
      <c r="H39449" s="16" t="n">
        <f aca="false">Assumptions!$N$64*MIN(H39440+H39447+H39445-H39446-H39448,MAX(0,H39535-H39358-H39371-H39384-H39397-H39410-H39423-H39436))</f>
        <v>0</v>
      </c>
      <c r="I39449" s="16" t="n">
        <f aca="false">Assumptions!$N$64*MIN(I39440+I39447+I39445-I39446-I39448,MAX(0,I39535-I39358-I39371-I39384-I39397-I39410-I39423-I39436))</f>
        <v>0</v>
      </c>
      <c r="J39449" s="16" t="n">
        <f aca="false">Assumptions!$N$64*MIN(J39440+J39447+J39445-J39446-J39448,MAX(0,J39535-J39358-J39371-J39384-J39397-J39410-J39423-J39436))</f>
        <v>0</v>
      </c>
      <c r="K39449" s="16" t="n">
        <f aca="false">Assumptions!$N$64*MIN(K39440+K39447+K39445-K39446-K39448,MAX(0,K39535-K39358-K39371-K39384-K39397-K39410-K39423-K39436))</f>
        <v>0</v>
      </c>
    </row>
    <row r="39450" customFormat="false" ht="15" hidden="false" customHeight="false" outlineLevel="0" collapsed="false">
      <c r="A39450" s="3" t="s">
        <v>338</v>
      </c>
      <c r="G39450" s="16" t="n">
        <f aca="false">G39441*(1-G39347)*(G39440-G39446+G39445-G39448)</f>
        <v>0</v>
      </c>
      <c r="H39450" s="16" t="n">
        <f aca="false">H39441*(1-H39347)*(H39440-H39446+H39445-H39448)</f>
        <v>0</v>
      </c>
      <c r="I39450" s="16" t="n">
        <f aca="false">I39441*(1-I39347)*(I39440-I39446+I39445-I39448)</f>
        <v>0</v>
      </c>
      <c r="J39450" s="16" t="n">
        <f aca="false">J39441*(1-J39347)*(J39440-J39446+J39445-J39448)</f>
        <v>350</v>
      </c>
      <c r="K39450" s="16" t="n">
        <f aca="false">K39441*(1-K39347)*(K39440-K39446+K39445-K39448)</f>
        <v>0</v>
      </c>
    </row>
    <row r="39451" customFormat="false" ht="15" hidden="false" customHeight="false" outlineLevel="0" collapsed="false">
      <c r="A39451" s="2" t="s">
        <v>339</v>
      </c>
      <c r="F39451" s="28" t="n">
        <f aca="false">Assumptions!$C$64</f>
        <v>350</v>
      </c>
      <c r="G39451" s="17" t="n">
        <f aca="false">G39440+G39447+G39445-G39446-G39448-G39449</f>
        <v>350</v>
      </c>
      <c r="H39451" s="17" t="n">
        <f aca="false">H39440+H39447+H39445-H39446-H39448-H39449</f>
        <v>350</v>
      </c>
      <c r="I39451" s="17" t="n">
        <f aca="false">I39440+I39447+I39445-I39446-I39448-I39449</f>
        <v>350</v>
      </c>
      <c r="J39451" s="17" t="n">
        <f aca="false">J39440+J39447+J39445-J39446-J39448-J39449</f>
        <v>350</v>
      </c>
      <c r="K39451" s="17" t="n">
        <f aca="false">K39440+K39447+K39445-K39446-K39448-K39449</f>
        <v>350</v>
      </c>
    </row>
    <row r="39452" customFormat="false" ht="15" hidden="false" customHeight="false" outlineLevel="0" collapsed="false">
      <c r="A39452" s="24" t="s">
        <v>347</v>
      </c>
      <c r="B39452" s="25"/>
      <c r="C39452" s="25"/>
      <c r="D39452" s="25"/>
      <c r="E39452" s="25"/>
      <c r="F39452" s="25"/>
      <c r="G39452" s="25"/>
      <c r="H39452" s="25"/>
      <c r="I39452" s="25"/>
      <c r="J39452" s="25"/>
      <c r="K39452" s="25"/>
    </row>
    <row r="39453" customFormat="false" ht="15" hidden="false" customHeight="false" outlineLevel="0" collapsed="false">
      <c r="A39453" s="3" t="s">
        <v>329</v>
      </c>
      <c r="G39453" s="16" t="n">
        <f aca="false">F39464</f>
        <v>300</v>
      </c>
      <c r="H39453" s="16" t="n">
        <f aca="false">G39464</f>
        <v>300</v>
      </c>
      <c r="I39453" s="16" t="n">
        <f aca="false">H39464</f>
        <v>300</v>
      </c>
      <c r="J39453" s="16" t="n">
        <f aca="false">I39464</f>
        <v>300</v>
      </c>
      <c r="K39453" s="16" t="n">
        <f aca="false">J39464</f>
        <v>300</v>
      </c>
    </row>
    <row r="39454" customFormat="false" ht="15" hidden="false" customHeight="false" outlineLevel="0" collapsed="false">
      <c r="A39454" s="3" t="s">
        <v>330</v>
      </c>
      <c r="G39454" s="21" t="n">
        <f aca="false">IF(G39313=Assumptions!$K$65,1,0)</f>
        <v>0</v>
      </c>
      <c r="H39454" s="21" t="n">
        <f aca="false">IF(H39313=Assumptions!$K$65,1,0)</f>
        <v>0</v>
      </c>
      <c r="I39454" s="21" t="n">
        <f aca="false">IF(I39313=Assumptions!$K$65,1,0)</f>
        <v>0</v>
      </c>
      <c r="J39454" s="21" t="n">
        <f aca="false">IF(J39313=Assumptions!$K$65,1,0)</f>
        <v>0</v>
      </c>
      <c r="K39454" s="21" t="n">
        <f aca="false">IF(K39313=Assumptions!$K$65,1,0)</f>
        <v>1</v>
      </c>
    </row>
    <row r="39456" customFormat="false" ht="15" hidden="false" customHeight="false" outlineLevel="0" collapsed="false">
      <c r="A39456" s="3" t="s">
        <v>331</v>
      </c>
      <c r="G39456" s="31" t="n">
        <f aca="false">IF(Assumptions!$I$65=1,MAX(G39339,Assumptions!$G$65)+Assumptions!$F$65+$C$39340,Assumptions!$E$65)</f>
        <v>0.06125</v>
      </c>
      <c r="H39456" s="31" t="n">
        <f aca="false">IF(G39667=1,$C$39341,IF(Assumptions!$I$65=1,MAX(H39339,Assumptions!$G$65)+Assumptions!$F$65+$C$39340,Assumptions!$E$65))</f>
        <v>0.06125</v>
      </c>
      <c r="I39456" s="31" t="n">
        <f aca="false">IF(H39667=1,$C$39341,IF(Assumptions!$I$65=1,MAX(I39339,Assumptions!$G$65)+Assumptions!$F$65+$C$39340,Assumptions!$E$65))</f>
        <v>0.06125</v>
      </c>
      <c r="J39456" s="31" t="n">
        <f aca="false">IF(I39667=1,$C$39341,IF(Assumptions!$I$65=1,MAX(J39339,Assumptions!$G$65)+Assumptions!$F$65+$C$39340,Assumptions!$E$65))</f>
        <v>0.06125</v>
      </c>
      <c r="K39456" s="31" t="n">
        <f aca="false">IF(J39667=1,$C$39341,IF(Assumptions!$I$65=1,MAX(K39339,Assumptions!$G$65)+Assumptions!$F$65+$C$39340,Assumptions!$E$65))</f>
        <v>0.06125</v>
      </c>
    </row>
    <row r="39457" customFormat="false" ht="15" hidden="false" customHeight="false" outlineLevel="0" collapsed="false">
      <c r="A39457" s="3" t="s">
        <v>332</v>
      </c>
      <c r="G39457" s="16" t="n">
        <f aca="false">G39453*G39456</f>
        <v>18.375</v>
      </c>
      <c r="H39457" s="16" t="n">
        <f aca="false">H39453*H39456</f>
        <v>18.375</v>
      </c>
      <c r="I39457" s="16" t="n">
        <f aca="false">I39453*I39456</f>
        <v>18.375</v>
      </c>
      <c r="J39457" s="16" t="n">
        <f aca="false">J39453*J39456</f>
        <v>18.375</v>
      </c>
      <c r="K39457" s="16" t="n">
        <f aca="false">K39453*K39456</f>
        <v>18.375</v>
      </c>
    </row>
    <row r="39458" customFormat="false" ht="15" hidden="false" customHeight="false" outlineLevel="0" collapsed="false">
      <c r="A39458" s="3" t="s">
        <v>333</v>
      </c>
      <c r="G39458" s="16" t="n">
        <f aca="false">G39453*Assumptions!$H$65</f>
        <v>0</v>
      </c>
      <c r="H39458" s="16" t="n">
        <f aca="false">H39453*Assumptions!$H$65</f>
        <v>0</v>
      </c>
      <c r="I39458" s="16" t="n">
        <f aca="false">I39453*Assumptions!$H$65</f>
        <v>0</v>
      </c>
      <c r="J39458" s="16" t="n">
        <f aca="false">J39453*Assumptions!$H$65</f>
        <v>0</v>
      </c>
      <c r="K39458" s="16" t="n">
        <f aca="false">K39453*Assumptions!$H$65</f>
        <v>0</v>
      </c>
    </row>
    <row r="39459" customFormat="false" ht="15" hidden="false" customHeight="false" outlineLevel="0" collapsed="false">
      <c r="A39459" s="3" t="s">
        <v>334</v>
      </c>
      <c r="G39459" s="16" t="n">
        <f aca="false">MIN(G39453,Assumptions!$L$65*Assumptions!$C$65)</f>
        <v>0</v>
      </c>
      <c r="H39459" s="16" t="n">
        <f aca="false">MIN(H39453,Assumptions!$L$65*Assumptions!$C$65)</f>
        <v>0</v>
      </c>
      <c r="I39459" s="16" t="n">
        <f aca="false">MIN(I39453,Assumptions!$L$65*Assumptions!$C$65)</f>
        <v>0</v>
      </c>
      <c r="J39459" s="16" t="n">
        <f aca="false">MIN(J39453,Assumptions!$L$65*Assumptions!$C$65)</f>
        <v>0</v>
      </c>
      <c r="K39459" s="16" t="n">
        <f aca="false">MIN(K39453,Assumptions!$L$65*Assumptions!$C$65)</f>
        <v>0</v>
      </c>
    </row>
    <row r="39460" customFormat="false" ht="15" hidden="false" customHeight="false" outlineLevel="0" collapsed="false">
      <c r="A39460" s="3" t="s">
        <v>335</v>
      </c>
      <c r="G39460" s="16" t="n">
        <f aca="false">IF(AND(Assumptions!$P$65=1,G39313&lt;Assumptions!$K$65),MIN(MAX(0,-G39529),MAX(0,Assumptions!$D$65-G39453)),0)</f>
        <v>0</v>
      </c>
      <c r="H39460" s="16" t="n">
        <f aca="false">IF(AND(Assumptions!$P$65=1,OR(H39313&lt;Assumptions!$K$65,G39667=1)),MIN(MAX(0,-H39529),MAX(0,Assumptions!$D$65-H39453)),0)</f>
        <v>0</v>
      </c>
      <c r="I39460" s="16" t="n">
        <f aca="false">IF(AND(Assumptions!$P$65=1,OR(I39313&lt;Assumptions!$K$65,H39667=1)),MIN(MAX(0,-I39529),MAX(0,Assumptions!$D$65-I39453)),0)</f>
        <v>0</v>
      </c>
      <c r="J39460" s="16" t="n">
        <f aca="false">IF(AND(Assumptions!$P$65=1,OR(J39313&lt;Assumptions!$K$65,I39667=1)),MIN(MAX(0,-J39529),MAX(0,Assumptions!$D$65-J39453)),0)</f>
        <v>0</v>
      </c>
      <c r="K39460" s="16" t="n">
        <f aca="false">IF(AND(Assumptions!$P$65=1,OR(K39313&lt;Assumptions!$K$65,J39667=1)),MIN(MAX(0,-K39529),MAX(0,Assumptions!$D$65-K39453)),0)</f>
        <v>0</v>
      </c>
    </row>
    <row r="39461" customFormat="false" ht="15" hidden="false" customHeight="false" outlineLevel="0" collapsed="false">
      <c r="A39461" s="3" t="s">
        <v>336</v>
      </c>
      <c r="G39461" s="16" t="n">
        <f aca="false">G39454*MIN(G39453-G39459+G39458,MAX(0,G39531-Assumptions!$C$12*G39347-G39357-G39370-G39383-G39396-G39409-G39422-G39435-G39448))</f>
        <v>0</v>
      </c>
      <c r="H39461" s="16" t="n">
        <f aca="false">H39454*MIN(H39453-H39459+H39458,MAX(0,H39531-Assumptions!$C$12*H39347-H39357-H39370-H39383-H39396-H39409-H39422-H39435-H39448))</f>
        <v>0</v>
      </c>
      <c r="I39461" s="16" t="n">
        <f aca="false">I39454*MIN(I39453-I39459+I39458,MAX(0,I39531-Assumptions!$C$12*I39347-I39357-I39370-I39383-I39396-I39409-I39422-I39435-I39448))</f>
        <v>0</v>
      </c>
      <c r="J39461" s="16" t="n">
        <f aca="false">J39454*MIN(J39453-J39459+J39458,MAX(0,J39531-Assumptions!$C$12*J39347-J39357-J39370-J39383-J39396-J39409-J39422-J39435-J39448))</f>
        <v>0</v>
      </c>
      <c r="K39461" s="16" t="n">
        <f aca="false">K39454*MIN(K39453-K39459+K39458,MAX(0,K39531-Assumptions!$C$12*K39347-K39357-K39370-K39383-K39396-K39409-K39422-K39435-K39448))</f>
        <v>0</v>
      </c>
    </row>
    <row r="39462" customFormat="false" ht="15" hidden="false" customHeight="false" outlineLevel="0" collapsed="false">
      <c r="A39462" s="3" t="s">
        <v>337</v>
      </c>
      <c r="G39462" s="16" t="n">
        <f aca="false">Assumptions!$N$65*MIN(G39453+G39460+G39458-G39459-G39461,MAX(0,G39535-G39358-G39371-G39384-G39397-G39410-G39423-G39436-G39449))</f>
        <v>0</v>
      </c>
      <c r="H39462" s="16" t="n">
        <f aca="false">Assumptions!$N$65*MIN(H39453+H39460+H39458-H39459-H39461,MAX(0,H39535-H39358-H39371-H39384-H39397-H39410-H39423-H39436-H39449))</f>
        <v>0</v>
      </c>
      <c r="I39462" s="16" t="n">
        <f aca="false">Assumptions!$N$65*MIN(I39453+I39460+I39458-I39459-I39461,MAX(0,I39535-I39358-I39371-I39384-I39397-I39410-I39423-I39436-I39449))</f>
        <v>0</v>
      </c>
      <c r="J39462" s="16" t="n">
        <f aca="false">Assumptions!$N$65*MIN(J39453+J39460+J39458-J39459-J39461,MAX(0,J39535-J39358-J39371-J39384-J39397-J39410-J39423-J39436-J39449))</f>
        <v>0</v>
      </c>
      <c r="K39462" s="16" t="n">
        <f aca="false">Assumptions!$N$65*MIN(K39453+K39460+K39458-K39459-K39461,MAX(0,K39535-K39358-K39371-K39384-K39397-K39410-K39423-K39436-K39449))</f>
        <v>0</v>
      </c>
    </row>
    <row r="39463" customFormat="false" ht="15" hidden="false" customHeight="false" outlineLevel="0" collapsed="false">
      <c r="A39463" s="3" t="s">
        <v>338</v>
      </c>
      <c r="G39463" s="16" t="n">
        <f aca="false">G39454*(1-G39347)*(G39453-G39459+G39458-G39461)</f>
        <v>0</v>
      </c>
      <c r="H39463" s="16" t="n">
        <f aca="false">H39454*(1-H39347)*(H39453-H39459+H39458-H39461)</f>
        <v>0</v>
      </c>
      <c r="I39463" s="16" t="n">
        <f aca="false">I39454*(1-I39347)*(I39453-I39459+I39458-I39461)</f>
        <v>0</v>
      </c>
      <c r="J39463" s="16" t="n">
        <f aca="false">J39454*(1-J39347)*(J39453-J39459+J39458-J39461)</f>
        <v>0</v>
      </c>
      <c r="K39463" s="16" t="n">
        <f aca="false">K39454*(1-K39347)*(K39453-K39459+K39458-K39461)</f>
        <v>300</v>
      </c>
    </row>
    <row r="39464" customFormat="false" ht="15" hidden="false" customHeight="false" outlineLevel="0" collapsed="false">
      <c r="A39464" s="2" t="s">
        <v>339</v>
      </c>
      <c r="F39464" s="28" t="n">
        <f aca="false">Assumptions!$C$65</f>
        <v>300</v>
      </c>
      <c r="G39464" s="17" t="n">
        <f aca="false">G39453+G39460+G39458-G39459-G39461-G39462</f>
        <v>300</v>
      </c>
      <c r="H39464" s="17" t="n">
        <f aca="false">H39453+H39460+H39458-H39459-H39461-H39462</f>
        <v>300</v>
      </c>
      <c r="I39464" s="17" t="n">
        <f aca="false">I39453+I39460+I39458-I39459-I39461-I39462</f>
        <v>300</v>
      </c>
      <c r="J39464" s="17" t="n">
        <f aca="false">J39453+J39460+J39458-J39459-J39461-J39462</f>
        <v>300</v>
      </c>
      <c r="K39464" s="17" t="n">
        <f aca="false">K39453+K39460+K39458-K39459-K39461-K39462</f>
        <v>300</v>
      </c>
    </row>
    <row r="39465" customFormat="false" ht="15" hidden="false" customHeight="false" outlineLevel="0" collapsed="false">
      <c r="A39465" s="24" t="s">
        <v>348</v>
      </c>
      <c r="B39465" s="25"/>
      <c r="C39465" s="25"/>
      <c r="D39465" s="25"/>
      <c r="E39465" s="25"/>
      <c r="F39465" s="25"/>
      <c r="G39465" s="25"/>
      <c r="H39465" s="25"/>
      <c r="I39465" s="25"/>
      <c r="J39465" s="25"/>
      <c r="K39465" s="25"/>
    </row>
    <row r="39466" customFormat="false" ht="15" hidden="false" customHeight="false" outlineLevel="0" collapsed="false">
      <c r="A39466" s="3" t="s">
        <v>329</v>
      </c>
      <c r="G39466" s="16" t="n">
        <f aca="false">F39477</f>
        <v>78.61</v>
      </c>
      <c r="H39466" s="16" t="n">
        <f aca="false">G39477</f>
        <v>78.61</v>
      </c>
      <c r="I39466" s="16" t="n">
        <f aca="false">H39477</f>
        <v>78.61</v>
      </c>
      <c r="J39466" s="16" t="n">
        <f aca="false">I39477</f>
        <v>78.61</v>
      </c>
      <c r="K39466" s="16" t="n">
        <f aca="false">J39477</f>
        <v>78.61</v>
      </c>
    </row>
    <row r="39467" customFormat="false" ht="15" hidden="false" customHeight="false" outlineLevel="0" collapsed="false">
      <c r="A39467" s="3" t="s">
        <v>330</v>
      </c>
      <c r="G39467" s="21" t="n">
        <f aca="false">IF(G39313=Assumptions!$K$66,1,0)</f>
        <v>0</v>
      </c>
      <c r="H39467" s="21" t="n">
        <f aca="false">IF(H39313=Assumptions!$K$66,1,0)</f>
        <v>0</v>
      </c>
      <c r="I39467" s="21" t="n">
        <f aca="false">IF(I39313=Assumptions!$K$66,1,0)</f>
        <v>0</v>
      </c>
      <c r="J39467" s="21" t="n">
        <f aca="false">IF(J39313=Assumptions!$K$66,1,0)</f>
        <v>0</v>
      </c>
      <c r="K39467" s="21" t="n">
        <f aca="false">IF(K39313=Assumptions!$K$66,1,0)</f>
        <v>0</v>
      </c>
    </row>
    <row r="39469" customFormat="false" ht="15" hidden="false" customHeight="false" outlineLevel="0" collapsed="false">
      <c r="A39469" s="3" t="s">
        <v>331</v>
      </c>
      <c r="G39469" s="31" t="n">
        <f aca="false">IF(Assumptions!$I$66=1,MAX(G39339,Assumptions!$G$66)+Assumptions!$F$66+$C$39340,Assumptions!$E$66)</f>
        <v>0.0841</v>
      </c>
      <c r="H39469" s="31" t="n">
        <f aca="false">IF(G39668=1,$C$39341,IF(Assumptions!$I$66=1,MAX(H39339,Assumptions!$G$66)+Assumptions!$F$66+$C$39340,Assumptions!$E$66))</f>
        <v>0.0826</v>
      </c>
      <c r="I39469" s="31" t="n">
        <f aca="false">IF(H39668=1,$C$39341,IF(Assumptions!$I$66=1,MAX(I39339,Assumptions!$G$66)+Assumptions!$F$66+$C$39340,Assumptions!$E$66))</f>
        <v>0.0801</v>
      </c>
      <c r="J39469" s="31" t="n">
        <f aca="false">IF(I39668=1,$C$39341,IF(Assumptions!$I$66=1,MAX(J39339,Assumptions!$G$66)+Assumptions!$F$66+$C$39340,Assumptions!$E$66))</f>
        <v>0.0801</v>
      </c>
      <c r="K39469" s="31" t="n">
        <f aca="false">IF(J39668=1,$C$39341,IF(Assumptions!$I$66=1,MAX(K39339,Assumptions!$G$66)+Assumptions!$F$66+$C$39340,Assumptions!$E$66))</f>
        <v>0.0801</v>
      </c>
    </row>
    <row r="39470" customFormat="false" ht="15" hidden="false" customHeight="false" outlineLevel="0" collapsed="false">
      <c r="A39470" s="3" t="s">
        <v>332</v>
      </c>
      <c r="G39470" s="16" t="n">
        <f aca="false">G39466*G39469</f>
        <v>6.611101</v>
      </c>
      <c r="H39470" s="16" t="n">
        <f aca="false">H39466*H39469</f>
        <v>6.493186</v>
      </c>
      <c r="I39470" s="16" t="n">
        <f aca="false">I39466*I39469</f>
        <v>6.296661</v>
      </c>
      <c r="J39470" s="16" t="n">
        <f aca="false">J39466*J39469</f>
        <v>6.296661</v>
      </c>
      <c r="K39470" s="16" t="n">
        <f aca="false">K39466*K39469</f>
        <v>6.296661</v>
      </c>
    </row>
    <row r="39471" customFormat="false" ht="15" hidden="false" customHeight="false" outlineLevel="0" collapsed="false">
      <c r="A39471" s="3" t="s">
        <v>333</v>
      </c>
      <c r="G39471" s="16" t="n">
        <f aca="false">G39466*Assumptions!$H$66</f>
        <v>0</v>
      </c>
      <c r="H39471" s="16" t="n">
        <f aca="false">H39466*Assumptions!$H$66</f>
        <v>0</v>
      </c>
      <c r="I39471" s="16" t="n">
        <f aca="false">I39466*Assumptions!$H$66</f>
        <v>0</v>
      </c>
      <c r="J39471" s="16" t="n">
        <f aca="false">J39466*Assumptions!$H$66</f>
        <v>0</v>
      </c>
      <c r="K39471" s="16" t="n">
        <f aca="false">K39466*Assumptions!$H$66</f>
        <v>0</v>
      </c>
    </row>
    <row r="39472" customFormat="false" ht="15" hidden="false" customHeight="false" outlineLevel="0" collapsed="false">
      <c r="A39472" s="3" t="s">
        <v>334</v>
      </c>
      <c r="G39472" s="16" t="n">
        <f aca="false">MIN(G39466,Assumptions!$L$66*Assumptions!$C$66)</f>
        <v>0</v>
      </c>
      <c r="H39472" s="16" t="n">
        <f aca="false">MIN(H39466,Assumptions!$L$66*Assumptions!$C$66)</f>
        <v>0</v>
      </c>
      <c r="I39472" s="16" t="n">
        <f aca="false">MIN(I39466,Assumptions!$L$66*Assumptions!$C$66)</f>
        <v>0</v>
      </c>
      <c r="J39472" s="16" t="n">
        <f aca="false">MIN(J39466,Assumptions!$L$66*Assumptions!$C$66)</f>
        <v>0</v>
      </c>
      <c r="K39472" s="16" t="n">
        <f aca="false">MIN(K39466,Assumptions!$L$66*Assumptions!$C$66)</f>
        <v>0</v>
      </c>
    </row>
    <row r="39473" customFormat="false" ht="15" hidden="false" customHeight="false" outlineLevel="0" collapsed="false">
      <c r="A39473" s="3" t="s">
        <v>335</v>
      </c>
      <c r="G39473" s="16" t="n">
        <f aca="false">IF(AND(Assumptions!$P$66=1,G39313&lt;Assumptions!$K$66),MIN(MAX(0,-G39529),MAX(0,Assumptions!$D$66-G39466)),0)</f>
        <v>0</v>
      </c>
      <c r="H39473" s="16" t="n">
        <f aca="false">IF(AND(Assumptions!$P$66=1,OR(H39313&lt;Assumptions!$K$66,G39668=1)),MIN(MAX(0,-H39529),MAX(0,Assumptions!$D$66-H39466)),0)</f>
        <v>0</v>
      </c>
      <c r="I39473" s="16" t="n">
        <f aca="false">IF(AND(Assumptions!$P$66=1,OR(I39313&lt;Assumptions!$K$66,H39668=1)),MIN(MAX(0,-I39529),MAX(0,Assumptions!$D$66-I39466)),0)</f>
        <v>0</v>
      </c>
      <c r="J39473" s="16" t="n">
        <f aca="false">IF(AND(Assumptions!$P$66=1,OR(J39313&lt;Assumptions!$K$66,I39668=1)),MIN(MAX(0,-J39529),MAX(0,Assumptions!$D$66-J39466)),0)</f>
        <v>0</v>
      </c>
      <c r="K39473" s="16" t="n">
        <f aca="false">IF(AND(Assumptions!$P$66=1,OR(K39313&lt;Assumptions!$K$66,J39668=1)),MIN(MAX(0,-K39529),MAX(0,Assumptions!$D$66-K39466)),0)</f>
        <v>0</v>
      </c>
    </row>
    <row r="39474" customFormat="false" ht="15" hidden="false" customHeight="false" outlineLevel="0" collapsed="false">
      <c r="A39474" s="3" t="s">
        <v>336</v>
      </c>
      <c r="G39474" s="16" t="n">
        <f aca="false">G39467*MIN(G39466-G39472+G39471,MAX(0,G39531-Assumptions!$C$12*G39347-G39357-G39370-G39383-G39396-G39409-G39422-G39435-G39448-G39461))</f>
        <v>0</v>
      </c>
      <c r="H39474" s="16" t="n">
        <f aca="false">H39467*MIN(H39466-H39472+H39471,MAX(0,H39531-Assumptions!$C$12*H39347-H39357-H39370-H39383-H39396-H39409-H39422-H39435-H39448-H39461))</f>
        <v>0</v>
      </c>
      <c r="I39474" s="16" t="n">
        <f aca="false">I39467*MIN(I39466-I39472+I39471,MAX(0,I39531-Assumptions!$C$12*I39347-I39357-I39370-I39383-I39396-I39409-I39422-I39435-I39448-I39461))</f>
        <v>0</v>
      </c>
      <c r="J39474" s="16" t="n">
        <f aca="false">J39467*MIN(J39466-J39472+J39471,MAX(0,J39531-Assumptions!$C$12*J39347-J39357-J39370-J39383-J39396-J39409-J39422-J39435-J39448-J39461))</f>
        <v>0</v>
      </c>
      <c r="K39474" s="16" t="n">
        <f aca="false">K39467*MIN(K39466-K39472+K39471,MAX(0,K39531-Assumptions!$C$12*K39347-K39357-K39370-K39383-K39396-K39409-K39422-K39435-K39448-K39461))</f>
        <v>0</v>
      </c>
    </row>
    <row r="39475" customFormat="false" ht="15" hidden="false" customHeight="false" outlineLevel="0" collapsed="false">
      <c r="A39475" s="3" t="s">
        <v>337</v>
      </c>
      <c r="G39475" s="16" t="n">
        <f aca="false">Assumptions!$N$66*MIN(G39466+G39473+G39471-G39472-G39474,MAX(0,G39535-G39358-G39371-G39384-G39397-G39410-G39423-G39436-G39449-G39462))</f>
        <v>0</v>
      </c>
      <c r="H39475" s="16" t="n">
        <f aca="false">Assumptions!$N$66*MIN(H39466+H39473+H39471-H39472-H39474,MAX(0,H39535-H39358-H39371-H39384-H39397-H39410-H39423-H39436-H39449-H39462))</f>
        <v>0</v>
      </c>
      <c r="I39475" s="16" t="n">
        <f aca="false">Assumptions!$N$66*MIN(I39466+I39473+I39471-I39472-I39474,MAX(0,I39535-I39358-I39371-I39384-I39397-I39410-I39423-I39436-I39449-I39462))</f>
        <v>0</v>
      </c>
      <c r="J39475" s="16" t="n">
        <f aca="false">Assumptions!$N$66*MIN(J39466+J39473+J39471-J39472-J39474,MAX(0,J39535-J39358-J39371-J39384-J39397-J39410-J39423-J39436-J39449-J39462))</f>
        <v>0</v>
      </c>
      <c r="K39475" s="16" t="n">
        <f aca="false">Assumptions!$N$66*MIN(K39466+K39473+K39471-K39472-K39474,MAX(0,K39535-K39358-K39371-K39384-K39397-K39410-K39423-K39436-K39449-K39462))</f>
        <v>0</v>
      </c>
    </row>
    <row r="39476" customFormat="false" ht="15" hidden="false" customHeight="false" outlineLevel="0" collapsed="false">
      <c r="A39476" s="3" t="s">
        <v>338</v>
      </c>
      <c r="G39476" s="16" t="n">
        <f aca="false">G39467*(1-G39347)*(G39466-G39472+G39471-G39474)</f>
        <v>0</v>
      </c>
      <c r="H39476" s="16" t="n">
        <f aca="false">H39467*(1-H39347)*(H39466-H39472+H39471-H39474)</f>
        <v>0</v>
      </c>
      <c r="I39476" s="16" t="n">
        <f aca="false">I39467*(1-I39347)*(I39466-I39472+I39471-I39474)</f>
        <v>0</v>
      </c>
      <c r="J39476" s="16" t="n">
        <f aca="false">J39467*(1-J39347)*(J39466-J39472+J39471-J39474)</f>
        <v>0</v>
      </c>
      <c r="K39476" s="16" t="n">
        <f aca="false">K39467*(1-K39347)*(K39466-K39472+K39471-K39474)</f>
        <v>0</v>
      </c>
    </row>
    <row r="39477" customFormat="false" ht="15" hidden="false" customHeight="false" outlineLevel="0" collapsed="false">
      <c r="A39477" s="2" t="s">
        <v>339</v>
      </c>
      <c r="F39477" s="28" t="n">
        <f aca="false">Assumptions!$C$66</f>
        <v>78.61</v>
      </c>
      <c r="G39477" s="17" t="n">
        <f aca="false">G39466+G39473+G39471-G39472-G39474-G39475</f>
        <v>78.61</v>
      </c>
      <c r="H39477" s="17" t="n">
        <f aca="false">H39466+H39473+H39471-H39472-H39474-H39475</f>
        <v>78.61</v>
      </c>
      <c r="I39477" s="17" t="n">
        <f aca="false">I39466+I39473+I39471-I39472-I39474-I39475</f>
        <v>78.61</v>
      </c>
      <c r="J39477" s="17" t="n">
        <f aca="false">J39466+J39473+J39471-J39472-J39474-J39475</f>
        <v>78.61</v>
      </c>
      <c r="K39477" s="17" t="n">
        <f aca="false">K39466+K39473+K39471-K39472-K39474-K39475</f>
        <v>78.61</v>
      </c>
    </row>
    <row r="39478" customFormat="false" ht="15" hidden="false" customHeight="false" outlineLevel="0" collapsed="false">
      <c r="A39478" s="24" t="s">
        <v>349</v>
      </c>
      <c r="B39478" s="25"/>
      <c r="C39478" s="25"/>
      <c r="D39478" s="25"/>
      <c r="E39478" s="25"/>
      <c r="F39478" s="25"/>
      <c r="G39478" s="25"/>
      <c r="H39478" s="25"/>
      <c r="I39478" s="25"/>
      <c r="J39478" s="25"/>
      <c r="K39478" s="25"/>
    </row>
    <row r="39479" customFormat="false" ht="15" hidden="false" customHeight="false" outlineLevel="0" collapsed="false">
      <c r="A39479" s="2" t="s">
        <v>350</v>
      </c>
      <c r="F39479" s="17" t="n">
        <f aca="false">F39360+F39373+F39386+F39399+F39412+F39425+F39438+F39451+F39464+F39477</f>
        <v>2625.934</v>
      </c>
      <c r="G39479" s="17" t="n">
        <f aca="false">G39360+G39373+G39386+G39399+G39412+G39425+G39438+G39451+G39464+G39477</f>
        <v>2621.934</v>
      </c>
      <c r="H39479" s="17" t="n">
        <f aca="false">H39360+H39373+H39386+H39399+H39412+H39425+H39438+H39451+H39464+H39477</f>
        <v>2602.8887587</v>
      </c>
      <c r="I39479" s="17" t="n">
        <f aca="false">I39360+I39373+I39386+I39399+I39412+I39425+I39438+I39451+I39464+I39477</f>
        <v>2598.8887587</v>
      </c>
      <c r="J39479" s="17" t="n">
        <f aca="false">J39360+J39373+J39386+J39399+J39412+J39425+J39438+J39451+J39464+J39477</f>
        <v>2594.8887587</v>
      </c>
      <c r="K39479" s="17" t="n">
        <f aca="false">K39360+K39373+K39386+K39399+K39412+K39425+K39438+K39451+K39464+K39477</f>
        <v>2590.8887587</v>
      </c>
    </row>
    <row r="39480" customFormat="false" ht="15" hidden="false" customHeight="false" outlineLevel="0" collapsed="false">
      <c r="A39480" s="3" t="s">
        <v>351</v>
      </c>
      <c r="G39480" s="16" t="n">
        <f aca="false">G39350*Assumptions!$C$57+G39363*Assumptions!$C$58+G39376*Assumptions!$C$59+G39389*Assumptions!$C$60+G39402*Assumptions!$C$61+G39415*Assumptions!$C$62+G39428*Assumptions!$C$63+G39441*Assumptions!$C$64+G39454*Assumptions!$C$65+G39467*Assumptions!$C$66</f>
        <v>0</v>
      </c>
      <c r="H39480" s="16" t="n">
        <f aca="false">H39350*Assumptions!$C$57+H39363*Assumptions!$C$58+H39376*Assumptions!$C$59+H39389*Assumptions!$C$60+H39402*Assumptions!$C$61+H39415*Assumptions!$C$62+H39428*Assumptions!$C$63+H39441*Assumptions!$C$64+H39454*Assumptions!$C$65+H39467*Assumptions!$C$66</f>
        <v>800</v>
      </c>
      <c r="I39480" s="16" t="n">
        <f aca="false">I39350*Assumptions!$C$57+I39363*Assumptions!$C$58+I39376*Assumptions!$C$59+I39389*Assumptions!$C$60+I39402*Assumptions!$C$61+I39415*Assumptions!$C$62+I39428*Assumptions!$C$63+I39441*Assumptions!$C$64+I39454*Assumptions!$C$65+I39467*Assumptions!$C$66</f>
        <v>550</v>
      </c>
      <c r="J39480" s="16" t="n">
        <f aca="false">J39350*Assumptions!$C$57+J39363*Assumptions!$C$58+J39376*Assumptions!$C$59+J39389*Assumptions!$C$60+J39402*Assumptions!$C$61+J39415*Assumptions!$C$62+J39428*Assumptions!$C$63+J39441*Assumptions!$C$64+J39454*Assumptions!$C$65+J39467*Assumptions!$C$66</f>
        <v>350</v>
      </c>
      <c r="K39480" s="16" t="n">
        <f aca="false">K39350*Assumptions!$C$57+K39363*Assumptions!$C$58+K39376*Assumptions!$C$59+K39389*Assumptions!$C$60+K39402*Assumptions!$C$61+K39415*Assumptions!$C$62+K39428*Assumptions!$C$63+K39441*Assumptions!$C$64+K39454*Assumptions!$C$65+K39467*Assumptions!$C$66</f>
        <v>700</v>
      </c>
    </row>
    <row r="39481" customFormat="false" ht="15" hidden="false" customHeight="false" outlineLevel="0" collapsed="false">
      <c r="A39481" s="24" t="s">
        <v>352</v>
      </c>
      <c r="B39481" s="25"/>
      <c r="C39481" s="25"/>
      <c r="D39481" s="25"/>
      <c r="E39481" s="25"/>
      <c r="F39481" s="25"/>
      <c r="G39481" s="25"/>
      <c r="H39481" s="25"/>
      <c r="I39481" s="25"/>
      <c r="J39481" s="25"/>
      <c r="K39481" s="25"/>
    </row>
    <row r="39482" customFormat="false" ht="15" hidden="false" customHeight="false" outlineLevel="0" collapsed="false">
      <c r="A39482" s="3" t="s">
        <v>353</v>
      </c>
      <c r="C39482" s="16" t="n">
        <f aca="false">SUMPRODUCT($G$39350:$K$39350,$G$39349:$K$39349-$G$39355:$K$39355+$G$39354:$K$39354)</f>
        <v>380</v>
      </c>
    </row>
    <row r="39483" customFormat="false" ht="15" hidden="false" customHeight="false" outlineLevel="0" collapsed="false">
      <c r="A39483" s="3" t="s">
        <v>354</v>
      </c>
      <c r="C39483" s="16" t="n">
        <f aca="false">SUMPRODUCT($G$39350:$K$39350,$G$39357:$K$39357)</f>
        <v>0</v>
      </c>
    </row>
    <row r="39484" customFormat="false" ht="15" hidden="false" customHeight="false" outlineLevel="0" collapsed="false">
      <c r="A39484" s="3" t="s">
        <v>355</v>
      </c>
      <c r="C39484" s="3" t="str">
        <f aca="false">IF(SUM($G$39350:$K$39350)=0,"n/a (beyond horizon)",IF(SUMPRODUCT($G$39350:$K$39350,$G$39347:$K$39347)&gt;0,"REFINANCING PASS","REFINANCING FAILURE"))</f>
        <v>REFINANCING FAILURE</v>
      </c>
    </row>
    <row r="39485" customFormat="false" ht="15" hidden="false" customHeight="false" outlineLevel="0" collapsed="false">
      <c r="A39485" s="3" t="s">
        <v>356</v>
      </c>
      <c r="C39485" s="3" t="str">
        <f aca="false">IF(SUM($G$39350:$K$39350)=0,"n/a",IF(C39483&gt;=C39482-0.001,"Repaid from cash",IF(SUMPRODUCT($G$39350:$K$39350,$G$39347:$K$39347)&gt;0,IF(C39483&gt;0,"Partly repaid; remainder refinanced","Refinanced"),IF(SUM($G$39359:$K$39359)&gt;0.001,IF(C39483&gt;0,"Partial repayment; PAYMENT DEFAULT","PAYMENT DEFAULT"),"Repaid from cash"))))</f>
        <v>PAYMENT DEFAULT</v>
      </c>
    </row>
    <row r="39486" customFormat="false" ht="15" hidden="false" customHeight="false" outlineLevel="0" collapsed="false">
      <c r="A39486" s="3" t="s">
        <v>357</v>
      </c>
      <c r="C39486" s="16" t="n">
        <f aca="false">SUMPRODUCT($G$39363:$K$39363,$G$39362:$K$39362-$G$39368:$K$39368+$G$39367:$K$39367)</f>
        <v>0</v>
      </c>
    </row>
    <row r="39487" customFormat="false" ht="15" hidden="false" customHeight="false" outlineLevel="0" collapsed="false">
      <c r="A39487" s="3" t="s">
        <v>358</v>
      </c>
      <c r="C39487" s="16" t="n">
        <f aca="false">SUMPRODUCT($G$39363:$K$39363,$G$39370:$K$39370)</f>
        <v>0</v>
      </c>
    </row>
    <row r="39488" customFormat="false" ht="15" hidden="false" customHeight="false" outlineLevel="0" collapsed="false">
      <c r="A39488" s="3" t="s">
        <v>359</v>
      </c>
      <c r="C39488" s="3" t="str">
        <f aca="false">IF(SUM($G$39363:$K$39363)=0,"n/a (beyond horizon)",IF(SUMPRODUCT($G$39363:$K$39363,$G$39347:$K$39347)&gt;0,"REFINANCING PASS","REFINANCING FAILURE"))</f>
        <v>n/a (beyond horizon)</v>
      </c>
    </row>
    <row r="39489" customFormat="false" ht="15" hidden="false" customHeight="false" outlineLevel="0" collapsed="false">
      <c r="A39489" s="3" t="s">
        <v>360</v>
      </c>
      <c r="C39489" s="3" t="str">
        <f aca="false">IF(SUM($G$39363:$K$39363)=0,"n/a",IF(C39487&gt;=C39486-0.001,"Repaid from cash",IF(SUMPRODUCT($G$39363:$K$39363,$G$39347:$K$39347)&gt;0,IF(C39487&gt;0,"Partly repaid; remainder refinanced","Refinanced"),IF(SUM($G$39372:$K$39372)&gt;0.001,IF(C39487&gt;0,"Partial repayment; PAYMENT DEFAULT","PAYMENT DEFAULT"),"Repaid from cash"))))</f>
        <v>n/a</v>
      </c>
    </row>
    <row r="39490" customFormat="false" ht="15" hidden="false" customHeight="false" outlineLevel="0" collapsed="false">
      <c r="A39490" s="3" t="s">
        <v>361</v>
      </c>
      <c r="C39490" s="16" t="n">
        <f aca="false">SUMPRODUCT($G$39376:$K$39376,$G$39375:$K$39375-$G$39381:$K$39381+$G$39380:$K$39380)</f>
        <v>0</v>
      </c>
    </row>
    <row r="39491" customFormat="false" ht="15" hidden="false" customHeight="false" outlineLevel="0" collapsed="false">
      <c r="A39491" s="3" t="s">
        <v>362</v>
      </c>
      <c r="C39491" s="16" t="n">
        <f aca="false">SUMPRODUCT($G$39376:$K$39376,$G$39383:$K$39383)</f>
        <v>0</v>
      </c>
    </row>
    <row r="39492" customFormat="false" ht="15" hidden="false" customHeight="false" outlineLevel="0" collapsed="false">
      <c r="A39492" s="3" t="s">
        <v>363</v>
      </c>
      <c r="C39492" s="3" t="str">
        <f aca="false">IF(SUM($G$39376:$K$39376)=0,"n/a (beyond horizon)",IF(SUMPRODUCT($G$39376:$K$39376,$G$39347:$K$39347)&gt;0,"REFINANCING PASS","REFINANCING FAILURE"))</f>
        <v>n/a (beyond horizon)</v>
      </c>
    </row>
    <row r="39493" customFormat="false" ht="15" hidden="false" customHeight="false" outlineLevel="0" collapsed="false">
      <c r="A39493" s="3" t="s">
        <v>364</v>
      </c>
      <c r="C39493" s="3" t="str">
        <f aca="false">IF(SUM($G$39376:$K$39376)=0,"n/a",IF(C39491&gt;=C39490-0.001,"Repaid from cash",IF(SUMPRODUCT($G$39376:$K$39376,$G$39347:$K$39347)&gt;0,IF(C39491&gt;0,"Partly repaid; remainder refinanced","Refinanced"),IF(SUM($G$39385:$K$39385)&gt;0.001,IF(C39491&gt;0,"Partial repayment; PAYMENT DEFAULT","PAYMENT DEFAULT"),"Repaid from cash"))))</f>
        <v>n/a</v>
      </c>
    </row>
    <row r="39494" customFormat="false" ht="15" hidden="false" customHeight="false" outlineLevel="0" collapsed="false">
      <c r="A39494" s="3" t="s">
        <v>365</v>
      </c>
      <c r="C39494" s="16" t="n">
        <f aca="false">SUMPRODUCT($G$39389:$K$39389,$G$39388:$K$39388-$G$39394:$K$39394+$G$39393:$K$39393)</f>
        <v>0</v>
      </c>
    </row>
    <row r="39495" customFormat="false" ht="15" hidden="false" customHeight="false" outlineLevel="0" collapsed="false">
      <c r="A39495" s="3" t="s">
        <v>366</v>
      </c>
      <c r="C39495" s="16" t="n">
        <f aca="false">SUMPRODUCT($G$39389:$K$39389,$G$39396:$K$39396)</f>
        <v>0</v>
      </c>
    </row>
    <row r="39496" customFormat="false" ht="15" hidden="false" customHeight="false" outlineLevel="0" collapsed="false">
      <c r="A39496" s="3" t="s">
        <v>367</v>
      </c>
      <c r="C39496" s="3" t="str">
        <f aca="false">IF(SUM($G$39389:$K$39389)=0,"n/a (beyond horizon)",IF(SUMPRODUCT($G$39389:$K$39389,$G$39347:$K$39347)&gt;0,"REFINANCING PASS","REFINANCING FAILURE"))</f>
        <v>REFINANCING FAILURE</v>
      </c>
    </row>
    <row r="39497" customFormat="false" ht="15" hidden="false" customHeight="false" outlineLevel="0" collapsed="false">
      <c r="A39497" s="3" t="s">
        <v>368</v>
      </c>
      <c r="C39497" s="3" t="str">
        <f aca="false">IF(SUM($G$39389:$K$39389)=0,"n/a",IF(C39495&gt;=C39494-0.001,"Repaid from cash",IF(SUMPRODUCT($G$39389:$K$39389,$G$39347:$K$39347)&gt;0,IF(C39495&gt;0,"Partly repaid; remainder refinanced","Refinanced"),IF(SUM($G$39398:$K$39398)&gt;0.001,IF(C39495&gt;0,"Partial repayment; PAYMENT DEFAULT","PAYMENT DEFAULT"),"Repaid from cash"))))</f>
        <v>Repaid from cash</v>
      </c>
    </row>
    <row r="39498" customFormat="false" ht="15" hidden="false" customHeight="false" outlineLevel="0" collapsed="false">
      <c r="A39498" s="3" t="s">
        <v>369</v>
      </c>
      <c r="C39498" s="16" t="n">
        <f aca="false">SUMPRODUCT($G$39402:$K$39402,$G$39401:$K$39401-$G$39407:$K$39407+$G$39406:$K$39406)</f>
        <v>450</v>
      </c>
    </row>
    <row r="39499" customFormat="false" ht="15" hidden="false" customHeight="false" outlineLevel="0" collapsed="false">
      <c r="A39499" s="3" t="s">
        <v>370</v>
      </c>
      <c r="C39499" s="16" t="n">
        <f aca="false">SUMPRODUCT($G$39402:$K$39402,$G$39409:$K$39409)</f>
        <v>15.0452413</v>
      </c>
    </row>
    <row r="39500" customFormat="false" ht="15" hidden="false" customHeight="false" outlineLevel="0" collapsed="false">
      <c r="A39500" s="3" t="s">
        <v>371</v>
      </c>
      <c r="C39500" s="3" t="str">
        <f aca="false">IF(SUM($G$39402:$K$39402)=0,"n/a (beyond horizon)",IF(SUMPRODUCT($G$39402:$K$39402,$G$39347:$K$39347)&gt;0,"REFINANCING PASS","REFINANCING FAILURE"))</f>
        <v>REFINANCING FAILURE</v>
      </c>
    </row>
    <row r="39501" customFormat="false" ht="15" hidden="false" customHeight="false" outlineLevel="0" collapsed="false">
      <c r="A39501" s="3" t="s">
        <v>372</v>
      </c>
      <c r="C39501" s="3" t="str">
        <f aca="false">IF(SUM($G$39402:$K$39402)=0,"n/a",IF(C39499&gt;=C39498-0.001,"Repaid from cash",IF(SUMPRODUCT($G$39402:$K$39402,$G$39347:$K$39347)&gt;0,IF(C39499&gt;0,"Partly repaid; remainder refinanced","Refinanced"),IF(SUM($G$39411:$K$39411)&gt;0.001,IF(C39499&gt;0,"Partial repayment; PAYMENT DEFAULT","PAYMENT DEFAULT"),"Repaid from cash"))))</f>
        <v>Partial repayment; PAYMENT DEFAULT</v>
      </c>
    </row>
    <row r="39502" customFormat="false" ht="15" hidden="false" customHeight="false" outlineLevel="0" collapsed="false">
      <c r="A39502" s="3" t="s">
        <v>373</v>
      </c>
      <c r="C39502" s="16" t="n">
        <f aca="false">SUMPRODUCT($G$39415:$K$39415,$G$39414:$K$39414-$G$39420:$K$39420+$G$39419:$K$39419)</f>
        <v>350</v>
      </c>
    </row>
    <row r="39503" customFormat="false" ht="15" hidden="false" customHeight="false" outlineLevel="0" collapsed="false">
      <c r="A39503" s="3" t="s">
        <v>374</v>
      </c>
      <c r="C39503" s="16" t="n">
        <f aca="false">SUMPRODUCT($G$39415:$K$39415,$G$39422:$K$39422)</f>
        <v>0</v>
      </c>
    </row>
    <row r="39504" customFormat="false" ht="15" hidden="false" customHeight="false" outlineLevel="0" collapsed="false">
      <c r="A39504" s="3" t="s">
        <v>375</v>
      </c>
      <c r="C39504" s="3" t="str">
        <f aca="false">IF(SUM($G$39415:$K$39415)=0,"n/a (beyond horizon)",IF(SUMPRODUCT($G$39415:$K$39415,$G$39347:$K$39347)&gt;0,"REFINANCING PASS","REFINANCING FAILURE"))</f>
        <v>REFINANCING FAILURE</v>
      </c>
    </row>
    <row r="39505" customFormat="false" ht="15" hidden="false" customHeight="false" outlineLevel="0" collapsed="false">
      <c r="A39505" s="3" t="s">
        <v>376</v>
      </c>
      <c r="C39505" s="3" t="str">
        <f aca="false">IF(SUM($G$39415:$K$39415)=0,"n/a",IF(C39503&gt;=C39502-0.001,"Repaid from cash",IF(SUMPRODUCT($G$39415:$K$39415,$G$39347:$K$39347)&gt;0,IF(C39503&gt;0,"Partly repaid; remainder refinanced","Refinanced"),IF(SUM($G$39424:$K$39424)&gt;0.001,IF(C39503&gt;0,"Partial repayment; PAYMENT DEFAULT","PAYMENT DEFAULT"),"Repaid from cash"))))</f>
        <v>PAYMENT DEFAULT</v>
      </c>
    </row>
    <row r="39506" customFormat="false" ht="15" hidden="false" customHeight="false" outlineLevel="0" collapsed="false">
      <c r="A39506" s="3" t="s">
        <v>377</v>
      </c>
      <c r="C39506" s="16" t="n">
        <f aca="false">SUMPRODUCT($G$39428:$K$39428,$G$39427:$K$39427-$G$39433:$K$39433+$G$39432:$K$39432)</f>
        <v>550</v>
      </c>
    </row>
    <row r="39507" customFormat="false" ht="15" hidden="false" customHeight="false" outlineLevel="0" collapsed="false">
      <c r="A39507" s="3" t="s">
        <v>378</v>
      </c>
      <c r="C39507" s="16" t="n">
        <f aca="false">SUMPRODUCT($G$39428:$K$39428,$G$39435:$K$39435)</f>
        <v>0</v>
      </c>
    </row>
    <row r="39508" customFormat="false" ht="15" hidden="false" customHeight="false" outlineLevel="0" collapsed="false">
      <c r="A39508" s="3" t="s">
        <v>379</v>
      </c>
      <c r="C39508" s="3" t="str">
        <f aca="false">IF(SUM($G$39428:$K$39428)=0,"n/a (beyond horizon)",IF(SUMPRODUCT($G$39428:$K$39428,$G$39347:$K$39347)&gt;0,"REFINANCING PASS","REFINANCING FAILURE"))</f>
        <v>REFINANCING FAILURE</v>
      </c>
    </row>
    <row r="39509" customFormat="false" ht="15" hidden="false" customHeight="false" outlineLevel="0" collapsed="false">
      <c r="A39509" s="3" t="s">
        <v>380</v>
      </c>
      <c r="C39509" s="3" t="str">
        <f aca="false">IF(SUM($G$39428:$K$39428)=0,"n/a",IF(C39507&gt;=C39506-0.001,"Repaid from cash",IF(SUMPRODUCT($G$39428:$K$39428,$G$39347:$K$39347)&gt;0,IF(C39507&gt;0,"Partly repaid; remainder refinanced","Refinanced"),IF(SUM($G$39437:$K$39437)&gt;0.001,IF(C39507&gt;0,"Partial repayment; PAYMENT DEFAULT","PAYMENT DEFAULT"),"Repaid from cash"))))</f>
        <v>PAYMENT DEFAULT</v>
      </c>
    </row>
    <row r="39510" customFormat="false" ht="15" hidden="false" customHeight="false" outlineLevel="0" collapsed="false">
      <c r="A39510" s="3" t="s">
        <v>381</v>
      </c>
      <c r="C39510" s="16" t="n">
        <f aca="false">SUMPRODUCT($G$39441:$K$39441,$G$39440:$K$39440-$G$39446:$K$39446+$G$39445:$K$39445)</f>
        <v>350</v>
      </c>
    </row>
    <row r="39511" customFormat="false" ht="15" hidden="false" customHeight="false" outlineLevel="0" collapsed="false">
      <c r="A39511" s="3" t="s">
        <v>382</v>
      </c>
      <c r="C39511" s="16" t="n">
        <f aca="false">SUMPRODUCT($G$39441:$K$39441,$G$39448:$K$39448)</f>
        <v>0</v>
      </c>
    </row>
    <row r="39512" customFormat="false" ht="15" hidden="false" customHeight="false" outlineLevel="0" collapsed="false">
      <c r="A39512" s="3" t="s">
        <v>383</v>
      </c>
      <c r="C39512" s="3" t="str">
        <f aca="false">IF(SUM($G$39441:$K$39441)=0,"n/a (beyond horizon)",IF(SUMPRODUCT($G$39441:$K$39441,$G$39347:$K$39347)&gt;0,"REFINANCING PASS","REFINANCING FAILURE"))</f>
        <v>REFINANCING FAILURE</v>
      </c>
    </row>
    <row r="39513" customFormat="false" ht="15" hidden="false" customHeight="false" outlineLevel="0" collapsed="false">
      <c r="A39513" s="3" t="s">
        <v>384</v>
      </c>
      <c r="C39513" s="3" t="str">
        <f aca="false">IF(SUM($G$39441:$K$39441)=0,"n/a",IF(C39511&gt;=C39510-0.001,"Repaid from cash",IF(SUMPRODUCT($G$39441:$K$39441,$G$39347:$K$39347)&gt;0,IF(C39511&gt;0,"Partly repaid; remainder refinanced","Refinanced"),IF(SUM($G$39450:$K$39450)&gt;0.001,IF(C39511&gt;0,"Partial repayment; PAYMENT DEFAULT","PAYMENT DEFAULT"),"Repaid from cash"))))</f>
        <v>PAYMENT DEFAULT</v>
      </c>
    </row>
    <row r="39514" customFormat="false" ht="15" hidden="false" customHeight="false" outlineLevel="0" collapsed="false">
      <c r="A39514" s="3" t="s">
        <v>385</v>
      </c>
      <c r="C39514" s="16" t="n">
        <f aca="false">SUMPRODUCT($G$39454:$K$39454,$G$39453:$K$39453-$G$39459:$K$39459+$G$39458:$K$39458)</f>
        <v>300</v>
      </c>
    </row>
    <row r="39515" customFormat="false" ht="15" hidden="false" customHeight="false" outlineLevel="0" collapsed="false">
      <c r="A39515" s="3" t="s">
        <v>386</v>
      </c>
      <c r="C39515" s="16" t="n">
        <f aca="false">SUMPRODUCT($G$39454:$K$39454,$G$39461:$K$39461)</f>
        <v>0</v>
      </c>
    </row>
    <row r="39516" customFormat="false" ht="15" hidden="false" customHeight="false" outlineLevel="0" collapsed="false">
      <c r="A39516" s="3" t="s">
        <v>387</v>
      </c>
      <c r="C39516" s="3" t="str">
        <f aca="false">IF(SUM($G$39454:$K$39454)=0,"n/a (beyond horizon)",IF(SUMPRODUCT($G$39454:$K$39454,$G$39347:$K$39347)&gt;0,"REFINANCING PASS","REFINANCING FAILURE"))</f>
        <v>REFINANCING FAILURE</v>
      </c>
    </row>
    <row r="39517" customFormat="false" ht="15" hidden="false" customHeight="false" outlineLevel="0" collapsed="false">
      <c r="A39517" s="3" t="s">
        <v>388</v>
      </c>
      <c r="C39517" s="3" t="str">
        <f aca="false">IF(SUM($G$39454:$K$39454)=0,"n/a",IF(C39515&gt;=C39514-0.001,"Repaid from cash",IF(SUMPRODUCT($G$39454:$K$39454,$G$39347:$K$39347)&gt;0,IF(C39515&gt;0,"Partly repaid; remainder refinanced","Refinanced"),IF(SUM($G$39463:$K$39463)&gt;0.001,IF(C39515&gt;0,"Partial repayment; PAYMENT DEFAULT","PAYMENT DEFAULT"),"Repaid from cash"))))</f>
        <v>PAYMENT DEFAULT</v>
      </c>
    </row>
    <row r="39518" customFormat="false" ht="15" hidden="false" customHeight="false" outlineLevel="0" collapsed="false">
      <c r="A39518" s="3" t="s">
        <v>389</v>
      </c>
      <c r="C39518" s="16" t="n">
        <f aca="false">SUMPRODUCT($G$39467:$K$39467,$G$39466:$K$39466-$G$39472:$K$39472+$G$39471:$K$39471)</f>
        <v>0</v>
      </c>
    </row>
    <row r="39519" customFormat="false" ht="15" hidden="false" customHeight="false" outlineLevel="0" collapsed="false">
      <c r="A39519" s="3" t="s">
        <v>390</v>
      </c>
      <c r="C39519" s="16" t="n">
        <f aca="false">SUMPRODUCT($G$39467:$K$39467,$G$39474:$K$39474)</f>
        <v>0</v>
      </c>
    </row>
    <row r="39520" customFormat="false" ht="15" hidden="false" customHeight="false" outlineLevel="0" collapsed="false">
      <c r="A39520" s="3" t="s">
        <v>391</v>
      </c>
      <c r="C39520" s="3" t="str">
        <f aca="false">IF(SUM($G$39467:$K$39467)=0,"n/a (beyond horizon)",IF(SUMPRODUCT($G$39467:$K$39467,$G$39347:$K$39347)&gt;0,"REFINANCING PASS","REFINANCING FAILURE"))</f>
        <v>n/a (beyond horizon)</v>
      </c>
    </row>
    <row r="39521" customFormat="false" ht="15" hidden="false" customHeight="false" outlineLevel="0" collapsed="false">
      <c r="A39521" s="3" t="s">
        <v>392</v>
      </c>
      <c r="C39521" s="3" t="str">
        <f aca="false">IF(SUM($G$39467:$K$39467)=0,"n/a",IF(C39519&gt;=C39518-0.001,"Repaid from cash",IF(SUMPRODUCT($G$39467:$K$39467,$G$39347:$K$39347)&gt;0,IF(C39519&gt;0,"Partly repaid; remainder refinanced","Refinanced"),IF(SUM($G$39476:$K$39476)&gt;0.001,IF(C39519&gt;0,"Partial repayment; PAYMENT DEFAULT","PAYMENT DEFAULT"),"Repaid from cash"))))</f>
        <v>n/a</v>
      </c>
    </row>
    <row r="39522" customFormat="false" ht="15" hidden="false" customHeight="false" outlineLevel="0" collapsed="false">
      <c r="A39522" s="3" t="s">
        <v>393</v>
      </c>
      <c r="C39522" s="21" t="n">
        <f aca="false">IF(C39484="REFINANCING FAILURE",1,0)+IF(C39488="REFINANCING FAILURE",1,0)+IF(C39492="REFINANCING FAILURE",1,0)+IF(C39496="REFINANCING FAILURE",1,0)+IF(C39500="REFINANCING FAILURE",1,0)+IF(C39504="REFINANCING FAILURE",1,0)+IF(C39508="REFINANCING FAILURE",1,0)+IF(C39512="REFINANCING FAILURE",1,0)+IF(C39516="REFINANCING FAILURE",1,0)+IF(C39520="REFINANCING FAILURE",1,0)</f>
        <v>7</v>
      </c>
    </row>
    <row r="39524" customFormat="false" ht="15" hidden="false" customHeight="false" outlineLevel="0" collapsed="false">
      <c r="A39524" s="24" t="s">
        <v>395</v>
      </c>
      <c r="B39524" s="25"/>
      <c r="C39524" s="25"/>
      <c r="D39524" s="25"/>
      <c r="E39524" s="25"/>
      <c r="F39524" s="25"/>
      <c r="G39524" s="25"/>
      <c r="H39524" s="25"/>
      <c r="I39524" s="25"/>
      <c r="J39524" s="25"/>
      <c r="K39524" s="25"/>
    </row>
    <row r="39525" customFormat="false" ht="15" hidden="false" customHeight="false" outlineLevel="0" collapsed="false">
      <c r="A39525" s="3" t="s">
        <v>325</v>
      </c>
      <c r="G39525" s="16" t="n">
        <f aca="false">F39537</f>
        <v>37.87</v>
      </c>
      <c r="H39525" s="16" t="n">
        <f aca="false">G39537</f>
        <v>87.2944416</v>
      </c>
      <c r="I39525" s="16" t="n">
        <f aca="false">H39537</f>
        <v>0</v>
      </c>
      <c r="J39525" s="16" t="n">
        <f aca="false">I39537</f>
        <v>-75.7748017716</v>
      </c>
      <c r="K39525" s="16" t="n">
        <f aca="false">J39537</f>
        <v>-149.05681614325</v>
      </c>
    </row>
    <row r="39526" customFormat="false" ht="15" hidden="false" customHeight="false" outlineLevel="0" collapsed="false">
      <c r="A39526" s="3" t="s">
        <v>396</v>
      </c>
      <c r="G39526" s="16" t="n">
        <f aca="false">G39336</f>
        <v>-46.5755584</v>
      </c>
      <c r="H39526" s="16" t="n">
        <f aca="false">H39336</f>
        <v>-68.2492003</v>
      </c>
      <c r="I39526" s="16" t="n">
        <f aca="false">I39336</f>
        <v>-71.7748017716</v>
      </c>
      <c r="J39526" s="16" t="n">
        <f aca="false">J39336</f>
        <v>-69.28201437165</v>
      </c>
      <c r="K39526" s="16" t="n">
        <f aca="false">K39336</f>
        <v>-63.512311383781</v>
      </c>
    </row>
    <row r="39527" customFormat="false" ht="15" hidden="false" customHeight="false" outlineLevel="0" collapsed="false">
      <c r="A39527" s="3" t="s">
        <v>397</v>
      </c>
      <c r="G39527" s="16" t="n">
        <f aca="false">CHOOSE($C$39306,Assumptions!$G$82,Assumptions!$G$101,Assumptions!$G$120)</f>
        <v>100</v>
      </c>
      <c r="H39527" s="16" t="n">
        <f aca="false">CHOOSE($C$39306,Assumptions!$H$82,Assumptions!$H$101,Assumptions!$H$120)</f>
        <v>0</v>
      </c>
      <c r="I39527" s="16" t="n">
        <f aca="false">CHOOSE($C$39306,Assumptions!$I$82,Assumptions!$I$101,Assumptions!$I$120)</f>
        <v>0</v>
      </c>
      <c r="J39527" s="16" t="n">
        <f aca="false">CHOOSE($C$39306,Assumptions!$J$82,Assumptions!$J$101,Assumptions!$J$120)</f>
        <v>0</v>
      </c>
      <c r="K39527" s="16" t="n">
        <f aca="false">CHOOSE($C$39306,Assumptions!$K$82,Assumptions!$K$101,Assumptions!$K$120)</f>
        <v>0</v>
      </c>
    </row>
    <row r="39528" customFormat="false" ht="15" hidden="false" customHeight="false" outlineLevel="0" collapsed="false">
      <c r="A39528" s="3" t="s">
        <v>398</v>
      </c>
      <c r="G39528" s="16" t="n">
        <f aca="false">G39355+G39368+G39381+G39394+G39407+G39420+G39433+G39446+G39459+G39472</f>
        <v>4</v>
      </c>
      <c r="H39528" s="16" t="n">
        <f aca="false">H39355+H39368+H39381+H39394+H39407+H39420+H39433+H39446+H39459+H39472</f>
        <v>4</v>
      </c>
      <c r="I39528" s="16" t="n">
        <f aca="false">I39355+I39368+I39381+I39394+I39407+I39420+I39433+I39446+I39459+I39472</f>
        <v>4</v>
      </c>
      <c r="J39528" s="16" t="n">
        <f aca="false">J39355+J39368+J39381+J39394+J39407+J39420+J39433+J39446+J39459+J39472</f>
        <v>4</v>
      </c>
      <c r="K39528" s="16" t="n">
        <f aca="false">K39355+K39368+K39381+K39394+K39407+K39420+K39433+K39446+K39459+K39472</f>
        <v>4</v>
      </c>
    </row>
    <row r="39529" customFormat="false" ht="15" hidden="false" customHeight="false" outlineLevel="0" collapsed="false">
      <c r="A39529" s="2" t="s">
        <v>399</v>
      </c>
      <c r="G39529" s="17" t="n">
        <f aca="false">G39525+G39526+G39527-G39528</f>
        <v>87.2944416</v>
      </c>
      <c r="H39529" s="17" t="n">
        <f aca="false">H39525+H39526+H39527-H39528</f>
        <v>15.0452413</v>
      </c>
      <c r="I39529" s="17" t="n">
        <f aca="false">I39525+I39526+I39527-I39528</f>
        <v>-75.7748017716</v>
      </c>
      <c r="J39529" s="17" t="n">
        <f aca="false">J39525+J39526+J39527-J39528</f>
        <v>-149.05681614325</v>
      </c>
      <c r="K39529" s="17" t="n">
        <f aca="false">K39525+K39526+K39527-K39528</f>
        <v>-216.569127527031</v>
      </c>
    </row>
    <row r="39530" customFormat="false" ht="15" hidden="false" customHeight="false" outlineLevel="0" collapsed="false">
      <c r="A39530" s="3" t="s">
        <v>400</v>
      </c>
      <c r="G39530" s="16" t="n">
        <f aca="false">G39356+G39369+G39382+G39395+G39408+G39421+G39434+G39447+G39460+G39473</f>
        <v>0</v>
      </c>
      <c r="H39530" s="16" t="n">
        <f aca="false">H39356+H39369+H39382+H39395+H39408+H39421+H39434+H39447+H39460+H39473</f>
        <v>0</v>
      </c>
      <c r="I39530" s="16" t="n">
        <f aca="false">I39356+I39369+I39382+I39395+I39408+I39421+I39434+I39447+I39460+I39473</f>
        <v>0</v>
      </c>
      <c r="J39530" s="16" t="n">
        <f aca="false">J39356+J39369+J39382+J39395+J39408+J39421+J39434+J39447+J39460+J39473</f>
        <v>0</v>
      </c>
      <c r="K39530" s="16" t="n">
        <f aca="false">K39356+K39369+K39382+K39395+K39408+K39421+K39434+K39447+K39460+K39473</f>
        <v>0</v>
      </c>
    </row>
    <row r="39531" customFormat="false" ht="15" hidden="false" customHeight="false" outlineLevel="0" collapsed="false">
      <c r="A39531" s="2" t="s">
        <v>401</v>
      </c>
      <c r="G39531" s="17" t="n">
        <f aca="false">G39529+G39530</f>
        <v>87.2944416</v>
      </c>
      <c r="H39531" s="17" t="n">
        <f aca="false">H39529+H39530</f>
        <v>15.0452413</v>
      </c>
      <c r="I39531" s="17" t="n">
        <f aca="false">I39529+I39530</f>
        <v>-75.7748017716</v>
      </c>
      <c r="J39531" s="17" t="n">
        <f aca="false">J39529+J39530</f>
        <v>-149.05681614325</v>
      </c>
      <c r="K39531" s="17" t="n">
        <f aca="false">K39529+K39530</f>
        <v>-216.569127527031</v>
      </c>
    </row>
    <row r="39532" customFormat="false" ht="15" hidden="false" customHeight="false" outlineLevel="0" collapsed="false">
      <c r="A39532" s="3" t="s">
        <v>402</v>
      </c>
      <c r="G39532" s="16" t="n">
        <f aca="false">G39357+G39370+G39383+G39396+G39409+G39422+G39435+G39448+G39461+G39474</f>
        <v>0</v>
      </c>
      <c r="H39532" s="16" t="n">
        <f aca="false">H39357+H39370+H39383+H39396+H39409+H39422+H39435+H39448+H39461+H39474</f>
        <v>15.0452413</v>
      </c>
      <c r="I39532" s="16" t="n">
        <f aca="false">I39357+I39370+I39383+I39396+I39409+I39422+I39435+I39448+I39461+I39474</f>
        <v>0</v>
      </c>
      <c r="J39532" s="16" t="n">
        <f aca="false">J39357+J39370+J39383+J39396+J39409+J39422+J39435+J39448+J39461+J39474</f>
        <v>0</v>
      </c>
      <c r="K39532" s="16" t="n">
        <f aca="false">K39357+K39370+K39383+K39396+K39409+K39422+K39435+K39448+K39461+K39474</f>
        <v>0</v>
      </c>
    </row>
    <row r="39533" customFormat="false" ht="15" hidden="false" customHeight="false" outlineLevel="0" collapsed="false">
      <c r="A39533" s="2" t="s">
        <v>403</v>
      </c>
      <c r="G39533" s="17" t="n">
        <f aca="false">G39531-G39532</f>
        <v>87.2944416</v>
      </c>
      <c r="H39533" s="17" t="n">
        <f aca="false">H39531-H39532</f>
        <v>0</v>
      </c>
      <c r="I39533" s="17" t="n">
        <f aca="false">I39531-I39532</f>
        <v>-75.7748017716</v>
      </c>
      <c r="J39533" s="17" t="n">
        <f aca="false">J39531-J39532</f>
        <v>-149.05681614325</v>
      </c>
      <c r="K39533" s="17" t="n">
        <f aca="false">K39531-K39532</f>
        <v>-216.569127527031</v>
      </c>
    </row>
    <row r="39534" customFormat="false" ht="15" hidden="false" customHeight="false" outlineLevel="0" collapsed="false">
      <c r="A39534" s="3" t="s">
        <v>404</v>
      </c>
      <c r="G39534" s="16" t="n">
        <f aca="false">MAX(0,-G39533)</f>
        <v>0</v>
      </c>
      <c r="H39534" s="16" t="n">
        <f aca="false">MAX(0,-H39533)</f>
        <v>-0</v>
      </c>
      <c r="I39534" s="16" t="n">
        <f aca="false">MAX(0,-I39533)</f>
        <v>75.7748017716</v>
      </c>
      <c r="J39534" s="16" t="n">
        <f aca="false">MAX(0,-J39533)</f>
        <v>149.05681614325</v>
      </c>
      <c r="K39534" s="16" t="n">
        <f aca="false">MAX(0,-K39533)</f>
        <v>216.569127527031</v>
      </c>
    </row>
    <row r="39535" customFormat="false" ht="15" hidden="false" customHeight="false" outlineLevel="0" collapsed="false">
      <c r="A39535" s="3" t="s">
        <v>405</v>
      </c>
      <c r="G39535" s="16" t="n">
        <f aca="false">MAX(0,G39533-Assumptions!$C$12)*Assumptions!$C$13</f>
        <v>0</v>
      </c>
      <c r="H39535" s="16" t="n">
        <f aca="false">MAX(0,H39533-Assumptions!$C$12)*Assumptions!$C$13</f>
        <v>0</v>
      </c>
      <c r="I39535" s="16" t="n">
        <f aca="false">MAX(0,I39533-Assumptions!$C$12)*Assumptions!$C$13</f>
        <v>0</v>
      </c>
      <c r="J39535" s="16" t="n">
        <f aca="false">MAX(0,J39533-Assumptions!$C$12)*Assumptions!$C$13</f>
        <v>0</v>
      </c>
      <c r="K39535" s="16" t="n">
        <f aca="false">MAX(0,K39533-Assumptions!$C$12)*Assumptions!$C$13</f>
        <v>0</v>
      </c>
    </row>
    <row r="39536" customFormat="false" ht="15" hidden="false" customHeight="false" outlineLevel="0" collapsed="false">
      <c r="A39536" s="3" t="s">
        <v>406</v>
      </c>
      <c r="G39536" s="16" t="n">
        <f aca="false">G39358+G39371+G39384+G39397+G39410+G39423+G39436+G39449+G39462+G39475</f>
        <v>0</v>
      </c>
      <c r="H39536" s="16" t="n">
        <f aca="false">H39358+H39371+H39384+H39397+H39410+H39423+H39436+H39449+H39462+H39475</f>
        <v>0</v>
      </c>
      <c r="I39536" s="16" t="n">
        <f aca="false">I39358+I39371+I39384+I39397+I39410+I39423+I39436+I39449+I39462+I39475</f>
        <v>0</v>
      </c>
      <c r="J39536" s="16" t="n">
        <f aca="false">J39358+J39371+J39384+J39397+J39410+J39423+J39436+J39449+J39462+J39475</f>
        <v>0</v>
      </c>
      <c r="K39536" s="16" t="n">
        <f aca="false">K39358+K39371+K39384+K39397+K39410+K39423+K39436+K39449+K39462+K39475</f>
        <v>0</v>
      </c>
    </row>
    <row r="39537" customFormat="false" ht="15" hidden="false" customHeight="false" outlineLevel="0" collapsed="false">
      <c r="A39537" s="2" t="s">
        <v>407</v>
      </c>
      <c r="F39537" s="28" t="n">
        <f aca="false">Assumptions!$C$11</f>
        <v>37.87</v>
      </c>
      <c r="G39537" s="17" t="n">
        <f aca="false">G39533-G39536</f>
        <v>87.2944416</v>
      </c>
      <c r="H39537" s="17" t="n">
        <f aca="false">H39533-H39536</f>
        <v>0</v>
      </c>
      <c r="I39537" s="17" t="n">
        <f aca="false">I39533-I39536</f>
        <v>-75.7748017716</v>
      </c>
      <c r="J39537" s="17" t="n">
        <f aca="false">J39533-J39536</f>
        <v>-149.05681614325</v>
      </c>
      <c r="K39537" s="17" t="n">
        <f aca="false">K39533-K39536</f>
        <v>-216.569127527031</v>
      </c>
    </row>
    <row r="39538" customFormat="false" ht="15" hidden="false" customHeight="false" outlineLevel="0" collapsed="false">
      <c r="A39538" s="3" t="s">
        <v>408</v>
      </c>
      <c r="G39538" s="16" t="n">
        <f aca="false">G39359+G39372+G39385+G39398+G39411+G39424+G39437+G39450+G39463+G39476</f>
        <v>0</v>
      </c>
      <c r="H39538" s="16" t="n">
        <f aca="false">H39359+H39372+H39385+H39398+H39411+H39424+H39437+H39450+H39463+H39476</f>
        <v>784.9547587</v>
      </c>
      <c r="I39538" s="16" t="n">
        <f aca="false">I39359+I39372+I39385+I39398+I39411+I39424+I39437+I39450+I39463+I39476</f>
        <v>550</v>
      </c>
      <c r="J39538" s="16" t="n">
        <f aca="false">J39359+J39372+J39385+J39398+J39411+J39424+J39437+J39450+J39463+J39476</f>
        <v>350</v>
      </c>
      <c r="K39538" s="16" t="n">
        <f aca="false">K39359+K39372+K39385+K39398+K39411+K39424+K39437+K39450+K39463+K39476</f>
        <v>680</v>
      </c>
    </row>
    <row r="39539" customFormat="false" ht="15" hidden="false" customHeight="false" outlineLevel="0" collapsed="false">
      <c r="A39539" s="3" t="s">
        <v>409</v>
      </c>
      <c r="G39539" s="21" t="n">
        <f aca="false">IF(OR(G39534&gt;0.001,G39538&gt;0.001),1,0)</f>
        <v>0</v>
      </c>
      <c r="H39539" s="21" t="n">
        <f aca="false">IF(OR(H39534&gt;0.001,H39538&gt;0.001),1,0)</f>
        <v>1</v>
      </c>
      <c r="I39539" s="21" t="n">
        <f aca="false">IF(OR(I39534&gt;0.001,I39538&gt;0.001),1,0)</f>
        <v>1</v>
      </c>
      <c r="J39539" s="21" t="n">
        <f aca="false">IF(OR(J39534&gt;0.001,J39538&gt;0.001),1,0)</f>
        <v>1</v>
      </c>
      <c r="K39539" s="21" t="n">
        <f aca="false">IF(OR(K39534&gt;0.001,K39538&gt;0.001),1,0)</f>
        <v>1</v>
      </c>
    </row>
    <row r="39540" customFormat="false" ht="15" hidden="false" customHeight="false" outlineLevel="0" collapsed="false">
      <c r="A39540" s="3" t="s">
        <v>410</v>
      </c>
      <c r="G39540" s="21" t="n">
        <f aca="false">IF(G39539=1,1,0)</f>
        <v>0</v>
      </c>
      <c r="H39540" s="21" t="n">
        <f aca="false">IF(AND(H39539=1,SUM($G$39539:G39539)=0),1,0)</f>
        <v>1</v>
      </c>
      <c r="I39540" s="21" t="n">
        <f aca="false">IF(AND(I39539=1,SUM($G$39539:H39539)=0),1,0)</f>
        <v>0</v>
      </c>
      <c r="J39540" s="21" t="n">
        <f aca="false">IF(AND(J39539=1,SUM($G$39539:I39539)=0),1,0)</f>
        <v>0</v>
      </c>
      <c r="K39540" s="21" t="n">
        <f aca="false">IF(AND(K39539=1,SUM($G$39539:J39539)=0),1,0)</f>
        <v>0</v>
      </c>
    </row>
    <row r="39541" customFormat="false" ht="15" hidden="false" customHeight="false" outlineLevel="0" collapsed="false">
      <c r="A39541" s="3" t="s">
        <v>411</v>
      </c>
      <c r="G39541" s="16" t="n">
        <f aca="false">(G39479-F39479)-(G39530+G39328-G39528-G39532-G39536)</f>
        <v>0</v>
      </c>
      <c r="H39541" s="16" t="n">
        <f aca="false">(H39479-G39479)-(H39530+H39328-H39528-H39532-H39536)</f>
        <v>-2.27373675443232E-013</v>
      </c>
      <c r="I39541" s="16" t="n">
        <f aca="false">(I39479-H39479)-(I39530+I39328-I39528-I39532-I39536)</f>
        <v>0</v>
      </c>
      <c r="J39541" s="16" t="n">
        <f aca="false">(J39479-I39479)-(J39530+J39328-J39528-J39532-J39536)</f>
        <v>0</v>
      </c>
      <c r="K39541" s="16" t="n">
        <f aca="false">(K39479-J39479)-(K39530+K39328-K39528-K39532-K39536)</f>
        <v>0</v>
      </c>
    </row>
    <row r="39543" customFormat="false" ht="15" hidden="false" customHeight="false" outlineLevel="0" collapsed="false">
      <c r="A39543" s="24" t="s">
        <v>413</v>
      </c>
      <c r="B39543" s="25"/>
      <c r="C39543" s="25"/>
      <c r="D39543" s="25"/>
      <c r="E39543" s="25"/>
      <c r="F39543" s="25"/>
      <c r="G39543" s="25"/>
      <c r="H39543" s="25"/>
      <c r="I39543" s="25"/>
      <c r="J39543" s="25"/>
      <c r="K39543" s="25"/>
    </row>
    <row r="39544" customFormat="false" ht="15" hidden="false" customHeight="false" outlineLevel="0" collapsed="false">
      <c r="A39544" s="3" t="s">
        <v>414</v>
      </c>
      <c r="G39544" s="16" t="n">
        <f aca="false">G39479</f>
        <v>2621.934</v>
      </c>
      <c r="H39544" s="16" t="n">
        <f aca="false">H39479</f>
        <v>2602.8887587</v>
      </c>
      <c r="I39544" s="16" t="n">
        <f aca="false">I39479</f>
        <v>2598.8887587</v>
      </c>
      <c r="J39544" s="16" t="n">
        <f aca="false">J39479</f>
        <v>2594.8887587</v>
      </c>
      <c r="K39544" s="16" t="n">
        <f aca="false">K39479</f>
        <v>2590.8887587</v>
      </c>
    </row>
    <row r="39545" customFormat="false" ht="15" hidden="false" customHeight="false" outlineLevel="0" collapsed="false">
      <c r="A39545" s="3" t="s">
        <v>415</v>
      </c>
      <c r="G39545" s="16" t="n">
        <f aca="false">Assumptions!$O$57*G39360+Assumptions!$O$58*G39373+Assumptions!$O$59*G39386+Assumptions!$O$60*G39399+Assumptions!$O$61*G39412+Assumptions!$O$62*G39425+Assumptions!$O$63*G39438+Assumptions!$O$64*G39451+Assumptions!$O$65*G39464+Assumptions!$O$66*G39477</f>
        <v>543.324</v>
      </c>
      <c r="H39545" s="16" t="n">
        <f aca="false">Assumptions!$O$57*H39360+Assumptions!$O$58*H39373+Assumptions!$O$59*H39386+Assumptions!$O$60*H39399+Assumptions!$O$61*H39412+Assumptions!$O$62*H39425+Assumptions!$O$63*H39438+Assumptions!$O$64*H39451+Assumptions!$O$65*H39464+Assumptions!$O$66*H39477</f>
        <v>539.324</v>
      </c>
      <c r="I39545" s="16" t="n">
        <f aca="false">Assumptions!$O$57*I39360+Assumptions!$O$58*I39373+Assumptions!$O$59*I39386+Assumptions!$O$60*I39399+Assumptions!$O$61*I39412+Assumptions!$O$62*I39425+Assumptions!$O$63*I39438+Assumptions!$O$64*I39451+Assumptions!$O$65*I39464+Assumptions!$O$66*I39477</f>
        <v>535.324</v>
      </c>
      <c r="J39545" s="16" t="n">
        <f aca="false">Assumptions!$O$57*J39360+Assumptions!$O$58*J39373+Assumptions!$O$59*J39386+Assumptions!$O$60*J39399+Assumptions!$O$61*J39412+Assumptions!$O$62*J39425+Assumptions!$O$63*J39438+Assumptions!$O$64*J39451+Assumptions!$O$65*J39464+Assumptions!$O$66*J39477</f>
        <v>531.324</v>
      </c>
      <c r="K39545" s="16" t="n">
        <f aca="false">Assumptions!$O$57*K39360+Assumptions!$O$58*K39373+Assumptions!$O$59*K39386+Assumptions!$O$60*K39399+Assumptions!$O$61*K39412+Assumptions!$O$62*K39425+Assumptions!$O$63*K39438+Assumptions!$O$64*K39451+Assumptions!$O$65*K39464+Assumptions!$O$66*K39477</f>
        <v>527.324</v>
      </c>
    </row>
    <row r="39546" customFormat="false" ht="15" hidden="false" customHeight="false" outlineLevel="0" collapsed="false">
      <c r="A39546" s="3" t="s">
        <v>416</v>
      </c>
      <c r="G39546" s="16" t="n">
        <f aca="false">G39544-G39537</f>
        <v>2534.6395584</v>
      </c>
      <c r="H39546" s="16" t="n">
        <f aca="false">H39544-H39537</f>
        <v>2602.8887587</v>
      </c>
      <c r="I39546" s="16" t="n">
        <f aca="false">I39544-I39537</f>
        <v>2674.6635604716</v>
      </c>
      <c r="J39546" s="16" t="n">
        <f aca="false">J39544-J39537</f>
        <v>2743.94557484325</v>
      </c>
      <c r="K39546" s="16" t="n">
        <f aca="false">K39544-K39537</f>
        <v>2807.45788622703</v>
      </c>
    </row>
    <row r="39547" customFormat="false" ht="15" hidden="false" customHeight="false" outlineLevel="0" collapsed="false">
      <c r="A39547" s="3" t="s">
        <v>417</v>
      </c>
      <c r="G39547" s="32" t="n">
        <f aca="false">IF(G39323&gt;0,G39544/G39323,0)</f>
        <v>12.7097898879239</v>
      </c>
      <c r="H39547" s="32" t="n">
        <f aca="false">IF(H39323&gt;0,H39544/H39323,0)</f>
        <v>14.5137170159321</v>
      </c>
      <c r="I39547" s="32" t="n">
        <f aca="false">IF(I39323&gt;0,I39544/I39323,0)</f>
        <v>15.1153610447715</v>
      </c>
      <c r="J39547" s="32" t="n">
        <f aca="false">IF(J39323&gt;0,J39544/J39323,0)</f>
        <v>14.9166072034602</v>
      </c>
      <c r="K39547" s="32" t="n">
        <f aca="false">IF(K39323&gt;0,K39544/K39323,0)</f>
        <v>14.4110120408369</v>
      </c>
    </row>
    <row r="39548" customFormat="false" ht="15" hidden="false" customHeight="false" outlineLevel="0" collapsed="false">
      <c r="A39548" s="3" t="s">
        <v>418</v>
      </c>
      <c r="G39548" s="32" t="n">
        <f aca="false">IF(G39323&gt;0,G39546/G39323,0)</f>
        <v>12.2866312534504</v>
      </c>
      <c r="H39548" s="32" t="n">
        <f aca="false">IF(H39323&gt;0,H39546/H39323,0)</f>
        <v>14.5137170159321</v>
      </c>
      <c r="I39548" s="32" t="n">
        <f aca="false">IF(I39323&gt;0,I39546/I39323,0)</f>
        <v>15.5560738236619</v>
      </c>
      <c r="J39548" s="32" t="n">
        <f aca="false">IF(J39323&gt;0,J39546/J39323,0)</f>
        <v>15.7734539449449</v>
      </c>
      <c r="K39548" s="32" t="n">
        <f aca="false">IF(K39323&gt;0,K39546/K39323,0)</f>
        <v>15.6156103833885</v>
      </c>
    </row>
    <row r="39549" customFormat="false" ht="15" hidden="false" customHeight="false" outlineLevel="0" collapsed="false">
      <c r="A39549" s="3" t="s">
        <v>419</v>
      </c>
      <c r="G39549" s="32" t="n">
        <f aca="false">IF(G39327&gt;0,G39323/G39327,0)</f>
        <v>1.06025908412371</v>
      </c>
      <c r="H39549" s="32" t="n">
        <f aca="false">IF(H39327&gt;0,H39323/H39327,0)</f>
        <v>0.927444011573365</v>
      </c>
      <c r="I39549" s="32" t="n">
        <f aca="false">IF(I39327&gt;0,I39323/I39327,0)</f>
        <v>0.899631625108658</v>
      </c>
      <c r="J39549" s="32" t="n">
        <f aca="false">IF(J39327&gt;0,J39323/J39327,0)</f>
        <v>0.912459444554051</v>
      </c>
      <c r="K39549" s="32" t="n">
        <f aca="false">IF(K39327&gt;0,K39323/K39327,0)</f>
        <v>0.945346751531936</v>
      </c>
    </row>
    <row r="39550" customFormat="false" ht="15" hidden="false" customHeight="false" outlineLevel="0" collapsed="false">
      <c r="A39550" s="3" t="s">
        <v>420</v>
      </c>
      <c r="G39550" s="32" t="n">
        <f aca="false">IF(G39327&gt;0,G39326/G39327,0)</f>
        <v>0.20316175818306</v>
      </c>
      <c r="H39550" s="32" t="n">
        <f aca="false">IF(H39327&gt;0,H39326/H39327,0)</f>
        <v>0.125405512651662</v>
      </c>
      <c r="I39550" s="32" t="n">
        <f aca="false">IF(I39327&gt;0,I39326/I39327,0)</f>
        <v>0.112492039835566</v>
      </c>
      <c r="J39550" s="32" t="n">
        <f aca="false">IF(J39327&gt;0,J39326/J39327,0)</f>
        <v>0.123379355508513</v>
      </c>
      <c r="K39550" s="32" t="n">
        <f aca="false">IF(K39327&gt;0,K39326/K39327,0)</f>
        <v>0.146406265534401</v>
      </c>
    </row>
    <row r="39551" customFormat="false" ht="15" hidden="false" customHeight="false" outlineLevel="0" collapsed="false">
      <c r="A39551" s="3" t="s">
        <v>213</v>
      </c>
      <c r="G39551" s="22" t="n">
        <f aca="false">IF(G39544&gt;0,G39336/G39544,0)</f>
        <v>-0.0177638180060978</v>
      </c>
      <c r="H39551" s="22" t="n">
        <f aca="false">IF(H39544&gt;0,H39336/H39544,0)</f>
        <v>-0.0262205597806979</v>
      </c>
      <c r="I39551" s="22" t="n">
        <f aca="false">IF(I39544&gt;0,I39336/I39544,0)</f>
        <v>-0.0276174967209842</v>
      </c>
      <c r="J39551" s="22" t="n">
        <f aca="false">IF(J39544&gt;0,J39336/J39544,0)</f>
        <v>-0.0266994159727908</v>
      </c>
      <c r="K39551" s="22" t="n">
        <f aca="false">IF(K39544&gt;0,K39336/K39544,0)</f>
        <v>-0.0245137160638455</v>
      </c>
    </row>
    <row r="39552" customFormat="false" ht="15" hidden="false" customHeight="false" outlineLevel="0" collapsed="false">
      <c r="A39552" s="3" t="s">
        <v>421</v>
      </c>
      <c r="G39552" s="32" t="n">
        <f aca="false">IF(G39327+G39528&gt;0,(G39323-G39334-G39331)/(G39327+G39528),0)</f>
        <v>0.745298526859104</v>
      </c>
      <c r="H39552" s="32" t="n">
        <f aca="false">IF(H39327+H39528&gt;0,(H39323-H39334-H39331)/(H39327+H39528),0)</f>
        <v>0.633940444194116</v>
      </c>
      <c r="I39552" s="32" t="n">
        <f aca="false">IF(I39327+I39528&gt;0,(I39323-I39334-I39331)/(I39327+I39528),0)</f>
        <v>0.611648781339491</v>
      </c>
      <c r="J39552" s="32" t="n">
        <f aca="false">IF(J39327+J39528&gt;0,(J39323-J39334-J39331)/(J39327+J39528),0)</f>
        <v>0.623517628652559</v>
      </c>
      <c r="K39552" s="32" t="n">
        <f aca="false">IF(K39327+K39528&gt;0,(K39323-K39334-K39331)/(K39327+K39528),0)</f>
        <v>0.652319655812009</v>
      </c>
    </row>
    <row r="39553" customFormat="false" ht="15" hidden="false" customHeight="false" outlineLevel="0" collapsed="false">
      <c r="A39553" s="3" t="s">
        <v>422</v>
      </c>
      <c r="G39553" s="16" t="n">
        <f aca="false">MAX(0,G39537)+Assumptions!$P$57*MAX(0,Assumptions!$D$57-G39360)+Assumptions!$P$58*MAX(0,Assumptions!$D$58-G39373)+Assumptions!$P$59*MAX(0,Assumptions!$D$59-G39386)+Assumptions!$P$60*MAX(0,Assumptions!$D$60-G39399)+Assumptions!$P$61*MAX(0,Assumptions!$D$61-G39412)+Assumptions!$P$62*MAX(0,Assumptions!$D$62-G39425)+Assumptions!$P$63*MAX(0,Assumptions!$D$63-G39438)+Assumptions!$P$64*MAX(0,Assumptions!$D$64-G39451)+Assumptions!$P$65*MAX(0,Assumptions!$D$65-G39464)+Assumptions!$P$66*MAX(0,Assumptions!$D$66-G39477)</f>
        <v>661.7944416</v>
      </c>
      <c r="H39553" s="16" t="n">
        <f aca="false">MAX(0,H39537)+Assumptions!$P$57*MAX(0,Assumptions!$D$57-H39360)+Assumptions!$P$58*MAX(0,Assumptions!$D$58-H39373)+Assumptions!$P$59*MAX(0,Assumptions!$D$59-H39386)+Assumptions!$P$60*MAX(0,Assumptions!$D$60-H39399)+Assumptions!$P$61*MAX(0,Assumptions!$D$61-H39412)+Assumptions!$P$62*MAX(0,Assumptions!$D$62-H39425)+Assumptions!$P$63*MAX(0,Assumptions!$D$63-H39438)+Assumptions!$P$64*MAX(0,Assumptions!$D$64-H39451)+Assumptions!$P$65*MAX(0,Assumptions!$D$65-H39464)+Assumptions!$P$66*MAX(0,Assumptions!$D$66-H39477)</f>
        <v>574.5</v>
      </c>
      <c r="I39553" s="16" t="n">
        <f aca="false">MAX(0,I39537)+Assumptions!$P$57*MAX(0,Assumptions!$D$57-I39360)+Assumptions!$P$58*MAX(0,Assumptions!$D$58-I39373)+Assumptions!$P$59*MAX(0,Assumptions!$D$59-I39386)+Assumptions!$P$60*MAX(0,Assumptions!$D$60-I39399)+Assumptions!$P$61*MAX(0,Assumptions!$D$61-I39412)+Assumptions!$P$62*MAX(0,Assumptions!$D$62-I39425)+Assumptions!$P$63*MAX(0,Assumptions!$D$63-I39438)+Assumptions!$P$64*MAX(0,Assumptions!$D$64-I39451)+Assumptions!$P$65*MAX(0,Assumptions!$D$65-I39464)+Assumptions!$P$66*MAX(0,Assumptions!$D$66-I39477)</f>
        <v>574.5</v>
      </c>
      <c r="J39553" s="16" t="n">
        <f aca="false">MAX(0,J39537)+Assumptions!$P$57*MAX(0,Assumptions!$D$57-J39360)+Assumptions!$P$58*MAX(0,Assumptions!$D$58-J39373)+Assumptions!$P$59*MAX(0,Assumptions!$D$59-J39386)+Assumptions!$P$60*MAX(0,Assumptions!$D$60-J39399)+Assumptions!$P$61*MAX(0,Assumptions!$D$61-J39412)+Assumptions!$P$62*MAX(0,Assumptions!$D$62-J39425)+Assumptions!$P$63*MAX(0,Assumptions!$D$63-J39438)+Assumptions!$P$64*MAX(0,Assumptions!$D$64-J39451)+Assumptions!$P$65*MAX(0,Assumptions!$D$65-J39464)+Assumptions!$P$66*MAX(0,Assumptions!$D$66-J39477)</f>
        <v>574.5</v>
      </c>
      <c r="K39553" s="16" t="n">
        <f aca="false">MAX(0,K39537)+Assumptions!$P$57*MAX(0,Assumptions!$D$57-K39360)+Assumptions!$P$58*MAX(0,Assumptions!$D$58-K39373)+Assumptions!$P$59*MAX(0,Assumptions!$D$59-K39386)+Assumptions!$P$60*MAX(0,Assumptions!$D$60-K39399)+Assumptions!$P$61*MAX(0,Assumptions!$D$61-K39412)+Assumptions!$P$62*MAX(0,Assumptions!$D$62-K39425)+Assumptions!$P$63*MAX(0,Assumptions!$D$63-K39438)+Assumptions!$P$64*MAX(0,Assumptions!$D$64-K39451)+Assumptions!$P$65*MAX(0,Assumptions!$D$65-K39464)+Assumptions!$P$66*MAX(0,Assumptions!$D$66-K39477)</f>
        <v>574.5</v>
      </c>
    </row>
    <row r="39554" customFormat="false" ht="15" hidden="false" customHeight="false" outlineLevel="0" collapsed="false">
      <c r="A39554" s="3" t="s">
        <v>423</v>
      </c>
      <c r="G39554" s="22" t="n">
        <f aca="false">IF(G39544&gt;0,G39544/(G39544+MAX(0,G39323*CHOOSE($C$39306,Assumptions!$C$90,Assumptions!$C$109,Assumptions!$C$128)-G39546)),0)</f>
        <v>1</v>
      </c>
      <c r="H39554" s="22" t="n">
        <f aca="false">IF(H39544&gt;0,H39544/(H39544+MAX(0,H39323*CHOOSE($C$39306,Assumptions!$C$90,Assumptions!$C$109,Assumptions!$C$128)-H39546)),0)</f>
        <v>1</v>
      </c>
      <c r="I39554" s="22" t="n">
        <f aca="false">IF(I39544&gt;0,I39544/(I39544+MAX(0,I39323*CHOOSE($C$39306,Assumptions!$C$90,Assumptions!$C$109,Assumptions!$C$128)-I39546)),0)</f>
        <v>1</v>
      </c>
      <c r="J39554" s="22" t="n">
        <f aca="false">IF(J39544&gt;0,J39544/(J39544+MAX(0,J39323*CHOOSE($C$39306,Assumptions!$C$90,Assumptions!$C$109,Assumptions!$C$128)-J39546)),0)</f>
        <v>1</v>
      </c>
      <c r="K39554" s="22" t="n">
        <f aca="false">IF(K39544&gt;0,K39544/(K39544+MAX(0,K39323*CHOOSE($C$39306,Assumptions!$C$90,Assumptions!$C$109,Assumptions!$C$128)-K39546)),0)</f>
        <v>1</v>
      </c>
    </row>
    <row r="39555" customFormat="false" ht="15" hidden="false" customHeight="false" outlineLevel="0" collapsed="false">
      <c r="A39555" s="3" t="s">
        <v>424</v>
      </c>
      <c r="G39555" s="22" t="n">
        <f aca="false">IF(G39544&gt;0,MAX(0,G39537)/G39544,0)</f>
        <v>0.0332939126614171</v>
      </c>
      <c r="H39555" s="22" t="n">
        <f aca="false">IF(H39544&gt;0,MAX(0,H39537)/H39544,0)</f>
        <v>0</v>
      </c>
      <c r="I39555" s="22" t="n">
        <f aca="false">IF(I39544&gt;0,MAX(0,I39537)/I39544,0)</f>
        <v>0</v>
      </c>
      <c r="J39555" s="22" t="n">
        <f aca="false">IF(J39544&gt;0,MAX(0,J39537)/J39544,0)</f>
        <v>0</v>
      </c>
      <c r="K39555" s="22" t="n">
        <f aca="false">IF(K39544&gt;0,MAX(0,K39537)/K39544,0)</f>
        <v>0</v>
      </c>
    </row>
    <row r="39556" customFormat="false" ht="15" hidden="false" customHeight="false" outlineLevel="0" collapsed="false">
      <c r="A39556" s="3" t="s">
        <v>425</v>
      </c>
      <c r="G39556" s="16" t="n">
        <f aca="false">Assumptions!$C$31*(1-CHOOSE($C$39306,Assumptions!$C$93,Assumptions!$C$112,Assumptions!$C$131))</f>
        <v>3162.39046666667</v>
      </c>
      <c r="H39556" s="16" t="n">
        <f aca="false">Assumptions!$C$31*(1-CHOOSE($C$39306,Assumptions!$C$93,Assumptions!$C$112,Assumptions!$C$131))</f>
        <v>3162.39046666667</v>
      </c>
      <c r="I39556" s="16" t="n">
        <f aca="false">Assumptions!$C$31*(1-CHOOSE($C$39306,Assumptions!$C$93,Assumptions!$C$112,Assumptions!$C$131))</f>
        <v>3162.39046666667</v>
      </c>
      <c r="J39556" s="16" t="n">
        <f aca="false">Assumptions!$C$31*(1-CHOOSE($C$39306,Assumptions!$C$93,Assumptions!$C$112,Assumptions!$C$131))</f>
        <v>3162.39046666667</v>
      </c>
      <c r="K39556" s="16" t="n">
        <f aca="false">Assumptions!$C$31*(1-CHOOSE($C$39306,Assumptions!$C$93,Assumptions!$C$112,Assumptions!$C$131))</f>
        <v>3162.39046666667</v>
      </c>
    </row>
    <row r="39557" customFormat="false" ht="15" hidden="false" customHeight="false" outlineLevel="0" collapsed="false">
      <c r="A39557" s="24" t="s">
        <v>426</v>
      </c>
      <c r="B39557" s="25"/>
      <c r="C39557" s="25"/>
      <c r="D39557" s="25"/>
      <c r="E39557" s="25"/>
      <c r="F39557" s="25"/>
      <c r="G39557" s="25"/>
      <c r="H39557" s="25"/>
      <c r="I39557" s="25"/>
      <c r="J39557" s="25"/>
      <c r="K39557" s="25"/>
    </row>
    <row r="39558" customFormat="false" ht="15" hidden="false" customHeight="false" outlineLevel="0" collapsed="false">
      <c r="A39558" s="24" t="s">
        <v>427</v>
      </c>
      <c r="B39558" s="25"/>
      <c r="C39558" s="25"/>
      <c r="D39558" s="25"/>
      <c r="E39558" s="25"/>
      <c r="F39558" s="25"/>
      <c r="G39558" s="25"/>
      <c r="H39558" s="25"/>
      <c r="I39558" s="25"/>
      <c r="J39558" s="25"/>
      <c r="K39558" s="25"/>
    </row>
    <row r="39559" customFormat="false" ht="15" hidden="false" customHeight="false" outlineLevel="0" collapsed="false">
      <c r="A39559" s="3" t="s">
        <v>428</v>
      </c>
      <c r="G39559" s="22" t="n">
        <f aca="false">IF(G39556&gt;0,G39544/G39556,99)</f>
        <v>0.829098755399318</v>
      </c>
      <c r="H39559" s="22" t="n">
        <f aca="false">IF(H39556&gt;0,H39544/H39556,99)</f>
        <v>0.823076336124801</v>
      </c>
      <c r="I39559" s="22" t="n">
        <f aca="false">IF(I39556&gt;0,I39544/I39556,99)</f>
        <v>0.821811470181724</v>
      </c>
      <c r="J39559" s="22" t="n">
        <f aca="false">IF(J39556&gt;0,J39544/J39556,99)</f>
        <v>0.820546604238646</v>
      </c>
      <c r="K39559" s="22" t="n">
        <f aca="false">IF(K39556&gt;0,K39544/K39556,99)</f>
        <v>0.819281738295568</v>
      </c>
    </row>
    <row r="39560" customFormat="false" ht="15" hidden="false" customHeight="false" outlineLevel="0" collapsed="false">
      <c r="A39560" s="3" t="s">
        <v>429</v>
      </c>
      <c r="G39560" s="33" t="n">
        <f aca="false">Assumptions!$G$71</f>
        <v>0.6</v>
      </c>
      <c r="H39560" s="33" t="n">
        <f aca="false">Assumptions!$H$71</f>
        <v>0.6</v>
      </c>
      <c r="I39560" s="33" t="n">
        <f aca="false">Assumptions!$I$71</f>
        <v>0.6</v>
      </c>
      <c r="J39560" s="33" t="n">
        <f aca="false">Assumptions!$J$71</f>
        <v>0.6</v>
      </c>
      <c r="K39560" s="33" t="n">
        <f aca="false">Assumptions!$K$71</f>
        <v>0.6</v>
      </c>
    </row>
    <row r="39561" customFormat="false" ht="15" hidden="false" customHeight="false" outlineLevel="0" collapsed="false">
      <c r="A39561" s="3" t="s">
        <v>430</v>
      </c>
      <c r="G39561" s="22" t="n">
        <f aca="false">G39560-G39559</f>
        <v>-0.229098755399318</v>
      </c>
      <c r="H39561" s="22" t="n">
        <f aca="false">H39560-H39559</f>
        <v>-0.223076336124801</v>
      </c>
      <c r="I39561" s="22" t="n">
        <f aca="false">I39560-I39559</f>
        <v>-0.221811470181724</v>
      </c>
      <c r="J39561" s="22" t="n">
        <f aca="false">J39560-J39559</f>
        <v>-0.220546604238646</v>
      </c>
      <c r="K39561" s="22" t="n">
        <f aca="false">K39560-K39559</f>
        <v>-0.219281738295568</v>
      </c>
    </row>
    <row r="39562" customFormat="false" ht="15" hidden="false" customHeight="false" outlineLevel="0" collapsed="false">
      <c r="A39562" s="3" t="s">
        <v>431</v>
      </c>
      <c r="G39562" s="22" t="n">
        <f aca="false">IF(G39560=0,0,G39561/ABS(G39560))</f>
        <v>-0.381831258998863</v>
      </c>
      <c r="H39562" s="22" t="n">
        <f aca="false">IF(H39560=0,0,H39561/ABS(H39560))</f>
        <v>-0.371793893541335</v>
      </c>
      <c r="I39562" s="22" t="n">
        <f aca="false">IF(I39560=0,0,I39561/ABS(I39560))</f>
        <v>-0.369685783636206</v>
      </c>
      <c r="J39562" s="22" t="n">
        <f aca="false">IF(J39560=0,0,J39561/ABS(J39560))</f>
        <v>-0.367577673731077</v>
      </c>
      <c r="K39562" s="22" t="n">
        <f aca="false">IF(K39560=0,0,K39561/ABS(K39560))</f>
        <v>-0.365469563825947</v>
      </c>
    </row>
    <row r="39563" customFormat="false" ht="15" hidden="false" customHeight="false" outlineLevel="0" collapsed="false">
      <c r="A39563" s="3" t="s">
        <v>432</v>
      </c>
      <c r="G39563" s="21" t="n">
        <f aca="false">IF(G39561&lt;0,1,0)</f>
        <v>1</v>
      </c>
      <c r="H39563" s="21" t="n">
        <f aca="false">IF(H39561&lt;0,1,0)</f>
        <v>1</v>
      </c>
      <c r="I39563" s="21" t="n">
        <f aca="false">IF(I39561&lt;0,1,0)</f>
        <v>1</v>
      </c>
      <c r="J39563" s="21" t="n">
        <f aca="false">IF(J39561&lt;0,1,0)</f>
        <v>1</v>
      </c>
      <c r="K39563" s="21" t="n">
        <f aca="false">IF(K39561&lt;0,1,0)</f>
        <v>1</v>
      </c>
    </row>
    <row r="39564" customFormat="false" ht="15" hidden="false" customHeight="false" outlineLevel="0" collapsed="false">
      <c r="A39564" s="3" t="s">
        <v>433</v>
      </c>
      <c r="C39564" s="21" t="n">
        <f aca="false">IFERROR(INDEX($G$39313:$K$39313,MATCH(1,$G$39563:$K$39563,0)),0)</f>
        <v>2027</v>
      </c>
    </row>
    <row r="39565" customFormat="false" ht="15" hidden="false" customHeight="false" outlineLevel="0" collapsed="false">
      <c r="A39565" s="3" t="s">
        <v>434</v>
      </c>
      <c r="C39565" s="22" t="n">
        <f aca="false">MIN($G$39562:$K$39562)</f>
        <v>-0.381831258998863</v>
      </c>
    </row>
    <row r="39566" customFormat="false" ht="15" hidden="false" customHeight="false" outlineLevel="0" collapsed="false">
      <c r="A39566" s="24" t="s">
        <v>435</v>
      </c>
      <c r="B39566" s="25"/>
      <c r="C39566" s="25"/>
      <c r="D39566" s="25"/>
      <c r="E39566" s="25"/>
      <c r="F39566" s="25"/>
      <c r="G39566" s="25"/>
      <c r="H39566" s="25"/>
      <c r="I39566" s="25"/>
      <c r="J39566" s="25"/>
      <c r="K39566" s="25"/>
    </row>
    <row r="39567" customFormat="false" ht="15" hidden="false" customHeight="false" outlineLevel="0" collapsed="false">
      <c r="A39567" s="3" t="s">
        <v>428</v>
      </c>
      <c r="G39567" s="32" t="n">
        <f aca="false">IF(G39327&gt;0,G39323/G39327,99)</f>
        <v>1.06025908412371</v>
      </c>
      <c r="H39567" s="32" t="n">
        <f aca="false">IF(H39327&gt;0,H39323/H39327,99)</f>
        <v>0.927444011573365</v>
      </c>
      <c r="I39567" s="32" t="n">
        <f aca="false">IF(I39327&gt;0,I39323/I39327,99)</f>
        <v>0.899631625108658</v>
      </c>
      <c r="J39567" s="32" t="n">
        <f aca="false">IF(J39327&gt;0,J39323/J39327,99)</f>
        <v>0.912459444554051</v>
      </c>
      <c r="K39567" s="32" t="n">
        <f aca="false">IF(K39327&gt;0,K39323/K39327,99)</f>
        <v>0.945346751531936</v>
      </c>
    </row>
    <row r="39568" customFormat="false" ht="15" hidden="false" customHeight="false" outlineLevel="0" collapsed="false">
      <c r="A39568" s="3" t="s">
        <v>429</v>
      </c>
      <c r="G39568" s="34" t="n">
        <f aca="false">Assumptions!$G$72</f>
        <v>1.5</v>
      </c>
      <c r="H39568" s="34" t="n">
        <f aca="false">Assumptions!$H$72</f>
        <v>1.5</v>
      </c>
      <c r="I39568" s="34" t="n">
        <f aca="false">Assumptions!$I$72</f>
        <v>1.5</v>
      </c>
      <c r="J39568" s="34" t="n">
        <f aca="false">Assumptions!$J$72</f>
        <v>1.5</v>
      </c>
      <c r="K39568" s="34" t="n">
        <f aca="false">Assumptions!$K$72</f>
        <v>1.5</v>
      </c>
    </row>
    <row r="39569" customFormat="false" ht="15" hidden="false" customHeight="false" outlineLevel="0" collapsed="false">
      <c r="A39569" s="3" t="s">
        <v>430</v>
      </c>
      <c r="G39569" s="32" t="n">
        <f aca="false">G39567-G39568</f>
        <v>-0.439740915876287</v>
      </c>
      <c r="H39569" s="32" t="n">
        <f aca="false">H39567-H39568</f>
        <v>-0.572555988426635</v>
      </c>
      <c r="I39569" s="32" t="n">
        <f aca="false">I39567-I39568</f>
        <v>-0.600368374891342</v>
      </c>
      <c r="J39569" s="32" t="n">
        <f aca="false">J39567-J39568</f>
        <v>-0.58754055544595</v>
      </c>
      <c r="K39569" s="32" t="n">
        <f aca="false">K39567-K39568</f>
        <v>-0.554653248468064</v>
      </c>
    </row>
    <row r="39570" customFormat="false" ht="15" hidden="false" customHeight="false" outlineLevel="0" collapsed="false">
      <c r="A39570" s="3" t="s">
        <v>431</v>
      </c>
      <c r="G39570" s="22" t="n">
        <f aca="false">IF(G39568=0,0,G39569/ABS(G39568))</f>
        <v>-0.293160610584191</v>
      </c>
      <c r="H39570" s="22" t="n">
        <f aca="false">IF(H39568=0,0,H39569/ABS(H39568))</f>
        <v>-0.381703992284423</v>
      </c>
      <c r="I39570" s="22" t="n">
        <f aca="false">IF(I39568=0,0,I39569/ABS(I39568))</f>
        <v>-0.400245583260895</v>
      </c>
      <c r="J39570" s="22" t="n">
        <f aca="false">IF(J39568=0,0,J39569/ABS(J39568))</f>
        <v>-0.391693703630633</v>
      </c>
      <c r="K39570" s="22" t="n">
        <f aca="false">IF(K39568=0,0,K39569/ABS(K39568))</f>
        <v>-0.369768832312043</v>
      </c>
    </row>
    <row r="39571" customFormat="false" ht="15" hidden="false" customHeight="false" outlineLevel="0" collapsed="false">
      <c r="A39571" s="3" t="s">
        <v>432</v>
      </c>
      <c r="G39571" s="21" t="n">
        <f aca="false">IF(G39569&lt;0,1,0)</f>
        <v>1</v>
      </c>
      <c r="H39571" s="21" t="n">
        <f aca="false">IF(H39569&lt;0,1,0)</f>
        <v>1</v>
      </c>
      <c r="I39571" s="21" t="n">
        <f aca="false">IF(I39569&lt;0,1,0)</f>
        <v>1</v>
      </c>
      <c r="J39571" s="21" t="n">
        <f aca="false">IF(J39569&lt;0,1,0)</f>
        <v>1</v>
      </c>
      <c r="K39571" s="21" t="n">
        <f aca="false">IF(K39569&lt;0,1,0)</f>
        <v>1</v>
      </c>
    </row>
    <row r="39572" customFormat="false" ht="15" hidden="false" customHeight="false" outlineLevel="0" collapsed="false">
      <c r="A39572" s="3" t="s">
        <v>433</v>
      </c>
      <c r="C39572" s="21" t="n">
        <f aca="false">IFERROR(INDEX($G$39313:$K$39313,MATCH(1,$G$39571:$K$39571,0)),0)</f>
        <v>2027</v>
      </c>
    </row>
    <row r="39573" customFormat="false" ht="15" hidden="false" customHeight="false" outlineLevel="0" collapsed="false">
      <c r="A39573" s="3" t="s">
        <v>434</v>
      </c>
      <c r="C39573" s="22" t="n">
        <f aca="false">MIN($G$39570:$K$39570)</f>
        <v>-0.400245583260895</v>
      </c>
    </row>
    <row r="39574" customFormat="false" ht="15" hidden="false" customHeight="false" outlineLevel="0" collapsed="false">
      <c r="A39574" s="24" t="s">
        <v>436</v>
      </c>
      <c r="B39574" s="25"/>
      <c r="C39574" s="25"/>
      <c r="D39574" s="25"/>
      <c r="E39574" s="25"/>
      <c r="F39574" s="25"/>
      <c r="G39574" s="25"/>
      <c r="H39574" s="25"/>
      <c r="I39574" s="25"/>
      <c r="J39574" s="25"/>
      <c r="K39574" s="25"/>
    </row>
    <row r="39575" customFormat="false" ht="15" hidden="false" customHeight="false" outlineLevel="0" collapsed="false">
      <c r="A39575" s="3" t="s">
        <v>428</v>
      </c>
      <c r="G39575" s="22" t="n">
        <f aca="false">IF(G39556&gt;0,G39545/G39556,99)</f>
        <v>0.171808005914176</v>
      </c>
      <c r="H39575" s="22" t="n">
        <f aca="false">IF(H39556&gt;0,H39545/H39556,99)</f>
        <v>0.170543139971098</v>
      </c>
      <c r="I39575" s="22" t="n">
        <f aca="false">IF(I39556&gt;0,I39545/I39556,99)</f>
        <v>0.169278274028021</v>
      </c>
      <c r="J39575" s="22" t="n">
        <f aca="false">IF(J39556&gt;0,J39545/J39556,99)</f>
        <v>0.168013408084943</v>
      </c>
      <c r="K39575" s="22" t="n">
        <f aca="false">IF(K39556&gt;0,K39545/K39556,99)</f>
        <v>0.166748542141865</v>
      </c>
    </row>
    <row r="39576" customFormat="false" ht="15" hidden="false" customHeight="false" outlineLevel="0" collapsed="false">
      <c r="A39576" s="3" t="s">
        <v>429</v>
      </c>
      <c r="G39576" s="33" t="n">
        <f aca="false">Assumptions!$G$73</f>
        <v>0.4</v>
      </c>
      <c r="H39576" s="33" t="n">
        <f aca="false">Assumptions!$H$73</f>
        <v>0.4</v>
      </c>
      <c r="I39576" s="33" t="n">
        <f aca="false">Assumptions!$I$73</f>
        <v>0.4</v>
      </c>
      <c r="J39576" s="33" t="n">
        <f aca="false">Assumptions!$J$73</f>
        <v>0.4</v>
      </c>
      <c r="K39576" s="33" t="n">
        <f aca="false">Assumptions!$K$73</f>
        <v>0.4</v>
      </c>
    </row>
    <row r="39577" customFormat="false" ht="15" hidden="false" customHeight="false" outlineLevel="0" collapsed="false">
      <c r="A39577" s="3" t="s">
        <v>430</v>
      </c>
      <c r="G39577" s="22" t="n">
        <f aca="false">G39576-G39575</f>
        <v>0.228191994085824</v>
      </c>
      <c r="H39577" s="22" t="n">
        <f aca="false">H39576-H39575</f>
        <v>0.229456860028902</v>
      </c>
      <c r="I39577" s="22" t="n">
        <f aca="false">I39576-I39575</f>
        <v>0.230721725971979</v>
      </c>
      <c r="J39577" s="22" t="n">
        <f aca="false">J39576-J39575</f>
        <v>0.231986591915057</v>
      </c>
      <c r="K39577" s="22" t="n">
        <f aca="false">K39576-K39575</f>
        <v>0.233251457858135</v>
      </c>
    </row>
    <row r="39578" customFormat="false" ht="15" hidden="false" customHeight="false" outlineLevel="0" collapsed="false">
      <c r="A39578" s="3" t="s">
        <v>431</v>
      </c>
      <c r="G39578" s="22" t="n">
        <f aca="false">IF(G39576=0,0,G39577/ABS(G39576))</f>
        <v>0.57047998521456</v>
      </c>
      <c r="H39578" s="22" t="n">
        <f aca="false">IF(H39576=0,0,H39577/ABS(H39576))</f>
        <v>0.573642150072254</v>
      </c>
      <c r="I39578" s="22" t="n">
        <f aca="false">IF(I39576=0,0,I39577/ABS(I39576))</f>
        <v>0.576804314929948</v>
      </c>
      <c r="J39578" s="22" t="n">
        <f aca="false">IF(J39576=0,0,J39577/ABS(J39576))</f>
        <v>0.579966479787643</v>
      </c>
      <c r="K39578" s="22" t="n">
        <f aca="false">IF(K39576=0,0,K39577/ABS(K39576))</f>
        <v>0.583128644645337</v>
      </c>
    </row>
    <row r="39579" customFormat="false" ht="15" hidden="false" customHeight="false" outlineLevel="0" collapsed="false">
      <c r="A39579" s="3" t="s">
        <v>432</v>
      </c>
      <c r="G39579" s="21" t="n">
        <f aca="false">IF(G39577&lt;0,1,0)</f>
        <v>0</v>
      </c>
      <c r="H39579" s="21" t="n">
        <f aca="false">IF(H39577&lt;0,1,0)</f>
        <v>0</v>
      </c>
      <c r="I39579" s="21" t="n">
        <f aca="false">IF(I39577&lt;0,1,0)</f>
        <v>0</v>
      </c>
      <c r="J39579" s="21" t="n">
        <f aca="false">IF(J39577&lt;0,1,0)</f>
        <v>0</v>
      </c>
      <c r="K39579" s="21" t="n">
        <f aca="false">IF(K39577&lt;0,1,0)</f>
        <v>0</v>
      </c>
    </row>
    <row r="39580" customFormat="false" ht="15" hidden="false" customHeight="false" outlineLevel="0" collapsed="false">
      <c r="A39580" s="3" t="s">
        <v>433</v>
      </c>
      <c r="C39580" s="21" t="n">
        <f aca="false">IFERROR(INDEX($G$39313:$K$39313,MATCH(1,$G$39579:$K$39579,0)),0)</f>
        <v>0</v>
      </c>
    </row>
    <row r="39581" customFormat="false" ht="15" hidden="false" customHeight="false" outlineLevel="0" collapsed="false">
      <c r="A39581" s="3" t="s">
        <v>434</v>
      </c>
      <c r="C39581" s="22" t="n">
        <f aca="false">MIN($G$39578:$K$39578)</f>
        <v>0.57047998521456</v>
      </c>
    </row>
    <row r="39582" customFormat="false" ht="15" hidden="false" customHeight="false" outlineLevel="0" collapsed="false">
      <c r="A39582" s="24" t="s">
        <v>437</v>
      </c>
      <c r="B39582" s="25"/>
      <c r="C39582" s="25"/>
      <c r="D39582" s="25"/>
      <c r="E39582" s="25"/>
      <c r="F39582" s="25"/>
      <c r="G39582" s="25"/>
      <c r="H39582" s="25"/>
      <c r="I39582" s="25"/>
      <c r="J39582" s="25"/>
      <c r="K39582" s="25"/>
    </row>
    <row r="39583" customFormat="false" ht="15" hidden="false" customHeight="false" outlineLevel="0" collapsed="false">
      <c r="A39583" s="3" t="s">
        <v>428</v>
      </c>
      <c r="G39583" s="16" t="n">
        <f aca="false">G39553</f>
        <v>661.7944416</v>
      </c>
      <c r="H39583" s="16" t="n">
        <f aca="false">H39553</f>
        <v>574.5</v>
      </c>
      <c r="I39583" s="16" t="n">
        <f aca="false">I39553</f>
        <v>574.5</v>
      </c>
      <c r="J39583" s="16" t="n">
        <f aca="false">J39553</f>
        <v>574.5</v>
      </c>
      <c r="K39583" s="16" t="n">
        <f aca="false">K39553</f>
        <v>574.5</v>
      </c>
    </row>
    <row r="39584" customFormat="false" ht="15" hidden="false" customHeight="false" outlineLevel="0" collapsed="false">
      <c r="A39584" s="3" t="s">
        <v>429</v>
      </c>
      <c r="G39584" s="29" t="n">
        <f aca="false">Assumptions!$G$74</f>
        <v>100</v>
      </c>
      <c r="H39584" s="29" t="n">
        <f aca="false">Assumptions!$H$74</f>
        <v>100</v>
      </c>
      <c r="I39584" s="29" t="n">
        <f aca="false">Assumptions!$I$74</f>
        <v>100</v>
      </c>
      <c r="J39584" s="29" t="n">
        <f aca="false">Assumptions!$J$74</f>
        <v>100</v>
      </c>
      <c r="K39584" s="29" t="n">
        <f aca="false">Assumptions!$K$74</f>
        <v>100</v>
      </c>
    </row>
    <row r="39585" customFormat="false" ht="15" hidden="false" customHeight="false" outlineLevel="0" collapsed="false">
      <c r="A39585" s="3" t="s">
        <v>430</v>
      </c>
      <c r="G39585" s="16" t="n">
        <f aca="false">G39583-G39584</f>
        <v>561.7944416</v>
      </c>
      <c r="H39585" s="16" t="n">
        <f aca="false">H39583-H39584</f>
        <v>474.5</v>
      </c>
      <c r="I39585" s="16" t="n">
        <f aca="false">I39583-I39584</f>
        <v>474.5</v>
      </c>
      <c r="J39585" s="16" t="n">
        <f aca="false">J39583-J39584</f>
        <v>474.5</v>
      </c>
      <c r="K39585" s="16" t="n">
        <f aca="false">K39583-K39584</f>
        <v>474.5</v>
      </c>
    </row>
    <row r="39586" customFormat="false" ht="15" hidden="false" customHeight="false" outlineLevel="0" collapsed="false">
      <c r="A39586" s="3" t="s">
        <v>431</v>
      </c>
      <c r="G39586" s="22" t="n">
        <f aca="false">IF(G39584=0,0,G39585/ABS(G39584))</f>
        <v>5.617944416</v>
      </c>
      <c r="H39586" s="22" t="n">
        <f aca="false">IF(H39584=0,0,H39585/ABS(H39584))</f>
        <v>4.745</v>
      </c>
      <c r="I39586" s="22" t="n">
        <f aca="false">IF(I39584=0,0,I39585/ABS(I39584))</f>
        <v>4.745</v>
      </c>
      <c r="J39586" s="22" t="n">
        <f aca="false">IF(J39584=0,0,J39585/ABS(J39584))</f>
        <v>4.745</v>
      </c>
      <c r="K39586" s="22" t="n">
        <f aca="false">IF(K39584=0,0,K39585/ABS(K39584))</f>
        <v>4.745</v>
      </c>
    </row>
    <row r="39587" customFormat="false" ht="15" hidden="false" customHeight="false" outlineLevel="0" collapsed="false">
      <c r="A39587" s="3" t="s">
        <v>432</v>
      </c>
      <c r="G39587" s="21" t="n">
        <f aca="false">IF(G39585&lt;0,1,0)</f>
        <v>0</v>
      </c>
      <c r="H39587" s="21" t="n">
        <f aca="false">IF(H39585&lt;0,1,0)</f>
        <v>0</v>
      </c>
      <c r="I39587" s="21" t="n">
        <f aca="false">IF(I39585&lt;0,1,0)</f>
        <v>0</v>
      </c>
      <c r="J39587" s="21" t="n">
        <f aca="false">IF(J39585&lt;0,1,0)</f>
        <v>0</v>
      </c>
      <c r="K39587" s="21" t="n">
        <f aca="false">IF(K39585&lt;0,1,0)</f>
        <v>0</v>
      </c>
    </row>
    <row r="39588" customFormat="false" ht="15" hidden="false" customHeight="false" outlineLevel="0" collapsed="false">
      <c r="A39588" s="3" t="s">
        <v>433</v>
      </c>
      <c r="C39588" s="21" t="n">
        <f aca="false">IFERROR(INDEX($G$39313:$K$39313,MATCH(1,$G$39587:$K$39587,0)),0)</f>
        <v>0</v>
      </c>
    </row>
    <row r="39589" customFormat="false" ht="15" hidden="false" customHeight="false" outlineLevel="0" collapsed="false">
      <c r="A39589" s="3" t="s">
        <v>434</v>
      </c>
      <c r="C39589" s="22" t="n">
        <f aca="false">MIN($G$39586:$K$39586)</f>
        <v>4.745</v>
      </c>
    </row>
    <row r="39590" customFormat="false" ht="15" hidden="false" customHeight="false" outlineLevel="0" collapsed="false">
      <c r="A39590" s="24" t="s">
        <v>438</v>
      </c>
      <c r="B39590" s="25"/>
      <c r="C39590" s="25"/>
      <c r="D39590" s="25"/>
      <c r="E39590" s="25"/>
      <c r="F39590" s="25"/>
      <c r="G39590" s="25"/>
      <c r="H39590" s="25"/>
      <c r="I39590" s="25"/>
      <c r="J39590" s="25"/>
      <c r="K39590" s="25"/>
    </row>
    <row r="39591" customFormat="false" ht="15" hidden="false" customHeight="false" outlineLevel="0" collapsed="false">
      <c r="A39591" s="3" t="s">
        <v>428</v>
      </c>
      <c r="G39591" s="32" t="n">
        <f aca="false">IF(G39323&gt;0,G39546/G39323,99)</f>
        <v>12.2866312534504</v>
      </c>
      <c r="H39591" s="32" t="n">
        <f aca="false">IF(H39323&gt;0,H39546/H39323,99)</f>
        <v>14.5137170159321</v>
      </c>
      <c r="I39591" s="32" t="n">
        <f aca="false">IF(I39323&gt;0,I39546/I39323,99)</f>
        <v>15.5560738236619</v>
      </c>
      <c r="J39591" s="32" t="n">
        <f aca="false">IF(J39323&gt;0,J39546/J39323,99)</f>
        <v>15.7734539449449</v>
      </c>
      <c r="K39591" s="32" t="n">
        <f aca="false">IF(K39323&gt;0,K39546/K39323,99)</f>
        <v>15.6156103833885</v>
      </c>
    </row>
    <row r="39592" customFormat="false" ht="15" hidden="false" customHeight="false" outlineLevel="0" collapsed="false">
      <c r="A39592" s="3" t="s">
        <v>429</v>
      </c>
      <c r="G39592" s="34" t="n">
        <f aca="false">Assumptions!$G$75</f>
        <v>10.5</v>
      </c>
      <c r="H39592" s="34" t="n">
        <f aca="false">Assumptions!$H$75</f>
        <v>10.5</v>
      </c>
      <c r="I39592" s="34" t="n">
        <f aca="false">Assumptions!$I$75</f>
        <v>10</v>
      </c>
      <c r="J39592" s="34" t="n">
        <f aca="false">Assumptions!$J$75</f>
        <v>10</v>
      </c>
      <c r="K39592" s="34" t="n">
        <f aca="false">Assumptions!$K$75</f>
        <v>9.5</v>
      </c>
    </row>
    <row r="39593" customFormat="false" ht="15" hidden="false" customHeight="false" outlineLevel="0" collapsed="false">
      <c r="A39593" s="3" t="s">
        <v>430</v>
      </c>
      <c r="G39593" s="32" t="n">
        <f aca="false">G39592-G39591</f>
        <v>-1.78663125345038</v>
      </c>
      <c r="H39593" s="32" t="n">
        <f aca="false">H39592-H39591</f>
        <v>-4.01371701593214</v>
      </c>
      <c r="I39593" s="32" t="n">
        <f aca="false">I39592-I39591</f>
        <v>-5.55607382366189</v>
      </c>
      <c r="J39593" s="32" t="n">
        <f aca="false">J39592-J39591</f>
        <v>-5.7734539449449</v>
      </c>
      <c r="K39593" s="32" t="n">
        <f aca="false">K39592-K39591</f>
        <v>-6.11561038338853</v>
      </c>
    </row>
    <row r="39594" customFormat="false" ht="15" hidden="false" customHeight="false" outlineLevel="0" collapsed="false">
      <c r="A39594" s="3" t="s">
        <v>431</v>
      </c>
      <c r="G39594" s="22" t="n">
        <f aca="false">IF(G39592=0,0,G39593/ABS(G39592))</f>
        <v>-0.170155357471464</v>
      </c>
      <c r="H39594" s="22" t="n">
        <f aca="false">IF(H39592=0,0,H39593/ABS(H39592))</f>
        <v>-0.382258763422108</v>
      </c>
      <c r="I39594" s="22" t="n">
        <f aca="false">IF(I39592=0,0,I39593/ABS(I39592))</f>
        <v>-0.555607382366189</v>
      </c>
      <c r="J39594" s="22" t="n">
        <f aca="false">IF(J39592=0,0,J39593/ABS(J39592))</f>
        <v>-0.57734539449449</v>
      </c>
      <c r="K39594" s="22" t="n">
        <f aca="false">IF(K39592=0,0,K39593/ABS(K39592))</f>
        <v>-0.643748461409318</v>
      </c>
    </row>
    <row r="39595" customFormat="false" ht="15" hidden="false" customHeight="false" outlineLevel="0" collapsed="false">
      <c r="A39595" s="3" t="s">
        <v>432</v>
      </c>
      <c r="G39595" s="21" t="n">
        <f aca="false">IF(G39593&lt;0,1,0)</f>
        <v>1</v>
      </c>
      <c r="H39595" s="21" t="n">
        <f aca="false">IF(H39593&lt;0,1,0)</f>
        <v>1</v>
      </c>
      <c r="I39595" s="21" t="n">
        <f aca="false">IF(I39593&lt;0,1,0)</f>
        <v>1</v>
      </c>
      <c r="J39595" s="21" t="n">
        <f aca="false">IF(J39593&lt;0,1,0)</f>
        <v>1</v>
      </c>
      <c r="K39595" s="21" t="n">
        <f aca="false">IF(K39593&lt;0,1,0)</f>
        <v>1</v>
      </c>
    </row>
    <row r="39596" customFormat="false" ht="15" hidden="false" customHeight="false" outlineLevel="0" collapsed="false">
      <c r="A39596" s="3" t="s">
        <v>433</v>
      </c>
      <c r="C39596" s="21" t="n">
        <f aca="false">IFERROR(INDEX($G$39313:$K$39313,MATCH(1,$G$39595:$K$39595,0)),0)</f>
        <v>2027</v>
      </c>
    </row>
    <row r="39597" customFormat="false" ht="15" hidden="false" customHeight="false" outlineLevel="0" collapsed="false">
      <c r="A39597" s="3" t="s">
        <v>434</v>
      </c>
      <c r="C39597" s="22" t="n">
        <f aca="false">MIN($G$39594:$K$39594)</f>
        <v>-0.643748461409318</v>
      </c>
    </row>
    <row r="39598" customFormat="false" ht="15" hidden="false" customHeight="false" outlineLevel="0" collapsed="false">
      <c r="A39598" s="3" t="s">
        <v>439</v>
      </c>
      <c r="G39598" s="21" t="n">
        <f aca="false">G39563+G39571+G39579+G39587+G39595</f>
        <v>3</v>
      </c>
      <c r="H39598" s="21" t="n">
        <f aca="false">H39563+H39571+H39579+H39587+H39595</f>
        <v>3</v>
      </c>
      <c r="I39598" s="21" t="n">
        <f aca="false">I39563+I39571+I39579+I39587+I39595</f>
        <v>3</v>
      </c>
      <c r="J39598" s="21" t="n">
        <f aca="false">J39563+J39571+J39579+J39587+J39595</f>
        <v>3</v>
      </c>
      <c r="K39598" s="21" t="n">
        <f aca="false">K39563+K39571+K39579+K39587+K39595</f>
        <v>3</v>
      </c>
    </row>
    <row r="39599" customFormat="false" ht="15" hidden="false" customHeight="false" outlineLevel="0" collapsed="false">
      <c r="A39599" s="3" t="s">
        <v>440</v>
      </c>
      <c r="C39599" s="21" t="n">
        <f aca="false">SUM($G$39598:$K$39598)</f>
        <v>15</v>
      </c>
    </row>
    <row r="39600" customFormat="false" ht="15" hidden="false" customHeight="false" outlineLevel="0" collapsed="false">
      <c r="A39600" s="3" t="s">
        <v>441</v>
      </c>
      <c r="C39600" s="22" t="n">
        <f aca="false">MIN(C39565,C39573,C39581,C39589,C39597)</f>
        <v>-0.643748461409318</v>
      </c>
    </row>
    <row r="39602" customFormat="false" ht="15" hidden="false" customHeight="false" outlineLevel="0" collapsed="false">
      <c r="A39602" s="24" t="s">
        <v>543</v>
      </c>
      <c r="B39602" s="25"/>
      <c r="C39602" s="25"/>
      <c r="D39602" s="25"/>
      <c r="E39602" s="25"/>
      <c r="F39602" s="25"/>
      <c r="G39602" s="25"/>
      <c r="H39602" s="25"/>
      <c r="I39602" s="25"/>
      <c r="J39602" s="25"/>
      <c r="K39602" s="25"/>
    </row>
    <row r="39603" customFormat="false" ht="15" hidden="false" customHeight="false" outlineLevel="0" collapsed="false">
      <c r="A39603" s="3" t="s">
        <v>544</v>
      </c>
      <c r="G39603" s="21" t="n">
        <f aca="false">IF($C$39604=1,G39540,IF(G39323=MIN($G$39323:$K$39323),1,0))</f>
        <v>0</v>
      </c>
      <c r="H39603" s="21" t="n">
        <f aca="false">IF($C$39604=1,H39540,IF(AND(H39323=MIN($G$39323:$K$39323),SUM($G$39603:G39603)=0),1,0))</f>
        <v>1</v>
      </c>
      <c r="I39603" s="21" t="n">
        <f aca="false">IF($C$39604=1,I39540,IF(AND(I39323=MIN($G$39323:$K$39323),SUM($G$39603:H39603)=0),1,0))</f>
        <v>0</v>
      </c>
      <c r="J39603" s="21" t="n">
        <f aca="false">IF($C$39604=1,J39540,IF(AND(J39323=MIN($G$39323:$K$39323),SUM($G$39603:I39603)=0),1,0))</f>
        <v>0</v>
      </c>
      <c r="K39603" s="21" t="n">
        <f aca="false">IF($C$39604=1,K39540,IF(AND(K39323=MIN($G$39323:$K$39323),SUM($G$39603:J39603)=0),1,0))</f>
        <v>0</v>
      </c>
    </row>
    <row r="39604" customFormat="false" ht="15" hidden="false" customHeight="false" outlineLevel="0" collapsed="false">
      <c r="A39604" s="3" t="s">
        <v>545</v>
      </c>
      <c r="C39604" s="21" t="n">
        <f aca="false">IF(SUM($G$39540:$K$39540)&gt;0,1,0)</f>
        <v>1</v>
      </c>
    </row>
    <row r="39605" customFormat="false" ht="15" hidden="false" customHeight="false" outlineLevel="0" collapsed="false">
      <c r="A39605" s="3" t="s">
        <v>546</v>
      </c>
      <c r="C39605" s="21" t="n">
        <f aca="false">SUMPRODUCT($G$39603:$K$39603,$G$39313:$K$39313)</f>
        <v>2028</v>
      </c>
    </row>
    <row r="39606" customFormat="false" ht="15" hidden="false" customHeight="false" outlineLevel="0" collapsed="false">
      <c r="A39606" s="3" t="s">
        <v>547</v>
      </c>
      <c r="C39606" s="16" t="n">
        <f aca="false">SUMPRODUCT($G$39603:$K$39603,$G$39323:$K$39323)</f>
        <v>179.33991381</v>
      </c>
    </row>
    <row r="39607" customFormat="false" ht="15" hidden="false" customHeight="false" outlineLevel="0" collapsed="false">
      <c r="A39607" s="3" t="s">
        <v>548</v>
      </c>
      <c r="C39607" s="16" t="n">
        <f aca="false">MAX(0,SUMPRODUCT($G$39603:$K$39603,$G$39537:$K$39537))</f>
        <v>0</v>
      </c>
    </row>
    <row r="39608" customFormat="false" ht="15" hidden="false" customHeight="false" outlineLevel="0" collapsed="false">
      <c r="A39608" s="3" t="s">
        <v>549</v>
      </c>
      <c r="C39608" s="16" t="n">
        <f aca="false">(CHOOSE($C$39306,Assumptions!$C$92,Assumptions!$C$111,Assumptions!$C$130)+$C$39310)*C39606</f>
        <v>1434.71931048</v>
      </c>
    </row>
    <row r="39609" customFormat="false" ht="15" hidden="false" customHeight="false" outlineLevel="0" collapsed="false">
      <c r="A39609" s="3" t="s">
        <v>550</v>
      </c>
      <c r="C39609" s="16" t="n">
        <f aca="false">Assumptions!$C$31*(1-CHOOSE($C$39306,Assumptions!$C$93,Assumptions!$C$112,Assumptions!$C$131))*CHOOSE($C$39306,Assumptions!$C$94,Assumptions!$C$113,Assumptions!$C$132)</f>
        <v>2688.03189666667</v>
      </c>
    </row>
    <row r="39610" customFormat="false" ht="15" hidden="false" customHeight="false" outlineLevel="0" collapsed="false">
      <c r="A39610" s="3" t="s">
        <v>551</v>
      </c>
      <c r="C39610" s="16" t="n">
        <f aca="false">MAX(C39608,C39609)+C39607</f>
        <v>2688.03189666667</v>
      </c>
    </row>
    <row r="39611" customFormat="false" ht="15" hidden="false" customHeight="false" outlineLevel="0" collapsed="false">
      <c r="A39611" s="2" t="s">
        <v>552</v>
      </c>
      <c r="C39611" s="17" t="n">
        <f aca="false">IF(ISNUMBER(Assumptions!$C$14),Assumptions!$C$14,C39610)</f>
        <v>2688.03189666667</v>
      </c>
    </row>
    <row r="39612" customFormat="false" ht="15" hidden="false" customHeight="false" outlineLevel="0" collapsed="false">
      <c r="A39612" s="3" t="s">
        <v>553</v>
      </c>
      <c r="C39612" s="16" t="n">
        <f aca="false">C39611*Assumptions!$C$15</f>
        <v>107.521275866667</v>
      </c>
    </row>
    <row r="39613" customFormat="false" ht="15" hidden="false" customHeight="false" outlineLevel="0" collapsed="false">
      <c r="A39613" s="2" t="s">
        <v>554</v>
      </c>
      <c r="C39613" s="17" t="n">
        <f aca="false">C39611-C39612</f>
        <v>2580.5106208</v>
      </c>
    </row>
    <row r="39614" customFormat="false" ht="15" hidden="false" customHeight="false" outlineLevel="0" collapsed="false">
      <c r="A39614" s="24" t="s">
        <v>555</v>
      </c>
      <c r="B39614" s="25"/>
      <c r="C39614" s="25"/>
      <c r="D39614" s="25"/>
      <c r="E39614" s="25"/>
      <c r="F39614" s="25"/>
      <c r="G39614" s="25"/>
      <c r="H39614" s="25"/>
      <c r="I39614" s="25"/>
      <c r="J39614" s="25"/>
      <c r="K39614" s="25"/>
    </row>
    <row r="39615" customFormat="false" ht="15" hidden="false" customHeight="false" outlineLevel="0" collapsed="false">
      <c r="A39615" s="3" t="s">
        <v>556</v>
      </c>
      <c r="C39615" s="16" t="n">
        <f aca="false">SUMPRODUCT($G$39603:$K$39603,$G$39360:$K$39360)*(1+SUMPRODUCT($G$39603:$K$39603,$G$39352:$K$39352)*Assumptions!$C$16/12)</f>
        <v>403.76</v>
      </c>
    </row>
    <row r="39616" customFormat="false" ht="15" hidden="false" customHeight="false" outlineLevel="0" collapsed="false">
      <c r="A39616" s="3" t="s">
        <v>557</v>
      </c>
      <c r="C39616" s="16" t="n">
        <f aca="false">SUMPRODUCT($G$39603:$K$39603,$G$39373:$K$39373)*(1+SUMPRODUCT($G$39603:$K$39603,$G$39365:$K$39365)*Assumptions!$C$16/12)</f>
        <v>91.30725</v>
      </c>
    </row>
    <row r="39617" customFormat="false" ht="15" hidden="false" customHeight="false" outlineLevel="0" collapsed="false">
      <c r="A39617" s="3" t="s">
        <v>558</v>
      </c>
      <c r="C39617" s="16" t="n">
        <f aca="false">SUMPRODUCT($G$39603:$K$39603,$G$39386:$K$39386)*(1+SUMPRODUCT($G$39603:$K$39603,$G$39378:$K$39378)*Assumptions!$C$16/12)</f>
        <v>58.3715961</v>
      </c>
    </row>
    <row r="39618" customFormat="false" ht="15" hidden="false" customHeight="false" outlineLevel="0" collapsed="false">
      <c r="A39618" s="3" t="s">
        <v>559</v>
      </c>
      <c r="C39618" s="16" t="n">
        <f aca="false">SUMPRODUCT($G$39603:$K$39603,$G$39399:$K$39399)*(1+SUMPRODUCT($G$39603:$K$39603,$G$39391:$K$39391)*Assumptions!$C$16/12)</f>
        <v>0</v>
      </c>
    </row>
    <row r="39619" customFormat="false" ht="15" hidden="false" customHeight="false" outlineLevel="0" collapsed="false">
      <c r="A39619" s="3" t="s">
        <v>560</v>
      </c>
      <c r="C39619" s="16" t="n">
        <f aca="false">SUMPRODUCT($G$39603:$K$39603,$G$39412:$K$39412)*(1+SUMPRODUCT($G$39603:$K$39603,$G$39404:$K$39404)*Assumptions!$C$16/12)</f>
        <v>439.249936942163</v>
      </c>
    </row>
    <row r="39620" customFormat="false" ht="15" hidden="false" customHeight="false" outlineLevel="0" collapsed="false">
      <c r="A39620" s="3" t="s">
        <v>561</v>
      </c>
      <c r="C39620" s="16" t="n">
        <f aca="false">SUMPRODUCT($G$39603:$K$39603,$G$39425:$K$39425)*(1+SUMPRODUCT($G$39603:$K$39603,$G$39417:$K$39417)*Assumptions!$C$16/12)</f>
        <v>357.2625</v>
      </c>
    </row>
    <row r="39621" customFormat="false" ht="15" hidden="false" customHeight="false" outlineLevel="0" collapsed="false">
      <c r="A39621" s="3" t="s">
        <v>562</v>
      </c>
      <c r="C39621" s="16" t="n">
        <f aca="false">SUMPRODUCT($G$39603:$K$39603,$G$39438:$K$39438)*(1+SUMPRODUCT($G$39603:$K$39603,$G$39430:$K$39430)*Assumptions!$C$16/12)</f>
        <v>562.203125</v>
      </c>
    </row>
    <row r="39622" customFormat="false" ht="15" hidden="false" customHeight="false" outlineLevel="0" collapsed="false">
      <c r="A39622" s="3" t="s">
        <v>563</v>
      </c>
      <c r="C39622" s="16" t="n">
        <f aca="false">SUMPRODUCT($G$39603:$K$39603,$G$39451:$K$39451)*(1+SUMPRODUCT($G$39603:$K$39603,$G$39443:$K$39443)*Assumptions!$C$16/12)</f>
        <v>353.98125</v>
      </c>
    </row>
    <row r="39623" customFormat="false" ht="15" hidden="false" customHeight="false" outlineLevel="0" collapsed="false">
      <c r="A39623" s="3" t="s">
        <v>564</v>
      </c>
      <c r="C39623" s="16" t="n">
        <f aca="false">SUMPRODUCT($G$39603:$K$39603,$G$39464:$K$39464)*(1+SUMPRODUCT($G$39603:$K$39603,$G$39456:$K$39456)*Assumptions!$C$16/12)</f>
        <v>304.59375</v>
      </c>
    </row>
    <row r="39624" customFormat="false" ht="15" hidden="false" customHeight="false" outlineLevel="0" collapsed="false">
      <c r="A39624" s="3" t="s">
        <v>565</v>
      </c>
      <c r="C39624" s="16" t="n">
        <f aca="false">SUMPRODUCT($G$39603:$K$39603,$G$39477:$K$39477)*(1+SUMPRODUCT($G$39603:$K$39603,$G$39469:$K$39469)*Assumptions!$C$16/12)</f>
        <v>80.2332965</v>
      </c>
    </row>
    <row r="39625" customFormat="false" ht="15" hidden="false" customHeight="false" outlineLevel="0" collapsed="false">
      <c r="A39625" s="24" t="s">
        <v>566</v>
      </c>
      <c r="B39625" s="25"/>
      <c r="C39625" s="25"/>
      <c r="D39625" s="25"/>
      <c r="E39625" s="25"/>
      <c r="F39625" s="25"/>
      <c r="G39625" s="25"/>
      <c r="H39625" s="25"/>
      <c r="I39625" s="25"/>
      <c r="J39625" s="25"/>
      <c r="K39625" s="25"/>
    </row>
    <row r="39626" customFormat="false" ht="15" hidden="false" customHeight="false" outlineLevel="0" collapsed="false">
      <c r="A39626" s="3" t="s">
        <v>556</v>
      </c>
      <c r="C39626" s="27" t="n">
        <f aca="false">Assumptions!$M$57</f>
        <v>1</v>
      </c>
    </row>
    <row r="39627" customFormat="false" ht="15" hidden="false" customHeight="false" outlineLevel="0" collapsed="false">
      <c r="A39627" s="3" t="s">
        <v>557</v>
      </c>
      <c r="C39627" s="27" t="n">
        <f aca="false">Assumptions!$M$58</f>
        <v>1</v>
      </c>
    </row>
    <row r="39628" customFormat="false" ht="15" hidden="false" customHeight="false" outlineLevel="0" collapsed="false">
      <c r="A39628" s="3" t="s">
        <v>558</v>
      </c>
      <c r="C39628" s="27" t="n">
        <f aca="false">Assumptions!$M$59</f>
        <v>1</v>
      </c>
    </row>
    <row r="39629" customFormat="false" ht="15" hidden="false" customHeight="false" outlineLevel="0" collapsed="false">
      <c r="A39629" s="3" t="s">
        <v>559</v>
      </c>
      <c r="C39629" s="27" t="n">
        <f aca="false">Assumptions!$M$60</f>
        <v>2</v>
      </c>
    </row>
    <row r="39630" customFormat="false" ht="15" hidden="false" customHeight="false" outlineLevel="0" collapsed="false">
      <c r="A39630" s="3" t="s">
        <v>560</v>
      </c>
      <c r="C39630" s="27" t="n">
        <f aca="false">Assumptions!$M$61</f>
        <v>2</v>
      </c>
    </row>
    <row r="39631" customFormat="false" ht="15" hidden="false" customHeight="false" outlineLevel="0" collapsed="false">
      <c r="A39631" s="3" t="s">
        <v>561</v>
      </c>
      <c r="C39631" s="27" t="n">
        <f aca="false">Assumptions!$M$62</f>
        <v>2</v>
      </c>
    </row>
    <row r="39632" customFormat="false" ht="15" hidden="false" customHeight="false" outlineLevel="0" collapsed="false">
      <c r="A39632" s="3" t="s">
        <v>562</v>
      </c>
      <c r="C39632" s="27" t="n">
        <f aca="false">Assumptions!$M$63</f>
        <v>2</v>
      </c>
    </row>
    <row r="39633" customFormat="false" ht="15" hidden="false" customHeight="false" outlineLevel="0" collapsed="false">
      <c r="A39633" s="3" t="s">
        <v>563</v>
      </c>
      <c r="C39633" s="27" t="n">
        <f aca="false">Assumptions!$M$64</f>
        <v>2</v>
      </c>
    </row>
    <row r="39634" customFormat="false" ht="15" hidden="false" customHeight="false" outlineLevel="0" collapsed="false">
      <c r="A39634" s="3" t="s">
        <v>564</v>
      </c>
      <c r="C39634" s="27" t="n">
        <f aca="false">Assumptions!$M$65</f>
        <v>2</v>
      </c>
    </row>
    <row r="39635" customFormat="false" ht="15" hidden="false" customHeight="false" outlineLevel="0" collapsed="false">
      <c r="A39635" s="3" t="s">
        <v>565</v>
      </c>
      <c r="C39635" s="27" t="n">
        <f aca="false">Assumptions!$M$66</f>
        <v>3</v>
      </c>
    </row>
    <row r="39636" customFormat="false" ht="15" hidden="false" customHeight="false" outlineLevel="0" collapsed="false">
      <c r="A39636" s="24" t="s">
        <v>567</v>
      </c>
      <c r="B39636" s="25"/>
      <c r="C39636" s="25"/>
      <c r="D39636" s="25"/>
      <c r="E39636" s="25"/>
      <c r="F39636" s="25"/>
      <c r="G39636" s="25"/>
      <c r="H39636" s="25"/>
      <c r="I39636" s="25"/>
      <c r="J39636" s="25"/>
      <c r="K39636" s="25"/>
    </row>
    <row r="39637" customFormat="false" ht="15" hidden="false" customHeight="false" outlineLevel="0" collapsed="false">
      <c r="A39637" s="3" t="s">
        <v>556</v>
      </c>
      <c r="C39637" s="33" t="n">
        <f aca="false">Assumptions!$Q$57</f>
        <v>0.3</v>
      </c>
    </row>
    <row r="39638" customFormat="false" ht="15" hidden="false" customHeight="false" outlineLevel="0" collapsed="false">
      <c r="A39638" s="3" t="s">
        <v>557</v>
      </c>
      <c r="C39638" s="33" t="n">
        <f aca="false">Assumptions!$Q$58</f>
        <v>0.033</v>
      </c>
    </row>
    <row r="39639" customFormat="false" ht="15" hidden="false" customHeight="false" outlineLevel="0" collapsed="false">
      <c r="A39639" s="3" t="s">
        <v>558</v>
      </c>
      <c r="C39639" s="33" t="n">
        <f aca="false">Assumptions!$Q$59</f>
        <v>0.021</v>
      </c>
    </row>
    <row r="39640" customFormat="false" ht="15" hidden="false" customHeight="false" outlineLevel="0" collapsed="false">
      <c r="A39640" s="3" t="s">
        <v>559</v>
      </c>
      <c r="C39640" s="33" t="n">
        <f aca="false">Assumptions!$Q$60</f>
        <v>0</v>
      </c>
    </row>
    <row r="39641" customFormat="false" ht="15" hidden="false" customHeight="false" outlineLevel="0" collapsed="false">
      <c r="A39641" s="3" t="s">
        <v>560</v>
      </c>
      <c r="C39641" s="33" t="n">
        <f aca="false">Assumptions!$Q$61</f>
        <v>0</v>
      </c>
    </row>
    <row r="39642" customFormat="false" ht="15" hidden="false" customHeight="false" outlineLevel="0" collapsed="false">
      <c r="A39642" s="3" t="s">
        <v>561</v>
      </c>
      <c r="C39642" s="33" t="n">
        <f aca="false">Assumptions!$Q$62</f>
        <v>0</v>
      </c>
    </row>
    <row r="39643" customFormat="false" ht="15" hidden="false" customHeight="false" outlineLevel="0" collapsed="false">
      <c r="A39643" s="3" t="s">
        <v>562</v>
      </c>
      <c r="C39643" s="33" t="n">
        <f aca="false">Assumptions!$Q$63</f>
        <v>0</v>
      </c>
    </row>
    <row r="39644" customFormat="false" ht="15" hidden="false" customHeight="false" outlineLevel="0" collapsed="false">
      <c r="A39644" s="3" t="s">
        <v>563</v>
      </c>
      <c r="C39644" s="33" t="n">
        <f aca="false">Assumptions!$Q$64</f>
        <v>0</v>
      </c>
    </row>
    <row r="39645" customFormat="false" ht="15" hidden="false" customHeight="false" outlineLevel="0" collapsed="false">
      <c r="A39645" s="3" t="s">
        <v>564</v>
      </c>
      <c r="C39645" s="33" t="n">
        <f aca="false">Assumptions!$Q$65</f>
        <v>0</v>
      </c>
    </row>
    <row r="39646" customFormat="false" ht="15" hidden="false" customHeight="false" outlineLevel="0" collapsed="false">
      <c r="A39646" s="3" t="s">
        <v>565</v>
      </c>
      <c r="C39646" s="33" t="n">
        <f aca="false">Assumptions!$Q$66</f>
        <v>0</v>
      </c>
    </row>
    <row r="39647" customFormat="false" ht="15" hidden="false" customHeight="false" outlineLevel="0" collapsed="false">
      <c r="A39647" s="24" t="s">
        <v>568</v>
      </c>
      <c r="B39647" s="25"/>
      <c r="C39647" s="25"/>
      <c r="D39647" s="25"/>
      <c r="E39647" s="25"/>
      <c r="F39647" s="25"/>
      <c r="G39647" s="25"/>
      <c r="H39647" s="25"/>
      <c r="I39647" s="25"/>
      <c r="J39647" s="25"/>
      <c r="K39647" s="25"/>
    </row>
    <row r="39648" customFormat="false" ht="15" hidden="false" customHeight="false" outlineLevel="0" collapsed="false">
      <c r="A39648" s="3" t="s">
        <v>556</v>
      </c>
      <c r="C39648" s="16" t="n">
        <f aca="false">IF(C39637&gt;0,MIN(C39615,C39637*$C$39613),0)</f>
        <v>403.76</v>
      </c>
    </row>
    <row r="39649" customFormat="false" ht="15" hidden="false" customHeight="false" outlineLevel="0" collapsed="false">
      <c r="A39649" s="3" t="s">
        <v>557</v>
      </c>
      <c r="C39649" s="16" t="n">
        <f aca="false">IF(C39638&gt;0,MIN(C39616,C39638*$C$39613),0)</f>
        <v>85.1568504864</v>
      </c>
    </row>
    <row r="39650" customFormat="false" ht="15" hidden="false" customHeight="false" outlineLevel="0" collapsed="false">
      <c r="A39650" s="3" t="s">
        <v>558</v>
      </c>
      <c r="C39650" s="16" t="n">
        <f aca="false">IF(C39639&gt;0,MIN(C39617,C39639*$C$39613),0)</f>
        <v>54.1907230368</v>
      </c>
    </row>
    <row r="39651" customFormat="false" ht="15" hidden="false" customHeight="false" outlineLevel="0" collapsed="false">
      <c r="A39651" s="3" t="s">
        <v>559</v>
      </c>
      <c r="C39651" s="16" t="n">
        <f aca="false">IF(C39640&gt;0,MIN(C39618,C39640*$C$39613),0)</f>
        <v>0</v>
      </c>
    </row>
    <row r="39652" customFormat="false" ht="15" hidden="false" customHeight="false" outlineLevel="0" collapsed="false">
      <c r="A39652" s="3" t="s">
        <v>560</v>
      </c>
      <c r="C39652" s="16" t="n">
        <f aca="false">IF(C39641&gt;0,MIN(C39619,C39641*$C$39613),0)</f>
        <v>0</v>
      </c>
    </row>
    <row r="39653" customFormat="false" ht="15" hidden="false" customHeight="false" outlineLevel="0" collapsed="false">
      <c r="A39653" s="3" t="s">
        <v>561</v>
      </c>
      <c r="C39653" s="16" t="n">
        <f aca="false">IF(C39642&gt;0,MIN(C39620,C39642*$C$39613),0)</f>
        <v>0</v>
      </c>
    </row>
    <row r="39654" customFormat="false" ht="15" hidden="false" customHeight="false" outlineLevel="0" collapsed="false">
      <c r="A39654" s="3" t="s">
        <v>562</v>
      </c>
      <c r="C39654" s="16" t="n">
        <f aca="false">IF(C39643&gt;0,MIN(C39621,C39643*$C$39613),0)</f>
        <v>0</v>
      </c>
    </row>
    <row r="39655" customFormat="false" ht="15" hidden="false" customHeight="false" outlineLevel="0" collapsed="false">
      <c r="A39655" s="3" t="s">
        <v>563</v>
      </c>
      <c r="C39655" s="16" t="n">
        <f aca="false">IF(C39644&gt;0,MIN(C39622,C39644*$C$39613),0)</f>
        <v>0</v>
      </c>
    </row>
    <row r="39656" customFormat="false" ht="15" hidden="false" customHeight="false" outlineLevel="0" collapsed="false">
      <c r="A39656" s="3" t="s">
        <v>564</v>
      </c>
      <c r="C39656" s="16" t="n">
        <f aca="false">IF(C39645&gt;0,MIN(C39623,C39645*$C$39613),0)</f>
        <v>0</v>
      </c>
    </row>
    <row r="39657" customFormat="false" ht="15" hidden="false" customHeight="false" outlineLevel="0" collapsed="false">
      <c r="A39657" s="3" t="s">
        <v>565</v>
      </c>
      <c r="C39657" s="16" t="n">
        <f aca="false">IF(C39646&gt;0,MIN(C39624,C39646*$C$39613),0)</f>
        <v>0</v>
      </c>
    </row>
    <row r="39658" customFormat="false" ht="15" hidden="false" customHeight="false" outlineLevel="0" collapsed="false">
      <c r="A39658" s="24" t="s">
        <v>569</v>
      </c>
      <c r="B39658" s="25"/>
      <c r="C39658" s="25"/>
      <c r="D39658" s="25"/>
      <c r="E39658" s="25"/>
      <c r="F39658" s="25"/>
      <c r="G39658" s="25"/>
      <c r="H39658" s="25"/>
      <c r="I39658" s="25"/>
      <c r="J39658" s="25"/>
      <c r="K39658" s="25"/>
    </row>
    <row r="39659" customFormat="false" ht="15" hidden="false" customHeight="false" outlineLevel="0" collapsed="false">
      <c r="A39659" s="3" t="s">
        <v>556</v>
      </c>
      <c r="C39659" s="16" t="n">
        <f aca="false">IF(C39637&gt;0,C39615-C39648,0)</f>
        <v>0</v>
      </c>
      <c r="G39659" s="21" t="n">
        <f aca="false">IF(AND(G39350=1,G39347=1),1,0)</f>
        <v>0</v>
      </c>
      <c r="H39659" s="21" t="n">
        <f aca="false">IF(G39659=1,1,IF(AND(H39350=1,H39347=1),1,0))</f>
        <v>0</v>
      </c>
      <c r="I39659" s="21" t="n">
        <f aca="false">IF(H39659=1,1,IF(AND(I39350=1,I39347=1),1,0))</f>
        <v>0</v>
      </c>
      <c r="J39659" s="21" t="n">
        <f aca="false">IF(I39659=1,1,IF(AND(J39350=1,J39347=1),1,0))</f>
        <v>0</v>
      </c>
      <c r="K39659" s="21" t="n">
        <f aca="false">IF(J39659=1,1,IF(AND(K39350=1,K39347=1),1,0))</f>
        <v>0</v>
      </c>
    </row>
    <row r="39660" customFormat="false" ht="15" hidden="false" customHeight="false" outlineLevel="0" collapsed="false">
      <c r="A39660" s="3" t="s">
        <v>557</v>
      </c>
      <c r="C39660" s="16" t="n">
        <f aca="false">IF(C39638&gt;0,C39616-C39649,0)</f>
        <v>6.15039951360001</v>
      </c>
      <c r="G39660" s="21" t="n">
        <f aca="false">IF(AND(G39363=1,G39347=1),1,0)</f>
        <v>0</v>
      </c>
      <c r="H39660" s="21" t="n">
        <f aca="false">IF(G39660=1,1,IF(AND(H39363=1,H39347=1),1,0))</f>
        <v>0</v>
      </c>
      <c r="I39660" s="21" t="n">
        <f aca="false">IF(H39660=1,1,IF(AND(I39363=1,I39347=1),1,0))</f>
        <v>0</v>
      </c>
      <c r="J39660" s="21" t="n">
        <f aca="false">IF(I39660=1,1,IF(AND(J39363=1,J39347=1),1,0))</f>
        <v>0</v>
      </c>
      <c r="K39660" s="21" t="n">
        <f aca="false">IF(J39660=1,1,IF(AND(K39363=1,K39347=1),1,0))</f>
        <v>0</v>
      </c>
    </row>
    <row r="39661" customFormat="false" ht="15" hidden="false" customHeight="false" outlineLevel="0" collapsed="false">
      <c r="A39661" s="3" t="s">
        <v>558</v>
      </c>
      <c r="C39661" s="16" t="n">
        <f aca="false">IF(C39639&gt;0,C39617-C39650,0)</f>
        <v>4.1808730632</v>
      </c>
      <c r="G39661" s="21" t="n">
        <f aca="false">IF(AND(G39376=1,G39347=1),1,0)</f>
        <v>0</v>
      </c>
      <c r="H39661" s="21" t="n">
        <f aca="false">IF(G39661=1,1,IF(AND(H39376=1,H39347=1),1,0))</f>
        <v>0</v>
      </c>
      <c r="I39661" s="21" t="n">
        <f aca="false">IF(H39661=1,1,IF(AND(I39376=1,I39347=1),1,0))</f>
        <v>0</v>
      </c>
      <c r="J39661" s="21" t="n">
        <f aca="false">IF(I39661=1,1,IF(AND(J39376=1,J39347=1),1,0))</f>
        <v>0</v>
      </c>
      <c r="K39661" s="21" t="n">
        <f aca="false">IF(J39661=1,1,IF(AND(K39376=1,K39347=1),1,0))</f>
        <v>0</v>
      </c>
    </row>
    <row r="39662" customFormat="false" ht="15" hidden="false" customHeight="false" outlineLevel="0" collapsed="false">
      <c r="A39662" s="3" t="s">
        <v>559</v>
      </c>
      <c r="C39662" s="16" t="n">
        <f aca="false">IF(C39640&gt;0,C39618-C39651,0)</f>
        <v>0</v>
      </c>
      <c r="G39662" s="21" t="n">
        <f aca="false">IF(AND(G39389=1,G39347=1),1,0)</f>
        <v>0</v>
      </c>
      <c r="H39662" s="21" t="n">
        <f aca="false">IF(G39662=1,1,IF(AND(H39389=1,H39347=1),1,0))</f>
        <v>0</v>
      </c>
      <c r="I39662" s="21" t="n">
        <f aca="false">IF(H39662=1,1,IF(AND(I39389=1,I39347=1),1,0))</f>
        <v>0</v>
      </c>
      <c r="J39662" s="21" t="n">
        <f aca="false">IF(I39662=1,1,IF(AND(J39389=1,J39347=1),1,0))</f>
        <v>0</v>
      </c>
      <c r="K39662" s="21" t="n">
        <f aca="false">IF(J39662=1,1,IF(AND(K39389=1,K39347=1),1,0))</f>
        <v>0</v>
      </c>
    </row>
    <row r="39663" customFormat="false" ht="15" hidden="false" customHeight="false" outlineLevel="0" collapsed="false">
      <c r="A39663" s="3" t="s">
        <v>560</v>
      </c>
      <c r="C39663" s="16" t="n">
        <f aca="false">IF(C39641&gt;0,C39619-C39652,0)</f>
        <v>0</v>
      </c>
      <c r="G39663" s="21" t="n">
        <f aca="false">IF(AND(G39402=1,G39347=1),1,0)</f>
        <v>0</v>
      </c>
      <c r="H39663" s="21" t="n">
        <f aca="false">IF(G39663=1,1,IF(AND(H39402=1,H39347=1),1,0))</f>
        <v>0</v>
      </c>
      <c r="I39663" s="21" t="n">
        <f aca="false">IF(H39663=1,1,IF(AND(I39402=1,I39347=1),1,0))</f>
        <v>0</v>
      </c>
      <c r="J39663" s="21" t="n">
        <f aca="false">IF(I39663=1,1,IF(AND(J39402=1,J39347=1),1,0))</f>
        <v>0</v>
      </c>
      <c r="K39663" s="21" t="n">
        <f aca="false">IF(J39663=1,1,IF(AND(K39402=1,K39347=1),1,0))</f>
        <v>0</v>
      </c>
    </row>
    <row r="39664" customFormat="false" ht="15" hidden="false" customHeight="false" outlineLevel="0" collapsed="false">
      <c r="A39664" s="3" t="s">
        <v>561</v>
      </c>
      <c r="C39664" s="16" t="n">
        <f aca="false">IF(C39642&gt;0,C39620-C39653,0)</f>
        <v>0</v>
      </c>
      <c r="G39664" s="21" t="n">
        <f aca="false">IF(AND(G39415=1,G39347=1),1,0)</f>
        <v>0</v>
      </c>
      <c r="H39664" s="21" t="n">
        <f aca="false">IF(G39664=1,1,IF(AND(H39415=1,H39347=1),1,0))</f>
        <v>0</v>
      </c>
      <c r="I39664" s="21" t="n">
        <f aca="false">IF(H39664=1,1,IF(AND(I39415=1,I39347=1),1,0))</f>
        <v>0</v>
      </c>
      <c r="J39664" s="21" t="n">
        <f aca="false">IF(I39664=1,1,IF(AND(J39415=1,J39347=1),1,0))</f>
        <v>0</v>
      </c>
      <c r="K39664" s="21" t="n">
        <f aca="false">IF(J39664=1,1,IF(AND(K39415=1,K39347=1),1,0))</f>
        <v>0</v>
      </c>
    </row>
    <row r="39665" customFormat="false" ht="15" hidden="false" customHeight="false" outlineLevel="0" collapsed="false">
      <c r="A39665" s="3" t="s">
        <v>562</v>
      </c>
      <c r="C39665" s="16" t="n">
        <f aca="false">IF(C39643&gt;0,C39621-C39654,0)</f>
        <v>0</v>
      </c>
      <c r="G39665" s="21" t="n">
        <f aca="false">IF(AND(G39428=1,G39347=1),1,0)</f>
        <v>0</v>
      </c>
      <c r="H39665" s="21" t="n">
        <f aca="false">IF(G39665=1,1,IF(AND(H39428=1,H39347=1),1,0))</f>
        <v>0</v>
      </c>
      <c r="I39665" s="21" t="n">
        <f aca="false">IF(H39665=1,1,IF(AND(I39428=1,I39347=1),1,0))</f>
        <v>0</v>
      </c>
      <c r="J39665" s="21" t="n">
        <f aca="false">IF(I39665=1,1,IF(AND(J39428=1,J39347=1),1,0))</f>
        <v>0</v>
      </c>
      <c r="K39665" s="21" t="n">
        <f aca="false">IF(J39665=1,1,IF(AND(K39428=1,K39347=1),1,0))</f>
        <v>0</v>
      </c>
    </row>
    <row r="39666" customFormat="false" ht="15" hidden="false" customHeight="false" outlineLevel="0" collapsed="false">
      <c r="A39666" s="3" t="s">
        <v>563</v>
      </c>
      <c r="C39666" s="16" t="n">
        <f aca="false">IF(C39644&gt;0,C39622-C39655,0)</f>
        <v>0</v>
      </c>
      <c r="G39666" s="21" t="n">
        <f aca="false">IF(AND(G39441=1,G39347=1),1,0)</f>
        <v>0</v>
      </c>
      <c r="H39666" s="21" t="n">
        <f aca="false">IF(G39666=1,1,IF(AND(H39441=1,H39347=1),1,0))</f>
        <v>0</v>
      </c>
      <c r="I39666" s="21" t="n">
        <f aca="false">IF(H39666=1,1,IF(AND(I39441=1,I39347=1),1,0))</f>
        <v>0</v>
      </c>
      <c r="J39666" s="21" t="n">
        <f aca="false">IF(I39666=1,1,IF(AND(J39441=1,J39347=1),1,0))</f>
        <v>0</v>
      </c>
      <c r="K39666" s="21" t="n">
        <f aca="false">IF(J39666=1,1,IF(AND(K39441=1,K39347=1),1,0))</f>
        <v>0</v>
      </c>
    </row>
    <row r="39667" customFormat="false" ht="15" hidden="false" customHeight="false" outlineLevel="0" collapsed="false">
      <c r="A39667" s="3" t="s">
        <v>564</v>
      </c>
      <c r="C39667" s="16" t="n">
        <f aca="false">IF(C39645&gt;0,C39623-C39656,0)</f>
        <v>0</v>
      </c>
      <c r="G39667" s="21" t="n">
        <f aca="false">IF(AND(G39454=1,G39347=1),1,0)</f>
        <v>0</v>
      </c>
      <c r="H39667" s="21" t="n">
        <f aca="false">IF(G39667=1,1,IF(AND(H39454=1,H39347=1),1,0))</f>
        <v>0</v>
      </c>
      <c r="I39667" s="21" t="n">
        <f aca="false">IF(H39667=1,1,IF(AND(I39454=1,I39347=1),1,0))</f>
        <v>0</v>
      </c>
      <c r="J39667" s="21" t="n">
        <f aca="false">IF(I39667=1,1,IF(AND(J39454=1,J39347=1),1,0))</f>
        <v>0</v>
      </c>
      <c r="K39667" s="21" t="n">
        <f aca="false">IF(J39667=1,1,IF(AND(K39454=1,K39347=1),1,0))</f>
        <v>0</v>
      </c>
    </row>
    <row r="39668" customFormat="false" ht="15" hidden="false" customHeight="false" outlineLevel="0" collapsed="false">
      <c r="A39668" s="3" t="s">
        <v>565</v>
      </c>
      <c r="C39668" s="16" t="n">
        <f aca="false">IF(C39646&gt;0,C39624-C39657,0)</f>
        <v>0</v>
      </c>
      <c r="G39668" s="21" t="n">
        <f aca="false">IF(AND(G39467=1,G39347=1),1,0)</f>
        <v>0</v>
      </c>
      <c r="H39668" s="21" t="n">
        <f aca="false">IF(G39668=1,1,IF(AND(H39467=1,H39347=1),1,0))</f>
        <v>0</v>
      </c>
      <c r="I39668" s="21" t="n">
        <f aca="false">IF(H39668=1,1,IF(AND(I39467=1,I39347=1),1,0))</f>
        <v>0</v>
      </c>
      <c r="J39668" s="21" t="n">
        <f aca="false">IF(I39668=1,1,IF(AND(J39467=1,J39347=1),1,0))</f>
        <v>0</v>
      </c>
      <c r="K39668" s="21" t="n">
        <f aca="false">IF(J39668=1,1,IF(AND(K39467=1,K39347=1),1,0))</f>
        <v>0</v>
      </c>
    </row>
    <row r="39669" customFormat="false" ht="15" hidden="false" customHeight="false" outlineLevel="0" collapsed="false">
      <c r="A39669" s="24" t="s">
        <v>570</v>
      </c>
      <c r="B39669" s="25"/>
      <c r="C39669" s="25"/>
      <c r="D39669" s="25"/>
      <c r="E39669" s="25"/>
      <c r="F39669" s="25"/>
      <c r="G39669" s="25"/>
      <c r="H39669" s="25"/>
      <c r="I39669" s="25"/>
      <c r="J39669" s="25"/>
      <c r="K39669" s="25"/>
    </row>
    <row r="39670" customFormat="false" ht="15" hidden="false" customHeight="false" outlineLevel="0" collapsed="false">
      <c r="A39670" s="3" t="s">
        <v>556</v>
      </c>
      <c r="C39670" s="16" t="n">
        <f aca="false">IF(C39637&gt;0,C39659,C39615)</f>
        <v>0</v>
      </c>
    </row>
    <row r="39671" customFormat="false" ht="15" hidden="false" customHeight="false" outlineLevel="0" collapsed="false">
      <c r="A39671" s="3" t="s">
        <v>557</v>
      </c>
      <c r="C39671" s="16" t="n">
        <f aca="false">IF(C39638&gt;0,C39660,C39616)</f>
        <v>6.15039951360001</v>
      </c>
    </row>
    <row r="39672" customFormat="false" ht="15" hidden="false" customHeight="false" outlineLevel="0" collapsed="false">
      <c r="A39672" s="3" t="s">
        <v>558</v>
      </c>
      <c r="C39672" s="16" t="n">
        <f aca="false">IF(C39639&gt;0,C39661,C39617)</f>
        <v>4.1808730632</v>
      </c>
    </row>
    <row r="39673" customFormat="false" ht="15" hidden="false" customHeight="false" outlineLevel="0" collapsed="false">
      <c r="A39673" s="3" t="s">
        <v>559</v>
      </c>
      <c r="C39673" s="16" t="n">
        <f aca="false">IF(C39640&gt;0,C39662,C39618)</f>
        <v>0</v>
      </c>
    </row>
    <row r="39674" customFormat="false" ht="15" hidden="false" customHeight="false" outlineLevel="0" collapsed="false">
      <c r="A39674" s="3" t="s">
        <v>560</v>
      </c>
      <c r="C39674" s="16" t="n">
        <f aca="false">IF(C39641&gt;0,C39663,C39619)</f>
        <v>439.249936942163</v>
      </c>
    </row>
    <row r="39675" customFormat="false" ht="15" hidden="false" customHeight="false" outlineLevel="0" collapsed="false">
      <c r="A39675" s="3" t="s">
        <v>561</v>
      </c>
      <c r="C39675" s="16" t="n">
        <f aca="false">IF(C39642&gt;0,C39664,C39620)</f>
        <v>357.2625</v>
      </c>
    </row>
    <row r="39676" customFormat="false" ht="15" hidden="false" customHeight="false" outlineLevel="0" collapsed="false">
      <c r="A39676" s="3" t="s">
        <v>562</v>
      </c>
      <c r="C39676" s="16" t="n">
        <f aca="false">IF(C39643&gt;0,C39665,C39621)</f>
        <v>562.203125</v>
      </c>
    </row>
    <row r="39677" customFormat="false" ht="15" hidden="false" customHeight="false" outlineLevel="0" collapsed="false">
      <c r="A39677" s="3" t="s">
        <v>563</v>
      </c>
      <c r="C39677" s="16" t="n">
        <f aca="false">IF(C39644&gt;0,C39666,C39622)</f>
        <v>353.98125</v>
      </c>
    </row>
    <row r="39678" customFormat="false" ht="15" hidden="false" customHeight="false" outlineLevel="0" collapsed="false">
      <c r="A39678" s="3" t="s">
        <v>564</v>
      </c>
      <c r="C39678" s="16" t="n">
        <f aca="false">IF(C39645&gt;0,C39667,C39623)</f>
        <v>304.59375</v>
      </c>
    </row>
    <row r="39679" customFormat="false" ht="15" hidden="false" customHeight="false" outlineLevel="0" collapsed="false">
      <c r="A39679" s="3" t="s">
        <v>565</v>
      </c>
      <c r="C39679" s="16" t="n">
        <f aca="false">IF(C39646&gt;0,C39668,C39624)</f>
        <v>80.2332965</v>
      </c>
    </row>
    <row r="39680" customFormat="false" ht="15" hidden="false" customHeight="false" outlineLevel="0" collapsed="false">
      <c r="A39680" s="24" t="s">
        <v>571</v>
      </c>
      <c r="B39680" s="25"/>
      <c r="C39680" s="25"/>
      <c r="D39680" s="25"/>
      <c r="E39680" s="25"/>
      <c r="F39680" s="25"/>
      <c r="G39680" s="25"/>
      <c r="H39680" s="25"/>
      <c r="I39680" s="25"/>
      <c r="J39680" s="25"/>
      <c r="K39680" s="25"/>
    </row>
    <row r="39681" customFormat="false" ht="15" hidden="false" customHeight="false" outlineLevel="0" collapsed="false">
      <c r="A39681" s="3" t="s">
        <v>556</v>
      </c>
      <c r="C39681" s="21" t="n">
        <f aca="false">IF(C39637&gt;0,Assumptions!$C$17,C39626)</f>
        <v>99</v>
      </c>
    </row>
    <row r="39682" customFormat="false" ht="15" hidden="false" customHeight="false" outlineLevel="0" collapsed="false">
      <c r="A39682" s="3" t="s">
        <v>557</v>
      </c>
      <c r="C39682" s="21" t="n">
        <f aca="false">IF(C39638&gt;0,Assumptions!$C$17,C39627)</f>
        <v>99</v>
      </c>
    </row>
    <row r="39683" customFormat="false" ht="15" hidden="false" customHeight="false" outlineLevel="0" collapsed="false">
      <c r="A39683" s="3" t="s">
        <v>558</v>
      </c>
      <c r="C39683" s="21" t="n">
        <f aca="false">IF(C39639&gt;0,Assumptions!$C$17,C39628)</f>
        <v>99</v>
      </c>
    </row>
    <row r="39684" customFormat="false" ht="15" hidden="false" customHeight="false" outlineLevel="0" collapsed="false">
      <c r="A39684" s="3" t="s">
        <v>559</v>
      </c>
      <c r="C39684" s="21" t="n">
        <f aca="false">IF(C39640&gt;0,Assumptions!$C$17,C39629)</f>
        <v>2</v>
      </c>
    </row>
    <row r="39685" customFormat="false" ht="15" hidden="false" customHeight="false" outlineLevel="0" collapsed="false">
      <c r="A39685" s="3" t="s">
        <v>560</v>
      </c>
      <c r="C39685" s="21" t="n">
        <f aca="false">IF(C39641&gt;0,Assumptions!$C$17,C39630)</f>
        <v>2</v>
      </c>
    </row>
    <row r="39686" customFormat="false" ht="15" hidden="false" customHeight="false" outlineLevel="0" collapsed="false">
      <c r="A39686" s="3" t="s">
        <v>561</v>
      </c>
      <c r="C39686" s="21" t="n">
        <f aca="false">IF(C39642&gt;0,Assumptions!$C$17,C39631)</f>
        <v>2</v>
      </c>
    </row>
    <row r="39687" customFormat="false" ht="15" hidden="false" customHeight="false" outlineLevel="0" collapsed="false">
      <c r="A39687" s="3" t="s">
        <v>562</v>
      </c>
      <c r="C39687" s="21" t="n">
        <f aca="false">IF(C39643&gt;0,Assumptions!$C$17,C39632)</f>
        <v>2</v>
      </c>
    </row>
    <row r="39688" customFormat="false" ht="15" hidden="false" customHeight="false" outlineLevel="0" collapsed="false">
      <c r="A39688" s="3" t="s">
        <v>563</v>
      </c>
      <c r="C39688" s="21" t="n">
        <f aca="false">IF(C39644&gt;0,Assumptions!$C$17,C39633)</f>
        <v>2</v>
      </c>
    </row>
    <row r="39689" customFormat="false" ht="15" hidden="false" customHeight="false" outlineLevel="0" collapsed="false">
      <c r="A39689" s="3" t="s">
        <v>564</v>
      </c>
      <c r="C39689" s="21" t="n">
        <f aca="false">IF(C39645&gt;0,Assumptions!$C$17,C39634)</f>
        <v>2</v>
      </c>
    </row>
    <row r="39690" customFormat="false" ht="15" hidden="false" customHeight="false" outlineLevel="0" collapsed="false">
      <c r="A39690" s="3" t="s">
        <v>565</v>
      </c>
      <c r="C39690" s="21" t="n">
        <f aca="false">IF(C39646&gt;0,Assumptions!$C$17,C39635)</f>
        <v>3</v>
      </c>
    </row>
    <row r="39691" customFormat="false" ht="15" hidden="false" customHeight="false" outlineLevel="0" collapsed="false">
      <c r="A39691" s="24" t="s">
        <v>572</v>
      </c>
      <c r="B39691" s="25"/>
      <c r="C39691" s="25"/>
      <c r="D39691" s="25"/>
      <c r="E39691" s="25"/>
      <c r="F39691" s="25"/>
      <c r="G39691" s="25"/>
      <c r="H39691" s="25"/>
      <c r="I39691" s="25"/>
      <c r="J39691" s="25"/>
      <c r="K39691" s="25"/>
    </row>
    <row r="39692" customFormat="false" ht="15" hidden="false" customHeight="false" outlineLevel="0" collapsed="false">
      <c r="A39692" s="3" t="s">
        <v>556</v>
      </c>
      <c r="C39692" s="16" t="n">
        <f aca="false">SUMPRODUCT(($C$39681:$C$39690&lt;C39681)*$C$39670:$C$39679)</f>
        <v>2097.52385844216</v>
      </c>
    </row>
    <row r="39693" customFormat="false" ht="15" hidden="false" customHeight="false" outlineLevel="0" collapsed="false">
      <c r="A39693" s="3" t="s">
        <v>557</v>
      </c>
      <c r="C39693" s="16" t="n">
        <f aca="false">SUMPRODUCT(($C$39681:$C$39690&lt;C39682)*$C$39670:$C$39679)</f>
        <v>2097.52385844216</v>
      </c>
    </row>
    <row r="39694" customFormat="false" ht="15" hidden="false" customHeight="false" outlineLevel="0" collapsed="false">
      <c r="A39694" s="3" t="s">
        <v>558</v>
      </c>
      <c r="C39694" s="16" t="n">
        <f aca="false">SUMPRODUCT(($C$39681:$C$39690&lt;C39683)*$C$39670:$C$39679)</f>
        <v>2097.52385844216</v>
      </c>
    </row>
    <row r="39695" customFormat="false" ht="15" hidden="false" customHeight="false" outlineLevel="0" collapsed="false">
      <c r="A39695" s="3" t="s">
        <v>559</v>
      </c>
      <c r="C39695" s="16" t="n">
        <f aca="false">SUMPRODUCT(($C$39681:$C$39690&lt;C39684)*$C$39670:$C$39679)</f>
        <v>0</v>
      </c>
    </row>
    <row r="39696" customFormat="false" ht="15" hidden="false" customHeight="false" outlineLevel="0" collapsed="false">
      <c r="A39696" s="3" t="s">
        <v>560</v>
      </c>
      <c r="C39696" s="16" t="n">
        <f aca="false">SUMPRODUCT(($C$39681:$C$39690&lt;C39685)*$C$39670:$C$39679)</f>
        <v>0</v>
      </c>
    </row>
    <row r="39697" customFormat="false" ht="15" hidden="false" customHeight="false" outlineLevel="0" collapsed="false">
      <c r="A39697" s="3" t="s">
        <v>561</v>
      </c>
      <c r="C39697" s="16" t="n">
        <f aca="false">SUMPRODUCT(($C$39681:$C$39690&lt;C39686)*$C$39670:$C$39679)</f>
        <v>0</v>
      </c>
    </row>
    <row r="39698" customFormat="false" ht="15" hidden="false" customHeight="false" outlineLevel="0" collapsed="false">
      <c r="A39698" s="3" t="s">
        <v>562</v>
      </c>
      <c r="C39698" s="16" t="n">
        <f aca="false">SUMPRODUCT(($C$39681:$C$39690&lt;C39687)*$C$39670:$C$39679)</f>
        <v>0</v>
      </c>
    </row>
    <row r="39699" customFormat="false" ht="15" hidden="false" customHeight="false" outlineLevel="0" collapsed="false">
      <c r="A39699" s="3" t="s">
        <v>563</v>
      </c>
      <c r="C39699" s="16" t="n">
        <f aca="false">SUMPRODUCT(($C$39681:$C$39690&lt;C39688)*$C$39670:$C$39679)</f>
        <v>0</v>
      </c>
    </row>
    <row r="39700" customFormat="false" ht="15" hidden="false" customHeight="false" outlineLevel="0" collapsed="false">
      <c r="A39700" s="3" t="s">
        <v>564</v>
      </c>
      <c r="C39700" s="16" t="n">
        <f aca="false">SUMPRODUCT(($C$39681:$C$39690&lt;C39689)*$C$39670:$C$39679)</f>
        <v>0</v>
      </c>
    </row>
    <row r="39701" customFormat="false" ht="15" hidden="false" customHeight="false" outlineLevel="0" collapsed="false">
      <c r="A39701" s="3" t="s">
        <v>565</v>
      </c>
      <c r="C39701" s="16" t="n">
        <f aca="false">SUMPRODUCT(($C$39681:$C$39690&lt;C39690)*$C$39670:$C$39679)</f>
        <v>2017.29056194216</v>
      </c>
    </row>
    <row r="39702" customFormat="false" ht="15" hidden="false" customHeight="false" outlineLevel="0" collapsed="false">
      <c r="A39702" s="24" t="s">
        <v>573</v>
      </c>
      <c r="B39702" s="25"/>
      <c r="C39702" s="25"/>
      <c r="D39702" s="25"/>
      <c r="E39702" s="25"/>
      <c r="F39702" s="25"/>
      <c r="G39702" s="25"/>
      <c r="H39702" s="25"/>
      <c r="I39702" s="25"/>
      <c r="J39702" s="25"/>
      <c r="K39702" s="25"/>
    </row>
    <row r="39703" customFormat="false" ht="15" hidden="false" customHeight="false" outlineLevel="0" collapsed="false">
      <c r="A39703" s="3" t="s">
        <v>556</v>
      </c>
      <c r="C39703" s="16" t="n">
        <f aca="false">SUMPRODUCT(($C$39681:$C$39690=C39681)*$C$39670:$C$39679)</f>
        <v>10.3312725768</v>
      </c>
    </row>
    <row r="39704" customFormat="false" ht="15" hidden="false" customHeight="false" outlineLevel="0" collapsed="false">
      <c r="A39704" s="3" t="s">
        <v>557</v>
      </c>
      <c r="C39704" s="16" t="n">
        <f aca="false">SUMPRODUCT(($C$39681:$C$39690=C39682)*$C$39670:$C$39679)</f>
        <v>10.3312725768</v>
      </c>
    </row>
    <row r="39705" customFormat="false" ht="15" hidden="false" customHeight="false" outlineLevel="0" collapsed="false">
      <c r="A39705" s="3" t="s">
        <v>558</v>
      </c>
      <c r="C39705" s="16" t="n">
        <f aca="false">SUMPRODUCT(($C$39681:$C$39690=C39683)*$C$39670:$C$39679)</f>
        <v>10.3312725768</v>
      </c>
    </row>
    <row r="39706" customFormat="false" ht="15" hidden="false" customHeight="false" outlineLevel="0" collapsed="false">
      <c r="A39706" s="3" t="s">
        <v>559</v>
      </c>
      <c r="C39706" s="16" t="n">
        <f aca="false">SUMPRODUCT(($C$39681:$C$39690=C39684)*$C$39670:$C$39679)</f>
        <v>2017.29056194216</v>
      </c>
    </row>
    <row r="39707" customFormat="false" ht="15" hidden="false" customHeight="false" outlineLevel="0" collapsed="false">
      <c r="A39707" s="3" t="s">
        <v>560</v>
      </c>
      <c r="C39707" s="16" t="n">
        <f aca="false">SUMPRODUCT(($C$39681:$C$39690=C39685)*$C$39670:$C$39679)</f>
        <v>2017.29056194216</v>
      </c>
    </row>
    <row r="39708" customFormat="false" ht="15" hidden="false" customHeight="false" outlineLevel="0" collapsed="false">
      <c r="A39708" s="3" t="s">
        <v>561</v>
      </c>
      <c r="C39708" s="16" t="n">
        <f aca="false">SUMPRODUCT(($C$39681:$C$39690=C39686)*$C$39670:$C$39679)</f>
        <v>2017.29056194216</v>
      </c>
    </row>
    <row r="39709" customFormat="false" ht="15" hidden="false" customHeight="false" outlineLevel="0" collapsed="false">
      <c r="A39709" s="3" t="s">
        <v>562</v>
      </c>
      <c r="C39709" s="16" t="n">
        <f aca="false">SUMPRODUCT(($C$39681:$C$39690=C39687)*$C$39670:$C$39679)</f>
        <v>2017.29056194216</v>
      </c>
    </row>
    <row r="39710" customFormat="false" ht="15" hidden="false" customHeight="false" outlineLevel="0" collapsed="false">
      <c r="A39710" s="3" t="s">
        <v>563</v>
      </c>
      <c r="C39710" s="16" t="n">
        <f aca="false">SUMPRODUCT(($C$39681:$C$39690=C39688)*$C$39670:$C$39679)</f>
        <v>2017.29056194216</v>
      </c>
    </row>
    <row r="39711" customFormat="false" ht="15" hidden="false" customHeight="false" outlineLevel="0" collapsed="false">
      <c r="A39711" s="3" t="s">
        <v>564</v>
      </c>
      <c r="C39711" s="16" t="n">
        <f aca="false">SUMPRODUCT(($C$39681:$C$39690=C39689)*$C$39670:$C$39679)</f>
        <v>2017.29056194216</v>
      </c>
    </row>
    <row r="39712" customFormat="false" ht="15" hidden="false" customHeight="false" outlineLevel="0" collapsed="false">
      <c r="A39712" s="3" t="s">
        <v>565</v>
      </c>
      <c r="C39712" s="16" t="n">
        <f aca="false">SUMPRODUCT(($C$39681:$C$39690=C39690)*$C$39670:$C$39679)</f>
        <v>80.2332965</v>
      </c>
    </row>
    <row r="39713" customFormat="false" ht="15" hidden="false" customHeight="false" outlineLevel="0" collapsed="false">
      <c r="A39713" s="24" t="s">
        <v>574</v>
      </c>
      <c r="B39713" s="25"/>
      <c r="C39713" s="25"/>
      <c r="D39713" s="25"/>
      <c r="E39713" s="25"/>
      <c r="F39713" s="25"/>
      <c r="G39713" s="25"/>
      <c r="H39713" s="25"/>
      <c r="I39713" s="25"/>
      <c r="J39713" s="25"/>
      <c r="K39713" s="25"/>
    </row>
    <row r="39714" customFormat="false" ht="15" hidden="false" customHeight="false" outlineLevel="0" collapsed="false">
      <c r="A39714" s="3" t="s">
        <v>556</v>
      </c>
      <c r="C39714" s="16" t="n">
        <f aca="false">IF(C39703=0,0,C39670/C39703*MAX(0,MIN(C39703,$C$39613-SUM($C$39648:$C$39657)-C39692)))</f>
        <v>0</v>
      </c>
    </row>
    <row r="39715" customFormat="false" ht="15" hidden="false" customHeight="false" outlineLevel="0" collapsed="false">
      <c r="A39715" s="3" t="s">
        <v>557</v>
      </c>
      <c r="C39715" s="16" t="n">
        <f aca="false">IF(C39704=0,0,C39671/C39704*MAX(0,MIN(C39704,$C$39613-SUM($C$39648:$C$39657)-C39693)))</f>
        <v>0</v>
      </c>
    </row>
    <row r="39716" customFormat="false" ht="15" hidden="false" customHeight="false" outlineLevel="0" collapsed="false">
      <c r="A39716" s="3" t="s">
        <v>558</v>
      </c>
      <c r="C39716" s="16" t="n">
        <f aca="false">IF(C39705=0,0,C39672/C39705*MAX(0,MIN(C39705,$C$39613-SUM($C$39648:$C$39657)-C39694)))</f>
        <v>0</v>
      </c>
    </row>
    <row r="39717" customFormat="false" ht="15" hidden="false" customHeight="false" outlineLevel="0" collapsed="false">
      <c r="A39717" s="3" t="s">
        <v>559</v>
      </c>
      <c r="C39717" s="16" t="n">
        <f aca="false">IF(C39706=0,0,C39673/C39706*MAX(0,MIN(C39706,$C$39613-SUM($C$39648:$C$39657)-C39695)))</f>
        <v>0</v>
      </c>
    </row>
    <row r="39718" customFormat="false" ht="15" hidden="false" customHeight="false" outlineLevel="0" collapsed="false">
      <c r="A39718" s="3" t="s">
        <v>560</v>
      </c>
      <c r="C39718" s="16" t="n">
        <f aca="false">IF(C39707=0,0,C39674/C39707*MAX(0,MIN(C39707,$C$39613-SUM($C$39648:$C$39657)-C39696)))</f>
        <v>439.249936942163</v>
      </c>
    </row>
    <row r="39719" customFormat="false" ht="15" hidden="false" customHeight="false" outlineLevel="0" collapsed="false">
      <c r="A39719" s="3" t="s">
        <v>561</v>
      </c>
      <c r="C39719" s="16" t="n">
        <f aca="false">IF(C39708=0,0,C39675/C39708*MAX(0,MIN(C39708,$C$39613-SUM($C$39648:$C$39657)-C39697)))</f>
        <v>357.2625</v>
      </c>
    </row>
    <row r="39720" customFormat="false" ht="15" hidden="false" customHeight="false" outlineLevel="0" collapsed="false">
      <c r="A39720" s="3" t="s">
        <v>562</v>
      </c>
      <c r="C39720" s="16" t="n">
        <f aca="false">IF(C39709=0,0,C39676/C39709*MAX(0,MIN(C39709,$C$39613-SUM($C$39648:$C$39657)-C39698)))</f>
        <v>562.203125</v>
      </c>
    </row>
    <row r="39721" customFormat="false" ht="15" hidden="false" customHeight="false" outlineLevel="0" collapsed="false">
      <c r="A39721" s="3" t="s">
        <v>563</v>
      </c>
      <c r="C39721" s="16" t="n">
        <f aca="false">IF(C39710=0,0,C39677/C39710*MAX(0,MIN(C39710,$C$39613-SUM($C$39648:$C$39657)-C39699)))</f>
        <v>353.98125</v>
      </c>
    </row>
    <row r="39722" customFormat="false" ht="15" hidden="false" customHeight="false" outlineLevel="0" collapsed="false">
      <c r="A39722" s="3" t="s">
        <v>564</v>
      </c>
      <c r="C39722" s="16" t="n">
        <f aca="false">IF(C39711=0,0,C39678/C39711*MAX(0,MIN(C39711,$C$39613-SUM($C$39648:$C$39657)-C39700)))</f>
        <v>304.59375</v>
      </c>
    </row>
    <row r="39723" customFormat="false" ht="15" hidden="false" customHeight="false" outlineLevel="0" collapsed="false">
      <c r="A39723" s="3" t="s">
        <v>565</v>
      </c>
      <c r="C39723" s="16" t="n">
        <f aca="false">IF(C39712=0,0,C39679/C39712*MAX(0,MIN(C39712,$C$39613-SUM($C$39648:$C$39657)-C39701)))</f>
        <v>20.1124853346373</v>
      </c>
    </row>
    <row r="39724" customFormat="false" ht="15" hidden="false" customHeight="false" outlineLevel="0" collapsed="false">
      <c r="A39724" s="24" t="s">
        <v>575</v>
      </c>
      <c r="B39724" s="25"/>
      <c r="C39724" s="25"/>
      <c r="D39724" s="25"/>
      <c r="E39724" s="25"/>
      <c r="F39724" s="25"/>
      <c r="G39724" s="25"/>
      <c r="H39724" s="25"/>
      <c r="I39724" s="25"/>
      <c r="J39724" s="25"/>
      <c r="K39724" s="25"/>
    </row>
    <row r="39725" customFormat="false" ht="15" hidden="false" customHeight="false" outlineLevel="0" collapsed="false">
      <c r="A39725" s="2" t="s">
        <v>556</v>
      </c>
      <c r="C39725" s="17" t="n">
        <f aca="false">C39648+C39714</f>
        <v>403.76</v>
      </c>
    </row>
    <row r="39726" customFormat="false" ht="15" hidden="false" customHeight="false" outlineLevel="0" collapsed="false">
      <c r="A39726" s="2" t="s">
        <v>557</v>
      </c>
      <c r="C39726" s="17" t="n">
        <f aca="false">C39649+C39715</f>
        <v>85.1568504864</v>
      </c>
    </row>
    <row r="39727" customFormat="false" ht="15" hidden="false" customHeight="false" outlineLevel="0" collapsed="false">
      <c r="A39727" s="2" t="s">
        <v>558</v>
      </c>
      <c r="C39727" s="17" t="n">
        <f aca="false">C39650+C39716</f>
        <v>54.1907230368</v>
      </c>
    </row>
    <row r="39728" customFormat="false" ht="15" hidden="false" customHeight="false" outlineLevel="0" collapsed="false">
      <c r="A39728" s="2" t="s">
        <v>559</v>
      </c>
      <c r="C39728" s="17" t="n">
        <f aca="false">C39651+C39717</f>
        <v>0</v>
      </c>
    </row>
    <row r="39729" customFormat="false" ht="15" hidden="false" customHeight="false" outlineLevel="0" collapsed="false">
      <c r="A39729" s="2" t="s">
        <v>560</v>
      </c>
      <c r="C39729" s="17" t="n">
        <f aca="false">C39652+C39718</f>
        <v>439.249936942163</v>
      </c>
    </row>
    <row r="39730" customFormat="false" ht="15" hidden="false" customHeight="false" outlineLevel="0" collapsed="false">
      <c r="A39730" s="2" t="s">
        <v>561</v>
      </c>
      <c r="C39730" s="17" t="n">
        <f aca="false">C39653+C39719</f>
        <v>357.2625</v>
      </c>
    </row>
    <row r="39731" customFormat="false" ht="15" hidden="false" customHeight="false" outlineLevel="0" collapsed="false">
      <c r="A39731" s="2" t="s">
        <v>562</v>
      </c>
      <c r="C39731" s="17" t="n">
        <f aca="false">C39654+C39720</f>
        <v>562.203125</v>
      </c>
    </row>
    <row r="39732" customFormat="false" ht="15" hidden="false" customHeight="false" outlineLevel="0" collapsed="false">
      <c r="A39732" s="2" t="s">
        <v>563</v>
      </c>
      <c r="C39732" s="17" t="n">
        <f aca="false">C39655+C39721</f>
        <v>353.98125</v>
      </c>
    </row>
    <row r="39733" customFormat="false" ht="15" hidden="false" customHeight="false" outlineLevel="0" collapsed="false">
      <c r="A39733" s="2" t="s">
        <v>564</v>
      </c>
      <c r="C39733" s="17" t="n">
        <f aca="false">C39656+C39722</f>
        <v>304.59375</v>
      </c>
    </row>
    <row r="39734" customFormat="false" ht="15" hidden="false" customHeight="false" outlineLevel="0" collapsed="false">
      <c r="A39734" s="2" t="s">
        <v>565</v>
      </c>
      <c r="C39734" s="17" t="n">
        <f aca="false">C39657+C39723</f>
        <v>20.1124853346373</v>
      </c>
    </row>
    <row r="39735" customFormat="false" ht="15" hidden="false" customHeight="false" outlineLevel="0" collapsed="false">
      <c r="A39735" s="24" t="s">
        <v>576</v>
      </c>
      <c r="B39735" s="25"/>
      <c r="C39735" s="25"/>
      <c r="D39735" s="25"/>
      <c r="E39735" s="25"/>
      <c r="F39735" s="25"/>
      <c r="G39735" s="25"/>
      <c r="H39735" s="25"/>
      <c r="I39735" s="25"/>
      <c r="J39735" s="25"/>
      <c r="K39735" s="25"/>
    </row>
    <row r="39736" customFormat="false" ht="15" hidden="false" customHeight="false" outlineLevel="0" collapsed="false">
      <c r="A39736" s="3" t="s">
        <v>556</v>
      </c>
      <c r="C39736" s="22" t="n">
        <f aca="false">IF(C39615=0,1,C39725/C39615)</f>
        <v>1</v>
      </c>
    </row>
    <row r="39737" customFormat="false" ht="15" hidden="false" customHeight="false" outlineLevel="0" collapsed="false">
      <c r="A39737" s="3" t="s">
        <v>557</v>
      </c>
      <c r="C39737" s="22" t="n">
        <f aca="false">IF(C39616=0,1,C39726/C39616)</f>
        <v>0.932640622583639</v>
      </c>
    </row>
    <row r="39738" customFormat="false" ht="15" hidden="false" customHeight="false" outlineLevel="0" collapsed="false">
      <c r="A39738" s="3" t="s">
        <v>558</v>
      </c>
      <c r="C39738" s="22" t="n">
        <f aca="false">IF(C39617=0,1,C39727/C39617)</f>
        <v>0.928374871640695</v>
      </c>
    </row>
    <row r="39739" customFormat="false" ht="15" hidden="false" customHeight="false" outlineLevel="0" collapsed="false">
      <c r="A39739" s="3" t="s">
        <v>559</v>
      </c>
      <c r="C39739" s="22" t="n">
        <f aca="false">IF(C39618=0,1,C39728/C39618)</f>
        <v>1</v>
      </c>
    </row>
    <row r="39740" customFormat="false" ht="15" hidden="false" customHeight="false" outlineLevel="0" collapsed="false">
      <c r="A39740" s="3" t="s">
        <v>560</v>
      </c>
      <c r="C39740" s="22" t="n">
        <f aca="false">IF(C39619=0,1,C39729/C39619)</f>
        <v>1</v>
      </c>
    </row>
    <row r="39741" customFormat="false" ht="15" hidden="false" customHeight="false" outlineLevel="0" collapsed="false">
      <c r="A39741" s="3" t="s">
        <v>561</v>
      </c>
      <c r="C39741" s="22" t="n">
        <f aca="false">IF(C39620=0,1,C39730/C39620)</f>
        <v>1</v>
      </c>
    </row>
    <row r="39742" customFormat="false" ht="15" hidden="false" customHeight="false" outlineLevel="0" collapsed="false">
      <c r="A39742" s="3" t="s">
        <v>562</v>
      </c>
      <c r="C39742" s="22" t="n">
        <f aca="false">IF(C39621=0,1,C39731/C39621)</f>
        <v>1</v>
      </c>
    </row>
    <row r="39743" customFormat="false" ht="15" hidden="false" customHeight="false" outlineLevel="0" collapsed="false">
      <c r="A39743" s="3" t="s">
        <v>563</v>
      </c>
      <c r="C39743" s="22" t="n">
        <f aca="false">IF(C39622=0,1,C39732/C39622)</f>
        <v>1</v>
      </c>
    </row>
    <row r="39744" customFormat="false" ht="15" hidden="false" customHeight="false" outlineLevel="0" collapsed="false">
      <c r="A39744" s="3" t="s">
        <v>564</v>
      </c>
      <c r="C39744" s="22" t="n">
        <f aca="false">IF(C39623=0,1,C39733/C39623)</f>
        <v>1</v>
      </c>
    </row>
    <row r="39745" customFormat="false" ht="15" hidden="false" customHeight="false" outlineLevel="0" collapsed="false">
      <c r="A39745" s="3" t="s">
        <v>565</v>
      </c>
      <c r="C39745" s="22" t="n">
        <f aca="false">IF(C39624=0,1,C39734/C39624)</f>
        <v>0.250675046545511</v>
      </c>
    </row>
    <row r="39746" customFormat="false" ht="15" hidden="false" customHeight="false" outlineLevel="0" collapsed="false">
      <c r="A39746" s="24" t="s">
        <v>577</v>
      </c>
      <c r="B39746" s="25"/>
      <c r="C39746" s="25"/>
      <c r="D39746" s="25"/>
      <c r="E39746" s="25"/>
      <c r="F39746" s="25"/>
      <c r="G39746" s="25"/>
      <c r="H39746" s="25"/>
      <c r="I39746" s="25"/>
      <c r="J39746" s="25"/>
      <c r="K39746" s="25"/>
    </row>
    <row r="39747" customFormat="false" ht="15" hidden="false" customHeight="false" outlineLevel="0" collapsed="false">
      <c r="A39747" s="3" t="s">
        <v>556</v>
      </c>
      <c r="C39747" s="16" t="n">
        <f aca="false">C39615-C39725</f>
        <v>0</v>
      </c>
    </row>
    <row r="39748" customFormat="false" ht="15" hidden="false" customHeight="false" outlineLevel="0" collapsed="false">
      <c r="A39748" s="3" t="s">
        <v>557</v>
      </c>
      <c r="C39748" s="16" t="n">
        <f aca="false">C39616-C39726</f>
        <v>6.15039951360001</v>
      </c>
    </row>
    <row r="39749" customFormat="false" ht="15" hidden="false" customHeight="false" outlineLevel="0" collapsed="false">
      <c r="A39749" s="3" t="s">
        <v>558</v>
      </c>
      <c r="C39749" s="16" t="n">
        <f aca="false">C39617-C39727</f>
        <v>4.1808730632</v>
      </c>
    </row>
    <row r="39750" customFormat="false" ht="15" hidden="false" customHeight="false" outlineLevel="0" collapsed="false">
      <c r="A39750" s="3" t="s">
        <v>559</v>
      </c>
      <c r="C39750" s="16" t="n">
        <f aca="false">C39618-C39728</f>
        <v>0</v>
      </c>
    </row>
    <row r="39751" customFormat="false" ht="15" hidden="false" customHeight="false" outlineLevel="0" collapsed="false">
      <c r="A39751" s="3" t="s">
        <v>560</v>
      </c>
      <c r="C39751" s="16" t="n">
        <f aca="false">C39619-C39729</f>
        <v>0</v>
      </c>
    </row>
    <row r="39752" customFormat="false" ht="15" hidden="false" customHeight="false" outlineLevel="0" collapsed="false">
      <c r="A39752" s="3" t="s">
        <v>561</v>
      </c>
      <c r="C39752" s="16" t="n">
        <f aca="false">C39620-C39730</f>
        <v>0</v>
      </c>
    </row>
    <row r="39753" customFormat="false" ht="15" hidden="false" customHeight="false" outlineLevel="0" collapsed="false">
      <c r="A39753" s="3" t="s">
        <v>562</v>
      </c>
      <c r="C39753" s="16" t="n">
        <f aca="false">C39621-C39731</f>
        <v>0</v>
      </c>
    </row>
    <row r="39754" customFormat="false" ht="15" hidden="false" customHeight="false" outlineLevel="0" collapsed="false">
      <c r="A39754" s="3" t="s">
        <v>563</v>
      </c>
      <c r="C39754" s="16" t="n">
        <f aca="false">C39622-C39732</f>
        <v>0</v>
      </c>
    </row>
    <row r="39755" customFormat="false" ht="15" hidden="false" customHeight="false" outlineLevel="0" collapsed="false">
      <c r="A39755" s="3" t="s">
        <v>564</v>
      </c>
      <c r="C39755" s="16" t="n">
        <f aca="false">C39623-C39733</f>
        <v>0</v>
      </c>
    </row>
    <row r="39756" customFormat="false" ht="15" hidden="false" customHeight="false" outlineLevel="0" collapsed="false">
      <c r="A39756" s="3" t="s">
        <v>565</v>
      </c>
      <c r="C39756" s="16" t="n">
        <f aca="false">C39624-C39734</f>
        <v>60.1208111653627</v>
      </c>
    </row>
    <row r="39757" customFormat="false" ht="15" hidden="false" customHeight="false" outlineLevel="0" collapsed="false">
      <c r="A39757" s="24" t="s">
        <v>578</v>
      </c>
      <c r="B39757" s="25"/>
      <c r="C39757" s="25"/>
      <c r="D39757" s="25"/>
      <c r="E39757" s="25"/>
      <c r="F39757" s="25"/>
      <c r="G39757" s="25"/>
      <c r="H39757" s="25"/>
      <c r="I39757" s="25"/>
      <c r="J39757" s="25"/>
      <c r="K39757" s="25"/>
    </row>
    <row r="39758" customFormat="false" ht="15" hidden="false" customHeight="false" outlineLevel="0" collapsed="false">
      <c r="A39758" s="3" t="s">
        <v>556</v>
      </c>
      <c r="C39758" s="22" t="n">
        <f aca="false">IF(C39615=0,0,C39747/C39615)</f>
        <v>0</v>
      </c>
    </row>
    <row r="39759" customFormat="false" ht="15" hidden="false" customHeight="false" outlineLevel="0" collapsed="false">
      <c r="A39759" s="3" t="s">
        <v>557</v>
      </c>
      <c r="C39759" s="22" t="n">
        <f aca="false">IF(C39616=0,0,C39748/C39616)</f>
        <v>0.0673593774163608</v>
      </c>
    </row>
    <row r="39760" customFormat="false" ht="15" hidden="false" customHeight="false" outlineLevel="0" collapsed="false">
      <c r="A39760" s="3" t="s">
        <v>558</v>
      </c>
      <c r="C39760" s="22" t="n">
        <f aca="false">IF(C39617=0,0,C39749/C39617)</f>
        <v>0.0716251283593048</v>
      </c>
    </row>
    <row r="39761" customFormat="false" ht="15" hidden="false" customHeight="false" outlineLevel="0" collapsed="false">
      <c r="A39761" s="3" t="s">
        <v>559</v>
      </c>
      <c r="C39761" s="22" t="n">
        <f aca="false">IF(C39618=0,0,C39750/C39618)</f>
        <v>0</v>
      </c>
    </row>
    <row r="39762" customFormat="false" ht="15" hidden="false" customHeight="false" outlineLevel="0" collapsed="false">
      <c r="A39762" s="3" t="s">
        <v>560</v>
      </c>
      <c r="C39762" s="22" t="n">
        <f aca="false">IF(C39619=0,0,C39751/C39619)</f>
        <v>0</v>
      </c>
    </row>
    <row r="39763" customFormat="false" ht="15" hidden="false" customHeight="false" outlineLevel="0" collapsed="false">
      <c r="A39763" s="3" t="s">
        <v>561</v>
      </c>
      <c r="C39763" s="22" t="n">
        <f aca="false">IF(C39620=0,0,C39752/C39620)</f>
        <v>0</v>
      </c>
    </row>
    <row r="39764" customFormat="false" ht="15" hidden="false" customHeight="false" outlineLevel="0" collapsed="false">
      <c r="A39764" s="3" t="s">
        <v>562</v>
      </c>
      <c r="C39764" s="22" t="n">
        <f aca="false">IF(C39621=0,0,C39753/C39621)</f>
        <v>0</v>
      </c>
    </row>
    <row r="39765" customFormat="false" ht="15" hidden="false" customHeight="false" outlineLevel="0" collapsed="false">
      <c r="A39765" s="3" t="s">
        <v>563</v>
      </c>
      <c r="C39765" s="22" t="n">
        <f aca="false">IF(C39622=0,0,C39754/C39622)</f>
        <v>0</v>
      </c>
    </row>
    <row r="39766" customFormat="false" ht="15" hidden="false" customHeight="false" outlineLevel="0" collapsed="false">
      <c r="A39766" s="3" t="s">
        <v>564</v>
      </c>
      <c r="C39766" s="22" t="n">
        <f aca="false">IF(C39623=0,0,C39755/C39623)</f>
        <v>0</v>
      </c>
    </row>
    <row r="39767" customFormat="false" ht="15" hidden="false" customHeight="false" outlineLevel="0" collapsed="false">
      <c r="A39767" s="3" t="s">
        <v>565</v>
      </c>
      <c r="C39767" s="22" t="n">
        <f aca="false">IF(C39624=0,0,C39756/C39624)</f>
        <v>0.749324953454489</v>
      </c>
    </row>
    <row r="39768" customFormat="false" ht="15" hidden="false" customHeight="false" outlineLevel="0" collapsed="false">
      <c r="A39768" s="2" t="s">
        <v>579</v>
      </c>
      <c r="C39768" s="17" t="n">
        <f aca="false">MAX(0,$C$39613-SUM($C$39648:$C$39657)-SUM($C$39670:$C$39679))</f>
        <v>0</v>
      </c>
    </row>
    <row r="39769" customFormat="false" ht="15" hidden="false" customHeight="false" outlineLevel="0" collapsed="false">
      <c r="A39769" s="3" t="s">
        <v>580</v>
      </c>
      <c r="C39769" s="16" t="n">
        <f aca="false">SUM($C$39725:$C$39734)+C39768+C39612-C39611</f>
        <v>0</v>
      </c>
    </row>
    <row r="39771" customFormat="false" ht="15" hidden="false" customHeight="false" outlineLevel="0" collapsed="false">
      <c r="A39771" s="24" t="s">
        <v>583</v>
      </c>
      <c r="B39771" s="25"/>
      <c r="C39771" s="25"/>
      <c r="D39771" s="25"/>
      <c r="E39771" s="25"/>
      <c r="F39771" s="25"/>
      <c r="G39771" s="25"/>
      <c r="H39771" s="25"/>
      <c r="I39771" s="25"/>
      <c r="J39771" s="25"/>
      <c r="K39771" s="25"/>
    </row>
    <row r="39772" customFormat="false" ht="15" hidden="false" customHeight="false" outlineLevel="0" collapsed="false">
      <c r="A39772" s="3" t="s">
        <v>584</v>
      </c>
      <c r="C39772" s="27" t="n">
        <f aca="false">Assumptions!$C$34</f>
        <v>1</v>
      </c>
    </row>
    <row r="39773" customFormat="false" ht="15" hidden="false" customHeight="false" outlineLevel="0" collapsed="false">
      <c r="A39773" s="3" t="s">
        <v>585</v>
      </c>
      <c r="C39773" s="29" t="n">
        <f aca="false">Assumptions!$C$35</f>
        <v>100</v>
      </c>
    </row>
    <row r="39774" customFormat="false" ht="15" hidden="false" customHeight="false" outlineLevel="0" collapsed="false">
      <c r="A39774" s="3" t="s">
        <v>586</v>
      </c>
      <c r="C39774" s="40" t="n">
        <f aca="false">Assumptions!$C$36</f>
        <v>98</v>
      </c>
    </row>
    <row r="39775" customFormat="false" ht="15" hidden="false" customHeight="false" outlineLevel="0" collapsed="false">
      <c r="A39775" s="3" t="s">
        <v>587</v>
      </c>
      <c r="C39775" s="16" t="n">
        <f aca="false">C39773*C39774/100*(1+Assumptions!$C$37)</f>
        <v>98.49</v>
      </c>
    </row>
    <row r="39776" customFormat="false" ht="15" hidden="false" customHeight="false" outlineLevel="0" collapsed="false">
      <c r="A39776" s="3" t="s">
        <v>588</v>
      </c>
      <c r="C39776" s="27" t="n">
        <f aca="false">Assumptions!$C$38</f>
        <v>3</v>
      </c>
    </row>
    <row r="39777" customFormat="false" ht="15" hidden="false" customHeight="false" outlineLevel="0" collapsed="false">
      <c r="A39777" s="3" t="s">
        <v>589</v>
      </c>
      <c r="C39777" s="21" t="n">
        <f aca="false">IF(C39604=1,SUMPRODUCT($G$39540:$K$39540,$G$39314:$K$39314),0)</f>
        <v>2</v>
      </c>
    </row>
    <row r="39778" customFormat="false" ht="15" hidden="false" customHeight="false" outlineLevel="0" collapsed="false">
      <c r="A39778" s="3" t="s">
        <v>590</v>
      </c>
      <c r="C39778" s="22" t="n">
        <f aca="false">IFERROR(C39773/CHOOSE(C39772,SUMPRODUCT($G$39603:$K$39603,$G$39360:$K$39360),SUMPRODUCT($G$39603:$K$39603,$G$39373:$K$39373),SUMPRODUCT($G$39603:$K$39603,$G$39386:$K$39386),SUMPRODUCT($G$39603:$K$39603,$G$39399:$K$39399),SUMPRODUCT($G$39603:$K$39603,$G$39412:$K$39412),SUMPRODUCT($G$39603:$K$39603,$G$39425:$K$39425),SUMPRODUCT($G$39603:$K$39603,$G$39438:$K$39438),SUMPRODUCT($G$39603:$K$39603,$G$39451:$K$39451),SUMPRODUCT($G$39603:$K$39603,$G$39464:$K$39464),SUMPRODUCT($G$39603:$K$39603,$G$39477:$K$39477)),0)</f>
        <v>0.255102040816327</v>
      </c>
    </row>
    <row r="39779" customFormat="false" ht="15" hidden="false" customHeight="false" outlineLevel="0" collapsed="false">
      <c r="A39779" s="3" t="s">
        <v>591</v>
      </c>
      <c r="C39779" s="16" t="n">
        <f aca="false">CHOOSE(C39772,C39725,C39726,C39727,C39728,C39729,C39730,C39731,C39732,C39733,C39734)*C39778</f>
        <v>103</v>
      </c>
    </row>
    <row r="39780" customFormat="false" ht="15" hidden="false" customHeight="false" outlineLevel="0" collapsed="false">
      <c r="A39780" s="3" t="s">
        <v>592</v>
      </c>
      <c r="C39780" s="22" t="n">
        <f aca="false">CHOOSE(C39772,C39736,C39737,C39738,C39739,C39740,C39741,C39742,C39743,C39744,C39745)</f>
        <v>1</v>
      </c>
    </row>
    <row r="39781" customFormat="false" ht="15" hidden="false" customHeight="false" outlineLevel="0" collapsed="false">
      <c r="A39781" s="3" t="s">
        <v>593</v>
      </c>
      <c r="C39781" s="21" t="n">
        <f aca="false">IF(C39604=1,C39777,C39776)</f>
        <v>2</v>
      </c>
    </row>
    <row r="39782" customFormat="false" ht="15" hidden="false" customHeight="false" outlineLevel="0" collapsed="false">
      <c r="A39782" s="3" t="s">
        <v>594</v>
      </c>
      <c r="C39782" s="35" t="n">
        <f aca="false">CHOOSE($C$39306,Assumptions!$C$91,Assumptions!$C$110,Assumptions!$C$129)</f>
        <v>85</v>
      </c>
    </row>
    <row r="39783" customFormat="false" ht="15" hidden="false" customHeight="false" outlineLevel="0" collapsed="false">
      <c r="A39783" s="3" t="s">
        <v>595</v>
      </c>
      <c r="C39783" s="16" t="n">
        <f aca="false">INDEX($G$39323:$K$39323,C39776)*CHOOSE($C$39306,Assumptions!$C$90,Assumptions!$C$109,Assumptions!$C$128)+MAX(0,INDEX($G$39537:$K$39537,C39776))</f>
        <v>1633.40082545963</v>
      </c>
    </row>
    <row r="39784" customFormat="false" ht="15" hidden="false" customHeight="false" outlineLevel="0" collapsed="false">
      <c r="A39784" s="24" t="s">
        <v>596</v>
      </c>
      <c r="B39784" s="25"/>
      <c r="C39784" s="25"/>
      <c r="D39784" s="25"/>
      <c r="E39784" s="25"/>
      <c r="F39784" s="25"/>
      <c r="G39784" s="25"/>
      <c r="H39784" s="25"/>
      <c r="I39784" s="25"/>
      <c r="J39784" s="25"/>
      <c r="K39784" s="25"/>
    </row>
    <row r="39785" customFormat="false" ht="15" hidden="false" customHeight="false" outlineLevel="0" collapsed="false">
      <c r="A39785" s="3" t="s">
        <v>556</v>
      </c>
      <c r="C39785" s="16" t="n">
        <f aca="false">INDEX($G$39360:$K$39360,C39776)</f>
        <v>388</v>
      </c>
    </row>
    <row r="39786" customFormat="false" ht="15" hidden="false" customHeight="false" outlineLevel="0" collapsed="false">
      <c r="A39786" s="3" t="s">
        <v>557</v>
      </c>
      <c r="C39786" s="16" t="n">
        <f aca="false">INDEX($G$39373:$K$39373,C39776)</f>
        <v>90</v>
      </c>
    </row>
    <row r="39787" customFormat="false" ht="15" hidden="false" customHeight="false" outlineLevel="0" collapsed="false">
      <c r="A39787" s="3" t="s">
        <v>558</v>
      </c>
      <c r="C39787" s="16" t="n">
        <f aca="false">INDEX($G$39386:$K$39386,C39776)</f>
        <v>57.324</v>
      </c>
    </row>
    <row r="39788" customFormat="false" ht="15" hidden="false" customHeight="false" outlineLevel="0" collapsed="false">
      <c r="A39788" s="3" t="s">
        <v>559</v>
      </c>
      <c r="C39788" s="16" t="n">
        <f aca="false">INDEX($G$39399:$K$39399,C39776)</f>
        <v>0</v>
      </c>
    </row>
    <row r="39789" customFormat="false" ht="15" hidden="false" customHeight="false" outlineLevel="0" collapsed="false">
      <c r="A39789" s="3" t="s">
        <v>560</v>
      </c>
      <c r="C39789" s="16" t="n">
        <f aca="false">INDEX($G$39412:$K$39412,C39776)</f>
        <v>434.9547587</v>
      </c>
    </row>
    <row r="39790" customFormat="false" ht="15" hidden="false" customHeight="false" outlineLevel="0" collapsed="false">
      <c r="A39790" s="3" t="s">
        <v>561</v>
      </c>
      <c r="C39790" s="16" t="n">
        <f aca="false">INDEX($G$39425:$K$39425,C39776)</f>
        <v>350</v>
      </c>
    </row>
    <row r="39791" customFormat="false" ht="15" hidden="false" customHeight="false" outlineLevel="0" collapsed="false">
      <c r="A39791" s="3" t="s">
        <v>562</v>
      </c>
      <c r="C39791" s="16" t="n">
        <f aca="false">INDEX($G$39438:$K$39438,C39776)</f>
        <v>550</v>
      </c>
    </row>
    <row r="39792" customFormat="false" ht="15" hidden="false" customHeight="false" outlineLevel="0" collapsed="false">
      <c r="A39792" s="3" t="s">
        <v>563</v>
      </c>
      <c r="C39792" s="16" t="n">
        <f aca="false">INDEX($G$39451:$K$39451,C39776)</f>
        <v>350</v>
      </c>
    </row>
    <row r="39793" customFormat="false" ht="15" hidden="false" customHeight="false" outlineLevel="0" collapsed="false">
      <c r="A39793" s="3" t="s">
        <v>564</v>
      </c>
      <c r="C39793" s="16" t="n">
        <f aca="false">INDEX($G$39464:$K$39464,C39776)</f>
        <v>300</v>
      </c>
    </row>
    <row r="39794" customFormat="false" ht="15" hidden="false" customHeight="false" outlineLevel="0" collapsed="false">
      <c r="A39794" s="3" t="s">
        <v>565</v>
      </c>
      <c r="C39794" s="16" t="n">
        <f aca="false">INDEX($G$39477:$K$39477,C39776)</f>
        <v>78.61</v>
      </c>
    </row>
    <row r="39795" customFormat="false" ht="15" hidden="false" customHeight="false" outlineLevel="0" collapsed="false">
      <c r="A39795" s="24" t="s">
        <v>566</v>
      </c>
      <c r="B39795" s="25"/>
      <c r="C39795" s="25"/>
      <c r="D39795" s="25"/>
      <c r="E39795" s="25"/>
      <c r="F39795" s="25"/>
      <c r="G39795" s="25"/>
      <c r="H39795" s="25"/>
      <c r="I39795" s="25"/>
      <c r="J39795" s="25"/>
      <c r="K39795" s="25"/>
    </row>
    <row r="39796" customFormat="false" ht="15" hidden="false" customHeight="false" outlineLevel="0" collapsed="false">
      <c r="A39796" s="3" t="s">
        <v>556</v>
      </c>
      <c r="C39796" s="27" t="n">
        <f aca="false">Assumptions!$M$57</f>
        <v>1</v>
      </c>
    </row>
    <row r="39797" customFormat="false" ht="15" hidden="false" customHeight="false" outlineLevel="0" collapsed="false">
      <c r="A39797" s="3" t="s">
        <v>557</v>
      </c>
      <c r="C39797" s="27" t="n">
        <f aca="false">Assumptions!$M$58</f>
        <v>1</v>
      </c>
    </row>
    <row r="39798" customFormat="false" ht="15" hidden="false" customHeight="false" outlineLevel="0" collapsed="false">
      <c r="A39798" s="3" t="s">
        <v>558</v>
      </c>
      <c r="C39798" s="27" t="n">
        <f aca="false">Assumptions!$M$59</f>
        <v>1</v>
      </c>
    </row>
    <row r="39799" customFormat="false" ht="15" hidden="false" customHeight="false" outlineLevel="0" collapsed="false">
      <c r="A39799" s="3" t="s">
        <v>559</v>
      </c>
      <c r="C39799" s="27" t="n">
        <f aca="false">Assumptions!$M$60</f>
        <v>2</v>
      </c>
    </row>
    <row r="39800" customFormat="false" ht="15" hidden="false" customHeight="false" outlineLevel="0" collapsed="false">
      <c r="A39800" s="3" t="s">
        <v>560</v>
      </c>
      <c r="C39800" s="27" t="n">
        <f aca="false">Assumptions!$M$61</f>
        <v>2</v>
      </c>
    </row>
    <row r="39801" customFormat="false" ht="15" hidden="false" customHeight="false" outlineLevel="0" collapsed="false">
      <c r="A39801" s="3" t="s">
        <v>561</v>
      </c>
      <c r="C39801" s="27" t="n">
        <f aca="false">Assumptions!$M$62</f>
        <v>2</v>
      </c>
    </row>
    <row r="39802" customFormat="false" ht="15" hidden="false" customHeight="false" outlineLevel="0" collapsed="false">
      <c r="A39802" s="3" t="s">
        <v>562</v>
      </c>
      <c r="C39802" s="27" t="n">
        <f aca="false">Assumptions!$M$63</f>
        <v>2</v>
      </c>
    </row>
    <row r="39803" customFormat="false" ht="15" hidden="false" customHeight="false" outlineLevel="0" collapsed="false">
      <c r="A39803" s="3" t="s">
        <v>563</v>
      </c>
      <c r="C39803" s="27" t="n">
        <f aca="false">Assumptions!$M$64</f>
        <v>2</v>
      </c>
    </row>
    <row r="39804" customFormat="false" ht="15" hidden="false" customHeight="false" outlineLevel="0" collapsed="false">
      <c r="A39804" s="3" t="s">
        <v>564</v>
      </c>
      <c r="C39804" s="27" t="n">
        <f aca="false">Assumptions!$M$65</f>
        <v>2</v>
      </c>
    </row>
    <row r="39805" customFormat="false" ht="15" hidden="false" customHeight="false" outlineLevel="0" collapsed="false">
      <c r="A39805" s="3" t="s">
        <v>565</v>
      </c>
      <c r="C39805" s="27" t="n">
        <f aca="false">Assumptions!$M$66</f>
        <v>3</v>
      </c>
    </row>
    <row r="39806" customFormat="false" ht="15" hidden="false" customHeight="false" outlineLevel="0" collapsed="false">
      <c r="A39806" s="24" t="s">
        <v>567</v>
      </c>
      <c r="B39806" s="25"/>
      <c r="C39806" s="25"/>
      <c r="D39806" s="25"/>
      <c r="E39806" s="25"/>
      <c r="F39806" s="25"/>
      <c r="G39806" s="25"/>
      <c r="H39806" s="25"/>
      <c r="I39806" s="25"/>
      <c r="J39806" s="25"/>
      <c r="K39806" s="25"/>
    </row>
    <row r="39807" customFormat="false" ht="15" hidden="false" customHeight="false" outlineLevel="0" collapsed="false">
      <c r="A39807" s="3" t="s">
        <v>556</v>
      </c>
      <c r="C39807" s="33" t="n">
        <f aca="false">Assumptions!$Q$57</f>
        <v>0.3</v>
      </c>
    </row>
    <row r="39808" customFormat="false" ht="15" hidden="false" customHeight="false" outlineLevel="0" collapsed="false">
      <c r="A39808" s="3" t="s">
        <v>557</v>
      </c>
      <c r="C39808" s="33" t="n">
        <f aca="false">Assumptions!$Q$58</f>
        <v>0.033</v>
      </c>
    </row>
    <row r="39809" customFormat="false" ht="15" hidden="false" customHeight="false" outlineLevel="0" collapsed="false">
      <c r="A39809" s="3" t="s">
        <v>558</v>
      </c>
      <c r="C39809" s="33" t="n">
        <f aca="false">Assumptions!$Q$59</f>
        <v>0.021</v>
      </c>
    </row>
    <row r="39810" customFormat="false" ht="15" hidden="false" customHeight="false" outlineLevel="0" collapsed="false">
      <c r="A39810" s="3" t="s">
        <v>559</v>
      </c>
      <c r="C39810" s="33" t="n">
        <f aca="false">Assumptions!$Q$60</f>
        <v>0</v>
      </c>
    </row>
    <row r="39811" customFormat="false" ht="15" hidden="false" customHeight="false" outlineLevel="0" collapsed="false">
      <c r="A39811" s="3" t="s">
        <v>560</v>
      </c>
      <c r="C39811" s="33" t="n">
        <f aca="false">Assumptions!$Q$61</f>
        <v>0</v>
      </c>
    </row>
    <row r="39812" customFormat="false" ht="15" hidden="false" customHeight="false" outlineLevel="0" collapsed="false">
      <c r="A39812" s="3" t="s">
        <v>561</v>
      </c>
      <c r="C39812" s="33" t="n">
        <f aca="false">Assumptions!$Q$62</f>
        <v>0</v>
      </c>
    </row>
    <row r="39813" customFormat="false" ht="15" hidden="false" customHeight="false" outlineLevel="0" collapsed="false">
      <c r="A39813" s="3" t="s">
        <v>562</v>
      </c>
      <c r="C39813" s="33" t="n">
        <f aca="false">Assumptions!$Q$63</f>
        <v>0</v>
      </c>
    </row>
    <row r="39814" customFormat="false" ht="15" hidden="false" customHeight="false" outlineLevel="0" collapsed="false">
      <c r="A39814" s="3" t="s">
        <v>563</v>
      </c>
      <c r="C39814" s="33" t="n">
        <f aca="false">Assumptions!$Q$64</f>
        <v>0</v>
      </c>
    </row>
    <row r="39815" customFormat="false" ht="15" hidden="false" customHeight="false" outlineLevel="0" collapsed="false">
      <c r="A39815" s="3" t="s">
        <v>564</v>
      </c>
      <c r="C39815" s="33" t="n">
        <f aca="false">Assumptions!$Q$65</f>
        <v>0</v>
      </c>
    </row>
    <row r="39816" customFormat="false" ht="15" hidden="false" customHeight="false" outlineLevel="0" collapsed="false">
      <c r="A39816" s="3" t="s">
        <v>565</v>
      </c>
      <c r="C39816" s="33" t="n">
        <f aca="false">Assumptions!$Q$66</f>
        <v>0</v>
      </c>
    </row>
    <row r="39817" customFormat="false" ht="15" hidden="false" customHeight="false" outlineLevel="0" collapsed="false">
      <c r="A39817" s="24" t="s">
        <v>568</v>
      </c>
      <c r="B39817" s="25"/>
      <c r="C39817" s="25"/>
      <c r="D39817" s="25"/>
      <c r="E39817" s="25"/>
      <c r="F39817" s="25"/>
      <c r="G39817" s="25"/>
      <c r="H39817" s="25"/>
      <c r="I39817" s="25"/>
      <c r="J39817" s="25"/>
      <c r="K39817" s="25"/>
    </row>
    <row r="39818" customFormat="false" ht="15" hidden="false" customHeight="false" outlineLevel="0" collapsed="false">
      <c r="A39818" s="3" t="s">
        <v>556</v>
      </c>
      <c r="C39818" s="16" t="n">
        <f aca="false">IF(C39807&gt;0,MIN(C39785,C39807*$C$39783),0)</f>
        <v>388</v>
      </c>
    </row>
    <row r="39819" customFormat="false" ht="15" hidden="false" customHeight="false" outlineLevel="0" collapsed="false">
      <c r="A39819" s="3" t="s">
        <v>557</v>
      </c>
      <c r="C39819" s="16" t="n">
        <f aca="false">IF(C39808&gt;0,MIN(C39786,C39808*$C$39783),0)</f>
        <v>53.9022272401676</v>
      </c>
    </row>
    <row r="39820" customFormat="false" ht="15" hidden="false" customHeight="false" outlineLevel="0" collapsed="false">
      <c r="A39820" s="3" t="s">
        <v>558</v>
      </c>
      <c r="C39820" s="16" t="n">
        <f aca="false">IF(C39809&gt;0,MIN(C39787,C39809*$C$39783),0)</f>
        <v>34.3014173346521</v>
      </c>
    </row>
    <row r="39821" customFormat="false" ht="15" hidden="false" customHeight="false" outlineLevel="0" collapsed="false">
      <c r="A39821" s="3" t="s">
        <v>559</v>
      </c>
      <c r="C39821" s="16" t="n">
        <f aca="false">IF(C39810&gt;0,MIN(C39788,C39810*$C$39783),0)</f>
        <v>0</v>
      </c>
    </row>
    <row r="39822" customFormat="false" ht="15" hidden="false" customHeight="false" outlineLevel="0" collapsed="false">
      <c r="A39822" s="3" t="s">
        <v>560</v>
      </c>
      <c r="C39822" s="16" t="n">
        <f aca="false">IF(C39811&gt;0,MIN(C39789,C39811*$C$39783),0)</f>
        <v>0</v>
      </c>
    </row>
    <row r="39823" customFormat="false" ht="15" hidden="false" customHeight="false" outlineLevel="0" collapsed="false">
      <c r="A39823" s="3" t="s">
        <v>561</v>
      </c>
      <c r="C39823" s="16" t="n">
        <f aca="false">IF(C39812&gt;0,MIN(C39790,C39812*$C$39783),0)</f>
        <v>0</v>
      </c>
    </row>
    <row r="39824" customFormat="false" ht="15" hidden="false" customHeight="false" outlineLevel="0" collapsed="false">
      <c r="A39824" s="3" t="s">
        <v>562</v>
      </c>
      <c r="C39824" s="16" t="n">
        <f aca="false">IF(C39813&gt;0,MIN(C39791,C39813*$C$39783),0)</f>
        <v>0</v>
      </c>
    </row>
    <row r="39825" customFormat="false" ht="15" hidden="false" customHeight="false" outlineLevel="0" collapsed="false">
      <c r="A39825" s="3" t="s">
        <v>563</v>
      </c>
      <c r="C39825" s="16" t="n">
        <f aca="false">IF(C39814&gt;0,MIN(C39792,C39814*$C$39783),0)</f>
        <v>0</v>
      </c>
    </row>
    <row r="39826" customFormat="false" ht="15" hidden="false" customHeight="false" outlineLevel="0" collapsed="false">
      <c r="A39826" s="3" t="s">
        <v>564</v>
      </c>
      <c r="C39826" s="16" t="n">
        <f aca="false">IF(C39815&gt;0,MIN(C39793,C39815*$C$39783),0)</f>
        <v>0</v>
      </c>
    </row>
    <row r="39827" customFormat="false" ht="15" hidden="false" customHeight="false" outlineLevel="0" collapsed="false">
      <c r="A39827" s="3" t="s">
        <v>565</v>
      </c>
      <c r="C39827" s="16" t="n">
        <f aca="false">IF(C39816&gt;0,MIN(C39794,C39816*$C$39783),0)</f>
        <v>0</v>
      </c>
    </row>
    <row r="39828" customFormat="false" ht="15" hidden="false" customHeight="false" outlineLevel="0" collapsed="false">
      <c r="A39828" s="24" t="s">
        <v>569</v>
      </c>
      <c r="B39828" s="25"/>
      <c r="C39828" s="25"/>
      <c r="D39828" s="25"/>
      <c r="E39828" s="25"/>
      <c r="F39828" s="25"/>
      <c r="G39828" s="25"/>
      <c r="H39828" s="25"/>
      <c r="I39828" s="25"/>
      <c r="J39828" s="25"/>
      <c r="K39828" s="25"/>
    </row>
    <row r="39829" customFormat="false" ht="15" hidden="false" customHeight="false" outlineLevel="0" collapsed="false">
      <c r="A39829" s="3" t="s">
        <v>556</v>
      </c>
      <c r="C39829" s="16" t="n">
        <f aca="false">IF(C39807&gt;0,C39785-C39818,0)</f>
        <v>0</v>
      </c>
    </row>
    <row r="39830" customFormat="false" ht="15" hidden="false" customHeight="false" outlineLevel="0" collapsed="false">
      <c r="A39830" s="3" t="s">
        <v>557</v>
      </c>
      <c r="C39830" s="16" t="n">
        <f aca="false">IF(C39808&gt;0,C39786-C39819,0)</f>
        <v>36.0977727598324</v>
      </c>
    </row>
    <row r="39831" customFormat="false" ht="15" hidden="false" customHeight="false" outlineLevel="0" collapsed="false">
      <c r="A39831" s="3" t="s">
        <v>558</v>
      </c>
      <c r="C39831" s="16" t="n">
        <f aca="false">IF(C39809&gt;0,C39787-C39820,0)</f>
        <v>23.0225826653479</v>
      </c>
    </row>
    <row r="39832" customFormat="false" ht="15" hidden="false" customHeight="false" outlineLevel="0" collapsed="false">
      <c r="A39832" s="3" t="s">
        <v>559</v>
      </c>
      <c r="C39832" s="16" t="n">
        <f aca="false">IF(C39810&gt;0,C39788-C39821,0)</f>
        <v>0</v>
      </c>
    </row>
    <row r="39833" customFormat="false" ht="15" hidden="false" customHeight="false" outlineLevel="0" collapsed="false">
      <c r="A39833" s="3" t="s">
        <v>560</v>
      </c>
      <c r="C39833" s="16" t="n">
        <f aca="false">IF(C39811&gt;0,C39789-C39822,0)</f>
        <v>0</v>
      </c>
    </row>
    <row r="39834" customFormat="false" ht="15" hidden="false" customHeight="false" outlineLevel="0" collapsed="false">
      <c r="A39834" s="3" t="s">
        <v>561</v>
      </c>
      <c r="C39834" s="16" t="n">
        <f aca="false">IF(C39812&gt;0,C39790-C39823,0)</f>
        <v>0</v>
      </c>
    </row>
    <row r="39835" customFormat="false" ht="15" hidden="false" customHeight="false" outlineLevel="0" collapsed="false">
      <c r="A39835" s="3" t="s">
        <v>562</v>
      </c>
      <c r="C39835" s="16" t="n">
        <f aca="false">IF(C39813&gt;0,C39791-C39824,0)</f>
        <v>0</v>
      </c>
    </row>
    <row r="39836" customFormat="false" ht="15" hidden="false" customHeight="false" outlineLevel="0" collapsed="false">
      <c r="A39836" s="3" t="s">
        <v>563</v>
      </c>
      <c r="C39836" s="16" t="n">
        <f aca="false">IF(C39814&gt;0,C39792-C39825,0)</f>
        <v>0</v>
      </c>
    </row>
    <row r="39837" customFormat="false" ht="15" hidden="false" customHeight="false" outlineLevel="0" collapsed="false">
      <c r="A39837" s="3" t="s">
        <v>564</v>
      </c>
      <c r="C39837" s="16" t="n">
        <f aca="false">IF(C39815&gt;0,C39793-C39826,0)</f>
        <v>0</v>
      </c>
    </row>
    <row r="39838" customFormat="false" ht="15" hidden="false" customHeight="false" outlineLevel="0" collapsed="false">
      <c r="A39838" s="3" t="s">
        <v>565</v>
      </c>
      <c r="C39838" s="16" t="n">
        <f aca="false">IF(C39816&gt;0,C39794-C39827,0)</f>
        <v>0</v>
      </c>
    </row>
    <row r="39839" customFormat="false" ht="15" hidden="false" customHeight="false" outlineLevel="0" collapsed="false">
      <c r="A39839" s="24" t="s">
        <v>570</v>
      </c>
      <c r="B39839" s="25"/>
      <c r="C39839" s="25"/>
      <c r="D39839" s="25"/>
      <c r="E39839" s="25"/>
      <c r="F39839" s="25"/>
      <c r="G39839" s="25"/>
      <c r="H39839" s="25"/>
      <c r="I39839" s="25"/>
      <c r="J39839" s="25"/>
      <c r="K39839" s="25"/>
    </row>
    <row r="39840" customFormat="false" ht="15" hidden="false" customHeight="false" outlineLevel="0" collapsed="false">
      <c r="A39840" s="3" t="s">
        <v>556</v>
      </c>
      <c r="C39840" s="16" t="n">
        <f aca="false">IF(C39807&gt;0,C39829,C39785)</f>
        <v>0</v>
      </c>
    </row>
    <row r="39841" customFormat="false" ht="15" hidden="false" customHeight="false" outlineLevel="0" collapsed="false">
      <c r="A39841" s="3" t="s">
        <v>557</v>
      </c>
      <c r="C39841" s="16" t="n">
        <f aca="false">IF(C39808&gt;0,C39830,C39786)</f>
        <v>36.0977727598324</v>
      </c>
    </row>
    <row r="39842" customFormat="false" ht="15" hidden="false" customHeight="false" outlineLevel="0" collapsed="false">
      <c r="A39842" s="3" t="s">
        <v>558</v>
      </c>
      <c r="C39842" s="16" t="n">
        <f aca="false">IF(C39809&gt;0,C39831,C39787)</f>
        <v>23.0225826653479</v>
      </c>
    </row>
    <row r="39843" customFormat="false" ht="15" hidden="false" customHeight="false" outlineLevel="0" collapsed="false">
      <c r="A39843" s="3" t="s">
        <v>559</v>
      </c>
      <c r="C39843" s="16" t="n">
        <f aca="false">IF(C39810&gt;0,C39832,C39788)</f>
        <v>0</v>
      </c>
    </row>
    <row r="39844" customFormat="false" ht="15" hidden="false" customHeight="false" outlineLevel="0" collapsed="false">
      <c r="A39844" s="3" t="s">
        <v>560</v>
      </c>
      <c r="C39844" s="16" t="n">
        <f aca="false">IF(C39811&gt;0,C39833,C39789)</f>
        <v>434.9547587</v>
      </c>
    </row>
    <row r="39845" customFormat="false" ht="15" hidden="false" customHeight="false" outlineLevel="0" collapsed="false">
      <c r="A39845" s="3" t="s">
        <v>561</v>
      </c>
      <c r="C39845" s="16" t="n">
        <f aca="false">IF(C39812&gt;0,C39834,C39790)</f>
        <v>350</v>
      </c>
    </row>
    <row r="39846" customFormat="false" ht="15" hidden="false" customHeight="false" outlineLevel="0" collapsed="false">
      <c r="A39846" s="3" t="s">
        <v>562</v>
      </c>
      <c r="C39846" s="16" t="n">
        <f aca="false">IF(C39813&gt;0,C39835,C39791)</f>
        <v>550</v>
      </c>
    </row>
    <row r="39847" customFormat="false" ht="15" hidden="false" customHeight="false" outlineLevel="0" collapsed="false">
      <c r="A39847" s="3" t="s">
        <v>563</v>
      </c>
      <c r="C39847" s="16" t="n">
        <f aca="false">IF(C39814&gt;0,C39836,C39792)</f>
        <v>350</v>
      </c>
    </row>
    <row r="39848" customFormat="false" ht="15" hidden="false" customHeight="false" outlineLevel="0" collapsed="false">
      <c r="A39848" s="3" t="s">
        <v>564</v>
      </c>
      <c r="C39848" s="16" t="n">
        <f aca="false">IF(C39815&gt;0,C39837,C39793)</f>
        <v>300</v>
      </c>
    </row>
    <row r="39849" customFormat="false" ht="15" hidden="false" customHeight="false" outlineLevel="0" collapsed="false">
      <c r="A39849" s="3" t="s">
        <v>565</v>
      </c>
      <c r="C39849" s="16" t="n">
        <f aca="false">IF(C39816&gt;0,C39838,C39794)</f>
        <v>78.61</v>
      </c>
    </row>
    <row r="39850" customFormat="false" ht="15" hidden="false" customHeight="false" outlineLevel="0" collapsed="false">
      <c r="A39850" s="24" t="s">
        <v>571</v>
      </c>
      <c r="B39850" s="25"/>
      <c r="C39850" s="25"/>
      <c r="D39850" s="25"/>
      <c r="E39850" s="25"/>
      <c r="F39850" s="25"/>
      <c r="G39850" s="25"/>
      <c r="H39850" s="25"/>
      <c r="I39850" s="25"/>
      <c r="J39850" s="25"/>
      <c r="K39850" s="25"/>
    </row>
    <row r="39851" customFormat="false" ht="15" hidden="false" customHeight="false" outlineLevel="0" collapsed="false">
      <c r="A39851" s="3" t="s">
        <v>556</v>
      </c>
      <c r="C39851" s="21" t="n">
        <f aca="false">IF(C39807&gt;0,Assumptions!$C$17,C39796)</f>
        <v>99</v>
      </c>
    </row>
    <row r="39852" customFormat="false" ht="15" hidden="false" customHeight="false" outlineLevel="0" collapsed="false">
      <c r="A39852" s="3" t="s">
        <v>557</v>
      </c>
      <c r="C39852" s="21" t="n">
        <f aca="false">IF(C39808&gt;0,Assumptions!$C$17,C39797)</f>
        <v>99</v>
      </c>
    </row>
    <row r="39853" customFormat="false" ht="15" hidden="false" customHeight="false" outlineLevel="0" collapsed="false">
      <c r="A39853" s="3" t="s">
        <v>558</v>
      </c>
      <c r="C39853" s="21" t="n">
        <f aca="false">IF(C39809&gt;0,Assumptions!$C$17,C39798)</f>
        <v>99</v>
      </c>
    </row>
    <row r="39854" customFormat="false" ht="15" hidden="false" customHeight="false" outlineLevel="0" collapsed="false">
      <c r="A39854" s="3" t="s">
        <v>559</v>
      </c>
      <c r="C39854" s="21" t="n">
        <f aca="false">IF(C39810&gt;0,Assumptions!$C$17,C39799)</f>
        <v>2</v>
      </c>
    </row>
    <row r="39855" customFormat="false" ht="15" hidden="false" customHeight="false" outlineLevel="0" collapsed="false">
      <c r="A39855" s="3" t="s">
        <v>560</v>
      </c>
      <c r="C39855" s="21" t="n">
        <f aca="false">IF(C39811&gt;0,Assumptions!$C$17,C39800)</f>
        <v>2</v>
      </c>
    </row>
    <row r="39856" customFormat="false" ht="15" hidden="false" customHeight="false" outlineLevel="0" collapsed="false">
      <c r="A39856" s="3" t="s">
        <v>561</v>
      </c>
      <c r="C39856" s="21" t="n">
        <f aca="false">IF(C39812&gt;0,Assumptions!$C$17,C39801)</f>
        <v>2</v>
      </c>
    </row>
    <row r="39857" customFormat="false" ht="15" hidden="false" customHeight="false" outlineLevel="0" collapsed="false">
      <c r="A39857" s="3" t="s">
        <v>562</v>
      </c>
      <c r="C39857" s="21" t="n">
        <f aca="false">IF(C39813&gt;0,Assumptions!$C$17,C39802)</f>
        <v>2</v>
      </c>
    </row>
    <row r="39858" customFormat="false" ht="15" hidden="false" customHeight="false" outlineLevel="0" collapsed="false">
      <c r="A39858" s="3" t="s">
        <v>563</v>
      </c>
      <c r="C39858" s="21" t="n">
        <f aca="false">IF(C39814&gt;0,Assumptions!$C$17,C39803)</f>
        <v>2</v>
      </c>
    </row>
    <row r="39859" customFormat="false" ht="15" hidden="false" customHeight="false" outlineLevel="0" collapsed="false">
      <c r="A39859" s="3" t="s">
        <v>564</v>
      </c>
      <c r="C39859" s="21" t="n">
        <f aca="false">IF(C39815&gt;0,Assumptions!$C$17,C39804)</f>
        <v>2</v>
      </c>
    </row>
    <row r="39860" customFormat="false" ht="15" hidden="false" customHeight="false" outlineLevel="0" collapsed="false">
      <c r="A39860" s="3" t="s">
        <v>565</v>
      </c>
      <c r="C39860" s="21" t="n">
        <f aca="false">IF(C39816&gt;0,Assumptions!$C$17,C39805)</f>
        <v>3</v>
      </c>
    </row>
    <row r="39861" customFormat="false" ht="15" hidden="false" customHeight="false" outlineLevel="0" collapsed="false">
      <c r="A39861" s="24" t="s">
        <v>572</v>
      </c>
      <c r="B39861" s="25"/>
      <c r="C39861" s="25"/>
      <c r="D39861" s="25"/>
      <c r="E39861" s="25"/>
      <c r="F39861" s="25"/>
      <c r="G39861" s="25"/>
      <c r="H39861" s="25"/>
      <c r="I39861" s="25"/>
      <c r="J39861" s="25"/>
      <c r="K39861" s="25"/>
    </row>
    <row r="39862" customFormat="false" ht="15" hidden="false" customHeight="false" outlineLevel="0" collapsed="false">
      <c r="A39862" s="3" t="s">
        <v>556</v>
      </c>
      <c r="C39862" s="16" t="n">
        <f aca="false">SUMPRODUCT(($C$39851:$C$39860&lt;C39851)*$C$39840:$C$39849)</f>
        <v>2063.5647587</v>
      </c>
    </row>
    <row r="39863" customFormat="false" ht="15" hidden="false" customHeight="false" outlineLevel="0" collapsed="false">
      <c r="A39863" s="3" t="s">
        <v>557</v>
      </c>
      <c r="C39863" s="16" t="n">
        <f aca="false">SUMPRODUCT(($C$39851:$C$39860&lt;C39852)*$C$39840:$C$39849)</f>
        <v>2063.5647587</v>
      </c>
    </row>
    <row r="39864" customFormat="false" ht="15" hidden="false" customHeight="false" outlineLevel="0" collapsed="false">
      <c r="A39864" s="3" t="s">
        <v>558</v>
      </c>
      <c r="C39864" s="16" t="n">
        <f aca="false">SUMPRODUCT(($C$39851:$C$39860&lt;C39853)*$C$39840:$C$39849)</f>
        <v>2063.5647587</v>
      </c>
    </row>
    <row r="39865" customFormat="false" ht="15" hidden="false" customHeight="false" outlineLevel="0" collapsed="false">
      <c r="A39865" s="3" t="s">
        <v>559</v>
      </c>
      <c r="C39865" s="16" t="n">
        <f aca="false">SUMPRODUCT(($C$39851:$C$39860&lt;C39854)*$C$39840:$C$39849)</f>
        <v>0</v>
      </c>
    </row>
    <row r="39866" customFormat="false" ht="15" hidden="false" customHeight="false" outlineLevel="0" collapsed="false">
      <c r="A39866" s="3" t="s">
        <v>560</v>
      </c>
      <c r="C39866" s="16" t="n">
        <f aca="false">SUMPRODUCT(($C$39851:$C$39860&lt;C39855)*$C$39840:$C$39849)</f>
        <v>0</v>
      </c>
    </row>
    <row r="39867" customFormat="false" ht="15" hidden="false" customHeight="false" outlineLevel="0" collapsed="false">
      <c r="A39867" s="3" t="s">
        <v>561</v>
      </c>
      <c r="C39867" s="16" t="n">
        <f aca="false">SUMPRODUCT(($C$39851:$C$39860&lt;C39856)*$C$39840:$C$39849)</f>
        <v>0</v>
      </c>
    </row>
    <row r="39868" customFormat="false" ht="15" hidden="false" customHeight="false" outlineLevel="0" collapsed="false">
      <c r="A39868" s="3" t="s">
        <v>562</v>
      </c>
      <c r="C39868" s="16" t="n">
        <f aca="false">SUMPRODUCT(($C$39851:$C$39860&lt;C39857)*$C$39840:$C$39849)</f>
        <v>0</v>
      </c>
    </row>
    <row r="39869" customFormat="false" ht="15" hidden="false" customHeight="false" outlineLevel="0" collapsed="false">
      <c r="A39869" s="3" t="s">
        <v>563</v>
      </c>
      <c r="C39869" s="16" t="n">
        <f aca="false">SUMPRODUCT(($C$39851:$C$39860&lt;C39858)*$C$39840:$C$39849)</f>
        <v>0</v>
      </c>
    </row>
    <row r="39870" customFormat="false" ht="15" hidden="false" customHeight="false" outlineLevel="0" collapsed="false">
      <c r="A39870" s="3" t="s">
        <v>564</v>
      </c>
      <c r="C39870" s="16" t="n">
        <f aca="false">SUMPRODUCT(($C$39851:$C$39860&lt;C39859)*$C$39840:$C$39849)</f>
        <v>0</v>
      </c>
    </row>
    <row r="39871" customFormat="false" ht="15" hidden="false" customHeight="false" outlineLevel="0" collapsed="false">
      <c r="A39871" s="3" t="s">
        <v>565</v>
      </c>
      <c r="C39871" s="16" t="n">
        <f aca="false">SUMPRODUCT(($C$39851:$C$39860&lt;C39860)*$C$39840:$C$39849)</f>
        <v>1984.9547587</v>
      </c>
    </row>
    <row r="39872" customFormat="false" ht="15" hidden="false" customHeight="false" outlineLevel="0" collapsed="false">
      <c r="A39872" s="24" t="s">
        <v>573</v>
      </c>
      <c r="B39872" s="25"/>
      <c r="C39872" s="25"/>
      <c r="D39872" s="25"/>
      <c r="E39872" s="25"/>
      <c r="F39872" s="25"/>
      <c r="G39872" s="25"/>
      <c r="H39872" s="25"/>
      <c r="I39872" s="25"/>
      <c r="J39872" s="25"/>
      <c r="K39872" s="25"/>
    </row>
    <row r="39873" customFormat="false" ht="15" hidden="false" customHeight="false" outlineLevel="0" collapsed="false">
      <c r="A39873" s="3" t="s">
        <v>556</v>
      </c>
      <c r="C39873" s="16" t="n">
        <f aca="false">SUMPRODUCT(($C$39851:$C$39860=C39851)*$C$39840:$C$39849)</f>
        <v>59.1203554251802</v>
      </c>
    </row>
    <row r="39874" customFormat="false" ht="15" hidden="false" customHeight="false" outlineLevel="0" collapsed="false">
      <c r="A39874" s="3" t="s">
        <v>557</v>
      </c>
      <c r="C39874" s="16" t="n">
        <f aca="false">SUMPRODUCT(($C$39851:$C$39860=C39852)*$C$39840:$C$39849)</f>
        <v>59.1203554251802</v>
      </c>
    </row>
    <row r="39875" customFormat="false" ht="15" hidden="false" customHeight="false" outlineLevel="0" collapsed="false">
      <c r="A39875" s="3" t="s">
        <v>558</v>
      </c>
      <c r="C39875" s="16" t="n">
        <f aca="false">SUMPRODUCT(($C$39851:$C$39860=C39853)*$C$39840:$C$39849)</f>
        <v>59.1203554251802</v>
      </c>
    </row>
    <row r="39876" customFormat="false" ht="15" hidden="false" customHeight="false" outlineLevel="0" collapsed="false">
      <c r="A39876" s="3" t="s">
        <v>559</v>
      </c>
      <c r="C39876" s="16" t="n">
        <f aca="false">SUMPRODUCT(($C$39851:$C$39860=C39854)*$C$39840:$C$39849)</f>
        <v>1984.9547587</v>
      </c>
    </row>
    <row r="39877" customFormat="false" ht="15" hidden="false" customHeight="false" outlineLevel="0" collapsed="false">
      <c r="A39877" s="3" t="s">
        <v>560</v>
      </c>
      <c r="C39877" s="16" t="n">
        <f aca="false">SUMPRODUCT(($C$39851:$C$39860=C39855)*$C$39840:$C$39849)</f>
        <v>1984.9547587</v>
      </c>
    </row>
    <row r="39878" customFormat="false" ht="15" hidden="false" customHeight="false" outlineLevel="0" collapsed="false">
      <c r="A39878" s="3" t="s">
        <v>561</v>
      </c>
      <c r="C39878" s="16" t="n">
        <f aca="false">SUMPRODUCT(($C$39851:$C$39860=C39856)*$C$39840:$C$39849)</f>
        <v>1984.9547587</v>
      </c>
    </row>
    <row r="39879" customFormat="false" ht="15" hidden="false" customHeight="false" outlineLevel="0" collapsed="false">
      <c r="A39879" s="3" t="s">
        <v>562</v>
      </c>
      <c r="C39879" s="16" t="n">
        <f aca="false">SUMPRODUCT(($C$39851:$C$39860=C39857)*$C$39840:$C$39849)</f>
        <v>1984.9547587</v>
      </c>
    </row>
    <row r="39880" customFormat="false" ht="15" hidden="false" customHeight="false" outlineLevel="0" collapsed="false">
      <c r="A39880" s="3" t="s">
        <v>563</v>
      </c>
      <c r="C39880" s="16" t="n">
        <f aca="false">SUMPRODUCT(($C$39851:$C$39860=C39858)*$C$39840:$C$39849)</f>
        <v>1984.9547587</v>
      </c>
    </row>
    <row r="39881" customFormat="false" ht="15" hidden="false" customHeight="false" outlineLevel="0" collapsed="false">
      <c r="A39881" s="3" t="s">
        <v>564</v>
      </c>
      <c r="C39881" s="16" t="n">
        <f aca="false">SUMPRODUCT(($C$39851:$C$39860=C39859)*$C$39840:$C$39849)</f>
        <v>1984.9547587</v>
      </c>
    </row>
    <row r="39882" customFormat="false" ht="15" hidden="false" customHeight="false" outlineLevel="0" collapsed="false">
      <c r="A39882" s="3" t="s">
        <v>565</v>
      </c>
      <c r="C39882" s="16" t="n">
        <f aca="false">SUMPRODUCT(($C$39851:$C$39860=C39860)*$C$39840:$C$39849)</f>
        <v>78.61</v>
      </c>
    </row>
    <row r="39883" customFormat="false" ht="15" hidden="false" customHeight="false" outlineLevel="0" collapsed="false">
      <c r="A39883" s="24" t="s">
        <v>574</v>
      </c>
      <c r="B39883" s="25"/>
      <c r="C39883" s="25"/>
      <c r="D39883" s="25"/>
      <c r="E39883" s="25"/>
      <c r="F39883" s="25"/>
      <c r="G39883" s="25"/>
      <c r="H39883" s="25"/>
      <c r="I39883" s="25"/>
      <c r="J39883" s="25"/>
      <c r="K39883" s="25"/>
    </row>
    <row r="39884" customFormat="false" ht="15" hidden="false" customHeight="false" outlineLevel="0" collapsed="false">
      <c r="A39884" s="3" t="s">
        <v>556</v>
      </c>
      <c r="C39884" s="16" t="n">
        <f aca="false">IF(C39873=0,0,C39840/C39873*MAX(0,MIN(C39873,$C$39783-SUM($C$39818:$C$39827)-C39862)))</f>
        <v>0</v>
      </c>
    </row>
    <row r="39885" customFormat="false" ht="15" hidden="false" customHeight="false" outlineLevel="0" collapsed="false">
      <c r="A39885" s="3" t="s">
        <v>557</v>
      </c>
      <c r="C39885" s="16" t="n">
        <f aca="false">IF(C39874=0,0,C39841/C39874*MAX(0,MIN(C39874,$C$39783-SUM($C$39818:$C$39827)-C39863)))</f>
        <v>0</v>
      </c>
    </row>
    <row r="39886" customFormat="false" ht="15" hidden="false" customHeight="false" outlineLevel="0" collapsed="false">
      <c r="A39886" s="3" t="s">
        <v>558</v>
      </c>
      <c r="C39886" s="16" t="n">
        <f aca="false">IF(C39875=0,0,C39842/C39875*MAX(0,MIN(C39875,$C$39783-SUM($C$39818:$C$39827)-C39864)))</f>
        <v>0</v>
      </c>
    </row>
    <row r="39887" customFormat="false" ht="15" hidden="false" customHeight="false" outlineLevel="0" collapsed="false">
      <c r="A39887" s="3" t="s">
        <v>559</v>
      </c>
      <c r="C39887" s="16" t="n">
        <f aca="false">IF(C39876=0,0,C39843/C39876*MAX(0,MIN(C39876,$C$39783-SUM($C$39818:$C$39827)-C39865)))</f>
        <v>0</v>
      </c>
    </row>
    <row r="39888" customFormat="false" ht="15" hidden="false" customHeight="false" outlineLevel="0" collapsed="false">
      <c r="A39888" s="3" t="s">
        <v>560</v>
      </c>
      <c r="C39888" s="16" t="n">
        <f aca="false">IF(C39877=0,0,C39844/C39877*MAX(0,MIN(C39877,$C$39783-SUM($C$39818:$C$39827)-C39866)))</f>
        <v>253.571734254394</v>
      </c>
    </row>
    <row r="39889" customFormat="false" ht="15" hidden="false" customHeight="false" outlineLevel="0" collapsed="false">
      <c r="A39889" s="3" t="s">
        <v>561</v>
      </c>
      <c r="C39889" s="16" t="n">
        <f aca="false">IF(C39878=0,0,C39845/C39878*MAX(0,MIN(C39878,$C$39783-SUM($C$39818:$C$39827)-C39867)))</f>
        <v>204.044455690738</v>
      </c>
    </row>
    <row r="39890" customFormat="false" ht="15" hidden="false" customHeight="false" outlineLevel="0" collapsed="false">
      <c r="A39890" s="3" t="s">
        <v>562</v>
      </c>
      <c r="C39890" s="16" t="n">
        <f aca="false">IF(C39879=0,0,C39846/C39879*MAX(0,MIN(C39879,$C$39783-SUM($C$39818:$C$39827)-C39868)))</f>
        <v>320.641287514017</v>
      </c>
    </row>
    <row r="39891" customFormat="false" ht="15" hidden="false" customHeight="false" outlineLevel="0" collapsed="false">
      <c r="A39891" s="3" t="s">
        <v>563</v>
      </c>
      <c r="C39891" s="16" t="n">
        <f aca="false">IF(C39880=0,0,C39847/C39880*MAX(0,MIN(C39880,$C$39783-SUM($C$39818:$C$39827)-C39869)))</f>
        <v>204.044455690738</v>
      </c>
    </row>
    <row r="39892" customFormat="false" ht="15" hidden="false" customHeight="false" outlineLevel="0" collapsed="false">
      <c r="A39892" s="3" t="s">
        <v>564</v>
      </c>
      <c r="C39892" s="16" t="n">
        <f aca="false">IF(C39881=0,0,C39848/C39881*MAX(0,MIN(C39881,$C$39783-SUM($C$39818:$C$39827)-C39870)))</f>
        <v>174.895247734918</v>
      </c>
    </row>
    <row r="39893" customFormat="false" ht="15" hidden="false" customHeight="false" outlineLevel="0" collapsed="false">
      <c r="A39893" s="3" t="s">
        <v>565</v>
      </c>
      <c r="C39893" s="16" t="n">
        <f aca="false">IF(C39882=0,0,C39849/C39882*MAX(0,MIN(C39882,$C$39783-SUM($C$39818:$C$39827)-C39871)))</f>
        <v>0</v>
      </c>
    </row>
    <row r="39894" customFormat="false" ht="15" hidden="false" customHeight="false" outlineLevel="0" collapsed="false">
      <c r="A39894" s="24" t="s">
        <v>575</v>
      </c>
      <c r="B39894" s="25"/>
      <c r="C39894" s="25"/>
      <c r="D39894" s="25"/>
      <c r="E39894" s="25"/>
      <c r="F39894" s="25"/>
      <c r="G39894" s="25"/>
      <c r="H39894" s="25"/>
      <c r="I39894" s="25"/>
      <c r="J39894" s="25"/>
      <c r="K39894" s="25"/>
    </row>
    <row r="39895" customFormat="false" ht="15" hidden="false" customHeight="false" outlineLevel="0" collapsed="false">
      <c r="A39895" s="2" t="s">
        <v>556</v>
      </c>
      <c r="C39895" s="17" t="n">
        <f aca="false">C39818+C39884</f>
        <v>388</v>
      </c>
    </row>
    <row r="39896" customFormat="false" ht="15" hidden="false" customHeight="false" outlineLevel="0" collapsed="false">
      <c r="A39896" s="2" t="s">
        <v>557</v>
      </c>
      <c r="C39896" s="17" t="n">
        <f aca="false">C39819+C39885</f>
        <v>53.9022272401676</v>
      </c>
    </row>
    <row r="39897" customFormat="false" ht="15" hidden="false" customHeight="false" outlineLevel="0" collapsed="false">
      <c r="A39897" s="2" t="s">
        <v>558</v>
      </c>
      <c r="C39897" s="17" t="n">
        <f aca="false">C39820+C39886</f>
        <v>34.3014173346521</v>
      </c>
    </row>
    <row r="39898" customFormat="false" ht="15" hidden="false" customHeight="false" outlineLevel="0" collapsed="false">
      <c r="A39898" s="2" t="s">
        <v>559</v>
      </c>
      <c r="C39898" s="17" t="n">
        <f aca="false">C39821+C39887</f>
        <v>0</v>
      </c>
    </row>
    <row r="39899" customFormat="false" ht="15" hidden="false" customHeight="false" outlineLevel="0" collapsed="false">
      <c r="A39899" s="2" t="s">
        <v>560</v>
      </c>
      <c r="C39899" s="17" t="n">
        <f aca="false">C39822+C39888</f>
        <v>253.571734254394</v>
      </c>
    </row>
    <row r="39900" customFormat="false" ht="15" hidden="false" customHeight="false" outlineLevel="0" collapsed="false">
      <c r="A39900" s="2" t="s">
        <v>561</v>
      </c>
      <c r="C39900" s="17" t="n">
        <f aca="false">C39823+C39889</f>
        <v>204.044455690738</v>
      </c>
    </row>
    <row r="39901" customFormat="false" ht="15" hidden="false" customHeight="false" outlineLevel="0" collapsed="false">
      <c r="A39901" s="2" t="s">
        <v>562</v>
      </c>
      <c r="C39901" s="17" t="n">
        <f aca="false">C39824+C39890</f>
        <v>320.641287514017</v>
      </c>
    </row>
    <row r="39902" customFormat="false" ht="15" hidden="false" customHeight="false" outlineLevel="0" collapsed="false">
      <c r="A39902" s="2" t="s">
        <v>563</v>
      </c>
      <c r="C39902" s="17" t="n">
        <f aca="false">C39825+C39891</f>
        <v>204.044455690738</v>
      </c>
    </row>
    <row r="39903" customFormat="false" ht="15" hidden="false" customHeight="false" outlineLevel="0" collapsed="false">
      <c r="A39903" s="2" t="s">
        <v>564</v>
      </c>
      <c r="C39903" s="17" t="n">
        <f aca="false">C39826+C39892</f>
        <v>174.895247734918</v>
      </c>
    </row>
    <row r="39904" customFormat="false" ht="15" hidden="false" customHeight="false" outlineLevel="0" collapsed="false">
      <c r="A39904" s="2" t="s">
        <v>565</v>
      </c>
      <c r="C39904" s="17" t="n">
        <f aca="false">C39827+C39893</f>
        <v>0</v>
      </c>
    </row>
    <row r="39905" customFormat="false" ht="15" hidden="false" customHeight="false" outlineLevel="0" collapsed="false">
      <c r="A39905" s="24" t="s">
        <v>576</v>
      </c>
      <c r="B39905" s="25"/>
      <c r="C39905" s="25"/>
      <c r="D39905" s="25"/>
      <c r="E39905" s="25"/>
      <c r="F39905" s="25"/>
      <c r="G39905" s="25"/>
      <c r="H39905" s="25"/>
      <c r="I39905" s="25"/>
      <c r="J39905" s="25"/>
      <c r="K39905" s="25"/>
    </row>
    <row r="39906" customFormat="false" ht="15" hidden="false" customHeight="false" outlineLevel="0" collapsed="false">
      <c r="A39906" s="3" t="s">
        <v>556</v>
      </c>
      <c r="C39906" s="22" t="n">
        <f aca="false">IF(C39785=0,1,C39895/C39785)</f>
        <v>1</v>
      </c>
    </row>
    <row r="39907" customFormat="false" ht="15" hidden="false" customHeight="false" outlineLevel="0" collapsed="false">
      <c r="A39907" s="3" t="s">
        <v>557</v>
      </c>
      <c r="C39907" s="22" t="n">
        <f aca="false">IF(C39786=0,1,C39896/C39786)</f>
        <v>0.598913636001863</v>
      </c>
    </row>
    <row r="39908" customFormat="false" ht="15" hidden="false" customHeight="false" outlineLevel="0" collapsed="false">
      <c r="A39908" s="3" t="s">
        <v>558</v>
      </c>
      <c r="C39908" s="22" t="n">
        <f aca="false">IF(C39787=0,1,C39897/C39787)</f>
        <v>0.598377945269907</v>
      </c>
    </row>
    <row r="39909" customFormat="false" ht="15" hidden="false" customHeight="false" outlineLevel="0" collapsed="false">
      <c r="A39909" s="3" t="s">
        <v>559</v>
      </c>
      <c r="C39909" s="22" t="n">
        <f aca="false">IF(C39788=0,1,C39898/C39788)</f>
        <v>1</v>
      </c>
    </row>
    <row r="39910" customFormat="false" ht="15" hidden="false" customHeight="false" outlineLevel="0" collapsed="false">
      <c r="A39910" s="3" t="s">
        <v>560</v>
      </c>
      <c r="C39910" s="22" t="n">
        <f aca="false">IF(C39789=0,1,C39899/C39789)</f>
        <v>0.582984159116395</v>
      </c>
    </row>
    <row r="39911" customFormat="false" ht="15" hidden="false" customHeight="false" outlineLevel="0" collapsed="false">
      <c r="A39911" s="3" t="s">
        <v>561</v>
      </c>
      <c r="C39911" s="22" t="n">
        <f aca="false">IF(C39790=0,1,C39900/C39790)</f>
        <v>0.582984159116395</v>
      </c>
    </row>
    <row r="39912" customFormat="false" ht="15" hidden="false" customHeight="false" outlineLevel="0" collapsed="false">
      <c r="A39912" s="3" t="s">
        <v>562</v>
      </c>
      <c r="C39912" s="22" t="n">
        <f aca="false">IF(C39791=0,1,C39901/C39791)</f>
        <v>0.582984159116395</v>
      </c>
    </row>
    <row r="39913" customFormat="false" ht="15" hidden="false" customHeight="false" outlineLevel="0" collapsed="false">
      <c r="A39913" s="3" t="s">
        <v>563</v>
      </c>
      <c r="C39913" s="22" t="n">
        <f aca="false">IF(C39792=0,1,C39902/C39792)</f>
        <v>0.582984159116395</v>
      </c>
    </row>
    <row r="39914" customFormat="false" ht="15" hidden="false" customHeight="false" outlineLevel="0" collapsed="false">
      <c r="A39914" s="3" t="s">
        <v>564</v>
      </c>
      <c r="C39914" s="22" t="n">
        <f aca="false">IF(C39793=0,1,C39903/C39793)</f>
        <v>0.582984159116395</v>
      </c>
    </row>
    <row r="39915" customFormat="false" ht="15" hidden="false" customHeight="false" outlineLevel="0" collapsed="false">
      <c r="A39915" s="3" t="s">
        <v>565</v>
      </c>
      <c r="C39915" s="22" t="n">
        <f aca="false">IF(C39794=0,1,C39904/C39794)</f>
        <v>0</v>
      </c>
    </row>
    <row r="39916" customFormat="false" ht="15" hidden="false" customHeight="false" outlineLevel="0" collapsed="false">
      <c r="A39916" s="24" t="s">
        <v>577</v>
      </c>
      <c r="B39916" s="25"/>
      <c r="C39916" s="25"/>
      <c r="D39916" s="25"/>
      <c r="E39916" s="25"/>
      <c r="F39916" s="25"/>
      <c r="G39916" s="25"/>
      <c r="H39916" s="25"/>
      <c r="I39916" s="25"/>
      <c r="J39916" s="25"/>
      <c r="K39916" s="25"/>
    </row>
    <row r="39917" customFormat="false" ht="15" hidden="false" customHeight="false" outlineLevel="0" collapsed="false">
      <c r="A39917" s="3" t="s">
        <v>556</v>
      </c>
      <c r="C39917" s="16" t="n">
        <f aca="false">C39785-C39895</f>
        <v>0</v>
      </c>
    </row>
    <row r="39918" customFormat="false" ht="15" hidden="false" customHeight="false" outlineLevel="0" collapsed="false">
      <c r="A39918" s="3" t="s">
        <v>557</v>
      </c>
      <c r="C39918" s="16" t="n">
        <f aca="false">C39786-C39896</f>
        <v>36.0977727598324</v>
      </c>
    </row>
    <row r="39919" customFormat="false" ht="15" hidden="false" customHeight="false" outlineLevel="0" collapsed="false">
      <c r="A39919" s="3" t="s">
        <v>558</v>
      </c>
      <c r="C39919" s="16" t="n">
        <f aca="false">C39787-C39897</f>
        <v>23.0225826653479</v>
      </c>
    </row>
    <row r="39920" customFormat="false" ht="15" hidden="false" customHeight="false" outlineLevel="0" collapsed="false">
      <c r="A39920" s="3" t="s">
        <v>559</v>
      </c>
      <c r="C39920" s="16" t="n">
        <f aca="false">C39788-C39898</f>
        <v>0</v>
      </c>
    </row>
    <row r="39921" customFormat="false" ht="15" hidden="false" customHeight="false" outlineLevel="0" collapsed="false">
      <c r="A39921" s="3" t="s">
        <v>560</v>
      </c>
      <c r="C39921" s="16" t="n">
        <f aca="false">C39789-C39899</f>
        <v>181.383024445606</v>
      </c>
    </row>
    <row r="39922" customFormat="false" ht="15" hidden="false" customHeight="false" outlineLevel="0" collapsed="false">
      <c r="A39922" s="3" t="s">
        <v>561</v>
      </c>
      <c r="C39922" s="16" t="n">
        <f aca="false">C39790-C39900</f>
        <v>145.955544309262</v>
      </c>
    </row>
    <row r="39923" customFormat="false" ht="15" hidden="false" customHeight="false" outlineLevel="0" collapsed="false">
      <c r="A39923" s="3" t="s">
        <v>562</v>
      </c>
      <c r="C39923" s="16" t="n">
        <f aca="false">C39791-C39901</f>
        <v>229.358712485983</v>
      </c>
    </row>
    <row r="39924" customFormat="false" ht="15" hidden="false" customHeight="false" outlineLevel="0" collapsed="false">
      <c r="A39924" s="3" t="s">
        <v>563</v>
      </c>
      <c r="C39924" s="16" t="n">
        <f aca="false">C39792-C39902</f>
        <v>145.955544309262</v>
      </c>
    </row>
    <row r="39925" customFormat="false" ht="15" hidden="false" customHeight="false" outlineLevel="0" collapsed="false">
      <c r="A39925" s="3" t="s">
        <v>564</v>
      </c>
      <c r="C39925" s="16" t="n">
        <f aca="false">C39793-C39903</f>
        <v>125.104752265082</v>
      </c>
    </row>
    <row r="39926" customFormat="false" ht="15" hidden="false" customHeight="false" outlineLevel="0" collapsed="false">
      <c r="A39926" s="3" t="s">
        <v>565</v>
      </c>
      <c r="C39926" s="16" t="n">
        <f aca="false">C39794-C39904</f>
        <v>78.61</v>
      </c>
    </row>
    <row r="39927" customFormat="false" ht="15" hidden="false" customHeight="false" outlineLevel="0" collapsed="false">
      <c r="A39927" s="24" t="s">
        <v>578</v>
      </c>
      <c r="B39927" s="25"/>
      <c r="C39927" s="25"/>
      <c r="D39927" s="25"/>
      <c r="E39927" s="25"/>
      <c r="F39927" s="25"/>
      <c r="G39927" s="25"/>
      <c r="H39927" s="25"/>
      <c r="I39927" s="25"/>
      <c r="J39927" s="25"/>
      <c r="K39927" s="25"/>
    </row>
    <row r="39928" customFormat="false" ht="15" hidden="false" customHeight="false" outlineLevel="0" collapsed="false">
      <c r="A39928" s="3" t="s">
        <v>556</v>
      </c>
      <c r="C39928" s="22" t="n">
        <f aca="false">IF(C39785=0,0,C39917/C39785)</f>
        <v>0</v>
      </c>
    </row>
    <row r="39929" customFormat="false" ht="15" hidden="false" customHeight="false" outlineLevel="0" collapsed="false">
      <c r="A39929" s="3" t="s">
        <v>557</v>
      </c>
      <c r="C39929" s="22" t="n">
        <f aca="false">IF(C39786=0,0,C39918/C39786)</f>
        <v>0.401086363998137</v>
      </c>
    </row>
    <row r="39930" customFormat="false" ht="15" hidden="false" customHeight="false" outlineLevel="0" collapsed="false">
      <c r="A39930" s="3" t="s">
        <v>558</v>
      </c>
      <c r="C39930" s="22" t="n">
        <f aca="false">IF(C39787=0,0,C39919/C39787)</f>
        <v>0.401622054730093</v>
      </c>
    </row>
    <row r="39931" customFormat="false" ht="15" hidden="false" customHeight="false" outlineLevel="0" collapsed="false">
      <c r="A39931" s="3" t="s">
        <v>559</v>
      </c>
      <c r="C39931" s="22" t="n">
        <f aca="false">IF(C39788=0,0,C39920/C39788)</f>
        <v>0</v>
      </c>
    </row>
    <row r="39932" customFormat="false" ht="15" hidden="false" customHeight="false" outlineLevel="0" collapsed="false">
      <c r="A39932" s="3" t="s">
        <v>560</v>
      </c>
      <c r="C39932" s="22" t="n">
        <f aca="false">IF(C39789=0,0,C39921/C39789)</f>
        <v>0.417015840883605</v>
      </c>
    </row>
    <row r="39933" customFormat="false" ht="15" hidden="false" customHeight="false" outlineLevel="0" collapsed="false">
      <c r="A39933" s="3" t="s">
        <v>561</v>
      </c>
      <c r="C39933" s="22" t="n">
        <f aca="false">IF(C39790=0,0,C39922/C39790)</f>
        <v>0.417015840883605</v>
      </c>
    </row>
    <row r="39934" customFormat="false" ht="15" hidden="false" customHeight="false" outlineLevel="0" collapsed="false">
      <c r="A39934" s="3" t="s">
        <v>562</v>
      </c>
      <c r="C39934" s="22" t="n">
        <f aca="false">IF(C39791=0,0,C39923/C39791)</f>
        <v>0.417015840883605</v>
      </c>
    </row>
    <row r="39935" customFormat="false" ht="15" hidden="false" customHeight="false" outlineLevel="0" collapsed="false">
      <c r="A39935" s="3" t="s">
        <v>563</v>
      </c>
      <c r="C39935" s="22" t="n">
        <f aca="false">IF(C39792=0,0,C39924/C39792)</f>
        <v>0.417015840883605</v>
      </c>
    </row>
    <row r="39936" customFormat="false" ht="15" hidden="false" customHeight="false" outlineLevel="0" collapsed="false">
      <c r="A39936" s="3" t="s">
        <v>564</v>
      </c>
      <c r="C39936" s="22" t="n">
        <f aca="false">IF(C39793=0,0,C39925/C39793)</f>
        <v>0.417015840883605</v>
      </c>
    </row>
    <row r="39937" customFormat="false" ht="15" hidden="false" customHeight="false" outlineLevel="0" collapsed="false">
      <c r="A39937" s="3" t="s">
        <v>565</v>
      </c>
      <c r="C39937" s="22" t="n">
        <f aca="false">IF(C39794=0,0,C39926/C39794)</f>
        <v>1</v>
      </c>
    </row>
    <row r="39938" customFormat="false" ht="15" hidden="false" customHeight="false" outlineLevel="0" collapsed="false">
      <c r="A39938" s="2" t="s">
        <v>579</v>
      </c>
      <c r="C39938" s="17" t="n">
        <f aca="false">MAX(0,$C$39783-SUM($C$39818:$C$39827)-SUM($C$39840:$C$39849))</f>
        <v>0</v>
      </c>
    </row>
    <row r="39939" customFormat="false" ht="15" hidden="false" customHeight="false" outlineLevel="0" collapsed="false">
      <c r="A39939" s="3" t="s">
        <v>597</v>
      </c>
      <c r="C39939" s="35" t="n">
        <f aca="false">MIN(C39782,100*CHOOSE(C39772,C39906,C39907,C39908,C39909,C39910,C39911,C39912,C39913,C39914,C39915))</f>
        <v>85</v>
      </c>
    </row>
    <row r="39940" customFormat="false" ht="15" hidden="false" customHeight="false" outlineLevel="0" collapsed="false">
      <c r="A39940" s="3" t="s">
        <v>598</v>
      </c>
      <c r="C39940" s="21" t="n">
        <f aca="false">IF(C39604=1,C39777+Assumptions!$C$40,C39776)</f>
        <v>3</v>
      </c>
    </row>
    <row r="39941" customFormat="false" ht="15" hidden="false" customHeight="false" outlineLevel="0" collapsed="false">
      <c r="A39941" s="24" t="s">
        <v>599</v>
      </c>
      <c r="B39941" s="25"/>
      <c r="C39941" s="25"/>
      <c r="D39941" s="25"/>
      <c r="E39941" s="25"/>
      <c r="F39941" s="25"/>
      <c r="G39941" s="25"/>
      <c r="H39941" s="25"/>
      <c r="I39941" s="25"/>
      <c r="J39941" s="25"/>
      <c r="K39941" s="25"/>
    </row>
    <row r="39942" customFormat="false" ht="15" hidden="false" customHeight="false" outlineLevel="0" collapsed="false">
      <c r="A39942" s="3" t="s">
        <v>600</v>
      </c>
      <c r="C39942" s="21" t="n">
        <f aca="false">COLUMN()-COLUMN($C$1)</f>
        <v>0</v>
      </c>
      <c r="D39942" s="21" t="n">
        <f aca="false">COLUMN()-COLUMN($C$1)</f>
        <v>1</v>
      </c>
      <c r="E39942" s="21" t="n">
        <f aca="false">COLUMN()-COLUMN($C$1)</f>
        <v>2</v>
      </c>
      <c r="F39942" s="21" t="n">
        <f aca="false">COLUMN()-COLUMN($C$1)</f>
        <v>3</v>
      </c>
      <c r="G39942" s="21" t="n">
        <f aca="false">COLUMN()-COLUMN($C$1)</f>
        <v>4</v>
      </c>
      <c r="H39942" s="21" t="n">
        <f aca="false">COLUMN()-COLUMN($C$1)</f>
        <v>5</v>
      </c>
      <c r="I39942" s="21" t="n">
        <f aca="false">COLUMN()-COLUMN($C$1)</f>
        <v>6</v>
      </c>
    </row>
    <row r="39943" customFormat="false" ht="15" hidden="false" customHeight="false" outlineLevel="0" collapsed="false">
      <c r="A39943" s="3" t="s">
        <v>601</v>
      </c>
      <c r="D39943" s="31" t="n">
        <f aca="false">CHOOSE($C$39772,G39352,G39365,G39378,G39391,G39404,G39417,G39430,G39443,G39456,G39469)</f>
        <v>0.1215</v>
      </c>
      <c r="E39943" s="31" t="n">
        <f aca="false">CHOOSE($C$39772,H39352,H39365,H39378,H39391,H39404,H39417,H39430,H39443,H39456,H39469)</f>
        <v>0.12</v>
      </c>
      <c r="F39943" s="31" t="n">
        <f aca="false">CHOOSE($C$39772,I39352,I39365,I39378,I39391,I39404,I39417,I39430,I39443,I39456,I39469)</f>
        <v>0.1175</v>
      </c>
      <c r="G39943" s="31" t="n">
        <f aca="false">CHOOSE($C$39772,J39352,J39365,J39378,J39391,J39404,J39417,J39430,J39443,J39456,J39469)</f>
        <v>0.1175</v>
      </c>
      <c r="H39943" s="31" t="n">
        <f aca="false">CHOOSE($C$39772,K39352,K39365,K39378,K39391,K39404,K39417,K39430,K39443,K39456,K39469)</f>
        <v>0.1175</v>
      </c>
    </row>
    <row r="39944" customFormat="false" ht="15" hidden="false" customHeight="false" outlineLevel="0" collapsed="false">
      <c r="A39944" s="3" t="s">
        <v>602</v>
      </c>
      <c r="D39944" s="16" t="n">
        <f aca="false">IF(D39942&lt;=$C$39781,$C$39773*D39943,0)</f>
        <v>12.15</v>
      </c>
      <c r="E39944" s="16" t="n">
        <f aca="false">IF(E39942&lt;=$C$39781,$C$39773*E39943,0)</f>
        <v>12</v>
      </c>
      <c r="F39944" s="16" t="n">
        <f aca="false">IF(F39942&lt;=$C$39781,$C$39773*F39943,0)</f>
        <v>0</v>
      </c>
      <c r="G39944" s="16" t="n">
        <f aca="false">IF(G39942&lt;=$C$39781,$C$39773*G39943,0)</f>
        <v>0</v>
      </c>
      <c r="H39944" s="16" t="n">
        <f aca="false">IF(H39942&lt;=$C$39781,$C$39773*H39943,0)</f>
        <v>0</v>
      </c>
    </row>
    <row r="39945" customFormat="false" ht="15" hidden="false" customHeight="false" outlineLevel="0" collapsed="false">
      <c r="A39945" s="3" t="s">
        <v>603</v>
      </c>
      <c r="D39945" s="16" t="n">
        <f aca="false">IF(AND($C$39604=0,D39942=$C$39776),$C$39773*$C$39939/100,0)+IF(AND($C$39604=1,D39942=$C$39940),$C$39779,0)</f>
        <v>0</v>
      </c>
      <c r="E39945" s="16" t="n">
        <f aca="false">IF(AND($C$39604=0,E39942=$C$39776),$C$39773*$C$39939/100,0)+IF(AND($C$39604=1,E39942=$C$39940),$C$39779,0)</f>
        <v>0</v>
      </c>
      <c r="F39945" s="16" t="n">
        <f aca="false">IF(AND($C$39604=0,F39942=$C$39776),$C$39773*$C$39939/100,0)+IF(AND($C$39604=1,F39942=$C$39940),$C$39779,0)</f>
        <v>103</v>
      </c>
      <c r="G39945" s="16" t="n">
        <f aca="false">IF(AND($C$39604=0,G39942=$C$39776),$C$39773*$C$39939/100,0)+IF(AND($C$39604=1,G39942=$C$39940),$C$39779,0)</f>
        <v>0</v>
      </c>
      <c r="H39945" s="16" t="n">
        <f aca="false">IF(AND($C$39604=0,H39942=$C$39776),$C$39773*$C$39939/100,0)+IF(AND($C$39604=1,H39942=$C$39940),$C$39779,0)</f>
        <v>0</v>
      </c>
      <c r="I39945" s="16" t="n">
        <f aca="false">IF(AND($C$39604=0,I39942=$C$39776),$C$39773*$C$39939/100,0)+IF(AND($C$39604=1,I39942=$C$39940),$C$39779,0)</f>
        <v>0</v>
      </c>
    </row>
    <row r="39946" customFormat="false" ht="15" hidden="false" customHeight="false" outlineLevel="0" collapsed="false">
      <c r="A39946" s="2" t="s">
        <v>604</v>
      </c>
      <c r="C39946" s="17" t="n">
        <f aca="false">-$C$39775</f>
        <v>-98.49</v>
      </c>
      <c r="D39946" s="17" t="n">
        <f aca="false">D39944+D39945</f>
        <v>12.15</v>
      </c>
      <c r="E39946" s="17" t="n">
        <f aca="false">E39944+E39945</f>
        <v>12</v>
      </c>
      <c r="F39946" s="17" t="n">
        <f aca="false">F39944+F39945</f>
        <v>103</v>
      </c>
      <c r="G39946" s="17" t="n">
        <f aca="false">G39944+G39945</f>
        <v>0</v>
      </c>
      <c r="H39946" s="17" t="n">
        <f aca="false">H39944+H39945</f>
        <v>0</v>
      </c>
      <c r="I39946" s="17" t="n">
        <f aca="false">I39944+I39945</f>
        <v>0</v>
      </c>
    </row>
    <row r="39947" customFormat="false" ht="15" hidden="false" customHeight="false" outlineLevel="0" collapsed="false">
      <c r="A39947" s="3" t="s">
        <v>605</v>
      </c>
      <c r="C39947" s="16" t="n">
        <f aca="false">SUM($C$39944:$I$39944)</f>
        <v>24.15</v>
      </c>
    </row>
    <row r="39948" customFormat="false" ht="15" hidden="false" customHeight="false" outlineLevel="0" collapsed="false">
      <c r="A39948" s="3" t="s">
        <v>606</v>
      </c>
      <c r="C39948" s="16" t="n">
        <f aca="false">SUM($C$39945:$I$39945)</f>
        <v>103</v>
      </c>
    </row>
    <row r="39949" customFormat="false" ht="15" hidden="false" customHeight="false" outlineLevel="0" collapsed="false">
      <c r="A39949" s="3" t="s">
        <v>607</v>
      </c>
      <c r="C39949" s="16" t="n">
        <f aca="false">C39947+C39948</f>
        <v>127.15</v>
      </c>
    </row>
    <row r="39950" customFormat="false" ht="15" hidden="false" customHeight="false" outlineLevel="0" collapsed="false">
      <c r="A39950" s="3" t="s">
        <v>608</v>
      </c>
      <c r="C39950" s="16" t="n">
        <f aca="false">C39948-C39773*C39774/100</f>
        <v>5</v>
      </c>
    </row>
    <row r="39951" customFormat="false" ht="15" hidden="false" customHeight="false" outlineLevel="0" collapsed="false">
      <c r="A39951" s="3" t="s">
        <v>609</v>
      </c>
      <c r="C39951" s="16" t="n">
        <f aca="false">C39949-C39775</f>
        <v>28.66</v>
      </c>
    </row>
    <row r="39952" customFormat="false" ht="15" hidden="false" customHeight="false" outlineLevel="0" collapsed="false">
      <c r="A39952" s="2" t="s">
        <v>484</v>
      </c>
      <c r="C39952" s="44" t="n">
        <f aca="false">C39949/C39775</f>
        <v>1.29099400954412</v>
      </c>
    </row>
    <row r="39953" customFormat="false" ht="15" hidden="false" customHeight="false" outlineLevel="0" collapsed="false">
      <c r="A39953" s="2" t="s">
        <v>483</v>
      </c>
      <c r="C39953" s="42" t="n">
        <f aca="false">IF(C39949&lt;=0,-1,IFERROR(IRR($C$39946:$I$39946,MAX(-0.9,C39952^(1/C39940)-1)),IRR($C$39946:$I$39946,0.1)))</f>
        <v>0.0994077590660149</v>
      </c>
    </row>
    <row r="39954" customFormat="false" ht="15" hidden="false" customHeight="false" outlineLevel="0" collapsed="false">
      <c r="A39954" s="3" t="s">
        <v>610</v>
      </c>
      <c r="C39954" s="32" t="n">
        <f aca="false">MAX($G$39548:$K$39548)</f>
        <v>15.7734539449449</v>
      </c>
    </row>
    <row r="39955" customFormat="false" ht="15" hidden="false" customHeight="false" outlineLevel="0" collapsed="false">
      <c r="A39955" s="3" t="s">
        <v>611</v>
      </c>
      <c r="C39955" s="32" t="n">
        <f aca="false">MIN($G$39549:$K$39549)</f>
        <v>0.899631625108658</v>
      </c>
    </row>
    <row r="39956" customFormat="false" ht="15" hidden="false" customHeight="false" outlineLevel="0" collapsed="false">
      <c r="A39956" s="3" t="s">
        <v>612</v>
      </c>
      <c r="C39956" s="16" t="n">
        <f aca="false">SUM($G$39336:$K$39336)</f>
        <v>-319.393886227031</v>
      </c>
    </row>
    <row r="39960" customFormat="false" ht="15" hidden="false" customHeight="false" outlineLevel="0" collapsed="false">
      <c r="A39960" s="9" t="s">
        <v>1191</v>
      </c>
      <c r="B39960" s="10"/>
      <c r="C39960" s="10"/>
      <c r="D39960" s="10"/>
      <c r="E39960" s="10"/>
      <c r="F39960" s="10"/>
      <c r="G39960" s="10"/>
      <c r="H39960" s="10"/>
      <c r="I39960" s="10"/>
      <c r="J39960" s="10"/>
      <c r="K39960" s="10"/>
    </row>
    <row r="39961" customFormat="false" ht="15" hidden="false" customHeight="false" outlineLevel="0" collapsed="false">
      <c r="A39961" s="3" t="s">
        <v>1126</v>
      </c>
      <c r="C39961" s="11" t="n">
        <v>3</v>
      </c>
    </row>
    <row r="39962" customFormat="false" ht="15" hidden="false" customHeight="false" outlineLevel="0" collapsed="false">
      <c r="A39962" s="3" t="s">
        <v>1127</v>
      </c>
      <c r="C39962" s="19" t="n">
        <v>0</v>
      </c>
    </row>
    <row r="39963" customFormat="false" ht="15" hidden="false" customHeight="false" outlineLevel="0" collapsed="false">
      <c r="A39963" s="3" t="s">
        <v>1128</v>
      </c>
      <c r="C39963" s="19" t="n">
        <v>0</v>
      </c>
    </row>
    <row r="39964" customFormat="false" ht="15" hidden="false" customHeight="false" outlineLevel="0" collapsed="false">
      <c r="A39964" s="3" t="s">
        <v>1129</v>
      </c>
      <c r="C39964" s="19" t="n">
        <v>0</v>
      </c>
    </row>
    <row r="39965" customFormat="false" ht="15" hidden="false" customHeight="false" outlineLevel="0" collapsed="false">
      <c r="A39965" s="3" t="s">
        <v>1130</v>
      </c>
      <c r="C39965" s="34" t="n">
        <f aca="false">Sensitivities!$A$63</f>
        <v>1</v>
      </c>
    </row>
    <row r="39967" customFormat="false" ht="15" hidden="false" customHeight="false" outlineLevel="0" collapsed="false">
      <c r="A39967" s="24" t="s">
        <v>301</v>
      </c>
      <c r="B39967" s="25"/>
      <c r="C39967" s="25"/>
      <c r="D39967" s="25"/>
      <c r="E39967" s="25"/>
      <c r="F39967" s="25"/>
      <c r="G39967" s="25"/>
      <c r="H39967" s="25"/>
      <c r="I39967" s="25"/>
      <c r="J39967" s="25"/>
      <c r="K39967" s="25"/>
    </row>
    <row r="39968" customFormat="false" ht="15" hidden="false" customHeight="false" outlineLevel="0" collapsed="false">
      <c r="A39968" s="3" t="s">
        <v>302</v>
      </c>
      <c r="F39968" s="27" t="n">
        <f aca="false">Assumptions!$C$6</f>
        <v>2026</v>
      </c>
      <c r="G39968" s="21" t="n">
        <f aca="false">F39968+1</f>
        <v>2027</v>
      </c>
      <c r="H39968" s="21" t="n">
        <f aca="false">G39968+1</f>
        <v>2028</v>
      </c>
      <c r="I39968" s="21" t="n">
        <f aca="false">H39968+1</f>
        <v>2029</v>
      </c>
      <c r="J39968" s="21" t="n">
        <f aca="false">I39968+1</f>
        <v>2030</v>
      </c>
      <c r="K39968" s="21" t="n">
        <f aca="false">J39968+1</f>
        <v>2031</v>
      </c>
    </row>
    <row r="39969" customFormat="false" ht="15" hidden="false" customHeight="false" outlineLevel="0" collapsed="false">
      <c r="A39969" s="3" t="s">
        <v>303</v>
      </c>
      <c r="G39969" s="21" t="n">
        <f aca="false">G39968-Assumptions!$C$6</f>
        <v>1</v>
      </c>
      <c r="H39969" s="21" t="n">
        <f aca="false">H39968-Assumptions!$C$6</f>
        <v>2</v>
      </c>
      <c r="I39969" s="21" t="n">
        <f aca="false">I39968-Assumptions!$C$6</f>
        <v>3</v>
      </c>
      <c r="J39969" s="21" t="n">
        <f aca="false">J39968-Assumptions!$C$6</f>
        <v>4</v>
      </c>
      <c r="K39969" s="21" t="n">
        <f aca="false">K39968-Assumptions!$C$6</f>
        <v>5</v>
      </c>
    </row>
    <row r="39970" customFormat="false" ht="15" hidden="false" customHeight="false" outlineLevel="0" collapsed="false">
      <c r="A39970" s="3" t="s">
        <v>180</v>
      </c>
      <c r="G39970" s="22" t="n">
        <f aca="false">CHOOSE($C$39961,Assumptions!$G$79,Assumptions!$G$98,Assumptions!$G$117)+$C$39962</f>
        <v>-0.1</v>
      </c>
      <c r="H39970" s="22" t="n">
        <f aca="false">CHOOSE($C$39961,Assumptions!$H$79,Assumptions!$H$98,Assumptions!$H$117)+$C$39962</f>
        <v>-0.07</v>
      </c>
      <c r="I39970" s="22" t="n">
        <f aca="false">CHOOSE($C$39961,Assumptions!$I$79,Assumptions!$I$98,Assumptions!$I$117)+$C$39962</f>
        <v>-0.03</v>
      </c>
      <c r="J39970" s="22" t="n">
        <f aca="false">CHOOSE($C$39961,Assumptions!$J$79,Assumptions!$J$98,Assumptions!$J$117)+$C$39962</f>
        <v>0</v>
      </c>
      <c r="K39970" s="22" t="n">
        <f aca="false">CHOOSE($C$39961,Assumptions!$K$79,Assumptions!$K$98,Assumptions!$K$117)+$C$39962</f>
        <v>0.01</v>
      </c>
    </row>
    <row r="39971" customFormat="false" ht="15" hidden="false" customHeight="false" outlineLevel="0" collapsed="false">
      <c r="A39971" s="3" t="s">
        <v>181</v>
      </c>
      <c r="G39971" s="22" t="n">
        <f aca="false">CHOOSE($C$39961,Assumptions!$G$80,Assumptions!$G$99,Assumptions!$G$118)</f>
        <v>0.533920660818678</v>
      </c>
      <c r="H39971" s="22" t="n">
        <f aca="false">CHOOSE($C$39961,Assumptions!$H$80,Assumptions!$H$99,Assumptions!$H$118)</f>
        <v>0.503920660818678</v>
      </c>
      <c r="I39971" s="22" t="n">
        <f aca="false">CHOOSE($C$39961,Assumptions!$I$80,Assumptions!$I$99,Assumptions!$I$118)</f>
        <v>0.498920660818678</v>
      </c>
      <c r="J39971" s="22" t="n">
        <f aca="false">CHOOSE($C$39961,Assumptions!$J$80,Assumptions!$J$99,Assumptions!$J$118)</f>
        <v>0.503920660818678</v>
      </c>
      <c r="K39971" s="22" t="n">
        <f aca="false">CHOOSE($C$39961,Assumptions!$K$80,Assumptions!$K$99,Assumptions!$K$118)</f>
        <v>0.513920660818678</v>
      </c>
    </row>
    <row r="39972" customFormat="false" ht="15" hidden="false" customHeight="false" outlineLevel="0" collapsed="false">
      <c r="A39972" s="3" t="s">
        <v>182</v>
      </c>
      <c r="G39972" s="22" t="n">
        <f aca="false">CHOOSE($C$39961,Assumptions!$G$81,Assumptions!$G$100,Assumptions!$G$119)+$C$39963</f>
        <v>0.46</v>
      </c>
      <c r="H39972" s="22" t="n">
        <f aca="false">CHOOSE($C$39961,Assumptions!$H$81,Assumptions!$H$100,Assumptions!$H$119)+$C$39963</f>
        <v>0.43</v>
      </c>
      <c r="I39972" s="22" t="n">
        <f aca="false">CHOOSE($C$39961,Assumptions!$I$81,Assumptions!$I$100,Assumptions!$I$119)+$C$39963</f>
        <v>0.425</v>
      </c>
      <c r="J39972" s="22" t="n">
        <f aca="false">CHOOSE($C$39961,Assumptions!$J$81,Assumptions!$J$100,Assumptions!$J$119)+$C$39963</f>
        <v>0.43</v>
      </c>
      <c r="K39972" s="22" t="n">
        <f aca="false">CHOOSE($C$39961,Assumptions!$K$81,Assumptions!$K$100,Assumptions!$K$119)+$C$39963</f>
        <v>0.44</v>
      </c>
    </row>
    <row r="39973" customFormat="false" ht="15" hidden="false" customHeight="false" outlineLevel="0" collapsed="false">
      <c r="A39973" s="24" t="s">
        <v>304</v>
      </c>
      <c r="B39973" s="25"/>
      <c r="C39973" s="25"/>
      <c r="D39973" s="25"/>
      <c r="E39973" s="25"/>
      <c r="F39973" s="25"/>
      <c r="G39973" s="25"/>
      <c r="H39973" s="25"/>
      <c r="I39973" s="25"/>
      <c r="J39973" s="25"/>
      <c r="K39973" s="25"/>
    </row>
    <row r="39974" customFormat="false" ht="15" hidden="false" customHeight="false" outlineLevel="0" collapsed="false">
      <c r="A39974" s="2" t="s">
        <v>275</v>
      </c>
      <c r="F39974" s="28" t="n">
        <f aca="false">'Historical Financials'!G25</f>
        <v>498.291</v>
      </c>
      <c r="G39974" s="17" t="n">
        <f aca="false">F39974*(1+G39970)</f>
        <v>448.4619</v>
      </c>
      <c r="H39974" s="17" t="n">
        <f aca="false">G39974*(1+H39970)</f>
        <v>417.069567</v>
      </c>
      <c r="I39974" s="17" t="n">
        <f aca="false">H39974*(1+I39970)</f>
        <v>404.55747999</v>
      </c>
      <c r="J39974" s="17" t="n">
        <f aca="false">I39974*(1+J39970)</f>
        <v>404.55747999</v>
      </c>
      <c r="K39974" s="17" t="n">
        <f aca="false">J39974*(1+K39970)</f>
        <v>408.6030547899</v>
      </c>
    </row>
    <row r="39975" customFormat="false" ht="15" hidden="false" customHeight="false" outlineLevel="0" collapsed="false">
      <c r="A39975" s="3" t="s">
        <v>276</v>
      </c>
      <c r="G39975" s="16" t="n">
        <f aca="false">G39974*(1-G39971)</f>
        <v>209.018826</v>
      </c>
      <c r="H39975" s="16" t="n">
        <f aca="false">H39974*(1-H39971)</f>
        <v>206.89959519</v>
      </c>
      <c r="I39975" s="16" t="n">
        <f aca="false">I39974*(1-I39971)</f>
        <v>202.71539473425</v>
      </c>
      <c r="J39975" s="16" t="n">
        <f aca="false">J39974*(1-J39971)</f>
        <v>200.6926073343</v>
      </c>
      <c r="K39975" s="16" t="n">
        <f aca="false">K39974*(1-K39971)</f>
        <v>198.613502859744</v>
      </c>
    </row>
    <row r="39976" customFormat="false" ht="15" hidden="false" customHeight="false" outlineLevel="0" collapsed="false">
      <c r="A39976" s="2" t="s">
        <v>277</v>
      </c>
      <c r="G39976" s="17" t="n">
        <f aca="false">G39974-G39975</f>
        <v>239.443074</v>
      </c>
      <c r="H39976" s="17" t="n">
        <f aca="false">H39974-H39975</f>
        <v>210.16997181</v>
      </c>
      <c r="I39976" s="17" t="n">
        <f aca="false">I39974-I39975</f>
        <v>201.84208525575</v>
      </c>
      <c r="J39976" s="17" t="n">
        <f aca="false">J39974-J39975</f>
        <v>203.8648726557</v>
      </c>
      <c r="K39976" s="17" t="n">
        <f aca="false">K39974-K39975</f>
        <v>209.989551930156</v>
      </c>
    </row>
    <row r="39977" customFormat="false" ht="15" hidden="false" customHeight="false" outlineLevel="0" collapsed="false">
      <c r="A39977" s="3" t="s">
        <v>305</v>
      </c>
      <c r="G39977" s="16" t="n">
        <f aca="false">G39976-G39978</f>
        <v>33.1505999999999</v>
      </c>
      <c r="H39977" s="16" t="n">
        <f aca="false">H39976-H39978</f>
        <v>30.830058</v>
      </c>
      <c r="I39977" s="16" t="n">
        <f aca="false">I39976-I39978</f>
        <v>29.90515626</v>
      </c>
      <c r="J39977" s="16" t="n">
        <f aca="false">J39976-J39978</f>
        <v>29.90515626</v>
      </c>
      <c r="K39977" s="16" t="n">
        <f aca="false">K39976-K39978</f>
        <v>30.2042078226</v>
      </c>
    </row>
    <row r="39978" customFormat="false" ht="15" hidden="false" customHeight="false" outlineLevel="0" collapsed="false">
      <c r="A39978" s="2" t="s">
        <v>306</v>
      </c>
      <c r="G39978" s="17" t="n">
        <f aca="false">G39974*G39972</f>
        <v>206.292474</v>
      </c>
      <c r="H39978" s="17" t="n">
        <f aca="false">H39974*H39972</f>
        <v>179.33991381</v>
      </c>
      <c r="I39978" s="17" t="n">
        <f aca="false">I39974*I39972</f>
        <v>171.93692899575</v>
      </c>
      <c r="J39978" s="17" t="n">
        <f aca="false">J39974*J39972</f>
        <v>173.9597163957</v>
      </c>
      <c r="K39978" s="17" t="n">
        <f aca="false">K39974*K39972</f>
        <v>179.785344107556</v>
      </c>
    </row>
    <row r="39979" customFormat="false" ht="15" hidden="false" customHeight="false" outlineLevel="0" collapsed="false">
      <c r="A39979" s="3" t="s">
        <v>307</v>
      </c>
      <c r="G39979" s="16" t="n">
        <f aca="false">G39974*'Historical Financials'!G30/'Historical Financials'!G25</f>
        <v>166.7637</v>
      </c>
      <c r="H39979" s="16" t="n">
        <f aca="false">H39974*'Historical Financials'!G30/'Historical Financials'!G25</f>
        <v>155.090241</v>
      </c>
      <c r="I39979" s="16" t="n">
        <f aca="false">I39974*'Historical Financials'!G30/'Historical Financials'!G25</f>
        <v>150.43753377</v>
      </c>
      <c r="J39979" s="16" t="n">
        <f aca="false">J39974*'Historical Financials'!G30/'Historical Financials'!G25</f>
        <v>150.43753377</v>
      </c>
      <c r="K39979" s="16" t="n">
        <f aca="false">K39974*'Historical Financials'!G30/'Historical Financials'!G25</f>
        <v>151.9419091077</v>
      </c>
    </row>
    <row r="39980" customFormat="false" ht="15" hidden="false" customHeight="false" outlineLevel="0" collapsed="false">
      <c r="A39980" s="3" t="s">
        <v>308</v>
      </c>
      <c r="G39980" s="16" t="n">
        <f aca="false">G39974*'Historical Financials'!G31/'Historical Financials'!G25</f>
        <v>0</v>
      </c>
      <c r="H39980" s="16" t="n">
        <f aca="false">H39974*'Historical Financials'!G31/'Historical Financials'!G25</f>
        <v>0</v>
      </c>
      <c r="I39980" s="16" t="n">
        <f aca="false">I39974*'Historical Financials'!G31/'Historical Financials'!G25</f>
        <v>0</v>
      </c>
      <c r="J39980" s="16" t="n">
        <f aca="false">J39974*'Historical Financials'!G31/'Historical Financials'!G25</f>
        <v>0</v>
      </c>
      <c r="K39980" s="16" t="n">
        <f aca="false">K39974*'Historical Financials'!G31/'Historical Financials'!G25</f>
        <v>0</v>
      </c>
    </row>
    <row r="39981" customFormat="false" ht="15" hidden="false" customHeight="false" outlineLevel="0" collapsed="false">
      <c r="A39981" s="2" t="s">
        <v>309</v>
      </c>
      <c r="G39981" s="17" t="n">
        <f aca="false">G39978-G39979-G39980</f>
        <v>39.528774</v>
      </c>
      <c r="H39981" s="17" t="n">
        <f aca="false">H39978-H39979-H39980</f>
        <v>24.24967281</v>
      </c>
      <c r="I39981" s="17" t="n">
        <f aca="false">I39978-I39979-I39980</f>
        <v>21.49939522575</v>
      </c>
      <c r="J39981" s="17" t="n">
        <f aca="false">J39978-J39979-J39980</f>
        <v>23.5221826257</v>
      </c>
      <c r="K39981" s="17" t="n">
        <f aca="false">K39978-K39979-K39980</f>
        <v>27.843434999856</v>
      </c>
    </row>
    <row r="39982" customFormat="false" ht="15" hidden="false" customHeight="false" outlineLevel="0" collapsed="false">
      <c r="A39982" s="3" t="s">
        <v>310</v>
      </c>
      <c r="G39982" s="16" t="n">
        <f aca="false">G40008+G40021+G40034+G40047+G40060+G40073+G40086+G40099+G40112+G40125</f>
        <v>194.5679854</v>
      </c>
      <c r="H39982" s="16" t="n">
        <f aca="false">H40008+H40021+H40034+H40047+H40060+H40073+H40086+H40099+H40112+H40125</f>
        <v>193.3700704</v>
      </c>
      <c r="I39982" s="16" t="n">
        <f aca="false">I40008+I40021+I40034+I40047+I40060+I40073+I40086+I40099+I40112+I40125</f>
        <v>191.11925836865</v>
      </c>
      <c r="J39982" s="16" t="n">
        <f aca="false">J40008+J40021+J40034+J40047+J40060+J40073+J40086+J40099+J40112+J40125</f>
        <v>190.64925836865</v>
      </c>
      <c r="K39982" s="16" t="n">
        <f aca="false">K40008+K40021+K40034+K40047+K40060+K40073+K40086+K40099+K40112+K40125</f>
        <v>190.17925836865</v>
      </c>
    </row>
    <row r="39983" customFormat="false" ht="15" hidden="false" customHeight="false" outlineLevel="0" collapsed="false">
      <c r="A39983" s="3" t="s">
        <v>311</v>
      </c>
      <c r="G39983" s="16" t="n">
        <f aca="false">G40009+G40022+G40035+G40048+G40061+G40074+G40087+G40100+G40113+G40126</f>
        <v>0</v>
      </c>
      <c r="H39983" s="16" t="n">
        <f aca="false">H40009+H40022+H40035+H40048+H40061+H40074+H40087+H40100+H40113+H40126</f>
        <v>0</v>
      </c>
      <c r="I39983" s="16" t="n">
        <f aca="false">I40009+I40022+I40035+I40048+I40061+I40074+I40087+I40100+I40113+I40126</f>
        <v>0</v>
      </c>
      <c r="J39983" s="16" t="n">
        <f aca="false">J40009+J40022+J40035+J40048+J40061+J40074+J40087+J40100+J40113+J40126</f>
        <v>0</v>
      </c>
      <c r="K39983" s="16" t="n">
        <f aca="false">K40009+K40022+K40035+K40048+K40061+K40074+K40087+K40100+K40113+K40126</f>
        <v>0</v>
      </c>
    </row>
    <row r="39984" customFormat="false" ht="15" hidden="false" customHeight="false" outlineLevel="0" collapsed="false">
      <c r="A39984" s="3" t="s">
        <v>283</v>
      </c>
      <c r="G39984" s="16" t="n">
        <f aca="false">G39982+G39983</f>
        <v>194.5679854</v>
      </c>
      <c r="H39984" s="16" t="n">
        <f aca="false">H39982+H39983</f>
        <v>193.3700704</v>
      </c>
      <c r="I39984" s="16" t="n">
        <f aca="false">I39982+I39983</f>
        <v>191.11925836865</v>
      </c>
      <c r="J39984" s="16" t="n">
        <f aca="false">J39982+J39983</f>
        <v>190.64925836865</v>
      </c>
      <c r="K39984" s="16" t="n">
        <f aca="false">K39982+K39983</f>
        <v>190.17925836865</v>
      </c>
    </row>
    <row r="39985" customFormat="false" ht="15" hidden="false" customHeight="false" outlineLevel="0" collapsed="false">
      <c r="A39985" s="2" t="s">
        <v>284</v>
      </c>
      <c r="G39985" s="17" t="n">
        <f aca="false">G39981-G39984</f>
        <v>-155.0392114</v>
      </c>
      <c r="H39985" s="17" t="n">
        <f aca="false">H39981-H39984</f>
        <v>-169.12039759</v>
      </c>
      <c r="I39985" s="17" t="n">
        <f aca="false">I39981-I39984</f>
        <v>-169.6198631429</v>
      </c>
      <c r="J39985" s="17" t="n">
        <f aca="false">J39981-J39984</f>
        <v>-167.12707574295</v>
      </c>
      <c r="K39985" s="17" t="n">
        <f aca="false">K39981-K39984</f>
        <v>-162.335823368794</v>
      </c>
    </row>
    <row r="39986" customFormat="false" ht="15" hidden="false" customHeight="false" outlineLevel="0" collapsed="false">
      <c r="A39986" s="3" t="s">
        <v>312</v>
      </c>
      <c r="G39986" s="16" t="n">
        <f aca="false">MAX(0,G39985)*Assumptions!$C$9</f>
        <v>0</v>
      </c>
      <c r="H39986" s="16" t="n">
        <f aca="false">MAX(0,H39985)*Assumptions!$C$9</f>
        <v>0</v>
      </c>
      <c r="I39986" s="16" t="n">
        <f aca="false">MAX(0,I39985)*Assumptions!$C$9</f>
        <v>0</v>
      </c>
      <c r="J39986" s="16" t="n">
        <f aca="false">MAX(0,J39985)*Assumptions!$C$9</f>
        <v>0</v>
      </c>
      <c r="K39986" s="16" t="n">
        <f aca="false">MAX(0,K39985)*Assumptions!$C$9</f>
        <v>0</v>
      </c>
    </row>
    <row r="39987" customFormat="false" ht="15" hidden="false" customHeight="false" outlineLevel="0" collapsed="false">
      <c r="A39987" s="2" t="s">
        <v>313</v>
      </c>
      <c r="G39987" s="17" t="n">
        <f aca="false">G39985-G39986</f>
        <v>-155.0392114</v>
      </c>
      <c r="H39987" s="17" t="n">
        <f aca="false">H39985-H39986</f>
        <v>-169.12039759</v>
      </c>
      <c r="I39987" s="17" t="n">
        <f aca="false">I39985-I39986</f>
        <v>-169.6198631429</v>
      </c>
      <c r="J39987" s="17" t="n">
        <f aca="false">J39985-J39986</f>
        <v>-167.12707574295</v>
      </c>
      <c r="K39987" s="17" t="n">
        <f aca="false">K39985-K39986</f>
        <v>-162.335823368794</v>
      </c>
    </row>
    <row r="39988" customFormat="false" ht="15" hidden="false" customHeight="false" outlineLevel="0" collapsed="false">
      <c r="A39988" s="24" t="s">
        <v>314</v>
      </c>
      <c r="B39988" s="25"/>
      <c r="C39988" s="25"/>
      <c r="D39988" s="25"/>
      <c r="E39988" s="25"/>
      <c r="F39988" s="25"/>
      <c r="G39988" s="25"/>
      <c r="H39988" s="25"/>
      <c r="I39988" s="25"/>
      <c r="J39988" s="25"/>
      <c r="K39988" s="25"/>
    </row>
    <row r="39989" customFormat="false" ht="15" hidden="false" customHeight="false" outlineLevel="0" collapsed="false">
      <c r="A39989" s="3" t="s">
        <v>184</v>
      </c>
      <c r="G39989" s="16" t="n">
        <f aca="false">G39974*CHOOSE($C$39961,Assumptions!$C$83,Assumptions!$C$102,Assumptions!$C$121)</f>
        <v>58.300047</v>
      </c>
      <c r="H39989" s="16" t="n">
        <f aca="false">H39974*CHOOSE($C$39961,Assumptions!$C$83,Assumptions!$C$102,Assumptions!$C$121)</f>
        <v>54.21904371</v>
      </c>
      <c r="I39989" s="16" t="n">
        <f aca="false">I39974*CHOOSE($C$39961,Assumptions!$C$83,Assumptions!$C$102,Assumptions!$C$121)</f>
        <v>52.5924723987</v>
      </c>
      <c r="J39989" s="16" t="n">
        <f aca="false">J39974*CHOOSE($C$39961,Assumptions!$C$83,Assumptions!$C$102,Assumptions!$C$121)</f>
        <v>52.5924723987</v>
      </c>
      <c r="K39989" s="16" t="n">
        <f aca="false">K39974*CHOOSE($C$39961,Assumptions!$C$83,Assumptions!$C$102,Assumptions!$C$121)</f>
        <v>53.118397122687</v>
      </c>
    </row>
    <row r="39990" customFormat="false" ht="15" hidden="false" customHeight="false" outlineLevel="0" collapsed="false">
      <c r="A39990" s="3" t="s">
        <v>315</v>
      </c>
      <c r="G39990" s="16" t="n">
        <f aca="false">CHOOSE($C$39961,Assumptions!$C$84,Assumptions!$C$103,Assumptions!$C$122)*(G39974-F39974)+CHOOSE($C$39961,Assumptions!$C$85,Assumptions!$C$104,Assumptions!$C$123)*G39974</f>
        <v>0</v>
      </c>
      <c r="H39990" s="16" t="n">
        <f aca="false">CHOOSE($C$39961,Assumptions!$C$84,Assumptions!$C$103,Assumptions!$C$122)*(H39974-G39974)+CHOOSE($C$39961,Assumptions!$C$85,Assumptions!$C$104,Assumptions!$C$123)*H39974</f>
        <v>0</v>
      </c>
      <c r="I39990" s="16" t="n">
        <f aca="false">CHOOSE($C$39961,Assumptions!$C$84,Assumptions!$C$103,Assumptions!$C$122)*(I39974-H39974)+CHOOSE($C$39961,Assumptions!$C$85,Assumptions!$C$104,Assumptions!$C$123)*I39974</f>
        <v>0</v>
      </c>
      <c r="J39990" s="16" t="n">
        <f aca="false">CHOOSE($C$39961,Assumptions!$C$84,Assumptions!$C$103,Assumptions!$C$122)*(J39974-I39974)+CHOOSE($C$39961,Assumptions!$C$85,Assumptions!$C$104,Assumptions!$C$123)*J39974</f>
        <v>0</v>
      </c>
      <c r="K39990" s="16" t="n">
        <f aca="false">CHOOSE($C$39961,Assumptions!$C$84,Assumptions!$C$103,Assumptions!$C$122)*(K39974-J39974)+CHOOSE($C$39961,Assumptions!$C$85,Assumptions!$C$104,Assumptions!$C$123)*K39974</f>
        <v>0</v>
      </c>
    </row>
    <row r="39991" customFormat="false" ht="15" hidden="false" customHeight="false" outlineLevel="0" collapsed="false">
      <c r="A39991" s="2" t="s">
        <v>316</v>
      </c>
      <c r="G39991" s="17" t="n">
        <f aca="false">G39987+G39979+G39980+G39983-G39989-G39990</f>
        <v>-46.5755584</v>
      </c>
      <c r="H39991" s="17" t="n">
        <f aca="false">H39987+H39979+H39980+H39983-H39989-H39990</f>
        <v>-68.2492003</v>
      </c>
      <c r="I39991" s="17" t="n">
        <f aca="false">I39987+I39979+I39980+I39983-I39989-I39990</f>
        <v>-71.7748017716</v>
      </c>
      <c r="J39991" s="17" t="n">
        <f aca="false">J39987+J39979+J39980+J39983-J39989-J39990</f>
        <v>-69.28201437165</v>
      </c>
      <c r="K39991" s="17" t="n">
        <f aca="false">K39987+K39979+K39980+K39983-K39989-K39990</f>
        <v>-63.512311383781</v>
      </c>
    </row>
    <row r="39993" customFormat="false" ht="15" hidden="false" customHeight="false" outlineLevel="0" collapsed="false">
      <c r="A39993" s="24" t="s">
        <v>318</v>
      </c>
      <c r="B39993" s="25"/>
      <c r="C39993" s="25"/>
      <c r="D39993" s="25"/>
      <c r="E39993" s="25"/>
      <c r="F39993" s="25"/>
      <c r="G39993" s="25"/>
      <c r="H39993" s="25"/>
      <c r="I39993" s="25"/>
      <c r="J39993" s="25"/>
      <c r="K39993" s="25"/>
    </row>
    <row r="39994" customFormat="false" ht="15" hidden="false" customHeight="false" outlineLevel="0" collapsed="false">
      <c r="A39994" s="3" t="s">
        <v>319</v>
      </c>
      <c r="G39994" s="30" t="n">
        <f aca="false">Assumptions!$G$53</f>
        <v>0.039</v>
      </c>
      <c r="H39994" s="30" t="n">
        <f aca="false">Assumptions!$H$53</f>
        <v>0.0375</v>
      </c>
      <c r="I39994" s="30" t="n">
        <f aca="false">Assumptions!$I$53</f>
        <v>0.035</v>
      </c>
      <c r="J39994" s="30" t="n">
        <f aca="false">Assumptions!$J$53</f>
        <v>0.035</v>
      </c>
      <c r="K39994" s="30" t="n">
        <f aca="false">Assumptions!$K$53</f>
        <v>0.035</v>
      </c>
    </row>
    <row r="39995" customFormat="false" ht="15" hidden="false" customHeight="false" outlineLevel="0" collapsed="false">
      <c r="A39995" s="3" t="s">
        <v>320</v>
      </c>
      <c r="C39995" s="31" t="n">
        <f aca="false">CHOOSE($C$39961,Assumptions!$C$86,Assumptions!$C$105,Assumptions!$C$124)+$C$39964</f>
        <v>0.03</v>
      </c>
    </row>
    <row r="39996" customFormat="false" ht="15" hidden="false" customHeight="false" outlineLevel="0" collapsed="false">
      <c r="A39996" s="3" t="s">
        <v>321</v>
      </c>
      <c r="C39996" s="31" t="n">
        <f aca="false">CHOOSE($C$39961,Assumptions!$C$87,Assumptions!$C$106,Assumptions!$C$125)</f>
        <v>0.12</v>
      </c>
    </row>
    <row r="39997" customFormat="false" ht="15" hidden="false" customHeight="false" outlineLevel="0" collapsed="false">
      <c r="A39997" s="3" t="s">
        <v>322</v>
      </c>
      <c r="C39997" s="32" t="n">
        <f aca="false">CHOOSE($C$39961,Assumptions!$C$88,Assumptions!$C$107,Assumptions!$C$126)</f>
        <v>9</v>
      </c>
    </row>
    <row r="39998" customFormat="false" ht="15" hidden="false" customHeight="false" outlineLevel="0" collapsed="false">
      <c r="A39998" s="3" t="s">
        <v>323</v>
      </c>
      <c r="C39998" s="32" t="n">
        <f aca="false">CHOOSE($C$39961,Assumptions!$C$89,Assumptions!$C$108,Assumptions!$C$127)</f>
        <v>1.75</v>
      </c>
    </row>
    <row r="39999" customFormat="false" ht="15" hidden="false" customHeight="false" outlineLevel="0" collapsed="false">
      <c r="A39999" s="3" t="s">
        <v>324</v>
      </c>
      <c r="G39999" s="16" t="n">
        <f aca="false">G40004+G40017+G40030+G40043+G40056+G40069+G40082+G40095+G40108+G40121</f>
        <v>2625.934</v>
      </c>
      <c r="H39999" s="16" t="n">
        <f aca="false">H40004+H40017+H40030+H40043+H40056+H40069+H40082+H40095+H40108+H40121</f>
        <v>2621.934</v>
      </c>
      <c r="I39999" s="16" t="n">
        <f aca="false">I40004+I40017+I40030+I40043+I40056+I40069+I40082+I40095+I40108+I40121</f>
        <v>2602.8887587</v>
      </c>
      <c r="J39999" s="16" t="n">
        <f aca="false">J40004+J40017+J40030+J40043+J40056+J40069+J40082+J40095+J40108+J40121</f>
        <v>2598.8887587</v>
      </c>
      <c r="K39999" s="16" t="n">
        <f aca="false">K40004+K40017+K40030+K40043+K40056+K40069+K40082+K40095+K40108+K40121</f>
        <v>2594.8887587</v>
      </c>
    </row>
    <row r="40000" customFormat="false" ht="15" hidden="false" customHeight="false" outlineLevel="0" collapsed="false">
      <c r="A40000" s="3" t="s">
        <v>325</v>
      </c>
      <c r="G40000" s="16" t="n">
        <f aca="false">F40192</f>
        <v>37.87</v>
      </c>
      <c r="H40000" s="16" t="n">
        <f aca="false">G40192</f>
        <v>87.2944416</v>
      </c>
      <c r="I40000" s="16" t="n">
        <f aca="false">H40192</f>
        <v>0</v>
      </c>
      <c r="J40000" s="16" t="n">
        <f aca="false">I40192</f>
        <v>-75.7748017716</v>
      </c>
      <c r="K40000" s="16" t="n">
        <f aca="false">J40192</f>
        <v>-149.05681614325</v>
      </c>
    </row>
    <row r="40001" customFormat="false" ht="15" hidden="false" customHeight="false" outlineLevel="0" collapsed="false">
      <c r="A40001" s="3" t="s">
        <v>326</v>
      </c>
      <c r="G40001" s="16" t="n">
        <f aca="false">G40004*IF(G40005=1,$C$39996,IF(Assumptions!$I$57=1,MAX(G39994,Assumptions!$G$57)+Assumptions!$F$57+$C$39995,Assumptions!$E$57))+G40017*IF(G40018=1,$C$39996,IF(Assumptions!$I$58=1,MAX(G39994,Assumptions!$G$58)+Assumptions!$F$58+$C$39995,Assumptions!$E$58))+G40030*IF(G40031=1,$C$39996,IF(Assumptions!$I$59=1,MAX(G39994,Assumptions!$G$59)+Assumptions!$F$59+$C$39995,Assumptions!$E$59))+G40043*IF(G40044=1,$C$39996,IF(Assumptions!$I$60=1,MAX(G39994,Assumptions!$G$60)+Assumptions!$F$60+$C$39995,Assumptions!$E$60))+G40056*IF(G40057=1,$C$39996,IF(Assumptions!$I$61=1,MAX(G39994,Assumptions!$G$61)+Assumptions!$F$61+$C$39995,Assumptions!$E$61))+G40069*IF(G40070=1,$C$39996,IF(Assumptions!$I$62=1,MAX(G39994,Assumptions!$G$62)+Assumptions!$F$62+$C$39995,Assumptions!$E$62))+G40082*IF(G40083=1,$C$39996,IF(Assumptions!$I$63=1,MAX(G39994,Assumptions!$G$63)+Assumptions!$F$63+$C$39995,Assumptions!$E$63))+G40095*IF(G40096=1,$C$39996,IF(Assumptions!$I$64=1,MAX(G39994,Assumptions!$G$64)+Assumptions!$F$64+$C$39995,Assumptions!$E$64))+G40108*IF(G40109=1,$C$39996,IF(Assumptions!$I$65=1,MAX(G39994,Assumptions!$G$65)+Assumptions!$F$65+$C$39995,Assumptions!$E$65))+G40121*IF(G40122=1,$C$39996,IF(Assumptions!$I$66=1,MAX(G39994,Assumptions!$G$66)+Assumptions!$F$66+$C$39995,Assumptions!$E$66))</f>
        <v>194.5679854</v>
      </c>
      <c r="H40001" s="16" t="n">
        <f aca="false">H40004*IF(OR(H40005=1,G40314=1),$C$39996,IF(Assumptions!$I$57=1,MAX(H39994,Assumptions!$G$57)+Assumptions!$F$57+$C$39995,Assumptions!$E$57))+H40017*IF(OR(H40018=1,G40315=1),$C$39996,IF(Assumptions!$I$58=1,MAX(H39994,Assumptions!$G$58)+Assumptions!$F$58+$C$39995,Assumptions!$E$58))+H40030*IF(OR(H40031=1,G40316=1),$C$39996,IF(Assumptions!$I$59=1,MAX(H39994,Assumptions!$G$59)+Assumptions!$F$59+$C$39995,Assumptions!$E$59))+H40043*IF(OR(H40044=1,G40317=1),$C$39996,IF(Assumptions!$I$60=1,MAX(H39994,Assumptions!$G$60)+Assumptions!$F$60+$C$39995,Assumptions!$E$60))+H40056*IF(OR(H40057=1,G40318=1),$C$39996,IF(Assumptions!$I$61=1,MAX(H39994,Assumptions!$G$61)+Assumptions!$F$61+$C$39995,Assumptions!$E$61))+H40069*IF(OR(H40070=1,G40319=1),$C$39996,IF(Assumptions!$I$62=1,MAX(H39994,Assumptions!$G$62)+Assumptions!$F$62+$C$39995,Assumptions!$E$62))+H40082*IF(OR(H40083=1,G40320=1),$C$39996,IF(Assumptions!$I$63=1,MAX(H39994,Assumptions!$G$63)+Assumptions!$F$63+$C$39995,Assumptions!$E$63))+H40095*IF(OR(H40096=1,G40321=1),$C$39996,IF(Assumptions!$I$64=1,MAX(H39994,Assumptions!$G$64)+Assumptions!$F$64+$C$39995,Assumptions!$E$64))+H40108*IF(OR(H40109=1,G40322=1),$C$39996,IF(Assumptions!$I$65=1,MAX(H39994,Assumptions!$G$65)+Assumptions!$F$65+$C$39995,Assumptions!$E$65))+H40121*IF(OR(H40122=1,G40323=1),$C$39996,IF(Assumptions!$I$66=1,MAX(H39994,Assumptions!$G$66)+Assumptions!$F$66+$C$39995,Assumptions!$E$66))</f>
        <v>242.5450704</v>
      </c>
      <c r="I40001" s="16" t="n">
        <f aca="false">I40004*IF(OR(I40005=1,H40314=1),$C$39996,IF(Assumptions!$I$57=1,MAX(I39994,Assumptions!$G$57)+Assumptions!$F$57+$C$39995,Assumptions!$E$57))+I40017*IF(OR(I40018=1,H40315=1),$C$39996,IF(Assumptions!$I$58=1,MAX(I39994,Assumptions!$G$58)+Assumptions!$F$58+$C$39995,Assumptions!$E$58))+I40030*IF(OR(I40031=1,H40316=1),$C$39996,IF(Assumptions!$I$59=1,MAX(I39994,Assumptions!$G$59)+Assumptions!$F$59+$C$39995,Assumptions!$E$59))+I40043*IF(OR(I40044=1,H40317=1),$C$39996,IF(Assumptions!$I$60=1,MAX(I39994,Assumptions!$G$60)+Assumptions!$F$60+$C$39995,Assumptions!$E$60))+I40056*IF(OR(I40057=1,H40318=1),$C$39996,IF(Assumptions!$I$61=1,MAX(I39994,Assumptions!$G$61)+Assumptions!$F$61+$C$39995,Assumptions!$E$61))+I40069*IF(OR(I40070=1,H40319=1),$C$39996,IF(Assumptions!$I$62=1,MAX(I39994,Assumptions!$G$62)+Assumptions!$F$62+$C$39995,Assumptions!$E$62))+I40082*IF(OR(I40083=1,H40320=1),$C$39996,IF(Assumptions!$I$63=1,MAX(I39994,Assumptions!$G$63)+Assumptions!$F$63+$C$39995,Assumptions!$E$63))+I40095*IF(OR(I40096=1,H40321=1),$C$39996,IF(Assumptions!$I$64=1,MAX(I39994,Assumptions!$G$64)+Assumptions!$F$64+$C$39995,Assumptions!$E$64))+I40108*IF(OR(I40109=1,H40322=1),$C$39996,IF(Assumptions!$I$65=1,MAX(I39994,Assumptions!$G$65)+Assumptions!$F$65+$C$39995,Assumptions!$E$65))+I40121*IF(OR(I40122=1,H40323=1),$C$39996,IF(Assumptions!$I$66=1,MAX(I39994,Assumptions!$G$66)+Assumptions!$F$66+$C$39995,Assumptions!$E$66))</f>
        <v>208.30675836865</v>
      </c>
      <c r="J40001" s="16" t="n">
        <f aca="false">J40004*IF(OR(J40005=1,I40314=1),$C$39996,IF(Assumptions!$I$57=1,MAX(J39994,Assumptions!$G$57)+Assumptions!$F$57+$C$39995,Assumptions!$E$57))+J40017*IF(OR(J40018=1,I40315=1),$C$39996,IF(Assumptions!$I$58=1,MAX(J39994,Assumptions!$G$58)+Assumptions!$F$58+$C$39995,Assumptions!$E$58))+J40030*IF(OR(J40031=1,I40316=1),$C$39996,IF(Assumptions!$I$59=1,MAX(J39994,Assumptions!$G$59)+Assumptions!$F$59+$C$39995,Assumptions!$E$59))+J40043*IF(OR(J40044=1,I40317=1),$C$39996,IF(Assumptions!$I$60=1,MAX(J39994,Assumptions!$G$60)+Assumptions!$F$60+$C$39995,Assumptions!$E$60))+J40056*IF(OR(J40057=1,I40318=1),$C$39996,IF(Assumptions!$I$61=1,MAX(J39994,Assumptions!$G$61)+Assumptions!$F$61+$C$39995,Assumptions!$E$61))+J40069*IF(OR(J40070=1,I40319=1),$C$39996,IF(Assumptions!$I$62=1,MAX(J39994,Assumptions!$G$62)+Assumptions!$F$62+$C$39995,Assumptions!$E$62))+J40082*IF(OR(J40083=1,I40320=1),$C$39996,IF(Assumptions!$I$63=1,MAX(J39994,Assumptions!$G$63)+Assumptions!$F$63+$C$39995,Assumptions!$E$63))+J40095*IF(OR(J40096=1,I40321=1),$C$39996,IF(Assumptions!$I$64=1,MAX(J39994,Assumptions!$G$64)+Assumptions!$F$64+$C$39995,Assumptions!$E$64))+J40108*IF(OR(J40109=1,I40322=1),$C$39996,IF(Assumptions!$I$65=1,MAX(J39994,Assumptions!$G$65)+Assumptions!$F$65+$C$39995,Assumptions!$E$65))+J40121*IF(OR(J40122=1,I40323=1),$C$39996,IF(Assumptions!$I$66=1,MAX(J39994,Assumptions!$G$66)+Assumptions!$F$66+$C$39995,Assumptions!$E$66))</f>
        <v>216.72425836865</v>
      </c>
      <c r="K40001" s="16" t="n">
        <f aca="false">K40004*IF(OR(K40005=1,J40314=1),$C$39996,IF(Assumptions!$I$57=1,MAX(K39994,Assumptions!$G$57)+Assumptions!$F$57+$C$39995,Assumptions!$E$57))+K40017*IF(OR(K40018=1,J40315=1),$C$39996,IF(Assumptions!$I$58=1,MAX(K39994,Assumptions!$G$58)+Assumptions!$F$58+$C$39995,Assumptions!$E$58))+K40030*IF(OR(K40031=1,J40316=1),$C$39996,IF(Assumptions!$I$59=1,MAX(K39994,Assumptions!$G$59)+Assumptions!$F$59+$C$39995,Assumptions!$E$59))+K40043*IF(OR(K40044=1,J40317=1),$C$39996,IF(Assumptions!$I$60=1,MAX(K39994,Assumptions!$G$60)+Assumptions!$F$60+$C$39995,Assumptions!$E$60))+K40056*IF(OR(K40057=1,J40318=1),$C$39996,IF(Assumptions!$I$61=1,MAX(K39994,Assumptions!$G$61)+Assumptions!$F$61+$C$39995,Assumptions!$E$61))+K40069*IF(OR(K40070=1,J40319=1),$C$39996,IF(Assumptions!$I$62=1,MAX(K39994,Assumptions!$G$62)+Assumptions!$F$62+$C$39995,Assumptions!$E$62))+K40082*IF(OR(K40083=1,J40320=1),$C$39996,IF(Assumptions!$I$63=1,MAX(K39994,Assumptions!$G$63)+Assumptions!$F$63+$C$39995,Assumptions!$E$63))+K40095*IF(OR(K40096=1,J40321=1),$C$39996,IF(Assumptions!$I$64=1,MAX(K39994,Assumptions!$G$64)+Assumptions!$F$64+$C$39995,Assumptions!$E$64))+K40108*IF(OR(K40109=1,J40322=1),$C$39996,IF(Assumptions!$I$65=1,MAX(K39994,Assumptions!$G$65)+Assumptions!$F$65+$C$39995,Assumptions!$E$65))+K40121*IF(OR(K40122=1,J40323=1),$C$39996,IF(Assumptions!$I$66=1,MAX(K39994,Assumptions!$G$66)+Assumptions!$F$66+$C$39995,Assumptions!$E$66))</f>
        <v>208.76425836865</v>
      </c>
    </row>
    <row r="40002" customFormat="false" ht="15" hidden="false" customHeight="false" outlineLevel="0" collapsed="false">
      <c r="A40002" s="3" t="s">
        <v>327</v>
      </c>
      <c r="G40002" s="21" t="n">
        <f aca="false">IF(G39978&lt;=0,0,IF(AND((G39999-G40000)/G39978&lt;=$C$39997,G39978/G40001&gt;=$C$39998),1,0))</f>
        <v>0</v>
      </c>
      <c r="H40002" s="21" t="n">
        <f aca="false">IF(H39978&lt;=0,0,IF(AND((H39999-H40000)/H39978&lt;=$C$39997,H39978/H40001&gt;=$C$39998),1,0))</f>
        <v>0</v>
      </c>
      <c r="I40002" s="21" t="n">
        <f aca="false">IF(I39978&lt;=0,0,IF(AND((I39999-I40000)/I39978&lt;=$C$39997,I39978/I40001&gt;=$C$39998),1,0))</f>
        <v>0</v>
      </c>
      <c r="J40002" s="21" t="n">
        <f aca="false">IF(J39978&lt;=0,0,IF(AND((J39999-J40000)/J39978&lt;=$C$39997,J39978/J40001&gt;=$C$39998),1,0))</f>
        <v>0</v>
      </c>
      <c r="K40002" s="21" t="n">
        <f aca="false">IF(K39978&lt;=0,0,IF(AND((K39999-K40000)/K39978&lt;=$C$39997,K39978/K40001&gt;=$C$39998),1,0))</f>
        <v>0</v>
      </c>
    </row>
    <row r="40003" customFormat="false" ht="15" hidden="false" customHeight="false" outlineLevel="0" collapsed="false">
      <c r="A40003" s="24" t="s">
        <v>328</v>
      </c>
      <c r="B40003" s="25"/>
      <c r="C40003" s="25"/>
      <c r="D40003" s="25"/>
      <c r="E40003" s="25"/>
      <c r="F40003" s="25"/>
      <c r="G40003" s="25"/>
      <c r="H40003" s="25"/>
      <c r="I40003" s="25"/>
      <c r="J40003" s="25"/>
      <c r="K40003" s="25"/>
    </row>
    <row r="40004" customFormat="false" ht="15" hidden="false" customHeight="false" outlineLevel="0" collapsed="false">
      <c r="A40004" s="3" t="s">
        <v>329</v>
      </c>
      <c r="G40004" s="16" t="n">
        <f aca="false">F40015</f>
        <v>400</v>
      </c>
      <c r="H40004" s="16" t="n">
        <f aca="false">G40015</f>
        <v>396</v>
      </c>
      <c r="I40004" s="16" t="n">
        <f aca="false">H40015</f>
        <v>392</v>
      </c>
      <c r="J40004" s="16" t="n">
        <f aca="false">I40015</f>
        <v>388</v>
      </c>
      <c r="K40004" s="16" t="n">
        <f aca="false">J40015</f>
        <v>384</v>
      </c>
    </row>
    <row r="40005" customFormat="false" ht="15" hidden="false" customHeight="false" outlineLevel="0" collapsed="false">
      <c r="A40005" s="3" t="s">
        <v>330</v>
      </c>
      <c r="G40005" s="21" t="n">
        <f aca="false">IF(G39968=Assumptions!$K$57,1,0)</f>
        <v>0</v>
      </c>
      <c r="H40005" s="21" t="n">
        <f aca="false">IF(H39968=Assumptions!$K$57,1,0)</f>
        <v>0</v>
      </c>
      <c r="I40005" s="21" t="n">
        <f aca="false">IF(I39968=Assumptions!$K$57,1,0)</f>
        <v>0</v>
      </c>
      <c r="J40005" s="21" t="n">
        <f aca="false">IF(J39968=Assumptions!$K$57,1,0)</f>
        <v>0</v>
      </c>
      <c r="K40005" s="21" t="n">
        <f aca="false">IF(K39968=Assumptions!$K$57,1,0)</f>
        <v>1</v>
      </c>
    </row>
    <row r="40007" customFormat="false" ht="15" hidden="false" customHeight="false" outlineLevel="0" collapsed="false">
      <c r="A40007" s="3" t="s">
        <v>331</v>
      </c>
      <c r="G40007" s="31" t="n">
        <f aca="false">IF(Assumptions!$I$57=1,MAX(G39994,Assumptions!$G$57)+Assumptions!$F$57+$C$39995,Assumptions!$E$57)</f>
        <v>0.1215</v>
      </c>
      <c r="H40007" s="31" t="n">
        <f aca="false">IF(G40314=1,$C$39996,IF(Assumptions!$I$57=1,MAX(H39994,Assumptions!$G$57)+Assumptions!$F$57+$C$39995,Assumptions!$E$57))</f>
        <v>0.12</v>
      </c>
      <c r="I40007" s="31" t="n">
        <f aca="false">IF(H40314=1,$C$39996,IF(Assumptions!$I$57=1,MAX(I39994,Assumptions!$G$57)+Assumptions!$F$57+$C$39995,Assumptions!$E$57))</f>
        <v>0.1175</v>
      </c>
      <c r="J40007" s="31" t="n">
        <f aca="false">IF(I40314=1,$C$39996,IF(Assumptions!$I$57=1,MAX(J39994,Assumptions!$G$57)+Assumptions!$F$57+$C$39995,Assumptions!$E$57))</f>
        <v>0.1175</v>
      </c>
      <c r="K40007" s="31" t="n">
        <f aca="false">IF(J40314=1,$C$39996,IF(Assumptions!$I$57=1,MAX(K39994,Assumptions!$G$57)+Assumptions!$F$57+$C$39995,Assumptions!$E$57))</f>
        <v>0.1175</v>
      </c>
    </row>
    <row r="40008" customFormat="false" ht="15" hidden="false" customHeight="false" outlineLevel="0" collapsed="false">
      <c r="A40008" s="3" t="s">
        <v>332</v>
      </c>
      <c r="G40008" s="16" t="n">
        <f aca="false">G40004*G40007</f>
        <v>48.6</v>
      </c>
      <c r="H40008" s="16" t="n">
        <f aca="false">H40004*H40007</f>
        <v>47.52</v>
      </c>
      <c r="I40008" s="16" t="n">
        <f aca="false">I40004*I40007</f>
        <v>46.06</v>
      </c>
      <c r="J40008" s="16" t="n">
        <f aca="false">J40004*J40007</f>
        <v>45.59</v>
      </c>
      <c r="K40008" s="16" t="n">
        <f aca="false">K40004*K40007</f>
        <v>45.12</v>
      </c>
    </row>
    <row r="40009" customFormat="false" ht="15" hidden="false" customHeight="false" outlineLevel="0" collapsed="false">
      <c r="A40009" s="3" t="s">
        <v>333</v>
      </c>
      <c r="G40009" s="16" t="n">
        <f aca="false">G40004*Assumptions!$H$57</f>
        <v>0</v>
      </c>
      <c r="H40009" s="16" t="n">
        <f aca="false">H40004*Assumptions!$H$57</f>
        <v>0</v>
      </c>
      <c r="I40009" s="16" t="n">
        <f aca="false">I40004*Assumptions!$H$57</f>
        <v>0</v>
      </c>
      <c r="J40009" s="16" t="n">
        <f aca="false">J40004*Assumptions!$H$57</f>
        <v>0</v>
      </c>
      <c r="K40009" s="16" t="n">
        <f aca="false">K40004*Assumptions!$H$57</f>
        <v>0</v>
      </c>
    </row>
    <row r="40010" customFormat="false" ht="15" hidden="false" customHeight="false" outlineLevel="0" collapsed="false">
      <c r="A40010" s="3" t="s">
        <v>334</v>
      </c>
      <c r="G40010" s="16" t="n">
        <f aca="false">MIN(G40004,Assumptions!$L$57*Assumptions!$C$57)</f>
        <v>4</v>
      </c>
      <c r="H40010" s="16" t="n">
        <f aca="false">MIN(H40004,Assumptions!$L$57*Assumptions!$C$57)</f>
        <v>4</v>
      </c>
      <c r="I40010" s="16" t="n">
        <f aca="false">MIN(I40004,Assumptions!$L$57*Assumptions!$C$57)</f>
        <v>4</v>
      </c>
      <c r="J40010" s="16" t="n">
        <f aca="false">MIN(J40004,Assumptions!$L$57*Assumptions!$C$57)</f>
        <v>4</v>
      </c>
      <c r="K40010" s="16" t="n">
        <f aca="false">MIN(K40004,Assumptions!$L$57*Assumptions!$C$57)</f>
        <v>4</v>
      </c>
    </row>
    <row r="40011" customFormat="false" ht="15" hidden="false" customHeight="false" outlineLevel="0" collapsed="false">
      <c r="A40011" s="3" t="s">
        <v>335</v>
      </c>
      <c r="G40011" s="16" t="n">
        <f aca="false">IF(AND(Assumptions!$P$57=1,G39968&lt;Assumptions!$K$57),MIN(MAX(0,-G40184),MAX(0,Assumptions!$D$57-G40004)),0)</f>
        <v>0</v>
      </c>
      <c r="H40011" s="16" t="n">
        <f aca="false">IF(AND(Assumptions!$P$57=1,OR(H39968&lt;Assumptions!$K$57,G40314=1)),MIN(MAX(0,-H40184),MAX(0,Assumptions!$D$57-H40004)),0)</f>
        <v>0</v>
      </c>
      <c r="I40011" s="16" t="n">
        <f aca="false">IF(AND(Assumptions!$P$57=1,OR(I39968&lt;Assumptions!$K$57,H40314=1)),MIN(MAX(0,-I40184),MAX(0,Assumptions!$D$57-I40004)),0)</f>
        <v>0</v>
      </c>
      <c r="J40011" s="16" t="n">
        <f aca="false">IF(AND(Assumptions!$P$57=1,OR(J39968&lt;Assumptions!$K$57,I40314=1)),MIN(MAX(0,-J40184),MAX(0,Assumptions!$D$57-J40004)),0)</f>
        <v>0</v>
      </c>
      <c r="K40011" s="16" t="n">
        <f aca="false">IF(AND(Assumptions!$P$57=1,OR(K39968&lt;Assumptions!$K$57,J40314=1)),MIN(MAX(0,-K40184),MAX(0,Assumptions!$D$57-K40004)),0)</f>
        <v>0</v>
      </c>
    </row>
    <row r="40012" customFormat="false" ht="15" hidden="false" customHeight="false" outlineLevel="0" collapsed="false">
      <c r="A40012" s="3" t="s">
        <v>336</v>
      </c>
      <c r="G40012" s="16" t="n">
        <f aca="false">G40005*MIN(G40004-G40010+G40009,MAX(0,G40186-Assumptions!$C$12*G40002))</f>
        <v>0</v>
      </c>
      <c r="H40012" s="16" t="n">
        <f aca="false">H40005*MIN(H40004-H40010+H40009,MAX(0,H40186-Assumptions!$C$12*H40002))</f>
        <v>0</v>
      </c>
      <c r="I40012" s="16" t="n">
        <f aca="false">I40005*MIN(I40004-I40010+I40009,MAX(0,I40186-Assumptions!$C$12*I40002))</f>
        <v>0</v>
      </c>
      <c r="J40012" s="16" t="n">
        <f aca="false">J40005*MIN(J40004-J40010+J40009,MAX(0,J40186-Assumptions!$C$12*J40002))</f>
        <v>0</v>
      </c>
      <c r="K40012" s="16" t="n">
        <f aca="false">K40005*MIN(K40004-K40010+K40009,MAX(0,K40186-Assumptions!$C$12*K40002))</f>
        <v>0</v>
      </c>
    </row>
    <row r="40013" customFormat="false" ht="15" hidden="false" customHeight="false" outlineLevel="0" collapsed="false">
      <c r="A40013" s="3" t="s">
        <v>337</v>
      </c>
      <c r="G40013" s="16" t="n">
        <f aca="false">Assumptions!$N$57*MIN(G40004+G40011+G40009-G40010-G40012,MAX(0,G40190))</f>
        <v>0</v>
      </c>
      <c r="H40013" s="16" t="n">
        <f aca="false">Assumptions!$N$57*MIN(H40004+H40011+H40009-H40010-H40012,MAX(0,H40190))</f>
        <v>0</v>
      </c>
      <c r="I40013" s="16" t="n">
        <f aca="false">Assumptions!$N$57*MIN(I40004+I40011+I40009-I40010-I40012,MAX(0,I40190))</f>
        <v>0</v>
      </c>
      <c r="J40013" s="16" t="n">
        <f aca="false">Assumptions!$N$57*MIN(J40004+J40011+J40009-J40010-J40012,MAX(0,J40190))</f>
        <v>0</v>
      </c>
      <c r="K40013" s="16" t="n">
        <f aca="false">Assumptions!$N$57*MIN(K40004+K40011+K40009-K40010-K40012,MAX(0,K40190))</f>
        <v>0</v>
      </c>
    </row>
    <row r="40014" customFormat="false" ht="15" hidden="false" customHeight="false" outlineLevel="0" collapsed="false">
      <c r="A40014" s="3" t="s">
        <v>338</v>
      </c>
      <c r="G40014" s="16" t="n">
        <f aca="false">G40005*(1-G40002)*(G40004-G40010+G40009-G40012)</f>
        <v>0</v>
      </c>
      <c r="H40014" s="16" t="n">
        <f aca="false">H40005*(1-H40002)*(H40004-H40010+H40009-H40012)</f>
        <v>0</v>
      </c>
      <c r="I40014" s="16" t="n">
        <f aca="false">I40005*(1-I40002)*(I40004-I40010+I40009-I40012)</f>
        <v>0</v>
      </c>
      <c r="J40014" s="16" t="n">
        <f aca="false">J40005*(1-J40002)*(J40004-J40010+J40009-J40012)</f>
        <v>0</v>
      </c>
      <c r="K40014" s="16" t="n">
        <f aca="false">K40005*(1-K40002)*(K40004-K40010+K40009-K40012)</f>
        <v>380</v>
      </c>
    </row>
    <row r="40015" customFormat="false" ht="15" hidden="false" customHeight="false" outlineLevel="0" collapsed="false">
      <c r="A40015" s="2" t="s">
        <v>339</v>
      </c>
      <c r="F40015" s="28" t="n">
        <f aca="false">Assumptions!$C$57</f>
        <v>400</v>
      </c>
      <c r="G40015" s="17" t="n">
        <f aca="false">G40004+G40011+G40009-G40010-G40012-G40013</f>
        <v>396</v>
      </c>
      <c r="H40015" s="17" t="n">
        <f aca="false">H40004+H40011+H40009-H40010-H40012-H40013</f>
        <v>392</v>
      </c>
      <c r="I40015" s="17" t="n">
        <f aca="false">I40004+I40011+I40009-I40010-I40012-I40013</f>
        <v>388</v>
      </c>
      <c r="J40015" s="17" t="n">
        <f aca="false">J40004+J40011+J40009-J40010-J40012-J40013</f>
        <v>384</v>
      </c>
      <c r="K40015" s="17" t="n">
        <f aca="false">K40004+K40011+K40009-K40010-K40012-K40013</f>
        <v>380</v>
      </c>
    </row>
    <row r="40016" customFormat="false" ht="15" hidden="false" customHeight="false" outlineLevel="0" collapsed="false">
      <c r="A40016" s="24" t="s">
        <v>340</v>
      </c>
      <c r="B40016" s="25"/>
      <c r="C40016" s="25"/>
      <c r="D40016" s="25"/>
      <c r="E40016" s="25"/>
      <c r="F40016" s="25"/>
      <c r="G40016" s="25"/>
      <c r="H40016" s="25"/>
      <c r="I40016" s="25"/>
      <c r="J40016" s="25"/>
      <c r="K40016" s="25"/>
    </row>
    <row r="40017" customFormat="false" ht="15" hidden="false" customHeight="false" outlineLevel="0" collapsed="false">
      <c r="A40017" s="3" t="s">
        <v>329</v>
      </c>
      <c r="G40017" s="16" t="n">
        <f aca="false">F40028</f>
        <v>90</v>
      </c>
      <c r="H40017" s="16" t="n">
        <f aca="false">G40028</f>
        <v>90</v>
      </c>
      <c r="I40017" s="16" t="n">
        <f aca="false">H40028</f>
        <v>90</v>
      </c>
      <c r="J40017" s="16" t="n">
        <f aca="false">I40028</f>
        <v>90</v>
      </c>
      <c r="K40017" s="16" t="n">
        <f aca="false">J40028</f>
        <v>90</v>
      </c>
    </row>
    <row r="40018" customFormat="false" ht="15" hidden="false" customHeight="false" outlineLevel="0" collapsed="false">
      <c r="A40018" s="3" t="s">
        <v>330</v>
      </c>
      <c r="G40018" s="21" t="n">
        <f aca="false">IF(G39968=Assumptions!$K$58,1,0)</f>
        <v>0</v>
      </c>
      <c r="H40018" s="21" t="n">
        <f aca="false">IF(H39968=Assumptions!$K$58,1,0)</f>
        <v>0</v>
      </c>
      <c r="I40018" s="21" t="n">
        <f aca="false">IF(I39968=Assumptions!$K$58,1,0)</f>
        <v>0</v>
      </c>
      <c r="J40018" s="21" t="n">
        <f aca="false">IF(J39968=Assumptions!$K$58,1,0)</f>
        <v>0</v>
      </c>
      <c r="K40018" s="21" t="n">
        <f aca="false">IF(K39968=Assumptions!$K$58,1,0)</f>
        <v>0</v>
      </c>
    </row>
    <row r="40020" customFormat="false" ht="15" hidden="false" customHeight="false" outlineLevel="0" collapsed="false">
      <c r="A40020" s="3" t="s">
        <v>331</v>
      </c>
      <c r="G40020" s="31" t="n">
        <f aca="false">IF(Assumptions!$I$58=1,MAX(G39994,Assumptions!$G$58)+Assumptions!$F$58+$C$39995,Assumptions!$E$58)</f>
        <v>0.0581</v>
      </c>
      <c r="H40020" s="31" t="n">
        <f aca="false">IF(G40315=1,$C$39996,IF(Assumptions!$I$58=1,MAX(H39994,Assumptions!$G$58)+Assumptions!$F$58+$C$39995,Assumptions!$E$58))</f>
        <v>0.0581</v>
      </c>
      <c r="I40020" s="31" t="n">
        <f aca="false">IF(H40315=1,$C$39996,IF(Assumptions!$I$58=1,MAX(I39994,Assumptions!$G$58)+Assumptions!$F$58+$C$39995,Assumptions!$E$58))</f>
        <v>0.0581</v>
      </c>
      <c r="J40020" s="31" t="n">
        <f aca="false">IF(I40315=1,$C$39996,IF(Assumptions!$I$58=1,MAX(J39994,Assumptions!$G$58)+Assumptions!$F$58+$C$39995,Assumptions!$E$58))</f>
        <v>0.0581</v>
      </c>
      <c r="K40020" s="31" t="n">
        <f aca="false">IF(J40315=1,$C$39996,IF(Assumptions!$I$58=1,MAX(K39994,Assumptions!$G$58)+Assumptions!$F$58+$C$39995,Assumptions!$E$58))</f>
        <v>0.0581</v>
      </c>
    </row>
    <row r="40021" customFormat="false" ht="15" hidden="false" customHeight="false" outlineLevel="0" collapsed="false">
      <c r="A40021" s="3" t="s">
        <v>332</v>
      </c>
      <c r="G40021" s="16" t="n">
        <f aca="false">G40017*G40020</f>
        <v>5.229</v>
      </c>
      <c r="H40021" s="16" t="n">
        <f aca="false">H40017*H40020</f>
        <v>5.229</v>
      </c>
      <c r="I40021" s="16" t="n">
        <f aca="false">I40017*I40020</f>
        <v>5.229</v>
      </c>
      <c r="J40021" s="16" t="n">
        <f aca="false">J40017*J40020</f>
        <v>5.229</v>
      </c>
      <c r="K40021" s="16" t="n">
        <f aca="false">K40017*K40020</f>
        <v>5.229</v>
      </c>
    </row>
    <row r="40022" customFormat="false" ht="15" hidden="false" customHeight="false" outlineLevel="0" collapsed="false">
      <c r="A40022" s="3" t="s">
        <v>333</v>
      </c>
      <c r="G40022" s="16" t="n">
        <f aca="false">G40017*Assumptions!$H$58</f>
        <v>0</v>
      </c>
      <c r="H40022" s="16" t="n">
        <f aca="false">H40017*Assumptions!$H$58</f>
        <v>0</v>
      </c>
      <c r="I40022" s="16" t="n">
        <f aca="false">I40017*Assumptions!$H$58</f>
        <v>0</v>
      </c>
      <c r="J40022" s="16" t="n">
        <f aca="false">J40017*Assumptions!$H$58</f>
        <v>0</v>
      </c>
      <c r="K40022" s="16" t="n">
        <f aca="false">K40017*Assumptions!$H$58</f>
        <v>0</v>
      </c>
    </row>
    <row r="40023" customFormat="false" ht="15" hidden="false" customHeight="false" outlineLevel="0" collapsed="false">
      <c r="A40023" s="3" t="s">
        <v>334</v>
      </c>
      <c r="G40023" s="16" t="n">
        <f aca="false">MIN(G40017,Assumptions!$L$58*Assumptions!$C$58)</f>
        <v>0</v>
      </c>
      <c r="H40023" s="16" t="n">
        <f aca="false">MIN(H40017,Assumptions!$L$58*Assumptions!$C$58)</f>
        <v>0</v>
      </c>
      <c r="I40023" s="16" t="n">
        <f aca="false">MIN(I40017,Assumptions!$L$58*Assumptions!$C$58)</f>
        <v>0</v>
      </c>
      <c r="J40023" s="16" t="n">
        <f aca="false">MIN(J40017,Assumptions!$L$58*Assumptions!$C$58)</f>
        <v>0</v>
      </c>
      <c r="K40023" s="16" t="n">
        <f aca="false">MIN(K40017,Assumptions!$L$58*Assumptions!$C$58)</f>
        <v>0</v>
      </c>
    </row>
    <row r="40024" customFormat="false" ht="15" hidden="false" customHeight="false" outlineLevel="0" collapsed="false">
      <c r="A40024" s="3" t="s">
        <v>335</v>
      </c>
      <c r="G40024" s="16" t="n">
        <f aca="false">IF(AND(Assumptions!$P$58=1,G39968&lt;Assumptions!$K$58),MIN(MAX(0,-G40184),MAX(0,Assumptions!$D$58-G40017)),0)</f>
        <v>0</v>
      </c>
      <c r="H40024" s="16" t="n">
        <f aca="false">IF(AND(Assumptions!$P$58=1,OR(H39968&lt;Assumptions!$K$58,G40315=1)),MIN(MAX(0,-H40184),MAX(0,Assumptions!$D$58-H40017)),0)</f>
        <v>0</v>
      </c>
      <c r="I40024" s="16" t="n">
        <f aca="false">IF(AND(Assumptions!$P$58=1,OR(I39968&lt;Assumptions!$K$58,H40315=1)),MIN(MAX(0,-I40184),MAX(0,Assumptions!$D$58-I40017)),0)</f>
        <v>0</v>
      </c>
      <c r="J40024" s="16" t="n">
        <f aca="false">IF(AND(Assumptions!$P$58=1,OR(J39968&lt;Assumptions!$K$58,I40315=1)),MIN(MAX(0,-J40184),MAX(0,Assumptions!$D$58-J40017)),0)</f>
        <v>0</v>
      </c>
      <c r="K40024" s="16" t="n">
        <f aca="false">IF(AND(Assumptions!$P$58=1,OR(K39968&lt;Assumptions!$K$58,J40315=1)),MIN(MAX(0,-K40184),MAX(0,Assumptions!$D$58-K40017)),0)</f>
        <v>0</v>
      </c>
    </row>
    <row r="40025" customFormat="false" ht="15" hidden="false" customHeight="false" outlineLevel="0" collapsed="false">
      <c r="A40025" s="3" t="s">
        <v>336</v>
      </c>
      <c r="G40025" s="16" t="n">
        <f aca="false">G40018*MIN(G40017-G40023+G40022,MAX(0,G40186-Assumptions!$C$12*G40002-G40012))</f>
        <v>0</v>
      </c>
      <c r="H40025" s="16" t="n">
        <f aca="false">H40018*MIN(H40017-H40023+H40022,MAX(0,H40186-Assumptions!$C$12*H40002-H40012))</f>
        <v>0</v>
      </c>
      <c r="I40025" s="16" t="n">
        <f aca="false">I40018*MIN(I40017-I40023+I40022,MAX(0,I40186-Assumptions!$C$12*I40002-I40012))</f>
        <v>0</v>
      </c>
      <c r="J40025" s="16" t="n">
        <f aca="false">J40018*MIN(J40017-J40023+J40022,MAX(0,J40186-Assumptions!$C$12*J40002-J40012))</f>
        <v>0</v>
      </c>
      <c r="K40025" s="16" t="n">
        <f aca="false">K40018*MIN(K40017-K40023+K40022,MAX(0,K40186-Assumptions!$C$12*K40002-K40012))</f>
        <v>0</v>
      </c>
    </row>
    <row r="40026" customFormat="false" ht="15" hidden="false" customHeight="false" outlineLevel="0" collapsed="false">
      <c r="A40026" s="3" t="s">
        <v>337</v>
      </c>
      <c r="G40026" s="16" t="n">
        <f aca="false">Assumptions!$N$58*MIN(G40017+G40024+G40022-G40023-G40025,MAX(0,G40190-G40013))</f>
        <v>0</v>
      </c>
      <c r="H40026" s="16" t="n">
        <f aca="false">Assumptions!$N$58*MIN(H40017+H40024+H40022-H40023-H40025,MAX(0,H40190-H40013))</f>
        <v>0</v>
      </c>
      <c r="I40026" s="16" t="n">
        <f aca="false">Assumptions!$N$58*MIN(I40017+I40024+I40022-I40023-I40025,MAX(0,I40190-I40013))</f>
        <v>0</v>
      </c>
      <c r="J40026" s="16" t="n">
        <f aca="false">Assumptions!$N$58*MIN(J40017+J40024+J40022-J40023-J40025,MAX(0,J40190-J40013))</f>
        <v>0</v>
      </c>
      <c r="K40026" s="16" t="n">
        <f aca="false">Assumptions!$N$58*MIN(K40017+K40024+K40022-K40023-K40025,MAX(0,K40190-K40013))</f>
        <v>0</v>
      </c>
    </row>
    <row r="40027" customFormat="false" ht="15" hidden="false" customHeight="false" outlineLevel="0" collapsed="false">
      <c r="A40027" s="3" t="s">
        <v>338</v>
      </c>
      <c r="G40027" s="16" t="n">
        <f aca="false">G40018*(1-G40002)*(G40017-G40023+G40022-G40025)</f>
        <v>0</v>
      </c>
      <c r="H40027" s="16" t="n">
        <f aca="false">H40018*(1-H40002)*(H40017-H40023+H40022-H40025)</f>
        <v>0</v>
      </c>
      <c r="I40027" s="16" t="n">
        <f aca="false">I40018*(1-I40002)*(I40017-I40023+I40022-I40025)</f>
        <v>0</v>
      </c>
      <c r="J40027" s="16" t="n">
        <f aca="false">J40018*(1-J40002)*(J40017-J40023+J40022-J40025)</f>
        <v>0</v>
      </c>
      <c r="K40027" s="16" t="n">
        <f aca="false">K40018*(1-K40002)*(K40017-K40023+K40022-K40025)</f>
        <v>0</v>
      </c>
    </row>
    <row r="40028" customFormat="false" ht="15" hidden="false" customHeight="false" outlineLevel="0" collapsed="false">
      <c r="A40028" s="2" t="s">
        <v>339</v>
      </c>
      <c r="F40028" s="28" t="n">
        <f aca="false">Assumptions!$C$58</f>
        <v>90</v>
      </c>
      <c r="G40028" s="17" t="n">
        <f aca="false">G40017+G40024+G40022-G40023-G40025-G40026</f>
        <v>90</v>
      </c>
      <c r="H40028" s="17" t="n">
        <f aca="false">H40017+H40024+H40022-H40023-H40025-H40026</f>
        <v>90</v>
      </c>
      <c r="I40028" s="17" t="n">
        <f aca="false">I40017+I40024+I40022-I40023-I40025-I40026</f>
        <v>90</v>
      </c>
      <c r="J40028" s="17" t="n">
        <f aca="false">J40017+J40024+J40022-J40023-J40025-J40026</f>
        <v>90</v>
      </c>
      <c r="K40028" s="17" t="n">
        <f aca="false">K40017+K40024+K40022-K40023-K40025-K40026</f>
        <v>90</v>
      </c>
    </row>
    <row r="40029" customFormat="false" ht="15" hidden="false" customHeight="false" outlineLevel="0" collapsed="false">
      <c r="A40029" s="24" t="s">
        <v>341</v>
      </c>
      <c r="B40029" s="25"/>
      <c r="C40029" s="25"/>
      <c r="D40029" s="25"/>
      <c r="E40029" s="25"/>
      <c r="F40029" s="25"/>
      <c r="G40029" s="25"/>
      <c r="H40029" s="25"/>
      <c r="I40029" s="25"/>
      <c r="J40029" s="25"/>
      <c r="K40029" s="25"/>
    </row>
    <row r="40030" customFormat="false" ht="15" hidden="false" customHeight="false" outlineLevel="0" collapsed="false">
      <c r="A40030" s="3" t="s">
        <v>329</v>
      </c>
      <c r="G40030" s="16" t="n">
        <f aca="false">F40041</f>
        <v>57.324</v>
      </c>
      <c r="H40030" s="16" t="n">
        <f aca="false">G40041</f>
        <v>57.324</v>
      </c>
      <c r="I40030" s="16" t="n">
        <f aca="false">H40041</f>
        <v>57.324</v>
      </c>
      <c r="J40030" s="16" t="n">
        <f aca="false">I40041</f>
        <v>57.324</v>
      </c>
      <c r="K40030" s="16" t="n">
        <f aca="false">J40041</f>
        <v>57.324</v>
      </c>
    </row>
    <row r="40031" customFormat="false" ht="15" hidden="false" customHeight="false" outlineLevel="0" collapsed="false">
      <c r="A40031" s="3" t="s">
        <v>330</v>
      </c>
      <c r="G40031" s="21" t="n">
        <f aca="false">IF(G39968=Assumptions!$K$59,1,0)</f>
        <v>0</v>
      </c>
      <c r="H40031" s="21" t="n">
        <f aca="false">IF(H39968=Assumptions!$K$59,1,0)</f>
        <v>0</v>
      </c>
      <c r="I40031" s="21" t="n">
        <f aca="false">IF(I39968=Assumptions!$K$59,1,0)</f>
        <v>0</v>
      </c>
      <c r="J40031" s="21" t="n">
        <f aca="false">IF(J39968=Assumptions!$K$59,1,0)</f>
        <v>0</v>
      </c>
      <c r="K40031" s="21" t="n">
        <f aca="false">IF(K39968=Assumptions!$K$59,1,0)</f>
        <v>0</v>
      </c>
    </row>
    <row r="40033" customFormat="false" ht="15" hidden="false" customHeight="false" outlineLevel="0" collapsed="false">
      <c r="A40033" s="3" t="s">
        <v>331</v>
      </c>
      <c r="G40033" s="31" t="n">
        <f aca="false">IF(Assumptions!$I$59=1,MAX(G39994,Assumptions!$G$59)+Assumptions!$F$59+$C$39995,Assumptions!$E$59)</f>
        <v>0.0731</v>
      </c>
      <c r="H40033" s="31" t="n">
        <f aca="false">IF(G40316=1,$C$39996,IF(Assumptions!$I$59=1,MAX(H39994,Assumptions!$G$59)+Assumptions!$F$59+$C$39995,Assumptions!$E$59))</f>
        <v>0.0731</v>
      </c>
      <c r="I40033" s="31" t="n">
        <f aca="false">IF(H40316=1,$C$39996,IF(Assumptions!$I$59=1,MAX(I39994,Assumptions!$G$59)+Assumptions!$F$59+$C$39995,Assumptions!$E$59))</f>
        <v>0.0731</v>
      </c>
      <c r="J40033" s="31" t="n">
        <f aca="false">IF(I40316=1,$C$39996,IF(Assumptions!$I$59=1,MAX(J39994,Assumptions!$G$59)+Assumptions!$F$59+$C$39995,Assumptions!$E$59))</f>
        <v>0.0731</v>
      </c>
      <c r="K40033" s="31" t="n">
        <f aca="false">IF(J40316=1,$C$39996,IF(Assumptions!$I$59=1,MAX(K39994,Assumptions!$G$59)+Assumptions!$F$59+$C$39995,Assumptions!$E$59))</f>
        <v>0.0731</v>
      </c>
    </row>
    <row r="40034" customFormat="false" ht="15" hidden="false" customHeight="false" outlineLevel="0" collapsed="false">
      <c r="A40034" s="3" t="s">
        <v>332</v>
      </c>
      <c r="G40034" s="16" t="n">
        <f aca="false">G40030*G40033</f>
        <v>4.1903844</v>
      </c>
      <c r="H40034" s="16" t="n">
        <f aca="false">H40030*H40033</f>
        <v>4.1903844</v>
      </c>
      <c r="I40034" s="16" t="n">
        <f aca="false">I40030*I40033</f>
        <v>4.1903844</v>
      </c>
      <c r="J40034" s="16" t="n">
        <f aca="false">J40030*J40033</f>
        <v>4.1903844</v>
      </c>
      <c r="K40034" s="16" t="n">
        <f aca="false">K40030*K40033</f>
        <v>4.1903844</v>
      </c>
    </row>
    <row r="40035" customFormat="false" ht="15" hidden="false" customHeight="false" outlineLevel="0" collapsed="false">
      <c r="A40035" s="3" t="s">
        <v>333</v>
      </c>
      <c r="G40035" s="16" t="n">
        <f aca="false">G40030*Assumptions!$H$59</f>
        <v>0</v>
      </c>
      <c r="H40035" s="16" t="n">
        <f aca="false">H40030*Assumptions!$H$59</f>
        <v>0</v>
      </c>
      <c r="I40035" s="16" t="n">
        <f aca="false">I40030*Assumptions!$H$59</f>
        <v>0</v>
      </c>
      <c r="J40035" s="16" t="n">
        <f aca="false">J40030*Assumptions!$H$59</f>
        <v>0</v>
      </c>
      <c r="K40035" s="16" t="n">
        <f aca="false">K40030*Assumptions!$H$59</f>
        <v>0</v>
      </c>
    </row>
    <row r="40036" customFormat="false" ht="15" hidden="false" customHeight="false" outlineLevel="0" collapsed="false">
      <c r="A40036" s="3" t="s">
        <v>334</v>
      </c>
      <c r="G40036" s="16" t="n">
        <f aca="false">MIN(G40030,Assumptions!$L$59*Assumptions!$C$59)</f>
        <v>0</v>
      </c>
      <c r="H40036" s="16" t="n">
        <f aca="false">MIN(H40030,Assumptions!$L$59*Assumptions!$C$59)</f>
        <v>0</v>
      </c>
      <c r="I40036" s="16" t="n">
        <f aca="false">MIN(I40030,Assumptions!$L$59*Assumptions!$C$59)</f>
        <v>0</v>
      </c>
      <c r="J40036" s="16" t="n">
        <f aca="false">MIN(J40030,Assumptions!$L$59*Assumptions!$C$59)</f>
        <v>0</v>
      </c>
      <c r="K40036" s="16" t="n">
        <f aca="false">MIN(K40030,Assumptions!$L$59*Assumptions!$C$59)</f>
        <v>0</v>
      </c>
    </row>
    <row r="40037" customFormat="false" ht="15" hidden="false" customHeight="false" outlineLevel="0" collapsed="false">
      <c r="A40037" s="3" t="s">
        <v>335</v>
      </c>
      <c r="G40037" s="16" t="n">
        <f aca="false">IF(AND(Assumptions!$P$59=1,G39968&lt;Assumptions!$K$59),MIN(MAX(0,-G40184),MAX(0,Assumptions!$D$59-G40030)),0)</f>
        <v>0</v>
      </c>
      <c r="H40037" s="16" t="n">
        <f aca="false">IF(AND(Assumptions!$P$59=1,OR(H39968&lt;Assumptions!$K$59,G40316=1)),MIN(MAX(0,-H40184),MAX(0,Assumptions!$D$59-H40030)),0)</f>
        <v>0</v>
      </c>
      <c r="I40037" s="16" t="n">
        <f aca="false">IF(AND(Assumptions!$P$59=1,OR(I39968&lt;Assumptions!$K$59,H40316=1)),MIN(MAX(0,-I40184),MAX(0,Assumptions!$D$59-I40030)),0)</f>
        <v>0</v>
      </c>
      <c r="J40037" s="16" t="n">
        <f aca="false">IF(AND(Assumptions!$P$59=1,OR(J39968&lt;Assumptions!$K$59,I40316=1)),MIN(MAX(0,-J40184),MAX(0,Assumptions!$D$59-J40030)),0)</f>
        <v>0</v>
      </c>
      <c r="K40037" s="16" t="n">
        <f aca="false">IF(AND(Assumptions!$P$59=1,OR(K39968&lt;Assumptions!$K$59,J40316=1)),MIN(MAX(0,-K40184),MAX(0,Assumptions!$D$59-K40030)),0)</f>
        <v>0</v>
      </c>
    </row>
    <row r="40038" customFormat="false" ht="15" hidden="false" customHeight="false" outlineLevel="0" collapsed="false">
      <c r="A40038" s="3" t="s">
        <v>336</v>
      </c>
      <c r="G40038" s="16" t="n">
        <f aca="false">G40031*MIN(G40030-G40036+G40035,MAX(0,G40186-Assumptions!$C$12*G40002-G40012-G40025))</f>
        <v>0</v>
      </c>
      <c r="H40038" s="16" t="n">
        <f aca="false">H40031*MIN(H40030-H40036+H40035,MAX(0,H40186-Assumptions!$C$12*H40002-H40012-H40025))</f>
        <v>0</v>
      </c>
      <c r="I40038" s="16" t="n">
        <f aca="false">I40031*MIN(I40030-I40036+I40035,MAX(0,I40186-Assumptions!$C$12*I40002-I40012-I40025))</f>
        <v>0</v>
      </c>
      <c r="J40038" s="16" t="n">
        <f aca="false">J40031*MIN(J40030-J40036+J40035,MAX(0,J40186-Assumptions!$C$12*J40002-J40012-J40025))</f>
        <v>0</v>
      </c>
      <c r="K40038" s="16" t="n">
        <f aca="false">K40031*MIN(K40030-K40036+K40035,MAX(0,K40186-Assumptions!$C$12*K40002-K40012-K40025))</f>
        <v>0</v>
      </c>
    </row>
    <row r="40039" customFormat="false" ht="15" hidden="false" customHeight="false" outlineLevel="0" collapsed="false">
      <c r="A40039" s="3" t="s">
        <v>337</v>
      </c>
      <c r="G40039" s="16" t="n">
        <f aca="false">Assumptions!$N$59*MIN(G40030+G40037+G40035-G40036-G40038,MAX(0,G40190-G40013-G40026))</f>
        <v>0</v>
      </c>
      <c r="H40039" s="16" t="n">
        <f aca="false">Assumptions!$N$59*MIN(H40030+H40037+H40035-H40036-H40038,MAX(0,H40190-H40013-H40026))</f>
        <v>0</v>
      </c>
      <c r="I40039" s="16" t="n">
        <f aca="false">Assumptions!$N$59*MIN(I40030+I40037+I40035-I40036-I40038,MAX(0,I40190-I40013-I40026))</f>
        <v>0</v>
      </c>
      <c r="J40039" s="16" t="n">
        <f aca="false">Assumptions!$N$59*MIN(J40030+J40037+J40035-J40036-J40038,MAX(0,J40190-J40013-J40026))</f>
        <v>0</v>
      </c>
      <c r="K40039" s="16" t="n">
        <f aca="false">Assumptions!$N$59*MIN(K40030+K40037+K40035-K40036-K40038,MAX(0,K40190-K40013-K40026))</f>
        <v>0</v>
      </c>
    </row>
    <row r="40040" customFormat="false" ht="15" hidden="false" customHeight="false" outlineLevel="0" collapsed="false">
      <c r="A40040" s="3" t="s">
        <v>338</v>
      </c>
      <c r="G40040" s="16" t="n">
        <f aca="false">G40031*(1-G40002)*(G40030-G40036+G40035-G40038)</f>
        <v>0</v>
      </c>
      <c r="H40040" s="16" t="n">
        <f aca="false">H40031*(1-H40002)*(H40030-H40036+H40035-H40038)</f>
        <v>0</v>
      </c>
      <c r="I40040" s="16" t="n">
        <f aca="false">I40031*(1-I40002)*(I40030-I40036+I40035-I40038)</f>
        <v>0</v>
      </c>
      <c r="J40040" s="16" t="n">
        <f aca="false">J40031*(1-J40002)*(J40030-J40036+J40035-J40038)</f>
        <v>0</v>
      </c>
      <c r="K40040" s="16" t="n">
        <f aca="false">K40031*(1-K40002)*(K40030-K40036+K40035-K40038)</f>
        <v>0</v>
      </c>
    </row>
    <row r="40041" customFormat="false" ht="15" hidden="false" customHeight="false" outlineLevel="0" collapsed="false">
      <c r="A40041" s="2" t="s">
        <v>339</v>
      </c>
      <c r="F40041" s="28" t="n">
        <f aca="false">Assumptions!$C$59</f>
        <v>57.324</v>
      </c>
      <c r="G40041" s="17" t="n">
        <f aca="false">G40030+G40037+G40035-G40036-G40038-G40039</f>
        <v>57.324</v>
      </c>
      <c r="H40041" s="17" t="n">
        <f aca="false">H40030+H40037+H40035-H40036-H40038-H40039</f>
        <v>57.324</v>
      </c>
      <c r="I40041" s="17" t="n">
        <f aca="false">I40030+I40037+I40035-I40036-I40038-I40039</f>
        <v>57.324</v>
      </c>
      <c r="J40041" s="17" t="n">
        <f aca="false">J40030+J40037+J40035-J40036-J40038-J40039</f>
        <v>57.324</v>
      </c>
      <c r="K40041" s="17" t="n">
        <f aca="false">K40030+K40037+K40035-K40036-K40038-K40039</f>
        <v>57.324</v>
      </c>
    </row>
    <row r="40042" customFormat="false" ht="15" hidden="false" customHeight="false" outlineLevel="0" collapsed="false">
      <c r="A40042" s="24" t="s">
        <v>342</v>
      </c>
      <c r="B40042" s="25"/>
      <c r="C40042" s="25"/>
      <c r="D40042" s="25"/>
      <c r="E40042" s="25"/>
      <c r="F40042" s="25"/>
      <c r="G40042" s="25"/>
      <c r="H40042" s="25"/>
      <c r="I40042" s="25"/>
      <c r="J40042" s="25"/>
      <c r="K40042" s="25"/>
    </row>
    <row r="40043" customFormat="false" ht="15" hidden="false" customHeight="false" outlineLevel="0" collapsed="false">
      <c r="A40043" s="3" t="s">
        <v>329</v>
      </c>
      <c r="G40043" s="16" t="n">
        <f aca="false">F40054</f>
        <v>0</v>
      </c>
      <c r="H40043" s="16" t="n">
        <f aca="false">G40054</f>
        <v>0</v>
      </c>
      <c r="I40043" s="16" t="n">
        <f aca="false">H40054</f>
        <v>0</v>
      </c>
      <c r="J40043" s="16" t="n">
        <f aca="false">I40054</f>
        <v>0</v>
      </c>
      <c r="K40043" s="16" t="n">
        <f aca="false">J40054</f>
        <v>0</v>
      </c>
    </row>
    <row r="40044" customFormat="false" ht="15" hidden="false" customHeight="false" outlineLevel="0" collapsed="false">
      <c r="A40044" s="3" t="s">
        <v>330</v>
      </c>
      <c r="G40044" s="21" t="n">
        <f aca="false">IF(G39968=Assumptions!$K$60,1,0)</f>
        <v>1</v>
      </c>
      <c r="H40044" s="21" t="n">
        <f aca="false">IF(H39968=Assumptions!$K$60,1,0)</f>
        <v>0</v>
      </c>
      <c r="I40044" s="21" t="n">
        <f aca="false">IF(I39968=Assumptions!$K$60,1,0)</f>
        <v>0</v>
      </c>
      <c r="J40044" s="21" t="n">
        <f aca="false">IF(J39968=Assumptions!$K$60,1,0)</f>
        <v>0</v>
      </c>
      <c r="K40044" s="21" t="n">
        <f aca="false">IF(K39968=Assumptions!$K$60,1,0)</f>
        <v>0</v>
      </c>
    </row>
    <row r="40046" customFormat="false" ht="15" hidden="false" customHeight="false" outlineLevel="0" collapsed="false">
      <c r="A40046" s="3" t="s">
        <v>331</v>
      </c>
      <c r="G40046" s="31" t="n">
        <f aca="false">IF(Assumptions!$I$60=1,MAX(G39994,Assumptions!$G$60)+Assumptions!$F$60+$C$39995,Assumptions!$E$60)</f>
        <v>0.084</v>
      </c>
      <c r="H40046" s="31" t="n">
        <f aca="false">IF(G40317=1,$C$39996,IF(Assumptions!$I$60=1,MAX(H39994,Assumptions!$G$60)+Assumptions!$F$60+$C$39995,Assumptions!$E$60))</f>
        <v>0.0825</v>
      </c>
      <c r="I40046" s="31" t="n">
        <f aca="false">IF(H40317=1,$C$39996,IF(Assumptions!$I$60=1,MAX(I39994,Assumptions!$G$60)+Assumptions!$F$60+$C$39995,Assumptions!$E$60))</f>
        <v>0.08</v>
      </c>
      <c r="J40046" s="31" t="n">
        <f aca="false">IF(I40317=1,$C$39996,IF(Assumptions!$I$60=1,MAX(J39994,Assumptions!$G$60)+Assumptions!$F$60+$C$39995,Assumptions!$E$60))</f>
        <v>0.08</v>
      </c>
      <c r="K40046" s="31" t="n">
        <f aca="false">IF(J40317=1,$C$39996,IF(Assumptions!$I$60=1,MAX(K39994,Assumptions!$G$60)+Assumptions!$F$60+$C$39995,Assumptions!$E$60))</f>
        <v>0.08</v>
      </c>
    </row>
    <row r="40047" customFormat="false" ht="15" hidden="false" customHeight="false" outlineLevel="0" collapsed="false">
      <c r="A40047" s="3" t="s">
        <v>332</v>
      </c>
      <c r="G40047" s="16" t="n">
        <f aca="false">G40043*G40046</f>
        <v>0</v>
      </c>
      <c r="H40047" s="16" t="n">
        <f aca="false">H40043*H40046</f>
        <v>0</v>
      </c>
      <c r="I40047" s="16" t="n">
        <f aca="false">I40043*I40046</f>
        <v>0</v>
      </c>
      <c r="J40047" s="16" t="n">
        <f aca="false">J40043*J40046</f>
        <v>0</v>
      </c>
      <c r="K40047" s="16" t="n">
        <f aca="false">K40043*K40046</f>
        <v>0</v>
      </c>
    </row>
    <row r="40048" customFormat="false" ht="15" hidden="false" customHeight="false" outlineLevel="0" collapsed="false">
      <c r="A40048" s="3" t="s">
        <v>333</v>
      </c>
      <c r="G40048" s="16" t="n">
        <f aca="false">G40043*Assumptions!$H$60</f>
        <v>0</v>
      </c>
      <c r="H40048" s="16" t="n">
        <f aca="false">H40043*Assumptions!$H$60</f>
        <v>0</v>
      </c>
      <c r="I40048" s="16" t="n">
        <f aca="false">I40043*Assumptions!$H$60</f>
        <v>0</v>
      </c>
      <c r="J40048" s="16" t="n">
        <f aca="false">J40043*Assumptions!$H$60</f>
        <v>0</v>
      </c>
      <c r="K40048" s="16" t="n">
        <f aca="false">K40043*Assumptions!$H$60</f>
        <v>0</v>
      </c>
    </row>
    <row r="40049" customFormat="false" ht="15" hidden="false" customHeight="false" outlineLevel="0" collapsed="false">
      <c r="A40049" s="3" t="s">
        <v>334</v>
      </c>
      <c r="G40049" s="16" t="n">
        <f aca="false">MIN(G40043,Assumptions!$L$60*Assumptions!$C$60)</f>
        <v>0</v>
      </c>
      <c r="H40049" s="16" t="n">
        <f aca="false">MIN(H40043,Assumptions!$L$60*Assumptions!$C$60)</f>
        <v>0</v>
      </c>
      <c r="I40049" s="16" t="n">
        <f aca="false">MIN(I40043,Assumptions!$L$60*Assumptions!$C$60)</f>
        <v>0</v>
      </c>
      <c r="J40049" s="16" t="n">
        <f aca="false">MIN(J40043,Assumptions!$L$60*Assumptions!$C$60)</f>
        <v>0</v>
      </c>
      <c r="K40049" s="16" t="n">
        <f aca="false">MIN(K40043,Assumptions!$L$60*Assumptions!$C$60)</f>
        <v>0</v>
      </c>
    </row>
    <row r="40050" customFormat="false" ht="15" hidden="false" customHeight="false" outlineLevel="0" collapsed="false">
      <c r="A40050" s="3" t="s">
        <v>335</v>
      </c>
      <c r="G40050" s="16" t="n">
        <f aca="false">IF(AND(Assumptions!$P$60=1,G39968&lt;Assumptions!$K$60),MIN(MAX(0,-G40184),MAX(0,Assumptions!$D$60-G40043)),0)</f>
        <v>0</v>
      </c>
      <c r="H40050" s="16" t="n">
        <f aca="false">IF(AND(Assumptions!$P$60=1,OR(H39968&lt;Assumptions!$K$60,G40317=1)),MIN(MAX(0,-H40184),MAX(0,Assumptions!$D$60-H40043)),0)</f>
        <v>0</v>
      </c>
      <c r="I40050" s="16" t="n">
        <f aca="false">IF(AND(Assumptions!$P$60=1,OR(I39968&lt;Assumptions!$K$60,H40317=1)),MIN(MAX(0,-I40184),MAX(0,Assumptions!$D$60-I40043)),0)</f>
        <v>0</v>
      </c>
      <c r="J40050" s="16" t="n">
        <f aca="false">IF(AND(Assumptions!$P$60=1,OR(J39968&lt;Assumptions!$K$60,I40317=1)),MIN(MAX(0,-J40184),MAX(0,Assumptions!$D$60-J40043)),0)</f>
        <v>0</v>
      </c>
      <c r="K40050" s="16" t="n">
        <f aca="false">IF(AND(Assumptions!$P$60=1,OR(K39968&lt;Assumptions!$K$60,J40317=1)),MIN(MAX(0,-K40184),MAX(0,Assumptions!$D$60-K40043)),0)</f>
        <v>0</v>
      </c>
    </row>
    <row r="40051" customFormat="false" ht="15" hidden="false" customHeight="false" outlineLevel="0" collapsed="false">
      <c r="A40051" s="3" t="s">
        <v>336</v>
      </c>
      <c r="G40051" s="16" t="n">
        <f aca="false">G40044*MIN(G40043-G40049+G40048,MAX(0,G40186-Assumptions!$C$12*G40002-G40012-G40025-G40038))</f>
        <v>0</v>
      </c>
      <c r="H40051" s="16" t="n">
        <f aca="false">H40044*MIN(H40043-H40049+H40048,MAX(0,H40186-Assumptions!$C$12*H40002-H40012-H40025-H40038))</f>
        <v>0</v>
      </c>
      <c r="I40051" s="16" t="n">
        <f aca="false">I40044*MIN(I40043-I40049+I40048,MAX(0,I40186-Assumptions!$C$12*I40002-I40012-I40025-I40038))</f>
        <v>0</v>
      </c>
      <c r="J40051" s="16" t="n">
        <f aca="false">J40044*MIN(J40043-J40049+J40048,MAX(0,J40186-Assumptions!$C$12*J40002-J40012-J40025-J40038))</f>
        <v>0</v>
      </c>
      <c r="K40051" s="16" t="n">
        <f aca="false">K40044*MIN(K40043-K40049+K40048,MAX(0,K40186-Assumptions!$C$12*K40002-K40012-K40025-K40038))</f>
        <v>0</v>
      </c>
    </row>
    <row r="40052" customFormat="false" ht="15" hidden="false" customHeight="false" outlineLevel="0" collapsed="false">
      <c r="A40052" s="3" t="s">
        <v>337</v>
      </c>
      <c r="G40052" s="16" t="n">
        <f aca="false">Assumptions!$N$60*MIN(G40043+G40050+G40048-G40049-G40051,MAX(0,G40190-G40013-G40026-G40039))</f>
        <v>0</v>
      </c>
      <c r="H40052" s="16" t="n">
        <f aca="false">Assumptions!$N$60*MIN(H40043+H40050+H40048-H40049-H40051,MAX(0,H40190-H40013-H40026-H40039))</f>
        <v>0</v>
      </c>
      <c r="I40052" s="16" t="n">
        <f aca="false">Assumptions!$N$60*MIN(I40043+I40050+I40048-I40049-I40051,MAX(0,I40190-I40013-I40026-I40039))</f>
        <v>0</v>
      </c>
      <c r="J40052" s="16" t="n">
        <f aca="false">Assumptions!$N$60*MIN(J40043+J40050+J40048-J40049-J40051,MAX(0,J40190-J40013-J40026-J40039))</f>
        <v>0</v>
      </c>
      <c r="K40052" s="16" t="n">
        <f aca="false">Assumptions!$N$60*MIN(K40043+K40050+K40048-K40049-K40051,MAX(0,K40190-K40013-K40026-K40039))</f>
        <v>0</v>
      </c>
    </row>
    <row r="40053" customFormat="false" ht="15" hidden="false" customHeight="false" outlineLevel="0" collapsed="false">
      <c r="A40053" s="3" t="s">
        <v>338</v>
      </c>
      <c r="G40053" s="16" t="n">
        <f aca="false">G40044*(1-G40002)*(G40043-G40049+G40048-G40051)</f>
        <v>0</v>
      </c>
      <c r="H40053" s="16" t="n">
        <f aca="false">H40044*(1-H40002)*(H40043-H40049+H40048-H40051)</f>
        <v>0</v>
      </c>
      <c r="I40053" s="16" t="n">
        <f aca="false">I40044*(1-I40002)*(I40043-I40049+I40048-I40051)</f>
        <v>0</v>
      </c>
      <c r="J40053" s="16" t="n">
        <f aca="false">J40044*(1-J40002)*(J40043-J40049+J40048-J40051)</f>
        <v>0</v>
      </c>
      <c r="K40053" s="16" t="n">
        <f aca="false">K40044*(1-K40002)*(K40043-K40049+K40048-K40051)</f>
        <v>0</v>
      </c>
    </row>
    <row r="40054" customFormat="false" ht="15" hidden="false" customHeight="false" outlineLevel="0" collapsed="false">
      <c r="A40054" s="2" t="s">
        <v>339</v>
      </c>
      <c r="F40054" s="28" t="n">
        <f aca="false">Assumptions!$C$60</f>
        <v>0</v>
      </c>
      <c r="G40054" s="17" t="n">
        <f aca="false">G40043+G40050+G40048-G40049-G40051-G40052</f>
        <v>0</v>
      </c>
      <c r="H40054" s="17" t="n">
        <f aca="false">H40043+H40050+H40048-H40049-H40051-H40052</f>
        <v>0</v>
      </c>
      <c r="I40054" s="17" t="n">
        <f aca="false">I40043+I40050+I40048-I40049-I40051-I40052</f>
        <v>0</v>
      </c>
      <c r="J40054" s="17" t="n">
        <f aca="false">J40043+J40050+J40048-J40049-J40051-J40052</f>
        <v>0</v>
      </c>
      <c r="K40054" s="17" t="n">
        <f aca="false">K40043+K40050+K40048-K40049-K40051-K40052</f>
        <v>0</v>
      </c>
    </row>
    <row r="40055" customFormat="false" ht="15" hidden="false" customHeight="false" outlineLevel="0" collapsed="false">
      <c r="A40055" s="24" t="s">
        <v>343</v>
      </c>
      <c r="B40055" s="25"/>
      <c r="C40055" s="25"/>
      <c r="D40055" s="25"/>
      <c r="E40055" s="25"/>
      <c r="F40055" s="25"/>
      <c r="G40055" s="25"/>
      <c r="H40055" s="25"/>
      <c r="I40055" s="25"/>
      <c r="J40055" s="25"/>
      <c r="K40055" s="25"/>
    </row>
    <row r="40056" customFormat="false" ht="15" hidden="false" customHeight="false" outlineLevel="0" collapsed="false">
      <c r="A40056" s="3" t="s">
        <v>329</v>
      </c>
      <c r="G40056" s="16" t="n">
        <f aca="false">F40067</f>
        <v>450</v>
      </c>
      <c r="H40056" s="16" t="n">
        <f aca="false">G40067</f>
        <v>450</v>
      </c>
      <c r="I40056" s="16" t="n">
        <f aca="false">H40067</f>
        <v>434.9547587</v>
      </c>
      <c r="J40056" s="16" t="n">
        <f aca="false">I40067</f>
        <v>434.9547587</v>
      </c>
      <c r="K40056" s="16" t="n">
        <f aca="false">J40067</f>
        <v>434.9547587</v>
      </c>
    </row>
    <row r="40057" customFormat="false" ht="15" hidden="false" customHeight="false" outlineLevel="0" collapsed="false">
      <c r="A40057" s="3" t="s">
        <v>330</v>
      </c>
      <c r="G40057" s="21" t="n">
        <f aca="false">IF(G39968=Assumptions!$K$61,1,0)</f>
        <v>0</v>
      </c>
      <c r="H40057" s="21" t="n">
        <f aca="false">IF(H39968=Assumptions!$K$61,1,0)</f>
        <v>1</v>
      </c>
      <c r="I40057" s="21" t="n">
        <f aca="false">IF(I39968=Assumptions!$K$61,1,0)</f>
        <v>0</v>
      </c>
      <c r="J40057" s="21" t="n">
        <f aca="false">IF(J39968=Assumptions!$K$61,1,0)</f>
        <v>0</v>
      </c>
      <c r="K40057" s="21" t="n">
        <f aca="false">IF(K39968=Assumptions!$K$61,1,0)</f>
        <v>0</v>
      </c>
    </row>
    <row r="40059" customFormat="false" ht="15" hidden="false" customHeight="false" outlineLevel="0" collapsed="false">
      <c r="A40059" s="3" t="s">
        <v>331</v>
      </c>
      <c r="G40059" s="31" t="n">
        <f aca="false">IF(Assumptions!$I$61=1,MAX(G39994,Assumptions!$G$61)+Assumptions!$F$61+$C$39995,Assumptions!$E$61)</f>
        <v>0.0395</v>
      </c>
      <c r="H40059" s="31" t="n">
        <f aca="false">IF(G40318=1,$C$39996,IF(Assumptions!$I$61=1,MAX(H39994,Assumptions!$G$61)+Assumptions!$F$61+$C$39995,Assumptions!$E$61))</f>
        <v>0.0395</v>
      </c>
      <c r="I40059" s="31" t="n">
        <f aca="false">IF(H40318=1,$C$39996,IF(Assumptions!$I$61=1,MAX(I39994,Assumptions!$G$61)+Assumptions!$F$61+$C$39995,Assumptions!$E$61))</f>
        <v>0.0395</v>
      </c>
      <c r="J40059" s="31" t="n">
        <f aca="false">IF(I40318=1,$C$39996,IF(Assumptions!$I$61=1,MAX(J39994,Assumptions!$G$61)+Assumptions!$F$61+$C$39995,Assumptions!$E$61))</f>
        <v>0.0395</v>
      </c>
      <c r="K40059" s="31" t="n">
        <f aca="false">IF(J40318=1,$C$39996,IF(Assumptions!$I$61=1,MAX(K39994,Assumptions!$G$61)+Assumptions!$F$61+$C$39995,Assumptions!$E$61))</f>
        <v>0.0395</v>
      </c>
    </row>
    <row r="40060" customFormat="false" ht="15" hidden="false" customHeight="false" outlineLevel="0" collapsed="false">
      <c r="A40060" s="3" t="s">
        <v>332</v>
      </c>
      <c r="G40060" s="16" t="n">
        <f aca="false">G40056*G40059</f>
        <v>17.775</v>
      </c>
      <c r="H40060" s="16" t="n">
        <f aca="false">H40056*H40059</f>
        <v>17.775</v>
      </c>
      <c r="I40060" s="16" t="n">
        <f aca="false">I40056*I40059</f>
        <v>17.18071296865</v>
      </c>
      <c r="J40060" s="16" t="n">
        <f aca="false">J40056*J40059</f>
        <v>17.18071296865</v>
      </c>
      <c r="K40060" s="16" t="n">
        <f aca="false">K40056*K40059</f>
        <v>17.18071296865</v>
      </c>
    </row>
    <row r="40061" customFormat="false" ht="15" hidden="false" customHeight="false" outlineLevel="0" collapsed="false">
      <c r="A40061" s="3" t="s">
        <v>333</v>
      </c>
      <c r="G40061" s="16" t="n">
        <f aca="false">G40056*Assumptions!$H$61</f>
        <v>0</v>
      </c>
      <c r="H40061" s="16" t="n">
        <f aca="false">H40056*Assumptions!$H$61</f>
        <v>0</v>
      </c>
      <c r="I40061" s="16" t="n">
        <f aca="false">I40056*Assumptions!$H$61</f>
        <v>0</v>
      </c>
      <c r="J40061" s="16" t="n">
        <f aca="false">J40056*Assumptions!$H$61</f>
        <v>0</v>
      </c>
      <c r="K40061" s="16" t="n">
        <f aca="false">K40056*Assumptions!$H$61</f>
        <v>0</v>
      </c>
    </row>
    <row r="40062" customFormat="false" ht="15" hidden="false" customHeight="false" outlineLevel="0" collapsed="false">
      <c r="A40062" s="3" t="s">
        <v>334</v>
      </c>
      <c r="G40062" s="16" t="n">
        <f aca="false">MIN(G40056,Assumptions!$L$61*Assumptions!$C$61)</f>
        <v>0</v>
      </c>
      <c r="H40062" s="16" t="n">
        <f aca="false">MIN(H40056,Assumptions!$L$61*Assumptions!$C$61)</f>
        <v>0</v>
      </c>
      <c r="I40062" s="16" t="n">
        <f aca="false">MIN(I40056,Assumptions!$L$61*Assumptions!$C$61)</f>
        <v>0</v>
      </c>
      <c r="J40062" s="16" t="n">
        <f aca="false">MIN(J40056,Assumptions!$L$61*Assumptions!$C$61)</f>
        <v>0</v>
      </c>
      <c r="K40062" s="16" t="n">
        <f aca="false">MIN(K40056,Assumptions!$L$61*Assumptions!$C$61)</f>
        <v>0</v>
      </c>
    </row>
    <row r="40063" customFormat="false" ht="15" hidden="false" customHeight="false" outlineLevel="0" collapsed="false">
      <c r="A40063" s="3" t="s">
        <v>335</v>
      </c>
      <c r="G40063" s="16" t="n">
        <f aca="false">IF(AND(Assumptions!$P$61=1,G39968&lt;Assumptions!$K$61),MIN(MAX(0,-G40184),MAX(0,Assumptions!$D$61-G40056)),0)</f>
        <v>0</v>
      </c>
      <c r="H40063" s="16" t="n">
        <f aca="false">IF(AND(Assumptions!$P$61=1,OR(H39968&lt;Assumptions!$K$61,G40318=1)),MIN(MAX(0,-H40184),MAX(0,Assumptions!$D$61-H40056)),0)</f>
        <v>0</v>
      </c>
      <c r="I40063" s="16" t="n">
        <f aca="false">IF(AND(Assumptions!$P$61=1,OR(I39968&lt;Assumptions!$K$61,H40318=1)),MIN(MAX(0,-I40184),MAX(0,Assumptions!$D$61-I40056)),0)</f>
        <v>0</v>
      </c>
      <c r="J40063" s="16" t="n">
        <f aca="false">IF(AND(Assumptions!$P$61=1,OR(J39968&lt;Assumptions!$K$61,I40318=1)),MIN(MAX(0,-J40184),MAX(0,Assumptions!$D$61-J40056)),0)</f>
        <v>0</v>
      </c>
      <c r="K40063" s="16" t="n">
        <f aca="false">IF(AND(Assumptions!$P$61=1,OR(K39968&lt;Assumptions!$K$61,J40318=1)),MIN(MAX(0,-K40184),MAX(0,Assumptions!$D$61-K40056)),0)</f>
        <v>0</v>
      </c>
    </row>
    <row r="40064" customFormat="false" ht="15" hidden="false" customHeight="false" outlineLevel="0" collapsed="false">
      <c r="A40064" s="3" t="s">
        <v>336</v>
      </c>
      <c r="G40064" s="16" t="n">
        <f aca="false">G40057*MIN(G40056-G40062+G40061,MAX(0,G40186-Assumptions!$C$12*G40002-G40012-G40025-G40038-G40051))</f>
        <v>0</v>
      </c>
      <c r="H40064" s="16" t="n">
        <f aca="false">H40057*MIN(H40056-H40062+H40061,MAX(0,H40186-Assumptions!$C$12*H40002-H40012-H40025-H40038-H40051))</f>
        <v>15.0452413</v>
      </c>
      <c r="I40064" s="16" t="n">
        <f aca="false">I40057*MIN(I40056-I40062+I40061,MAX(0,I40186-Assumptions!$C$12*I40002-I40012-I40025-I40038-I40051))</f>
        <v>0</v>
      </c>
      <c r="J40064" s="16" t="n">
        <f aca="false">J40057*MIN(J40056-J40062+J40061,MAX(0,J40186-Assumptions!$C$12*J40002-J40012-J40025-J40038-J40051))</f>
        <v>0</v>
      </c>
      <c r="K40064" s="16" t="n">
        <f aca="false">K40057*MIN(K40056-K40062+K40061,MAX(0,K40186-Assumptions!$C$12*K40002-K40012-K40025-K40038-K40051))</f>
        <v>0</v>
      </c>
    </row>
    <row r="40065" customFormat="false" ht="15" hidden="false" customHeight="false" outlineLevel="0" collapsed="false">
      <c r="A40065" s="3" t="s">
        <v>337</v>
      </c>
      <c r="G40065" s="16" t="n">
        <f aca="false">Assumptions!$N$61*MIN(G40056+G40063+G40061-G40062-G40064,MAX(0,G40190-G40013-G40026-G40039-G40052))</f>
        <v>0</v>
      </c>
      <c r="H40065" s="16" t="n">
        <f aca="false">Assumptions!$N$61*MIN(H40056+H40063+H40061-H40062-H40064,MAX(0,H40190-H40013-H40026-H40039-H40052))</f>
        <v>0</v>
      </c>
      <c r="I40065" s="16" t="n">
        <f aca="false">Assumptions!$N$61*MIN(I40056+I40063+I40061-I40062-I40064,MAX(0,I40190-I40013-I40026-I40039-I40052))</f>
        <v>0</v>
      </c>
      <c r="J40065" s="16" t="n">
        <f aca="false">Assumptions!$N$61*MIN(J40056+J40063+J40061-J40062-J40064,MAX(0,J40190-J40013-J40026-J40039-J40052))</f>
        <v>0</v>
      </c>
      <c r="K40065" s="16" t="n">
        <f aca="false">Assumptions!$N$61*MIN(K40056+K40063+K40061-K40062-K40064,MAX(0,K40190-K40013-K40026-K40039-K40052))</f>
        <v>0</v>
      </c>
    </row>
    <row r="40066" customFormat="false" ht="15" hidden="false" customHeight="false" outlineLevel="0" collapsed="false">
      <c r="A40066" s="3" t="s">
        <v>338</v>
      </c>
      <c r="G40066" s="16" t="n">
        <f aca="false">G40057*(1-G40002)*(G40056-G40062+G40061-G40064)</f>
        <v>0</v>
      </c>
      <c r="H40066" s="16" t="n">
        <f aca="false">H40057*(1-H40002)*(H40056-H40062+H40061-H40064)</f>
        <v>434.9547587</v>
      </c>
      <c r="I40066" s="16" t="n">
        <f aca="false">I40057*(1-I40002)*(I40056-I40062+I40061-I40064)</f>
        <v>0</v>
      </c>
      <c r="J40066" s="16" t="n">
        <f aca="false">J40057*(1-J40002)*(J40056-J40062+J40061-J40064)</f>
        <v>0</v>
      </c>
      <c r="K40066" s="16" t="n">
        <f aca="false">K40057*(1-K40002)*(K40056-K40062+K40061-K40064)</f>
        <v>0</v>
      </c>
    </row>
    <row r="40067" customFormat="false" ht="15" hidden="false" customHeight="false" outlineLevel="0" collapsed="false">
      <c r="A40067" s="2" t="s">
        <v>339</v>
      </c>
      <c r="F40067" s="28" t="n">
        <f aca="false">Assumptions!$C$61</f>
        <v>450</v>
      </c>
      <c r="G40067" s="17" t="n">
        <f aca="false">G40056+G40063+G40061-G40062-G40064-G40065</f>
        <v>450</v>
      </c>
      <c r="H40067" s="17" t="n">
        <f aca="false">H40056+H40063+H40061-H40062-H40064-H40065</f>
        <v>434.9547587</v>
      </c>
      <c r="I40067" s="17" t="n">
        <f aca="false">I40056+I40063+I40061-I40062-I40064-I40065</f>
        <v>434.9547587</v>
      </c>
      <c r="J40067" s="17" t="n">
        <f aca="false">J40056+J40063+J40061-J40062-J40064-J40065</f>
        <v>434.9547587</v>
      </c>
      <c r="K40067" s="17" t="n">
        <f aca="false">K40056+K40063+K40061-K40062-K40064-K40065</f>
        <v>434.9547587</v>
      </c>
    </row>
    <row r="40068" customFormat="false" ht="15" hidden="false" customHeight="false" outlineLevel="0" collapsed="false">
      <c r="A40068" s="24" t="s">
        <v>344</v>
      </c>
      <c r="B40068" s="25"/>
      <c r="C40068" s="25"/>
      <c r="D40068" s="25"/>
      <c r="E40068" s="25"/>
      <c r="F40068" s="25"/>
      <c r="G40068" s="25"/>
      <c r="H40068" s="25"/>
      <c r="I40068" s="25"/>
      <c r="J40068" s="25"/>
      <c r="K40068" s="25"/>
    </row>
    <row r="40069" customFormat="false" ht="15" hidden="false" customHeight="false" outlineLevel="0" collapsed="false">
      <c r="A40069" s="3" t="s">
        <v>329</v>
      </c>
      <c r="G40069" s="16" t="n">
        <f aca="false">F40080</f>
        <v>350</v>
      </c>
      <c r="H40069" s="16" t="n">
        <f aca="false">G40080</f>
        <v>350</v>
      </c>
      <c r="I40069" s="16" t="n">
        <f aca="false">H40080</f>
        <v>350</v>
      </c>
      <c r="J40069" s="16" t="n">
        <f aca="false">I40080</f>
        <v>350</v>
      </c>
      <c r="K40069" s="16" t="n">
        <f aca="false">J40080</f>
        <v>350</v>
      </c>
    </row>
    <row r="40070" customFormat="false" ht="15" hidden="false" customHeight="false" outlineLevel="0" collapsed="false">
      <c r="A40070" s="3" t="s">
        <v>330</v>
      </c>
      <c r="G40070" s="21" t="n">
        <f aca="false">IF(G39968=Assumptions!$K$62,1,0)</f>
        <v>0</v>
      </c>
      <c r="H40070" s="21" t="n">
        <f aca="false">IF(H39968=Assumptions!$K$62,1,0)</f>
        <v>1</v>
      </c>
      <c r="I40070" s="21" t="n">
        <f aca="false">IF(I39968=Assumptions!$K$62,1,0)</f>
        <v>0</v>
      </c>
      <c r="J40070" s="21" t="n">
        <f aca="false">IF(J39968=Assumptions!$K$62,1,0)</f>
        <v>0</v>
      </c>
      <c r="K40070" s="21" t="n">
        <f aca="false">IF(K39968=Assumptions!$K$62,1,0)</f>
        <v>0</v>
      </c>
    </row>
    <row r="40072" customFormat="false" ht="15" hidden="false" customHeight="false" outlineLevel="0" collapsed="false">
      <c r="A40072" s="3" t="s">
        <v>331</v>
      </c>
      <c r="G40072" s="31" t="n">
        <f aca="false">IF(Assumptions!$I$62=1,MAX(G39994,Assumptions!$G$62)+Assumptions!$F$62+$C$39995,Assumptions!$E$62)</f>
        <v>0.083</v>
      </c>
      <c r="H40072" s="31" t="n">
        <f aca="false">IF(G40319=1,$C$39996,IF(Assumptions!$I$62=1,MAX(H39994,Assumptions!$G$62)+Assumptions!$F$62+$C$39995,Assumptions!$E$62))</f>
        <v>0.083</v>
      </c>
      <c r="I40072" s="31" t="n">
        <f aca="false">IF(H40319=1,$C$39996,IF(Assumptions!$I$62=1,MAX(I39994,Assumptions!$G$62)+Assumptions!$F$62+$C$39995,Assumptions!$E$62))</f>
        <v>0.083</v>
      </c>
      <c r="J40072" s="31" t="n">
        <f aca="false">IF(I40319=1,$C$39996,IF(Assumptions!$I$62=1,MAX(J39994,Assumptions!$G$62)+Assumptions!$F$62+$C$39995,Assumptions!$E$62))</f>
        <v>0.083</v>
      </c>
      <c r="K40072" s="31" t="n">
        <f aca="false">IF(J40319=1,$C$39996,IF(Assumptions!$I$62=1,MAX(K39994,Assumptions!$G$62)+Assumptions!$F$62+$C$39995,Assumptions!$E$62))</f>
        <v>0.083</v>
      </c>
    </row>
    <row r="40073" customFormat="false" ht="15" hidden="false" customHeight="false" outlineLevel="0" collapsed="false">
      <c r="A40073" s="3" t="s">
        <v>332</v>
      </c>
      <c r="G40073" s="16" t="n">
        <f aca="false">G40069*G40072</f>
        <v>29.05</v>
      </c>
      <c r="H40073" s="16" t="n">
        <f aca="false">H40069*H40072</f>
        <v>29.05</v>
      </c>
      <c r="I40073" s="16" t="n">
        <f aca="false">I40069*I40072</f>
        <v>29.05</v>
      </c>
      <c r="J40073" s="16" t="n">
        <f aca="false">J40069*J40072</f>
        <v>29.05</v>
      </c>
      <c r="K40073" s="16" t="n">
        <f aca="false">K40069*K40072</f>
        <v>29.05</v>
      </c>
    </row>
    <row r="40074" customFormat="false" ht="15" hidden="false" customHeight="false" outlineLevel="0" collapsed="false">
      <c r="A40074" s="3" t="s">
        <v>333</v>
      </c>
      <c r="G40074" s="16" t="n">
        <f aca="false">G40069*Assumptions!$H$62</f>
        <v>0</v>
      </c>
      <c r="H40074" s="16" t="n">
        <f aca="false">H40069*Assumptions!$H$62</f>
        <v>0</v>
      </c>
      <c r="I40074" s="16" t="n">
        <f aca="false">I40069*Assumptions!$H$62</f>
        <v>0</v>
      </c>
      <c r="J40074" s="16" t="n">
        <f aca="false">J40069*Assumptions!$H$62</f>
        <v>0</v>
      </c>
      <c r="K40074" s="16" t="n">
        <f aca="false">K40069*Assumptions!$H$62</f>
        <v>0</v>
      </c>
    </row>
    <row r="40075" customFormat="false" ht="15" hidden="false" customHeight="false" outlineLevel="0" collapsed="false">
      <c r="A40075" s="3" t="s">
        <v>334</v>
      </c>
      <c r="G40075" s="16" t="n">
        <f aca="false">MIN(G40069,Assumptions!$L$62*Assumptions!$C$62)</f>
        <v>0</v>
      </c>
      <c r="H40075" s="16" t="n">
        <f aca="false">MIN(H40069,Assumptions!$L$62*Assumptions!$C$62)</f>
        <v>0</v>
      </c>
      <c r="I40075" s="16" t="n">
        <f aca="false">MIN(I40069,Assumptions!$L$62*Assumptions!$C$62)</f>
        <v>0</v>
      </c>
      <c r="J40075" s="16" t="n">
        <f aca="false">MIN(J40069,Assumptions!$L$62*Assumptions!$C$62)</f>
        <v>0</v>
      </c>
      <c r="K40075" s="16" t="n">
        <f aca="false">MIN(K40069,Assumptions!$L$62*Assumptions!$C$62)</f>
        <v>0</v>
      </c>
    </row>
    <row r="40076" customFormat="false" ht="15" hidden="false" customHeight="false" outlineLevel="0" collapsed="false">
      <c r="A40076" s="3" t="s">
        <v>335</v>
      </c>
      <c r="G40076" s="16" t="n">
        <f aca="false">IF(AND(Assumptions!$P$62=1,G39968&lt;Assumptions!$K$62),MIN(MAX(0,-G40184),MAX(0,Assumptions!$D$62-G40069)),0)</f>
        <v>0</v>
      </c>
      <c r="H40076" s="16" t="n">
        <f aca="false">IF(AND(Assumptions!$P$62=1,OR(H39968&lt;Assumptions!$K$62,G40319=1)),MIN(MAX(0,-H40184),MAX(0,Assumptions!$D$62-H40069)),0)</f>
        <v>0</v>
      </c>
      <c r="I40076" s="16" t="n">
        <f aca="false">IF(AND(Assumptions!$P$62=1,OR(I39968&lt;Assumptions!$K$62,H40319=1)),MIN(MAX(0,-I40184),MAX(0,Assumptions!$D$62-I40069)),0)</f>
        <v>0</v>
      </c>
      <c r="J40076" s="16" t="n">
        <f aca="false">IF(AND(Assumptions!$P$62=1,OR(J39968&lt;Assumptions!$K$62,I40319=1)),MIN(MAX(0,-J40184),MAX(0,Assumptions!$D$62-J40069)),0)</f>
        <v>0</v>
      </c>
      <c r="K40076" s="16" t="n">
        <f aca="false">IF(AND(Assumptions!$P$62=1,OR(K39968&lt;Assumptions!$K$62,J40319=1)),MIN(MAX(0,-K40184),MAX(0,Assumptions!$D$62-K40069)),0)</f>
        <v>0</v>
      </c>
    </row>
    <row r="40077" customFormat="false" ht="15" hidden="false" customHeight="false" outlineLevel="0" collapsed="false">
      <c r="A40077" s="3" t="s">
        <v>336</v>
      </c>
      <c r="G40077" s="16" t="n">
        <f aca="false">G40070*MIN(G40069-G40075+G40074,MAX(0,G40186-Assumptions!$C$12*G40002-G40012-G40025-G40038-G40051-G40064))</f>
        <v>0</v>
      </c>
      <c r="H40077" s="16" t="n">
        <f aca="false">H40070*MIN(H40069-H40075+H40074,MAX(0,H40186-Assumptions!$C$12*H40002-H40012-H40025-H40038-H40051-H40064))</f>
        <v>0</v>
      </c>
      <c r="I40077" s="16" t="n">
        <f aca="false">I40070*MIN(I40069-I40075+I40074,MAX(0,I40186-Assumptions!$C$12*I40002-I40012-I40025-I40038-I40051-I40064))</f>
        <v>0</v>
      </c>
      <c r="J40077" s="16" t="n">
        <f aca="false">J40070*MIN(J40069-J40075+J40074,MAX(0,J40186-Assumptions!$C$12*J40002-J40012-J40025-J40038-J40051-J40064))</f>
        <v>0</v>
      </c>
      <c r="K40077" s="16" t="n">
        <f aca="false">K40070*MIN(K40069-K40075+K40074,MAX(0,K40186-Assumptions!$C$12*K40002-K40012-K40025-K40038-K40051-K40064))</f>
        <v>0</v>
      </c>
    </row>
    <row r="40078" customFormat="false" ht="15" hidden="false" customHeight="false" outlineLevel="0" collapsed="false">
      <c r="A40078" s="3" t="s">
        <v>337</v>
      </c>
      <c r="G40078" s="16" t="n">
        <f aca="false">Assumptions!$N$62*MIN(G40069+G40076+G40074-G40075-G40077,MAX(0,G40190-G40013-G40026-G40039-G40052-G40065))</f>
        <v>0</v>
      </c>
      <c r="H40078" s="16" t="n">
        <f aca="false">Assumptions!$N$62*MIN(H40069+H40076+H40074-H40075-H40077,MAX(0,H40190-H40013-H40026-H40039-H40052-H40065))</f>
        <v>0</v>
      </c>
      <c r="I40078" s="16" t="n">
        <f aca="false">Assumptions!$N$62*MIN(I40069+I40076+I40074-I40075-I40077,MAX(0,I40190-I40013-I40026-I40039-I40052-I40065))</f>
        <v>0</v>
      </c>
      <c r="J40078" s="16" t="n">
        <f aca="false">Assumptions!$N$62*MIN(J40069+J40076+J40074-J40075-J40077,MAX(0,J40190-J40013-J40026-J40039-J40052-J40065))</f>
        <v>0</v>
      </c>
      <c r="K40078" s="16" t="n">
        <f aca="false">Assumptions!$N$62*MIN(K40069+K40076+K40074-K40075-K40077,MAX(0,K40190-K40013-K40026-K40039-K40052-K40065))</f>
        <v>0</v>
      </c>
    </row>
    <row r="40079" customFormat="false" ht="15" hidden="false" customHeight="false" outlineLevel="0" collapsed="false">
      <c r="A40079" s="3" t="s">
        <v>338</v>
      </c>
      <c r="G40079" s="16" t="n">
        <f aca="false">G40070*(1-G40002)*(G40069-G40075+G40074-G40077)</f>
        <v>0</v>
      </c>
      <c r="H40079" s="16" t="n">
        <f aca="false">H40070*(1-H40002)*(H40069-H40075+H40074-H40077)</f>
        <v>350</v>
      </c>
      <c r="I40079" s="16" t="n">
        <f aca="false">I40070*(1-I40002)*(I40069-I40075+I40074-I40077)</f>
        <v>0</v>
      </c>
      <c r="J40079" s="16" t="n">
        <f aca="false">J40070*(1-J40002)*(J40069-J40075+J40074-J40077)</f>
        <v>0</v>
      </c>
      <c r="K40079" s="16" t="n">
        <f aca="false">K40070*(1-K40002)*(K40069-K40075+K40074-K40077)</f>
        <v>0</v>
      </c>
    </row>
    <row r="40080" customFormat="false" ht="15" hidden="false" customHeight="false" outlineLevel="0" collapsed="false">
      <c r="A40080" s="2" t="s">
        <v>339</v>
      </c>
      <c r="F40080" s="28" t="n">
        <f aca="false">Assumptions!$C$62</f>
        <v>350</v>
      </c>
      <c r="G40080" s="17" t="n">
        <f aca="false">G40069+G40076+G40074-G40075-G40077-G40078</f>
        <v>350</v>
      </c>
      <c r="H40080" s="17" t="n">
        <f aca="false">H40069+H40076+H40074-H40075-H40077-H40078</f>
        <v>350</v>
      </c>
      <c r="I40080" s="17" t="n">
        <f aca="false">I40069+I40076+I40074-I40075-I40077-I40078</f>
        <v>350</v>
      </c>
      <c r="J40080" s="17" t="n">
        <f aca="false">J40069+J40076+J40074-J40075-J40077-J40078</f>
        <v>350</v>
      </c>
      <c r="K40080" s="17" t="n">
        <f aca="false">K40069+K40076+K40074-K40075-K40077-K40078</f>
        <v>350</v>
      </c>
    </row>
    <row r="40081" customFormat="false" ht="15" hidden="false" customHeight="false" outlineLevel="0" collapsed="false">
      <c r="A40081" s="24" t="s">
        <v>345</v>
      </c>
      <c r="B40081" s="25"/>
      <c r="C40081" s="25"/>
      <c r="D40081" s="25"/>
      <c r="E40081" s="25"/>
      <c r="F40081" s="25"/>
      <c r="G40081" s="25"/>
      <c r="H40081" s="25"/>
      <c r="I40081" s="25"/>
      <c r="J40081" s="25"/>
      <c r="K40081" s="25"/>
    </row>
    <row r="40082" customFormat="false" ht="15" hidden="false" customHeight="false" outlineLevel="0" collapsed="false">
      <c r="A40082" s="3" t="s">
        <v>329</v>
      </c>
      <c r="G40082" s="16" t="n">
        <f aca="false">F40093</f>
        <v>550</v>
      </c>
      <c r="H40082" s="16" t="n">
        <f aca="false">G40093</f>
        <v>550</v>
      </c>
      <c r="I40082" s="16" t="n">
        <f aca="false">H40093</f>
        <v>550</v>
      </c>
      <c r="J40082" s="16" t="n">
        <f aca="false">I40093</f>
        <v>550</v>
      </c>
      <c r="K40082" s="16" t="n">
        <f aca="false">J40093</f>
        <v>550</v>
      </c>
    </row>
    <row r="40083" customFormat="false" ht="15" hidden="false" customHeight="false" outlineLevel="0" collapsed="false">
      <c r="A40083" s="3" t="s">
        <v>330</v>
      </c>
      <c r="G40083" s="21" t="n">
        <f aca="false">IF(G39968=Assumptions!$K$63,1,0)</f>
        <v>0</v>
      </c>
      <c r="H40083" s="21" t="n">
        <f aca="false">IF(H39968=Assumptions!$K$63,1,0)</f>
        <v>0</v>
      </c>
      <c r="I40083" s="21" t="n">
        <f aca="false">IF(I39968=Assumptions!$K$63,1,0)</f>
        <v>1</v>
      </c>
      <c r="J40083" s="21" t="n">
        <f aca="false">IF(J39968=Assumptions!$K$63,1,0)</f>
        <v>0</v>
      </c>
      <c r="K40083" s="21" t="n">
        <f aca="false">IF(K39968=Assumptions!$K$63,1,0)</f>
        <v>0</v>
      </c>
    </row>
    <row r="40085" customFormat="false" ht="15" hidden="false" customHeight="false" outlineLevel="0" collapsed="false">
      <c r="A40085" s="3" t="s">
        <v>331</v>
      </c>
      <c r="G40085" s="31" t="n">
        <f aca="false">IF(Assumptions!$I$63=1,MAX(G39994,Assumptions!$G$63)+Assumptions!$F$63+$C$39995,Assumptions!$E$63)</f>
        <v>0.08875</v>
      </c>
      <c r="H40085" s="31" t="n">
        <f aca="false">IF(G40320=1,$C$39996,IF(Assumptions!$I$63=1,MAX(H39994,Assumptions!$G$63)+Assumptions!$F$63+$C$39995,Assumptions!$E$63))</f>
        <v>0.08875</v>
      </c>
      <c r="I40085" s="31" t="n">
        <f aca="false">IF(H40320=1,$C$39996,IF(Assumptions!$I$63=1,MAX(I39994,Assumptions!$G$63)+Assumptions!$F$63+$C$39995,Assumptions!$E$63))</f>
        <v>0.08875</v>
      </c>
      <c r="J40085" s="31" t="n">
        <f aca="false">IF(I40320=1,$C$39996,IF(Assumptions!$I$63=1,MAX(J39994,Assumptions!$G$63)+Assumptions!$F$63+$C$39995,Assumptions!$E$63))</f>
        <v>0.08875</v>
      </c>
      <c r="K40085" s="31" t="n">
        <f aca="false">IF(J40320=1,$C$39996,IF(Assumptions!$I$63=1,MAX(K39994,Assumptions!$G$63)+Assumptions!$F$63+$C$39995,Assumptions!$E$63))</f>
        <v>0.08875</v>
      </c>
    </row>
    <row r="40086" customFormat="false" ht="15" hidden="false" customHeight="false" outlineLevel="0" collapsed="false">
      <c r="A40086" s="3" t="s">
        <v>332</v>
      </c>
      <c r="G40086" s="16" t="n">
        <f aca="false">G40082*G40085</f>
        <v>48.8125</v>
      </c>
      <c r="H40086" s="16" t="n">
        <f aca="false">H40082*H40085</f>
        <v>48.8125</v>
      </c>
      <c r="I40086" s="16" t="n">
        <f aca="false">I40082*I40085</f>
        <v>48.8125</v>
      </c>
      <c r="J40086" s="16" t="n">
        <f aca="false">J40082*J40085</f>
        <v>48.8125</v>
      </c>
      <c r="K40086" s="16" t="n">
        <f aca="false">K40082*K40085</f>
        <v>48.8125</v>
      </c>
    </row>
    <row r="40087" customFormat="false" ht="15" hidden="false" customHeight="false" outlineLevel="0" collapsed="false">
      <c r="A40087" s="3" t="s">
        <v>333</v>
      </c>
      <c r="G40087" s="16" t="n">
        <f aca="false">G40082*Assumptions!$H$63</f>
        <v>0</v>
      </c>
      <c r="H40087" s="16" t="n">
        <f aca="false">H40082*Assumptions!$H$63</f>
        <v>0</v>
      </c>
      <c r="I40087" s="16" t="n">
        <f aca="false">I40082*Assumptions!$H$63</f>
        <v>0</v>
      </c>
      <c r="J40087" s="16" t="n">
        <f aca="false">J40082*Assumptions!$H$63</f>
        <v>0</v>
      </c>
      <c r="K40087" s="16" t="n">
        <f aca="false">K40082*Assumptions!$H$63</f>
        <v>0</v>
      </c>
    </row>
    <row r="40088" customFormat="false" ht="15" hidden="false" customHeight="false" outlineLevel="0" collapsed="false">
      <c r="A40088" s="3" t="s">
        <v>334</v>
      </c>
      <c r="G40088" s="16" t="n">
        <f aca="false">MIN(G40082,Assumptions!$L$63*Assumptions!$C$63)</f>
        <v>0</v>
      </c>
      <c r="H40088" s="16" t="n">
        <f aca="false">MIN(H40082,Assumptions!$L$63*Assumptions!$C$63)</f>
        <v>0</v>
      </c>
      <c r="I40088" s="16" t="n">
        <f aca="false">MIN(I40082,Assumptions!$L$63*Assumptions!$C$63)</f>
        <v>0</v>
      </c>
      <c r="J40088" s="16" t="n">
        <f aca="false">MIN(J40082,Assumptions!$L$63*Assumptions!$C$63)</f>
        <v>0</v>
      </c>
      <c r="K40088" s="16" t="n">
        <f aca="false">MIN(K40082,Assumptions!$L$63*Assumptions!$C$63)</f>
        <v>0</v>
      </c>
    </row>
    <row r="40089" customFormat="false" ht="15" hidden="false" customHeight="false" outlineLevel="0" collapsed="false">
      <c r="A40089" s="3" t="s">
        <v>335</v>
      </c>
      <c r="G40089" s="16" t="n">
        <f aca="false">IF(AND(Assumptions!$P$63=1,G39968&lt;Assumptions!$K$63),MIN(MAX(0,-G40184),MAX(0,Assumptions!$D$63-G40082)),0)</f>
        <v>0</v>
      </c>
      <c r="H40089" s="16" t="n">
        <f aca="false">IF(AND(Assumptions!$P$63=1,OR(H39968&lt;Assumptions!$K$63,G40320=1)),MIN(MAX(0,-H40184),MAX(0,Assumptions!$D$63-H40082)),0)</f>
        <v>0</v>
      </c>
      <c r="I40089" s="16" t="n">
        <f aca="false">IF(AND(Assumptions!$P$63=1,OR(I39968&lt;Assumptions!$K$63,H40320=1)),MIN(MAX(0,-I40184),MAX(0,Assumptions!$D$63-I40082)),0)</f>
        <v>0</v>
      </c>
      <c r="J40089" s="16" t="n">
        <f aca="false">IF(AND(Assumptions!$P$63=1,OR(J39968&lt;Assumptions!$K$63,I40320=1)),MIN(MAX(0,-J40184),MAX(0,Assumptions!$D$63-J40082)),0)</f>
        <v>0</v>
      </c>
      <c r="K40089" s="16" t="n">
        <f aca="false">IF(AND(Assumptions!$P$63=1,OR(K39968&lt;Assumptions!$K$63,J40320=1)),MIN(MAX(0,-K40184),MAX(0,Assumptions!$D$63-K40082)),0)</f>
        <v>0</v>
      </c>
    </row>
    <row r="40090" customFormat="false" ht="15" hidden="false" customHeight="false" outlineLevel="0" collapsed="false">
      <c r="A40090" s="3" t="s">
        <v>336</v>
      </c>
      <c r="G40090" s="16" t="n">
        <f aca="false">G40083*MIN(G40082-G40088+G40087,MAX(0,G40186-Assumptions!$C$12*G40002-G40012-G40025-G40038-G40051-G40064-G40077))</f>
        <v>0</v>
      </c>
      <c r="H40090" s="16" t="n">
        <f aca="false">H40083*MIN(H40082-H40088+H40087,MAX(0,H40186-Assumptions!$C$12*H40002-H40012-H40025-H40038-H40051-H40064-H40077))</f>
        <v>0</v>
      </c>
      <c r="I40090" s="16" t="n">
        <f aca="false">I40083*MIN(I40082-I40088+I40087,MAX(0,I40186-Assumptions!$C$12*I40002-I40012-I40025-I40038-I40051-I40064-I40077))</f>
        <v>0</v>
      </c>
      <c r="J40090" s="16" t="n">
        <f aca="false">J40083*MIN(J40082-J40088+J40087,MAX(0,J40186-Assumptions!$C$12*J40002-J40012-J40025-J40038-J40051-J40064-J40077))</f>
        <v>0</v>
      </c>
      <c r="K40090" s="16" t="n">
        <f aca="false">K40083*MIN(K40082-K40088+K40087,MAX(0,K40186-Assumptions!$C$12*K40002-K40012-K40025-K40038-K40051-K40064-K40077))</f>
        <v>0</v>
      </c>
    </row>
    <row r="40091" customFormat="false" ht="15" hidden="false" customHeight="false" outlineLevel="0" collapsed="false">
      <c r="A40091" s="3" t="s">
        <v>337</v>
      </c>
      <c r="G40091" s="16" t="n">
        <f aca="false">Assumptions!$N$63*MIN(G40082+G40089+G40087-G40088-G40090,MAX(0,G40190-G40013-G40026-G40039-G40052-G40065-G40078))</f>
        <v>0</v>
      </c>
      <c r="H40091" s="16" t="n">
        <f aca="false">Assumptions!$N$63*MIN(H40082+H40089+H40087-H40088-H40090,MAX(0,H40190-H40013-H40026-H40039-H40052-H40065-H40078))</f>
        <v>0</v>
      </c>
      <c r="I40091" s="16" t="n">
        <f aca="false">Assumptions!$N$63*MIN(I40082+I40089+I40087-I40088-I40090,MAX(0,I40190-I40013-I40026-I40039-I40052-I40065-I40078))</f>
        <v>0</v>
      </c>
      <c r="J40091" s="16" t="n">
        <f aca="false">Assumptions!$N$63*MIN(J40082+J40089+J40087-J40088-J40090,MAX(0,J40190-J40013-J40026-J40039-J40052-J40065-J40078))</f>
        <v>0</v>
      </c>
      <c r="K40091" s="16" t="n">
        <f aca="false">Assumptions!$N$63*MIN(K40082+K40089+K40087-K40088-K40090,MAX(0,K40190-K40013-K40026-K40039-K40052-K40065-K40078))</f>
        <v>0</v>
      </c>
    </row>
    <row r="40092" customFormat="false" ht="15" hidden="false" customHeight="false" outlineLevel="0" collapsed="false">
      <c r="A40092" s="3" t="s">
        <v>338</v>
      </c>
      <c r="G40092" s="16" t="n">
        <f aca="false">G40083*(1-G40002)*(G40082-G40088+G40087-G40090)</f>
        <v>0</v>
      </c>
      <c r="H40092" s="16" t="n">
        <f aca="false">H40083*(1-H40002)*(H40082-H40088+H40087-H40090)</f>
        <v>0</v>
      </c>
      <c r="I40092" s="16" t="n">
        <f aca="false">I40083*(1-I40002)*(I40082-I40088+I40087-I40090)</f>
        <v>550</v>
      </c>
      <c r="J40092" s="16" t="n">
        <f aca="false">J40083*(1-J40002)*(J40082-J40088+J40087-J40090)</f>
        <v>0</v>
      </c>
      <c r="K40092" s="16" t="n">
        <f aca="false">K40083*(1-K40002)*(K40082-K40088+K40087-K40090)</f>
        <v>0</v>
      </c>
    </row>
    <row r="40093" customFormat="false" ht="15" hidden="false" customHeight="false" outlineLevel="0" collapsed="false">
      <c r="A40093" s="2" t="s">
        <v>339</v>
      </c>
      <c r="F40093" s="28" t="n">
        <f aca="false">Assumptions!$C$63</f>
        <v>550</v>
      </c>
      <c r="G40093" s="17" t="n">
        <f aca="false">G40082+G40089+G40087-G40088-G40090-G40091</f>
        <v>550</v>
      </c>
      <c r="H40093" s="17" t="n">
        <f aca="false">H40082+H40089+H40087-H40088-H40090-H40091</f>
        <v>550</v>
      </c>
      <c r="I40093" s="17" t="n">
        <f aca="false">I40082+I40089+I40087-I40088-I40090-I40091</f>
        <v>550</v>
      </c>
      <c r="J40093" s="17" t="n">
        <f aca="false">J40082+J40089+J40087-J40088-J40090-J40091</f>
        <v>550</v>
      </c>
      <c r="K40093" s="17" t="n">
        <f aca="false">K40082+K40089+K40087-K40088-K40090-K40091</f>
        <v>550</v>
      </c>
    </row>
    <row r="40094" customFormat="false" ht="15" hidden="false" customHeight="false" outlineLevel="0" collapsed="false">
      <c r="A40094" s="24" t="s">
        <v>346</v>
      </c>
      <c r="B40094" s="25"/>
      <c r="C40094" s="25"/>
      <c r="D40094" s="25"/>
      <c r="E40094" s="25"/>
      <c r="F40094" s="25"/>
      <c r="G40094" s="25"/>
      <c r="H40094" s="25"/>
      <c r="I40094" s="25"/>
      <c r="J40094" s="25"/>
      <c r="K40094" s="25"/>
    </row>
    <row r="40095" customFormat="false" ht="15" hidden="false" customHeight="false" outlineLevel="0" collapsed="false">
      <c r="A40095" s="3" t="s">
        <v>329</v>
      </c>
      <c r="G40095" s="16" t="n">
        <f aca="false">F40106</f>
        <v>350</v>
      </c>
      <c r="H40095" s="16" t="n">
        <f aca="false">G40106</f>
        <v>350</v>
      </c>
      <c r="I40095" s="16" t="n">
        <f aca="false">H40106</f>
        <v>350</v>
      </c>
      <c r="J40095" s="16" t="n">
        <f aca="false">I40106</f>
        <v>350</v>
      </c>
      <c r="K40095" s="16" t="n">
        <f aca="false">J40106</f>
        <v>350</v>
      </c>
    </row>
    <row r="40096" customFormat="false" ht="15" hidden="false" customHeight="false" outlineLevel="0" collapsed="false">
      <c r="A40096" s="3" t="s">
        <v>330</v>
      </c>
      <c r="G40096" s="21" t="n">
        <f aca="false">IF(G39968=Assumptions!$K$64,1,0)</f>
        <v>0</v>
      </c>
      <c r="H40096" s="21" t="n">
        <f aca="false">IF(H39968=Assumptions!$K$64,1,0)</f>
        <v>0</v>
      </c>
      <c r="I40096" s="21" t="n">
        <f aca="false">IF(I39968=Assumptions!$K$64,1,0)</f>
        <v>0</v>
      </c>
      <c r="J40096" s="21" t="n">
        <f aca="false">IF(J39968=Assumptions!$K$64,1,0)</f>
        <v>1</v>
      </c>
      <c r="K40096" s="21" t="n">
        <f aca="false">IF(K39968=Assumptions!$K$64,1,0)</f>
        <v>0</v>
      </c>
    </row>
    <row r="40098" customFormat="false" ht="15" hidden="false" customHeight="false" outlineLevel="0" collapsed="false">
      <c r="A40098" s="3" t="s">
        <v>331</v>
      </c>
      <c r="G40098" s="31" t="n">
        <f aca="false">IF(Assumptions!$I$64=1,MAX(G39994,Assumptions!$G$64)+Assumptions!$F$64+$C$39995,Assumptions!$E$64)</f>
        <v>0.0455</v>
      </c>
      <c r="H40098" s="31" t="n">
        <f aca="false">IF(G40321=1,$C$39996,IF(Assumptions!$I$64=1,MAX(H39994,Assumptions!$G$64)+Assumptions!$F$64+$C$39995,Assumptions!$E$64))</f>
        <v>0.0455</v>
      </c>
      <c r="I40098" s="31" t="n">
        <f aca="false">IF(H40321=1,$C$39996,IF(Assumptions!$I$64=1,MAX(I39994,Assumptions!$G$64)+Assumptions!$F$64+$C$39995,Assumptions!$E$64))</f>
        <v>0.0455</v>
      </c>
      <c r="J40098" s="31" t="n">
        <f aca="false">IF(I40321=1,$C$39996,IF(Assumptions!$I$64=1,MAX(J39994,Assumptions!$G$64)+Assumptions!$F$64+$C$39995,Assumptions!$E$64))</f>
        <v>0.0455</v>
      </c>
      <c r="K40098" s="31" t="n">
        <f aca="false">IF(J40321=1,$C$39996,IF(Assumptions!$I$64=1,MAX(K39994,Assumptions!$G$64)+Assumptions!$F$64+$C$39995,Assumptions!$E$64))</f>
        <v>0.0455</v>
      </c>
    </row>
    <row r="40099" customFormat="false" ht="15" hidden="false" customHeight="false" outlineLevel="0" collapsed="false">
      <c r="A40099" s="3" t="s">
        <v>332</v>
      </c>
      <c r="G40099" s="16" t="n">
        <f aca="false">G40095*G40098</f>
        <v>15.925</v>
      </c>
      <c r="H40099" s="16" t="n">
        <f aca="false">H40095*H40098</f>
        <v>15.925</v>
      </c>
      <c r="I40099" s="16" t="n">
        <f aca="false">I40095*I40098</f>
        <v>15.925</v>
      </c>
      <c r="J40099" s="16" t="n">
        <f aca="false">J40095*J40098</f>
        <v>15.925</v>
      </c>
      <c r="K40099" s="16" t="n">
        <f aca="false">K40095*K40098</f>
        <v>15.925</v>
      </c>
    </row>
    <row r="40100" customFormat="false" ht="15" hidden="false" customHeight="false" outlineLevel="0" collapsed="false">
      <c r="A40100" s="3" t="s">
        <v>333</v>
      </c>
      <c r="G40100" s="16" t="n">
        <f aca="false">G40095*Assumptions!$H$64</f>
        <v>0</v>
      </c>
      <c r="H40100" s="16" t="n">
        <f aca="false">H40095*Assumptions!$H$64</f>
        <v>0</v>
      </c>
      <c r="I40100" s="16" t="n">
        <f aca="false">I40095*Assumptions!$H$64</f>
        <v>0</v>
      </c>
      <c r="J40100" s="16" t="n">
        <f aca="false">J40095*Assumptions!$H$64</f>
        <v>0</v>
      </c>
      <c r="K40100" s="16" t="n">
        <f aca="false">K40095*Assumptions!$H$64</f>
        <v>0</v>
      </c>
    </row>
    <row r="40101" customFormat="false" ht="15" hidden="false" customHeight="false" outlineLevel="0" collapsed="false">
      <c r="A40101" s="3" t="s">
        <v>334</v>
      </c>
      <c r="G40101" s="16" t="n">
        <f aca="false">MIN(G40095,Assumptions!$L$64*Assumptions!$C$64)</f>
        <v>0</v>
      </c>
      <c r="H40101" s="16" t="n">
        <f aca="false">MIN(H40095,Assumptions!$L$64*Assumptions!$C$64)</f>
        <v>0</v>
      </c>
      <c r="I40101" s="16" t="n">
        <f aca="false">MIN(I40095,Assumptions!$L$64*Assumptions!$C$64)</f>
        <v>0</v>
      </c>
      <c r="J40101" s="16" t="n">
        <f aca="false">MIN(J40095,Assumptions!$L$64*Assumptions!$C$64)</f>
        <v>0</v>
      </c>
      <c r="K40101" s="16" t="n">
        <f aca="false">MIN(K40095,Assumptions!$L$64*Assumptions!$C$64)</f>
        <v>0</v>
      </c>
    </row>
    <row r="40102" customFormat="false" ht="15" hidden="false" customHeight="false" outlineLevel="0" collapsed="false">
      <c r="A40102" s="3" t="s">
        <v>335</v>
      </c>
      <c r="G40102" s="16" t="n">
        <f aca="false">IF(AND(Assumptions!$P$64=1,G39968&lt;Assumptions!$K$64),MIN(MAX(0,-G40184),MAX(0,Assumptions!$D$64-G40095)),0)</f>
        <v>0</v>
      </c>
      <c r="H40102" s="16" t="n">
        <f aca="false">IF(AND(Assumptions!$P$64=1,OR(H39968&lt;Assumptions!$K$64,G40321=1)),MIN(MAX(0,-H40184),MAX(0,Assumptions!$D$64-H40095)),0)</f>
        <v>0</v>
      </c>
      <c r="I40102" s="16" t="n">
        <f aca="false">IF(AND(Assumptions!$P$64=1,OR(I39968&lt;Assumptions!$K$64,H40321=1)),MIN(MAX(0,-I40184),MAX(0,Assumptions!$D$64-I40095)),0)</f>
        <v>0</v>
      </c>
      <c r="J40102" s="16" t="n">
        <f aca="false">IF(AND(Assumptions!$P$64=1,OR(J39968&lt;Assumptions!$K$64,I40321=1)),MIN(MAX(0,-J40184),MAX(0,Assumptions!$D$64-J40095)),0)</f>
        <v>0</v>
      </c>
      <c r="K40102" s="16" t="n">
        <f aca="false">IF(AND(Assumptions!$P$64=1,OR(K39968&lt;Assumptions!$K$64,J40321=1)),MIN(MAX(0,-K40184),MAX(0,Assumptions!$D$64-K40095)),0)</f>
        <v>0</v>
      </c>
    </row>
    <row r="40103" customFormat="false" ht="15" hidden="false" customHeight="false" outlineLevel="0" collapsed="false">
      <c r="A40103" s="3" t="s">
        <v>336</v>
      </c>
      <c r="G40103" s="16" t="n">
        <f aca="false">G40096*MIN(G40095-G40101+G40100,MAX(0,G40186-Assumptions!$C$12*G40002-G40012-G40025-G40038-G40051-G40064-G40077-G40090))</f>
        <v>0</v>
      </c>
      <c r="H40103" s="16" t="n">
        <f aca="false">H40096*MIN(H40095-H40101+H40100,MAX(0,H40186-Assumptions!$C$12*H40002-H40012-H40025-H40038-H40051-H40064-H40077-H40090))</f>
        <v>0</v>
      </c>
      <c r="I40103" s="16" t="n">
        <f aca="false">I40096*MIN(I40095-I40101+I40100,MAX(0,I40186-Assumptions!$C$12*I40002-I40012-I40025-I40038-I40051-I40064-I40077-I40090))</f>
        <v>0</v>
      </c>
      <c r="J40103" s="16" t="n">
        <f aca="false">J40096*MIN(J40095-J40101+J40100,MAX(0,J40186-Assumptions!$C$12*J40002-J40012-J40025-J40038-J40051-J40064-J40077-J40090))</f>
        <v>0</v>
      </c>
      <c r="K40103" s="16" t="n">
        <f aca="false">K40096*MIN(K40095-K40101+K40100,MAX(0,K40186-Assumptions!$C$12*K40002-K40012-K40025-K40038-K40051-K40064-K40077-K40090))</f>
        <v>0</v>
      </c>
    </row>
    <row r="40104" customFormat="false" ht="15" hidden="false" customHeight="false" outlineLevel="0" collapsed="false">
      <c r="A40104" s="3" t="s">
        <v>337</v>
      </c>
      <c r="G40104" s="16" t="n">
        <f aca="false">Assumptions!$N$64*MIN(G40095+G40102+G40100-G40101-G40103,MAX(0,G40190-G40013-G40026-G40039-G40052-G40065-G40078-G40091))</f>
        <v>0</v>
      </c>
      <c r="H40104" s="16" t="n">
        <f aca="false">Assumptions!$N$64*MIN(H40095+H40102+H40100-H40101-H40103,MAX(0,H40190-H40013-H40026-H40039-H40052-H40065-H40078-H40091))</f>
        <v>0</v>
      </c>
      <c r="I40104" s="16" t="n">
        <f aca="false">Assumptions!$N$64*MIN(I40095+I40102+I40100-I40101-I40103,MAX(0,I40190-I40013-I40026-I40039-I40052-I40065-I40078-I40091))</f>
        <v>0</v>
      </c>
      <c r="J40104" s="16" t="n">
        <f aca="false">Assumptions!$N$64*MIN(J40095+J40102+J40100-J40101-J40103,MAX(0,J40190-J40013-J40026-J40039-J40052-J40065-J40078-J40091))</f>
        <v>0</v>
      </c>
      <c r="K40104" s="16" t="n">
        <f aca="false">Assumptions!$N$64*MIN(K40095+K40102+K40100-K40101-K40103,MAX(0,K40190-K40013-K40026-K40039-K40052-K40065-K40078-K40091))</f>
        <v>0</v>
      </c>
    </row>
    <row r="40105" customFormat="false" ht="15" hidden="false" customHeight="false" outlineLevel="0" collapsed="false">
      <c r="A40105" s="3" t="s">
        <v>338</v>
      </c>
      <c r="G40105" s="16" t="n">
        <f aca="false">G40096*(1-G40002)*(G40095-G40101+G40100-G40103)</f>
        <v>0</v>
      </c>
      <c r="H40105" s="16" t="n">
        <f aca="false">H40096*(1-H40002)*(H40095-H40101+H40100-H40103)</f>
        <v>0</v>
      </c>
      <c r="I40105" s="16" t="n">
        <f aca="false">I40096*(1-I40002)*(I40095-I40101+I40100-I40103)</f>
        <v>0</v>
      </c>
      <c r="J40105" s="16" t="n">
        <f aca="false">J40096*(1-J40002)*(J40095-J40101+J40100-J40103)</f>
        <v>350</v>
      </c>
      <c r="K40105" s="16" t="n">
        <f aca="false">K40096*(1-K40002)*(K40095-K40101+K40100-K40103)</f>
        <v>0</v>
      </c>
    </row>
    <row r="40106" customFormat="false" ht="15" hidden="false" customHeight="false" outlineLevel="0" collapsed="false">
      <c r="A40106" s="2" t="s">
        <v>339</v>
      </c>
      <c r="F40106" s="28" t="n">
        <f aca="false">Assumptions!$C$64</f>
        <v>350</v>
      </c>
      <c r="G40106" s="17" t="n">
        <f aca="false">G40095+G40102+G40100-G40101-G40103-G40104</f>
        <v>350</v>
      </c>
      <c r="H40106" s="17" t="n">
        <f aca="false">H40095+H40102+H40100-H40101-H40103-H40104</f>
        <v>350</v>
      </c>
      <c r="I40106" s="17" t="n">
        <f aca="false">I40095+I40102+I40100-I40101-I40103-I40104</f>
        <v>350</v>
      </c>
      <c r="J40106" s="17" t="n">
        <f aca="false">J40095+J40102+J40100-J40101-J40103-J40104</f>
        <v>350</v>
      </c>
      <c r="K40106" s="17" t="n">
        <f aca="false">K40095+K40102+K40100-K40101-K40103-K40104</f>
        <v>350</v>
      </c>
    </row>
    <row r="40107" customFormat="false" ht="15" hidden="false" customHeight="false" outlineLevel="0" collapsed="false">
      <c r="A40107" s="24" t="s">
        <v>347</v>
      </c>
      <c r="B40107" s="25"/>
      <c r="C40107" s="25"/>
      <c r="D40107" s="25"/>
      <c r="E40107" s="25"/>
      <c r="F40107" s="25"/>
      <c r="G40107" s="25"/>
      <c r="H40107" s="25"/>
      <c r="I40107" s="25"/>
      <c r="J40107" s="25"/>
      <c r="K40107" s="25"/>
    </row>
    <row r="40108" customFormat="false" ht="15" hidden="false" customHeight="false" outlineLevel="0" collapsed="false">
      <c r="A40108" s="3" t="s">
        <v>329</v>
      </c>
      <c r="G40108" s="16" t="n">
        <f aca="false">F40119</f>
        <v>300</v>
      </c>
      <c r="H40108" s="16" t="n">
        <f aca="false">G40119</f>
        <v>300</v>
      </c>
      <c r="I40108" s="16" t="n">
        <f aca="false">H40119</f>
        <v>300</v>
      </c>
      <c r="J40108" s="16" t="n">
        <f aca="false">I40119</f>
        <v>300</v>
      </c>
      <c r="K40108" s="16" t="n">
        <f aca="false">J40119</f>
        <v>300</v>
      </c>
    </row>
    <row r="40109" customFormat="false" ht="15" hidden="false" customHeight="false" outlineLevel="0" collapsed="false">
      <c r="A40109" s="3" t="s">
        <v>330</v>
      </c>
      <c r="G40109" s="21" t="n">
        <f aca="false">IF(G39968=Assumptions!$K$65,1,0)</f>
        <v>0</v>
      </c>
      <c r="H40109" s="21" t="n">
        <f aca="false">IF(H39968=Assumptions!$K$65,1,0)</f>
        <v>0</v>
      </c>
      <c r="I40109" s="21" t="n">
        <f aca="false">IF(I39968=Assumptions!$K$65,1,0)</f>
        <v>0</v>
      </c>
      <c r="J40109" s="21" t="n">
        <f aca="false">IF(J39968=Assumptions!$K$65,1,0)</f>
        <v>0</v>
      </c>
      <c r="K40109" s="21" t="n">
        <f aca="false">IF(K39968=Assumptions!$K$65,1,0)</f>
        <v>1</v>
      </c>
    </row>
    <row r="40111" customFormat="false" ht="15" hidden="false" customHeight="false" outlineLevel="0" collapsed="false">
      <c r="A40111" s="3" t="s">
        <v>331</v>
      </c>
      <c r="G40111" s="31" t="n">
        <f aca="false">IF(Assumptions!$I$65=1,MAX(G39994,Assumptions!$G$65)+Assumptions!$F$65+$C$39995,Assumptions!$E$65)</f>
        <v>0.06125</v>
      </c>
      <c r="H40111" s="31" t="n">
        <f aca="false">IF(G40322=1,$C$39996,IF(Assumptions!$I$65=1,MAX(H39994,Assumptions!$G$65)+Assumptions!$F$65+$C$39995,Assumptions!$E$65))</f>
        <v>0.06125</v>
      </c>
      <c r="I40111" s="31" t="n">
        <f aca="false">IF(H40322=1,$C$39996,IF(Assumptions!$I$65=1,MAX(I39994,Assumptions!$G$65)+Assumptions!$F$65+$C$39995,Assumptions!$E$65))</f>
        <v>0.06125</v>
      </c>
      <c r="J40111" s="31" t="n">
        <f aca="false">IF(I40322=1,$C$39996,IF(Assumptions!$I$65=1,MAX(J39994,Assumptions!$G$65)+Assumptions!$F$65+$C$39995,Assumptions!$E$65))</f>
        <v>0.06125</v>
      </c>
      <c r="K40111" s="31" t="n">
        <f aca="false">IF(J40322=1,$C$39996,IF(Assumptions!$I$65=1,MAX(K39994,Assumptions!$G$65)+Assumptions!$F$65+$C$39995,Assumptions!$E$65))</f>
        <v>0.06125</v>
      </c>
    </row>
    <row r="40112" customFormat="false" ht="15" hidden="false" customHeight="false" outlineLevel="0" collapsed="false">
      <c r="A40112" s="3" t="s">
        <v>332</v>
      </c>
      <c r="G40112" s="16" t="n">
        <f aca="false">G40108*G40111</f>
        <v>18.375</v>
      </c>
      <c r="H40112" s="16" t="n">
        <f aca="false">H40108*H40111</f>
        <v>18.375</v>
      </c>
      <c r="I40112" s="16" t="n">
        <f aca="false">I40108*I40111</f>
        <v>18.375</v>
      </c>
      <c r="J40112" s="16" t="n">
        <f aca="false">J40108*J40111</f>
        <v>18.375</v>
      </c>
      <c r="K40112" s="16" t="n">
        <f aca="false">K40108*K40111</f>
        <v>18.375</v>
      </c>
    </row>
    <row r="40113" customFormat="false" ht="15" hidden="false" customHeight="false" outlineLevel="0" collapsed="false">
      <c r="A40113" s="3" t="s">
        <v>333</v>
      </c>
      <c r="G40113" s="16" t="n">
        <f aca="false">G40108*Assumptions!$H$65</f>
        <v>0</v>
      </c>
      <c r="H40113" s="16" t="n">
        <f aca="false">H40108*Assumptions!$H$65</f>
        <v>0</v>
      </c>
      <c r="I40113" s="16" t="n">
        <f aca="false">I40108*Assumptions!$H$65</f>
        <v>0</v>
      </c>
      <c r="J40113" s="16" t="n">
        <f aca="false">J40108*Assumptions!$H$65</f>
        <v>0</v>
      </c>
      <c r="K40113" s="16" t="n">
        <f aca="false">K40108*Assumptions!$H$65</f>
        <v>0</v>
      </c>
    </row>
    <row r="40114" customFormat="false" ht="15" hidden="false" customHeight="false" outlineLevel="0" collapsed="false">
      <c r="A40114" s="3" t="s">
        <v>334</v>
      </c>
      <c r="G40114" s="16" t="n">
        <f aca="false">MIN(G40108,Assumptions!$L$65*Assumptions!$C$65)</f>
        <v>0</v>
      </c>
      <c r="H40114" s="16" t="n">
        <f aca="false">MIN(H40108,Assumptions!$L$65*Assumptions!$C$65)</f>
        <v>0</v>
      </c>
      <c r="I40114" s="16" t="n">
        <f aca="false">MIN(I40108,Assumptions!$L$65*Assumptions!$C$65)</f>
        <v>0</v>
      </c>
      <c r="J40114" s="16" t="n">
        <f aca="false">MIN(J40108,Assumptions!$L$65*Assumptions!$C$65)</f>
        <v>0</v>
      </c>
      <c r="K40114" s="16" t="n">
        <f aca="false">MIN(K40108,Assumptions!$L$65*Assumptions!$C$65)</f>
        <v>0</v>
      </c>
    </row>
    <row r="40115" customFormat="false" ht="15" hidden="false" customHeight="false" outlineLevel="0" collapsed="false">
      <c r="A40115" s="3" t="s">
        <v>335</v>
      </c>
      <c r="G40115" s="16" t="n">
        <f aca="false">IF(AND(Assumptions!$P$65=1,G39968&lt;Assumptions!$K$65),MIN(MAX(0,-G40184),MAX(0,Assumptions!$D$65-G40108)),0)</f>
        <v>0</v>
      </c>
      <c r="H40115" s="16" t="n">
        <f aca="false">IF(AND(Assumptions!$P$65=1,OR(H39968&lt;Assumptions!$K$65,G40322=1)),MIN(MAX(0,-H40184),MAX(0,Assumptions!$D$65-H40108)),0)</f>
        <v>0</v>
      </c>
      <c r="I40115" s="16" t="n">
        <f aca="false">IF(AND(Assumptions!$P$65=1,OR(I39968&lt;Assumptions!$K$65,H40322=1)),MIN(MAX(0,-I40184),MAX(0,Assumptions!$D$65-I40108)),0)</f>
        <v>0</v>
      </c>
      <c r="J40115" s="16" t="n">
        <f aca="false">IF(AND(Assumptions!$P$65=1,OR(J39968&lt;Assumptions!$K$65,I40322=1)),MIN(MAX(0,-J40184),MAX(0,Assumptions!$D$65-J40108)),0)</f>
        <v>0</v>
      </c>
      <c r="K40115" s="16" t="n">
        <f aca="false">IF(AND(Assumptions!$P$65=1,OR(K39968&lt;Assumptions!$K$65,J40322=1)),MIN(MAX(0,-K40184),MAX(0,Assumptions!$D$65-K40108)),0)</f>
        <v>0</v>
      </c>
    </row>
    <row r="40116" customFormat="false" ht="15" hidden="false" customHeight="false" outlineLevel="0" collapsed="false">
      <c r="A40116" s="3" t="s">
        <v>336</v>
      </c>
      <c r="G40116" s="16" t="n">
        <f aca="false">G40109*MIN(G40108-G40114+G40113,MAX(0,G40186-Assumptions!$C$12*G40002-G40012-G40025-G40038-G40051-G40064-G40077-G40090-G40103))</f>
        <v>0</v>
      </c>
      <c r="H40116" s="16" t="n">
        <f aca="false">H40109*MIN(H40108-H40114+H40113,MAX(0,H40186-Assumptions!$C$12*H40002-H40012-H40025-H40038-H40051-H40064-H40077-H40090-H40103))</f>
        <v>0</v>
      </c>
      <c r="I40116" s="16" t="n">
        <f aca="false">I40109*MIN(I40108-I40114+I40113,MAX(0,I40186-Assumptions!$C$12*I40002-I40012-I40025-I40038-I40051-I40064-I40077-I40090-I40103))</f>
        <v>0</v>
      </c>
      <c r="J40116" s="16" t="n">
        <f aca="false">J40109*MIN(J40108-J40114+J40113,MAX(0,J40186-Assumptions!$C$12*J40002-J40012-J40025-J40038-J40051-J40064-J40077-J40090-J40103))</f>
        <v>0</v>
      </c>
      <c r="K40116" s="16" t="n">
        <f aca="false">K40109*MIN(K40108-K40114+K40113,MAX(0,K40186-Assumptions!$C$12*K40002-K40012-K40025-K40038-K40051-K40064-K40077-K40090-K40103))</f>
        <v>0</v>
      </c>
    </row>
    <row r="40117" customFormat="false" ht="15" hidden="false" customHeight="false" outlineLevel="0" collapsed="false">
      <c r="A40117" s="3" t="s">
        <v>337</v>
      </c>
      <c r="G40117" s="16" t="n">
        <f aca="false">Assumptions!$N$65*MIN(G40108+G40115+G40113-G40114-G40116,MAX(0,G40190-G40013-G40026-G40039-G40052-G40065-G40078-G40091-G40104))</f>
        <v>0</v>
      </c>
      <c r="H40117" s="16" t="n">
        <f aca="false">Assumptions!$N$65*MIN(H40108+H40115+H40113-H40114-H40116,MAX(0,H40190-H40013-H40026-H40039-H40052-H40065-H40078-H40091-H40104))</f>
        <v>0</v>
      </c>
      <c r="I40117" s="16" t="n">
        <f aca="false">Assumptions!$N$65*MIN(I40108+I40115+I40113-I40114-I40116,MAX(0,I40190-I40013-I40026-I40039-I40052-I40065-I40078-I40091-I40104))</f>
        <v>0</v>
      </c>
      <c r="J40117" s="16" t="n">
        <f aca="false">Assumptions!$N$65*MIN(J40108+J40115+J40113-J40114-J40116,MAX(0,J40190-J40013-J40026-J40039-J40052-J40065-J40078-J40091-J40104))</f>
        <v>0</v>
      </c>
      <c r="K40117" s="16" t="n">
        <f aca="false">Assumptions!$N$65*MIN(K40108+K40115+K40113-K40114-K40116,MAX(0,K40190-K40013-K40026-K40039-K40052-K40065-K40078-K40091-K40104))</f>
        <v>0</v>
      </c>
    </row>
    <row r="40118" customFormat="false" ht="15" hidden="false" customHeight="false" outlineLevel="0" collapsed="false">
      <c r="A40118" s="3" t="s">
        <v>338</v>
      </c>
      <c r="G40118" s="16" t="n">
        <f aca="false">G40109*(1-G40002)*(G40108-G40114+G40113-G40116)</f>
        <v>0</v>
      </c>
      <c r="H40118" s="16" t="n">
        <f aca="false">H40109*(1-H40002)*(H40108-H40114+H40113-H40116)</f>
        <v>0</v>
      </c>
      <c r="I40118" s="16" t="n">
        <f aca="false">I40109*(1-I40002)*(I40108-I40114+I40113-I40116)</f>
        <v>0</v>
      </c>
      <c r="J40118" s="16" t="n">
        <f aca="false">J40109*(1-J40002)*(J40108-J40114+J40113-J40116)</f>
        <v>0</v>
      </c>
      <c r="K40118" s="16" t="n">
        <f aca="false">K40109*(1-K40002)*(K40108-K40114+K40113-K40116)</f>
        <v>300</v>
      </c>
    </row>
    <row r="40119" customFormat="false" ht="15" hidden="false" customHeight="false" outlineLevel="0" collapsed="false">
      <c r="A40119" s="2" t="s">
        <v>339</v>
      </c>
      <c r="F40119" s="28" t="n">
        <f aca="false">Assumptions!$C$65</f>
        <v>300</v>
      </c>
      <c r="G40119" s="17" t="n">
        <f aca="false">G40108+G40115+G40113-G40114-G40116-G40117</f>
        <v>300</v>
      </c>
      <c r="H40119" s="17" t="n">
        <f aca="false">H40108+H40115+H40113-H40114-H40116-H40117</f>
        <v>300</v>
      </c>
      <c r="I40119" s="17" t="n">
        <f aca="false">I40108+I40115+I40113-I40114-I40116-I40117</f>
        <v>300</v>
      </c>
      <c r="J40119" s="17" t="n">
        <f aca="false">J40108+J40115+J40113-J40114-J40116-J40117</f>
        <v>300</v>
      </c>
      <c r="K40119" s="17" t="n">
        <f aca="false">K40108+K40115+K40113-K40114-K40116-K40117</f>
        <v>300</v>
      </c>
    </row>
    <row r="40120" customFormat="false" ht="15" hidden="false" customHeight="false" outlineLevel="0" collapsed="false">
      <c r="A40120" s="24" t="s">
        <v>348</v>
      </c>
      <c r="B40120" s="25"/>
      <c r="C40120" s="25"/>
      <c r="D40120" s="25"/>
      <c r="E40120" s="25"/>
      <c r="F40120" s="25"/>
      <c r="G40120" s="25"/>
      <c r="H40120" s="25"/>
      <c r="I40120" s="25"/>
      <c r="J40120" s="25"/>
      <c r="K40120" s="25"/>
    </row>
    <row r="40121" customFormat="false" ht="15" hidden="false" customHeight="false" outlineLevel="0" collapsed="false">
      <c r="A40121" s="3" t="s">
        <v>329</v>
      </c>
      <c r="G40121" s="16" t="n">
        <f aca="false">F40132</f>
        <v>78.61</v>
      </c>
      <c r="H40121" s="16" t="n">
        <f aca="false">G40132</f>
        <v>78.61</v>
      </c>
      <c r="I40121" s="16" t="n">
        <f aca="false">H40132</f>
        <v>78.61</v>
      </c>
      <c r="J40121" s="16" t="n">
        <f aca="false">I40132</f>
        <v>78.61</v>
      </c>
      <c r="K40121" s="16" t="n">
        <f aca="false">J40132</f>
        <v>78.61</v>
      </c>
    </row>
    <row r="40122" customFormat="false" ht="15" hidden="false" customHeight="false" outlineLevel="0" collapsed="false">
      <c r="A40122" s="3" t="s">
        <v>330</v>
      </c>
      <c r="G40122" s="21" t="n">
        <f aca="false">IF(G39968=Assumptions!$K$66,1,0)</f>
        <v>0</v>
      </c>
      <c r="H40122" s="21" t="n">
        <f aca="false">IF(H39968=Assumptions!$K$66,1,0)</f>
        <v>0</v>
      </c>
      <c r="I40122" s="21" t="n">
        <f aca="false">IF(I39968=Assumptions!$K$66,1,0)</f>
        <v>0</v>
      </c>
      <c r="J40122" s="21" t="n">
        <f aca="false">IF(J39968=Assumptions!$K$66,1,0)</f>
        <v>0</v>
      </c>
      <c r="K40122" s="21" t="n">
        <f aca="false">IF(K39968=Assumptions!$K$66,1,0)</f>
        <v>0</v>
      </c>
    </row>
    <row r="40124" customFormat="false" ht="15" hidden="false" customHeight="false" outlineLevel="0" collapsed="false">
      <c r="A40124" s="3" t="s">
        <v>331</v>
      </c>
      <c r="G40124" s="31" t="n">
        <f aca="false">IF(Assumptions!$I$66=1,MAX(G39994,Assumptions!$G$66)+Assumptions!$F$66+$C$39995,Assumptions!$E$66)</f>
        <v>0.0841</v>
      </c>
      <c r="H40124" s="31" t="n">
        <f aca="false">IF(G40323=1,$C$39996,IF(Assumptions!$I$66=1,MAX(H39994,Assumptions!$G$66)+Assumptions!$F$66+$C$39995,Assumptions!$E$66))</f>
        <v>0.0826</v>
      </c>
      <c r="I40124" s="31" t="n">
        <f aca="false">IF(H40323=1,$C$39996,IF(Assumptions!$I$66=1,MAX(I39994,Assumptions!$G$66)+Assumptions!$F$66+$C$39995,Assumptions!$E$66))</f>
        <v>0.0801</v>
      </c>
      <c r="J40124" s="31" t="n">
        <f aca="false">IF(I40323=1,$C$39996,IF(Assumptions!$I$66=1,MAX(J39994,Assumptions!$G$66)+Assumptions!$F$66+$C$39995,Assumptions!$E$66))</f>
        <v>0.0801</v>
      </c>
      <c r="K40124" s="31" t="n">
        <f aca="false">IF(J40323=1,$C$39996,IF(Assumptions!$I$66=1,MAX(K39994,Assumptions!$G$66)+Assumptions!$F$66+$C$39995,Assumptions!$E$66))</f>
        <v>0.0801</v>
      </c>
    </row>
    <row r="40125" customFormat="false" ht="15" hidden="false" customHeight="false" outlineLevel="0" collapsed="false">
      <c r="A40125" s="3" t="s">
        <v>332</v>
      </c>
      <c r="G40125" s="16" t="n">
        <f aca="false">G40121*G40124</f>
        <v>6.611101</v>
      </c>
      <c r="H40125" s="16" t="n">
        <f aca="false">H40121*H40124</f>
        <v>6.493186</v>
      </c>
      <c r="I40125" s="16" t="n">
        <f aca="false">I40121*I40124</f>
        <v>6.296661</v>
      </c>
      <c r="J40125" s="16" t="n">
        <f aca="false">J40121*J40124</f>
        <v>6.296661</v>
      </c>
      <c r="K40125" s="16" t="n">
        <f aca="false">K40121*K40124</f>
        <v>6.296661</v>
      </c>
    </row>
    <row r="40126" customFormat="false" ht="15" hidden="false" customHeight="false" outlineLevel="0" collapsed="false">
      <c r="A40126" s="3" t="s">
        <v>333</v>
      </c>
      <c r="G40126" s="16" t="n">
        <f aca="false">G40121*Assumptions!$H$66</f>
        <v>0</v>
      </c>
      <c r="H40126" s="16" t="n">
        <f aca="false">H40121*Assumptions!$H$66</f>
        <v>0</v>
      </c>
      <c r="I40126" s="16" t="n">
        <f aca="false">I40121*Assumptions!$H$66</f>
        <v>0</v>
      </c>
      <c r="J40126" s="16" t="n">
        <f aca="false">J40121*Assumptions!$H$66</f>
        <v>0</v>
      </c>
      <c r="K40126" s="16" t="n">
        <f aca="false">K40121*Assumptions!$H$66</f>
        <v>0</v>
      </c>
    </row>
    <row r="40127" customFormat="false" ht="15" hidden="false" customHeight="false" outlineLevel="0" collapsed="false">
      <c r="A40127" s="3" t="s">
        <v>334</v>
      </c>
      <c r="G40127" s="16" t="n">
        <f aca="false">MIN(G40121,Assumptions!$L$66*Assumptions!$C$66)</f>
        <v>0</v>
      </c>
      <c r="H40127" s="16" t="n">
        <f aca="false">MIN(H40121,Assumptions!$L$66*Assumptions!$C$66)</f>
        <v>0</v>
      </c>
      <c r="I40127" s="16" t="n">
        <f aca="false">MIN(I40121,Assumptions!$L$66*Assumptions!$C$66)</f>
        <v>0</v>
      </c>
      <c r="J40127" s="16" t="n">
        <f aca="false">MIN(J40121,Assumptions!$L$66*Assumptions!$C$66)</f>
        <v>0</v>
      </c>
      <c r="K40127" s="16" t="n">
        <f aca="false">MIN(K40121,Assumptions!$L$66*Assumptions!$C$66)</f>
        <v>0</v>
      </c>
    </row>
    <row r="40128" customFormat="false" ht="15" hidden="false" customHeight="false" outlineLevel="0" collapsed="false">
      <c r="A40128" s="3" t="s">
        <v>335</v>
      </c>
      <c r="G40128" s="16" t="n">
        <f aca="false">IF(AND(Assumptions!$P$66=1,G39968&lt;Assumptions!$K$66),MIN(MAX(0,-G40184),MAX(0,Assumptions!$D$66-G40121)),0)</f>
        <v>0</v>
      </c>
      <c r="H40128" s="16" t="n">
        <f aca="false">IF(AND(Assumptions!$P$66=1,OR(H39968&lt;Assumptions!$K$66,G40323=1)),MIN(MAX(0,-H40184),MAX(0,Assumptions!$D$66-H40121)),0)</f>
        <v>0</v>
      </c>
      <c r="I40128" s="16" t="n">
        <f aca="false">IF(AND(Assumptions!$P$66=1,OR(I39968&lt;Assumptions!$K$66,H40323=1)),MIN(MAX(0,-I40184),MAX(0,Assumptions!$D$66-I40121)),0)</f>
        <v>0</v>
      </c>
      <c r="J40128" s="16" t="n">
        <f aca="false">IF(AND(Assumptions!$P$66=1,OR(J39968&lt;Assumptions!$K$66,I40323=1)),MIN(MAX(0,-J40184),MAX(0,Assumptions!$D$66-J40121)),0)</f>
        <v>0</v>
      </c>
      <c r="K40128" s="16" t="n">
        <f aca="false">IF(AND(Assumptions!$P$66=1,OR(K39968&lt;Assumptions!$K$66,J40323=1)),MIN(MAX(0,-K40184),MAX(0,Assumptions!$D$66-K40121)),0)</f>
        <v>0</v>
      </c>
    </row>
    <row r="40129" customFormat="false" ht="15" hidden="false" customHeight="false" outlineLevel="0" collapsed="false">
      <c r="A40129" s="3" t="s">
        <v>336</v>
      </c>
      <c r="G40129" s="16" t="n">
        <f aca="false">G40122*MIN(G40121-G40127+G40126,MAX(0,G40186-Assumptions!$C$12*G40002-G40012-G40025-G40038-G40051-G40064-G40077-G40090-G40103-G40116))</f>
        <v>0</v>
      </c>
      <c r="H40129" s="16" t="n">
        <f aca="false">H40122*MIN(H40121-H40127+H40126,MAX(0,H40186-Assumptions!$C$12*H40002-H40012-H40025-H40038-H40051-H40064-H40077-H40090-H40103-H40116))</f>
        <v>0</v>
      </c>
      <c r="I40129" s="16" t="n">
        <f aca="false">I40122*MIN(I40121-I40127+I40126,MAX(0,I40186-Assumptions!$C$12*I40002-I40012-I40025-I40038-I40051-I40064-I40077-I40090-I40103-I40116))</f>
        <v>0</v>
      </c>
      <c r="J40129" s="16" t="n">
        <f aca="false">J40122*MIN(J40121-J40127+J40126,MAX(0,J40186-Assumptions!$C$12*J40002-J40012-J40025-J40038-J40051-J40064-J40077-J40090-J40103-J40116))</f>
        <v>0</v>
      </c>
      <c r="K40129" s="16" t="n">
        <f aca="false">K40122*MIN(K40121-K40127+K40126,MAX(0,K40186-Assumptions!$C$12*K40002-K40012-K40025-K40038-K40051-K40064-K40077-K40090-K40103-K40116))</f>
        <v>0</v>
      </c>
    </row>
    <row r="40130" customFormat="false" ht="15" hidden="false" customHeight="false" outlineLevel="0" collapsed="false">
      <c r="A40130" s="3" t="s">
        <v>337</v>
      </c>
      <c r="G40130" s="16" t="n">
        <f aca="false">Assumptions!$N$66*MIN(G40121+G40128+G40126-G40127-G40129,MAX(0,G40190-G40013-G40026-G40039-G40052-G40065-G40078-G40091-G40104-G40117))</f>
        <v>0</v>
      </c>
      <c r="H40130" s="16" t="n">
        <f aca="false">Assumptions!$N$66*MIN(H40121+H40128+H40126-H40127-H40129,MAX(0,H40190-H40013-H40026-H40039-H40052-H40065-H40078-H40091-H40104-H40117))</f>
        <v>0</v>
      </c>
      <c r="I40130" s="16" t="n">
        <f aca="false">Assumptions!$N$66*MIN(I40121+I40128+I40126-I40127-I40129,MAX(0,I40190-I40013-I40026-I40039-I40052-I40065-I40078-I40091-I40104-I40117))</f>
        <v>0</v>
      </c>
      <c r="J40130" s="16" t="n">
        <f aca="false">Assumptions!$N$66*MIN(J40121+J40128+J40126-J40127-J40129,MAX(0,J40190-J40013-J40026-J40039-J40052-J40065-J40078-J40091-J40104-J40117))</f>
        <v>0</v>
      </c>
      <c r="K40130" s="16" t="n">
        <f aca="false">Assumptions!$N$66*MIN(K40121+K40128+K40126-K40127-K40129,MAX(0,K40190-K40013-K40026-K40039-K40052-K40065-K40078-K40091-K40104-K40117))</f>
        <v>0</v>
      </c>
    </row>
    <row r="40131" customFormat="false" ht="15" hidden="false" customHeight="false" outlineLevel="0" collapsed="false">
      <c r="A40131" s="3" t="s">
        <v>338</v>
      </c>
      <c r="G40131" s="16" t="n">
        <f aca="false">G40122*(1-G40002)*(G40121-G40127+G40126-G40129)</f>
        <v>0</v>
      </c>
      <c r="H40131" s="16" t="n">
        <f aca="false">H40122*(1-H40002)*(H40121-H40127+H40126-H40129)</f>
        <v>0</v>
      </c>
      <c r="I40131" s="16" t="n">
        <f aca="false">I40122*(1-I40002)*(I40121-I40127+I40126-I40129)</f>
        <v>0</v>
      </c>
      <c r="J40131" s="16" t="n">
        <f aca="false">J40122*(1-J40002)*(J40121-J40127+J40126-J40129)</f>
        <v>0</v>
      </c>
      <c r="K40131" s="16" t="n">
        <f aca="false">K40122*(1-K40002)*(K40121-K40127+K40126-K40129)</f>
        <v>0</v>
      </c>
    </row>
    <row r="40132" customFormat="false" ht="15" hidden="false" customHeight="false" outlineLevel="0" collapsed="false">
      <c r="A40132" s="2" t="s">
        <v>339</v>
      </c>
      <c r="F40132" s="28" t="n">
        <f aca="false">Assumptions!$C$66</f>
        <v>78.61</v>
      </c>
      <c r="G40132" s="17" t="n">
        <f aca="false">G40121+G40128+G40126-G40127-G40129-G40130</f>
        <v>78.61</v>
      </c>
      <c r="H40132" s="17" t="n">
        <f aca="false">H40121+H40128+H40126-H40127-H40129-H40130</f>
        <v>78.61</v>
      </c>
      <c r="I40132" s="17" t="n">
        <f aca="false">I40121+I40128+I40126-I40127-I40129-I40130</f>
        <v>78.61</v>
      </c>
      <c r="J40132" s="17" t="n">
        <f aca="false">J40121+J40128+J40126-J40127-J40129-J40130</f>
        <v>78.61</v>
      </c>
      <c r="K40132" s="17" t="n">
        <f aca="false">K40121+K40128+K40126-K40127-K40129-K40130</f>
        <v>78.61</v>
      </c>
    </row>
    <row r="40133" customFormat="false" ht="15" hidden="false" customHeight="false" outlineLevel="0" collapsed="false">
      <c r="A40133" s="24" t="s">
        <v>349</v>
      </c>
      <c r="B40133" s="25"/>
      <c r="C40133" s="25"/>
      <c r="D40133" s="25"/>
      <c r="E40133" s="25"/>
      <c r="F40133" s="25"/>
      <c r="G40133" s="25"/>
      <c r="H40133" s="25"/>
      <c r="I40133" s="25"/>
      <c r="J40133" s="25"/>
      <c r="K40133" s="25"/>
    </row>
    <row r="40134" customFormat="false" ht="15" hidden="false" customHeight="false" outlineLevel="0" collapsed="false">
      <c r="A40134" s="2" t="s">
        <v>350</v>
      </c>
      <c r="F40134" s="17" t="n">
        <f aca="false">F40015+F40028+F40041+F40054+F40067+F40080+F40093+F40106+F40119+F40132</f>
        <v>2625.934</v>
      </c>
      <c r="G40134" s="17" t="n">
        <f aca="false">G40015+G40028+G40041+G40054+G40067+G40080+G40093+G40106+G40119+G40132</f>
        <v>2621.934</v>
      </c>
      <c r="H40134" s="17" t="n">
        <f aca="false">H40015+H40028+H40041+H40054+H40067+H40080+H40093+H40106+H40119+H40132</f>
        <v>2602.8887587</v>
      </c>
      <c r="I40134" s="17" t="n">
        <f aca="false">I40015+I40028+I40041+I40054+I40067+I40080+I40093+I40106+I40119+I40132</f>
        <v>2598.8887587</v>
      </c>
      <c r="J40134" s="17" t="n">
        <f aca="false">J40015+J40028+J40041+J40054+J40067+J40080+J40093+J40106+J40119+J40132</f>
        <v>2594.8887587</v>
      </c>
      <c r="K40134" s="17" t="n">
        <f aca="false">K40015+K40028+K40041+K40054+K40067+K40080+K40093+K40106+K40119+K40132</f>
        <v>2590.8887587</v>
      </c>
    </row>
    <row r="40135" customFormat="false" ht="15" hidden="false" customHeight="false" outlineLevel="0" collapsed="false">
      <c r="A40135" s="3" t="s">
        <v>351</v>
      </c>
      <c r="G40135" s="16" t="n">
        <f aca="false">G40005*Assumptions!$C$57+G40018*Assumptions!$C$58+G40031*Assumptions!$C$59+G40044*Assumptions!$C$60+G40057*Assumptions!$C$61+G40070*Assumptions!$C$62+G40083*Assumptions!$C$63+G40096*Assumptions!$C$64+G40109*Assumptions!$C$65+G40122*Assumptions!$C$66</f>
        <v>0</v>
      </c>
      <c r="H40135" s="16" t="n">
        <f aca="false">H40005*Assumptions!$C$57+H40018*Assumptions!$C$58+H40031*Assumptions!$C$59+H40044*Assumptions!$C$60+H40057*Assumptions!$C$61+H40070*Assumptions!$C$62+H40083*Assumptions!$C$63+H40096*Assumptions!$C$64+H40109*Assumptions!$C$65+H40122*Assumptions!$C$66</f>
        <v>800</v>
      </c>
      <c r="I40135" s="16" t="n">
        <f aca="false">I40005*Assumptions!$C$57+I40018*Assumptions!$C$58+I40031*Assumptions!$C$59+I40044*Assumptions!$C$60+I40057*Assumptions!$C$61+I40070*Assumptions!$C$62+I40083*Assumptions!$C$63+I40096*Assumptions!$C$64+I40109*Assumptions!$C$65+I40122*Assumptions!$C$66</f>
        <v>550</v>
      </c>
      <c r="J40135" s="16" t="n">
        <f aca="false">J40005*Assumptions!$C$57+J40018*Assumptions!$C$58+J40031*Assumptions!$C$59+J40044*Assumptions!$C$60+J40057*Assumptions!$C$61+J40070*Assumptions!$C$62+J40083*Assumptions!$C$63+J40096*Assumptions!$C$64+J40109*Assumptions!$C$65+J40122*Assumptions!$C$66</f>
        <v>350</v>
      </c>
      <c r="K40135" s="16" t="n">
        <f aca="false">K40005*Assumptions!$C$57+K40018*Assumptions!$C$58+K40031*Assumptions!$C$59+K40044*Assumptions!$C$60+K40057*Assumptions!$C$61+K40070*Assumptions!$C$62+K40083*Assumptions!$C$63+K40096*Assumptions!$C$64+K40109*Assumptions!$C$65+K40122*Assumptions!$C$66</f>
        <v>700</v>
      </c>
    </row>
    <row r="40136" customFormat="false" ht="15" hidden="false" customHeight="false" outlineLevel="0" collapsed="false">
      <c r="A40136" s="24" t="s">
        <v>352</v>
      </c>
      <c r="B40136" s="25"/>
      <c r="C40136" s="25"/>
      <c r="D40136" s="25"/>
      <c r="E40136" s="25"/>
      <c r="F40136" s="25"/>
      <c r="G40136" s="25"/>
      <c r="H40136" s="25"/>
      <c r="I40136" s="25"/>
      <c r="J40136" s="25"/>
      <c r="K40136" s="25"/>
    </row>
    <row r="40137" customFormat="false" ht="15" hidden="false" customHeight="false" outlineLevel="0" collapsed="false">
      <c r="A40137" s="3" t="s">
        <v>353</v>
      </c>
      <c r="C40137" s="16" t="n">
        <f aca="false">SUMPRODUCT($G$40005:$K$40005,$G$40004:$K$40004-$G$40010:$K$40010+$G$40009:$K$40009)</f>
        <v>380</v>
      </c>
    </row>
    <row r="40138" customFormat="false" ht="15" hidden="false" customHeight="false" outlineLevel="0" collapsed="false">
      <c r="A40138" s="3" t="s">
        <v>354</v>
      </c>
      <c r="C40138" s="16" t="n">
        <f aca="false">SUMPRODUCT($G$40005:$K$40005,$G$40012:$K$40012)</f>
        <v>0</v>
      </c>
    </row>
    <row r="40139" customFormat="false" ht="15" hidden="false" customHeight="false" outlineLevel="0" collapsed="false">
      <c r="A40139" s="3" t="s">
        <v>355</v>
      </c>
      <c r="C40139" s="3" t="str">
        <f aca="false">IF(SUM($G$40005:$K$40005)=0,"n/a (beyond horizon)",IF(SUMPRODUCT($G$40005:$K$40005,$G$40002:$K$40002)&gt;0,"REFINANCING PASS","REFINANCING FAILURE"))</f>
        <v>REFINANCING FAILURE</v>
      </c>
    </row>
    <row r="40140" customFormat="false" ht="15" hidden="false" customHeight="false" outlineLevel="0" collapsed="false">
      <c r="A40140" s="3" t="s">
        <v>356</v>
      </c>
      <c r="C40140" s="3" t="str">
        <f aca="false">IF(SUM($G$40005:$K$40005)=0,"n/a",IF(C40138&gt;=C40137-0.001,"Repaid from cash",IF(SUMPRODUCT($G$40005:$K$40005,$G$40002:$K$40002)&gt;0,IF(C40138&gt;0,"Partly repaid; remainder refinanced","Refinanced"),IF(SUM($G$40014:$K$40014)&gt;0.001,IF(C40138&gt;0,"Partial repayment; PAYMENT DEFAULT","PAYMENT DEFAULT"),"Repaid from cash"))))</f>
        <v>PAYMENT DEFAULT</v>
      </c>
    </row>
    <row r="40141" customFormat="false" ht="15" hidden="false" customHeight="false" outlineLevel="0" collapsed="false">
      <c r="A40141" s="3" t="s">
        <v>357</v>
      </c>
      <c r="C40141" s="16" t="n">
        <f aca="false">SUMPRODUCT($G$40018:$K$40018,$G$40017:$K$40017-$G$40023:$K$40023+$G$40022:$K$40022)</f>
        <v>0</v>
      </c>
    </row>
    <row r="40142" customFormat="false" ht="15" hidden="false" customHeight="false" outlineLevel="0" collapsed="false">
      <c r="A40142" s="3" t="s">
        <v>358</v>
      </c>
      <c r="C40142" s="16" t="n">
        <f aca="false">SUMPRODUCT($G$40018:$K$40018,$G$40025:$K$40025)</f>
        <v>0</v>
      </c>
    </row>
    <row r="40143" customFormat="false" ht="15" hidden="false" customHeight="false" outlineLevel="0" collapsed="false">
      <c r="A40143" s="3" t="s">
        <v>359</v>
      </c>
      <c r="C40143" s="3" t="str">
        <f aca="false">IF(SUM($G$40018:$K$40018)=0,"n/a (beyond horizon)",IF(SUMPRODUCT($G$40018:$K$40018,$G$40002:$K$40002)&gt;0,"REFINANCING PASS","REFINANCING FAILURE"))</f>
        <v>n/a (beyond horizon)</v>
      </c>
    </row>
    <row r="40144" customFormat="false" ht="15" hidden="false" customHeight="false" outlineLevel="0" collapsed="false">
      <c r="A40144" s="3" t="s">
        <v>360</v>
      </c>
      <c r="C40144" s="3" t="str">
        <f aca="false">IF(SUM($G$40018:$K$40018)=0,"n/a",IF(C40142&gt;=C40141-0.001,"Repaid from cash",IF(SUMPRODUCT($G$40018:$K$40018,$G$40002:$K$40002)&gt;0,IF(C40142&gt;0,"Partly repaid; remainder refinanced","Refinanced"),IF(SUM($G$40027:$K$40027)&gt;0.001,IF(C40142&gt;0,"Partial repayment; PAYMENT DEFAULT","PAYMENT DEFAULT"),"Repaid from cash"))))</f>
        <v>n/a</v>
      </c>
    </row>
    <row r="40145" customFormat="false" ht="15" hidden="false" customHeight="false" outlineLevel="0" collapsed="false">
      <c r="A40145" s="3" t="s">
        <v>361</v>
      </c>
      <c r="C40145" s="16" t="n">
        <f aca="false">SUMPRODUCT($G$40031:$K$40031,$G$40030:$K$40030-$G$40036:$K$40036+$G$40035:$K$40035)</f>
        <v>0</v>
      </c>
    </row>
    <row r="40146" customFormat="false" ht="15" hidden="false" customHeight="false" outlineLevel="0" collapsed="false">
      <c r="A40146" s="3" t="s">
        <v>362</v>
      </c>
      <c r="C40146" s="16" t="n">
        <f aca="false">SUMPRODUCT($G$40031:$K$40031,$G$40038:$K$40038)</f>
        <v>0</v>
      </c>
    </row>
    <row r="40147" customFormat="false" ht="15" hidden="false" customHeight="false" outlineLevel="0" collapsed="false">
      <c r="A40147" s="3" t="s">
        <v>363</v>
      </c>
      <c r="C40147" s="3" t="str">
        <f aca="false">IF(SUM($G$40031:$K$40031)=0,"n/a (beyond horizon)",IF(SUMPRODUCT($G$40031:$K$40031,$G$40002:$K$40002)&gt;0,"REFINANCING PASS","REFINANCING FAILURE"))</f>
        <v>n/a (beyond horizon)</v>
      </c>
    </row>
    <row r="40148" customFormat="false" ht="15" hidden="false" customHeight="false" outlineLevel="0" collapsed="false">
      <c r="A40148" s="3" t="s">
        <v>364</v>
      </c>
      <c r="C40148" s="3" t="str">
        <f aca="false">IF(SUM($G$40031:$K$40031)=0,"n/a",IF(C40146&gt;=C40145-0.001,"Repaid from cash",IF(SUMPRODUCT($G$40031:$K$40031,$G$40002:$K$40002)&gt;0,IF(C40146&gt;0,"Partly repaid; remainder refinanced","Refinanced"),IF(SUM($G$40040:$K$40040)&gt;0.001,IF(C40146&gt;0,"Partial repayment; PAYMENT DEFAULT","PAYMENT DEFAULT"),"Repaid from cash"))))</f>
        <v>n/a</v>
      </c>
    </row>
    <row r="40149" customFormat="false" ht="15" hidden="false" customHeight="false" outlineLevel="0" collapsed="false">
      <c r="A40149" s="3" t="s">
        <v>365</v>
      </c>
      <c r="C40149" s="16" t="n">
        <f aca="false">SUMPRODUCT($G$40044:$K$40044,$G$40043:$K$40043-$G$40049:$K$40049+$G$40048:$K$40048)</f>
        <v>0</v>
      </c>
    </row>
    <row r="40150" customFormat="false" ht="15" hidden="false" customHeight="false" outlineLevel="0" collapsed="false">
      <c r="A40150" s="3" t="s">
        <v>366</v>
      </c>
      <c r="C40150" s="16" t="n">
        <f aca="false">SUMPRODUCT($G$40044:$K$40044,$G$40051:$K$40051)</f>
        <v>0</v>
      </c>
    </row>
    <row r="40151" customFormat="false" ht="15" hidden="false" customHeight="false" outlineLevel="0" collapsed="false">
      <c r="A40151" s="3" t="s">
        <v>367</v>
      </c>
      <c r="C40151" s="3" t="str">
        <f aca="false">IF(SUM($G$40044:$K$40044)=0,"n/a (beyond horizon)",IF(SUMPRODUCT($G$40044:$K$40044,$G$40002:$K$40002)&gt;0,"REFINANCING PASS","REFINANCING FAILURE"))</f>
        <v>REFINANCING FAILURE</v>
      </c>
    </row>
    <row r="40152" customFormat="false" ht="15" hidden="false" customHeight="false" outlineLevel="0" collapsed="false">
      <c r="A40152" s="3" t="s">
        <v>368</v>
      </c>
      <c r="C40152" s="3" t="str">
        <f aca="false">IF(SUM($G$40044:$K$40044)=0,"n/a",IF(C40150&gt;=C40149-0.001,"Repaid from cash",IF(SUMPRODUCT($G$40044:$K$40044,$G$40002:$K$40002)&gt;0,IF(C40150&gt;0,"Partly repaid; remainder refinanced","Refinanced"),IF(SUM($G$40053:$K$40053)&gt;0.001,IF(C40150&gt;0,"Partial repayment; PAYMENT DEFAULT","PAYMENT DEFAULT"),"Repaid from cash"))))</f>
        <v>Repaid from cash</v>
      </c>
    </row>
    <row r="40153" customFormat="false" ht="15" hidden="false" customHeight="false" outlineLevel="0" collapsed="false">
      <c r="A40153" s="3" t="s">
        <v>369</v>
      </c>
      <c r="C40153" s="16" t="n">
        <f aca="false">SUMPRODUCT($G$40057:$K$40057,$G$40056:$K$40056-$G$40062:$K$40062+$G$40061:$K$40061)</f>
        <v>450</v>
      </c>
    </row>
    <row r="40154" customFormat="false" ht="15" hidden="false" customHeight="false" outlineLevel="0" collapsed="false">
      <c r="A40154" s="3" t="s">
        <v>370</v>
      </c>
      <c r="C40154" s="16" t="n">
        <f aca="false">SUMPRODUCT($G$40057:$K$40057,$G$40064:$K$40064)</f>
        <v>15.0452413</v>
      </c>
    </row>
    <row r="40155" customFormat="false" ht="15" hidden="false" customHeight="false" outlineLevel="0" collapsed="false">
      <c r="A40155" s="3" t="s">
        <v>371</v>
      </c>
      <c r="C40155" s="3" t="str">
        <f aca="false">IF(SUM($G$40057:$K$40057)=0,"n/a (beyond horizon)",IF(SUMPRODUCT($G$40057:$K$40057,$G$40002:$K$40002)&gt;0,"REFINANCING PASS","REFINANCING FAILURE"))</f>
        <v>REFINANCING FAILURE</v>
      </c>
    </row>
    <row r="40156" customFormat="false" ht="15" hidden="false" customHeight="false" outlineLevel="0" collapsed="false">
      <c r="A40156" s="3" t="s">
        <v>372</v>
      </c>
      <c r="C40156" s="3" t="str">
        <f aca="false">IF(SUM($G$40057:$K$40057)=0,"n/a",IF(C40154&gt;=C40153-0.001,"Repaid from cash",IF(SUMPRODUCT($G$40057:$K$40057,$G$40002:$K$40002)&gt;0,IF(C40154&gt;0,"Partly repaid; remainder refinanced","Refinanced"),IF(SUM($G$40066:$K$40066)&gt;0.001,IF(C40154&gt;0,"Partial repayment; PAYMENT DEFAULT","PAYMENT DEFAULT"),"Repaid from cash"))))</f>
        <v>Partial repayment; PAYMENT DEFAULT</v>
      </c>
    </row>
    <row r="40157" customFormat="false" ht="15" hidden="false" customHeight="false" outlineLevel="0" collapsed="false">
      <c r="A40157" s="3" t="s">
        <v>373</v>
      </c>
      <c r="C40157" s="16" t="n">
        <f aca="false">SUMPRODUCT($G$40070:$K$40070,$G$40069:$K$40069-$G$40075:$K$40075+$G$40074:$K$40074)</f>
        <v>350</v>
      </c>
    </row>
    <row r="40158" customFormat="false" ht="15" hidden="false" customHeight="false" outlineLevel="0" collapsed="false">
      <c r="A40158" s="3" t="s">
        <v>374</v>
      </c>
      <c r="C40158" s="16" t="n">
        <f aca="false">SUMPRODUCT($G$40070:$K$40070,$G$40077:$K$40077)</f>
        <v>0</v>
      </c>
    </row>
    <row r="40159" customFormat="false" ht="15" hidden="false" customHeight="false" outlineLevel="0" collapsed="false">
      <c r="A40159" s="3" t="s">
        <v>375</v>
      </c>
      <c r="C40159" s="3" t="str">
        <f aca="false">IF(SUM($G$40070:$K$40070)=0,"n/a (beyond horizon)",IF(SUMPRODUCT($G$40070:$K$40070,$G$40002:$K$40002)&gt;0,"REFINANCING PASS","REFINANCING FAILURE"))</f>
        <v>REFINANCING FAILURE</v>
      </c>
    </row>
    <row r="40160" customFormat="false" ht="15" hidden="false" customHeight="false" outlineLevel="0" collapsed="false">
      <c r="A40160" s="3" t="s">
        <v>376</v>
      </c>
      <c r="C40160" s="3" t="str">
        <f aca="false">IF(SUM($G$40070:$K$40070)=0,"n/a",IF(C40158&gt;=C40157-0.001,"Repaid from cash",IF(SUMPRODUCT($G$40070:$K$40070,$G$40002:$K$40002)&gt;0,IF(C40158&gt;0,"Partly repaid; remainder refinanced","Refinanced"),IF(SUM($G$40079:$K$40079)&gt;0.001,IF(C40158&gt;0,"Partial repayment; PAYMENT DEFAULT","PAYMENT DEFAULT"),"Repaid from cash"))))</f>
        <v>PAYMENT DEFAULT</v>
      </c>
    </row>
    <row r="40161" customFormat="false" ht="15" hidden="false" customHeight="false" outlineLevel="0" collapsed="false">
      <c r="A40161" s="3" t="s">
        <v>377</v>
      </c>
      <c r="C40161" s="16" t="n">
        <f aca="false">SUMPRODUCT($G$40083:$K$40083,$G$40082:$K$40082-$G$40088:$K$40088+$G$40087:$K$40087)</f>
        <v>550</v>
      </c>
    </row>
    <row r="40162" customFormat="false" ht="15" hidden="false" customHeight="false" outlineLevel="0" collapsed="false">
      <c r="A40162" s="3" t="s">
        <v>378</v>
      </c>
      <c r="C40162" s="16" t="n">
        <f aca="false">SUMPRODUCT($G$40083:$K$40083,$G$40090:$K$40090)</f>
        <v>0</v>
      </c>
    </row>
    <row r="40163" customFormat="false" ht="15" hidden="false" customHeight="false" outlineLevel="0" collapsed="false">
      <c r="A40163" s="3" t="s">
        <v>379</v>
      </c>
      <c r="C40163" s="3" t="str">
        <f aca="false">IF(SUM($G$40083:$K$40083)=0,"n/a (beyond horizon)",IF(SUMPRODUCT($G$40083:$K$40083,$G$40002:$K$40002)&gt;0,"REFINANCING PASS","REFINANCING FAILURE"))</f>
        <v>REFINANCING FAILURE</v>
      </c>
    </row>
    <row r="40164" customFormat="false" ht="15" hidden="false" customHeight="false" outlineLevel="0" collapsed="false">
      <c r="A40164" s="3" t="s">
        <v>380</v>
      </c>
      <c r="C40164" s="3" t="str">
        <f aca="false">IF(SUM($G$40083:$K$40083)=0,"n/a",IF(C40162&gt;=C40161-0.001,"Repaid from cash",IF(SUMPRODUCT($G$40083:$K$40083,$G$40002:$K$40002)&gt;0,IF(C40162&gt;0,"Partly repaid; remainder refinanced","Refinanced"),IF(SUM($G$40092:$K$40092)&gt;0.001,IF(C40162&gt;0,"Partial repayment; PAYMENT DEFAULT","PAYMENT DEFAULT"),"Repaid from cash"))))</f>
        <v>PAYMENT DEFAULT</v>
      </c>
    </row>
    <row r="40165" customFormat="false" ht="15" hidden="false" customHeight="false" outlineLevel="0" collapsed="false">
      <c r="A40165" s="3" t="s">
        <v>381</v>
      </c>
      <c r="C40165" s="16" t="n">
        <f aca="false">SUMPRODUCT($G$40096:$K$40096,$G$40095:$K$40095-$G$40101:$K$40101+$G$40100:$K$40100)</f>
        <v>350</v>
      </c>
    </row>
    <row r="40166" customFormat="false" ht="15" hidden="false" customHeight="false" outlineLevel="0" collapsed="false">
      <c r="A40166" s="3" t="s">
        <v>382</v>
      </c>
      <c r="C40166" s="16" t="n">
        <f aca="false">SUMPRODUCT($G$40096:$K$40096,$G$40103:$K$40103)</f>
        <v>0</v>
      </c>
    </row>
    <row r="40167" customFormat="false" ht="15" hidden="false" customHeight="false" outlineLevel="0" collapsed="false">
      <c r="A40167" s="3" t="s">
        <v>383</v>
      </c>
      <c r="C40167" s="3" t="str">
        <f aca="false">IF(SUM($G$40096:$K$40096)=0,"n/a (beyond horizon)",IF(SUMPRODUCT($G$40096:$K$40096,$G$40002:$K$40002)&gt;0,"REFINANCING PASS","REFINANCING FAILURE"))</f>
        <v>REFINANCING FAILURE</v>
      </c>
    </row>
    <row r="40168" customFormat="false" ht="15" hidden="false" customHeight="false" outlineLevel="0" collapsed="false">
      <c r="A40168" s="3" t="s">
        <v>384</v>
      </c>
      <c r="C40168" s="3" t="str">
        <f aca="false">IF(SUM($G$40096:$K$40096)=0,"n/a",IF(C40166&gt;=C40165-0.001,"Repaid from cash",IF(SUMPRODUCT($G$40096:$K$40096,$G$40002:$K$40002)&gt;0,IF(C40166&gt;0,"Partly repaid; remainder refinanced","Refinanced"),IF(SUM($G$40105:$K$40105)&gt;0.001,IF(C40166&gt;0,"Partial repayment; PAYMENT DEFAULT","PAYMENT DEFAULT"),"Repaid from cash"))))</f>
        <v>PAYMENT DEFAULT</v>
      </c>
    </row>
    <row r="40169" customFormat="false" ht="15" hidden="false" customHeight="false" outlineLevel="0" collapsed="false">
      <c r="A40169" s="3" t="s">
        <v>385</v>
      </c>
      <c r="C40169" s="16" t="n">
        <f aca="false">SUMPRODUCT($G$40109:$K$40109,$G$40108:$K$40108-$G$40114:$K$40114+$G$40113:$K$40113)</f>
        <v>300</v>
      </c>
    </row>
    <row r="40170" customFormat="false" ht="15" hidden="false" customHeight="false" outlineLevel="0" collapsed="false">
      <c r="A40170" s="3" t="s">
        <v>386</v>
      </c>
      <c r="C40170" s="16" t="n">
        <f aca="false">SUMPRODUCT($G$40109:$K$40109,$G$40116:$K$40116)</f>
        <v>0</v>
      </c>
    </row>
    <row r="40171" customFormat="false" ht="15" hidden="false" customHeight="false" outlineLevel="0" collapsed="false">
      <c r="A40171" s="3" t="s">
        <v>387</v>
      </c>
      <c r="C40171" s="3" t="str">
        <f aca="false">IF(SUM($G$40109:$K$40109)=0,"n/a (beyond horizon)",IF(SUMPRODUCT($G$40109:$K$40109,$G$40002:$K$40002)&gt;0,"REFINANCING PASS","REFINANCING FAILURE"))</f>
        <v>REFINANCING FAILURE</v>
      </c>
    </row>
    <row r="40172" customFormat="false" ht="15" hidden="false" customHeight="false" outlineLevel="0" collapsed="false">
      <c r="A40172" s="3" t="s">
        <v>388</v>
      </c>
      <c r="C40172" s="3" t="str">
        <f aca="false">IF(SUM($G$40109:$K$40109)=0,"n/a",IF(C40170&gt;=C40169-0.001,"Repaid from cash",IF(SUMPRODUCT($G$40109:$K$40109,$G$40002:$K$40002)&gt;0,IF(C40170&gt;0,"Partly repaid; remainder refinanced","Refinanced"),IF(SUM($G$40118:$K$40118)&gt;0.001,IF(C40170&gt;0,"Partial repayment; PAYMENT DEFAULT","PAYMENT DEFAULT"),"Repaid from cash"))))</f>
        <v>PAYMENT DEFAULT</v>
      </c>
    </row>
    <row r="40173" customFormat="false" ht="15" hidden="false" customHeight="false" outlineLevel="0" collapsed="false">
      <c r="A40173" s="3" t="s">
        <v>389</v>
      </c>
      <c r="C40173" s="16" t="n">
        <f aca="false">SUMPRODUCT($G$40122:$K$40122,$G$40121:$K$40121-$G$40127:$K$40127+$G$40126:$K$40126)</f>
        <v>0</v>
      </c>
    </row>
    <row r="40174" customFormat="false" ht="15" hidden="false" customHeight="false" outlineLevel="0" collapsed="false">
      <c r="A40174" s="3" t="s">
        <v>390</v>
      </c>
      <c r="C40174" s="16" t="n">
        <f aca="false">SUMPRODUCT($G$40122:$K$40122,$G$40129:$K$40129)</f>
        <v>0</v>
      </c>
    </row>
    <row r="40175" customFormat="false" ht="15" hidden="false" customHeight="false" outlineLevel="0" collapsed="false">
      <c r="A40175" s="3" t="s">
        <v>391</v>
      </c>
      <c r="C40175" s="3" t="str">
        <f aca="false">IF(SUM($G$40122:$K$40122)=0,"n/a (beyond horizon)",IF(SUMPRODUCT($G$40122:$K$40122,$G$40002:$K$40002)&gt;0,"REFINANCING PASS","REFINANCING FAILURE"))</f>
        <v>n/a (beyond horizon)</v>
      </c>
    </row>
    <row r="40176" customFormat="false" ht="15" hidden="false" customHeight="false" outlineLevel="0" collapsed="false">
      <c r="A40176" s="3" t="s">
        <v>392</v>
      </c>
      <c r="C40176" s="3" t="str">
        <f aca="false">IF(SUM($G$40122:$K$40122)=0,"n/a",IF(C40174&gt;=C40173-0.001,"Repaid from cash",IF(SUMPRODUCT($G$40122:$K$40122,$G$40002:$K$40002)&gt;0,IF(C40174&gt;0,"Partly repaid; remainder refinanced","Refinanced"),IF(SUM($G$40131:$K$40131)&gt;0.001,IF(C40174&gt;0,"Partial repayment; PAYMENT DEFAULT","PAYMENT DEFAULT"),"Repaid from cash"))))</f>
        <v>n/a</v>
      </c>
    </row>
    <row r="40177" customFormat="false" ht="15" hidden="false" customHeight="false" outlineLevel="0" collapsed="false">
      <c r="A40177" s="3" t="s">
        <v>393</v>
      </c>
      <c r="C40177" s="21" t="n">
        <f aca="false">IF(C40139="REFINANCING FAILURE",1,0)+IF(C40143="REFINANCING FAILURE",1,0)+IF(C40147="REFINANCING FAILURE",1,0)+IF(C40151="REFINANCING FAILURE",1,0)+IF(C40155="REFINANCING FAILURE",1,0)+IF(C40159="REFINANCING FAILURE",1,0)+IF(C40163="REFINANCING FAILURE",1,0)+IF(C40167="REFINANCING FAILURE",1,0)+IF(C40171="REFINANCING FAILURE",1,0)+IF(C40175="REFINANCING FAILURE",1,0)</f>
        <v>7</v>
      </c>
    </row>
    <row r="40179" customFormat="false" ht="15" hidden="false" customHeight="false" outlineLevel="0" collapsed="false">
      <c r="A40179" s="24" t="s">
        <v>395</v>
      </c>
      <c r="B40179" s="25"/>
      <c r="C40179" s="25"/>
      <c r="D40179" s="25"/>
      <c r="E40179" s="25"/>
      <c r="F40179" s="25"/>
      <c r="G40179" s="25"/>
      <c r="H40179" s="25"/>
      <c r="I40179" s="25"/>
      <c r="J40179" s="25"/>
      <c r="K40179" s="25"/>
    </row>
    <row r="40180" customFormat="false" ht="15" hidden="false" customHeight="false" outlineLevel="0" collapsed="false">
      <c r="A40180" s="3" t="s">
        <v>325</v>
      </c>
      <c r="G40180" s="16" t="n">
        <f aca="false">F40192</f>
        <v>37.87</v>
      </c>
      <c r="H40180" s="16" t="n">
        <f aca="false">G40192</f>
        <v>87.2944416</v>
      </c>
      <c r="I40180" s="16" t="n">
        <f aca="false">H40192</f>
        <v>0</v>
      </c>
      <c r="J40180" s="16" t="n">
        <f aca="false">I40192</f>
        <v>-75.7748017716</v>
      </c>
      <c r="K40180" s="16" t="n">
        <f aca="false">J40192</f>
        <v>-149.05681614325</v>
      </c>
    </row>
    <row r="40181" customFormat="false" ht="15" hidden="false" customHeight="false" outlineLevel="0" collapsed="false">
      <c r="A40181" s="3" t="s">
        <v>396</v>
      </c>
      <c r="G40181" s="16" t="n">
        <f aca="false">G39991</f>
        <v>-46.5755584</v>
      </c>
      <c r="H40181" s="16" t="n">
        <f aca="false">H39991</f>
        <v>-68.2492003</v>
      </c>
      <c r="I40181" s="16" t="n">
        <f aca="false">I39991</f>
        <v>-71.7748017716</v>
      </c>
      <c r="J40181" s="16" t="n">
        <f aca="false">J39991</f>
        <v>-69.28201437165</v>
      </c>
      <c r="K40181" s="16" t="n">
        <f aca="false">K39991</f>
        <v>-63.512311383781</v>
      </c>
    </row>
    <row r="40182" customFormat="false" ht="15" hidden="false" customHeight="false" outlineLevel="0" collapsed="false">
      <c r="A40182" s="3" t="s">
        <v>397</v>
      </c>
      <c r="G40182" s="16" t="n">
        <f aca="false">CHOOSE($C$39961,Assumptions!$G$82,Assumptions!$G$101,Assumptions!$G$120)</f>
        <v>100</v>
      </c>
      <c r="H40182" s="16" t="n">
        <f aca="false">CHOOSE($C$39961,Assumptions!$H$82,Assumptions!$H$101,Assumptions!$H$120)</f>
        <v>0</v>
      </c>
      <c r="I40182" s="16" t="n">
        <f aca="false">CHOOSE($C$39961,Assumptions!$I$82,Assumptions!$I$101,Assumptions!$I$120)</f>
        <v>0</v>
      </c>
      <c r="J40182" s="16" t="n">
        <f aca="false">CHOOSE($C$39961,Assumptions!$J$82,Assumptions!$J$101,Assumptions!$J$120)</f>
        <v>0</v>
      </c>
      <c r="K40182" s="16" t="n">
        <f aca="false">CHOOSE($C$39961,Assumptions!$K$82,Assumptions!$K$101,Assumptions!$K$120)</f>
        <v>0</v>
      </c>
    </row>
    <row r="40183" customFormat="false" ht="15" hidden="false" customHeight="false" outlineLevel="0" collapsed="false">
      <c r="A40183" s="3" t="s">
        <v>398</v>
      </c>
      <c r="G40183" s="16" t="n">
        <f aca="false">G40010+G40023+G40036+G40049+G40062+G40075+G40088+G40101+G40114+G40127</f>
        <v>4</v>
      </c>
      <c r="H40183" s="16" t="n">
        <f aca="false">H40010+H40023+H40036+H40049+H40062+H40075+H40088+H40101+H40114+H40127</f>
        <v>4</v>
      </c>
      <c r="I40183" s="16" t="n">
        <f aca="false">I40010+I40023+I40036+I40049+I40062+I40075+I40088+I40101+I40114+I40127</f>
        <v>4</v>
      </c>
      <c r="J40183" s="16" t="n">
        <f aca="false">J40010+J40023+J40036+J40049+J40062+J40075+J40088+J40101+J40114+J40127</f>
        <v>4</v>
      </c>
      <c r="K40183" s="16" t="n">
        <f aca="false">K40010+K40023+K40036+K40049+K40062+K40075+K40088+K40101+K40114+K40127</f>
        <v>4</v>
      </c>
    </row>
    <row r="40184" customFormat="false" ht="15" hidden="false" customHeight="false" outlineLevel="0" collapsed="false">
      <c r="A40184" s="2" t="s">
        <v>399</v>
      </c>
      <c r="G40184" s="17" t="n">
        <f aca="false">G40180+G40181+G40182-G40183</f>
        <v>87.2944416</v>
      </c>
      <c r="H40184" s="17" t="n">
        <f aca="false">H40180+H40181+H40182-H40183</f>
        <v>15.0452413</v>
      </c>
      <c r="I40184" s="17" t="n">
        <f aca="false">I40180+I40181+I40182-I40183</f>
        <v>-75.7748017716</v>
      </c>
      <c r="J40184" s="17" t="n">
        <f aca="false">J40180+J40181+J40182-J40183</f>
        <v>-149.05681614325</v>
      </c>
      <c r="K40184" s="17" t="n">
        <f aca="false">K40180+K40181+K40182-K40183</f>
        <v>-216.569127527031</v>
      </c>
    </row>
    <row r="40185" customFormat="false" ht="15" hidden="false" customHeight="false" outlineLevel="0" collapsed="false">
      <c r="A40185" s="3" t="s">
        <v>400</v>
      </c>
      <c r="G40185" s="16" t="n">
        <f aca="false">G40011+G40024+G40037+G40050+G40063+G40076+G40089+G40102+G40115+G40128</f>
        <v>0</v>
      </c>
      <c r="H40185" s="16" t="n">
        <f aca="false">H40011+H40024+H40037+H40050+H40063+H40076+H40089+H40102+H40115+H40128</f>
        <v>0</v>
      </c>
      <c r="I40185" s="16" t="n">
        <f aca="false">I40011+I40024+I40037+I40050+I40063+I40076+I40089+I40102+I40115+I40128</f>
        <v>0</v>
      </c>
      <c r="J40185" s="16" t="n">
        <f aca="false">J40011+J40024+J40037+J40050+J40063+J40076+J40089+J40102+J40115+J40128</f>
        <v>0</v>
      </c>
      <c r="K40185" s="16" t="n">
        <f aca="false">K40011+K40024+K40037+K40050+K40063+K40076+K40089+K40102+K40115+K40128</f>
        <v>0</v>
      </c>
    </row>
    <row r="40186" customFormat="false" ht="15" hidden="false" customHeight="false" outlineLevel="0" collapsed="false">
      <c r="A40186" s="2" t="s">
        <v>401</v>
      </c>
      <c r="G40186" s="17" t="n">
        <f aca="false">G40184+G40185</f>
        <v>87.2944416</v>
      </c>
      <c r="H40186" s="17" t="n">
        <f aca="false">H40184+H40185</f>
        <v>15.0452413</v>
      </c>
      <c r="I40186" s="17" t="n">
        <f aca="false">I40184+I40185</f>
        <v>-75.7748017716</v>
      </c>
      <c r="J40186" s="17" t="n">
        <f aca="false">J40184+J40185</f>
        <v>-149.05681614325</v>
      </c>
      <c r="K40186" s="17" t="n">
        <f aca="false">K40184+K40185</f>
        <v>-216.569127527031</v>
      </c>
    </row>
    <row r="40187" customFormat="false" ht="15" hidden="false" customHeight="false" outlineLevel="0" collapsed="false">
      <c r="A40187" s="3" t="s">
        <v>402</v>
      </c>
      <c r="G40187" s="16" t="n">
        <f aca="false">G40012+G40025+G40038+G40051+G40064+G40077+G40090+G40103+G40116+G40129</f>
        <v>0</v>
      </c>
      <c r="H40187" s="16" t="n">
        <f aca="false">H40012+H40025+H40038+H40051+H40064+H40077+H40090+H40103+H40116+H40129</f>
        <v>15.0452413</v>
      </c>
      <c r="I40187" s="16" t="n">
        <f aca="false">I40012+I40025+I40038+I40051+I40064+I40077+I40090+I40103+I40116+I40129</f>
        <v>0</v>
      </c>
      <c r="J40187" s="16" t="n">
        <f aca="false">J40012+J40025+J40038+J40051+J40064+J40077+J40090+J40103+J40116+J40129</f>
        <v>0</v>
      </c>
      <c r="K40187" s="16" t="n">
        <f aca="false">K40012+K40025+K40038+K40051+K40064+K40077+K40090+K40103+K40116+K40129</f>
        <v>0</v>
      </c>
    </row>
    <row r="40188" customFormat="false" ht="15" hidden="false" customHeight="false" outlineLevel="0" collapsed="false">
      <c r="A40188" s="2" t="s">
        <v>403</v>
      </c>
      <c r="G40188" s="17" t="n">
        <f aca="false">G40186-G40187</f>
        <v>87.2944416</v>
      </c>
      <c r="H40188" s="17" t="n">
        <f aca="false">H40186-H40187</f>
        <v>0</v>
      </c>
      <c r="I40188" s="17" t="n">
        <f aca="false">I40186-I40187</f>
        <v>-75.7748017716</v>
      </c>
      <c r="J40188" s="17" t="n">
        <f aca="false">J40186-J40187</f>
        <v>-149.05681614325</v>
      </c>
      <c r="K40188" s="17" t="n">
        <f aca="false">K40186-K40187</f>
        <v>-216.569127527031</v>
      </c>
    </row>
    <row r="40189" customFormat="false" ht="15" hidden="false" customHeight="false" outlineLevel="0" collapsed="false">
      <c r="A40189" s="3" t="s">
        <v>404</v>
      </c>
      <c r="G40189" s="16" t="n">
        <f aca="false">MAX(0,-G40188)</f>
        <v>0</v>
      </c>
      <c r="H40189" s="16" t="n">
        <f aca="false">MAX(0,-H40188)</f>
        <v>-0</v>
      </c>
      <c r="I40189" s="16" t="n">
        <f aca="false">MAX(0,-I40188)</f>
        <v>75.7748017716</v>
      </c>
      <c r="J40189" s="16" t="n">
        <f aca="false">MAX(0,-J40188)</f>
        <v>149.05681614325</v>
      </c>
      <c r="K40189" s="16" t="n">
        <f aca="false">MAX(0,-K40188)</f>
        <v>216.569127527031</v>
      </c>
    </row>
    <row r="40190" customFormat="false" ht="15" hidden="false" customHeight="false" outlineLevel="0" collapsed="false">
      <c r="A40190" s="3" t="s">
        <v>405</v>
      </c>
      <c r="G40190" s="16" t="n">
        <f aca="false">MAX(0,G40188-Assumptions!$C$12)*Assumptions!$C$13</f>
        <v>0</v>
      </c>
      <c r="H40190" s="16" t="n">
        <f aca="false">MAX(0,H40188-Assumptions!$C$12)*Assumptions!$C$13</f>
        <v>0</v>
      </c>
      <c r="I40190" s="16" t="n">
        <f aca="false">MAX(0,I40188-Assumptions!$C$12)*Assumptions!$C$13</f>
        <v>0</v>
      </c>
      <c r="J40190" s="16" t="n">
        <f aca="false">MAX(0,J40188-Assumptions!$C$12)*Assumptions!$C$13</f>
        <v>0</v>
      </c>
      <c r="K40190" s="16" t="n">
        <f aca="false">MAX(0,K40188-Assumptions!$C$12)*Assumptions!$C$13</f>
        <v>0</v>
      </c>
    </row>
    <row r="40191" customFormat="false" ht="15" hidden="false" customHeight="false" outlineLevel="0" collapsed="false">
      <c r="A40191" s="3" t="s">
        <v>406</v>
      </c>
      <c r="G40191" s="16" t="n">
        <f aca="false">G40013+G40026+G40039+G40052+G40065+G40078+G40091+G40104+G40117+G40130</f>
        <v>0</v>
      </c>
      <c r="H40191" s="16" t="n">
        <f aca="false">H40013+H40026+H40039+H40052+H40065+H40078+H40091+H40104+H40117+H40130</f>
        <v>0</v>
      </c>
      <c r="I40191" s="16" t="n">
        <f aca="false">I40013+I40026+I40039+I40052+I40065+I40078+I40091+I40104+I40117+I40130</f>
        <v>0</v>
      </c>
      <c r="J40191" s="16" t="n">
        <f aca="false">J40013+J40026+J40039+J40052+J40065+J40078+J40091+J40104+J40117+J40130</f>
        <v>0</v>
      </c>
      <c r="K40191" s="16" t="n">
        <f aca="false">K40013+K40026+K40039+K40052+K40065+K40078+K40091+K40104+K40117+K40130</f>
        <v>0</v>
      </c>
    </row>
    <row r="40192" customFormat="false" ht="15" hidden="false" customHeight="false" outlineLevel="0" collapsed="false">
      <c r="A40192" s="2" t="s">
        <v>407</v>
      </c>
      <c r="F40192" s="28" t="n">
        <f aca="false">Assumptions!$C$11</f>
        <v>37.87</v>
      </c>
      <c r="G40192" s="17" t="n">
        <f aca="false">G40188-G40191</f>
        <v>87.2944416</v>
      </c>
      <c r="H40192" s="17" t="n">
        <f aca="false">H40188-H40191</f>
        <v>0</v>
      </c>
      <c r="I40192" s="17" t="n">
        <f aca="false">I40188-I40191</f>
        <v>-75.7748017716</v>
      </c>
      <c r="J40192" s="17" t="n">
        <f aca="false">J40188-J40191</f>
        <v>-149.05681614325</v>
      </c>
      <c r="K40192" s="17" t="n">
        <f aca="false">K40188-K40191</f>
        <v>-216.569127527031</v>
      </c>
    </row>
    <row r="40193" customFormat="false" ht="15" hidden="false" customHeight="false" outlineLevel="0" collapsed="false">
      <c r="A40193" s="3" t="s">
        <v>408</v>
      </c>
      <c r="G40193" s="16" t="n">
        <f aca="false">G40014+G40027+G40040+G40053+G40066+G40079+G40092+G40105+G40118+G40131</f>
        <v>0</v>
      </c>
      <c r="H40193" s="16" t="n">
        <f aca="false">H40014+H40027+H40040+H40053+H40066+H40079+H40092+H40105+H40118+H40131</f>
        <v>784.9547587</v>
      </c>
      <c r="I40193" s="16" t="n">
        <f aca="false">I40014+I40027+I40040+I40053+I40066+I40079+I40092+I40105+I40118+I40131</f>
        <v>550</v>
      </c>
      <c r="J40193" s="16" t="n">
        <f aca="false">J40014+J40027+J40040+J40053+J40066+J40079+J40092+J40105+J40118+J40131</f>
        <v>350</v>
      </c>
      <c r="K40193" s="16" t="n">
        <f aca="false">K40014+K40027+K40040+K40053+K40066+K40079+K40092+K40105+K40118+K40131</f>
        <v>680</v>
      </c>
    </row>
    <row r="40194" customFormat="false" ht="15" hidden="false" customHeight="false" outlineLevel="0" collapsed="false">
      <c r="A40194" s="3" t="s">
        <v>409</v>
      </c>
      <c r="G40194" s="21" t="n">
        <f aca="false">IF(OR(G40189&gt;0.001,G40193&gt;0.001),1,0)</f>
        <v>0</v>
      </c>
      <c r="H40194" s="21" t="n">
        <f aca="false">IF(OR(H40189&gt;0.001,H40193&gt;0.001),1,0)</f>
        <v>1</v>
      </c>
      <c r="I40194" s="21" t="n">
        <f aca="false">IF(OR(I40189&gt;0.001,I40193&gt;0.001),1,0)</f>
        <v>1</v>
      </c>
      <c r="J40194" s="21" t="n">
        <f aca="false">IF(OR(J40189&gt;0.001,J40193&gt;0.001),1,0)</f>
        <v>1</v>
      </c>
      <c r="K40194" s="21" t="n">
        <f aca="false">IF(OR(K40189&gt;0.001,K40193&gt;0.001),1,0)</f>
        <v>1</v>
      </c>
    </row>
    <row r="40195" customFormat="false" ht="15" hidden="false" customHeight="false" outlineLevel="0" collapsed="false">
      <c r="A40195" s="3" t="s">
        <v>410</v>
      </c>
      <c r="G40195" s="21" t="n">
        <f aca="false">IF(G40194=1,1,0)</f>
        <v>0</v>
      </c>
      <c r="H40195" s="21" t="n">
        <f aca="false">IF(AND(H40194=1,SUM($G$40194:G40194)=0),1,0)</f>
        <v>1</v>
      </c>
      <c r="I40195" s="21" t="n">
        <f aca="false">IF(AND(I40194=1,SUM($G$40194:H40194)=0),1,0)</f>
        <v>0</v>
      </c>
      <c r="J40195" s="21" t="n">
        <f aca="false">IF(AND(J40194=1,SUM($G$40194:I40194)=0),1,0)</f>
        <v>0</v>
      </c>
      <c r="K40195" s="21" t="n">
        <f aca="false">IF(AND(K40194=1,SUM($G$40194:J40194)=0),1,0)</f>
        <v>0</v>
      </c>
    </row>
    <row r="40196" customFormat="false" ht="15" hidden="false" customHeight="false" outlineLevel="0" collapsed="false">
      <c r="A40196" s="3" t="s">
        <v>411</v>
      </c>
      <c r="G40196" s="16" t="n">
        <f aca="false">(G40134-F40134)-(G40185+G39983-G40183-G40187-G40191)</f>
        <v>0</v>
      </c>
      <c r="H40196" s="16" t="n">
        <f aca="false">(H40134-G40134)-(H40185+H39983-H40183-H40187-H40191)</f>
        <v>-2.27373675443232E-013</v>
      </c>
      <c r="I40196" s="16" t="n">
        <f aca="false">(I40134-H40134)-(I40185+I39983-I40183-I40187-I40191)</f>
        <v>0</v>
      </c>
      <c r="J40196" s="16" t="n">
        <f aca="false">(J40134-I40134)-(J40185+J39983-J40183-J40187-J40191)</f>
        <v>0</v>
      </c>
      <c r="K40196" s="16" t="n">
        <f aca="false">(K40134-J40134)-(K40185+K39983-K40183-K40187-K40191)</f>
        <v>0</v>
      </c>
    </row>
    <row r="40198" customFormat="false" ht="15" hidden="false" customHeight="false" outlineLevel="0" collapsed="false">
      <c r="A40198" s="24" t="s">
        <v>413</v>
      </c>
      <c r="B40198" s="25"/>
      <c r="C40198" s="25"/>
      <c r="D40198" s="25"/>
      <c r="E40198" s="25"/>
      <c r="F40198" s="25"/>
      <c r="G40198" s="25"/>
      <c r="H40198" s="25"/>
      <c r="I40198" s="25"/>
      <c r="J40198" s="25"/>
      <c r="K40198" s="25"/>
    </row>
    <row r="40199" customFormat="false" ht="15" hidden="false" customHeight="false" outlineLevel="0" collapsed="false">
      <c r="A40199" s="3" t="s">
        <v>414</v>
      </c>
      <c r="G40199" s="16" t="n">
        <f aca="false">G40134</f>
        <v>2621.934</v>
      </c>
      <c r="H40199" s="16" t="n">
        <f aca="false">H40134</f>
        <v>2602.8887587</v>
      </c>
      <c r="I40199" s="16" t="n">
        <f aca="false">I40134</f>
        <v>2598.8887587</v>
      </c>
      <c r="J40199" s="16" t="n">
        <f aca="false">J40134</f>
        <v>2594.8887587</v>
      </c>
      <c r="K40199" s="16" t="n">
        <f aca="false">K40134</f>
        <v>2590.8887587</v>
      </c>
    </row>
    <row r="40200" customFormat="false" ht="15" hidden="false" customHeight="false" outlineLevel="0" collapsed="false">
      <c r="A40200" s="3" t="s">
        <v>415</v>
      </c>
      <c r="G40200" s="16" t="n">
        <f aca="false">Assumptions!$O$57*G40015+Assumptions!$O$58*G40028+Assumptions!$O$59*G40041+Assumptions!$O$60*G40054+Assumptions!$O$61*G40067+Assumptions!$O$62*G40080+Assumptions!$O$63*G40093+Assumptions!$O$64*G40106+Assumptions!$O$65*G40119+Assumptions!$O$66*G40132</f>
        <v>543.324</v>
      </c>
      <c r="H40200" s="16" t="n">
        <f aca="false">Assumptions!$O$57*H40015+Assumptions!$O$58*H40028+Assumptions!$O$59*H40041+Assumptions!$O$60*H40054+Assumptions!$O$61*H40067+Assumptions!$O$62*H40080+Assumptions!$O$63*H40093+Assumptions!$O$64*H40106+Assumptions!$O$65*H40119+Assumptions!$O$66*H40132</f>
        <v>539.324</v>
      </c>
      <c r="I40200" s="16" t="n">
        <f aca="false">Assumptions!$O$57*I40015+Assumptions!$O$58*I40028+Assumptions!$O$59*I40041+Assumptions!$O$60*I40054+Assumptions!$O$61*I40067+Assumptions!$O$62*I40080+Assumptions!$O$63*I40093+Assumptions!$O$64*I40106+Assumptions!$O$65*I40119+Assumptions!$O$66*I40132</f>
        <v>535.324</v>
      </c>
      <c r="J40200" s="16" t="n">
        <f aca="false">Assumptions!$O$57*J40015+Assumptions!$O$58*J40028+Assumptions!$O$59*J40041+Assumptions!$O$60*J40054+Assumptions!$O$61*J40067+Assumptions!$O$62*J40080+Assumptions!$O$63*J40093+Assumptions!$O$64*J40106+Assumptions!$O$65*J40119+Assumptions!$O$66*J40132</f>
        <v>531.324</v>
      </c>
      <c r="K40200" s="16" t="n">
        <f aca="false">Assumptions!$O$57*K40015+Assumptions!$O$58*K40028+Assumptions!$O$59*K40041+Assumptions!$O$60*K40054+Assumptions!$O$61*K40067+Assumptions!$O$62*K40080+Assumptions!$O$63*K40093+Assumptions!$O$64*K40106+Assumptions!$O$65*K40119+Assumptions!$O$66*K40132</f>
        <v>527.324</v>
      </c>
    </row>
    <row r="40201" customFormat="false" ht="15" hidden="false" customHeight="false" outlineLevel="0" collapsed="false">
      <c r="A40201" s="3" t="s">
        <v>416</v>
      </c>
      <c r="G40201" s="16" t="n">
        <f aca="false">G40199-G40192</f>
        <v>2534.6395584</v>
      </c>
      <c r="H40201" s="16" t="n">
        <f aca="false">H40199-H40192</f>
        <v>2602.8887587</v>
      </c>
      <c r="I40201" s="16" t="n">
        <f aca="false">I40199-I40192</f>
        <v>2674.6635604716</v>
      </c>
      <c r="J40201" s="16" t="n">
        <f aca="false">J40199-J40192</f>
        <v>2743.94557484325</v>
      </c>
      <c r="K40201" s="16" t="n">
        <f aca="false">K40199-K40192</f>
        <v>2807.45788622703</v>
      </c>
    </row>
    <row r="40202" customFormat="false" ht="15" hidden="false" customHeight="false" outlineLevel="0" collapsed="false">
      <c r="A40202" s="3" t="s">
        <v>417</v>
      </c>
      <c r="G40202" s="32" t="n">
        <f aca="false">IF(G39978&gt;0,G40199/G39978,0)</f>
        <v>12.7097898879239</v>
      </c>
      <c r="H40202" s="32" t="n">
        <f aca="false">IF(H39978&gt;0,H40199/H39978,0)</f>
        <v>14.5137170159321</v>
      </c>
      <c r="I40202" s="32" t="n">
        <f aca="false">IF(I39978&gt;0,I40199/I39978,0)</f>
        <v>15.1153610447715</v>
      </c>
      <c r="J40202" s="32" t="n">
        <f aca="false">IF(J39978&gt;0,J40199/J39978,0)</f>
        <v>14.9166072034602</v>
      </c>
      <c r="K40202" s="32" t="n">
        <f aca="false">IF(K39978&gt;0,K40199/K39978,0)</f>
        <v>14.4110120408369</v>
      </c>
    </row>
    <row r="40203" customFormat="false" ht="15" hidden="false" customHeight="false" outlineLevel="0" collapsed="false">
      <c r="A40203" s="3" t="s">
        <v>418</v>
      </c>
      <c r="G40203" s="32" t="n">
        <f aca="false">IF(G39978&gt;0,G40201/G39978,0)</f>
        <v>12.2866312534504</v>
      </c>
      <c r="H40203" s="32" t="n">
        <f aca="false">IF(H39978&gt;0,H40201/H39978,0)</f>
        <v>14.5137170159321</v>
      </c>
      <c r="I40203" s="32" t="n">
        <f aca="false">IF(I39978&gt;0,I40201/I39978,0)</f>
        <v>15.5560738236619</v>
      </c>
      <c r="J40203" s="32" t="n">
        <f aca="false">IF(J39978&gt;0,J40201/J39978,0)</f>
        <v>15.7734539449449</v>
      </c>
      <c r="K40203" s="32" t="n">
        <f aca="false">IF(K39978&gt;0,K40201/K39978,0)</f>
        <v>15.6156103833885</v>
      </c>
    </row>
    <row r="40204" customFormat="false" ht="15" hidden="false" customHeight="false" outlineLevel="0" collapsed="false">
      <c r="A40204" s="3" t="s">
        <v>419</v>
      </c>
      <c r="G40204" s="32" t="n">
        <f aca="false">IF(G39982&gt;0,G39978/G39982,0)</f>
        <v>1.06025908412371</v>
      </c>
      <c r="H40204" s="32" t="n">
        <f aca="false">IF(H39982&gt;0,H39978/H39982,0)</f>
        <v>0.927444011573365</v>
      </c>
      <c r="I40204" s="32" t="n">
        <f aca="false">IF(I39982&gt;0,I39978/I39982,0)</f>
        <v>0.899631625108658</v>
      </c>
      <c r="J40204" s="32" t="n">
        <f aca="false">IF(J39982&gt;0,J39978/J39982,0)</f>
        <v>0.912459444554051</v>
      </c>
      <c r="K40204" s="32" t="n">
        <f aca="false">IF(K39982&gt;0,K39978/K39982,0)</f>
        <v>0.945346751531936</v>
      </c>
    </row>
    <row r="40205" customFormat="false" ht="15" hidden="false" customHeight="false" outlineLevel="0" collapsed="false">
      <c r="A40205" s="3" t="s">
        <v>420</v>
      </c>
      <c r="G40205" s="32" t="n">
        <f aca="false">IF(G39982&gt;0,G39981/G39982,0)</f>
        <v>0.20316175818306</v>
      </c>
      <c r="H40205" s="32" t="n">
        <f aca="false">IF(H39982&gt;0,H39981/H39982,0)</f>
        <v>0.125405512651662</v>
      </c>
      <c r="I40205" s="32" t="n">
        <f aca="false">IF(I39982&gt;0,I39981/I39982,0)</f>
        <v>0.112492039835566</v>
      </c>
      <c r="J40205" s="32" t="n">
        <f aca="false">IF(J39982&gt;0,J39981/J39982,0)</f>
        <v>0.123379355508513</v>
      </c>
      <c r="K40205" s="32" t="n">
        <f aca="false">IF(K39982&gt;0,K39981/K39982,0)</f>
        <v>0.146406265534401</v>
      </c>
    </row>
    <row r="40206" customFormat="false" ht="15" hidden="false" customHeight="false" outlineLevel="0" collapsed="false">
      <c r="A40206" s="3" t="s">
        <v>213</v>
      </c>
      <c r="G40206" s="22" t="n">
        <f aca="false">IF(G40199&gt;0,G39991/G40199,0)</f>
        <v>-0.0177638180060978</v>
      </c>
      <c r="H40206" s="22" t="n">
        <f aca="false">IF(H40199&gt;0,H39991/H40199,0)</f>
        <v>-0.0262205597806979</v>
      </c>
      <c r="I40206" s="22" t="n">
        <f aca="false">IF(I40199&gt;0,I39991/I40199,0)</f>
        <v>-0.0276174967209842</v>
      </c>
      <c r="J40206" s="22" t="n">
        <f aca="false">IF(J40199&gt;0,J39991/J40199,0)</f>
        <v>-0.0266994159727908</v>
      </c>
      <c r="K40206" s="22" t="n">
        <f aca="false">IF(K40199&gt;0,K39991/K40199,0)</f>
        <v>-0.0245137160638455</v>
      </c>
    </row>
    <row r="40207" customFormat="false" ht="15" hidden="false" customHeight="false" outlineLevel="0" collapsed="false">
      <c r="A40207" s="3" t="s">
        <v>421</v>
      </c>
      <c r="G40207" s="32" t="n">
        <f aca="false">IF(G39982+G40183&gt;0,(G39978-G39989-G39986)/(G39982+G40183),0)</f>
        <v>0.745298526859104</v>
      </c>
      <c r="H40207" s="32" t="n">
        <f aca="false">IF(H39982+H40183&gt;0,(H39978-H39989-H39986)/(H39982+H40183),0)</f>
        <v>0.633940444194116</v>
      </c>
      <c r="I40207" s="32" t="n">
        <f aca="false">IF(I39982+I40183&gt;0,(I39978-I39989-I39986)/(I39982+I40183),0)</f>
        <v>0.611648781339491</v>
      </c>
      <c r="J40207" s="32" t="n">
        <f aca="false">IF(J39982+J40183&gt;0,(J39978-J39989-J39986)/(J39982+J40183),0)</f>
        <v>0.623517628652559</v>
      </c>
      <c r="K40207" s="32" t="n">
        <f aca="false">IF(K39982+K40183&gt;0,(K39978-K39989-K39986)/(K39982+K40183),0)</f>
        <v>0.652319655812009</v>
      </c>
    </row>
    <row r="40208" customFormat="false" ht="15" hidden="false" customHeight="false" outlineLevel="0" collapsed="false">
      <c r="A40208" s="3" t="s">
        <v>422</v>
      </c>
      <c r="G40208" s="16" t="n">
        <f aca="false">MAX(0,G40192)+Assumptions!$P$57*MAX(0,Assumptions!$D$57-G40015)+Assumptions!$P$58*MAX(0,Assumptions!$D$58-G40028)+Assumptions!$P$59*MAX(0,Assumptions!$D$59-G40041)+Assumptions!$P$60*MAX(0,Assumptions!$D$60-G40054)+Assumptions!$P$61*MAX(0,Assumptions!$D$61-G40067)+Assumptions!$P$62*MAX(0,Assumptions!$D$62-G40080)+Assumptions!$P$63*MAX(0,Assumptions!$D$63-G40093)+Assumptions!$P$64*MAX(0,Assumptions!$D$64-G40106)+Assumptions!$P$65*MAX(0,Assumptions!$D$65-G40119)+Assumptions!$P$66*MAX(0,Assumptions!$D$66-G40132)</f>
        <v>661.7944416</v>
      </c>
      <c r="H40208" s="16" t="n">
        <f aca="false">MAX(0,H40192)+Assumptions!$P$57*MAX(0,Assumptions!$D$57-H40015)+Assumptions!$P$58*MAX(0,Assumptions!$D$58-H40028)+Assumptions!$P$59*MAX(0,Assumptions!$D$59-H40041)+Assumptions!$P$60*MAX(0,Assumptions!$D$60-H40054)+Assumptions!$P$61*MAX(0,Assumptions!$D$61-H40067)+Assumptions!$P$62*MAX(0,Assumptions!$D$62-H40080)+Assumptions!$P$63*MAX(0,Assumptions!$D$63-H40093)+Assumptions!$P$64*MAX(0,Assumptions!$D$64-H40106)+Assumptions!$P$65*MAX(0,Assumptions!$D$65-H40119)+Assumptions!$P$66*MAX(0,Assumptions!$D$66-H40132)</f>
        <v>574.5</v>
      </c>
      <c r="I40208" s="16" t="n">
        <f aca="false">MAX(0,I40192)+Assumptions!$P$57*MAX(0,Assumptions!$D$57-I40015)+Assumptions!$P$58*MAX(0,Assumptions!$D$58-I40028)+Assumptions!$P$59*MAX(0,Assumptions!$D$59-I40041)+Assumptions!$P$60*MAX(0,Assumptions!$D$60-I40054)+Assumptions!$P$61*MAX(0,Assumptions!$D$61-I40067)+Assumptions!$P$62*MAX(0,Assumptions!$D$62-I40080)+Assumptions!$P$63*MAX(0,Assumptions!$D$63-I40093)+Assumptions!$P$64*MAX(0,Assumptions!$D$64-I40106)+Assumptions!$P$65*MAX(0,Assumptions!$D$65-I40119)+Assumptions!$P$66*MAX(0,Assumptions!$D$66-I40132)</f>
        <v>574.5</v>
      </c>
      <c r="J40208" s="16" t="n">
        <f aca="false">MAX(0,J40192)+Assumptions!$P$57*MAX(0,Assumptions!$D$57-J40015)+Assumptions!$P$58*MAX(0,Assumptions!$D$58-J40028)+Assumptions!$P$59*MAX(0,Assumptions!$D$59-J40041)+Assumptions!$P$60*MAX(0,Assumptions!$D$60-J40054)+Assumptions!$P$61*MAX(0,Assumptions!$D$61-J40067)+Assumptions!$P$62*MAX(0,Assumptions!$D$62-J40080)+Assumptions!$P$63*MAX(0,Assumptions!$D$63-J40093)+Assumptions!$P$64*MAX(0,Assumptions!$D$64-J40106)+Assumptions!$P$65*MAX(0,Assumptions!$D$65-J40119)+Assumptions!$P$66*MAX(0,Assumptions!$D$66-J40132)</f>
        <v>574.5</v>
      </c>
      <c r="K40208" s="16" t="n">
        <f aca="false">MAX(0,K40192)+Assumptions!$P$57*MAX(0,Assumptions!$D$57-K40015)+Assumptions!$P$58*MAX(0,Assumptions!$D$58-K40028)+Assumptions!$P$59*MAX(0,Assumptions!$D$59-K40041)+Assumptions!$P$60*MAX(0,Assumptions!$D$60-K40054)+Assumptions!$P$61*MAX(0,Assumptions!$D$61-K40067)+Assumptions!$P$62*MAX(0,Assumptions!$D$62-K40080)+Assumptions!$P$63*MAX(0,Assumptions!$D$63-K40093)+Assumptions!$P$64*MAX(0,Assumptions!$D$64-K40106)+Assumptions!$P$65*MAX(0,Assumptions!$D$65-K40119)+Assumptions!$P$66*MAX(0,Assumptions!$D$66-K40132)</f>
        <v>574.5</v>
      </c>
    </row>
    <row r="40209" customFormat="false" ht="15" hidden="false" customHeight="false" outlineLevel="0" collapsed="false">
      <c r="A40209" s="3" t="s">
        <v>423</v>
      </c>
      <c r="G40209" s="22" t="n">
        <f aca="false">IF(G40199&gt;0,G40199/(G40199+MAX(0,G39978*CHOOSE($C$39961,Assumptions!$C$90,Assumptions!$C$109,Assumptions!$C$128)-G40201)),0)</f>
        <v>1</v>
      </c>
      <c r="H40209" s="22" t="n">
        <f aca="false">IF(H40199&gt;0,H40199/(H40199+MAX(0,H39978*CHOOSE($C$39961,Assumptions!$C$90,Assumptions!$C$109,Assumptions!$C$128)-H40201)),0)</f>
        <v>1</v>
      </c>
      <c r="I40209" s="22" t="n">
        <f aca="false">IF(I40199&gt;0,I40199/(I40199+MAX(0,I39978*CHOOSE($C$39961,Assumptions!$C$90,Assumptions!$C$109,Assumptions!$C$128)-I40201)),0)</f>
        <v>1</v>
      </c>
      <c r="J40209" s="22" t="n">
        <f aca="false">IF(J40199&gt;0,J40199/(J40199+MAX(0,J39978*CHOOSE($C$39961,Assumptions!$C$90,Assumptions!$C$109,Assumptions!$C$128)-J40201)),0)</f>
        <v>1</v>
      </c>
      <c r="K40209" s="22" t="n">
        <f aca="false">IF(K40199&gt;0,K40199/(K40199+MAX(0,K39978*CHOOSE($C$39961,Assumptions!$C$90,Assumptions!$C$109,Assumptions!$C$128)-K40201)),0)</f>
        <v>1</v>
      </c>
    </row>
    <row r="40210" customFormat="false" ht="15" hidden="false" customHeight="false" outlineLevel="0" collapsed="false">
      <c r="A40210" s="3" t="s">
        <v>424</v>
      </c>
      <c r="G40210" s="22" t="n">
        <f aca="false">IF(G40199&gt;0,MAX(0,G40192)/G40199,0)</f>
        <v>0.0332939126614171</v>
      </c>
      <c r="H40210" s="22" t="n">
        <f aca="false">IF(H40199&gt;0,MAX(0,H40192)/H40199,0)</f>
        <v>0</v>
      </c>
      <c r="I40210" s="22" t="n">
        <f aca="false">IF(I40199&gt;0,MAX(0,I40192)/I40199,0)</f>
        <v>0</v>
      </c>
      <c r="J40210" s="22" t="n">
        <f aca="false">IF(J40199&gt;0,MAX(0,J40192)/J40199,0)</f>
        <v>0</v>
      </c>
      <c r="K40210" s="22" t="n">
        <f aca="false">IF(K40199&gt;0,MAX(0,K40192)/K40199,0)</f>
        <v>0</v>
      </c>
    </row>
    <row r="40211" customFormat="false" ht="15" hidden="false" customHeight="false" outlineLevel="0" collapsed="false">
      <c r="A40211" s="3" t="s">
        <v>425</v>
      </c>
      <c r="G40211" s="16" t="n">
        <f aca="false">Assumptions!$C$31*(1-CHOOSE($C$39961,Assumptions!$C$93,Assumptions!$C$112,Assumptions!$C$131))</f>
        <v>3162.39046666667</v>
      </c>
      <c r="H40211" s="16" t="n">
        <f aca="false">Assumptions!$C$31*(1-CHOOSE($C$39961,Assumptions!$C$93,Assumptions!$C$112,Assumptions!$C$131))</f>
        <v>3162.39046666667</v>
      </c>
      <c r="I40211" s="16" t="n">
        <f aca="false">Assumptions!$C$31*(1-CHOOSE($C$39961,Assumptions!$C$93,Assumptions!$C$112,Assumptions!$C$131))</f>
        <v>3162.39046666667</v>
      </c>
      <c r="J40211" s="16" t="n">
        <f aca="false">Assumptions!$C$31*(1-CHOOSE($C$39961,Assumptions!$C$93,Assumptions!$C$112,Assumptions!$C$131))</f>
        <v>3162.39046666667</v>
      </c>
      <c r="K40211" s="16" t="n">
        <f aca="false">Assumptions!$C$31*(1-CHOOSE($C$39961,Assumptions!$C$93,Assumptions!$C$112,Assumptions!$C$131))</f>
        <v>3162.39046666667</v>
      </c>
    </row>
    <row r="40212" customFormat="false" ht="15" hidden="false" customHeight="false" outlineLevel="0" collapsed="false">
      <c r="A40212" s="24" t="s">
        <v>426</v>
      </c>
      <c r="B40212" s="25"/>
      <c r="C40212" s="25"/>
      <c r="D40212" s="25"/>
      <c r="E40212" s="25"/>
      <c r="F40212" s="25"/>
      <c r="G40212" s="25"/>
      <c r="H40212" s="25"/>
      <c r="I40212" s="25"/>
      <c r="J40212" s="25"/>
      <c r="K40212" s="25"/>
    </row>
    <row r="40213" customFormat="false" ht="15" hidden="false" customHeight="false" outlineLevel="0" collapsed="false">
      <c r="A40213" s="24" t="s">
        <v>427</v>
      </c>
      <c r="B40213" s="25"/>
      <c r="C40213" s="25"/>
      <c r="D40213" s="25"/>
      <c r="E40213" s="25"/>
      <c r="F40213" s="25"/>
      <c r="G40213" s="25"/>
      <c r="H40213" s="25"/>
      <c r="I40213" s="25"/>
      <c r="J40213" s="25"/>
      <c r="K40213" s="25"/>
    </row>
    <row r="40214" customFormat="false" ht="15" hidden="false" customHeight="false" outlineLevel="0" collapsed="false">
      <c r="A40214" s="3" t="s">
        <v>428</v>
      </c>
      <c r="G40214" s="22" t="n">
        <f aca="false">IF(G40211&gt;0,G40199/G40211,99)</f>
        <v>0.829098755399318</v>
      </c>
      <c r="H40214" s="22" t="n">
        <f aca="false">IF(H40211&gt;0,H40199/H40211,99)</f>
        <v>0.823076336124801</v>
      </c>
      <c r="I40214" s="22" t="n">
        <f aca="false">IF(I40211&gt;0,I40199/I40211,99)</f>
        <v>0.821811470181724</v>
      </c>
      <c r="J40214" s="22" t="n">
        <f aca="false">IF(J40211&gt;0,J40199/J40211,99)</f>
        <v>0.820546604238646</v>
      </c>
      <c r="K40214" s="22" t="n">
        <f aca="false">IF(K40211&gt;0,K40199/K40211,99)</f>
        <v>0.819281738295568</v>
      </c>
    </row>
    <row r="40215" customFormat="false" ht="15" hidden="false" customHeight="false" outlineLevel="0" collapsed="false">
      <c r="A40215" s="3" t="s">
        <v>429</v>
      </c>
      <c r="G40215" s="33" t="n">
        <f aca="false">Assumptions!$G$71</f>
        <v>0.6</v>
      </c>
      <c r="H40215" s="33" t="n">
        <f aca="false">Assumptions!$H$71</f>
        <v>0.6</v>
      </c>
      <c r="I40215" s="33" t="n">
        <f aca="false">Assumptions!$I$71</f>
        <v>0.6</v>
      </c>
      <c r="J40215" s="33" t="n">
        <f aca="false">Assumptions!$J$71</f>
        <v>0.6</v>
      </c>
      <c r="K40215" s="33" t="n">
        <f aca="false">Assumptions!$K$71</f>
        <v>0.6</v>
      </c>
    </row>
    <row r="40216" customFormat="false" ht="15" hidden="false" customHeight="false" outlineLevel="0" collapsed="false">
      <c r="A40216" s="3" t="s">
        <v>430</v>
      </c>
      <c r="G40216" s="22" t="n">
        <f aca="false">G40215-G40214</f>
        <v>-0.229098755399318</v>
      </c>
      <c r="H40216" s="22" t="n">
        <f aca="false">H40215-H40214</f>
        <v>-0.223076336124801</v>
      </c>
      <c r="I40216" s="22" t="n">
        <f aca="false">I40215-I40214</f>
        <v>-0.221811470181724</v>
      </c>
      <c r="J40216" s="22" t="n">
        <f aca="false">J40215-J40214</f>
        <v>-0.220546604238646</v>
      </c>
      <c r="K40216" s="22" t="n">
        <f aca="false">K40215-K40214</f>
        <v>-0.219281738295568</v>
      </c>
    </row>
    <row r="40217" customFormat="false" ht="15" hidden="false" customHeight="false" outlineLevel="0" collapsed="false">
      <c r="A40217" s="3" t="s">
        <v>431</v>
      </c>
      <c r="G40217" s="22" t="n">
        <f aca="false">IF(G40215=0,0,G40216/ABS(G40215))</f>
        <v>-0.381831258998863</v>
      </c>
      <c r="H40217" s="22" t="n">
        <f aca="false">IF(H40215=0,0,H40216/ABS(H40215))</f>
        <v>-0.371793893541335</v>
      </c>
      <c r="I40217" s="22" t="n">
        <f aca="false">IF(I40215=0,0,I40216/ABS(I40215))</f>
        <v>-0.369685783636206</v>
      </c>
      <c r="J40217" s="22" t="n">
        <f aca="false">IF(J40215=0,0,J40216/ABS(J40215))</f>
        <v>-0.367577673731077</v>
      </c>
      <c r="K40217" s="22" t="n">
        <f aca="false">IF(K40215=0,0,K40216/ABS(K40215))</f>
        <v>-0.365469563825947</v>
      </c>
    </row>
    <row r="40218" customFormat="false" ht="15" hidden="false" customHeight="false" outlineLevel="0" collapsed="false">
      <c r="A40218" s="3" t="s">
        <v>432</v>
      </c>
      <c r="G40218" s="21" t="n">
        <f aca="false">IF(G40216&lt;0,1,0)</f>
        <v>1</v>
      </c>
      <c r="H40218" s="21" t="n">
        <f aca="false">IF(H40216&lt;0,1,0)</f>
        <v>1</v>
      </c>
      <c r="I40218" s="21" t="n">
        <f aca="false">IF(I40216&lt;0,1,0)</f>
        <v>1</v>
      </c>
      <c r="J40218" s="21" t="n">
        <f aca="false">IF(J40216&lt;0,1,0)</f>
        <v>1</v>
      </c>
      <c r="K40218" s="21" t="n">
        <f aca="false">IF(K40216&lt;0,1,0)</f>
        <v>1</v>
      </c>
    </row>
    <row r="40219" customFormat="false" ht="15" hidden="false" customHeight="false" outlineLevel="0" collapsed="false">
      <c r="A40219" s="3" t="s">
        <v>433</v>
      </c>
      <c r="C40219" s="21" t="n">
        <f aca="false">IFERROR(INDEX($G$39968:$K$39968,MATCH(1,$G$40218:$K$40218,0)),0)</f>
        <v>2027</v>
      </c>
    </row>
    <row r="40220" customFormat="false" ht="15" hidden="false" customHeight="false" outlineLevel="0" collapsed="false">
      <c r="A40220" s="3" t="s">
        <v>434</v>
      </c>
      <c r="C40220" s="22" t="n">
        <f aca="false">MIN($G$40217:$K$40217)</f>
        <v>-0.381831258998863</v>
      </c>
    </row>
    <row r="40221" customFormat="false" ht="15" hidden="false" customHeight="false" outlineLevel="0" collapsed="false">
      <c r="A40221" s="24" t="s">
        <v>435</v>
      </c>
      <c r="B40221" s="25"/>
      <c r="C40221" s="25"/>
      <c r="D40221" s="25"/>
      <c r="E40221" s="25"/>
      <c r="F40221" s="25"/>
      <c r="G40221" s="25"/>
      <c r="H40221" s="25"/>
      <c r="I40221" s="25"/>
      <c r="J40221" s="25"/>
      <c r="K40221" s="25"/>
    </row>
    <row r="40222" customFormat="false" ht="15" hidden="false" customHeight="false" outlineLevel="0" collapsed="false">
      <c r="A40222" s="3" t="s">
        <v>428</v>
      </c>
      <c r="G40222" s="32" t="n">
        <f aca="false">IF(G39982&gt;0,G39978/G39982,99)</f>
        <v>1.06025908412371</v>
      </c>
      <c r="H40222" s="32" t="n">
        <f aca="false">IF(H39982&gt;0,H39978/H39982,99)</f>
        <v>0.927444011573365</v>
      </c>
      <c r="I40222" s="32" t="n">
        <f aca="false">IF(I39982&gt;0,I39978/I39982,99)</f>
        <v>0.899631625108658</v>
      </c>
      <c r="J40222" s="32" t="n">
        <f aca="false">IF(J39982&gt;0,J39978/J39982,99)</f>
        <v>0.912459444554051</v>
      </c>
      <c r="K40222" s="32" t="n">
        <f aca="false">IF(K39982&gt;0,K39978/K39982,99)</f>
        <v>0.945346751531936</v>
      </c>
    </row>
    <row r="40223" customFormat="false" ht="15" hidden="false" customHeight="false" outlineLevel="0" collapsed="false">
      <c r="A40223" s="3" t="s">
        <v>429</v>
      </c>
      <c r="G40223" s="34" t="n">
        <f aca="false">Assumptions!$G$72</f>
        <v>1.5</v>
      </c>
      <c r="H40223" s="34" t="n">
        <f aca="false">Assumptions!$H$72</f>
        <v>1.5</v>
      </c>
      <c r="I40223" s="34" t="n">
        <f aca="false">Assumptions!$I$72</f>
        <v>1.5</v>
      </c>
      <c r="J40223" s="34" t="n">
        <f aca="false">Assumptions!$J$72</f>
        <v>1.5</v>
      </c>
      <c r="K40223" s="34" t="n">
        <f aca="false">Assumptions!$K$72</f>
        <v>1.5</v>
      </c>
    </row>
    <row r="40224" customFormat="false" ht="15" hidden="false" customHeight="false" outlineLevel="0" collapsed="false">
      <c r="A40224" s="3" t="s">
        <v>430</v>
      </c>
      <c r="G40224" s="32" t="n">
        <f aca="false">G40222-G40223</f>
        <v>-0.439740915876287</v>
      </c>
      <c r="H40224" s="32" t="n">
        <f aca="false">H40222-H40223</f>
        <v>-0.572555988426635</v>
      </c>
      <c r="I40224" s="32" t="n">
        <f aca="false">I40222-I40223</f>
        <v>-0.600368374891342</v>
      </c>
      <c r="J40224" s="32" t="n">
        <f aca="false">J40222-J40223</f>
        <v>-0.58754055544595</v>
      </c>
      <c r="K40224" s="32" t="n">
        <f aca="false">K40222-K40223</f>
        <v>-0.554653248468064</v>
      </c>
    </row>
    <row r="40225" customFormat="false" ht="15" hidden="false" customHeight="false" outlineLevel="0" collapsed="false">
      <c r="A40225" s="3" t="s">
        <v>431</v>
      </c>
      <c r="G40225" s="22" t="n">
        <f aca="false">IF(G40223=0,0,G40224/ABS(G40223))</f>
        <v>-0.293160610584191</v>
      </c>
      <c r="H40225" s="22" t="n">
        <f aca="false">IF(H40223=0,0,H40224/ABS(H40223))</f>
        <v>-0.381703992284423</v>
      </c>
      <c r="I40225" s="22" t="n">
        <f aca="false">IF(I40223=0,0,I40224/ABS(I40223))</f>
        <v>-0.400245583260895</v>
      </c>
      <c r="J40225" s="22" t="n">
        <f aca="false">IF(J40223=0,0,J40224/ABS(J40223))</f>
        <v>-0.391693703630633</v>
      </c>
      <c r="K40225" s="22" t="n">
        <f aca="false">IF(K40223=0,0,K40224/ABS(K40223))</f>
        <v>-0.369768832312043</v>
      </c>
    </row>
    <row r="40226" customFormat="false" ht="15" hidden="false" customHeight="false" outlineLevel="0" collapsed="false">
      <c r="A40226" s="3" t="s">
        <v>432</v>
      </c>
      <c r="G40226" s="21" t="n">
        <f aca="false">IF(G40224&lt;0,1,0)</f>
        <v>1</v>
      </c>
      <c r="H40226" s="21" t="n">
        <f aca="false">IF(H40224&lt;0,1,0)</f>
        <v>1</v>
      </c>
      <c r="I40226" s="21" t="n">
        <f aca="false">IF(I40224&lt;0,1,0)</f>
        <v>1</v>
      </c>
      <c r="J40226" s="21" t="n">
        <f aca="false">IF(J40224&lt;0,1,0)</f>
        <v>1</v>
      </c>
      <c r="K40226" s="21" t="n">
        <f aca="false">IF(K40224&lt;0,1,0)</f>
        <v>1</v>
      </c>
    </row>
    <row r="40227" customFormat="false" ht="15" hidden="false" customHeight="false" outlineLevel="0" collapsed="false">
      <c r="A40227" s="3" t="s">
        <v>433</v>
      </c>
      <c r="C40227" s="21" t="n">
        <f aca="false">IFERROR(INDEX($G$39968:$K$39968,MATCH(1,$G$40226:$K$40226,0)),0)</f>
        <v>2027</v>
      </c>
    </row>
    <row r="40228" customFormat="false" ht="15" hidden="false" customHeight="false" outlineLevel="0" collapsed="false">
      <c r="A40228" s="3" t="s">
        <v>434</v>
      </c>
      <c r="C40228" s="22" t="n">
        <f aca="false">MIN($G$40225:$K$40225)</f>
        <v>-0.400245583260895</v>
      </c>
    </row>
    <row r="40229" customFormat="false" ht="15" hidden="false" customHeight="false" outlineLevel="0" collapsed="false">
      <c r="A40229" s="24" t="s">
        <v>436</v>
      </c>
      <c r="B40229" s="25"/>
      <c r="C40229" s="25"/>
      <c r="D40229" s="25"/>
      <c r="E40229" s="25"/>
      <c r="F40229" s="25"/>
      <c r="G40229" s="25"/>
      <c r="H40229" s="25"/>
      <c r="I40229" s="25"/>
      <c r="J40229" s="25"/>
      <c r="K40229" s="25"/>
    </row>
    <row r="40230" customFormat="false" ht="15" hidden="false" customHeight="false" outlineLevel="0" collapsed="false">
      <c r="A40230" s="3" t="s">
        <v>428</v>
      </c>
      <c r="G40230" s="22" t="n">
        <f aca="false">IF(G40211&gt;0,G40200/G40211,99)</f>
        <v>0.171808005914176</v>
      </c>
      <c r="H40230" s="22" t="n">
        <f aca="false">IF(H40211&gt;0,H40200/H40211,99)</f>
        <v>0.170543139971098</v>
      </c>
      <c r="I40230" s="22" t="n">
        <f aca="false">IF(I40211&gt;0,I40200/I40211,99)</f>
        <v>0.169278274028021</v>
      </c>
      <c r="J40230" s="22" t="n">
        <f aca="false">IF(J40211&gt;0,J40200/J40211,99)</f>
        <v>0.168013408084943</v>
      </c>
      <c r="K40230" s="22" t="n">
        <f aca="false">IF(K40211&gt;0,K40200/K40211,99)</f>
        <v>0.166748542141865</v>
      </c>
    </row>
    <row r="40231" customFormat="false" ht="15" hidden="false" customHeight="false" outlineLevel="0" collapsed="false">
      <c r="A40231" s="3" t="s">
        <v>429</v>
      </c>
      <c r="G40231" s="33" t="n">
        <f aca="false">Assumptions!$G$73</f>
        <v>0.4</v>
      </c>
      <c r="H40231" s="33" t="n">
        <f aca="false">Assumptions!$H$73</f>
        <v>0.4</v>
      </c>
      <c r="I40231" s="33" t="n">
        <f aca="false">Assumptions!$I$73</f>
        <v>0.4</v>
      </c>
      <c r="J40231" s="33" t="n">
        <f aca="false">Assumptions!$J$73</f>
        <v>0.4</v>
      </c>
      <c r="K40231" s="33" t="n">
        <f aca="false">Assumptions!$K$73</f>
        <v>0.4</v>
      </c>
    </row>
    <row r="40232" customFormat="false" ht="15" hidden="false" customHeight="false" outlineLevel="0" collapsed="false">
      <c r="A40232" s="3" t="s">
        <v>430</v>
      </c>
      <c r="G40232" s="22" t="n">
        <f aca="false">G40231-G40230</f>
        <v>0.228191994085824</v>
      </c>
      <c r="H40232" s="22" t="n">
        <f aca="false">H40231-H40230</f>
        <v>0.229456860028902</v>
      </c>
      <c r="I40232" s="22" t="n">
        <f aca="false">I40231-I40230</f>
        <v>0.230721725971979</v>
      </c>
      <c r="J40232" s="22" t="n">
        <f aca="false">J40231-J40230</f>
        <v>0.231986591915057</v>
      </c>
      <c r="K40232" s="22" t="n">
        <f aca="false">K40231-K40230</f>
        <v>0.233251457858135</v>
      </c>
    </row>
    <row r="40233" customFormat="false" ht="15" hidden="false" customHeight="false" outlineLevel="0" collapsed="false">
      <c r="A40233" s="3" t="s">
        <v>431</v>
      </c>
      <c r="G40233" s="22" t="n">
        <f aca="false">IF(G40231=0,0,G40232/ABS(G40231))</f>
        <v>0.57047998521456</v>
      </c>
      <c r="H40233" s="22" t="n">
        <f aca="false">IF(H40231=0,0,H40232/ABS(H40231))</f>
        <v>0.573642150072254</v>
      </c>
      <c r="I40233" s="22" t="n">
        <f aca="false">IF(I40231=0,0,I40232/ABS(I40231))</f>
        <v>0.576804314929948</v>
      </c>
      <c r="J40233" s="22" t="n">
        <f aca="false">IF(J40231=0,0,J40232/ABS(J40231))</f>
        <v>0.579966479787643</v>
      </c>
      <c r="K40233" s="22" t="n">
        <f aca="false">IF(K40231=0,0,K40232/ABS(K40231))</f>
        <v>0.583128644645337</v>
      </c>
    </row>
    <row r="40234" customFormat="false" ht="15" hidden="false" customHeight="false" outlineLevel="0" collapsed="false">
      <c r="A40234" s="3" t="s">
        <v>432</v>
      </c>
      <c r="G40234" s="21" t="n">
        <f aca="false">IF(G40232&lt;0,1,0)</f>
        <v>0</v>
      </c>
      <c r="H40234" s="21" t="n">
        <f aca="false">IF(H40232&lt;0,1,0)</f>
        <v>0</v>
      </c>
      <c r="I40234" s="21" t="n">
        <f aca="false">IF(I40232&lt;0,1,0)</f>
        <v>0</v>
      </c>
      <c r="J40234" s="21" t="n">
        <f aca="false">IF(J40232&lt;0,1,0)</f>
        <v>0</v>
      </c>
      <c r="K40234" s="21" t="n">
        <f aca="false">IF(K40232&lt;0,1,0)</f>
        <v>0</v>
      </c>
    </row>
    <row r="40235" customFormat="false" ht="15" hidden="false" customHeight="false" outlineLevel="0" collapsed="false">
      <c r="A40235" s="3" t="s">
        <v>433</v>
      </c>
      <c r="C40235" s="21" t="n">
        <f aca="false">IFERROR(INDEX($G$39968:$K$39968,MATCH(1,$G$40234:$K$40234,0)),0)</f>
        <v>0</v>
      </c>
    </row>
    <row r="40236" customFormat="false" ht="15" hidden="false" customHeight="false" outlineLevel="0" collapsed="false">
      <c r="A40236" s="3" t="s">
        <v>434</v>
      </c>
      <c r="C40236" s="22" t="n">
        <f aca="false">MIN($G$40233:$K$40233)</f>
        <v>0.57047998521456</v>
      </c>
    </row>
    <row r="40237" customFormat="false" ht="15" hidden="false" customHeight="false" outlineLevel="0" collapsed="false">
      <c r="A40237" s="24" t="s">
        <v>437</v>
      </c>
      <c r="B40237" s="25"/>
      <c r="C40237" s="25"/>
      <c r="D40237" s="25"/>
      <c r="E40237" s="25"/>
      <c r="F40237" s="25"/>
      <c r="G40237" s="25"/>
      <c r="H40237" s="25"/>
      <c r="I40237" s="25"/>
      <c r="J40237" s="25"/>
      <c r="K40237" s="25"/>
    </row>
    <row r="40238" customFormat="false" ht="15" hidden="false" customHeight="false" outlineLevel="0" collapsed="false">
      <c r="A40238" s="3" t="s">
        <v>428</v>
      </c>
      <c r="G40238" s="16" t="n">
        <f aca="false">G40208</f>
        <v>661.7944416</v>
      </c>
      <c r="H40238" s="16" t="n">
        <f aca="false">H40208</f>
        <v>574.5</v>
      </c>
      <c r="I40238" s="16" t="n">
        <f aca="false">I40208</f>
        <v>574.5</v>
      </c>
      <c r="J40238" s="16" t="n">
        <f aca="false">J40208</f>
        <v>574.5</v>
      </c>
      <c r="K40238" s="16" t="n">
        <f aca="false">K40208</f>
        <v>574.5</v>
      </c>
    </row>
    <row r="40239" customFormat="false" ht="15" hidden="false" customHeight="false" outlineLevel="0" collapsed="false">
      <c r="A40239" s="3" t="s">
        <v>429</v>
      </c>
      <c r="G40239" s="29" t="n">
        <f aca="false">Assumptions!$G$74</f>
        <v>100</v>
      </c>
      <c r="H40239" s="29" t="n">
        <f aca="false">Assumptions!$H$74</f>
        <v>100</v>
      </c>
      <c r="I40239" s="29" t="n">
        <f aca="false">Assumptions!$I$74</f>
        <v>100</v>
      </c>
      <c r="J40239" s="29" t="n">
        <f aca="false">Assumptions!$J$74</f>
        <v>100</v>
      </c>
      <c r="K40239" s="29" t="n">
        <f aca="false">Assumptions!$K$74</f>
        <v>100</v>
      </c>
    </row>
    <row r="40240" customFormat="false" ht="15" hidden="false" customHeight="false" outlineLevel="0" collapsed="false">
      <c r="A40240" s="3" t="s">
        <v>430</v>
      </c>
      <c r="G40240" s="16" t="n">
        <f aca="false">G40238-G40239</f>
        <v>561.7944416</v>
      </c>
      <c r="H40240" s="16" t="n">
        <f aca="false">H40238-H40239</f>
        <v>474.5</v>
      </c>
      <c r="I40240" s="16" t="n">
        <f aca="false">I40238-I40239</f>
        <v>474.5</v>
      </c>
      <c r="J40240" s="16" t="n">
        <f aca="false">J40238-J40239</f>
        <v>474.5</v>
      </c>
      <c r="K40240" s="16" t="n">
        <f aca="false">K40238-K40239</f>
        <v>474.5</v>
      </c>
    </row>
    <row r="40241" customFormat="false" ht="15" hidden="false" customHeight="false" outlineLevel="0" collapsed="false">
      <c r="A40241" s="3" t="s">
        <v>431</v>
      </c>
      <c r="G40241" s="22" t="n">
        <f aca="false">IF(G40239=0,0,G40240/ABS(G40239))</f>
        <v>5.617944416</v>
      </c>
      <c r="H40241" s="22" t="n">
        <f aca="false">IF(H40239=0,0,H40240/ABS(H40239))</f>
        <v>4.745</v>
      </c>
      <c r="I40241" s="22" t="n">
        <f aca="false">IF(I40239=0,0,I40240/ABS(I40239))</f>
        <v>4.745</v>
      </c>
      <c r="J40241" s="22" t="n">
        <f aca="false">IF(J40239=0,0,J40240/ABS(J40239))</f>
        <v>4.745</v>
      </c>
      <c r="K40241" s="22" t="n">
        <f aca="false">IF(K40239=0,0,K40240/ABS(K40239))</f>
        <v>4.745</v>
      </c>
    </row>
    <row r="40242" customFormat="false" ht="15" hidden="false" customHeight="false" outlineLevel="0" collapsed="false">
      <c r="A40242" s="3" t="s">
        <v>432</v>
      </c>
      <c r="G40242" s="21" t="n">
        <f aca="false">IF(G40240&lt;0,1,0)</f>
        <v>0</v>
      </c>
      <c r="H40242" s="21" t="n">
        <f aca="false">IF(H40240&lt;0,1,0)</f>
        <v>0</v>
      </c>
      <c r="I40242" s="21" t="n">
        <f aca="false">IF(I40240&lt;0,1,0)</f>
        <v>0</v>
      </c>
      <c r="J40242" s="21" t="n">
        <f aca="false">IF(J40240&lt;0,1,0)</f>
        <v>0</v>
      </c>
      <c r="K40242" s="21" t="n">
        <f aca="false">IF(K40240&lt;0,1,0)</f>
        <v>0</v>
      </c>
    </row>
    <row r="40243" customFormat="false" ht="15" hidden="false" customHeight="false" outlineLevel="0" collapsed="false">
      <c r="A40243" s="3" t="s">
        <v>433</v>
      </c>
      <c r="C40243" s="21" t="n">
        <f aca="false">IFERROR(INDEX($G$39968:$K$39968,MATCH(1,$G$40242:$K$40242,0)),0)</f>
        <v>0</v>
      </c>
    </row>
    <row r="40244" customFormat="false" ht="15" hidden="false" customHeight="false" outlineLevel="0" collapsed="false">
      <c r="A40244" s="3" t="s">
        <v>434</v>
      </c>
      <c r="C40244" s="22" t="n">
        <f aca="false">MIN($G$40241:$K$40241)</f>
        <v>4.745</v>
      </c>
    </row>
    <row r="40245" customFormat="false" ht="15" hidden="false" customHeight="false" outlineLevel="0" collapsed="false">
      <c r="A40245" s="24" t="s">
        <v>438</v>
      </c>
      <c r="B40245" s="25"/>
      <c r="C40245" s="25"/>
      <c r="D40245" s="25"/>
      <c r="E40245" s="25"/>
      <c r="F40245" s="25"/>
      <c r="G40245" s="25"/>
      <c r="H40245" s="25"/>
      <c r="I40245" s="25"/>
      <c r="J40245" s="25"/>
      <c r="K40245" s="25"/>
    </row>
    <row r="40246" customFormat="false" ht="15" hidden="false" customHeight="false" outlineLevel="0" collapsed="false">
      <c r="A40246" s="3" t="s">
        <v>428</v>
      </c>
      <c r="G40246" s="32" t="n">
        <f aca="false">IF(G39978&gt;0,G40201/G39978,99)</f>
        <v>12.2866312534504</v>
      </c>
      <c r="H40246" s="32" t="n">
        <f aca="false">IF(H39978&gt;0,H40201/H39978,99)</f>
        <v>14.5137170159321</v>
      </c>
      <c r="I40246" s="32" t="n">
        <f aca="false">IF(I39978&gt;0,I40201/I39978,99)</f>
        <v>15.5560738236619</v>
      </c>
      <c r="J40246" s="32" t="n">
        <f aca="false">IF(J39978&gt;0,J40201/J39978,99)</f>
        <v>15.7734539449449</v>
      </c>
      <c r="K40246" s="32" t="n">
        <f aca="false">IF(K39978&gt;0,K40201/K39978,99)</f>
        <v>15.6156103833885</v>
      </c>
    </row>
    <row r="40247" customFormat="false" ht="15" hidden="false" customHeight="false" outlineLevel="0" collapsed="false">
      <c r="A40247" s="3" t="s">
        <v>429</v>
      </c>
      <c r="G40247" s="34" t="n">
        <f aca="false">Assumptions!$G$75</f>
        <v>10.5</v>
      </c>
      <c r="H40247" s="34" t="n">
        <f aca="false">Assumptions!$H$75</f>
        <v>10.5</v>
      </c>
      <c r="I40247" s="34" t="n">
        <f aca="false">Assumptions!$I$75</f>
        <v>10</v>
      </c>
      <c r="J40247" s="34" t="n">
        <f aca="false">Assumptions!$J$75</f>
        <v>10</v>
      </c>
      <c r="K40247" s="34" t="n">
        <f aca="false">Assumptions!$K$75</f>
        <v>9.5</v>
      </c>
    </row>
    <row r="40248" customFormat="false" ht="15" hidden="false" customHeight="false" outlineLevel="0" collapsed="false">
      <c r="A40248" s="3" t="s">
        <v>430</v>
      </c>
      <c r="G40248" s="32" t="n">
        <f aca="false">G40247-G40246</f>
        <v>-1.78663125345038</v>
      </c>
      <c r="H40248" s="32" t="n">
        <f aca="false">H40247-H40246</f>
        <v>-4.01371701593214</v>
      </c>
      <c r="I40248" s="32" t="n">
        <f aca="false">I40247-I40246</f>
        <v>-5.55607382366189</v>
      </c>
      <c r="J40248" s="32" t="n">
        <f aca="false">J40247-J40246</f>
        <v>-5.7734539449449</v>
      </c>
      <c r="K40248" s="32" t="n">
        <f aca="false">K40247-K40246</f>
        <v>-6.11561038338853</v>
      </c>
    </row>
    <row r="40249" customFormat="false" ht="15" hidden="false" customHeight="false" outlineLevel="0" collapsed="false">
      <c r="A40249" s="3" t="s">
        <v>431</v>
      </c>
      <c r="G40249" s="22" t="n">
        <f aca="false">IF(G40247=0,0,G40248/ABS(G40247))</f>
        <v>-0.170155357471464</v>
      </c>
      <c r="H40249" s="22" t="n">
        <f aca="false">IF(H40247=0,0,H40248/ABS(H40247))</f>
        <v>-0.382258763422108</v>
      </c>
      <c r="I40249" s="22" t="n">
        <f aca="false">IF(I40247=0,0,I40248/ABS(I40247))</f>
        <v>-0.555607382366189</v>
      </c>
      <c r="J40249" s="22" t="n">
        <f aca="false">IF(J40247=0,0,J40248/ABS(J40247))</f>
        <v>-0.57734539449449</v>
      </c>
      <c r="K40249" s="22" t="n">
        <f aca="false">IF(K40247=0,0,K40248/ABS(K40247))</f>
        <v>-0.643748461409318</v>
      </c>
    </row>
    <row r="40250" customFormat="false" ht="15" hidden="false" customHeight="false" outlineLevel="0" collapsed="false">
      <c r="A40250" s="3" t="s">
        <v>432</v>
      </c>
      <c r="G40250" s="21" t="n">
        <f aca="false">IF(G40248&lt;0,1,0)</f>
        <v>1</v>
      </c>
      <c r="H40250" s="21" t="n">
        <f aca="false">IF(H40248&lt;0,1,0)</f>
        <v>1</v>
      </c>
      <c r="I40250" s="21" t="n">
        <f aca="false">IF(I40248&lt;0,1,0)</f>
        <v>1</v>
      </c>
      <c r="J40250" s="21" t="n">
        <f aca="false">IF(J40248&lt;0,1,0)</f>
        <v>1</v>
      </c>
      <c r="K40250" s="21" t="n">
        <f aca="false">IF(K40248&lt;0,1,0)</f>
        <v>1</v>
      </c>
    </row>
    <row r="40251" customFormat="false" ht="15" hidden="false" customHeight="false" outlineLevel="0" collapsed="false">
      <c r="A40251" s="3" t="s">
        <v>433</v>
      </c>
      <c r="C40251" s="21" t="n">
        <f aca="false">IFERROR(INDEX($G$39968:$K$39968,MATCH(1,$G$40250:$K$40250,0)),0)</f>
        <v>2027</v>
      </c>
    </row>
    <row r="40252" customFormat="false" ht="15" hidden="false" customHeight="false" outlineLevel="0" collapsed="false">
      <c r="A40252" s="3" t="s">
        <v>434</v>
      </c>
      <c r="C40252" s="22" t="n">
        <f aca="false">MIN($G$40249:$K$40249)</f>
        <v>-0.643748461409318</v>
      </c>
    </row>
    <row r="40253" customFormat="false" ht="15" hidden="false" customHeight="false" outlineLevel="0" collapsed="false">
      <c r="A40253" s="3" t="s">
        <v>439</v>
      </c>
      <c r="G40253" s="21" t="n">
        <f aca="false">G40218+G40226+G40234+G40242+G40250</f>
        <v>3</v>
      </c>
      <c r="H40253" s="21" t="n">
        <f aca="false">H40218+H40226+H40234+H40242+H40250</f>
        <v>3</v>
      </c>
      <c r="I40253" s="21" t="n">
        <f aca="false">I40218+I40226+I40234+I40242+I40250</f>
        <v>3</v>
      </c>
      <c r="J40253" s="21" t="n">
        <f aca="false">J40218+J40226+J40234+J40242+J40250</f>
        <v>3</v>
      </c>
      <c r="K40253" s="21" t="n">
        <f aca="false">K40218+K40226+K40234+K40242+K40250</f>
        <v>3</v>
      </c>
    </row>
    <row r="40254" customFormat="false" ht="15" hidden="false" customHeight="false" outlineLevel="0" collapsed="false">
      <c r="A40254" s="3" t="s">
        <v>440</v>
      </c>
      <c r="C40254" s="21" t="n">
        <f aca="false">SUM($G$40253:$K$40253)</f>
        <v>15</v>
      </c>
    </row>
    <row r="40255" customFormat="false" ht="15" hidden="false" customHeight="false" outlineLevel="0" collapsed="false">
      <c r="A40255" s="3" t="s">
        <v>441</v>
      </c>
      <c r="C40255" s="22" t="n">
        <f aca="false">MIN(C40220,C40228,C40236,C40244,C40252)</f>
        <v>-0.643748461409318</v>
      </c>
    </row>
    <row r="40257" customFormat="false" ht="15" hidden="false" customHeight="false" outlineLevel="0" collapsed="false">
      <c r="A40257" s="24" t="s">
        <v>543</v>
      </c>
      <c r="B40257" s="25"/>
      <c r="C40257" s="25"/>
      <c r="D40257" s="25"/>
      <c r="E40257" s="25"/>
      <c r="F40257" s="25"/>
      <c r="G40257" s="25"/>
      <c r="H40257" s="25"/>
      <c r="I40257" s="25"/>
      <c r="J40257" s="25"/>
      <c r="K40257" s="25"/>
    </row>
    <row r="40258" customFormat="false" ht="15" hidden="false" customHeight="false" outlineLevel="0" collapsed="false">
      <c r="A40258" s="3" t="s">
        <v>544</v>
      </c>
      <c r="G40258" s="21" t="n">
        <f aca="false">IF($C$40259=1,G40195,IF(G39978=MIN($G$39978:$K$39978),1,0))</f>
        <v>0</v>
      </c>
      <c r="H40258" s="21" t="n">
        <f aca="false">IF($C$40259=1,H40195,IF(AND(H39978=MIN($G$39978:$K$39978),SUM($G$40258:G40258)=0),1,0))</f>
        <v>1</v>
      </c>
      <c r="I40258" s="21" t="n">
        <f aca="false">IF($C$40259=1,I40195,IF(AND(I39978=MIN($G$39978:$K$39978),SUM($G$40258:H40258)=0),1,0))</f>
        <v>0</v>
      </c>
      <c r="J40258" s="21" t="n">
        <f aca="false">IF($C$40259=1,J40195,IF(AND(J39978=MIN($G$39978:$K$39978),SUM($G$40258:I40258)=0),1,0))</f>
        <v>0</v>
      </c>
      <c r="K40258" s="21" t="n">
        <f aca="false">IF($C$40259=1,K40195,IF(AND(K39978=MIN($G$39978:$K$39978),SUM($G$40258:J40258)=0),1,0))</f>
        <v>0</v>
      </c>
    </row>
    <row r="40259" customFormat="false" ht="15" hidden="false" customHeight="false" outlineLevel="0" collapsed="false">
      <c r="A40259" s="3" t="s">
        <v>545</v>
      </c>
      <c r="C40259" s="21" t="n">
        <f aca="false">IF(SUM($G$40195:$K$40195)&gt;0,1,0)</f>
        <v>1</v>
      </c>
    </row>
    <row r="40260" customFormat="false" ht="15" hidden="false" customHeight="false" outlineLevel="0" collapsed="false">
      <c r="A40260" s="3" t="s">
        <v>546</v>
      </c>
      <c r="C40260" s="21" t="n">
        <f aca="false">SUMPRODUCT($G$40258:$K$40258,$G$39968:$K$39968)</f>
        <v>2028</v>
      </c>
    </row>
    <row r="40261" customFormat="false" ht="15" hidden="false" customHeight="false" outlineLevel="0" collapsed="false">
      <c r="A40261" s="3" t="s">
        <v>547</v>
      </c>
      <c r="C40261" s="16" t="n">
        <f aca="false">SUMPRODUCT($G$40258:$K$40258,$G$39978:$K$39978)</f>
        <v>179.33991381</v>
      </c>
    </row>
    <row r="40262" customFormat="false" ht="15" hidden="false" customHeight="false" outlineLevel="0" collapsed="false">
      <c r="A40262" s="3" t="s">
        <v>548</v>
      </c>
      <c r="C40262" s="16" t="n">
        <f aca="false">MAX(0,SUMPRODUCT($G$40258:$K$40258,$G$40192:$K$40192))</f>
        <v>0</v>
      </c>
    </row>
    <row r="40263" customFormat="false" ht="15" hidden="false" customHeight="false" outlineLevel="0" collapsed="false">
      <c r="A40263" s="3" t="s">
        <v>549</v>
      </c>
      <c r="C40263" s="16" t="n">
        <f aca="false">(CHOOSE($C$39961,Assumptions!$C$92,Assumptions!$C$111,Assumptions!$C$130)+$C$39965)*C40261</f>
        <v>1614.05922429</v>
      </c>
    </row>
    <row r="40264" customFormat="false" ht="15" hidden="false" customHeight="false" outlineLevel="0" collapsed="false">
      <c r="A40264" s="3" t="s">
        <v>550</v>
      </c>
      <c r="C40264" s="16" t="n">
        <f aca="false">Assumptions!$C$31*(1-CHOOSE($C$39961,Assumptions!$C$93,Assumptions!$C$112,Assumptions!$C$131))*CHOOSE($C$39961,Assumptions!$C$94,Assumptions!$C$113,Assumptions!$C$132)</f>
        <v>2688.03189666667</v>
      </c>
    </row>
    <row r="40265" customFormat="false" ht="15" hidden="false" customHeight="false" outlineLevel="0" collapsed="false">
      <c r="A40265" s="3" t="s">
        <v>551</v>
      </c>
      <c r="C40265" s="16" t="n">
        <f aca="false">MAX(C40263,C40264)+C40262</f>
        <v>2688.03189666667</v>
      </c>
    </row>
    <row r="40266" customFormat="false" ht="15" hidden="false" customHeight="false" outlineLevel="0" collapsed="false">
      <c r="A40266" s="2" t="s">
        <v>552</v>
      </c>
      <c r="C40266" s="17" t="n">
        <f aca="false">IF(ISNUMBER(Assumptions!$C$14),Assumptions!$C$14,C40265)</f>
        <v>2688.03189666667</v>
      </c>
    </row>
    <row r="40267" customFormat="false" ht="15" hidden="false" customHeight="false" outlineLevel="0" collapsed="false">
      <c r="A40267" s="3" t="s">
        <v>553</v>
      </c>
      <c r="C40267" s="16" t="n">
        <f aca="false">C40266*Assumptions!$C$15</f>
        <v>107.521275866667</v>
      </c>
    </row>
    <row r="40268" customFormat="false" ht="15" hidden="false" customHeight="false" outlineLevel="0" collapsed="false">
      <c r="A40268" s="2" t="s">
        <v>554</v>
      </c>
      <c r="C40268" s="17" t="n">
        <f aca="false">C40266-C40267</f>
        <v>2580.5106208</v>
      </c>
    </row>
    <row r="40269" customFormat="false" ht="15" hidden="false" customHeight="false" outlineLevel="0" collapsed="false">
      <c r="A40269" s="24" t="s">
        <v>555</v>
      </c>
      <c r="B40269" s="25"/>
      <c r="C40269" s="25"/>
      <c r="D40269" s="25"/>
      <c r="E40269" s="25"/>
      <c r="F40269" s="25"/>
      <c r="G40269" s="25"/>
      <c r="H40269" s="25"/>
      <c r="I40269" s="25"/>
      <c r="J40269" s="25"/>
      <c r="K40269" s="25"/>
    </row>
    <row r="40270" customFormat="false" ht="15" hidden="false" customHeight="false" outlineLevel="0" collapsed="false">
      <c r="A40270" s="3" t="s">
        <v>556</v>
      </c>
      <c r="C40270" s="16" t="n">
        <f aca="false">SUMPRODUCT($G$40258:$K$40258,$G$40015:$K$40015)*(1+SUMPRODUCT($G$40258:$K$40258,$G$40007:$K$40007)*Assumptions!$C$16/12)</f>
        <v>403.76</v>
      </c>
    </row>
    <row r="40271" customFormat="false" ht="15" hidden="false" customHeight="false" outlineLevel="0" collapsed="false">
      <c r="A40271" s="3" t="s">
        <v>557</v>
      </c>
      <c r="C40271" s="16" t="n">
        <f aca="false">SUMPRODUCT($G$40258:$K$40258,$G$40028:$K$40028)*(1+SUMPRODUCT($G$40258:$K$40258,$G$40020:$K$40020)*Assumptions!$C$16/12)</f>
        <v>91.30725</v>
      </c>
    </row>
    <row r="40272" customFormat="false" ht="15" hidden="false" customHeight="false" outlineLevel="0" collapsed="false">
      <c r="A40272" s="3" t="s">
        <v>558</v>
      </c>
      <c r="C40272" s="16" t="n">
        <f aca="false">SUMPRODUCT($G$40258:$K$40258,$G$40041:$K$40041)*(1+SUMPRODUCT($G$40258:$K$40258,$G$40033:$K$40033)*Assumptions!$C$16/12)</f>
        <v>58.3715961</v>
      </c>
    </row>
    <row r="40273" customFormat="false" ht="15" hidden="false" customHeight="false" outlineLevel="0" collapsed="false">
      <c r="A40273" s="3" t="s">
        <v>559</v>
      </c>
      <c r="C40273" s="16" t="n">
        <f aca="false">SUMPRODUCT($G$40258:$K$40258,$G$40054:$K$40054)*(1+SUMPRODUCT($G$40258:$K$40258,$G$40046:$K$40046)*Assumptions!$C$16/12)</f>
        <v>0</v>
      </c>
    </row>
    <row r="40274" customFormat="false" ht="15" hidden="false" customHeight="false" outlineLevel="0" collapsed="false">
      <c r="A40274" s="3" t="s">
        <v>560</v>
      </c>
      <c r="C40274" s="16" t="n">
        <f aca="false">SUMPRODUCT($G$40258:$K$40258,$G$40067:$K$40067)*(1+SUMPRODUCT($G$40258:$K$40258,$G$40059:$K$40059)*Assumptions!$C$16/12)</f>
        <v>439.249936942163</v>
      </c>
    </row>
    <row r="40275" customFormat="false" ht="15" hidden="false" customHeight="false" outlineLevel="0" collapsed="false">
      <c r="A40275" s="3" t="s">
        <v>561</v>
      </c>
      <c r="C40275" s="16" t="n">
        <f aca="false">SUMPRODUCT($G$40258:$K$40258,$G$40080:$K$40080)*(1+SUMPRODUCT($G$40258:$K$40258,$G$40072:$K$40072)*Assumptions!$C$16/12)</f>
        <v>357.2625</v>
      </c>
    </row>
    <row r="40276" customFormat="false" ht="15" hidden="false" customHeight="false" outlineLevel="0" collapsed="false">
      <c r="A40276" s="3" t="s">
        <v>562</v>
      </c>
      <c r="C40276" s="16" t="n">
        <f aca="false">SUMPRODUCT($G$40258:$K$40258,$G$40093:$K$40093)*(1+SUMPRODUCT($G$40258:$K$40258,$G$40085:$K$40085)*Assumptions!$C$16/12)</f>
        <v>562.203125</v>
      </c>
    </row>
    <row r="40277" customFormat="false" ht="15" hidden="false" customHeight="false" outlineLevel="0" collapsed="false">
      <c r="A40277" s="3" t="s">
        <v>563</v>
      </c>
      <c r="C40277" s="16" t="n">
        <f aca="false">SUMPRODUCT($G$40258:$K$40258,$G$40106:$K$40106)*(1+SUMPRODUCT($G$40258:$K$40258,$G$40098:$K$40098)*Assumptions!$C$16/12)</f>
        <v>353.98125</v>
      </c>
    </row>
    <row r="40278" customFormat="false" ht="15" hidden="false" customHeight="false" outlineLevel="0" collapsed="false">
      <c r="A40278" s="3" t="s">
        <v>564</v>
      </c>
      <c r="C40278" s="16" t="n">
        <f aca="false">SUMPRODUCT($G$40258:$K$40258,$G$40119:$K$40119)*(1+SUMPRODUCT($G$40258:$K$40258,$G$40111:$K$40111)*Assumptions!$C$16/12)</f>
        <v>304.59375</v>
      </c>
    </row>
    <row r="40279" customFormat="false" ht="15" hidden="false" customHeight="false" outlineLevel="0" collapsed="false">
      <c r="A40279" s="3" t="s">
        <v>565</v>
      </c>
      <c r="C40279" s="16" t="n">
        <f aca="false">SUMPRODUCT($G$40258:$K$40258,$G$40132:$K$40132)*(1+SUMPRODUCT($G$40258:$K$40258,$G$40124:$K$40124)*Assumptions!$C$16/12)</f>
        <v>80.2332965</v>
      </c>
    </row>
    <row r="40280" customFormat="false" ht="15" hidden="false" customHeight="false" outlineLevel="0" collapsed="false">
      <c r="A40280" s="24" t="s">
        <v>566</v>
      </c>
      <c r="B40280" s="25"/>
      <c r="C40280" s="25"/>
      <c r="D40280" s="25"/>
      <c r="E40280" s="25"/>
      <c r="F40280" s="25"/>
      <c r="G40280" s="25"/>
      <c r="H40280" s="25"/>
      <c r="I40280" s="25"/>
      <c r="J40280" s="25"/>
      <c r="K40280" s="25"/>
    </row>
    <row r="40281" customFormat="false" ht="15" hidden="false" customHeight="false" outlineLevel="0" collapsed="false">
      <c r="A40281" s="3" t="s">
        <v>556</v>
      </c>
      <c r="C40281" s="27" t="n">
        <f aca="false">Assumptions!$M$57</f>
        <v>1</v>
      </c>
    </row>
    <row r="40282" customFormat="false" ht="15" hidden="false" customHeight="false" outlineLevel="0" collapsed="false">
      <c r="A40282" s="3" t="s">
        <v>557</v>
      </c>
      <c r="C40282" s="27" t="n">
        <f aca="false">Assumptions!$M$58</f>
        <v>1</v>
      </c>
    </row>
    <row r="40283" customFormat="false" ht="15" hidden="false" customHeight="false" outlineLevel="0" collapsed="false">
      <c r="A40283" s="3" t="s">
        <v>558</v>
      </c>
      <c r="C40283" s="27" t="n">
        <f aca="false">Assumptions!$M$59</f>
        <v>1</v>
      </c>
    </row>
    <row r="40284" customFormat="false" ht="15" hidden="false" customHeight="false" outlineLevel="0" collapsed="false">
      <c r="A40284" s="3" t="s">
        <v>559</v>
      </c>
      <c r="C40284" s="27" t="n">
        <f aca="false">Assumptions!$M$60</f>
        <v>2</v>
      </c>
    </row>
    <row r="40285" customFormat="false" ht="15" hidden="false" customHeight="false" outlineLevel="0" collapsed="false">
      <c r="A40285" s="3" t="s">
        <v>560</v>
      </c>
      <c r="C40285" s="27" t="n">
        <f aca="false">Assumptions!$M$61</f>
        <v>2</v>
      </c>
    </row>
    <row r="40286" customFormat="false" ht="15" hidden="false" customHeight="false" outlineLevel="0" collapsed="false">
      <c r="A40286" s="3" t="s">
        <v>561</v>
      </c>
      <c r="C40286" s="27" t="n">
        <f aca="false">Assumptions!$M$62</f>
        <v>2</v>
      </c>
    </row>
    <row r="40287" customFormat="false" ht="15" hidden="false" customHeight="false" outlineLevel="0" collapsed="false">
      <c r="A40287" s="3" t="s">
        <v>562</v>
      </c>
      <c r="C40287" s="27" t="n">
        <f aca="false">Assumptions!$M$63</f>
        <v>2</v>
      </c>
    </row>
    <row r="40288" customFormat="false" ht="15" hidden="false" customHeight="false" outlineLevel="0" collapsed="false">
      <c r="A40288" s="3" t="s">
        <v>563</v>
      </c>
      <c r="C40288" s="27" t="n">
        <f aca="false">Assumptions!$M$64</f>
        <v>2</v>
      </c>
    </row>
    <row r="40289" customFormat="false" ht="15" hidden="false" customHeight="false" outlineLevel="0" collapsed="false">
      <c r="A40289" s="3" t="s">
        <v>564</v>
      </c>
      <c r="C40289" s="27" t="n">
        <f aca="false">Assumptions!$M$65</f>
        <v>2</v>
      </c>
    </row>
    <row r="40290" customFormat="false" ht="15" hidden="false" customHeight="false" outlineLevel="0" collapsed="false">
      <c r="A40290" s="3" t="s">
        <v>565</v>
      </c>
      <c r="C40290" s="27" t="n">
        <f aca="false">Assumptions!$M$66</f>
        <v>3</v>
      </c>
    </row>
    <row r="40291" customFormat="false" ht="15" hidden="false" customHeight="false" outlineLevel="0" collapsed="false">
      <c r="A40291" s="24" t="s">
        <v>567</v>
      </c>
      <c r="B40291" s="25"/>
      <c r="C40291" s="25"/>
      <c r="D40291" s="25"/>
      <c r="E40291" s="25"/>
      <c r="F40291" s="25"/>
      <c r="G40291" s="25"/>
      <c r="H40291" s="25"/>
      <c r="I40291" s="25"/>
      <c r="J40291" s="25"/>
      <c r="K40291" s="25"/>
    </row>
    <row r="40292" customFormat="false" ht="15" hidden="false" customHeight="false" outlineLevel="0" collapsed="false">
      <c r="A40292" s="3" t="s">
        <v>556</v>
      </c>
      <c r="C40292" s="33" t="n">
        <f aca="false">Assumptions!$Q$57</f>
        <v>0.3</v>
      </c>
    </row>
    <row r="40293" customFormat="false" ht="15" hidden="false" customHeight="false" outlineLevel="0" collapsed="false">
      <c r="A40293" s="3" t="s">
        <v>557</v>
      </c>
      <c r="C40293" s="33" t="n">
        <f aca="false">Assumptions!$Q$58</f>
        <v>0.033</v>
      </c>
    </row>
    <row r="40294" customFormat="false" ht="15" hidden="false" customHeight="false" outlineLevel="0" collapsed="false">
      <c r="A40294" s="3" t="s">
        <v>558</v>
      </c>
      <c r="C40294" s="33" t="n">
        <f aca="false">Assumptions!$Q$59</f>
        <v>0.021</v>
      </c>
    </row>
    <row r="40295" customFormat="false" ht="15" hidden="false" customHeight="false" outlineLevel="0" collapsed="false">
      <c r="A40295" s="3" t="s">
        <v>559</v>
      </c>
      <c r="C40295" s="33" t="n">
        <f aca="false">Assumptions!$Q$60</f>
        <v>0</v>
      </c>
    </row>
    <row r="40296" customFormat="false" ht="15" hidden="false" customHeight="false" outlineLevel="0" collapsed="false">
      <c r="A40296" s="3" t="s">
        <v>560</v>
      </c>
      <c r="C40296" s="33" t="n">
        <f aca="false">Assumptions!$Q$61</f>
        <v>0</v>
      </c>
    </row>
    <row r="40297" customFormat="false" ht="15" hidden="false" customHeight="false" outlineLevel="0" collapsed="false">
      <c r="A40297" s="3" t="s">
        <v>561</v>
      </c>
      <c r="C40297" s="33" t="n">
        <f aca="false">Assumptions!$Q$62</f>
        <v>0</v>
      </c>
    </row>
    <row r="40298" customFormat="false" ht="15" hidden="false" customHeight="false" outlineLevel="0" collapsed="false">
      <c r="A40298" s="3" t="s">
        <v>562</v>
      </c>
      <c r="C40298" s="33" t="n">
        <f aca="false">Assumptions!$Q$63</f>
        <v>0</v>
      </c>
    </row>
    <row r="40299" customFormat="false" ht="15" hidden="false" customHeight="false" outlineLevel="0" collapsed="false">
      <c r="A40299" s="3" t="s">
        <v>563</v>
      </c>
      <c r="C40299" s="33" t="n">
        <f aca="false">Assumptions!$Q$64</f>
        <v>0</v>
      </c>
    </row>
    <row r="40300" customFormat="false" ht="15" hidden="false" customHeight="false" outlineLevel="0" collapsed="false">
      <c r="A40300" s="3" t="s">
        <v>564</v>
      </c>
      <c r="C40300" s="33" t="n">
        <f aca="false">Assumptions!$Q$65</f>
        <v>0</v>
      </c>
    </row>
    <row r="40301" customFormat="false" ht="15" hidden="false" customHeight="false" outlineLevel="0" collapsed="false">
      <c r="A40301" s="3" t="s">
        <v>565</v>
      </c>
      <c r="C40301" s="33" t="n">
        <f aca="false">Assumptions!$Q$66</f>
        <v>0</v>
      </c>
    </row>
    <row r="40302" customFormat="false" ht="15" hidden="false" customHeight="false" outlineLevel="0" collapsed="false">
      <c r="A40302" s="24" t="s">
        <v>568</v>
      </c>
      <c r="B40302" s="25"/>
      <c r="C40302" s="25"/>
      <c r="D40302" s="25"/>
      <c r="E40302" s="25"/>
      <c r="F40302" s="25"/>
      <c r="G40302" s="25"/>
      <c r="H40302" s="25"/>
      <c r="I40302" s="25"/>
      <c r="J40302" s="25"/>
      <c r="K40302" s="25"/>
    </row>
    <row r="40303" customFormat="false" ht="15" hidden="false" customHeight="false" outlineLevel="0" collapsed="false">
      <c r="A40303" s="3" t="s">
        <v>556</v>
      </c>
      <c r="C40303" s="16" t="n">
        <f aca="false">IF(C40292&gt;0,MIN(C40270,C40292*$C$40268),0)</f>
        <v>403.76</v>
      </c>
    </row>
    <row r="40304" customFormat="false" ht="15" hidden="false" customHeight="false" outlineLevel="0" collapsed="false">
      <c r="A40304" s="3" t="s">
        <v>557</v>
      </c>
      <c r="C40304" s="16" t="n">
        <f aca="false">IF(C40293&gt;0,MIN(C40271,C40293*$C$40268),0)</f>
        <v>85.1568504864</v>
      </c>
    </row>
    <row r="40305" customFormat="false" ht="15" hidden="false" customHeight="false" outlineLevel="0" collapsed="false">
      <c r="A40305" s="3" t="s">
        <v>558</v>
      </c>
      <c r="C40305" s="16" t="n">
        <f aca="false">IF(C40294&gt;0,MIN(C40272,C40294*$C$40268),0)</f>
        <v>54.1907230368</v>
      </c>
    </row>
    <row r="40306" customFormat="false" ht="15" hidden="false" customHeight="false" outlineLevel="0" collapsed="false">
      <c r="A40306" s="3" t="s">
        <v>559</v>
      </c>
      <c r="C40306" s="16" t="n">
        <f aca="false">IF(C40295&gt;0,MIN(C40273,C40295*$C$40268),0)</f>
        <v>0</v>
      </c>
    </row>
    <row r="40307" customFormat="false" ht="15" hidden="false" customHeight="false" outlineLevel="0" collapsed="false">
      <c r="A40307" s="3" t="s">
        <v>560</v>
      </c>
      <c r="C40307" s="16" t="n">
        <f aca="false">IF(C40296&gt;0,MIN(C40274,C40296*$C$40268),0)</f>
        <v>0</v>
      </c>
    </row>
    <row r="40308" customFormat="false" ht="15" hidden="false" customHeight="false" outlineLevel="0" collapsed="false">
      <c r="A40308" s="3" t="s">
        <v>561</v>
      </c>
      <c r="C40308" s="16" t="n">
        <f aca="false">IF(C40297&gt;0,MIN(C40275,C40297*$C$40268),0)</f>
        <v>0</v>
      </c>
    </row>
    <row r="40309" customFormat="false" ht="15" hidden="false" customHeight="false" outlineLevel="0" collapsed="false">
      <c r="A40309" s="3" t="s">
        <v>562</v>
      </c>
      <c r="C40309" s="16" t="n">
        <f aca="false">IF(C40298&gt;0,MIN(C40276,C40298*$C$40268),0)</f>
        <v>0</v>
      </c>
    </row>
    <row r="40310" customFormat="false" ht="15" hidden="false" customHeight="false" outlineLevel="0" collapsed="false">
      <c r="A40310" s="3" t="s">
        <v>563</v>
      </c>
      <c r="C40310" s="16" t="n">
        <f aca="false">IF(C40299&gt;0,MIN(C40277,C40299*$C$40268),0)</f>
        <v>0</v>
      </c>
    </row>
    <row r="40311" customFormat="false" ht="15" hidden="false" customHeight="false" outlineLevel="0" collapsed="false">
      <c r="A40311" s="3" t="s">
        <v>564</v>
      </c>
      <c r="C40311" s="16" t="n">
        <f aca="false">IF(C40300&gt;0,MIN(C40278,C40300*$C$40268),0)</f>
        <v>0</v>
      </c>
    </row>
    <row r="40312" customFormat="false" ht="15" hidden="false" customHeight="false" outlineLevel="0" collapsed="false">
      <c r="A40312" s="3" t="s">
        <v>565</v>
      </c>
      <c r="C40312" s="16" t="n">
        <f aca="false">IF(C40301&gt;0,MIN(C40279,C40301*$C$40268),0)</f>
        <v>0</v>
      </c>
    </row>
    <row r="40313" customFormat="false" ht="15" hidden="false" customHeight="false" outlineLevel="0" collapsed="false">
      <c r="A40313" s="24" t="s">
        <v>569</v>
      </c>
      <c r="B40313" s="25"/>
      <c r="C40313" s="25"/>
      <c r="D40313" s="25"/>
      <c r="E40313" s="25"/>
      <c r="F40313" s="25"/>
      <c r="G40313" s="25"/>
      <c r="H40313" s="25"/>
      <c r="I40313" s="25"/>
      <c r="J40313" s="25"/>
      <c r="K40313" s="25"/>
    </row>
    <row r="40314" customFormat="false" ht="15" hidden="false" customHeight="false" outlineLevel="0" collapsed="false">
      <c r="A40314" s="3" t="s">
        <v>556</v>
      </c>
      <c r="C40314" s="16" t="n">
        <f aca="false">IF(C40292&gt;0,C40270-C40303,0)</f>
        <v>0</v>
      </c>
      <c r="G40314" s="21" t="n">
        <f aca="false">IF(AND(G40005=1,G40002=1),1,0)</f>
        <v>0</v>
      </c>
      <c r="H40314" s="21" t="n">
        <f aca="false">IF(G40314=1,1,IF(AND(H40005=1,H40002=1),1,0))</f>
        <v>0</v>
      </c>
      <c r="I40314" s="21" t="n">
        <f aca="false">IF(H40314=1,1,IF(AND(I40005=1,I40002=1),1,0))</f>
        <v>0</v>
      </c>
      <c r="J40314" s="21" t="n">
        <f aca="false">IF(I40314=1,1,IF(AND(J40005=1,J40002=1),1,0))</f>
        <v>0</v>
      </c>
      <c r="K40314" s="21" t="n">
        <f aca="false">IF(J40314=1,1,IF(AND(K40005=1,K40002=1),1,0))</f>
        <v>0</v>
      </c>
    </row>
    <row r="40315" customFormat="false" ht="15" hidden="false" customHeight="false" outlineLevel="0" collapsed="false">
      <c r="A40315" s="3" t="s">
        <v>557</v>
      </c>
      <c r="C40315" s="16" t="n">
        <f aca="false">IF(C40293&gt;0,C40271-C40304,0)</f>
        <v>6.15039951360001</v>
      </c>
      <c r="G40315" s="21" t="n">
        <f aca="false">IF(AND(G40018=1,G40002=1),1,0)</f>
        <v>0</v>
      </c>
      <c r="H40315" s="21" t="n">
        <f aca="false">IF(G40315=1,1,IF(AND(H40018=1,H40002=1),1,0))</f>
        <v>0</v>
      </c>
      <c r="I40315" s="21" t="n">
        <f aca="false">IF(H40315=1,1,IF(AND(I40018=1,I40002=1),1,0))</f>
        <v>0</v>
      </c>
      <c r="J40315" s="21" t="n">
        <f aca="false">IF(I40315=1,1,IF(AND(J40018=1,J40002=1),1,0))</f>
        <v>0</v>
      </c>
      <c r="K40315" s="21" t="n">
        <f aca="false">IF(J40315=1,1,IF(AND(K40018=1,K40002=1),1,0))</f>
        <v>0</v>
      </c>
    </row>
    <row r="40316" customFormat="false" ht="15" hidden="false" customHeight="false" outlineLevel="0" collapsed="false">
      <c r="A40316" s="3" t="s">
        <v>558</v>
      </c>
      <c r="C40316" s="16" t="n">
        <f aca="false">IF(C40294&gt;0,C40272-C40305,0)</f>
        <v>4.1808730632</v>
      </c>
      <c r="G40316" s="21" t="n">
        <f aca="false">IF(AND(G40031=1,G40002=1),1,0)</f>
        <v>0</v>
      </c>
      <c r="H40316" s="21" t="n">
        <f aca="false">IF(G40316=1,1,IF(AND(H40031=1,H40002=1),1,0))</f>
        <v>0</v>
      </c>
      <c r="I40316" s="21" t="n">
        <f aca="false">IF(H40316=1,1,IF(AND(I40031=1,I40002=1),1,0))</f>
        <v>0</v>
      </c>
      <c r="J40316" s="21" t="n">
        <f aca="false">IF(I40316=1,1,IF(AND(J40031=1,J40002=1),1,0))</f>
        <v>0</v>
      </c>
      <c r="K40316" s="21" t="n">
        <f aca="false">IF(J40316=1,1,IF(AND(K40031=1,K40002=1),1,0))</f>
        <v>0</v>
      </c>
    </row>
    <row r="40317" customFormat="false" ht="15" hidden="false" customHeight="false" outlineLevel="0" collapsed="false">
      <c r="A40317" s="3" t="s">
        <v>559</v>
      </c>
      <c r="C40317" s="16" t="n">
        <f aca="false">IF(C40295&gt;0,C40273-C40306,0)</f>
        <v>0</v>
      </c>
      <c r="G40317" s="21" t="n">
        <f aca="false">IF(AND(G40044=1,G40002=1),1,0)</f>
        <v>0</v>
      </c>
      <c r="H40317" s="21" t="n">
        <f aca="false">IF(G40317=1,1,IF(AND(H40044=1,H40002=1),1,0))</f>
        <v>0</v>
      </c>
      <c r="I40317" s="21" t="n">
        <f aca="false">IF(H40317=1,1,IF(AND(I40044=1,I40002=1),1,0))</f>
        <v>0</v>
      </c>
      <c r="J40317" s="21" t="n">
        <f aca="false">IF(I40317=1,1,IF(AND(J40044=1,J40002=1),1,0))</f>
        <v>0</v>
      </c>
      <c r="K40317" s="21" t="n">
        <f aca="false">IF(J40317=1,1,IF(AND(K40044=1,K40002=1),1,0))</f>
        <v>0</v>
      </c>
    </row>
    <row r="40318" customFormat="false" ht="15" hidden="false" customHeight="false" outlineLevel="0" collapsed="false">
      <c r="A40318" s="3" t="s">
        <v>560</v>
      </c>
      <c r="C40318" s="16" t="n">
        <f aca="false">IF(C40296&gt;0,C40274-C40307,0)</f>
        <v>0</v>
      </c>
      <c r="G40318" s="21" t="n">
        <f aca="false">IF(AND(G40057=1,G40002=1),1,0)</f>
        <v>0</v>
      </c>
      <c r="H40318" s="21" t="n">
        <f aca="false">IF(G40318=1,1,IF(AND(H40057=1,H40002=1),1,0))</f>
        <v>0</v>
      </c>
      <c r="I40318" s="21" t="n">
        <f aca="false">IF(H40318=1,1,IF(AND(I40057=1,I40002=1),1,0))</f>
        <v>0</v>
      </c>
      <c r="J40318" s="21" t="n">
        <f aca="false">IF(I40318=1,1,IF(AND(J40057=1,J40002=1),1,0))</f>
        <v>0</v>
      </c>
      <c r="K40318" s="21" t="n">
        <f aca="false">IF(J40318=1,1,IF(AND(K40057=1,K40002=1),1,0))</f>
        <v>0</v>
      </c>
    </row>
    <row r="40319" customFormat="false" ht="15" hidden="false" customHeight="false" outlineLevel="0" collapsed="false">
      <c r="A40319" s="3" t="s">
        <v>561</v>
      </c>
      <c r="C40319" s="16" t="n">
        <f aca="false">IF(C40297&gt;0,C40275-C40308,0)</f>
        <v>0</v>
      </c>
      <c r="G40319" s="21" t="n">
        <f aca="false">IF(AND(G40070=1,G40002=1),1,0)</f>
        <v>0</v>
      </c>
      <c r="H40319" s="21" t="n">
        <f aca="false">IF(G40319=1,1,IF(AND(H40070=1,H40002=1),1,0))</f>
        <v>0</v>
      </c>
      <c r="I40319" s="21" t="n">
        <f aca="false">IF(H40319=1,1,IF(AND(I40070=1,I40002=1),1,0))</f>
        <v>0</v>
      </c>
      <c r="J40319" s="21" t="n">
        <f aca="false">IF(I40319=1,1,IF(AND(J40070=1,J40002=1),1,0))</f>
        <v>0</v>
      </c>
      <c r="K40319" s="21" t="n">
        <f aca="false">IF(J40319=1,1,IF(AND(K40070=1,K40002=1),1,0))</f>
        <v>0</v>
      </c>
    </row>
    <row r="40320" customFormat="false" ht="15" hidden="false" customHeight="false" outlineLevel="0" collapsed="false">
      <c r="A40320" s="3" t="s">
        <v>562</v>
      </c>
      <c r="C40320" s="16" t="n">
        <f aca="false">IF(C40298&gt;0,C40276-C40309,0)</f>
        <v>0</v>
      </c>
      <c r="G40320" s="21" t="n">
        <f aca="false">IF(AND(G40083=1,G40002=1),1,0)</f>
        <v>0</v>
      </c>
      <c r="H40320" s="21" t="n">
        <f aca="false">IF(G40320=1,1,IF(AND(H40083=1,H40002=1),1,0))</f>
        <v>0</v>
      </c>
      <c r="I40320" s="21" t="n">
        <f aca="false">IF(H40320=1,1,IF(AND(I40083=1,I40002=1),1,0))</f>
        <v>0</v>
      </c>
      <c r="J40320" s="21" t="n">
        <f aca="false">IF(I40320=1,1,IF(AND(J40083=1,J40002=1),1,0))</f>
        <v>0</v>
      </c>
      <c r="K40320" s="21" t="n">
        <f aca="false">IF(J40320=1,1,IF(AND(K40083=1,K40002=1),1,0))</f>
        <v>0</v>
      </c>
    </row>
    <row r="40321" customFormat="false" ht="15" hidden="false" customHeight="false" outlineLevel="0" collapsed="false">
      <c r="A40321" s="3" t="s">
        <v>563</v>
      </c>
      <c r="C40321" s="16" t="n">
        <f aca="false">IF(C40299&gt;0,C40277-C40310,0)</f>
        <v>0</v>
      </c>
      <c r="G40321" s="21" t="n">
        <f aca="false">IF(AND(G40096=1,G40002=1),1,0)</f>
        <v>0</v>
      </c>
      <c r="H40321" s="21" t="n">
        <f aca="false">IF(G40321=1,1,IF(AND(H40096=1,H40002=1),1,0))</f>
        <v>0</v>
      </c>
      <c r="I40321" s="21" t="n">
        <f aca="false">IF(H40321=1,1,IF(AND(I40096=1,I40002=1),1,0))</f>
        <v>0</v>
      </c>
      <c r="J40321" s="21" t="n">
        <f aca="false">IF(I40321=1,1,IF(AND(J40096=1,J40002=1),1,0))</f>
        <v>0</v>
      </c>
      <c r="K40321" s="21" t="n">
        <f aca="false">IF(J40321=1,1,IF(AND(K40096=1,K40002=1),1,0))</f>
        <v>0</v>
      </c>
    </row>
    <row r="40322" customFormat="false" ht="15" hidden="false" customHeight="false" outlineLevel="0" collapsed="false">
      <c r="A40322" s="3" t="s">
        <v>564</v>
      </c>
      <c r="C40322" s="16" t="n">
        <f aca="false">IF(C40300&gt;0,C40278-C40311,0)</f>
        <v>0</v>
      </c>
      <c r="G40322" s="21" t="n">
        <f aca="false">IF(AND(G40109=1,G40002=1),1,0)</f>
        <v>0</v>
      </c>
      <c r="H40322" s="21" t="n">
        <f aca="false">IF(G40322=1,1,IF(AND(H40109=1,H40002=1),1,0))</f>
        <v>0</v>
      </c>
      <c r="I40322" s="21" t="n">
        <f aca="false">IF(H40322=1,1,IF(AND(I40109=1,I40002=1),1,0))</f>
        <v>0</v>
      </c>
      <c r="J40322" s="21" t="n">
        <f aca="false">IF(I40322=1,1,IF(AND(J40109=1,J40002=1),1,0))</f>
        <v>0</v>
      </c>
      <c r="K40322" s="21" t="n">
        <f aca="false">IF(J40322=1,1,IF(AND(K40109=1,K40002=1),1,0))</f>
        <v>0</v>
      </c>
    </row>
    <row r="40323" customFormat="false" ht="15" hidden="false" customHeight="false" outlineLevel="0" collapsed="false">
      <c r="A40323" s="3" t="s">
        <v>565</v>
      </c>
      <c r="C40323" s="16" t="n">
        <f aca="false">IF(C40301&gt;0,C40279-C40312,0)</f>
        <v>0</v>
      </c>
      <c r="G40323" s="21" t="n">
        <f aca="false">IF(AND(G40122=1,G40002=1),1,0)</f>
        <v>0</v>
      </c>
      <c r="H40323" s="21" t="n">
        <f aca="false">IF(G40323=1,1,IF(AND(H40122=1,H40002=1),1,0))</f>
        <v>0</v>
      </c>
      <c r="I40323" s="21" t="n">
        <f aca="false">IF(H40323=1,1,IF(AND(I40122=1,I40002=1),1,0))</f>
        <v>0</v>
      </c>
      <c r="J40323" s="21" t="n">
        <f aca="false">IF(I40323=1,1,IF(AND(J40122=1,J40002=1),1,0))</f>
        <v>0</v>
      </c>
      <c r="K40323" s="21" t="n">
        <f aca="false">IF(J40323=1,1,IF(AND(K40122=1,K40002=1),1,0))</f>
        <v>0</v>
      </c>
    </row>
    <row r="40324" customFormat="false" ht="15" hidden="false" customHeight="false" outlineLevel="0" collapsed="false">
      <c r="A40324" s="24" t="s">
        <v>570</v>
      </c>
      <c r="B40324" s="25"/>
      <c r="C40324" s="25"/>
      <c r="D40324" s="25"/>
      <c r="E40324" s="25"/>
      <c r="F40324" s="25"/>
      <c r="G40324" s="25"/>
      <c r="H40324" s="25"/>
      <c r="I40324" s="25"/>
      <c r="J40324" s="25"/>
      <c r="K40324" s="25"/>
    </row>
    <row r="40325" customFormat="false" ht="15" hidden="false" customHeight="false" outlineLevel="0" collapsed="false">
      <c r="A40325" s="3" t="s">
        <v>556</v>
      </c>
      <c r="C40325" s="16" t="n">
        <f aca="false">IF(C40292&gt;0,C40314,C40270)</f>
        <v>0</v>
      </c>
    </row>
    <row r="40326" customFormat="false" ht="15" hidden="false" customHeight="false" outlineLevel="0" collapsed="false">
      <c r="A40326" s="3" t="s">
        <v>557</v>
      </c>
      <c r="C40326" s="16" t="n">
        <f aca="false">IF(C40293&gt;0,C40315,C40271)</f>
        <v>6.15039951360001</v>
      </c>
    </row>
    <row r="40327" customFormat="false" ht="15" hidden="false" customHeight="false" outlineLevel="0" collapsed="false">
      <c r="A40327" s="3" t="s">
        <v>558</v>
      </c>
      <c r="C40327" s="16" t="n">
        <f aca="false">IF(C40294&gt;0,C40316,C40272)</f>
        <v>4.1808730632</v>
      </c>
    </row>
    <row r="40328" customFormat="false" ht="15" hidden="false" customHeight="false" outlineLevel="0" collapsed="false">
      <c r="A40328" s="3" t="s">
        <v>559</v>
      </c>
      <c r="C40328" s="16" t="n">
        <f aca="false">IF(C40295&gt;0,C40317,C40273)</f>
        <v>0</v>
      </c>
    </row>
    <row r="40329" customFormat="false" ht="15" hidden="false" customHeight="false" outlineLevel="0" collapsed="false">
      <c r="A40329" s="3" t="s">
        <v>560</v>
      </c>
      <c r="C40329" s="16" t="n">
        <f aca="false">IF(C40296&gt;0,C40318,C40274)</f>
        <v>439.249936942163</v>
      </c>
    </row>
    <row r="40330" customFormat="false" ht="15" hidden="false" customHeight="false" outlineLevel="0" collapsed="false">
      <c r="A40330" s="3" t="s">
        <v>561</v>
      </c>
      <c r="C40330" s="16" t="n">
        <f aca="false">IF(C40297&gt;0,C40319,C40275)</f>
        <v>357.2625</v>
      </c>
    </row>
    <row r="40331" customFormat="false" ht="15" hidden="false" customHeight="false" outlineLevel="0" collapsed="false">
      <c r="A40331" s="3" t="s">
        <v>562</v>
      </c>
      <c r="C40331" s="16" t="n">
        <f aca="false">IF(C40298&gt;0,C40320,C40276)</f>
        <v>562.203125</v>
      </c>
    </row>
    <row r="40332" customFormat="false" ht="15" hidden="false" customHeight="false" outlineLevel="0" collapsed="false">
      <c r="A40332" s="3" t="s">
        <v>563</v>
      </c>
      <c r="C40332" s="16" t="n">
        <f aca="false">IF(C40299&gt;0,C40321,C40277)</f>
        <v>353.98125</v>
      </c>
    </row>
    <row r="40333" customFormat="false" ht="15" hidden="false" customHeight="false" outlineLevel="0" collapsed="false">
      <c r="A40333" s="3" t="s">
        <v>564</v>
      </c>
      <c r="C40333" s="16" t="n">
        <f aca="false">IF(C40300&gt;0,C40322,C40278)</f>
        <v>304.59375</v>
      </c>
    </row>
    <row r="40334" customFormat="false" ht="15" hidden="false" customHeight="false" outlineLevel="0" collapsed="false">
      <c r="A40334" s="3" t="s">
        <v>565</v>
      </c>
      <c r="C40334" s="16" t="n">
        <f aca="false">IF(C40301&gt;0,C40323,C40279)</f>
        <v>80.2332965</v>
      </c>
    </row>
    <row r="40335" customFormat="false" ht="15" hidden="false" customHeight="false" outlineLevel="0" collapsed="false">
      <c r="A40335" s="24" t="s">
        <v>571</v>
      </c>
      <c r="B40335" s="25"/>
      <c r="C40335" s="25"/>
      <c r="D40335" s="25"/>
      <c r="E40335" s="25"/>
      <c r="F40335" s="25"/>
      <c r="G40335" s="25"/>
      <c r="H40335" s="25"/>
      <c r="I40335" s="25"/>
      <c r="J40335" s="25"/>
      <c r="K40335" s="25"/>
    </row>
    <row r="40336" customFormat="false" ht="15" hidden="false" customHeight="false" outlineLevel="0" collapsed="false">
      <c r="A40336" s="3" t="s">
        <v>556</v>
      </c>
      <c r="C40336" s="21" t="n">
        <f aca="false">IF(C40292&gt;0,Assumptions!$C$17,C40281)</f>
        <v>99</v>
      </c>
    </row>
    <row r="40337" customFormat="false" ht="15" hidden="false" customHeight="false" outlineLevel="0" collapsed="false">
      <c r="A40337" s="3" t="s">
        <v>557</v>
      </c>
      <c r="C40337" s="21" t="n">
        <f aca="false">IF(C40293&gt;0,Assumptions!$C$17,C40282)</f>
        <v>99</v>
      </c>
    </row>
    <row r="40338" customFormat="false" ht="15" hidden="false" customHeight="false" outlineLevel="0" collapsed="false">
      <c r="A40338" s="3" t="s">
        <v>558</v>
      </c>
      <c r="C40338" s="21" t="n">
        <f aca="false">IF(C40294&gt;0,Assumptions!$C$17,C40283)</f>
        <v>99</v>
      </c>
    </row>
    <row r="40339" customFormat="false" ht="15" hidden="false" customHeight="false" outlineLevel="0" collapsed="false">
      <c r="A40339" s="3" t="s">
        <v>559</v>
      </c>
      <c r="C40339" s="21" t="n">
        <f aca="false">IF(C40295&gt;0,Assumptions!$C$17,C40284)</f>
        <v>2</v>
      </c>
    </row>
    <row r="40340" customFormat="false" ht="15" hidden="false" customHeight="false" outlineLevel="0" collapsed="false">
      <c r="A40340" s="3" t="s">
        <v>560</v>
      </c>
      <c r="C40340" s="21" t="n">
        <f aca="false">IF(C40296&gt;0,Assumptions!$C$17,C40285)</f>
        <v>2</v>
      </c>
    </row>
    <row r="40341" customFormat="false" ht="15" hidden="false" customHeight="false" outlineLevel="0" collapsed="false">
      <c r="A40341" s="3" t="s">
        <v>561</v>
      </c>
      <c r="C40341" s="21" t="n">
        <f aca="false">IF(C40297&gt;0,Assumptions!$C$17,C40286)</f>
        <v>2</v>
      </c>
    </row>
    <row r="40342" customFormat="false" ht="15" hidden="false" customHeight="false" outlineLevel="0" collapsed="false">
      <c r="A40342" s="3" t="s">
        <v>562</v>
      </c>
      <c r="C40342" s="21" t="n">
        <f aca="false">IF(C40298&gt;0,Assumptions!$C$17,C40287)</f>
        <v>2</v>
      </c>
    </row>
    <row r="40343" customFormat="false" ht="15" hidden="false" customHeight="false" outlineLevel="0" collapsed="false">
      <c r="A40343" s="3" t="s">
        <v>563</v>
      </c>
      <c r="C40343" s="21" t="n">
        <f aca="false">IF(C40299&gt;0,Assumptions!$C$17,C40288)</f>
        <v>2</v>
      </c>
    </row>
    <row r="40344" customFormat="false" ht="15" hidden="false" customHeight="false" outlineLevel="0" collapsed="false">
      <c r="A40344" s="3" t="s">
        <v>564</v>
      </c>
      <c r="C40344" s="21" t="n">
        <f aca="false">IF(C40300&gt;0,Assumptions!$C$17,C40289)</f>
        <v>2</v>
      </c>
    </row>
    <row r="40345" customFormat="false" ht="15" hidden="false" customHeight="false" outlineLevel="0" collapsed="false">
      <c r="A40345" s="3" t="s">
        <v>565</v>
      </c>
      <c r="C40345" s="21" t="n">
        <f aca="false">IF(C40301&gt;0,Assumptions!$C$17,C40290)</f>
        <v>3</v>
      </c>
    </row>
    <row r="40346" customFormat="false" ht="15" hidden="false" customHeight="false" outlineLevel="0" collapsed="false">
      <c r="A40346" s="24" t="s">
        <v>572</v>
      </c>
      <c r="B40346" s="25"/>
      <c r="C40346" s="25"/>
      <c r="D40346" s="25"/>
      <c r="E40346" s="25"/>
      <c r="F40346" s="25"/>
      <c r="G40346" s="25"/>
      <c r="H40346" s="25"/>
      <c r="I40346" s="25"/>
      <c r="J40346" s="25"/>
      <c r="K40346" s="25"/>
    </row>
    <row r="40347" customFormat="false" ht="15" hidden="false" customHeight="false" outlineLevel="0" collapsed="false">
      <c r="A40347" s="3" t="s">
        <v>556</v>
      </c>
      <c r="C40347" s="16" t="n">
        <f aca="false">SUMPRODUCT(($C$40336:$C$40345&lt;C40336)*$C$40325:$C$40334)</f>
        <v>2097.52385844216</v>
      </c>
    </row>
    <row r="40348" customFormat="false" ht="15" hidden="false" customHeight="false" outlineLevel="0" collapsed="false">
      <c r="A40348" s="3" t="s">
        <v>557</v>
      </c>
      <c r="C40348" s="16" t="n">
        <f aca="false">SUMPRODUCT(($C$40336:$C$40345&lt;C40337)*$C$40325:$C$40334)</f>
        <v>2097.52385844216</v>
      </c>
    </row>
    <row r="40349" customFormat="false" ht="15" hidden="false" customHeight="false" outlineLevel="0" collapsed="false">
      <c r="A40349" s="3" t="s">
        <v>558</v>
      </c>
      <c r="C40349" s="16" t="n">
        <f aca="false">SUMPRODUCT(($C$40336:$C$40345&lt;C40338)*$C$40325:$C$40334)</f>
        <v>2097.52385844216</v>
      </c>
    </row>
    <row r="40350" customFormat="false" ht="15" hidden="false" customHeight="false" outlineLevel="0" collapsed="false">
      <c r="A40350" s="3" t="s">
        <v>559</v>
      </c>
      <c r="C40350" s="16" t="n">
        <f aca="false">SUMPRODUCT(($C$40336:$C$40345&lt;C40339)*$C$40325:$C$40334)</f>
        <v>0</v>
      </c>
    </row>
    <row r="40351" customFormat="false" ht="15" hidden="false" customHeight="false" outlineLevel="0" collapsed="false">
      <c r="A40351" s="3" t="s">
        <v>560</v>
      </c>
      <c r="C40351" s="16" t="n">
        <f aca="false">SUMPRODUCT(($C$40336:$C$40345&lt;C40340)*$C$40325:$C$40334)</f>
        <v>0</v>
      </c>
    </row>
    <row r="40352" customFormat="false" ht="15" hidden="false" customHeight="false" outlineLevel="0" collapsed="false">
      <c r="A40352" s="3" t="s">
        <v>561</v>
      </c>
      <c r="C40352" s="16" t="n">
        <f aca="false">SUMPRODUCT(($C$40336:$C$40345&lt;C40341)*$C$40325:$C$40334)</f>
        <v>0</v>
      </c>
    </row>
    <row r="40353" customFormat="false" ht="15" hidden="false" customHeight="false" outlineLevel="0" collapsed="false">
      <c r="A40353" s="3" t="s">
        <v>562</v>
      </c>
      <c r="C40353" s="16" t="n">
        <f aca="false">SUMPRODUCT(($C$40336:$C$40345&lt;C40342)*$C$40325:$C$40334)</f>
        <v>0</v>
      </c>
    </row>
    <row r="40354" customFormat="false" ht="15" hidden="false" customHeight="false" outlineLevel="0" collapsed="false">
      <c r="A40354" s="3" t="s">
        <v>563</v>
      </c>
      <c r="C40354" s="16" t="n">
        <f aca="false">SUMPRODUCT(($C$40336:$C$40345&lt;C40343)*$C$40325:$C$40334)</f>
        <v>0</v>
      </c>
    </row>
    <row r="40355" customFormat="false" ht="15" hidden="false" customHeight="false" outlineLevel="0" collapsed="false">
      <c r="A40355" s="3" t="s">
        <v>564</v>
      </c>
      <c r="C40355" s="16" t="n">
        <f aca="false">SUMPRODUCT(($C$40336:$C$40345&lt;C40344)*$C$40325:$C$40334)</f>
        <v>0</v>
      </c>
    </row>
    <row r="40356" customFormat="false" ht="15" hidden="false" customHeight="false" outlineLevel="0" collapsed="false">
      <c r="A40356" s="3" t="s">
        <v>565</v>
      </c>
      <c r="C40356" s="16" t="n">
        <f aca="false">SUMPRODUCT(($C$40336:$C$40345&lt;C40345)*$C$40325:$C$40334)</f>
        <v>2017.29056194216</v>
      </c>
    </row>
    <row r="40357" customFormat="false" ht="15" hidden="false" customHeight="false" outlineLevel="0" collapsed="false">
      <c r="A40357" s="24" t="s">
        <v>573</v>
      </c>
      <c r="B40357" s="25"/>
      <c r="C40357" s="25"/>
      <c r="D40357" s="25"/>
      <c r="E40357" s="25"/>
      <c r="F40357" s="25"/>
      <c r="G40357" s="25"/>
      <c r="H40357" s="25"/>
      <c r="I40357" s="25"/>
      <c r="J40357" s="25"/>
      <c r="K40357" s="25"/>
    </row>
    <row r="40358" customFormat="false" ht="15" hidden="false" customHeight="false" outlineLevel="0" collapsed="false">
      <c r="A40358" s="3" t="s">
        <v>556</v>
      </c>
      <c r="C40358" s="16" t="n">
        <f aca="false">SUMPRODUCT(($C$40336:$C$40345=C40336)*$C$40325:$C$40334)</f>
        <v>10.3312725768</v>
      </c>
    </row>
    <row r="40359" customFormat="false" ht="15" hidden="false" customHeight="false" outlineLevel="0" collapsed="false">
      <c r="A40359" s="3" t="s">
        <v>557</v>
      </c>
      <c r="C40359" s="16" t="n">
        <f aca="false">SUMPRODUCT(($C$40336:$C$40345=C40337)*$C$40325:$C$40334)</f>
        <v>10.3312725768</v>
      </c>
    </row>
    <row r="40360" customFormat="false" ht="15" hidden="false" customHeight="false" outlineLevel="0" collapsed="false">
      <c r="A40360" s="3" t="s">
        <v>558</v>
      </c>
      <c r="C40360" s="16" t="n">
        <f aca="false">SUMPRODUCT(($C$40336:$C$40345=C40338)*$C$40325:$C$40334)</f>
        <v>10.3312725768</v>
      </c>
    </row>
    <row r="40361" customFormat="false" ht="15" hidden="false" customHeight="false" outlineLevel="0" collapsed="false">
      <c r="A40361" s="3" t="s">
        <v>559</v>
      </c>
      <c r="C40361" s="16" t="n">
        <f aca="false">SUMPRODUCT(($C$40336:$C$40345=C40339)*$C$40325:$C$40334)</f>
        <v>2017.29056194216</v>
      </c>
    </row>
    <row r="40362" customFormat="false" ht="15" hidden="false" customHeight="false" outlineLevel="0" collapsed="false">
      <c r="A40362" s="3" t="s">
        <v>560</v>
      </c>
      <c r="C40362" s="16" t="n">
        <f aca="false">SUMPRODUCT(($C$40336:$C$40345=C40340)*$C$40325:$C$40334)</f>
        <v>2017.29056194216</v>
      </c>
    </row>
    <row r="40363" customFormat="false" ht="15" hidden="false" customHeight="false" outlineLevel="0" collapsed="false">
      <c r="A40363" s="3" t="s">
        <v>561</v>
      </c>
      <c r="C40363" s="16" t="n">
        <f aca="false">SUMPRODUCT(($C$40336:$C$40345=C40341)*$C$40325:$C$40334)</f>
        <v>2017.29056194216</v>
      </c>
    </row>
    <row r="40364" customFormat="false" ht="15" hidden="false" customHeight="false" outlineLevel="0" collapsed="false">
      <c r="A40364" s="3" t="s">
        <v>562</v>
      </c>
      <c r="C40364" s="16" t="n">
        <f aca="false">SUMPRODUCT(($C$40336:$C$40345=C40342)*$C$40325:$C$40334)</f>
        <v>2017.29056194216</v>
      </c>
    </row>
    <row r="40365" customFormat="false" ht="15" hidden="false" customHeight="false" outlineLevel="0" collapsed="false">
      <c r="A40365" s="3" t="s">
        <v>563</v>
      </c>
      <c r="C40365" s="16" t="n">
        <f aca="false">SUMPRODUCT(($C$40336:$C$40345=C40343)*$C$40325:$C$40334)</f>
        <v>2017.29056194216</v>
      </c>
    </row>
    <row r="40366" customFormat="false" ht="15" hidden="false" customHeight="false" outlineLevel="0" collapsed="false">
      <c r="A40366" s="3" t="s">
        <v>564</v>
      </c>
      <c r="C40366" s="16" t="n">
        <f aca="false">SUMPRODUCT(($C$40336:$C$40345=C40344)*$C$40325:$C$40334)</f>
        <v>2017.29056194216</v>
      </c>
    </row>
    <row r="40367" customFormat="false" ht="15" hidden="false" customHeight="false" outlineLevel="0" collapsed="false">
      <c r="A40367" s="3" t="s">
        <v>565</v>
      </c>
      <c r="C40367" s="16" t="n">
        <f aca="false">SUMPRODUCT(($C$40336:$C$40345=C40345)*$C$40325:$C$40334)</f>
        <v>80.2332965</v>
      </c>
    </row>
    <row r="40368" customFormat="false" ht="15" hidden="false" customHeight="false" outlineLevel="0" collapsed="false">
      <c r="A40368" s="24" t="s">
        <v>574</v>
      </c>
      <c r="B40368" s="25"/>
      <c r="C40368" s="25"/>
      <c r="D40368" s="25"/>
      <c r="E40368" s="25"/>
      <c r="F40368" s="25"/>
      <c r="G40368" s="25"/>
      <c r="H40368" s="25"/>
      <c r="I40368" s="25"/>
      <c r="J40368" s="25"/>
      <c r="K40368" s="25"/>
    </row>
    <row r="40369" customFormat="false" ht="15" hidden="false" customHeight="false" outlineLevel="0" collapsed="false">
      <c r="A40369" s="3" t="s">
        <v>556</v>
      </c>
      <c r="C40369" s="16" t="n">
        <f aca="false">IF(C40358=0,0,C40325/C40358*MAX(0,MIN(C40358,$C$40268-SUM($C$40303:$C$40312)-C40347)))</f>
        <v>0</v>
      </c>
    </row>
    <row r="40370" customFormat="false" ht="15" hidden="false" customHeight="false" outlineLevel="0" collapsed="false">
      <c r="A40370" s="3" t="s">
        <v>557</v>
      </c>
      <c r="C40370" s="16" t="n">
        <f aca="false">IF(C40359=0,0,C40326/C40359*MAX(0,MIN(C40359,$C$40268-SUM($C$40303:$C$40312)-C40348)))</f>
        <v>0</v>
      </c>
    </row>
    <row r="40371" customFormat="false" ht="15" hidden="false" customHeight="false" outlineLevel="0" collapsed="false">
      <c r="A40371" s="3" t="s">
        <v>558</v>
      </c>
      <c r="C40371" s="16" t="n">
        <f aca="false">IF(C40360=0,0,C40327/C40360*MAX(0,MIN(C40360,$C$40268-SUM($C$40303:$C$40312)-C40349)))</f>
        <v>0</v>
      </c>
    </row>
    <row r="40372" customFormat="false" ht="15" hidden="false" customHeight="false" outlineLevel="0" collapsed="false">
      <c r="A40372" s="3" t="s">
        <v>559</v>
      </c>
      <c r="C40372" s="16" t="n">
        <f aca="false">IF(C40361=0,0,C40328/C40361*MAX(0,MIN(C40361,$C$40268-SUM($C$40303:$C$40312)-C40350)))</f>
        <v>0</v>
      </c>
    </row>
    <row r="40373" customFormat="false" ht="15" hidden="false" customHeight="false" outlineLevel="0" collapsed="false">
      <c r="A40373" s="3" t="s">
        <v>560</v>
      </c>
      <c r="C40373" s="16" t="n">
        <f aca="false">IF(C40362=0,0,C40329/C40362*MAX(0,MIN(C40362,$C$40268-SUM($C$40303:$C$40312)-C40351)))</f>
        <v>439.249936942163</v>
      </c>
    </row>
    <row r="40374" customFormat="false" ht="15" hidden="false" customHeight="false" outlineLevel="0" collapsed="false">
      <c r="A40374" s="3" t="s">
        <v>561</v>
      </c>
      <c r="C40374" s="16" t="n">
        <f aca="false">IF(C40363=0,0,C40330/C40363*MAX(0,MIN(C40363,$C$40268-SUM($C$40303:$C$40312)-C40352)))</f>
        <v>357.2625</v>
      </c>
    </row>
    <row r="40375" customFormat="false" ht="15" hidden="false" customHeight="false" outlineLevel="0" collapsed="false">
      <c r="A40375" s="3" t="s">
        <v>562</v>
      </c>
      <c r="C40375" s="16" t="n">
        <f aca="false">IF(C40364=0,0,C40331/C40364*MAX(0,MIN(C40364,$C$40268-SUM($C$40303:$C$40312)-C40353)))</f>
        <v>562.203125</v>
      </c>
    </row>
    <row r="40376" customFormat="false" ht="15" hidden="false" customHeight="false" outlineLevel="0" collapsed="false">
      <c r="A40376" s="3" t="s">
        <v>563</v>
      </c>
      <c r="C40376" s="16" t="n">
        <f aca="false">IF(C40365=0,0,C40332/C40365*MAX(0,MIN(C40365,$C$40268-SUM($C$40303:$C$40312)-C40354)))</f>
        <v>353.98125</v>
      </c>
    </row>
    <row r="40377" customFormat="false" ht="15" hidden="false" customHeight="false" outlineLevel="0" collapsed="false">
      <c r="A40377" s="3" t="s">
        <v>564</v>
      </c>
      <c r="C40377" s="16" t="n">
        <f aca="false">IF(C40366=0,0,C40333/C40366*MAX(0,MIN(C40366,$C$40268-SUM($C$40303:$C$40312)-C40355)))</f>
        <v>304.59375</v>
      </c>
    </row>
    <row r="40378" customFormat="false" ht="15" hidden="false" customHeight="false" outlineLevel="0" collapsed="false">
      <c r="A40378" s="3" t="s">
        <v>565</v>
      </c>
      <c r="C40378" s="16" t="n">
        <f aca="false">IF(C40367=0,0,C40334/C40367*MAX(0,MIN(C40367,$C$40268-SUM($C$40303:$C$40312)-C40356)))</f>
        <v>20.1124853346373</v>
      </c>
    </row>
    <row r="40379" customFormat="false" ht="15" hidden="false" customHeight="false" outlineLevel="0" collapsed="false">
      <c r="A40379" s="24" t="s">
        <v>575</v>
      </c>
      <c r="B40379" s="25"/>
      <c r="C40379" s="25"/>
      <c r="D40379" s="25"/>
      <c r="E40379" s="25"/>
      <c r="F40379" s="25"/>
      <c r="G40379" s="25"/>
      <c r="H40379" s="25"/>
      <c r="I40379" s="25"/>
      <c r="J40379" s="25"/>
      <c r="K40379" s="25"/>
    </row>
    <row r="40380" customFormat="false" ht="15" hidden="false" customHeight="false" outlineLevel="0" collapsed="false">
      <c r="A40380" s="2" t="s">
        <v>556</v>
      </c>
      <c r="C40380" s="17" t="n">
        <f aca="false">C40303+C40369</f>
        <v>403.76</v>
      </c>
    </row>
    <row r="40381" customFormat="false" ht="15" hidden="false" customHeight="false" outlineLevel="0" collapsed="false">
      <c r="A40381" s="2" t="s">
        <v>557</v>
      </c>
      <c r="C40381" s="17" t="n">
        <f aca="false">C40304+C40370</f>
        <v>85.1568504864</v>
      </c>
    </row>
    <row r="40382" customFormat="false" ht="15" hidden="false" customHeight="false" outlineLevel="0" collapsed="false">
      <c r="A40382" s="2" t="s">
        <v>558</v>
      </c>
      <c r="C40382" s="17" t="n">
        <f aca="false">C40305+C40371</f>
        <v>54.1907230368</v>
      </c>
    </row>
    <row r="40383" customFormat="false" ht="15" hidden="false" customHeight="false" outlineLevel="0" collapsed="false">
      <c r="A40383" s="2" t="s">
        <v>559</v>
      </c>
      <c r="C40383" s="17" t="n">
        <f aca="false">C40306+C40372</f>
        <v>0</v>
      </c>
    </row>
    <row r="40384" customFormat="false" ht="15" hidden="false" customHeight="false" outlineLevel="0" collapsed="false">
      <c r="A40384" s="2" t="s">
        <v>560</v>
      </c>
      <c r="C40384" s="17" t="n">
        <f aca="false">C40307+C40373</f>
        <v>439.249936942163</v>
      </c>
    </row>
    <row r="40385" customFormat="false" ht="15" hidden="false" customHeight="false" outlineLevel="0" collapsed="false">
      <c r="A40385" s="2" t="s">
        <v>561</v>
      </c>
      <c r="C40385" s="17" t="n">
        <f aca="false">C40308+C40374</f>
        <v>357.2625</v>
      </c>
    </row>
    <row r="40386" customFormat="false" ht="15" hidden="false" customHeight="false" outlineLevel="0" collapsed="false">
      <c r="A40386" s="2" t="s">
        <v>562</v>
      </c>
      <c r="C40386" s="17" t="n">
        <f aca="false">C40309+C40375</f>
        <v>562.203125</v>
      </c>
    </row>
    <row r="40387" customFormat="false" ht="15" hidden="false" customHeight="false" outlineLevel="0" collapsed="false">
      <c r="A40387" s="2" t="s">
        <v>563</v>
      </c>
      <c r="C40387" s="17" t="n">
        <f aca="false">C40310+C40376</f>
        <v>353.98125</v>
      </c>
    </row>
    <row r="40388" customFormat="false" ht="15" hidden="false" customHeight="false" outlineLevel="0" collapsed="false">
      <c r="A40388" s="2" t="s">
        <v>564</v>
      </c>
      <c r="C40388" s="17" t="n">
        <f aca="false">C40311+C40377</f>
        <v>304.59375</v>
      </c>
    </row>
    <row r="40389" customFormat="false" ht="15" hidden="false" customHeight="false" outlineLevel="0" collapsed="false">
      <c r="A40389" s="2" t="s">
        <v>565</v>
      </c>
      <c r="C40389" s="17" t="n">
        <f aca="false">C40312+C40378</f>
        <v>20.1124853346373</v>
      </c>
    </row>
    <row r="40390" customFormat="false" ht="15" hidden="false" customHeight="false" outlineLevel="0" collapsed="false">
      <c r="A40390" s="24" t="s">
        <v>576</v>
      </c>
      <c r="B40390" s="25"/>
      <c r="C40390" s="25"/>
      <c r="D40390" s="25"/>
      <c r="E40390" s="25"/>
      <c r="F40390" s="25"/>
      <c r="G40390" s="25"/>
      <c r="H40390" s="25"/>
      <c r="I40390" s="25"/>
      <c r="J40390" s="25"/>
      <c r="K40390" s="25"/>
    </row>
    <row r="40391" customFormat="false" ht="15" hidden="false" customHeight="false" outlineLevel="0" collapsed="false">
      <c r="A40391" s="3" t="s">
        <v>556</v>
      </c>
      <c r="C40391" s="22" t="n">
        <f aca="false">IF(C40270=0,1,C40380/C40270)</f>
        <v>1</v>
      </c>
    </row>
    <row r="40392" customFormat="false" ht="15" hidden="false" customHeight="false" outlineLevel="0" collapsed="false">
      <c r="A40392" s="3" t="s">
        <v>557</v>
      </c>
      <c r="C40392" s="22" t="n">
        <f aca="false">IF(C40271=0,1,C40381/C40271)</f>
        <v>0.932640622583639</v>
      </c>
    </row>
    <row r="40393" customFormat="false" ht="15" hidden="false" customHeight="false" outlineLevel="0" collapsed="false">
      <c r="A40393" s="3" t="s">
        <v>558</v>
      </c>
      <c r="C40393" s="22" t="n">
        <f aca="false">IF(C40272=0,1,C40382/C40272)</f>
        <v>0.928374871640695</v>
      </c>
    </row>
    <row r="40394" customFormat="false" ht="15" hidden="false" customHeight="false" outlineLevel="0" collapsed="false">
      <c r="A40394" s="3" t="s">
        <v>559</v>
      </c>
      <c r="C40394" s="22" t="n">
        <f aca="false">IF(C40273=0,1,C40383/C40273)</f>
        <v>1</v>
      </c>
    </row>
    <row r="40395" customFormat="false" ht="15" hidden="false" customHeight="false" outlineLevel="0" collapsed="false">
      <c r="A40395" s="3" t="s">
        <v>560</v>
      </c>
      <c r="C40395" s="22" t="n">
        <f aca="false">IF(C40274=0,1,C40384/C40274)</f>
        <v>1</v>
      </c>
    </row>
    <row r="40396" customFormat="false" ht="15" hidden="false" customHeight="false" outlineLevel="0" collapsed="false">
      <c r="A40396" s="3" t="s">
        <v>561</v>
      </c>
      <c r="C40396" s="22" t="n">
        <f aca="false">IF(C40275=0,1,C40385/C40275)</f>
        <v>1</v>
      </c>
    </row>
    <row r="40397" customFormat="false" ht="15" hidden="false" customHeight="false" outlineLevel="0" collapsed="false">
      <c r="A40397" s="3" t="s">
        <v>562</v>
      </c>
      <c r="C40397" s="22" t="n">
        <f aca="false">IF(C40276=0,1,C40386/C40276)</f>
        <v>1</v>
      </c>
    </row>
    <row r="40398" customFormat="false" ht="15" hidden="false" customHeight="false" outlineLevel="0" collapsed="false">
      <c r="A40398" s="3" t="s">
        <v>563</v>
      </c>
      <c r="C40398" s="22" t="n">
        <f aca="false">IF(C40277=0,1,C40387/C40277)</f>
        <v>1</v>
      </c>
    </row>
    <row r="40399" customFormat="false" ht="15" hidden="false" customHeight="false" outlineLevel="0" collapsed="false">
      <c r="A40399" s="3" t="s">
        <v>564</v>
      </c>
      <c r="C40399" s="22" t="n">
        <f aca="false">IF(C40278=0,1,C40388/C40278)</f>
        <v>1</v>
      </c>
    </row>
    <row r="40400" customFormat="false" ht="15" hidden="false" customHeight="false" outlineLevel="0" collapsed="false">
      <c r="A40400" s="3" t="s">
        <v>565</v>
      </c>
      <c r="C40400" s="22" t="n">
        <f aca="false">IF(C40279=0,1,C40389/C40279)</f>
        <v>0.250675046545511</v>
      </c>
    </row>
    <row r="40401" customFormat="false" ht="15" hidden="false" customHeight="false" outlineLevel="0" collapsed="false">
      <c r="A40401" s="24" t="s">
        <v>577</v>
      </c>
      <c r="B40401" s="25"/>
      <c r="C40401" s="25"/>
      <c r="D40401" s="25"/>
      <c r="E40401" s="25"/>
      <c r="F40401" s="25"/>
      <c r="G40401" s="25"/>
      <c r="H40401" s="25"/>
      <c r="I40401" s="25"/>
      <c r="J40401" s="25"/>
      <c r="K40401" s="25"/>
    </row>
    <row r="40402" customFormat="false" ht="15" hidden="false" customHeight="false" outlineLevel="0" collapsed="false">
      <c r="A40402" s="3" t="s">
        <v>556</v>
      </c>
      <c r="C40402" s="16" t="n">
        <f aca="false">C40270-C40380</f>
        <v>0</v>
      </c>
    </row>
    <row r="40403" customFormat="false" ht="15" hidden="false" customHeight="false" outlineLevel="0" collapsed="false">
      <c r="A40403" s="3" t="s">
        <v>557</v>
      </c>
      <c r="C40403" s="16" t="n">
        <f aca="false">C40271-C40381</f>
        <v>6.15039951360001</v>
      </c>
    </row>
    <row r="40404" customFormat="false" ht="15" hidden="false" customHeight="false" outlineLevel="0" collapsed="false">
      <c r="A40404" s="3" t="s">
        <v>558</v>
      </c>
      <c r="C40404" s="16" t="n">
        <f aca="false">C40272-C40382</f>
        <v>4.1808730632</v>
      </c>
    </row>
    <row r="40405" customFormat="false" ht="15" hidden="false" customHeight="false" outlineLevel="0" collapsed="false">
      <c r="A40405" s="3" t="s">
        <v>559</v>
      </c>
      <c r="C40405" s="16" t="n">
        <f aca="false">C40273-C40383</f>
        <v>0</v>
      </c>
    </row>
    <row r="40406" customFormat="false" ht="15" hidden="false" customHeight="false" outlineLevel="0" collapsed="false">
      <c r="A40406" s="3" t="s">
        <v>560</v>
      </c>
      <c r="C40406" s="16" t="n">
        <f aca="false">C40274-C40384</f>
        <v>0</v>
      </c>
    </row>
    <row r="40407" customFormat="false" ht="15" hidden="false" customHeight="false" outlineLevel="0" collapsed="false">
      <c r="A40407" s="3" t="s">
        <v>561</v>
      </c>
      <c r="C40407" s="16" t="n">
        <f aca="false">C40275-C40385</f>
        <v>0</v>
      </c>
    </row>
    <row r="40408" customFormat="false" ht="15" hidden="false" customHeight="false" outlineLevel="0" collapsed="false">
      <c r="A40408" s="3" t="s">
        <v>562</v>
      </c>
      <c r="C40408" s="16" t="n">
        <f aca="false">C40276-C40386</f>
        <v>0</v>
      </c>
    </row>
    <row r="40409" customFormat="false" ht="15" hidden="false" customHeight="false" outlineLevel="0" collapsed="false">
      <c r="A40409" s="3" t="s">
        <v>563</v>
      </c>
      <c r="C40409" s="16" t="n">
        <f aca="false">C40277-C40387</f>
        <v>0</v>
      </c>
    </row>
    <row r="40410" customFormat="false" ht="15" hidden="false" customHeight="false" outlineLevel="0" collapsed="false">
      <c r="A40410" s="3" t="s">
        <v>564</v>
      </c>
      <c r="C40410" s="16" t="n">
        <f aca="false">C40278-C40388</f>
        <v>0</v>
      </c>
    </row>
    <row r="40411" customFormat="false" ht="15" hidden="false" customHeight="false" outlineLevel="0" collapsed="false">
      <c r="A40411" s="3" t="s">
        <v>565</v>
      </c>
      <c r="C40411" s="16" t="n">
        <f aca="false">C40279-C40389</f>
        <v>60.1208111653627</v>
      </c>
    </row>
    <row r="40412" customFormat="false" ht="15" hidden="false" customHeight="false" outlineLevel="0" collapsed="false">
      <c r="A40412" s="24" t="s">
        <v>578</v>
      </c>
      <c r="B40412" s="25"/>
      <c r="C40412" s="25"/>
      <c r="D40412" s="25"/>
      <c r="E40412" s="25"/>
      <c r="F40412" s="25"/>
      <c r="G40412" s="25"/>
      <c r="H40412" s="25"/>
      <c r="I40412" s="25"/>
      <c r="J40412" s="25"/>
      <c r="K40412" s="25"/>
    </row>
    <row r="40413" customFormat="false" ht="15" hidden="false" customHeight="false" outlineLevel="0" collapsed="false">
      <c r="A40413" s="3" t="s">
        <v>556</v>
      </c>
      <c r="C40413" s="22" t="n">
        <f aca="false">IF(C40270=0,0,C40402/C40270)</f>
        <v>0</v>
      </c>
    </row>
    <row r="40414" customFormat="false" ht="15" hidden="false" customHeight="false" outlineLevel="0" collapsed="false">
      <c r="A40414" s="3" t="s">
        <v>557</v>
      </c>
      <c r="C40414" s="22" t="n">
        <f aca="false">IF(C40271=0,0,C40403/C40271)</f>
        <v>0.0673593774163608</v>
      </c>
    </row>
    <row r="40415" customFormat="false" ht="15" hidden="false" customHeight="false" outlineLevel="0" collapsed="false">
      <c r="A40415" s="3" t="s">
        <v>558</v>
      </c>
      <c r="C40415" s="22" t="n">
        <f aca="false">IF(C40272=0,0,C40404/C40272)</f>
        <v>0.0716251283593048</v>
      </c>
    </row>
    <row r="40416" customFormat="false" ht="15" hidden="false" customHeight="false" outlineLevel="0" collapsed="false">
      <c r="A40416" s="3" t="s">
        <v>559</v>
      </c>
      <c r="C40416" s="22" t="n">
        <f aca="false">IF(C40273=0,0,C40405/C40273)</f>
        <v>0</v>
      </c>
    </row>
    <row r="40417" customFormat="false" ht="15" hidden="false" customHeight="false" outlineLevel="0" collapsed="false">
      <c r="A40417" s="3" t="s">
        <v>560</v>
      </c>
      <c r="C40417" s="22" t="n">
        <f aca="false">IF(C40274=0,0,C40406/C40274)</f>
        <v>0</v>
      </c>
    </row>
    <row r="40418" customFormat="false" ht="15" hidden="false" customHeight="false" outlineLevel="0" collapsed="false">
      <c r="A40418" s="3" t="s">
        <v>561</v>
      </c>
      <c r="C40418" s="22" t="n">
        <f aca="false">IF(C40275=0,0,C40407/C40275)</f>
        <v>0</v>
      </c>
    </row>
    <row r="40419" customFormat="false" ht="15" hidden="false" customHeight="false" outlineLevel="0" collapsed="false">
      <c r="A40419" s="3" t="s">
        <v>562</v>
      </c>
      <c r="C40419" s="22" t="n">
        <f aca="false">IF(C40276=0,0,C40408/C40276)</f>
        <v>0</v>
      </c>
    </row>
    <row r="40420" customFormat="false" ht="15" hidden="false" customHeight="false" outlineLevel="0" collapsed="false">
      <c r="A40420" s="3" t="s">
        <v>563</v>
      </c>
      <c r="C40420" s="22" t="n">
        <f aca="false">IF(C40277=0,0,C40409/C40277)</f>
        <v>0</v>
      </c>
    </row>
    <row r="40421" customFormat="false" ht="15" hidden="false" customHeight="false" outlineLevel="0" collapsed="false">
      <c r="A40421" s="3" t="s">
        <v>564</v>
      </c>
      <c r="C40421" s="22" t="n">
        <f aca="false">IF(C40278=0,0,C40410/C40278)</f>
        <v>0</v>
      </c>
    </row>
    <row r="40422" customFormat="false" ht="15" hidden="false" customHeight="false" outlineLevel="0" collapsed="false">
      <c r="A40422" s="3" t="s">
        <v>565</v>
      </c>
      <c r="C40422" s="22" t="n">
        <f aca="false">IF(C40279=0,0,C40411/C40279)</f>
        <v>0.749324953454489</v>
      </c>
    </row>
    <row r="40423" customFormat="false" ht="15" hidden="false" customHeight="false" outlineLevel="0" collapsed="false">
      <c r="A40423" s="2" t="s">
        <v>579</v>
      </c>
      <c r="C40423" s="17" t="n">
        <f aca="false">MAX(0,$C$40268-SUM($C$40303:$C$40312)-SUM($C$40325:$C$40334))</f>
        <v>0</v>
      </c>
    </row>
    <row r="40424" customFormat="false" ht="15" hidden="false" customHeight="false" outlineLevel="0" collapsed="false">
      <c r="A40424" s="3" t="s">
        <v>580</v>
      </c>
      <c r="C40424" s="16" t="n">
        <f aca="false">SUM($C$40380:$C$40389)+C40423+C40267-C40266</f>
        <v>0</v>
      </c>
    </row>
    <row r="40426" customFormat="false" ht="15" hidden="false" customHeight="false" outlineLevel="0" collapsed="false">
      <c r="A40426" s="24" t="s">
        <v>583</v>
      </c>
      <c r="B40426" s="25"/>
      <c r="C40426" s="25"/>
      <c r="D40426" s="25"/>
      <c r="E40426" s="25"/>
      <c r="F40426" s="25"/>
      <c r="G40426" s="25"/>
      <c r="H40426" s="25"/>
      <c r="I40426" s="25"/>
      <c r="J40426" s="25"/>
      <c r="K40426" s="25"/>
    </row>
    <row r="40427" customFormat="false" ht="15" hidden="false" customHeight="false" outlineLevel="0" collapsed="false">
      <c r="A40427" s="3" t="s">
        <v>584</v>
      </c>
      <c r="C40427" s="27" t="n">
        <f aca="false">Assumptions!$C$34</f>
        <v>1</v>
      </c>
    </row>
    <row r="40428" customFormat="false" ht="15" hidden="false" customHeight="false" outlineLevel="0" collapsed="false">
      <c r="A40428" s="3" t="s">
        <v>585</v>
      </c>
      <c r="C40428" s="29" t="n">
        <f aca="false">Assumptions!$C$35</f>
        <v>100</v>
      </c>
    </row>
    <row r="40429" customFormat="false" ht="15" hidden="false" customHeight="false" outlineLevel="0" collapsed="false">
      <c r="A40429" s="3" t="s">
        <v>586</v>
      </c>
      <c r="C40429" s="40" t="n">
        <f aca="false">Assumptions!$C$36</f>
        <v>98</v>
      </c>
    </row>
    <row r="40430" customFormat="false" ht="15" hidden="false" customHeight="false" outlineLevel="0" collapsed="false">
      <c r="A40430" s="3" t="s">
        <v>587</v>
      </c>
      <c r="C40430" s="16" t="n">
        <f aca="false">C40428*C40429/100*(1+Assumptions!$C$37)</f>
        <v>98.49</v>
      </c>
    </row>
    <row r="40431" customFormat="false" ht="15" hidden="false" customHeight="false" outlineLevel="0" collapsed="false">
      <c r="A40431" s="3" t="s">
        <v>588</v>
      </c>
      <c r="C40431" s="27" t="n">
        <f aca="false">Assumptions!$C$38</f>
        <v>3</v>
      </c>
    </row>
    <row r="40432" customFormat="false" ht="15" hidden="false" customHeight="false" outlineLevel="0" collapsed="false">
      <c r="A40432" s="3" t="s">
        <v>589</v>
      </c>
      <c r="C40432" s="21" t="n">
        <f aca="false">IF(C40259=1,SUMPRODUCT($G$40195:$K$40195,$G$39969:$K$39969),0)</f>
        <v>2</v>
      </c>
    </row>
    <row r="40433" customFormat="false" ht="15" hidden="false" customHeight="false" outlineLevel="0" collapsed="false">
      <c r="A40433" s="3" t="s">
        <v>590</v>
      </c>
      <c r="C40433" s="22" t="n">
        <f aca="false">IFERROR(C40428/CHOOSE(C40427,SUMPRODUCT($G$40258:$K$40258,$G$40015:$K$40015),SUMPRODUCT($G$40258:$K$40258,$G$40028:$K$40028),SUMPRODUCT($G$40258:$K$40258,$G$40041:$K$40041),SUMPRODUCT($G$40258:$K$40258,$G$40054:$K$40054),SUMPRODUCT($G$40258:$K$40258,$G$40067:$K$40067),SUMPRODUCT($G$40258:$K$40258,$G$40080:$K$40080),SUMPRODUCT($G$40258:$K$40258,$G$40093:$K$40093),SUMPRODUCT($G$40258:$K$40258,$G$40106:$K$40106),SUMPRODUCT($G$40258:$K$40258,$G$40119:$K$40119),SUMPRODUCT($G$40258:$K$40258,$G$40132:$K$40132)),0)</f>
        <v>0.255102040816327</v>
      </c>
    </row>
    <row r="40434" customFormat="false" ht="15" hidden="false" customHeight="false" outlineLevel="0" collapsed="false">
      <c r="A40434" s="3" t="s">
        <v>591</v>
      </c>
      <c r="C40434" s="16" t="n">
        <f aca="false">CHOOSE(C40427,C40380,C40381,C40382,C40383,C40384,C40385,C40386,C40387,C40388,C40389)*C40433</f>
        <v>103</v>
      </c>
    </row>
    <row r="40435" customFormat="false" ht="15" hidden="false" customHeight="false" outlineLevel="0" collapsed="false">
      <c r="A40435" s="3" t="s">
        <v>592</v>
      </c>
      <c r="C40435" s="22" t="n">
        <f aca="false">CHOOSE(C40427,C40391,C40392,C40393,C40394,C40395,C40396,C40397,C40398,C40399,C40400)</f>
        <v>1</v>
      </c>
    </row>
    <row r="40436" customFormat="false" ht="15" hidden="false" customHeight="false" outlineLevel="0" collapsed="false">
      <c r="A40436" s="3" t="s">
        <v>593</v>
      </c>
      <c r="C40436" s="21" t="n">
        <f aca="false">IF(C40259=1,C40432,C40431)</f>
        <v>2</v>
      </c>
    </row>
    <row r="40437" customFormat="false" ht="15" hidden="false" customHeight="false" outlineLevel="0" collapsed="false">
      <c r="A40437" s="3" t="s">
        <v>594</v>
      </c>
      <c r="C40437" s="35" t="n">
        <f aca="false">CHOOSE($C$39961,Assumptions!$C$91,Assumptions!$C$110,Assumptions!$C$129)</f>
        <v>85</v>
      </c>
    </row>
    <row r="40438" customFormat="false" ht="15" hidden="false" customHeight="false" outlineLevel="0" collapsed="false">
      <c r="A40438" s="3" t="s">
        <v>595</v>
      </c>
      <c r="C40438" s="16" t="n">
        <f aca="false">INDEX($G$39978:$K$39978,C40431)*CHOOSE($C$39961,Assumptions!$C$90,Assumptions!$C$109,Assumptions!$C$128)+MAX(0,INDEX($G$40192:$K$40192,C40431))</f>
        <v>1633.40082545963</v>
      </c>
    </row>
    <row r="40439" customFormat="false" ht="15" hidden="false" customHeight="false" outlineLevel="0" collapsed="false">
      <c r="A40439" s="24" t="s">
        <v>596</v>
      </c>
      <c r="B40439" s="25"/>
      <c r="C40439" s="25"/>
      <c r="D40439" s="25"/>
      <c r="E40439" s="25"/>
      <c r="F40439" s="25"/>
      <c r="G40439" s="25"/>
      <c r="H40439" s="25"/>
      <c r="I40439" s="25"/>
      <c r="J40439" s="25"/>
      <c r="K40439" s="25"/>
    </row>
    <row r="40440" customFormat="false" ht="15" hidden="false" customHeight="false" outlineLevel="0" collapsed="false">
      <c r="A40440" s="3" t="s">
        <v>556</v>
      </c>
      <c r="C40440" s="16" t="n">
        <f aca="false">INDEX($G$40015:$K$40015,C40431)</f>
        <v>388</v>
      </c>
    </row>
    <row r="40441" customFormat="false" ht="15" hidden="false" customHeight="false" outlineLevel="0" collapsed="false">
      <c r="A40441" s="3" t="s">
        <v>557</v>
      </c>
      <c r="C40441" s="16" t="n">
        <f aca="false">INDEX($G$40028:$K$40028,C40431)</f>
        <v>90</v>
      </c>
    </row>
    <row r="40442" customFormat="false" ht="15" hidden="false" customHeight="false" outlineLevel="0" collapsed="false">
      <c r="A40442" s="3" t="s">
        <v>558</v>
      </c>
      <c r="C40442" s="16" t="n">
        <f aca="false">INDEX($G$40041:$K$40041,C40431)</f>
        <v>57.324</v>
      </c>
    </row>
    <row r="40443" customFormat="false" ht="15" hidden="false" customHeight="false" outlineLevel="0" collapsed="false">
      <c r="A40443" s="3" t="s">
        <v>559</v>
      </c>
      <c r="C40443" s="16" t="n">
        <f aca="false">INDEX($G$40054:$K$40054,C40431)</f>
        <v>0</v>
      </c>
    </row>
    <row r="40444" customFormat="false" ht="15" hidden="false" customHeight="false" outlineLevel="0" collapsed="false">
      <c r="A40444" s="3" t="s">
        <v>560</v>
      </c>
      <c r="C40444" s="16" t="n">
        <f aca="false">INDEX($G$40067:$K$40067,C40431)</f>
        <v>434.9547587</v>
      </c>
    </row>
    <row r="40445" customFormat="false" ht="15" hidden="false" customHeight="false" outlineLevel="0" collapsed="false">
      <c r="A40445" s="3" t="s">
        <v>561</v>
      </c>
      <c r="C40445" s="16" t="n">
        <f aca="false">INDEX($G$40080:$K$40080,C40431)</f>
        <v>350</v>
      </c>
    </row>
    <row r="40446" customFormat="false" ht="15" hidden="false" customHeight="false" outlineLevel="0" collapsed="false">
      <c r="A40446" s="3" t="s">
        <v>562</v>
      </c>
      <c r="C40446" s="16" t="n">
        <f aca="false">INDEX($G$40093:$K$40093,C40431)</f>
        <v>550</v>
      </c>
    </row>
    <row r="40447" customFormat="false" ht="15" hidden="false" customHeight="false" outlineLevel="0" collapsed="false">
      <c r="A40447" s="3" t="s">
        <v>563</v>
      </c>
      <c r="C40447" s="16" t="n">
        <f aca="false">INDEX($G$40106:$K$40106,C40431)</f>
        <v>350</v>
      </c>
    </row>
    <row r="40448" customFormat="false" ht="15" hidden="false" customHeight="false" outlineLevel="0" collapsed="false">
      <c r="A40448" s="3" t="s">
        <v>564</v>
      </c>
      <c r="C40448" s="16" t="n">
        <f aca="false">INDEX($G$40119:$K$40119,C40431)</f>
        <v>300</v>
      </c>
    </row>
    <row r="40449" customFormat="false" ht="15" hidden="false" customHeight="false" outlineLevel="0" collapsed="false">
      <c r="A40449" s="3" t="s">
        <v>565</v>
      </c>
      <c r="C40449" s="16" t="n">
        <f aca="false">INDEX($G$40132:$K$40132,C40431)</f>
        <v>78.61</v>
      </c>
    </row>
    <row r="40450" customFormat="false" ht="15" hidden="false" customHeight="false" outlineLevel="0" collapsed="false">
      <c r="A40450" s="24" t="s">
        <v>566</v>
      </c>
      <c r="B40450" s="25"/>
      <c r="C40450" s="25"/>
      <c r="D40450" s="25"/>
      <c r="E40450" s="25"/>
      <c r="F40450" s="25"/>
      <c r="G40450" s="25"/>
      <c r="H40450" s="25"/>
      <c r="I40450" s="25"/>
      <c r="J40450" s="25"/>
      <c r="K40450" s="25"/>
    </row>
    <row r="40451" customFormat="false" ht="15" hidden="false" customHeight="false" outlineLevel="0" collapsed="false">
      <c r="A40451" s="3" t="s">
        <v>556</v>
      </c>
      <c r="C40451" s="27" t="n">
        <f aca="false">Assumptions!$M$57</f>
        <v>1</v>
      </c>
    </row>
    <row r="40452" customFormat="false" ht="15" hidden="false" customHeight="false" outlineLevel="0" collapsed="false">
      <c r="A40452" s="3" t="s">
        <v>557</v>
      </c>
      <c r="C40452" s="27" t="n">
        <f aca="false">Assumptions!$M$58</f>
        <v>1</v>
      </c>
    </row>
    <row r="40453" customFormat="false" ht="15" hidden="false" customHeight="false" outlineLevel="0" collapsed="false">
      <c r="A40453" s="3" t="s">
        <v>558</v>
      </c>
      <c r="C40453" s="27" t="n">
        <f aca="false">Assumptions!$M$59</f>
        <v>1</v>
      </c>
    </row>
    <row r="40454" customFormat="false" ht="15" hidden="false" customHeight="false" outlineLevel="0" collapsed="false">
      <c r="A40454" s="3" t="s">
        <v>559</v>
      </c>
      <c r="C40454" s="27" t="n">
        <f aca="false">Assumptions!$M$60</f>
        <v>2</v>
      </c>
    </row>
    <row r="40455" customFormat="false" ht="15" hidden="false" customHeight="false" outlineLevel="0" collapsed="false">
      <c r="A40455" s="3" t="s">
        <v>560</v>
      </c>
      <c r="C40455" s="27" t="n">
        <f aca="false">Assumptions!$M$61</f>
        <v>2</v>
      </c>
    </row>
    <row r="40456" customFormat="false" ht="15" hidden="false" customHeight="false" outlineLevel="0" collapsed="false">
      <c r="A40456" s="3" t="s">
        <v>561</v>
      </c>
      <c r="C40456" s="27" t="n">
        <f aca="false">Assumptions!$M$62</f>
        <v>2</v>
      </c>
    </row>
    <row r="40457" customFormat="false" ht="15" hidden="false" customHeight="false" outlineLevel="0" collapsed="false">
      <c r="A40457" s="3" t="s">
        <v>562</v>
      </c>
      <c r="C40457" s="27" t="n">
        <f aca="false">Assumptions!$M$63</f>
        <v>2</v>
      </c>
    </row>
    <row r="40458" customFormat="false" ht="15" hidden="false" customHeight="false" outlineLevel="0" collapsed="false">
      <c r="A40458" s="3" t="s">
        <v>563</v>
      </c>
      <c r="C40458" s="27" t="n">
        <f aca="false">Assumptions!$M$64</f>
        <v>2</v>
      </c>
    </row>
    <row r="40459" customFormat="false" ht="15" hidden="false" customHeight="false" outlineLevel="0" collapsed="false">
      <c r="A40459" s="3" t="s">
        <v>564</v>
      </c>
      <c r="C40459" s="27" t="n">
        <f aca="false">Assumptions!$M$65</f>
        <v>2</v>
      </c>
    </row>
    <row r="40460" customFormat="false" ht="15" hidden="false" customHeight="false" outlineLevel="0" collapsed="false">
      <c r="A40460" s="3" t="s">
        <v>565</v>
      </c>
      <c r="C40460" s="27" t="n">
        <f aca="false">Assumptions!$M$66</f>
        <v>3</v>
      </c>
    </row>
    <row r="40461" customFormat="false" ht="15" hidden="false" customHeight="false" outlineLevel="0" collapsed="false">
      <c r="A40461" s="24" t="s">
        <v>567</v>
      </c>
      <c r="B40461" s="25"/>
      <c r="C40461" s="25"/>
      <c r="D40461" s="25"/>
      <c r="E40461" s="25"/>
      <c r="F40461" s="25"/>
      <c r="G40461" s="25"/>
      <c r="H40461" s="25"/>
      <c r="I40461" s="25"/>
      <c r="J40461" s="25"/>
      <c r="K40461" s="25"/>
    </row>
    <row r="40462" customFormat="false" ht="15" hidden="false" customHeight="false" outlineLevel="0" collapsed="false">
      <c r="A40462" s="3" t="s">
        <v>556</v>
      </c>
      <c r="C40462" s="33" t="n">
        <f aca="false">Assumptions!$Q$57</f>
        <v>0.3</v>
      </c>
    </row>
    <row r="40463" customFormat="false" ht="15" hidden="false" customHeight="false" outlineLevel="0" collapsed="false">
      <c r="A40463" s="3" t="s">
        <v>557</v>
      </c>
      <c r="C40463" s="33" t="n">
        <f aca="false">Assumptions!$Q$58</f>
        <v>0.033</v>
      </c>
    </row>
    <row r="40464" customFormat="false" ht="15" hidden="false" customHeight="false" outlineLevel="0" collapsed="false">
      <c r="A40464" s="3" t="s">
        <v>558</v>
      </c>
      <c r="C40464" s="33" t="n">
        <f aca="false">Assumptions!$Q$59</f>
        <v>0.021</v>
      </c>
    </row>
    <row r="40465" customFormat="false" ht="15" hidden="false" customHeight="false" outlineLevel="0" collapsed="false">
      <c r="A40465" s="3" t="s">
        <v>559</v>
      </c>
      <c r="C40465" s="33" t="n">
        <f aca="false">Assumptions!$Q$60</f>
        <v>0</v>
      </c>
    </row>
    <row r="40466" customFormat="false" ht="15" hidden="false" customHeight="false" outlineLevel="0" collapsed="false">
      <c r="A40466" s="3" t="s">
        <v>560</v>
      </c>
      <c r="C40466" s="33" t="n">
        <f aca="false">Assumptions!$Q$61</f>
        <v>0</v>
      </c>
    </row>
    <row r="40467" customFormat="false" ht="15" hidden="false" customHeight="false" outlineLevel="0" collapsed="false">
      <c r="A40467" s="3" t="s">
        <v>561</v>
      </c>
      <c r="C40467" s="33" t="n">
        <f aca="false">Assumptions!$Q$62</f>
        <v>0</v>
      </c>
    </row>
    <row r="40468" customFormat="false" ht="15" hidden="false" customHeight="false" outlineLevel="0" collapsed="false">
      <c r="A40468" s="3" t="s">
        <v>562</v>
      </c>
      <c r="C40468" s="33" t="n">
        <f aca="false">Assumptions!$Q$63</f>
        <v>0</v>
      </c>
    </row>
    <row r="40469" customFormat="false" ht="15" hidden="false" customHeight="false" outlineLevel="0" collapsed="false">
      <c r="A40469" s="3" t="s">
        <v>563</v>
      </c>
      <c r="C40469" s="33" t="n">
        <f aca="false">Assumptions!$Q$64</f>
        <v>0</v>
      </c>
    </row>
    <row r="40470" customFormat="false" ht="15" hidden="false" customHeight="false" outlineLevel="0" collapsed="false">
      <c r="A40470" s="3" t="s">
        <v>564</v>
      </c>
      <c r="C40470" s="33" t="n">
        <f aca="false">Assumptions!$Q$65</f>
        <v>0</v>
      </c>
    </row>
    <row r="40471" customFormat="false" ht="15" hidden="false" customHeight="false" outlineLevel="0" collapsed="false">
      <c r="A40471" s="3" t="s">
        <v>565</v>
      </c>
      <c r="C40471" s="33" t="n">
        <f aca="false">Assumptions!$Q$66</f>
        <v>0</v>
      </c>
    </row>
    <row r="40472" customFormat="false" ht="15" hidden="false" customHeight="false" outlineLevel="0" collapsed="false">
      <c r="A40472" s="24" t="s">
        <v>568</v>
      </c>
      <c r="B40472" s="25"/>
      <c r="C40472" s="25"/>
      <c r="D40472" s="25"/>
      <c r="E40472" s="25"/>
      <c r="F40472" s="25"/>
      <c r="G40472" s="25"/>
      <c r="H40472" s="25"/>
      <c r="I40472" s="25"/>
      <c r="J40472" s="25"/>
      <c r="K40472" s="25"/>
    </row>
    <row r="40473" customFormat="false" ht="15" hidden="false" customHeight="false" outlineLevel="0" collapsed="false">
      <c r="A40473" s="3" t="s">
        <v>556</v>
      </c>
      <c r="C40473" s="16" t="n">
        <f aca="false">IF(C40462&gt;0,MIN(C40440,C40462*$C$40438),0)</f>
        <v>388</v>
      </c>
    </row>
    <row r="40474" customFormat="false" ht="15" hidden="false" customHeight="false" outlineLevel="0" collapsed="false">
      <c r="A40474" s="3" t="s">
        <v>557</v>
      </c>
      <c r="C40474" s="16" t="n">
        <f aca="false">IF(C40463&gt;0,MIN(C40441,C40463*$C$40438),0)</f>
        <v>53.9022272401676</v>
      </c>
    </row>
    <row r="40475" customFormat="false" ht="15" hidden="false" customHeight="false" outlineLevel="0" collapsed="false">
      <c r="A40475" s="3" t="s">
        <v>558</v>
      </c>
      <c r="C40475" s="16" t="n">
        <f aca="false">IF(C40464&gt;0,MIN(C40442,C40464*$C$40438),0)</f>
        <v>34.3014173346521</v>
      </c>
    </row>
    <row r="40476" customFormat="false" ht="15" hidden="false" customHeight="false" outlineLevel="0" collapsed="false">
      <c r="A40476" s="3" t="s">
        <v>559</v>
      </c>
      <c r="C40476" s="16" t="n">
        <f aca="false">IF(C40465&gt;0,MIN(C40443,C40465*$C$40438),0)</f>
        <v>0</v>
      </c>
    </row>
    <row r="40477" customFormat="false" ht="15" hidden="false" customHeight="false" outlineLevel="0" collapsed="false">
      <c r="A40477" s="3" t="s">
        <v>560</v>
      </c>
      <c r="C40477" s="16" t="n">
        <f aca="false">IF(C40466&gt;0,MIN(C40444,C40466*$C$40438),0)</f>
        <v>0</v>
      </c>
    </row>
    <row r="40478" customFormat="false" ht="15" hidden="false" customHeight="false" outlineLevel="0" collapsed="false">
      <c r="A40478" s="3" t="s">
        <v>561</v>
      </c>
      <c r="C40478" s="16" t="n">
        <f aca="false">IF(C40467&gt;0,MIN(C40445,C40467*$C$40438),0)</f>
        <v>0</v>
      </c>
    </row>
    <row r="40479" customFormat="false" ht="15" hidden="false" customHeight="false" outlineLevel="0" collapsed="false">
      <c r="A40479" s="3" t="s">
        <v>562</v>
      </c>
      <c r="C40479" s="16" t="n">
        <f aca="false">IF(C40468&gt;0,MIN(C40446,C40468*$C$40438),0)</f>
        <v>0</v>
      </c>
    </row>
    <row r="40480" customFormat="false" ht="15" hidden="false" customHeight="false" outlineLevel="0" collapsed="false">
      <c r="A40480" s="3" t="s">
        <v>563</v>
      </c>
      <c r="C40480" s="16" t="n">
        <f aca="false">IF(C40469&gt;0,MIN(C40447,C40469*$C$40438),0)</f>
        <v>0</v>
      </c>
    </row>
    <row r="40481" customFormat="false" ht="15" hidden="false" customHeight="false" outlineLevel="0" collapsed="false">
      <c r="A40481" s="3" t="s">
        <v>564</v>
      </c>
      <c r="C40481" s="16" t="n">
        <f aca="false">IF(C40470&gt;0,MIN(C40448,C40470*$C$40438),0)</f>
        <v>0</v>
      </c>
    </row>
    <row r="40482" customFormat="false" ht="15" hidden="false" customHeight="false" outlineLevel="0" collapsed="false">
      <c r="A40482" s="3" t="s">
        <v>565</v>
      </c>
      <c r="C40482" s="16" t="n">
        <f aca="false">IF(C40471&gt;0,MIN(C40449,C40471*$C$40438),0)</f>
        <v>0</v>
      </c>
    </row>
    <row r="40483" customFormat="false" ht="15" hidden="false" customHeight="false" outlineLevel="0" collapsed="false">
      <c r="A40483" s="24" t="s">
        <v>569</v>
      </c>
      <c r="B40483" s="25"/>
      <c r="C40483" s="25"/>
      <c r="D40483" s="25"/>
      <c r="E40483" s="25"/>
      <c r="F40483" s="25"/>
      <c r="G40483" s="25"/>
      <c r="H40483" s="25"/>
      <c r="I40483" s="25"/>
      <c r="J40483" s="25"/>
      <c r="K40483" s="25"/>
    </row>
    <row r="40484" customFormat="false" ht="15" hidden="false" customHeight="false" outlineLevel="0" collapsed="false">
      <c r="A40484" s="3" t="s">
        <v>556</v>
      </c>
      <c r="C40484" s="16" t="n">
        <f aca="false">IF(C40462&gt;0,C40440-C40473,0)</f>
        <v>0</v>
      </c>
    </row>
    <row r="40485" customFormat="false" ht="15" hidden="false" customHeight="false" outlineLevel="0" collapsed="false">
      <c r="A40485" s="3" t="s">
        <v>557</v>
      </c>
      <c r="C40485" s="16" t="n">
        <f aca="false">IF(C40463&gt;0,C40441-C40474,0)</f>
        <v>36.0977727598324</v>
      </c>
    </row>
    <row r="40486" customFormat="false" ht="15" hidden="false" customHeight="false" outlineLevel="0" collapsed="false">
      <c r="A40486" s="3" t="s">
        <v>558</v>
      </c>
      <c r="C40486" s="16" t="n">
        <f aca="false">IF(C40464&gt;0,C40442-C40475,0)</f>
        <v>23.0225826653479</v>
      </c>
    </row>
    <row r="40487" customFormat="false" ht="15" hidden="false" customHeight="false" outlineLevel="0" collapsed="false">
      <c r="A40487" s="3" t="s">
        <v>559</v>
      </c>
      <c r="C40487" s="16" t="n">
        <f aca="false">IF(C40465&gt;0,C40443-C40476,0)</f>
        <v>0</v>
      </c>
    </row>
    <row r="40488" customFormat="false" ht="15" hidden="false" customHeight="false" outlineLevel="0" collapsed="false">
      <c r="A40488" s="3" t="s">
        <v>560</v>
      </c>
      <c r="C40488" s="16" t="n">
        <f aca="false">IF(C40466&gt;0,C40444-C40477,0)</f>
        <v>0</v>
      </c>
    </row>
    <row r="40489" customFormat="false" ht="15" hidden="false" customHeight="false" outlineLevel="0" collapsed="false">
      <c r="A40489" s="3" t="s">
        <v>561</v>
      </c>
      <c r="C40489" s="16" t="n">
        <f aca="false">IF(C40467&gt;0,C40445-C40478,0)</f>
        <v>0</v>
      </c>
    </row>
    <row r="40490" customFormat="false" ht="15" hidden="false" customHeight="false" outlineLevel="0" collapsed="false">
      <c r="A40490" s="3" t="s">
        <v>562</v>
      </c>
      <c r="C40490" s="16" t="n">
        <f aca="false">IF(C40468&gt;0,C40446-C40479,0)</f>
        <v>0</v>
      </c>
    </row>
    <row r="40491" customFormat="false" ht="15" hidden="false" customHeight="false" outlineLevel="0" collapsed="false">
      <c r="A40491" s="3" t="s">
        <v>563</v>
      </c>
      <c r="C40491" s="16" t="n">
        <f aca="false">IF(C40469&gt;0,C40447-C40480,0)</f>
        <v>0</v>
      </c>
    </row>
    <row r="40492" customFormat="false" ht="15" hidden="false" customHeight="false" outlineLevel="0" collapsed="false">
      <c r="A40492" s="3" t="s">
        <v>564</v>
      </c>
      <c r="C40492" s="16" t="n">
        <f aca="false">IF(C40470&gt;0,C40448-C40481,0)</f>
        <v>0</v>
      </c>
    </row>
    <row r="40493" customFormat="false" ht="15" hidden="false" customHeight="false" outlineLevel="0" collapsed="false">
      <c r="A40493" s="3" t="s">
        <v>565</v>
      </c>
      <c r="C40493" s="16" t="n">
        <f aca="false">IF(C40471&gt;0,C40449-C40482,0)</f>
        <v>0</v>
      </c>
    </row>
    <row r="40494" customFormat="false" ht="15" hidden="false" customHeight="false" outlineLevel="0" collapsed="false">
      <c r="A40494" s="24" t="s">
        <v>570</v>
      </c>
      <c r="B40494" s="25"/>
      <c r="C40494" s="25"/>
      <c r="D40494" s="25"/>
      <c r="E40494" s="25"/>
      <c r="F40494" s="25"/>
      <c r="G40494" s="25"/>
      <c r="H40494" s="25"/>
      <c r="I40494" s="25"/>
      <c r="J40494" s="25"/>
      <c r="K40494" s="25"/>
    </row>
    <row r="40495" customFormat="false" ht="15" hidden="false" customHeight="false" outlineLevel="0" collapsed="false">
      <c r="A40495" s="3" t="s">
        <v>556</v>
      </c>
      <c r="C40495" s="16" t="n">
        <f aca="false">IF(C40462&gt;0,C40484,C40440)</f>
        <v>0</v>
      </c>
    </row>
    <row r="40496" customFormat="false" ht="15" hidden="false" customHeight="false" outlineLevel="0" collapsed="false">
      <c r="A40496" s="3" t="s">
        <v>557</v>
      </c>
      <c r="C40496" s="16" t="n">
        <f aca="false">IF(C40463&gt;0,C40485,C40441)</f>
        <v>36.0977727598324</v>
      </c>
    </row>
    <row r="40497" customFormat="false" ht="15" hidden="false" customHeight="false" outlineLevel="0" collapsed="false">
      <c r="A40497" s="3" t="s">
        <v>558</v>
      </c>
      <c r="C40497" s="16" t="n">
        <f aca="false">IF(C40464&gt;0,C40486,C40442)</f>
        <v>23.0225826653479</v>
      </c>
    </row>
    <row r="40498" customFormat="false" ht="15" hidden="false" customHeight="false" outlineLevel="0" collapsed="false">
      <c r="A40498" s="3" t="s">
        <v>559</v>
      </c>
      <c r="C40498" s="16" t="n">
        <f aca="false">IF(C40465&gt;0,C40487,C40443)</f>
        <v>0</v>
      </c>
    </row>
    <row r="40499" customFormat="false" ht="15" hidden="false" customHeight="false" outlineLevel="0" collapsed="false">
      <c r="A40499" s="3" t="s">
        <v>560</v>
      </c>
      <c r="C40499" s="16" t="n">
        <f aca="false">IF(C40466&gt;0,C40488,C40444)</f>
        <v>434.9547587</v>
      </c>
    </row>
    <row r="40500" customFormat="false" ht="15" hidden="false" customHeight="false" outlineLevel="0" collapsed="false">
      <c r="A40500" s="3" t="s">
        <v>561</v>
      </c>
      <c r="C40500" s="16" t="n">
        <f aca="false">IF(C40467&gt;0,C40489,C40445)</f>
        <v>350</v>
      </c>
    </row>
    <row r="40501" customFormat="false" ht="15" hidden="false" customHeight="false" outlineLevel="0" collapsed="false">
      <c r="A40501" s="3" t="s">
        <v>562</v>
      </c>
      <c r="C40501" s="16" t="n">
        <f aca="false">IF(C40468&gt;0,C40490,C40446)</f>
        <v>550</v>
      </c>
    </row>
    <row r="40502" customFormat="false" ht="15" hidden="false" customHeight="false" outlineLevel="0" collapsed="false">
      <c r="A40502" s="3" t="s">
        <v>563</v>
      </c>
      <c r="C40502" s="16" t="n">
        <f aca="false">IF(C40469&gt;0,C40491,C40447)</f>
        <v>350</v>
      </c>
    </row>
    <row r="40503" customFormat="false" ht="15" hidden="false" customHeight="false" outlineLevel="0" collapsed="false">
      <c r="A40503" s="3" t="s">
        <v>564</v>
      </c>
      <c r="C40503" s="16" t="n">
        <f aca="false">IF(C40470&gt;0,C40492,C40448)</f>
        <v>300</v>
      </c>
    </row>
    <row r="40504" customFormat="false" ht="15" hidden="false" customHeight="false" outlineLevel="0" collapsed="false">
      <c r="A40504" s="3" t="s">
        <v>565</v>
      </c>
      <c r="C40504" s="16" t="n">
        <f aca="false">IF(C40471&gt;0,C40493,C40449)</f>
        <v>78.61</v>
      </c>
    </row>
    <row r="40505" customFormat="false" ht="15" hidden="false" customHeight="false" outlineLevel="0" collapsed="false">
      <c r="A40505" s="24" t="s">
        <v>571</v>
      </c>
      <c r="B40505" s="25"/>
      <c r="C40505" s="25"/>
      <c r="D40505" s="25"/>
      <c r="E40505" s="25"/>
      <c r="F40505" s="25"/>
      <c r="G40505" s="25"/>
      <c r="H40505" s="25"/>
      <c r="I40505" s="25"/>
      <c r="J40505" s="25"/>
      <c r="K40505" s="25"/>
    </row>
    <row r="40506" customFormat="false" ht="15" hidden="false" customHeight="false" outlineLevel="0" collapsed="false">
      <c r="A40506" s="3" t="s">
        <v>556</v>
      </c>
      <c r="C40506" s="21" t="n">
        <f aca="false">IF(C40462&gt;0,Assumptions!$C$17,C40451)</f>
        <v>99</v>
      </c>
    </row>
    <row r="40507" customFormat="false" ht="15" hidden="false" customHeight="false" outlineLevel="0" collapsed="false">
      <c r="A40507" s="3" t="s">
        <v>557</v>
      </c>
      <c r="C40507" s="21" t="n">
        <f aca="false">IF(C40463&gt;0,Assumptions!$C$17,C40452)</f>
        <v>99</v>
      </c>
    </row>
    <row r="40508" customFormat="false" ht="15" hidden="false" customHeight="false" outlineLevel="0" collapsed="false">
      <c r="A40508" s="3" t="s">
        <v>558</v>
      </c>
      <c r="C40508" s="21" t="n">
        <f aca="false">IF(C40464&gt;0,Assumptions!$C$17,C40453)</f>
        <v>99</v>
      </c>
    </row>
    <row r="40509" customFormat="false" ht="15" hidden="false" customHeight="false" outlineLevel="0" collapsed="false">
      <c r="A40509" s="3" t="s">
        <v>559</v>
      </c>
      <c r="C40509" s="21" t="n">
        <f aca="false">IF(C40465&gt;0,Assumptions!$C$17,C40454)</f>
        <v>2</v>
      </c>
    </row>
    <row r="40510" customFormat="false" ht="15" hidden="false" customHeight="false" outlineLevel="0" collapsed="false">
      <c r="A40510" s="3" t="s">
        <v>560</v>
      </c>
      <c r="C40510" s="21" t="n">
        <f aca="false">IF(C40466&gt;0,Assumptions!$C$17,C40455)</f>
        <v>2</v>
      </c>
    </row>
    <row r="40511" customFormat="false" ht="15" hidden="false" customHeight="false" outlineLevel="0" collapsed="false">
      <c r="A40511" s="3" t="s">
        <v>561</v>
      </c>
      <c r="C40511" s="21" t="n">
        <f aca="false">IF(C40467&gt;0,Assumptions!$C$17,C40456)</f>
        <v>2</v>
      </c>
    </row>
    <row r="40512" customFormat="false" ht="15" hidden="false" customHeight="false" outlineLevel="0" collapsed="false">
      <c r="A40512" s="3" t="s">
        <v>562</v>
      </c>
      <c r="C40512" s="21" t="n">
        <f aca="false">IF(C40468&gt;0,Assumptions!$C$17,C40457)</f>
        <v>2</v>
      </c>
    </row>
    <row r="40513" customFormat="false" ht="15" hidden="false" customHeight="false" outlineLevel="0" collapsed="false">
      <c r="A40513" s="3" t="s">
        <v>563</v>
      </c>
      <c r="C40513" s="21" t="n">
        <f aca="false">IF(C40469&gt;0,Assumptions!$C$17,C40458)</f>
        <v>2</v>
      </c>
    </row>
    <row r="40514" customFormat="false" ht="15" hidden="false" customHeight="false" outlineLevel="0" collapsed="false">
      <c r="A40514" s="3" t="s">
        <v>564</v>
      </c>
      <c r="C40514" s="21" t="n">
        <f aca="false">IF(C40470&gt;0,Assumptions!$C$17,C40459)</f>
        <v>2</v>
      </c>
    </row>
    <row r="40515" customFormat="false" ht="15" hidden="false" customHeight="false" outlineLevel="0" collapsed="false">
      <c r="A40515" s="3" t="s">
        <v>565</v>
      </c>
      <c r="C40515" s="21" t="n">
        <f aca="false">IF(C40471&gt;0,Assumptions!$C$17,C40460)</f>
        <v>3</v>
      </c>
    </row>
    <row r="40516" customFormat="false" ht="15" hidden="false" customHeight="false" outlineLevel="0" collapsed="false">
      <c r="A40516" s="24" t="s">
        <v>572</v>
      </c>
      <c r="B40516" s="25"/>
      <c r="C40516" s="25"/>
      <c r="D40516" s="25"/>
      <c r="E40516" s="25"/>
      <c r="F40516" s="25"/>
      <c r="G40516" s="25"/>
      <c r="H40516" s="25"/>
      <c r="I40516" s="25"/>
      <c r="J40516" s="25"/>
      <c r="K40516" s="25"/>
    </row>
    <row r="40517" customFormat="false" ht="15" hidden="false" customHeight="false" outlineLevel="0" collapsed="false">
      <c r="A40517" s="3" t="s">
        <v>556</v>
      </c>
      <c r="C40517" s="16" t="n">
        <f aca="false">SUMPRODUCT(($C$40506:$C$40515&lt;C40506)*$C$40495:$C$40504)</f>
        <v>2063.5647587</v>
      </c>
    </row>
    <row r="40518" customFormat="false" ht="15" hidden="false" customHeight="false" outlineLevel="0" collapsed="false">
      <c r="A40518" s="3" t="s">
        <v>557</v>
      </c>
      <c r="C40518" s="16" t="n">
        <f aca="false">SUMPRODUCT(($C$40506:$C$40515&lt;C40507)*$C$40495:$C$40504)</f>
        <v>2063.5647587</v>
      </c>
    </row>
    <row r="40519" customFormat="false" ht="15" hidden="false" customHeight="false" outlineLevel="0" collapsed="false">
      <c r="A40519" s="3" t="s">
        <v>558</v>
      </c>
      <c r="C40519" s="16" t="n">
        <f aca="false">SUMPRODUCT(($C$40506:$C$40515&lt;C40508)*$C$40495:$C$40504)</f>
        <v>2063.5647587</v>
      </c>
    </row>
    <row r="40520" customFormat="false" ht="15" hidden="false" customHeight="false" outlineLevel="0" collapsed="false">
      <c r="A40520" s="3" t="s">
        <v>559</v>
      </c>
      <c r="C40520" s="16" t="n">
        <f aca="false">SUMPRODUCT(($C$40506:$C$40515&lt;C40509)*$C$40495:$C$40504)</f>
        <v>0</v>
      </c>
    </row>
    <row r="40521" customFormat="false" ht="15" hidden="false" customHeight="false" outlineLevel="0" collapsed="false">
      <c r="A40521" s="3" t="s">
        <v>560</v>
      </c>
      <c r="C40521" s="16" t="n">
        <f aca="false">SUMPRODUCT(($C$40506:$C$40515&lt;C40510)*$C$40495:$C$40504)</f>
        <v>0</v>
      </c>
    </row>
    <row r="40522" customFormat="false" ht="15" hidden="false" customHeight="false" outlineLevel="0" collapsed="false">
      <c r="A40522" s="3" t="s">
        <v>561</v>
      </c>
      <c r="C40522" s="16" t="n">
        <f aca="false">SUMPRODUCT(($C$40506:$C$40515&lt;C40511)*$C$40495:$C$40504)</f>
        <v>0</v>
      </c>
    </row>
    <row r="40523" customFormat="false" ht="15" hidden="false" customHeight="false" outlineLevel="0" collapsed="false">
      <c r="A40523" s="3" t="s">
        <v>562</v>
      </c>
      <c r="C40523" s="16" t="n">
        <f aca="false">SUMPRODUCT(($C$40506:$C$40515&lt;C40512)*$C$40495:$C$40504)</f>
        <v>0</v>
      </c>
    </row>
    <row r="40524" customFormat="false" ht="15" hidden="false" customHeight="false" outlineLevel="0" collapsed="false">
      <c r="A40524" s="3" t="s">
        <v>563</v>
      </c>
      <c r="C40524" s="16" t="n">
        <f aca="false">SUMPRODUCT(($C$40506:$C$40515&lt;C40513)*$C$40495:$C$40504)</f>
        <v>0</v>
      </c>
    </row>
    <row r="40525" customFormat="false" ht="15" hidden="false" customHeight="false" outlineLevel="0" collapsed="false">
      <c r="A40525" s="3" t="s">
        <v>564</v>
      </c>
      <c r="C40525" s="16" t="n">
        <f aca="false">SUMPRODUCT(($C$40506:$C$40515&lt;C40514)*$C$40495:$C$40504)</f>
        <v>0</v>
      </c>
    </row>
    <row r="40526" customFormat="false" ht="15" hidden="false" customHeight="false" outlineLevel="0" collapsed="false">
      <c r="A40526" s="3" t="s">
        <v>565</v>
      </c>
      <c r="C40526" s="16" t="n">
        <f aca="false">SUMPRODUCT(($C$40506:$C$40515&lt;C40515)*$C$40495:$C$40504)</f>
        <v>1984.9547587</v>
      </c>
    </row>
    <row r="40527" customFormat="false" ht="15" hidden="false" customHeight="false" outlineLevel="0" collapsed="false">
      <c r="A40527" s="24" t="s">
        <v>573</v>
      </c>
      <c r="B40527" s="25"/>
      <c r="C40527" s="25"/>
      <c r="D40527" s="25"/>
      <c r="E40527" s="25"/>
      <c r="F40527" s="25"/>
      <c r="G40527" s="25"/>
      <c r="H40527" s="25"/>
      <c r="I40527" s="25"/>
      <c r="J40527" s="25"/>
      <c r="K40527" s="25"/>
    </row>
    <row r="40528" customFormat="false" ht="15" hidden="false" customHeight="false" outlineLevel="0" collapsed="false">
      <c r="A40528" s="3" t="s">
        <v>556</v>
      </c>
      <c r="C40528" s="16" t="n">
        <f aca="false">SUMPRODUCT(($C$40506:$C$40515=C40506)*$C$40495:$C$40504)</f>
        <v>59.1203554251802</v>
      </c>
    </row>
    <row r="40529" customFormat="false" ht="15" hidden="false" customHeight="false" outlineLevel="0" collapsed="false">
      <c r="A40529" s="3" t="s">
        <v>557</v>
      </c>
      <c r="C40529" s="16" t="n">
        <f aca="false">SUMPRODUCT(($C$40506:$C$40515=C40507)*$C$40495:$C$40504)</f>
        <v>59.1203554251802</v>
      </c>
    </row>
    <row r="40530" customFormat="false" ht="15" hidden="false" customHeight="false" outlineLevel="0" collapsed="false">
      <c r="A40530" s="3" t="s">
        <v>558</v>
      </c>
      <c r="C40530" s="16" t="n">
        <f aca="false">SUMPRODUCT(($C$40506:$C$40515=C40508)*$C$40495:$C$40504)</f>
        <v>59.1203554251802</v>
      </c>
    </row>
    <row r="40531" customFormat="false" ht="15" hidden="false" customHeight="false" outlineLevel="0" collapsed="false">
      <c r="A40531" s="3" t="s">
        <v>559</v>
      </c>
      <c r="C40531" s="16" t="n">
        <f aca="false">SUMPRODUCT(($C$40506:$C$40515=C40509)*$C$40495:$C$40504)</f>
        <v>1984.9547587</v>
      </c>
    </row>
    <row r="40532" customFormat="false" ht="15" hidden="false" customHeight="false" outlineLevel="0" collapsed="false">
      <c r="A40532" s="3" t="s">
        <v>560</v>
      </c>
      <c r="C40532" s="16" t="n">
        <f aca="false">SUMPRODUCT(($C$40506:$C$40515=C40510)*$C$40495:$C$40504)</f>
        <v>1984.9547587</v>
      </c>
    </row>
    <row r="40533" customFormat="false" ht="15" hidden="false" customHeight="false" outlineLevel="0" collapsed="false">
      <c r="A40533" s="3" t="s">
        <v>561</v>
      </c>
      <c r="C40533" s="16" t="n">
        <f aca="false">SUMPRODUCT(($C$40506:$C$40515=C40511)*$C$40495:$C$40504)</f>
        <v>1984.9547587</v>
      </c>
    </row>
    <row r="40534" customFormat="false" ht="15" hidden="false" customHeight="false" outlineLevel="0" collapsed="false">
      <c r="A40534" s="3" t="s">
        <v>562</v>
      </c>
      <c r="C40534" s="16" t="n">
        <f aca="false">SUMPRODUCT(($C$40506:$C$40515=C40512)*$C$40495:$C$40504)</f>
        <v>1984.9547587</v>
      </c>
    </row>
    <row r="40535" customFormat="false" ht="15" hidden="false" customHeight="false" outlineLevel="0" collapsed="false">
      <c r="A40535" s="3" t="s">
        <v>563</v>
      </c>
      <c r="C40535" s="16" t="n">
        <f aca="false">SUMPRODUCT(($C$40506:$C$40515=C40513)*$C$40495:$C$40504)</f>
        <v>1984.9547587</v>
      </c>
    </row>
    <row r="40536" customFormat="false" ht="15" hidden="false" customHeight="false" outlineLevel="0" collapsed="false">
      <c r="A40536" s="3" t="s">
        <v>564</v>
      </c>
      <c r="C40536" s="16" t="n">
        <f aca="false">SUMPRODUCT(($C$40506:$C$40515=C40514)*$C$40495:$C$40504)</f>
        <v>1984.9547587</v>
      </c>
    </row>
    <row r="40537" customFormat="false" ht="15" hidden="false" customHeight="false" outlineLevel="0" collapsed="false">
      <c r="A40537" s="3" t="s">
        <v>565</v>
      </c>
      <c r="C40537" s="16" t="n">
        <f aca="false">SUMPRODUCT(($C$40506:$C$40515=C40515)*$C$40495:$C$40504)</f>
        <v>78.61</v>
      </c>
    </row>
    <row r="40538" customFormat="false" ht="15" hidden="false" customHeight="false" outlineLevel="0" collapsed="false">
      <c r="A40538" s="24" t="s">
        <v>574</v>
      </c>
      <c r="B40538" s="25"/>
      <c r="C40538" s="25"/>
      <c r="D40538" s="25"/>
      <c r="E40538" s="25"/>
      <c r="F40538" s="25"/>
      <c r="G40538" s="25"/>
      <c r="H40538" s="25"/>
      <c r="I40538" s="25"/>
      <c r="J40538" s="25"/>
      <c r="K40538" s="25"/>
    </row>
    <row r="40539" customFormat="false" ht="15" hidden="false" customHeight="false" outlineLevel="0" collapsed="false">
      <c r="A40539" s="3" t="s">
        <v>556</v>
      </c>
      <c r="C40539" s="16" t="n">
        <f aca="false">IF(C40528=0,0,C40495/C40528*MAX(0,MIN(C40528,$C$40438-SUM($C$40473:$C$40482)-C40517)))</f>
        <v>0</v>
      </c>
    </row>
    <row r="40540" customFormat="false" ht="15" hidden="false" customHeight="false" outlineLevel="0" collapsed="false">
      <c r="A40540" s="3" t="s">
        <v>557</v>
      </c>
      <c r="C40540" s="16" t="n">
        <f aca="false">IF(C40529=0,0,C40496/C40529*MAX(0,MIN(C40529,$C$40438-SUM($C$40473:$C$40482)-C40518)))</f>
        <v>0</v>
      </c>
    </row>
    <row r="40541" customFormat="false" ht="15" hidden="false" customHeight="false" outlineLevel="0" collapsed="false">
      <c r="A40541" s="3" t="s">
        <v>558</v>
      </c>
      <c r="C40541" s="16" t="n">
        <f aca="false">IF(C40530=0,0,C40497/C40530*MAX(0,MIN(C40530,$C$40438-SUM($C$40473:$C$40482)-C40519)))</f>
        <v>0</v>
      </c>
    </row>
    <row r="40542" customFormat="false" ht="15" hidden="false" customHeight="false" outlineLevel="0" collapsed="false">
      <c r="A40542" s="3" t="s">
        <v>559</v>
      </c>
      <c r="C40542" s="16" t="n">
        <f aca="false">IF(C40531=0,0,C40498/C40531*MAX(0,MIN(C40531,$C$40438-SUM($C$40473:$C$40482)-C40520)))</f>
        <v>0</v>
      </c>
    </row>
    <row r="40543" customFormat="false" ht="15" hidden="false" customHeight="false" outlineLevel="0" collapsed="false">
      <c r="A40543" s="3" t="s">
        <v>560</v>
      </c>
      <c r="C40543" s="16" t="n">
        <f aca="false">IF(C40532=0,0,C40499/C40532*MAX(0,MIN(C40532,$C$40438-SUM($C$40473:$C$40482)-C40521)))</f>
        <v>253.571734254394</v>
      </c>
    </row>
    <row r="40544" customFormat="false" ht="15" hidden="false" customHeight="false" outlineLevel="0" collapsed="false">
      <c r="A40544" s="3" t="s">
        <v>561</v>
      </c>
      <c r="C40544" s="16" t="n">
        <f aca="false">IF(C40533=0,0,C40500/C40533*MAX(0,MIN(C40533,$C$40438-SUM($C$40473:$C$40482)-C40522)))</f>
        <v>204.044455690738</v>
      </c>
    </row>
    <row r="40545" customFormat="false" ht="15" hidden="false" customHeight="false" outlineLevel="0" collapsed="false">
      <c r="A40545" s="3" t="s">
        <v>562</v>
      </c>
      <c r="C40545" s="16" t="n">
        <f aca="false">IF(C40534=0,0,C40501/C40534*MAX(0,MIN(C40534,$C$40438-SUM($C$40473:$C$40482)-C40523)))</f>
        <v>320.641287514017</v>
      </c>
    </row>
    <row r="40546" customFormat="false" ht="15" hidden="false" customHeight="false" outlineLevel="0" collapsed="false">
      <c r="A40546" s="3" t="s">
        <v>563</v>
      </c>
      <c r="C40546" s="16" t="n">
        <f aca="false">IF(C40535=0,0,C40502/C40535*MAX(0,MIN(C40535,$C$40438-SUM($C$40473:$C$40482)-C40524)))</f>
        <v>204.044455690738</v>
      </c>
    </row>
    <row r="40547" customFormat="false" ht="15" hidden="false" customHeight="false" outlineLevel="0" collapsed="false">
      <c r="A40547" s="3" t="s">
        <v>564</v>
      </c>
      <c r="C40547" s="16" t="n">
        <f aca="false">IF(C40536=0,0,C40503/C40536*MAX(0,MIN(C40536,$C$40438-SUM($C$40473:$C$40482)-C40525)))</f>
        <v>174.895247734918</v>
      </c>
    </row>
    <row r="40548" customFormat="false" ht="15" hidden="false" customHeight="false" outlineLevel="0" collapsed="false">
      <c r="A40548" s="3" t="s">
        <v>565</v>
      </c>
      <c r="C40548" s="16" t="n">
        <f aca="false">IF(C40537=0,0,C40504/C40537*MAX(0,MIN(C40537,$C$40438-SUM($C$40473:$C$40482)-C40526)))</f>
        <v>0</v>
      </c>
    </row>
    <row r="40549" customFormat="false" ht="15" hidden="false" customHeight="false" outlineLevel="0" collapsed="false">
      <c r="A40549" s="24" t="s">
        <v>575</v>
      </c>
      <c r="B40549" s="25"/>
      <c r="C40549" s="25"/>
      <c r="D40549" s="25"/>
      <c r="E40549" s="25"/>
      <c r="F40549" s="25"/>
      <c r="G40549" s="25"/>
      <c r="H40549" s="25"/>
      <c r="I40549" s="25"/>
      <c r="J40549" s="25"/>
      <c r="K40549" s="25"/>
    </row>
    <row r="40550" customFormat="false" ht="15" hidden="false" customHeight="false" outlineLevel="0" collapsed="false">
      <c r="A40550" s="2" t="s">
        <v>556</v>
      </c>
      <c r="C40550" s="17" t="n">
        <f aca="false">C40473+C40539</f>
        <v>388</v>
      </c>
    </row>
    <row r="40551" customFormat="false" ht="15" hidden="false" customHeight="false" outlineLevel="0" collapsed="false">
      <c r="A40551" s="2" t="s">
        <v>557</v>
      </c>
      <c r="C40551" s="17" t="n">
        <f aca="false">C40474+C40540</f>
        <v>53.9022272401676</v>
      </c>
    </row>
    <row r="40552" customFormat="false" ht="15" hidden="false" customHeight="false" outlineLevel="0" collapsed="false">
      <c r="A40552" s="2" t="s">
        <v>558</v>
      </c>
      <c r="C40552" s="17" t="n">
        <f aca="false">C40475+C40541</f>
        <v>34.3014173346521</v>
      </c>
    </row>
    <row r="40553" customFormat="false" ht="15" hidden="false" customHeight="false" outlineLevel="0" collapsed="false">
      <c r="A40553" s="2" t="s">
        <v>559</v>
      </c>
      <c r="C40553" s="17" t="n">
        <f aca="false">C40476+C40542</f>
        <v>0</v>
      </c>
    </row>
    <row r="40554" customFormat="false" ht="15" hidden="false" customHeight="false" outlineLevel="0" collapsed="false">
      <c r="A40554" s="2" t="s">
        <v>560</v>
      </c>
      <c r="C40554" s="17" t="n">
        <f aca="false">C40477+C40543</f>
        <v>253.571734254394</v>
      </c>
    </row>
    <row r="40555" customFormat="false" ht="15" hidden="false" customHeight="false" outlineLevel="0" collapsed="false">
      <c r="A40555" s="2" t="s">
        <v>561</v>
      </c>
      <c r="C40555" s="17" t="n">
        <f aca="false">C40478+C40544</f>
        <v>204.044455690738</v>
      </c>
    </row>
    <row r="40556" customFormat="false" ht="15" hidden="false" customHeight="false" outlineLevel="0" collapsed="false">
      <c r="A40556" s="2" t="s">
        <v>562</v>
      </c>
      <c r="C40556" s="17" t="n">
        <f aca="false">C40479+C40545</f>
        <v>320.641287514017</v>
      </c>
    </row>
    <row r="40557" customFormat="false" ht="15" hidden="false" customHeight="false" outlineLevel="0" collapsed="false">
      <c r="A40557" s="2" t="s">
        <v>563</v>
      </c>
      <c r="C40557" s="17" t="n">
        <f aca="false">C40480+C40546</f>
        <v>204.044455690738</v>
      </c>
    </row>
    <row r="40558" customFormat="false" ht="15" hidden="false" customHeight="false" outlineLevel="0" collapsed="false">
      <c r="A40558" s="2" t="s">
        <v>564</v>
      </c>
      <c r="C40558" s="17" t="n">
        <f aca="false">C40481+C40547</f>
        <v>174.895247734918</v>
      </c>
    </row>
    <row r="40559" customFormat="false" ht="15" hidden="false" customHeight="false" outlineLevel="0" collapsed="false">
      <c r="A40559" s="2" t="s">
        <v>565</v>
      </c>
      <c r="C40559" s="17" t="n">
        <f aca="false">C40482+C40548</f>
        <v>0</v>
      </c>
    </row>
    <row r="40560" customFormat="false" ht="15" hidden="false" customHeight="false" outlineLevel="0" collapsed="false">
      <c r="A40560" s="24" t="s">
        <v>576</v>
      </c>
      <c r="B40560" s="25"/>
      <c r="C40560" s="25"/>
      <c r="D40560" s="25"/>
      <c r="E40560" s="25"/>
      <c r="F40560" s="25"/>
      <c r="G40560" s="25"/>
      <c r="H40560" s="25"/>
      <c r="I40560" s="25"/>
      <c r="J40560" s="25"/>
      <c r="K40560" s="25"/>
    </row>
    <row r="40561" customFormat="false" ht="15" hidden="false" customHeight="false" outlineLevel="0" collapsed="false">
      <c r="A40561" s="3" t="s">
        <v>556</v>
      </c>
      <c r="C40561" s="22" t="n">
        <f aca="false">IF(C40440=0,1,C40550/C40440)</f>
        <v>1</v>
      </c>
    </row>
    <row r="40562" customFormat="false" ht="15" hidden="false" customHeight="false" outlineLevel="0" collapsed="false">
      <c r="A40562" s="3" t="s">
        <v>557</v>
      </c>
      <c r="C40562" s="22" t="n">
        <f aca="false">IF(C40441=0,1,C40551/C40441)</f>
        <v>0.598913636001863</v>
      </c>
    </row>
    <row r="40563" customFormat="false" ht="15" hidden="false" customHeight="false" outlineLevel="0" collapsed="false">
      <c r="A40563" s="3" t="s">
        <v>558</v>
      </c>
      <c r="C40563" s="22" t="n">
        <f aca="false">IF(C40442=0,1,C40552/C40442)</f>
        <v>0.598377945269907</v>
      </c>
    </row>
    <row r="40564" customFormat="false" ht="15" hidden="false" customHeight="false" outlineLevel="0" collapsed="false">
      <c r="A40564" s="3" t="s">
        <v>559</v>
      </c>
      <c r="C40564" s="22" t="n">
        <f aca="false">IF(C40443=0,1,C40553/C40443)</f>
        <v>1</v>
      </c>
    </row>
    <row r="40565" customFormat="false" ht="15" hidden="false" customHeight="false" outlineLevel="0" collapsed="false">
      <c r="A40565" s="3" t="s">
        <v>560</v>
      </c>
      <c r="C40565" s="22" t="n">
        <f aca="false">IF(C40444=0,1,C40554/C40444)</f>
        <v>0.582984159116395</v>
      </c>
    </row>
    <row r="40566" customFormat="false" ht="15" hidden="false" customHeight="false" outlineLevel="0" collapsed="false">
      <c r="A40566" s="3" t="s">
        <v>561</v>
      </c>
      <c r="C40566" s="22" t="n">
        <f aca="false">IF(C40445=0,1,C40555/C40445)</f>
        <v>0.582984159116395</v>
      </c>
    </row>
    <row r="40567" customFormat="false" ht="15" hidden="false" customHeight="false" outlineLevel="0" collapsed="false">
      <c r="A40567" s="3" t="s">
        <v>562</v>
      </c>
      <c r="C40567" s="22" t="n">
        <f aca="false">IF(C40446=0,1,C40556/C40446)</f>
        <v>0.582984159116395</v>
      </c>
    </row>
    <row r="40568" customFormat="false" ht="15" hidden="false" customHeight="false" outlineLevel="0" collapsed="false">
      <c r="A40568" s="3" t="s">
        <v>563</v>
      </c>
      <c r="C40568" s="22" t="n">
        <f aca="false">IF(C40447=0,1,C40557/C40447)</f>
        <v>0.582984159116395</v>
      </c>
    </row>
    <row r="40569" customFormat="false" ht="15" hidden="false" customHeight="false" outlineLevel="0" collapsed="false">
      <c r="A40569" s="3" t="s">
        <v>564</v>
      </c>
      <c r="C40569" s="22" t="n">
        <f aca="false">IF(C40448=0,1,C40558/C40448)</f>
        <v>0.582984159116395</v>
      </c>
    </row>
    <row r="40570" customFormat="false" ht="15" hidden="false" customHeight="false" outlineLevel="0" collapsed="false">
      <c r="A40570" s="3" t="s">
        <v>565</v>
      </c>
      <c r="C40570" s="22" t="n">
        <f aca="false">IF(C40449=0,1,C40559/C40449)</f>
        <v>0</v>
      </c>
    </row>
    <row r="40571" customFormat="false" ht="15" hidden="false" customHeight="false" outlineLevel="0" collapsed="false">
      <c r="A40571" s="24" t="s">
        <v>577</v>
      </c>
      <c r="B40571" s="25"/>
      <c r="C40571" s="25"/>
      <c r="D40571" s="25"/>
      <c r="E40571" s="25"/>
      <c r="F40571" s="25"/>
      <c r="G40571" s="25"/>
      <c r="H40571" s="25"/>
      <c r="I40571" s="25"/>
      <c r="J40571" s="25"/>
      <c r="K40571" s="25"/>
    </row>
    <row r="40572" customFormat="false" ht="15" hidden="false" customHeight="false" outlineLevel="0" collapsed="false">
      <c r="A40572" s="3" t="s">
        <v>556</v>
      </c>
      <c r="C40572" s="16" t="n">
        <f aca="false">C40440-C40550</f>
        <v>0</v>
      </c>
    </row>
    <row r="40573" customFormat="false" ht="15" hidden="false" customHeight="false" outlineLevel="0" collapsed="false">
      <c r="A40573" s="3" t="s">
        <v>557</v>
      </c>
      <c r="C40573" s="16" t="n">
        <f aca="false">C40441-C40551</f>
        <v>36.0977727598324</v>
      </c>
    </row>
    <row r="40574" customFormat="false" ht="15" hidden="false" customHeight="false" outlineLevel="0" collapsed="false">
      <c r="A40574" s="3" t="s">
        <v>558</v>
      </c>
      <c r="C40574" s="16" t="n">
        <f aca="false">C40442-C40552</f>
        <v>23.0225826653479</v>
      </c>
    </row>
    <row r="40575" customFormat="false" ht="15" hidden="false" customHeight="false" outlineLevel="0" collapsed="false">
      <c r="A40575" s="3" t="s">
        <v>559</v>
      </c>
      <c r="C40575" s="16" t="n">
        <f aca="false">C40443-C40553</f>
        <v>0</v>
      </c>
    </row>
    <row r="40576" customFormat="false" ht="15" hidden="false" customHeight="false" outlineLevel="0" collapsed="false">
      <c r="A40576" s="3" t="s">
        <v>560</v>
      </c>
      <c r="C40576" s="16" t="n">
        <f aca="false">C40444-C40554</f>
        <v>181.383024445606</v>
      </c>
    </row>
    <row r="40577" customFormat="false" ht="15" hidden="false" customHeight="false" outlineLevel="0" collapsed="false">
      <c r="A40577" s="3" t="s">
        <v>561</v>
      </c>
      <c r="C40577" s="16" t="n">
        <f aca="false">C40445-C40555</f>
        <v>145.955544309262</v>
      </c>
    </row>
    <row r="40578" customFormat="false" ht="15" hidden="false" customHeight="false" outlineLevel="0" collapsed="false">
      <c r="A40578" s="3" t="s">
        <v>562</v>
      </c>
      <c r="C40578" s="16" t="n">
        <f aca="false">C40446-C40556</f>
        <v>229.358712485983</v>
      </c>
    </row>
    <row r="40579" customFormat="false" ht="15" hidden="false" customHeight="false" outlineLevel="0" collapsed="false">
      <c r="A40579" s="3" t="s">
        <v>563</v>
      </c>
      <c r="C40579" s="16" t="n">
        <f aca="false">C40447-C40557</f>
        <v>145.955544309262</v>
      </c>
    </row>
    <row r="40580" customFormat="false" ht="15" hidden="false" customHeight="false" outlineLevel="0" collapsed="false">
      <c r="A40580" s="3" t="s">
        <v>564</v>
      </c>
      <c r="C40580" s="16" t="n">
        <f aca="false">C40448-C40558</f>
        <v>125.104752265082</v>
      </c>
    </row>
    <row r="40581" customFormat="false" ht="15" hidden="false" customHeight="false" outlineLevel="0" collapsed="false">
      <c r="A40581" s="3" t="s">
        <v>565</v>
      </c>
      <c r="C40581" s="16" t="n">
        <f aca="false">C40449-C40559</f>
        <v>78.61</v>
      </c>
    </row>
    <row r="40582" customFormat="false" ht="15" hidden="false" customHeight="false" outlineLevel="0" collapsed="false">
      <c r="A40582" s="24" t="s">
        <v>578</v>
      </c>
      <c r="B40582" s="25"/>
      <c r="C40582" s="25"/>
      <c r="D40582" s="25"/>
      <c r="E40582" s="25"/>
      <c r="F40582" s="25"/>
      <c r="G40582" s="25"/>
      <c r="H40582" s="25"/>
      <c r="I40582" s="25"/>
      <c r="J40582" s="25"/>
      <c r="K40582" s="25"/>
    </row>
    <row r="40583" customFormat="false" ht="15" hidden="false" customHeight="false" outlineLevel="0" collapsed="false">
      <c r="A40583" s="3" t="s">
        <v>556</v>
      </c>
      <c r="C40583" s="22" t="n">
        <f aca="false">IF(C40440=0,0,C40572/C40440)</f>
        <v>0</v>
      </c>
    </row>
    <row r="40584" customFormat="false" ht="15" hidden="false" customHeight="false" outlineLevel="0" collapsed="false">
      <c r="A40584" s="3" t="s">
        <v>557</v>
      </c>
      <c r="C40584" s="22" t="n">
        <f aca="false">IF(C40441=0,0,C40573/C40441)</f>
        <v>0.401086363998137</v>
      </c>
    </row>
    <row r="40585" customFormat="false" ht="15" hidden="false" customHeight="false" outlineLevel="0" collapsed="false">
      <c r="A40585" s="3" t="s">
        <v>558</v>
      </c>
      <c r="C40585" s="22" t="n">
        <f aca="false">IF(C40442=0,0,C40574/C40442)</f>
        <v>0.401622054730093</v>
      </c>
    </row>
    <row r="40586" customFormat="false" ht="15" hidden="false" customHeight="false" outlineLevel="0" collapsed="false">
      <c r="A40586" s="3" t="s">
        <v>559</v>
      </c>
      <c r="C40586" s="22" t="n">
        <f aca="false">IF(C40443=0,0,C40575/C40443)</f>
        <v>0</v>
      </c>
    </row>
    <row r="40587" customFormat="false" ht="15" hidden="false" customHeight="false" outlineLevel="0" collapsed="false">
      <c r="A40587" s="3" t="s">
        <v>560</v>
      </c>
      <c r="C40587" s="22" t="n">
        <f aca="false">IF(C40444=0,0,C40576/C40444)</f>
        <v>0.417015840883605</v>
      </c>
    </row>
    <row r="40588" customFormat="false" ht="15" hidden="false" customHeight="false" outlineLevel="0" collapsed="false">
      <c r="A40588" s="3" t="s">
        <v>561</v>
      </c>
      <c r="C40588" s="22" t="n">
        <f aca="false">IF(C40445=0,0,C40577/C40445)</f>
        <v>0.417015840883605</v>
      </c>
    </row>
    <row r="40589" customFormat="false" ht="15" hidden="false" customHeight="false" outlineLevel="0" collapsed="false">
      <c r="A40589" s="3" t="s">
        <v>562</v>
      </c>
      <c r="C40589" s="22" t="n">
        <f aca="false">IF(C40446=0,0,C40578/C40446)</f>
        <v>0.417015840883605</v>
      </c>
    </row>
    <row r="40590" customFormat="false" ht="15" hidden="false" customHeight="false" outlineLevel="0" collapsed="false">
      <c r="A40590" s="3" t="s">
        <v>563</v>
      </c>
      <c r="C40590" s="22" t="n">
        <f aca="false">IF(C40447=0,0,C40579/C40447)</f>
        <v>0.417015840883605</v>
      </c>
    </row>
    <row r="40591" customFormat="false" ht="15" hidden="false" customHeight="false" outlineLevel="0" collapsed="false">
      <c r="A40591" s="3" t="s">
        <v>564</v>
      </c>
      <c r="C40591" s="22" t="n">
        <f aca="false">IF(C40448=0,0,C40580/C40448)</f>
        <v>0.417015840883605</v>
      </c>
    </row>
    <row r="40592" customFormat="false" ht="15" hidden="false" customHeight="false" outlineLevel="0" collapsed="false">
      <c r="A40592" s="3" t="s">
        <v>565</v>
      </c>
      <c r="C40592" s="22" t="n">
        <f aca="false">IF(C40449=0,0,C40581/C40449)</f>
        <v>1</v>
      </c>
    </row>
    <row r="40593" customFormat="false" ht="15" hidden="false" customHeight="false" outlineLevel="0" collapsed="false">
      <c r="A40593" s="2" t="s">
        <v>579</v>
      </c>
      <c r="C40593" s="17" t="n">
        <f aca="false">MAX(0,$C$40438-SUM($C$40473:$C$40482)-SUM($C$40495:$C$40504))</f>
        <v>0</v>
      </c>
    </row>
    <row r="40594" customFormat="false" ht="15" hidden="false" customHeight="false" outlineLevel="0" collapsed="false">
      <c r="A40594" s="3" t="s">
        <v>597</v>
      </c>
      <c r="C40594" s="35" t="n">
        <f aca="false">MIN(C40437,100*CHOOSE(C40427,C40561,C40562,C40563,C40564,C40565,C40566,C40567,C40568,C40569,C40570))</f>
        <v>85</v>
      </c>
    </row>
    <row r="40595" customFormat="false" ht="15" hidden="false" customHeight="false" outlineLevel="0" collapsed="false">
      <c r="A40595" s="3" t="s">
        <v>598</v>
      </c>
      <c r="C40595" s="21" t="n">
        <f aca="false">IF(C40259=1,C40432+Assumptions!$C$40,C40431)</f>
        <v>3</v>
      </c>
    </row>
    <row r="40596" customFormat="false" ht="15" hidden="false" customHeight="false" outlineLevel="0" collapsed="false">
      <c r="A40596" s="24" t="s">
        <v>599</v>
      </c>
      <c r="B40596" s="25"/>
      <c r="C40596" s="25"/>
      <c r="D40596" s="25"/>
      <c r="E40596" s="25"/>
      <c r="F40596" s="25"/>
      <c r="G40596" s="25"/>
      <c r="H40596" s="25"/>
      <c r="I40596" s="25"/>
      <c r="J40596" s="25"/>
      <c r="K40596" s="25"/>
    </row>
    <row r="40597" customFormat="false" ht="15" hidden="false" customHeight="false" outlineLevel="0" collapsed="false">
      <c r="A40597" s="3" t="s">
        <v>600</v>
      </c>
      <c r="C40597" s="21" t="n">
        <f aca="false">COLUMN()-COLUMN($C$1)</f>
        <v>0</v>
      </c>
      <c r="D40597" s="21" t="n">
        <f aca="false">COLUMN()-COLUMN($C$1)</f>
        <v>1</v>
      </c>
      <c r="E40597" s="21" t="n">
        <f aca="false">COLUMN()-COLUMN($C$1)</f>
        <v>2</v>
      </c>
      <c r="F40597" s="21" t="n">
        <f aca="false">COLUMN()-COLUMN($C$1)</f>
        <v>3</v>
      </c>
      <c r="G40597" s="21" t="n">
        <f aca="false">COLUMN()-COLUMN($C$1)</f>
        <v>4</v>
      </c>
      <c r="H40597" s="21" t="n">
        <f aca="false">COLUMN()-COLUMN($C$1)</f>
        <v>5</v>
      </c>
      <c r="I40597" s="21" t="n">
        <f aca="false">COLUMN()-COLUMN($C$1)</f>
        <v>6</v>
      </c>
    </row>
    <row r="40598" customFormat="false" ht="15" hidden="false" customHeight="false" outlineLevel="0" collapsed="false">
      <c r="A40598" s="3" t="s">
        <v>601</v>
      </c>
      <c r="D40598" s="31" t="n">
        <f aca="false">CHOOSE($C$40427,G40007,G40020,G40033,G40046,G40059,G40072,G40085,G40098,G40111,G40124)</f>
        <v>0.1215</v>
      </c>
      <c r="E40598" s="31" t="n">
        <f aca="false">CHOOSE($C$40427,H40007,H40020,H40033,H40046,H40059,H40072,H40085,H40098,H40111,H40124)</f>
        <v>0.12</v>
      </c>
      <c r="F40598" s="31" t="n">
        <f aca="false">CHOOSE($C$40427,I40007,I40020,I40033,I40046,I40059,I40072,I40085,I40098,I40111,I40124)</f>
        <v>0.1175</v>
      </c>
      <c r="G40598" s="31" t="n">
        <f aca="false">CHOOSE($C$40427,J40007,J40020,J40033,J40046,J40059,J40072,J40085,J40098,J40111,J40124)</f>
        <v>0.1175</v>
      </c>
      <c r="H40598" s="31" t="n">
        <f aca="false">CHOOSE($C$40427,K40007,K40020,K40033,K40046,K40059,K40072,K40085,K40098,K40111,K40124)</f>
        <v>0.1175</v>
      </c>
    </row>
    <row r="40599" customFormat="false" ht="15" hidden="false" customHeight="false" outlineLevel="0" collapsed="false">
      <c r="A40599" s="3" t="s">
        <v>602</v>
      </c>
      <c r="D40599" s="16" t="n">
        <f aca="false">IF(D40597&lt;=$C$40436,$C$40428*D40598,0)</f>
        <v>12.15</v>
      </c>
      <c r="E40599" s="16" t="n">
        <f aca="false">IF(E40597&lt;=$C$40436,$C$40428*E40598,0)</f>
        <v>12</v>
      </c>
      <c r="F40599" s="16" t="n">
        <f aca="false">IF(F40597&lt;=$C$40436,$C$40428*F40598,0)</f>
        <v>0</v>
      </c>
      <c r="G40599" s="16" t="n">
        <f aca="false">IF(G40597&lt;=$C$40436,$C$40428*G40598,0)</f>
        <v>0</v>
      </c>
      <c r="H40599" s="16" t="n">
        <f aca="false">IF(H40597&lt;=$C$40436,$C$40428*H40598,0)</f>
        <v>0</v>
      </c>
    </row>
    <row r="40600" customFormat="false" ht="15" hidden="false" customHeight="false" outlineLevel="0" collapsed="false">
      <c r="A40600" s="3" t="s">
        <v>603</v>
      </c>
      <c r="D40600" s="16" t="n">
        <f aca="false">IF(AND($C$40259=0,D40597=$C$40431),$C$40428*$C$40594/100,0)+IF(AND($C$40259=1,D40597=$C$40595),$C$40434,0)</f>
        <v>0</v>
      </c>
      <c r="E40600" s="16" t="n">
        <f aca="false">IF(AND($C$40259=0,E40597=$C$40431),$C$40428*$C$40594/100,0)+IF(AND($C$40259=1,E40597=$C$40595),$C$40434,0)</f>
        <v>0</v>
      </c>
      <c r="F40600" s="16" t="n">
        <f aca="false">IF(AND($C$40259=0,F40597=$C$40431),$C$40428*$C$40594/100,0)+IF(AND($C$40259=1,F40597=$C$40595),$C$40434,0)</f>
        <v>103</v>
      </c>
      <c r="G40600" s="16" t="n">
        <f aca="false">IF(AND($C$40259=0,G40597=$C$40431),$C$40428*$C$40594/100,0)+IF(AND($C$40259=1,G40597=$C$40595),$C$40434,0)</f>
        <v>0</v>
      </c>
      <c r="H40600" s="16" t="n">
        <f aca="false">IF(AND($C$40259=0,H40597=$C$40431),$C$40428*$C$40594/100,0)+IF(AND($C$40259=1,H40597=$C$40595),$C$40434,0)</f>
        <v>0</v>
      </c>
      <c r="I40600" s="16" t="n">
        <f aca="false">IF(AND($C$40259=0,I40597=$C$40431),$C$40428*$C$40594/100,0)+IF(AND($C$40259=1,I40597=$C$40595),$C$40434,0)</f>
        <v>0</v>
      </c>
    </row>
    <row r="40601" customFormat="false" ht="15" hidden="false" customHeight="false" outlineLevel="0" collapsed="false">
      <c r="A40601" s="2" t="s">
        <v>604</v>
      </c>
      <c r="C40601" s="17" t="n">
        <f aca="false">-$C$40430</f>
        <v>-98.49</v>
      </c>
      <c r="D40601" s="17" t="n">
        <f aca="false">D40599+D40600</f>
        <v>12.15</v>
      </c>
      <c r="E40601" s="17" t="n">
        <f aca="false">E40599+E40600</f>
        <v>12</v>
      </c>
      <c r="F40601" s="17" t="n">
        <f aca="false">F40599+F40600</f>
        <v>103</v>
      </c>
      <c r="G40601" s="17" t="n">
        <f aca="false">G40599+G40600</f>
        <v>0</v>
      </c>
      <c r="H40601" s="17" t="n">
        <f aca="false">H40599+H40600</f>
        <v>0</v>
      </c>
      <c r="I40601" s="17" t="n">
        <f aca="false">I40599+I40600</f>
        <v>0</v>
      </c>
    </row>
    <row r="40602" customFormat="false" ht="15" hidden="false" customHeight="false" outlineLevel="0" collapsed="false">
      <c r="A40602" s="3" t="s">
        <v>605</v>
      </c>
      <c r="C40602" s="16" t="n">
        <f aca="false">SUM($C$40599:$I$40599)</f>
        <v>24.15</v>
      </c>
    </row>
    <row r="40603" customFormat="false" ht="15" hidden="false" customHeight="false" outlineLevel="0" collapsed="false">
      <c r="A40603" s="3" t="s">
        <v>606</v>
      </c>
      <c r="C40603" s="16" t="n">
        <f aca="false">SUM($C$40600:$I$40600)</f>
        <v>103</v>
      </c>
    </row>
    <row r="40604" customFormat="false" ht="15" hidden="false" customHeight="false" outlineLevel="0" collapsed="false">
      <c r="A40604" s="3" t="s">
        <v>607</v>
      </c>
      <c r="C40604" s="16" t="n">
        <f aca="false">C40602+C40603</f>
        <v>127.15</v>
      </c>
    </row>
    <row r="40605" customFormat="false" ht="15" hidden="false" customHeight="false" outlineLevel="0" collapsed="false">
      <c r="A40605" s="3" t="s">
        <v>608</v>
      </c>
      <c r="C40605" s="16" t="n">
        <f aca="false">C40603-C40428*C40429/100</f>
        <v>5</v>
      </c>
    </row>
    <row r="40606" customFormat="false" ht="15" hidden="false" customHeight="false" outlineLevel="0" collapsed="false">
      <c r="A40606" s="3" t="s">
        <v>609</v>
      </c>
      <c r="C40606" s="16" t="n">
        <f aca="false">C40604-C40430</f>
        <v>28.66</v>
      </c>
    </row>
    <row r="40607" customFormat="false" ht="15" hidden="false" customHeight="false" outlineLevel="0" collapsed="false">
      <c r="A40607" s="2" t="s">
        <v>484</v>
      </c>
      <c r="C40607" s="44" t="n">
        <f aca="false">C40604/C40430</f>
        <v>1.29099400954412</v>
      </c>
    </row>
    <row r="40608" customFormat="false" ht="15" hidden="false" customHeight="false" outlineLevel="0" collapsed="false">
      <c r="A40608" s="2" t="s">
        <v>483</v>
      </c>
      <c r="C40608" s="42" t="n">
        <f aca="false">IF(C40604&lt;=0,-1,IFERROR(IRR($C$40601:$I$40601,MAX(-0.9,C40607^(1/C40595)-1)),IRR($C$40601:$I$40601,0.1)))</f>
        <v>0.0994077590660149</v>
      </c>
    </row>
    <row r="40609" customFormat="false" ht="15" hidden="false" customHeight="false" outlineLevel="0" collapsed="false">
      <c r="A40609" s="3" t="s">
        <v>610</v>
      </c>
      <c r="C40609" s="32" t="n">
        <f aca="false">MAX($G$40203:$K$40203)</f>
        <v>15.7734539449449</v>
      </c>
    </row>
    <row r="40610" customFormat="false" ht="15" hidden="false" customHeight="false" outlineLevel="0" collapsed="false">
      <c r="A40610" s="3" t="s">
        <v>611</v>
      </c>
      <c r="C40610" s="32" t="n">
        <f aca="false">MIN($G$40204:$K$40204)</f>
        <v>0.899631625108658</v>
      </c>
    </row>
    <row r="40611" customFormat="false" ht="15" hidden="false" customHeight="false" outlineLevel="0" collapsed="false">
      <c r="A40611" s="3" t="s">
        <v>612</v>
      </c>
      <c r="C40611" s="16" t="n">
        <f aca="false">SUM($G$39991:$K$39991)</f>
        <v>-319.393886227031</v>
      </c>
    </row>
    <row r="40615" customFormat="false" ht="15" hidden="false" customHeight="false" outlineLevel="0" collapsed="false">
      <c r="A40615" s="9" t="s">
        <v>1192</v>
      </c>
      <c r="B40615" s="10"/>
      <c r="C40615" s="10"/>
      <c r="D40615" s="10"/>
      <c r="E40615" s="10"/>
      <c r="F40615" s="10"/>
      <c r="G40615" s="10"/>
      <c r="H40615" s="10"/>
      <c r="I40615" s="10"/>
      <c r="J40615" s="10"/>
      <c r="K40615" s="10"/>
    </row>
    <row r="40616" customFormat="false" ht="15" hidden="false" customHeight="false" outlineLevel="0" collapsed="false">
      <c r="A40616" s="3" t="s">
        <v>1126</v>
      </c>
      <c r="C40616" s="11" t="n">
        <v>3</v>
      </c>
    </row>
    <row r="40617" customFormat="false" ht="15" hidden="false" customHeight="false" outlineLevel="0" collapsed="false">
      <c r="A40617" s="3" t="s">
        <v>1127</v>
      </c>
      <c r="C40617" s="19" t="n">
        <v>0</v>
      </c>
    </row>
    <row r="40618" customFormat="false" ht="15" hidden="false" customHeight="false" outlineLevel="0" collapsed="false">
      <c r="A40618" s="3" t="s">
        <v>1128</v>
      </c>
      <c r="C40618" s="19" t="n">
        <v>0</v>
      </c>
    </row>
    <row r="40619" customFormat="false" ht="15" hidden="false" customHeight="false" outlineLevel="0" collapsed="false">
      <c r="A40619" s="3" t="s">
        <v>1129</v>
      </c>
      <c r="C40619" s="19" t="n">
        <v>0</v>
      </c>
    </row>
    <row r="40620" customFormat="false" ht="15" hidden="false" customHeight="false" outlineLevel="0" collapsed="false">
      <c r="A40620" s="3" t="s">
        <v>1130</v>
      </c>
      <c r="C40620" s="34" t="n">
        <f aca="false">Sensitivities!$A$64</f>
        <v>2</v>
      </c>
    </row>
    <row r="40622" customFormat="false" ht="15" hidden="false" customHeight="false" outlineLevel="0" collapsed="false">
      <c r="A40622" s="24" t="s">
        <v>301</v>
      </c>
      <c r="B40622" s="25"/>
      <c r="C40622" s="25"/>
      <c r="D40622" s="25"/>
      <c r="E40622" s="25"/>
      <c r="F40622" s="25"/>
      <c r="G40622" s="25"/>
      <c r="H40622" s="25"/>
      <c r="I40622" s="25"/>
      <c r="J40622" s="25"/>
      <c r="K40622" s="25"/>
    </row>
    <row r="40623" customFormat="false" ht="15" hidden="false" customHeight="false" outlineLevel="0" collapsed="false">
      <c r="A40623" s="3" t="s">
        <v>302</v>
      </c>
      <c r="F40623" s="27" t="n">
        <f aca="false">Assumptions!$C$6</f>
        <v>2026</v>
      </c>
      <c r="G40623" s="21" t="n">
        <f aca="false">F40623+1</f>
        <v>2027</v>
      </c>
      <c r="H40623" s="21" t="n">
        <f aca="false">G40623+1</f>
        <v>2028</v>
      </c>
      <c r="I40623" s="21" t="n">
        <f aca="false">H40623+1</f>
        <v>2029</v>
      </c>
      <c r="J40623" s="21" t="n">
        <f aca="false">I40623+1</f>
        <v>2030</v>
      </c>
      <c r="K40623" s="21" t="n">
        <f aca="false">J40623+1</f>
        <v>2031</v>
      </c>
    </row>
    <row r="40624" customFormat="false" ht="15" hidden="false" customHeight="false" outlineLevel="0" collapsed="false">
      <c r="A40624" s="3" t="s">
        <v>303</v>
      </c>
      <c r="G40624" s="21" t="n">
        <f aca="false">G40623-Assumptions!$C$6</f>
        <v>1</v>
      </c>
      <c r="H40624" s="21" t="n">
        <f aca="false">H40623-Assumptions!$C$6</f>
        <v>2</v>
      </c>
      <c r="I40624" s="21" t="n">
        <f aca="false">I40623-Assumptions!$C$6</f>
        <v>3</v>
      </c>
      <c r="J40624" s="21" t="n">
        <f aca="false">J40623-Assumptions!$C$6</f>
        <v>4</v>
      </c>
      <c r="K40624" s="21" t="n">
        <f aca="false">K40623-Assumptions!$C$6</f>
        <v>5</v>
      </c>
    </row>
    <row r="40625" customFormat="false" ht="15" hidden="false" customHeight="false" outlineLevel="0" collapsed="false">
      <c r="A40625" s="3" t="s">
        <v>180</v>
      </c>
      <c r="G40625" s="22" t="n">
        <f aca="false">CHOOSE($C$40616,Assumptions!$G$79,Assumptions!$G$98,Assumptions!$G$117)+$C$40617</f>
        <v>-0.1</v>
      </c>
      <c r="H40625" s="22" t="n">
        <f aca="false">CHOOSE($C$40616,Assumptions!$H$79,Assumptions!$H$98,Assumptions!$H$117)+$C$40617</f>
        <v>-0.07</v>
      </c>
      <c r="I40625" s="22" t="n">
        <f aca="false">CHOOSE($C$40616,Assumptions!$I$79,Assumptions!$I$98,Assumptions!$I$117)+$C$40617</f>
        <v>-0.03</v>
      </c>
      <c r="J40625" s="22" t="n">
        <f aca="false">CHOOSE($C$40616,Assumptions!$J$79,Assumptions!$J$98,Assumptions!$J$117)+$C$40617</f>
        <v>0</v>
      </c>
      <c r="K40625" s="22" t="n">
        <f aca="false">CHOOSE($C$40616,Assumptions!$K$79,Assumptions!$K$98,Assumptions!$K$117)+$C$40617</f>
        <v>0.01</v>
      </c>
    </row>
    <row r="40626" customFormat="false" ht="15" hidden="false" customHeight="false" outlineLevel="0" collapsed="false">
      <c r="A40626" s="3" t="s">
        <v>181</v>
      </c>
      <c r="G40626" s="22" t="n">
        <f aca="false">CHOOSE($C$40616,Assumptions!$G$80,Assumptions!$G$99,Assumptions!$G$118)</f>
        <v>0.533920660818678</v>
      </c>
      <c r="H40626" s="22" t="n">
        <f aca="false">CHOOSE($C$40616,Assumptions!$H$80,Assumptions!$H$99,Assumptions!$H$118)</f>
        <v>0.503920660818678</v>
      </c>
      <c r="I40626" s="22" t="n">
        <f aca="false">CHOOSE($C$40616,Assumptions!$I$80,Assumptions!$I$99,Assumptions!$I$118)</f>
        <v>0.498920660818678</v>
      </c>
      <c r="J40626" s="22" t="n">
        <f aca="false">CHOOSE($C$40616,Assumptions!$J$80,Assumptions!$J$99,Assumptions!$J$118)</f>
        <v>0.503920660818678</v>
      </c>
      <c r="K40626" s="22" t="n">
        <f aca="false">CHOOSE($C$40616,Assumptions!$K$80,Assumptions!$K$99,Assumptions!$K$118)</f>
        <v>0.513920660818678</v>
      </c>
    </row>
    <row r="40627" customFormat="false" ht="15" hidden="false" customHeight="false" outlineLevel="0" collapsed="false">
      <c r="A40627" s="3" t="s">
        <v>182</v>
      </c>
      <c r="G40627" s="22" t="n">
        <f aca="false">CHOOSE($C$40616,Assumptions!$G$81,Assumptions!$G$100,Assumptions!$G$119)+$C$40618</f>
        <v>0.46</v>
      </c>
      <c r="H40627" s="22" t="n">
        <f aca="false">CHOOSE($C$40616,Assumptions!$H$81,Assumptions!$H$100,Assumptions!$H$119)+$C$40618</f>
        <v>0.43</v>
      </c>
      <c r="I40627" s="22" t="n">
        <f aca="false">CHOOSE($C$40616,Assumptions!$I$81,Assumptions!$I$100,Assumptions!$I$119)+$C$40618</f>
        <v>0.425</v>
      </c>
      <c r="J40627" s="22" t="n">
        <f aca="false">CHOOSE($C$40616,Assumptions!$J$81,Assumptions!$J$100,Assumptions!$J$119)+$C$40618</f>
        <v>0.43</v>
      </c>
      <c r="K40627" s="22" t="n">
        <f aca="false">CHOOSE($C$40616,Assumptions!$K$81,Assumptions!$K$100,Assumptions!$K$119)+$C$40618</f>
        <v>0.44</v>
      </c>
    </row>
    <row r="40628" customFormat="false" ht="15" hidden="false" customHeight="false" outlineLevel="0" collapsed="false">
      <c r="A40628" s="24" t="s">
        <v>304</v>
      </c>
      <c r="B40628" s="25"/>
      <c r="C40628" s="25"/>
      <c r="D40628" s="25"/>
      <c r="E40628" s="25"/>
      <c r="F40628" s="25"/>
      <c r="G40628" s="25"/>
      <c r="H40628" s="25"/>
      <c r="I40628" s="25"/>
      <c r="J40628" s="25"/>
      <c r="K40628" s="25"/>
    </row>
    <row r="40629" customFormat="false" ht="15" hidden="false" customHeight="false" outlineLevel="0" collapsed="false">
      <c r="A40629" s="2" t="s">
        <v>275</v>
      </c>
      <c r="F40629" s="28" t="n">
        <f aca="false">'Historical Financials'!G25</f>
        <v>498.291</v>
      </c>
      <c r="G40629" s="17" t="n">
        <f aca="false">F40629*(1+G40625)</f>
        <v>448.4619</v>
      </c>
      <c r="H40629" s="17" t="n">
        <f aca="false">G40629*(1+H40625)</f>
        <v>417.069567</v>
      </c>
      <c r="I40629" s="17" t="n">
        <f aca="false">H40629*(1+I40625)</f>
        <v>404.55747999</v>
      </c>
      <c r="J40629" s="17" t="n">
        <f aca="false">I40629*(1+J40625)</f>
        <v>404.55747999</v>
      </c>
      <c r="K40629" s="17" t="n">
        <f aca="false">J40629*(1+K40625)</f>
        <v>408.6030547899</v>
      </c>
    </row>
    <row r="40630" customFormat="false" ht="15" hidden="false" customHeight="false" outlineLevel="0" collapsed="false">
      <c r="A40630" s="3" t="s">
        <v>276</v>
      </c>
      <c r="G40630" s="16" t="n">
        <f aca="false">G40629*(1-G40626)</f>
        <v>209.018826</v>
      </c>
      <c r="H40630" s="16" t="n">
        <f aca="false">H40629*(1-H40626)</f>
        <v>206.89959519</v>
      </c>
      <c r="I40630" s="16" t="n">
        <f aca="false">I40629*(1-I40626)</f>
        <v>202.71539473425</v>
      </c>
      <c r="J40630" s="16" t="n">
        <f aca="false">J40629*(1-J40626)</f>
        <v>200.6926073343</v>
      </c>
      <c r="K40630" s="16" t="n">
        <f aca="false">K40629*(1-K40626)</f>
        <v>198.613502859744</v>
      </c>
    </row>
    <row r="40631" customFormat="false" ht="15" hidden="false" customHeight="false" outlineLevel="0" collapsed="false">
      <c r="A40631" s="2" t="s">
        <v>277</v>
      </c>
      <c r="G40631" s="17" t="n">
        <f aca="false">G40629-G40630</f>
        <v>239.443074</v>
      </c>
      <c r="H40631" s="17" t="n">
        <f aca="false">H40629-H40630</f>
        <v>210.16997181</v>
      </c>
      <c r="I40631" s="17" t="n">
        <f aca="false">I40629-I40630</f>
        <v>201.84208525575</v>
      </c>
      <c r="J40631" s="17" t="n">
        <f aca="false">J40629-J40630</f>
        <v>203.8648726557</v>
      </c>
      <c r="K40631" s="17" t="n">
        <f aca="false">K40629-K40630</f>
        <v>209.989551930156</v>
      </c>
    </row>
    <row r="40632" customFormat="false" ht="15" hidden="false" customHeight="false" outlineLevel="0" collapsed="false">
      <c r="A40632" s="3" t="s">
        <v>305</v>
      </c>
      <c r="G40632" s="16" t="n">
        <f aca="false">G40631-G40633</f>
        <v>33.1505999999999</v>
      </c>
      <c r="H40632" s="16" t="n">
        <f aca="false">H40631-H40633</f>
        <v>30.830058</v>
      </c>
      <c r="I40632" s="16" t="n">
        <f aca="false">I40631-I40633</f>
        <v>29.90515626</v>
      </c>
      <c r="J40632" s="16" t="n">
        <f aca="false">J40631-J40633</f>
        <v>29.90515626</v>
      </c>
      <c r="K40632" s="16" t="n">
        <f aca="false">K40631-K40633</f>
        <v>30.2042078226</v>
      </c>
    </row>
    <row r="40633" customFormat="false" ht="15" hidden="false" customHeight="false" outlineLevel="0" collapsed="false">
      <c r="A40633" s="2" t="s">
        <v>306</v>
      </c>
      <c r="G40633" s="17" t="n">
        <f aca="false">G40629*G40627</f>
        <v>206.292474</v>
      </c>
      <c r="H40633" s="17" t="n">
        <f aca="false">H40629*H40627</f>
        <v>179.33991381</v>
      </c>
      <c r="I40633" s="17" t="n">
        <f aca="false">I40629*I40627</f>
        <v>171.93692899575</v>
      </c>
      <c r="J40633" s="17" t="n">
        <f aca="false">J40629*J40627</f>
        <v>173.9597163957</v>
      </c>
      <c r="K40633" s="17" t="n">
        <f aca="false">K40629*K40627</f>
        <v>179.785344107556</v>
      </c>
    </row>
    <row r="40634" customFormat="false" ht="15" hidden="false" customHeight="false" outlineLevel="0" collapsed="false">
      <c r="A40634" s="3" t="s">
        <v>307</v>
      </c>
      <c r="G40634" s="16" t="n">
        <f aca="false">G40629*'Historical Financials'!G30/'Historical Financials'!G25</f>
        <v>166.7637</v>
      </c>
      <c r="H40634" s="16" t="n">
        <f aca="false">H40629*'Historical Financials'!G30/'Historical Financials'!G25</f>
        <v>155.090241</v>
      </c>
      <c r="I40634" s="16" t="n">
        <f aca="false">I40629*'Historical Financials'!G30/'Historical Financials'!G25</f>
        <v>150.43753377</v>
      </c>
      <c r="J40634" s="16" t="n">
        <f aca="false">J40629*'Historical Financials'!G30/'Historical Financials'!G25</f>
        <v>150.43753377</v>
      </c>
      <c r="K40634" s="16" t="n">
        <f aca="false">K40629*'Historical Financials'!G30/'Historical Financials'!G25</f>
        <v>151.9419091077</v>
      </c>
    </row>
    <row r="40635" customFormat="false" ht="15" hidden="false" customHeight="false" outlineLevel="0" collapsed="false">
      <c r="A40635" s="3" t="s">
        <v>308</v>
      </c>
      <c r="G40635" s="16" t="n">
        <f aca="false">G40629*'Historical Financials'!G31/'Historical Financials'!G25</f>
        <v>0</v>
      </c>
      <c r="H40635" s="16" t="n">
        <f aca="false">H40629*'Historical Financials'!G31/'Historical Financials'!G25</f>
        <v>0</v>
      </c>
      <c r="I40635" s="16" t="n">
        <f aca="false">I40629*'Historical Financials'!G31/'Historical Financials'!G25</f>
        <v>0</v>
      </c>
      <c r="J40635" s="16" t="n">
        <f aca="false">J40629*'Historical Financials'!G31/'Historical Financials'!G25</f>
        <v>0</v>
      </c>
      <c r="K40635" s="16" t="n">
        <f aca="false">K40629*'Historical Financials'!G31/'Historical Financials'!G25</f>
        <v>0</v>
      </c>
    </row>
    <row r="40636" customFormat="false" ht="15" hidden="false" customHeight="false" outlineLevel="0" collapsed="false">
      <c r="A40636" s="2" t="s">
        <v>309</v>
      </c>
      <c r="G40636" s="17" t="n">
        <f aca="false">G40633-G40634-G40635</f>
        <v>39.528774</v>
      </c>
      <c r="H40636" s="17" t="n">
        <f aca="false">H40633-H40634-H40635</f>
        <v>24.24967281</v>
      </c>
      <c r="I40636" s="17" t="n">
        <f aca="false">I40633-I40634-I40635</f>
        <v>21.49939522575</v>
      </c>
      <c r="J40636" s="17" t="n">
        <f aca="false">J40633-J40634-J40635</f>
        <v>23.5221826257</v>
      </c>
      <c r="K40636" s="17" t="n">
        <f aca="false">K40633-K40634-K40635</f>
        <v>27.843434999856</v>
      </c>
    </row>
    <row r="40637" customFormat="false" ht="15" hidden="false" customHeight="false" outlineLevel="0" collapsed="false">
      <c r="A40637" s="3" t="s">
        <v>310</v>
      </c>
      <c r="G40637" s="16" t="n">
        <f aca="false">G40663+G40676+G40689+G40702+G40715+G40728+G40741+G40754+G40767+G40780</f>
        <v>194.5679854</v>
      </c>
      <c r="H40637" s="16" t="n">
        <f aca="false">H40663+H40676+H40689+H40702+H40715+H40728+H40741+H40754+H40767+H40780</f>
        <v>193.3700704</v>
      </c>
      <c r="I40637" s="16" t="n">
        <f aca="false">I40663+I40676+I40689+I40702+I40715+I40728+I40741+I40754+I40767+I40780</f>
        <v>191.11925836865</v>
      </c>
      <c r="J40637" s="16" t="n">
        <f aca="false">J40663+J40676+J40689+J40702+J40715+J40728+J40741+J40754+J40767+J40780</f>
        <v>190.64925836865</v>
      </c>
      <c r="K40637" s="16" t="n">
        <f aca="false">K40663+K40676+K40689+K40702+K40715+K40728+K40741+K40754+K40767+K40780</f>
        <v>190.17925836865</v>
      </c>
    </row>
    <row r="40638" customFormat="false" ht="15" hidden="false" customHeight="false" outlineLevel="0" collapsed="false">
      <c r="A40638" s="3" t="s">
        <v>311</v>
      </c>
      <c r="G40638" s="16" t="n">
        <f aca="false">G40664+G40677+G40690+G40703+G40716+G40729+G40742+G40755+G40768+G40781</f>
        <v>0</v>
      </c>
      <c r="H40638" s="16" t="n">
        <f aca="false">H40664+H40677+H40690+H40703+H40716+H40729+H40742+H40755+H40768+H40781</f>
        <v>0</v>
      </c>
      <c r="I40638" s="16" t="n">
        <f aca="false">I40664+I40677+I40690+I40703+I40716+I40729+I40742+I40755+I40768+I40781</f>
        <v>0</v>
      </c>
      <c r="J40638" s="16" t="n">
        <f aca="false">J40664+J40677+J40690+J40703+J40716+J40729+J40742+J40755+J40768+J40781</f>
        <v>0</v>
      </c>
      <c r="K40638" s="16" t="n">
        <f aca="false">K40664+K40677+K40690+K40703+K40716+K40729+K40742+K40755+K40768+K40781</f>
        <v>0</v>
      </c>
    </row>
    <row r="40639" customFormat="false" ht="15" hidden="false" customHeight="false" outlineLevel="0" collapsed="false">
      <c r="A40639" s="3" t="s">
        <v>283</v>
      </c>
      <c r="G40639" s="16" t="n">
        <f aca="false">G40637+G40638</f>
        <v>194.5679854</v>
      </c>
      <c r="H40639" s="16" t="n">
        <f aca="false">H40637+H40638</f>
        <v>193.3700704</v>
      </c>
      <c r="I40639" s="16" t="n">
        <f aca="false">I40637+I40638</f>
        <v>191.11925836865</v>
      </c>
      <c r="J40639" s="16" t="n">
        <f aca="false">J40637+J40638</f>
        <v>190.64925836865</v>
      </c>
      <c r="K40639" s="16" t="n">
        <f aca="false">K40637+K40638</f>
        <v>190.17925836865</v>
      </c>
    </row>
    <row r="40640" customFormat="false" ht="15" hidden="false" customHeight="false" outlineLevel="0" collapsed="false">
      <c r="A40640" s="2" t="s">
        <v>284</v>
      </c>
      <c r="G40640" s="17" t="n">
        <f aca="false">G40636-G40639</f>
        <v>-155.0392114</v>
      </c>
      <c r="H40640" s="17" t="n">
        <f aca="false">H40636-H40639</f>
        <v>-169.12039759</v>
      </c>
      <c r="I40640" s="17" t="n">
        <f aca="false">I40636-I40639</f>
        <v>-169.6198631429</v>
      </c>
      <c r="J40640" s="17" t="n">
        <f aca="false">J40636-J40639</f>
        <v>-167.12707574295</v>
      </c>
      <c r="K40640" s="17" t="n">
        <f aca="false">K40636-K40639</f>
        <v>-162.335823368794</v>
      </c>
    </row>
    <row r="40641" customFormat="false" ht="15" hidden="false" customHeight="false" outlineLevel="0" collapsed="false">
      <c r="A40641" s="3" t="s">
        <v>312</v>
      </c>
      <c r="G40641" s="16" t="n">
        <f aca="false">MAX(0,G40640)*Assumptions!$C$9</f>
        <v>0</v>
      </c>
      <c r="H40641" s="16" t="n">
        <f aca="false">MAX(0,H40640)*Assumptions!$C$9</f>
        <v>0</v>
      </c>
      <c r="I40641" s="16" t="n">
        <f aca="false">MAX(0,I40640)*Assumptions!$C$9</f>
        <v>0</v>
      </c>
      <c r="J40641" s="16" t="n">
        <f aca="false">MAX(0,J40640)*Assumptions!$C$9</f>
        <v>0</v>
      </c>
      <c r="K40641" s="16" t="n">
        <f aca="false">MAX(0,K40640)*Assumptions!$C$9</f>
        <v>0</v>
      </c>
    </row>
    <row r="40642" customFormat="false" ht="15" hidden="false" customHeight="false" outlineLevel="0" collapsed="false">
      <c r="A40642" s="2" t="s">
        <v>313</v>
      </c>
      <c r="G40642" s="17" t="n">
        <f aca="false">G40640-G40641</f>
        <v>-155.0392114</v>
      </c>
      <c r="H40642" s="17" t="n">
        <f aca="false">H40640-H40641</f>
        <v>-169.12039759</v>
      </c>
      <c r="I40642" s="17" t="n">
        <f aca="false">I40640-I40641</f>
        <v>-169.6198631429</v>
      </c>
      <c r="J40642" s="17" t="n">
        <f aca="false">J40640-J40641</f>
        <v>-167.12707574295</v>
      </c>
      <c r="K40642" s="17" t="n">
        <f aca="false">K40640-K40641</f>
        <v>-162.335823368794</v>
      </c>
    </row>
    <row r="40643" customFormat="false" ht="15" hidden="false" customHeight="false" outlineLevel="0" collapsed="false">
      <c r="A40643" s="24" t="s">
        <v>314</v>
      </c>
      <c r="B40643" s="25"/>
      <c r="C40643" s="25"/>
      <c r="D40643" s="25"/>
      <c r="E40643" s="25"/>
      <c r="F40643" s="25"/>
      <c r="G40643" s="25"/>
      <c r="H40643" s="25"/>
      <c r="I40643" s="25"/>
      <c r="J40643" s="25"/>
      <c r="K40643" s="25"/>
    </row>
    <row r="40644" customFormat="false" ht="15" hidden="false" customHeight="false" outlineLevel="0" collapsed="false">
      <c r="A40644" s="3" t="s">
        <v>184</v>
      </c>
      <c r="G40644" s="16" t="n">
        <f aca="false">G40629*CHOOSE($C$40616,Assumptions!$C$83,Assumptions!$C$102,Assumptions!$C$121)</f>
        <v>58.300047</v>
      </c>
      <c r="H40644" s="16" t="n">
        <f aca="false">H40629*CHOOSE($C$40616,Assumptions!$C$83,Assumptions!$C$102,Assumptions!$C$121)</f>
        <v>54.21904371</v>
      </c>
      <c r="I40644" s="16" t="n">
        <f aca="false">I40629*CHOOSE($C$40616,Assumptions!$C$83,Assumptions!$C$102,Assumptions!$C$121)</f>
        <v>52.5924723987</v>
      </c>
      <c r="J40644" s="16" t="n">
        <f aca="false">J40629*CHOOSE($C$40616,Assumptions!$C$83,Assumptions!$C$102,Assumptions!$C$121)</f>
        <v>52.5924723987</v>
      </c>
      <c r="K40644" s="16" t="n">
        <f aca="false">K40629*CHOOSE($C$40616,Assumptions!$C$83,Assumptions!$C$102,Assumptions!$C$121)</f>
        <v>53.118397122687</v>
      </c>
    </row>
    <row r="40645" customFormat="false" ht="15" hidden="false" customHeight="false" outlineLevel="0" collapsed="false">
      <c r="A40645" s="3" t="s">
        <v>315</v>
      </c>
      <c r="G40645" s="16" t="n">
        <f aca="false">CHOOSE($C$40616,Assumptions!$C$84,Assumptions!$C$103,Assumptions!$C$122)*(G40629-F40629)+CHOOSE($C$40616,Assumptions!$C$85,Assumptions!$C$104,Assumptions!$C$123)*G40629</f>
        <v>0</v>
      </c>
      <c r="H40645" s="16" t="n">
        <f aca="false">CHOOSE($C$40616,Assumptions!$C$84,Assumptions!$C$103,Assumptions!$C$122)*(H40629-G40629)+CHOOSE($C$40616,Assumptions!$C$85,Assumptions!$C$104,Assumptions!$C$123)*H40629</f>
        <v>0</v>
      </c>
      <c r="I40645" s="16" t="n">
        <f aca="false">CHOOSE($C$40616,Assumptions!$C$84,Assumptions!$C$103,Assumptions!$C$122)*(I40629-H40629)+CHOOSE($C$40616,Assumptions!$C$85,Assumptions!$C$104,Assumptions!$C$123)*I40629</f>
        <v>0</v>
      </c>
      <c r="J40645" s="16" t="n">
        <f aca="false">CHOOSE($C$40616,Assumptions!$C$84,Assumptions!$C$103,Assumptions!$C$122)*(J40629-I40629)+CHOOSE($C$40616,Assumptions!$C$85,Assumptions!$C$104,Assumptions!$C$123)*J40629</f>
        <v>0</v>
      </c>
      <c r="K40645" s="16" t="n">
        <f aca="false">CHOOSE($C$40616,Assumptions!$C$84,Assumptions!$C$103,Assumptions!$C$122)*(K40629-J40629)+CHOOSE($C$40616,Assumptions!$C$85,Assumptions!$C$104,Assumptions!$C$123)*K40629</f>
        <v>0</v>
      </c>
    </row>
    <row r="40646" customFormat="false" ht="15" hidden="false" customHeight="false" outlineLevel="0" collapsed="false">
      <c r="A40646" s="2" t="s">
        <v>316</v>
      </c>
      <c r="G40646" s="17" t="n">
        <f aca="false">G40642+G40634+G40635+G40638-G40644-G40645</f>
        <v>-46.5755584</v>
      </c>
      <c r="H40646" s="17" t="n">
        <f aca="false">H40642+H40634+H40635+H40638-H40644-H40645</f>
        <v>-68.2492003</v>
      </c>
      <c r="I40646" s="17" t="n">
        <f aca="false">I40642+I40634+I40635+I40638-I40644-I40645</f>
        <v>-71.7748017716</v>
      </c>
      <c r="J40646" s="17" t="n">
        <f aca="false">J40642+J40634+J40635+J40638-J40644-J40645</f>
        <v>-69.28201437165</v>
      </c>
      <c r="K40646" s="17" t="n">
        <f aca="false">K40642+K40634+K40635+K40638-K40644-K40645</f>
        <v>-63.512311383781</v>
      </c>
    </row>
    <row r="40648" customFormat="false" ht="15" hidden="false" customHeight="false" outlineLevel="0" collapsed="false">
      <c r="A40648" s="24" t="s">
        <v>318</v>
      </c>
      <c r="B40648" s="25"/>
      <c r="C40648" s="25"/>
      <c r="D40648" s="25"/>
      <c r="E40648" s="25"/>
      <c r="F40648" s="25"/>
      <c r="G40648" s="25"/>
      <c r="H40648" s="25"/>
      <c r="I40648" s="25"/>
      <c r="J40648" s="25"/>
      <c r="K40648" s="25"/>
    </row>
    <row r="40649" customFormat="false" ht="15" hidden="false" customHeight="false" outlineLevel="0" collapsed="false">
      <c r="A40649" s="3" t="s">
        <v>319</v>
      </c>
      <c r="G40649" s="30" t="n">
        <f aca="false">Assumptions!$G$53</f>
        <v>0.039</v>
      </c>
      <c r="H40649" s="30" t="n">
        <f aca="false">Assumptions!$H$53</f>
        <v>0.0375</v>
      </c>
      <c r="I40649" s="30" t="n">
        <f aca="false">Assumptions!$I$53</f>
        <v>0.035</v>
      </c>
      <c r="J40649" s="30" t="n">
        <f aca="false">Assumptions!$J$53</f>
        <v>0.035</v>
      </c>
      <c r="K40649" s="30" t="n">
        <f aca="false">Assumptions!$K$53</f>
        <v>0.035</v>
      </c>
    </row>
    <row r="40650" customFormat="false" ht="15" hidden="false" customHeight="false" outlineLevel="0" collapsed="false">
      <c r="A40650" s="3" t="s">
        <v>320</v>
      </c>
      <c r="C40650" s="31" t="n">
        <f aca="false">CHOOSE($C$40616,Assumptions!$C$86,Assumptions!$C$105,Assumptions!$C$124)+$C$40619</f>
        <v>0.03</v>
      </c>
    </row>
    <row r="40651" customFormat="false" ht="15" hidden="false" customHeight="false" outlineLevel="0" collapsed="false">
      <c r="A40651" s="3" t="s">
        <v>321</v>
      </c>
      <c r="C40651" s="31" t="n">
        <f aca="false">CHOOSE($C$40616,Assumptions!$C$87,Assumptions!$C$106,Assumptions!$C$125)</f>
        <v>0.12</v>
      </c>
    </row>
    <row r="40652" customFormat="false" ht="15" hidden="false" customHeight="false" outlineLevel="0" collapsed="false">
      <c r="A40652" s="3" t="s">
        <v>322</v>
      </c>
      <c r="C40652" s="32" t="n">
        <f aca="false">CHOOSE($C$40616,Assumptions!$C$88,Assumptions!$C$107,Assumptions!$C$126)</f>
        <v>9</v>
      </c>
    </row>
    <row r="40653" customFormat="false" ht="15" hidden="false" customHeight="false" outlineLevel="0" collapsed="false">
      <c r="A40653" s="3" t="s">
        <v>323</v>
      </c>
      <c r="C40653" s="32" t="n">
        <f aca="false">CHOOSE($C$40616,Assumptions!$C$89,Assumptions!$C$108,Assumptions!$C$127)</f>
        <v>1.75</v>
      </c>
    </row>
    <row r="40654" customFormat="false" ht="15" hidden="false" customHeight="false" outlineLevel="0" collapsed="false">
      <c r="A40654" s="3" t="s">
        <v>324</v>
      </c>
      <c r="G40654" s="16" t="n">
        <f aca="false">G40659+G40672+G40685+G40698+G40711+G40724+G40737+G40750+G40763+G40776</f>
        <v>2625.934</v>
      </c>
      <c r="H40654" s="16" t="n">
        <f aca="false">H40659+H40672+H40685+H40698+H40711+H40724+H40737+H40750+H40763+H40776</f>
        <v>2621.934</v>
      </c>
      <c r="I40654" s="16" t="n">
        <f aca="false">I40659+I40672+I40685+I40698+I40711+I40724+I40737+I40750+I40763+I40776</f>
        <v>2602.8887587</v>
      </c>
      <c r="J40654" s="16" t="n">
        <f aca="false">J40659+J40672+J40685+J40698+J40711+J40724+J40737+J40750+J40763+J40776</f>
        <v>2598.8887587</v>
      </c>
      <c r="K40654" s="16" t="n">
        <f aca="false">K40659+K40672+K40685+K40698+K40711+K40724+K40737+K40750+K40763+K40776</f>
        <v>2594.8887587</v>
      </c>
    </row>
    <row r="40655" customFormat="false" ht="15" hidden="false" customHeight="false" outlineLevel="0" collapsed="false">
      <c r="A40655" s="3" t="s">
        <v>325</v>
      </c>
      <c r="G40655" s="16" t="n">
        <f aca="false">F40847</f>
        <v>37.87</v>
      </c>
      <c r="H40655" s="16" t="n">
        <f aca="false">G40847</f>
        <v>87.2944416</v>
      </c>
      <c r="I40655" s="16" t="n">
        <f aca="false">H40847</f>
        <v>0</v>
      </c>
      <c r="J40655" s="16" t="n">
        <f aca="false">I40847</f>
        <v>-75.7748017716</v>
      </c>
      <c r="K40655" s="16" t="n">
        <f aca="false">J40847</f>
        <v>-149.05681614325</v>
      </c>
    </row>
    <row r="40656" customFormat="false" ht="15" hidden="false" customHeight="false" outlineLevel="0" collapsed="false">
      <c r="A40656" s="3" t="s">
        <v>326</v>
      </c>
      <c r="G40656" s="16" t="n">
        <f aca="false">G40659*IF(G40660=1,$C$40651,IF(Assumptions!$I$57=1,MAX(G40649,Assumptions!$G$57)+Assumptions!$F$57+$C$40650,Assumptions!$E$57))+G40672*IF(G40673=1,$C$40651,IF(Assumptions!$I$58=1,MAX(G40649,Assumptions!$G$58)+Assumptions!$F$58+$C$40650,Assumptions!$E$58))+G40685*IF(G40686=1,$C$40651,IF(Assumptions!$I$59=1,MAX(G40649,Assumptions!$G$59)+Assumptions!$F$59+$C$40650,Assumptions!$E$59))+G40698*IF(G40699=1,$C$40651,IF(Assumptions!$I$60=1,MAX(G40649,Assumptions!$G$60)+Assumptions!$F$60+$C$40650,Assumptions!$E$60))+G40711*IF(G40712=1,$C$40651,IF(Assumptions!$I$61=1,MAX(G40649,Assumptions!$G$61)+Assumptions!$F$61+$C$40650,Assumptions!$E$61))+G40724*IF(G40725=1,$C$40651,IF(Assumptions!$I$62=1,MAX(G40649,Assumptions!$G$62)+Assumptions!$F$62+$C$40650,Assumptions!$E$62))+G40737*IF(G40738=1,$C$40651,IF(Assumptions!$I$63=1,MAX(G40649,Assumptions!$G$63)+Assumptions!$F$63+$C$40650,Assumptions!$E$63))+G40750*IF(G40751=1,$C$40651,IF(Assumptions!$I$64=1,MAX(G40649,Assumptions!$G$64)+Assumptions!$F$64+$C$40650,Assumptions!$E$64))+G40763*IF(G40764=1,$C$40651,IF(Assumptions!$I$65=1,MAX(G40649,Assumptions!$G$65)+Assumptions!$F$65+$C$40650,Assumptions!$E$65))+G40776*IF(G40777=1,$C$40651,IF(Assumptions!$I$66=1,MAX(G40649,Assumptions!$G$66)+Assumptions!$F$66+$C$40650,Assumptions!$E$66))</f>
        <v>194.5679854</v>
      </c>
      <c r="H40656" s="16" t="n">
        <f aca="false">H40659*IF(OR(H40660=1,G40969=1),$C$40651,IF(Assumptions!$I$57=1,MAX(H40649,Assumptions!$G$57)+Assumptions!$F$57+$C$40650,Assumptions!$E$57))+H40672*IF(OR(H40673=1,G40970=1),$C$40651,IF(Assumptions!$I$58=1,MAX(H40649,Assumptions!$G$58)+Assumptions!$F$58+$C$40650,Assumptions!$E$58))+H40685*IF(OR(H40686=1,G40971=1),$C$40651,IF(Assumptions!$I$59=1,MAX(H40649,Assumptions!$G$59)+Assumptions!$F$59+$C$40650,Assumptions!$E$59))+H40698*IF(OR(H40699=1,G40972=1),$C$40651,IF(Assumptions!$I$60=1,MAX(H40649,Assumptions!$G$60)+Assumptions!$F$60+$C$40650,Assumptions!$E$60))+H40711*IF(OR(H40712=1,G40973=1),$C$40651,IF(Assumptions!$I$61=1,MAX(H40649,Assumptions!$G$61)+Assumptions!$F$61+$C$40650,Assumptions!$E$61))+H40724*IF(OR(H40725=1,G40974=1),$C$40651,IF(Assumptions!$I$62=1,MAX(H40649,Assumptions!$G$62)+Assumptions!$F$62+$C$40650,Assumptions!$E$62))+H40737*IF(OR(H40738=1,G40975=1),$C$40651,IF(Assumptions!$I$63=1,MAX(H40649,Assumptions!$G$63)+Assumptions!$F$63+$C$40650,Assumptions!$E$63))+H40750*IF(OR(H40751=1,G40976=1),$C$40651,IF(Assumptions!$I$64=1,MAX(H40649,Assumptions!$G$64)+Assumptions!$F$64+$C$40650,Assumptions!$E$64))+H40763*IF(OR(H40764=1,G40977=1),$C$40651,IF(Assumptions!$I$65=1,MAX(H40649,Assumptions!$G$65)+Assumptions!$F$65+$C$40650,Assumptions!$E$65))+H40776*IF(OR(H40777=1,G40978=1),$C$40651,IF(Assumptions!$I$66=1,MAX(H40649,Assumptions!$G$66)+Assumptions!$F$66+$C$40650,Assumptions!$E$66))</f>
        <v>242.5450704</v>
      </c>
      <c r="I40656" s="16" t="n">
        <f aca="false">I40659*IF(OR(I40660=1,H40969=1),$C$40651,IF(Assumptions!$I$57=1,MAX(I40649,Assumptions!$G$57)+Assumptions!$F$57+$C$40650,Assumptions!$E$57))+I40672*IF(OR(I40673=1,H40970=1),$C$40651,IF(Assumptions!$I$58=1,MAX(I40649,Assumptions!$G$58)+Assumptions!$F$58+$C$40650,Assumptions!$E$58))+I40685*IF(OR(I40686=1,H40971=1),$C$40651,IF(Assumptions!$I$59=1,MAX(I40649,Assumptions!$G$59)+Assumptions!$F$59+$C$40650,Assumptions!$E$59))+I40698*IF(OR(I40699=1,H40972=1),$C$40651,IF(Assumptions!$I$60=1,MAX(I40649,Assumptions!$G$60)+Assumptions!$F$60+$C$40650,Assumptions!$E$60))+I40711*IF(OR(I40712=1,H40973=1),$C$40651,IF(Assumptions!$I$61=1,MAX(I40649,Assumptions!$G$61)+Assumptions!$F$61+$C$40650,Assumptions!$E$61))+I40724*IF(OR(I40725=1,H40974=1),$C$40651,IF(Assumptions!$I$62=1,MAX(I40649,Assumptions!$G$62)+Assumptions!$F$62+$C$40650,Assumptions!$E$62))+I40737*IF(OR(I40738=1,H40975=1),$C$40651,IF(Assumptions!$I$63=1,MAX(I40649,Assumptions!$G$63)+Assumptions!$F$63+$C$40650,Assumptions!$E$63))+I40750*IF(OR(I40751=1,H40976=1),$C$40651,IF(Assumptions!$I$64=1,MAX(I40649,Assumptions!$G$64)+Assumptions!$F$64+$C$40650,Assumptions!$E$64))+I40763*IF(OR(I40764=1,H40977=1),$C$40651,IF(Assumptions!$I$65=1,MAX(I40649,Assumptions!$G$65)+Assumptions!$F$65+$C$40650,Assumptions!$E$65))+I40776*IF(OR(I40777=1,H40978=1),$C$40651,IF(Assumptions!$I$66=1,MAX(I40649,Assumptions!$G$66)+Assumptions!$F$66+$C$40650,Assumptions!$E$66))</f>
        <v>208.30675836865</v>
      </c>
      <c r="J40656" s="16" t="n">
        <f aca="false">J40659*IF(OR(J40660=1,I40969=1),$C$40651,IF(Assumptions!$I$57=1,MAX(J40649,Assumptions!$G$57)+Assumptions!$F$57+$C$40650,Assumptions!$E$57))+J40672*IF(OR(J40673=1,I40970=1),$C$40651,IF(Assumptions!$I$58=1,MAX(J40649,Assumptions!$G$58)+Assumptions!$F$58+$C$40650,Assumptions!$E$58))+J40685*IF(OR(J40686=1,I40971=1),$C$40651,IF(Assumptions!$I$59=1,MAX(J40649,Assumptions!$G$59)+Assumptions!$F$59+$C$40650,Assumptions!$E$59))+J40698*IF(OR(J40699=1,I40972=1),$C$40651,IF(Assumptions!$I$60=1,MAX(J40649,Assumptions!$G$60)+Assumptions!$F$60+$C$40650,Assumptions!$E$60))+J40711*IF(OR(J40712=1,I40973=1),$C$40651,IF(Assumptions!$I$61=1,MAX(J40649,Assumptions!$G$61)+Assumptions!$F$61+$C$40650,Assumptions!$E$61))+J40724*IF(OR(J40725=1,I40974=1),$C$40651,IF(Assumptions!$I$62=1,MAX(J40649,Assumptions!$G$62)+Assumptions!$F$62+$C$40650,Assumptions!$E$62))+J40737*IF(OR(J40738=1,I40975=1),$C$40651,IF(Assumptions!$I$63=1,MAX(J40649,Assumptions!$G$63)+Assumptions!$F$63+$C$40650,Assumptions!$E$63))+J40750*IF(OR(J40751=1,I40976=1),$C$40651,IF(Assumptions!$I$64=1,MAX(J40649,Assumptions!$G$64)+Assumptions!$F$64+$C$40650,Assumptions!$E$64))+J40763*IF(OR(J40764=1,I40977=1),$C$40651,IF(Assumptions!$I$65=1,MAX(J40649,Assumptions!$G$65)+Assumptions!$F$65+$C$40650,Assumptions!$E$65))+J40776*IF(OR(J40777=1,I40978=1),$C$40651,IF(Assumptions!$I$66=1,MAX(J40649,Assumptions!$G$66)+Assumptions!$F$66+$C$40650,Assumptions!$E$66))</f>
        <v>216.72425836865</v>
      </c>
      <c r="K40656" s="16" t="n">
        <f aca="false">K40659*IF(OR(K40660=1,J40969=1),$C$40651,IF(Assumptions!$I$57=1,MAX(K40649,Assumptions!$G$57)+Assumptions!$F$57+$C$40650,Assumptions!$E$57))+K40672*IF(OR(K40673=1,J40970=1),$C$40651,IF(Assumptions!$I$58=1,MAX(K40649,Assumptions!$G$58)+Assumptions!$F$58+$C$40650,Assumptions!$E$58))+K40685*IF(OR(K40686=1,J40971=1),$C$40651,IF(Assumptions!$I$59=1,MAX(K40649,Assumptions!$G$59)+Assumptions!$F$59+$C$40650,Assumptions!$E$59))+K40698*IF(OR(K40699=1,J40972=1),$C$40651,IF(Assumptions!$I$60=1,MAX(K40649,Assumptions!$G$60)+Assumptions!$F$60+$C$40650,Assumptions!$E$60))+K40711*IF(OR(K40712=1,J40973=1),$C$40651,IF(Assumptions!$I$61=1,MAX(K40649,Assumptions!$G$61)+Assumptions!$F$61+$C$40650,Assumptions!$E$61))+K40724*IF(OR(K40725=1,J40974=1),$C$40651,IF(Assumptions!$I$62=1,MAX(K40649,Assumptions!$G$62)+Assumptions!$F$62+$C$40650,Assumptions!$E$62))+K40737*IF(OR(K40738=1,J40975=1),$C$40651,IF(Assumptions!$I$63=1,MAX(K40649,Assumptions!$G$63)+Assumptions!$F$63+$C$40650,Assumptions!$E$63))+K40750*IF(OR(K40751=1,J40976=1),$C$40651,IF(Assumptions!$I$64=1,MAX(K40649,Assumptions!$G$64)+Assumptions!$F$64+$C$40650,Assumptions!$E$64))+K40763*IF(OR(K40764=1,J40977=1),$C$40651,IF(Assumptions!$I$65=1,MAX(K40649,Assumptions!$G$65)+Assumptions!$F$65+$C$40650,Assumptions!$E$65))+K40776*IF(OR(K40777=1,J40978=1),$C$40651,IF(Assumptions!$I$66=1,MAX(K40649,Assumptions!$G$66)+Assumptions!$F$66+$C$40650,Assumptions!$E$66))</f>
        <v>208.76425836865</v>
      </c>
    </row>
    <row r="40657" customFormat="false" ht="15" hidden="false" customHeight="false" outlineLevel="0" collapsed="false">
      <c r="A40657" s="3" t="s">
        <v>327</v>
      </c>
      <c r="G40657" s="21" t="n">
        <f aca="false">IF(G40633&lt;=0,0,IF(AND((G40654-G40655)/G40633&lt;=$C$40652,G40633/G40656&gt;=$C$40653),1,0))</f>
        <v>0</v>
      </c>
      <c r="H40657" s="21" t="n">
        <f aca="false">IF(H40633&lt;=0,0,IF(AND((H40654-H40655)/H40633&lt;=$C$40652,H40633/H40656&gt;=$C$40653),1,0))</f>
        <v>0</v>
      </c>
      <c r="I40657" s="21" t="n">
        <f aca="false">IF(I40633&lt;=0,0,IF(AND((I40654-I40655)/I40633&lt;=$C$40652,I40633/I40656&gt;=$C$40653),1,0))</f>
        <v>0</v>
      </c>
      <c r="J40657" s="21" t="n">
        <f aca="false">IF(J40633&lt;=0,0,IF(AND((J40654-J40655)/J40633&lt;=$C$40652,J40633/J40656&gt;=$C$40653),1,0))</f>
        <v>0</v>
      </c>
      <c r="K40657" s="21" t="n">
        <f aca="false">IF(K40633&lt;=0,0,IF(AND((K40654-K40655)/K40633&lt;=$C$40652,K40633/K40656&gt;=$C$40653),1,0))</f>
        <v>0</v>
      </c>
    </row>
    <row r="40658" customFormat="false" ht="15" hidden="false" customHeight="false" outlineLevel="0" collapsed="false">
      <c r="A40658" s="24" t="s">
        <v>328</v>
      </c>
      <c r="B40658" s="25"/>
      <c r="C40658" s="25"/>
      <c r="D40658" s="25"/>
      <c r="E40658" s="25"/>
      <c r="F40658" s="25"/>
      <c r="G40658" s="25"/>
      <c r="H40658" s="25"/>
      <c r="I40658" s="25"/>
      <c r="J40658" s="25"/>
      <c r="K40658" s="25"/>
    </row>
    <row r="40659" customFormat="false" ht="15" hidden="false" customHeight="false" outlineLevel="0" collapsed="false">
      <c r="A40659" s="3" t="s">
        <v>329</v>
      </c>
      <c r="G40659" s="16" t="n">
        <f aca="false">F40670</f>
        <v>400</v>
      </c>
      <c r="H40659" s="16" t="n">
        <f aca="false">G40670</f>
        <v>396</v>
      </c>
      <c r="I40659" s="16" t="n">
        <f aca="false">H40670</f>
        <v>392</v>
      </c>
      <c r="J40659" s="16" t="n">
        <f aca="false">I40670</f>
        <v>388</v>
      </c>
      <c r="K40659" s="16" t="n">
        <f aca="false">J40670</f>
        <v>384</v>
      </c>
    </row>
    <row r="40660" customFormat="false" ht="15" hidden="false" customHeight="false" outlineLevel="0" collapsed="false">
      <c r="A40660" s="3" t="s">
        <v>330</v>
      </c>
      <c r="G40660" s="21" t="n">
        <f aca="false">IF(G40623=Assumptions!$K$57,1,0)</f>
        <v>0</v>
      </c>
      <c r="H40660" s="21" t="n">
        <f aca="false">IF(H40623=Assumptions!$K$57,1,0)</f>
        <v>0</v>
      </c>
      <c r="I40660" s="21" t="n">
        <f aca="false">IF(I40623=Assumptions!$K$57,1,0)</f>
        <v>0</v>
      </c>
      <c r="J40660" s="21" t="n">
        <f aca="false">IF(J40623=Assumptions!$K$57,1,0)</f>
        <v>0</v>
      </c>
      <c r="K40660" s="21" t="n">
        <f aca="false">IF(K40623=Assumptions!$K$57,1,0)</f>
        <v>1</v>
      </c>
    </row>
    <row r="40662" customFormat="false" ht="15" hidden="false" customHeight="false" outlineLevel="0" collapsed="false">
      <c r="A40662" s="3" t="s">
        <v>331</v>
      </c>
      <c r="G40662" s="31" t="n">
        <f aca="false">IF(Assumptions!$I$57=1,MAX(G40649,Assumptions!$G$57)+Assumptions!$F$57+$C$40650,Assumptions!$E$57)</f>
        <v>0.1215</v>
      </c>
      <c r="H40662" s="31" t="n">
        <f aca="false">IF(G40969=1,$C$40651,IF(Assumptions!$I$57=1,MAX(H40649,Assumptions!$G$57)+Assumptions!$F$57+$C$40650,Assumptions!$E$57))</f>
        <v>0.12</v>
      </c>
      <c r="I40662" s="31" t="n">
        <f aca="false">IF(H40969=1,$C$40651,IF(Assumptions!$I$57=1,MAX(I40649,Assumptions!$G$57)+Assumptions!$F$57+$C$40650,Assumptions!$E$57))</f>
        <v>0.1175</v>
      </c>
      <c r="J40662" s="31" t="n">
        <f aca="false">IF(I40969=1,$C$40651,IF(Assumptions!$I$57=1,MAX(J40649,Assumptions!$G$57)+Assumptions!$F$57+$C$40650,Assumptions!$E$57))</f>
        <v>0.1175</v>
      </c>
      <c r="K40662" s="31" t="n">
        <f aca="false">IF(J40969=1,$C$40651,IF(Assumptions!$I$57=1,MAX(K40649,Assumptions!$G$57)+Assumptions!$F$57+$C$40650,Assumptions!$E$57))</f>
        <v>0.1175</v>
      </c>
    </row>
    <row r="40663" customFormat="false" ht="15" hidden="false" customHeight="false" outlineLevel="0" collapsed="false">
      <c r="A40663" s="3" t="s">
        <v>332</v>
      </c>
      <c r="G40663" s="16" t="n">
        <f aca="false">G40659*G40662</f>
        <v>48.6</v>
      </c>
      <c r="H40663" s="16" t="n">
        <f aca="false">H40659*H40662</f>
        <v>47.52</v>
      </c>
      <c r="I40663" s="16" t="n">
        <f aca="false">I40659*I40662</f>
        <v>46.06</v>
      </c>
      <c r="J40663" s="16" t="n">
        <f aca="false">J40659*J40662</f>
        <v>45.59</v>
      </c>
      <c r="K40663" s="16" t="n">
        <f aca="false">K40659*K40662</f>
        <v>45.12</v>
      </c>
    </row>
    <row r="40664" customFormat="false" ht="15" hidden="false" customHeight="false" outlineLevel="0" collapsed="false">
      <c r="A40664" s="3" t="s">
        <v>333</v>
      </c>
      <c r="G40664" s="16" t="n">
        <f aca="false">G40659*Assumptions!$H$57</f>
        <v>0</v>
      </c>
      <c r="H40664" s="16" t="n">
        <f aca="false">H40659*Assumptions!$H$57</f>
        <v>0</v>
      </c>
      <c r="I40664" s="16" t="n">
        <f aca="false">I40659*Assumptions!$H$57</f>
        <v>0</v>
      </c>
      <c r="J40664" s="16" t="n">
        <f aca="false">J40659*Assumptions!$H$57</f>
        <v>0</v>
      </c>
      <c r="K40664" s="16" t="n">
        <f aca="false">K40659*Assumptions!$H$57</f>
        <v>0</v>
      </c>
    </row>
    <row r="40665" customFormat="false" ht="15" hidden="false" customHeight="false" outlineLevel="0" collapsed="false">
      <c r="A40665" s="3" t="s">
        <v>334</v>
      </c>
      <c r="G40665" s="16" t="n">
        <f aca="false">MIN(G40659,Assumptions!$L$57*Assumptions!$C$57)</f>
        <v>4</v>
      </c>
      <c r="H40665" s="16" t="n">
        <f aca="false">MIN(H40659,Assumptions!$L$57*Assumptions!$C$57)</f>
        <v>4</v>
      </c>
      <c r="I40665" s="16" t="n">
        <f aca="false">MIN(I40659,Assumptions!$L$57*Assumptions!$C$57)</f>
        <v>4</v>
      </c>
      <c r="J40665" s="16" t="n">
        <f aca="false">MIN(J40659,Assumptions!$L$57*Assumptions!$C$57)</f>
        <v>4</v>
      </c>
      <c r="K40665" s="16" t="n">
        <f aca="false">MIN(K40659,Assumptions!$L$57*Assumptions!$C$57)</f>
        <v>4</v>
      </c>
    </row>
    <row r="40666" customFormat="false" ht="15" hidden="false" customHeight="false" outlineLevel="0" collapsed="false">
      <c r="A40666" s="3" t="s">
        <v>335</v>
      </c>
      <c r="G40666" s="16" t="n">
        <f aca="false">IF(AND(Assumptions!$P$57=1,G40623&lt;Assumptions!$K$57),MIN(MAX(0,-G40839),MAX(0,Assumptions!$D$57-G40659)),0)</f>
        <v>0</v>
      </c>
      <c r="H40666" s="16" t="n">
        <f aca="false">IF(AND(Assumptions!$P$57=1,OR(H40623&lt;Assumptions!$K$57,G40969=1)),MIN(MAX(0,-H40839),MAX(0,Assumptions!$D$57-H40659)),0)</f>
        <v>0</v>
      </c>
      <c r="I40666" s="16" t="n">
        <f aca="false">IF(AND(Assumptions!$P$57=1,OR(I40623&lt;Assumptions!$K$57,H40969=1)),MIN(MAX(0,-I40839),MAX(0,Assumptions!$D$57-I40659)),0)</f>
        <v>0</v>
      </c>
      <c r="J40666" s="16" t="n">
        <f aca="false">IF(AND(Assumptions!$P$57=1,OR(J40623&lt;Assumptions!$K$57,I40969=1)),MIN(MAX(0,-J40839),MAX(0,Assumptions!$D$57-J40659)),0)</f>
        <v>0</v>
      </c>
      <c r="K40666" s="16" t="n">
        <f aca="false">IF(AND(Assumptions!$P$57=1,OR(K40623&lt;Assumptions!$K$57,J40969=1)),MIN(MAX(0,-K40839),MAX(0,Assumptions!$D$57-K40659)),0)</f>
        <v>0</v>
      </c>
    </row>
    <row r="40667" customFormat="false" ht="15" hidden="false" customHeight="false" outlineLevel="0" collapsed="false">
      <c r="A40667" s="3" t="s">
        <v>336</v>
      </c>
      <c r="G40667" s="16" t="n">
        <f aca="false">G40660*MIN(G40659-G40665+G40664,MAX(0,G40841-Assumptions!$C$12*G40657))</f>
        <v>0</v>
      </c>
      <c r="H40667" s="16" t="n">
        <f aca="false">H40660*MIN(H40659-H40665+H40664,MAX(0,H40841-Assumptions!$C$12*H40657))</f>
        <v>0</v>
      </c>
      <c r="I40667" s="16" t="n">
        <f aca="false">I40660*MIN(I40659-I40665+I40664,MAX(0,I40841-Assumptions!$C$12*I40657))</f>
        <v>0</v>
      </c>
      <c r="J40667" s="16" t="n">
        <f aca="false">J40660*MIN(J40659-J40665+J40664,MAX(0,J40841-Assumptions!$C$12*J40657))</f>
        <v>0</v>
      </c>
      <c r="K40667" s="16" t="n">
        <f aca="false">K40660*MIN(K40659-K40665+K40664,MAX(0,K40841-Assumptions!$C$12*K40657))</f>
        <v>0</v>
      </c>
    </row>
    <row r="40668" customFormat="false" ht="15" hidden="false" customHeight="false" outlineLevel="0" collapsed="false">
      <c r="A40668" s="3" t="s">
        <v>337</v>
      </c>
      <c r="G40668" s="16" t="n">
        <f aca="false">Assumptions!$N$57*MIN(G40659+G40666+G40664-G40665-G40667,MAX(0,G40845))</f>
        <v>0</v>
      </c>
      <c r="H40668" s="16" t="n">
        <f aca="false">Assumptions!$N$57*MIN(H40659+H40666+H40664-H40665-H40667,MAX(0,H40845))</f>
        <v>0</v>
      </c>
      <c r="I40668" s="16" t="n">
        <f aca="false">Assumptions!$N$57*MIN(I40659+I40666+I40664-I40665-I40667,MAX(0,I40845))</f>
        <v>0</v>
      </c>
      <c r="J40668" s="16" t="n">
        <f aca="false">Assumptions!$N$57*MIN(J40659+J40666+J40664-J40665-J40667,MAX(0,J40845))</f>
        <v>0</v>
      </c>
      <c r="K40668" s="16" t="n">
        <f aca="false">Assumptions!$N$57*MIN(K40659+K40666+K40664-K40665-K40667,MAX(0,K40845))</f>
        <v>0</v>
      </c>
    </row>
    <row r="40669" customFormat="false" ht="15" hidden="false" customHeight="false" outlineLevel="0" collapsed="false">
      <c r="A40669" s="3" t="s">
        <v>338</v>
      </c>
      <c r="G40669" s="16" t="n">
        <f aca="false">G40660*(1-G40657)*(G40659-G40665+G40664-G40667)</f>
        <v>0</v>
      </c>
      <c r="H40669" s="16" t="n">
        <f aca="false">H40660*(1-H40657)*(H40659-H40665+H40664-H40667)</f>
        <v>0</v>
      </c>
      <c r="I40669" s="16" t="n">
        <f aca="false">I40660*(1-I40657)*(I40659-I40665+I40664-I40667)</f>
        <v>0</v>
      </c>
      <c r="J40669" s="16" t="n">
        <f aca="false">J40660*(1-J40657)*(J40659-J40665+J40664-J40667)</f>
        <v>0</v>
      </c>
      <c r="K40669" s="16" t="n">
        <f aca="false">K40660*(1-K40657)*(K40659-K40665+K40664-K40667)</f>
        <v>380</v>
      </c>
    </row>
    <row r="40670" customFormat="false" ht="15" hidden="false" customHeight="false" outlineLevel="0" collapsed="false">
      <c r="A40670" s="2" t="s">
        <v>339</v>
      </c>
      <c r="F40670" s="28" t="n">
        <f aca="false">Assumptions!$C$57</f>
        <v>400</v>
      </c>
      <c r="G40670" s="17" t="n">
        <f aca="false">G40659+G40666+G40664-G40665-G40667-G40668</f>
        <v>396</v>
      </c>
      <c r="H40670" s="17" t="n">
        <f aca="false">H40659+H40666+H40664-H40665-H40667-H40668</f>
        <v>392</v>
      </c>
      <c r="I40670" s="17" t="n">
        <f aca="false">I40659+I40666+I40664-I40665-I40667-I40668</f>
        <v>388</v>
      </c>
      <c r="J40670" s="17" t="n">
        <f aca="false">J40659+J40666+J40664-J40665-J40667-J40668</f>
        <v>384</v>
      </c>
      <c r="K40670" s="17" t="n">
        <f aca="false">K40659+K40666+K40664-K40665-K40667-K40668</f>
        <v>380</v>
      </c>
    </row>
    <row r="40671" customFormat="false" ht="15" hidden="false" customHeight="false" outlineLevel="0" collapsed="false">
      <c r="A40671" s="24" t="s">
        <v>340</v>
      </c>
      <c r="B40671" s="25"/>
      <c r="C40671" s="25"/>
      <c r="D40671" s="25"/>
      <c r="E40671" s="25"/>
      <c r="F40671" s="25"/>
      <c r="G40671" s="25"/>
      <c r="H40671" s="25"/>
      <c r="I40671" s="25"/>
      <c r="J40671" s="25"/>
      <c r="K40671" s="25"/>
    </row>
    <row r="40672" customFormat="false" ht="15" hidden="false" customHeight="false" outlineLevel="0" collapsed="false">
      <c r="A40672" s="3" t="s">
        <v>329</v>
      </c>
      <c r="G40672" s="16" t="n">
        <f aca="false">F40683</f>
        <v>90</v>
      </c>
      <c r="H40672" s="16" t="n">
        <f aca="false">G40683</f>
        <v>90</v>
      </c>
      <c r="I40672" s="16" t="n">
        <f aca="false">H40683</f>
        <v>90</v>
      </c>
      <c r="J40672" s="16" t="n">
        <f aca="false">I40683</f>
        <v>90</v>
      </c>
      <c r="K40672" s="16" t="n">
        <f aca="false">J40683</f>
        <v>90</v>
      </c>
    </row>
    <row r="40673" customFormat="false" ht="15" hidden="false" customHeight="false" outlineLevel="0" collapsed="false">
      <c r="A40673" s="3" t="s">
        <v>330</v>
      </c>
      <c r="G40673" s="21" t="n">
        <f aca="false">IF(G40623=Assumptions!$K$58,1,0)</f>
        <v>0</v>
      </c>
      <c r="H40673" s="21" t="n">
        <f aca="false">IF(H40623=Assumptions!$K$58,1,0)</f>
        <v>0</v>
      </c>
      <c r="I40673" s="21" t="n">
        <f aca="false">IF(I40623=Assumptions!$K$58,1,0)</f>
        <v>0</v>
      </c>
      <c r="J40673" s="21" t="n">
        <f aca="false">IF(J40623=Assumptions!$K$58,1,0)</f>
        <v>0</v>
      </c>
      <c r="K40673" s="21" t="n">
        <f aca="false">IF(K40623=Assumptions!$K$58,1,0)</f>
        <v>0</v>
      </c>
    </row>
    <row r="40675" customFormat="false" ht="15" hidden="false" customHeight="false" outlineLevel="0" collapsed="false">
      <c r="A40675" s="3" t="s">
        <v>331</v>
      </c>
      <c r="G40675" s="31" t="n">
        <f aca="false">IF(Assumptions!$I$58=1,MAX(G40649,Assumptions!$G$58)+Assumptions!$F$58+$C$40650,Assumptions!$E$58)</f>
        <v>0.0581</v>
      </c>
      <c r="H40675" s="31" t="n">
        <f aca="false">IF(G40970=1,$C$40651,IF(Assumptions!$I$58=1,MAX(H40649,Assumptions!$G$58)+Assumptions!$F$58+$C$40650,Assumptions!$E$58))</f>
        <v>0.0581</v>
      </c>
      <c r="I40675" s="31" t="n">
        <f aca="false">IF(H40970=1,$C$40651,IF(Assumptions!$I$58=1,MAX(I40649,Assumptions!$G$58)+Assumptions!$F$58+$C$40650,Assumptions!$E$58))</f>
        <v>0.0581</v>
      </c>
      <c r="J40675" s="31" t="n">
        <f aca="false">IF(I40970=1,$C$40651,IF(Assumptions!$I$58=1,MAX(J40649,Assumptions!$G$58)+Assumptions!$F$58+$C$40650,Assumptions!$E$58))</f>
        <v>0.0581</v>
      </c>
      <c r="K40675" s="31" t="n">
        <f aca="false">IF(J40970=1,$C$40651,IF(Assumptions!$I$58=1,MAX(K40649,Assumptions!$G$58)+Assumptions!$F$58+$C$40650,Assumptions!$E$58))</f>
        <v>0.0581</v>
      </c>
    </row>
    <row r="40676" customFormat="false" ht="15" hidden="false" customHeight="false" outlineLevel="0" collapsed="false">
      <c r="A40676" s="3" t="s">
        <v>332</v>
      </c>
      <c r="G40676" s="16" t="n">
        <f aca="false">G40672*G40675</f>
        <v>5.229</v>
      </c>
      <c r="H40676" s="16" t="n">
        <f aca="false">H40672*H40675</f>
        <v>5.229</v>
      </c>
      <c r="I40676" s="16" t="n">
        <f aca="false">I40672*I40675</f>
        <v>5.229</v>
      </c>
      <c r="J40676" s="16" t="n">
        <f aca="false">J40672*J40675</f>
        <v>5.229</v>
      </c>
      <c r="K40676" s="16" t="n">
        <f aca="false">K40672*K40675</f>
        <v>5.229</v>
      </c>
    </row>
    <row r="40677" customFormat="false" ht="15" hidden="false" customHeight="false" outlineLevel="0" collapsed="false">
      <c r="A40677" s="3" t="s">
        <v>333</v>
      </c>
      <c r="G40677" s="16" t="n">
        <f aca="false">G40672*Assumptions!$H$58</f>
        <v>0</v>
      </c>
      <c r="H40677" s="16" t="n">
        <f aca="false">H40672*Assumptions!$H$58</f>
        <v>0</v>
      </c>
      <c r="I40677" s="16" t="n">
        <f aca="false">I40672*Assumptions!$H$58</f>
        <v>0</v>
      </c>
      <c r="J40677" s="16" t="n">
        <f aca="false">J40672*Assumptions!$H$58</f>
        <v>0</v>
      </c>
      <c r="K40677" s="16" t="n">
        <f aca="false">K40672*Assumptions!$H$58</f>
        <v>0</v>
      </c>
    </row>
    <row r="40678" customFormat="false" ht="15" hidden="false" customHeight="false" outlineLevel="0" collapsed="false">
      <c r="A40678" s="3" t="s">
        <v>334</v>
      </c>
      <c r="G40678" s="16" t="n">
        <f aca="false">MIN(G40672,Assumptions!$L$58*Assumptions!$C$58)</f>
        <v>0</v>
      </c>
      <c r="H40678" s="16" t="n">
        <f aca="false">MIN(H40672,Assumptions!$L$58*Assumptions!$C$58)</f>
        <v>0</v>
      </c>
      <c r="I40678" s="16" t="n">
        <f aca="false">MIN(I40672,Assumptions!$L$58*Assumptions!$C$58)</f>
        <v>0</v>
      </c>
      <c r="J40678" s="16" t="n">
        <f aca="false">MIN(J40672,Assumptions!$L$58*Assumptions!$C$58)</f>
        <v>0</v>
      </c>
      <c r="K40678" s="16" t="n">
        <f aca="false">MIN(K40672,Assumptions!$L$58*Assumptions!$C$58)</f>
        <v>0</v>
      </c>
    </row>
    <row r="40679" customFormat="false" ht="15" hidden="false" customHeight="false" outlineLevel="0" collapsed="false">
      <c r="A40679" s="3" t="s">
        <v>335</v>
      </c>
      <c r="G40679" s="16" t="n">
        <f aca="false">IF(AND(Assumptions!$P$58=1,G40623&lt;Assumptions!$K$58),MIN(MAX(0,-G40839),MAX(0,Assumptions!$D$58-G40672)),0)</f>
        <v>0</v>
      </c>
      <c r="H40679" s="16" t="n">
        <f aca="false">IF(AND(Assumptions!$P$58=1,OR(H40623&lt;Assumptions!$K$58,G40970=1)),MIN(MAX(0,-H40839),MAX(0,Assumptions!$D$58-H40672)),0)</f>
        <v>0</v>
      </c>
      <c r="I40679" s="16" t="n">
        <f aca="false">IF(AND(Assumptions!$P$58=1,OR(I40623&lt;Assumptions!$K$58,H40970=1)),MIN(MAX(0,-I40839),MAX(0,Assumptions!$D$58-I40672)),0)</f>
        <v>0</v>
      </c>
      <c r="J40679" s="16" t="n">
        <f aca="false">IF(AND(Assumptions!$P$58=1,OR(J40623&lt;Assumptions!$K$58,I40970=1)),MIN(MAX(0,-J40839),MAX(0,Assumptions!$D$58-J40672)),0)</f>
        <v>0</v>
      </c>
      <c r="K40679" s="16" t="n">
        <f aca="false">IF(AND(Assumptions!$P$58=1,OR(K40623&lt;Assumptions!$K$58,J40970=1)),MIN(MAX(0,-K40839),MAX(0,Assumptions!$D$58-K40672)),0)</f>
        <v>0</v>
      </c>
    </row>
    <row r="40680" customFormat="false" ht="15" hidden="false" customHeight="false" outlineLevel="0" collapsed="false">
      <c r="A40680" s="3" t="s">
        <v>336</v>
      </c>
      <c r="G40680" s="16" t="n">
        <f aca="false">G40673*MIN(G40672-G40678+G40677,MAX(0,G40841-Assumptions!$C$12*G40657-G40667))</f>
        <v>0</v>
      </c>
      <c r="H40680" s="16" t="n">
        <f aca="false">H40673*MIN(H40672-H40678+H40677,MAX(0,H40841-Assumptions!$C$12*H40657-H40667))</f>
        <v>0</v>
      </c>
      <c r="I40680" s="16" t="n">
        <f aca="false">I40673*MIN(I40672-I40678+I40677,MAX(0,I40841-Assumptions!$C$12*I40657-I40667))</f>
        <v>0</v>
      </c>
      <c r="J40680" s="16" t="n">
        <f aca="false">J40673*MIN(J40672-J40678+J40677,MAX(0,J40841-Assumptions!$C$12*J40657-J40667))</f>
        <v>0</v>
      </c>
      <c r="K40680" s="16" t="n">
        <f aca="false">K40673*MIN(K40672-K40678+K40677,MAX(0,K40841-Assumptions!$C$12*K40657-K40667))</f>
        <v>0</v>
      </c>
    </row>
    <row r="40681" customFormat="false" ht="15" hidden="false" customHeight="false" outlineLevel="0" collapsed="false">
      <c r="A40681" s="3" t="s">
        <v>337</v>
      </c>
      <c r="G40681" s="16" t="n">
        <f aca="false">Assumptions!$N$58*MIN(G40672+G40679+G40677-G40678-G40680,MAX(0,G40845-G40668))</f>
        <v>0</v>
      </c>
      <c r="H40681" s="16" t="n">
        <f aca="false">Assumptions!$N$58*MIN(H40672+H40679+H40677-H40678-H40680,MAX(0,H40845-H40668))</f>
        <v>0</v>
      </c>
      <c r="I40681" s="16" t="n">
        <f aca="false">Assumptions!$N$58*MIN(I40672+I40679+I40677-I40678-I40680,MAX(0,I40845-I40668))</f>
        <v>0</v>
      </c>
      <c r="J40681" s="16" t="n">
        <f aca="false">Assumptions!$N$58*MIN(J40672+J40679+J40677-J40678-J40680,MAX(0,J40845-J40668))</f>
        <v>0</v>
      </c>
      <c r="K40681" s="16" t="n">
        <f aca="false">Assumptions!$N$58*MIN(K40672+K40679+K40677-K40678-K40680,MAX(0,K40845-K40668))</f>
        <v>0</v>
      </c>
    </row>
    <row r="40682" customFormat="false" ht="15" hidden="false" customHeight="false" outlineLevel="0" collapsed="false">
      <c r="A40682" s="3" t="s">
        <v>338</v>
      </c>
      <c r="G40682" s="16" t="n">
        <f aca="false">G40673*(1-G40657)*(G40672-G40678+G40677-G40680)</f>
        <v>0</v>
      </c>
      <c r="H40682" s="16" t="n">
        <f aca="false">H40673*(1-H40657)*(H40672-H40678+H40677-H40680)</f>
        <v>0</v>
      </c>
      <c r="I40682" s="16" t="n">
        <f aca="false">I40673*(1-I40657)*(I40672-I40678+I40677-I40680)</f>
        <v>0</v>
      </c>
      <c r="J40682" s="16" t="n">
        <f aca="false">J40673*(1-J40657)*(J40672-J40678+J40677-J40680)</f>
        <v>0</v>
      </c>
      <c r="K40682" s="16" t="n">
        <f aca="false">K40673*(1-K40657)*(K40672-K40678+K40677-K40680)</f>
        <v>0</v>
      </c>
    </row>
    <row r="40683" customFormat="false" ht="15" hidden="false" customHeight="false" outlineLevel="0" collapsed="false">
      <c r="A40683" s="2" t="s">
        <v>339</v>
      </c>
      <c r="F40683" s="28" t="n">
        <f aca="false">Assumptions!$C$58</f>
        <v>90</v>
      </c>
      <c r="G40683" s="17" t="n">
        <f aca="false">G40672+G40679+G40677-G40678-G40680-G40681</f>
        <v>90</v>
      </c>
      <c r="H40683" s="17" t="n">
        <f aca="false">H40672+H40679+H40677-H40678-H40680-H40681</f>
        <v>90</v>
      </c>
      <c r="I40683" s="17" t="n">
        <f aca="false">I40672+I40679+I40677-I40678-I40680-I40681</f>
        <v>90</v>
      </c>
      <c r="J40683" s="17" t="n">
        <f aca="false">J40672+J40679+J40677-J40678-J40680-J40681</f>
        <v>90</v>
      </c>
      <c r="K40683" s="17" t="n">
        <f aca="false">K40672+K40679+K40677-K40678-K40680-K40681</f>
        <v>90</v>
      </c>
    </row>
    <row r="40684" customFormat="false" ht="15" hidden="false" customHeight="false" outlineLevel="0" collapsed="false">
      <c r="A40684" s="24" t="s">
        <v>341</v>
      </c>
      <c r="B40684" s="25"/>
      <c r="C40684" s="25"/>
      <c r="D40684" s="25"/>
      <c r="E40684" s="25"/>
      <c r="F40684" s="25"/>
      <c r="G40684" s="25"/>
      <c r="H40684" s="25"/>
      <c r="I40684" s="25"/>
      <c r="J40684" s="25"/>
      <c r="K40684" s="25"/>
    </row>
    <row r="40685" customFormat="false" ht="15" hidden="false" customHeight="false" outlineLevel="0" collapsed="false">
      <c r="A40685" s="3" t="s">
        <v>329</v>
      </c>
      <c r="G40685" s="16" t="n">
        <f aca="false">F40696</f>
        <v>57.324</v>
      </c>
      <c r="H40685" s="16" t="n">
        <f aca="false">G40696</f>
        <v>57.324</v>
      </c>
      <c r="I40685" s="16" t="n">
        <f aca="false">H40696</f>
        <v>57.324</v>
      </c>
      <c r="J40685" s="16" t="n">
        <f aca="false">I40696</f>
        <v>57.324</v>
      </c>
      <c r="K40685" s="16" t="n">
        <f aca="false">J40696</f>
        <v>57.324</v>
      </c>
    </row>
    <row r="40686" customFormat="false" ht="15" hidden="false" customHeight="false" outlineLevel="0" collapsed="false">
      <c r="A40686" s="3" t="s">
        <v>330</v>
      </c>
      <c r="G40686" s="21" t="n">
        <f aca="false">IF(G40623=Assumptions!$K$59,1,0)</f>
        <v>0</v>
      </c>
      <c r="H40686" s="21" t="n">
        <f aca="false">IF(H40623=Assumptions!$K$59,1,0)</f>
        <v>0</v>
      </c>
      <c r="I40686" s="21" t="n">
        <f aca="false">IF(I40623=Assumptions!$K$59,1,0)</f>
        <v>0</v>
      </c>
      <c r="J40686" s="21" t="n">
        <f aca="false">IF(J40623=Assumptions!$K$59,1,0)</f>
        <v>0</v>
      </c>
      <c r="K40686" s="21" t="n">
        <f aca="false">IF(K40623=Assumptions!$K$59,1,0)</f>
        <v>0</v>
      </c>
    </row>
    <row r="40688" customFormat="false" ht="15" hidden="false" customHeight="false" outlineLevel="0" collapsed="false">
      <c r="A40688" s="3" t="s">
        <v>331</v>
      </c>
      <c r="G40688" s="31" t="n">
        <f aca="false">IF(Assumptions!$I$59=1,MAX(G40649,Assumptions!$G$59)+Assumptions!$F$59+$C$40650,Assumptions!$E$59)</f>
        <v>0.0731</v>
      </c>
      <c r="H40688" s="31" t="n">
        <f aca="false">IF(G40971=1,$C$40651,IF(Assumptions!$I$59=1,MAX(H40649,Assumptions!$G$59)+Assumptions!$F$59+$C$40650,Assumptions!$E$59))</f>
        <v>0.0731</v>
      </c>
      <c r="I40688" s="31" t="n">
        <f aca="false">IF(H40971=1,$C$40651,IF(Assumptions!$I$59=1,MAX(I40649,Assumptions!$G$59)+Assumptions!$F$59+$C$40650,Assumptions!$E$59))</f>
        <v>0.0731</v>
      </c>
      <c r="J40688" s="31" t="n">
        <f aca="false">IF(I40971=1,$C$40651,IF(Assumptions!$I$59=1,MAX(J40649,Assumptions!$G$59)+Assumptions!$F$59+$C$40650,Assumptions!$E$59))</f>
        <v>0.0731</v>
      </c>
      <c r="K40688" s="31" t="n">
        <f aca="false">IF(J40971=1,$C$40651,IF(Assumptions!$I$59=1,MAX(K40649,Assumptions!$G$59)+Assumptions!$F$59+$C$40650,Assumptions!$E$59))</f>
        <v>0.0731</v>
      </c>
    </row>
    <row r="40689" customFormat="false" ht="15" hidden="false" customHeight="false" outlineLevel="0" collapsed="false">
      <c r="A40689" s="3" t="s">
        <v>332</v>
      </c>
      <c r="G40689" s="16" t="n">
        <f aca="false">G40685*G40688</f>
        <v>4.1903844</v>
      </c>
      <c r="H40689" s="16" t="n">
        <f aca="false">H40685*H40688</f>
        <v>4.1903844</v>
      </c>
      <c r="I40689" s="16" t="n">
        <f aca="false">I40685*I40688</f>
        <v>4.1903844</v>
      </c>
      <c r="J40689" s="16" t="n">
        <f aca="false">J40685*J40688</f>
        <v>4.1903844</v>
      </c>
      <c r="K40689" s="16" t="n">
        <f aca="false">K40685*K40688</f>
        <v>4.1903844</v>
      </c>
    </row>
    <row r="40690" customFormat="false" ht="15" hidden="false" customHeight="false" outlineLevel="0" collapsed="false">
      <c r="A40690" s="3" t="s">
        <v>333</v>
      </c>
      <c r="G40690" s="16" t="n">
        <f aca="false">G40685*Assumptions!$H$59</f>
        <v>0</v>
      </c>
      <c r="H40690" s="16" t="n">
        <f aca="false">H40685*Assumptions!$H$59</f>
        <v>0</v>
      </c>
      <c r="I40690" s="16" t="n">
        <f aca="false">I40685*Assumptions!$H$59</f>
        <v>0</v>
      </c>
      <c r="J40690" s="16" t="n">
        <f aca="false">J40685*Assumptions!$H$59</f>
        <v>0</v>
      </c>
      <c r="K40690" s="16" t="n">
        <f aca="false">K40685*Assumptions!$H$59</f>
        <v>0</v>
      </c>
    </row>
    <row r="40691" customFormat="false" ht="15" hidden="false" customHeight="false" outlineLevel="0" collapsed="false">
      <c r="A40691" s="3" t="s">
        <v>334</v>
      </c>
      <c r="G40691" s="16" t="n">
        <f aca="false">MIN(G40685,Assumptions!$L$59*Assumptions!$C$59)</f>
        <v>0</v>
      </c>
      <c r="H40691" s="16" t="n">
        <f aca="false">MIN(H40685,Assumptions!$L$59*Assumptions!$C$59)</f>
        <v>0</v>
      </c>
      <c r="I40691" s="16" t="n">
        <f aca="false">MIN(I40685,Assumptions!$L$59*Assumptions!$C$59)</f>
        <v>0</v>
      </c>
      <c r="J40691" s="16" t="n">
        <f aca="false">MIN(J40685,Assumptions!$L$59*Assumptions!$C$59)</f>
        <v>0</v>
      </c>
      <c r="K40691" s="16" t="n">
        <f aca="false">MIN(K40685,Assumptions!$L$59*Assumptions!$C$59)</f>
        <v>0</v>
      </c>
    </row>
    <row r="40692" customFormat="false" ht="15" hidden="false" customHeight="false" outlineLevel="0" collapsed="false">
      <c r="A40692" s="3" t="s">
        <v>335</v>
      </c>
      <c r="G40692" s="16" t="n">
        <f aca="false">IF(AND(Assumptions!$P$59=1,G40623&lt;Assumptions!$K$59),MIN(MAX(0,-G40839),MAX(0,Assumptions!$D$59-G40685)),0)</f>
        <v>0</v>
      </c>
      <c r="H40692" s="16" t="n">
        <f aca="false">IF(AND(Assumptions!$P$59=1,OR(H40623&lt;Assumptions!$K$59,G40971=1)),MIN(MAX(0,-H40839),MAX(0,Assumptions!$D$59-H40685)),0)</f>
        <v>0</v>
      </c>
      <c r="I40692" s="16" t="n">
        <f aca="false">IF(AND(Assumptions!$P$59=1,OR(I40623&lt;Assumptions!$K$59,H40971=1)),MIN(MAX(0,-I40839),MAX(0,Assumptions!$D$59-I40685)),0)</f>
        <v>0</v>
      </c>
      <c r="J40692" s="16" t="n">
        <f aca="false">IF(AND(Assumptions!$P$59=1,OR(J40623&lt;Assumptions!$K$59,I40971=1)),MIN(MAX(0,-J40839),MAX(0,Assumptions!$D$59-J40685)),0)</f>
        <v>0</v>
      </c>
      <c r="K40692" s="16" t="n">
        <f aca="false">IF(AND(Assumptions!$P$59=1,OR(K40623&lt;Assumptions!$K$59,J40971=1)),MIN(MAX(0,-K40839),MAX(0,Assumptions!$D$59-K40685)),0)</f>
        <v>0</v>
      </c>
    </row>
    <row r="40693" customFormat="false" ht="15" hidden="false" customHeight="false" outlineLevel="0" collapsed="false">
      <c r="A40693" s="3" t="s">
        <v>336</v>
      </c>
      <c r="G40693" s="16" t="n">
        <f aca="false">G40686*MIN(G40685-G40691+G40690,MAX(0,G40841-Assumptions!$C$12*G40657-G40667-G40680))</f>
        <v>0</v>
      </c>
      <c r="H40693" s="16" t="n">
        <f aca="false">H40686*MIN(H40685-H40691+H40690,MAX(0,H40841-Assumptions!$C$12*H40657-H40667-H40680))</f>
        <v>0</v>
      </c>
      <c r="I40693" s="16" t="n">
        <f aca="false">I40686*MIN(I40685-I40691+I40690,MAX(0,I40841-Assumptions!$C$12*I40657-I40667-I40680))</f>
        <v>0</v>
      </c>
      <c r="J40693" s="16" t="n">
        <f aca="false">J40686*MIN(J40685-J40691+J40690,MAX(0,J40841-Assumptions!$C$12*J40657-J40667-J40680))</f>
        <v>0</v>
      </c>
      <c r="K40693" s="16" t="n">
        <f aca="false">K40686*MIN(K40685-K40691+K40690,MAX(0,K40841-Assumptions!$C$12*K40657-K40667-K40680))</f>
        <v>0</v>
      </c>
    </row>
    <row r="40694" customFormat="false" ht="15" hidden="false" customHeight="false" outlineLevel="0" collapsed="false">
      <c r="A40694" s="3" t="s">
        <v>337</v>
      </c>
      <c r="G40694" s="16" t="n">
        <f aca="false">Assumptions!$N$59*MIN(G40685+G40692+G40690-G40691-G40693,MAX(0,G40845-G40668-G40681))</f>
        <v>0</v>
      </c>
      <c r="H40694" s="16" t="n">
        <f aca="false">Assumptions!$N$59*MIN(H40685+H40692+H40690-H40691-H40693,MAX(0,H40845-H40668-H40681))</f>
        <v>0</v>
      </c>
      <c r="I40694" s="16" t="n">
        <f aca="false">Assumptions!$N$59*MIN(I40685+I40692+I40690-I40691-I40693,MAX(0,I40845-I40668-I40681))</f>
        <v>0</v>
      </c>
      <c r="J40694" s="16" t="n">
        <f aca="false">Assumptions!$N$59*MIN(J40685+J40692+J40690-J40691-J40693,MAX(0,J40845-J40668-J40681))</f>
        <v>0</v>
      </c>
      <c r="K40694" s="16" t="n">
        <f aca="false">Assumptions!$N$59*MIN(K40685+K40692+K40690-K40691-K40693,MAX(0,K40845-K40668-K40681))</f>
        <v>0</v>
      </c>
    </row>
    <row r="40695" customFormat="false" ht="15" hidden="false" customHeight="false" outlineLevel="0" collapsed="false">
      <c r="A40695" s="3" t="s">
        <v>338</v>
      </c>
      <c r="G40695" s="16" t="n">
        <f aca="false">G40686*(1-G40657)*(G40685-G40691+G40690-G40693)</f>
        <v>0</v>
      </c>
      <c r="H40695" s="16" t="n">
        <f aca="false">H40686*(1-H40657)*(H40685-H40691+H40690-H40693)</f>
        <v>0</v>
      </c>
      <c r="I40695" s="16" t="n">
        <f aca="false">I40686*(1-I40657)*(I40685-I40691+I40690-I40693)</f>
        <v>0</v>
      </c>
      <c r="J40695" s="16" t="n">
        <f aca="false">J40686*(1-J40657)*(J40685-J40691+J40690-J40693)</f>
        <v>0</v>
      </c>
      <c r="K40695" s="16" t="n">
        <f aca="false">K40686*(1-K40657)*(K40685-K40691+K40690-K40693)</f>
        <v>0</v>
      </c>
    </row>
    <row r="40696" customFormat="false" ht="15" hidden="false" customHeight="false" outlineLevel="0" collapsed="false">
      <c r="A40696" s="2" t="s">
        <v>339</v>
      </c>
      <c r="F40696" s="28" t="n">
        <f aca="false">Assumptions!$C$59</f>
        <v>57.324</v>
      </c>
      <c r="G40696" s="17" t="n">
        <f aca="false">G40685+G40692+G40690-G40691-G40693-G40694</f>
        <v>57.324</v>
      </c>
      <c r="H40696" s="17" t="n">
        <f aca="false">H40685+H40692+H40690-H40691-H40693-H40694</f>
        <v>57.324</v>
      </c>
      <c r="I40696" s="17" t="n">
        <f aca="false">I40685+I40692+I40690-I40691-I40693-I40694</f>
        <v>57.324</v>
      </c>
      <c r="J40696" s="17" t="n">
        <f aca="false">J40685+J40692+J40690-J40691-J40693-J40694</f>
        <v>57.324</v>
      </c>
      <c r="K40696" s="17" t="n">
        <f aca="false">K40685+K40692+K40690-K40691-K40693-K40694</f>
        <v>57.324</v>
      </c>
    </row>
    <row r="40697" customFormat="false" ht="15" hidden="false" customHeight="false" outlineLevel="0" collapsed="false">
      <c r="A40697" s="24" t="s">
        <v>342</v>
      </c>
      <c r="B40697" s="25"/>
      <c r="C40697" s="25"/>
      <c r="D40697" s="25"/>
      <c r="E40697" s="25"/>
      <c r="F40697" s="25"/>
      <c r="G40697" s="25"/>
      <c r="H40697" s="25"/>
      <c r="I40697" s="25"/>
      <c r="J40697" s="25"/>
      <c r="K40697" s="25"/>
    </row>
    <row r="40698" customFormat="false" ht="15" hidden="false" customHeight="false" outlineLevel="0" collapsed="false">
      <c r="A40698" s="3" t="s">
        <v>329</v>
      </c>
      <c r="G40698" s="16" t="n">
        <f aca="false">F40709</f>
        <v>0</v>
      </c>
      <c r="H40698" s="16" t="n">
        <f aca="false">G40709</f>
        <v>0</v>
      </c>
      <c r="I40698" s="16" t="n">
        <f aca="false">H40709</f>
        <v>0</v>
      </c>
      <c r="J40698" s="16" t="n">
        <f aca="false">I40709</f>
        <v>0</v>
      </c>
      <c r="K40698" s="16" t="n">
        <f aca="false">J40709</f>
        <v>0</v>
      </c>
    </row>
    <row r="40699" customFormat="false" ht="15" hidden="false" customHeight="false" outlineLevel="0" collapsed="false">
      <c r="A40699" s="3" t="s">
        <v>330</v>
      </c>
      <c r="G40699" s="21" t="n">
        <f aca="false">IF(G40623=Assumptions!$K$60,1,0)</f>
        <v>1</v>
      </c>
      <c r="H40699" s="21" t="n">
        <f aca="false">IF(H40623=Assumptions!$K$60,1,0)</f>
        <v>0</v>
      </c>
      <c r="I40699" s="21" t="n">
        <f aca="false">IF(I40623=Assumptions!$K$60,1,0)</f>
        <v>0</v>
      </c>
      <c r="J40699" s="21" t="n">
        <f aca="false">IF(J40623=Assumptions!$K$60,1,0)</f>
        <v>0</v>
      </c>
      <c r="K40699" s="21" t="n">
        <f aca="false">IF(K40623=Assumptions!$K$60,1,0)</f>
        <v>0</v>
      </c>
    </row>
    <row r="40701" customFormat="false" ht="15" hidden="false" customHeight="false" outlineLevel="0" collapsed="false">
      <c r="A40701" s="3" t="s">
        <v>331</v>
      </c>
      <c r="G40701" s="31" t="n">
        <f aca="false">IF(Assumptions!$I$60=1,MAX(G40649,Assumptions!$G$60)+Assumptions!$F$60+$C$40650,Assumptions!$E$60)</f>
        <v>0.084</v>
      </c>
      <c r="H40701" s="31" t="n">
        <f aca="false">IF(G40972=1,$C$40651,IF(Assumptions!$I$60=1,MAX(H40649,Assumptions!$G$60)+Assumptions!$F$60+$C$40650,Assumptions!$E$60))</f>
        <v>0.0825</v>
      </c>
      <c r="I40701" s="31" t="n">
        <f aca="false">IF(H40972=1,$C$40651,IF(Assumptions!$I$60=1,MAX(I40649,Assumptions!$G$60)+Assumptions!$F$60+$C$40650,Assumptions!$E$60))</f>
        <v>0.08</v>
      </c>
      <c r="J40701" s="31" t="n">
        <f aca="false">IF(I40972=1,$C$40651,IF(Assumptions!$I$60=1,MAX(J40649,Assumptions!$G$60)+Assumptions!$F$60+$C$40650,Assumptions!$E$60))</f>
        <v>0.08</v>
      </c>
      <c r="K40701" s="31" t="n">
        <f aca="false">IF(J40972=1,$C$40651,IF(Assumptions!$I$60=1,MAX(K40649,Assumptions!$G$60)+Assumptions!$F$60+$C$40650,Assumptions!$E$60))</f>
        <v>0.08</v>
      </c>
    </row>
    <row r="40702" customFormat="false" ht="15" hidden="false" customHeight="false" outlineLevel="0" collapsed="false">
      <c r="A40702" s="3" t="s">
        <v>332</v>
      </c>
      <c r="G40702" s="16" t="n">
        <f aca="false">G40698*G40701</f>
        <v>0</v>
      </c>
      <c r="H40702" s="16" t="n">
        <f aca="false">H40698*H40701</f>
        <v>0</v>
      </c>
      <c r="I40702" s="16" t="n">
        <f aca="false">I40698*I40701</f>
        <v>0</v>
      </c>
      <c r="J40702" s="16" t="n">
        <f aca="false">J40698*J40701</f>
        <v>0</v>
      </c>
      <c r="K40702" s="16" t="n">
        <f aca="false">K40698*K40701</f>
        <v>0</v>
      </c>
    </row>
    <row r="40703" customFormat="false" ht="15" hidden="false" customHeight="false" outlineLevel="0" collapsed="false">
      <c r="A40703" s="3" t="s">
        <v>333</v>
      </c>
      <c r="G40703" s="16" t="n">
        <f aca="false">G40698*Assumptions!$H$60</f>
        <v>0</v>
      </c>
      <c r="H40703" s="16" t="n">
        <f aca="false">H40698*Assumptions!$H$60</f>
        <v>0</v>
      </c>
      <c r="I40703" s="16" t="n">
        <f aca="false">I40698*Assumptions!$H$60</f>
        <v>0</v>
      </c>
      <c r="J40703" s="16" t="n">
        <f aca="false">J40698*Assumptions!$H$60</f>
        <v>0</v>
      </c>
      <c r="K40703" s="16" t="n">
        <f aca="false">K40698*Assumptions!$H$60</f>
        <v>0</v>
      </c>
    </row>
    <row r="40704" customFormat="false" ht="15" hidden="false" customHeight="false" outlineLevel="0" collapsed="false">
      <c r="A40704" s="3" t="s">
        <v>334</v>
      </c>
      <c r="G40704" s="16" t="n">
        <f aca="false">MIN(G40698,Assumptions!$L$60*Assumptions!$C$60)</f>
        <v>0</v>
      </c>
      <c r="H40704" s="16" t="n">
        <f aca="false">MIN(H40698,Assumptions!$L$60*Assumptions!$C$60)</f>
        <v>0</v>
      </c>
      <c r="I40704" s="16" t="n">
        <f aca="false">MIN(I40698,Assumptions!$L$60*Assumptions!$C$60)</f>
        <v>0</v>
      </c>
      <c r="J40704" s="16" t="n">
        <f aca="false">MIN(J40698,Assumptions!$L$60*Assumptions!$C$60)</f>
        <v>0</v>
      </c>
      <c r="K40704" s="16" t="n">
        <f aca="false">MIN(K40698,Assumptions!$L$60*Assumptions!$C$60)</f>
        <v>0</v>
      </c>
    </row>
    <row r="40705" customFormat="false" ht="15" hidden="false" customHeight="false" outlineLevel="0" collapsed="false">
      <c r="A40705" s="3" t="s">
        <v>335</v>
      </c>
      <c r="G40705" s="16" t="n">
        <f aca="false">IF(AND(Assumptions!$P$60=1,G40623&lt;Assumptions!$K$60),MIN(MAX(0,-G40839),MAX(0,Assumptions!$D$60-G40698)),0)</f>
        <v>0</v>
      </c>
      <c r="H40705" s="16" t="n">
        <f aca="false">IF(AND(Assumptions!$P$60=1,OR(H40623&lt;Assumptions!$K$60,G40972=1)),MIN(MAX(0,-H40839),MAX(0,Assumptions!$D$60-H40698)),0)</f>
        <v>0</v>
      </c>
      <c r="I40705" s="16" t="n">
        <f aca="false">IF(AND(Assumptions!$P$60=1,OR(I40623&lt;Assumptions!$K$60,H40972=1)),MIN(MAX(0,-I40839),MAX(0,Assumptions!$D$60-I40698)),0)</f>
        <v>0</v>
      </c>
      <c r="J40705" s="16" t="n">
        <f aca="false">IF(AND(Assumptions!$P$60=1,OR(J40623&lt;Assumptions!$K$60,I40972=1)),MIN(MAX(0,-J40839),MAX(0,Assumptions!$D$60-J40698)),0)</f>
        <v>0</v>
      </c>
      <c r="K40705" s="16" t="n">
        <f aca="false">IF(AND(Assumptions!$P$60=1,OR(K40623&lt;Assumptions!$K$60,J40972=1)),MIN(MAX(0,-K40839),MAX(0,Assumptions!$D$60-K40698)),0)</f>
        <v>0</v>
      </c>
    </row>
    <row r="40706" customFormat="false" ht="15" hidden="false" customHeight="false" outlineLevel="0" collapsed="false">
      <c r="A40706" s="3" t="s">
        <v>336</v>
      </c>
      <c r="G40706" s="16" t="n">
        <f aca="false">G40699*MIN(G40698-G40704+G40703,MAX(0,G40841-Assumptions!$C$12*G40657-G40667-G40680-G40693))</f>
        <v>0</v>
      </c>
      <c r="H40706" s="16" t="n">
        <f aca="false">H40699*MIN(H40698-H40704+H40703,MAX(0,H40841-Assumptions!$C$12*H40657-H40667-H40680-H40693))</f>
        <v>0</v>
      </c>
      <c r="I40706" s="16" t="n">
        <f aca="false">I40699*MIN(I40698-I40704+I40703,MAX(0,I40841-Assumptions!$C$12*I40657-I40667-I40680-I40693))</f>
        <v>0</v>
      </c>
      <c r="J40706" s="16" t="n">
        <f aca="false">J40699*MIN(J40698-J40704+J40703,MAX(0,J40841-Assumptions!$C$12*J40657-J40667-J40680-J40693))</f>
        <v>0</v>
      </c>
      <c r="K40706" s="16" t="n">
        <f aca="false">K40699*MIN(K40698-K40704+K40703,MAX(0,K40841-Assumptions!$C$12*K40657-K40667-K40680-K40693))</f>
        <v>0</v>
      </c>
    </row>
    <row r="40707" customFormat="false" ht="15" hidden="false" customHeight="false" outlineLevel="0" collapsed="false">
      <c r="A40707" s="3" t="s">
        <v>337</v>
      </c>
      <c r="G40707" s="16" t="n">
        <f aca="false">Assumptions!$N$60*MIN(G40698+G40705+G40703-G40704-G40706,MAX(0,G40845-G40668-G40681-G40694))</f>
        <v>0</v>
      </c>
      <c r="H40707" s="16" t="n">
        <f aca="false">Assumptions!$N$60*MIN(H40698+H40705+H40703-H40704-H40706,MAX(0,H40845-H40668-H40681-H40694))</f>
        <v>0</v>
      </c>
      <c r="I40707" s="16" t="n">
        <f aca="false">Assumptions!$N$60*MIN(I40698+I40705+I40703-I40704-I40706,MAX(0,I40845-I40668-I40681-I40694))</f>
        <v>0</v>
      </c>
      <c r="J40707" s="16" t="n">
        <f aca="false">Assumptions!$N$60*MIN(J40698+J40705+J40703-J40704-J40706,MAX(0,J40845-J40668-J40681-J40694))</f>
        <v>0</v>
      </c>
      <c r="K40707" s="16" t="n">
        <f aca="false">Assumptions!$N$60*MIN(K40698+K40705+K40703-K40704-K40706,MAX(0,K40845-K40668-K40681-K40694))</f>
        <v>0</v>
      </c>
    </row>
    <row r="40708" customFormat="false" ht="15" hidden="false" customHeight="false" outlineLevel="0" collapsed="false">
      <c r="A40708" s="3" t="s">
        <v>338</v>
      </c>
      <c r="G40708" s="16" t="n">
        <f aca="false">G40699*(1-G40657)*(G40698-G40704+G40703-G40706)</f>
        <v>0</v>
      </c>
      <c r="H40708" s="16" t="n">
        <f aca="false">H40699*(1-H40657)*(H40698-H40704+H40703-H40706)</f>
        <v>0</v>
      </c>
      <c r="I40708" s="16" t="n">
        <f aca="false">I40699*(1-I40657)*(I40698-I40704+I40703-I40706)</f>
        <v>0</v>
      </c>
      <c r="J40708" s="16" t="n">
        <f aca="false">J40699*(1-J40657)*(J40698-J40704+J40703-J40706)</f>
        <v>0</v>
      </c>
      <c r="K40708" s="16" t="n">
        <f aca="false">K40699*(1-K40657)*(K40698-K40704+K40703-K40706)</f>
        <v>0</v>
      </c>
    </row>
    <row r="40709" customFormat="false" ht="15" hidden="false" customHeight="false" outlineLevel="0" collapsed="false">
      <c r="A40709" s="2" t="s">
        <v>339</v>
      </c>
      <c r="F40709" s="28" t="n">
        <f aca="false">Assumptions!$C$60</f>
        <v>0</v>
      </c>
      <c r="G40709" s="17" t="n">
        <f aca="false">G40698+G40705+G40703-G40704-G40706-G40707</f>
        <v>0</v>
      </c>
      <c r="H40709" s="17" t="n">
        <f aca="false">H40698+H40705+H40703-H40704-H40706-H40707</f>
        <v>0</v>
      </c>
      <c r="I40709" s="17" t="n">
        <f aca="false">I40698+I40705+I40703-I40704-I40706-I40707</f>
        <v>0</v>
      </c>
      <c r="J40709" s="17" t="n">
        <f aca="false">J40698+J40705+J40703-J40704-J40706-J40707</f>
        <v>0</v>
      </c>
      <c r="K40709" s="17" t="n">
        <f aca="false">K40698+K40705+K40703-K40704-K40706-K40707</f>
        <v>0</v>
      </c>
    </row>
    <row r="40710" customFormat="false" ht="15" hidden="false" customHeight="false" outlineLevel="0" collapsed="false">
      <c r="A40710" s="24" t="s">
        <v>343</v>
      </c>
      <c r="B40710" s="25"/>
      <c r="C40710" s="25"/>
      <c r="D40710" s="25"/>
      <c r="E40710" s="25"/>
      <c r="F40710" s="25"/>
      <c r="G40710" s="25"/>
      <c r="H40710" s="25"/>
      <c r="I40710" s="25"/>
      <c r="J40710" s="25"/>
      <c r="K40710" s="25"/>
    </row>
    <row r="40711" customFormat="false" ht="15" hidden="false" customHeight="false" outlineLevel="0" collapsed="false">
      <c r="A40711" s="3" t="s">
        <v>329</v>
      </c>
      <c r="G40711" s="16" t="n">
        <f aca="false">F40722</f>
        <v>450</v>
      </c>
      <c r="H40711" s="16" t="n">
        <f aca="false">G40722</f>
        <v>450</v>
      </c>
      <c r="I40711" s="16" t="n">
        <f aca="false">H40722</f>
        <v>434.9547587</v>
      </c>
      <c r="J40711" s="16" t="n">
        <f aca="false">I40722</f>
        <v>434.9547587</v>
      </c>
      <c r="K40711" s="16" t="n">
        <f aca="false">J40722</f>
        <v>434.9547587</v>
      </c>
    </row>
    <row r="40712" customFormat="false" ht="15" hidden="false" customHeight="false" outlineLevel="0" collapsed="false">
      <c r="A40712" s="3" t="s">
        <v>330</v>
      </c>
      <c r="G40712" s="21" t="n">
        <f aca="false">IF(G40623=Assumptions!$K$61,1,0)</f>
        <v>0</v>
      </c>
      <c r="H40712" s="21" t="n">
        <f aca="false">IF(H40623=Assumptions!$K$61,1,0)</f>
        <v>1</v>
      </c>
      <c r="I40712" s="21" t="n">
        <f aca="false">IF(I40623=Assumptions!$K$61,1,0)</f>
        <v>0</v>
      </c>
      <c r="J40712" s="21" t="n">
        <f aca="false">IF(J40623=Assumptions!$K$61,1,0)</f>
        <v>0</v>
      </c>
      <c r="K40712" s="21" t="n">
        <f aca="false">IF(K40623=Assumptions!$K$61,1,0)</f>
        <v>0</v>
      </c>
    </row>
    <row r="40714" customFormat="false" ht="15" hidden="false" customHeight="false" outlineLevel="0" collapsed="false">
      <c r="A40714" s="3" t="s">
        <v>331</v>
      </c>
      <c r="G40714" s="31" t="n">
        <f aca="false">IF(Assumptions!$I$61=1,MAX(G40649,Assumptions!$G$61)+Assumptions!$F$61+$C$40650,Assumptions!$E$61)</f>
        <v>0.0395</v>
      </c>
      <c r="H40714" s="31" t="n">
        <f aca="false">IF(G40973=1,$C$40651,IF(Assumptions!$I$61=1,MAX(H40649,Assumptions!$G$61)+Assumptions!$F$61+$C$40650,Assumptions!$E$61))</f>
        <v>0.0395</v>
      </c>
      <c r="I40714" s="31" t="n">
        <f aca="false">IF(H40973=1,$C$40651,IF(Assumptions!$I$61=1,MAX(I40649,Assumptions!$G$61)+Assumptions!$F$61+$C$40650,Assumptions!$E$61))</f>
        <v>0.0395</v>
      </c>
      <c r="J40714" s="31" t="n">
        <f aca="false">IF(I40973=1,$C$40651,IF(Assumptions!$I$61=1,MAX(J40649,Assumptions!$G$61)+Assumptions!$F$61+$C$40650,Assumptions!$E$61))</f>
        <v>0.0395</v>
      </c>
      <c r="K40714" s="31" t="n">
        <f aca="false">IF(J40973=1,$C$40651,IF(Assumptions!$I$61=1,MAX(K40649,Assumptions!$G$61)+Assumptions!$F$61+$C$40650,Assumptions!$E$61))</f>
        <v>0.0395</v>
      </c>
    </row>
    <row r="40715" customFormat="false" ht="15" hidden="false" customHeight="false" outlineLevel="0" collapsed="false">
      <c r="A40715" s="3" t="s">
        <v>332</v>
      </c>
      <c r="G40715" s="16" t="n">
        <f aca="false">G40711*G40714</f>
        <v>17.775</v>
      </c>
      <c r="H40715" s="16" t="n">
        <f aca="false">H40711*H40714</f>
        <v>17.775</v>
      </c>
      <c r="I40715" s="16" t="n">
        <f aca="false">I40711*I40714</f>
        <v>17.18071296865</v>
      </c>
      <c r="J40715" s="16" t="n">
        <f aca="false">J40711*J40714</f>
        <v>17.18071296865</v>
      </c>
      <c r="K40715" s="16" t="n">
        <f aca="false">K40711*K40714</f>
        <v>17.18071296865</v>
      </c>
    </row>
    <row r="40716" customFormat="false" ht="15" hidden="false" customHeight="false" outlineLevel="0" collapsed="false">
      <c r="A40716" s="3" t="s">
        <v>333</v>
      </c>
      <c r="G40716" s="16" t="n">
        <f aca="false">G40711*Assumptions!$H$61</f>
        <v>0</v>
      </c>
      <c r="H40716" s="16" t="n">
        <f aca="false">H40711*Assumptions!$H$61</f>
        <v>0</v>
      </c>
      <c r="I40716" s="16" t="n">
        <f aca="false">I40711*Assumptions!$H$61</f>
        <v>0</v>
      </c>
      <c r="J40716" s="16" t="n">
        <f aca="false">J40711*Assumptions!$H$61</f>
        <v>0</v>
      </c>
      <c r="K40716" s="16" t="n">
        <f aca="false">K40711*Assumptions!$H$61</f>
        <v>0</v>
      </c>
    </row>
    <row r="40717" customFormat="false" ht="15" hidden="false" customHeight="false" outlineLevel="0" collapsed="false">
      <c r="A40717" s="3" t="s">
        <v>334</v>
      </c>
      <c r="G40717" s="16" t="n">
        <f aca="false">MIN(G40711,Assumptions!$L$61*Assumptions!$C$61)</f>
        <v>0</v>
      </c>
      <c r="H40717" s="16" t="n">
        <f aca="false">MIN(H40711,Assumptions!$L$61*Assumptions!$C$61)</f>
        <v>0</v>
      </c>
      <c r="I40717" s="16" t="n">
        <f aca="false">MIN(I40711,Assumptions!$L$61*Assumptions!$C$61)</f>
        <v>0</v>
      </c>
      <c r="J40717" s="16" t="n">
        <f aca="false">MIN(J40711,Assumptions!$L$61*Assumptions!$C$61)</f>
        <v>0</v>
      </c>
      <c r="K40717" s="16" t="n">
        <f aca="false">MIN(K40711,Assumptions!$L$61*Assumptions!$C$61)</f>
        <v>0</v>
      </c>
    </row>
    <row r="40718" customFormat="false" ht="15" hidden="false" customHeight="false" outlineLevel="0" collapsed="false">
      <c r="A40718" s="3" t="s">
        <v>335</v>
      </c>
      <c r="G40718" s="16" t="n">
        <f aca="false">IF(AND(Assumptions!$P$61=1,G40623&lt;Assumptions!$K$61),MIN(MAX(0,-G40839),MAX(0,Assumptions!$D$61-G40711)),0)</f>
        <v>0</v>
      </c>
      <c r="H40718" s="16" t="n">
        <f aca="false">IF(AND(Assumptions!$P$61=1,OR(H40623&lt;Assumptions!$K$61,G40973=1)),MIN(MAX(0,-H40839),MAX(0,Assumptions!$D$61-H40711)),0)</f>
        <v>0</v>
      </c>
      <c r="I40718" s="16" t="n">
        <f aca="false">IF(AND(Assumptions!$P$61=1,OR(I40623&lt;Assumptions!$K$61,H40973=1)),MIN(MAX(0,-I40839),MAX(0,Assumptions!$D$61-I40711)),0)</f>
        <v>0</v>
      </c>
      <c r="J40718" s="16" t="n">
        <f aca="false">IF(AND(Assumptions!$P$61=1,OR(J40623&lt;Assumptions!$K$61,I40973=1)),MIN(MAX(0,-J40839),MAX(0,Assumptions!$D$61-J40711)),0)</f>
        <v>0</v>
      </c>
      <c r="K40718" s="16" t="n">
        <f aca="false">IF(AND(Assumptions!$P$61=1,OR(K40623&lt;Assumptions!$K$61,J40973=1)),MIN(MAX(0,-K40839),MAX(0,Assumptions!$D$61-K40711)),0)</f>
        <v>0</v>
      </c>
    </row>
    <row r="40719" customFormat="false" ht="15" hidden="false" customHeight="false" outlineLevel="0" collapsed="false">
      <c r="A40719" s="3" t="s">
        <v>336</v>
      </c>
      <c r="G40719" s="16" t="n">
        <f aca="false">G40712*MIN(G40711-G40717+G40716,MAX(0,G40841-Assumptions!$C$12*G40657-G40667-G40680-G40693-G40706))</f>
        <v>0</v>
      </c>
      <c r="H40719" s="16" t="n">
        <f aca="false">H40712*MIN(H40711-H40717+H40716,MAX(0,H40841-Assumptions!$C$12*H40657-H40667-H40680-H40693-H40706))</f>
        <v>15.0452413</v>
      </c>
      <c r="I40719" s="16" t="n">
        <f aca="false">I40712*MIN(I40711-I40717+I40716,MAX(0,I40841-Assumptions!$C$12*I40657-I40667-I40680-I40693-I40706))</f>
        <v>0</v>
      </c>
      <c r="J40719" s="16" t="n">
        <f aca="false">J40712*MIN(J40711-J40717+J40716,MAX(0,J40841-Assumptions!$C$12*J40657-J40667-J40680-J40693-J40706))</f>
        <v>0</v>
      </c>
      <c r="K40719" s="16" t="n">
        <f aca="false">K40712*MIN(K40711-K40717+K40716,MAX(0,K40841-Assumptions!$C$12*K40657-K40667-K40680-K40693-K40706))</f>
        <v>0</v>
      </c>
    </row>
    <row r="40720" customFormat="false" ht="15" hidden="false" customHeight="false" outlineLevel="0" collapsed="false">
      <c r="A40720" s="3" t="s">
        <v>337</v>
      </c>
      <c r="G40720" s="16" t="n">
        <f aca="false">Assumptions!$N$61*MIN(G40711+G40718+G40716-G40717-G40719,MAX(0,G40845-G40668-G40681-G40694-G40707))</f>
        <v>0</v>
      </c>
      <c r="H40720" s="16" t="n">
        <f aca="false">Assumptions!$N$61*MIN(H40711+H40718+H40716-H40717-H40719,MAX(0,H40845-H40668-H40681-H40694-H40707))</f>
        <v>0</v>
      </c>
      <c r="I40720" s="16" t="n">
        <f aca="false">Assumptions!$N$61*MIN(I40711+I40718+I40716-I40717-I40719,MAX(0,I40845-I40668-I40681-I40694-I40707))</f>
        <v>0</v>
      </c>
      <c r="J40720" s="16" t="n">
        <f aca="false">Assumptions!$N$61*MIN(J40711+J40718+J40716-J40717-J40719,MAX(0,J40845-J40668-J40681-J40694-J40707))</f>
        <v>0</v>
      </c>
      <c r="K40720" s="16" t="n">
        <f aca="false">Assumptions!$N$61*MIN(K40711+K40718+K40716-K40717-K40719,MAX(0,K40845-K40668-K40681-K40694-K40707))</f>
        <v>0</v>
      </c>
    </row>
    <row r="40721" customFormat="false" ht="15" hidden="false" customHeight="false" outlineLevel="0" collapsed="false">
      <c r="A40721" s="3" t="s">
        <v>338</v>
      </c>
      <c r="G40721" s="16" t="n">
        <f aca="false">G40712*(1-G40657)*(G40711-G40717+G40716-G40719)</f>
        <v>0</v>
      </c>
      <c r="H40721" s="16" t="n">
        <f aca="false">H40712*(1-H40657)*(H40711-H40717+H40716-H40719)</f>
        <v>434.9547587</v>
      </c>
      <c r="I40721" s="16" t="n">
        <f aca="false">I40712*(1-I40657)*(I40711-I40717+I40716-I40719)</f>
        <v>0</v>
      </c>
      <c r="J40721" s="16" t="n">
        <f aca="false">J40712*(1-J40657)*(J40711-J40717+J40716-J40719)</f>
        <v>0</v>
      </c>
      <c r="K40721" s="16" t="n">
        <f aca="false">K40712*(1-K40657)*(K40711-K40717+K40716-K40719)</f>
        <v>0</v>
      </c>
    </row>
    <row r="40722" customFormat="false" ht="15" hidden="false" customHeight="false" outlineLevel="0" collapsed="false">
      <c r="A40722" s="2" t="s">
        <v>339</v>
      </c>
      <c r="F40722" s="28" t="n">
        <f aca="false">Assumptions!$C$61</f>
        <v>450</v>
      </c>
      <c r="G40722" s="17" t="n">
        <f aca="false">G40711+G40718+G40716-G40717-G40719-G40720</f>
        <v>450</v>
      </c>
      <c r="H40722" s="17" t="n">
        <f aca="false">H40711+H40718+H40716-H40717-H40719-H40720</f>
        <v>434.9547587</v>
      </c>
      <c r="I40722" s="17" t="n">
        <f aca="false">I40711+I40718+I40716-I40717-I40719-I40720</f>
        <v>434.9547587</v>
      </c>
      <c r="J40722" s="17" t="n">
        <f aca="false">J40711+J40718+J40716-J40717-J40719-J40720</f>
        <v>434.9547587</v>
      </c>
      <c r="K40722" s="17" t="n">
        <f aca="false">K40711+K40718+K40716-K40717-K40719-K40720</f>
        <v>434.9547587</v>
      </c>
    </row>
    <row r="40723" customFormat="false" ht="15" hidden="false" customHeight="false" outlineLevel="0" collapsed="false">
      <c r="A40723" s="24" t="s">
        <v>344</v>
      </c>
      <c r="B40723" s="25"/>
      <c r="C40723" s="25"/>
      <c r="D40723" s="25"/>
      <c r="E40723" s="25"/>
      <c r="F40723" s="25"/>
      <c r="G40723" s="25"/>
      <c r="H40723" s="25"/>
      <c r="I40723" s="25"/>
      <c r="J40723" s="25"/>
      <c r="K40723" s="25"/>
    </row>
    <row r="40724" customFormat="false" ht="15" hidden="false" customHeight="false" outlineLevel="0" collapsed="false">
      <c r="A40724" s="3" t="s">
        <v>329</v>
      </c>
      <c r="G40724" s="16" t="n">
        <f aca="false">F40735</f>
        <v>350</v>
      </c>
      <c r="H40724" s="16" t="n">
        <f aca="false">G40735</f>
        <v>350</v>
      </c>
      <c r="I40724" s="16" t="n">
        <f aca="false">H40735</f>
        <v>350</v>
      </c>
      <c r="J40724" s="16" t="n">
        <f aca="false">I40735</f>
        <v>350</v>
      </c>
      <c r="K40724" s="16" t="n">
        <f aca="false">J40735</f>
        <v>350</v>
      </c>
    </row>
    <row r="40725" customFormat="false" ht="15" hidden="false" customHeight="false" outlineLevel="0" collapsed="false">
      <c r="A40725" s="3" t="s">
        <v>330</v>
      </c>
      <c r="G40725" s="21" t="n">
        <f aca="false">IF(G40623=Assumptions!$K$62,1,0)</f>
        <v>0</v>
      </c>
      <c r="H40725" s="21" t="n">
        <f aca="false">IF(H40623=Assumptions!$K$62,1,0)</f>
        <v>1</v>
      </c>
      <c r="I40725" s="21" t="n">
        <f aca="false">IF(I40623=Assumptions!$K$62,1,0)</f>
        <v>0</v>
      </c>
      <c r="J40725" s="21" t="n">
        <f aca="false">IF(J40623=Assumptions!$K$62,1,0)</f>
        <v>0</v>
      </c>
      <c r="K40725" s="21" t="n">
        <f aca="false">IF(K40623=Assumptions!$K$62,1,0)</f>
        <v>0</v>
      </c>
    </row>
    <row r="40727" customFormat="false" ht="15" hidden="false" customHeight="false" outlineLevel="0" collapsed="false">
      <c r="A40727" s="3" t="s">
        <v>331</v>
      </c>
      <c r="G40727" s="31" t="n">
        <f aca="false">IF(Assumptions!$I$62=1,MAX(G40649,Assumptions!$G$62)+Assumptions!$F$62+$C$40650,Assumptions!$E$62)</f>
        <v>0.083</v>
      </c>
      <c r="H40727" s="31" t="n">
        <f aca="false">IF(G40974=1,$C$40651,IF(Assumptions!$I$62=1,MAX(H40649,Assumptions!$G$62)+Assumptions!$F$62+$C$40650,Assumptions!$E$62))</f>
        <v>0.083</v>
      </c>
      <c r="I40727" s="31" t="n">
        <f aca="false">IF(H40974=1,$C$40651,IF(Assumptions!$I$62=1,MAX(I40649,Assumptions!$G$62)+Assumptions!$F$62+$C$40650,Assumptions!$E$62))</f>
        <v>0.083</v>
      </c>
      <c r="J40727" s="31" t="n">
        <f aca="false">IF(I40974=1,$C$40651,IF(Assumptions!$I$62=1,MAX(J40649,Assumptions!$G$62)+Assumptions!$F$62+$C$40650,Assumptions!$E$62))</f>
        <v>0.083</v>
      </c>
      <c r="K40727" s="31" t="n">
        <f aca="false">IF(J40974=1,$C$40651,IF(Assumptions!$I$62=1,MAX(K40649,Assumptions!$G$62)+Assumptions!$F$62+$C$40650,Assumptions!$E$62))</f>
        <v>0.083</v>
      </c>
    </row>
    <row r="40728" customFormat="false" ht="15" hidden="false" customHeight="false" outlineLevel="0" collapsed="false">
      <c r="A40728" s="3" t="s">
        <v>332</v>
      </c>
      <c r="G40728" s="16" t="n">
        <f aca="false">G40724*G40727</f>
        <v>29.05</v>
      </c>
      <c r="H40728" s="16" t="n">
        <f aca="false">H40724*H40727</f>
        <v>29.05</v>
      </c>
      <c r="I40728" s="16" t="n">
        <f aca="false">I40724*I40727</f>
        <v>29.05</v>
      </c>
      <c r="J40728" s="16" t="n">
        <f aca="false">J40724*J40727</f>
        <v>29.05</v>
      </c>
      <c r="K40728" s="16" t="n">
        <f aca="false">K40724*K40727</f>
        <v>29.05</v>
      </c>
    </row>
    <row r="40729" customFormat="false" ht="15" hidden="false" customHeight="false" outlineLevel="0" collapsed="false">
      <c r="A40729" s="3" t="s">
        <v>333</v>
      </c>
      <c r="G40729" s="16" t="n">
        <f aca="false">G40724*Assumptions!$H$62</f>
        <v>0</v>
      </c>
      <c r="H40729" s="16" t="n">
        <f aca="false">H40724*Assumptions!$H$62</f>
        <v>0</v>
      </c>
      <c r="I40729" s="16" t="n">
        <f aca="false">I40724*Assumptions!$H$62</f>
        <v>0</v>
      </c>
      <c r="J40729" s="16" t="n">
        <f aca="false">J40724*Assumptions!$H$62</f>
        <v>0</v>
      </c>
      <c r="K40729" s="16" t="n">
        <f aca="false">K40724*Assumptions!$H$62</f>
        <v>0</v>
      </c>
    </row>
    <row r="40730" customFormat="false" ht="15" hidden="false" customHeight="false" outlineLevel="0" collapsed="false">
      <c r="A40730" s="3" t="s">
        <v>334</v>
      </c>
      <c r="G40730" s="16" t="n">
        <f aca="false">MIN(G40724,Assumptions!$L$62*Assumptions!$C$62)</f>
        <v>0</v>
      </c>
      <c r="H40730" s="16" t="n">
        <f aca="false">MIN(H40724,Assumptions!$L$62*Assumptions!$C$62)</f>
        <v>0</v>
      </c>
      <c r="I40730" s="16" t="n">
        <f aca="false">MIN(I40724,Assumptions!$L$62*Assumptions!$C$62)</f>
        <v>0</v>
      </c>
      <c r="J40730" s="16" t="n">
        <f aca="false">MIN(J40724,Assumptions!$L$62*Assumptions!$C$62)</f>
        <v>0</v>
      </c>
      <c r="K40730" s="16" t="n">
        <f aca="false">MIN(K40724,Assumptions!$L$62*Assumptions!$C$62)</f>
        <v>0</v>
      </c>
    </row>
    <row r="40731" customFormat="false" ht="15" hidden="false" customHeight="false" outlineLevel="0" collapsed="false">
      <c r="A40731" s="3" t="s">
        <v>335</v>
      </c>
      <c r="G40731" s="16" t="n">
        <f aca="false">IF(AND(Assumptions!$P$62=1,G40623&lt;Assumptions!$K$62),MIN(MAX(0,-G40839),MAX(0,Assumptions!$D$62-G40724)),0)</f>
        <v>0</v>
      </c>
      <c r="H40731" s="16" t="n">
        <f aca="false">IF(AND(Assumptions!$P$62=1,OR(H40623&lt;Assumptions!$K$62,G40974=1)),MIN(MAX(0,-H40839),MAX(0,Assumptions!$D$62-H40724)),0)</f>
        <v>0</v>
      </c>
      <c r="I40731" s="16" t="n">
        <f aca="false">IF(AND(Assumptions!$P$62=1,OR(I40623&lt;Assumptions!$K$62,H40974=1)),MIN(MAX(0,-I40839),MAX(0,Assumptions!$D$62-I40724)),0)</f>
        <v>0</v>
      </c>
      <c r="J40731" s="16" t="n">
        <f aca="false">IF(AND(Assumptions!$P$62=1,OR(J40623&lt;Assumptions!$K$62,I40974=1)),MIN(MAX(0,-J40839),MAX(0,Assumptions!$D$62-J40724)),0)</f>
        <v>0</v>
      </c>
      <c r="K40731" s="16" t="n">
        <f aca="false">IF(AND(Assumptions!$P$62=1,OR(K40623&lt;Assumptions!$K$62,J40974=1)),MIN(MAX(0,-K40839),MAX(0,Assumptions!$D$62-K40724)),0)</f>
        <v>0</v>
      </c>
    </row>
    <row r="40732" customFormat="false" ht="15" hidden="false" customHeight="false" outlineLevel="0" collapsed="false">
      <c r="A40732" s="3" t="s">
        <v>336</v>
      </c>
      <c r="G40732" s="16" t="n">
        <f aca="false">G40725*MIN(G40724-G40730+G40729,MAX(0,G40841-Assumptions!$C$12*G40657-G40667-G40680-G40693-G40706-G40719))</f>
        <v>0</v>
      </c>
      <c r="H40732" s="16" t="n">
        <f aca="false">H40725*MIN(H40724-H40730+H40729,MAX(0,H40841-Assumptions!$C$12*H40657-H40667-H40680-H40693-H40706-H40719))</f>
        <v>0</v>
      </c>
      <c r="I40732" s="16" t="n">
        <f aca="false">I40725*MIN(I40724-I40730+I40729,MAX(0,I40841-Assumptions!$C$12*I40657-I40667-I40680-I40693-I40706-I40719))</f>
        <v>0</v>
      </c>
      <c r="J40732" s="16" t="n">
        <f aca="false">J40725*MIN(J40724-J40730+J40729,MAX(0,J40841-Assumptions!$C$12*J40657-J40667-J40680-J40693-J40706-J40719))</f>
        <v>0</v>
      </c>
      <c r="K40732" s="16" t="n">
        <f aca="false">K40725*MIN(K40724-K40730+K40729,MAX(0,K40841-Assumptions!$C$12*K40657-K40667-K40680-K40693-K40706-K40719))</f>
        <v>0</v>
      </c>
    </row>
    <row r="40733" customFormat="false" ht="15" hidden="false" customHeight="false" outlineLevel="0" collapsed="false">
      <c r="A40733" s="3" t="s">
        <v>337</v>
      </c>
      <c r="G40733" s="16" t="n">
        <f aca="false">Assumptions!$N$62*MIN(G40724+G40731+G40729-G40730-G40732,MAX(0,G40845-G40668-G40681-G40694-G40707-G40720))</f>
        <v>0</v>
      </c>
      <c r="H40733" s="16" t="n">
        <f aca="false">Assumptions!$N$62*MIN(H40724+H40731+H40729-H40730-H40732,MAX(0,H40845-H40668-H40681-H40694-H40707-H40720))</f>
        <v>0</v>
      </c>
      <c r="I40733" s="16" t="n">
        <f aca="false">Assumptions!$N$62*MIN(I40724+I40731+I40729-I40730-I40732,MAX(0,I40845-I40668-I40681-I40694-I40707-I40720))</f>
        <v>0</v>
      </c>
      <c r="J40733" s="16" t="n">
        <f aca="false">Assumptions!$N$62*MIN(J40724+J40731+J40729-J40730-J40732,MAX(0,J40845-J40668-J40681-J40694-J40707-J40720))</f>
        <v>0</v>
      </c>
      <c r="K40733" s="16" t="n">
        <f aca="false">Assumptions!$N$62*MIN(K40724+K40731+K40729-K40730-K40732,MAX(0,K40845-K40668-K40681-K40694-K40707-K40720))</f>
        <v>0</v>
      </c>
    </row>
    <row r="40734" customFormat="false" ht="15" hidden="false" customHeight="false" outlineLevel="0" collapsed="false">
      <c r="A40734" s="3" t="s">
        <v>338</v>
      </c>
      <c r="G40734" s="16" t="n">
        <f aca="false">G40725*(1-G40657)*(G40724-G40730+G40729-G40732)</f>
        <v>0</v>
      </c>
      <c r="H40734" s="16" t="n">
        <f aca="false">H40725*(1-H40657)*(H40724-H40730+H40729-H40732)</f>
        <v>350</v>
      </c>
      <c r="I40734" s="16" t="n">
        <f aca="false">I40725*(1-I40657)*(I40724-I40730+I40729-I40732)</f>
        <v>0</v>
      </c>
      <c r="J40734" s="16" t="n">
        <f aca="false">J40725*(1-J40657)*(J40724-J40730+J40729-J40732)</f>
        <v>0</v>
      </c>
      <c r="K40734" s="16" t="n">
        <f aca="false">K40725*(1-K40657)*(K40724-K40730+K40729-K40732)</f>
        <v>0</v>
      </c>
    </row>
    <row r="40735" customFormat="false" ht="15" hidden="false" customHeight="false" outlineLevel="0" collapsed="false">
      <c r="A40735" s="2" t="s">
        <v>339</v>
      </c>
      <c r="F40735" s="28" t="n">
        <f aca="false">Assumptions!$C$62</f>
        <v>350</v>
      </c>
      <c r="G40735" s="17" t="n">
        <f aca="false">G40724+G40731+G40729-G40730-G40732-G40733</f>
        <v>350</v>
      </c>
      <c r="H40735" s="17" t="n">
        <f aca="false">H40724+H40731+H40729-H40730-H40732-H40733</f>
        <v>350</v>
      </c>
      <c r="I40735" s="17" t="n">
        <f aca="false">I40724+I40731+I40729-I40730-I40732-I40733</f>
        <v>350</v>
      </c>
      <c r="J40735" s="17" t="n">
        <f aca="false">J40724+J40731+J40729-J40730-J40732-J40733</f>
        <v>350</v>
      </c>
      <c r="K40735" s="17" t="n">
        <f aca="false">K40724+K40731+K40729-K40730-K40732-K40733</f>
        <v>350</v>
      </c>
    </row>
    <row r="40736" customFormat="false" ht="15" hidden="false" customHeight="false" outlineLevel="0" collapsed="false">
      <c r="A40736" s="24" t="s">
        <v>345</v>
      </c>
      <c r="B40736" s="25"/>
      <c r="C40736" s="25"/>
      <c r="D40736" s="25"/>
      <c r="E40736" s="25"/>
      <c r="F40736" s="25"/>
      <c r="G40736" s="25"/>
      <c r="H40736" s="25"/>
      <c r="I40736" s="25"/>
      <c r="J40736" s="25"/>
      <c r="K40736" s="25"/>
    </row>
    <row r="40737" customFormat="false" ht="15" hidden="false" customHeight="false" outlineLevel="0" collapsed="false">
      <c r="A40737" s="3" t="s">
        <v>329</v>
      </c>
      <c r="G40737" s="16" t="n">
        <f aca="false">F40748</f>
        <v>550</v>
      </c>
      <c r="H40737" s="16" t="n">
        <f aca="false">G40748</f>
        <v>550</v>
      </c>
      <c r="I40737" s="16" t="n">
        <f aca="false">H40748</f>
        <v>550</v>
      </c>
      <c r="J40737" s="16" t="n">
        <f aca="false">I40748</f>
        <v>550</v>
      </c>
      <c r="K40737" s="16" t="n">
        <f aca="false">J40748</f>
        <v>550</v>
      </c>
    </row>
    <row r="40738" customFormat="false" ht="15" hidden="false" customHeight="false" outlineLevel="0" collapsed="false">
      <c r="A40738" s="3" t="s">
        <v>330</v>
      </c>
      <c r="G40738" s="21" t="n">
        <f aca="false">IF(G40623=Assumptions!$K$63,1,0)</f>
        <v>0</v>
      </c>
      <c r="H40738" s="21" t="n">
        <f aca="false">IF(H40623=Assumptions!$K$63,1,0)</f>
        <v>0</v>
      </c>
      <c r="I40738" s="21" t="n">
        <f aca="false">IF(I40623=Assumptions!$K$63,1,0)</f>
        <v>1</v>
      </c>
      <c r="J40738" s="21" t="n">
        <f aca="false">IF(J40623=Assumptions!$K$63,1,0)</f>
        <v>0</v>
      </c>
      <c r="K40738" s="21" t="n">
        <f aca="false">IF(K40623=Assumptions!$K$63,1,0)</f>
        <v>0</v>
      </c>
    </row>
    <row r="40740" customFormat="false" ht="15" hidden="false" customHeight="false" outlineLevel="0" collapsed="false">
      <c r="A40740" s="3" t="s">
        <v>331</v>
      </c>
      <c r="G40740" s="31" t="n">
        <f aca="false">IF(Assumptions!$I$63=1,MAX(G40649,Assumptions!$G$63)+Assumptions!$F$63+$C$40650,Assumptions!$E$63)</f>
        <v>0.08875</v>
      </c>
      <c r="H40740" s="31" t="n">
        <f aca="false">IF(G40975=1,$C$40651,IF(Assumptions!$I$63=1,MAX(H40649,Assumptions!$G$63)+Assumptions!$F$63+$C$40650,Assumptions!$E$63))</f>
        <v>0.08875</v>
      </c>
      <c r="I40740" s="31" t="n">
        <f aca="false">IF(H40975=1,$C$40651,IF(Assumptions!$I$63=1,MAX(I40649,Assumptions!$G$63)+Assumptions!$F$63+$C$40650,Assumptions!$E$63))</f>
        <v>0.08875</v>
      </c>
      <c r="J40740" s="31" t="n">
        <f aca="false">IF(I40975=1,$C$40651,IF(Assumptions!$I$63=1,MAX(J40649,Assumptions!$G$63)+Assumptions!$F$63+$C$40650,Assumptions!$E$63))</f>
        <v>0.08875</v>
      </c>
      <c r="K40740" s="31" t="n">
        <f aca="false">IF(J40975=1,$C$40651,IF(Assumptions!$I$63=1,MAX(K40649,Assumptions!$G$63)+Assumptions!$F$63+$C$40650,Assumptions!$E$63))</f>
        <v>0.08875</v>
      </c>
    </row>
    <row r="40741" customFormat="false" ht="15" hidden="false" customHeight="false" outlineLevel="0" collapsed="false">
      <c r="A40741" s="3" t="s">
        <v>332</v>
      </c>
      <c r="G40741" s="16" t="n">
        <f aca="false">G40737*G40740</f>
        <v>48.8125</v>
      </c>
      <c r="H40741" s="16" t="n">
        <f aca="false">H40737*H40740</f>
        <v>48.8125</v>
      </c>
      <c r="I40741" s="16" t="n">
        <f aca="false">I40737*I40740</f>
        <v>48.8125</v>
      </c>
      <c r="J40741" s="16" t="n">
        <f aca="false">J40737*J40740</f>
        <v>48.8125</v>
      </c>
      <c r="K40741" s="16" t="n">
        <f aca="false">K40737*K40740</f>
        <v>48.8125</v>
      </c>
    </row>
    <row r="40742" customFormat="false" ht="15" hidden="false" customHeight="false" outlineLevel="0" collapsed="false">
      <c r="A40742" s="3" t="s">
        <v>333</v>
      </c>
      <c r="G40742" s="16" t="n">
        <f aca="false">G40737*Assumptions!$H$63</f>
        <v>0</v>
      </c>
      <c r="H40742" s="16" t="n">
        <f aca="false">H40737*Assumptions!$H$63</f>
        <v>0</v>
      </c>
      <c r="I40742" s="16" t="n">
        <f aca="false">I40737*Assumptions!$H$63</f>
        <v>0</v>
      </c>
      <c r="J40742" s="16" t="n">
        <f aca="false">J40737*Assumptions!$H$63</f>
        <v>0</v>
      </c>
      <c r="K40742" s="16" t="n">
        <f aca="false">K40737*Assumptions!$H$63</f>
        <v>0</v>
      </c>
    </row>
    <row r="40743" customFormat="false" ht="15" hidden="false" customHeight="false" outlineLevel="0" collapsed="false">
      <c r="A40743" s="3" t="s">
        <v>334</v>
      </c>
      <c r="G40743" s="16" t="n">
        <f aca="false">MIN(G40737,Assumptions!$L$63*Assumptions!$C$63)</f>
        <v>0</v>
      </c>
      <c r="H40743" s="16" t="n">
        <f aca="false">MIN(H40737,Assumptions!$L$63*Assumptions!$C$63)</f>
        <v>0</v>
      </c>
      <c r="I40743" s="16" t="n">
        <f aca="false">MIN(I40737,Assumptions!$L$63*Assumptions!$C$63)</f>
        <v>0</v>
      </c>
      <c r="J40743" s="16" t="n">
        <f aca="false">MIN(J40737,Assumptions!$L$63*Assumptions!$C$63)</f>
        <v>0</v>
      </c>
      <c r="K40743" s="16" t="n">
        <f aca="false">MIN(K40737,Assumptions!$L$63*Assumptions!$C$63)</f>
        <v>0</v>
      </c>
    </row>
    <row r="40744" customFormat="false" ht="15" hidden="false" customHeight="false" outlineLevel="0" collapsed="false">
      <c r="A40744" s="3" t="s">
        <v>335</v>
      </c>
      <c r="G40744" s="16" t="n">
        <f aca="false">IF(AND(Assumptions!$P$63=1,G40623&lt;Assumptions!$K$63),MIN(MAX(0,-G40839),MAX(0,Assumptions!$D$63-G40737)),0)</f>
        <v>0</v>
      </c>
      <c r="H40744" s="16" t="n">
        <f aca="false">IF(AND(Assumptions!$P$63=1,OR(H40623&lt;Assumptions!$K$63,G40975=1)),MIN(MAX(0,-H40839),MAX(0,Assumptions!$D$63-H40737)),0)</f>
        <v>0</v>
      </c>
      <c r="I40744" s="16" t="n">
        <f aca="false">IF(AND(Assumptions!$P$63=1,OR(I40623&lt;Assumptions!$K$63,H40975=1)),MIN(MAX(0,-I40839),MAX(0,Assumptions!$D$63-I40737)),0)</f>
        <v>0</v>
      </c>
      <c r="J40744" s="16" t="n">
        <f aca="false">IF(AND(Assumptions!$P$63=1,OR(J40623&lt;Assumptions!$K$63,I40975=1)),MIN(MAX(0,-J40839),MAX(0,Assumptions!$D$63-J40737)),0)</f>
        <v>0</v>
      </c>
      <c r="K40744" s="16" t="n">
        <f aca="false">IF(AND(Assumptions!$P$63=1,OR(K40623&lt;Assumptions!$K$63,J40975=1)),MIN(MAX(0,-K40839),MAX(0,Assumptions!$D$63-K40737)),0)</f>
        <v>0</v>
      </c>
    </row>
    <row r="40745" customFormat="false" ht="15" hidden="false" customHeight="false" outlineLevel="0" collapsed="false">
      <c r="A40745" s="3" t="s">
        <v>336</v>
      </c>
      <c r="G40745" s="16" t="n">
        <f aca="false">G40738*MIN(G40737-G40743+G40742,MAX(0,G40841-Assumptions!$C$12*G40657-G40667-G40680-G40693-G40706-G40719-G40732))</f>
        <v>0</v>
      </c>
      <c r="H40745" s="16" t="n">
        <f aca="false">H40738*MIN(H40737-H40743+H40742,MAX(0,H40841-Assumptions!$C$12*H40657-H40667-H40680-H40693-H40706-H40719-H40732))</f>
        <v>0</v>
      </c>
      <c r="I40745" s="16" t="n">
        <f aca="false">I40738*MIN(I40737-I40743+I40742,MAX(0,I40841-Assumptions!$C$12*I40657-I40667-I40680-I40693-I40706-I40719-I40732))</f>
        <v>0</v>
      </c>
      <c r="J40745" s="16" t="n">
        <f aca="false">J40738*MIN(J40737-J40743+J40742,MAX(0,J40841-Assumptions!$C$12*J40657-J40667-J40680-J40693-J40706-J40719-J40732))</f>
        <v>0</v>
      </c>
      <c r="K40745" s="16" t="n">
        <f aca="false">K40738*MIN(K40737-K40743+K40742,MAX(0,K40841-Assumptions!$C$12*K40657-K40667-K40680-K40693-K40706-K40719-K40732))</f>
        <v>0</v>
      </c>
    </row>
    <row r="40746" customFormat="false" ht="15" hidden="false" customHeight="false" outlineLevel="0" collapsed="false">
      <c r="A40746" s="3" t="s">
        <v>337</v>
      </c>
      <c r="G40746" s="16" t="n">
        <f aca="false">Assumptions!$N$63*MIN(G40737+G40744+G40742-G40743-G40745,MAX(0,G40845-G40668-G40681-G40694-G40707-G40720-G40733))</f>
        <v>0</v>
      </c>
      <c r="H40746" s="16" t="n">
        <f aca="false">Assumptions!$N$63*MIN(H40737+H40744+H40742-H40743-H40745,MAX(0,H40845-H40668-H40681-H40694-H40707-H40720-H40733))</f>
        <v>0</v>
      </c>
      <c r="I40746" s="16" t="n">
        <f aca="false">Assumptions!$N$63*MIN(I40737+I40744+I40742-I40743-I40745,MAX(0,I40845-I40668-I40681-I40694-I40707-I40720-I40733))</f>
        <v>0</v>
      </c>
      <c r="J40746" s="16" t="n">
        <f aca="false">Assumptions!$N$63*MIN(J40737+J40744+J40742-J40743-J40745,MAX(0,J40845-J40668-J40681-J40694-J40707-J40720-J40733))</f>
        <v>0</v>
      </c>
      <c r="K40746" s="16" t="n">
        <f aca="false">Assumptions!$N$63*MIN(K40737+K40744+K40742-K40743-K40745,MAX(0,K40845-K40668-K40681-K40694-K40707-K40720-K40733))</f>
        <v>0</v>
      </c>
    </row>
    <row r="40747" customFormat="false" ht="15" hidden="false" customHeight="false" outlineLevel="0" collapsed="false">
      <c r="A40747" s="3" t="s">
        <v>338</v>
      </c>
      <c r="G40747" s="16" t="n">
        <f aca="false">G40738*(1-G40657)*(G40737-G40743+G40742-G40745)</f>
        <v>0</v>
      </c>
      <c r="H40747" s="16" t="n">
        <f aca="false">H40738*(1-H40657)*(H40737-H40743+H40742-H40745)</f>
        <v>0</v>
      </c>
      <c r="I40747" s="16" t="n">
        <f aca="false">I40738*(1-I40657)*(I40737-I40743+I40742-I40745)</f>
        <v>550</v>
      </c>
      <c r="J40747" s="16" t="n">
        <f aca="false">J40738*(1-J40657)*(J40737-J40743+J40742-J40745)</f>
        <v>0</v>
      </c>
      <c r="K40747" s="16" t="n">
        <f aca="false">K40738*(1-K40657)*(K40737-K40743+K40742-K40745)</f>
        <v>0</v>
      </c>
    </row>
    <row r="40748" customFormat="false" ht="15" hidden="false" customHeight="false" outlineLevel="0" collapsed="false">
      <c r="A40748" s="2" t="s">
        <v>339</v>
      </c>
      <c r="F40748" s="28" t="n">
        <f aca="false">Assumptions!$C$63</f>
        <v>550</v>
      </c>
      <c r="G40748" s="17" t="n">
        <f aca="false">G40737+G40744+G40742-G40743-G40745-G40746</f>
        <v>550</v>
      </c>
      <c r="H40748" s="17" t="n">
        <f aca="false">H40737+H40744+H40742-H40743-H40745-H40746</f>
        <v>550</v>
      </c>
      <c r="I40748" s="17" t="n">
        <f aca="false">I40737+I40744+I40742-I40743-I40745-I40746</f>
        <v>550</v>
      </c>
      <c r="J40748" s="17" t="n">
        <f aca="false">J40737+J40744+J40742-J40743-J40745-J40746</f>
        <v>550</v>
      </c>
      <c r="K40748" s="17" t="n">
        <f aca="false">K40737+K40744+K40742-K40743-K40745-K40746</f>
        <v>550</v>
      </c>
    </row>
    <row r="40749" customFormat="false" ht="15" hidden="false" customHeight="false" outlineLevel="0" collapsed="false">
      <c r="A40749" s="24" t="s">
        <v>346</v>
      </c>
      <c r="B40749" s="25"/>
      <c r="C40749" s="25"/>
      <c r="D40749" s="25"/>
      <c r="E40749" s="25"/>
      <c r="F40749" s="25"/>
      <c r="G40749" s="25"/>
      <c r="H40749" s="25"/>
      <c r="I40749" s="25"/>
      <c r="J40749" s="25"/>
      <c r="K40749" s="25"/>
    </row>
    <row r="40750" customFormat="false" ht="15" hidden="false" customHeight="false" outlineLevel="0" collapsed="false">
      <c r="A40750" s="3" t="s">
        <v>329</v>
      </c>
      <c r="G40750" s="16" t="n">
        <f aca="false">F40761</f>
        <v>350</v>
      </c>
      <c r="H40750" s="16" t="n">
        <f aca="false">G40761</f>
        <v>350</v>
      </c>
      <c r="I40750" s="16" t="n">
        <f aca="false">H40761</f>
        <v>350</v>
      </c>
      <c r="J40750" s="16" t="n">
        <f aca="false">I40761</f>
        <v>350</v>
      </c>
      <c r="K40750" s="16" t="n">
        <f aca="false">J40761</f>
        <v>350</v>
      </c>
    </row>
    <row r="40751" customFormat="false" ht="15" hidden="false" customHeight="false" outlineLevel="0" collapsed="false">
      <c r="A40751" s="3" t="s">
        <v>330</v>
      </c>
      <c r="G40751" s="21" t="n">
        <f aca="false">IF(G40623=Assumptions!$K$64,1,0)</f>
        <v>0</v>
      </c>
      <c r="H40751" s="21" t="n">
        <f aca="false">IF(H40623=Assumptions!$K$64,1,0)</f>
        <v>0</v>
      </c>
      <c r="I40751" s="21" t="n">
        <f aca="false">IF(I40623=Assumptions!$K$64,1,0)</f>
        <v>0</v>
      </c>
      <c r="J40751" s="21" t="n">
        <f aca="false">IF(J40623=Assumptions!$K$64,1,0)</f>
        <v>1</v>
      </c>
      <c r="K40751" s="21" t="n">
        <f aca="false">IF(K40623=Assumptions!$K$64,1,0)</f>
        <v>0</v>
      </c>
    </row>
    <row r="40753" customFormat="false" ht="15" hidden="false" customHeight="false" outlineLevel="0" collapsed="false">
      <c r="A40753" s="3" t="s">
        <v>331</v>
      </c>
      <c r="G40753" s="31" t="n">
        <f aca="false">IF(Assumptions!$I$64=1,MAX(G40649,Assumptions!$G$64)+Assumptions!$F$64+$C$40650,Assumptions!$E$64)</f>
        <v>0.0455</v>
      </c>
      <c r="H40753" s="31" t="n">
        <f aca="false">IF(G40976=1,$C$40651,IF(Assumptions!$I$64=1,MAX(H40649,Assumptions!$G$64)+Assumptions!$F$64+$C$40650,Assumptions!$E$64))</f>
        <v>0.0455</v>
      </c>
      <c r="I40753" s="31" t="n">
        <f aca="false">IF(H40976=1,$C$40651,IF(Assumptions!$I$64=1,MAX(I40649,Assumptions!$G$64)+Assumptions!$F$64+$C$40650,Assumptions!$E$64))</f>
        <v>0.0455</v>
      </c>
      <c r="J40753" s="31" t="n">
        <f aca="false">IF(I40976=1,$C$40651,IF(Assumptions!$I$64=1,MAX(J40649,Assumptions!$G$64)+Assumptions!$F$64+$C$40650,Assumptions!$E$64))</f>
        <v>0.0455</v>
      </c>
      <c r="K40753" s="31" t="n">
        <f aca="false">IF(J40976=1,$C$40651,IF(Assumptions!$I$64=1,MAX(K40649,Assumptions!$G$64)+Assumptions!$F$64+$C$40650,Assumptions!$E$64))</f>
        <v>0.0455</v>
      </c>
    </row>
    <row r="40754" customFormat="false" ht="15" hidden="false" customHeight="false" outlineLevel="0" collapsed="false">
      <c r="A40754" s="3" t="s">
        <v>332</v>
      </c>
      <c r="G40754" s="16" t="n">
        <f aca="false">G40750*G40753</f>
        <v>15.925</v>
      </c>
      <c r="H40754" s="16" t="n">
        <f aca="false">H40750*H40753</f>
        <v>15.925</v>
      </c>
      <c r="I40754" s="16" t="n">
        <f aca="false">I40750*I40753</f>
        <v>15.925</v>
      </c>
      <c r="J40754" s="16" t="n">
        <f aca="false">J40750*J40753</f>
        <v>15.925</v>
      </c>
      <c r="K40754" s="16" t="n">
        <f aca="false">K40750*K40753</f>
        <v>15.925</v>
      </c>
    </row>
    <row r="40755" customFormat="false" ht="15" hidden="false" customHeight="false" outlineLevel="0" collapsed="false">
      <c r="A40755" s="3" t="s">
        <v>333</v>
      </c>
      <c r="G40755" s="16" t="n">
        <f aca="false">G40750*Assumptions!$H$64</f>
        <v>0</v>
      </c>
      <c r="H40755" s="16" t="n">
        <f aca="false">H40750*Assumptions!$H$64</f>
        <v>0</v>
      </c>
      <c r="I40755" s="16" t="n">
        <f aca="false">I40750*Assumptions!$H$64</f>
        <v>0</v>
      </c>
      <c r="J40755" s="16" t="n">
        <f aca="false">J40750*Assumptions!$H$64</f>
        <v>0</v>
      </c>
      <c r="K40755" s="16" t="n">
        <f aca="false">K40750*Assumptions!$H$64</f>
        <v>0</v>
      </c>
    </row>
    <row r="40756" customFormat="false" ht="15" hidden="false" customHeight="false" outlineLevel="0" collapsed="false">
      <c r="A40756" s="3" t="s">
        <v>334</v>
      </c>
      <c r="G40756" s="16" t="n">
        <f aca="false">MIN(G40750,Assumptions!$L$64*Assumptions!$C$64)</f>
        <v>0</v>
      </c>
      <c r="H40756" s="16" t="n">
        <f aca="false">MIN(H40750,Assumptions!$L$64*Assumptions!$C$64)</f>
        <v>0</v>
      </c>
      <c r="I40756" s="16" t="n">
        <f aca="false">MIN(I40750,Assumptions!$L$64*Assumptions!$C$64)</f>
        <v>0</v>
      </c>
      <c r="J40756" s="16" t="n">
        <f aca="false">MIN(J40750,Assumptions!$L$64*Assumptions!$C$64)</f>
        <v>0</v>
      </c>
      <c r="K40756" s="16" t="n">
        <f aca="false">MIN(K40750,Assumptions!$L$64*Assumptions!$C$64)</f>
        <v>0</v>
      </c>
    </row>
    <row r="40757" customFormat="false" ht="15" hidden="false" customHeight="false" outlineLevel="0" collapsed="false">
      <c r="A40757" s="3" t="s">
        <v>335</v>
      </c>
      <c r="G40757" s="16" t="n">
        <f aca="false">IF(AND(Assumptions!$P$64=1,G40623&lt;Assumptions!$K$64),MIN(MAX(0,-G40839),MAX(0,Assumptions!$D$64-G40750)),0)</f>
        <v>0</v>
      </c>
      <c r="H40757" s="16" t="n">
        <f aca="false">IF(AND(Assumptions!$P$64=1,OR(H40623&lt;Assumptions!$K$64,G40976=1)),MIN(MAX(0,-H40839),MAX(0,Assumptions!$D$64-H40750)),0)</f>
        <v>0</v>
      </c>
      <c r="I40757" s="16" t="n">
        <f aca="false">IF(AND(Assumptions!$P$64=1,OR(I40623&lt;Assumptions!$K$64,H40976=1)),MIN(MAX(0,-I40839),MAX(0,Assumptions!$D$64-I40750)),0)</f>
        <v>0</v>
      </c>
      <c r="J40757" s="16" t="n">
        <f aca="false">IF(AND(Assumptions!$P$64=1,OR(J40623&lt;Assumptions!$K$64,I40976=1)),MIN(MAX(0,-J40839),MAX(0,Assumptions!$D$64-J40750)),0)</f>
        <v>0</v>
      </c>
      <c r="K40757" s="16" t="n">
        <f aca="false">IF(AND(Assumptions!$P$64=1,OR(K40623&lt;Assumptions!$K$64,J40976=1)),MIN(MAX(0,-K40839),MAX(0,Assumptions!$D$64-K40750)),0)</f>
        <v>0</v>
      </c>
    </row>
    <row r="40758" customFormat="false" ht="15" hidden="false" customHeight="false" outlineLevel="0" collapsed="false">
      <c r="A40758" s="3" t="s">
        <v>336</v>
      </c>
      <c r="G40758" s="16" t="n">
        <f aca="false">G40751*MIN(G40750-G40756+G40755,MAX(0,G40841-Assumptions!$C$12*G40657-G40667-G40680-G40693-G40706-G40719-G40732-G40745))</f>
        <v>0</v>
      </c>
      <c r="H40758" s="16" t="n">
        <f aca="false">H40751*MIN(H40750-H40756+H40755,MAX(0,H40841-Assumptions!$C$12*H40657-H40667-H40680-H40693-H40706-H40719-H40732-H40745))</f>
        <v>0</v>
      </c>
      <c r="I40758" s="16" t="n">
        <f aca="false">I40751*MIN(I40750-I40756+I40755,MAX(0,I40841-Assumptions!$C$12*I40657-I40667-I40680-I40693-I40706-I40719-I40732-I40745))</f>
        <v>0</v>
      </c>
      <c r="J40758" s="16" t="n">
        <f aca="false">J40751*MIN(J40750-J40756+J40755,MAX(0,J40841-Assumptions!$C$12*J40657-J40667-J40680-J40693-J40706-J40719-J40732-J40745))</f>
        <v>0</v>
      </c>
      <c r="K40758" s="16" t="n">
        <f aca="false">K40751*MIN(K40750-K40756+K40755,MAX(0,K40841-Assumptions!$C$12*K40657-K40667-K40680-K40693-K40706-K40719-K40732-K40745))</f>
        <v>0</v>
      </c>
    </row>
    <row r="40759" customFormat="false" ht="15" hidden="false" customHeight="false" outlineLevel="0" collapsed="false">
      <c r="A40759" s="3" t="s">
        <v>337</v>
      </c>
      <c r="G40759" s="16" t="n">
        <f aca="false">Assumptions!$N$64*MIN(G40750+G40757+G40755-G40756-G40758,MAX(0,G40845-G40668-G40681-G40694-G40707-G40720-G40733-G40746))</f>
        <v>0</v>
      </c>
      <c r="H40759" s="16" t="n">
        <f aca="false">Assumptions!$N$64*MIN(H40750+H40757+H40755-H40756-H40758,MAX(0,H40845-H40668-H40681-H40694-H40707-H40720-H40733-H40746))</f>
        <v>0</v>
      </c>
      <c r="I40759" s="16" t="n">
        <f aca="false">Assumptions!$N$64*MIN(I40750+I40757+I40755-I40756-I40758,MAX(0,I40845-I40668-I40681-I40694-I40707-I40720-I40733-I40746))</f>
        <v>0</v>
      </c>
      <c r="J40759" s="16" t="n">
        <f aca="false">Assumptions!$N$64*MIN(J40750+J40757+J40755-J40756-J40758,MAX(0,J40845-J40668-J40681-J40694-J40707-J40720-J40733-J40746))</f>
        <v>0</v>
      </c>
      <c r="K40759" s="16" t="n">
        <f aca="false">Assumptions!$N$64*MIN(K40750+K40757+K40755-K40756-K40758,MAX(0,K40845-K40668-K40681-K40694-K40707-K40720-K40733-K40746))</f>
        <v>0</v>
      </c>
    </row>
    <row r="40760" customFormat="false" ht="15" hidden="false" customHeight="false" outlineLevel="0" collapsed="false">
      <c r="A40760" s="3" t="s">
        <v>338</v>
      </c>
      <c r="G40760" s="16" t="n">
        <f aca="false">G40751*(1-G40657)*(G40750-G40756+G40755-G40758)</f>
        <v>0</v>
      </c>
      <c r="H40760" s="16" t="n">
        <f aca="false">H40751*(1-H40657)*(H40750-H40756+H40755-H40758)</f>
        <v>0</v>
      </c>
      <c r="I40760" s="16" t="n">
        <f aca="false">I40751*(1-I40657)*(I40750-I40756+I40755-I40758)</f>
        <v>0</v>
      </c>
      <c r="J40760" s="16" t="n">
        <f aca="false">J40751*(1-J40657)*(J40750-J40756+J40755-J40758)</f>
        <v>350</v>
      </c>
      <c r="K40760" s="16" t="n">
        <f aca="false">K40751*(1-K40657)*(K40750-K40756+K40755-K40758)</f>
        <v>0</v>
      </c>
    </row>
    <row r="40761" customFormat="false" ht="15" hidden="false" customHeight="false" outlineLevel="0" collapsed="false">
      <c r="A40761" s="2" t="s">
        <v>339</v>
      </c>
      <c r="F40761" s="28" t="n">
        <f aca="false">Assumptions!$C$64</f>
        <v>350</v>
      </c>
      <c r="G40761" s="17" t="n">
        <f aca="false">G40750+G40757+G40755-G40756-G40758-G40759</f>
        <v>350</v>
      </c>
      <c r="H40761" s="17" t="n">
        <f aca="false">H40750+H40757+H40755-H40756-H40758-H40759</f>
        <v>350</v>
      </c>
      <c r="I40761" s="17" t="n">
        <f aca="false">I40750+I40757+I40755-I40756-I40758-I40759</f>
        <v>350</v>
      </c>
      <c r="J40761" s="17" t="n">
        <f aca="false">J40750+J40757+J40755-J40756-J40758-J40759</f>
        <v>350</v>
      </c>
      <c r="K40761" s="17" t="n">
        <f aca="false">K40750+K40757+K40755-K40756-K40758-K40759</f>
        <v>350</v>
      </c>
    </row>
    <row r="40762" customFormat="false" ht="15" hidden="false" customHeight="false" outlineLevel="0" collapsed="false">
      <c r="A40762" s="24" t="s">
        <v>347</v>
      </c>
      <c r="B40762" s="25"/>
      <c r="C40762" s="25"/>
      <c r="D40762" s="25"/>
      <c r="E40762" s="25"/>
      <c r="F40762" s="25"/>
      <c r="G40762" s="25"/>
      <c r="H40762" s="25"/>
      <c r="I40762" s="25"/>
      <c r="J40762" s="25"/>
      <c r="K40762" s="25"/>
    </row>
    <row r="40763" customFormat="false" ht="15" hidden="false" customHeight="false" outlineLevel="0" collapsed="false">
      <c r="A40763" s="3" t="s">
        <v>329</v>
      </c>
      <c r="G40763" s="16" t="n">
        <f aca="false">F40774</f>
        <v>300</v>
      </c>
      <c r="H40763" s="16" t="n">
        <f aca="false">G40774</f>
        <v>300</v>
      </c>
      <c r="I40763" s="16" t="n">
        <f aca="false">H40774</f>
        <v>300</v>
      </c>
      <c r="J40763" s="16" t="n">
        <f aca="false">I40774</f>
        <v>300</v>
      </c>
      <c r="K40763" s="16" t="n">
        <f aca="false">J40774</f>
        <v>300</v>
      </c>
    </row>
    <row r="40764" customFormat="false" ht="15" hidden="false" customHeight="false" outlineLevel="0" collapsed="false">
      <c r="A40764" s="3" t="s">
        <v>330</v>
      </c>
      <c r="G40764" s="21" t="n">
        <f aca="false">IF(G40623=Assumptions!$K$65,1,0)</f>
        <v>0</v>
      </c>
      <c r="H40764" s="21" t="n">
        <f aca="false">IF(H40623=Assumptions!$K$65,1,0)</f>
        <v>0</v>
      </c>
      <c r="I40764" s="21" t="n">
        <f aca="false">IF(I40623=Assumptions!$K$65,1,0)</f>
        <v>0</v>
      </c>
      <c r="J40764" s="21" t="n">
        <f aca="false">IF(J40623=Assumptions!$K$65,1,0)</f>
        <v>0</v>
      </c>
      <c r="K40764" s="21" t="n">
        <f aca="false">IF(K40623=Assumptions!$K$65,1,0)</f>
        <v>1</v>
      </c>
    </row>
    <row r="40766" customFormat="false" ht="15" hidden="false" customHeight="false" outlineLevel="0" collapsed="false">
      <c r="A40766" s="3" t="s">
        <v>331</v>
      </c>
      <c r="G40766" s="31" t="n">
        <f aca="false">IF(Assumptions!$I$65=1,MAX(G40649,Assumptions!$G$65)+Assumptions!$F$65+$C$40650,Assumptions!$E$65)</f>
        <v>0.06125</v>
      </c>
      <c r="H40766" s="31" t="n">
        <f aca="false">IF(G40977=1,$C$40651,IF(Assumptions!$I$65=1,MAX(H40649,Assumptions!$G$65)+Assumptions!$F$65+$C$40650,Assumptions!$E$65))</f>
        <v>0.06125</v>
      </c>
      <c r="I40766" s="31" t="n">
        <f aca="false">IF(H40977=1,$C$40651,IF(Assumptions!$I$65=1,MAX(I40649,Assumptions!$G$65)+Assumptions!$F$65+$C$40650,Assumptions!$E$65))</f>
        <v>0.06125</v>
      </c>
      <c r="J40766" s="31" t="n">
        <f aca="false">IF(I40977=1,$C$40651,IF(Assumptions!$I$65=1,MAX(J40649,Assumptions!$G$65)+Assumptions!$F$65+$C$40650,Assumptions!$E$65))</f>
        <v>0.06125</v>
      </c>
      <c r="K40766" s="31" t="n">
        <f aca="false">IF(J40977=1,$C$40651,IF(Assumptions!$I$65=1,MAX(K40649,Assumptions!$G$65)+Assumptions!$F$65+$C$40650,Assumptions!$E$65))</f>
        <v>0.06125</v>
      </c>
    </row>
    <row r="40767" customFormat="false" ht="15" hidden="false" customHeight="false" outlineLevel="0" collapsed="false">
      <c r="A40767" s="3" t="s">
        <v>332</v>
      </c>
      <c r="G40767" s="16" t="n">
        <f aca="false">G40763*G40766</f>
        <v>18.375</v>
      </c>
      <c r="H40767" s="16" t="n">
        <f aca="false">H40763*H40766</f>
        <v>18.375</v>
      </c>
      <c r="I40767" s="16" t="n">
        <f aca="false">I40763*I40766</f>
        <v>18.375</v>
      </c>
      <c r="J40767" s="16" t="n">
        <f aca="false">J40763*J40766</f>
        <v>18.375</v>
      </c>
      <c r="K40767" s="16" t="n">
        <f aca="false">K40763*K40766</f>
        <v>18.375</v>
      </c>
    </row>
    <row r="40768" customFormat="false" ht="15" hidden="false" customHeight="false" outlineLevel="0" collapsed="false">
      <c r="A40768" s="3" t="s">
        <v>333</v>
      </c>
      <c r="G40768" s="16" t="n">
        <f aca="false">G40763*Assumptions!$H$65</f>
        <v>0</v>
      </c>
      <c r="H40768" s="16" t="n">
        <f aca="false">H40763*Assumptions!$H$65</f>
        <v>0</v>
      </c>
      <c r="I40768" s="16" t="n">
        <f aca="false">I40763*Assumptions!$H$65</f>
        <v>0</v>
      </c>
      <c r="J40768" s="16" t="n">
        <f aca="false">J40763*Assumptions!$H$65</f>
        <v>0</v>
      </c>
      <c r="K40768" s="16" t="n">
        <f aca="false">K40763*Assumptions!$H$65</f>
        <v>0</v>
      </c>
    </row>
    <row r="40769" customFormat="false" ht="15" hidden="false" customHeight="false" outlineLevel="0" collapsed="false">
      <c r="A40769" s="3" t="s">
        <v>334</v>
      </c>
      <c r="G40769" s="16" t="n">
        <f aca="false">MIN(G40763,Assumptions!$L$65*Assumptions!$C$65)</f>
        <v>0</v>
      </c>
      <c r="H40769" s="16" t="n">
        <f aca="false">MIN(H40763,Assumptions!$L$65*Assumptions!$C$65)</f>
        <v>0</v>
      </c>
      <c r="I40769" s="16" t="n">
        <f aca="false">MIN(I40763,Assumptions!$L$65*Assumptions!$C$65)</f>
        <v>0</v>
      </c>
      <c r="J40769" s="16" t="n">
        <f aca="false">MIN(J40763,Assumptions!$L$65*Assumptions!$C$65)</f>
        <v>0</v>
      </c>
      <c r="K40769" s="16" t="n">
        <f aca="false">MIN(K40763,Assumptions!$L$65*Assumptions!$C$65)</f>
        <v>0</v>
      </c>
    </row>
    <row r="40770" customFormat="false" ht="15" hidden="false" customHeight="false" outlineLevel="0" collapsed="false">
      <c r="A40770" s="3" t="s">
        <v>335</v>
      </c>
      <c r="G40770" s="16" t="n">
        <f aca="false">IF(AND(Assumptions!$P$65=1,G40623&lt;Assumptions!$K$65),MIN(MAX(0,-G40839),MAX(0,Assumptions!$D$65-G40763)),0)</f>
        <v>0</v>
      </c>
      <c r="H40770" s="16" t="n">
        <f aca="false">IF(AND(Assumptions!$P$65=1,OR(H40623&lt;Assumptions!$K$65,G40977=1)),MIN(MAX(0,-H40839),MAX(0,Assumptions!$D$65-H40763)),0)</f>
        <v>0</v>
      </c>
      <c r="I40770" s="16" t="n">
        <f aca="false">IF(AND(Assumptions!$P$65=1,OR(I40623&lt;Assumptions!$K$65,H40977=1)),MIN(MAX(0,-I40839),MAX(0,Assumptions!$D$65-I40763)),0)</f>
        <v>0</v>
      </c>
      <c r="J40770" s="16" t="n">
        <f aca="false">IF(AND(Assumptions!$P$65=1,OR(J40623&lt;Assumptions!$K$65,I40977=1)),MIN(MAX(0,-J40839),MAX(0,Assumptions!$D$65-J40763)),0)</f>
        <v>0</v>
      </c>
      <c r="K40770" s="16" t="n">
        <f aca="false">IF(AND(Assumptions!$P$65=1,OR(K40623&lt;Assumptions!$K$65,J40977=1)),MIN(MAX(0,-K40839),MAX(0,Assumptions!$D$65-K40763)),0)</f>
        <v>0</v>
      </c>
    </row>
    <row r="40771" customFormat="false" ht="15" hidden="false" customHeight="false" outlineLevel="0" collapsed="false">
      <c r="A40771" s="3" t="s">
        <v>336</v>
      </c>
      <c r="G40771" s="16" t="n">
        <f aca="false">G40764*MIN(G40763-G40769+G40768,MAX(0,G40841-Assumptions!$C$12*G40657-G40667-G40680-G40693-G40706-G40719-G40732-G40745-G40758))</f>
        <v>0</v>
      </c>
      <c r="H40771" s="16" t="n">
        <f aca="false">H40764*MIN(H40763-H40769+H40768,MAX(0,H40841-Assumptions!$C$12*H40657-H40667-H40680-H40693-H40706-H40719-H40732-H40745-H40758))</f>
        <v>0</v>
      </c>
      <c r="I40771" s="16" t="n">
        <f aca="false">I40764*MIN(I40763-I40769+I40768,MAX(0,I40841-Assumptions!$C$12*I40657-I40667-I40680-I40693-I40706-I40719-I40732-I40745-I40758))</f>
        <v>0</v>
      </c>
      <c r="J40771" s="16" t="n">
        <f aca="false">J40764*MIN(J40763-J40769+J40768,MAX(0,J40841-Assumptions!$C$12*J40657-J40667-J40680-J40693-J40706-J40719-J40732-J40745-J40758))</f>
        <v>0</v>
      </c>
      <c r="K40771" s="16" t="n">
        <f aca="false">K40764*MIN(K40763-K40769+K40768,MAX(0,K40841-Assumptions!$C$12*K40657-K40667-K40680-K40693-K40706-K40719-K40732-K40745-K40758))</f>
        <v>0</v>
      </c>
    </row>
    <row r="40772" customFormat="false" ht="15" hidden="false" customHeight="false" outlineLevel="0" collapsed="false">
      <c r="A40772" s="3" t="s">
        <v>337</v>
      </c>
      <c r="G40772" s="16" t="n">
        <f aca="false">Assumptions!$N$65*MIN(G40763+G40770+G40768-G40769-G40771,MAX(0,G40845-G40668-G40681-G40694-G40707-G40720-G40733-G40746-G40759))</f>
        <v>0</v>
      </c>
      <c r="H40772" s="16" t="n">
        <f aca="false">Assumptions!$N$65*MIN(H40763+H40770+H40768-H40769-H40771,MAX(0,H40845-H40668-H40681-H40694-H40707-H40720-H40733-H40746-H40759))</f>
        <v>0</v>
      </c>
      <c r="I40772" s="16" t="n">
        <f aca="false">Assumptions!$N$65*MIN(I40763+I40770+I40768-I40769-I40771,MAX(0,I40845-I40668-I40681-I40694-I40707-I40720-I40733-I40746-I40759))</f>
        <v>0</v>
      </c>
      <c r="J40772" s="16" t="n">
        <f aca="false">Assumptions!$N$65*MIN(J40763+J40770+J40768-J40769-J40771,MAX(0,J40845-J40668-J40681-J40694-J40707-J40720-J40733-J40746-J40759))</f>
        <v>0</v>
      </c>
      <c r="K40772" s="16" t="n">
        <f aca="false">Assumptions!$N$65*MIN(K40763+K40770+K40768-K40769-K40771,MAX(0,K40845-K40668-K40681-K40694-K40707-K40720-K40733-K40746-K40759))</f>
        <v>0</v>
      </c>
    </row>
    <row r="40773" customFormat="false" ht="15" hidden="false" customHeight="false" outlineLevel="0" collapsed="false">
      <c r="A40773" s="3" t="s">
        <v>338</v>
      </c>
      <c r="G40773" s="16" t="n">
        <f aca="false">G40764*(1-G40657)*(G40763-G40769+G40768-G40771)</f>
        <v>0</v>
      </c>
      <c r="H40773" s="16" t="n">
        <f aca="false">H40764*(1-H40657)*(H40763-H40769+H40768-H40771)</f>
        <v>0</v>
      </c>
      <c r="I40773" s="16" t="n">
        <f aca="false">I40764*(1-I40657)*(I40763-I40769+I40768-I40771)</f>
        <v>0</v>
      </c>
      <c r="J40773" s="16" t="n">
        <f aca="false">J40764*(1-J40657)*(J40763-J40769+J40768-J40771)</f>
        <v>0</v>
      </c>
      <c r="K40773" s="16" t="n">
        <f aca="false">K40764*(1-K40657)*(K40763-K40769+K40768-K40771)</f>
        <v>300</v>
      </c>
    </row>
    <row r="40774" customFormat="false" ht="15" hidden="false" customHeight="false" outlineLevel="0" collapsed="false">
      <c r="A40774" s="2" t="s">
        <v>339</v>
      </c>
      <c r="F40774" s="28" t="n">
        <f aca="false">Assumptions!$C$65</f>
        <v>300</v>
      </c>
      <c r="G40774" s="17" t="n">
        <f aca="false">G40763+G40770+G40768-G40769-G40771-G40772</f>
        <v>300</v>
      </c>
      <c r="H40774" s="17" t="n">
        <f aca="false">H40763+H40770+H40768-H40769-H40771-H40772</f>
        <v>300</v>
      </c>
      <c r="I40774" s="17" t="n">
        <f aca="false">I40763+I40770+I40768-I40769-I40771-I40772</f>
        <v>300</v>
      </c>
      <c r="J40774" s="17" t="n">
        <f aca="false">J40763+J40770+J40768-J40769-J40771-J40772</f>
        <v>300</v>
      </c>
      <c r="K40774" s="17" t="n">
        <f aca="false">K40763+K40770+K40768-K40769-K40771-K40772</f>
        <v>300</v>
      </c>
    </row>
    <row r="40775" customFormat="false" ht="15" hidden="false" customHeight="false" outlineLevel="0" collapsed="false">
      <c r="A40775" s="24" t="s">
        <v>348</v>
      </c>
      <c r="B40775" s="25"/>
      <c r="C40775" s="25"/>
      <c r="D40775" s="25"/>
      <c r="E40775" s="25"/>
      <c r="F40775" s="25"/>
      <c r="G40775" s="25"/>
      <c r="H40775" s="25"/>
      <c r="I40775" s="25"/>
      <c r="J40775" s="25"/>
      <c r="K40775" s="25"/>
    </row>
    <row r="40776" customFormat="false" ht="15" hidden="false" customHeight="false" outlineLevel="0" collapsed="false">
      <c r="A40776" s="3" t="s">
        <v>329</v>
      </c>
      <c r="G40776" s="16" t="n">
        <f aca="false">F40787</f>
        <v>78.61</v>
      </c>
      <c r="H40776" s="16" t="n">
        <f aca="false">G40787</f>
        <v>78.61</v>
      </c>
      <c r="I40776" s="16" t="n">
        <f aca="false">H40787</f>
        <v>78.61</v>
      </c>
      <c r="J40776" s="16" t="n">
        <f aca="false">I40787</f>
        <v>78.61</v>
      </c>
      <c r="K40776" s="16" t="n">
        <f aca="false">J40787</f>
        <v>78.61</v>
      </c>
    </row>
    <row r="40777" customFormat="false" ht="15" hidden="false" customHeight="false" outlineLevel="0" collapsed="false">
      <c r="A40777" s="3" t="s">
        <v>330</v>
      </c>
      <c r="G40777" s="21" t="n">
        <f aca="false">IF(G40623=Assumptions!$K$66,1,0)</f>
        <v>0</v>
      </c>
      <c r="H40777" s="21" t="n">
        <f aca="false">IF(H40623=Assumptions!$K$66,1,0)</f>
        <v>0</v>
      </c>
      <c r="I40777" s="21" t="n">
        <f aca="false">IF(I40623=Assumptions!$K$66,1,0)</f>
        <v>0</v>
      </c>
      <c r="J40777" s="21" t="n">
        <f aca="false">IF(J40623=Assumptions!$K$66,1,0)</f>
        <v>0</v>
      </c>
      <c r="K40777" s="21" t="n">
        <f aca="false">IF(K40623=Assumptions!$K$66,1,0)</f>
        <v>0</v>
      </c>
    </row>
    <row r="40779" customFormat="false" ht="15" hidden="false" customHeight="false" outlineLevel="0" collapsed="false">
      <c r="A40779" s="3" t="s">
        <v>331</v>
      </c>
      <c r="G40779" s="31" t="n">
        <f aca="false">IF(Assumptions!$I$66=1,MAX(G40649,Assumptions!$G$66)+Assumptions!$F$66+$C$40650,Assumptions!$E$66)</f>
        <v>0.0841</v>
      </c>
      <c r="H40779" s="31" t="n">
        <f aca="false">IF(G40978=1,$C$40651,IF(Assumptions!$I$66=1,MAX(H40649,Assumptions!$G$66)+Assumptions!$F$66+$C$40650,Assumptions!$E$66))</f>
        <v>0.0826</v>
      </c>
      <c r="I40779" s="31" t="n">
        <f aca="false">IF(H40978=1,$C$40651,IF(Assumptions!$I$66=1,MAX(I40649,Assumptions!$G$66)+Assumptions!$F$66+$C$40650,Assumptions!$E$66))</f>
        <v>0.0801</v>
      </c>
      <c r="J40779" s="31" t="n">
        <f aca="false">IF(I40978=1,$C$40651,IF(Assumptions!$I$66=1,MAX(J40649,Assumptions!$G$66)+Assumptions!$F$66+$C$40650,Assumptions!$E$66))</f>
        <v>0.0801</v>
      </c>
      <c r="K40779" s="31" t="n">
        <f aca="false">IF(J40978=1,$C$40651,IF(Assumptions!$I$66=1,MAX(K40649,Assumptions!$G$66)+Assumptions!$F$66+$C$40650,Assumptions!$E$66))</f>
        <v>0.0801</v>
      </c>
    </row>
    <row r="40780" customFormat="false" ht="15" hidden="false" customHeight="false" outlineLevel="0" collapsed="false">
      <c r="A40780" s="3" t="s">
        <v>332</v>
      </c>
      <c r="G40780" s="16" t="n">
        <f aca="false">G40776*G40779</f>
        <v>6.611101</v>
      </c>
      <c r="H40780" s="16" t="n">
        <f aca="false">H40776*H40779</f>
        <v>6.493186</v>
      </c>
      <c r="I40780" s="16" t="n">
        <f aca="false">I40776*I40779</f>
        <v>6.296661</v>
      </c>
      <c r="J40780" s="16" t="n">
        <f aca="false">J40776*J40779</f>
        <v>6.296661</v>
      </c>
      <c r="K40780" s="16" t="n">
        <f aca="false">K40776*K40779</f>
        <v>6.296661</v>
      </c>
    </row>
    <row r="40781" customFormat="false" ht="15" hidden="false" customHeight="false" outlineLevel="0" collapsed="false">
      <c r="A40781" s="3" t="s">
        <v>333</v>
      </c>
      <c r="G40781" s="16" t="n">
        <f aca="false">G40776*Assumptions!$H$66</f>
        <v>0</v>
      </c>
      <c r="H40781" s="16" t="n">
        <f aca="false">H40776*Assumptions!$H$66</f>
        <v>0</v>
      </c>
      <c r="I40781" s="16" t="n">
        <f aca="false">I40776*Assumptions!$H$66</f>
        <v>0</v>
      </c>
      <c r="J40781" s="16" t="n">
        <f aca="false">J40776*Assumptions!$H$66</f>
        <v>0</v>
      </c>
      <c r="K40781" s="16" t="n">
        <f aca="false">K40776*Assumptions!$H$66</f>
        <v>0</v>
      </c>
    </row>
    <row r="40782" customFormat="false" ht="15" hidden="false" customHeight="false" outlineLevel="0" collapsed="false">
      <c r="A40782" s="3" t="s">
        <v>334</v>
      </c>
      <c r="G40782" s="16" t="n">
        <f aca="false">MIN(G40776,Assumptions!$L$66*Assumptions!$C$66)</f>
        <v>0</v>
      </c>
      <c r="H40782" s="16" t="n">
        <f aca="false">MIN(H40776,Assumptions!$L$66*Assumptions!$C$66)</f>
        <v>0</v>
      </c>
      <c r="I40782" s="16" t="n">
        <f aca="false">MIN(I40776,Assumptions!$L$66*Assumptions!$C$66)</f>
        <v>0</v>
      </c>
      <c r="J40782" s="16" t="n">
        <f aca="false">MIN(J40776,Assumptions!$L$66*Assumptions!$C$66)</f>
        <v>0</v>
      </c>
      <c r="K40782" s="16" t="n">
        <f aca="false">MIN(K40776,Assumptions!$L$66*Assumptions!$C$66)</f>
        <v>0</v>
      </c>
    </row>
    <row r="40783" customFormat="false" ht="15" hidden="false" customHeight="false" outlineLevel="0" collapsed="false">
      <c r="A40783" s="3" t="s">
        <v>335</v>
      </c>
      <c r="G40783" s="16" t="n">
        <f aca="false">IF(AND(Assumptions!$P$66=1,G40623&lt;Assumptions!$K$66),MIN(MAX(0,-G40839),MAX(0,Assumptions!$D$66-G40776)),0)</f>
        <v>0</v>
      </c>
      <c r="H40783" s="16" t="n">
        <f aca="false">IF(AND(Assumptions!$P$66=1,OR(H40623&lt;Assumptions!$K$66,G40978=1)),MIN(MAX(0,-H40839),MAX(0,Assumptions!$D$66-H40776)),0)</f>
        <v>0</v>
      </c>
      <c r="I40783" s="16" t="n">
        <f aca="false">IF(AND(Assumptions!$P$66=1,OR(I40623&lt;Assumptions!$K$66,H40978=1)),MIN(MAX(0,-I40839),MAX(0,Assumptions!$D$66-I40776)),0)</f>
        <v>0</v>
      </c>
      <c r="J40783" s="16" t="n">
        <f aca="false">IF(AND(Assumptions!$P$66=1,OR(J40623&lt;Assumptions!$K$66,I40978=1)),MIN(MAX(0,-J40839),MAX(0,Assumptions!$D$66-J40776)),0)</f>
        <v>0</v>
      </c>
      <c r="K40783" s="16" t="n">
        <f aca="false">IF(AND(Assumptions!$P$66=1,OR(K40623&lt;Assumptions!$K$66,J40978=1)),MIN(MAX(0,-K40839),MAX(0,Assumptions!$D$66-K40776)),0)</f>
        <v>0</v>
      </c>
    </row>
    <row r="40784" customFormat="false" ht="15" hidden="false" customHeight="false" outlineLevel="0" collapsed="false">
      <c r="A40784" s="3" t="s">
        <v>336</v>
      </c>
      <c r="G40784" s="16" t="n">
        <f aca="false">G40777*MIN(G40776-G40782+G40781,MAX(0,G40841-Assumptions!$C$12*G40657-G40667-G40680-G40693-G40706-G40719-G40732-G40745-G40758-G40771))</f>
        <v>0</v>
      </c>
      <c r="H40784" s="16" t="n">
        <f aca="false">H40777*MIN(H40776-H40782+H40781,MAX(0,H40841-Assumptions!$C$12*H40657-H40667-H40680-H40693-H40706-H40719-H40732-H40745-H40758-H40771))</f>
        <v>0</v>
      </c>
      <c r="I40784" s="16" t="n">
        <f aca="false">I40777*MIN(I40776-I40782+I40781,MAX(0,I40841-Assumptions!$C$12*I40657-I40667-I40680-I40693-I40706-I40719-I40732-I40745-I40758-I40771))</f>
        <v>0</v>
      </c>
      <c r="J40784" s="16" t="n">
        <f aca="false">J40777*MIN(J40776-J40782+J40781,MAX(0,J40841-Assumptions!$C$12*J40657-J40667-J40680-J40693-J40706-J40719-J40732-J40745-J40758-J40771))</f>
        <v>0</v>
      </c>
      <c r="K40784" s="16" t="n">
        <f aca="false">K40777*MIN(K40776-K40782+K40781,MAX(0,K40841-Assumptions!$C$12*K40657-K40667-K40680-K40693-K40706-K40719-K40732-K40745-K40758-K40771))</f>
        <v>0</v>
      </c>
    </row>
    <row r="40785" customFormat="false" ht="15" hidden="false" customHeight="false" outlineLevel="0" collapsed="false">
      <c r="A40785" s="3" t="s">
        <v>337</v>
      </c>
      <c r="G40785" s="16" t="n">
        <f aca="false">Assumptions!$N$66*MIN(G40776+G40783+G40781-G40782-G40784,MAX(0,G40845-G40668-G40681-G40694-G40707-G40720-G40733-G40746-G40759-G40772))</f>
        <v>0</v>
      </c>
      <c r="H40785" s="16" t="n">
        <f aca="false">Assumptions!$N$66*MIN(H40776+H40783+H40781-H40782-H40784,MAX(0,H40845-H40668-H40681-H40694-H40707-H40720-H40733-H40746-H40759-H40772))</f>
        <v>0</v>
      </c>
      <c r="I40785" s="16" t="n">
        <f aca="false">Assumptions!$N$66*MIN(I40776+I40783+I40781-I40782-I40784,MAX(0,I40845-I40668-I40681-I40694-I40707-I40720-I40733-I40746-I40759-I40772))</f>
        <v>0</v>
      </c>
      <c r="J40785" s="16" t="n">
        <f aca="false">Assumptions!$N$66*MIN(J40776+J40783+J40781-J40782-J40784,MAX(0,J40845-J40668-J40681-J40694-J40707-J40720-J40733-J40746-J40759-J40772))</f>
        <v>0</v>
      </c>
      <c r="K40785" s="16" t="n">
        <f aca="false">Assumptions!$N$66*MIN(K40776+K40783+K40781-K40782-K40784,MAX(0,K40845-K40668-K40681-K40694-K40707-K40720-K40733-K40746-K40759-K40772))</f>
        <v>0</v>
      </c>
    </row>
    <row r="40786" customFormat="false" ht="15" hidden="false" customHeight="false" outlineLevel="0" collapsed="false">
      <c r="A40786" s="3" t="s">
        <v>338</v>
      </c>
      <c r="G40786" s="16" t="n">
        <f aca="false">G40777*(1-G40657)*(G40776-G40782+G40781-G40784)</f>
        <v>0</v>
      </c>
      <c r="H40786" s="16" t="n">
        <f aca="false">H40777*(1-H40657)*(H40776-H40782+H40781-H40784)</f>
        <v>0</v>
      </c>
      <c r="I40786" s="16" t="n">
        <f aca="false">I40777*(1-I40657)*(I40776-I40782+I40781-I40784)</f>
        <v>0</v>
      </c>
      <c r="J40786" s="16" t="n">
        <f aca="false">J40777*(1-J40657)*(J40776-J40782+J40781-J40784)</f>
        <v>0</v>
      </c>
      <c r="K40786" s="16" t="n">
        <f aca="false">K40777*(1-K40657)*(K40776-K40782+K40781-K40784)</f>
        <v>0</v>
      </c>
    </row>
    <row r="40787" customFormat="false" ht="15" hidden="false" customHeight="false" outlineLevel="0" collapsed="false">
      <c r="A40787" s="2" t="s">
        <v>339</v>
      </c>
      <c r="F40787" s="28" t="n">
        <f aca="false">Assumptions!$C$66</f>
        <v>78.61</v>
      </c>
      <c r="G40787" s="17" t="n">
        <f aca="false">G40776+G40783+G40781-G40782-G40784-G40785</f>
        <v>78.61</v>
      </c>
      <c r="H40787" s="17" t="n">
        <f aca="false">H40776+H40783+H40781-H40782-H40784-H40785</f>
        <v>78.61</v>
      </c>
      <c r="I40787" s="17" t="n">
        <f aca="false">I40776+I40783+I40781-I40782-I40784-I40785</f>
        <v>78.61</v>
      </c>
      <c r="J40787" s="17" t="n">
        <f aca="false">J40776+J40783+J40781-J40782-J40784-J40785</f>
        <v>78.61</v>
      </c>
      <c r="K40787" s="17" t="n">
        <f aca="false">K40776+K40783+K40781-K40782-K40784-K40785</f>
        <v>78.61</v>
      </c>
    </row>
    <row r="40788" customFormat="false" ht="15" hidden="false" customHeight="false" outlineLevel="0" collapsed="false">
      <c r="A40788" s="24" t="s">
        <v>349</v>
      </c>
      <c r="B40788" s="25"/>
      <c r="C40788" s="25"/>
      <c r="D40788" s="25"/>
      <c r="E40788" s="25"/>
      <c r="F40788" s="25"/>
      <c r="G40788" s="25"/>
      <c r="H40788" s="25"/>
      <c r="I40788" s="25"/>
      <c r="J40788" s="25"/>
      <c r="K40788" s="25"/>
    </row>
    <row r="40789" customFormat="false" ht="15" hidden="false" customHeight="false" outlineLevel="0" collapsed="false">
      <c r="A40789" s="2" t="s">
        <v>350</v>
      </c>
      <c r="F40789" s="17" t="n">
        <f aca="false">F40670+F40683+F40696+F40709+F40722+F40735+F40748+F40761+F40774+F40787</f>
        <v>2625.934</v>
      </c>
      <c r="G40789" s="17" t="n">
        <f aca="false">G40670+G40683+G40696+G40709+G40722+G40735+G40748+G40761+G40774+G40787</f>
        <v>2621.934</v>
      </c>
      <c r="H40789" s="17" t="n">
        <f aca="false">H40670+H40683+H40696+H40709+H40722+H40735+H40748+H40761+H40774+H40787</f>
        <v>2602.8887587</v>
      </c>
      <c r="I40789" s="17" t="n">
        <f aca="false">I40670+I40683+I40696+I40709+I40722+I40735+I40748+I40761+I40774+I40787</f>
        <v>2598.8887587</v>
      </c>
      <c r="J40789" s="17" t="n">
        <f aca="false">J40670+J40683+J40696+J40709+J40722+J40735+J40748+J40761+J40774+J40787</f>
        <v>2594.8887587</v>
      </c>
      <c r="K40789" s="17" t="n">
        <f aca="false">K40670+K40683+K40696+K40709+K40722+K40735+K40748+K40761+K40774+K40787</f>
        <v>2590.8887587</v>
      </c>
    </row>
    <row r="40790" customFormat="false" ht="15" hidden="false" customHeight="false" outlineLevel="0" collapsed="false">
      <c r="A40790" s="3" t="s">
        <v>351</v>
      </c>
      <c r="G40790" s="16" t="n">
        <f aca="false">G40660*Assumptions!$C$57+G40673*Assumptions!$C$58+G40686*Assumptions!$C$59+G40699*Assumptions!$C$60+G40712*Assumptions!$C$61+G40725*Assumptions!$C$62+G40738*Assumptions!$C$63+G40751*Assumptions!$C$64+G40764*Assumptions!$C$65+G40777*Assumptions!$C$66</f>
        <v>0</v>
      </c>
      <c r="H40790" s="16" t="n">
        <f aca="false">H40660*Assumptions!$C$57+H40673*Assumptions!$C$58+H40686*Assumptions!$C$59+H40699*Assumptions!$C$60+H40712*Assumptions!$C$61+H40725*Assumptions!$C$62+H40738*Assumptions!$C$63+H40751*Assumptions!$C$64+H40764*Assumptions!$C$65+H40777*Assumptions!$C$66</f>
        <v>800</v>
      </c>
      <c r="I40790" s="16" t="n">
        <f aca="false">I40660*Assumptions!$C$57+I40673*Assumptions!$C$58+I40686*Assumptions!$C$59+I40699*Assumptions!$C$60+I40712*Assumptions!$C$61+I40725*Assumptions!$C$62+I40738*Assumptions!$C$63+I40751*Assumptions!$C$64+I40764*Assumptions!$C$65+I40777*Assumptions!$C$66</f>
        <v>550</v>
      </c>
      <c r="J40790" s="16" t="n">
        <f aca="false">J40660*Assumptions!$C$57+J40673*Assumptions!$C$58+J40686*Assumptions!$C$59+J40699*Assumptions!$C$60+J40712*Assumptions!$C$61+J40725*Assumptions!$C$62+J40738*Assumptions!$C$63+J40751*Assumptions!$C$64+J40764*Assumptions!$C$65+J40777*Assumptions!$C$66</f>
        <v>350</v>
      </c>
      <c r="K40790" s="16" t="n">
        <f aca="false">K40660*Assumptions!$C$57+K40673*Assumptions!$C$58+K40686*Assumptions!$C$59+K40699*Assumptions!$C$60+K40712*Assumptions!$C$61+K40725*Assumptions!$C$62+K40738*Assumptions!$C$63+K40751*Assumptions!$C$64+K40764*Assumptions!$C$65+K40777*Assumptions!$C$66</f>
        <v>700</v>
      </c>
    </row>
    <row r="40791" customFormat="false" ht="15" hidden="false" customHeight="false" outlineLevel="0" collapsed="false">
      <c r="A40791" s="24" t="s">
        <v>352</v>
      </c>
      <c r="B40791" s="25"/>
      <c r="C40791" s="25"/>
      <c r="D40791" s="25"/>
      <c r="E40791" s="25"/>
      <c r="F40791" s="25"/>
      <c r="G40791" s="25"/>
      <c r="H40791" s="25"/>
      <c r="I40791" s="25"/>
      <c r="J40791" s="25"/>
      <c r="K40791" s="25"/>
    </row>
    <row r="40792" customFormat="false" ht="15" hidden="false" customHeight="false" outlineLevel="0" collapsed="false">
      <c r="A40792" s="3" t="s">
        <v>353</v>
      </c>
      <c r="C40792" s="16" t="n">
        <f aca="false">SUMPRODUCT($G$40660:$K$40660,$G$40659:$K$40659-$G$40665:$K$40665+$G$40664:$K$40664)</f>
        <v>380</v>
      </c>
    </row>
    <row r="40793" customFormat="false" ht="15" hidden="false" customHeight="false" outlineLevel="0" collapsed="false">
      <c r="A40793" s="3" t="s">
        <v>354</v>
      </c>
      <c r="C40793" s="16" t="n">
        <f aca="false">SUMPRODUCT($G$40660:$K$40660,$G$40667:$K$40667)</f>
        <v>0</v>
      </c>
    </row>
    <row r="40794" customFormat="false" ht="15" hidden="false" customHeight="false" outlineLevel="0" collapsed="false">
      <c r="A40794" s="3" t="s">
        <v>355</v>
      </c>
      <c r="C40794" s="3" t="str">
        <f aca="false">IF(SUM($G$40660:$K$40660)=0,"n/a (beyond horizon)",IF(SUMPRODUCT($G$40660:$K$40660,$G$40657:$K$40657)&gt;0,"REFINANCING PASS","REFINANCING FAILURE"))</f>
        <v>REFINANCING FAILURE</v>
      </c>
    </row>
    <row r="40795" customFormat="false" ht="15" hidden="false" customHeight="false" outlineLevel="0" collapsed="false">
      <c r="A40795" s="3" t="s">
        <v>356</v>
      </c>
      <c r="C40795" s="3" t="str">
        <f aca="false">IF(SUM($G$40660:$K$40660)=0,"n/a",IF(C40793&gt;=C40792-0.001,"Repaid from cash",IF(SUMPRODUCT($G$40660:$K$40660,$G$40657:$K$40657)&gt;0,IF(C40793&gt;0,"Partly repaid; remainder refinanced","Refinanced"),IF(SUM($G$40669:$K$40669)&gt;0.001,IF(C40793&gt;0,"Partial repayment; PAYMENT DEFAULT","PAYMENT DEFAULT"),"Repaid from cash"))))</f>
        <v>PAYMENT DEFAULT</v>
      </c>
    </row>
    <row r="40796" customFormat="false" ht="15" hidden="false" customHeight="false" outlineLevel="0" collapsed="false">
      <c r="A40796" s="3" t="s">
        <v>357</v>
      </c>
      <c r="C40796" s="16" t="n">
        <f aca="false">SUMPRODUCT($G$40673:$K$40673,$G$40672:$K$40672-$G$40678:$K$40678+$G$40677:$K$40677)</f>
        <v>0</v>
      </c>
    </row>
    <row r="40797" customFormat="false" ht="15" hidden="false" customHeight="false" outlineLevel="0" collapsed="false">
      <c r="A40797" s="3" t="s">
        <v>358</v>
      </c>
      <c r="C40797" s="16" t="n">
        <f aca="false">SUMPRODUCT($G$40673:$K$40673,$G$40680:$K$40680)</f>
        <v>0</v>
      </c>
    </row>
    <row r="40798" customFormat="false" ht="15" hidden="false" customHeight="false" outlineLevel="0" collapsed="false">
      <c r="A40798" s="3" t="s">
        <v>359</v>
      </c>
      <c r="C40798" s="3" t="str">
        <f aca="false">IF(SUM($G$40673:$K$40673)=0,"n/a (beyond horizon)",IF(SUMPRODUCT($G$40673:$K$40673,$G$40657:$K$40657)&gt;0,"REFINANCING PASS","REFINANCING FAILURE"))</f>
        <v>n/a (beyond horizon)</v>
      </c>
    </row>
    <row r="40799" customFormat="false" ht="15" hidden="false" customHeight="false" outlineLevel="0" collapsed="false">
      <c r="A40799" s="3" t="s">
        <v>360</v>
      </c>
      <c r="C40799" s="3" t="str">
        <f aca="false">IF(SUM($G$40673:$K$40673)=0,"n/a",IF(C40797&gt;=C40796-0.001,"Repaid from cash",IF(SUMPRODUCT($G$40673:$K$40673,$G$40657:$K$40657)&gt;0,IF(C40797&gt;0,"Partly repaid; remainder refinanced","Refinanced"),IF(SUM($G$40682:$K$40682)&gt;0.001,IF(C40797&gt;0,"Partial repayment; PAYMENT DEFAULT","PAYMENT DEFAULT"),"Repaid from cash"))))</f>
        <v>n/a</v>
      </c>
    </row>
    <row r="40800" customFormat="false" ht="15" hidden="false" customHeight="false" outlineLevel="0" collapsed="false">
      <c r="A40800" s="3" t="s">
        <v>361</v>
      </c>
      <c r="C40800" s="16" t="n">
        <f aca="false">SUMPRODUCT($G$40686:$K$40686,$G$40685:$K$40685-$G$40691:$K$40691+$G$40690:$K$40690)</f>
        <v>0</v>
      </c>
    </row>
    <row r="40801" customFormat="false" ht="15" hidden="false" customHeight="false" outlineLevel="0" collapsed="false">
      <c r="A40801" s="3" t="s">
        <v>362</v>
      </c>
      <c r="C40801" s="16" t="n">
        <f aca="false">SUMPRODUCT($G$40686:$K$40686,$G$40693:$K$40693)</f>
        <v>0</v>
      </c>
    </row>
    <row r="40802" customFormat="false" ht="15" hidden="false" customHeight="false" outlineLevel="0" collapsed="false">
      <c r="A40802" s="3" t="s">
        <v>363</v>
      </c>
      <c r="C40802" s="3" t="str">
        <f aca="false">IF(SUM($G$40686:$K$40686)=0,"n/a (beyond horizon)",IF(SUMPRODUCT($G$40686:$K$40686,$G$40657:$K$40657)&gt;0,"REFINANCING PASS","REFINANCING FAILURE"))</f>
        <v>n/a (beyond horizon)</v>
      </c>
    </row>
    <row r="40803" customFormat="false" ht="15" hidden="false" customHeight="false" outlineLevel="0" collapsed="false">
      <c r="A40803" s="3" t="s">
        <v>364</v>
      </c>
      <c r="C40803" s="3" t="str">
        <f aca="false">IF(SUM($G$40686:$K$40686)=0,"n/a",IF(C40801&gt;=C40800-0.001,"Repaid from cash",IF(SUMPRODUCT($G$40686:$K$40686,$G$40657:$K$40657)&gt;0,IF(C40801&gt;0,"Partly repaid; remainder refinanced","Refinanced"),IF(SUM($G$40695:$K$40695)&gt;0.001,IF(C40801&gt;0,"Partial repayment; PAYMENT DEFAULT","PAYMENT DEFAULT"),"Repaid from cash"))))</f>
        <v>n/a</v>
      </c>
    </row>
    <row r="40804" customFormat="false" ht="15" hidden="false" customHeight="false" outlineLevel="0" collapsed="false">
      <c r="A40804" s="3" t="s">
        <v>365</v>
      </c>
      <c r="C40804" s="16" t="n">
        <f aca="false">SUMPRODUCT($G$40699:$K$40699,$G$40698:$K$40698-$G$40704:$K$40704+$G$40703:$K$40703)</f>
        <v>0</v>
      </c>
    </row>
    <row r="40805" customFormat="false" ht="15" hidden="false" customHeight="false" outlineLevel="0" collapsed="false">
      <c r="A40805" s="3" t="s">
        <v>366</v>
      </c>
      <c r="C40805" s="16" t="n">
        <f aca="false">SUMPRODUCT($G$40699:$K$40699,$G$40706:$K$40706)</f>
        <v>0</v>
      </c>
    </row>
    <row r="40806" customFormat="false" ht="15" hidden="false" customHeight="false" outlineLevel="0" collapsed="false">
      <c r="A40806" s="3" t="s">
        <v>367</v>
      </c>
      <c r="C40806" s="3" t="str">
        <f aca="false">IF(SUM($G$40699:$K$40699)=0,"n/a (beyond horizon)",IF(SUMPRODUCT($G$40699:$K$40699,$G$40657:$K$40657)&gt;0,"REFINANCING PASS","REFINANCING FAILURE"))</f>
        <v>REFINANCING FAILURE</v>
      </c>
    </row>
    <row r="40807" customFormat="false" ht="15" hidden="false" customHeight="false" outlineLevel="0" collapsed="false">
      <c r="A40807" s="3" t="s">
        <v>368</v>
      </c>
      <c r="C40807" s="3" t="str">
        <f aca="false">IF(SUM($G$40699:$K$40699)=0,"n/a",IF(C40805&gt;=C40804-0.001,"Repaid from cash",IF(SUMPRODUCT($G$40699:$K$40699,$G$40657:$K$40657)&gt;0,IF(C40805&gt;0,"Partly repaid; remainder refinanced","Refinanced"),IF(SUM($G$40708:$K$40708)&gt;0.001,IF(C40805&gt;0,"Partial repayment; PAYMENT DEFAULT","PAYMENT DEFAULT"),"Repaid from cash"))))</f>
        <v>Repaid from cash</v>
      </c>
    </row>
    <row r="40808" customFormat="false" ht="15" hidden="false" customHeight="false" outlineLevel="0" collapsed="false">
      <c r="A40808" s="3" t="s">
        <v>369</v>
      </c>
      <c r="C40808" s="16" t="n">
        <f aca="false">SUMPRODUCT($G$40712:$K$40712,$G$40711:$K$40711-$G$40717:$K$40717+$G$40716:$K$40716)</f>
        <v>450</v>
      </c>
    </row>
    <row r="40809" customFormat="false" ht="15" hidden="false" customHeight="false" outlineLevel="0" collapsed="false">
      <c r="A40809" s="3" t="s">
        <v>370</v>
      </c>
      <c r="C40809" s="16" t="n">
        <f aca="false">SUMPRODUCT($G$40712:$K$40712,$G$40719:$K$40719)</f>
        <v>15.0452413</v>
      </c>
    </row>
    <row r="40810" customFormat="false" ht="15" hidden="false" customHeight="false" outlineLevel="0" collapsed="false">
      <c r="A40810" s="3" t="s">
        <v>371</v>
      </c>
      <c r="C40810" s="3" t="str">
        <f aca="false">IF(SUM($G$40712:$K$40712)=0,"n/a (beyond horizon)",IF(SUMPRODUCT($G$40712:$K$40712,$G$40657:$K$40657)&gt;0,"REFINANCING PASS","REFINANCING FAILURE"))</f>
        <v>REFINANCING FAILURE</v>
      </c>
    </row>
    <row r="40811" customFormat="false" ht="15" hidden="false" customHeight="false" outlineLevel="0" collapsed="false">
      <c r="A40811" s="3" t="s">
        <v>372</v>
      </c>
      <c r="C40811" s="3" t="str">
        <f aca="false">IF(SUM($G$40712:$K$40712)=0,"n/a",IF(C40809&gt;=C40808-0.001,"Repaid from cash",IF(SUMPRODUCT($G$40712:$K$40712,$G$40657:$K$40657)&gt;0,IF(C40809&gt;0,"Partly repaid; remainder refinanced","Refinanced"),IF(SUM($G$40721:$K$40721)&gt;0.001,IF(C40809&gt;0,"Partial repayment; PAYMENT DEFAULT","PAYMENT DEFAULT"),"Repaid from cash"))))</f>
        <v>Partial repayment; PAYMENT DEFAULT</v>
      </c>
    </row>
    <row r="40812" customFormat="false" ht="15" hidden="false" customHeight="false" outlineLevel="0" collapsed="false">
      <c r="A40812" s="3" t="s">
        <v>373</v>
      </c>
      <c r="C40812" s="16" t="n">
        <f aca="false">SUMPRODUCT($G$40725:$K$40725,$G$40724:$K$40724-$G$40730:$K$40730+$G$40729:$K$40729)</f>
        <v>350</v>
      </c>
    </row>
    <row r="40813" customFormat="false" ht="15" hidden="false" customHeight="false" outlineLevel="0" collapsed="false">
      <c r="A40813" s="3" t="s">
        <v>374</v>
      </c>
      <c r="C40813" s="16" t="n">
        <f aca="false">SUMPRODUCT($G$40725:$K$40725,$G$40732:$K$40732)</f>
        <v>0</v>
      </c>
    </row>
    <row r="40814" customFormat="false" ht="15" hidden="false" customHeight="false" outlineLevel="0" collapsed="false">
      <c r="A40814" s="3" t="s">
        <v>375</v>
      </c>
      <c r="C40814" s="3" t="str">
        <f aca="false">IF(SUM($G$40725:$K$40725)=0,"n/a (beyond horizon)",IF(SUMPRODUCT($G$40725:$K$40725,$G$40657:$K$40657)&gt;0,"REFINANCING PASS","REFINANCING FAILURE"))</f>
        <v>REFINANCING FAILURE</v>
      </c>
    </row>
    <row r="40815" customFormat="false" ht="15" hidden="false" customHeight="false" outlineLevel="0" collapsed="false">
      <c r="A40815" s="3" t="s">
        <v>376</v>
      </c>
      <c r="C40815" s="3" t="str">
        <f aca="false">IF(SUM($G$40725:$K$40725)=0,"n/a",IF(C40813&gt;=C40812-0.001,"Repaid from cash",IF(SUMPRODUCT($G$40725:$K$40725,$G$40657:$K$40657)&gt;0,IF(C40813&gt;0,"Partly repaid; remainder refinanced","Refinanced"),IF(SUM($G$40734:$K$40734)&gt;0.001,IF(C40813&gt;0,"Partial repayment; PAYMENT DEFAULT","PAYMENT DEFAULT"),"Repaid from cash"))))</f>
        <v>PAYMENT DEFAULT</v>
      </c>
    </row>
    <row r="40816" customFormat="false" ht="15" hidden="false" customHeight="false" outlineLevel="0" collapsed="false">
      <c r="A40816" s="3" t="s">
        <v>377</v>
      </c>
      <c r="C40816" s="16" t="n">
        <f aca="false">SUMPRODUCT($G$40738:$K$40738,$G$40737:$K$40737-$G$40743:$K$40743+$G$40742:$K$40742)</f>
        <v>550</v>
      </c>
    </row>
    <row r="40817" customFormat="false" ht="15" hidden="false" customHeight="false" outlineLevel="0" collapsed="false">
      <c r="A40817" s="3" t="s">
        <v>378</v>
      </c>
      <c r="C40817" s="16" t="n">
        <f aca="false">SUMPRODUCT($G$40738:$K$40738,$G$40745:$K$40745)</f>
        <v>0</v>
      </c>
    </row>
    <row r="40818" customFormat="false" ht="15" hidden="false" customHeight="false" outlineLevel="0" collapsed="false">
      <c r="A40818" s="3" t="s">
        <v>379</v>
      </c>
      <c r="C40818" s="3" t="str">
        <f aca="false">IF(SUM($G$40738:$K$40738)=0,"n/a (beyond horizon)",IF(SUMPRODUCT($G$40738:$K$40738,$G$40657:$K$40657)&gt;0,"REFINANCING PASS","REFINANCING FAILURE"))</f>
        <v>REFINANCING FAILURE</v>
      </c>
    </row>
    <row r="40819" customFormat="false" ht="15" hidden="false" customHeight="false" outlineLevel="0" collapsed="false">
      <c r="A40819" s="3" t="s">
        <v>380</v>
      </c>
      <c r="C40819" s="3" t="str">
        <f aca="false">IF(SUM($G$40738:$K$40738)=0,"n/a",IF(C40817&gt;=C40816-0.001,"Repaid from cash",IF(SUMPRODUCT($G$40738:$K$40738,$G$40657:$K$40657)&gt;0,IF(C40817&gt;0,"Partly repaid; remainder refinanced","Refinanced"),IF(SUM($G$40747:$K$40747)&gt;0.001,IF(C40817&gt;0,"Partial repayment; PAYMENT DEFAULT","PAYMENT DEFAULT"),"Repaid from cash"))))</f>
        <v>PAYMENT DEFAULT</v>
      </c>
    </row>
    <row r="40820" customFormat="false" ht="15" hidden="false" customHeight="false" outlineLevel="0" collapsed="false">
      <c r="A40820" s="3" t="s">
        <v>381</v>
      </c>
      <c r="C40820" s="16" t="n">
        <f aca="false">SUMPRODUCT($G$40751:$K$40751,$G$40750:$K$40750-$G$40756:$K$40756+$G$40755:$K$40755)</f>
        <v>350</v>
      </c>
    </row>
    <row r="40821" customFormat="false" ht="15" hidden="false" customHeight="false" outlineLevel="0" collapsed="false">
      <c r="A40821" s="3" t="s">
        <v>382</v>
      </c>
      <c r="C40821" s="16" t="n">
        <f aca="false">SUMPRODUCT($G$40751:$K$40751,$G$40758:$K$40758)</f>
        <v>0</v>
      </c>
    </row>
    <row r="40822" customFormat="false" ht="15" hidden="false" customHeight="false" outlineLevel="0" collapsed="false">
      <c r="A40822" s="3" t="s">
        <v>383</v>
      </c>
      <c r="C40822" s="3" t="str">
        <f aca="false">IF(SUM($G$40751:$K$40751)=0,"n/a (beyond horizon)",IF(SUMPRODUCT($G$40751:$K$40751,$G$40657:$K$40657)&gt;0,"REFINANCING PASS","REFINANCING FAILURE"))</f>
        <v>REFINANCING FAILURE</v>
      </c>
    </row>
    <row r="40823" customFormat="false" ht="15" hidden="false" customHeight="false" outlineLevel="0" collapsed="false">
      <c r="A40823" s="3" t="s">
        <v>384</v>
      </c>
      <c r="C40823" s="3" t="str">
        <f aca="false">IF(SUM($G$40751:$K$40751)=0,"n/a",IF(C40821&gt;=C40820-0.001,"Repaid from cash",IF(SUMPRODUCT($G$40751:$K$40751,$G$40657:$K$40657)&gt;0,IF(C40821&gt;0,"Partly repaid; remainder refinanced","Refinanced"),IF(SUM($G$40760:$K$40760)&gt;0.001,IF(C40821&gt;0,"Partial repayment; PAYMENT DEFAULT","PAYMENT DEFAULT"),"Repaid from cash"))))</f>
        <v>PAYMENT DEFAULT</v>
      </c>
    </row>
    <row r="40824" customFormat="false" ht="15" hidden="false" customHeight="false" outlineLevel="0" collapsed="false">
      <c r="A40824" s="3" t="s">
        <v>385</v>
      </c>
      <c r="C40824" s="16" t="n">
        <f aca="false">SUMPRODUCT($G$40764:$K$40764,$G$40763:$K$40763-$G$40769:$K$40769+$G$40768:$K$40768)</f>
        <v>300</v>
      </c>
    </row>
    <row r="40825" customFormat="false" ht="15" hidden="false" customHeight="false" outlineLevel="0" collapsed="false">
      <c r="A40825" s="3" t="s">
        <v>386</v>
      </c>
      <c r="C40825" s="16" t="n">
        <f aca="false">SUMPRODUCT($G$40764:$K$40764,$G$40771:$K$40771)</f>
        <v>0</v>
      </c>
    </row>
    <row r="40826" customFormat="false" ht="15" hidden="false" customHeight="false" outlineLevel="0" collapsed="false">
      <c r="A40826" s="3" t="s">
        <v>387</v>
      </c>
      <c r="C40826" s="3" t="str">
        <f aca="false">IF(SUM($G$40764:$K$40764)=0,"n/a (beyond horizon)",IF(SUMPRODUCT($G$40764:$K$40764,$G$40657:$K$40657)&gt;0,"REFINANCING PASS","REFINANCING FAILURE"))</f>
        <v>REFINANCING FAILURE</v>
      </c>
    </row>
    <row r="40827" customFormat="false" ht="15" hidden="false" customHeight="false" outlineLevel="0" collapsed="false">
      <c r="A40827" s="3" t="s">
        <v>388</v>
      </c>
      <c r="C40827" s="3" t="str">
        <f aca="false">IF(SUM($G$40764:$K$40764)=0,"n/a",IF(C40825&gt;=C40824-0.001,"Repaid from cash",IF(SUMPRODUCT($G$40764:$K$40764,$G$40657:$K$40657)&gt;0,IF(C40825&gt;0,"Partly repaid; remainder refinanced","Refinanced"),IF(SUM($G$40773:$K$40773)&gt;0.001,IF(C40825&gt;0,"Partial repayment; PAYMENT DEFAULT","PAYMENT DEFAULT"),"Repaid from cash"))))</f>
        <v>PAYMENT DEFAULT</v>
      </c>
    </row>
    <row r="40828" customFormat="false" ht="15" hidden="false" customHeight="false" outlineLevel="0" collapsed="false">
      <c r="A40828" s="3" t="s">
        <v>389</v>
      </c>
      <c r="C40828" s="16" t="n">
        <f aca="false">SUMPRODUCT($G$40777:$K$40777,$G$40776:$K$40776-$G$40782:$K$40782+$G$40781:$K$40781)</f>
        <v>0</v>
      </c>
    </row>
    <row r="40829" customFormat="false" ht="15" hidden="false" customHeight="false" outlineLevel="0" collapsed="false">
      <c r="A40829" s="3" t="s">
        <v>390</v>
      </c>
      <c r="C40829" s="16" t="n">
        <f aca="false">SUMPRODUCT($G$40777:$K$40777,$G$40784:$K$40784)</f>
        <v>0</v>
      </c>
    </row>
    <row r="40830" customFormat="false" ht="15" hidden="false" customHeight="false" outlineLevel="0" collapsed="false">
      <c r="A40830" s="3" t="s">
        <v>391</v>
      </c>
      <c r="C40830" s="3" t="str">
        <f aca="false">IF(SUM($G$40777:$K$40777)=0,"n/a (beyond horizon)",IF(SUMPRODUCT($G$40777:$K$40777,$G$40657:$K$40657)&gt;0,"REFINANCING PASS","REFINANCING FAILURE"))</f>
        <v>n/a (beyond horizon)</v>
      </c>
    </row>
    <row r="40831" customFormat="false" ht="15" hidden="false" customHeight="false" outlineLevel="0" collapsed="false">
      <c r="A40831" s="3" t="s">
        <v>392</v>
      </c>
      <c r="C40831" s="3" t="str">
        <f aca="false">IF(SUM($G$40777:$K$40777)=0,"n/a",IF(C40829&gt;=C40828-0.001,"Repaid from cash",IF(SUMPRODUCT($G$40777:$K$40777,$G$40657:$K$40657)&gt;0,IF(C40829&gt;0,"Partly repaid; remainder refinanced","Refinanced"),IF(SUM($G$40786:$K$40786)&gt;0.001,IF(C40829&gt;0,"Partial repayment; PAYMENT DEFAULT","PAYMENT DEFAULT"),"Repaid from cash"))))</f>
        <v>n/a</v>
      </c>
    </row>
    <row r="40832" customFormat="false" ht="15" hidden="false" customHeight="false" outlineLevel="0" collapsed="false">
      <c r="A40832" s="3" t="s">
        <v>393</v>
      </c>
      <c r="C40832" s="21" t="n">
        <f aca="false">IF(C40794="REFINANCING FAILURE",1,0)+IF(C40798="REFINANCING FAILURE",1,0)+IF(C40802="REFINANCING FAILURE",1,0)+IF(C40806="REFINANCING FAILURE",1,0)+IF(C40810="REFINANCING FAILURE",1,0)+IF(C40814="REFINANCING FAILURE",1,0)+IF(C40818="REFINANCING FAILURE",1,0)+IF(C40822="REFINANCING FAILURE",1,0)+IF(C40826="REFINANCING FAILURE",1,0)+IF(C40830="REFINANCING FAILURE",1,0)</f>
        <v>7</v>
      </c>
    </row>
    <row r="40834" customFormat="false" ht="15" hidden="false" customHeight="false" outlineLevel="0" collapsed="false">
      <c r="A40834" s="24" t="s">
        <v>395</v>
      </c>
      <c r="B40834" s="25"/>
      <c r="C40834" s="25"/>
      <c r="D40834" s="25"/>
      <c r="E40834" s="25"/>
      <c r="F40834" s="25"/>
      <c r="G40834" s="25"/>
      <c r="H40834" s="25"/>
      <c r="I40834" s="25"/>
      <c r="J40834" s="25"/>
      <c r="K40834" s="25"/>
    </row>
    <row r="40835" customFormat="false" ht="15" hidden="false" customHeight="false" outlineLevel="0" collapsed="false">
      <c r="A40835" s="3" t="s">
        <v>325</v>
      </c>
      <c r="G40835" s="16" t="n">
        <f aca="false">F40847</f>
        <v>37.87</v>
      </c>
      <c r="H40835" s="16" t="n">
        <f aca="false">G40847</f>
        <v>87.2944416</v>
      </c>
      <c r="I40835" s="16" t="n">
        <f aca="false">H40847</f>
        <v>0</v>
      </c>
      <c r="J40835" s="16" t="n">
        <f aca="false">I40847</f>
        <v>-75.7748017716</v>
      </c>
      <c r="K40835" s="16" t="n">
        <f aca="false">J40847</f>
        <v>-149.05681614325</v>
      </c>
    </row>
    <row r="40836" customFormat="false" ht="15" hidden="false" customHeight="false" outlineLevel="0" collapsed="false">
      <c r="A40836" s="3" t="s">
        <v>396</v>
      </c>
      <c r="G40836" s="16" t="n">
        <f aca="false">G40646</f>
        <v>-46.5755584</v>
      </c>
      <c r="H40836" s="16" t="n">
        <f aca="false">H40646</f>
        <v>-68.2492003</v>
      </c>
      <c r="I40836" s="16" t="n">
        <f aca="false">I40646</f>
        <v>-71.7748017716</v>
      </c>
      <c r="J40836" s="16" t="n">
        <f aca="false">J40646</f>
        <v>-69.28201437165</v>
      </c>
      <c r="K40836" s="16" t="n">
        <f aca="false">K40646</f>
        <v>-63.512311383781</v>
      </c>
    </row>
    <row r="40837" customFormat="false" ht="15" hidden="false" customHeight="false" outlineLevel="0" collapsed="false">
      <c r="A40837" s="3" t="s">
        <v>397</v>
      </c>
      <c r="G40837" s="16" t="n">
        <f aca="false">CHOOSE($C$40616,Assumptions!$G$82,Assumptions!$G$101,Assumptions!$G$120)</f>
        <v>100</v>
      </c>
      <c r="H40837" s="16" t="n">
        <f aca="false">CHOOSE($C$40616,Assumptions!$H$82,Assumptions!$H$101,Assumptions!$H$120)</f>
        <v>0</v>
      </c>
      <c r="I40837" s="16" t="n">
        <f aca="false">CHOOSE($C$40616,Assumptions!$I$82,Assumptions!$I$101,Assumptions!$I$120)</f>
        <v>0</v>
      </c>
      <c r="J40837" s="16" t="n">
        <f aca="false">CHOOSE($C$40616,Assumptions!$J$82,Assumptions!$J$101,Assumptions!$J$120)</f>
        <v>0</v>
      </c>
      <c r="K40837" s="16" t="n">
        <f aca="false">CHOOSE($C$40616,Assumptions!$K$82,Assumptions!$K$101,Assumptions!$K$120)</f>
        <v>0</v>
      </c>
    </row>
    <row r="40838" customFormat="false" ht="15" hidden="false" customHeight="false" outlineLevel="0" collapsed="false">
      <c r="A40838" s="3" t="s">
        <v>398</v>
      </c>
      <c r="G40838" s="16" t="n">
        <f aca="false">G40665+G40678+G40691+G40704+G40717+G40730+G40743+G40756+G40769+G40782</f>
        <v>4</v>
      </c>
      <c r="H40838" s="16" t="n">
        <f aca="false">H40665+H40678+H40691+H40704+H40717+H40730+H40743+H40756+H40769+H40782</f>
        <v>4</v>
      </c>
      <c r="I40838" s="16" t="n">
        <f aca="false">I40665+I40678+I40691+I40704+I40717+I40730+I40743+I40756+I40769+I40782</f>
        <v>4</v>
      </c>
      <c r="J40838" s="16" t="n">
        <f aca="false">J40665+J40678+J40691+J40704+J40717+J40730+J40743+J40756+J40769+J40782</f>
        <v>4</v>
      </c>
      <c r="K40838" s="16" t="n">
        <f aca="false">K40665+K40678+K40691+K40704+K40717+K40730+K40743+K40756+K40769+K40782</f>
        <v>4</v>
      </c>
    </row>
    <row r="40839" customFormat="false" ht="15" hidden="false" customHeight="false" outlineLevel="0" collapsed="false">
      <c r="A40839" s="2" t="s">
        <v>399</v>
      </c>
      <c r="G40839" s="17" t="n">
        <f aca="false">G40835+G40836+G40837-G40838</f>
        <v>87.2944416</v>
      </c>
      <c r="H40839" s="17" t="n">
        <f aca="false">H40835+H40836+H40837-H40838</f>
        <v>15.0452413</v>
      </c>
      <c r="I40839" s="17" t="n">
        <f aca="false">I40835+I40836+I40837-I40838</f>
        <v>-75.7748017716</v>
      </c>
      <c r="J40839" s="17" t="n">
        <f aca="false">J40835+J40836+J40837-J40838</f>
        <v>-149.05681614325</v>
      </c>
      <c r="K40839" s="17" t="n">
        <f aca="false">K40835+K40836+K40837-K40838</f>
        <v>-216.569127527031</v>
      </c>
    </row>
    <row r="40840" customFormat="false" ht="15" hidden="false" customHeight="false" outlineLevel="0" collapsed="false">
      <c r="A40840" s="3" t="s">
        <v>400</v>
      </c>
      <c r="G40840" s="16" t="n">
        <f aca="false">G40666+G40679+G40692+G40705+G40718+G40731+G40744+G40757+G40770+G40783</f>
        <v>0</v>
      </c>
      <c r="H40840" s="16" t="n">
        <f aca="false">H40666+H40679+H40692+H40705+H40718+H40731+H40744+H40757+H40770+H40783</f>
        <v>0</v>
      </c>
      <c r="I40840" s="16" t="n">
        <f aca="false">I40666+I40679+I40692+I40705+I40718+I40731+I40744+I40757+I40770+I40783</f>
        <v>0</v>
      </c>
      <c r="J40840" s="16" t="n">
        <f aca="false">J40666+J40679+J40692+J40705+J40718+J40731+J40744+J40757+J40770+J40783</f>
        <v>0</v>
      </c>
      <c r="K40840" s="16" t="n">
        <f aca="false">K40666+K40679+K40692+K40705+K40718+K40731+K40744+K40757+K40770+K40783</f>
        <v>0</v>
      </c>
    </row>
    <row r="40841" customFormat="false" ht="15" hidden="false" customHeight="false" outlineLevel="0" collapsed="false">
      <c r="A40841" s="2" t="s">
        <v>401</v>
      </c>
      <c r="G40841" s="17" t="n">
        <f aca="false">G40839+G40840</f>
        <v>87.2944416</v>
      </c>
      <c r="H40841" s="17" t="n">
        <f aca="false">H40839+H40840</f>
        <v>15.0452413</v>
      </c>
      <c r="I40841" s="17" t="n">
        <f aca="false">I40839+I40840</f>
        <v>-75.7748017716</v>
      </c>
      <c r="J40841" s="17" t="n">
        <f aca="false">J40839+J40840</f>
        <v>-149.05681614325</v>
      </c>
      <c r="K40841" s="17" t="n">
        <f aca="false">K40839+K40840</f>
        <v>-216.569127527031</v>
      </c>
    </row>
    <row r="40842" customFormat="false" ht="15" hidden="false" customHeight="false" outlineLevel="0" collapsed="false">
      <c r="A40842" s="3" t="s">
        <v>402</v>
      </c>
      <c r="G40842" s="16" t="n">
        <f aca="false">G40667+G40680+G40693+G40706+G40719+G40732+G40745+G40758+G40771+G40784</f>
        <v>0</v>
      </c>
      <c r="H40842" s="16" t="n">
        <f aca="false">H40667+H40680+H40693+H40706+H40719+H40732+H40745+H40758+H40771+H40784</f>
        <v>15.0452413</v>
      </c>
      <c r="I40842" s="16" t="n">
        <f aca="false">I40667+I40680+I40693+I40706+I40719+I40732+I40745+I40758+I40771+I40784</f>
        <v>0</v>
      </c>
      <c r="J40842" s="16" t="n">
        <f aca="false">J40667+J40680+J40693+J40706+J40719+J40732+J40745+J40758+J40771+J40784</f>
        <v>0</v>
      </c>
      <c r="K40842" s="16" t="n">
        <f aca="false">K40667+K40680+K40693+K40706+K40719+K40732+K40745+K40758+K40771+K40784</f>
        <v>0</v>
      </c>
    </row>
    <row r="40843" customFormat="false" ht="15" hidden="false" customHeight="false" outlineLevel="0" collapsed="false">
      <c r="A40843" s="2" t="s">
        <v>403</v>
      </c>
      <c r="G40843" s="17" t="n">
        <f aca="false">G40841-G40842</f>
        <v>87.2944416</v>
      </c>
      <c r="H40843" s="17" t="n">
        <f aca="false">H40841-H40842</f>
        <v>0</v>
      </c>
      <c r="I40843" s="17" t="n">
        <f aca="false">I40841-I40842</f>
        <v>-75.7748017716</v>
      </c>
      <c r="J40843" s="17" t="n">
        <f aca="false">J40841-J40842</f>
        <v>-149.05681614325</v>
      </c>
      <c r="K40843" s="17" t="n">
        <f aca="false">K40841-K40842</f>
        <v>-216.569127527031</v>
      </c>
    </row>
    <row r="40844" customFormat="false" ht="15" hidden="false" customHeight="false" outlineLevel="0" collapsed="false">
      <c r="A40844" s="3" t="s">
        <v>404</v>
      </c>
      <c r="G40844" s="16" t="n">
        <f aca="false">MAX(0,-G40843)</f>
        <v>0</v>
      </c>
      <c r="H40844" s="16" t="n">
        <f aca="false">MAX(0,-H40843)</f>
        <v>-0</v>
      </c>
      <c r="I40844" s="16" t="n">
        <f aca="false">MAX(0,-I40843)</f>
        <v>75.7748017716</v>
      </c>
      <c r="J40844" s="16" t="n">
        <f aca="false">MAX(0,-J40843)</f>
        <v>149.05681614325</v>
      </c>
      <c r="K40844" s="16" t="n">
        <f aca="false">MAX(0,-K40843)</f>
        <v>216.569127527031</v>
      </c>
    </row>
    <row r="40845" customFormat="false" ht="15" hidden="false" customHeight="false" outlineLevel="0" collapsed="false">
      <c r="A40845" s="3" t="s">
        <v>405</v>
      </c>
      <c r="G40845" s="16" t="n">
        <f aca="false">MAX(0,G40843-Assumptions!$C$12)*Assumptions!$C$13</f>
        <v>0</v>
      </c>
      <c r="H40845" s="16" t="n">
        <f aca="false">MAX(0,H40843-Assumptions!$C$12)*Assumptions!$C$13</f>
        <v>0</v>
      </c>
      <c r="I40845" s="16" t="n">
        <f aca="false">MAX(0,I40843-Assumptions!$C$12)*Assumptions!$C$13</f>
        <v>0</v>
      </c>
      <c r="J40845" s="16" t="n">
        <f aca="false">MAX(0,J40843-Assumptions!$C$12)*Assumptions!$C$13</f>
        <v>0</v>
      </c>
      <c r="K40845" s="16" t="n">
        <f aca="false">MAX(0,K40843-Assumptions!$C$12)*Assumptions!$C$13</f>
        <v>0</v>
      </c>
    </row>
    <row r="40846" customFormat="false" ht="15" hidden="false" customHeight="false" outlineLevel="0" collapsed="false">
      <c r="A40846" s="3" t="s">
        <v>406</v>
      </c>
      <c r="G40846" s="16" t="n">
        <f aca="false">G40668+G40681+G40694+G40707+G40720+G40733+G40746+G40759+G40772+G40785</f>
        <v>0</v>
      </c>
      <c r="H40846" s="16" t="n">
        <f aca="false">H40668+H40681+H40694+H40707+H40720+H40733+H40746+H40759+H40772+H40785</f>
        <v>0</v>
      </c>
      <c r="I40846" s="16" t="n">
        <f aca="false">I40668+I40681+I40694+I40707+I40720+I40733+I40746+I40759+I40772+I40785</f>
        <v>0</v>
      </c>
      <c r="J40846" s="16" t="n">
        <f aca="false">J40668+J40681+J40694+J40707+J40720+J40733+J40746+J40759+J40772+J40785</f>
        <v>0</v>
      </c>
      <c r="K40846" s="16" t="n">
        <f aca="false">K40668+K40681+K40694+K40707+K40720+K40733+K40746+K40759+K40772+K40785</f>
        <v>0</v>
      </c>
    </row>
    <row r="40847" customFormat="false" ht="15" hidden="false" customHeight="false" outlineLevel="0" collapsed="false">
      <c r="A40847" s="2" t="s">
        <v>407</v>
      </c>
      <c r="F40847" s="28" t="n">
        <f aca="false">Assumptions!$C$11</f>
        <v>37.87</v>
      </c>
      <c r="G40847" s="17" t="n">
        <f aca="false">G40843-G40846</f>
        <v>87.2944416</v>
      </c>
      <c r="H40847" s="17" t="n">
        <f aca="false">H40843-H40846</f>
        <v>0</v>
      </c>
      <c r="I40847" s="17" t="n">
        <f aca="false">I40843-I40846</f>
        <v>-75.7748017716</v>
      </c>
      <c r="J40847" s="17" t="n">
        <f aca="false">J40843-J40846</f>
        <v>-149.05681614325</v>
      </c>
      <c r="K40847" s="17" t="n">
        <f aca="false">K40843-K40846</f>
        <v>-216.569127527031</v>
      </c>
    </row>
    <row r="40848" customFormat="false" ht="15" hidden="false" customHeight="false" outlineLevel="0" collapsed="false">
      <c r="A40848" s="3" t="s">
        <v>408</v>
      </c>
      <c r="G40848" s="16" t="n">
        <f aca="false">G40669+G40682+G40695+G40708+G40721+G40734+G40747+G40760+G40773+G40786</f>
        <v>0</v>
      </c>
      <c r="H40848" s="16" t="n">
        <f aca="false">H40669+H40682+H40695+H40708+H40721+H40734+H40747+H40760+H40773+H40786</f>
        <v>784.9547587</v>
      </c>
      <c r="I40848" s="16" t="n">
        <f aca="false">I40669+I40682+I40695+I40708+I40721+I40734+I40747+I40760+I40773+I40786</f>
        <v>550</v>
      </c>
      <c r="J40848" s="16" t="n">
        <f aca="false">J40669+J40682+J40695+J40708+J40721+J40734+J40747+J40760+J40773+J40786</f>
        <v>350</v>
      </c>
      <c r="K40848" s="16" t="n">
        <f aca="false">K40669+K40682+K40695+K40708+K40721+K40734+K40747+K40760+K40773+K40786</f>
        <v>680</v>
      </c>
    </row>
    <row r="40849" customFormat="false" ht="15" hidden="false" customHeight="false" outlineLevel="0" collapsed="false">
      <c r="A40849" s="3" t="s">
        <v>409</v>
      </c>
      <c r="G40849" s="21" t="n">
        <f aca="false">IF(OR(G40844&gt;0.001,G40848&gt;0.001),1,0)</f>
        <v>0</v>
      </c>
      <c r="H40849" s="21" t="n">
        <f aca="false">IF(OR(H40844&gt;0.001,H40848&gt;0.001),1,0)</f>
        <v>1</v>
      </c>
      <c r="I40849" s="21" t="n">
        <f aca="false">IF(OR(I40844&gt;0.001,I40848&gt;0.001),1,0)</f>
        <v>1</v>
      </c>
      <c r="J40849" s="21" t="n">
        <f aca="false">IF(OR(J40844&gt;0.001,J40848&gt;0.001),1,0)</f>
        <v>1</v>
      </c>
      <c r="K40849" s="21" t="n">
        <f aca="false">IF(OR(K40844&gt;0.001,K40848&gt;0.001),1,0)</f>
        <v>1</v>
      </c>
    </row>
    <row r="40850" customFormat="false" ht="15" hidden="false" customHeight="false" outlineLevel="0" collapsed="false">
      <c r="A40850" s="3" t="s">
        <v>410</v>
      </c>
      <c r="G40850" s="21" t="n">
        <f aca="false">IF(G40849=1,1,0)</f>
        <v>0</v>
      </c>
      <c r="H40850" s="21" t="n">
        <f aca="false">IF(AND(H40849=1,SUM($G$40849:G40849)=0),1,0)</f>
        <v>1</v>
      </c>
      <c r="I40850" s="21" t="n">
        <f aca="false">IF(AND(I40849=1,SUM($G$40849:H40849)=0),1,0)</f>
        <v>0</v>
      </c>
      <c r="J40850" s="21" t="n">
        <f aca="false">IF(AND(J40849=1,SUM($G$40849:I40849)=0),1,0)</f>
        <v>0</v>
      </c>
      <c r="K40850" s="21" t="n">
        <f aca="false">IF(AND(K40849=1,SUM($G$40849:J40849)=0),1,0)</f>
        <v>0</v>
      </c>
    </row>
    <row r="40851" customFormat="false" ht="15" hidden="false" customHeight="false" outlineLevel="0" collapsed="false">
      <c r="A40851" s="3" t="s">
        <v>411</v>
      </c>
      <c r="G40851" s="16" t="n">
        <f aca="false">(G40789-F40789)-(G40840+G40638-G40838-G40842-G40846)</f>
        <v>0</v>
      </c>
      <c r="H40851" s="16" t="n">
        <f aca="false">(H40789-G40789)-(H40840+H40638-H40838-H40842-H40846)</f>
        <v>-2.27373675443232E-013</v>
      </c>
      <c r="I40851" s="16" t="n">
        <f aca="false">(I40789-H40789)-(I40840+I40638-I40838-I40842-I40846)</f>
        <v>0</v>
      </c>
      <c r="J40851" s="16" t="n">
        <f aca="false">(J40789-I40789)-(J40840+J40638-J40838-J40842-J40846)</f>
        <v>0</v>
      </c>
      <c r="K40851" s="16" t="n">
        <f aca="false">(K40789-J40789)-(K40840+K40638-K40838-K40842-K40846)</f>
        <v>0</v>
      </c>
    </row>
    <row r="40853" customFormat="false" ht="15" hidden="false" customHeight="false" outlineLevel="0" collapsed="false">
      <c r="A40853" s="24" t="s">
        <v>413</v>
      </c>
      <c r="B40853" s="25"/>
      <c r="C40853" s="25"/>
      <c r="D40853" s="25"/>
      <c r="E40853" s="25"/>
      <c r="F40853" s="25"/>
      <c r="G40853" s="25"/>
      <c r="H40853" s="25"/>
      <c r="I40853" s="25"/>
      <c r="J40853" s="25"/>
      <c r="K40853" s="25"/>
    </row>
    <row r="40854" customFormat="false" ht="15" hidden="false" customHeight="false" outlineLevel="0" collapsed="false">
      <c r="A40854" s="3" t="s">
        <v>414</v>
      </c>
      <c r="G40854" s="16" t="n">
        <f aca="false">G40789</f>
        <v>2621.934</v>
      </c>
      <c r="H40854" s="16" t="n">
        <f aca="false">H40789</f>
        <v>2602.8887587</v>
      </c>
      <c r="I40854" s="16" t="n">
        <f aca="false">I40789</f>
        <v>2598.8887587</v>
      </c>
      <c r="J40854" s="16" t="n">
        <f aca="false">J40789</f>
        <v>2594.8887587</v>
      </c>
      <c r="K40854" s="16" t="n">
        <f aca="false">K40789</f>
        <v>2590.8887587</v>
      </c>
    </row>
    <row r="40855" customFormat="false" ht="15" hidden="false" customHeight="false" outlineLevel="0" collapsed="false">
      <c r="A40855" s="3" t="s">
        <v>415</v>
      </c>
      <c r="G40855" s="16" t="n">
        <f aca="false">Assumptions!$O$57*G40670+Assumptions!$O$58*G40683+Assumptions!$O$59*G40696+Assumptions!$O$60*G40709+Assumptions!$O$61*G40722+Assumptions!$O$62*G40735+Assumptions!$O$63*G40748+Assumptions!$O$64*G40761+Assumptions!$O$65*G40774+Assumptions!$O$66*G40787</f>
        <v>543.324</v>
      </c>
      <c r="H40855" s="16" t="n">
        <f aca="false">Assumptions!$O$57*H40670+Assumptions!$O$58*H40683+Assumptions!$O$59*H40696+Assumptions!$O$60*H40709+Assumptions!$O$61*H40722+Assumptions!$O$62*H40735+Assumptions!$O$63*H40748+Assumptions!$O$64*H40761+Assumptions!$O$65*H40774+Assumptions!$O$66*H40787</f>
        <v>539.324</v>
      </c>
      <c r="I40855" s="16" t="n">
        <f aca="false">Assumptions!$O$57*I40670+Assumptions!$O$58*I40683+Assumptions!$O$59*I40696+Assumptions!$O$60*I40709+Assumptions!$O$61*I40722+Assumptions!$O$62*I40735+Assumptions!$O$63*I40748+Assumptions!$O$64*I40761+Assumptions!$O$65*I40774+Assumptions!$O$66*I40787</f>
        <v>535.324</v>
      </c>
      <c r="J40855" s="16" t="n">
        <f aca="false">Assumptions!$O$57*J40670+Assumptions!$O$58*J40683+Assumptions!$O$59*J40696+Assumptions!$O$60*J40709+Assumptions!$O$61*J40722+Assumptions!$O$62*J40735+Assumptions!$O$63*J40748+Assumptions!$O$64*J40761+Assumptions!$O$65*J40774+Assumptions!$O$66*J40787</f>
        <v>531.324</v>
      </c>
      <c r="K40855" s="16" t="n">
        <f aca="false">Assumptions!$O$57*K40670+Assumptions!$O$58*K40683+Assumptions!$O$59*K40696+Assumptions!$O$60*K40709+Assumptions!$O$61*K40722+Assumptions!$O$62*K40735+Assumptions!$O$63*K40748+Assumptions!$O$64*K40761+Assumptions!$O$65*K40774+Assumptions!$O$66*K40787</f>
        <v>527.324</v>
      </c>
    </row>
    <row r="40856" customFormat="false" ht="15" hidden="false" customHeight="false" outlineLevel="0" collapsed="false">
      <c r="A40856" s="3" t="s">
        <v>416</v>
      </c>
      <c r="G40856" s="16" t="n">
        <f aca="false">G40854-G40847</f>
        <v>2534.6395584</v>
      </c>
      <c r="H40856" s="16" t="n">
        <f aca="false">H40854-H40847</f>
        <v>2602.8887587</v>
      </c>
      <c r="I40856" s="16" t="n">
        <f aca="false">I40854-I40847</f>
        <v>2674.6635604716</v>
      </c>
      <c r="J40856" s="16" t="n">
        <f aca="false">J40854-J40847</f>
        <v>2743.94557484325</v>
      </c>
      <c r="K40856" s="16" t="n">
        <f aca="false">K40854-K40847</f>
        <v>2807.45788622703</v>
      </c>
    </row>
    <row r="40857" customFormat="false" ht="15" hidden="false" customHeight="false" outlineLevel="0" collapsed="false">
      <c r="A40857" s="3" t="s">
        <v>417</v>
      </c>
      <c r="G40857" s="32" t="n">
        <f aca="false">IF(G40633&gt;0,G40854/G40633,0)</f>
        <v>12.7097898879239</v>
      </c>
      <c r="H40857" s="32" t="n">
        <f aca="false">IF(H40633&gt;0,H40854/H40633,0)</f>
        <v>14.5137170159321</v>
      </c>
      <c r="I40857" s="32" t="n">
        <f aca="false">IF(I40633&gt;0,I40854/I40633,0)</f>
        <v>15.1153610447715</v>
      </c>
      <c r="J40857" s="32" t="n">
        <f aca="false">IF(J40633&gt;0,J40854/J40633,0)</f>
        <v>14.9166072034602</v>
      </c>
      <c r="K40857" s="32" t="n">
        <f aca="false">IF(K40633&gt;0,K40854/K40633,0)</f>
        <v>14.4110120408369</v>
      </c>
    </row>
    <row r="40858" customFormat="false" ht="15" hidden="false" customHeight="false" outlineLevel="0" collapsed="false">
      <c r="A40858" s="3" t="s">
        <v>418</v>
      </c>
      <c r="G40858" s="32" t="n">
        <f aca="false">IF(G40633&gt;0,G40856/G40633,0)</f>
        <v>12.2866312534504</v>
      </c>
      <c r="H40858" s="32" t="n">
        <f aca="false">IF(H40633&gt;0,H40856/H40633,0)</f>
        <v>14.5137170159321</v>
      </c>
      <c r="I40858" s="32" t="n">
        <f aca="false">IF(I40633&gt;0,I40856/I40633,0)</f>
        <v>15.5560738236619</v>
      </c>
      <c r="J40858" s="32" t="n">
        <f aca="false">IF(J40633&gt;0,J40856/J40633,0)</f>
        <v>15.7734539449449</v>
      </c>
      <c r="K40858" s="32" t="n">
        <f aca="false">IF(K40633&gt;0,K40856/K40633,0)</f>
        <v>15.6156103833885</v>
      </c>
    </row>
    <row r="40859" customFormat="false" ht="15" hidden="false" customHeight="false" outlineLevel="0" collapsed="false">
      <c r="A40859" s="3" t="s">
        <v>419</v>
      </c>
      <c r="G40859" s="32" t="n">
        <f aca="false">IF(G40637&gt;0,G40633/G40637,0)</f>
        <v>1.06025908412371</v>
      </c>
      <c r="H40859" s="32" t="n">
        <f aca="false">IF(H40637&gt;0,H40633/H40637,0)</f>
        <v>0.927444011573365</v>
      </c>
      <c r="I40859" s="32" t="n">
        <f aca="false">IF(I40637&gt;0,I40633/I40637,0)</f>
        <v>0.899631625108658</v>
      </c>
      <c r="J40859" s="32" t="n">
        <f aca="false">IF(J40637&gt;0,J40633/J40637,0)</f>
        <v>0.912459444554051</v>
      </c>
      <c r="K40859" s="32" t="n">
        <f aca="false">IF(K40637&gt;0,K40633/K40637,0)</f>
        <v>0.945346751531936</v>
      </c>
    </row>
    <row r="40860" customFormat="false" ht="15" hidden="false" customHeight="false" outlineLevel="0" collapsed="false">
      <c r="A40860" s="3" t="s">
        <v>420</v>
      </c>
      <c r="G40860" s="32" t="n">
        <f aca="false">IF(G40637&gt;0,G40636/G40637,0)</f>
        <v>0.20316175818306</v>
      </c>
      <c r="H40860" s="32" t="n">
        <f aca="false">IF(H40637&gt;0,H40636/H40637,0)</f>
        <v>0.125405512651662</v>
      </c>
      <c r="I40860" s="32" t="n">
        <f aca="false">IF(I40637&gt;0,I40636/I40637,0)</f>
        <v>0.112492039835566</v>
      </c>
      <c r="J40860" s="32" t="n">
        <f aca="false">IF(J40637&gt;0,J40636/J40637,0)</f>
        <v>0.123379355508513</v>
      </c>
      <c r="K40860" s="32" t="n">
        <f aca="false">IF(K40637&gt;0,K40636/K40637,0)</f>
        <v>0.146406265534401</v>
      </c>
    </row>
    <row r="40861" customFormat="false" ht="15" hidden="false" customHeight="false" outlineLevel="0" collapsed="false">
      <c r="A40861" s="3" t="s">
        <v>213</v>
      </c>
      <c r="G40861" s="22" t="n">
        <f aca="false">IF(G40854&gt;0,G40646/G40854,0)</f>
        <v>-0.0177638180060978</v>
      </c>
      <c r="H40861" s="22" t="n">
        <f aca="false">IF(H40854&gt;0,H40646/H40854,0)</f>
        <v>-0.0262205597806979</v>
      </c>
      <c r="I40861" s="22" t="n">
        <f aca="false">IF(I40854&gt;0,I40646/I40854,0)</f>
        <v>-0.0276174967209842</v>
      </c>
      <c r="J40861" s="22" t="n">
        <f aca="false">IF(J40854&gt;0,J40646/J40854,0)</f>
        <v>-0.0266994159727908</v>
      </c>
      <c r="K40861" s="22" t="n">
        <f aca="false">IF(K40854&gt;0,K40646/K40854,0)</f>
        <v>-0.0245137160638455</v>
      </c>
    </row>
    <row r="40862" customFormat="false" ht="15" hidden="false" customHeight="false" outlineLevel="0" collapsed="false">
      <c r="A40862" s="3" t="s">
        <v>421</v>
      </c>
      <c r="G40862" s="32" t="n">
        <f aca="false">IF(G40637+G40838&gt;0,(G40633-G40644-G40641)/(G40637+G40838),0)</f>
        <v>0.745298526859104</v>
      </c>
      <c r="H40862" s="32" t="n">
        <f aca="false">IF(H40637+H40838&gt;0,(H40633-H40644-H40641)/(H40637+H40838),0)</f>
        <v>0.633940444194116</v>
      </c>
      <c r="I40862" s="32" t="n">
        <f aca="false">IF(I40637+I40838&gt;0,(I40633-I40644-I40641)/(I40637+I40838),0)</f>
        <v>0.611648781339491</v>
      </c>
      <c r="J40862" s="32" t="n">
        <f aca="false">IF(J40637+J40838&gt;0,(J40633-J40644-J40641)/(J40637+J40838),0)</f>
        <v>0.623517628652559</v>
      </c>
      <c r="K40862" s="32" t="n">
        <f aca="false">IF(K40637+K40838&gt;0,(K40633-K40644-K40641)/(K40637+K40838),0)</f>
        <v>0.652319655812009</v>
      </c>
    </row>
    <row r="40863" customFormat="false" ht="15" hidden="false" customHeight="false" outlineLevel="0" collapsed="false">
      <c r="A40863" s="3" t="s">
        <v>422</v>
      </c>
      <c r="G40863" s="16" t="n">
        <f aca="false">MAX(0,G40847)+Assumptions!$P$57*MAX(0,Assumptions!$D$57-G40670)+Assumptions!$P$58*MAX(0,Assumptions!$D$58-G40683)+Assumptions!$P$59*MAX(0,Assumptions!$D$59-G40696)+Assumptions!$P$60*MAX(0,Assumptions!$D$60-G40709)+Assumptions!$P$61*MAX(0,Assumptions!$D$61-G40722)+Assumptions!$P$62*MAX(0,Assumptions!$D$62-G40735)+Assumptions!$P$63*MAX(0,Assumptions!$D$63-G40748)+Assumptions!$P$64*MAX(0,Assumptions!$D$64-G40761)+Assumptions!$P$65*MAX(0,Assumptions!$D$65-G40774)+Assumptions!$P$66*MAX(0,Assumptions!$D$66-G40787)</f>
        <v>661.7944416</v>
      </c>
      <c r="H40863" s="16" t="n">
        <f aca="false">MAX(0,H40847)+Assumptions!$P$57*MAX(0,Assumptions!$D$57-H40670)+Assumptions!$P$58*MAX(0,Assumptions!$D$58-H40683)+Assumptions!$P$59*MAX(0,Assumptions!$D$59-H40696)+Assumptions!$P$60*MAX(0,Assumptions!$D$60-H40709)+Assumptions!$P$61*MAX(0,Assumptions!$D$61-H40722)+Assumptions!$P$62*MAX(0,Assumptions!$D$62-H40735)+Assumptions!$P$63*MAX(0,Assumptions!$D$63-H40748)+Assumptions!$P$64*MAX(0,Assumptions!$D$64-H40761)+Assumptions!$P$65*MAX(0,Assumptions!$D$65-H40774)+Assumptions!$P$66*MAX(0,Assumptions!$D$66-H40787)</f>
        <v>574.5</v>
      </c>
      <c r="I40863" s="16" t="n">
        <f aca="false">MAX(0,I40847)+Assumptions!$P$57*MAX(0,Assumptions!$D$57-I40670)+Assumptions!$P$58*MAX(0,Assumptions!$D$58-I40683)+Assumptions!$P$59*MAX(0,Assumptions!$D$59-I40696)+Assumptions!$P$60*MAX(0,Assumptions!$D$60-I40709)+Assumptions!$P$61*MAX(0,Assumptions!$D$61-I40722)+Assumptions!$P$62*MAX(0,Assumptions!$D$62-I40735)+Assumptions!$P$63*MAX(0,Assumptions!$D$63-I40748)+Assumptions!$P$64*MAX(0,Assumptions!$D$64-I40761)+Assumptions!$P$65*MAX(0,Assumptions!$D$65-I40774)+Assumptions!$P$66*MAX(0,Assumptions!$D$66-I40787)</f>
        <v>574.5</v>
      </c>
      <c r="J40863" s="16" t="n">
        <f aca="false">MAX(0,J40847)+Assumptions!$P$57*MAX(0,Assumptions!$D$57-J40670)+Assumptions!$P$58*MAX(0,Assumptions!$D$58-J40683)+Assumptions!$P$59*MAX(0,Assumptions!$D$59-J40696)+Assumptions!$P$60*MAX(0,Assumptions!$D$60-J40709)+Assumptions!$P$61*MAX(0,Assumptions!$D$61-J40722)+Assumptions!$P$62*MAX(0,Assumptions!$D$62-J40735)+Assumptions!$P$63*MAX(0,Assumptions!$D$63-J40748)+Assumptions!$P$64*MAX(0,Assumptions!$D$64-J40761)+Assumptions!$P$65*MAX(0,Assumptions!$D$65-J40774)+Assumptions!$P$66*MAX(0,Assumptions!$D$66-J40787)</f>
        <v>574.5</v>
      </c>
      <c r="K40863" s="16" t="n">
        <f aca="false">MAX(0,K40847)+Assumptions!$P$57*MAX(0,Assumptions!$D$57-K40670)+Assumptions!$P$58*MAX(0,Assumptions!$D$58-K40683)+Assumptions!$P$59*MAX(0,Assumptions!$D$59-K40696)+Assumptions!$P$60*MAX(0,Assumptions!$D$60-K40709)+Assumptions!$P$61*MAX(0,Assumptions!$D$61-K40722)+Assumptions!$P$62*MAX(0,Assumptions!$D$62-K40735)+Assumptions!$P$63*MAX(0,Assumptions!$D$63-K40748)+Assumptions!$P$64*MAX(0,Assumptions!$D$64-K40761)+Assumptions!$P$65*MAX(0,Assumptions!$D$65-K40774)+Assumptions!$P$66*MAX(0,Assumptions!$D$66-K40787)</f>
        <v>574.5</v>
      </c>
    </row>
    <row r="40864" customFormat="false" ht="15" hidden="false" customHeight="false" outlineLevel="0" collapsed="false">
      <c r="A40864" s="3" t="s">
        <v>423</v>
      </c>
      <c r="G40864" s="22" t="n">
        <f aca="false">IF(G40854&gt;0,G40854/(G40854+MAX(0,G40633*CHOOSE($C$40616,Assumptions!$C$90,Assumptions!$C$109,Assumptions!$C$128)-G40856)),0)</f>
        <v>1</v>
      </c>
      <c r="H40864" s="22" t="n">
        <f aca="false">IF(H40854&gt;0,H40854/(H40854+MAX(0,H40633*CHOOSE($C$40616,Assumptions!$C$90,Assumptions!$C$109,Assumptions!$C$128)-H40856)),0)</f>
        <v>1</v>
      </c>
      <c r="I40864" s="22" t="n">
        <f aca="false">IF(I40854&gt;0,I40854/(I40854+MAX(0,I40633*CHOOSE($C$40616,Assumptions!$C$90,Assumptions!$C$109,Assumptions!$C$128)-I40856)),0)</f>
        <v>1</v>
      </c>
      <c r="J40864" s="22" t="n">
        <f aca="false">IF(J40854&gt;0,J40854/(J40854+MAX(0,J40633*CHOOSE($C$40616,Assumptions!$C$90,Assumptions!$C$109,Assumptions!$C$128)-J40856)),0)</f>
        <v>1</v>
      </c>
      <c r="K40864" s="22" t="n">
        <f aca="false">IF(K40854&gt;0,K40854/(K40854+MAX(0,K40633*CHOOSE($C$40616,Assumptions!$C$90,Assumptions!$C$109,Assumptions!$C$128)-K40856)),0)</f>
        <v>1</v>
      </c>
    </row>
    <row r="40865" customFormat="false" ht="15" hidden="false" customHeight="false" outlineLevel="0" collapsed="false">
      <c r="A40865" s="3" t="s">
        <v>424</v>
      </c>
      <c r="G40865" s="22" t="n">
        <f aca="false">IF(G40854&gt;0,MAX(0,G40847)/G40854,0)</f>
        <v>0.0332939126614171</v>
      </c>
      <c r="H40865" s="22" t="n">
        <f aca="false">IF(H40854&gt;0,MAX(0,H40847)/H40854,0)</f>
        <v>0</v>
      </c>
      <c r="I40865" s="22" t="n">
        <f aca="false">IF(I40854&gt;0,MAX(0,I40847)/I40854,0)</f>
        <v>0</v>
      </c>
      <c r="J40865" s="22" t="n">
        <f aca="false">IF(J40854&gt;0,MAX(0,J40847)/J40854,0)</f>
        <v>0</v>
      </c>
      <c r="K40865" s="22" t="n">
        <f aca="false">IF(K40854&gt;0,MAX(0,K40847)/K40854,0)</f>
        <v>0</v>
      </c>
    </row>
    <row r="40866" customFormat="false" ht="15" hidden="false" customHeight="false" outlineLevel="0" collapsed="false">
      <c r="A40866" s="3" t="s">
        <v>425</v>
      </c>
      <c r="G40866" s="16" t="n">
        <f aca="false">Assumptions!$C$31*(1-CHOOSE($C$40616,Assumptions!$C$93,Assumptions!$C$112,Assumptions!$C$131))</f>
        <v>3162.39046666667</v>
      </c>
      <c r="H40866" s="16" t="n">
        <f aca="false">Assumptions!$C$31*(1-CHOOSE($C$40616,Assumptions!$C$93,Assumptions!$C$112,Assumptions!$C$131))</f>
        <v>3162.39046666667</v>
      </c>
      <c r="I40866" s="16" t="n">
        <f aca="false">Assumptions!$C$31*(1-CHOOSE($C$40616,Assumptions!$C$93,Assumptions!$C$112,Assumptions!$C$131))</f>
        <v>3162.39046666667</v>
      </c>
      <c r="J40866" s="16" t="n">
        <f aca="false">Assumptions!$C$31*(1-CHOOSE($C$40616,Assumptions!$C$93,Assumptions!$C$112,Assumptions!$C$131))</f>
        <v>3162.39046666667</v>
      </c>
      <c r="K40866" s="16" t="n">
        <f aca="false">Assumptions!$C$31*(1-CHOOSE($C$40616,Assumptions!$C$93,Assumptions!$C$112,Assumptions!$C$131))</f>
        <v>3162.39046666667</v>
      </c>
    </row>
    <row r="40867" customFormat="false" ht="15" hidden="false" customHeight="false" outlineLevel="0" collapsed="false">
      <c r="A40867" s="24" t="s">
        <v>426</v>
      </c>
      <c r="B40867" s="25"/>
      <c r="C40867" s="25"/>
      <c r="D40867" s="25"/>
      <c r="E40867" s="25"/>
      <c r="F40867" s="25"/>
      <c r="G40867" s="25"/>
      <c r="H40867" s="25"/>
      <c r="I40867" s="25"/>
      <c r="J40867" s="25"/>
      <c r="K40867" s="25"/>
    </row>
    <row r="40868" customFormat="false" ht="15" hidden="false" customHeight="false" outlineLevel="0" collapsed="false">
      <c r="A40868" s="24" t="s">
        <v>427</v>
      </c>
      <c r="B40868" s="25"/>
      <c r="C40868" s="25"/>
      <c r="D40868" s="25"/>
      <c r="E40868" s="25"/>
      <c r="F40868" s="25"/>
      <c r="G40868" s="25"/>
      <c r="H40868" s="25"/>
      <c r="I40868" s="25"/>
      <c r="J40868" s="25"/>
      <c r="K40868" s="25"/>
    </row>
    <row r="40869" customFormat="false" ht="15" hidden="false" customHeight="false" outlineLevel="0" collapsed="false">
      <c r="A40869" s="3" t="s">
        <v>428</v>
      </c>
      <c r="G40869" s="22" t="n">
        <f aca="false">IF(G40866&gt;0,G40854/G40866,99)</f>
        <v>0.829098755399318</v>
      </c>
      <c r="H40869" s="22" t="n">
        <f aca="false">IF(H40866&gt;0,H40854/H40866,99)</f>
        <v>0.823076336124801</v>
      </c>
      <c r="I40869" s="22" t="n">
        <f aca="false">IF(I40866&gt;0,I40854/I40866,99)</f>
        <v>0.821811470181724</v>
      </c>
      <c r="J40869" s="22" t="n">
        <f aca="false">IF(J40866&gt;0,J40854/J40866,99)</f>
        <v>0.820546604238646</v>
      </c>
      <c r="K40869" s="22" t="n">
        <f aca="false">IF(K40866&gt;0,K40854/K40866,99)</f>
        <v>0.819281738295568</v>
      </c>
    </row>
    <row r="40870" customFormat="false" ht="15" hidden="false" customHeight="false" outlineLevel="0" collapsed="false">
      <c r="A40870" s="3" t="s">
        <v>429</v>
      </c>
      <c r="G40870" s="33" t="n">
        <f aca="false">Assumptions!$G$71</f>
        <v>0.6</v>
      </c>
      <c r="H40870" s="33" t="n">
        <f aca="false">Assumptions!$H$71</f>
        <v>0.6</v>
      </c>
      <c r="I40870" s="33" t="n">
        <f aca="false">Assumptions!$I$71</f>
        <v>0.6</v>
      </c>
      <c r="J40870" s="33" t="n">
        <f aca="false">Assumptions!$J$71</f>
        <v>0.6</v>
      </c>
      <c r="K40870" s="33" t="n">
        <f aca="false">Assumptions!$K$71</f>
        <v>0.6</v>
      </c>
    </row>
    <row r="40871" customFormat="false" ht="15" hidden="false" customHeight="false" outlineLevel="0" collapsed="false">
      <c r="A40871" s="3" t="s">
        <v>430</v>
      </c>
      <c r="G40871" s="22" t="n">
        <f aca="false">G40870-G40869</f>
        <v>-0.229098755399318</v>
      </c>
      <c r="H40871" s="22" t="n">
        <f aca="false">H40870-H40869</f>
        <v>-0.223076336124801</v>
      </c>
      <c r="I40871" s="22" t="n">
        <f aca="false">I40870-I40869</f>
        <v>-0.221811470181724</v>
      </c>
      <c r="J40871" s="22" t="n">
        <f aca="false">J40870-J40869</f>
        <v>-0.220546604238646</v>
      </c>
      <c r="K40871" s="22" t="n">
        <f aca="false">K40870-K40869</f>
        <v>-0.219281738295568</v>
      </c>
    </row>
    <row r="40872" customFormat="false" ht="15" hidden="false" customHeight="false" outlineLevel="0" collapsed="false">
      <c r="A40872" s="3" t="s">
        <v>431</v>
      </c>
      <c r="G40872" s="22" t="n">
        <f aca="false">IF(G40870=0,0,G40871/ABS(G40870))</f>
        <v>-0.381831258998863</v>
      </c>
      <c r="H40872" s="22" t="n">
        <f aca="false">IF(H40870=0,0,H40871/ABS(H40870))</f>
        <v>-0.371793893541335</v>
      </c>
      <c r="I40872" s="22" t="n">
        <f aca="false">IF(I40870=0,0,I40871/ABS(I40870))</f>
        <v>-0.369685783636206</v>
      </c>
      <c r="J40872" s="22" t="n">
        <f aca="false">IF(J40870=0,0,J40871/ABS(J40870))</f>
        <v>-0.367577673731077</v>
      </c>
      <c r="K40872" s="22" t="n">
        <f aca="false">IF(K40870=0,0,K40871/ABS(K40870))</f>
        <v>-0.365469563825947</v>
      </c>
    </row>
    <row r="40873" customFormat="false" ht="15" hidden="false" customHeight="false" outlineLevel="0" collapsed="false">
      <c r="A40873" s="3" t="s">
        <v>432</v>
      </c>
      <c r="G40873" s="21" t="n">
        <f aca="false">IF(G40871&lt;0,1,0)</f>
        <v>1</v>
      </c>
      <c r="H40873" s="21" t="n">
        <f aca="false">IF(H40871&lt;0,1,0)</f>
        <v>1</v>
      </c>
      <c r="I40873" s="21" t="n">
        <f aca="false">IF(I40871&lt;0,1,0)</f>
        <v>1</v>
      </c>
      <c r="J40873" s="21" t="n">
        <f aca="false">IF(J40871&lt;0,1,0)</f>
        <v>1</v>
      </c>
      <c r="K40873" s="21" t="n">
        <f aca="false">IF(K40871&lt;0,1,0)</f>
        <v>1</v>
      </c>
    </row>
    <row r="40874" customFormat="false" ht="15" hidden="false" customHeight="false" outlineLevel="0" collapsed="false">
      <c r="A40874" s="3" t="s">
        <v>433</v>
      </c>
      <c r="C40874" s="21" t="n">
        <f aca="false">IFERROR(INDEX($G$40623:$K$40623,MATCH(1,$G$40873:$K$40873,0)),0)</f>
        <v>2027</v>
      </c>
    </row>
    <row r="40875" customFormat="false" ht="15" hidden="false" customHeight="false" outlineLevel="0" collapsed="false">
      <c r="A40875" s="3" t="s">
        <v>434</v>
      </c>
      <c r="C40875" s="22" t="n">
        <f aca="false">MIN($G$40872:$K$40872)</f>
        <v>-0.381831258998863</v>
      </c>
    </row>
    <row r="40876" customFormat="false" ht="15" hidden="false" customHeight="false" outlineLevel="0" collapsed="false">
      <c r="A40876" s="24" t="s">
        <v>435</v>
      </c>
      <c r="B40876" s="25"/>
      <c r="C40876" s="25"/>
      <c r="D40876" s="25"/>
      <c r="E40876" s="25"/>
      <c r="F40876" s="25"/>
      <c r="G40876" s="25"/>
      <c r="H40876" s="25"/>
      <c r="I40876" s="25"/>
      <c r="J40876" s="25"/>
      <c r="K40876" s="25"/>
    </row>
    <row r="40877" customFormat="false" ht="15" hidden="false" customHeight="false" outlineLevel="0" collapsed="false">
      <c r="A40877" s="3" t="s">
        <v>428</v>
      </c>
      <c r="G40877" s="32" t="n">
        <f aca="false">IF(G40637&gt;0,G40633/G40637,99)</f>
        <v>1.06025908412371</v>
      </c>
      <c r="H40877" s="32" t="n">
        <f aca="false">IF(H40637&gt;0,H40633/H40637,99)</f>
        <v>0.927444011573365</v>
      </c>
      <c r="I40877" s="32" t="n">
        <f aca="false">IF(I40637&gt;0,I40633/I40637,99)</f>
        <v>0.899631625108658</v>
      </c>
      <c r="J40877" s="32" t="n">
        <f aca="false">IF(J40637&gt;0,J40633/J40637,99)</f>
        <v>0.912459444554051</v>
      </c>
      <c r="K40877" s="32" t="n">
        <f aca="false">IF(K40637&gt;0,K40633/K40637,99)</f>
        <v>0.945346751531936</v>
      </c>
    </row>
    <row r="40878" customFormat="false" ht="15" hidden="false" customHeight="false" outlineLevel="0" collapsed="false">
      <c r="A40878" s="3" t="s">
        <v>429</v>
      </c>
      <c r="G40878" s="34" t="n">
        <f aca="false">Assumptions!$G$72</f>
        <v>1.5</v>
      </c>
      <c r="H40878" s="34" t="n">
        <f aca="false">Assumptions!$H$72</f>
        <v>1.5</v>
      </c>
      <c r="I40878" s="34" t="n">
        <f aca="false">Assumptions!$I$72</f>
        <v>1.5</v>
      </c>
      <c r="J40878" s="34" t="n">
        <f aca="false">Assumptions!$J$72</f>
        <v>1.5</v>
      </c>
      <c r="K40878" s="34" t="n">
        <f aca="false">Assumptions!$K$72</f>
        <v>1.5</v>
      </c>
    </row>
    <row r="40879" customFormat="false" ht="15" hidden="false" customHeight="false" outlineLevel="0" collapsed="false">
      <c r="A40879" s="3" t="s">
        <v>430</v>
      </c>
      <c r="G40879" s="32" t="n">
        <f aca="false">G40877-G40878</f>
        <v>-0.439740915876287</v>
      </c>
      <c r="H40879" s="32" t="n">
        <f aca="false">H40877-H40878</f>
        <v>-0.572555988426635</v>
      </c>
      <c r="I40879" s="32" t="n">
        <f aca="false">I40877-I40878</f>
        <v>-0.600368374891342</v>
      </c>
      <c r="J40879" s="32" t="n">
        <f aca="false">J40877-J40878</f>
        <v>-0.58754055544595</v>
      </c>
      <c r="K40879" s="32" t="n">
        <f aca="false">K40877-K40878</f>
        <v>-0.554653248468064</v>
      </c>
    </row>
    <row r="40880" customFormat="false" ht="15" hidden="false" customHeight="false" outlineLevel="0" collapsed="false">
      <c r="A40880" s="3" t="s">
        <v>431</v>
      </c>
      <c r="G40880" s="22" t="n">
        <f aca="false">IF(G40878=0,0,G40879/ABS(G40878))</f>
        <v>-0.293160610584191</v>
      </c>
      <c r="H40880" s="22" t="n">
        <f aca="false">IF(H40878=0,0,H40879/ABS(H40878))</f>
        <v>-0.381703992284423</v>
      </c>
      <c r="I40880" s="22" t="n">
        <f aca="false">IF(I40878=0,0,I40879/ABS(I40878))</f>
        <v>-0.400245583260895</v>
      </c>
      <c r="J40880" s="22" t="n">
        <f aca="false">IF(J40878=0,0,J40879/ABS(J40878))</f>
        <v>-0.391693703630633</v>
      </c>
      <c r="K40880" s="22" t="n">
        <f aca="false">IF(K40878=0,0,K40879/ABS(K40878))</f>
        <v>-0.369768832312043</v>
      </c>
    </row>
    <row r="40881" customFormat="false" ht="15" hidden="false" customHeight="false" outlineLevel="0" collapsed="false">
      <c r="A40881" s="3" t="s">
        <v>432</v>
      </c>
      <c r="G40881" s="21" t="n">
        <f aca="false">IF(G40879&lt;0,1,0)</f>
        <v>1</v>
      </c>
      <c r="H40881" s="21" t="n">
        <f aca="false">IF(H40879&lt;0,1,0)</f>
        <v>1</v>
      </c>
      <c r="I40881" s="21" t="n">
        <f aca="false">IF(I40879&lt;0,1,0)</f>
        <v>1</v>
      </c>
      <c r="J40881" s="21" t="n">
        <f aca="false">IF(J40879&lt;0,1,0)</f>
        <v>1</v>
      </c>
      <c r="K40881" s="21" t="n">
        <f aca="false">IF(K40879&lt;0,1,0)</f>
        <v>1</v>
      </c>
    </row>
    <row r="40882" customFormat="false" ht="15" hidden="false" customHeight="false" outlineLevel="0" collapsed="false">
      <c r="A40882" s="3" t="s">
        <v>433</v>
      </c>
      <c r="C40882" s="21" t="n">
        <f aca="false">IFERROR(INDEX($G$40623:$K$40623,MATCH(1,$G$40881:$K$40881,0)),0)</f>
        <v>2027</v>
      </c>
    </row>
    <row r="40883" customFormat="false" ht="15" hidden="false" customHeight="false" outlineLevel="0" collapsed="false">
      <c r="A40883" s="3" t="s">
        <v>434</v>
      </c>
      <c r="C40883" s="22" t="n">
        <f aca="false">MIN($G$40880:$K$40880)</f>
        <v>-0.400245583260895</v>
      </c>
    </row>
    <row r="40884" customFormat="false" ht="15" hidden="false" customHeight="false" outlineLevel="0" collapsed="false">
      <c r="A40884" s="24" t="s">
        <v>436</v>
      </c>
      <c r="B40884" s="25"/>
      <c r="C40884" s="25"/>
      <c r="D40884" s="25"/>
      <c r="E40884" s="25"/>
      <c r="F40884" s="25"/>
      <c r="G40884" s="25"/>
      <c r="H40884" s="25"/>
      <c r="I40884" s="25"/>
      <c r="J40884" s="25"/>
      <c r="K40884" s="25"/>
    </row>
    <row r="40885" customFormat="false" ht="15" hidden="false" customHeight="false" outlineLevel="0" collapsed="false">
      <c r="A40885" s="3" t="s">
        <v>428</v>
      </c>
      <c r="G40885" s="22" t="n">
        <f aca="false">IF(G40866&gt;0,G40855/G40866,99)</f>
        <v>0.171808005914176</v>
      </c>
      <c r="H40885" s="22" t="n">
        <f aca="false">IF(H40866&gt;0,H40855/H40866,99)</f>
        <v>0.170543139971098</v>
      </c>
      <c r="I40885" s="22" t="n">
        <f aca="false">IF(I40866&gt;0,I40855/I40866,99)</f>
        <v>0.169278274028021</v>
      </c>
      <c r="J40885" s="22" t="n">
        <f aca="false">IF(J40866&gt;0,J40855/J40866,99)</f>
        <v>0.168013408084943</v>
      </c>
      <c r="K40885" s="22" t="n">
        <f aca="false">IF(K40866&gt;0,K40855/K40866,99)</f>
        <v>0.166748542141865</v>
      </c>
    </row>
    <row r="40886" customFormat="false" ht="15" hidden="false" customHeight="false" outlineLevel="0" collapsed="false">
      <c r="A40886" s="3" t="s">
        <v>429</v>
      </c>
      <c r="G40886" s="33" t="n">
        <f aca="false">Assumptions!$G$73</f>
        <v>0.4</v>
      </c>
      <c r="H40886" s="33" t="n">
        <f aca="false">Assumptions!$H$73</f>
        <v>0.4</v>
      </c>
      <c r="I40886" s="33" t="n">
        <f aca="false">Assumptions!$I$73</f>
        <v>0.4</v>
      </c>
      <c r="J40886" s="33" t="n">
        <f aca="false">Assumptions!$J$73</f>
        <v>0.4</v>
      </c>
      <c r="K40886" s="33" t="n">
        <f aca="false">Assumptions!$K$73</f>
        <v>0.4</v>
      </c>
    </row>
    <row r="40887" customFormat="false" ht="15" hidden="false" customHeight="false" outlineLevel="0" collapsed="false">
      <c r="A40887" s="3" t="s">
        <v>430</v>
      </c>
      <c r="G40887" s="22" t="n">
        <f aca="false">G40886-G40885</f>
        <v>0.228191994085824</v>
      </c>
      <c r="H40887" s="22" t="n">
        <f aca="false">H40886-H40885</f>
        <v>0.229456860028902</v>
      </c>
      <c r="I40887" s="22" t="n">
        <f aca="false">I40886-I40885</f>
        <v>0.230721725971979</v>
      </c>
      <c r="J40887" s="22" t="n">
        <f aca="false">J40886-J40885</f>
        <v>0.231986591915057</v>
      </c>
      <c r="K40887" s="22" t="n">
        <f aca="false">K40886-K40885</f>
        <v>0.233251457858135</v>
      </c>
    </row>
    <row r="40888" customFormat="false" ht="15" hidden="false" customHeight="false" outlineLevel="0" collapsed="false">
      <c r="A40888" s="3" t="s">
        <v>431</v>
      </c>
      <c r="G40888" s="22" t="n">
        <f aca="false">IF(G40886=0,0,G40887/ABS(G40886))</f>
        <v>0.57047998521456</v>
      </c>
      <c r="H40888" s="22" t="n">
        <f aca="false">IF(H40886=0,0,H40887/ABS(H40886))</f>
        <v>0.573642150072254</v>
      </c>
      <c r="I40888" s="22" t="n">
        <f aca="false">IF(I40886=0,0,I40887/ABS(I40886))</f>
        <v>0.576804314929948</v>
      </c>
      <c r="J40888" s="22" t="n">
        <f aca="false">IF(J40886=0,0,J40887/ABS(J40886))</f>
        <v>0.579966479787643</v>
      </c>
      <c r="K40888" s="22" t="n">
        <f aca="false">IF(K40886=0,0,K40887/ABS(K40886))</f>
        <v>0.583128644645337</v>
      </c>
    </row>
    <row r="40889" customFormat="false" ht="15" hidden="false" customHeight="false" outlineLevel="0" collapsed="false">
      <c r="A40889" s="3" t="s">
        <v>432</v>
      </c>
      <c r="G40889" s="21" t="n">
        <f aca="false">IF(G40887&lt;0,1,0)</f>
        <v>0</v>
      </c>
      <c r="H40889" s="21" t="n">
        <f aca="false">IF(H40887&lt;0,1,0)</f>
        <v>0</v>
      </c>
      <c r="I40889" s="21" t="n">
        <f aca="false">IF(I40887&lt;0,1,0)</f>
        <v>0</v>
      </c>
      <c r="J40889" s="21" t="n">
        <f aca="false">IF(J40887&lt;0,1,0)</f>
        <v>0</v>
      </c>
      <c r="K40889" s="21" t="n">
        <f aca="false">IF(K40887&lt;0,1,0)</f>
        <v>0</v>
      </c>
    </row>
    <row r="40890" customFormat="false" ht="15" hidden="false" customHeight="false" outlineLevel="0" collapsed="false">
      <c r="A40890" s="3" t="s">
        <v>433</v>
      </c>
      <c r="C40890" s="21" t="n">
        <f aca="false">IFERROR(INDEX($G$40623:$K$40623,MATCH(1,$G$40889:$K$40889,0)),0)</f>
        <v>0</v>
      </c>
    </row>
    <row r="40891" customFormat="false" ht="15" hidden="false" customHeight="false" outlineLevel="0" collapsed="false">
      <c r="A40891" s="3" t="s">
        <v>434</v>
      </c>
      <c r="C40891" s="22" t="n">
        <f aca="false">MIN($G$40888:$K$40888)</f>
        <v>0.57047998521456</v>
      </c>
    </row>
    <row r="40892" customFormat="false" ht="15" hidden="false" customHeight="false" outlineLevel="0" collapsed="false">
      <c r="A40892" s="24" t="s">
        <v>437</v>
      </c>
      <c r="B40892" s="25"/>
      <c r="C40892" s="25"/>
      <c r="D40892" s="25"/>
      <c r="E40892" s="25"/>
      <c r="F40892" s="25"/>
      <c r="G40892" s="25"/>
      <c r="H40892" s="25"/>
      <c r="I40892" s="25"/>
      <c r="J40892" s="25"/>
      <c r="K40892" s="25"/>
    </row>
    <row r="40893" customFormat="false" ht="15" hidden="false" customHeight="false" outlineLevel="0" collapsed="false">
      <c r="A40893" s="3" t="s">
        <v>428</v>
      </c>
      <c r="G40893" s="16" t="n">
        <f aca="false">G40863</f>
        <v>661.7944416</v>
      </c>
      <c r="H40893" s="16" t="n">
        <f aca="false">H40863</f>
        <v>574.5</v>
      </c>
      <c r="I40893" s="16" t="n">
        <f aca="false">I40863</f>
        <v>574.5</v>
      </c>
      <c r="J40893" s="16" t="n">
        <f aca="false">J40863</f>
        <v>574.5</v>
      </c>
      <c r="K40893" s="16" t="n">
        <f aca="false">K40863</f>
        <v>574.5</v>
      </c>
    </row>
    <row r="40894" customFormat="false" ht="15" hidden="false" customHeight="false" outlineLevel="0" collapsed="false">
      <c r="A40894" s="3" t="s">
        <v>429</v>
      </c>
      <c r="G40894" s="29" t="n">
        <f aca="false">Assumptions!$G$74</f>
        <v>100</v>
      </c>
      <c r="H40894" s="29" t="n">
        <f aca="false">Assumptions!$H$74</f>
        <v>100</v>
      </c>
      <c r="I40894" s="29" t="n">
        <f aca="false">Assumptions!$I$74</f>
        <v>100</v>
      </c>
      <c r="J40894" s="29" t="n">
        <f aca="false">Assumptions!$J$74</f>
        <v>100</v>
      </c>
      <c r="K40894" s="29" t="n">
        <f aca="false">Assumptions!$K$74</f>
        <v>100</v>
      </c>
    </row>
    <row r="40895" customFormat="false" ht="15" hidden="false" customHeight="false" outlineLevel="0" collapsed="false">
      <c r="A40895" s="3" t="s">
        <v>430</v>
      </c>
      <c r="G40895" s="16" t="n">
        <f aca="false">G40893-G40894</f>
        <v>561.7944416</v>
      </c>
      <c r="H40895" s="16" t="n">
        <f aca="false">H40893-H40894</f>
        <v>474.5</v>
      </c>
      <c r="I40895" s="16" t="n">
        <f aca="false">I40893-I40894</f>
        <v>474.5</v>
      </c>
      <c r="J40895" s="16" t="n">
        <f aca="false">J40893-J40894</f>
        <v>474.5</v>
      </c>
      <c r="K40895" s="16" t="n">
        <f aca="false">K40893-K40894</f>
        <v>474.5</v>
      </c>
    </row>
    <row r="40896" customFormat="false" ht="15" hidden="false" customHeight="false" outlineLevel="0" collapsed="false">
      <c r="A40896" s="3" t="s">
        <v>431</v>
      </c>
      <c r="G40896" s="22" t="n">
        <f aca="false">IF(G40894=0,0,G40895/ABS(G40894))</f>
        <v>5.617944416</v>
      </c>
      <c r="H40896" s="22" t="n">
        <f aca="false">IF(H40894=0,0,H40895/ABS(H40894))</f>
        <v>4.745</v>
      </c>
      <c r="I40896" s="22" t="n">
        <f aca="false">IF(I40894=0,0,I40895/ABS(I40894))</f>
        <v>4.745</v>
      </c>
      <c r="J40896" s="22" t="n">
        <f aca="false">IF(J40894=0,0,J40895/ABS(J40894))</f>
        <v>4.745</v>
      </c>
      <c r="K40896" s="22" t="n">
        <f aca="false">IF(K40894=0,0,K40895/ABS(K40894))</f>
        <v>4.745</v>
      </c>
    </row>
    <row r="40897" customFormat="false" ht="15" hidden="false" customHeight="false" outlineLevel="0" collapsed="false">
      <c r="A40897" s="3" t="s">
        <v>432</v>
      </c>
      <c r="G40897" s="21" t="n">
        <f aca="false">IF(G40895&lt;0,1,0)</f>
        <v>0</v>
      </c>
      <c r="H40897" s="21" t="n">
        <f aca="false">IF(H40895&lt;0,1,0)</f>
        <v>0</v>
      </c>
      <c r="I40897" s="21" t="n">
        <f aca="false">IF(I40895&lt;0,1,0)</f>
        <v>0</v>
      </c>
      <c r="J40897" s="21" t="n">
        <f aca="false">IF(J40895&lt;0,1,0)</f>
        <v>0</v>
      </c>
      <c r="K40897" s="21" t="n">
        <f aca="false">IF(K40895&lt;0,1,0)</f>
        <v>0</v>
      </c>
    </row>
    <row r="40898" customFormat="false" ht="15" hidden="false" customHeight="false" outlineLevel="0" collapsed="false">
      <c r="A40898" s="3" t="s">
        <v>433</v>
      </c>
      <c r="C40898" s="21" t="n">
        <f aca="false">IFERROR(INDEX($G$40623:$K$40623,MATCH(1,$G$40897:$K$40897,0)),0)</f>
        <v>0</v>
      </c>
    </row>
    <row r="40899" customFormat="false" ht="15" hidden="false" customHeight="false" outlineLevel="0" collapsed="false">
      <c r="A40899" s="3" t="s">
        <v>434</v>
      </c>
      <c r="C40899" s="22" t="n">
        <f aca="false">MIN($G$40896:$K$40896)</f>
        <v>4.745</v>
      </c>
    </row>
    <row r="40900" customFormat="false" ht="15" hidden="false" customHeight="false" outlineLevel="0" collapsed="false">
      <c r="A40900" s="24" t="s">
        <v>438</v>
      </c>
      <c r="B40900" s="25"/>
      <c r="C40900" s="25"/>
      <c r="D40900" s="25"/>
      <c r="E40900" s="25"/>
      <c r="F40900" s="25"/>
      <c r="G40900" s="25"/>
      <c r="H40900" s="25"/>
      <c r="I40900" s="25"/>
      <c r="J40900" s="25"/>
      <c r="K40900" s="25"/>
    </row>
    <row r="40901" customFormat="false" ht="15" hidden="false" customHeight="false" outlineLevel="0" collapsed="false">
      <c r="A40901" s="3" t="s">
        <v>428</v>
      </c>
      <c r="G40901" s="32" t="n">
        <f aca="false">IF(G40633&gt;0,G40856/G40633,99)</f>
        <v>12.2866312534504</v>
      </c>
      <c r="H40901" s="32" t="n">
        <f aca="false">IF(H40633&gt;0,H40856/H40633,99)</f>
        <v>14.5137170159321</v>
      </c>
      <c r="I40901" s="32" t="n">
        <f aca="false">IF(I40633&gt;0,I40856/I40633,99)</f>
        <v>15.5560738236619</v>
      </c>
      <c r="J40901" s="32" t="n">
        <f aca="false">IF(J40633&gt;0,J40856/J40633,99)</f>
        <v>15.7734539449449</v>
      </c>
      <c r="K40901" s="32" t="n">
        <f aca="false">IF(K40633&gt;0,K40856/K40633,99)</f>
        <v>15.6156103833885</v>
      </c>
    </row>
    <row r="40902" customFormat="false" ht="15" hidden="false" customHeight="false" outlineLevel="0" collapsed="false">
      <c r="A40902" s="3" t="s">
        <v>429</v>
      </c>
      <c r="G40902" s="34" t="n">
        <f aca="false">Assumptions!$G$75</f>
        <v>10.5</v>
      </c>
      <c r="H40902" s="34" t="n">
        <f aca="false">Assumptions!$H$75</f>
        <v>10.5</v>
      </c>
      <c r="I40902" s="34" t="n">
        <f aca="false">Assumptions!$I$75</f>
        <v>10</v>
      </c>
      <c r="J40902" s="34" t="n">
        <f aca="false">Assumptions!$J$75</f>
        <v>10</v>
      </c>
      <c r="K40902" s="34" t="n">
        <f aca="false">Assumptions!$K$75</f>
        <v>9.5</v>
      </c>
    </row>
    <row r="40903" customFormat="false" ht="15" hidden="false" customHeight="false" outlineLevel="0" collapsed="false">
      <c r="A40903" s="3" t="s">
        <v>430</v>
      </c>
      <c r="G40903" s="32" t="n">
        <f aca="false">G40902-G40901</f>
        <v>-1.78663125345038</v>
      </c>
      <c r="H40903" s="32" t="n">
        <f aca="false">H40902-H40901</f>
        <v>-4.01371701593214</v>
      </c>
      <c r="I40903" s="32" t="n">
        <f aca="false">I40902-I40901</f>
        <v>-5.55607382366189</v>
      </c>
      <c r="J40903" s="32" t="n">
        <f aca="false">J40902-J40901</f>
        <v>-5.7734539449449</v>
      </c>
      <c r="K40903" s="32" t="n">
        <f aca="false">K40902-K40901</f>
        <v>-6.11561038338853</v>
      </c>
    </row>
    <row r="40904" customFormat="false" ht="15" hidden="false" customHeight="false" outlineLevel="0" collapsed="false">
      <c r="A40904" s="3" t="s">
        <v>431</v>
      </c>
      <c r="G40904" s="22" t="n">
        <f aca="false">IF(G40902=0,0,G40903/ABS(G40902))</f>
        <v>-0.170155357471464</v>
      </c>
      <c r="H40904" s="22" t="n">
        <f aca="false">IF(H40902=0,0,H40903/ABS(H40902))</f>
        <v>-0.382258763422108</v>
      </c>
      <c r="I40904" s="22" t="n">
        <f aca="false">IF(I40902=0,0,I40903/ABS(I40902))</f>
        <v>-0.555607382366189</v>
      </c>
      <c r="J40904" s="22" t="n">
        <f aca="false">IF(J40902=0,0,J40903/ABS(J40902))</f>
        <v>-0.57734539449449</v>
      </c>
      <c r="K40904" s="22" t="n">
        <f aca="false">IF(K40902=0,0,K40903/ABS(K40902))</f>
        <v>-0.643748461409318</v>
      </c>
    </row>
    <row r="40905" customFormat="false" ht="15" hidden="false" customHeight="false" outlineLevel="0" collapsed="false">
      <c r="A40905" s="3" t="s">
        <v>432</v>
      </c>
      <c r="G40905" s="21" t="n">
        <f aca="false">IF(G40903&lt;0,1,0)</f>
        <v>1</v>
      </c>
      <c r="H40905" s="21" t="n">
        <f aca="false">IF(H40903&lt;0,1,0)</f>
        <v>1</v>
      </c>
      <c r="I40905" s="21" t="n">
        <f aca="false">IF(I40903&lt;0,1,0)</f>
        <v>1</v>
      </c>
      <c r="J40905" s="21" t="n">
        <f aca="false">IF(J40903&lt;0,1,0)</f>
        <v>1</v>
      </c>
      <c r="K40905" s="21" t="n">
        <f aca="false">IF(K40903&lt;0,1,0)</f>
        <v>1</v>
      </c>
    </row>
    <row r="40906" customFormat="false" ht="15" hidden="false" customHeight="false" outlineLevel="0" collapsed="false">
      <c r="A40906" s="3" t="s">
        <v>433</v>
      </c>
      <c r="C40906" s="21" t="n">
        <f aca="false">IFERROR(INDEX($G$40623:$K$40623,MATCH(1,$G$40905:$K$40905,0)),0)</f>
        <v>2027</v>
      </c>
    </row>
    <row r="40907" customFormat="false" ht="15" hidden="false" customHeight="false" outlineLevel="0" collapsed="false">
      <c r="A40907" s="3" t="s">
        <v>434</v>
      </c>
      <c r="C40907" s="22" t="n">
        <f aca="false">MIN($G$40904:$K$40904)</f>
        <v>-0.643748461409318</v>
      </c>
    </row>
    <row r="40908" customFormat="false" ht="15" hidden="false" customHeight="false" outlineLevel="0" collapsed="false">
      <c r="A40908" s="3" t="s">
        <v>439</v>
      </c>
      <c r="G40908" s="21" t="n">
        <f aca="false">G40873+G40881+G40889+G40897+G40905</f>
        <v>3</v>
      </c>
      <c r="H40908" s="21" t="n">
        <f aca="false">H40873+H40881+H40889+H40897+H40905</f>
        <v>3</v>
      </c>
      <c r="I40908" s="21" t="n">
        <f aca="false">I40873+I40881+I40889+I40897+I40905</f>
        <v>3</v>
      </c>
      <c r="J40908" s="21" t="n">
        <f aca="false">J40873+J40881+J40889+J40897+J40905</f>
        <v>3</v>
      </c>
      <c r="K40908" s="21" t="n">
        <f aca="false">K40873+K40881+K40889+K40897+K40905</f>
        <v>3</v>
      </c>
    </row>
    <row r="40909" customFormat="false" ht="15" hidden="false" customHeight="false" outlineLevel="0" collapsed="false">
      <c r="A40909" s="3" t="s">
        <v>440</v>
      </c>
      <c r="C40909" s="21" t="n">
        <f aca="false">SUM($G$40908:$K$40908)</f>
        <v>15</v>
      </c>
    </row>
    <row r="40910" customFormat="false" ht="15" hidden="false" customHeight="false" outlineLevel="0" collapsed="false">
      <c r="A40910" s="3" t="s">
        <v>441</v>
      </c>
      <c r="C40910" s="22" t="n">
        <f aca="false">MIN(C40875,C40883,C40891,C40899,C40907)</f>
        <v>-0.643748461409318</v>
      </c>
    </row>
    <row r="40912" customFormat="false" ht="15" hidden="false" customHeight="false" outlineLevel="0" collapsed="false">
      <c r="A40912" s="24" t="s">
        <v>543</v>
      </c>
      <c r="B40912" s="25"/>
      <c r="C40912" s="25"/>
      <c r="D40912" s="25"/>
      <c r="E40912" s="25"/>
      <c r="F40912" s="25"/>
      <c r="G40912" s="25"/>
      <c r="H40912" s="25"/>
      <c r="I40912" s="25"/>
      <c r="J40912" s="25"/>
      <c r="K40912" s="25"/>
    </row>
    <row r="40913" customFormat="false" ht="15" hidden="false" customHeight="false" outlineLevel="0" collapsed="false">
      <c r="A40913" s="3" t="s">
        <v>544</v>
      </c>
      <c r="G40913" s="21" t="n">
        <f aca="false">IF($C$40914=1,G40850,IF(G40633=MIN($G$40633:$K$40633),1,0))</f>
        <v>0</v>
      </c>
      <c r="H40913" s="21" t="n">
        <f aca="false">IF($C$40914=1,H40850,IF(AND(H40633=MIN($G$40633:$K$40633),SUM($G$40913:G40913)=0),1,0))</f>
        <v>1</v>
      </c>
      <c r="I40913" s="21" t="n">
        <f aca="false">IF($C$40914=1,I40850,IF(AND(I40633=MIN($G$40633:$K$40633),SUM($G$40913:H40913)=0),1,0))</f>
        <v>0</v>
      </c>
      <c r="J40913" s="21" t="n">
        <f aca="false">IF($C$40914=1,J40850,IF(AND(J40633=MIN($G$40633:$K$40633),SUM($G$40913:I40913)=0),1,0))</f>
        <v>0</v>
      </c>
      <c r="K40913" s="21" t="n">
        <f aca="false">IF($C$40914=1,K40850,IF(AND(K40633=MIN($G$40633:$K$40633),SUM($G$40913:J40913)=0),1,0))</f>
        <v>0</v>
      </c>
    </row>
    <row r="40914" customFormat="false" ht="15" hidden="false" customHeight="false" outlineLevel="0" collapsed="false">
      <c r="A40914" s="3" t="s">
        <v>545</v>
      </c>
      <c r="C40914" s="21" t="n">
        <f aca="false">IF(SUM($G$40850:$K$40850)&gt;0,1,0)</f>
        <v>1</v>
      </c>
    </row>
    <row r="40915" customFormat="false" ht="15" hidden="false" customHeight="false" outlineLevel="0" collapsed="false">
      <c r="A40915" s="3" t="s">
        <v>546</v>
      </c>
      <c r="C40915" s="21" t="n">
        <f aca="false">SUMPRODUCT($G$40913:$K$40913,$G$40623:$K$40623)</f>
        <v>2028</v>
      </c>
    </row>
    <row r="40916" customFormat="false" ht="15" hidden="false" customHeight="false" outlineLevel="0" collapsed="false">
      <c r="A40916" s="3" t="s">
        <v>547</v>
      </c>
      <c r="C40916" s="16" t="n">
        <f aca="false">SUMPRODUCT($G$40913:$K$40913,$G$40633:$K$40633)</f>
        <v>179.33991381</v>
      </c>
    </row>
    <row r="40917" customFormat="false" ht="15" hidden="false" customHeight="false" outlineLevel="0" collapsed="false">
      <c r="A40917" s="3" t="s">
        <v>548</v>
      </c>
      <c r="C40917" s="16" t="n">
        <f aca="false">MAX(0,SUMPRODUCT($G$40913:$K$40913,$G$40847:$K$40847))</f>
        <v>0</v>
      </c>
    </row>
    <row r="40918" customFormat="false" ht="15" hidden="false" customHeight="false" outlineLevel="0" collapsed="false">
      <c r="A40918" s="3" t="s">
        <v>549</v>
      </c>
      <c r="C40918" s="16" t="n">
        <f aca="false">(CHOOSE($C$40616,Assumptions!$C$92,Assumptions!$C$111,Assumptions!$C$130)+$C$40620)*C40916</f>
        <v>1793.3991381</v>
      </c>
    </row>
    <row r="40919" customFormat="false" ht="15" hidden="false" customHeight="false" outlineLevel="0" collapsed="false">
      <c r="A40919" s="3" t="s">
        <v>550</v>
      </c>
      <c r="C40919" s="16" t="n">
        <f aca="false">Assumptions!$C$31*(1-CHOOSE($C$40616,Assumptions!$C$93,Assumptions!$C$112,Assumptions!$C$131))*CHOOSE($C$40616,Assumptions!$C$94,Assumptions!$C$113,Assumptions!$C$132)</f>
        <v>2688.03189666667</v>
      </c>
    </row>
    <row r="40920" customFormat="false" ht="15" hidden="false" customHeight="false" outlineLevel="0" collapsed="false">
      <c r="A40920" s="3" t="s">
        <v>551</v>
      </c>
      <c r="C40920" s="16" t="n">
        <f aca="false">MAX(C40918,C40919)+C40917</f>
        <v>2688.03189666667</v>
      </c>
    </row>
    <row r="40921" customFormat="false" ht="15" hidden="false" customHeight="false" outlineLevel="0" collapsed="false">
      <c r="A40921" s="2" t="s">
        <v>552</v>
      </c>
      <c r="C40921" s="17" t="n">
        <f aca="false">IF(ISNUMBER(Assumptions!$C$14),Assumptions!$C$14,C40920)</f>
        <v>2688.03189666667</v>
      </c>
    </row>
    <row r="40922" customFormat="false" ht="15" hidden="false" customHeight="false" outlineLevel="0" collapsed="false">
      <c r="A40922" s="3" t="s">
        <v>553</v>
      </c>
      <c r="C40922" s="16" t="n">
        <f aca="false">C40921*Assumptions!$C$15</f>
        <v>107.521275866667</v>
      </c>
    </row>
    <row r="40923" customFormat="false" ht="15" hidden="false" customHeight="false" outlineLevel="0" collapsed="false">
      <c r="A40923" s="2" t="s">
        <v>554</v>
      </c>
      <c r="C40923" s="17" t="n">
        <f aca="false">C40921-C40922</f>
        <v>2580.5106208</v>
      </c>
    </row>
    <row r="40924" customFormat="false" ht="15" hidden="false" customHeight="false" outlineLevel="0" collapsed="false">
      <c r="A40924" s="24" t="s">
        <v>555</v>
      </c>
      <c r="B40924" s="25"/>
      <c r="C40924" s="25"/>
      <c r="D40924" s="25"/>
      <c r="E40924" s="25"/>
      <c r="F40924" s="25"/>
      <c r="G40924" s="25"/>
      <c r="H40924" s="25"/>
      <c r="I40924" s="25"/>
      <c r="J40924" s="25"/>
      <c r="K40924" s="25"/>
    </row>
    <row r="40925" customFormat="false" ht="15" hidden="false" customHeight="false" outlineLevel="0" collapsed="false">
      <c r="A40925" s="3" t="s">
        <v>556</v>
      </c>
      <c r="C40925" s="16" t="n">
        <f aca="false">SUMPRODUCT($G$40913:$K$40913,$G$40670:$K$40670)*(1+SUMPRODUCT($G$40913:$K$40913,$G$40662:$K$40662)*Assumptions!$C$16/12)</f>
        <v>403.76</v>
      </c>
    </row>
    <row r="40926" customFormat="false" ht="15" hidden="false" customHeight="false" outlineLevel="0" collapsed="false">
      <c r="A40926" s="3" t="s">
        <v>557</v>
      </c>
      <c r="C40926" s="16" t="n">
        <f aca="false">SUMPRODUCT($G$40913:$K$40913,$G$40683:$K$40683)*(1+SUMPRODUCT($G$40913:$K$40913,$G$40675:$K$40675)*Assumptions!$C$16/12)</f>
        <v>91.30725</v>
      </c>
    </row>
    <row r="40927" customFormat="false" ht="15" hidden="false" customHeight="false" outlineLevel="0" collapsed="false">
      <c r="A40927" s="3" t="s">
        <v>558</v>
      </c>
      <c r="C40927" s="16" t="n">
        <f aca="false">SUMPRODUCT($G$40913:$K$40913,$G$40696:$K$40696)*(1+SUMPRODUCT($G$40913:$K$40913,$G$40688:$K$40688)*Assumptions!$C$16/12)</f>
        <v>58.3715961</v>
      </c>
    </row>
    <row r="40928" customFormat="false" ht="15" hidden="false" customHeight="false" outlineLevel="0" collapsed="false">
      <c r="A40928" s="3" t="s">
        <v>559</v>
      </c>
      <c r="C40928" s="16" t="n">
        <f aca="false">SUMPRODUCT($G$40913:$K$40913,$G$40709:$K$40709)*(1+SUMPRODUCT($G$40913:$K$40913,$G$40701:$K$40701)*Assumptions!$C$16/12)</f>
        <v>0</v>
      </c>
    </row>
    <row r="40929" customFormat="false" ht="15" hidden="false" customHeight="false" outlineLevel="0" collapsed="false">
      <c r="A40929" s="3" t="s">
        <v>560</v>
      </c>
      <c r="C40929" s="16" t="n">
        <f aca="false">SUMPRODUCT($G$40913:$K$40913,$G$40722:$K$40722)*(1+SUMPRODUCT($G$40913:$K$40913,$G$40714:$K$40714)*Assumptions!$C$16/12)</f>
        <v>439.249936942163</v>
      </c>
    </row>
    <row r="40930" customFormat="false" ht="15" hidden="false" customHeight="false" outlineLevel="0" collapsed="false">
      <c r="A40930" s="3" t="s">
        <v>561</v>
      </c>
      <c r="C40930" s="16" t="n">
        <f aca="false">SUMPRODUCT($G$40913:$K$40913,$G$40735:$K$40735)*(1+SUMPRODUCT($G$40913:$K$40913,$G$40727:$K$40727)*Assumptions!$C$16/12)</f>
        <v>357.2625</v>
      </c>
    </row>
    <row r="40931" customFormat="false" ht="15" hidden="false" customHeight="false" outlineLevel="0" collapsed="false">
      <c r="A40931" s="3" t="s">
        <v>562</v>
      </c>
      <c r="C40931" s="16" t="n">
        <f aca="false">SUMPRODUCT($G$40913:$K$40913,$G$40748:$K$40748)*(1+SUMPRODUCT($G$40913:$K$40913,$G$40740:$K$40740)*Assumptions!$C$16/12)</f>
        <v>562.203125</v>
      </c>
    </row>
    <row r="40932" customFormat="false" ht="15" hidden="false" customHeight="false" outlineLevel="0" collapsed="false">
      <c r="A40932" s="3" t="s">
        <v>563</v>
      </c>
      <c r="C40932" s="16" t="n">
        <f aca="false">SUMPRODUCT($G$40913:$K$40913,$G$40761:$K$40761)*(1+SUMPRODUCT($G$40913:$K$40913,$G$40753:$K$40753)*Assumptions!$C$16/12)</f>
        <v>353.98125</v>
      </c>
    </row>
    <row r="40933" customFormat="false" ht="15" hidden="false" customHeight="false" outlineLevel="0" collapsed="false">
      <c r="A40933" s="3" t="s">
        <v>564</v>
      </c>
      <c r="C40933" s="16" t="n">
        <f aca="false">SUMPRODUCT($G$40913:$K$40913,$G$40774:$K$40774)*(1+SUMPRODUCT($G$40913:$K$40913,$G$40766:$K$40766)*Assumptions!$C$16/12)</f>
        <v>304.59375</v>
      </c>
    </row>
    <row r="40934" customFormat="false" ht="15" hidden="false" customHeight="false" outlineLevel="0" collapsed="false">
      <c r="A40934" s="3" t="s">
        <v>565</v>
      </c>
      <c r="C40934" s="16" t="n">
        <f aca="false">SUMPRODUCT($G$40913:$K$40913,$G$40787:$K$40787)*(1+SUMPRODUCT($G$40913:$K$40913,$G$40779:$K$40779)*Assumptions!$C$16/12)</f>
        <v>80.2332965</v>
      </c>
    </row>
    <row r="40935" customFormat="false" ht="15" hidden="false" customHeight="false" outlineLevel="0" collapsed="false">
      <c r="A40935" s="24" t="s">
        <v>566</v>
      </c>
      <c r="B40935" s="25"/>
      <c r="C40935" s="25"/>
      <c r="D40935" s="25"/>
      <c r="E40935" s="25"/>
      <c r="F40935" s="25"/>
      <c r="G40935" s="25"/>
      <c r="H40935" s="25"/>
      <c r="I40935" s="25"/>
      <c r="J40935" s="25"/>
      <c r="K40935" s="25"/>
    </row>
    <row r="40936" customFormat="false" ht="15" hidden="false" customHeight="false" outlineLevel="0" collapsed="false">
      <c r="A40936" s="3" t="s">
        <v>556</v>
      </c>
      <c r="C40936" s="27" t="n">
        <f aca="false">Assumptions!$M$57</f>
        <v>1</v>
      </c>
    </row>
    <row r="40937" customFormat="false" ht="15" hidden="false" customHeight="false" outlineLevel="0" collapsed="false">
      <c r="A40937" s="3" t="s">
        <v>557</v>
      </c>
      <c r="C40937" s="27" t="n">
        <f aca="false">Assumptions!$M$58</f>
        <v>1</v>
      </c>
    </row>
    <row r="40938" customFormat="false" ht="15" hidden="false" customHeight="false" outlineLevel="0" collapsed="false">
      <c r="A40938" s="3" t="s">
        <v>558</v>
      </c>
      <c r="C40938" s="27" t="n">
        <f aca="false">Assumptions!$M$59</f>
        <v>1</v>
      </c>
    </row>
    <row r="40939" customFormat="false" ht="15" hidden="false" customHeight="false" outlineLevel="0" collapsed="false">
      <c r="A40939" s="3" t="s">
        <v>559</v>
      </c>
      <c r="C40939" s="27" t="n">
        <f aca="false">Assumptions!$M$60</f>
        <v>2</v>
      </c>
    </row>
    <row r="40940" customFormat="false" ht="15" hidden="false" customHeight="false" outlineLevel="0" collapsed="false">
      <c r="A40940" s="3" t="s">
        <v>560</v>
      </c>
      <c r="C40940" s="27" t="n">
        <f aca="false">Assumptions!$M$61</f>
        <v>2</v>
      </c>
    </row>
    <row r="40941" customFormat="false" ht="15" hidden="false" customHeight="false" outlineLevel="0" collapsed="false">
      <c r="A40941" s="3" t="s">
        <v>561</v>
      </c>
      <c r="C40941" s="27" t="n">
        <f aca="false">Assumptions!$M$62</f>
        <v>2</v>
      </c>
    </row>
    <row r="40942" customFormat="false" ht="15" hidden="false" customHeight="false" outlineLevel="0" collapsed="false">
      <c r="A40942" s="3" t="s">
        <v>562</v>
      </c>
      <c r="C40942" s="27" t="n">
        <f aca="false">Assumptions!$M$63</f>
        <v>2</v>
      </c>
    </row>
    <row r="40943" customFormat="false" ht="15" hidden="false" customHeight="false" outlineLevel="0" collapsed="false">
      <c r="A40943" s="3" t="s">
        <v>563</v>
      </c>
      <c r="C40943" s="27" t="n">
        <f aca="false">Assumptions!$M$64</f>
        <v>2</v>
      </c>
    </row>
    <row r="40944" customFormat="false" ht="15" hidden="false" customHeight="false" outlineLevel="0" collapsed="false">
      <c r="A40944" s="3" t="s">
        <v>564</v>
      </c>
      <c r="C40944" s="27" t="n">
        <f aca="false">Assumptions!$M$65</f>
        <v>2</v>
      </c>
    </row>
    <row r="40945" customFormat="false" ht="15" hidden="false" customHeight="false" outlineLevel="0" collapsed="false">
      <c r="A40945" s="3" t="s">
        <v>565</v>
      </c>
      <c r="C40945" s="27" t="n">
        <f aca="false">Assumptions!$M$66</f>
        <v>3</v>
      </c>
    </row>
    <row r="40946" customFormat="false" ht="15" hidden="false" customHeight="false" outlineLevel="0" collapsed="false">
      <c r="A40946" s="24" t="s">
        <v>567</v>
      </c>
      <c r="B40946" s="25"/>
      <c r="C40946" s="25"/>
      <c r="D40946" s="25"/>
      <c r="E40946" s="25"/>
      <c r="F40946" s="25"/>
      <c r="G40946" s="25"/>
      <c r="H40946" s="25"/>
      <c r="I40946" s="25"/>
      <c r="J40946" s="25"/>
      <c r="K40946" s="25"/>
    </row>
    <row r="40947" customFormat="false" ht="15" hidden="false" customHeight="false" outlineLevel="0" collapsed="false">
      <c r="A40947" s="3" t="s">
        <v>556</v>
      </c>
      <c r="C40947" s="33" t="n">
        <f aca="false">Assumptions!$Q$57</f>
        <v>0.3</v>
      </c>
    </row>
    <row r="40948" customFormat="false" ht="15" hidden="false" customHeight="false" outlineLevel="0" collapsed="false">
      <c r="A40948" s="3" t="s">
        <v>557</v>
      </c>
      <c r="C40948" s="33" t="n">
        <f aca="false">Assumptions!$Q$58</f>
        <v>0.033</v>
      </c>
    </row>
    <row r="40949" customFormat="false" ht="15" hidden="false" customHeight="false" outlineLevel="0" collapsed="false">
      <c r="A40949" s="3" t="s">
        <v>558</v>
      </c>
      <c r="C40949" s="33" t="n">
        <f aca="false">Assumptions!$Q$59</f>
        <v>0.021</v>
      </c>
    </row>
    <row r="40950" customFormat="false" ht="15" hidden="false" customHeight="false" outlineLevel="0" collapsed="false">
      <c r="A40950" s="3" t="s">
        <v>559</v>
      </c>
      <c r="C40950" s="33" t="n">
        <f aca="false">Assumptions!$Q$60</f>
        <v>0</v>
      </c>
    </row>
    <row r="40951" customFormat="false" ht="15" hidden="false" customHeight="false" outlineLevel="0" collapsed="false">
      <c r="A40951" s="3" t="s">
        <v>560</v>
      </c>
      <c r="C40951" s="33" t="n">
        <f aca="false">Assumptions!$Q$61</f>
        <v>0</v>
      </c>
    </row>
    <row r="40952" customFormat="false" ht="15" hidden="false" customHeight="false" outlineLevel="0" collapsed="false">
      <c r="A40952" s="3" t="s">
        <v>561</v>
      </c>
      <c r="C40952" s="33" t="n">
        <f aca="false">Assumptions!$Q$62</f>
        <v>0</v>
      </c>
    </row>
    <row r="40953" customFormat="false" ht="15" hidden="false" customHeight="false" outlineLevel="0" collapsed="false">
      <c r="A40953" s="3" t="s">
        <v>562</v>
      </c>
      <c r="C40953" s="33" t="n">
        <f aca="false">Assumptions!$Q$63</f>
        <v>0</v>
      </c>
    </row>
    <row r="40954" customFormat="false" ht="15" hidden="false" customHeight="false" outlineLevel="0" collapsed="false">
      <c r="A40954" s="3" t="s">
        <v>563</v>
      </c>
      <c r="C40954" s="33" t="n">
        <f aca="false">Assumptions!$Q$64</f>
        <v>0</v>
      </c>
    </row>
    <row r="40955" customFormat="false" ht="15" hidden="false" customHeight="false" outlineLevel="0" collapsed="false">
      <c r="A40955" s="3" t="s">
        <v>564</v>
      </c>
      <c r="C40955" s="33" t="n">
        <f aca="false">Assumptions!$Q$65</f>
        <v>0</v>
      </c>
    </row>
    <row r="40956" customFormat="false" ht="15" hidden="false" customHeight="false" outlineLevel="0" collapsed="false">
      <c r="A40956" s="3" t="s">
        <v>565</v>
      </c>
      <c r="C40956" s="33" t="n">
        <f aca="false">Assumptions!$Q$66</f>
        <v>0</v>
      </c>
    </row>
    <row r="40957" customFormat="false" ht="15" hidden="false" customHeight="false" outlineLevel="0" collapsed="false">
      <c r="A40957" s="24" t="s">
        <v>568</v>
      </c>
      <c r="B40957" s="25"/>
      <c r="C40957" s="25"/>
      <c r="D40957" s="25"/>
      <c r="E40957" s="25"/>
      <c r="F40957" s="25"/>
      <c r="G40957" s="25"/>
      <c r="H40957" s="25"/>
      <c r="I40957" s="25"/>
      <c r="J40957" s="25"/>
      <c r="K40957" s="25"/>
    </row>
    <row r="40958" customFormat="false" ht="15" hidden="false" customHeight="false" outlineLevel="0" collapsed="false">
      <c r="A40958" s="3" t="s">
        <v>556</v>
      </c>
      <c r="C40958" s="16" t="n">
        <f aca="false">IF(C40947&gt;0,MIN(C40925,C40947*$C$40923),0)</f>
        <v>403.76</v>
      </c>
    </row>
    <row r="40959" customFormat="false" ht="15" hidden="false" customHeight="false" outlineLevel="0" collapsed="false">
      <c r="A40959" s="3" t="s">
        <v>557</v>
      </c>
      <c r="C40959" s="16" t="n">
        <f aca="false">IF(C40948&gt;0,MIN(C40926,C40948*$C$40923),0)</f>
        <v>85.1568504864</v>
      </c>
    </row>
    <row r="40960" customFormat="false" ht="15" hidden="false" customHeight="false" outlineLevel="0" collapsed="false">
      <c r="A40960" s="3" t="s">
        <v>558</v>
      </c>
      <c r="C40960" s="16" t="n">
        <f aca="false">IF(C40949&gt;0,MIN(C40927,C40949*$C$40923),0)</f>
        <v>54.1907230368</v>
      </c>
    </row>
    <row r="40961" customFormat="false" ht="15" hidden="false" customHeight="false" outlineLevel="0" collapsed="false">
      <c r="A40961" s="3" t="s">
        <v>559</v>
      </c>
      <c r="C40961" s="16" t="n">
        <f aca="false">IF(C40950&gt;0,MIN(C40928,C40950*$C$40923),0)</f>
        <v>0</v>
      </c>
    </row>
    <row r="40962" customFormat="false" ht="15" hidden="false" customHeight="false" outlineLevel="0" collapsed="false">
      <c r="A40962" s="3" t="s">
        <v>560</v>
      </c>
      <c r="C40962" s="16" t="n">
        <f aca="false">IF(C40951&gt;0,MIN(C40929,C40951*$C$40923),0)</f>
        <v>0</v>
      </c>
    </row>
    <row r="40963" customFormat="false" ht="15" hidden="false" customHeight="false" outlineLevel="0" collapsed="false">
      <c r="A40963" s="3" t="s">
        <v>561</v>
      </c>
      <c r="C40963" s="16" t="n">
        <f aca="false">IF(C40952&gt;0,MIN(C40930,C40952*$C$40923),0)</f>
        <v>0</v>
      </c>
    </row>
    <row r="40964" customFormat="false" ht="15" hidden="false" customHeight="false" outlineLevel="0" collapsed="false">
      <c r="A40964" s="3" t="s">
        <v>562</v>
      </c>
      <c r="C40964" s="16" t="n">
        <f aca="false">IF(C40953&gt;0,MIN(C40931,C40953*$C$40923),0)</f>
        <v>0</v>
      </c>
    </row>
    <row r="40965" customFormat="false" ht="15" hidden="false" customHeight="false" outlineLevel="0" collapsed="false">
      <c r="A40965" s="3" t="s">
        <v>563</v>
      </c>
      <c r="C40965" s="16" t="n">
        <f aca="false">IF(C40954&gt;0,MIN(C40932,C40954*$C$40923),0)</f>
        <v>0</v>
      </c>
    </row>
    <row r="40966" customFormat="false" ht="15" hidden="false" customHeight="false" outlineLevel="0" collapsed="false">
      <c r="A40966" s="3" t="s">
        <v>564</v>
      </c>
      <c r="C40966" s="16" t="n">
        <f aca="false">IF(C40955&gt;0,MIN(C40933,C40955*$C$40923),0)</f>
        <v>0</v>
      </c>
    </row>
    <row r="40967" customFormat="false" ht="15" hidden="false" customHeight="false" outlineLevel="0" collapsed="false">
      <c r="A40967" s="3" t="s">
        <v>565</v>
      </c>
      <c r="C40967" s="16" t="n">
        <f aca="false">IF(C40956&gt;0,MIN(C40934,C40956*$C$40923),0)</f>
        <v>0</v>
      </c>
    </row>
    <row r="40968" customFormat="false" ht="15" hidden="false" customHeight="false" outlineLevel="0" collapsed="false">
      <c r="A40968" s="24" t="s">
        <v>569</v>
      </c>
      <c r="B40968" s="25"/>
      <c r="C40968" s="25"/>
      <c r="D40968" s="25"/>
      <c r="E40968" s="25"/>
      <c r="F40968" s="25"/>
      <c r="G40968" s="25"/>
      <c r="H40968" s="25"/>
      <c r="I40968" s="25"/>
      <c r="J40968" s="25"/>
      <c r="K40968" s="25"/>
    </row>
    <row r="40969" customFormat="false" ht="15" hidden="false" customHeight="false" outlineLevel="0" collapsed="false">
      <c r="A40969" s="3" t="s">
        <v>556</v>
      </c>
      <c r="C40969" s="16" t="n">
        <f aca="false">IF(C40947&gt;0,C40925-C40958,0)</f>
        <v>0</v>
      </c>
      <c r="G40969" s="21" t="n">
        <f aca="false">IF(AND(G40660=1,G40657=1),1,0)</f>
        <v>0</v>
      </c>
      <c r="H40969" s="21" t="n">
        <f aca="false">IF(G40969=1,1,IF(AND(H40660=1,H40657=1),1,0))</f>
        <v>0</v>
      </c>
      <c r="I40969" s="21" t="n">
        <f aca="false">IF(H40969=1,1,IF(AND(I40660=1,I40657=1),1,0))</f>
        <v>0</v>
      </c>
      <c r="J40969" s="21" t="n">
        <f aca="false">IF(I40969=1,1,IF(AND(J40660=1,J40657=1),1,0))</f>
        <v>0</v>
      </c>
      <c r="K40969" s="21" t="n">
        <f aca="false">IF(J40969=1,1,IF(AND(K40660=1,K40657=1),1,0))</f>
        <v>0</v>
      </c>
    </row>
    <row r="40970" customFormat="false" ht="15" hidden="false" customHeight="false" outlineLevel="0" collapsed="false">
      <c r="A40970" s="3" t="s">
        <v>557</v>
      </c>
      <c r="C40970" s="16" t="n">
        <f aca="false">IF(C40948&gt;0,C40926-C40959,0)</f>
        <v>6.15039951360001</v>
      </c>
      <c r="G40970" s="21" t="n">
        <f aca="false">IF(AND(G40673=1,G40657=1),1,0)</f>
        <v>0</v>
      </c>
      <c r="H40970" s="21" t="n">
        <f aca="false">IF(G40970=1,1,IF(AND(H40673=1,H40657=1),1,0))</f>
        <v>0</v>
      </c>
      <c r="I40970" s="21" t="n">
        <f aca="false">IF(H40970=1,1,IF(AND(I40673=1,I40657=1),1,0))</f>
        <v>0</v>
      </c>
      <c r="J40970" s="21" t="n">
        <f aca="false">IF(I40970=1,1,IF(AND(J40673=1,J40657=1),1,0))</f>
        <v>0</v>
      </c>
      <c r="K40970" s="21" t="n">
        <f aca="false">IF(J40970=1,1,IF(AND(K40673=1,K40657=1),1,0))</f>
        <v>0</v>
      </c>
    </row>
    <row r="40971" customFormat="false" ht="15" hidden="false" customHeight="false" outlineLevel="0" collapsed="false">
      <c r="A40971" s="3" t="s">
        <v>558</v>
      </c>
      <c r="C40971" s="16" t="n">
        <f aca="false">IF(C40949&gt;0,C40927-C40960,0)</f>
        <v>4.1808730632</v>
      </c>
      <c r="G40971" s="21" t="n">
        <f aca="false">IF(AND(G40686=1,G40657=1),1,0)</f>
        <v>0</v>
      </c>
      <c r="H40971" s="21" t="n">
        <f aca="false">IF(G40971=1,1,IF(AND(H40686=1,H40657=1),1,0))</f>
        <v>0</v>
      </c>
      <c r="I40971" s="21" t="n">
        <f aca="false">IF(H40971=1,1,IF(AND(I40686=1,I40657=1),1,0))</f>
        <v>0</v>
      </c>
      <c r="J40971" s="21" t="n">
        <f aca="false">IF(I40971=1,1,IF(AND(J40686=1,J40657=1),1,0))</f>
        <v>0</v>
      </c>
      <c r="K40971" s="21" t="n">
        <f aca="false">IF(J40971=1,1,IF(AND(K40686=1,K40657=1),1,0))</f>
        <v>0</v>
      </c>
    </row>
    <row r="40972" customFormat="false" ht="15" hidden="false" customHeight="false" outlineLevel="0" collapsed="false">
      <c r="A40972" s="3" t="s">
        <v>559</v>
      </c>
      <c r="C40972" s="16" t="n">
        <f aca="false">IF(C40950&gt;0,C40928-C40961,0)</f>
        <v>0</v>
      </c>
      <c r="G40972" s="21" t="n">
        <f aca="false">IF(AND(G40699=1,G40657=1),1,0)</f>
        <v>0</v>
      </c>
      <c r="H40972" s="21" t="n">
        <f aca="false">IF(G40972=1,1,IF(AND(H40699=1,H40657=1),1,0))</f>
        <v>0</v>
      </c>
      <c r="I40972" s="21" t="n">
        <f aca="false">IF(H40972=1,1,IF(AND(I40699=1,I40657=1),1,0))</f>
        <v>0</v>
      </c>
      <c r="J40972" s="21" t="n">
        <f aca="false">IF(I40972=1,1,IF(AND(J40699=1,J40657=1),1,0))</f>
        <v>0</v>
      </c>
      <c r="K40972" s="21" t="n">
        <f aca="false">IF(J40972=1,1,IF(AND(K40699=1,K40657=1),1,0))</f>
        <v>0</v>
      </c>
    </row>
    <row r="40973" customFormat="false" ht="15" hidden="false" customHeight="false" outlineLevel="0" collapsed="false">
      <c r="A40973" s="3" t="s">
        <v>560</v>
      </c>
      <c r="C40973" s="16" t="n">
        <f aca="false">IF(C40951&gt;0,C40929-C40962,0)</f>
        <v>0</v>
      </c>
      <c r="G40973" s="21" t="n">
        <f aca="false">IF(AND(G40712=1,G40657=1),1,0)</f>
        <v>0</v>
      </c>
      <c r="H40973" s="21" t="n">
        <f aca="false">IF(G40973=1,1,IF(AND(H40712=1,H40657=1),1,0))</f>
        <v>0</v>
      </c>
      <c r="I40973" s="21" t="n">
        <f aca="false">IF(H40973=1,1,IF(AND(I40712=1,I40657=1),1,0))</f>
        <v>0</v>
      </c>
      <c r="J40973" s="21" t="n">
        <f aca="false">IF(I40973=1,1,IF(AND(J40712=1,J40657=1),1,0))</f>
        <v>0</v>
      </c>
      <c r="K40973" s="21" t="n">
        <f aca="false">IF(J40973=1,1,IF(AND(K40712=1,K40657=1),1,0))</f>
        <v>0</v>
      </c>
    </row>
    <row r="40974" customFormat="false" ht="15" hidden="false" customHeight="false" outlineLevel="0" collapsed="false">
      <c r="A40974" s="3" t="s">
        <v>561</v>
      </c>
      <c r="C40974" s="16" t="n">
        <f aca="false">IF(C40952&gt;0,C40930-C40963,0)</f>
        <v>0</v>
      </c>
      <c r="G40974" s="21" t="n">
        <f aca="false">IF(AND(G40725=1,G40657=1),1,0)</f>
        <v>0</v>
      </c>
      <c r="H40974" s="21" t="n">
        <f aca="false">IF(G40974=1,1,IF(AND(H40725=1,H40657=1),1,0))</f>
        <v>0</v>
      </c>
      <c r="I40974" s="21" t="n">
        <f aca="false">IF(H40974=1,1,IF(AND(I40725=1,I40657=1),1,0))</f>
        <v>0</v>
      </c>
      <c r="J40974" s="21" t="n">
        <f aca="false">IF(I40974=1,1,IF(AND(J40725=1,J40657=1),1,0))</f>
        <v>0</v>
      </c>
      <c r="K40974" s="21" t="n">
        <f aca="false">IF(J40974=1,1,IF(AND(K40725=1,K40657=1),1,0))</f>
        <v>0</v>
      </c>
    </row>
    <row r="40975" customFormat="false" ht="15" hidden="false" customHeight="false" outlineLevel="0" collapsed="false">
      <c r="A40975" s="3" t="s">
        <v>562</v>
      </c>
      <c r="C40975" s="16" t="n">
        <f aca="false">IF(C40953&gt;0,C40931-C40964,0)</f>
        <v>0</v>
      </c>
      <c r="G40975" s="21" t="n">
        <f aca="false">IF(AND(G40738=1,G40657=1),1,0)</f>
        <v>0</v>
      </c>
      <c r="H40975" s="21" t="n">
        <f aca="false">IF(G40975=1,1,IF(AND(H40738=1,H40657=1),1,0))</f>
        <v>0</v>
      </c>
      <c r="I40975" s="21" t="n">
        <f aca="false">IF(H40975=1,1,IF(AND(I40738=1,I40657=1),1,0))</f>
        <v>0</v>
      </c>
      <c r="J40975" s="21" t="n">
        <f aca="false">IF(I40975=1,1,IF(AND(J40738=1,J40657=1),1,0))</f>
        <v>0</v>
      </c>
      <c r="K40975" s="21" t="n">
        <f aca="false">IF(J40975=1,1,IF(AND(K40738=1,K40657=1),1,0))</f>
        <v>0</v>
      </c>
    </row>
    <row r="40976" customFormat="false" ht="15" hidden="false" customHeight="false" outlineLevel="0" collapsed="false">
      <c r="A40976" s="3" t="s">
        <v>563</v>
      </c>
      <c r="C40976" s="16" t="n">
        <f aca="false">IF(C40954&gt;0,C40932-C40965,0)</f>
        <v>0</v>
      </c>
      <c r="G40976" s="21" t="n">
        <f aca="false">IF(AND(G40751=1,G40657=1),1,0)</f>
        <v>0</v>
      </c>
      <c r="H40976" s="21" t="n">
        <f aca="false">IF(G40976=1,1,IF(AND(H40751=1,H40657=1),1,0))</f>
        <v>0</v>
      </c>
      <c r="I40976" s="21" t="n">
        <f aca="false">IF(H40976=1,1,IF(AND(I40751=1,I40657=1),1,0))</f>
        <v>0</v>
      </c>
      <c r="J40976" s="21" t="n">
        <f aca="false">IF(I40976=1,1,IF(AND(J40751=1,J40657=1),1,0))</f>
        <v>0</v>
      </c>
      <c r="K40976" s="21" t="n">
        <f aca="false">IF(J40976=1,1,IF(AND(K40751=1,K40657=1),1,0))</f>
        <v>0</v>
      </c>
    </row>
    <row r="40977" customFormat="false" ht="15" hidden="false" customHeight="false" outlineLevel="0" collapsed="false">
      <c r="A40977" s="3" t="s">
        <v>564</v>
      </c>
      <c r="C40977" s="16" t="n">
        <f aca="false">IF(C40955&gt;0,C40933-C40966,0)</f>
        <v>0</v>
      </c>
      <c r="G40977" s="21" t="n">
        <f aca="false">IF(AND(G40764=1,G40657=1),1,0)</f>
        <v>0</v>
      </c>
      <c r="H40977" s="21" t="n">
        <f aca="false">IF(G40977=1,1,IF(AND(H40764=1,H40657=1),1,0))</f>
        <v>0</v>
      </c>
      <c r="I40977" s="21" t="n">
        <f aca="false">IF(H40977=1,1,IF(AND(I40764=1,I40657=1),1,0))</f>
        <v>0</v>
      </c>
      <c r="J40977" s="21" t="n">
        <f aca="false">IF(I40977=1,1,IF(AND(J40764=1,J40657=1),1,0))</f>
        <v>0</v>
      </c>
      <c r="K40977" s="21" t="n">
        <f aca="false">IF(J40977=1,1,IF(AND(K40764=1,K40657=1),1,0))</f>
        <v>0</v>
      </c>
    </row>
    <row r="40978" customFormat="false" ht="15" hidden="false" customHeight="false" outlineLevel="0" collapsed="false">
      <c r="A40978" s="3" t="s">
        <v>565</v>
      </c>
      <c r="C40978" s="16" t="n">
        <f aca="false">IF(C40956&gt;0,C40934-C40967,0)</f>
        <v>0</v>
      </c>
      <c r="G40978" s="21" t="n">
        <f aca="false">IF(AND(G40777=1,G40657=1),1,0)</f>
        <v>0</v>
      </c>
      <c r="H40978" s="21" t="n">
        <f aca="false">IF(G40978=1,1,IF(AND(H40777=1,H40657=1),1,0))</f>
        <v>0</v>
      </c>
      <c r="I40978" s="21" t="n">
        <f aca="false">IF(H40978=1,1,IF(AND(I40777=1,I40657=1),1,0))</f>
        <v>0</v>
      </c>
      <c r="J40978" s="21" t="n">
        <f aca="false">IF(I40978=1,1,IF(AND(J40777=1,J40657=1),1,0))</f>
        <v>0</v>
      </c>
      <c r="K40978" s="21" t="n">
        <f aca="false">IF(J40978=1,1,IF(AND(K40777=1,K40657=1),1,0))</f>
        <v>0</v>
      </c>
    </row>
    <row r="40979" customFormat="false" ht="15" hidden="false" customHeight="false" outlineLevel="0" collapsed="false">
      <c r="A40979" s="24" t="s">
        <v>570</v>
      </c>
      <c r="B40979" s="25"/>
      <c r="C40979" s="25"/>
      <c r="D40979" s="25"/>
      <c r="E40979" s="25"/>
      <c r="F40979" s="25"/>
      <c r="G40979" s="25"/>
      <c r="H40979" s="25"/>
      <c r="I40979" s="25"/>
      <c r="J40979" s="25"/>
      <c r="K40979" s="25"/>
    </row>
    <row r="40980" customFormat="false" ht="15" hidden="false" customHeight="false" outlineLevel="0" collapsed="false">
      <c r="A40980" s="3" t="s">
        <v>556</v>
      </c>
      <c r="C40980" s="16" t="n">
        <f aca="false">IF(C40947&gt;0,C40969,C40925)</f>
        <v>0</v>
      </c>
    </row>
    <row r="40981" customFormat="false" ht="15" hidden="false" customHeight="false" outlineLevel="0" collapsed="false">
      <c r="A40981" s="3" t="s">
        <v>557</v>
      </c>
      <c r="C40981" s="16" t="n">
        <f aca="false">IF(C40948&gt;0,C40970,C40926)</f>
        <v>6.15039951360001</v>
      </c>
    </row>
    <row r="40982" customFormat="false" ht="15" hidden="false" customHeight="false" outlineLevel="0" collapsed="false">
      <c r="A40982" s="3" t="s">
        <v>558</v>
      </c>
      <c r="C40982" s="16" t="n">
        <f aca="false">IF(C40949&gt;0,C40971,C40927)</f>
        <v>4.1808730632</v>
      </c>
    </row>
    <row r="40983" customFormat="false" ht="15" hidden="false" customHeight="false" outlineLevel="0" collapsed="false">
      <c r="A40983" s="3" t="s">
        <v>559</v>
      </c>
      <c r="C40983" s="16" t="n">
        <f aca="false">IF(C40950&gt;0,C40972,C40928)</f>
        <v>0</v>
      </c>
    </row>
    <row r="40984" customFormat="false" ht="15" hidden="false" customHeight="false" outlineLevel="0" collapsed="false">
      <c r="A40984" s="3" t="s">
        <v>560</v>
      </c>
      <c r="C40984" s="16" t="n">
        <f aca="false">IF(C40951&gt;0,C40973,C40929)</f>
        <v>439.249936942163</v>
      </c>
    </row>
    <row r="40985" customFormat="false" ht="15" hidden="false" customHeight="false" outlineLevel="0" collapsed="false">
      <c r="A40985" s="3" t="s">
        <v>561</v>
      </c>
      <c r="C40985" s="16" t="n">
        <f aca="false">IF(C40952&gt;0,C40974,C40930)</f>
        <v>357.2625</v>
      </c>
    </row>
    <row r="40986" customFormat="false" ht="15" hidden="false" customHeight="false" outlineLevel="0" collapsed="false">
      <c r="A40986" s="3" t="s">
        <v>562</v>
      </c>
      <c r="C40986" s="16" t="n">
        <f aca="false">IF(C40953&gt;0,C40975,C40931)</f>
        <v>562.203125</v>
      </c>
    </row>
    <row r="40987" customFormat="false" ht="15" hidden="false" customHeight="false" outlineLevel="0" collapsed="false">
      <c r="A40987" s="3" t="s">
        <v>563</v>
      </c>
      <c r="C40987" s="16" t="n">
        <f aca="false">IF(C40954&gt;0,C40976,C40932)</f>
        <v>353.98125</v>
      </c>
    </row>
    <row r="40988" customFormat="false" ht="15" hidden="false" customHeight="false" outlineLevel="0" collapsed="false">
      <c r="A40988" s="3" t="s">
        <v>564</v>
      </c>
      <c r="C40988" s="16" t="n">
        <f aca="false">IF(C40955&gt;0,C40977,C40933)</f>
        <v>304.59375</v>
      </c>
    </row>
    <row r="40989" customFormat="false" ht="15" hidden="false" customHeight="false" outlineLevel="0" collapsed="false">
      <c r="A40989" s="3" t="s">
        <v>565</v>
      </c>
      <c r="C40989" s="16" t="n">
        <f aca="false">IF(C40956&gt;0,C40978,C40934)</f>
        <v>80.2332965</v>
      </c>
    </row>
    <row r="40990" customFormat="false" ht="15" hidden="false" customHeight="false" outlineLevel="0" collapsed="false">
      <c r="A40990" s="24" t="s">
        <v>571</v>
      </c>
      <c r="B40990" s="25"/>
      <c r="C40990" s="25"/>
      <c r="D40990" s="25"/>
      <c r="E40990" s="25"/>
      <c r="F40990" s="25"/>
      <c r="G40990" s="25"/>
      <c r="H40990" s="25"/>
      <c r="I40990" s="25"/>
      <c r="J40990" s="25"/>
      <c r="K40990" s="25"/>
    </row>
    <row r="40991" customFormat="false" ht="15" hidden="false" customHeight="false" outlineLevel="0" collapsed="false">
      <c r="A40991" s="3" t="s">
        <v>556</v>
      </c>
      <c r="C40991" s="21" t="n">
        <f aca="false">IF(C40947&gt;0,Assumptions!$C$17,C40936)</f>
        <v>99</v>
      </c>
    </row>
    <row r="40992" customFormat="false" ht="15" hidden="false" customHeight="false" outlineLevel="0" collapsed="false">
      <c r="A40992" s="3" t="s">
        <v>557</v>
      </c>
      <c r="C40992" s="21" t="n">
        <f aca="false">IF(C40948&gt;0,Assumptions!$C$17,C40937)</f>
        <v>99</v>
      </c>
    </row>
    <row r="40993" customFormat="false" ht="15" hidden="false" customHeight="false" outlineLevel="0" collapsed="false">
      <c r="A40993" s="3" t="s">
        <v>558</v>
      </c>
      <c r="C40993" s="21" t="n">
        <f aca="false">IF(C40949&gt;0,Assumptions!$C$17,C40938)</f>
        <v>99</v>
      </c>
    </row>
    <row r="40994" customFormat="false" ht="15" hidden="false" customHeight="false" outlineLevel="0" collapsed="false">
      <c r="A40994" s="3" t="s">
        <v>559</v>
      </c>
      <c r="C40994" s="21" t="n">
        <f aca="false">IF(C40950&gt;0,Assumptions!$C$17,C40939)</f>
        <v>2</v>
      </c>
    </row>
    <row r="40995" customFormat="false" ht="15" hidden="false" customHeight="false" outlineLevel="0" collapsed="false">
      <c r="A40995" s="3" t="s">
        <v>560</v>
      </c>
      <c r="C40995" s="21" t="n">
        <f aca="false">IF(C40951&gt;0,Assumptions!$C$17,C40940)</f>
        <v>2</v>
      </c>
    </row>
    <row r="40996" customFormat="false" ht="15" hidden="false" customHeight="false" outlineLevel="0" collapsed="false">
      <c r="A40996" s="3" t="s">
        <v>561</v>
      </c>
      <c r="C40996" s="21" t="n">
        <f aca="false">IF(C40952&gt;0,Assumptions!$C$17,C40941)</f>
        <v>2</v>
      </c>
    </row>
    <row r="40997" customFormat="false" ht="15" hidden="false" customHeight="false" outlineLevel="0" collapsed="false">
      <c r="A40997" s="3" t="s">
        <v>562</v>
      </c>
      <c r="C40997" s="21" t="n">
        <f aca="false">IF(C40953&gt;0,Assumptions!$C$17,C40942)</f>
        <v>2</v>
      </c>
    </row>
    <row r="40998" customFormat="false" ht="15" hidden="false" customHeight="false" outlineLevel="0" collapsed="false">
      <c r="A40998" s="3" t="s">
        <v>563</v>
      </c>
      <c r="C40998" s="21" t="n">
        <f aca="false">IF(C40954&gt;0,Assumptions!$C$17,C40943)</f>
        <v>2</v>
      </c>
    </row>
    <row r="40999" customFormat="false" ht="15" hidden="false" customHeight="false" outlineLevel="0" collapsed="false">
      <c r="A40999" s="3" t="s">
        <v>564</v>
      </c>
      <c r="C40999" s="21" t="n">
        <f aca="false">IF(C40955&gt;0,Assumptions!$C$17,C40944)</f>
        <v>2</v>
      </c>
    </row>
    <row r="41000" customFormat="false" ht="15" hidden="false" customHeight="false" outlineLevel="0" collapsed="false">
      <c r="A41000" s="3" t="s">
        <v>565</v>
      </c>
      <c r="C41000" s="21" t="n">
        <f aca="false">IF(C40956&gt;0,Assumptions!$C$17,C40945)</f>
        <v>3</v>
      </c>
    </row>
    <row r="41001" customFormat="false" ht="15" hidden="false" customHeight="false" outlineLevel="0" collapsed="false">
      <c r="A41001" s="24" t="s">
        <v>572</v>
      </c>
      <c r="B41001" s="25"/>
      <c r="C41001" s="25"/>
      <c r="D41001" s="25"/>
      <c r="E41001" s="25"/>
      <c r="F41001" s="25"/>
      <c r="G41001" s="25"/>
      <c r="H41001" s="25"/>
      <c r="I41001" s="25"/>
      <c r="J41001" s="25"/>
      <c r="K41001" s="25"/>
    </row>
    <row r="41002" customFormat="false" ht="15" hidden="false" customHeight="false" outlineLevel="0" collapsed="false">
      <c r="A41002" s="3" t="s">
        <v>556</v>
      </c>
      <c r="C41002" s="16" t="n">
        <f aca="false">SUMPRODUCT(($C$40991:$C$41000&lt;C40991)*$C$40980:$C$40989)</f>
        <v>2097.52385844216</v>
      </c>
    </row>
    <row r="41003" customFormat="false" ht="15" hidden="false" customHeight="false" outlineLevel="0" collapsed="false">
      <c r="A41003" s="3" t="s">
        <v>557</v>
      </c>
      <c r="C41003" s="16" t="n">
        <f aca="false">SUMPRODUCT(($C$40991:$C$41000&lt;C40992)*$C$40980:$C$40989)</f>
        <v>2097.52385844216</v>
      </c>
    </row>
    <row r="41004" customFormat="false" ht="15" hidden="false" customHeight="false" outlineLevel="0" collapsed="false">
      <c r="A41004" s="3" t="s">
        <v>558</v>
      </c>
      <c r="C41004" s="16" t="n">
        <f aca="false">SUMPRODUCT(($C$40991:$C$41000&lt;C40993)*$C$40980:$C$40989)</f>
        <v>2097.52385844216</v>
      </c>
    </row>
    <row r="41005" customFormat="false" ht="15" hidden="false" customHeight="false" outlineLevel="0" collapsed="false">
      <c r="A41005" s="3" t="s">
        <v>559</v>
      </c>
      <c r="C41005" s="16" t="n">
        <f aca="false">SUMPRODUCT(($C$40991:$C$41000&lt;C40994)*$C$40980:$C$40989)</f>
        <v>0</v>
      </c>
    </row>
    <row r="41006" customFormat="false" ht="15" hidden="false" customHeight="false" outlineLevel="0" collapsed="false">
      <c r="A41006" s="3" t="s">
        <v>560</v>
      </c>
      <c r="C41006" s="16" t="n">
        <f aca="false">SUMPRODUCT(($C$40991:$C$41000&lt;C40995)*$C$40980:$C$40989)</f>
        <v>0</v>
      </c>
    </row>
    <row r="41007" customFormat="false" ht="15" hidden="false" customHeight="false" outlineLevel="0" collapsed="false">
      <c r="A41007" s="3" t="s">
        <v>561</v>
      </c>
      <c r="C41007" s="16" t="n">
        <f aca="false">SUMPRODUCT(($C$40991:$C$41000&lt;C40996)*$C$40980:$C$40989)</f>
        <v>0</v>
      </c>
    </row>
    <row r="41008" customFormat="false" ht="15" hidden="false" customHeight="false" outlineLevel="0" collapsed="false">
      <c r="A41008" s="3" t="s">
        <v>562</v>
      </c>
      <c r="C41008" s="16" t="n">
        <f aca="false">SUMPRODUCT(($C$40991:$C$41000&lt;C40997)*$C$40980:$C$40989)</f>
        <v>0</v>
      </c>
    </row>
    <row r="41009" customFormat="false" ht="15" hidden="false" customHeight="false" outlineLevel="0" collapsed="false">
      <c r="A41009" s="3" t="s">
        <v>563</v>
      </c>
      <c r="C41009" s="16" t="n">
        <f aca="false">SUMPRODUCT(($C$40991:$C$41000&lt;C40998)*$C$40980:$C$40989)</f>
        <v>0</v>
      </c>
    </row>
    <row r="41010" customFormat="false" ht="15" hidden="false" customHeight="false" outlineLevel="0" collapsed="false">
      <c r="A41010" s="3" t="s">
        <v>564</v>
      </c>
      <c r="C41010" s="16" t="n">
        <f aca="false">SUMPRODUCT(($C$40991:$C$41000&lt;C40999)*$C$40980:$C$40989)</f>
        <v>0</v>
      </c>
    </row>
    <row r="41011" customFormat="false" ht="15" hidden="false" customHeight="false" outlineLevel="0" collapsed="false">
      <c r="A41011" s="3" t="s">
        <v>565</v>
      </c>
      <c r="C41011" s="16" t="n">
        <f aca="false">SUMPRODUCT(($C$40991:$C$41000&lt;C41000)*$C$40980:$C$40989)</f>
        <v>2017.29056194216</v>
      </c>
    </row>
    <row r="41012" customFormat="false" ht="15" hidden="false" customHeight="false" outlineLevel="0" collapsed="false">
      <c r="A41012" s="24" t="s">
        <v>573</v>
      </c>
      <c r="B41012" s="25"/>
      <c r="C41012" s="25"/>
      <c r="D41012" s="25"/>
      <c r="E41012" s="25"/>
      <c r="F41012" s="25"/>
      <c r="G41012" s="25"/>
      <c r="H41012" s="25"/>
      <c r="I41012" s="25"/>
      <c r="J41012" s="25"/>
      <c r="K41012" s="25"/>
    </row>
    <row r="41013" customFormat="false" ht="15" hidden="false" customHeight="false" outlineLevel="0" collapsed="false">
      <c r="A41013" s="3" t="s">
        <v>556</v>
      </c>
      <c r="C41013" s="16" t="n">
        <f aca="false">SUMPRODUCT(($C$40991:$C$41000=C40991)*$C$40980:$C$40989)</f>
        <v>10.3312725768</v>
      </c>
    </row>
    <row r="41014" customFormat="false" ht="15" hidden="false" customHeight="false" outlineLevel="0" collapsed="false">
      <c r="A41014" s="3" t="s">
        <v>557</v>
      </c>
      <c r="C41014" s="16" t="n">
        <f aca="false">SUMPRODUCT(($C$40991:$C$41000=C40992)*$C$40980:$C$40989)</f>
        <v>10.3312725768</v>
      </c>
    </row>
    <row r="41015" customFormat="false" ht="15" hidden="false" customHeight="false" outlineLevel="0" collapsed="false">
      <c r="A41015" s="3" t="s">
        <v>558</v>
      </c>
      <c r="C41015" s="16" t="n">
        <f aca="false">SUMPRODUCT(($C$40991:$C$41000=C40993)*$C$40980:$C$40989)</f>
        <v>10.3312725768</v>
      </c>
    </row>
    <row r="41016" customFormat="false" ht="15" hidden="false" customHeight="false" outlineLevel="0" collapsed="false">
      <c r="A41016" s="3" t="s">
        <v>559</v>
      </c>
      <c r="C41016" s="16" t="n">
        <f aca="false">SUMPRODUCT(($C$40991:$C$41000=C40994)*$C$40980:$C$40989)</f>
        <v>2017.29056194216</v>
      </c>
    </row>
    <row r="41017" customFormat="false" ht="15" hidden="false" customHeight="false" outlineLevel="0" collapsed="false">
      <c r="A41017" s="3" t="s">
        <v>560</v>
      </c>
      <c r="C41017" s="16" t="n">
        <f aca="false">SUMPRODUCT(($C$40991:$C$41000=C40995)*$C$40980:$C$40989)</f>
        <v>2017.29056194216</v>
      </c>
    </row>
    <row r="41018" customFormat="false" ht="15" hidden="false" customHeight="false" outlineLevel="0" collapsed="false">
      <c r="A41018" s="3" t="s">
        <v>561</v>
      </c>
      <c r="C41018" s="16" t="n">
        <f aca="false">SUMPRODUCT(($C$40991:$C$41000=C40996)*$C$40980:$C$40989)</f>
        <v>2017.29056194216</v>
      </c>
    </row>
    <row r="41019" customFormat="false" ht="15" hidden="false" customHeight="false" outlineLevel="0" collapsed="false">
      <c r="A41019" s="3" t="s">
        <v>562</v>
      </c>
      <c r="C41019" s="16" t="n">
        <f aca="false">SUMPRODUCT(($C$40991:$C$41000=C40997)*$C$40980:$C$40989)</f>
        <v>2017.29056194216</v>
      </c>
    </row>
    <row r="41020" customFormat="false" ht="15" hidden="false" customHeight="false" outlineLevel="0" collapsed="false">
      <c r="A41020" s="3" t="s">
        <v>563</v>
      </c>
      <c r="C41020" s="16" t="n">
        <f aca="false">SUMPRODUCT(($C$40991:$C$41000=C40998)*$C$40980:$C$40989)</f>
        <v>2017.29056194216</v>
      </c>
    </row>
    <row r="41021" customFormat="false" ht="15" hidden="false" customHeight="false" outlineLevel="0" collapsed="false">
      <c r="A41021" s="3" t="s">
        <v>564</v>
      </c>
      <c r="C41021" s="16" t="n">
        <f aca="false">SUMPRODUCT(($C$40991:$C$41000=C40999)*$C$40980:$C$40989)</f>
        <v>2017.29056194216</v>
      </c>
    </row>
    <row r="41022" customFormat="false" ht="15" hidden="false" customHeight="false" outlineLevel="0" collapsed="false">
      <c r="A41022" s="3" t="s">
        <v>565</v>
      </c>
      <c r="C41022" s="16" t="n">
        <f aca="false">SUMPRODUCT(($C$40991:$C$41000=C41000)*$C$40980:$C$40989)</f>
        <v>80.2332965</v>
      </c>
    </row>
    <row r="41023" customFormat="false" ht="15" hidden="false" customHeight="false" outlineLevel="0" collapsed="false">
      <c r="A41023" s="24" t="s">
        <v>574</v>
      </c>
      <c r="B41023" s="25"/>
      <c r="C41023" s="25"/>
      <c r="D41023" s="25"/>
      <c r="E41023" s="25"/>
      <c r="F41023" s="25"/>
      <c r="G41023" s="25"/>
      <c r="H41023" s="25"/>
      <c r="I41023" s="25"/>
      <c r="J41023" s="25"/>
      <c r="K41023" s="25"/>
    </row>
    <row r="41024" customFormat="false" ht="15" hidden="false" customHeight="false" outlineLevel="0" collapsed="false">
      <c r="A41024" s="3" t="s">
        <v>556</v>
      </c>
      <c r="C41024" s="16" t="n">
        <f aca="false">IF(C41013=0,0,C40980/C41013*MAX(0,MIN(C41013,$C$40923-SUM($C$40958:$C$40967)-C41002)))</f>
        <v>0</v>
      </c>
    </row>
    <row r="41025" customFormat="false" ht="15" hidden="false" customHeight="false" outlineLevel="0" collapsed="false">
      <c r="A41025" s="3" t="s">
        <v>557</v>
      </c>
      <c r="C41025" s="16" t="n">
        <f aca="false">IF(C41014=0,0,C40981/C41014*MAX(0,MIN(C41014,$C$40923-SUM($C$40958:$C$40967)-C41003)))</f>
        <v>0</v>
      </c>
    </row>
    <row r="41026" customFormat="false" ht="15" hidden="false" customHeight="false" outlineLevel="0" collapsed="false">
      <c r="A41026" s="3" t="s">
        <v>558</v>
      </c>
      <c r="C41026" s="16" t="n">
        <f aca="false">IF(C41015=0,0,C40982/C41015*MAX(0,MIN(C41015,$C$40923-SUM($C$40958:$C$40967)-C41004)))</f>
        <v>0</v>
      </c>
    </row>
    <row r="41027" customFormat="false" ht="15" hidden="false" customHeight="false" outlineLevel="0" collapsed="false">
      <c r="A41027" s="3" t="s">
        <v>559</v>
      </c>
      <c r="C41027" s="16" t="n">
        <f aca="false">IF(C41016=0,0,C40983/C41016*MAX(0,MIN(C41016,$C$40923-SUM($C$40958:$C$40967)-C41005)))</f>
        <v>0</v>
      </c>
    </row>
    <row r="41028" customFormat="false" ht="15" hidden="false" customHeight="false" outlineLevel="0" collapsed="false">
      <c r="A41028" s="3" t="s">
        <v>560</v>
      </c>
      <c r="C41028" s="16" t="n">
        <f aca="false">IF(C41017=0,0,C40984/C41017*MAX(0,MIN(C41017,$C$40923-SUM($C$40958:$C$40967)-C41006)))</f>
        <v>439.249936942163</v>
      </c>
    </row>
    <row r="41029" customFormat="false" ht="15" hidden="false" customHeight="false" outlineLevel="0" collapsed="false">
      <c r="A41029" s="3" t="s">
        <v>561</v>
      </c>
      <c r="C41029" s="16" t="n">
        <f aca="false">IF(C41018=0,0,C40985/C41018*MAX(0,MIN(C41018,$C$40923-SUM($C$40958:$C$40967)-C41007)))</f>
        <v>357.2625</v>
      </c>
    </row>
    <row r="41030" customFormat="false" ht="15" hidden="false" customHeight="false" outlineLevel="0" collapsed="false">
      <c r="A41030" s="3" t="s">
        <v>562</v>
      </c>
      <c r="C41030" s="16" t="n">
        <f aca="false">IF(C41019=0,0,C40986/C41019*MAX(0,MIN(C41019,$C$40923-SUM($C$40958:$C$40967)-C41008)))</f>
        <v>562.203125</v>
      </c>
    </row>
    <row r="41031" customFormat="false" ht="15" hidden="false" customHeight="false" outlineLevel="0" collapsed="false">
      <c r="A41031" s="3" t="s">
        <v>563</v>
      </c>
      <c r="C41031" s="16" t="n">
        <f aca="false">IF(C41020=0,0,C40987/C41020*MAX(0,MIN(C41020,$C$40923-SUM($C$40958:$C$40967)-C41009)))</f>
        <v>353.98125</v>
      </c>
    </row>
    <row r="41032" customFormat="false" ht="15" hidden="false" customHeight="false" outlineLevel="0" collapsed="false">
      <c r="A41032" s="3" t="s">
        <v>564</v>
      </c>
      <c r="C41032" s="16" t="n">
        <f aca="false">IF(C41021=0,0,C40988/C41021*MAX(0,MIN(C41021,$C$40923-SUM($C$40958:$C$40967)-C41010)))</f>
        <v>304.59375</v>
      </c>
    </row>
    <row r="41033" customFormat="false" ht="15" hidden="false" customHeight="false" outlineLevel="0" collapsed="false">
      <c r="A41033" s="3" t="s">
        <v>565</v>
      </c>
      <c r="C41033" s="16" t="n">
        <f aca="false">IF(C41022=0,0,C40989/C41022*MAX(0,MIN(C41022,$C$40923-SUM($C$40958:$C$40967)-C41011)))</f>
        <v>20.1124853346373</v>
      </c>
    </row>
    <row r="41034" customFormat="false" ht="15" hidden="false" customHeight="false" outlineLevel="0" collapsed="false">
      <c r="A41034" s="24" t="s">
        <v>575</v>
      </c>
      <c r="B41034" s="25"/>
      <c r="C41034" s="25"/>
      <c r="D41034" s="25"/>
      <c r="E41034" s="25"/>
      <c r="F41034" s="25"/>
      <c r="G41034" s="25"/>
      <c r="H41034" s="25"/>
      <c r="I41034" s="25"/>
      <c r="J41034" s="25"/>
      <c r="K41034" s="25"/>
    </row>
    <row r="41035" customFormat="false" ht="15" hidden="false" customHeight="false" outlineLevel="0" collapsed="false">
      <c r="A41035" s="2" t="s">
        <v>556</v>
      </c>
      <c r="C41035" s="17" t="n">
        <f aca="false">C40958+C41024</f>
        <v>403.76</v>
      </c>
    </row>
    <row r="41036" customFormat="false" ht="15" hidden="false" customHeight="false" outlineLevel="0" collapsed="false">
      <c r="A41036" s="2" t="s">
        <v>557</v>
      </c>
      <c r="C41036" s="17" t="n">
        <f aca="false">C40959+C41025</f>
        <v>85.1568504864</v>
      </c>
    </row>
    <row r="41037" customFormat="false" ht="15" hidden="false" customHeight="false" outlineLevel="0" collapsed="false">
      <c r="A41037" s="2" t="s">
        <v>558</v>
      </c>
      <c r="C41037" s="17" t="n">
        <f aca="false">C40960+C41026</f>
        <v>54.1907230368</v>
      </c>
    </row>
    <row r="41038" customFormat="false" ht="15" hidden="false" customHeight="false" outlineLevel="0" collapsed="false">
      <c r="A41038" s="2" t="s">
        <v>559</v>
      </c>
      <c r="C41038" s="17" t="n">
        <f aca="false">C40961+C41027</f>
        <v>0</v>
      </c>
    </row>
    <row r="41039" customFormat="false" ht="15" hidden="false" customHeight="false" outlineLevel="0" collapsed="false">
      <c r="A41039" s="2" t="s">
        <v>560</v>
      </c>
      <c r="C41039" s="17" t="n">
        <f aca="false">C40962+C41028</f>
        <v>439.249936942163</v>
      </c>
    </row>
    <row r="41040" customFormat="false" ht="15" hidden="false" customHeight="false" outlineLevel="0" collapsed="false">
      <c r="A41040" s="2" t="s">
        <v>561</v>
      </c>
      <c r="C41040" s="17" t="n">
        <f aca="false">C40963+C41029</f>
        <v>357.2625</v>
      </c>
    </row>
    <row r="41041" customFormat="false" ht="15" hidden="false" customHeight="false" outlineLevel="0" collapsed="false">
      <c r="A41041" s="2" t="s">
        <v>562</v>
      </c>
      <c r="C41041" s="17" t="n">
        <f aca="false">C40964+C41030</f>
        <v>562.203125</v>
      </c>
    </row>
    <row r="41042" customFormat="false" ht="15" hidden="false" customHeight="false" outlineLevel="0" collapsed="false">
      <c r="A41042" s="2" t="s">
        <v>563</v>
      </c>
      <c r="C41042" s="17" t="n">
        <f aca="false">C40965+C41031</f>
        <v>353.98125</v>
      </c>
    </row>
    <row r="41043" customFormat="false" ht="15" hidden="false" customHeight="false" outlineLevel="0" collapsed="false">
      <c r="A41043" s="2" t="s">
        <v>564</v>
      </c>
      <c r="C41043" s="17" t="n">
        <f aca="false">C40966+C41032</f>
        <v>304.59375</v>
      </c>
    </row>
    <row r="41044" customFormat="false" ht="15" hidden="false" customHeight="false" outlineLevel="0" collapsed="false">
      <c r="A41044" s="2" t="s">
        <v>565</v>
      </c>
      <c r="C41044" s="17" t="n">
        <f aca="false">C40967+C41033</f>
        <v>20.1124853346373</v>
      </c>
    </row>
    <row r="41045" customFormat="false" ht="15" hidden="false" customHeight="false" outlineLevel="0" collapsed="false">
      <c r="A41045" s="24" t="s">
        <v>576</v>
      </c>
      <c r="B41045" s="25"/>
      <c r="C41045" s="25"/>
      <c r="D41045" s="25"/>
      <c r="E41045" s="25"/>
      <c r="F41045" s="25"/>
      <c r="G41045" s="25"/>
      <c r="H41045" s="25"/>
      <c r="I41045" s="25"/>
      <c r="J41045" s="25"/>
      <c r="K41045" s="25"/>
    </row>
    <row r="41046" customFormat="false" ht="15" hidden="false" customHeight="false" outlineLevel="0" collapsed="false">
      <c r="A41046" s="3" t="s">
        <v>556</v>
      </c>
      <c r="C41046" s="22" t="n">
        <f aca="false">IF(C40925=0,1,C41035/C40925)</f>
        <v>1</v>
      </c>
    </row>
    <row r="41047" customFormat="false" ht="15" hidden="false" customHeight="false" outlineLevel="0" collapsed="false">
      <c r="A41047" s="3" t="s">
        <v>557</v>
      </c>
      <c r="C41047" s="22" t="n">
        <f aca="false">IF(C40926=0,1,C41036/C40926)</f>
        <v>0.932640622583639</v>
      </c>
    </row>
    <row r="41048" customFormat="false" ht="15" hidden="false" customHeight="false" outlineLevel="0" collapsed="false">
      <c r="A41048" s="3" t="s">
        <v>558</v>
      </c>
      <c r="C41048" s="22" t="n">
        <f aca="false">IF(C40927=0,1,C41037/C40927)</f>
        <v>0.928374871640695</v>
      </c>
    </row>
    <row r="41049" customFormat="false" ht="15" hidden="false" customHeight="false" outlineLevel="0" collapsed="false">
      <c r="A41049" s="3" t="s">
        <v>559</v>
      </c>
      <c r="C41049" s="22" t="n">
        <f aca="false">IF(C40928=0,1,C41038/C40928)</f>
        <v>1</v>
      </c>
    </row>
    <row r="41050" customFormat="false" ht="15" hidden="false" customHeight="false" outlineLevel="0" collapsed="false">
      <c r="A41050" s="3" t="s">
        <v>560</v>
      </c>
      <c r="C41050" s="22" t="n">
        <f aca="false">IF(C40929=0,1,C41039/C40929)</f>
        <v>1</v>
      </c>
    </row>
    <row r="41051" customFormat="false" ht="15" hidden="false" customHeight="false" outlineLevel="0" collapsed="false">
      <c r="A41051" s="3" t="s">
        <v>561</v>
      </c>
      <c r="C41051" s="22" t="n">
        <f aca="false">IF(C40930=0,1,C41040/C40930)</f>
        <v>1</v>
      </c>
    </row>
    <row r="41052" customFormat="false" ht="15" hidden="false" customHeight="false" outlineLevel="0" collapsed="false">
      <c r="A41052" s="3" t="s">
        <v>562</v>
      </c>
      <c r="C41052" s="22" t="n">
        <f aca="false">IF(C40931=0,1,C41041/C40931)</f>
        <v>1</v>
      </c>
    </row>
    <row r="41053" customFormat="false" ht="15" hidden="false" customHeight="false" outlineLevel="0" collapsed="false">
      <c r="A41053" s="3" t="s">
        <v>563</v>
      </c>
      <c r="C41053" s="22" t="n">
        <f aca="false">IF(C40932=0,1,C41042/C40932)</f>
        <v>1</v>
      </c>
    </row>
    <row r="41054" customFormat="false" ht="15" hidden="false" customHeight="false" outlineLevel="0" collapsed="false">
      <c r="A41054" s="3" t="s">
        <v>564</v>
      </c>
      <c r="C41054" s="22" t="n">
        <f aca="false">IF(C40933=0,1,C41043/C40933)</f>
        <v>1</v>
      </c>
    </row>
    <row r="41055" customFormat="false" ht="15" hidden="false" customHeight="false" outlineLevel="0" collapsed="false">
      <c r="A41055" s="3" t="s">
        <v>565</v>
      </c>
      <c r="C41055" s="22" t="n">
        <f aca="false">IF(C40934=0,1,C41044/C40934)</f>
        <v>0.250675046545511</v>
      </c>
    </row>
    <row r="41056" customFormat="false" ht="15" hidden="false" customHeight="false" outlineLevel="0" collapsed="false">
      <c r="A41056" s="24" t="s">
        <v>577</v>
      </c>
      <c r="B41056" s="25"/>
      <c r="C41056" s="25"/>
      <c r="D41056" s="25"/>
      <c r="E41056" s="25"/>
      <c r="F41056" s="25"/>
      <c r="G41056" s="25"/>
      <c r="H41056" s="25"/>
      <c r="I41056" s="25"/>
      <c r="J41056" s="25"/>
      <c r="K41056" s="25"/>
    </row>
    <row r="41057" customFormat="false" ht="15" hidden="false" customHeight="false" outlineLevel="0" collapsed="false">
      <c r="A41057" s="3" t="s">
        <v>556</v>
      </c>
      <c r="C41057" s="16" t="n">
        <f aca="false">C40925-C41035</f>
        <v>0</v>
      </c>
    </row>
    <row r="41058" customFormat="false" ht="15" hidden="false" customHeight="false" outlineLevel="0" collapsed="false">
      <c r="A41058" s="3" t="s">
        <v>557</v>
      </c>
      <c r="C41058" s="16" t="n">
        <f aca="false">C40926-C41036</f>
        <v>6.15039951360001</v>
      </c>
    </row>
    <row r="41059" customFormat="false" ht="15" hidden="false" customHeight="false" outlineLevel="0" collapsed="false">
      <c r="A41059" s="3" t="s">
        <v>558</v>
      </c>
      <c r="C41059" s="16" t="n">
        <f aca="false">C40927-C41037</f>
        <v>4.1808730632</v>
      </c>
    </row>
    <row r="41060" customFormat="false" ht="15" hidden="false" customHeight="false" outlineLevel="0" collapsed="false">
      <c r="A41060" s="3" t="s">
        <v>559</v>
      </c>
      <c r="C41060" s="16" t="n">
        <f aca="false">C40928-C41038</f>
        <v>0</v>
      </c>
    </row>
    <row r="41061" customFormat="false" ht="15" hidden="false" customHeight="false" outlineLevel="0" collapsed="false">
      <c r="A41061" s="3" t="s">
        <v>560</v>
      </c>
      <c r="C41061" s="16" t="n">
        <f aca="false">C40929-C41039</f>
        <v>0</v>
      </c>
    </row>
    <row r="41062" customFormat="false" ht="15" hidden="false" customHeight="false" outlineLevel="0" collapsed="false">
      <c r="A41062" s="3" t="s">
        <v>561</v>
      </c>
      <c r="C41062" s="16" t="n">
        <f aca="false">C40930-C41040</f>
        <v>0</v>
      </c>
    </row>
    <row r="41063" customFormat="false" ht="15" hidden="false" customHeight="false" outlineLevel="0" collapsed="false">
      <c r="A41063" s="3" t="s">
        <v>562</v>
      </c>
      <c r="C41063" s="16" t="n">
        <f aca="false">C40931-C41041</f>
        <v>0</v>
      </c>
    </row>
    <row r="41064" customFormat="false" ht="15" hidden="false" customHeight="false" outlineLevel="0" collapsed="false">
      <c r="A41064" s="3" t="s">
        <v>563</v>
      </c>
      <c r="C41064" s="16" t="n">
        <f aca="false">C40932-C41042</f>
        <v>0</v>
      </c>
    </row>
    <row r="41065" customFormat="false" ht="15" hidden="false" customHeight="false" outlineLevel="0" collapsed="false">
      <c r="A41065" s="3" t="s">
        <v>564</v>
      </c>
      <c r="C41065" s="16" t="n">
        <f aca="false">C40933-C41043</f>
        <v>0</v>
      </c>
    </row>
    <row r="41066" customFormat="false" ht="15" hidden="false" customHeight="false" outlineLevel="0" collapsed="false">
      <c r="A41066" s="3" t="s">
        <v>565</v>
      </c>
      <c r="C41066" s="16" t="n">
        <f aca="false">C40934-C41044</f>
        <v>60.1208111653627</v>
      </c>
    </row>
    <row r="41067" customFormat="false" ht="15" hidden="false" customHeight="false" outlineLevel="0" collapsed="false">
      <c r="A41067" s="24" t="s">
        <v>578</v>
      </c>
      <c r="B41067" s="25"/>
      <c r="C41067" s="25"/>
      <c r="D41067" s="25"/>
      <c r="E41067" s="25"/>
      <c r="F41067" s="25"/>
      <c r="G41067" s="25"/>
      <c r="H41067" s="25"/>
      <c r="I41067" s="25"/>
      <c r="J41067" s="25"/>
      <c r="K41067" s="25"/>
    </row>
    <row r="41068" customFormat="false" ht="15" hidden="false" customHeight="false" outlineLevel="0" collapsed="false">
      <c r="A41068" s="3" t="s">
        <v>556</v>
      </c>
      <c r="C41068" s="22" t="n">
        <f aca="false">IF(C40925=0,0,C41057/C40925)</f>
        <v>0</v>
      </c>
    </row>
    <row r="41069" customFormat="false" ht="15" hidden="false" customHeight="false" outlineLevel="0" collapsed="false">
      <c r="A41069" s="3" t="s">
        <v>557</v>
      </c>
      <c r="C41069" s="22" t="n">
        <f aca="false">IF(C40926=0,0,C41058/C40926)</f>
        <v>0.0673593774163608</v>
      </c>
    </row>
    <row r="41070" customFormat="false" ht="15" hidden="false" customHeight="false" outlineLevel="0" collapsed="false">
      <c r="A41070" s="3" t="s">
        <v>558</v>
      </c>
      <c r="C41070" s="22" t="n">
        <f aca="false">IF(C40927=0,0,C41059/C40927)</f>
        <v>0.0716251283593048</v>
      </c>
    </row>
    <row r="41071" customFormat="false" ht="15" hidden="false" customHeight="false" outlineLevel="0" collapsed="false">
      <c r="A41071" s="3" t="s">
        <v>559</v>
      </c>
      <c r="C41071" s="22" t="n">
        <f aca="false">IF(C40928=0,0,C41060/C40928)</f>
        <v>0</v>
      </c>
    </row>
    <row r="41072" customFormat="false" ht="15" hidden="false" customHeight="false" outlineLevel="0" collapsed="false">
      <c r="A41072" s="3" t="s">
        <v>560</v>
      </c>
      <c r="C41072" s="22" t="n">
        <f aca="false">IF(C40929=0,0,C41061/C40929)</f>
        <v>0</v>
      </c>
    </row>
    <row r="41073" customFormat="false" ht="15" hidden="false" customHeight="false" outlineLevel="0" collapsed="false">
      <c r="A41073" s="3" t="s">
        <v>561</v>
      </c>
      <c r="C41073" s="22" t="n">
        <f aca="false">IF(C40930=0,0,C41062/C40930)</f>
        <v>0</v>
      </c>
    </row>
    <row r="41074" customFormat="false" ht="15" hidden="false" customHeight="false" outlineLevel="0" collapsed="false">
      <c r="A41074" s="3" t="s">
        <v>562</v>
      </c>
      <c r="C41074" s="22" t="n">
        <f aca="false">IF(C40931=0,0,C41063/C40931)</f>
        <v>0</v>
      </c>
    </row>
    <row r="41075" customFormat="false" ht="15" hidden="false" customHeight="false" outlineLevel="0" collapsed="false">
      <c r="A41075" s="3" t="s">
        <v>563</v>
      </c>
      <c r="C41075" s="22" t="n">
        <f aca="false">IF(C40932=0,0,C41064/C40932)</f>
        <v>0</v>
      </c>
    </row>
    <row r="41076" customFormat="false" ht="15" hidden="false" customHeight="false" outlineLevel="0" collapsed="false">
      <c r="A41076" s="3" t="s">
        <v>564</v>
      </c>
      <c r="C41076" s="22" t="n">
        <f aca="false">IF(C40933=0,0,C41065/C40933)</f>
        <v>0</v>
      </c>
    </row>
    <row r="41077" customFormat="false" ht="15" hidden="false" customHeight="false" outlineLevel="0" collapsed="false">
      <c r="A41077" s="3" t="s">
        <v>565</v>
      </c>
      <c r="C41077" s="22" t="n">
        <f aca="false">IF(C40934=0,0,C41066/C40934)</f>
        <v>0.749324953454489</v>
      </c>
    </row>
    <row r="41078" customFormat="false" ht="15" hidden="false" customHeight="false" outlineLevel="0" collapsed="false">
      <c r="A41078" s="2" t="s">
        <v>579</v>
      </c>
      <c r="C41078" s="17" t="n">
        <f aca="false">MAX(0,$C$40923-SUM($C$40958:$C$40967)-SUM($C$40980:$C$40989))</f>
        <v>0</v>
      </c>
    </row>
    <row r="41079" customFormat="false" ht="15" hidden="false" customHeight="false" outlineLevel="0" collapsed="false">
      <c r="A41079" s="3" t="s">
        <v>580</v>
      </c>
      <c r="C41079" s="16" t="n">
        <f aca="false">SUM($C$41035:$C$41044)+C41078+C40922-C40921</f>
        <v>0</v>
      </c>
    </row>
    <row r="41081" customFormat="false" ht="15" hidden="false" customHeight="false" outlineLevel="0" collapsed="false">
      <c r="A41081" s="24" t="s">
        <v>583</v>
      </c>
      <c r="B41081" s="25"/>
      <c r="C41081" s="25"/>
      <c r="D41081" s="25"/>
      <c r="E41081" s="25"/>
      <c r="F41081" s="25"/>
      <c r="G41081" s="25"/>
      <c r="H41081" s="25"/>
      <c r="I41081" s="25"/>
      <c r="J41081" s="25"/>
      <c r="K41081" s="25"/>
    </row>
    <row r="41082" customFormat="false" ht="15" hidden="false" customHeight="false" outlineLevel="0" collapsed="false">
      <c r="A41082" s="3" t="s">
        <v>584</v>
      </c>
      <c r="C41082" s="27" t="n">
        <f aca="false">Assumptions!$C$34</f>
        <v>1</v>
      </c>
    </row>
    <row r="41083" customFormat="false" ht="15" hidden="false" customHeight="false" outlineLevel="0" collapsed="false">
      <c r="A41083" s="3" t="s">
        <v>585</v>
      </c>
      <c r="C41083" s="29" t="n">
        <f aca="false">Assumptions!$C$35</f>
        <v>100</v>
      </c>
    </row>
    <row r="41084" customFormat="false" ht="15" hidden="false" customHeight="false" outlineLevel="0" collapsed="false">
      <c r="A41084" s="3" t="s">
        <v>586</v>
      </c>
      <c r="C41084" s="40" t="n">
        <f aca="false">Assumptions!$C$36</f>
        <v>98</v>
      </c>
    </row>
    <row r="41085" customFormat="false" ht="15" hidden="false" customHeight="false" outlineLevel="0" collapsed="false">
      <c r="A41085" s="3" t="s">
        <v>587</v>
      </c>
      <c r="C41085" s="16" t="n">
        <f aca="false">C41083*C41084/100*(1+Assumptions!$C$37)</f>
        <v>98.49</v>
      </c>
    </row>
    <row r="41086" customFormat="false" ht="15" hidden="false" customHeight="false" outlineLevel="0" collapsed="false">
      <c r="A41086" s="3" t="s">
        <v>588</v>
      </c>
      <c r="C41086" s="27" t="n">
        <f aca="false">Assumptions!$C$38</f>
        <v>3</v>
      </c>
    </row>
    <row r="41087" customFormat="false" ht="15" hidden="false" customHeight="false" outlineLevel="0" collapsed="false">
      <c r="A41087" s="3" t="s">
        <v>589</v>
      </c>
      <c r="C41087" s="21" t="n">
        <f aca="false">IF(C40914=1,SUMPRODUCT($G$40850:$K$40850,$G$40624:$K$40624),0)</f>
        <v>2</v>
      </c>
    </row>
    <row r="41088" customFormat="false" ht="15" hidden="false" customHeight="false" outlineLevel="0" collapsed="false">
      <c r="A41088" s="3" t="s">
        <v>590</v>
      </c>
      <c r="C41088" s="22" t="n">
        <f aca="false">IFERROR(C41083/CHOOSE(C41082,SUMPRODUCT($G$40913:$K$40913,$G$40670:$K$40670),SUMPRODUCT($G$40913:$K$40913,$G$40683:$K$40683),SUMPRODUCT($G$40913:$K$40913,$G$40696:$K$40696),SUMPRODUCT($G$40913:$K$40913,$G$40709:$K$40709),SUMPRODUCT($G$40913:$K$40913,$G$40722:$K$40722),SUMPRODUCT($G$40913:$K$40913,$G$40735:$K$40735),SUMPRODUCT($G$40913:$K$40913,$G$40748:$K$40748),SUMPRODUCT($G$40913:$K$40913,$G$40761:$K$40761),SUMPRODUCT($G$40913:$K$40913,$G$40774:$K$40774),SUMPRODUCT($G$40913:$K$40913,$G$40787:$K$40787)),0)</f>
        <v>0.255102040816327</v>
      </c>
    </row>
    <row r="41089" customFormat="false" ht="15" hidden="false" customHeight="false" outlineLevel="0" collapsed="false">
      <c r="A41089" s="3" t="s">
        <v>591</v>
      </c>
      <c r="C41089" s="16" t="n">
        <f aca="false">CHOOSE(C41082,C41035,C41036,C41037,C41038,C41039,C41040,C41041,C41042,C41043,C41044)*C41088</f>
        <v>103</v>
      </c>
    </row>
    <row r="41090" customFormat="false" ht="15" hidden="false" customHeight="false" outlineLevel="0" collapsed="false">
      <c r="A41090" s="3" t="s">
        <v>592</v>
      </c>
      <c r="C41090" s="22" t="n">
        <f aca="false">CHOOSE(C41082,C41046,C41047,C41048,C41049,C41050,C41051,C41052,C41053,C41054,C41055)</f>
        <v>1</v>
      </c>
    </row>
    <row r="41091" customFormat="false" ht="15" hidden="false" customHeight="false" outlineLevel="0" collapsed="false">
      <c r="A41091" s="3" t="s">
        <v>593</v>
      </c>
      <c r="C41091" s="21" t="n">
        <f aca="false">IF(C40914=1,C41087,C41086)</f>
        <v>2</v>
      </c>
    </row>
    <row r="41092" customFormat="false" ht="15" hidden="false" customHeight="false" outlineLevel="0" collapsed="false">
      <c r="A41092" s="3" t="s">
        <v>594</v>
      </c>
      <c r="C41092" s="35" t="n">
        <f aca="false">CHOOSE($C$40616,Assumptions!$C$91,Assumptions!$C$110,Assumptions!$C$129)</f>
        <v>85</v>
      </c>
    </row>
    <row r="41093" customFormat="false" ht="15" hidden="false" customHeight="false" outlineLevel="0" collapsed="false">
      <c r="A41093" s="3" t="s">
        <v>595</v>
      </c>
      <c r="C41093" s="16" t="n">
        <f aca="false">INDEX($G$40633:$K$40633,C41086)*CHOOSE($C$40616,Assumptions!$C$90,Assumptions!$C$109,Assumptions!$C$128)+MAX(0,INDEX($G$40847:$K$40847,C41086))</f>
        <v>1633.40082545963</v>
      </c>
    </row>
    <row r="41094" customFormat="false" ht="15" hidden="false" customHeight="false" outlineLevel="0" collapsed="false">
      <c r="A41094" s="24" t="s">
        <v>596</v>
      </c>
      <c r="B41094" s="25"/>
      <c r="C41094" s="25"/>
      <c r="D41094" s="25"/>
      <c r="E41094" s="25"/>
      <c r="F41094" s="25"/>
      <c r="G41094" s="25"/>
      <c r="H41094" s="25"/>
      <c r="I41094" s="25"/>
      <c r="J41094" s="25"/>
      <c r="K41094" s="25"/>
    </row>
    <row r="41095" customFormat="false" ht="15" hidden="false" customHeight="false" outlineLevel="0" collapsed="false">
      <c r="A41095" s="3" t="s">
        <v>556</v>
      </c>
      <c r="C41095" s="16" t="n">
        <f aca="false">INDEX($G$40670:$K$40670,C41086)</f>
        <v>388</v>
      </c>
    </row>
    <row r="41096" customFormat="false" ht="15" hidden="false" customHeight="false" outlineLevel="0" collapsed="false">
      <c r="A41096" s="3" t="s">
        <v>557</v>
      </c>
      <c r="C41096" s="16" t="n">
        <f aca="false">INDEX($G$40683:$K$40683,C41086)</f>
        <v>90</v>
      </c>
    </row>
    <row r="41097" customFormat="false" ht="15" hidden="false" customHeight="false" outlineLevel="0" collapsed="false">
      <c r="A41097" s="3" t="s">
        <v>558</v>
      </c>
      <c r="C41097" s="16" t="n">
        <f aca="false">INDEX($G$40696:$K$40696,C41086)</f>
        <v>57.324</v>
      </c>
    </row>
    <row r="41098" customFormat="false" ht="15" hidden="false" customHeight="false" outlineLevel="0" collapsed="false">
      <c r="A41098" s="3" t="s">
        <v>559</v>
      </c>
      <c r="C41098" s="16" t="n">
        <f aca="false">INDEX($G$40709:$K$40709,C41086)</f>
        <v>0</v>
      </c>
    </row>
    <row r="41099" customFormat="false" ht="15" hidden="false" customHeight="false" outlineLevel="0" collapsed="false">
      <c r="A41099" s="3" t="s">
        <v>560</v>
      </c>
      <c r="C41099" s="16" t="n">
        <f aca="false">INDEX($G$40722:$K$40722,C41086)</f>
        <v>434.9547587</v>
      </c>
    </row>
    <row r="41100" customFormat="false" ht="15" hidden="false" customHeight="false" outlineLevel="0" collapsed="false">
      <c r="A41100" s="3" t="s">
        <v>561</v>
      </c>
      <c r="C41100" s="16" t="n">
        <f aca="false">INDEX($G$40735:$K$40735,C41086)</f>
        <v>350</v>
      </c>
    </row>
    <row r="41101" customFormat="false" ht="15" hidden="false" customHeight="false" outlineLevel="0" collapsed="false">
      <c r="A41101" s="3" t="s">
        <v>562</v>
      </c>
      <c r="C41101" s="16" t="n">
        <f aca="false">INDEX($G$40748:$K$40748,C41086)</f>
        <v>550</v>
      </c>
    </row>
    <row r="41102" customFormat="false" ht="15" hidden="false" customHeight="false" outlineLevel="0" collapsed="false">
      <c r="A41102" s="3" t="s">
        <v>563</v>
      </c>
      <c r="C41102" s="16" t="n">
        <f aca="false">INDEX($G$40761:$K$40761,C41086)</f>
        <v>350</v>
      </c>
    </row>
    <row r="41103" customFormat="false" ht="15" hidden="false" customHeight="false" outlineLevel="0" collapsed="false">
      <c r="A41103" s="3" t="s">
        <v>564</v>
      </c>
      <c r="C41103" s="16" t="n">
        <f aca="false">INDEX($G$40774:$K$40774,C41086)</f>
        <v>300</v>
      </c>
    </row>
    <row r="41104" customFormat="false" ht="15" hidden="false" customHeight="false" outlineLevel="0" collapsed="false">
      <c r="A41104" s="3" t="s">
        <v>565</v>
      </c>
      <c r="C41104" s="16" t="n">
        <f aca="false">INDEX($G$40787:$K$40787,C41086)</f>
        <v>78.61</v>
      </c>
    </row>
    <row r="41105" customFormat="false" ht="15" hidden="false" customHeight="false" outlineLevel="0" collapsed="false">
      <c r="A41105" s="24" t="s">
        <v>566</v>
      </c>
      <c r="B41105" s="25"/>
      <c r="C41105" s="25"/>
      <c r="D41105" s="25"/>
      <c r="E41105" s="25"/>
      <c r="F41105" s="25"/>
      <c r="G41105" s="25"/>
      <c r="H41105" s="25"/>
      <c r="I41105" s="25"/>
      <c r="J41105" s="25"/>
      <c r="K41105" s="25"/>
    </row>
    <row r="41106" customFormat="false" ht="15" hidden="false" customHeight="false" outlineLevel="0" collapsed="false">
      <c r="A41106" s="3" t="s">
        <v>556</v>
      </c>
      <c r="C41106" s="27" t="n">
        <f aca="false">Assumptions!$M$57</f>
        <v>1</v>
      </c>
    </row>
    <row r="41107" customFormat="false" ht="15" hidden="false" customHeight="false" outlineLevel="0" collapsed="false">
      <c r="A41107" s="3" t="s">
        <v>557</v>
      </c>
      <c r="C41107" s="27" t="n">
        <f aca="false">Assumptions!$M$58</f>
        <v>1</v>
      </c>
    </row>
    <row r="41108" customFormat="false" ht="15" hidden="false" customHeight="false" outlineLevel="0" collapsed="false">
      <c r="A41108" s="3" t="s">
        <v>558</v>
      </c>
      <c r="C41108" s="27" t="n">
        <f aca="false">Assumptions!$M$59</f>
        <v>1</v>
      </c>
    </row>
    <row r="41109" customFormat="false" ht="15" hidden="false" customHeight="false" outlineLevel="0" collapsed="false">
      <c r="A41109" s="3" t="s">
        <v>559</v>
      </c>
      <c r="C41109" s="27" t="n">
        <f aca="false">Assumptions!$M$60</f>
        <v>2</v>
      </c>
    </row>
    <row r="41110" customFormat="false" ht="15" hidden="false" customHeight="false" outlineLevel="0" collapsed="false">
      <c r="A41110" s="3" t="s">
        <v>560</v>
      </c>
      <c r="C41110" s="27" t="n">
        <f aca="false">Assumptions!$M$61</f>
        <v>2</v>
      </c>
    </row>
    <row r="41111" customFormat="false" ht="15" hidden="false" customHeight="false" outlineLevel="0" collapsed="false">
      <c r="A41111" s="3" t="s">
        <v>561</v>
      </c>
      <c r="C41111" s="27" t="n">
        <f aca="false">Assumptions!$M$62</f>
        <v>2</v>
      </c>
    </row>
    <row r="41112" customFormat="false" ht="15" hidden="false" customHeight="false" outlineLevel="0" collapsed="false">
      <c r="A41112" s="3" t="s">
        <v>562</v>
      </c>
      <c r="C41112" s="27" t="n">
        <f aca="false">Assumptions!$M$63</f>
        <v>2</v>
      </c>
    </row>
    <row r="41113" customFormat="false" ht="15" hidden="false" customHeight="false" outlineLevel="0" collapsed="false">
      <c r="A41113" s="3" t="s">
        <v>563</v>
      </c>
      <c r="C41113" s="27" t="n">
        <f aca="false">Assumptions!$M$64</f>
        <v>2</v>
      </c>
    </row>
    <row r="41114" customFormat="false" ht="15" hidden="false" customHeight="false" outlineLevel="0" collapsed="false">
      <c r="A41114" s="3" t="s">
        <v>564</v>
      </c>
      <c r="C41114" s="27" t="n">
        <f aca="false">Assumptions!$M$65</f>
        <v>2</v>
      </c>
    </row>
    <row r="41115" customFormat="false" ht="15" hidden="false" customHeight="false" outlineLevel="0" collapsed="false">
      <c r="A41115" s="3" t="s">
        <v>565</v>
      </c>
      <c r="C41115" s="27" t="n">
        <f aca="false">Assumptions!$M$66</f>
        <v>3</v>
      </c>
    </row>
    <row r="41116" customFormat="false" ht="15" hidden="false" customHeight="false" outlineLevel="0" collapsed="false">
      <c r="A41116" s="24" t="s">
        <v>567</v>
      </c>
      <c r="B41116" s="25"/>
      <c r="C41116" s="25"/>
      <c r="D41116" s="25"/>
      <c r="E41116" s="25"/>
      <c r="F41116" s="25"/>
      <c r="G41116" s="25"/>
      <c r="H41116" s="25"/>
      <c r="I41116" s="25"/>
      <c r="J41116" s="25"/>
      <c r="K41116" s="25"/>
    </row>
    <row r="41117" customFormat="false" ht="15" hidden="false" customHeight="false" outlineLevel="0" collapsed="false">
      <c r="A41117" s="3" t="s">
        <v>556</v>
      </c>
      <c r="C41117" s="33" t="n">
        <f aca="false">Assumptions!$Q$57</f>
        <v>0.3</v>
      </c>
    </row>
    <row r="41118" customFormat="false" ht="15" hidden="false" customHeight="false" outlineLevel="0" collapsed="false">
      <c r="A41118" s="3" t="s">
        <v>557</v>
      </c>
      <c r="C41118" s="33" t="n">
        <f aca="false">Assumptions!$Q$58</f>
        <v>0.033</v>
      </c>
    </row>
    <row r="41119" customFormat="false" ht="15" hidden="false" customHeight="false" outlineLevel="0" collapsed="false">
      <c r="A41119" s="3" t="s">
        <v>558</v>
      </c>
      <c r="C41119" s="33" t="n">
        <f aca="false">Assumptions!$Q$59</f>
        <v>0.021</v>
      </c>
    </row>
    <row r="41120" customFormat="false" ht="15" hidden="false" customHeight="false" outlineLevel="0" collapsed="false">
      <c r="A41120" s="3" t="s">
        <v>559</v>
      </c>
      <c r="C41120" s="33" t="n">
        <f aca="false">Assumptions!$Q$60</f>
        <v>0</v>
      </c>
    </row>
    <row r="41121" customFormat="false" ht="15" hidden="false" customHeight="false" outlineLevel="0" collapsed="false">
      <c r="A41121" s="3" t="s">
        <v>560</v>
      </c>
      <c r="C41121" s="33" t="n">
        <f aca="false">Assumptions!$Q$61</f>
        <v>0</v>
      </c>
    </row>
    <row r="41122" customFormat="false" ht="15" hidden="false" customHeight="false" outlineLevel="0" collapsed="false">
      <c r="A41122" s="3" t="s">
        <v>561</v>
      </c>
      <c r="C41122" s="33" t="n">
        <f aca="false">Assumptions!$Q$62</f>
        <v>0</v>
      </c>
    </row>
    <row r="41123" customFormat="false" ht="15" hidden="false" customHeight="false" outlineLevel="0" collapsed="false">
      <c r="A41123" s="3" t="s">
        <v>562</v>
      </c>
      <c r="C41123" s="33" t="n">
        <f aca="false">Assumptions!$Q$63</f>
        <v>0</v>
      </c>
    </row>
    <row r="41124" customFormat="false" ht="15" hidden="false" customHeight="false" outlineLevel="0" collapsed="false">
      <c r="A41124" s="3" t="s">
        <v>563</v>
      </c>
      <c r="C41124" s="33" t="n">
        <f aca="false">Assumptions!$Q$64</f>
        <v>0</v>
      </c>
    </row>
    <row r="41125" customFormat="false" ht="15" hidden="false" customHeight="false" outlineLevel="0" collapsed="false">
      <c r="A41125" s="3" t="s">
        <v>564</v>
      </c>
      <c r="C41125" s="33" t="n">
        <f aca="false">Assumptions!$Q$65</f>
        <v>0</v>
      </c>
    </row>
    <row r="41126" customFormat="false" ht="15" hidden="false" customHeight="false" outlineLevel="0" collapsed="false">
      <c r="A41126" s="3" t="s">
        <v>565</v>
      </c>
      <c r="C41126" s="33" t="n">
        <f aca="false">Assumptions!$Q$66</f>
        <v>0</v>
      </c>
    </row>
    <row r="41127" customFormat="false" ht="15" hidden="false" customHeight="false" outlineLevel="0" collapsed="false">
      <c r="A41127" s="24" t="s">
        <v>568</v>
      </c>
      <c r="B41127" s="25"/>
      <c r="C41127" s="25"/>
      <c r="D41127" s="25"/>
      <c r="E41127" s="25"/>
      <c r="F41127" s="25"/>
      <c r="G41127" s="25"/>
      <c r="H41127" s="25"/>
      <c r="I41127" s="25"/>
      <c r="J41127" s="25"/>
      <c r="K41127" s="25"/>
    </row>
    <row r="41128" customFormat="false" ht="15" hidden="false" customHeight="false" outlineLevel="0" collapsed="false">
      <c r="A41128" s="3" t="s">
        <v>556</v>
      </c>
      <c r="C41128" s="16" t="n">
        <f aca="false">IF(C41117&gt;0,MIN(C41095,C41117*$C$41093),0)</f>
        <v>388</v>
      </c>
    </row>
    <row r="41129" customFormat="false" ht="15" hidden="false" customHeight="false" outlineLevel="0" collapsed="false">
      <c r="A41129" s="3" t="s">
        <v>557</v>
      </c>
      <c r="C41129" s="16" t="n">
        <f aca="false">IF(C41118&gt;0,MIN(C41096,C41118*$C$41093),0)</f>
        <v>53.9022272401676</v>
      </c>
    </row>
    <row r="41130" customFormat="false" ht="15" hidden="false" customHeight="false" outlineLevel="0" collapsed="false">
      <c r="A41130" s="3" t="s">
        <v>558</v>
      </c>
      <c r="C41130" s="16" t="n">
        <f aca="false">IF(C41119&gt;0,MIN(C41097,C41119*$C$41093),0)</f>
        <v>34.3014173346521</v>
      </c>
    </row>
    <row r="41131" customFormat="false" ht="15" hidden="false" customHeight="false" outlineLevel="0" collapsed="false">
      <c r="A41131" s="3" t="s">
        <v>559</v>
      </c>
      <c r="C41131" s="16" t="n">
        <f aca="false">IF(C41120&gt;0,MIN(C41098,C41120*$C$41093),0)</f>
        <v>0</v>
      </c>
    </row>
    <row r="41132" customFormat="false" ht="15" hidden="false" customHeight="false" outlineLevel="0" collapsed="false">
      <c r="A41132" s="3" t="s">
        <v>560</v>
      </c>
      <c r="C41132" s="16" t="n">
        <f aca="false">IF(C41121&gt;0,MIN(C41099,C41121*$C$41093),0)</f>
        <v>0</v>
      </c>
    </row>
    <row r="41133" customFormat="false" ht="15" hidden="false" customHeight="false" outlineLevel="0" collapsed="false">
      <c r="A41133" s="3" t="s">
        <v>561</v>
      </c>
      <c r="C41133" s="16" t="n">
        <f aca="false">IF(C41122&gt;0,MIN(C41100,C41122*$C$41093),0)</f>
        <v>0</v>
      </c>
    </row>
    <row r="41134" customFormat="false" ht="15" hidden="false" customHeight="false" outlineLevel="0" collapsed="false">
      <c r="A41134" s="3" t="s">
        <v>562</v>
      </c>
      <c r="C41134" s="16" t="n">
        <f aca="false">IF(C41123&gt;0,MIN(C41101,C41123*$C$41093),0)</f>
        <v>0</v>
      </c>
    </row>
    <row r="41135" customFormat="false" ht="15" hidden="false" customHeight="false" outlineLevel="0" collapsed="false">
      <c r="A41135" s="3" t="s">
        <v>563</v>
      </c>
      <c r="C41135" s="16" t="n">
        <f aca="false">IF(C41124&gt;0,MIN(C41102,C41124*$C$41093),0)</f>
        <v>0</v>
      </c>
    </row>
    <row r="41136" customFormat="false" ht="15" hidden="false" customHeight="false" outlineLevel="0" collapsed="false">
      <c r="A41136" s="3" t="s">
        <v>564</v>
      </c>
      <c r="C41136" s="16" t="n">
        <f aca="false">IF(C41125&gt;0,MIN(C41103,C41125*$C$41093),0)</f>
        <v>0</v>
      </c>
    </row>
    <row r="41137" customFormat="false" ht="15" hidden="false" customHeight="false" outlineLevel="0" collapsed="false">
      <c r="A41137" s="3" t="s">
        <v>565</v>
      </c>
      <c r="C41137" s="16" t="n">
        <f aca="false">IF(C41126&gt;0,MIN(C41104,C41126*$C$41093),0)</f>
        <v>0</v>
      </c>
    </row>
    <row r="41138" customFormat="false" ht="15" hidden="false" customHeight="false" outlineLevel="0" collapsed="false">
      <c r="A41138" s="24" t="s">
        <v>569</v>
      </c>
      <c r="B41138" s="25"/>
      <c r="C41138" s="25"/>
      <c r="D41138" s="25"/>
      <c r="E41138" s="25"/>
      <c r="F41138" s="25"/>
      <c r="G41138" s="25"/>
      <c r="H41138" s="25"/>
      <c r="I41138" s="25"/>
      <c r="J41138" s="25"/>
      <c r="K41138" s="25"/>
    </row>
    <row r="41139" customFormat="false" ht="15" hidden="false" customHeight="false" outlineLevel="0" collapsed="false">
      <c r="A41139" s="3" t="s">
        <v>556</v>
      </c>
      <c r="C41139" s="16" t="n">
        <f aca="false">IF(C41117&gt;0,C41095-C41128,0)</f>
        <v>0</v>
      </c>
    </row>
    <row r="41140" customFormat="false" ht="15" hidden="false" customHeight="false" outlineLevel="0" collapsed="false">
      <c r="A41140" s="3" t="s">
        <v>557</v>
      </c>
      <c r="C41140" s="16" t="n">
        <f aca="false">IF(C41118&gt;0,C41096-C41129,0)</f>
        <v>36.0977727598324</v>
      </c>
    </row>
    <row r="41141" customFormat="false" ht="15" hidden="false" customHeight="false" outlineLevel="0" collapsed="false">
      <c r="A41141" s="3" t="s">
        <v>558</v>
      </c>
      <c r="C41141" s="16" t="n">
        <f aca="false">IF(C41119&gt;0,C41097-C41130,0)</f>
        <v>23.0225826653479</v>
      </c>
    </row>
    <row r="41142" customFormat="false" ht="15" hidden="false" customHeight="false" outlineLevel="0" collapsed="false">
      <c r="A41142" s="3" t="s">
        <v>559</v>
      </c>
      <c r="C41142" s="16" t="n">
        <f aca="false">IF(C41120&gt;0,C41098-C41131,0)</f>
        <v>0</v>
      </c>
    </row>
    <row r="41143" customFormat="false" ht="15" hidden="false" customHeight="false" outlineLevel="0" collapsed="false">
      <c r="A41143" s="3" t="s">
        <v>560</v>
      </c>
      <c r="C41143" s="16" t="n">
        <f aca="false">IF(C41121&gt;0,C41099-C41132,0)</f>
        <v>0</v>
      </c>
    </row>
    <row r="41144" customFormat="false" ht="15" hidden="false" customHeight="false" outlineLevel="0" collapsed="false">
      <c r="A41144" s="3" t="s">
        <v>561</v>
      </c>
      <c r="C41144" s="16" t="n">
        <f aca="false">IF(C41122&gt;0,C41100-C41133,0)</f>
        <v>0</v>
      </c>
    </row>
    <row r="41145" customFormat="false" ht="15" hidden="false" customHeight="false" outlineLevel="0" collapsed="false">
      <c r="A41145" s="3" t="s">
        <v>562</v>
      </c>
      <c r="C41145" s="16" t="n">
        <f aca="false">IF(C41123&gt;0,C41101-C41134,0)</f>
        <v>0</v>
      </c>
    </row>
    <row r="41146" customFormat="false" ht="15" hidden="false" customHeight="false" outlineLevel="0" collapsed="false">
      <c r="A41146" s="3" t="s">
        <v>563</v>
      </c>
      <c r="C41146" s="16" t="n">
        <f aca="false">IF(C41124&gt;0,C41102-C41135,0)</f>
        <v>0</v>
      </c>
    </row>
    <row r="41147" customFormat="false" ht="15" hidden="false" customHeight="false" outlineLevel="0" collapsed="false">
      <c r="A41147" s="3" t="s">
        <v>564</v>
      </c>
      <c r="C41147" s="16" t="n">
        <f aca="false">IF(C41125&gt;0,C41103-C41136,0)</f>
        <v>0</v>
      </c>
    </row>
    <row r="41148" customFormat="false" ht="15" hidden="false" customHeight="false" outlineLevel="0" collapsed="false">
      <c r="A41148" s="3" t="s">
        <v>565</v>
      </c>
      <c r="C41148" s="16" t="n">
        <f aca="false">IF(C41126&gt;0,C41104-C41137,0)</f>
        <v>0</v>
      </c>
    </row>
    <row r="41149" customFormat="false" ht="15" hidden="false" customHeight="false" outlineLevel="0" collapsed="false">
      <c r="A41149" s="24" t="s">
        <v>570</v>
      </c>
      <c r="B41149" s="25"/>
      <c r="C41149" s="25"/>
      <c r="D41149" s="25"/>
      <c r="E41149" s="25"/>
      <c r="F41149" s="25"/>
      <c r="G41149" s="25"/>
      <c r="H41149" s="25"/>
      <c r="I41149" s="25"/>
      <c r="J41149" s="25"/>
      <c r="K41149" s="25"/>
    </row>
    <row r="41150" customFormat="false" ht="15" hidden="false" customHeight="false" outlineLevel="0" collapsed="false">
      <c r="A41150" s="3" t="s">
        <v>556</v>
      </c>
      <c r="C41150" s="16" t="n">
        <f aca="false">IF(C41117&gt;0,C41139,C41095)</f>
        <v>0</v>
      </c>
    </row>
    <row r="41151" customFormat="false" ht="15" hidden="false" customHeight="false" outlineLevel="0" collapsed="false">
      <c r="A41151" s="3" t="s">
        <v>557</v>
      </c>
      <c r="C41151" s="16" t="n">
        <f aca="false">IF(C41118&gt;0,C41140,C41096)</f>
        <v>36.0977727598324</v>
      </c>
    </row>
    <row r="41152" customFormat="false" ht="15" hidden="false" customHeight="false" outlineLevel="0" collapsed="false">
      <c r="A41152" s="3" t="s">
        <v>558</v>
      </c>
      <c r="C41152" s="16" t="n">
        <f aca="false">IF(C41119&gt;0,C41141,C41097)</f>
        <v>23.0225826653479</v>
      </c>
    </row>
    <row r="41153" customFormat="false" ht="15" hidden="false" customHeight="false" outlineLevel="0" collapsed="false">
      <c r="A41153" s="3" t="s">
        <v>559</v>
      </c>
      <c r="C41153" s="16" t="n">
        <f aca="false">IF(C41120&gt;0,C41142,C41098)</f>
        <v>0</v>
      </c>
    </row>
    <row r="41154" customFormat="false" ht="15" hidden="false" customHeight="false" outlineLevel="0" collapsed="false">
      <c r="A41154" s="3" t="s">
        <v>560</v>
      </c>
      <c r="C41154" s="16" t="n">
        <f aca="false">IF(C41121&gt;0,C41143,C41099)</f>
        <v>434.9547587</v>
      </c>
    </row>
    <row r="41155" customFormat="false" ht="15" hidden="false" customHeight="false" outlineLevel="0" collapsed="false">
      <c r="A41155" s="3" t="s">
        <v>561</v>
      </c>
      <c r="C41155" s="16" t="n">
        <f aca="false">IF(C41122&gt;0,C41144,C41100)</f>
        <v>350</v>
      </c>
    </row>
    <row r="41156" customFormat="false" ht="15" hidden="false" customHeight="false" outlineLevel="0" collapsed="false">
      <c r="A41156" s="3" t="s">
        <v>562</v>
      </c>
      <c r="C41156" s="16" t="n">
        <f aca="false">IF(C41123&gt;0,C41145,C41101)</f>
        <v>550</v>
      </c>
    </row>
    <row r="41157" customFormat="false" ht="15" hidden="false" customHeight="false" outlineLevel="0" collapsed="false">
      <c r="A41157" s="3" t="s">
        <v>563</v>
      </c>
      <c r="C41157" s="16" t="n">
        <f aca="false">IF(C41124&gt;0,C41146,C41102)</f>
        <v>350</v>
      </c>
    </row>
    <row r="41158" customFormat="false" ht="15" hidden="false" customHeight="false" outlineLevel="0" collapsed="false">
      <c r="A41158" s="3" t="s">
        <v>564</v>
      </c>
      <c r="C41158" s="16" t="n">
        <f aca="false">IF(C41125&gt;0,C41147,C41103)</f>
        <v>300</v>
      </c>
    </row>
    <row r="41159" customFormat="false" ht="15" hidden="false" customHeight="false" outlineLevel="0" collapsed="false">
      <c r="A41159" s="3" t="s">
        <v>565</v>
      </c>
      <c r="C41159" s="16" t="n">
        <f aca="false">IF(C41126&gt;0,C41148,C41104)</f>
        <v>78.61</v>
      </c>
    </row>
    <row r="41160" customFormat="false" ht="15" hidden="false" customHeight="false" outlineLevel="0" collapsed="false">
      <c r="A41160" s="24" t="s">
        <v>571</v>
      </c>
      <c r="B41160" s="25"/>
      <c r="C41160" s="25"/>
      <c r="D41160" s="25"/>
      <c r="E41160" s="25"/>
      <c r="F41160" s="25"/>
      <c r="G41160" s="25"/>
      <c r="H41160" s="25"/>
      <c r="I41160" s="25"/>
      <c r="J41160" s="25"/>
      <c r="K41160" s="25"/>
    </row>
    <row r="41161" customFormat="false" ht="15" hidden="false" customHeight="false" outlineLevel="0" collapsed="false">
      <c r="A41161" s="3" t="s">
        <v>556</v>
      </c>
      <c r="C41161" s="21" t="n">
        <f aca="false">IF(C41117&gt;0,Assumptions!$C$17,C41106)</f>
        <v>99</v>
      </c>
    </row>
    <row r="41162" customFormat="false" ht="15" hidden="false" customHeight="false" outlineLevel="0" collapsed="false">
      <c r="A41162" s="3" t="s">
        <v>557</v>
      </c>
      <c r="C41162" s="21" t="n">
        <f aca="false">IF(C41118&gt;0,Assumptions!$C$17,C41107)</f>
        <v>99</v>
      </c>
    </row>
    <row r="41163" customFormat="false" ht="15" hidden="false" customHeight="false" outlineLevel="0" collapsed="false">
      <c r="A41163" s="3" t="s">
        <v>558</v>
      </c>
      <c r="C41163" s="21" t="n">
        <f aca="false">IF(C41119&gt;0,Assumptions!$C$17,C41108)</f>
        <v>99</v>
      </c>
    </row>
    <row r="41164" customFormat="false" ht="15" hidden="false" customHeight="false" outlineLevel="0" collapsed="false">
      <c r="A41164" s="3" t="s">
        <v>559</v>
      </c>
      <c r="C41164" s="21" t="n">
        <f aca="false">IF(C41120&gt;0,Assumptions!$C$17,C41109)</f>
        <v>2</v>
      </c>
    </row>
    <row r="41165" customFormat="false" ht="15" hidden="false" customHeight="false" outlineLevel="0" collapsed="false">
      <c r="A41165" s="3" t="s">
        <v>560</v>
      </c>
      <c r="C41165" s="21" t="n">
        <f aca="false">IF(C41121&gt;0,Assumptions!$C$17,C41110)</f>
        <v>2</v>
      </c>
    </row>
    <row r="41166" customFormat="false" ht="15" hidden="false" customHeight="false" outlineLevel="0" collapsed="false">
      <c r="A41166" s="3" t="s">
        <v>561</v>
      </c>
      <c r="C41166" s="21" t="n">
        <f aca="false">IF(C41122&gt;0,Assumptions!$C$17,C41111)</f>
        <v>2</v>
      </c>
    </row>
    <row r="41167" customFormat="false" ht="15" hidden="false" customHeight="false" outlineLevel="0" collapsed="false">
      <c r="A41167" s="3" t="s">
        <v>562</v>
      </c>
      <c r="C41167" s="21" t="n">
        <f aca="false">IF(C41123&gt;0,Assumptions!$C$17,C41112)</f>
        <v>2</v>
      </c>
    </row>
    <row r="41168" customFormat="false" ht="15" hidden="false" customHeight="false" outlineLevel="0" collapsed="false">
      <c r="A41168" s="3" t="s">
        <v>563</v>
      </c>
      <c r="C41168" s="21" t="n">
        <f aca="false">IF(C41124&gt;0,Assumptions!$C$17,C41113)</f>
        <v>2</v>
      </c>
    </row>
    <row r="41169" customFormat="false" ht="15" hidden="false" customHeight="false" outlineLevel="0" collapsed="false">
      <c r="A41169" s="3" t="s">
        <v>564</v>
      </c>
      <c r="C41169" s="21" t="n">
        <f aca="false">IF(C41125&gt;0,Assumptions!$C$17,C41114)</f>
        <v>2</v>
      </c>
    </row>
    <row r="41170" customFormat="false" ht="15" hidden="false" customHeight="false" outlineLevel="0" collapsed="false">
      <c r="A41170" s="3" t="s">
        <v>565</v>
      </c>
      <c r="C41170" s="21" t="n">
        <f aca="false">IF(C41126&gt;0,Assumptions!$C$17,C41115)</f>
        <v>3</v>
      </c>
    </row>
    <row r="41171" customFormat="false" ht="15" hidden="false" customHeight="false" outlineLevel="0" collapsed="false">
      <c r="A41171" s="24" t="s">
        <v>572</v>
      </c>
      <c r="B41171" s="25"/>
      <c r="C41171" s="25"/>
      <c r="D41171" s="25"/>
      <c r="E41171" s="25"/>
      <c r="F41171" s="25"/>
      <c r="G41171" s="25"/>
      <c r="H41171" s="25"/>
      <c r="I41171" s="25"/>
      <c r="J41171" s="25"/>
      <c r="K41171" s="25"/>
    </row>
    <row r="41172" customFormat="false" ht="15" hidden="false" customHeight="false" outlineLevel="0" collapsed="false">
      <c r="A41172" s="3" t="s">
        <v>556</v>
      </c>
      <c r="C41172" s="16" t="n">
        <f aca="false">SUMPRODUCT(($C$41161:$C$41170&lt;C41161)*$C$41150:$C$41159)</f>
        <v>2063.5647587</v>
      </c>
    </row>
    <row r="41173" customFormat="false" ht="15" hidden="false" customHeight="false" outlineLevel="0" collapsed="false">
      <c r="A41173" s="3" t="s">
        <v>557</v>
      </c>
      <c r="C41173" s="16" t="n">
        <f aca="false">SUMPRODUCT(($C$41161:$C$41170&lt;C41162)*$C$41150:$C$41159)</f>
        <v>2063.5647587</v>
      </c>
    </row>
    <row r="41174" customFormat="false" ht="15" hidden="false" customHeight="false" outlineLevel="0" collapsed="false">
      <c r="A41174" s="3" t="s">
        <v>558</v>
      </c>
      <c r="C41174" s="16" t="n">
        <f aca="false">SUMPRODUCT(($C$41161:$C$41170&lt;C41163)*$C$41150:$C$41159)</f>
        <v>2063.5647587</v>
      </c>
    </row>
    <row r="41175" customFormat="false" ht="15" hidden="false" customHeight="false" outlineLevel="0" collapsed="false">
      <c r="A41175" s="3" t="s">
        <v>559</v>
      </c>
      <c r="C41175" s="16" t="n">
        <f aca="false">SUMPRODUCT(($C$41161:$C$41170&lt;C41164)*$C$41150:$C$41159)</f>
        <v>0</v>
      </c>
    </row>
    <row r="41176" customFormat="false" ht="15" hidden="false" customHeight="false" outlineLevel="0" collapsed="false">
      <c r="A41176" s="3" t="s">
        <v>560</v>
      </c>
      <c r="C41176" s="16" t="n">
        <f aca="false">SUMPRODUCT(($C$41161:$C$41170&lt;C41165)*$C$41150:$C$41159)</f>
        <v>0</v>
      </c>
    </row>
    <row r="41177" customFormat="false" ht="15" hidden="false" customHeight="false" outlineLevel="0" collapsed="false">
      <c r="A41177" s="3" t="s">
        <v>561</v>
      </c>
      <c r="C41177" s="16" t="n">
        <f aca="false">SUMPRODUCT(($C$41161:$C$41170&lt;C41166)*$C$41150:$C$41159)</f>
        <v>0</v>
      </c>
    </row>
    <row r="41178" customFormat="false" ht="15" hidden="false" customHeight="false" outlineLevel="0" collapsed="false">
      <c r="A41178" s="3" t="s">
        <v>562</v>
      </c>
      <c r="C41178" s="16" t="n">
        <f aca="false">SUMPRODUCT(($C$41161:$C$41170&lt;C41167)*$C$41150:$C$41159)</f>
        <v>0</v>
      </c>
    </row>
    <row r="41179" customFormat="false" ht="15" hidden="false" customHeight="false" outlineLevel="0" collapsed="false">
      <c r="A41179" s="3" t="s">
        <v>563</v>
      </c>
      <c r="C41179" s="16" t="n">
        <f aca="false">SUMPRODUCT(($C$41161:$C$41170&lt;C41168)*$C$41150:$C$41159)</f>
        <v>0</v>
      </c>
    </row>
    <row r="41180" customFormat="false" ht="15" hidden="false" customHeight="false" outlineLevel="0" collapsed="false">
      <c r="A41180" s="3" t="s">
        <v>564</v>
      </c>
      <c r="C41180" s="16" t="n">
        <f aca="false">SUMPRODUCT(($C$41161:$C$41170&lt;C41169)*$C$41150:$C$41159)</f>
        <v>0</v>
      </c>
    </row>
    <row r="41181" customFormat="false" ht="15" hidden="false" customHeight="false" outlineLevel="0" collapsed="false">
      <c r="A41181" s="3" t="s">
        <v>565</v>
      </c>
      <c r="C41181" s="16" t="n">
        <f aca="false">SUMPRODUCT(($C$41161:$C$41170&lt;C41170)*$C$41150:$C$41159)</f>
        <v>1984.9547587</v>
      </c>
    </row>
    <row r="41182" customFormat="false" ht="15" hidden="false" customHeight="false" outlineLevel="0" collapsed="false">
      <c r="A41182" s="24" t="s">
        <v>573</v>
      </c>
      <c r="B41182" s="25"/>
      <c r="C41182" s="25"/>
      <c r="D41182" s="25"/>
      <c r="E41182" s="25"/>
      <c r="F41182" s="25"/>
      <c r="G41182" s="25"/>
      <c r="H41182" s="25"/>
      <c r="I41182" s="25"/>
      <c r="J41182" s="25"/>
      <c r="K41182" s="25"/>
    </row>
    <row r="41183" customFormat="false" ht="15" hidden="false" customHeight="false" outlineLevel="0" collapsed="false">
      <c r="A41183" s="3" t="s">
        <v>556</v>
      </c>
      <c r="C41183" s="16" t="n">
        <f aca="false">SUMPRODUCT(($C$41161:$C$41170=C41161)*$C$41150:$C$41159)</f>
        <v>59.1203554251802</v>
      </c>
    </row>
    <row r="41184" customFormat="false" ht="15" hidden="false" customHeight="false" outlineLevel="0" collapsed="false">
      <c r="A41184" s="3" t="s">
        <v>557</v>
      </c>
      <c r="C41184" s="16" t="n">
        <f aca="false">SUMPRODUCT(($C$41161:$C$41170=C41162)*$C$41150:$C$41159)</f>
        <v>59.1203554251802</v>
      </c>
    </row>
    <row r="41185" customFormat="false" ht="15" hidden="false" customHeight="false" outlineLevel="0" collapsed="false">
      <c r="A41185" s="3" t="s">
        <v>558</v>
      </c>
      <c r="C41185" s="16" t="n">
        <f aca="false">SUMPRODUCT(($C$41161:$C$41170=C41163)*$C$41150:$C$41159)</f>
        <v>59.1203554251802</v>
      </c>
    </row>
    <row r="41186" customFormat="false" ht="15" hidden="false" customHeight="false" outlineLevel="0" collapsed="false">
      <c r="A41186" s="3" t="s">
        <v>559</v>
      </c>
      <c r="C41186" s="16" t="n">
        <f aca="false">SUMPRODUCT(($C$41161:$C$41170=C41164)*$C$41150:$C$41159)</f>
        <v>1984.9547587</v>
      </c>
    </row>
    <row r="41187" customFormat="false" ht="15" hidden="false" customHeight="false" outlineLevel="0" collapsed="false">
      <c r="A41187" s="3" t="s">
        <v>560</v>
      </c>
      <c r="C41187" s="16" t="n">
        <f aca="false">SUMPRODUCT(($C$41161:$C$41170=C41165)*$C$41150:$C$41159)</f>
        <v>1984.9547587</v>
      </c>
    </row>
    <row r="41188" customFormat="false" ht="15" hidden="false" customHeight="false" outlineLevel="0" collapsed="false">
      <c r="A41188" s="3" t="s">
        <v>561</v>
      </c>
      <c r="C41188" s="16" t="n">
        <f aca="false">SUMPRODUCT(($C$41161:$C$41170=C41166)*$C$41150:$C$41159)</f>
        <v>1984.9547587</v>
      </c>
    </row>
    <row r="41189" customFormat="false" ht="15" hidden="false" customHeight="false" outlineLevel="0" collapsed="false">
      <c r="A41189" s="3" t="s">
        <v>562</v>
      </c>
      <c r="C41189" s="16" t="n">
        <f aca="false">SUMPRODUCT(($C$41161:$C$41170=C41167)*$C$41150:$C$41159)</f>
        <v>1984.9547587</v>
      </c>
    </row>
    <row r="41190" customFormat="false" ht="15" hidden="false" customHeight="false" outlineLevel="0" collapsed="false">
      <c r="A41190" s="3" t="s">
        <v>563</v>
      </c>
      <c r="C41190" s="16" t="n">
        <f aca="false">SUMPRODUCT(($C$41161:$C$41170=C41168)*$C$41150:$C$41159)</f>
        <v>1984.9547587</v>
      </c>
    </row>
    <row r="41191" customFormat="false" ht="15" hidden="false" customHeight="false" outlineLevel="0" collapsed="false">
      <c r="A41191" s="3" t="s">
        <v>564</v>
      </c>
      <c r="C41191" s="16" t="n">
        <f aca="false">SUMPRODUCT(($C$41161:$C$41170=C41169)*$C$41150:$C$41159)</f>
        <v>1984.9547587</v>
      </c>
    </row>
    <row r="41192" customFormat="false" ht="15" hidden="false" customHeight="false" outlineLevel="0" collapsed="false">
      <c r="A41192" s="3" t="s">
        <v>565</v>
      </c>
      <c r="C41192" s="16" t="n">
        <f aca="false">SUMPRODUCT(($C$41161:$C$41170=C41170)*$C$41150:$C$41159)</f>
        <v>78.61</v>
      </c>
    </row>
    <row r="41193" customFormat="false" ht="15" hidden="false" customHeight="false" outlineLevel="0" collapsed="false">
      <c r="A41193" s="24" t="s">
        <v>574</v>
      </c>
      <c r="B41193" s="25"/>
      <c r="C41193" s="25"/>
      <c r="D41193" s="25"/>
      <c r="E41193" s="25"/>
      <c r="F41193" s="25"/>
      <c r="G41193" s="25"/>
      <c r="H41193" s="25"/>
      <c r="I41193" s="25"/>
      <c r="J41193" s="25"/>
      <c r="K41193" s="25"/>
    </row>
    <row r="41194" customFormat="false" ht="15" hidden="false" customHeight="false" outlineLevel="0" collapsed="false">
      <c r="A41194" s="3" t="s">
        <v>556</v>
      </c>
      <c r="C41194" s="16" t="n">
        <f aca="false">IF(C41183=0,0,C41150/C41183*MAX(0,MIN(C41183,$C$41093-SUM($C$41128:$C$41137)-C41172)))</f>
        <v>0</v>
      </c>
    </row>
    <row r="41195" customFormat="false" ht="15" hidden="false" customHeight="false" outlineLevel="0" collapsed="false">
      <c r="A41195" s="3" t="s">
        <v>557</v>
      </c>
      <c r="C41195" s="16" t="n">
        <f aca="false">IF(C41184=0,0,C41151/C41184*MAX(0,MIN(C41184,$C$41093-SUM($C$41128:$C$41137)-C41173)))</f>
        <v>0</v>
      </c>
    </row>
    <row r="41196" customFormat="false" ht="15" hidden="false" customHeight="false" outlineLevel="0" collapsed="false">
      <c r="A41196" s="3" t="s">
        <v>558</v>
      </c>
      <c r="C41196" s="16" t="n">
        <f aca="false">IF(C41185=0,0,C41152/C41185*MAX(0,MIN(C41185,$C$41093-SUM($C$41128:$C$41137)-C41174)))</f>
        <v>0</v>
      </c>
    </row>
    <row r="41197" customFormat="false" ht="15" hidden="false" customHeight="false" outlineLevel="0" collapsed="false">
      <c r="A41197" s="3" t="s">
        <v>559</v>
      </c>
      <c r="C41197" s="16" t="n">
        <f aca="false">IF(C41186=0,0,C41153/C41186*MAX(0,MIN(C41186,$C$41093-SUM($C$41128:$C$41137)-C41175)))</f>
        <v>0</v>
      </c>
    </row>
    <row r="41198" customFormat="false" ht="15" hidden="false" customHeight="false" outlineLevel="0" collapsed="false">
      <c r="A41198" s="3" t="s">
        <v>560</v>
      </c>
      <c r="C41198" s="16" t="n">
        <f aca="false">IF(C41187=0,0,C41154/C41187*MAX(0,MIN(C41187,$C$41093-SUM($C$41128:$C$41137)-C41176)))</f>
        <v>253.571734254394</v>
      </c>
    </row>
    <row r="41199" customFormat="false" ht="15" hidden="false" customHeight="false" outlineLevel="0" collapsed="false">
      <c r="A41199" s="3" t="s">
        <v>561</v>
      </c>
      <c r="C41199" s="16" t="n">
        <f aca="false">IF(C41188=0,0,C41155/C41188*MAX(0,MIN(C41188,$C$41093-SUM($C$41128:$C$41137)-C41177)))</f>
        <v>204.044455690738</v>
      </c>
    </row>
    <row r="41200" customFormat="false" ht="15" hidden="false" customHeight="false" outlineLevel="0" collapsed="false">
      <c r="A41200" s="3" t="s">
        <v>562</v>
      </c>
      <c r="C41200" s="16" t="n">
        <f aca="false">IF(C41189=0,0,C41156/C41189*MAX(0,MIN(C41189,$C$41093-SUM($C$41128:$C$41137)-C41178)))</f>
        <v>320.641287514017</v>
      </c>
    </row>
    <row r="41201" customFormat="false" ht="15" hidden="false" customHeight="false" outlineLevel="0" collapsed="false">
      <c r="A41201" s="3" t="s">
        <v>563</v>
      </c>
      <c r="C41201" s="16" t="n">
        <f aca="false">IF(C41190=0,0,C41157/C41190*MAX(0,MIN(C41190,$C$41093-SUM($C$41128:$C$41137)-C41179)))</f>
        <v>204.044455690738</v>
      </c>
    </row>
    <row r="41202" customFormat="false" ht="15" hidden="false" customHeight="false" outlineLevel="0" collapsed="false">
      <c r="A41202" s="3" t="s">
        <v>564</v>
      </c>
      <c r="C41202" s="16" t="n">
        <f aca="false">IF(C41191=0,0,C41158/C41191*MAX(0,MIN(C41191,$C$41093-SUM($C$41128:$C$41137)-C41180)))</f>
        <v>174.895247734918</v>
      </c>
    </row>
    <row r="41203" customFormat="false" ht="15" hidden="false" customHeight="false" outlineLevel="0" collapsed="false">
      <c r="A41203" s="3" t="s">
        <v>565</v>
      </c>
      <c r="C41203" s="16" t="n">
        <f aca="false">IF(C41192=0,0,C41159/C41192*MAX(0,MIN(C41192,$C$41093-SUM($C$41128:$C$41137)-C41181)))</f>
        <v>0</v>
      </c>
    </row>
    <row r="41204" customFormat="false" ht="15" hidden="false" customHeight="false" outlineLevel="0" collapsed="false">
      <c r="A41204" s="24" t="s">
        <v>575</v>
      </c>
      <c r="B41204" s="25"/>
      <c r="C41204" s="25"/>
      <c r="D41204" s="25"/>
      <c r="E41204" s="25"/>
      <c r="F41204" s="25"/>
      <c r="G41204" s="25"/>
      <c r="H41204" s="25"/>
      <c r="I41204" s="25"/>
      <c r="J41204" s="25"/>
      <c r="K41204" s="25"/>
    </row>
    <row r="41205" customFormat="false" ht="15" hidden="false" customHeight="false" outlineLevel="0" collapsed="false">
      <c r="A41205" s="2" t="s">
        <v>556</v>
      </c>
      <c r="C41205" s="17" t="n">
        <f aca="false">C41128+C41194</f>
        <v>388</v>
      </c>
    </row>
    <row r="41206" customFormat="false" ht="15" hidden="false" customHeight="false" outlineLevel="0" collapsed="false">
      <c r="A41206" s="2" t="s">
        <v>557</v>
      </c>
      <c r="C41206" s="17" t="n">
        <f aca="false">C41129+C41195</f>
        <v>53.9022272401676</v>
      </c>
    </row>
    <row r="41207" customFormat="false" ht="15" hidden="false" customHeight="false" outlineLevel="0" collapsed="false">
      <c r="A41207" s="2" t="s">
        <v>558</v>
      </c>
      <c r="C41207" s="17" t="n">
        <f aca="false">C41130+C41196</f>
        <v>34.3014173346521</v>
      </c>
    </row>
    <row r="41208" customFormat="false" ht="15" hidden="false" customHeight="false" outlineLevel="0" collapsed="false">
      <c r="A41208" s="2" t="s">
        <v>559</v>
      </c>
      <c r="C41208" s="17" t="n">
        <f aca="false">C41131+C41197</f>
        <v>0</v>
      </c>
    </row>
    <row r="41209" customFormat="false" ht="15" hidden="false" customHeight="false" outlineLevel="0" collapsed="false">
      <c r="A41209" s="2" t="s">
        <v>560</v>
      </c>
      <c r="C41209" s="17" t="n">
        <f aca="false">C41132+C41198</f>
        <v>253.571734254394</v>
      </c>
    </row>
    <row r="41210" customFormat="false" ht="15" hidden="false" customHeight="false" outlineLevel="0" collapsed="false">
      <c r="A41210" s="2" t="s">
        <v>561</v>
      </c>
      <c r="C41210" s="17" t="n">
        <f aca="false">C41133+C41199</f>
        <v>204.044455690738</v>
      </c>
    </row>
    <row r="41211" customFormat="false" ht="15" hidden="false" customHeight="false" outlineLevel="0" collapsed="false">
      <c r="A41211" s="2" t="s">
        <v>562</v>
      </c>
      <c r="C41211" s="17" t="n">
        <f aca="false">C41134+C41200</f>
        <v>320.641287514017</v>
      </c>
    </row>
    <row r="41212" customFormat="false" ht="15" hidden="false" customHeight="false" outlineLevel="0" collapsed="false">
      <c r="A41212" s="2" t="s">
        <v>563</v>
      </c>
      <c r="C41212" s="17" t="n">
        <f aca="false">C41135+C41201</f>
        <v>204.044455690738</v>
      </c>
    </row>
    <row r="41213" customFormat="false" ht="15" hidden="false" customHeight="false" outlineLevel="0" collapsed="false">
      <c r="A41213" s="2" t="s">
        <v>564</v>
      </c>
      <c r="C41213" s="17" t="n">
        <f aca="false">C41136+C41202</f>
        <v>174.895247734918</v>
      </c>
    </row>
    <row r="41214" customFormat="false" ht="15" hidden="false" customHeight="false" outlineLevel="0" collapsed="false">
      <c r="A41214" s="2" t="s">
        <v>565</v>
      </c>
      <c r="C41214" s="17" t="n">
        <f aca="false">C41137+C41203</f>
        <v>0</v>
      </c>
    </row>
    <row r="41215" customFormat="false" ht="15" hidden="false" customHeight="false" outlineLevel="0" collapsed="false">
      <c r="A41215" s="24" t="s">
        <v>576</v>
      </c>
      <c r="B41215" s="25"/>
      <c r="C41215" s="25"/>
      <c r="D41215" s="25"/>
      <c r="E41215" s="25"/>
      <c r="F41215" s="25"/>
      <c r="G41215" s="25"/>
      <c r="H41215" s="25"/>
      <c r="I41215" s="25"/>
      <c r="J41215" s="25"/>
      <c r="K41215" s="25"/>
    </row>
    <row r="41216" customFormat="false" ht="15" hidden="false" customHeight="false" outlineLevel="0" collapsed="false">
      <c r="A41216" s="3" t="s">
        <v>556</v>
      </c>
      <c r="C41216" s="22" t="n">
        <f aca="false">IF(C41095=0,1,C41205/C41095)</f>
        <v>1</v>
      </c>
    </row>
    <row r="41217" customFormat="false" ht="15" hidden="false" customHeight="false" outlineLevel="0" collapsed="false">
      <c r="A41217" s="3" t="s">
        <v>557</v>
      </c>
      <c r="C41217" s="22" t="n">
        <f aca="false">IF(C41096=0,1,C41206/C41096)</f>
        <v>0.598913636001863</v>
      </c>
    </row>
    <row r="41218" customFormat="false" ht="15" hidden="false" customHeight="false" outlineLevel="0" collapsed="false">
      <c r="A41218" s="3" t="s">
        <v>558</v>
      </c>
      <c r="C41218" s="22" t="n">
        <f aca="false">IF(C41097=0,1,C41207/C41097)</f>
        <v>0.598377945269907</v>
      </c>
    </row>
    <row r="41219" customFormat="false" ht="15" hidden="false" customHeight="false" outlineLevel="0" collapsed="false">
      <c r="A41219" s="3" t="s">
        <v>559</v>
      </c>
      <c r="C41219" s="22" t="n">
        <f aca="false">IF(C41098=0,1,C41208/C41098)</f>
        <v>1</v>
      </c>
    </row>
    <row r="41220" customFormat="false" ht="15" hidden="false" customHeight="false" outlineLevel="0" collapsed="false">
      <c r="A41220" s="3" t="s">
        <v>560</v>
      </c>
      <c r="C41220" s="22" t="n">
        <f aca="false">IF(C41099=0,1,C41209/C41099)</f>
        <v>0.582984159116395</v>
      </c>
    </row>
    <row r="41221" customFormat="false" ht="15" hidden="false" customHeight="false" outlineLevel="0" collapsed="false">
      <c r="A41221" s="3" t="s">
        <v>561</v>
      </c>
      <c r="C41221" s="22" t="n">
        <f aca="false">IF(C41100=0,1,C41210/C41100)</f>
        <v>0.582984159116395</v>
      </c>
    </row>
    <row r="41222" customFormat="false" ht="15" hidden="false" customHeight="false" outlineLevel="0" collapsed="false">
      <c r="A41222" s="3" t="s">
        <v>562</v>
      </c>
      <c r="C41222" s="22" t="n">
        <f aca="false">IF(C41101=0,1,C41211/C41101)</f>
        <v>0.582984159116395</v>
      </c>
    </row>
    <row r="41223" customFormat="false" ht="15" hidden="false" customHeight="false" outlineLevel="0" collapsed="false">
      <c r="A41223" s="3" t="s">
        <v>563</v>
      </c>
      <c r="C41223" s="22" t="n">
        <f aca="false">IF(C41102=0,1,C41212/C41102)</f>
        <v>0.582984159116395</v>
      </c>
    </row>
    <row r="41224" customFormat="false" ht="15" hidden="false" customHeight="false" outlineLevel="0" collapsed="false">
      <c r="A41224" s="3" t="s">
        <v>564</v>
      </c>
      <c r="C41224" s="22" t="n">
        <f aca="false">IF(C41103=0,1,C41213/C41103)</f>
        <v>0.582984159116395</v>
      </c>
    </row>
    <row r="41225" customFormat="false" ht="15" hidden="false" customHeight="false" outlineLevel="0" collapsed="false">
      <c r="A41225" s="3" t="s">
        <v>565</v>
      </c>
      <c r="C41225" s="22" t="n">
        <f aca="false">IF(C41104=0,1,C41214/C41104)</f>
        <v>0</v>
      </c>
    </row>
    <row r="41226" customFormat="false" ht="15" hidden="false" customHeight="false" outlineLevel="0" collapsed="false">
      <c r="A41226" s="24" t="s">
        <v>577</v>
      </c>
      <c r="B41226" s="25"/>
      <c r="C41226" s="25"/>
      <c r="D41226" s="25"/>
      <c r="E41226" s="25"/>
      <c r="F41226" s="25"/>
      <c r="G41226" s="25"/>
      <c r="H41226" s="25"/>
      <c r="I41226" s="25"/>
      <c r="J41226" s="25"/>
      <c r="K41226" s="25"/>
    </row>
    <row r="41227" customFormat="false" ht="15" hidden="false" customHeight="false" outlineLevel="0" collapsed="false">
      <c r="A41227" s="3" t="s">
        <v>556</v>
      </c>
      <c r="C41227" s="16" t="n">
        <f aca="false">C41095-C41205</f>
        <v>0</v>
      </c>
    </row>
    <row r="41228" customFormat="false" ht="15" hidden="false" customHeight="false" outlineLevel="0" collapsed="false">
      <c r="A41228" s="3" t="s">
        <v>557</v>
      </c>
      <c r="C41228" s="16" t="n">
        <f aca="false">C41096-C41206</f>
        <v>36.0977727598324</v>
      </c>
    </row>
    <row r="41229" customFormat="false" ht="15" hidden="false" customHeight="false" outlineLevel="0" collapsed="false">
      <c r="A41229" s="3" t="s">
        <v>558</v>
      </c>
      <c r="C41229" s="16" t="n">
        <f aca="false">C41097-C41207</f>
        <v>23.0225826653479</v>
      </c>
    </row>
    <row r="41230" customFormat="false" ht="15" hidden="false" customHeight="false" outlineLevel="0" collapsed="false">
      <c r="A41230" s="3" t="s">
        <v>559</v>
      </c>
      <c r="C41230" s="16" t="n">
        <f aca="false">C41098-C41208</f>
        <v>0</v>
      </c>
    </row>
    <row r="41231" customFormat="false" ht="15" hidden="false" customHeight="false" outlineLevel="0" collapsed="false">
      <c r="A41231" s="3" t="s">
        <v>560</v>
      </c>
      <c r="C41231" s="16" t="n">
        <f aca="false">C41099-C41209</f>
        <v>181.383024445606</v>
      </c>
    </row>
    <row r="41232" customFormat="false" ht="15" hidden="false" customHeight="false" outlineLevel="0" collapsed="false">
      <c r="A41232" s="3" t="s">
        <v>561</v>
      </c>
      <c r="C41232" s="16" t="n">
        <f aca="false">C41100-C41210</f>
        <v>145.955544309262</v>
      </c>
    </row>
    <row r="41233" customFormat="false" ht="15" hidden="false" customHeight="false" outlineLevel="0" collapsed="false">
      <c r="A41233" s="3" t="s">
        <v>562</v>
      </c>
      <c r="C41233" s="16" t="n">
        <f aca="false">C41101-C41211</f>
        <v>229.358712485983</v>
      </c>
    </row>
    <row r="41234" customFormat="false" ht="15" hidden="false" customHeight="false" outlineLevel="0" collapsed="false">
      <c r="A41234" s="3" t="s">
        <v>563</v>
      </c>
      <c r="C41234" s="16" t="n">
        <f aca="false">C41102-C41212</f>
        <v>145.955544309262</v>
      </c>
    </row>
    <row r="41235" customFormat="false" ht="15" hidden="false" customHeight="false" outlineLevel="0" collapsed="false">
      <c r="A41235" s="3" t="s">
        <v>564</v>
      </c>
      <c r="C41235" s="16" t="n">
        <f aca="false">C41103-C41213</f>
        <v>125.104752265082</v>
      </c>
    </row>
    <row r="41236" customFormat="false" ht="15" hidden="false" customHeight="false" outlineLevel="0" collapsed="false">
      <c r="A41236" s="3" t="s">
        <v>565</v>
      </c>
      <c r="C41236" s="16" t="n">
        <f aca="false">C41104-C41214</f>
        <v>78.61</v>
      </c>
    </row>
    <row r="41237" customFormat="false" ht="15" hidden="false" customHeight="false" outlineLevel="0" collapsed="false">
      <c r="A41237" s="24" t="s">
        <v>578</v>
      </c>
      <c r="B41237" s="25"/>
      <c r="C41237" s="25"/>
      <c r="D41237" s="25"/>
      <c r="E41237" s="25"/>
      <c r="F41237" s="25"/>
      <c r="G41237" s="25"/>
      <c r="H41237" s="25"/>
      <c r="I41237" s="25"/>
      <c r="J41237" s="25"/>
      <c r="K41237" s="25"/>
    </row>
    <row r="41238" customFormat="false" ht="15" hidden="false" customHeight="false" outlineLevel="0" collapsed="false">
      <c r="A41238" s="3" t="s">
        <v>556</v>
      </c>
      <c r="C41238" s="22" t="n">
        <f aca="false">IF(C41095=0,0,C41227/C41095)</f>
        <v>0</v>
      </c>
    </row>
    <row r="41239" customFormat="false" ht="15" hidden="false" customHeight="false" outlineLevel="0" collapsed="false">
      <c r="A41239" s="3" t="s">
        <v>557</v>
      </c>
      <c r="C41239" s="22" t="n">
        <f aca="false">IF(C41096=0,0,C41228/C41096)</f>
        <v>0.401086363998137</v>
      </c>
    </row>
    <row r="41240" customFormat="false" ht="15" hidden="false" customHeight="false" outlineLevel="0" collapsed="false">
      <c r="A41240" s="3" t="s">
        <v>558</v>
      </c>
      <c r="C41240" s="22" t="n">
        <f aca="false">IF(C41097=0,0,C41229/C41097)</f>
        <v>0.401622054730093</v>
      </c>
    </row>
    <row r="41241" customFormat="false" ht="15" hidden="false" customHeight="false" outlineLevel="0" collapsed="false">
      <c r="A41241" s="3" t="s">
        <v>559</v>
      </c>
      <c r="C41241" s="22" t="n">
        <f aca="false">IF(C41098=0,0,C41230/C41098)</f>
        <v>0</v>
      </c>
    </row>
    <row r="41242" customFormat="false" ht="15" hidden="false" customHeight="false" outlineLevel="0" collapsed="false">
      <c r="A41242" s="3" t="s">
        <v>560</v>
      </c>
      <c r="C41242" s="22" t="n">
        <f aca="false">IF(C41099=0,0,C41231/C41099)</f>
        <v>0.417015840883605</v>
      </c>
    </row>
    <row r="41243" customFormat="false" ht="15" hidden="false" customHeight="false" outlineLevel="0" collapsed="false">
      <c r="A41243" s="3" t="s">
        <v>561</v>
      </c>
      <c r="C41243" s="22" t="n">
        <f aca="false">IF(C41100=0,0,C41232/C41100)</f>
        <v>0.417015840883605</v>
      </c>
    </row>
    <row r="41244" customFormat="false" ht="15" hidden="false" customHeight="false" outlineLevel="0" collapsed="false">
      <c r="A41244" s="3" t="s">
        <v>562</v>
      </c>
      <c r="C41244" s="22" t="n">
        <f aca="false">IF(C41101=0,0,C41233/C41101)</f>
        <v>0.417015840883605</v>
      </c>
    </row>
    <row r="41245" customFormat="false" ht="15" hidden="false" customHeight="false" outlineLevel="0" collapsed="false">
      <c r="A41245" s="3" t="s">
        <v>563</v>
      </c>
      <c r="C41245" s="22" t="n">
        <f aca="false">IF(C41102=0,0,C41234/C41102)</f>
        <v>0.417015840883605</v>
      </c>
    </row>
    <row r="41246" customFormat="false" ht="15" hidden="false" customHeight="false" outlineLevel="0" collapsed="false">
      <c r="A41246" s="3" t="s">
        <v>564</v>
      </c>
      <c r="C41246" s="22" t="n">
        <f aca="false">IF(C41103=0,0,C41235/C41103)</f>
        <v>0.417015840883605</v>
      </c>
    </row>
    <row r="41247" customFormat="false" ht="15" hidden="false" customHeight="false" outlineLevel="0" collapsed="false">
      <c r="A41247" s="3" t="s">
        <v>565</v>
      </c>
      <c r="C41247" s="22" t="n">
        <f aca="false">IF(C41104=0,0,C41236/C41104)</f>
        <v>1</v>
      </c>
    </row>
    <row r="41248" customFormat="false" ht="15" hidden="false" customHeight="false" outlineLevel="0" collapsed="false">
      <c r="A41248" s="2" t="s">
        <v>579</v>
      </c>
      <c r="C41248" s="17" t="n">
        <f aca="false">MAX(0,$C$41093-SUM($C$41128:$C$41137)-SUM($C$41150:$C$41159))</f>
        <v>0</v>
      </c>
    </row>
    <row r="41249" customFormat="false" ht="15" hidden="false" customHeight="false" outlineLevel="0" collapsed="false">
      <c r="A41249" s="3" t="s">
        <v>597</v>
      </c>
      <c r="C41249" s="35" t="n">
        <f aca="false">MIN(C41092,100*CHOOSE(C41082,C41216,C41217,C41218,C41219,C41220,C41221,C41222,C41223,C41224,C41225))</f>
        <v>85</v>
      </c>
    </row>
    <row r="41250" customFormat="false" ht="15" hidden="false" customHeight="false" outlineLevel="0" collapsed="false">
      <c r="A41250" s="3" t="s">
        <v>598</v>
      </c>
      <c r="C41250" s="21" t="n">
        <f aca="false">IF(C40914=1,C41087+Assumptions!$C$40,C41086)</f>
        <v>3</v>
      </c>
    </row>
    <row r="41251" customFormat="false" ht="15" hidden="false" customHeight="false" outlineLevel="0" collapsed="false">
      <c r="A41251" s="24" t="s">
        <v>599</v>
      </c>
      <c r="B41251" s="25"/>
      <c r="C41251" s="25"/>
      <c r="D41251" s="25"/>
      <c r="E41251" s="25"/>
      <c r="F41251" s="25"/>
      <c r="G41251" s="25"/>
      <c r="H41251" s="25"/>
      <c r="I41251" s="25"/>
      <c r="J41251" s="25"/>
      <c r="K41251" s="25"/>
    </row>
    <row r="41252" customFormat="false" ht="15" hidden="false" customHeight="false" outlineLevel="0" collapsed="false">
      <c r="A41252" s="3" t="s">
        <v>600</v>
      </c>
      <c r="C41252" s="21" t="n">
        <f aca="false">COLUMN()-COLUMN($C$1)</f>
        <v>0</v>
      </c>
      <c r="D41252" s="21" t="n">
        <f aca="false">COLUMN()-COLUMN($C$1)</f>
        <v>1</v>
      </c>
      <c r="E41252" s="21" t="n">
        <f aca="false">COLUMN()-COLUMN($C$1)</f>
        <v>2</v>
      </c>
      <c r="F41252" s="21" t="n">
        <f aca="false">COLUMN()-COLUMN($C$1)</f>
        <v>3</v>
      </c>
      <c r="G41252" s="21" t="n">
        <f aca="false">COLUMN()-COLUMN($C$1)</f>
        <v>4</v>
      </c>
      <c r="H41252" s="21" t="n">
        <f aca="false">COLUMN()-COLUMN($C$1)</f>
        <v>5</v>
      </c>
      <c r="I41252" s="21" t="n">
        <f aca="false">COLUMN()-COLUMN($C$1)</f>
        <v>6</v>
      </c>
    </row>
    <row r="41253" customFormat="false" ht="15" hidden="false" customHeight="false" outlineLevel="0" collapsed="false">
      <c r="A41253" s="3" t="s">
        <v>601</v>
      </c>
      <c r="D41253" s="31" t="n">
        <f aca="false">CHOOSE($C$41082,G40662,G40675,G40688,G40701,G40714,G40727,G40740,G40753,G40766,G40779)</f>
        <v>0.1215</v>
      </c>
      <c r="E41253" s="31" t="n">
        <f aca="false">CHOOSE($C$41082,H40662,H40675,H40688,H40701,H40714,H40727,H40740,H40753,H40766,H40779)</f>
        <v>0.12</v>
      </c>
      <c r="F41253" s="31" t="n">
        <f aca="false">CHOOSE($C$41082,I40662,I40675,I40688,I40701,I40714,I40727,I40740,I40753,I40766,I40779)</f>
        <v>0.1175</v>
      </c>
      <c r="G41253" s="31" t="n">
        <f aca="false">CHOOSE($C$41082,J40662,J40675,J40688,J40701,J40714,J40727,J40740,J40753,J40766,J40779)</f>
        <v>0.1175</v>
      </c>
      <c r="H41253" s="31" t="n">
        <f aca="false">CHOOSE($C$41082,K40662,K40675,K40688,K40701,K40714,K40727,K40740,K40753,K40766,K40779)</f>
        <v>0.1175</v>
      </c>
    </row>
    <row r="41254" customFormat="false" ht="15" hidden="false" customHeight="false" outlineLevel="0" collapsed="false">
      <c r="A41254" s="3" t="s">
        <v>602</v>
      </c>
      <c r="D41254" s="16" t="n">
        <f aca="false">IF(D41252&lt;=$C$41091,$C$41083*D41253,0)</f>
        <v>12.15</v>
      </c>
      <c r="E41254" s="16" t="n">
        <f aca="false">IF(E41252&lt;=$C$41091,$C$41083*E41253,0)</f>
        <v>12</v>
      </c>
      <c r="F41254" s="16" t="n">
        <f aca="false">IF(F41252&lt;=$C$41091,$C$41083*F41253,0)</f>
        <v>0</v>
      </c>
      <c r="G41254" s="16" t="n">
        <f aca="false">IF(G41252&lt;=$C$41091,$C$41083*G41253,0)</f>
        <v>0</v>
      </c>
      <c r="H41254" s="16" t="n">
        <f aca="false">IF(H41252&lt;=$C$41091,$C$41083*H41253,0)</f>
        <v>0</v>
      </c>
    </row>
    <row r="41255" customFormat="false" ht="15" hidden="false" customHeight="false" outlineLevel="0" collapsed="false">
      <c r="A41255" s="3" t="s">
        <v>603</v>
      </c>
      <c r="D41255" s="16" t="n">
        <f aca="false">IF(AND($C$40914=0,D41252=$C$41086),$C$41083*$C$41249/100,0)+IF(AND($C$40914=1,D41252=$C$41250),$C$41089,0)</f>
        <v>0</v>
      </c>
      <c r="E41255" s="16" t="n">
        <f aca="false">IF(AND($C$40914=0,E41252=$C$41086),$C$41083*$C$41249/100,0)+IF(AND($C$40914=1,E41252=$C$41250),$C$41089,0)</f>
        <v>0</v>
      </c>
      <c r="F41255" s="16" t="n">
        <f aca="false">IF(AND($C$40914=0,F41252=$C$41086),$C$41083*$C$41249/100,0)+IF(AND($C$40914=1,F41252=$C$41250),$C$41089,0)</f>
        <v>103</v>
      </c>
      <c r="G41255" s="16" t="n">
        <f aca="false">IF(AND($C$40914=0,G41252=$C$41086),$C$41083*$C$41249/100,0)+IF(AND($C$40914=1,G41252=$C$41250),$C$41089,0)</f>
        <v>0</v>
      </c>
      <c r="H41255" s="16" t="n">
        <f aca="false">IF(AND($C$40914=0,H41252=$C$41086),$C$41083*$C$41249/100,0)+IF(AND($C$40914=1,H41252=$C$41250),$C$41089,0)</f>
        <v>0</v>
      </c>
      <c r="I41255" s="16" t="n">
        <f aca="false">IF(AND($C$40914=0,I41252=$C$41086),$C$41083*$C$41249/100,0)+IF(AND($C$40914=1,I41252=$C$41250),$C$41089,0)</f>
        <v>0</v>
      </c>
    </row>
    <row r="41256" customFormat="false" ht="15" hidden="false" customHeight="false" outlineLevel="0" collapsed="false">
      <c r="A41256" s="2" t="s">
        <v>604</v>
      </c>
      <c r="C41256" s="17" t="n">
        <f aca="false">-$C$41085</f>
        <v>-98.49</v>
      </c>
      <c r="D41256" s="17" t="n">
        <f aca="false">D41254+D41255</f>
        <v>12.15</v>
      </c>
      <c r="E41256" s="17" t="n">
        <f aca="false">E41254+E41255</f>
        <v>12</v>
      </c>
      <c r="F41256" s="17" t="n">
        <f aca="false">F41254+F41255</f>
        <v>103</v>
      </c>
      <c r="G41256" s="17" t="n">
        <f aca="false">G41254+G41255</f>
        <v>0</v>
      </c>
      <c r="H41256" s="17" t="n">
        <f aca="false">H41254+H41255</f>
        <v>0</v>
      </c>
      <c r="I41256" s="17" t="n">
        <f aca="false">I41254+I41255</f>
        <v>0</v>
      </c>
    </row>
    <row r="41257" customFormat="false" ht="15" hidden="false" customHeight="false" outlineLevel="0" collapsed="false">
      <c r="A41257" s="3" t="s">
        <v>605</v>
      </c>
      <c r="C41257" s="16" t="n">
        <f aca="false">SUM($C$41254:$I$41254)</f>
        <v>24.15</v>
      </c>
    </row>
    <row r="41258" customFormat="false" ht="15" hidden="false" customHeight="false" outlineLevel="0" collapsed="false">
      <c r="A41258" s="3" t="s">
        <v>606</v>
      </c>
      <c r="C41258" s="16" t="n">
        <f aca="false">SUM($C$41255:$I$41255)</f>
        <v>103</v>
      </c>
    </row>
    <row r="41259" customFormat="false" ht="15" hidden="false" customHeight="false" outlineLevel="0" collapsed="false">
      <c r="A41259" s="3" t="s">
        <v>607</v>
      </c>
      <c r="C41259" s="16" t="n">
        <f aca="false">C41257+C41258</f>
        <v>127.15</v>
      </c>
    </row>
    <row r="41260" customFormat="false" ht="15" hidden="false" customHeight="false" outlineLevel="0" collapsed="false">
      <c r="A41260" s="3" t="s">
        <v>608</v>
      </c>
      <c r="C41260" s="16" t="n">
        <f aca="false">C41258-C41083*C41084/100</f>
        <v>5</v>
      </c>
    </row>
    <row r="41261" customFormat="false" ht="15" hidden="false" customHeight="false" outlineLevel="0" collapsed="false">
      <c r="A41261" s="3" t="s">
        <v>609</v>
      </c>
      <c r="C41261" s="16" t="n">
        <f aca="false">C41259-C41085</f>
        <v>28.66</v>
      </c>
    </row>
    <row r="41262" customFormat="false" ht="15" hidden="false" customHeight="false" outlineLevel="0" collapsed="false">
      <c r="A41262" s="2" t="s">
        <v>484</v>
      </c>
      <c r="C41262" s="44" t="n">
        <f aca="false">C41259/C41085</f>
        <v>1.29099400954412</v>
      </c>
    </row>
    <row r="41263" customFormat="false" ht="15" hidden="false" customHeight="false" outlineLevel="0" collapsed="false">
      <c r="A41263" s="2" t="s">
        <v>483</v>
      </c>
      <c r="C41263" s="42" t="n">
        <f aca="false">IF(C41259&lt;=0,-1,IFERROR(IRR($C$41256:$I$41256,MAX(-0.9,C41262^(1/C41250)-1)),IRR($C$41256:$I$41256,0.1)))</f>
        <v>0.0994077590660149</v>
      </c>
    </row>
    <row r="41264" customFormat="false" ht="15" hidden="false" customHeight="false" outlineLevel="0" collapsed="false">
      <c r="A41264" s="3" t="s">
        <v>610</v>
      </c>
      <c r="C41264" s="32" t="n">
        <f aca="false">MAX($G$40858:$K$40858)</f>
        <v>15.7734539449449</v>
      </c>
    </row>
    <row r="41265" customFormat="false" ht="15" hidden="false" customHeight="false" outlineLevel="0" collapsed="false">
      <c r="A41265" s="3" t="s">
        <v>611</v>
      </c>
      <c r="C41265" s="32" t="n">
        <f aca="false">MIN($G$40859:$K$40859)</f>
        <v>0.899631625108658</v>
      </c>
    </row>
    <row r="41266" customFormat="false" ht="15" hidden="false" customHeight="false" outlineLevel="0" collapsed="false">
      <c r="A41266" s="3" t="s">
        <v>612</v>
      </c>
      <c r="C41266" s="16" t="n">
        <f aca="false">SUM($G$40646:$K$40646)</f>
        <v>-319.393886227031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2026-10-09T00:34:57Z</dcterms:created>
  <dc:creator>openpyxl</dc:creator>
  <dc:description/>
  <dc:language>en-US</dc:language>
  <cp:lastModifiedBy/>
  <dcterms:modified xsi:type="dcterms:W3CDTF">2026-10-09T00:35:02Z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